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\\corporativo\sgt\REAJUSTE\Concessionárias de Distribuição\2022\11 - D39 - DMED (Ana)\Estrutura\"/>
    </mc:Choice>
  </mc:AlternateContent>
  <xr:revisionPtr revIDLastSave="0" documentId="13_ncr:1_{906C3A9B-8C8E-4B38-8D53-A63B1409740C}" xr6:coauthVersionLast="47" xr6:coauthVersionMax="47" xr10:uidLastSave="{00000000-0000-0000-0000-000000000000}"/>
  <bookViews>
    <workbookView xWindow="-108" yWindow="-108" windowWidth="23256" windowHeight="12576" firstSheet="27" activeTab="34" xr2:uid="{6DBE958D-0E11-4A98-8304-AE19D59A9FB8}"/>
  </bookViews>
  <sheets>
    <sheet name="Mercado_Receita" sheetId="1" r:id="rId1"/>
    <sheet name="EVENTOS" sheetId="2" r:id="rId2"/>
    <sheet name="TAR FIN" sheetId="15" r:id="rId3"/>
    <sheet name="MERCADO TUSD" sheetId="3" r:id="rId4"/>
    <sheet name="MERCADO TE" sheetId="4" r:id="rId5"/>
    <sheet name="CUSTOS" sheetId="5" r:id="rId6"/>
    <sheet name="TRANSICAO" sheetId="14" r:id="rId7"/>
    <sheet name="TR TUSD" sheetId="6" r:id="rId8"/>
    <sheet name="TUSD BE" sheetId="7" r:id="rId9"/>
    <sheet name="TUSD BF" sheetId="8" r:id="rId10"/>
    <sheet name="TUSD CVA" sheetId="9" r:id="rId11"/>
    <sheet name="TR TE" sheetId="10" r:id="rId12"/>
    <sheet name="TE BE" sheetId="11" r:id="rId13"/>
    <sheet name="TE BF" sheetId="12" r:id="rId14"/>
    <sheet name="TE CVA" sheetId="13" r:id="rId15"/>
    <sheet name="EFEITO" sheetId="16" r:id="rId16"/>
    <sheet name="SUBSIDIO" sheetId="17" r:id="rId17"/>
    <sheet name="TabDinEfeito" sheetId="18" r:id="rId18"/>
    <sheet name="TabDinSubsidio" sheetId="19" r:id="rId19"/>
    <sheet name="TABELAS REH" sheetId="33" r:id="rId20"/>
    <sheet name="CONSISTENCIA" sheetId="21" r:id="rId21"/>
    <sheet name="TUSD" sheetId="28" r:id="rId22"/>
    <sheet name="TE" sheetId="29" r:id="rId23"/>
    <sheet name="RESUMO TUSD" sheetId="30" r:id="rId24"/>
    <sheet name="RESUMO TE" sheetId="31" r:id="rId25"/>
    <sheet name="TUSD BF_350" sheetId="23" r:id="rId26"/>
    <sheet name="TE BF_350" sheetId="24" r:id="rId27"/>
    <sheet name="TabDinEfeito_350" sheetId="26" r:id="rId28"/>
    <sheet name="EFEITO_350" sheetId="25" r:id="rId29"/>
    <sheet name="TarifaMedia" sheetId="22" r:id="rId30"/>
    <sheet name="Descontos" sheetId="20" r:id="rId31"/>
    <sheet name="ERD" sheetId="32" r:id="rId32"/>
    <sheet name="TA - Aplicação" sheetId="34" r:id="rId33"/>
    <sheet name="TA - BE" sheetId="35" r:id="rId34"/>
    <sheet name="TA - CVA" sheetId="36" r:id="rId35"/>
  </sheets>
  <definedNames>
    <definedName name="DadosExternos_1" localSheetId="32" hidden="1">'TA - Aplicação'!$B$3:$AT$82</definedName>
    <definedName name="DadosExternos_1" localSheetId="33" hidden="1">'TA - BE'!$B$3:$AT$82</definedName>
    <definedName name="DadosExternos_1" localSheetId="34" hidden="1">'TA - CVA'!$B$3:$AT$82</definedName>
  </definedNames>
  <calcPr calcId="191029"/>
  <pivotCaches>
    <pivotCache cacheId="37" r:id="rId36"/>
    <pivotCache cacheId="38" r:id="rId37"/>
    <pivotCache cacheId="39" r:id="rId3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3" i="33" l="1"/>
  <c r="V32" i="33"/>
  <c r="V31" i="33"/>
  <c r="V30" i="33"/>
  <c r="V29" i="33"/>
  <c r="V28" i="33"/>
  <c r="V27" i="33"/>
  <c r="V26" i="33"/>
  <c r="V21" i="33"/>
  <c r="V16" i="33"/>
  <c r="V25" i="33"/>
  <c r="V20" i="33"/>
  <c r="V15" i="33"/>
  <c r="V24" i="33"/>
  <c r="V23" i="33"/>
  <c r="V22" i="33"/>
  <c r="V19" i="33"/>
  <c r="V18" i="33"/>
  <c r="V17" i="33"/>
  <c r="V14" i="33"/>
  <c r="V13" i="33"/>
  <c r="V12" i="33"/>
  <c r="V11" i="33"/>
  <c r="V9" i="33"/>
  <c r="V10" i="33"/>
  <c r="V8" i="33"/>
  <c r="V7" i="33"/>
  <c r="V6" i="33"/>
  <c r="V5" i="33"/>
  <c r="J26" i="33"/>
  <c r="J25" i="33"/>
  <c r="J20" i="33"/>
  <c r="J19" i="33"/>
  <c r="J15" i="33"/>
  <c r="J14" i="33"/>
  <c r="J10" i="33"/>
  <c r="J9" i="33"/>
  <c r="J6" i="33"/>
  <c r="J5" i="33"/>
  <c r="H13" i="33"/>
  <c r="H3" i="32"/>
  <c r="H2" i="32" s="1"/>
  <c r="I3" i="32"/>
  <c r="I2" i="32" s="1"/>
  <c r="K3" i="32"/>
  <c r="K2" i="32" s="1"/>
  <c r="L3" i="32"/>
  <c r="B2" i="32"/>
  <c r="C2" i="32"/>
  <c r="D2" i="32"/>
  <c r="E2" i="32"/>
  <c r="F2" i="32"/>
  <c r="G2" i="32"/>
  <c r="J2" i="32"/>
  <c r="L2" i="32"/>
  <c r="B11" i="32"/>
  <c r="P11" i="5" l="1"/>
  <c r="R11" i="5" s="1"/>
  <c r="P10" i="5"/>
  <c r="R10" i="5" s="1"/>
  <c r="P9" i="5"/>
  <c r="F44" i="5"/>
  <c r="E44" i="5"/>
  <c r="D44" i="5"/>
  <c r="F26" i="5"/>
  <c r="E26" i="5"/>
  <c r="D26" i="5"/>
  <c r="F25" i="5"/>
  <c r="E25" i="5"/>
  <c r="D25" i="5"/>
  <c r="F24" i="5"/>
  <c r="E24" i="5"/>
  <c r="D24" i="5"/>
  <c r="D13" i="5"/>
  <c r="F39" i="5"/>
  <c r="F17" i="5"/>
  <c r="F16" i="5"/>
  <c r="F12" i="5"/>
  <c r="F11" i="5"/>
  <c r="M15" i="5"/>
  <c r="M7" i="5"/>
  <c r="D36" i="5" s="1"/>
  <c r="R9" i="5" l="1"/>
  <c r="E36" i="5"/>
  <c r="D30" i="5" s="1"/>
  <c r="F36" i="5"/>
  <c r="AH76" i="23"/>
  <c r="L5" i="31"/>
  <c r="K5" i="31"/>
  <c r="J5" i="31"/>
  <c r="I5" i="31"/>
  <c r="H5" i="31"/>
  <c r="G5" i="31"/>
  <c r="F5" i="31"/>
  <c r="E5" i="31"/>
  <c r="D5" i="31"/>
  <c r="C5" i="31"/>
  <c r="B5" i="31"/>
  <c r="I2" i="31"/>
  <c r="W5" i="30"/>
  <c r="V5" i="30"/>
  <c r="U5" i="30"/>
  <c r="T5" i="30"/>
  <c r="S5" i="30"/>
  <c r="R5" i="30"/>
  <c r="Q5" i="30"/>
  <c r="P5" i="30"/>
  <c r="O5" i="30"/>
  <c r="N5" i="30"/>
  <c r="M5" i="30"/>
  <c r="L5" i="30"/>
  <c r="K5" i="30"/>
  <c r="J5" i="30"/>
  <c r="I5" i="30"/>
  <c r="H5" i="30"/>
  <c r="G5" i="30"/>
  <c r="F5" i="30"/>
  <c r="E5" i="30"/>
  <c r="D5" i="30"/>
  <c r="C5" i="30"/>
  <c r="B5" i="30"/>
  <c r="I2" i="30"/>
  <c r="AE1157" i="25"/>
  <c r="X1157" i="25"/>
  <c r="AD1157" i="25" s="1"/>
  <c r="W1157" i="25"/>
  <c r="AC1157" i="25" s="1"/>
  <c r="V1157" i="25"/>
  <c r="AB1157" i="25" s="1"/>
  <c r="AE1156" i="25"/>
  <c r="X1156" i="25"/>
  <c r="AD1156" i="25" s="1"/>
  <c r="W1156" i="25"/>
  <c r="AC1156" i="25" s="1"/>
  <c r="V1156" i="25"/>
  <c r="AB1156" i="25" s="1"/>
  <c r="AE1155" i="25"/>
  <c r="X1155" i="25"/>
  <c r="AD1155" i="25" s="1"/>
  <c r="W1155" i="25"/>
  <c r="AC1155" i="25" s="1"/>
  <c r="V1155" i="25"/>
  <c r="AB1155" i="25" s="1"/>
  <c r="AE1154" i="25"/>
  <c r="X1154" i="25"/>
  <c r="AD1154" i="25" s="1"/>
  <c r="W1154" i="25"/>
  <c r="AC1154" i="25" s="1"/>
  <c r="V1154" i="25"/>
  <c r="AB1154" i="25" s="1"/>
  <c r="AE1153" i="25"/>
  <c r="X1153" i="25"/>
  <c r="AD1153" i="25" s="1"/>
  <c r="W1153" i="25"/>
  <c r="AC1153" i="25" s="1"/>
  <c r="V1153" i="25"/>
  <c r="AB1153" i="25" s="1"/>
  <c r="AE1152" i="25"/>
  <c r="X1152" i="25"/>
  <c r="AD1152" i="25" s="1"/>
  <c r="W1152" i="25"/>
  <c r="AC1152" i="25" s="1"/>
  <c r="V1152" i="25"/>
  <c r="AB1152" i="25" s="1"/>
  <c r="AE1151" i="25"/>
  <c r="X1151" i="25"/>
  <c r="AD1151" i="25" s="1"/>
  <c r="W1151" i="25"/>
  <c r="AC1151" i="25" s="1"/>
  <c r="V1151" i="25"/>
  <c r="AB1151" i="25" s="1"/>
  <c r="AE1150" i="25"/>
  <c r="X1150" i="25"/>
  <c r="AD1150" i="25" s="1"/>
  <c r="W1150" i="25"/>
  <c r="AC1150" i="25" s="1"/>
  <c r="V1150" i="25"/>
  <c r="AB1150" i="25" s="1"/>
  <c r="AE1149" i="25"/>
  <c r="X1149" i="25"/>
  <c r="AD1149" i="25" s="1"/>
  <c r="W1149" i="25"/>
  <c r="AC1149" i="25" s="1"/>
  <c r="V1149" i="25"/>
  <c r="AB1149" i="25" s="1"/>
  <c r="AE1148" i="25"/>
  <c r="X1148" i="25"/>
  <c r="AD1148" i="25" s="1"/>
  <c r="W1148" i="25"/>
  <c r="AC1148" i="25" s="1"/>
  <c r="V1148" i="25"/>
  <c r="AB1148" i="25" s="1"/>
  <c r="AE1147" i="25"/>
  <c r="X1147" i="25"/>
  <c r="AD1147" i="25" s="1"/>
  <c r="W1147" i="25"/>
  <c r="AC1147" i="25" s="1"/>
  <c r="V1147" i="25"/>
  <c r="AB1147" i="25" s="1"/>
  <c r="AE1146" i="25"/>
  <c r="X1146" i="25"/>
  <c r="AD1146" i="25" s="1"/>
  <c r="W1146" i="25"/>
  <c r="AC1146" i="25" s="1"/>
  <c r="V1146" i="25"/>
  <c r="AB1146" i="25" s="1"/>
  <c r="AE1145" i="25"/>
  <c r="X1145" i="25"/>
  <c r="AD1145" i="25" s="1"/>
  <c r="W1145" i="25"/>
  <c r="AC1145" i="25" s="1"/>
  <c r="V1145" i="25"/>
  <c r="AB1145" i="25" s="1"/>
  <c r="AE1144" i="25"/>
  <c r="X1144" i="25"/>
  <c r="AD1144" i="25" s="1"/>
  <c r="W1144" i="25"/>
  <c r="AC1144" i="25" s="1"/>
  <c r="V1144" i="25"/>
  <c r="AB1144" i="25" s="1"/>
  <c r="AE1143" i="25"/>
  <c r="X1143" i="25"/>
  <c r="AD1143" i="25" s="1"/>
  <c r="W1143" i="25"/>
  <c r="AC1143" i="25" s="1"/>
  <c r="V1143" i="25"/>
  <c r="AB1143" i="25" s="1"/>
  <c r="AE1142" i="25"/>
  <c r="X1142" i="25"/>
  <c r="AD1142" i="25" s="1"/>
  <c r="W1142" i="25"/>
  <c r="AC1142" i="25" s="1"/>
  <c r="V1142" i="25"/>
  <c r="AB1142" i="25" s="1"/>
  <c r="AE1141" i="25"/>
  <c r="X1141" i="25"/>
  <c r="AD1141" i="25" s="1"/>
  <c r="W1141" i="25"/>
  <c r="AC1141" i="25" s="1"/>
  <c r="V1141" i="25"/>
  <c r="AB1141" i="25" s="1"/>
  <c r="AE1140" i="25"/>
  <c r="AB1140" i="25"/>
  <c r="X1140" i="25"/>
  <c r="AD1140" i="25" s="1"/>
  <c r="W1140" i="25"/>
  <c r="AC1140" i="25" s="1"/>
  <c r="V1140" i="25"/>
  <c r="AE1139" i="25"/>
  <c r="X1139" i="25"/>
  <c r="AD1139" i="25" s="1"/>
  <c r="W1139" i="25"/>
  <c r="AC1139" i="25" s="1"/>
  <c r="V1139" i="25"/>
  <c r="AB1139" i="25" s="1"/>
  <c r="AE1138" i="25"/>
  <c r="X1138" i="25"/>
  <c r="AD1138" i="25" s="1"/>
  <c r="W1138" i="25"/>
  <c r="AC1138" i="25" s="1"/>
  <c r="V1138" i="25"/>
  <c r="AB1138" i="25" s="1"/>
  <c r="AE1137" i="25"/>
  <c r="X1137" i="25"/>
  <c r="AD1137" i="25" s="1"/>
  <c r="W1137" i="25"/>
  <c r="AC1137" i="25" s="1"/>
  <c r="V1137" i="25"/>
  <c r="AB1137" i="25" s="1"/>
  <c r="AE1136" i="25"/>
  <c r="X1136" i="25"/>
  <c r="AD1136" i="25" s="1"/>
  <c r="W1136" i="25"/>
  <c r="AC1136" i="25" s="1"/>
  <c r="V1136" i="25"/>
  <c r="AB1136" i="25" s="1"/>
  <c r="AE1135" i="25"/>
  <c r="X1135" i="25"/>
  <c r="AD1135" i="25" s="1"/>
  <c r="W1135" i="25"/>
  <c r="AC1135" i="25" s="1"/>
  <c r="V1135" i="25"/>
  <c r="AB1135" i="25" s="1"/>
  <c r="AE1134" i="25"/>
  <c r="X1134" i="25"/>
  <c r="AD1134" i="25" s="1"/>
  <c r="W1134" i="25"/>
  <c r="AC1134" i="25" s="1"/>
  <c r="V1134" i="25"/>
  <c r="AB1134" i="25" s="1"/>
  <c r="AE1133" i="25"/>
  <c r="X1133" i="25"/>
  <c r="AD1133" i="25" s="1"/>
  <c r="W1133" i="25"/>
  <c r="AC1133" i="25" s="1"/>
  <c r="V1133" i="25"/>
  <c r="AB1133" i="25" s="1"/>
  <c r="AE1132" i="25"/>
  <c r="X1132" i="25"/>
  <c r="AD1132" i="25" s="1"/>
  <c r="W1132" i="25"/>
  <c r="AC1132" i="25" s="1"/>
  <c r="V1132" i="25"/>
  <c r="AB1132" i="25" s="1"/>
  <c r="AE1131" i="25"/>
  <c r="X1131" i="25"/>
  <c r="AD1131" i="25" s="1"/>
  <c r="W1131" i="25"/>
  <c r="AC1131" i="25" s="1"/>
  <c r="V1131" i="25"/>
  <c r="AB1131" i="25" s="1"/>
  <c r="AE1130" i="25"/>
  <c r="X1130" i="25"/>
  <c r="AD1130" i="25" s="1"/>
  <c r="W1130" i="25"/>
  <c r="AC1130" i="25" s="1"/>
  <c r="V1130" i="25"/>
  <c r="AB1130" i="25" s="1"/>
  <c r="AE1129" i="25"/>
  <c r="X1129" i="25"/>
  <c r="AD1129" i="25" s="1"/>
  <c r="W1129" i="25"/>
  <c r="AC1129" i="25" s="1"/>
  <c r="V1129" i="25"/>
  <c r="AB1129" i="25" s="1"/>
  <c r="AE1128" i="25"/>
  <c r="X1128" i="25"/>
  <c r="AD1128" i="25" s="1"/>
  <c r="W1128" i="25"/>
  <c r="AC1128" i="25" s="1"/>
  <c r="V1128" i="25"/>
  <c r="AB1128" i="25" s="1"/>
  <c r="AE1127" i="25"/>
  <c r="X1127" i="25"/>
  <c r="AD1127" i="25" s="1"/>
  <c r="W1127" i="25"/>
  <c r="AC1127" i="25" s="1"/>
  <c r="V1127" i="25"/>
  <c r="AB1127" i="25" s="1"/>
  <c r="AE1126" i="25"/>
  <c r="X1126" i="25"/>
  <c r="AD1126" i="25" s="1"/>
  <c r="W1126" i="25"/>
  <c r="AC1126" i="25" s="1"/>
  <c r="V1126" i="25"/>
  <c r="AB1126" i="25" s="1"/>
  <c r="AE1125" i="25"/>
  <c r="X1125" i="25"/>
  <c r="AD1125" i="25" s="1"/>
  <c r="W1125" i="25"/>
  <c r="AC1125" i="25" s="1"/>
  <c r="V1125" i="25"/>
  <c r="AB1125" i="25" s="1"/>
  <c r="AE1124" i="25"/>
  <c r="X1124" i="25"/>
  <c r="AD1124" i="25" s="1"/>
  <c r="W1124" i="25"/>
  <c r="AC1124" i="25" s="1"/>
  <c r="V1124" i="25"/>
  <c r="AB1124" i="25" s="1"/>
  <c r="AE1123" i="25"/>
  <c r="X1123" i="25"/>
  <c r="AD1123" i="25" s="1"/>
  <c r="W1123" i="25"/>
  <c r="AC1123" i="25" s="1"/>
  <c r="V1123" i="25"/>
  <c r="AB1123" i="25" s="1"/>
  <c r="AE1122" i="25"/>
  <c r="AB1122" i="25"/>
  <c r="X1122" i="25"/>
  <c r="AD1122" i="25" s="1"/>
  <c r="W1122" i="25"/>
  <c r="AC1122" i="25" s="1"/>
  <c r="V1122" i="25"/>
  <c r="AE1121" i="25"/>
  <c r="X1121" i="25"/>
  <c r="AD1121" i="25" s="1"/>
  <c r="W1121" i="25"/>
  <c r="AC1121" i="25" s="1"/>
  <c r="V1121" i="25"/>
  <c r="AB1121" i="25" s="1"/>
  <c r="AE1120" i="25"/>
  <c r="X1120" i="25"/>
  <c r="AD1120" i="25" s="1"/>
  <c r="W1120" i="25"/>
  <c r="AC1120" i="25" s="1"/>
  <c r="V1120" i="25"/>
  <c r="AB1120" i="25" s="1"/>
  <c r="AE1119" i="25"/>
  <c r="X1119" i="25"/>
  <c r="AD1119" i="25" s="1"/>
  <c r="W1119" i="25"/>
  <c r="AC1119" i="25" s="1"/>
  <c r="V1119" i="25"/>
  <c r="AB1119" i="25" s="1"/>
  <c r="AE1118" i="25"/>
  <c r="X1118" i="25"/>
  <c r="AD1118" i="25" s="1"/>
  <c r="W1118" i="25"/>
  <c r="AC1118" i="25" s="1"/>
  <c r="V1118" i="25"/>
  <c r="AB1118" i="25" s="1"/>
  <c r="AE1117" i="25"/>
  <c r="X1117" i="25"/>
  <c r="AD1117" i="25" s="1"/>
  <c r="W1117" i="25"/>
  <c r="AC1117" i="25" s="1"/>
  <c r="V1117" i="25"/>
  <c r="AB1117" i="25" s="1"/>
  <c r="AE1116" i="25"/>
  <c r="X1116" i="25"/>
  <c r="AD1116" i="25" s="1"/>
  <c r="W1116" i="25"/>
  <c r="AC1116" i="25" s="1"/>
  <c r="V1116" i="25"/>
  <c r="AB1116" i="25" s="1"/>
  <c r="AE1115" i="25"/>
  <c r="X1115" i="25"/>
  <c r="AD1115" i="25" s="1"/>
  <c r="W1115" i="25"/>
  <c r="AC1115" i="25" s="1"/>
  <c r="V1115" i="25"/>
  <c r="AB1115" i="25" s="1"/>
  <c r="AE1114" i="25"/>
  <c r="X1114" i="25"/>
  <c r="AD1114" i="25" s="1"/>
  <c r="W1114" i="25"/>
  <c r="AC1114" i="25" s="1"/>
  <c r="V1114" i="25"/>
  <c r="AB1114" i="25" s="1"/>
  <c r="AE1113" i="25"/>
  <c r="X1113" i="25"/>
  <c r="AD1113" i="25" s="1"/>
  <c r="W1113" i="25"/>
  <c r="AC1113" i="25" s="1"/>
  <c r="V1113" i="25"/>
  <c r="AB1113" i="25" s="1"/>
  <c r="AE1112" i="25"/>
  <c r="X1112" i="25"/>
  <c r="AD1112" i="25" s="1"/>
  <c r="W1112" i="25"/>
  <c r="AC1112" i="25" s="1"/>
  <c r="V1112" i="25"/>
  <c r="AB1112" i="25" s="1"/>
  <c r="AE1111" i="25"/>
  <c r="AB1111" i="25"/>
  <c r="X1111" i="25"/>
  <c r="AD1111" i="25" s="1"/>
  <c r="W1111" i="25"/>
  <c r="AC1111" i="25" s="1"/>
  <c r="V1111" i="25"/>
  <c r="AE1110" i="25"/>
  <c r="X1110" i="25"/>
  <c r="AD1110" i="25" s="1"/>
  <c r="W1110" i="25"/>
  <c r="AC1110" i="25" s="1"/>
  <c r="V1110" i="25"/>
  <c r="AB1110" i="25" s="1"/>
  <c r="AE1109" i="25"/>
  <c r="X1109" i="25"/>
  <c r="AD1109" i="25" s="1"/>
  <c r="W1109" i="25"/>
  <c r="AC1109" i="25" s="1"/>
  <c r="V1109" i="25"/>
  <c r="AB1109" i="25" s="1"/>
  <c r="AE1108" i="25"/>
  <c r="X1108" i="25"/>
  <c r="AD1108" i="25" s="1"/>
  <c r="W1108" i="25"/>
  <c r="AC1108" i="25" s="1"/>
  <c r="V1108" i="25"/>
  <c r="AB1108" i="25" s="1"/>
  <c r="AE1107" i="25"/>
  <c r="X1107" i="25"/>
  <c r="AD1107" i="25" s="1"/>
  <c r="W1107" i="25"/>
  <c r="AC1107" i="25" s="1"/>
  <c r="V1107" i="25"/>
  <c r="AB1107" i="25" s="1"/>
  <c r="AE1106" i="25"/>
  <c r="AB1106" i="25"/>
  <c r="X1106" i="25"/>
  <c r="AD1106" i="25" s="1"/>
  <c r="W1106" i="25"/>
  <c r="AC1106" i="25" s="1"/>
  <c r="V1106" i="25"/>
  <c r="AE1105" i="25"/>
  <c r="X1105" i="25"/>
  <c r="AD1105" i="25" s="1"/>
  <c r="W1105" i="25"/>
  <c r="AC1105" i="25" s="1"/>
  <c r="V1105" i="25"/>
  <c r="AB1105" i="25" s="1"/>
  <c r="AE1104" i="25"/>
  <c r="AC1104" i="25"/>
  <c r="X1104" i="25"/>
  <c r="AD1104" i="25" s="1"/>
  <c r="W1104" i="25"/>
  <c r="V1104" i="25"/>
  <c r="AB1104" i="25" s="1"/>
  <c r="AE1103" i="25"/>
  <c r="X1103" i="25"/>
  <c r="AD1103" i="25" s="1"/>
  <c r="W1103" i="25"/>
  <c r="AC1103" i="25" s="1"/>
  <c r="V1103" i="25"/>
  <c r="AB1103" i="25" s="1"/>
  <c r="AE1102" i="25"/>
  <c r="X1102" i="25"/>
  <c r="AD1102" i="25" s="1"/>
  <c r="W1102" i="25"/>
  <c r="AC1102" i="25" s="1"/>
  <c r="V1102" i="25"/>
  <c r="AB1102" i="25" s="1"/>
  <c r="AE1101" i="25"/>
  <c r="X1101" i="25"/>
  <c r="AD1101" i="25" s="1"/>
  <c r="W1101" i="25"/>
  <c r="AC1101" i="25" s="1"/>
  <c r="V1101" i="25"/>
  <c r="AB1101" i="25" s="1"/>
  <c r="AE1100" i="25"/>
  <c r="X1100" i="25"/>
  <c r="AD1100" i="25" s="1"/>
  <c r="W1100" i="25"/>
  <c r="AC1100" i="25" s="1"/>
  <c r="V1100" i="25"/>
  <c r="AB1100" i="25" s="1"/>
  <c r="AE1099" i="25"/>
  <c r="X1099" i="25"/>
  <c r="AD1099" i="25" s="1"/>
  <c r="W1099" i="25"/>
  <c r="AC1099" i="25" s="1"/>
  <c r="V1099" i="25"/>
  <c r="AB1099" i="25" s="1"/>
  <c r="AE1098" i="25"/>
  <c r="X1098" i="25"/>
  <c r="AD1098" i="25" s="1"/>
  <c r="W1098" i="25"/>
  <c r="AC1098" i="25" s="1"/>
  <c r="V1098" i="25"/>
  <c r="AB1098" i="25" s="1"/>
  <c r="AE1097" i="25"/>
  <c r="X1097" i="25"/>
  <c r="AD1097" i="25" s="1"/>
  <c r="W1097" i="25"/>
  <c r="AC1097" i="25" s="1"/>
  <c r="V1097" i="25"/>
  <c r="AB1097" i="25" s="1"/>
  <c r="AE1096" i="25"/>
  <c r="X1096" i="25"/>
  <c r="AD1096" i="25" s="1"/>
  <c r="W1096" i="25"/>
  <c r="AC1096" i="25" s="1"/>
  <c r="V1096" i="25"/>
  <c r="AB1096" i="25" s="1"/>
  <c r="AE1095" i="25"/>
  <c r="X1095" i="25"/>
  <c r="AD1095" i="25" s="1"/>
  <c r="W1095" i="25"/>
  <c r="AC1095" i="25" s="1"/>
  <c r="V1095" i="25"/>
  <c r="AB1095" i="25" s="1"/>
  <c r="AE1094" i="25"/>
  <c r="X1094" i="25"/>
  <c r="AD1094" i="25" s="1"/>
  <c r="W1094" i="25"/>
  <c r="AC1094" i="25" s="1"/>
  <c r="V1094" i="25"/>
  <c r="AB1094" i="25" s="1"/>
  <c r="AE1093" i="25"/>
  <c r="X1093" i="25"/>
  <c r="AD1093" i="25" s="1"/>
  <c r="W1093" i="25"/>
  <c r="AC1093" i="25" s="1"/>
  <c r="V1093" i="25"/>
  <c r="AB1093" i="25" s="1"/>
  <c r="AE1092" i="25"/>
  <c r="X1092" i="25"/>
  <c r="AD1092" i="25" s="1"/>
  <c r="W1092" i="25"/>
  <c r="AC1092" i="25" s="1"/>
  <c r="V1092" i="25"/>
  <c r="AB1092" i="25" s="1"/>
  <c r="AE1091" i="25"/>
  <c r="X1091" i="25"/>
  <c r="AD1091" i="25" s="1"/>
  <c r="W1091" i="25"/>
  <c r="AC1091" i="25" s="1"/>
  <c r="V1091" i="25"/>
  <c r="AB1091" i="25" s="1"/>
  <c r="AE1090" i="25"/>
  <c r="X1090" i="25"/>
  <c r="AD1090" i="25" s="1"/>
  <c r="W1090" i="25"/>
  <c r="AC1090" i="25" s="1"/>
  <c r="V1090" i="25"/>
  <c r="AB1090" i="25" s="1"/>
  <c r="AE1089" i="25"/>
  <c r="X1089" i="25"/>
  <c r="AD1089" i="25" s="1"/>
  <c r="W1089" i="25"/>
  <c r="AC1089" i="25" s="1"/>
  <c r="V1089" i="25"/>
  <c r="AB1089" i="25" s="1"/>
  <c r="AE1088" i="25"/>
  <c r="X1088" i="25"/>
  <c r="AD1088" i="25" s="1"/>
  <c r="W1088" i="25"/>
  <c r="AC1088" i="25" s="1"/>
  <c r="V1088" i="25"/>
  <c r="AB1088" i="25" s="1"/>
  <c r="AE1087" i="25"/>
  <c r="X1087" i="25"/>
  <c r="AD1087" i="25" s="1"/>
  <c r="W1087" i="25"/>
  <c r="AC1087" i="25" s="1"/>
  <c r="V1087" i="25"/>
  <c r="AB1087" i="25" s="1"/>
  <c r="AE1086" i="25"/>
  <c r="X1086" i="25"/>
  <c r="AD1086" i="25" s="1"/>
  <c r="W1086" i="25"/>
  <c r="AC1086" i="25" s="1"/>
  <c r="V1086" i="25"/>
  <c r="AB1086" i="25" s="1"/>
  <c r="AE1085" i="25"/>
  <c r="X1085" i="25"/>
  <c r="AD1085" i="25" s="1"/>
  <c r="W1085" i="25"/>
  <c r="AC1085" i="25" s="1"/>
  <c r="V1085" i="25"/>
  <c r="AB1085" i="25" s="1"/>
  <c r="AE1084" i="25"/>
  <c r="X1084" i="25"/>
  <c r="AD1084" i="25" s="1"/>
  <c r="W1084" i="25"/>
  <c r="AC1084" i="25" s="1"/>
  <c r="V1084" i="25"/>
  <c r="AB1084" i="25" s="1"/>
  <c r="AE1083" i="25"/>
  <c r="X1083" i="25"/>
  <c r="AD1083" i="25" s="1"/>
  <c r="W1083" i="25"/>
  <c r="AC1083" i="25" s="1"/>
  <c r="V1083" i="25"/>
  <c r="AB1083" i="25" s="1"/>
  <c r="AE1082" i="25"/>
  <c r="X1082" i="25"/>
  <c r="AD1082" i="25" s="1"/>
  <c r="W1082" i="25"/>
  <c r="AC1082" i="25" s="1"/>
  <c r="V1082" i="25"/>
  <c r="AB1082" i="25" s="1"/>
  <c r="AE1081" i="25"/>
  <c r="X1081" i="25"/>
  <c r="AD1081" i="25" s="1"/>
  <c r="W1081" i="25"/>
  <c r="AC1081" i="25" s="1"/>
  <c r="V1081" i="25"/>
  <c r="AB1081" i="25" s="1"/>
  <c r="AE1080" i="25"/>
  <c r="AB1080" i="25"/>
  <c r="X1080" i="25"/>
  <c r="AD1080" i="25" s="1"/>
  <c r="W1080" i="25"/>
  <c r="AC1080" i="25" s="1"/>
  <c r="V1080" i="25"/>
  <c r="AE1079" i="25"/>
  <c r="X1079" i="25"/>
  <c r="AD1079" i="25" s="1"/>
  <c r="W1079" i="25"/>
  <c r="AC1079" i="25" s="1"/>
  <c r="V1079" i="25"/>
  <c r="AB1079" i="25" s="1"/>
  <c r="AE1078" i="25"/>
  <c r="X1078" i="25"/>
  <c r="AD1078" i="25" s="1"/>
  <c r="W1078" i="25"/>
  <c r="AC1078" i="25" s="1"/>
  <c r="V1078" i="25"/>
  <c r="AB1078" i="25" s="1"/>
  <c r="AE1077" i="25"/>
  <c r="X1077" i="25"/>
  <c r="AD1077" i="25" s="1"/>
  <c r="W1077" i="25"/>
  <c r="AC1077" i="25" s="1"/>
  <c r="V1077" i="25"/>
  <c r="AB1077" i="25" s="1"/>
  <c r="AE1076" i="25"/>
  <c r="X1076" i="25"/>
  <c r="AD1076" i="25" s="1"/>
  <c r="W1076" i="25"/>
  <c r="AC1076" i="25" s="1"/>
  <c r="V1076" i="25"/>
  <c r="AB1076" i="25" s="1"/>
  <c r="AE1075" i="25"/>
  <c r="X1075" i="25"/>
  <c r="AD1075" i="25" s="1"/>
  <c r="W1075" i="25"/>
  <c r="AC1075" i="25" s="1"/>
  <c r="V1075" i="25"/>
  <c r="AB1075" i="25" s="1"/>
  <c r="AE1074" i="25"/>
  <c r="X1074" i="25"/>
  <c r="AD1074" i="25" s="1"/>
  <c r="W1074" i="25"/>
  <c r="AC1074" i="25" s="1"/>
  <c r="V1074" i="25"/>
  <c r="AB1074" i="25" s="1"/>
  <c r="AE1073" i="25"/>
  <c r="AC1073" i="25"/>
  <c r="X1073" i="25"/>
  <c r="AD1073" i="25" s="1"/>
  <c r="W1073" i="25"/>
  <c r="V1073" i="25"/>
  <c r="AB1073" i="25" s="1"/>
  <c r="AE1072" i="25"/>
  <c r="X1072" i="25"/>
  <c r="AD1072" i="25" s="1"/>
  <c r="W1072" i="25"/>
  <c r="AC1072" i="25" s="1"/>
  <c r="V1072" i="25"/>
  <c r="AB1072" i="25" s="1"/>
  <c r="AE1071" i="25"/>
  <c r="X1071" i="25"/>
  <c r="AD1071" i="25" s="1"/>
  <c r="W1071" i="25"/>
  <c r="AC1071" i="25" s="1"/>
  <c r="V1071" i="25"/>
  <c r="AB1071" i="25" s="1"/>
  <c r="AE1070" i="25"/>
  <c r="X1070" i="25"/>
  <c r="AD1070" i="25" s="1"/>
  <c r="W1070" i="25"/>
  <c r="AC1070" i="25" s="1"/>
  <c r="V1070" i="25"/>
  <c r="AB1070" i="25" s="1"/>
  <c r="AE1069" i="25"/>
  <c r="X1069" i="25"/>
  <c r="AD1069" i="25" s="1"/>
  <c r="W1069" i="25"/>
  <c r="AC1069" i="25" s="1"/>
  <c r="V1069" i="25"/>
  <c r="AB1069" i="25" s="1"/>
  <c r="AE1068" i="25"/>
  <c r="X1068" i="25"/>
  <c r="AD1068" i="25" s="1"/>
  <c r="W1068" i="25"/>
  <c r="AC1068" i="25" s="1"/>
  <c r="V1068" i="25"/>
  <c r="AB1068" i="25" s="1"/>
  <c r="AE1067" i="25"/>
  <c r="X1067" i="25"/>
  <c r="AD1067" i="25" s="1"/>
  <c r="W1067" i="25"/>
  <c r="AC1067" i="25" s="1"/>
  <c r="V1067" i="25"/>
  <c r="AB1067" i="25" s="1"/>
  <c r="AE1066" i="25"/>
  <c r="X1066" i="25"/>
  <c r="AD1066" i="25" s="1"/>
  <c r="W1066" i="25"/>
  <c r="AC1066" i="25" s="1"/>
  <c r="V1066" i="25"/>
  <c r="AB1066" i="25" s="1"/>
  <c r="AE1065" i="25"/>
  <c r="X1065" i="25"/>
  <c r="AD1065" i="25" s="1"/>
  <c r="W1065" i="25"/>
  <c r="AC1065" i="25" s="1"/>
  <c r="V1065" i="25"/>
  <c r="AB1065" i="25" s="1"/>
  <c r="AE1064" i="25"/>
  <c r="X1064" i="25"/>
  <c r="AD1064" i="25" s="1"/>
  <c r="W1064" i="25"/>
  <c r="AC1064" i="25" s="1"/>
  <c r="V1064" i="25"/>
  <c r="AB1064" i="25" s="1"/>
  <c r="AE1063" i="25"/>
  <c r="AC1063" i="25"/>
  <c r="X1063" i="25"/>
  <c r="AD1063" i="25" s="1"/>
  <c r="W1063" i="25"/>
  <c r="V1063" i="25"/>
  <c r="AB1063" i="25" s="1"/>
  <c r="AE1062" i="25"/>
  <c r="X1062" i="25"/>
  <c r="AD1062" i="25" s="1"/>
  <c r="W1062" i="25"/>
  <c r="AC1062" i="25" s="1"/>
  <c r="V1062" i="25"/>
  <c r="AB1062" i="25" s="1"/>
  <c r="AE1061" i="25"/>
  <c r="X1061" i="25"/>
  <c r="AD1061" i="25" s="1"/>
  <c r="W1061" i="25"/>
  <c r="AC1061" i="25" s="1"/>
  <c r="V1061" i="25"/>
  <c r="AB1061" i="25" s="1"/>
  <c r="AE1060" i="25"/>
  <c r="X1060" i="25"/>
  <c r="AD1060" i="25" s="1"/>
  <c r="W1060" i="25"/>
  <c r="AC1060" i="25" s="1"/>
  <c r="V1060" i="25"/>
  <c r="AB1060" i="25" s="1"/>
  <c r="AE1059" i="25"/>
  <c r="X1059" i="25"/>
  <c r="AD1059" i="25" s="1"/>
  <c r="W1059" i="25"/>
  <c r="AC1059" i="25" s="1"/>
  <c r="V1059" i="25"/>
  <c r="AB1059" i="25" s="1"/>
  <c r="AE1058" i="25"/>
  <c r="X1058" i="25"/>
  <c r="AD1058" i="25" s="1"/>
  <c r="W1058" i="25"/>
  <c r="AC1058" i="25" s="1"/>
  <c r="V1058" i="25"/>
  <c r="AB1058" i="25" s="1"/>
  <c r="AE1057" i="25"/>
  <c r="X1057" i="25"/>
  <c r="AD1057" i="25" s="1"/>
  <c r="W1057" i="25"/>
  <c r="AC1057" i="25" s="1"/>
  <c r="V1057" i="25"/>
  <c r="AB1057" i="25" s="1"/>
  <c r="AE1056" i="25"/>
  <c r="X1056" i="25"/>
  <c r="AD1056" i="25" s="1"/>
  <c r="W1056" i="25"/>
  <c r="AC1056" i="25" s="1"/>
  <c r="V1056" i="25"/>
  <c r="AB1056" i="25" s="1"/>
  <c r="AE1055" i="25"/>
  <c r="X1055" i="25"/>
  <c r="AD1055" i="25" s="1"/>
  <c r="W1055" i="25"/>
  <c r="AC1055" i="25" s="1"/>
  <c r="V1055" i="25"/>
  <c r="AB1055" i="25" s="1"/>
  <c r="AE1054" i="25"/>
  <c r="X1054" i="25"/>
  <c r="AD1054" i="25" s="1"/>
  <c r="W1054" i="25"/>
  <c r="AC1054" i="25" s="1"/>
  <c r="V1054" i="25"/>
  <c r="AB1054" i="25" s="1"/>
  <c r="AE1053" i="25"/>
  <c r="X1053" i="25"/>
  <c r="AD1053" i="25" s="1"/>
  <c r="W1053" i="25"/>
  <c r="AC1053" i="25" s="1"/>
  <c r="V1053" i="25"/>
  <c r="AB1053" i="25" s="1"/>
  <c r="AE1052" i="25"/>
  <c r="X1052" i="25"/>
  <c r="AD1052" i="25" s="1"/>
  <c r="W1052" i="25"/>
  <c r="AC1052" i="25" s="1"/>
  <c r="V1052" i="25"/>
  <c r="AB1052" i="25" s="1"/>
  <c r="AE1051" i="25"/>
  <c r="X1051" i="25"/>
  <c r="AD1051" i="25" s="1"/>
  <c r="W1051" i="25"/>
  <c r="AC1051" i="25" s="1"/>
  <c r="V1051" i="25"/>
  <c r="AB1051" i="25" s="1"/>
  <c r="AE1050" i="25"/>
  <c r="X1050" i="25"/>
  <c r="AD1050" i="25" s="1"/>
  <c r="W1050" i="25"/>
  <c r="AC1050" i="25" s="1"/>
  <c r="V1050" i="25"/>
  <c r="AB1050" i="25" s="1"/>
  <c r="AE1049" i="25"/>
  <c r="X1049" i="25"/>
  <c r="AD1049" i="25" s="1"/>
  <c r="W1049" i="25"/>
  <c r="AC1049" i="25" s="1"/>
  <c r="V1049" i="25"/>
  <c r="AB1049" i="25" s="1"/>
  <c r="AE1048" i="25"/>
  <c r="X1048" i="25"/>
  <c r="AD1048" i="25" s="1"/>
  <c r="W1048" i="25"/>
  <c r="AC1048" i="25" s="1"/>
  <c r="V1048" i="25"/>
  <c r="AB1048" i="25" s="1"/>
  <c r="AE1047" i="25"/>
  <c r="X1047" i="25"/>
  <c r="AD1047" i="25" s="1"/>
  <c r="W1047" i="25"/>
  <c r="AC1047" i="25" s="1"/>
  <c r="V1047" i="25"/>
  <c r="AB1047" i="25" s="1"/>
  <c r="AE1046" i="25"/>
  <c r="X1046" i="25"/>
  <c r="AD1046" i="25" s="1"/>
  <c r="W1046" i="25"/>
  <c r="AC1046" i="25" s="1"/>
  <c r="V1046" i="25"/>
  <c r="AB1046" i="25" s="1"/>
  <c r="AE1045" i="25"/>
  <c r="X1045" i="25"/>
  <c r="AD1045" i="25" s="1"/>
  <c r="W1045" i="25"/>
  <c r="AC1045" i="25" s="1"/>
  <c r="V1045" i="25"/>
  <c r="AB1045" i="25" s="1"/>
  <c r="AE1044" i="25"/>
  <c r="X1044" i="25"/>
  <c r="AD1044" i="25" s="1"/>
  <c r="W1044" i="25"/>
  <c r="AC1044" i="25" s="1"/>
  <c r="V1044" i="25"/>
  <c r="AB1044" i="25" s="1"/>
  <c r="AE1043" i="25"/>
  <c r="X1043" i="25"/>
  <c r="AD1043" i="25" s="1"/>
  <c r="W1043" i="25"/>
  <c r="AC1043" i="25" s="1"/>
  <c r="V1043" i="25"/>
  <c r="AB1043" i="25" s="1"/>
  <c r="AE1042" i="25"/>
  <c r="X1042" i="25"/>
  <c r="AD1042" i="25" s="1"/>
  <c r="W1042" i="25"/>
  <c r="AC1042" i="25" s="1"/>
  <c r="V1042" i="25"/>
  <c r="AB1042" i="25" s="1"/>
  <c r="AE1041" i="25"/>
  <c r="X1041" i="25"/>
  <c r="AD1041" i="25" s="1"/>
  <c r="W1041" i="25"/>
  <c r="AC1041" i="25" s="1"/>
  <c r="V1041" i="25"/>
  <c r="AB1041" i="25" s="1"/>
  <c r="AE1040" i="25"/>
  <c r="X1040" i="25"/>
  <c r="AD1040" i="25" s="1"/>
  <c r="W1040" i="25"/>
  <c r="AC1040" i="25" s="1"/>
  <c r="V1040" i="25"/>
  <c r="AB1040" i="25" s="1"/>
  <c r="AE1039" i="25"/>
  <c r="X1039" i="25"/>
  <c r="AD1039" i="25" s="1"/>
  <c r="W1039" i="25"/>
  <c r="AC1039" i="25" s="1"/>
  <c r="V1039" i="25"/>
  <c r="AB1039" i="25" s="1"/>
  <c r="AE1038" i="25"/>
  <c r="X1038" i="25"/>
  <c r="AD1038" i="25" s="1"/>
  <c r="W1038" i="25"/>
  <c r="AC1038" i="25" s="1"/>
  <c r="V1038" i="25"/>
  <c r="AB1038" i="25" s="1"/>
  <c r="AE1037" i="25"/>
  <c r="X1037" i="25"/>
  <c r="AD1037" i="25" s="1"/>
  <c r="W1037" i="25"/>
  <c r="AC1037" i="25" s="1"/>
  <c r="V1037" i="25"/>
  <c r="AB1037" i="25" s="1"/>
  <c r="AE1036" i="25"/>
  <c r="X1036" i="25"/>
  <c r="AD1036" i="25" s="1"/>
  <c r="W1036" i="25"/>
  <c r="AC1036" i="25" s="1"/>
  <c r="V1036" i="25"/>
  <c r="AB1036" i="25" s="1"/>
  <c r="AE1035" i="25"/>
  <c r="X1035" i="25"/>
  <c r="AD1035" i="25" s="1"/>
  <c r="W1035" i="25"/>
  <c r="AC1035" i="25" s="1"/>
  <c r="V1035" i="25"/>
  <c r="AB1035" i="25" s="1"/>
  <c r="AE1034" i="25"/>
  <c r="X1034" i="25"/>
  <c r="AD1034" i="25" s="1"/>
  <c r="W1034" i="25"/>
  <c r="AC1034" i="25" s="1"/>
  <c r="V1034" i="25"/>
  <c r="AB1034" i="25" s="1"/>
  <c r="AE1033" i="25"/>
  <c r="X1033" i="25"/>
  <c r="AD1033" i="25" s="1"/>
  <c r="W1033" i="25"/>
  <c r="AC1033" i="25" s="1"/>
  <c r="V1033" i="25"/>
  <c r="AB1033" i="25" s="1"/>
  <c r="AE1032" i="25"/>
  <c r="X1032" i="25"/>
  <c r="AD1032" i="25" s="1"/>
  <c r="W1032" i="25"/>
  <c r="AC1032" i="25" s="1"/>
  <c r="V1032" i="25"/>
  <c r="AB1032" i="25" s="1"/>
  <c r="AE1031" i="25"/>
  <c r="X1031" i="25"/>
  <c r="AD1031" i="25" s="1"/>
  <c r="W1031" i="25"/>
  <c r="AC1031" i="25" s="1"/>
  <c r="V1031" i="25"/>
  <c r="AB1031" i="25" s="1"/>
  <c r="AE1030" i="25"/>
  <c r="X1030" i="25"/>
  <c r="AD1030" i="25" s="1"/>
  <c r="W1030" i="25"/>
  <c r="AC1030" i="25" s="1"/>
  <c r="V1030" i="25"/>
  <c r="AB1030" i="25" s="1"/>
  <c r="AE1029" i="25"/>
  <c r="X1029" i="25"/>
  <c r="AD1029" i="25" s="1"/>
  <c r="W1029" i="25"/>
  <c r="AC1029" i="25" s="1"/>
  <c r="V1029" i="25"/>
  <c r="AB1029" i="25" s="1"/>
  <c r="AE1028" i="25"/>
  <c r="X1028" i="25"/>
  <c r="AD1028" i="25" s="1"/>
  <c r="W1028" i="25"/>
  <c r="AC1028" i="25" s="1"/>
  <c r="V1028" i="25"/>
  <c r="AB1028" i="25" s="1"/>
  <c r="AE1027" i="25"/>
  <c r="X1027" i="25"/>
  <c r="AD1027" i="25" s="1"/>
  <c r="W1027" i="25"/>
  <c r="AC1027" i="25" s="1"/>
  <c r="V1027" i="25"/>
  <c r="AB1027" i="25" s="1"/>
  <c r="AE1026" i="25"/>
  <c r="X1026" i="25"/>
  <c r="AD1026" i="25" s="1"/>
  <c r="W1026" i="25"/>
  <c r="AC1026" i="25" s="1"/>
  <c r="V1026" i="25"/>
  <c r="AB1026" i="25" s="1"/>
  <c r="AE1025" i="25"/>
  <c r="X1025" i="25"/>
  <c r="AD1025" i="25" s="1"/>
  <c r="W1025" i="25"/>
  <c r="AC1025" i="25" s="1"/>
  <c r="V1025" i="25"/>
  <c r="AB1025" i="25" s="1"/>
  <c r="AE1024" i="25"/>
  <c r="X1024" i="25"/>
  <c r="AD1024" i="25" s="1"/>
  <c r="W1024" i="25"/>
  <c r="AC1024" i="25" s="1"/>
  <c r="V1024" i="25"/>
  <c r="AB1024" i="25" s="1"/>
  <c r="AE1023" i="25"/>
  <c r="AB1023" i="25"/>
  <c r="X1023" i="25"/>
  <c r="AD1023" i="25" s="1"/>
  <c r="W1023" i="25"/>
  <c r="AC1023" i="25" s="1"/>
  <c r="V1023" i="25"/>
  <c r="AE1022" i="25"/>
  <c r="X1022" i="25"/>
  <c r="AD1022" i="25" s="1"/>
  <c r="W1022" i="25"/>
  <c r="AC1022" i="25" s="1"/>
  <c r="V1022" i="25"/>
  <c r="AB1022" i="25" s="1"/>
  <c r="AE1021" i="25"/>
  <c r="AC1021" i="25"/>
  <c r="X1021" i="25"/>
  <c r="AD1021" i="25" s="1"/>
  <c r="W1021" i="25"/>
  <c r="V1021" i="25"/>
  <c r="AB1021" i="25" s="1"/>
  <c r="AE1020" i="25"/>
  <c r="X1020" i="25"/>
  <c r="AD1020" i="25" s="1"/>
  <c r="W1020" i="25"/>
  <c r="AC1020" i="25" s="1"/>
  <c r="V1020" i="25"/>
  <c r="AB1020" i="25" s="1"/>
  <c r="AE1019" i="25"/>
  <c r="X1019" i="25"/>
  <c r="AD1019" i="25" s="1"/>
  <c r="W1019" i="25"/>
  <c r="AC1019" i="25" s="1"/>
  <c r="V1019" i="25"/>
  <c r="AB1019" i="25" s="1"/>
  <c r="AE1018" i="25"/>
  <c r="X1018" i="25"/>
  <c r="AD1018" i="25" s="1"/>
  <c r="W1018" i="25"/>
  <c r="AC1018" i="25" s="1"/>
  <c r="V1018" i="25"/>
  <c r="AB1018" i="25" s="1"/>
  <c r="AE1017" i="25"/>
  <c r="X1017" i="25"/>
  <c r="AD1017" i="25" s="1"/>
  <c r="W1017" i="25"/>
  <c r="AC1017" i="25" s="1"/>
  <c r="V1017" i="25"/>
  <c r="AB1017" i="25" s="1"/>
  <c r="AE1016" i="25"/>
  <c r="X1016" i="25"/>
  <c r="AD1016" i="25" s="1"/>
  <c r="W1016" i="25"/>
  <c r="AC1016" i="25" s="1"/>
  <c r="V1016" i="25"/>
  <c r="AB1016" i="25" s="1"/>
  <c r="AE1015" i="25"/>
  <c r="X1015" i="25"/>
  <c r="AD1015" i="25" s="1"/>
  <c r="W1015" i="25"/>
  <c r="AC1015" i="25" s="1"/>
  <c r="V1015" i="25"/>
  <c r="AB1015" i="25" s="1"/>
  <c r="AE1014" i="25"/>
  <c r="X1014" i="25"/>
  <c r="AD1014" i="25" s="1"/>
  <c r="W1014" i="25"/>
  <c r="AC1014" i="25" s="1"/>
  <c r="V1014" i="25"/>
  <c r="AB1014" i="25" s="1"/>
  <c r="AE1013" i="25"/>
  <c r="X1013" i="25"/>
  <c r="AD1013" i="25" s="1"/>
  <c r="W1013" i="25"/>
  <c r="AC1013" i="25" s="1"/>
  <c r="V1013" i="25"/>
  <c r="AB1013" i="25" s="1"/>
  <c r="AE1012" i="25"/>
  <c r="X1012" i="25"/>
  <c r="AD1012" i="25" s="1"/>
  <c r="W1012" i="25"/>
  <c r="AC1012" i="25" s="1"/>
  <c r="V1012" i="25"/>
  <c r="AB1012" i="25" s="1"/>
  <c r="AE1011" i="25"/>
  <c r="X1011" i="25"/>
  <c r="AD1011" i="25" s="1"/>
  <c r="W1011" i="25"/>
  <c r="AC1011" i="25" s="1"/>
  <c r="V1011" i="25"/>
  <c r="AB1011" i="25" s="1"/>
  <c r="AE1010" i="25"/>
  <c r="X1010" i="25"/>
  <c r="AD1010" i="25" s="1"/>
  <c r="W1010" i="25"/>
  <c r="AC1010" i="25" s="1"/>
  <c r="V1010" i="25"/>
  <c r="AB1010" i="25" s="1"/>
  <c r="AE1009" i="25"/>
  <c r="X1009" i="25"/>
  <c r="AD1009" i="25" s="1"/>
  <c r="W1009" i="25"/>
  <c r="AC1009" i="25" s="1"/>
  <c r="V1009" i="25"/>
  <c r="AB1009" i="25" s="1"/>
  <c r="AE1008" i="25"/>
  <c r="X1008" i="25"/>
  <c r="AD1008" i="25" s="1"/>
  <c r="W1008" i="25"/>
  <c r="AC1008" i="25" s="1"/>
  <c r="V1008" i="25"/>
  <c r="AB1008" i="25" s="1"/>
  <c r="AE1007" i="25"/>
  <c r="X1007" i="25"/>
  <c r="AD1007" i="25" s="1"/>
  <c r="W1007" i="25"/>
  <c r="AC1007" i="25" s="1"/>
  <c r="V1007" i="25"/>
  <c r="AB1007" i="25" s="1"/>
  <c r="AE1006" i="25"/>
  <c r="X1006" i="25"/>
  <c r="AD1006" i="25" s="1"/>
  <c r="W1006" i="25"/>
  <c r="AC1006" i="25" s="1"/>
  <c r="V1006" i="25"/>
  <c r="AB1006" i="25" s="1"/>
  <c r="AE1005" i="25"/>
  <c r="X1005" i="25"/>
  <c r="AD1005" i="25" s="1"/>
  <c r="W1005" i="25"/>
  <c r="AC1005" i="25" s="1"/>
  <c r="V1005" i="25"/>
  <c r="AB1005" i="25" s="1"/>
  <c r="AE1004" i="25"/>
  <c r="X1004" i="25"/>
  <c r="AD1004" i="25" s="1"/>
  <c r="W1004" i="25"/>
  <c r="AC1004" i="25" s="1"/>
  <c r="V1004" i="25"/>
  <c r="AB1004" i="25" s="1"/>
  <c r="AE1003" i="25"/>
  <c r="X1003" i="25"/>
  <c r="AD1003" i="25" s="1"/>
  <c r="W1003" i="25"/>
  <c r="AC1003" i="25" s="1"/>
  <c r="V1003" i="25"/>
  <c r="AB1003" i="25" s="1"/>
  <c r="AE1002" i="25"/>
  <c r="X1002" i="25"/>
  <c r="AD1002" i="25" s="1"/>
  <c r="W1002" i="25"/>
  <c r="AC1002" i="25" s="1"/>
  <c r="V1002" i="25"/>
  <c r="AB1002" i="25" s="1"/>
  <c r="AE1001" i="25"/>
  <c r="X1001" i="25"/>
  <c r="AD1001" i="25" s="1"/>
  <c r="W1001" i="25"/>
  <c r="AC1001" i="25" s="1"/>
  <c r="V1001" i="25"/>
  <c r="AB1001" i="25" s="1"/>
  <c r="AE1000" i="25"/>
  <c r="X1000" i="25"/>
  <c r="AD1000" i="25" s="1"/>
  <c r="W1000" i="25"/>
  <c r="AC1000" i="25" s="1"/>
  <c r="V1000" i="25"/>
  <c r="AB1000" i="25" s="1"/>
  <c r="AE999" i="25"/>
  <c r="X999" i="25"/>
  <c r="AD999" i="25" s="1"/>
  <c r="W999" i="25"/>
  <c r="AC999" i="25" s="1"/>
  <c r="V999" i="25"/>
  <c r="AB999" i="25" s="1"/>
  <c r="AE998" i="25"/>
  <c r="X998" i="25"/>
  <c r="AD998" i="25" s="1"/>
  <c r="W998" i="25"/>
  <c r="AC998" i="25" s="1"/>
  <c r="V998" i="25"/>
  <c r="AB998" i="25" s="1"/>
  <c r="AE997" i="25"/>
  <c r="AD997" i="25"/>
  <c r="X997" i="25"/>
  <c r="W997" i="25"/>
  <c r="AC997" i="25" s="1"/>
  <c r="V997" i="25"/>
  <c r="AB997" i="25" s="1"/>
  <c r="AE996" i="25"/>
  <c r="X996" i="25"/>
  <c r="AD996" i="25" s="1"/>
  <c r="W996" i="25"/>
  <c r="AC996" i="25" s="1"/>
  <c r="V996" i="25"/>
  <c r="AB996" i="25" s="1"/>
  <c r="AE995" i="25"/>
  <c r="X995" i="25"/>
  <c r="AD995" i="25" s="1"/>
  <c r="W995" i="25"/>
  <c r="AC995" i="25" s="1"/>
  <c r="V995" i="25"/>
  <c r="AB995" i="25" s="1"/>
  <c r="AE994" i="25"/>
  <c r="X994" i="25"/>
  <c r="AD994" i="25" s="1"/>
  <c r="W994" i="25"/>
  <c r="AC994" i="25" s="1"/>
  <c r="V994" i="25"/>
  <c r="AB994" i="25" s="1"/>
  <c r="AE993" i="25"/>
  <c r="X993" i="25"/>
  <c r="AD993" i="25" s="1"/>
  <c r="W993" i="25"/>
  <c r="AC993" i="25" s="1"/>
  <c r="V993" i="25"/>
  <c r="AB993" i="25" s="1"/>
  <c r="AE992" i="25"/>
  <c r="X992" i="25"/>
  <c r="AD992" i="25" s="1"/>
  <c r="W992" i="25"/>
  <c r="AC992" i="25" s="1"/>
  <c r="V992" i="25"/>
  <c r="AB992" i="25" s="1"/>
  <c r="AE991" i="25"/>
  <c r="X991" i="25"/>
  <c r="AD991" i="25" s="1"/>
  <c r="W991" i="25"/>
  <c r="AC991" i="25" s="1"/>
  <c r="V991" i="25"/>
  <c r="AB991" i="25" s="1"/>
  <c r="AE990" i="25"/>
  <c r="X990" i="25"/>
  <c r="AD990" i="25" s="1"/>
  <c r="W990" i="25"/>
  <c r="AC990" i="25" s="1"/>
  <c r="V990" i="25"/>
  <c r="AB990" i="25" s="1"/>
  <c r="AE989" i="25"/>
  <c r="X989" i="25"/>
  <c r="AD989" i="25" s="1"/>
  <c r="W989" i="25"/>
  <c r="AC989" i="25" s="1"/>
  <c r="V989" i="25"/>
  <c r="AB989" i="25" s="1"/>
  <c r="AE988" i="25"/>
  <c r="X988" i="25"/>
  <c r="AD988" i="25" s="1"/>
  <c r="W988" i="25"/>
  <c r="AC988" i="25" s="1"/>
  <c r="V988" i="25"/>
  <c r="AB988" i="25" s="1"/>
  <c r="AE987" i="25"/>
  <c r="X987" i="25"/>
  <c r="AD987" i="25" s="1"/>
  <c r="W987" i="25"/>
  <c r="AC987" i="25" s="1"/>
  <c r="V987" i="25"/>
  <c r="AB987" i="25" s="1"/>
  <c r="AE986" i="25"/>
  <c r="X986" i="25"/>
  <c r="AD986" i="25" s="1"/>
  <c r="W986" i="25"/>
  <c r="AC986" i="25" s="1"/>
  <c r="V986" i="25"/>
  <c r="AB986" i="25" s="1"/>
  <c r="AE985" i="25"/>
  <c r="X985" i="25"/>
  <c r="AD985" i="25" s="1"/>
  <c r="W985" i="25"/>
  <c r="AC985" i="25" s="1"/>
  <c r="V985" i="25"/>
  <c r="AB985" i="25" s="1"/>
  <c r="AE984" i="25"/>
  <c r="X984" i="25"/>
  <c r="AD984" i="25" s="1"/>
  <c r="W984" i="25"/>
  <c r="AC984" i="25" s="1"/>
  <c r="V984" i="25"/>
  <c r="AB984" i="25" s="1"/>
  <c r="AE983" i="25"/>
  <c r="X983" i="25"/>
  <c r="AD983" i="25" s="1"/>
  <c r="W983" i="25"/>
  <c r="AC983" i="25" s="1"/>
  <c r="V983" i="25"/>
  <c r="AB983" i="25" s="1"/>
  <c r="AE982" i="25"/>
  <c r="X982" i="25"/>
  <c r="AD982" i="25" s="1"/>
  <c r="W982" i="25"/>
  <c r="AC982" i="25" s="1"/>
  <c r="V982" i="25"/>
  <c r="AB982" i="25" s="1"/>
  <c r="AE981" i="25"/>
  <c r="X981" i="25"/>
  <c r="AD981" i="25" s="1"/>
  <c r="W981" i="25"/>
  <c r="AC981" i="25" s="1"/>
  <c r="V981" i="25"/>
  <c r="AB981" i="25" s="1"/>
  <c r="AE980" i="25"/>
  <c r="AB980" i="25"/>
  <c r="X980" i="25"/>
  <c r="AD980" i="25" s="1"/>
  <c r="W980" i="25"/>
  <c r="AC980" i="25" s="1"/>
  <c r="V980" i="25"/>
  <c r="AE979" i="25"/>
  <c r="X979" i="25"/>
  <c r="AD979" i="25" s="1"/>
  <c r="W979" i="25"/>
  <c r="AC979" i="25" s="1"/>
  <c r="V979" i="25"/>
  <c r="AB979" i="25" s="1"/>
  <c r="AE978" i="25"/>
  <c r="X978" i="25"/>
  <c r="AD978" i="25" s="1"/>
  <c r="W978" i="25"/>
  <c r="AC978" i="25" s="1"/>
  <c r="V978" i="25"/>
  <c r="AB978" i="25" s="1"/>
  <c r="AE977" i="25"/>
  <c r="X977" i="25"/>
  <c r="AD977" i="25" s="1"/>
  <c r="W977" i="25"/>
  <c r="AC977" i="25" s="1"/>
  <c r="V977" i="25"/>
  <c r="AB977" i="25" s="1"/>
  <c r="AE976" i="25"/>
  <c r="X976" i="25"/>
  <c r="AD976" i="25" s="1"/>
  <c r="W976" i="25"/>
  <c r="AC976" i="25" s="1"/>
  <c r="V976" i="25"/>
  <c r="AB976" i="25" s="1"/>
  <c r="AE975" i="25"/>
  <c r="X975" i="25"/>
  <c r="AD975" i="25" s="1"/>
  <c r="W975" i="25"/>
  <c r="AC975" i="25" s="1"/>
  <c r="V975" i="25"/>
  <c r="AB975" i="25" s="1"/>
  <c r="AE974" i="25"/>
  <c r="AC974" i="25"/>
  <c r="X974" i="25"/>
  <c r="AD974" i="25" s="1"/>
  <c r="W974" i="25"/>
  <c r="V974" i="25"/>
  <c r="AB974" i="25" s="1"/>
  <c r="AE973" i="25"/>
  <c r="X973" i="25"/>
  <c r="AD973" i="25" s="1"/>
  <c r="W973" i="25"/>
  <c r="AC973" i="25" s="1"/>
  <c r="V973" i="25"/>
  <c r="AB973" i="25" s="1"/>
  <c r="AE972" i="25"/>
  <c r="X972" i="25"/>
  <c r="AD972" i="25" s="1"/>
  <c r="W972" i="25"/>
  <c r="AC972" i="25" s="1"/>
  <c r="V972" i="25"/>
  <c r="AB972" i="25" s="1"/>
  <c r="AE971" i="25"/>
  <c r="X971" i="25"/>
  <c r="AD971" i="25" s="1"/>
  <c r="W971" i="25"/>
  <c r="AC971" i="25" s="1"/>
  <c r="V971" i="25"/>
  <c r="AB971" i="25" s="1"/>
  <c r="AE970" i="25"/>
  <c r="X970" i="25"/>
  <c r="AD970" i="25" s="1"/>
  <c r="W970" i="25"/>
  <c r="AC970" i="25" s="1"/>
  <c r="V970" i="25"/>
  <c r="AB970" i="25" s="1"/>
  <c r="AE969" i="25"/>
  <c r="X969" i="25"/>
  <c r="AD969" i="25" s="1"/>
  <c r="W969" i="25"/>
  <c r="AC969" i="25" s="1"/>
  <c r="V969" i="25"/>
  <c r="AB969" i="25" s="1"/>
  <c r="AE968" i="25"/>
  <c r="X968" i="25"/>
  <c r="AD968" i="25" s="1"/>
  <c r="W968" i="25"/>
  <c r="AC968" i="25" s="1"/>
  <c r="V968" i="25"/>
  <c r="AB968" i="25" s="1"/>
  <c r="AE967" i="25"/>
  <c r="X967" i="25"/>
  <c r="AD967" i="25" s="1"/>
  <c r="W967" i="25"/>
  <c r="AC967" i="25" s="1"/>
  <c r="V967" i="25"/>
  <c r="AB967" i="25" s="1"/>
  <c r="AE966" i="25"/>
  <c r="X966" i="25"/>
  <c r="AD966" i="25" s="1"/>
  <c r="W966" i="25"/>
  <c r="AC966" i="25" s="1"/>
  <c r="V966" i="25"/>
  <c r="AB966" i="25" s="1"/>
  <c r="AE965" i="25"/>
  <c r="X965" i="25"/>
  <c r="AD965" i="25" s="1"/>
  <c r="W965" i="25"/>
  <c r="AC965" i="25" s="1"/>
  <c r="V965" i="25"/>
  <c r="AB965" i="25" s="1"/>
  <c r="AE964" i="25"/>
  <c r="X964" i="25"/>
  <c r="AD964" i="25" s="1"/>
  <c r="W964" i="25"/>
  <c r="AC964" i="25" s="1"/>
  <c r="V964" i="25"/>
  <c r="AB964" i="25" s="1"/>
  <c r="AE963" i="25"/>
  <c r="X963" i="25"/>
  <c r="AD963" i="25" s="1"/>
  <c r="W963" i="25"/>
  <c r="AC963" i="25" s="1"/>
  <c r="V963" i="25"/>
  <c r="AB963" i="25" s="1"/>
  <c r="AE962" i="25"/>
  <c r="X962" i="25"/>
  <c r="AD962" i="25" s="1"/>
  <c r="W962" i="25"/>
  <c r="AC962" i="25" s="1"/>
  <c r="V962" i="25"/>
  <c r="AB962" i="25" s="1"/>
  <c r="AE961" i="25"/>
  <c r="X961" i="25"/>
  <c r="AD961" i="25" s="1"/>
  <c r="W961" i="25"/>
  <c r="AC961" i="25" s="1"/>
  <c r="V961" i="25"/>
  <c r="AB961" i="25" s="1"/>
  <c r="AE960" i="25"/>
  <c r="X960" i="25"/>
  <c r="AD960" i="25" s="1"/>
  <c r="W960" i="25"/>
  <c r="AC960" i="25" s="1"/>
  <c r="V960" i="25"/>
  <c r="AB960" i="25" s="1"/>
  <c r="AE959" i="25"/>
  <c r="X959" i="25"/>
  <c r="AD959" i="25" s="1"/>
  <c r="W959" i="25"/>
  <c r="AC959" i="25" s="1"/>
  <c r="V959" i="25"/>
  <c r="AB959" i="25" s="1"/>
  <c r="AE958" i="25"/>
  <c r="X958" i="25"/>
  <c r="AD958" i="25" s="1"/>
  <c r="W958" i="25"/>
  <c r="AC958" i="25" s="1"/>
  <c r="V958" i="25"/>
  <c r="AB958" i="25" s="1"/>
  <c r="AE957" i="25"/>
  <c r="X957" i="25"/>
  <c r="AD957" i="25" s="1"/>
  <c r="W957" i="25"/>
  <c r="AC957" i="25" s="1"/>
  <c r="V957" i="25"/>
  <c r="AB957" i="25" s="1"/>
  <c r="AE956" i="25"/>
  <c r="X956" i="25"/>
  <c r="AD956" i="25" s="1"/>
  <c r="W956" i="25"/>
  <c r="AC956" i="25" s="1"/>
  <c r="V956" i="25"/>
  <c r="AB956" i="25" s="1"/>
  <c r="AE955" i="25"/>
  <c r="AC955" i="25"/>
  <c r="X955" i="25"/>
  <c r="AD955" i="25" s="1"/>
  <c r="W955" i="25"/>
  <c r="V955" i="25"/>
  <c r="AB955" i="25" s="1"/>
  <c r="AE954" i="25"/>
  <c r="X954" i="25"/>
  <c r="AD954" i="25" s="1"/>
  <c r="W954" i="25"/>
  <c r="AC954" i="25" s="1"/>
  <c r="V954" i="25"/>
  <c r="AB954" i="25" s="1"/>
  <c r="AE953" i="25"/>
  <c r="X953" i="25"/>
  <c r="AD953" i="25" s="1"/>
  <c r="W953" i="25"/>
  <c r="AC953" i="25" s="1"/>
  <c r="V953" i="25"/>
  <c r="AB953" i="25" s="1"/>
  <c r="AE952" i="25"/>
  <c r="X952" i="25"/>
  <c r="AD952" i="25" s="1"/>
  <c r="W952" i="25"/>
  <c r="AC952" i="25" s="1"/>
  <c r="V952" i="25"/>
  <c r="AB952" i="25" s="1"/>
  <c r="AE951" i="25"/>
  <c r="X951" i="25"/>
  <c r="AD951" i="25" s="1"/>
  <c r="W951" i="25"/>
  <c r="AC951" i="25" s="1"/>
  <c r="V951" i="25"/>
  <c r="AB951" i="25" s="1"/>
  <c r="AE950" i="25"/>
  <c r="X950" i="25"/>
  <c r="AD950" i="25" s="1"/>
  <c r="W950" i="25"/>
  <c r="AC950" i="25" s="1"/>
  <c r="V950" i="25"/>
  <c r="AB950" i="25" s="1"/>
  <c r="AE949" i="25"/>
  <c r="X949" i="25"/>
  <c r="AD949" i="25" s="1"/>
  <c r="W949" i="25"/>
  <c r="AC949" i="25" s="1"/>
  <c r="V949" i="25"/>
  <c r="AB949" i="25" s="1"/>
  <c r="AE948" i="25"/>
  <c r="X948" i="25"/>
  <c r="AD948" i="25" s="1"/>
  <c r="W948" i="25"/>
  <c r="AC948" i="25" s="1"/>
  <c r="V948" i="25"/>
  <c r="AB948" i="25" s="1"/>
  <c r="AE947" i="25"/>
  <c r="X947" i="25"/>
  <c r="AD947" i="25" s="1"/>
  <c r="W947" i="25"/>
  <c r="AC947" i="25" s="1"/>
  <c r="V947" i="25"/>
  <c r="AB947" i="25" s="1"/>
  <c r="AE946" i="25"/>
  <c r="X946" i="25"/>
  <c r="AD946" i="25" s="1"/>
  <c r="W946" i="25"/>
  <c r="AC946" i="25" s="1"/>
  <c r="V946" i="25"/>
  <c r="AB946" i="25" s="1"/>
  <c r="AE945" i="25"/>
  <c r="X945" i="25"/>
  <c r="AD945" i="25" s="1"/>
  <c r="W945" i="25"/>
  <c r="AC945" i="25" s="1"/>
  <c r="V945" i="25"/>
  <c r="AB945" i="25" s="1"/>
  <c r="AE944" i="25"/>
  <c r="X944" i="25"/>
  <c r="AD944" i="25" s="1"/>
  <c r="W944" i="25"/>
  <c r="AC944" i="25" s="1"/>
  <c r="V944" i="25"/>
  <c r="AB944" i="25" s="1"/>
  <c r="AE943" i="25"/>
  <c r="X943" i="25"/>
  <c r="AD943" i="25" s="1"/>
  <c r="W943" i="25"/>
  <c r="AC943" i="25" s="1"/>
  <c r="V943" i="25"/>
  <c r="AB943" i="25" s="1"/>
  <c r="AE942" i="25"/>
  <c r="X942" i="25"/>
  <c r="AD942" i="25" s="1"/>
  <c r="W942" i="25"/>
  <c r="AC942" i="25" s="1"/>
  <c r="V942" i="25"/>
  <c r="AB942" i="25" s="1"/>
  <c r="AE941" i="25"/>
  <c r="X941" i="25"/>
  <c r="AD941" i="25" s="1"/>
  <c r="W941" i="25"/>
  <c r="AC941" i="25" s="1"/>
  <c r="V941" i="25"/>
  <c r="AB941" i="25" s="1"/>
  <c r="AE940" i="25"/>
  <c r="X940" i="25"/>
  <c r="AD940" i="25" s="1"/>
  <c r="W940" i="25"/>
  <c r="AC940" i="25" s="1"/>
  <c r="V940" i="25"/>
  <c r="AB940" i="25" s="1"/>
  <c r="AE939" i="25"/>
  <c r="X939" i="25"/>
  <c r="AD939" i="25" s="1"/>
  <c r="W939" i="25"/>
  <c r="AC939" i="25" s="1"/>
  <c r="V939" i="25"/>
  <c r="AB939" i="25" s="1"/>
  <c r="AE938" i="25"/>
  <c r="X938" i="25"/>
  <c r="AD938" i="25" s="1"/>
  <c r="W938" i="25"/>
  <c r="AC938" i="25" s="1"/>
  <c r="V938" i="25"/>
  <c r="AB938" i="25" s="1"/>
  <c r="AE937" i="25"/>
  <c r="X937" i="25"/>
  <c r="AD937" i="25" s="1"/>
  <c r="W937" i="25"/>
  <c r="AC937" i="25" s="1"/>
  <c r="V937" i="25"/>
  <c r="AB937" i="25" s="1"/>
  <c r="AE936" i="25"/>
  <c r="X936" i="25"/>
  <c r="AD936" i="25" s="1"/>
  <c r="W936" i="25"/>
  <c r="AC936" i="25" s="1"/>
  <c r="V936" i="25"/>
  <c r="AB936" i="25" s="1"/>
  <c r="AE935" i="25"/>
  <c r="X935" i="25"/>
  <c r="AD935" i="25" s="1"/>
  <c r="W935" i="25"/>
  <c r="AC935" i="25" s="1"/>
  <c r="V935" i="25"/>
  <c r="AB935" i="25" s="1"/>
  <c r="AE934" i="25"/>
  <c r="X934" i="25"/>
  <c r="AD934" i="25" s="1"/>
  <c r="W934" i="25"/>
  <c r="AC934" i="25" s="1"/>
  <c r="V934" i="25"/>
  <c r="AB934" i="25" s="1"/>
  <c r="AE933" i="25"/>
  <c r="X933" i="25"/>
  <c r="AD933" i="25" s="1"/>
  <c r="W933" i="25"/>
  <c r="AC933" i="25" s="1"/>
  <c r="V933" i="25"/>
  <c r="AB933" i="25" s="1"/>
  <c r="AE932" i="25"/>
  <c r="X932" i="25"/>
  <c r="AD932" i="25" s="1"/>
  <c r="W932" i="25"/>
  <c r="AC932" i="25" s="1"/>
  <c r="V932" i="25"/>
  <c r="AB932" i="25" s="1"/>
  <c r="AE931" i="25"/>
  <c r="X931" i="25"/>
  <c r="AD931" i="25" s="1"/>
  <c r="W931" i="25"/>
  <c r="AC931" i="25" s="1"/>
  <c r="V931" i="25"/>
  <c r="AB931" i="25" s="1"/>
  <c r="AE930" i="25"/>
  <c r="X930" i="25"/>
  <c r="AD930" i="25" s="1"/>
  <c r="W930" i="25"/>
  <c r="AC930" i="25" s="1"/>
  <c r="V930" i="25"/>
  <c r="AB930" i="25" s="1"/>
  <c r="AE929" i="25"/>
  <c r="X929" i="25"/>
  <c r="AD929" i="25" s="1"/>
  <c r="W929" i="25"/>
  <c r="AC929" i="25" s="1"/>
  <c r="V929" i="25"/>
  <c r="AB929" i="25" s="1"/>
  <c r="AE928" i="25"/>
  <c r="X928" i="25"/>
  <c r="AD928" i="25" s="1"/>
  <c r="W928" i="25"/>
  <c r="AC928" i="25" s="1"/>
  <c r="V928" i="25"/>
  <c r="AB928" i="25" s="1"/>
  <c r="AE927" i="25"/>
  <c r="X927" i="25"/>
  <c r="AD927" i="25" s="1"/>
  <c r="W927" i="25"/>
  <c r="AC927" i="25" s="1"/>
  <c r="V927" i="25"/>
  <c r="AB927" i="25" s="1"/>
  <c r="AE926" i="25"/>
  <c r="X926" i="25"/>
  <c r="AD926" i="25" s="1"/>
  <c r="W926" i="25"/>
  <c r="AC926" i="25" s="1"/>
  <c r="V926" i="25"/>
  <c r="AB926" i="25" s="1"/>
  <c r="AE925" i="25"/>
  <c r="X925" i="25"/>
  <c r="AD925" i="25" s="1"/>
  <c r="W925" i="25"/>
  <c r="AC925" i="25" s="1"/>
  <c r="V925" i="25"/>
  <c r="AB925" i="25" s="1"/>
  <c r="AE924" i="25"/>
  <c r="AB924" i="25"/>
  <c r="X924" i="25"/>
  <c r="AD924" i="25" s="1"/>
  <c r="W924" i="25"/>
  <c r="AC924" i="25" s="1"/>
  <c r="V924" i="25"/>
  <c r="AE923" i="25"/>
  <c r="X923" i="25"/>
  <c r="AD923" i="25" s="1"/>
  <c r="W923" i="25"/>
  <c r="AC923" i="25" s="1"/>
  <c r="V923" i="25"/>
  <c r="AB923" i="25" s="1"/>
  <c r="AE922" i="25"/>
  <c r="X922" i="25"/>
  <c r="AD922" i="25" s="1"/>
  <c r="W922" i="25"/>
  <c r="AC922" i="25" s="1"/>
  <c r="V922" i="25"/>
  <c r="AB922" i="25" s="1"/>
  <c r="AE921" i="25"/>
  <c r="X921" i="25"/>
  <c r="AD921" i="25" s="1"/>
  <c r="W921" i="25"/>
  <c r="AC921" i="25" s="1"/>
  <c r="V921" i="25"/>
  <c r="AB921" i="25" s="1"/>
  <c r="AE920" i="25"/>
  <c r="X920" i="25"/>
  <c r="AD920" i="25" s="1"/>
  <c r="W920" i="25"/>
  <c r="AC920" i="25" s="1"/>
  <c r="V920" i="25"/>
  <c r="AB920" i="25" s="1"/>
  <c r="AE919" i="25"/>
  <c r="X919" i="25"/>
  <c r="AD919" i="25" s="1"/>
  <c r="W919" i="25"/>
  <c r="AC919" i="25" s="1"/>
  <c r="V919" i="25"/>
  <c r="AB919" i="25" s="1"/>
  <c r="AE918" i="25"/>
  <c r="AC918" i="25"/>
  <c r="X918" i="25"/>
  <c r="AD918" i="25" s="1"/>
  <c r="W918" i="25"/>
  <c r="V918" i="25"/>
  <c r="AB918" i="25" s="1"/>
  <c r="AE917" i="25"/>
  <c r="X917" i="25"/>
  <c r="AD917" i="25" s="1"/>
  <c r="W917" i="25"/>
  <c r="AC917" i="25" s="1"/>
  <c r="V917" i="25"/>
  <c r="AB917" i="25" s="1"/>
  <c r="AE916" i="25"/>
  <c r="X916" i="25"/>
  <c r="AD916" i="25" s="1"/>
  <c r="W916" i="25"/>
  <c r="AC916" i="25" s="1"/>
  <c r="V916" i="25"/>
  <c r="AB916" i="25" s="1"/>
  <c r="AE915" i="25"/>
  <c r="X915" i="25"/>
  <c r="AD915" i="25" s="1"/>
  <c r="W915" i="25"/>
  <c r="AC915" i="25" s="1"/>
  <c r="V915" i="25"/>
  <c r="AB915" i="25" s="1"/>
  <c r="AE914" i="25"/>
  <c r="X914" i="25"/>
  <c r="AD914" i="25" s="1"/>
  <c r="W914" i="25"/>
  <c r="AC914" i="25" s="1"/>
  <c r="V914" i="25"/>
  <c r="AB914" i="25" s="1"/>
  <c r="AE913" i="25"/>
  <c r="X913" i="25"/>
  <c r="AD913" i="25" s="1"/>
  <c r="W913" i="25"/>
  <c r="AC913" i="25" s="1"/>
  <c r="V913" i="25"/>
  <c r="AB913" i="25" s="1"/>
  <c r="AE912" i="25"/>
  <c r="X912" i="25"/>
  <c r="AD912" i="25" s="1"/>
  <c r="W912" i="25"/>
  <c r="AC912" i="25" s="1"/>
  <c r="V912" i="25"/>
  <c r="AB912" i="25" s="1"/>
  <c r="AE911" i="25"/>
  <c r="X911" i="25"/>
  <c r="AD911" i="25" s="1"/>
  <c r="W911" i="25"/>
  <c r="AC911" i="25" s="1"/>
  <c r="V911" i="25"/>
  <c r="AB911" i="25" s="1"/>
  <c r="AE910" i="25"/>
  <c r="X910" i="25"/>
  <c r="AD910" i="25" s="1"/>
  <c r="W910" i="25"/>
  <c r="AC910" i="25" s="1"/>
  <c r="V910" i="25"/>
  <c r="AB910" i="25" s="1"/>
  <c r="AE909" i="25"/>
  <c r="X909" i="25"/>
  <c r="AD909" i="25" s="1"/>
  <c r="W909" i="25"/>
  <c r="AC909" i="25" s="1"/>
  <c r="V909" i="25"/>
  <c r="AB909" i="25" s="1"/>
  <c r="AE908" i="25"/>
  <c r="X908" i="25"/>
  <c r="AD908" i="25" s="1"/>
  <c r="W908" i="25"/>
  <c r="AC908" i="25" s="1"/>
  <c r="V908" i="25"/>
  <c r="AB908" i="25" s="1"/>
  <c r="AE907" i="25"/>
  <c r="AB907" i="25"/>
  <c r="X907" i="25"/>
  <c r="AD907" i="25" s="1"/>
  <c r="W907" i="25"/>
  <c r="AC907" i="25" s="1"/>
  <c r="V907" i="25"/>
  <c r="AE906" i="25"/>
  <c r="X906" i="25"/>
  <c r="AD906" i="25" s="1"/>
  <c r="W906" i="25"/>
  <c r="AC906" i="25" s="1"/>
  <c r="V906" i="25"/>
  <c r="AB906" i="25" s="1"/>
  <c r="AE905" i="25"/>
  <c r="X905" i="25"/>
  <c r="AD905" i="25" s="1"/>
  <c r="W905" i="25"/>
  <c r="AC905" i="25" s="1"/>
  <c r="V905" i="25"/>
  <c r="AB905" i="25" s="1"/>
  <c r="AE904" i="25"/>
  <c r="X904" i="25"/>
  <c r="AD904" i="25" s="1"/>
  <c r="W904" i="25"/>
  <c r="AC904" i="25" s="1"/>
  <c r="V904" i="25"/>
  <c r="AB904" i="25" s="1"/>
  <c r="AE903" i="25"/>
  <c r="X903" i="25"/>
  <c r="AD903" i="25" s="1"/>
  <c r="W903" i="25"/>
  <c r="AC903" i="25" s="1"/>
  <c r="V903" i="25"/>
  <c r="AB903" i="25" s="1"/>
  <c r="AE902" i="25"/>
  <c r="AC902" i="25"/>
  <c r="X902" i="25"/>
  <c r="AD902" i="25" s="1"/>
  <c r="W902" i="25"/>
  <c r="V902" i="25"/>
  <c r="AB902" i="25" s="1"/>
  <c r="AE901" i="25"/>
  <c r="AB901" i="25"/>
  <c r="X901" i="25"/>
  <c r="AD901" i="25" s="1"/>
  <c r="W901" i="25"/>
  <c r="AC901" i="25" s="1"/>
  <c r="V901" i="25"/>
  <c r="AE900" i="25"/>
  <c r="X900" i="25"/>
  <c r="AD900" i="25" s="1"/>
  <c r="W900" i="25"/>
  <c r="AC900" i="25" s="1"/>
  <c r="V900" i="25"/>
  <c r="AB900" i="25" s="1"/>
  <c r="AE899" i="25"/>
  <c r="X899" i="25"/>
  <c r="AD899" i="25" s="1"/>
  <c r="W899" i="25"/>
  <c r="AC899" i="25" s="1"/>
  <c r="V899" i="25"/>
  <c r="AB899" i="25" s="1"/>
  <c r="AE898" i="25"/>
  <c r="X898" i="25"/>
  <c r="AD898" i="25" s="1"/>
  <c r="W898" i="25"/>
  <c r="AC898" i="25" s="1"/>
  <c r="V898" i="25"/>
  <c r="AB898" i="25" s="1"/>
  <c r="AE897" i="25"/>
  <c r="X897" i="25"/>
  <c r="AD897" i="25" s="1"/>
  <c r="W897" i="25"/>
  <c r="AC897" i="25" s="1"/>
  <c r="V897" i="25"/>
  <c r="AB897" i="25" s="1"/>
  <c r="AE896" i="25"/>
  <c r="X896" i="25"/>
  <c r="AD896" i="25" s="1"/>
  <c r="W896" i="25"/>
  <c r="AC896" i="25" s="1"/>
  <c r="V896" i="25"/>
  <c r="AB896" i="25" s="1"/>
  <c r="AE895" i="25"/>
  <c r="X895" i="25"/>
  <c r="AD895" i="25" s="1"/>
  <c r="W895" i="25"/>
  <c r="AC895" i="25" s="1"/>
  <c r="V895" i="25"/>
  <c r="AB895" i="25" s="1"/>
  <c r="AE894" i="25"/>
  <c r="X894" i="25"/>
  <c r="AD894" i="25" s="1"/>
  <c r="W894" i="25"/>
  <c r="AC894" i="25" s="1"/>
  <c r="V894" i="25"/>
  <c r="AB894" i="25" s="1"/>
  <c r="AE893" i="25"/>
  <c r="X893" i="25"/>
  <c r="AD893" i="25" s="1"/>
  <c r="W893" i="25"/>
  <c r="AC893" i="25" s="1"/>
  <c r="V893" i="25"/>
  <c r="AB893" i="25" s="1"/>
  <c r="AE892" i="25"/>
  <c r="X892" i="25"/>
  <c r="AD892" i="25" s="1"/>
  <c r="W892" i="25"/>
  <c r="AC892" i="25" s="1"/>
  <c r="V892" i="25"/>
  <c r="AB892" i="25" s="1"/>
  <c r="AE891" i="25"/>
  <c r="X891" i="25"/>
  <c r="AD891" i="25" s="1"/>
  <c r="W891" i="25"/>
  <c r="AC891" i="25" s="1"/>
  <c r="V891" i="25"/>
  <c r="AB891" i="25" s="1"/>
  <c r="AE890" i="25"/>
  <c r="X890" i="25"/>
  <c r="AD890" i="25" s="1"/>
  <c r="W890" i="25"/>
  <c r="AC890" i="25" s="1"/>
  <c r="V890" i="25"/>
  <c r="AB890" i="25" s="1"/>
  <c r="AE889" i="25"/>
  <c r="X889" i="25"/>
  <c r="AD889" i="25" s="1"/>
  <c r="W889" i="25"/>
  <c r="AC889" i="25" s="1"/>
  <c r="V889" i="25"/>
  <c r="AB889" i="25" s="1"/>
  <c r="AE888" i="25"/>
  <c r="X888" i="25"/>
  <c r="AD888" i="25" s="1"/>
  <c r="W888" i="25"/>
  <c r="AC888" i="25" s="1"/>
  <c r="V888" i="25"/>
  <c r="AB888" i="25" s="1"/>
  <c r="AE887" i="25"/>
  <c r="X887" i="25"/>
  <c r="AD887" i="25" s="1"/>
  <c r="W887" i="25"/>
  <c r="AC887" i="25" s="1"/>
  <c r="V887" i="25"/>
  <c r="AB887" i="25" s="1"/>
  <c r="AE886" i="25"/>
  <c r="X886" i="25"/>
  <c r="AD886" i="25" s="1"/>
  <c r="W886" i="25"/>
  <c r="AC886" i="25" s="1"/>
  <c r="V886" i="25"/>
  <c r="AB886" i="25" s="1"/>
  <c r="AE885" i="25"/>
  <c r="X885" i="25"/>
  <c r="AD885" i="25" s="1"/>
  <c r="W885" i="25"/>
  <c r="AC885" i="25" s="1"/>
  <c r="V885" i="25"/>
  <c r="AB885" i="25" s="1"/>
  <c r="AE884" i="25"/>
  <c r="X884" i="25"/>
  <c r="AD884" i="25" s="1"/>
  <c r="W884" i="25"/>
  <c r="AC884" i="25" s="1"/>
  <c r="V884" i="25"/>
  <c r="AB884" i="25" s="1"/>
  <c r="AE883" i="25"/>
  <c r="X883" i="25"/>
  <c r="AD883" i="25" s="1"/>
  <c r="W883" i="25"/>
  <c r="AC883" i="25" s="1"/>
  <c r="V883" i="25"/>
  <c r="AB883" i="25" s="1"/>
  <c r="AE882" i="25"/>
  <c r="X882" i="25"/>
  <c r="AD882" i="25" s="1"/>
  <c r="W882" i="25"/>
  <c r="AC882" i="25" s="1"/>
  <c r="V882" i="25"/>
  <c r="AB882" i="25" s="1"/>
  <c r="AE881" i="25"/>
  <c r="X881" i="25"/>
  <c r="AD881" i="25" s="1"/>
  <c r="W881" i="25"/>
  <c r="AC881" i="25" s="1"/>
  <c r="V881" i="25"/>
  <c r="AB881" i="25" s="1"/>
  <c r="AE880" i="25"/>
  <c r="AC880" i="25"/>
  <c r="X880" i="25"/>
  <c r="AD880" i="25" s="1"/>
  <c r="W880" i="25"/>
  <c r="V880" i="25"/>
  <c r="AB880" i="25" s="1"/>
  <c r="AE879" i="25"/>
  <c r="X879" i="25"/>
  <c r="AD879" i="25" s="1"/>
  <c r="W879" i="25"/>
  <c r="AC879" i="25" s="1"/>
  <c r="V879" i="25"/>
  <c r="AB879" i="25" s="1"/>
  <c r="AE878" i="25"/>
  <c r="X878" i="25"/>
  <c r="AD878" i="25" s="1"/>
  <c r="W878" i="25"/>
  <c r="AC878" i="25" s="1"/>
  <c r="V878" i="25"/>
  <c r="AB878" i="25" s="1"/>
  <c r="AE877" i="25"/>
  <c r="X877" i="25"/>
  <c r="AD877" i="25" s="1"/>
  <c r="W877" i="25"/>
  <c r="AC877" i="25" s="1"/>
  <c r="V877" i="25"/>
  <c r="AB877" i="25" s="1"/>
  <c r="AE876" i="25"/>
  <c r="X876" i="25"/>
  <c r="AD876" i="25" s="1"/>
  <c r="W876" i="25"/>
  <c r="AC876" i="25" s="1"/>
  <c r="V876" i="25"/>
  <c r="AB876" i="25" s="1"/>
  <c r="AE875" i="25"/>
  <c r="X875" i="25"/>
  <c r="AD875" i="25" s="1"/>
  <c r="W875" i="25"/>
  <c r="AC875" i="25" s="1"/>
  <c r="V875" i="25"/>
  <c r="AB875" i="25" s="1"/>
  <c r="AE874" i="25"/>
  <c r="X874" i="25"/>
  <c r="AD874" i="25" s="1"/>
  <c r="W874" i="25"/>
  <c r="AC874" i="25" s="1"/>
  <c r="V874" i="25"/>
  <c r="AB874" i="25" s="1"/>
  <c r="AE873" i="25"/>
  <c r="X873" i="25"/>
  <c r="AD873" i="25" s="1"/>
  <c r="W873" i="25"/>
  <c r="AC873" i="25" s="1"/>
  <c r="V873" i="25"/>
  <c r="AB873" i="25" s="1"/>
  <c r="AE872" i="25"/>
  <c r="X872" i="25"/>
  <c r="AD872" i="25" s="1"/>
  <c r="W872" i="25"/>
  <c r="AC872" i="25" s="1"/>
  <c r="V872" i="25"/>
  <c r="AB872" i="25" s="1"/>
  <c r="AE871" i="25"/>
  <c r="X871" i="25"/>
  <c r="AD871" i="25" s="1"/>
  <c r="W871" i="25"/>
  <c r="AC871" i="25" s="1"/>
  <c r="V871" i="25"/>
  <c r="AB871" i="25" s="1"/>
  <c r="AE870" i="25"/>
  <c r="X870" i="25"/>
  <c r="AD870" i="25" s="1"/>
  <c r="W870" i="25"/>
  <c r="AC870" i="25" s="1"/>
  <c r="V870" i="25"/>
  <c r="AB870" i="25" s="1"/>
  <c r="AE869" i="25"/>
  <c r="X869" i="25"/>
  <c r="AD869" i="25" s="1"/>
  <c r="W869" i="25"/>
  <c r="AC869" i="25" s="1"/>
  <c r="V869" i="25"/>
  <c r="AB869" i="25" s="1"/>
  <c r="AE868" i="25"/>
  <c r="X868" i="25"/>
  <c r="AD868" i="25" s="1"/>
  <c r="W868" i="25"/>
  <c r="AC868" i="25" s="1"/>
  <c r="V868" i="25"/>
  <c r="AB868" i="25" s="1"/>
  <c r="AE867" i="25"/>
  <c r="X867" i="25"/>
  <c r="AD867" i="25" s="1"/>
  <c r="W867" i="25"/>
  <c r="AC867" i="25" s="1"/>
  <c r="V867" i="25"/>
  <c r="AB867" i="25" s="1"/>
  <c r="AE866" i="25"/>
  <c r="AC866" i="25"/>
  <c r="X866" i="25"/>
  <c r="AD866" i="25" s="1"/>
  <c r="W866" i="25"/>
  <c r="V866" i="25"/>
  <c r="AB866" i="25" s="1"/>
  <c r="AE865" i="25"/>
  <c r="X865" i="25"/>
  <c r="AD865" i="25" s="1"/>
  <c r="W865" i="25"/>
  <c r="AC865" i="25" s="1"/>
  <c r="V865" i="25"/>
  <c r="AB865" i="25" s="1"/>
  <c r="AE864" i="25"/>
  <c r="X864" i="25"/>
  <c r="AD864" i="25" s="1"/>
  <c r="W864" i="25"/>
  <c r="AC864" i="25" s="1"/>
  <c r="V864" i="25"/>
  <c r="AB864" i="25" s="1"/>
  <c r="AE863" i="25"/>
  <c r="AB863" i="25"/>
  <c r="X863" i="25"/>
  <c r="AD863" i="25" s="1"/>
  <c r="W863" i="25"/>
  <c r="AC863" i="25" s="1"/>
  <c r="V863" i="25"/>
  <c r="AE862" i="25"/>
  <c r="X862" i="25"/>
  <c r="AD862" i="25" s="1"/>
  <c r="W862" i="25"/>
  <c r="AC862" i="25" s="1"/>
  <c r="V862" i="25"/>
  <c r="AB862" i="25" s="1"/>
  <c r="AE861" i="25"/>
  <c r="X861" i="25"/>
  <c r="AD861" i="25" s="1"/>
  <c r="W861" i="25"/>
  <c r="AC861" i="25" s="1"/>
  <c r="V861" i="25"/>
  <c r="AB861" i="25" s="1"/>
  <c r="AE860" i="25"/>
  <c r="X860" i="25"/>
  <c r="AD860" i="25" s="1"/>
  <c r="W860" i="25"/>
  <c r="AC860" i="25" s="1"/>
  <c r="V860" i="25"/>
  <c r="AB860" i="25" s="1"/>
  <c r="AE859" i="25"/>
  <c r="X859" i="25"/>
  <c r="AD859" i="25" s="1"/>
  <c r="W859" i="25"/>
  <c r="AC859" i="25" s="1"/>
  <c r="V859" i="25"/>
  <c r="AB859" i="25" s="1"/>
  <c r="AE858" i="25"/>
  <c r="AC858" i="25"/>
  <c r="X858" i="25"/>
  <c r="AD858" i="25" s="1"/>
  <c r="W858" i="25"/>
  <c r="V858" i="25"/>
  <c r="AB858" i="25" s="1"/>
  <c r="AE857" i="25"/>
  <c r="AC857" i="25"/>
  <c r="X857" i="25"/>
  <c r="AD857" i="25" s="1"/>
  <c r="W857" i="25"/>
  <c r="V857" i="25"/>
  <c r="AB857" i="25" s="1"/>
  <c r="AE856" i="25"/>
  <c r="X856" i="25"/>
  <c r="AD856" i="25" s="1"/>
  <c r="W856" i="25"/>
  <c r="AC856" i="25" s="1"/>
  <c r="V856" i="25"/>
  <c r="AB856" i="25" s="1"/>
  <c r="AE855" i="25"/>
  <c r="X855" i="25"/>
  <c r="AD855" i="25" s="1"/>
  <c r="W855" i="25"/>
  <c r="AC855" i="25" s="1"/>
  <c r="V855" i="25"/>
  <c r="AB855" i="25" s="1"/>
  <c r="AE854" i="25"/>
  <c r="X854" i="25"/>
  <c r="AD854" i="25" s="1"/>
  <c r="W854" i="25"/>
  <c r="AC854" i="25" s="1"/>
  <c r="V854" i="25"/>
  <c r="AB854" i="25" s="1"/>
  <c r="AE853" i="25"/>
  <c r="X853" i="25"/>
  <c r="AD853" i="25" s="1"/>
  <c r="W853" i="25"/>
  <c r="AC853" i="25" s="1"/>
  <c r="V853" i="25"/>
  <c r="AB853" i="25" s="1"/>
  <c r="AE852" i="25"/>
  <c r="X852" i="25"/>
  <c r="AD852" i="25" s="1"/>
  <c r="W852" i="25"/>
  <c r="AC852" i="25" s="1"/>
  <c r="V852" i="25"/>
  <c r="AB852" i="25" s="1"/>
  <c r="AE851" i="25"/>
  <c r="AB851" i="25"/>
  <c r="X851" i="25"/>
  <c r="AD851" i="25" s="1"/>
  <c r="W851" i="25"/>
  <c r="AC851" i="25" s="1"/>
  <c r="V851" i="25"/>
  <c r="AE850" i="25"/>
  <c r="X850" i="25"/>
  <c r="AD850" i="25" s="1"/>
  <c r="W850" i="25"/>
  <c r="AC850" i="25" s="1"/>
  <c r="V850" i="25"/>
  <c r="AB850" i="25" s="1"/>
  <c r="AE849" i="25"/>
  <c r="X849" i="25"/>
  <c r="AD849" i="25" s="1"/>
  <c r="W849" i="25"/>
  <c r="AC849" i="25" s="1"/>
  <c r="V849" i="25"/>
  <c r="AB849" i="25" s="1"/>
  <c r="AE848" i="25"/>
  <c r="X848" i="25"/>
  <c r="AD848" i="25" s="1"/>
  <c r="W848" i="25"/>
  <c r="AC848" i="25" s="1"/>
  <c r="V848" i="25"/>
  <c r="AB848" i="25" s="1"/>
  <c r="AE847" i="25"/>
  <c r="X847" i="25"/>
  <c r="AD847" i="25" s="1"/>
  <c r="W847" i="25"/>
  <c r="AC847" i="25" s="1"/>
  <c r="V847" i="25"/>
  <c r="AB847" i="25" s="1"/>
  <c r="AE846" i="25"/>
  <c r="X846" i="25"/>
  <c r="AD846" i="25" s="1"/>
  <c r="W846" i="25"/>
  <c r="AC846" i="25" s="1"/>
  <c r="V846" i="25"/>
  <c r="AB846" i="25" s="1"/>
  <c r="AE845" i="25"/>
  <c r="X845" i="25"/>
  <c r="AD845" i="25" s="1"/>
  <c r="W845" i="25"/>
  <c r="AC845" i="25" s="1"/>
  <c r="V845" i="25"/>
  <c r="AB845" i="25" s="1"/>
  <c r="AE844" i="25"/>
  <c r="X844" i="25"/>
  <c r="AD844" i="25" s="1"/>
  <c r="W844" i="25"/>
  <c r="AC844" i="25" s="1"/>
  <c r="V844" i="25"/>
  <c r="AB844" i="25" s="1"/>
  <c r="AE843" i="25"/>
  <c r="X843" i="25"/>
  <c r="AD843" i="25" s="1"/>
  <c r="W843" i="25"/>
  <c r="AC843" i="25" s="1"/>
  <c r="V843" i="25"/>
  <c r="AB843" i="25" s="1"/>
  <c r="AE842" i="25"/>
  <c r="X842" i="25"/>
  <c r="AD842" i="25" s="1"/>
  <c r="W842" i="25"/>
  <c r="AC842" i="25" s="1"/>
  <c r="V842" i="25"/>
  <c r="AB842" i="25" s="1"/>
  <c r="AE841" i="25"/>
  <c r="X841" i="25"/>
  <c r="AD841" i="25" s="1"/>
  <c r="W841" i="25"/>
  <c r="AC841" i="25" s="1"/>
  <c r="V841" i="25"/>
  <c r="AB841" i="25" s="1"/>
  <c r="AE840" i="25"/>
  <c r="X840" i="25"/>
  <c r="AD840" i="25" s="1"/>
  <c r="W840" i="25"/>
  <c r="AC840" i="25" s="1"/>
  <c r="V840" i="25"/>
  <c r="AB840" i="25" s="1"/>
  <c r="AE839" i="25"/>
  <c r="X839" i="25"/>
  <c r="AD839" i="25" s="1"/>
  <c r="W839" i="25"/>
  <c r="AC839" i="25" s="1"/>
  <c r="V839" i="25"/>
  <c r="AB839" i="25" s="1"/>
  <c r="AE838" i="25"/>
  <c r="X838" i="25"/>
  <c r="AD838" i="25" s="1"/>
  <c r="W838" i="25"/>
  <c r="AC838" i="25" s="1"/>
  <c r="V838" i="25"/>
  <c r="AB838" i="25" s="1"/>
  <c r="AE837" i="25"/>
  <c r="X837" i="25"/>
  <c r="AD837" i="25" s="1"/>
  <c r="W837" i="25"/>
  <c r="AC837" i="25" s="1"/>
  <c r="V837" i="25"/>
  <c r="AB837" i="25" s="1"/>
  <c r="AE836" i="25"/>
  <c r="X836" i="25"/>
  <c r="AD836" i="25" s="1"/>
  <c r="W836" i="25"/>
  <c r="AC836" i="25" s="1"/>
  <c r="V836" i="25"/>
  <c r="AB836" i="25" s="1"/>
  <c r="AE835" i="25"/>
  <c r="X835" i="25"/>
  <c r="AD835" i="25" s="1"/>
  <c r="W835" i="25"/>
  <c r="AC835" i="25" s="1"/>
  <c r="V835" i="25"/>
  <c r="AB835" i="25" s="1"/>
  <c r="AE834" i="25"/>
  <c r="X834" i="25"/>
  <c r="AD834" i="25" s="1"/>
  <c r="W834" i="25"/>
  <c r="AC834" i="25" s="1"/>
  <c r="V834" i="25"/>
  <c r="AB834" i="25" s="1"/>
  <c r="AE833" i="25"/>
  <c r="AB833" i="25"/>
  <c r="X833" i="25"/>
  <c r="AD833" i="25" s="1"/>
  <c r="W833" i="25"/>
  <c r="AC833" i="25" s="1"/>
  <c r="V833" i="25"/>
  <c r="AE832" i="25"/>
  <c r="X832" i="25"/>
  <c r="AD832" i="25" s="1"/>
  <c r="W832" i="25"/>
  <c r="AC832" i="25" s="1"/>
  <c r="V832" i="25"/>
  <c r="AB832" i="25" s="1"/>
  <c r="AE831" i="25"/>
  <c r="X831" i="25"/>
  <c r="AD831" i="25" s="1"/>
  <c r="W831" i="25"/>
  <c r="AC831" i="25" s="1"/>
  <c r="V831" i="25"/>
  <c r="AB831" i="25" s="1"/>
  <c r="AE830" i="25"/>
  <c r="X830" i="25"/>
  <c r="AD830" i="25" s="1"/>
  <c r="W830" i="25"/>
  <c r="AC830" i="25" s="1"/>
  <c r="V830" i="25"/>
  <c r="AB830" i="25" s="1"/>
  <c r="AE829" i="25"/>
  <c r="X829" i="25"/>
  <c r="AD829" i="25" s="1"/>
  <c r="W829" i="25"/>
  <c r="AC829" i="25" s="1"/>
  <c r="V829" i="25"/>
  <c r="AB829" i="25" s="1"/>
  <c r="AE828" i="25"/>
  <c r="X828" i="25"/>
  <c r="AD828" i="25" s="1"/>
  <c r="W828" i="25"/>
  <c r="AC828" i="25" s="1"/>
  <c r="V828" i="25"/>
  <c r="AB828" i="25" s="1"/>
  <c r="AE827" i="25"/>
  <c r="X827" i="25"/>
  <c r="AD827" i="25" s="1"/>
  <c r="W827" i="25"/>
  <c r="AC827" i="25" s="1"/>
  <c r="V827" i="25"/>
  <c r="AB827" i="25" s="1"/>
  <c r="AE826" i="25"/>
  <c r="X826" i="25"/>
  <c r="AD826" i="25" s="1"/>
  <c r="W826" i="25"/>
  <c r="AC826" i="25" s="1"/>
  <c r="V826" i="25"/>
  <c r="AB826" i="25" s="1"/>
  <c r="AE825" i="25"/>
  <c r="X825" i="25"/>
  <c r="AD825" i="25" s="1"/>
  <c r="W825" i="25"/>
  <c r="AC825" i="25" s="1"/>
  <c r="V825" i="25"/>
  <c r="AB825" i="25" s="1"/>
  <c r="AE824" i="25"/>
  <c r="X824" i="25"/>
  <c r="AD824" i="25" s="1"/>
  <c r="W824" i="25"/>
  <c r="AC824" i="25" s="1"/>
  <c r="V824" i="25"/>
  <c r="AB824" i="25" s="1"/>
  <c r="AE823" i="25"/>
  <c r="X823" i="25"/>
  <c r="AD823" i="25" s="1"/>
  <c r="W823" i="25"/>
  <c r="AC823" i="25" s="1"/>
  <c r="V823" i="25"/>
  <c r="AB823" i="25" s="1"/>
  <c r="AE822" i="25"/>
  <c r="X822" i="25"/>
  <c r="AD822" i="25" s="1"/>
  <c r="W822" i="25"/>
  <c r="AC822" i="25" s="1"/>
  <c r="V822" i="25"/>
  <c r="AB822" i="25" s="1"/>
  <c r="AE821" i="25"/>
  <c r="X821" i="25"/>
  <c r="AD821" i="25" s="1"/>
  <c r="W821" i="25"/>
  <c r="AC821" i="25" s="1"/>
  <c r="V821" i="25"/>
  <c r="AB821" i="25" s="1"/>
  <c r="AE820" i="25"/>
  <c r="X820" i="25"/>
  <c r="AD820" i="25" s="1"/>
  <c r="W820" i="25"/>
  <c r="AC820" i="25" s="1"/>
  <c r="V820" i="25"/>
  <c r="AB820" i="25" s="1"/>
  <c r="AE819" i="25"/>
  <c r="X819" i="25"/>
  <c r="AD819" i="25" s="1"/>
  <c r="W819" i="25"/>
  <c r="AC819" i="25" s="1"/>
  <c r="V819" i="25"/>
  <c r="AB819" i="25" s="1"/>
  <c r="AE818" i="25"/>
  <c r="AC818" i="25"/>
  <c r="X818" i="25"/>
  <c r="AD818" i="25" s="1"/>
  <c r="W818" i="25"/>
  <c r="V818" i="25"/>
  <c r="AB818" i="25" s="1"/>
  <c r="AE817" i="25"/>
  <c r="X817" i="25"/>
  <c r="AD817" i="25" s="1"/>
  <c r="W817" i="25"/>
  <c r="AC817" i="25" s="1"/>
  <c r="V817" i="25"/>
  <c r="AB817" i="25" s="1"/>
  <c r="AE816" i="25"/>
  <c r="X816" i="25"/>
  <c r="AD816" i="25" s="1"/>
  <c r="W816" i="25"/>
  <c r="AC816" i="25" s="1"/>
  <c r="V816" i="25"/>
  <c r="AB816" i="25" s="1"/>
  <c r="AE815" i="25"/>
  <c r="AB815" i="25"/>
  <c r="X815" i="25"/>
  <c r="AD815" i="25" s="1"/>
  <c r="W815" i="25"/>
  <c r="AC815" i="25" s="1"/>
  <c r="V815" i="25"/>
  <c r="AE814" i="25"/>
  <c r="X814" i="25"/>
  <c r="AD814" i="25" s="1"/>
  <c r="W814" i="25"/>
  <c r="AC814" i="25" s="1"/>
  <c r="V814" i="25"/>
  <c r="AB814" i="25" s="1"/>
  <c r="AE813" i="25"/>
  <c r="X813" i="25"/>
  <c r="AD813" i="25" s="1"/>
  <c r="W813" i="25"/>
  <c r="AC813" i="25" s="1"/>
  <c r="V813" i="25"/>
  <c r="AB813" i="25" s="1"/>
  <c r="AE812" i="25"/>
  <c r="X812" i="25"/>
  <c r="AD812" i="25" s="1"/>
  <c r="W812" i="25"/>
  <c r="AC812" i="25" s="1"/>
  <c r="V812" i="25"/>
  <c r="AB812" i="25" s="1"/>
  <c r="AE811" i="25"/>
  <c r="X811" i="25"/>
  <c r="AD811" i="25" s="1"/>
  <c r="W811" i="25"/>
  <c r="AC811" i="25" s="1"/>
  <c r="V811" i="25"/>
  <c r="AB811" i="25" s="1"/>
  <c r="AE810" i="25"/>
  <c r="X810" i="25"/>
  <c r="AD810" i="25" s="1"/>
  <c r="W810" i="25"/>
  <c r="AC810" i="25" s="1"/>
  <c r="V810" i="25"/>
  <c r="AB810" i="25" s="1"/>
  <c r="AE809" i="25"/>
  <c r="X809" i="25"/>
  <c r="AD809" i="25" s="1"/>
  <c r="W809" i="25"/>
  <c r="AC809" i="25" s="1"/>
  <c r="V809" i="25"/>
  <c r="AB809" i="25" s="1"/>
  <c r="AE808" i="25"/>
  <c r="X808" i="25"/>
  <c r="AD808" i="25" s="1"/>
  <c r="W808" i="25"/>
  <c r="AC808" i="25" s="1"/>
  <c r="V808" i="25"/>
  <c r="AB808" i="25" s="1"/>
  <c r="AE807" i="25"/>
  <c r="X807" i="25"/>
  <c r="AD807" i="25" s="1"/>
  <c r="W807" i="25"/>
  <c r="AC807" i="25" s="1"/>
  <c r="V807" i="25"/>
  <c r="AB807" i="25" s="1"/>
  <c r="AE806" i="25"/>
  <c r="X806" i="25"/>
  <c r="AD806" i="25" s="1"/>
  <c r="W806" i="25"/>
  <c r="AC806" i="25" s="1"/>
  <c r="V806" i="25"/>
  <c r="AB806" i="25" s="1"/>
  <c r="AE805" i="25"/>
  <c r="AC805" i="25"/>
  <c r="X805" i="25"/>
  <c r="AD805" i="25" s="1"/>
  <c r="W805" i="25"/>
  <c r="V805" i="25"/>
  <c r="AB805" i="25" s="1"/>
  <c r="AE804" i="25"/>
  <c r="X804" i="25"/>
  <c r="AD804" i="25" s="1"/>
  <c r="W804" i="25"/>
  <c r="AC804" i="25" s="1"/>
  <c r="V804" i="25"/>
  <c r="AB804" i="25" s="1"/>
  <c r="AE803" i="25"/>
  <c r="X803" i="25"/>
  <c r="AD803" i="25" s="1"/>
  <c r="W803" i="25"/>
  <c r="AC803" i="25" s="1"/>
  <c r="V803" i="25"/>
  <c r="AB803" i="25" s="1"/>
  <c r="AE802" i="25"/>
  <c r="X802" i="25"/>
  <c r="AD802" i="25" s="1"/>
  <c r="W802" i="25"/>
  <c r="AC802" i="25" s="1"/>
  <c r="V802" i="25"/>
  <c r="AB802" i="25" s="1"/>
  <c r="AE801" i="25"/>
  <c r="X801" i="25"/>
  <c r="AD801" i="25" s="1"/>
  <c r="W801" i="25"/>
  <c r="AC801" i="25" s="1"/>
  <c r="V801" i="25"/>
  <c r="AB801" i="25" s="1"/>
  <c r="AE800" i="25"/>
  <c r="X800" i="25"/>
  <c r="AD800" i="25" s="1"/>
  <c r="W800" i="25"/>
  <c r="AC800" i="25" s="1"/>
  <c r="V800" i="25"/>
  <c r="AB800" i="25" s="1"/>
  <c r="AE799" i="25"/>
  <c r="AB799" i="25"/>
  <c r="X799" i="25"/>
  <c r="AD799" i="25" s="1"/>
  <c r="W799" i="25"/>
  <c r="AC799" i="25" s="1"/>
  <c r="V799" i="25"/>
  <c r="AE798" i="25"/>
  <c r="X798" i="25"/>
  <c r="AD798" i="25" s="1"/>
  <c r="W798" i="25"/>
  <c r="AC798" i="25" s="1"/>
  <c r="V798" i="25"/>
  <c r="AB798" i="25" s="1"/>
  <c r="AE797" i="25"/>
  <c r="X797" i="25"/>
  <c r="AD797" i="25" s="1"/>
  <c r="W797" i="25"/>
  <c r="AC797" i="25" s="1"/>
  <c r="V797" i="25"/>
  <c r="AB797" i="25" s="1"/>
  <c r="AE796" i="25"/>
  <c r="X796" i="25"/>
  <c r="AD796" i="25" s="1"/>
  <c r="W796" i="25"/>
  <c r="AC796" i="25" s="1"/>
  <c r="V796" i="25"/>
  <c r="AB796" i="25" s="1"/>
  <c r="AE795" i="25"/>
  <c r="X795" i="25"/>
  <c r="AD795" i="25" s="1"/>
  <c r="W795" i="25"/>
  <c r="AC795" i="25" s="1"/>
  <c r="V795" i="25"/>
  <c r="AB795" i="25" s="1"/>
  <c r="AE794" i="25"/>
  <c r="X794" i="25"/>
  <c r="AD794" i="25" s="1"/>
  <c r="W794" i="25"/>
  <c r="AC794" i="25" s="1"/>
  <c r="V794" i="25"/>
  <c r="AB794" i="25" s="1"/>
  <c r="AE793" i="25"/>
  <c r="X793" i="25"/>
  <c r="AD793" i="25" s="1"/>
  <c r="W793" i="25"/>
  <c r="AC793" i="25" s="1"/>
  <c r="V793" i="25"/>
  <c r="AB793" i="25" s="1"/>
  <c r="AE792" i="25"/>
  <c r="X792" i="25"/>
  <c r="AD792" i="25" s="1"/>
  <c r="W792" i="25"/>
  <c r="AC792" i="25" s="1"/>
  <c r="V792" i="25"/>
  <c r="AB792" i="25" s="1"/>
  <c r="AE791" i="25"/>
  <c r="X791" i="25"/>
  <c r="AD791" i="25" s="1"/>
  <c r="W791" i="25"/>
  <c r="AC791" i="25" s="1"/>
  <c r="V791" i="25"/>
  <c r="AB791" i="25" s="1"/>
  <c r="AE790" i="25"/>
  <c r="X790" i="25"/>
  <c r="AD790" i="25" s="1"/>
  <c r="W790" i="25"/>
  <c r="AC790" i="25" s="1"/>
  <c r="V790" i="25"/>
  <c r="AB790" i="25" s="1"/>
  <c r="AE789" i="25"/>
  <c r="X789" i="25"/>
  <c r="AD789" i="25" s="1"/>
  <c r="W789" i="25"/>
  <c r="AC789" i="25" s="1"/>
  <c r="V789" i="25"/>
  <c r="AB789" i="25" s="1"/>
  <c r="AE788" i="25"/>
  <c r="X788" i="25"/>
  <c r="AD788" i="25" s="1"/>
  <c r="W788" i="25"/>
  <c r="AC788" i="25" s="1"/>
  <c r="V788" i="25"/>
  <c r="AB788" i="25" s="1"/>
  <c r="AE787" i="25"/>
  <c r="X787" i="25"/>
  <c r="AD787" i="25" s="1"/>
  <c r="W787" i="25"/>
  <c r="AC787" i="25" s="1"/>
  <c r="V787" i="25"/>
  <c r="AB787" i="25" s="1"/>
  <c r="AE786" i="25"/>
  <c r="X786" i="25"/>
  <c r="AD786" i="25" s="1"/>
  <c r="W786" i="25"/>
  <c r="AC786" i="25" s="1"/>
  <c r="V786" i="25"/>
  <c r="AB786" i="25" s="1"/>
  <c r="AE785" i="25"/>
  <c r="X785" i="25"/>
  <c r="AD785" i="25" s="1"/>
  <c r="W785" i="25"/>
  <c r="AC785" i="25" s="1"/>
  <c r="V785" i="25"/>
  <c r="AB785" i="25" s="1"/>
  <c r="AE784" i="25"/>
  <c r="X784" i="25"/>
  <c r="AD784" i="25" s="1"/>
  <c r="W784" i="25"/>
  <c r="AC784" i="25" s="1"/>
  <c r="V784" i="25"/>
  <c r="AB784" i="25" s="1"/>
  <c r="AE783" i="25"/>
  <c r="X783" i="25"/>
  <c r="AD783" i="25" s="1"/>
  <c r="W783" i="25"/>
  <c r="AC783" i="25" s="1"/>
  <c r="V783" i="25"/>
  <c r="AB783" i="25" s="1"/>
  <c r="AE782" i="25"/>
  <c r="AB782" i="25"/>
  <c r="X782" i="25"/>
  <c r="AD782" i="25" s="1"/>
  <c r="W782" i="25"/>
  <c r="AC782" i="25" s="1"/>
  <c r="V782" i="25"/>
  <c r="AE781" i="25"/>
  <c r="X781" i="25"/>
  <c r="AD781" i="25" s="1"/>
  <c r="W781" i="25"/>
  <c r="AC781" i="25" s="1"/>
  <c r="V781" i="25"/>
  <c r="AB781" i="25" s="1"/>
  <c r="AE780" i="25"/>
  <c r="X780" i="25"/>
  <c r="AD780" i="25" s="1"/>
  <c r="W780" i="25"/>
  <c r="AC780" i="25" s="1"/>
  <c r="V780" i="25"/>
  <c r="AB780" i="25" s="1"/>
  <c r="AE779" i="25"/>
  <c r="X779" i="25"/>
  <c r="AD779" i="25" s="1"/>
  <c r="W779" i="25"/>
  <c r="AC779" i="25" s="1"/>
  <c r="V779" i="25"/>
  <c r="AB779" i="25" s="1"/>
  <c r="AE778" i="25"/>
  <c r="X778" i="25"/>
  <c r="AD778" i="25" s="1"/>
  <c r="W778" i="25"/>
  <c r="AC778" i="25" s="1"/>
  <c r="V778" i="25"/>
  <c r="AB778" i="25" s="1"/>
  <c r="AE777" i="25"/>
  <c r="X777" i="25"/>
  <c r="AD777" i="25" s="1"/>
  <c r="W777" i="25"/>
  <c r="AC777" i="25" s="1"/>
  <c r="V777" i="25"/>
  <c r="AB777" i="25" s="1"/>
  <c r="AE776" i="25"/>
  <c r="X776" i="25"/>
  <c r="AD776" i="25" s="1"/>
  <c r="W776" i="25"/>
  <c r="AC776" i="25" s="1"/>
  <c r="V776" i="25"/>
  <c r="AB776" i="25" s="1"/>
  <c r="AE775" i="25"/>
  <c r="X775" i="25"/>
  <c r="AD775" i="25" s="1"/>
  <c r="W775" i="25"/>
  <c r="AC775" i="25" s="1"/>
  <c r="V775" i="25"/>
  <c r="AB775" i="25" s="1"/>
  <c r="AE774" i="25"/>
  <c r="X774" i="25"/>
  <c r="AD774" i="25" s="1"/>
  <c r="W774" i="25"/>
  <c r="AC774" i="25" s="1"/>
  <c r="V774" i="25"/>
  <c r="AB774" i="25" s="1"/>
  <c r="AE773" i="25"/>
  <c r="X773" i="25"/>
  <c r="AD773" i="25" s="1"/>
  <c r="W773" i="25"/>
  <c r="AC773" i="25" s="1"/>
  <c r="V773" i="25"/>
  <c r="AB773" i="25" s="1"/>
  <c r="AE772" i="25"/>
  <c r="X772" i="25"/>
  <c r="AD772" i="25" s="1"/>
  <c r="W772" i="25"/>
  <c r="AC772" i="25" s="1"/>
  <c r="V772" i="25"/>
  <c r="AB772" i="25" s="1"/>
  <c r="AE771" i="25"/>
  <c r="X771" i="25"/>
  <c r="AD771" i="25" s="1"/>
  <c r="W771" i="25"/>
  <c r="AC771" i="25" s="1"/>
  <c r="V771" i="25"/>
  <c r="AB771" i="25" s="1"/>
  <c r="AE770" i="25"/>
  <c r="X770" i="25"/>
  <c r="AD770" i="25" s="1"/>
  <c r="W770" i="25"/>
  <c r="AC770" i="25" s="1"/>
  <c r="V770" i="25"/>
  <c r="AB770" i="25" s="1"/>
  <c r="AE769" i="25"/>
  <c r="AD769" i="25"/>
  <c r="X769" i="25"/>
  <c r="W769" i="25"/>
  <c r="AC769" i="25" s="1"/>
  <c r="V769" i="25"/>
  <c r="AB769" i="25" s="1"/>
  <c r="AE768" i="25"/>
  <c r="X768" i="25"/>
  <c r="AD768" i="25" s="1"/>
  <c r="W768" i="25"/>
  <c r="AC768" i="25" s="1"/>
  <c r="V768" i="25"/>
  <c r="AB768" i="25" s="1"/>
  <c r="AE767" i="25"/>
  <c r="X767" i="25"/>
  <c r="AD767" i="25" s="1"/>
  <c r="W767" i="25"/>
  <c r="AC767" i="25" s="1"/>
  <c r="V767" i="25"/>
  <c r="AB767" i="25" s="1"/>
  <c r="AE766" i="25"/>
  <c r="X766" i="25"/>
  <c r="AD766" i="25" s="1"/>
  <c r="W766" i="25"/>
  <c r="AC766" i="25" s="1"/>
  <c r="V766" i="25"/>
  <c r="AB766" i="25" s="1"/>
  <c r="AE765" i="25"/>
  <c r="X765" i="25"/>
  <c r="AD765" i="25" s="1"/>
  <c r="W765" i="25"/>
  <c r="AC765" i="25" s="1"/>
  <c r="V765" i="25"/>
  <c r="AB765" i="25" s="1"/>
  <c r="AE764" i="25"/>
  <c r="X764" i="25"/>
  <c r="AD764" i="25" s="1"/>
  <c r="W764" i="25"/>
  <c r="AC764" i="25" s="1"/>
  <c r="V764" i="25"/>
  <c r="AB764" i="25" s="1"/>
  <c r="AE763" i="25"/>
  <c r="AD763" i="25"/>
  <c r="AB763" i="25"/>
  <c r="X763" i="25"/>
  <c r="W763" i="25"/>
  <c r="AC763" i="25" s="1"/>
  <c r="V763" i="25"/>
  <c r="AE762" i="25"/>
  <c r="X762" i="25"/>
  <c r="AD762" i="25" s="1"/>
  <c r="W762" i="25"/>
  <c r="AC762" i="25" s="1"/>
  <c r="V762" i="25"/>
  <c r="AB762" i="25" s="1"/>
  <c r="AE761" i="25"/>
  <c r="X761" i="25"/>
  <c r="AD761" i="25" s="1"/>
  <c r="W761" i="25"/>
  <c r="AC761" i="25" s="1"/>
  <c r="V761" i="25"/>
  <c r="AB761" i="25" s="1"/>
  <c r="AE760" i="25"/>
  <c r="X760" i="25"/>
  <c r="AD760" i="25" s="1"/>
  <c r="W760" i="25"/>
  <c r="AC760" i="25" s="1"/>
  <c r="V760" i="25"/>
  <c r="AB760" i="25" s="1"/>
  <c r="AE759" i="25"/>
  <c r="X759" i="25"/>
  <c r="AD759" i="25" s="1"/>
  <c r="W759" i="25"/>
  <c r="AC759" i="25" s="1"/>
  <c r="V759" i="25"/>
  <c r="AB759" i="25" s="1"/>
  <c r="AE758" i="25"/>
  <c r="X758" i="25"/>
  <c r="AD758" i="25" s="1"/>
  <c r="W758" i="25"/>
  <c r="AC758" i="25" s="1"/>
  <c r="V758" i="25"/>
  <c r="AB758" i="25" s="1"/>
  <c r="AE757" i="25"/>
  <c r="X757" i="25"/>
  <c r="AD757" i="25" s="1"/>
  <c r="W757" i="25"/>
  <c r="AC757" i="25" s="1"/>
  <c r="V757" i="25"/>
  <c r="AB757" i="25" s="1"/>
  <c r="AE756" i="25"/>
  <c r="X756" i="25"/>
  <c r="AD756" i="25" s="1"/>
  <c r="W756" i="25"/>
  <c r="AC756" i="25" s="1"/>
  <c r="V756" i="25"/>
  <c r="AB756" i="25" s="1"/>
  <c r="AE755" i="25"/>
  <c r="X755" i="25"/>
  <c r="AD755" i="25" s="1"/>
  <c r="W755" i="25"/>
  <c r="AC755" i="25" s="1"/>
  <c r="V755" i="25"/>
  <c r="AB755" i="25" s="1"/>
  <c r="AE754" i="25"/>
  <c r="X754" i="25"/>
  <c r="AD754" i="25" s="1"/>
  <c r="W754" i="25"/>
  <c r="AC754" i="25" s="1"/>
  <c r="V754" i="25"/>
  <c r="AB754" i="25" s="1"/>
  <c r="AE753" i="25"/>
  <c r="X753" i="25"/>
  <c r="AD753" i="25" s="1"/>
  <c r="W753" i="25"/>
  <c r="AC753" i="25" s="1"/>
  <c r="V753" i="25"/>
  <c r="AB753" i="25" s="1"/>
  <c r="AE752" i="25"/>
  <c r="X752" i="25"/>
  <c r="AD752" i="25" s="1"/>
  <c r="W752" i="25"/>
  <c r="AC752" i="25" s="1"/>
  <c r="V752" i="25"/>
  <c r="AB752" i="25" s="1"/>
  <c r="AE751" i="25"/>
  <c r="X751" i="25"/>
  <c r="AD751" i="25" s="1"/>
  <c r="W751" i="25"/>
  <c r="AC751" i="25" s="1"/>
  <c r="V751" i="25"/>
  <c r="AB751" i="25" s="1"/>
  <c r="AE750" i="25"/>
  <c r="X750" i="25"/>
  <c r="AD750" i="25" s="1"/>
  <c r="W750" i="25"/>
  <c r="AC750" i="25" s="1"/>
  <c r="V750" i="25"/>
  <c r="AB750" i="25" s="1"/>
  <c r="AE749" i="25"/>
  <c r="X749" i="25"/>
  <c r="AD749" i="25" s="1"/>
  <c r="W749" i="25"/>
  <c r="AC749" i="25" s="1"/>
  <c r="V749" i="25"/>
  <c r="AB749" i="25" s="1"/>
  <c r="AE748" i="25"/>
  <c r="X748" i="25"/>
  <c r="AD748" i="25" s="1"/>
  <c r="W748" i="25"/>
  <c r="AC748" i="25" s="1"/>
  <c r="V748" i="25"/>
  <c r="AB748" i="25" s="1"/>
  <c r="AE747" i="25"/>
  <c r="X747" i="25"/>
  <c r="AD747" i="25" s="1"/>
  <c r="W747" i="25"/>
  <c r="AC747" i="25" s="1"/>
  <c r="V747" i="25"/>
  <c r="AB747" i="25" s="1"/>
  <c r="AE746" i="25"/>
  <c r="X746" i="25"/>
  <c r="AD746" i="25" s="1"/>
  <c r="W746" i="25"/>
  <c r="AC746" i="25" s="1"/>
  <c r="V746" i="25"/>
  <c r="AB746" i="25" s="1"/>
  <c r="AE745" i="25"/>
  <c r="X745" i="25"/>
  <c r="AD745" i="25" s="1"/>
  <c r="W745" i="25"/>
  <c r="AC745" i="25" s="1"/>
  <c r="V745" i="25"/>
  <c r="AB745" i="25" s="1"/>
  <c r="AE744" i="25"/>
  <c r="X744" i="25"/>
  <c r="AD744" i="25" s="1"/>
  <c r="W744" i="25"/>
  <c r="AC744" i="25" s="1"/>
  <c r="V744" i="25"/>
  <c r="AB744" i="25" s="1"/>
  <c r="AE743" i="25"/>
  <c r="X743" i="25"/>
  <c r="AD743" i="25" s="1"/>
  <c r="W743" i="25"/>
  <c r="AC743" i="25" s="1"/>
  <c r="V743" i="25"/>
  <c r="AB743" i="25" s="1"/>
  <c r="AE742" i="25"/>
  <c r="AC742" i="25"/>
  <c r="X742" i="25"/>
  <c r="AD742" i="25" s="1"/>
  <c r="W742" i="25"/>
  <c r="V742" i="25"/>
  <c r="AB742" i="25" s="1"/>
  <c r="AE741" i="25"/>
  <c r="X741" i="25"/>
  <c r="AD741" i="25" s="1"/>
  <c r="W741" i="25"/>
  <c r="AC741" i="25" s="1"/>
  <c r="V741" i="25"/>
  <c r="AB741" i="25" s="1"/>
  <c r="AE740" i="25"/>
  <c r="X740" i="25"/>
  <c r="AD740" i="25" s="1"/>
  <c r="W740" i="25"/>
  <c r="AC740" i="25" s="1"/>
  <c r="V740" i="25"/>
  <c r="AB740" i="25" s="1"/>
  <c r="AE739" i="25"/>
  <c r="X739" i="25"/>
  <c r="AD739" i="25" s="1"/>
  <c r="W739" i="25"/>
  <c r="AC739" i="25" s="1"/>
  <c r="V739" i="25"/>
  <c r="AB739" i="25" s="1"/>
  <c r="AE738" i="25"/>
  <c r="X738" i="25"/>
  <c r="AD738" i="25" s="1"/>
  <c r="W738" i="25"/>
  <c r="AC738" i="25" s="1"/>
  <c r="V738" i="25"/>
  <c r="AB738" i="25" s="1"/>
  <c r="AE737" i="25"/>
  <c r="X737" i="25"/>
  <c r="AD737" i="25" s="1"/>
  <c r="W737" i="25"/>
  <c r="AC737" i="25" s="1"/>
  <c r="V737" i="25"/>
  <c r="AB737" i="25" s="1"/>
  <c r="AE736" i="25"/>
  <c r="X736" i="25"/>
  <c r="AD736" i="25" s="1"/>
  <c r="W736" i="25"/>
  <c r="AC736" i="25" s="1"/>
  <c r="V736" i="25"/>
  <c r="AB736" i="25" s="1"/>
  <c r="AE735" i="25"/>
  <c r="X735" i="25"/>
  <c r="AD735" i="25" s="1"/>
  <c r="W735" i="25"/>
  <c r="AC735" i="25" s="1"/>
  <c r="V735" i="25"/>
  <c r="AB735" i="25" s="1"/>
  <c r="AE734" i="25"/>
  <c r="X734" i="25"/>
  <c r="AD734" i="25" s="1"/>
  <c r="W734" i="25"/>
  <c r="AC734" i="25" s="1"/>
  <c r="V734" i="25"/>
  <c r="AB734" i="25" s="1"/>
  <c r="AE733" i="25"/>
  <c r="X733" i="25"/>
  <c r="AD733" i="25" s="1"/>
  <c r="W733" i="25"/>
  <c r="AC733" i="25" s="1"/>
  <c r="V733" i="25"/>
  <c r="AB733" i="25" s="1"/>
  <c r="AE732" i="25"/>
  <c r="X732" i="25"/>
  <c r="AD732" i="25" s="1"/>
  <c r="W732" i="25"/>
  <c r="AC732" i="25" s="1"/>
  <c r="V732" i="25"/>
  <c r="AB732" i="25" s="1"/>
  <c r="AE731" i="25"/>
  <c r="AC731" i="25"/>
  <c r="X731" i="25"/>
  <c r="AD731" i="25" s="1"/>
  <c r="W731" i="25"/>
  <c r="V731" i="25"/>
  <c r="AB731" i="25" s="1"/>
  <c r="AE730" i="25"/>
  <c r="X730" i="25"/>
  <c r="AD730" i="25" s="1"/>
  <c r="W730" i="25"/>
  <c r="AC730" i="25" s="1"/>
  <c r="V730" i="25"/>
  <c r="AB730" i="25" s="1"/>
  <c r="AE729" i="25"/>
  <c r="X729" i="25"/>
  <c r="AD729" i="25" s="1"/>
  <c r="W729" i="25"/>
  <c r="AC729" i="25" s="1"/>
  <c r="V729" i="25"/>
  <c r="AB729" i="25" s="1"/>
  <c r="AE728" i="25"/>
  <c r="X728" i="25"/>
  <c r="AD728" i="25" s="1"/>
  <c r="W728" i="25"/>
  <c r="AC728" i="25" s="1"/>
  <c r="V728" i="25"/>
  <c r="AB728" i="25" s="1"/>
  <c r="AE727" i="25"/>
  <c r="X727" i="25"/>
  <c r="AD727" i="25" s="1"/>
  <c r="W727" i="25"/>
  <c r="AC727" i="25" s="1"/>
  <c r="V727" i="25"/>
  <c r="AB727" i="25" s="1"/>
  <c r="AE726" i="25"/>
  <c r="X726" i="25"/>
  <c r="AD726" i="25" s="1"/>
  <c r="W726" i="25"/>
  <c r="AC726" i="25" s="1"/>
  <c r="V726" i="25"/>
  <c r="AB726" i="25" s="1"/>
  <c r="AE725" i="25"/>
  <c r="X725" i="25"/>
  <c r="AD725" i="25" s="1"/>
  <c r="W725" i="25"/>
  <c r="AC725" i="25" s="1"/>
  <c r="V725" i="25"/>
  <c r="AB725" i="25" s="1"/>
  <c r="AE724" i="25"/>
  <c r="X724" i="25"/>
  <c r="AD724" i="25" s="1"/>
  <c r="W724" i="25"/>
  <c r="AC724" i="25" s="1"/>
  <c r="V724" i="25"/>
  <c r="AB724" i="25" s="1"/>
  <c r="AE723" i="25"/>
  <c r="X723" i="25"/>
  <c r="AD723" i="25" s="1"/>
  <c r="W723" i="25"/>
  <c r="AC723" i="25" s="1"/>
  <c r="V723" i="25"/>
  <c r="AB723" i="25" s="1"/>
  <c r="AE722" i="25"/>
  <c r="X722" i="25"/>
  <c r="AD722" i="25" s="1"/>
  <c r="W722" i="25"/>
  <c r="AC722" i="25" s="1"/>
  <c r="V722" i="25"/>
  <c r="AB722" i="25" s="1"/>
  <c r="AE721" i="25"/>
  <c r="X721" i="25"/>
  <c r="AD721" i="25" s="1"/>
  <c r="W721" i="25"/>
  <c r="AC721" i="25" s="1"/>
  <c r="V721" i="25"/>
  <c r="AB721" i="25" s="1"/>
  <c r="AE720" i="25"/>
  <c r="X720" i="25"/>
  <c r="AD720" i="25" s="1"/>
  <c r="W720" i="25"/>
  <c r="AC720" i="25" s="1"/>
  <c r="V720" i="25"/>
  <c r="AB720" i="25" s="1"/>
  <c r="AE719" i="25"/>
  <c r="AB719" i="25"/>
  <c r="X719" i="25"/>
  <c r="AD719" i="25" s="1"/>
  <c r="W719" i="25"/>
  <c r="AC719" i="25" s="1"/>
  <c r="V719" i="25"/>
  <c r="AE718" i="25"/>
  <c r="X718" i="25"/>
  <c r="AD718" i="25" s="1"/>
  <c r="W718" i="25"/>
  <c r="AC718" i="25" s="1"/>
  <c r="V718" i="25"/>
  <c r="AB718" i="25" s="1"/>
  <c r="AE717" i="25"/>
  <c r="X717" i="25"/>
  <c r="AD717" i="25" s="1"/>
  <c r="W717" i="25"/>
  <c r="AC717" i="25" s="1"/>
  <c r="V717" i="25"/>
  <c r="AB717" i="25" s="1"/>
  <c r="AE716" i="25"/>
  <c r="X716" i="25"/>
  <c r="AD716" i="25" s="1"/>
  <c r="W716" i="25"/>
  <c r="AC716" i="25" s="1"/>
  <c r="V716" i="25"/>
  <c r="AB716" i="25" s="1"/>
  <c r="AE715" i="25"/>
  <c r="X715" i="25"/>
  <c r="AD715" i="25" s="1"/>
  <c r="W715" i="25"/>
  <c r="AC715" i="25" s="1"/>
  <c r="V715" i="25"/>
  <c r="AB715" i="25" s="1"/>
  <c r="AE714" i="25"/>
  <c r="X714" i="25"/>
  <c r="AD714" i="25" s="1"/>
  <c r="W714" i="25"/>
  <c r="AC714" i="25" s="1"/>
  <c r="V714" i="25"/>
  <c r="AB714" i="25" s="1"/>
  <c r="AE713" i="25"/>
  <c r="X713" i="25"/>
  <c r="AD713" i="25" s="1"/>
  <c r="W713" i="25"/>
  <c r="AC713" i="25" s="1"/>
  <c r="V713" i="25"/>
  <c r="AB713" i="25" s="1"/>
  <c r="AE712" i="25"/>
  <c r="X712" i="25"/>
  <c r="AD712" i="25" s="1"/>
  <c r="W712" i="25"/>
  <c r="AC712" i="25" s="1"/>
  <c r="V712" i="25"/>
  <c r="AB712" i="25" s="1"/>
  <c r="AE711" i="25"/>
  <c r="X711" i="25"/>
  <c r="AD711" i="25" s="1"/>
  <c r="W711" i="25"/>
  <c r="AC711" i="25" s="1"/>
  <c r="V711" i="25"/>
  <c r="AB711" i="25" s="1"/>
  <c r="AE710" i="25"/>
  <c r="X710" i="25"/>
  <c r="AD710" i="25" s="1"/>
  <c r="W710" i="25"/>
  <c r="AC710" i="25" s="1"/>
  <c r="V710" i="25"/>
  <c r="AB710" i="25" s="1"/>
  <c r="AE709" i="25"/>
  <c r="X709" i="25"/>
  <c r="AD709" i="25" s="1"/>
  <c r="W709" i="25"/>
  <c r="AC709" i="25" s="1"/>
  <c r="V709" i="25"/>
  <c r="AB709" i="25" s="1"/>
  <c r="AE708" i="25"/>
  <c r="X708" i="25"/>
  <c r="AD708" i="25" s="1"/>
  <c r="W708" i="25"/>
  <c r="AC708" i="25" s="1"/>
  <c r="V708" i="25"/>
  <c r="AB708" i="25" s="1"/>
  <c r="AE707" i="25"/>
  <c r="X707" i="25"/>
  <c r="AD707" i="25" s="1"/>
  <c r="W707" i="25"/>
  <c r="AC707" i="25" s="1"/>
  <c r="V707" i="25"/>
  <c r="AB707" i="25" s="1"/>
  <c r="AE706" i="25"/>
  <c r="X706" i="25"/>
  <c r="AD706" i="25" s="1"/>
  <c r="W706" i="25"/>
  <c r="AC706" i="25" s="1"/>
  <c r="V706" i="25"/>
  <c r="AB706" i="25" s="1"/>
  <c r="AE705" i="25"/>
  <c r="X705" i="25"/>
  <c r="AD705" i="25" s="1"/>
  <c r="W705" i="25"/>
  <c r="AC705" i="25" s="1"/>
  <c r="V705" i="25"/>
  <c r="AB705" i="25" s="1"/>
  <c r="AE704" i="25"/>
  <c r="X704" i="25"/>
  <c r="AD704" i="25" s="1"/>
  <c r="W704" i="25"/>
  <c r="AC704" i="25" s="1"/>
  <c r="V704" i="25"/>
  <c r="AB704" i="25" s="1"/>
  <c r="AE703" i="25"/>
  <c r="AB703" i="25"/>
  <c r="X703" i="25"/>
  <c r="AD703" i="25" s="1"/>
  <c r="W703" i="25"/>
  <c r="AC703" i="25" s="1"/>
  <c r="V703" i="25"/>
  <c r="AE702" i="25"/>
  <c r="X702" i="25"/>
  <c r="AD702" i="25" s="1"/>
  <c r="W702" i="25"/>
  <c r="AC702" i="25" s="1"/>
  <c r="V702" i="25"/>
  <c r="AB702" i="25" s="1"/>
  <c r="AE701" i="25"/>
  <c r="X701" i="25"/>
  <c r="AD701" i="25" s="1"/>
  <c r="W701" i="25"/>
  <c r="AC701" i="25" s="1"/>
  <c r="V701" i="25"/>
  <c r="AB701" i="25" s="1"/>
  <c r="AE700" i="25"/>
  <c r="X700" i="25"/>
  <c r="AD700" i="25" s="1"/>
  <c r="W700" i="25"/>
  <c r="AC700" i="25" s="1"/>
  <c r="V700" i="25"/>
  <c r="AB700" i="25" s="1"/>
  <c r="AE699" i="25"/>
  <c r="X699" i="25"/>
  <c r="AD699" i="25" s="1"/>
  <c r="W699" i="25"/>
  <c r="AC699" i="25" s="1"/>
  <c r="V699" i="25"/>
  <c r="AB699" i="25" s="1"/>
  <c r="AE698" i="25"/>
  <c r="X698" i="25"/>
  <c r="AD698" i="25" s="1"/>
  <c r="W698" i="25"/>
  <c r="AC698" i="25" s="1"/>
  <c r="V698" i="25"/>
  <c r="AB698" i="25" s="1"/>
  <c r="AE697" i="25"/>
  <c r="X697" i="25"/>
  <c r="AD697" i="25" s="1"/>
  <c r="W697" i="25"/>
  <c r="AC697" i="25" s="1"/>
  <c r="V697" i="25"/>
  <c r="AB697" i="25" s="1"/>
  <c r="AE696" i="25"/>
  <c r="X696" i="25"/>
  <c r="AD696" i="25" s="1"/>
  <c r="W696" i="25"/>
  <c r="AC696" i="25" s="1"/>
  <c r="V696" i="25"/>
  <c r="AB696" i="25" s="1"/>
  <c r="AE695" i="25"/>
  <c r="X695" i="25"/>
  <c r="AD695" i="25" s="1"/>
  <c r="W695" i="25"/>
  <c r="AC695" i="25" s="1"/>
  <c r="V695" i="25"/>
  <c r="AB695" i="25" s="1"/>
  <c r="AE694" i="25"/>
  <c r="X694" i="25"/>
  <c r="AD694" i="25" s="1"/>
  <c r="W694" i="25"/>
  <c r="AC694" i="25" s="1"/>
  <c r="V694" i="25"/>
  <c r="AB694" i="25" s="1"/>
  <c r="AE693" i="25"/>
  <c r="X693" i="25"/>
  <c r="AD693" i="25" s="1"/>
  <c r="W693" i="25"/>
  <c r="AC693" i="25" s="1"/>
  <c r="V693" i="25"/>
  <c r="AB693" i="25" s="1"/>
  <c r="AE692" i="25"/>
  <c r="X692" i="25"/>
  <c r="AD692" i="25" s="1"/>
  <c r="W692" i="25"/>
  <c r="AC692" i="25" s="1"/>
  <c r="V692" i="25"/>
  <c r="AB692" i="25" s="1"/>
  <c r="AE691" i="25"/>
  <c r="X691" i="25"/>
  <c r="AD691" i="25" s="1"/>
  <c r="W691" i="25"/>
  <c r="AC691" i="25" s="1"/>
  <c r="V691" i="25"/>
  <c r="AB691" i="25" s="1"/>
  <c r="AE690" i="25"/>
  <c r="X690" i="25"/>
  <c r="AD690" i="25" s="1"/>
  <c r="W690" i="25"/>
  <c r="AC690" i="25" s="1"/>
  <c r="V690" i="25"/>
  <c r="AB690" i="25" s="1"/>
  <c r="AE689" i="25"/>
  <c r="X689" i="25"/>
  <c r="AD689" i="25" s="1"/>
  <c r="W689" i="25"/>
  <c r="AC689" i="25" s="1"/>
  <c r="V689" i="25"/>
  <c r="AB689" i="25" s="1"/>
  <c r="AE688" i="25"/>
  <c r="X688" i="25"/>
  <c r="AD688" i="25" s="1"/>
  <c r="W688" i="25"/>
  <c r="AC688" i="25" s="1"/>
  <c r="V688" i="25"/>
  <c r="AB688" i="25" s="1"/>
  <c r="AE687" i="25"/>
  <c r="X687" i="25"/>
  <c r="AD687" i="25" s="1"/>
  <c r="W687" i="25"/>
  <c r="AC687" i="25" s="1"/>
  <c r="V687" i="25"/>
  <c r="AB687" i="25" s="1"/>
  <c r="AE686" i="25"/>
  <c r="X686" i="25"/>
  <c r="AD686" i="25" s="1"/>
  <c r="W686" i="25"/>
  <c r="AC686" i="25" s="1"/>
  <c r="V686" i="25"/>
  <c r="AB686" i="25" s="1"/>
  <c r="AE685" i="25"/>
  <c r="X685" i="25"/>
  <c r="AD685" i="25" s="1"/>
  <c r="W685" i="25"/>
  <c r="AC685" i="25" s="1"/>
  <c r="V685" i="25"/>
  <c r="AB685" i="25" s="1"/>
  <c r="AE684" i="25"/>
  <c r="X684" i="25"/>
  <c r="AD684" i="25" s="1"/>
  <c r="W684" i="25"/>
  <c r="AC684" i="25" s="1"/>
  <c r="V684" i="25"/>
  <c r="AB684" i="25" s="1"/>
  <c r="AE683" i="25"/>
  <c r="X683" i="25"/>
  <c r="AD683" i="25" s="1"/>
  <c r="W683" i="25"/>
  <c r="AC683" i="25" s="1"/>
  <c r="V683" i="25"/>
  <c r="AB683" i="25" s="1"/>
  <c r="AE682" i="25"/>
  <c r="X682" i="25"/>
  <c r="AD682" i="25" s="1"/>
  <c r="W682" i="25"/>
  <c r="AC682" i="25" s="1"/>
  <c r="V682" i="25"/>
  <c r="AB682" i="25" s="1"/>
  <c r="AE681" i="25"/>
  <c r="X681" i="25"/>
  <c r="AD681" i="25" s="1"/>
  <c r="W681" i="25"/>
  <c r="AC681" i="25" s="1"/>
  <c r="V681" i="25"/>
  <c r="AB681" i="25" s="1"/>
  <c r="AE680" i="25"/>
  <c r="X680" i="25"/>
  <c r="AD680" i="25" s="1"/>
  <c r="W680" i="25"/>
  <c r="AC680" i="25" s="1"/>
  <c r="V680" i="25"/>
  <c r="AB680" i="25" s="1"/>
  <c r="AE679" i="25"/>
  <c r="X679" i="25"/>
  <c r="AD679" i="25" s="1"/>
  <c r="W679" i="25"/>
  <c r="AC679" i="25" s="1"/>
  <c r="V679" i="25"/>
  <c r="AB679" i="25" s="1"/>
  <c r="AE678" i="25"/>
  <c r="X678" i="25"/>
  <c r="AD678" i="25" s="1"/>
  <c r="W678" i="25"/>
  <c r="AC678" i="25" s="1"/>
  <c r="V678" i="25"/>
  <c r="AB678" i="25" s="1"/>
  <c r="AE677" i="25"/>
  <c r="X677" i="25"/>
  <c r="AD677" i="25" s="1"/>
  <c r="W677" i="25"/>
  <c r="AC677" i="25" s="1"/>
  <c r="V677" i="25"/>
  <c r="AB677" i="25" s="1"/>
  <c r="AE676" i="25"/>
  <c r="AB676" i="25"/>
  <c r="X676" i="25"/>
  <c r="AD676" i="25" s="1"/>
  <c r="W676" i="25"/>
  <c r="AC676" i="25" s="1"/>
  <c r="V676" i="25"/>
  <c r="AE675" i="25"/>
  <c r="X675" i="25"/>
  <c r="AD675" i="25" s="1"/>
  <c r="W675" i="25"/>
  <c r="AC675" i="25" s="1"/>
  <c r="V675" i="25"/>
  <c r="AB675" i="25" s="1"/>
  <c r="AE674" i="25"/>
  <c r="X674" i="25"/>
  <c r="AD674" i="25" s="1"/>
  <c r="W674" i="25"/>
  <c r="AC674" i="25" s="1"/>
  <c r="V674" i="25"/>
  <c r="AB674" i="25" s="1"/>
  <c r="AE673" i="25"/>
  <c r="X673" i="25"/>
  <c r="AD673" i="25" s="1"/>
  <c r="W673" i="25"/>
  <c r="AC673" i="25" s="1"/>
  <c r="V673" i="25"/>
  <c r="AB673" i="25" s="1"/>
  <c r="AE672" i="25"/>
  <c r="X672" i="25"/>
  <c r="AD672" i="25" s="1"/>
  <c r="W672" i="25"/>
  <c r="AC672" i="25" s="1"/>
  <c r="V672" i="25"/>
  <c r="AB672" i="25" s="1"/>
  <c r="AE671" i="25"/>
  <c r="X671" i="25"/>
  <c r="AD671" i="25" s="1"/>
  <c r="W671" i="25"/>
  <c r="AC671" i="25" s="1"/>
  <c r="V671" i="25"/>
  <c r="AB671" i="25" s="1"/>
  <c r="AE670" i="25"/>
  <c r="X670" i="25"/>
  <c r="AD670" i="25" s="1"/>
  <c r="W670" i="25"/>
  <c r="AC670" i="25" s="1"/>
  <c r="V670" i="25"/>
  <c r="AB670" i="25" s="1"/>
  <c r="AE669" i="25"/>
  <c r="X669" i="25"/>
  <c r="AD669" i="25" s="1"/>
  <c r="W669" i="25"/>
  <c r="AC669" i="25" s="1"/>
  <c r="V669" i="25"/>
  <c r="AB669" i="25" s="1"/>
  <c r="AE668" i="25"/>
  <c r="X668" i="25"/>
  <c r="AD668" i="25" s="1"/>
  <c r="W668" i="25"/>
  <c r="AC668" i="25" s="1"/>
  <c r="V668" i="25"/>
  <c r="AB668" i="25" s="1"/>
  <c r="AE667" i="25"/>
  <c r="X667" i="25"/>
  <c r="AD667" i="25" s="1"/>
  <c r="W667" i="25"/>
  <c r="AC667" i="25" s="1"/>
  <c r="V667" i="25"/>
  <c r="AB667" i="25" s="1"/>
  <c r="AE666" i="25"/>
  <c r="X666" i="25"/>
  <c r="AD666" i="25" s="1"/>
  <c r="W666" i="25"/>
  <c r="AC666" i="25" s="1"/>
  <c r="V666" i="25"/>
  <c r="AB666" i="25" s="1"/>
  <c r="AE665" i="25"/>
  <c r="X665" i="25"/>
  <c r="AD665" i="25" s="1"/>
  <c r="W665" i="25"/>
  <c r="AC665" i="25" s="1"/>
  <c r="V665" i="25"/>
  <c r="AB665" i="25" s="1"/>
  <c r="AE664" i="25"/>
  <c r="X664" i="25"/>
  <c r="AD664" i="25" s="1"/>
  <c r="W664" i="25"/>
  <c r="AC664" i="25" s="1"/>
  <c r="V664" i="25"/>
  <c r="AB664" i="25" s="1"/>
  <c r="AE663" i="25"/>
  <c r="X663" i="25"/>
  <c r="AD663" i="25" s="1"/>
  <c r="W663" i="25"/>
  <c r="AC663" i="25" s="1"/>
  <c r="V663" i="25"/>
  <c r="AB663" i="25" s="1"/>
  <c r="AE662" i="25"/>
  <c r="X662" i="25"/>
  <c r="AD662" i="25" s="1"/>
  <c r="W662" i="25"/>
  <c r="AC662" i="25" s="1"/>
  <c r="V662" i="25"/>
  <c r="AB662" i="25" s="1"/>
  <c r="AG661" i="25"/>
  <c r="AE661" i="25"/>
  <c r="X661" i="25"/>
  <c r="AD661" i="25" s="1"/>
  <c r="W661" i="25"/>
  <c r="AC661" i="25" s="1"/>
  <c r="V661" i="25"/>
  <c r="AB661" i="25" s="1"/>
  <c r="AG660" i="25"/>
  <c r="AE660" i="25"/>
  <c r="X660" i="25"/>
  <c r="AD660" i="25" s="1"/>
  <c r="W660" i="25"/>
  <c r="AC660" i="25" s="1"/>
  <c r="V660" i="25"/>
  <c r="AB660" i="25" s="1"/>
  <c r="AG659" i="25"/>
  <c r="AE659" i="25"/>
  <c r="X659" i="25"/>
  <c r="AD659" i="25" s="1"/>
  <c r="W659" i="25"/>
  <c r="AC659" i="25" s="1"/>
  <c r="V659" i="25"/>
  <c r="AB659" i="25" s="1"/>
  <c r="AG658" i="25"/>
  <c r="AE658" i="25"/>
  <c r="X658" i="25"/>
  <c r="AD658" i="25" s="1"/>
  <c r="W658" i="25"/>
  <c r="AC658" i="25" s="1"/>
  <c r="V658" i="25"/>
  <c r="AB658" i="25" s="1"/>
  <c r="AG657" i="25"/>
  <c r="AE657" i="25"/>
  <c r="X657" i="25"/>
  <c r="AD657" i="25" s="1"/>
  <c r="W657" i="25"/>
  <c r="AC657" i="25" s="1"/>
  <c r="V657" i="25"/>
  <c r="AB657" i="25" s="1"/>
  <c r="AG656" i="25"/>
  <c r="AE656" i="25"/>
  <c r="X656" i="25"/>
  <c r="AD656" i="25" s="1"/>
  <c r="W656" i="25"/>
  <c r="AC656" i="25" s="1"/>
  <c r="V656" i="25"/>
  <c r="AB656" i="25" s="1"/>
  <c r="AG655" i="25"/>
  <c r="AE655" i="25"/>
  <c r="AB655" i="25"/>
  <c r="X655" i="25"/>
  <c r="AD655" i="25" s="1"/>
  <c r="W655" i="25"/>
  <c r="AC655" i="25" s="1"/>
  <c r="V655" i="25"/>
  <c r="AG654" i="25"/>
  <c r="AE654" i="25"/>
  <c r="X654" i="25"/>
  <c r="AD654" i="25" s="1"/>
  <c r="W654" i="25"/>
  <c r="AC654" i="25" s="1"/>
  <c r="V654" i="25"/>
  <c r="AB654" i="25" s="1"/>
  <c r="AG653" i="25"/>
  <c r="AE653" i="25"/>
  <c r="X653" i="25"/>
  <c r="AD653" i="25" s="1"/>
  <c r="W653" i="25"/>
  <c r="AC653" i="25" s="1"/>
  <c r="V653" i="25"/>
  <c r="AB653" i="25" s="1"/>
  <c r="AG652" i="25"/>
  <c r="AE652" i="25"/>
  <c r="AB652" i="25"/>
  <c r="X652" i="25"/>
  <c r="AD652" i="25" s="1"/>
  <c r="W652" i="25"/>
  <c r="AC652" i="25" s="1"/>
  <c r="V652" i="25"/>
  <c r="AG651" i="25"/>
  <c r="AE651" i="25"/>
  <c r="X651" i="25"/>
  <c r="AD651" i="25" s="1"/>
  <c r="W651" i="25"/>
  <c r="AC651" i="25" s="1"/>
  <c r="V651" i="25"/>
  <c r="AB651" i="25" s="1"/>
  <c r="AG650" i="25"/>
  <c r="AF650" i="25"/>
  <c r="X650" i="25"/>
  <c r="AD650" i="25" s="1"/>
  <c r="W650" i="25"/>
  <c r="AC650" i="25" s="1"/>
  <c r="V650" i="25"/>
  <c r="AB650" i="25" s="1"/>
  <c r="AG649" i="25"/>
  <c r="AF649" i="25"/>
  <c r="X649" i="25"/>
  <c r="AD649" i="25" s="1"/>
  <c r="W649" i="25"/>
  <c r="AC649" i="25" s="1"/>
  <c r="V649" i="25"/>
  <c r="AB649" i="25" s="1"/>
  <c r="AG648" i="25"/>
  <c r="AF648" i="25"/>
  <c r="X648" i="25"/>
  <c r="AD648" i="25" s="1"/>
  <c r="W648" i="25"/>
  <c r="AC648" i="25" s="1"/>
  <c r="V648" i="25"/>
  <c r="AB648" i="25" s="1"/>
  <c r="AG647" i="25"/>
  <c r="AF647" i="25"/>
  <c r="X647" i="25"/>
  <c r="AD647" i="25" s="1"/>
  <c r="W647" i="25"/>
  <c r="AC647" i="25" s="1"/>
  <c r="V647" i="25"/>
  <c r="AB647" i="25" s="1"/>
  <c r="AG646" i="25"/>
  <c r="AF646" i="25"/>
  <c r="X646" i="25"/>
  <c r="AD646" i="25" s="1"/>
  <c r="W646" i="25"/>
  <c r="AC646" i="25" s="1"/>
  <c r="V646" i="25"/>
  <c r="AB646" i="25" s="1"/>
  <c r="AG645" i="25"/>
  <c r="AF645" i="25"/>
  <c r="X645" i="25"/>
  <c r="AD645" i="25" s="1"/>
  <c r="W645" i="25"/>
  <c r="AC645" i="25" s="1"/>
  <c r="V645" i="25"/>
  <c r="AB645" i="25" s="1"/>
  <c r="AG644" i="25"/>
  <c r="AF644" i="25"/>
  <c r="X644" i="25"/>
  <c r="AD644" i="25" s="1"/>
  <c r="W644" i="25"/>
  <c r="AC644" i="25" s="1"/>
  <c r="V644" i="25"/>
  <c r="AB644" i="25" s="1"/>
  <c r="AG643" i="25"/>
  <c r="AF643" i="25"/>
  <c r="X643" i="25"/>
  <c r="AD643" i="25" s="1"/>
  <c r="W643" i="25"/>
  <c r="AC643" i="25" s="1"/>
  <c r="V643" i="25"/>
  <c r="AB643" i="25" s="1"/>
  <c r="AG642" i="25"/>
  <c r="AF642" i="25"/>
  <c r="X642" i="25"/>
  <c r="AD642" i="25" s="1"/>
  <c r="W642" i="25"/>
  <c r="AC642" i="25" s="1"/>
  <c r="V642" i="25"/>
  <c r="AB642" i="25" s="1"/>
  <c r="AG641" i="25"/>
  <c r="AF641" i="25"/>
  <c r="X641" i="25"/>
  <c r="AD641" i="25" s="1"/>
  <c r="W641" i="25"/>
  <c r="AC641" i="25" s="1"/>
  <c r="V641" i="25"/>
  <c r="AB641" i="25" s="1"/>
  <c r="AG640" i="25"/>
  <c r="AF640" i="25"/>
  <c r="X640" i="25"/>
  <c r="AD640" i="25" s="1"/>
  <c r="W640" i="25"/>
  <c r="AC640" i="25" s="1"/>
  <c r="V640" i="25"/>
  <c r="AB640" i="25" s="1"/>
  <c r="AG639" i="25"/>
  <c r="AE639" i="25"/>
  <c r="X639" i="25"/>
  <c r="AD639" i="25" s="1"/>
  <c r="W639" i="25"/>
  <c r="AC639" i="25" s="1"/>
  <c r="V639" i="25"/>
  <c r="AB639" i="25" s="1"/>
  <c r="AG638" i="25"/>
  <c r="AE638" i="25"/>
  <c r="X638" i="25"/>
  <c r="AD638" i="25" s="1"/>
  <c r="W638" i="25"/>
  <c r="AC638" i="25" s="1"/>
  <c r="V638" i="25"/>
  <c r="AB638" i="25" s="1"/>
  <c r="AG637" i="25"/>
  <c r="AE637" i="25"/>
  <c r="X637" i="25"/>
  <c r="AD637" i="25" s="1"/>
  <c r="W637" i="25"/>
  <c r="AC637" i="25" s="1"/>
  <c r="V637" i="25"/>
  <c r="AB637" i="25" s="1"/>
  <c r="AG636" i="25"/>
  <c r="AE636" i="25"/>
  <c r="X636" i="25"/>
  <c r="AD636" i="25" s="1"/>
  <c r="W636" i="25"/>
  <c r="AC636" i="25" s="1"/>
  <c r="V636" i="25"/>
  <c r="AB636" i="25" s="1"/>
  <c r="AG635" i="25"/>
  <c r="AE635" i="25"/>
  <c r="X635" i="25"/>
  <c r="AD635" i="25" s="1"/>
  <c r="W635" i="25"/>
  <c r="AC635" i="25" s="1"/>
  <c r="V635" i="25"/>
  <c r="AB635" i="25" s="1"/>
  <c r="AG634" i="25"/>
  <c r="AE634" i="25"/>
  <c r="X634" i="25"/>
  <c r="AD634" i="25" s="1"/>
  <c r="W634" i="25"/>
  <c r="AC634" i="25" s="1"/>
  <c r="V634" i="25"/>
  <c r="AB634" i="25" s="1"/>
  <c r="AG633" i="25"/>
  <c r="AE633" i="25"/>
  <c r="X633" i="25"/>
  <c r="AD633" i="25" s="1"/>
  <c r="W633" i="25"/>
  <c r="AC633" i="25" s="1"/>
  <c r="V633" i="25"/>
  <c r="AB633" i="25" s="1"/>
  <c r="AG632" i="25"/>
  <c r="AE632" i="25"/>
  <c r="X632" i="25"/>
  <c r="AD632" i="25" s="1"/>
  <c r="W632" i="25"/>
  <c r="AC632" i="25" s="1"/>
  <c r="V632" i="25"/>
  <c r="AB632" i="25" s="1"/>
  <c r="AG631" i="25"/>
  <c r="AE631" i="25"/>
  <c r="X631" i="25"/>
  <c r="AD631" i="25" s="1"/>
  <c r="W631" i="25"/>
  <c r="AC631" i="25" s="1"/>
  <c r="V631" i="25"/>
  <c r="AB631" i="25" s="1"/>
  <c r="AG630" i="25"/>
  <c r="AE630" i="25"/>
  <c r="X630" i="25"/>
  <c r="AD630" i="25" s="1"/>
  <c r="W630" i="25"/>
  <c r="AC630" i="25" s="1"/>
  <c r="V630" i="25"/>
  <c r="AB630" i="25" s="1"/>
  <c r="AG629" i="25"/>
  <c r="AE629" i="25"/>
  <c r="X629" i="25"/>
  <c r="AD629" i="25" s="1"/>
  <c r="W629" i="25"/>
  <c r="AC629" i="25" s="1"/>
  <c r="V629" i="25"/>
  <c r="AB629" i="25" s="1"/>
  <c r="AE628" i="25"/>
  <c r="X628" i="25"/>
  <c r="AD628" i="25" s="1"/>
  <c r="W628" i="25"/>
  <c r="AC628" i="25" s="1"/>
  <c r="V628" i="25"/>
  <c r="AB628" i="25" s="1"/>
  <c r="AE627" i="25"/>
  <c r="X627" i="25"/>
  <c r="AD627" i="25" s="1"/>
  <c r="W627" i="25"/>
  <c r="AC627" i="25" s="1"/>
  <c r="V627" i="25"/>
  <c r="AB627" i="25" s="1"/>
  <c r="AE626" i="25"/>
  <c r="X626" i="25"/>
  <c r="AD626" i="25" s="1"/>
  <c r="W626" i="25"/>
  <c r="AC626" i="25" s="1"/>
  <c r="V626" i="25"/>
  <c r="AB626" i="25" s="1"/>
  <c r="AE625" i="25"/>
  <c r="X625" i="25"/>
  <c r="AD625" i="25" s="1"/>
  <c r="W625" i="25"/>
  <c r="AC625" i="25" s="1"/>
  <c r="V625" i="25"/>
  <c r="AB625" i="25" s="1"/>
  <c r="AE624" i="25"/>
  <c r="X624" i="25"/>
  <c r="AD624" i="25" s="1"/>
  <c r="W624" i="25"/>
  <c r="AC624" i="25" s="1"/>
  <c r="V624" i="25"/>
  <c r="AB624" i="25" s="1"/>
  <c r="AE623" i="25"/>
  <c r="X623" i="25"/>
  <c r="AD623" i="25" s="1"/>
  <c r="W623" i="25"/>
  <c r="AC623" i="25" s="1"/>
  <c r="V623" i="25"/>
  <c r="AB623" i="25" s="1"/>
  <c r="AE622" i="25"/>
  <c r="X622" i="25"/>
  <c r="AD622" i="25" s="1"/>
  <c r="W622" i="25"/>
  <c r="AC622" i="25" s="1"/>
  <c r="V622" i="25"/>
  <c r="AB622" i="25" s="1"/>
  <c r="AE621" i="25"/>
  <c r="X621" i="25"/>
  <c r="AD621" i="25" s="1"/>
  <c r="W621" i="25"/>
  <c r="AC621" i="25" s="1"/>
  <c r="V621" i="25"/>
  <c r="AB621" i="25" s="1"/>
  <c r="AE620" i="25"/>
  <c r="X620" i="25"/>
  <c r="AD620" i="25" s="1"/>
  <c r="W620" i="25"/>
  <c r="AC620" i="25" s="1"/>
  <c r="V620" i="25"/>
  <c r="AB620" i="25" s="1"/>
  <c r="AE619" i="25"/>
  <c r="X619" i="25"/>
  <c r="AD619" i="25" s="1"/>
  <c r="W619" i="25"/>
  <c r="AC619" i="25" s="1"/>
  <c r="V619" i="25"/>
  <c r="AB619" i="25" s="1"/>
  <c r="AE618" i="25"/>
  <c r="X618" i="25"/>
  <c r="AD618" i="25" s="1"/>
  <c r="W618" i="25"/>
  <c r="AC618" i="25" s="1"/>
  <c r="V618" i="25"/>
  <c r="AB618" i="25" s="1"/>
  <c r="AE617" i="25"/>
  <c r="X617" i="25"/>
  <c r="AD617" i="25" s="1"/>
  <c r="W617" i="25"/>
  <c r="AC617" i="25" s="1"/>
  <c r="V617" i="25"/>
  <c r="AB617" i="25" s="1"/>
  <c r="AG616" i="25"/>
  <c r="AF616" i="25"/>
  <c r="X616" i="25"/>
  <c r="AD616" i="25" s="1"/>
  <c r="W616" i="25"/>
  <c r="AC616" i="25" s="1"/>
  <c r="V616" i="25"/>
  <c r="AB616" i="25" s="1"/>
  <c r="AG615" i="25"/>
  <c r="AF615" i="25"/>
  <c r="X615" i="25"/>
  <c r="AD615" i="25" s="1"/>
  <c r="W615" i="25"/>
  <c r="AC615" i="25" s="1"/>
  <c r="V615" i="25"/>
  <c r="AB615" i="25" s="1"/>
  <c r="AG614" i="25"/>
  <c r="AF614" i="25"/>
  <c r="X614" i="25"/>
  <c r="AD614" i="25" s="1"/>
  <c r="W614" i="25"/>
  <c r="AC614" i="25" s="1"/>
  <c r="V614" i="25"/>
  <c r="AB614" i="25" s="1"/>
  <c r="AG613" i="25"/>
  <c r="AF613" i="25"/>
  <c r="X613" i="25"/>
  <c r="AD613" i="25" s="1"/>
  <c r="W613" i="25"/>
  <c r="AC613" i="25" s="1"/>
  <c r="V613" i="25"/>
  <c r="AB613" i="25" s="1"/>
  <c r="AG612" i="25"/>
  <c r="AF612" i="25"/>
  <c r="X612" i="25"/>
  <c r="AD612" i="25" s="1"/>
  <c r="W612" i="25"/>
  <c r="AC612" i="25" s="1"/>
  <c r="V612" i="25"/>
  <c r="AB612" i="25" s="1"/>
  <c r="AG611" i="25"/>
  <c r="AF611" i="25"/>
  <c r="X611" i="25"/>
  <c r="AD611" i="25" s="1"/>
  <c r="W611" i="25"/>
  <c r="AC611" i="25" s="1"/>
  <c r="V611" i="25"/>
  <c r="AB611" i="25" s="1"/>
  <c r="AG610" i="25"/>
  <c r="AF610" i="25"/>
  <c r="X610" i="25"/>
  <c r="AD610" i="25" s="1"/>
  <c r="W610" i="25"/>
  <c r="AC610" i="25" s="1"/>
  <c r="V610" i="25"/>
  <c r="AB610" i="25" s="1"/>
  <c r="AG609" i="25"/>
  <c r="AF609" i="25"/>
  <c r="X609" i="25"/>
  <c r="AD609" i="25" s="1"/>
  <c r="W609" i="25"/>
  <c r="AC609" i="25" s="1"/>
  <c r="V609" i="25"/>
  <c r="AB609" i="25" s="1"/>
  <c r="AG608" i="25"/>
  <c r="AF608" i="25"/>
  <c r="X608" i="25"/>
  <c r="AD608" i="25" s="1"/>
  <c r="W608" i="25"/>
  <c r="AC608" i="25" s="1"/>
  <c r="V608" i="25"/>
  <c r="AB608" i="25" s="1"/>
  <c r="AG607" i="25"/>
  <c r="AF607" i="25"/>
  <c r="X607" i="25"/>
  <c r="AD607" i="25" s="1"/>
  <c r="W607" i="25"/>
  <c r="AC607" i="25" s="1"/>
  <c r="V607" i="25"/>
  <c r="AB607" i="25" s="1"/>
  <c r="AG606" i="25"/>
  <c r="AF606" i="25"/>
  <c r="X606" i="25"/>
  <c r="AD606" i="25" s="1"/>
  <c r="W606" i="25"/>
  <c r="AC606" i="25" s="1"/>
  <c r="V606" i="25"/>
  <c r="AB606" i="25" s="1"/>
  <c r="AG605" i="25"/>
  <c r="AF605" i="25"/>
  <c r="X605" i="25"/>
  <c r="AD605" i="25" s="1"/>
  <c r="W605" i="25"/>
  <c r="AC605" i="25" s="1"/>
  <c r="V605" i="25"/>
  <c r="AB605" i="25" s="1"/>
  <c r="AE604" i="25"/>
  <c r="X604" i="25"/>
  <c r="AD604" i="25" s="1"/>
  <c r="W604" i="25"/>
  <c r="AC604" i="25" s="1"/>
  <c r="V604" i="25"/>
  <c r="AB604" i="25" s="1"/>
  <c r="AE603" i="25"/>
  <c r="X603" i="25"/>
  <c r="AD603" i="25" s="1"/>
  <c r="W603" i="25"/>
  <c r="AC603" i="25" s="1"/>
  <c r="V603" i="25"/>
  <c r="AB603" i="25" s="1"/>
  <c r="AE602" i="25"/>
  <c r="X602" i="25"/>
  <c r="AD602" i="25" s="1"/>
  <c r="W602" i="25"/>
  <c r="AC602" i="25" s="1"/>
  <c r="V602" i="25"/>
  <c r="AB602" i="25" s="1"/>
  <c r="AE601" i="25"/>
  <c r="X601" i="25"/>
  <c r="AD601" i="25" s="1"/>
  <c r="W601" i="25"/>
  <c r="AC601" i="25" s="1"/>
  <c r="V601" i="25"/>
  <c r="AB601" i="25" s="1"/>
  <c r="AE600" i="25"/>
  <c r="X600" i="25"/>
  <c r="AD600" i="25" s="1"/>
  <c r="W600" i="25"/>
  <c r="AC600" i="25" s="1"/>
  <c r="V600" i="25"/>
  <c r="AB600" i="25" s="1"/>
  <c r="AE599" i="25"/>
  <c r="X599" i="25"/>
  <c r="AD599" i="25" s="1"/>
  <c r="W599" i="25"/>
  <c r="AC599" i="25" s="1"/>
  <c r="V599" i="25"/>
  <c r="AB599" i="25" s="1"/>
  <c r="AE598" i="25"/>
  <c r="X598" i="25"/>
  <c r="AD598" i="25" s="1"/>
  <c r="W598" i="25"/>
  <c r="AC598" i="25" s="1"/>
  <c r="V598" i="25"/>
  <c r="AB598" i="25" s="1"/>
  <c r="AE597" i="25"/>
  <c r="X597" i="25"/>
  <c r="AD597" i="25" s="1"/>
  <c r="W597" i="25"/>
  <c r="AC597" i="25" s="1"/>
  <c r="V597" i="25"/>
  <c r="AB597" i="25" s="1"/>
  <c r="AE596" i="25"/>
  <c r="X596" i="25"/>
  <c r="AD596" i="25" s="1"/>
  <c r="W596" i="25"/>
  <c r="AC596" i="25" s="1"/>
  <c r="V596" i="25"/>
  <c r="AB596" i="25" s="1"/>
  <c r="AE595" i="25"/>
  <c r="X595" i="25"/>
  <c r="AD595" i="25" s="1"/>
  <c r="W595" i="25"/>
  <c r="AC595" i="25" s="1"/>
  <c r="V595" i="25"/>
  <c r="AB595" i="25" s="1"/>
  <c r="AE594" i="25"/>
  <c r="X594" i="25"/>
  <c r="AD594" i="25" s="1"/>
  <c r="W594" i="25"/>
  <c r="AC594" i="25" s="1"/>
  <c r="V594" i="25"/>
  <c r="AB594" i="25" s="1"/>
  <c r="AE593" i="25"/>
  <c r="X593" i="25"/>
  <c r="AD593" i="25" s="1"/>
  <c r="W593" i="25"/>
  <c r="AC593" i="25" s="1"/>
  <c r="V593" i="25"/>
  <c r="AB593" i="25" s="1"/>
  <c r="AE592" i="25"/>
  <c r="X592" i="25"/>
  <c r="AD592" i="25" s="1"/>
  <c r="W592" i="25"/>
  <c r="AC592" i="25" s="1"/>
  <c r="V592" i="25"/>
  <c r="AB592" i="25" s="1"/>
  <c r="AE591" i="25"/>
  <c r="X591" i="25"/>
  <c r="AD591" i="25" s="1"/>
  <c r="W591" i="25"/>
  <c r="AC591" i="25" s="1"/>
  <c r="V591" i="25"/>
  <c r="AB591" i="25" s="1"/>
  <c r="AE590" i="25"/>
  <c r="X590" i="25"/>
  <c r="AD590" i="25" s="1"/>
  <c r="W590" i="25"/>
  <c r="AC590" i="25" s="1"/>
  <c r="V590" i="25"/>
  <c r="AB590" i="25" s="1"/>
  <c r="AE589" i="25"/>
  <c r="X589" i="25"/>
  <c r="AD589" i="25" s="1"/>
  <c r="W589" i="25"/>
  <c r="AC589" i="25" s="1"/>
  <c r="V589" i="25"/>
  <c r="AB589" i="25" s="1"/>
  <c r="AE588" i="25"/>
  <c r="X588" i="25"/>
  <c r="AD588" i="25" s="1"/>
  <c r="W588" i="25"/>
  <c r="AC588" i="25" s="1"/>
  <c r="V588" i="25"/>
  <c r="AB588" i="25" s="1"/>
  <c r="AE587" i="25"/>
  <c r="X587" i="25"/>
  <c r="AD587" i="25" s="1"/>
  <c r="W587" i="25"/>
  <c r="AC587" i="25" s="1"/>
  <c r="V587" i="25"/>
  <c r="AB587" i="25" s="1"/>
  <c r="AE586" i="25"/>
  <c r="X586" i="25"/>
  <c r="AD586" i="25" s="1"/>
  <c r="W586" i="25"/>
  <c r="AC586" i="25" s="1"/>
  <c r="V586" i="25"/>
  <c r="AB586" i="25" s="1"/>
  <c r="AE585" i="25"/>
  <c r="X585" i="25"/>
  <c r="AD585" i="25" s="1"/>
  <c r="W585" i="25"/>
  <c r="AC585" i="25" s="1"/>
  <c r="V585" i="25"/>
  <c r="AB585" i="25" s="1"/>
  <c r="AE584" i="25"/>
  <c r="X584" i="25"/>
  <c r="AD584" i="25" s="1"/>
  <c r="W584" i="25"/>
  <c r="AC584" i="25" s="1"/>
  <c r="V584" i="25"/>
  <c r="AB584" i="25" s="1"/>
  <c r="AE583" i="25"/>
  <c r="X583" i="25"/>
  <c r="AD583" i="25" s="1"/>
  <c r="W583" i="25"/>
  <c r="AC583" i="25" s="1"/>
  <c r="V583" i="25"/>
  <c r="AB583" i="25" s="1"/>
  <c r="AE582" i="25"/>
  <c r="X582" i="25"/>
  <c r="AD582" i="25" s="1"/>
  <c r="W582" i="25"/>
  <c r="AC582" i="25" s="1"/>
  <c r="V582" i="25"/>
  <c r="AB582" i="25" s="1"/>
  <c r="AE581" i="25"/>
  <c r="X581" i="25"/>
  <c r="AD581" i="25" s="1"/>
  <c r="W581" i="25"/>
  <c r="AC581" i="25" s="1"/>
  <c r="V581" i="25"/>
  <c r="AB581" i="25" s="1"/>
  <c r="AG580" i="25"/>
  <c r="AF580" i="25"/>
  <c r="X580" i="25"/>
  <c r="AD580" i="25" s="1"/>
  <c r="W580" i="25"/>
  <c r="AC580" i="25" s="1"/>
  <c r="V580" i="25"/>
  <c r="AB580" i="25" s="1"/>
  <c r="AG579" i="25"/>
  <c r="AF579" i="25"/>
  <c r="X579" i="25"/>
  <c r="AD579" i="25" s="1"/>
  <c r="W579" i="25"/>
  <c r="AC579" i="25" s="1"/>
  <c r="V579" i="25"/>
  <c r="AB579" i="25" s="1"/>
  <c r="AG578" i="25"/>
  <c r="AF578" i="25"/>
  <c r="X578" i="25"/>
  <c r="AD578" i="25" s="1"/>
  <c r="W578" i="25"/>
  <c r="AC578" i="25" s="1"/>
  <c r="V578" i="25"/>
  <c r="AB578" i="25" s="1"/>
  <c r="AG577" i="25"/>
  <c r="AF577" i="25"/>
  <c r="X577" i="25"/>
  <c r="AD577" i="25" s="1"/>
  <c r="W577" i="25"/>
  <c r="AC577" i="25" s="1"/>
  <c r="V577" i="25"/>
  <c r="AB577" i="25" s="1"/>
  <c r="AG576" i="25"/>
  <c r="AF576" i="25"/>
  <c r="X576" i="25"/>
  <c r="AD576" i="25" s="1"/>
  <c r="W576" i="25"/>
  <c r="AC576" i="25" s="1"/>
  <c r="V576" i="25"/>
  <c r="AB576" i="25" s="1"/>
  <c r="AG575" i="25"/>
  <c r="AF575" i="25"/>
  <c r="X575" i="25"/>
  <c r="AD575" i="25" s="1"/>
  <c r="W575" i="25"/>
  <c r="AC575" i="25" s="1"/>
  <c r="V575" i="25"/>
  <c r="AB575" i="25" s="1"/>
  <c r="AG574" i="25"/>
  <c r="AF574" i="25"/>
  <c r="X574" i="25"/>
  <c r="AD574" i="25" s="1"/>
  <c r="W574" i="25"/>
  <c r="AC574" i="25" s="1"/>
  <c r="V574" i="25"/>
  <c r="AB574" i="25" s="1"/>
  <c r="AG573" i="25"/>
  <c r="AF573" i="25"/>
  <c r="X573" i="25"/>
  <c r="AD573" i="25" s="1"/>
  <c r="W573" i="25"/>
  <c r="AC573" i="25" s="1"/>
  <c r="V573" i="25"/>
  <c r="AB573" i="25" s="1"/>
  <c r="AG572" i="25"/>
  <c r="AF572" i="25"/>
  <c r="X572" i="25"/>
  <c r="AD572" i="25" s="1"/>
  <c r="W572" i="25"/>
  <c r="AC572" i="25" s="1"/>
  <c r="V572" i="25"/>
  <c r="AB572" i="25" s="1"/>
  <c r="AG571" i="25"/>
  <c r="AF571" i="25"/>
  <c r="X571" i="25"/>
  <c r="AD571" i="25" s="1"/>
  <c r="W571" i="25"/>
  <c r="AC571" i="25" s="1"/>
  <c r="V571" i="25"/>
  <c r="AB571" i="25" s="1"/>
  <c r="AG570" i="25"/>
  <c r="AF570" i="25"/>
  <c r="X570" i="25"/>
  <c r="AD570" i="25" s="1"/>
  <c r="W570" i="25"/>
  <c r="AC570" i="25" s="1"/>
  <c r="V570" i="25"/>
  <c r="AB570" i="25" s="1"/>
  <c r="AG569" i="25"/>
  <c r="AF569" i="25"/>
  <c r="X569" i="25"/>
  <c r="AD569" i="25" s="1"/>
  <c r="W569" i="25"/>
  <c r="AC569" i="25" s="1"/>
  <c r="V569" i="25"/>
  <c r="AB569" i="25" s="1"/>
  <c r="AE568" i="25"/>
  <c r="X568" i="25"/>
  <c r="AD568" i="25" s="1"/>
  <c r="W568" i="25"/>
  <c r="AC568" i="25" s="1"/>
  <c r="V568" i="25"/>
  <c r="AB568" i="25" s="1"/>
  <c r="AE567" i="25"/>
  <c r="X567" i="25"/>
  <c r="AD567" i="25" s="1"/>
  <c r="W567" i="25"/>
  <c r="AC567" i="25" s="1"/>
  <c r="V567" i="25"/>
  <c r="AB567" i="25" s="1"/>
  <c r="AE566" i="25"/>
  <c r="AB566" i="25"/>
  <c r="X566" i="25"/>
  <c r="AD566" i="25" s="1"/>
  <c r="W566" i="25"/>
  <c r="AC566" i="25" s="1"/>
  <c r="V566" i="25"/>
  <c r="AE565" i="25"/>
  <c r="X565" i="25"/>
  <c r="AD565" i="25" s="1"/>
  <c r="W565" i="25"/>
  <c r="AC565" i="25" s="1"/>
  <c r="V565" i="25"/>
  <c r="AB565" i="25" s="1"/>
  <c r="AE564" i="25"/>
  <c r="X564" i="25"/>
  <c r="AD564" i="25" s="1"/>
  <c r="W564" i="25"/>
  <c r="AC564" i="25" s="1"/>
  <c r="V564" i="25"/>
  <c r="AB564" i="25" s="1"/>
  <c r="AE563" i="25"/>
  <c r="X563" i="25"/>
  <c r="AD563" i="25" s="1"/>
  <c r="W563" i="25"/>
  <c r="AC563" i="25" s="1"/>
  <c r="V563" i="25"/>
  <c r="AB563" i="25" s="1"/>
  <c r="AE562" i="25"/>
  <c r="X562" i="25"/>
  <c r="AD562" i="25" s="1"/>
  <c r="W562" i="25"/>
  <c r="AC562" i="25" s="1"/>
  <c r="V562" i="25"/>
  <c r="AB562" i="25" s="1"/>
  <c r="AE561" i="25"/>
  <c r="X561" i="25"/>
  <c r="AD561" i="25" s="1"/>
  <c r="W561" i="25"/>
  <c r="AC561" i="25" s="1"/>
  <c r="V561" i="25"/>
  <c r="AB561" i="25" s="1"/>
  <c r="AE560" i="25"/>
  <c r="X560" i="25"/>
  <c r="AD560" i="25" s="1"/>
  <c r="W560" i="25"/>
  <c r="AC560" i="25" s="1"/>
  <c r="V560" i="25"/>
  <c r="AB560" i="25" s="1"/>
  <c r="AE559" i="25"/>
  <c r="X559" i="25"/>
  <c r="AD559" i="25" s="1"/>
  <c r="W559" i="25"/>
  <c r="AC559" i="25" s="1"/>
  <c r="V559" i="25"/>
  <c r="AB559" i="25" s="1"/>
  <c r="AE558" i="25"/>
  <c r="X558" i="25"/>
  <c r="AD558" i="25" s="1"/>
  <c r="W558" i="25"/>
  <c r="AC558" i="25" s="1"/>
  <c r="V558" i="25"/>
  <c r="AB558" i="25" s="1"/>
  <c r="AE557" i="25"/>
  <c r="X557" i="25"/>
  <c r="AD557" i="25" s="1"/>
  <c r="W557" i="25"/>
  <c r="AC557" i="25" s="1"/>
  <c r="V557" i="25"/>
  <c r="AB557" i="25" s="1"/>
  <c r="AE556" i="25"/>
  <c r="X556" i="25"/>
  <c r="AD556" i="25" s="1"/>
  <c r="W556" i="25"/>
  <c r="AC556" i="25" s="1"/>
  <c r="V556" i="25"/>
  <c r="AB556" i="25" s="1"/>
  <c r="AE555" i="25"/>
  <c r="X555" i="25"/>
  <c r="AD555" i="25" s="1"/>
  <c r="W555" i="25"/>
  <c r="AC555" i="25" s="1"/>
  <c r="V555" i="25"/>
  <c r="AB555" i="25" s="1"/>
  <c r="AE554" i="25"/>
  <c r="X554" i="25"/>
  <c r="AD554" i="25" s="1"/>
  <c r="W554" i="25"/>
  <c r="AC554" i="25" s="1"/>
  <c r="V554" i="25"/>
  <c r="AB554" i="25" s="1"/>
  <c r="AE553" i="25"/>
  <c r="AB553" i="25"/>
  <c r="X553" i="25"/>
  <c r="AD553" i="25" s="1"/>
  <c r="W553" i="25"/>
  <c r="AC553" i="25" s="1"/>
  <c r="V553" i="25"/>
  <c r="AE552" i="25"/>
  <c r="X552" i="25"/>
  <c r="AD552" i="25" s="1"/>
  <c r="W552" i="25"/>
  <c r="AC552" i="25" s="1"/>
  <c r="V552" i="25"/>
  <c r="AB552" i="25" s="1"/>
  <c r="AE551" i="25"/>
  <c r="X551" i="25"/>
  <c r="AD551" i="25" s="1"/>
  <c r="W551" i="25"/>
  <c r="AC551" i="25" s="1"/>
  <c r="V551" i="25"/>
  <c r="AB551" i="25" s="1"/>
  <c r="AE550" i="25"/>
  <c r="X550" i="25"/>
  <c r="AD550" i="25" s="1"/>
  <c r="W550" i="25"/>
  <c r="AC550" i="25" s="1"/>
  <c r="V550" i="25"/>
  <c r="AB550" i="25" s="1"/>
  <c r="AE549" i="25"/>
  <c r="X549" i="25"/>
  <c r="AD549" i="25" s="1"/>
  <c r="W549" i="25"/>
  <c r="AC549" i="25" s="1"/>
  <c r="V549" i="25"/>
  <c r="AB549" i="25" s="1"/>
  <c r="AE548" i="25"/>
  <c r="AC548" i="25"/>
  <c r="X548" i="25"/>
  <c r="AD548" i="25" s="1"/>
  <c r="W548" i="25"/>
  <c r="V548" i="25"/>
  <c r="AB548" i="25" s="1"/>
  <c r="AE547" i="25"/>
  <c r="X547" i="25"/>
  <c r="AD547" i="25" s="1"/>
  <c r="W547" i="25"/>
  <c r="AC547" i="25" s="1"/>
  <c r="V547" i="25"/>
  <c r="AB547" i="25" s="1"/>
  <c r="AE546" i="25"/>
  <c r="X546" i="25"/>
  <c r="AD546" i="25" s="1"/>
  <c r="W546" i="25"/>
  <c r="AC546" i="25" s="1"/>
  <c r="V546" i="25"/>
  <c r="AB546" i="25" s="1"/>
  <c r="AE545" i="25"/>
  <c r="X545" i="25"/>
  <c r="AD545" i="25" s="1"/>
  <c r="W545" i="25"/>
  <c r="AC545" i="25" s="1"/>
  <c r="V545" i="25"/>
  <c r="AB545" i="25" s="1"/>
  <c r="AG544" i="25"/>
  <c r="AF544" i="25"/>
  <c r="X544" i="25"/>
  <c r="AD544" i="25" s="1"/>
  <c r="W544" i="25"/>
  <c r="AC544" i="25" s="1"/>
  <c r="V544" i="25"/>
  <c r="AB544" i="25" s="1"/>
  <c r="AG543" i="25"/>
  <c r="AF543" i="25"/>
  <c r="X543" i="25"/>
  <c r="AD543" i="25" s="1"/>
  <c r="W543" i="25"/>
  <c r="AC543" i="25" s="1"/>
  <c r="V543" i="25"/>
  <c r="AB543" i="25" s="1"/>
  <c r="AG542" i="25"/>
  <c r="AF542" i="25"/>
  <c r="X542" i="25"/>
  <c r="AD542" i="25" s="1"/>
  <c r="W542" i="25"/>
  <c r="AC542" i="25" s="1"/>
  <c r="V542" i="25"/>
  <c r="AB542" i="25" s="1"/>
  <c r="AG541" i="25"/>
  <c r="AF541" i="25"/>
  <c r="X541" i="25"/>
  <c r="AD541" i="25" s="1"/>
  <c r="W541" i="25"/>
  <c r="AC541" i="25" s="1"/>
  <c r="V541" i="25"/>
  <c r="AB541" i="25" s="1"/>
  <c r="AG540" i="25"/>
  <c r="AF540" i="25"/>
  <c r="X540" i="25"/>
  <c r="AD540" i="25" s="1"/>
  <c r="W540" i="25"/>
  <c r="AC540" i="25" s="1"/>
  <c r="V540" i="25"/>
  <c r="AB540" i="25" s="1"/>
  <c r="AG539" i="25"/>
  <c r="AF539" i="25"/>
  <c r="X539" i="25"/>
  <c r="AD539" i="25" s="1"/>
  <c r="W539" i="25"/>
  <c r="AC539" i="25" s="1"/>
  <c r="V539" i="25"/>
  <c r="AB539" i="25" s="1"/>
  <c r="AG538" i="25"/>
  <c r="AF538" i="25"/>
  <c r="X538" i="25"/>
  <c r="AD538" i="25" s="1"/>
  <c r="W538" i="25"/>
  <c r="AC538" i="25" s="1"/>
  <c r="V538" i="25"/>
  <c r="AB538" i="25" s="1"/>
  <c r="AG537" i="25"/>
  <c r="AF537" i="25"/>
  <c r="X537" i="25"/>
  <c r="AD537" i="25" s="1"/>
  <c r="W537" i="25"/>
  <c r="AC537" i="25" s="1"/>
  <c r="V537" i="25"/>
  <c r="AB537" i="25" s="1"/>
  <c r="AG536" i="25"/>
  <c r="AF536" i="25"/>
  <c r="X536" i="25"/>
  <c r="AD536" i="25" s="1"/>
  <c r="W536" i="25"/>
  <c r="AC536" i="25" s="1"/>
  <c r="V536" i="25"/>
  <c r="AB536" i="25" s="1"/>
  <c r="AG535" i="25"/>
  <c r="AF535" i="25"/>
  <c r="X535" i="25"/>
  <c r="AD535" i="25" s="1"/>
  <c r="W535" i="25"/>
  <c r="AC535" i="25" s="1"/>
  <c r="V535" i="25"/>
  <c r="AB535" i="25" s="1"/>
  <c r="AG534" i="25"/>
  <c r="AF534" i="25"/>
  <c r="X534" i="25"/>
  <c r="AD534" i="25" s="1"/>
  <c r="W534" i="25"/>
  <c r="AC534" i="25" s="1"/>
  <c r="V534" i="25"/>
  <c r="AB534" i="25" s="1"/>
  <c r="AG533" i="25"/>
  <c r="AF533" i="25"/>
  <c r="X533" i="25"/>
  <c r="AD533" i="25" s="1"/>
  <c r="W533" i="25"/>
  <c r="AC533" i="25" s="1"/>
  <c r="V533" i="25"/>
  <c r="AB533" i="25" s="1"/>
  <c r="AE532" i="25"/>
  <c r="X532" i="25"/>
  <c r="AD532" i="25" s="1"/>
  <c r="W532" i="25"/>
  <c r="AC532" i="25" s="1"/>
  <c r="V532" i="25"/>
  <c r="AB532" i="25" s="1"/>
  <c r="AE531" i="25"/>
  <c r="X531" i="25"/>
  <c r="AD531" i="25" s="1"/>
  <c r="W531" i="25"/>
  <c r="AC531" i="25" s="1"/>
  <c r="V531" i="25"/>
  <c r="AB531" i="25" s="1"/>
  <c r="AE530" i="25"/>
  <c r="X530" i="25"/>
  <c r="AD530" i="25" s="1"/>
  <c r="W530" i="25"/>
  <c r="AC530" i="25" s="1"/>
  <c r="V530" i="25"/>
  <c r="AB530" i="25" s="1"/>
  <c r="AE529" i="25"/>
  <c r="X529" i="25"/>
  <c r="AD529" i="25" s="1"/>
  <c r="W529" i="25"/>
  <c r="AC529" i="25" s="1"/>
  <c r="V529" i="25"/>
  <c r="AB529" i="25" s="1"/>
  <c r="AE528" i="25"/>
  <c r="X528" i="25"/>
  <c r="AD528" i="25" s="1"/>
  <c r="W528" i="25"/>
  <c r="AC528" i="25" s="1"/>
  <c r="V528" i="25"/>
  <c r="AB528" i="25" s="1"/>
  <c r="AE527" i="25"/>
  <c r="X527" i="25"/>
  <c r="AD527" i="25" s="1"/>
  <c r="W527" i="25"/>
  <c r="AC527" i="25" s="1"/>
  <c r="V527" i="25"/>
  <c r="AB527" i="25" s="1"/>
  <c r="AE526" i="25"/>
  <c r="AD526" i="25"/>
  <c r="AC526" i="25"/>
  <c r="X526" i="25"/>
  <c r="W526" i="25"/>
  <c r="V526" i="25"/>
  <c r="AB526" i="25" s="1"/>
  <c r="AE525" i="25"/>
  <c r="AB525" i="25"/>
  <c r="X525" i="25"/>
  <c r="AD525" i="25" s="1"/>
  <c r="W525" i="25"/>
  <c r="AC525" i="25" s="1"/>
  <c r="V525" i="25"/>
  <c r="AE524" i="25"/>
  <c r="X524" i="25"/>
  <c r="AD524" i="25" s="1"/>
  <c r="W524" i="25"/>
  <c r="AC524" i="25" s="1"/>
  <c r="V524" i="25"/>
  <c r="AB524" i="25" s="1"/>
  <c r="AE523" i="25"/>
  <c r="X523" i="25"/>
  <c r="AD523" i="25" s="1"/>
  <c r="W523" i="25"/>
  <c r="AC523" i="25" s="1"/>
  <c r="V523" i="25"/>
  <c r="AB523" i="25" s="1"/>
  <c r="AE522" i="25"/>
  <c r="X522" i="25"/>
  <c r="AD522" i="25" s="1"/>
  <c r="W522" i="25"/>
  <c r="AC522" i="25" s="1"/>
  <c r="V522" i="25"/>
  <c r="AB522" i="25" s="1"/>
  <c r="AE521" i="25"/>
  <c r="X521" i="25"/>
  <c r="AD521" i="25" s="1"/>
  <c r="W521" i="25"/>
  <c r="AC521" i="25" s="1"/>
  <c r="V521" i="25"/>
  <c r="AB521" i="25" s="1"/>
  <c r="AE520" i="25"/>
  <c r="X520" i="25"/>
  <c r="AD520" i="25" s="1"/>
  <c r="W520" i="25"/>
  <c r="AC520" i="25" s="1"/>
  <c r="V520" i="25"/>
  <c r="AB520" i="25" s="1"/>
  <c r="AE519" i="25"/>
  <c r="X519" i="25"/>
  <c r="AD519" i="25" s="1"/>
  <c r="W519" i="25"/>
  <c r="AC519" i="25" s="1"/>
  <c r="V519" i="25"/>
  <c r="AB519" i="25" s="1"/>
  <c r="AE518" i="25"/>
  <c r="X518" i="25"/>
  <c r="AD518" i="25" s="1"/>
  <c r="W518" i="25"/>
  <c r="AC518" i="25" s="1"/>
  <c r="V518" i="25"/>
  <c r="AB518" i="25" s="1"/>
  <c r="AE517" i="25"/>
  <c r="X517" i="25"/>
  <c r="AD517" i="25" s="1"/>
  <c r="W517" i="25"/>
  <c r="AC517" i="25" s="1"/>
  <c r="V517" i="25"/>
  <c r="AB517" i="25" s="1"/>
  <c r="AE516" i="25"/>
  <c r="X516" i="25"/>
  <c r="AD516" i="25" s="1"/>
  <c r="W516" i="25"/>
  <c r="AC516" i="25" s="1"/>
  <c r="V516" i="25"/>
  <c r="AB516" i="25" s="1"/>
  <c r="AE515" i="25"/>
  <c r="X515" i="25"/>
  <c r="AD515" i="25" s="1"/>
  <c r="W515" i="25"/>
  <c r="AC515" i="25" s="1"/>
  <c r="V515" i="25"/>
  <c r="AB515" i="25" s="1"/>
  <c r="AE514" i="25"/>
  <c r="X514" i="25"/>
  <c r="AD514" i="25" s="1"/>
  <c r="W514" i="25"/>
  <c r="AC514" i="25" s="1"/>
  <c r="V514" i="25"/>
  <c r="AB514" i="25" s="1"/>
  <c r="AE513" i="25"/>
  <c r="X513" i="25"/>
  <c r="AD513" i="25" s="1"/>
  <c r="W513" i="25"/>
  <c r="AC513" i="25" s="1"/>
  <c r="V513" i="25"/>
  <c r="AB513" i="25" s="1"/>
  <c r="AE512" i="25"/>
  <c r="X512" i="25"/>
  <c r="AD512" i="25" s="1"/>
  <c r="W512" i="25"/>
  <c r="AC512" i="25" s="1"/>
  <c r="V512" i="25"/>
  <c r="AB512" i="25" s="1"/>
  <c r="AE511" i="25"/>
  <c r="X511" i="25"/>
  <c r="AD511" i="25" s="1"/>
  <c r="W511" i="25"/>
  <c r="AC511" i="25" s="1"/>
  <c r="V511" i="25"/>
  <c r="AB511" i="25" s="1"/>
  <c r="AE510" i="25"/>
  <c r="X510" i="25"/>
  <c r="AD510" i="25" s="1"/>
  <c r="W510" i="25"/>
  <c r="AC510" i="25" s="1"/>
  <c r="V510" i="25"/>
  <c r="AB510" i="25" s="1"/>
  <c r="AE509" i="25"/>
  <c r="X509" i="25"/>
  <c r="AD509" i="25" s="1"/>
  <c r="W509" i="25"/>
  <c r="AC509" i="25" s="1"/>
  <c r="V509" i="25"/>
  <c r="AB509" i="25" s="1"/>
  <c r="AE508" i="25"/>
  <c r="X508" i="25"/>
  <c r="AD508" i="25" s="1"/>
  <c r="W508" i="25"/>
  <c r="AC508" i="25" s="1"/>
  <c r="V508" i="25"/>
  <c r="AB508" i="25" s="1"/>
  <c r="AE507" i="25"/>
  <c r="X507" i="25"/>
  <c r="AD507" i="25" s="1"/>
  <c r="W507" i="25"/>
  <c r="AC507" i="25" s="1"/>
  <c r="V507" i="25"/>
  <c r="AB507" i="25" s="1"/>
  <c r="AE506" i="25"/>
  <c r="X506" i="25"/>
  <c r="AD506" i="25" s="1"/>
  <c r="W506" i="25"/>
  <c r="AC506" i="25" s="1"/>
  <c r="V506" i="25"/>
  <c r="AB506" i="25" s="1"/>
  <c r="AE505" i="25"/>
  <c r="X505" i="25"/>
  <c r="AD505" i="25" s="1"/>
  <c r="W505" i="25"/>
  <c r="AC505" i="25" s="1"/>
  <c r="V505" i="25"/>
  <c r="AB505" i="25" s="1"/>
  <c r="AE504" i="25"/>
  <c r="X504" i="25"/>
  <c r="AD504" i="25" s="1"/>
  <c r="W504" i="25"/>
  <c r="AC504" i="25" s="1"/>
  <c r="V504" i="25"/>
  <c r="AB504" i="25" s="1"/>
  <c r="AE503" i="25"/>
  <c r="X503" i="25"/>
  <c r="AD503" i="25" s="1"/>
  <c r="W503" i="25"/>
  <c r="AC503" i="25" s="1"/>
  <c r="V503" i="25"/>
  <c r="AB503" i="25" s="1"/>
  <c r="AE502" i="25"/>
  <c r="X502" i="25"/>
  <c r="AD502" i="25" s="1"/>
  <c r="W502" i="25"/>
  <c r="AC502" i="25" s="1"/>
  <c r="V502" i="25"/>
  <c r="AB502" i="25" s="1"/>
  <c r="AE501" i="25"/>
  <c r="X501" i="25"/>
  <c r="AD501" i="25" s="1"/>
  <c r="W501" i="25"/>
  <c r="AC501" i="25" s="1"/>
  <c r="V501" i="25"/>
  <c r="AB501" i="25" s="1"/>
  <c r="AE500" i="25"/>
  <c r="X500" i="25"/>
  <c r="AD500" i="25" s="1"/>
  <c r="W500" i="25"/>
  <c r="AC500" i="25" s="1"/>
  <c r="V500" i="25"/>
  <c r="AB500" i="25" s="1"/>
  <c r="AE499" i="25"/>
  <c r="X499" i="25"/>
  <c r="AD499" i="25" s="1"/>
  <c r="W499" i="25"/>
  <c r="AC499" i="25" s="1"/>
  <c r="V499" i="25"/>
  <c r="AB499" i="25" s="1"/>
  <c r="AE498" i="25"/>
  <c r="X498" i="25"/>
  <c r="AD498" i="25" s="1"/>
  <c r="W498" i="25"/>
  <c r="AC498" i="25" s="1"/>
  <c r="V498" i="25"/>
  <c r="AB498" i="25" s="1"/>
  <c r="AG497" i="25"/>
  <c r="AF497" i="25"/>
  <c r="X497" i="25"/>
  <c r="AD497" i="25" s="1"/>
  <c r="W497" i="25"/>
  <c r="AC497" i="25" s="1"/>
  <c r="V497" i="25"/>
  <c r="AB497" i="25" s="1"/>
  <c r="AG496" i="25"/>
  <c r="AF496" i="25"/>
  <c r="X496" i="25"/>
  <c r="AD496" i="25" s="1"/>
  <c r="W496" i="25"/>
  <c r="AC496" i="25" s="1"/>
  <c r="V496" i="25"/>
  <c r="AB496" i="25" s="1"/>
  <c r="AG495" i="25"/>
  <c r="AF495" i="25"/>
  <c r="X495" i="25"/>
  <c r="AD495" i="25" s="1"/>
  <c r="W495" i="25"/>
  <c r="AC495" i="25" s="1"/>
  <c r="V495" i="25"/>
  <c r="AB495" i="25" s="1"/>
  <c r="AG494" i="25"/>
  <c r="AF494" i="25"/>
  <c r="X494" i="25"/>
  <c r="AD494" i="25" s="1"/>
  <c r="W494" i="25"/>
  <c r="AC494" i="25" s="1"/>
  <c r="V494" i="25"/>
  <c r="AB494" i="25" s="1"/>
  <c r="AG493" i="25"/>
  <c r="AF493" i="25"/>
  <c r="X493" i="25"/>
  <c r="AD493" i="25" s="1"/>
  <c r="W493" i="25"/>
  <c r="AC493" i="25" s="1"/>
  <c r="V493" i="25"/>
  <c r="AB493" i="25" s="1"/>
  <c r="AG492" i="25"/>
  <c r="AF492" i="25"/>
  <c r="X492" i="25"/>
  <c r="AD492" i="25" s="1"/>
  <c r="W492" i="25"/>
  <c r="AC492" i="25" s="1"/>
  <c r="V492" i="25"/>
  <c r="AB492" i="25" s="1"/>
  <c r="AG491" i="25"/>
  <c r="AF491" i="25"/>
  <c r="X491" i="25"/>
  <c r="AD491" i="25" s="1"/>
  <c r="W491" i="25"/>
  <c r="AC491" i="25" s="1"/>
  <c r="V491" i="25"/>
  <c r="AB491" i="25" s="1"/>
  <c r="AG490" i="25"/>
  <c r="AF490" i="25"/>
  <c r="X490" i="25"/>
  <c r="AD490" i="25" s="1"/>
  <c r="W490" i="25"/>
  <c r="AC490" i="25" s="1"/>
  <c r="V490" i="25"/>
  <c r="AB490" i="25" s="1"/>
  <c r="AG489" i="25"/>
  <c r="AF489" i="25"/>
  <c r="X489" i="25"/>
  <c r="AD489" i="25" s="1"/>
  <c r="W489" i="25"/>
  <c r="AC489" i="25" s="1"/>
  <c r="V489" i="25"/>
  <c r="AB489" i="25" s="1"/>
  <c r="AG488" i="25"/>
  <c r="AF488" i="25"/>
  <c r="X488" i="25"/>
  <c r="AD488" i="25" s="1"/>
  <c r="W488" i="25"/>
  <c r="AC488" i="25" s="1"/>
  <c r="V488" i="25"/>
  <c r="AB488" i="25" s="1"/>
  <c r="AG487" i="25"/>
  <c r="AF487" i="25"/>
  <c r="X487" i="25"/>
  <c r="AD487" i="25" s="1"/>
  <c r="W487" i="25"/>
  <c r="AC487" i="25" s="1"/>
  <c r="V487" i="25"/>
  <c r="AB487" i="25" s="1"/>
  <c r="AG486" i="25"/>
  <c r="AF486" i="25"/>
  <c r="X486" i="25"/>
  <c r="AD486" i="25" s="1"/>
  <c r="W486" i="25"/>
  <c r="AC486" i="25" s="1"/>
  <c r="V486" i="25"/>
  <c r="AB486" i="25" s="1"/>
  <c r="AG485" i="25"/>
  <c r="AF485" i="25"/>
  <c r="X485" i="25"/>
  <c r="AD485" i="25" s="1"/>
  <c r="W485" i="25"/>
  <c r="AC485" i="25" s="1"/>
  <c r="V485" i="25"/>
  <c r="AB485" i="25" s="1"/>
  <c r="AG484" i="25"/>
  <c r="AF484" i="25"/>
  <c r="X484" i="25"/>
  <c r="AD484" i="25" s="1"/>
  <c r="W484" i="25"/>
  <c r="AC484" i="25" s="1"/>
  <c r="V484" i="25"/>
  <c r="AB484" i="25" s="1"/>
  <c r="AG483" i="25"/>
  <c r="AF483" i="25"/>
  <c r="X483" i="25"/>
  <c r="AD483" i="25" s="1"/>
  <c r="W483" i="25"/>
  <c r="AC483" i="25" s="1"/>
  <c r="V483" i="25"/>
  <c r="AB483" i="25" s="1"/>
  <c r="AG482" i="25"/>
  <c r="AF482" i="25"/>
  <c r="X482" i="25"/>
  <c r="AD482" i="25" s="1"/>
  <c r="W482" i="25"/>
  <c r="AC482" i="25" s="1"/>
  <c r="V482" i="25"/>
  <c r="AB482" i="25" s="1"/>
  <c r="AG481" i="25"/>
  <c r="AF481" i="25"/>
  <c r="X481" i="25"/>
  <c r="AD481" i="25" s="1"/>
  <c r="W481" i="25"/>
  <c r="AC481" i="25" s="1"/>
  <c r="V481" i="25"/>
  <c r="AB481" i="25" s="1"/>
  <c r="AG480" i="25"/>
  <c r="AF480" i="25"/>
  <c r="X480" i="25"/>
  <c r="AD480" i="25" s="1"/>
  <c r="W480" i="25"/>
  <c r="AC480" i="25" s="1"/>
  <c r="V480" i="25"/>
  <c r="AB480" i="25" s="1"/>
  <c r="AG479" i="25"/>
  <c r="AF479" i="25"/>
  <c r="X479" i="25"/>
  <c r="AD479" i="25" s="1"/>
  <c r="W479" i="25"/>
  <c r="AC479" i="25" s="1"/>
  <c r="V479" i="25"/>
  <c r="AB479" i="25" s="1"/>
  <c r="AG478" i="25"/>
  <c r="AF478" i="25"/>
  <c r="X478" i="25"/>
  <c r="AD478" i="25" s="1"/>
  <c r="W478" i="25"/>
  <c r="AC478" i="25" s="1"/>
  <c r="V478" i="25"/>
  <c r="AB478" i="25" s="1"/>
  <c r="AG477" i="25"/>
  <c r="AF477" i="25"/>
  <c r="X477" i="25"/>
  <c r="AD477" i="25" s="1"/>
  <c r="W477" i="25"/>
  <c r="AC477" i="25" s="1"/>
  <c r="V477" i="25"/>
  <c r="AB477" i="25" s="1"/>
  <c r="AG476" i="25"/>
  <c r="AF476" i="25"/>
  <c r="X476" i="25"/>
  <c r="AD476" i="25" s="1"/>
  <c r="W476" i="25"/>
  <c r="AC476" i="25" s="1"/>
  <c r="V476" i="25"/>
  <c r="AB476" i="25" s="1"/>
  <c r="AG475" i="25"/>
  <c r="AF475" i="25"/>
  <c r="X475" i="25"/>
  <c r="AD475" i="25" s="1"/>
  <c r="W475" i="25"/>
  <c r="AC475" i="25" s="1"/>
  <c r="V475" i="25"/>
  <c r="AB475" i="25" s="1"/>
  <c r="AE474" i="25"/>
  <c r="X474" i="25"/>
  <c r="AD474" i="25" s="1"/>
  <c r="W474" i="25"/>
  <c r="AC474" i="25" s="1"/>
  <c r="V474" i="25"/>
  <c r="AB474" i="25" s="1"/>
  <c r="AE473" i="25"/>
  <c r="X473" i="25"/>
  <c r="AD473" i="25" s="1"/>
  <c r="W473" i="25"/>
  <c r="AC473" i="25" s="1"/>
  <c r="V473" i="25"/>
  <c r="AB473" i="25" s="1"/>
  <c r="AE472" i="25"/>
  <c r="AC472" i="25"/>
  <c r="X472" i="25"/>
  <c r="AD472" i="25" s="1"/>
  <c r="W472" i="25"/>
  <c r="V472" i="25"/>
  <c r="AB472" i="25" s="1"/>
  <c r="AE471" i="25"/>
  <c r="X471" i="25"/>
  <c r="AD471" i="25" s="1"/>
  <c r="W471" i="25"/>
  <c r="AC471" i="25" s="1"/>
  <c r="V471" i="25"/>
  <c r="AB471" i="25" s="1"/>
  <c r="AE470" i="25"/>
  <c r="X470" i="25"/>
  <c r="AD470" i="25" s="1"/>
  <c r="W470" i="25"/>
  <c r="AC470" i="25" s="1"/>
  <c r="V470" i="25"/>
  <c r="AB470" i="25" s="1"/>
  <c r="AE469" i="25"/>
  <c r="X469" i="25"/>
  <c r="AD469" i="25" s="1"/>
  <c r="W469" i="25"/>
  <c r="AC469" i="25" s="1"/>
  <c r="V469" i="25"/>
  <c r="AB469" i="25" s="1"/>
  <c r="AE468" i="25"/>
  <c r="X468" i="25"/>
  <c r="AD468" i="25" s="1"/>
  <c r="W468" i="25"/>
  <c r="AC468" i="25" s="1"/>
  <c r="V468" i="25"/>
  <c r="AB468" i="25" s="1"/>
  <c r="AE467" i="25"/>
  <c r="X467" i="25"/>
  <c r="AD467" i="25" s="1"/>
  <c r="W467" i="25"/>
  <c r="AC467" i="25" s="1"/>
  <c r="V467" i="25"/>
  <c r="AB467" i="25" s="1"/>
  <c r="AE466" i="25"/>
  <c r="X466" i="25"/>
  <c r="AD466" i="25" s="1"/>
  <c r="W466" i="25"/>
  <c r="AC466" i="25" s="1"/>
  <c r="V466" i="25"/>
  <c r="AB466" i="25" s="1"/>
  <c r="AE465" i="25"/>
  <c r="X465" i="25"/>
  <c r="AD465" i="25" s="1"/>
  <c r="W465" i="25"/>
  <c r="AC465" i="25" s="1"/>
  <c r="V465" i="25"/>
  <c r="AB465" i="25" s="1"/>
  <c r="AE464" i="25"/>
  <c r="X464" i="25"/>
  <c r="AD464" i="25" s="1"/>
  <c r="W464" i="25"/>
  <c r="AC464" i="25" s="1"/>
  <c r="V464" i="25"/>
  <c r="AB464" i="25" s="1"/>
  <c r="AE463" i="25"/>
  <c r="X463" i="25"/>
  <c r="AD463" i="25" s="1"/>
  <c r="W463" i="25"/>
  <c r="AC463" i="25" s="1"/>
  <c r="V463" i="25"/>
  <c r="AB463" i="25" s="1"/>
  <c r="AE462" i="25"/>
  <c r="X462" i="25"/>
  <c r="AD462" i="25" s="1"/>
  <c r="W462" i="25"/>
  <c r="AC462" i="25" s="1"/>
  <c r="V462" i="25"/>
  <c r="AB462" i="25" s="1"/>
  <c r="AE461" i="25"/>
  <c r="X461" i="25"/>
  <c r="AD461" i="25" s="1"/>
  <c r="W461" i="25"/>
  <c r="AC461" i="25" s="1"/>
  <c r="V461" i="25"/>
  <c r="AB461" i="25" s="1"/>
  <c r="AE460" i="25"/>
  <c r="X460" i="25"/>
  <c r="AD460" i="25" s="1"/>
  <c r="W460" i="25"/>
  <c r="AC460" i="25" s="1"/>
  <c r="V460" i="25"/>
  <c r="AB460" i="25" s="1"/>
  <c r="AE459" i="25"/>
  <c r="X459" i="25"/>
  <c r="AD459" i="25" s="1"/>
  <c r="W459" i="25"/>
  <c r="AC459" i="25" s="1"/>
  <c r="V459" i="25"/>
  <c r="AB459" i="25" s="1"/>
  <c r="AE458" i="25"/>
  <c r="X458" i="25"/>
  <c r="AD458" i="25" s="1"/>
  <c r="W458" i="25"/>
  <c r="AC458" i="25" s="1"/>
  <c r="V458" i="25"/>
  <c r="AB458" i="25" s="1"/>
  <c r="AE457" i="25"/>
  <c r="X457" i="25"/>
  <c r="AD457" i="25" s="1"/>
  <c r="W457" i="25"/>
  <c r="AC457" i="25" s="1"/>
  <c r="V457" i="25"/>
  <c r="AB457" i="25" s="1"/>
  <c r="AE456" i="25"/>
  <c r="X456" i="25"/>
  <c r="AD456" i="25" s="1"/>
  <c r="W456" i="25"/>
  <c r="AC456" i="25" s="1"/>
  <c r="V456" i="25"/>
  <c r="AB456" i="25" s="1"/>
  <c r="AE455" i="25"/>
  <c r="X455" i="25"/>
  <c r="AD455" i="25" s="1"/>
  <c r="W455" i="25"/>
  <c r="AC455" i="25" s="1"/>
  <c r="V455" i="25"/>
  <c r="AB455" i="25" s="1"/>
  <c r="AE454" i="25"/>
  <c r="X454" i="25"/>
  <c r="AD454" i="25" s="1"/>
  <c r="W454" i="25"/>
  <c r="AC454" i="25" s="1"/>
  <c r="V454" i="25"/>
  <c r="AB454" i="25" s="1"/>
  <c r="AE453" i="25"/>
  <c r="AB453" i="25"/>
  <c r="X453" i="25"/>
  <c r="AD453" i="25" s="1"/>
  <c r="W453" i="25"/>
  <c r="AC453" i="25" s="1"/>
  <c r="V453" i="25"/>
  <c r="AE452" i="25"/>
  <c r="X452" i="25"/>
  <c r="AD452" i="25" s="1"/>
  <c r="W452" i="25"/>
  <c r="AC452" i="25" s="1"/>
  <c r="V452" i="25"/>
  <c r="AB452" i="25" s="1"/>
  <c r="AG451" i="25"/>
  <c r="AE451" i="25"/>
  <c r="X451" i="25"/>
  <c r="AD451" i="25" s="1"/>
  <c r="W451" i="25"/>
  <c r="AC451" i="25" s="1"/>
  <c r="V451" i="25"/>
  <c r="AB451" i="25" s="1"/>
  <c r="AE450" i="25"/>
  <c r="X450" i="25"/>
  <c r="AD450" i="25" s="1"/>
  <c r="W450" i="25"/>
  <c r="AC450" i="25" s="1"/>
  <c r="V450" i="25"/>
  <c r="AB450" i="25" s="1"/>
  <c r="AE449" i="25"/>
  <c r="X449" i="25"/>
  <c r="AD449" i="25" s="1"/>
  <c r="W449" i="25"/>
  <c r="AC449" i="25" s="1"/>
  <c r="V449" i="25"/>
  <c r="AB449" i="25" s="1"/>
  <c r="AG448" i="25"/>
  <c r="AE448" i="25"/>
  <c r="AC448" i="25"/>
  <c r="X448" i="25"/>
  <c r="AD448" i="25" s="1"/>
  <c r="W448" i="25"/>
  <c r="V448" i="25"/>
  <c r="AB448" i="25" s="1"/>
  <c r="AE447" i="25"/>
  <c r="X447" i="25"/>
  <c r="AD447" i="25" s="1"/>
  <c r="W447" i="25"/>
  <c r="AC447" i="25" s="1"/>
  <c r="V447" i="25"/>
  <c r="AB447" i="25" s="1"/>
  <c r="AE446" i="25"/>
  <c r="X446" i="25"/>
  <c r="AD446" i="25" s="1"/>
  <c r="W446" i="25"/>
  <c r="AC446" i="25" s="1"/>
  <c r="V446" i="25"/>
  <c r="AB446" i="25" s="1"/>
  <c r="AG445" i="25"/>
  <c r="AE445" i="25"/>
  <c r="X445" i="25"/>
  <c r="AD445" i="25" s="1"/>
  <c r="W445" i="25"/>
  <c r="AC445" i="25" s="1"/>
  <c r="V445" i="25"/>
  <c r="AB445" i="25" s="1"/>
  <c r="AE444" i="25"/>
  <c r="X444" i="25"/>
  <c r="AD444" i="25" s="1"/>
  <c r="W444" i="25"/>
  <c r="AC444" i="25" s="1"/>
  <c r="V444" i="25"/>
  <c r="AB444" i="25" s="1"/>
  <c r="AE443" i="25"/>
  <c r="X443" i="25"/>
  <c r="AD443" i="25" s="1"/>
  <c r="W443" i="25"/>
  <c r="AC443" i="25" s="1"/>
  <c r="V443" i="25"/>
  <c r="AB443" i="25" s="1"/>
  <c r="AE442" i="25"/>
  <c r="X442" i="25"/>
  <c r="AD442" i="25" s="1"/>
  <c r="W442" i="25"/>
  <c r="AC442" i="25" s="1"/>
  <c r="V442" i="25"/>
  <c r="AB442" i="25" s="1"/>
  <c r="AG441" i="25"/>
  <c r="AE441" i="25"/>
  <c r="X441" i="25"/>
  <c r="AD441" i="25" s="1"/>
  <c r="W441" i="25"/>
  <c r="AC441" i="25" s="1"/>
  <c r="V441" i="25"/>
  <c r="AB441" i="25" s="1"/>
  <c r="AE440" i="25"/>
  <c r="X440" i="25"/>
  <c r="AD440" i="25" s="1"/>
  <c r="W440" i="25"/>
  <c r="AC440" i="25" s="1"/>
  <c r="V440" i="25"/>
  <c r="AB440" i="25" s="1"/>
  <c r="AG439" i="25"/>
  <c r="AE439" i="25"/>
  <c r="X439" i="25"/>
  <c r="AD439" i="25" s="1"/>
  <c r="W439" i="25"/>
  <c r="AC439" i="25" s="1"/>
  <c r="V439" i="25"/>
  <c r="AB439" i="25" s="1"/>
  <c r="AE438" i="25"/>
  <c r="X438" i="25"/>
  <c r="AD438" i="25" s="1"/>
  <c r="W438" i="25"/>
  <c r="AC438" i="25" s="1"/>
  <c r="V438" i="25"/>
  <c r="AB438" i="25" s="1"/>
  <c r="AE437" i="25"/>
  <c r="X437" i="25"/>
  <c r="AD437" i="25" s="1"/>
  <c r="W437" i="25"/>
  <c r="AC437" i="25" s="1"/>
  <c r="V437" i="25"/>
  <c r="AB437" i="25" s="1"/>
  <c r="AG436" i="25"/>
  <c r="AE436" i="25"/>
  <c r="X436" i="25"/>
  <c r="AD436" i="25" s="1"/>
  <c r="W436" i="25"/>
  <c r="AC436" i="25" s="1"/>
  <c r="V436" i="25"/>
  <c r="AB436" i="25" s="1"/>
  <c r="AE435" i="25"/>
  <c r="X435" i="25"/>
  <c r="AD435" i="25" s="1"/>
  <c r="W435" i="25"/>
  <c r="AC435" i="25" s="1"/>
  <c r="V435" i="25"/>
  <c r="AB435" i="25" s="1"/>
  <c r="AE434" i="25"/>
  <c r="X434" i="25"/>
  <c r="AD434" i="25" s="1"/>
  <c r="W434" i="25"/>
  <c r="AC434" i="25" s="1"/>
  <c r="V434" i="25"/>
  <c r="AB434" i="25" s="1"/>
  <c r="AG433" i="25"/>
  <c r="AE433" i="25"/>
  <c r="X433" i="25"/>
  <c r="AD433" i="25" s="1"/>
  <c r="W433" i="25"/>
  <c r="AC433" i="25" s="1"/>
  <c r="V433" i="25"/>
  <c r="AB433" i="25" s="1"/>
  <c r="AE432" i="25"/>
  <c r="X432" i="25"/>
  <c r="AD432" i="25" s="1"/>
  <c r="W432" i="25"/>
  <c r="AC432" i="25" s="1"/>
  <c r="V432" i="25"/>
  <c r="AB432" i="25" s="1"/>
  <c r="AE431" i="25"/>
  <c r="X431" i="25"/>
  <c r="AD431" i="25" s="1"/>
  <c r="W431" i="25"/>
  <c r="AC431" i="25" s="1"/>
  <c r="V431" i="25"/>
  <c r="AB431" i="25" s="1"/>
  <c r="AG430" i="25"/>
  <c r="AE430" i="25"/>
  <c r="X430" i="25"/>
  <c r="AD430" i="25" s="1"/>
  <c r="W430" i="25"/>
  <c r="AC430" i="25" s="1"/>
  <c r="V430" i="25"/>
  <c r="AB430" i="25" s="1"/>
  <c r="AE429" i="25"/>
  <c r="X429" i="25"/>
  <c r="AD429" i="25" s="1"/>
  <c r="W429" i="25"/>
  <c r="AC429" i="25" s="1"/>
  <c r="V429" i="25"/>
  <c r="AB429" i="25" s="1"/>
  <c r="AE428" i="25"/>
  <c r="X428" i="25"/>
  <c r="AD428" i="25" s="1"/>
  <c r="W428" i="25"/>
  <c r="AC428" i="25" s="1"/>
  <c r="V428" i="25"/>
  <c r="AB428" i="25" s="1"/>
  <c r="AG427" i="25"/>
  <c r="AE427" i="25"/>
  <c r="X427" i="25"/>
  <c r="AD427" i="25" s="1"/>
  <c r="W427" i="25"/>
  <c r="AC427" i="25" s="1"/>
  <c r="V427" i="25"/>
  <c r="AB427" i="25" s="1"/>
  <c r="AE426" i="25"/>
  <c r="X426" i="25"/>
  <c r="AD426" i="25" s="1"/>
  <c r="W426" i="25"/>
  <c r="AC426" i="25" s="1"/>
  <c r="V426" i="25"/>
  <c r="AB426" i="25" s="1"/>
  <c r="AE425" i="25"/>
  <c r="X425" i="25"/>
  <c r="AD425" i="25" s="1"/>
  <c r="W425" i="25"/>
  <c r="AC425" i="25" s="1"/>
  <c r="V425" i="25"/>
  <c r="AB425" i="25" s="1"/>
  <c r="AG424" i="25"/>
  <c r="AE424" i="25"/>
  <c r="X424" i="25"/>
  <c r="AD424" i="25" s="1"/>
  <c r="W424" i="25"/>
  <c r="AC424" i="25" s="1"/>
  <c r="V424" i="25"/>
  <c r="AB424" i="25" s="1"/>
  <c r="AE423" i="25"/>
  <c r="X423" i="25"/>
  <c r="AD423" i="25" s="1"/>
  <c r="W423" i="25"/>
  <c r="AC423" i="25" s="1"/>
  <c r="V423" i="25"/>
  <c r="AB423" i="25" s="1"/>
  <c r="AG422" i="25"/>
  <c r="AE422" i="25"/>
  <c r="AB422" i="25"/>
  <c r="X422" i="25"/>
  <c r="AD422" i="25" s="1"/>
  <c r="W422" i="25"/>
  <c r="AC422" i="25" s="1"/>
  <c r="V422" i="25"/>
  <c r="AE421" i="25"/>
  <c r="X421" i="25"/>
  <c r="AD421" i="25" s="1"/>
  <c r="W421" i="25"/>
  <c r="AC421" i="25" s="1"/>
  <c r="V421" i="25"/>
  <c r="AB421" i="25" s="1"/>
  <c r="AG420" i="25"/>
  <c r="AE420" i="25"/>
  <c r="X420" i="25"/>
  <c r="AD420" i="25" s="1"/>
  <c r="W420" i="25"/>
  <c r="AC420" i="25" s="1"/>
  <c r="V420" i="25"/>
  <c r="AB420" i="25" s="1"/>
  <c r="AE419" i="25"/>
  <c r="X419" i="25"/>
  <c r="AD419" i="25" s="1"/>
  <c r="W419" i="25"/>
  <c r="AC419" i="25" s="1"/>
  <c r="V419" i="25"/>
  <c r="AB419" i="25" s="1"/>
  <c r="AG418" i="25"/>
  <c r="AF418" i="25"/>
  <c r="X418" i="25"/>
  <c r="AD418" i="25" s="1"/>
  <c r="W418" i="25"/>
  <c r="AC418" i="25" s="1"/>
  <c r="V418" i="25"/>
  <c r="AB418" i="25" s="1"/>
  <c r="AG417" i="25"/>
  <c r="AF417" i="25"/>
  <c r="X417" i="25"/>
  <c r="AD417" i="25" s="1"/>
  <c r="W417" i="25"/>
  <c r="AC417" i="25" s="1"/>
  <c r="V417" i="25"/>
  <c r="AB417" i="25" s="1"/>
  <c r="AG416" i="25"/>
  <c r="AF416" i="25"/>
  <c r="X416" i="25"/>
  <c r="AD416" i="25" s="1"/>
  <c r="W416" i="25"/>
  <c r="AC416" i="25" s="1"/>
  <c r="V416" i="25"/>
  <c r="AB416" i="25" s="1"/>
  <c r="AG415" i="25"/>
  <c r="AF415" i="25"/>
  <c r="X415" i="25"/>
  <c r="AD415" i="25" s="1"/>
  <c r="W415" i="25"/>
  <c r="AC415" i="25" s="1"/>
  <c r="V415" i="25"/>
  <c r="AB415" i="25" s="1"/>
  <c r="AG414" i="25"/>
  <c r="AF414" i="25"/>
  <c r="X414" i="25"/>
  <c r="AD414" i="25" s="1"/>
  <c r="W414" i="25"/>
  <c r="AC414" i="25" s="1"/>
  <c r="V414" i="25"/>
  <c r="AB414" i="25" s="1"/>
  <c r="AG413" i="25"/>
  <c r="AF413" i="25"/>
  <c r="X413" i="25"/>
  <c r="AD413" i="25" s="1"/>
  <c r="W413" i="25"/>
  <c r="AC413" i="25" s="1"/>
  <c r="V413" i="25"/>
  <c r="AB413" i="25" s="1"/>
  <c r="AG412" i="25"/>
  <c r="AF412" i="25"/>
  <c r="X412" i="25"/>
  <c r="AD412" i="25" s="1"/>
  <c r="W412" i="25"/>
  <c r="AC412" i="25" s="1"/>
  <c r="V412" i="25"/>
  <c r="AB412" i="25" s="1"/>
  <c r="AG411" i="25"/>
  <c r="AF411" i="25"/>
  <c r="X411" i="25"/>
  <c r="AD411" i="25" s="1"/>
  <c r="W411" i="25"/>
  <c r="AC411" i="25" s="1"/>
  <c r="V411" i="25"/>
  <c r="AB411" i="25" s="1"/>
  <c r="AG410" i="25"/>
  <c r="AF410" i="25"/>
  <c r="X410" i="25"/>
  <c r="AD410" i="25" s="1"/>
  <c r="W410" i="25"/>
  <c r="AC410" i="25" s="1"/>
  <c r="V410" i="25"/>
  <c r="AB410" i="25" s="1"/>
  <c r="AG409" i="25"/>
  <c r="AF409" i="25"/>
  <c r="X409" i="25"/>
  <c r="AD409" i="25" s="1"/>
  <c r="W409" i="25"/>
  <c r="AC409" i="25" s="1"/>
  <c r="V409" i="25"/>
  <c r="AB409" i="25" s="1"/>
  <c r="AG408" i="25"/>
  <c r="AF408" i="25"/>
  <c r="X408" i="25"/>
  <c r="AD408" i="25" s="1"/>
  <c r="W408" i="25"/>
  <c r="AC408" i="25" s="1"/>
  <c r="V408" i="25"/>
  <c r="AB408" i="25" s="1"/>
  <c r="AG407" i="25"/>
  <c r="AF407" i="25"/>
  <c r="X407" i="25"/>
  <c r="AD407" i="25" s="1"/>
  <c r="W407" i="25"/>
  <c r="AC407" i="25" s="1"/>
  <c r="V407" i="25"/>
  <c r="AB407" i="25" s="1"/>
  <c r="AG406" i="25"/>
  <c r="AF406" i="25"/>
  <c r="X406" i="25"/>
  <c r="AD406" i="25" s="1"/>
  <c r="W406" i="25"/>
  <c r="AC406" i="25" s="1"/>
  <c r="V406" i="25"/>
  <c r="AB406" i="25" s="1"/>
  <c r="AG405" i="25"/>
  <c r="AF405" i="25"/>
  <c r="X405" i="25"/>
  <c r="AD405" i="25" s="1"/>
  <c r="W405" i="25"/>
  <c r="AC405" i="25" s="1"/>
  <c r="V405" i="25"/>
  <c r="AB405" i="25" s="1"/>
  <c r="AG404" i="25"/>
  <c r="AF404" i="25"/>
  <c r="X404" i="25"/>
  <c r="AD404" i="25" s="1"/>
  <c r="W404" i="25"/>
  <c r="AC404" i="25" s="1"/>
  <c r="V404" i="25"/>
  <c r="AB404" i="25" s="1"/>
  <c r="AG403" i="25"/>
  <c r="AF403" i="25"/>
  <c r="X403" i="25"/>
  <c r="AD403" i="25" s="1"/>
  <c r="W403" i="25"/>
  <c r="AC403" i="25" s="1"/>
  <c r="V403" i="25"/>
  <c r="AB403" i="25" s="1"/>
  <c r="AG402" i="25"/>
  <c r="AF402" i="25"/>
  <c r="X402" i="25"/>
  <c r="AD402" i="25" s="1"/>
  <c r="W402" i="25"/>
  <c r="AC402" i="25" s="1"/>
  <c r="V402" i="25"/>
  <c r="AB402" i="25" s="1"/>
  <c r="AG401" i="25"/>
  <c r="AF401" i="25"/>
  <c r="X401" i="25"/>
  <c r="AD401" i="25" s="1"/>
  <c r="W401" i="25"/>
  <c r="AC401" i="25" s="1"/>
  <c r="V401" i="25"/>
  <c r="AB401" i="25" s="1"/>
  <c r="AG400" i="25"/>
  <c r="AF400" i="25"/>
  <c r="X400" i="25"/>
  <c r="AD400" i="25" s="1"/>
  <c r="W400" i="25"/>
  <c r="AC400" i="25" s="1"/>
  <c r="V400" i="25"/>
  <c r="AB400" i="25" s="1"/>
  <c r="AG399" i="25"/>
  <c r="AF399" i="25"/>
  <c r="X399" i="25"/>
  <c r="AD399" i="25" s="1"/>
  <c r="W399" i="25"/>
  <c r="AC399" i="25" s="1"/>
  <c r="V399" i="25"/>
  <c r="AB399" i="25" s="1"/>
  <c r="AG398" i="25"/>
  <c r="AF398" i="25"/>
  <c r="X398" i="25"/>
  <c r="AD398" i="25" s="1"/>
  <c r="W398" i="25"/>
  <c r="AC398" i="25" s="1"/>
  <c r="V398" i="25"/>
  <c r="AB398" i="25" s="1"/>
  <c r="AG397" i="25"/>
  <c r="AF397" i="25"/>
  <c r="X397" i="25"/>
  <c r="AD397" i="25" s="1"/>
  <c r="W397" i="25"/>
  <c r="AC397" i="25" s="1"/>
  <c r="V397" i="25"/>
  <c r="AB397" i="25" s="1"/>
  <c r="AG396" i="25"/>
  <c r="AF396" i="25"/>
  <c r="X396" i="25"/>
  <c r="AD396" i="25" s="1"/>
  <c r="W396" i="25"/>
  <c r="AC396" i="25" s="1"/>
  <c r="V396" i="25"/>
  <c r="AB396" i="25" s="1"/>
  <c r="AG395" i="25"/>
  <c r="AF395" i="25"/>
  <c r="X395" i="25"/>
  <c r="AD395" i="25" s="1"/>
  <c r="W395" i="25"/>
  <c r="AC395" i="25" s="1"/>
  <c r="V395" i="25"/>
  <c r="AB395" i="25" s="1"/>
  <c r="AG394" i="25"/>
  <c r="AF394" i="25"/>
  <c r="X394" i="25"/>
  <c r="AD394" i="25" s="1"/>
  <c r="W394" i="25"/>
  <c r="AC394" i="25" s="1"/>
  <c r="V394" i="25"/>
  <c r="AB394" i="25" s="1"/>
  <c r="AG393" i="25"/>
  <c r="AF393" i="25"/>
  <c r="X393" i="25"/>
  <c r="AD393" i="25" s="1"/>
  <c r="W393" i="25"/>
  <c r="AC393" i="25" s="1"/>
  <c r="V393" i="25"/>
  <c r="AB393" i="25" s="1"/>
  <c r="AG392" i="25"/>
  <c r="AF392" i="25"/>
  <c r="AC392" i="25"/>
  <c r="X392" i="25"/>
  <c r="AD392" i="25" s="1"/>
  <c r="W392" i="25"/>
  <c r="V392" i="25"/>
  <c r="AB392" i="25" s="1"/>
  <c r="AG391" i="25"/>
  <c r="AF391" i="25"/>
  <c r="AB391" i="25"/>
  <c r="X391" i="25"/>
  <c r="AD391" i="25" s="1"/>
  <c r="W391" i="25"/>
  <c r="AC391" i="25" s="1"/>
  <c r="V391" i="25"/>
  <c r="AG390" i="25"/>
  <c r="AF390" i="25"/>
  <c r="X390" i="25"/>
  <c r="AD390" i="25" s="1"/>
  <c r="W390" i="25"/>
  <c r="AC390" i="25" s="1"/>
  <c r="V390" i="25"/>
  <c r="AB390" i="25" s="1"/>
  <c r="AG389" i="25"/>
  <c r="AF389" i="25"/>
  <c r="X389" i="25"/>
  <c r="AD389" i="25" s="1"/>
  <c r="W389" i="25"/>
  <c r="AC389" i="25" s="1"/>
  <c r="V389" i="25"/>
  <c r="AB389" i="25" s="1"/>
  <c r="AG388" i="25"/>
  <c r="AF388" i="25"/>
  <c r="X388" i="25"/>
  <c r="AD388" i="25" s="1"/>
  <c r="W388" i="25"/>
  <c r="AC388" i="25" s="1"/>
  <c r="V388" i="25"/>
  <c r="AB388" i="25" s="1"/>
  <c r="AG387" i="25"/>
  <c r="AF387" i="25"/>
  <c r="X387" i="25"/>
  <c r="AD387" i="25" s="1"/>
  <c r="W387" i="25"/>
  <c r="AC387" i="25" s="1"/>
  <c r="V387" i="25"/>
  <c r="AB387" i="25" s="1"/>
  <c r="AG386" i="25"/>
  <c r="AE386" i="25"/>
  <c r="X386" i="25"/>
  <c r="AD386" i="25" s="1"/>
  <c r="W386" i="25"/>
  <c r="AC386" i="25" s="1"/>
  <c r="V386" i="25"/>
  <c r="AB386" i="25" s="1"/>
  <c r="AE385" i="25"/>
  <c r="X385" i="25"/>
  <c r="AD385" i="25" s="1"/>
  <c r="W385" i="25"/>
  <c r="AC385" i="25" s="1"/>
  <c r="V385" i="25"/>
  <c r="AB385" i="25" s="1"/>
  <c r="AE384" i="25"/>
  <c r="X384" i="25"/>
  <c r="AD384" i="25" s="1"/>
  <c r="W384" i="25"/>
  <c r="AC384" i="25" s="1"/>
  <c r="V384" i="25"/>
  <c r="AB384" i="25" s="1"/>
  <c r="AG383" i="25"/>
  <c r="AE383" i="25"/>
  <c r="X383" i="25"/>
  <c r="AD383" i="25" s="1"/>
  <c r="W383" i="25"/>
  <c r="AC383" i="25" s="1"/>
  <c r="V383" i="25"/>
  <c r="AB383" i="25" s="1"/>
  <c r="AE382" i="25"/>
  <c r="X382" i="25"/>
  <c r="AD382" i="25" s="1"/>
  <c r="W382" i="25"/>
  <c r="AC382" i="25" s="1"/>
  <c r="V382" i="25"/>
  <c r="AB382" i="25" s="1"/>
  <c r="AE381" i="25"/>
  <c r="X381" i="25"/>
  <c r="AD381" i="25" s="1"/>
  <c r="W381" i="25"/>
  <c r="AC381" i="25" s="1"/>
  <c r="V381" i="25"/>
  <c r="AB381" i="25" s="1"/>
  <c r="AG380" i="25"/>
  <c r="AE380" i="25"/>
  <c r="X380" i="25"/>
  <c r="AD380" i="25" s="1"/>
  <c r="W380" i="25"/>
  <c r="AC380" i="25" s="1"/>
  <c r="V380" i="25"/>
  <c r="AB380" i="25" s="1"/>
  <c r="AE379" i="25"/>
  <c r="X379" i="25"/>
  <c r="AD379" i="25" s="1"/>
  <c r="W379" i="25"/>
  <c r="AC379" i="25" s="1"/>
  <c r="V379" i="25"/>
  <c r="AB379" i="25" s="1"/>
  <c r="AE378" i="25"/>
  <c r="X378" i="25"/>
  <c r="AD378" i="25" s="1"/>
  <c r="W378" i="25"/>
  <c r="AC378" i="25" s="1"/>
  <c r="V378" i="25"/>
  <c r="AB378" i="25" s="1"/>
  <c r="AE377" i="25"/>
  <c r="X377" i="25"/>
  <c r="AD377" i="25" s="1"/>
  <c r="W377" i="25"/>
  <c r="AC377" i="25" s="1"/>
  <c r="V377" i="25"/>
  <c r="AB377" i="25" s="1"/>
  <c r="AG376" i="25"/>
  <c r="AE376" i="25"/>
  <c r="X376" i="25"/>
  <c r="AD376" i="25" s="1"/>
  <c r="W376" i="25"/>
  <c r="AC376" i="25" s="1"/>
  <c r="V376" i="25"/>
  <c r="AB376" i="25" s="1"/>
  <c r="AE375" i="25"/>
  <c r="AB375" i="25"/>
  <c r="X375" i="25"/>
  <c r="AD375" i="25" s="1"/>
  <c r="W375" i="25"/>
  <c r="AC375" i="25" s="1"/>
  <c r="V375" i="25"/>
  <c r="AG374" i="25"/>
  <c r="AE374" i="25"/>
  <c r="X374" i="25"/>
  <c r="AD374" i="25" s="1"/>
  <c r="W374" i="25"/>
  <c r="AC374" i="25" s="1"/>
  <c r="V374" i="25"/>
  <c r="AB374" i="25" s="1"/>
  <c r="AE373" i="25"/>
  <c r="X373" i="25"/>
  <c r="AD373" i="25" s="1"/>
  <c r="W373" i="25"/>
  <c r="AC373" i="25" s="1"/>
  <c r="V373" i="25"/>
  <c r="AB373" i="25" s="1"/>
  <c r="AE372" i="25"/>
  <c r="X372" i="25"/>
  <c r="AD372" i="25" s="1"/>
  <c r="W372" i="25"/>
  <c r="AC372" i="25" s="1"/>
  <c r="V372" i="25"/>
  <c r="AB372" i="25" s="1"/>
  <c r="AG371" i="25"/>
  <c r="AE371" i="25"/>
  <c r="X371" i="25"/>
  <c r="AD371" i="25" s="1"/>
  <c r="W371" i="25"/>
  <c r="AC371" i="25" s="1"/>
  <c r="V371" i="25"/>
  <c r="AB371" i="25" s="1"/>
  <c r="AE370" i="25"/>
  <c r="X370" i="25"/>
  <c r="AD370" i="25" s="1"/>
  <c r="W370" i="25"/>
  <c r="AC370" i="25" s="1"/>
  <c r="V370" i="25"/>
  <c r="AB370" i="25" s="1"/>
  <c r="AE369" i="25"/>
  <c r="X369" i="25"/>
  <c r="AD369" i="25" s="1"/>
  <c r="W369" i="25"/>
  <c r="AC369" i="25" s="1"/>
  <c r="V369" i="25"/>
  <c r="AB369" i="25" s="1"/>
  <c r="AG368" i="25"/>
  <c r="AE368" i="25"/>
  <c r="X368" i="25"/>
  <c r="AD368" i="25" s="1"/>
  <c r="W368" i="25"/>
  <c r="AC368" i="25" s="1"/>
  <c r="V368" i="25"/>
  <c r="AB368" i="25" s="1"/>
  <c r="AE367" i="25"/>
  <c r="X367" i="25"/>
  <c r="AD367" i="25" s="1"/>
  <c r="W367" i="25"/>
  <c r="AC367" i="25" s="1"/>
  <c r="V367" i="25"/>
  <c r="AB367" i="25" s="1"/>
  <c r="AE366" i="25"/>
  <c r="AC366" i="25"/>
  <c r="X366" i="25"/>
  <c r="AD366" i="25" s="1"/>
  <c r="W366" i="25"/>
  <c r="V366" i="25"/>
  <c r="AB366" i="25" s="1"/>
  <c r="AG365" i="25"/>
  <c r="AE365" i="25"/>
  <c r="AB365" i="25"/>
  <c r="X365" i="25"/>
  <c r="AD365" i="25" s="1"/>
  <c r="W365" i="25"/>
  <c r="AC365" i="25" s="1"/>
  <c r="V365" i="25"/>
  <c r="AE364" i="25"/>
  <c r="X364" i="25"/>
  <c r="AD364" i="25" s="1"/>
  <c r="W364" i="25"/>
  <c r="AC364" i="25" s="1"/>
  <c r="V364" i="25"/>
  <c r="AB364" i="25" s="1"/>
  <c r="AE363" i="25"/>
  <c r="X363" i="25"/>
  <c r="AD363" i="25" s="1"/>
  <c r="W363" i="25"/>
  <c r="AC363" i="25" s="1"/>
  <c r="V363" i="25"/>
  <c r="AB363" i="25" s="1"/>
  <c r="AG362" i="25"/>
  <c r="AE362" i="25"/>
  <c r="X362" i="25"/>
  <c r="AD362" i="25" s="1"/>
  <c r="W362" i="25"/>
  <c r="AC362" i="25" s="1"/>
  <c r="V362" i="25"/>
  <c r="AB362" i="25" s="1"/>
  <c r="AE361" i="25"/>
  <c r="X361" i="25"/>
  <c r="AD361" i="25" s="1"/>
  <c r="W361" i="25"/>
  <c r="AC361" i="25" s="1"/>
  <c r="V361" i="25"/>
  <c r="AB361" i="25" s="1"/>
  <c r="AE360" i="25"/>
  <c r="X360" i="25"/>
  <c r="AD360" i="25" s="1"/>
  <c r="W360" i="25"/>
  <c r="AC360" i="25" s="1"/>
  <c r="V360" i="25"/>
  <c r="AB360" i="25" s="1"/>
  <c r="AG359" i="25"/>
  <c r="AE359" i="25"/>
  <c r="X359" i="25"/>
  <c r="AD359" i="25" s="1"/>
  <c r="W359" i="25"/>
  <c r="AC359" i="25" s="1"/>
  <c r="V359" i="25"/>
  <c r="AB359" i="25" s="1"/>
  <c r="AE358" i="25"/>
  <c r="X358" i="25"/>
  <c r="AD358" i="25" s="1"/>
  <c r="W358" i="25"/>
  <c r="AC358" i="25" s="1"/>
  <c r="V358" i="25"/>
  <c r="AB358" i="25" s="1"/>
  <c r="AG357" i="25"/>
  <c r="AE357" i="25"/>
  <c r="X357" i="25"/>
  <c r="AD357" i="25" s="1"/>
  <c r="W357" i="25"/>
  <c r="AC357" i="25" s="1"/>
  <c r="V357" i="25"/>
  <c r="AB357" i="25" s="1"/>
  <c r="AE356" i="25"/>
  <c r="AB356" i="25"/>
  <c r="X356" i="25"/>
  <c r="AD356" i="25" s="1"/>
  <c r="W356" i="25"/>
  <c r="AC356" i="25" s="1"/>
  <c r="V356" i="25"/>
  <c r="AG355" i="25"/>
  <c r="AE355" i="25"/>
  <c r="X355" i="25"/>
  <c r="AD355" i="25" s="1"/>
  <c r="W355" i="25"/>
  <c r="AC355" i="25" s="1"/>
  <c r="V355" i="25"/>
  <c r="AB355" i="25" s="1"/>
  <c r="AE354" i="25"/>
  <c r="X354" i="25"/>
  <c r="AD354" i="25" s="1"/>
  <c r="W354" i="25"/>
  <c r="AC354" i="25" s="1"/>
  <c r="V354" i="25"/>
  <c r="AB354" i="25" s="1"/>
  <c r="AG353" i="25"/>
  <c r="AE353" i="25"/>
  <c r="X353" i="25"/>
  <c r="AD353" i="25" s="1"/>
  <c r="W353" i="25"/>
  <c r="AC353" i="25" s="1"/>
  <c r="V353" i="25"/>
  <c r="AB353" i="25" s="1"/>
  <c r="AG352" i="25"/>
  <c r="AE352" i="25"/>
  <c r="X352" i="25"/>
  <c r="AD352" i="25" s="1"/>
  <c r="W352" i="25"/>
  <c r="AC352" i="25" s="1"/>
  <c r="V352" i="25"/>
  <c r="AB352" i="25" s="1"/>
  <c r="AG351" i="25"/>
  <c r="AE351" i="25"/>
  <c r="X351" i="25"/>
  <c r="AD351" i="25" s="1"/>
  <c r="W351" i="25"/>
  <c r="AC351" i="25" s="1"/>
  <c r="V351" i="25"/>
  <c r="AB351" i="25" s="1"/>
  <c r="AG350" i="25"/>
  <c r="AE350" i="25"/>
  <c r="X350" i="25"/>
  <c r="AD350" i="25" s="1"/>
  <c r="W350" i="25"/>
  <c r="AC350" i="25" s="1"/>
  <c r="V350" i="25"/>
  <c r="AB350" i="25" s="1"/>
  <c r="AG349" i="25"/>
  <c r="AE349" i="25"/>
  <c r="X349" i="25"/>
  <c r="AD349" i="25" s="1"/>
  <c r="W349" i="25"/>
  <c r="AC349" i="25" s="1"/>
  <c r="V349" i="25"/>
  <c r="AB349" i="25" s="1"/>
  <c r="AG348" i="25"/>
  <c r="AE348" i="25"/>
  <c r="X348" i="25"/>
  <c r="AD348" i="25" s="1"/>
  <c r="W348" i="25"/>
  <c r="AC348" i="25" s="1"/>
  <c r="V348" i="25"/>
  <c r="AB348" i="25" s="1"/>
  <c r="AG347" i="25"/>
  <c r="AE347" i="25"/>
  <c r="X347" i="25"/>
  <c r="AD347" i="25" s="1"/>
  <c r="W347" i="25"/>
  <c r="AC347" i="25" s="1"/>
  <c r="V347" i="25"/>
  <c r="AB347" i="25" s="1"/>
  <c r="AG346" i="25"/>
  <c r="AE346" i="25"/>
  <c r="X346" i="25"/>
  <c r="AD346" i="25" s="1"/>
  <c r="W346" i="25"/>
  <c r="AC346" i="25" s="1"/>
  <c r="V346" i="25"/>
  <c r="AB346" i="25" s="1"/>
  <c r="AG345" i="25"/>
  <c r="AE345" i="25"/>
  <c r="X345" i="25"/>
  <c r="AD345" i="25" s="1"/>
  <c r="W345" i="25"/>
  <c r="AC345" i="25" s="1"/>
  <c r="V345" i="25"/>
  <c r="AB345" i="25" s="1"/>
  <c r="AG344" i="25"/>
  <c r="AE344" i="25"/>
  <c r="X344" i="25"/>
  <c r="AD344" i="25" s="1"/>
  <c r="W344" i="25"/>
  <c r="AC344" i="25" s="1"/>
  <c r="V344" i="25"/>
  <c r="AB344" i="25" s="1"/>
  <c r="AG343" i="25"/>
  <c r="AE343" i="25"/>
  <c r="AC343" i="25"/>
  <c r="X343" i="25"/>
  <c r="AD343" i="25" s="1"/>
  <c r="W343" i="25"/>
  <c r="V343" i="25"/>
  <c r="AB343" i="25" s="1"/>
  <c r="AG342" i="25"/>
  <c r="AE342" i="25"/>
  <c r="X342" i="25"/>
  <c r="AD342" i="25" s="1"/>
  <c r="W342" i="25"/>
  <c r="AC342" i="25" s="1"/>
  <c r="V342" i="25"/>
  <c r="AB342" i="25" s="1"/>
  <c r="AG341" i="25"/>
  <c r="AF341" i="25"/>
  <c r="X341" i="25"/>
  <c r="AD341" i="25" s="1"/>
  <c r="W341" i="25"/>
  <c r="AC341" i="25" s="1"/>
  <c r="V341" i="25"/>
  <c r="AB341" i="25" s="1"/>
  <c r="AG340" i="25"/>
  <c r="AF340" i="25"/>
  <c r="X340" i="25"/>
  <c r="AD340" i="25" s="1"/>
  <c r="W340" i="25"/>
  <c r="AC340" i="25" s="1"/>
  <c r="V340" i="25"/>
  <c r="AB340" i="25" s="1"/>
  <c r="AG339" i="25"/>
  <c r="AF339" i="25"/>
  <c r="X339" i="25"/>
  <c r="AD339" i="25" s="1"/>
  <c r="W339" i="25"/>
  <c r="AC339" i="25" s="1"/>
  <c r="V339" i="25"/>
  <c r="AB339" i="25" s="1"/>
  <c r="AG338" i="25"/>
  <c r="AF338" i="25"/>
  <c r="X338" i="25"/>
  <c r="AD338" i="25" s="1"/>
  <c r="W338" i="25"/>
  <c r="AC338" i="25" s="1"/>
  <c r="V338" i="25"/>
  <c r="AB338" i="25" s="1"/>
  <c r="AG337" i="25"/>
  <c r="AF337" i="25"/>
  <c r="X337" i="25"/>
  <c r="AD337" i="25" s="1"/>
  <c r="W337" i="25"/>
  <c r="AC337" i="25" s="1"/>
  <c r="V337" i="25"/>
  <c r="AB337" i="25" s="1"/>
  <c r="AG336" i="25"/>
  <c r="AF336" i="25"/>
  <c r="X336" i="25"/>
  <c r="AD336" i="25" s="1"/>
  <c r="W336" i="25"/>
  <c r="AC336" i="25" s="1"/>
  <c r="V336" i="25"/>
  <c r="AB336" i="25" s="1"/>
  <c r="AG335" i="25"/>
  <c r="AF335" i="25"/>
  <c r="X335" i="25"/>
  <c r="AD335" i="25" s="1"/>
  <c r="W335" i="25"/>
  <c r="AC335" i="25" s="1"/>
  <c r="V335" i="25"/>
  <c r="AB335" i="25" s="1"/>
  <c r="AG334" i="25"/>
  <c r="AF334" i="25"/>
  <c r="X334" i="25"/>
  <c r="AD334" i="25" s="1"/>
  <c r="W334" i="25"/>
  <c r="AC334" i="25" s="1"/>
  <c r="V334" i="25"/>
  <c r="AB334" i="25" s="1"/>
  <c r="AG333" i="25"/>
  <c r="AF333" i="25"/>
  <c r="X333" i="25"/>
  <c r="AD333" i="25" s="1"/>
  <c r="W333" i="25"/>
  <c r="AC333" i="25" s="1"/>
  <c r="V333" i="25"/>
  <c r="AB333" i="25" s="1"/>
  <c r="AG332" i="25"/>
  <c r="AF332" i="25"/>
  <c r="X332" i="25"/>
  <c r="AD332" i="25" s="1"/>
  <c r="W332" i="25"/>
  <c r="AC332" i="25" s="1"/>
  <c r="V332" i="25"/>
  <c r="AB332" i="25" s="1"/>
  <c r="AG331" i="25"/>
  <c r="AF331" i="25"/>
  <c r="X331" i="25"/>
  <c r="AD331" i="25" s="1"/>
  <c r="W331" i="25"/>
  <c r="AC331" i="25" s="1"/>
  <c r="V331" i="25"/>
  <c r="AB331" i="25" s="1"/>
  <c r="AG330" i="25"/>
  <c r="AF330" i="25"/>
  <c r="X330" i="25"/>
  <c r="AD330" i="25" s="1"/>
  <c r="W330" i="25"/>
  <c r="AC330" i="25" s="1"/>
  <c r="V330" i="25"/>
  <c r="AB330" i="25" s="1"/>
  <c r="AG329" i="25"/>
  <c r="AE329" i="25"/>
  <c r="X329" i="25"/>
  <c r="AD329" i="25" s="1"/>
  <c r="W329" i="25"/>
  <c r="AC329" i="25" s="1"/>
  <c r="V329" i="25"/>
  <c r="AB329" i="25" s="1"/>
  <c r="AG328" i="25"/>
  <c r="AE328" i="25"/>
  <c r="X328" i="25"/>
  <c r="AD328" i="25" s="1"/>
  <c r="W328" i="25"/>
  <c r="AC328" i="25" s="1"/>
  <c r="V328" i="25"/>
  <c r="AB328" i="25" s="1"/>
  <c r="AG327" i="25"/>
  <c r="AE327" i="25"/>
  <c r="X327" i="25"/>
  <c r="AD327" i="25" s="1"/>
  <c r="W327" i="25"/>
  <c r="AC327" i="25" s="1"/>
  <c r="V327" i="25"/>
  <c r="AB327" i="25" s="1"/>
  <c r="AG326" i="25"/>
  <c r="AE326" i="25"/>
  <c r="X326" i="25"/>
  <c r="AD326" i="25" s="1"/>
  <c r="W326" i="25"/>
  <c r="AC326" i="25" s="1"/>
  <c r="V326" i="25"/>
  <c r="AB326" i="25" s="1"/>
  <c r="AG325" i="25"/>
  <c r="AE325" i="25"/>
  <c r="X325" i="25"/>
  <c r="AD325" i="25" s="1"/>
  <c r="W325" i="25"/>
  <c r="AC325" i="25" s="1"/>
  <c r="V325" i="25"/>
  <c r="AB325" i="25" s="1"/>
  <c r="AG324" i="25"/>
  <c r="AE324" i="25"/>
  <c r="AC324" i="25"/>
  <c r="X324" i="25"/>
  <c r="AD324" i="25" s="1"/>
  <c r="W324" i="25"/>
  <c r="V324" i="25"/>
  <c r="AB324" i="25" s="1"/>
  <c r="AG323" i="25"/>
  <c r="AE323" i="25"/>
  <c r="X323" i="25"/>
  <c r="AD323" i="25" s="1"/>
  <c r="W323" i="25"/>
  <c r="AC323" i="25" s="1"/>
  <c r="V323" i="25"/>
  <c r="AB323" i="25" s="1"/>
  <c r="AG322" i="25"/>
  <c r="AE322" i="25"/>
  <c r="X322" i="25"/>
  <c r="AD322" i="25" s="1"/>
  <c r="W322" i="25"/>
  <c r="AC322" i="25" s="1"/>
  <c r="V322" i="25"/>
  <c r="AB322" i="25" s="1"/>
  <c r="AG321" i="25"/>
  <c r="AE321" i="25"/>
  <c r="X321" i="25"/>
  <c r="AD321" i="25" s="1"/>
  <c r="W321" i="25"/>
  <c r="AC321" i="25" s="1"/>
  <c r="V321" i="25"/>
  <c r="AB321" i="25" s="1"/>
  <c r="AG320" i="25"/>
  <c r="AE320" i="25"/>
  <c r="X320" i="25"/>
  <c r="AD320" i="25" s="1"/>
  <c r="W320" i="25"/>
  <c r="AC320" i="25" s="1"/>
  <c r="V320" i="25"/>
  <c r="AB320" i="25" s="1"/>
  <c r="AG319" i="25"/>
  <c r="AE319" i="25"/>
  <c r="X319" i="25"/>
  <c r="AD319" i="25" s="1"/>
  <c r="W319" i="25"/>
  <c r="AC319" i="25" s="1"/>
  <c r="V319" i="25"/>
  <c r="AB319" i="25" s="1"/>
  <c r="AG318" i="25"/>
  <c r="AE318" i="25"/>
  <c r="X318" i="25"/>
  <c r="AD318" i="25" s="1"/>
  <c r="W318" i="25"/>
  <c r="AC318" i="25" s="1"/>
  <c r="V318" i="25"/>
  <c r="AB318" i="25" s="1"/>
  <c r="AE317" i="25"/>
  <c r="X317" i="25"/>
  <c r="AD317" i="25" s="1"/>
  <c r="W317" i="25"/>
  <c r="AC317" i="25" s="1"/>
  <c r="V317" i="25"/>
  <c r="AB317" i="25" s="1"/>
  <c r="AE316" i="25"/>
  <c r="X316" i="25"/>
  <c r="AD316" i="25" s="1"/>
  <c r="W316" i="25"/>
  <c r="AC316" i="25" s="1"/>
  <c r="V316" i="25"/>
  <c r="AB316" i="25" s="1"/>
  <c r="AE315" i="25"/>
  <c r="X315" i="25"/>
  <c r="AD315" i="25" s="1"/>
  <c r="W315" i="25"/>
  <c r="AC315" i="25" s="1"/>
  <c r="V315" i="25"/>
  <c r="AB315" i="25" s="1"/>
  <c r="AE314" i="25"/>
  <c r="X314" i="25"/>
  <c r="AD314" i="25" s="1"/>
  <c r="W314" i="25"/>
  <c r="AC314" i="25" s="1"/>
  <c r="V314" i="25"/>
  <c r="AB314" i="25" s="1"/>
  <c r="AE313" i="25"/>
  <c r="X313" i="25"/>
  <c r="AD313" i="25" s="1"/>
  <c r="W313" i="25"/>
  <c r="AC313" i="25" s="1"/>
  <c r="V313" i="25"/>
  <c r="AB313" i="25" s="1"/>
  <c r="AE312" i="25"/>
  <c r="AB312" i="25"/>
  <c r="X312" i="25"/>
  <c r="AD312" i="25" s="1"/>
  <c r="W312" i="25"/>
  <c r="AC312" i="25" s="1"/>
  <c r="V312" i="25"/>
  <c r="AE311" i="25"/>
  <c r="X311" i="25"/>
  <c r="AD311" i="25" s="1"/>
  <c r="W311" i="25"/>
  <c r="AC311" i="25" s="1"/>
  <c r="V311" i="25"/>
  <c r="AB311" i="25" s="1"/>
  <c r="AE310" i="25"/>
  <c r="X310" i="25"/>
  <c r="AD310" i="25" s="1"/>
  <c r="W310" i="25"/>
  <c r="AC310" i="25" s="1"/>
  <c r="V310" i="25"/>
  <c r="AB310" i="25" s="1"/>
  <c r="AE309" i="25"/>
  <c r="X309" i="25"/>
  <c r="AD309" i="25" s="1"/>
  <c r="W309" i="25"/>
  <c r="AC309" i="25" s="1"/>
  <c r="V309" i="25"/>
  <c r="AB309" i="25" s="1"/>
  <c r="AE308" i="25"/>
  <c r="AC308" i="25"/>
  <c r="X308" i="25"/>
  <c r="AD308" i="25" s="1"/>
  <c r="W308" i="25"/>
  <c r="V308" i="25"/>
  <c r="AB308" i="25" s="1"/>
  <c r="AE307" i="25"/>
  <c r="X307" i="25"/>
  <c r="AD307" i="25" s="1"/>
  <c r="W307" i="25"/>
  <c r="AC307" i="25" s="1"/>
  <c r="V307" i="25"/>
  <c r="AB307" i="25" s="1"/>
  <c r="AE306" i="25"/>
  <c r="X306" i="25"/>
  <c r="AD306" i="25" s="1"/>
  <c r="W306" i="25"/>
  <c r="AC306" i="25" s="1"/>
  <c r="V306" i="25"/>
  <c r="AB306" i="25" s="1"/>
  <c r="AG305" i="25"/>
  <c r="AF305" i="25"/>
  <c r="X305" i="25"/>
  <c r="AD305" i="25" s="1"/>
  <c r="W305" i="25"/>
  <c r="AC305" i="25" s="1"/>
  <c r="V305" i="25"/>
  <c r="AB305" i="25" s="1"/>
  <c r="AG304" i="25"/>
  <c r="AF304" i="25"/>
  <c r="X304" i="25"/>
  <c r="AD304" i="25" s="1"/>
  <c r="W304" i="25"/>
  <c r="AC304" i="25" s="1"/>
  <c r="V304" i="25"/>
  <c r="AB304" i="25" s="1"/>
  <c r="AG303" i="25"/>
  <c r="AF303" i="25"/>
  <c r="X303" i="25"/>
  <c r="AD303" i="25" s="1"/>
  <c r="W303" i="25"/>
  <c r="AC303" i="25" s="1"/>
  <c r="V303" i="25"/>
  <c r="AB303" i="25" s="1"/>
  <c r="AG302" i="25"/>
  <c r="AF302" i="25"/>
  <c r="X302" i="25"/>
  <c r="AD302" i="25" s="1"/>
  <c r="W302" i="25"/>
  <c r="AC302" i="25" s="1"/>
  <c r="V302" i="25"/>
  <c r="AB302" i="25" s="1"/>
  <c r="AG301" i="25"/>
  <c r="AF301" i="25"/>
  <c r="X301" i="25"/>
  <c r="AD301" i="25" s="1"/>
  <c r="W301" i="25"/>
  <c r="AC301" i="25" s="1"/>
  <c r="V301" i="25"/>
  <c r="AB301" i="25" s="1"/>
  <c r="AG300" i="25"/>
  <c r="AF300" i="25"/>
  <c r="X300" i="25"/>
  <c r="AD300" i="25" s="1"/>
  <c r="W300" i="25"/>
  <c r="AC300" i="25" s="1"/>
  <c r="V300" i="25"/>
  <c r="AB300" i="25" s="1"/>
  <c r="AG299" i="25"/>
  <c r="AF299" i="25"/>
  <c r="X299" i="25"/>
  <c r="AD299" i="25" s="1"/>
  <c r="W299" i="25"/>
  <c r="AC299" i="25" s="1"/>
  <c r="V299" i="25"/>
  <c r="AB299" i="25" s="1"/>
  <c r="AG298" i="25"/>
  <c r="AF298" i="25"/>
  <c r="X298" i="25"/>
  <c r="AD298" i="25" s="1"/>
  <c r="W298" i="25"/>
  <c r="AC298" i="25" s="1"/>
  <c r="V298" i="25"/>
  <c r="AB298" i="25" s="1"/>
  <c r="AG297" i="25"/>
  <c r="AF297" i="25"/>
  <c r="X297" i="25"/>
  <c r="AD297" i="25" s="1"/>
  <c r="W297" i="25"/>
  <c r="AC297" i="25" s="1"/>
  <c r="V297" i="25"/>
  <c r="AB297" i="25" s="1"/>
  <c r="AG296" i="25"/>
  <c r="AF296" i="25"/>
  <c r="X296" i="25"/>
  <c r="AD296" i="25" s="1"/>
  <c r="W296" i="25"/>
  <c r="AC296" i="25" s="1"/>
  <c r="V296" i="25"/>
  <c r="AB296" i="25" s="1"/>
  <c r="AG295" i="25"/>
  <c r="AF295" i="25"/>
  <c r="X295" i="25"/>
  <c r="AD295" i="25" s="1"/>
  <c r="W295" i="25"/>
  <c r="AC295" i="25" s="1"/>
  <c r="V295" i="25"/>
  <c r="AB295" i="25" s="1"/>
  <c r="AG294" i="25"/>
  <c r="AF294" i="25"/>
  <c r="X294" i="25"/>
  <c r="AD294" i="25" s="1"/>
  <c r="W294" i="25"/>
  <c r="AC294" i="25" s="1"/>
  <c r="V294" i="25"/>
  <c r="AB294" i="25" s="1"/>
  <c r="AE293" i="25"/>
  <c r="X293" i="25"/>
  <c r="AD293" i="25" s="1"/>
  <c r="W293" i="25"/>
  <c r="AC293" i="25" s="1"/>
  <c r="V293" i="25"/>
  <c r="AB293" i="25" s="1"/>
  <c r="AE292" i="25"/>
  <c r="X292" i="25"/>
  <c r="AD292" i="25" s="1"/>
  <c r="W292" i="25"/>
  <c r="AC292" i="25" s="1"/>
  <c r="V292" i="25"/>
  <c r="AB292" i="25" s="1"/>
  <c r="AE291" i="25"/>
  <c r="X291" i="25"/>
  <c r="AD291" i="25" s="1"/>
  <c r="W291" i="25"/>
  <c r="AC291" i="25" s="1"/>
  <c r="V291" i="25"/>
  <c r="AB291" i="25" s="1"/>
  <c r="AE290" i="25"/>
  <c r="X290" i="25"/>
  <c r="AD290" i="25" s="1"/>
  <c r="W290" i="25"/>
  <c r="AC290" i="25" s="1"/>
  <c r="V290" i="25"/>
  <c r="AB290" i="25" s="1"/>
  <c r="AE289" i="25"/>
  <c r="X289" i="25"/>
  <c r="AD289" i="25" s="1"/>
  <c r="W289" i="25"/>
  <c r="AC289" i="25" s="1"/>
  <c r="V289" i="25"/>
  <c r="AB289" i="25" s="1"/>
  <c r="AE288" i="25"/>
  <c r="X288" i="25"/>
  <c r="AD288" i="25" s="1"/>
  <c r="W288" i="25"/>
  <c r="AC288" i="25" s="1"/>
  <c r="V288" i="25"/>
  <c r="AB288" i="25" s="1"/>
  <c r="AE287" i="25"/>
  <c r="AB287" i="25"/>
  <c r="X287" i="25"/>
  <c r="AD287" i="25" s="1"/>
  <c r="W287" i="25"/>
  <c r="AC287" i="25" s="1"/>
  <c r="V287" i="25"/>
  <c r="AE286" i="25"/>
  <c r="X286" i="25"/>
  <c r="AD286" i="25" s="1"/>
  <c r="W286" i="25"/>
  <c r="AC286" i="25" s="1"/>
  <c r="V286" i="25"/>
  <c r="AB286" i="25" s="1"/>
  <c r="AE285" i="25"/>
  <c r="AC285" i="25"/>
  <c r="X285" i="25"/>
  <c r="AD285" i="25" s="1"/>
  <c r="W285" i="25"/>
  <c r="V285" i="25"/>
  <c r="AB285" i="25" s="1"/>
  <c r="AE284" i="25"/>
  <c r="AD284" i="25"/>
  <c r="X284" i="25"/>
  <c r="W284" i="25"/>
  <c r="AC284" i="25" s="1"/>
  <c r="V284" i="25"/>
  <c r="AB284" i="25" s="1"/>
  <c r="AE283" i="25"/>
  <c r="X283" i="25"/>
  <c r="AD283" i="25" s="1"/>
  <c r="W283" i="25"/>
  <c r="AC283" i="25" s="1"/>
  <c r="V283" i="25"/>
  <c r="AB283" i="25" s="1"/>
  <c r="AE282" i="25"/>
  <c r="X282" i="25"/>
  <c r="AD282" i="25" s="1"/>
  <c r="W282" i="25"/>
  <c r="AC282" i="25" s="1"/>
  <c r="V282" i="25"/>
  <c r="AB282" i="25" s="1"/>
  <c r="AE281" i="25"/>
  <c r="X281" i="25"/>
  <c r="AD281" i="25" s="1"/>
  <c r="W281" i="25"/>
  <c r="AC281" i="25" s="1"/>
  <c r="V281" i="25"/>
  <c r="AB281" i="25" s="1"/>
  <c r="AE280" i="25"/>
  <c r="X280" i="25"/>
  <c r="AD280" i="25" s="1"/>
  <c r="W280" i="25"/>
  <c r="AC280" i="25" s="1"/>
  <c r="V280" i="25"/>
  <c r="AB280" i="25" s="1"/>
  <c r="AE279" i="25"/>
  <c r="X279" i="25"/>
  <c r="AD279" i="25" s="1"/>
  <c r="W279" i="25"/>
  <c r="AC279" i="25" s="1"/>
  <c r="V279" i="25"/>
  <c r="AB279" i="25" s="1"/>
  <c r="AE278" i="25"/>
  <c r="X278" i="25"/>
  <c r="AD278" i="25" s="1"/>
  <c r="W278" i="25"/>
  <c r="AC278" i="25" s="1"/>
  <c r="V278" i="25"/>
  <c r="AB278" i="25" s="1"/>
  <c r="AE277" i="25"/>
  <c r="X277" i="25"/>
  <c r="AD277" i="25" s="1"/>
  <c r="W277" i="25"/>
  <c r="AC277" i="25" s="1"/>
  <c r="V277" i="25"/>
  <c r="AB277" i="25" s="1"/>
  <c r="AE276" i="25"/>
  <c r="X276" i="25"/>
  <c r="AD276" i="25" s="1"/>
  <c r="W276" i="25"/>
  <c r="AC276" i="25" s="1"/>
  <c r="V276" i="25"/>
  <c r="AB276" i="25" s="1"/>
  <c r="AE275" i="25"/>
  <c r="X275" i="25"/>
  <c r="AD275" i="25" s="1"/>
  <c r="W275" i="25"/>
  <c r="AC275" i="25" s="1"/>
  <c r="V275" i="25"/>
  <c r="AB275" i="25" s="1"/>
  <c r="AE274" i="25"/>
  <c r="X274" i="25"/>
  <c r="AD274" i="25" s="1"/>
  <c r="W274" i="25"/>
  <c r="AC274" i="25" s="1"/>
  <c r="V274" i="25"/>
  <c r="AB274" i="25" s="1"/>
  <c r="AE273" i="25"/>
  <c r="X273" i="25"/>
  <c r="AD273" i="25" s="1"/>
  <c r="W273" i="25"/>
  <c r="AC273" i="25" s="1"/>
  <c r="V273" i="25"/>
  <c r="AB273" i="25" s="1"/>
  <c r="AE272" i="25"/>
  <c r="X272" i="25"/>
  <c r="AD272" i="25" s="1"/>
  <c r="W272" i="25"/>
  <c r="AC272" i="25" s="1"/>
  <c r="V272" i="25"/>
  <c r="AB272" i="25" s="1"/>
  <c r="AE271" i="25"/>
  <c r="X271" i="25"/>
  <c r="AD271" i="25" s="1"/>
  <c r="W271" i="25"/>
  <c r="AC271" i="25" s="1"/>
  <c r="V271" i="25"/>
  <c r="AB271" i="25" s="1"/>
  <c r="AE270" i="25"/>
  <c r="X270" i="25"/>
  <c r="AD270" i="25" s="1"/>
  <c r="W270" i="25"/>
  <c r="AC270" i="25" s="1"/>
  <c r="V270" i="25"/>
  <c r="AB270" i="25" s="1"/>
  <c r="AE269" i="25"/>
  <c r="X269" i="25"/>
  <c r="AD269" i="25" s="1"/>
  <c r="W269" i="25"/>
  <c r="AC269" i="25" s="1"/>
  <c r="V269" i="25"/>
  <c r="AB269" i="25" s="1"/>
  <c r="AE268" i="25"/>
  <c r="X268" i="25"/>
  <c r="AD268" i="25" s="1"/>
  <c r="W268" i="25"/>
  <c r="AC268" i="25" s="1"/>
  <c r="V268" i="25"/>
  <c r="AB268" i="25" s="1"/>
  <c r="AE267" i="25"/>
  <c r="X267" i="25"/>
  <c r="AD267" i="25" s="1"/>
  <c r="W267" i="25"/>
  <c r="AC267" i="25" s="1"/>
  <c r="V267" i="25"/>
  <c r="AB267" i="25" s="1"/>
  <c r="AE266" i="25"/>
  <c r="X266" i="25"/>
  <c r="AD266" i="25" s="1"/>
  <c r="W266" i="25"/>
  <c r="AC266" i="25" s="1"/>
  <c r="V266" i="25"/>
  <c r="AB266" i="25" s="1"/>
  <c r="AE265" i="25"/>
  <c r="X265" i="25"/>
  <c r="AD265" i="25" s="1"/>
  <c r="W265" i="25"/>
  <c r="AC265" i="25" s="1"/>
  <c r="V265" i="25"/>
  <c r="AB265" i="25" s="1"/>
  <c r="AE264" i="25"/>
  <c r="X264" i="25"/>
  <c r="AD264" i="25" s="1"/>
  <c r="W264" i="25"/>
  <c r="AC264" i="25" s="1"/>
  <c r="V264" i="25"/>
  <c r="AB264" i="25" s="1"/>
  <c r="AE263" i="25"/>
  <c r="X263" i="25"/>
  <c r="AD263" i="25" s="1"/>
  <c r="W263" i="25"/>
  <c r="AC263" i="25" s="1"/>
  <c r="V263" i="25"/>
  <c r="AB263" i="25" s="1"/>
  <c r="AE262" i="25"/>
  <c r="X262" i="25"/>
  <c r="AD262" i="25" s="1"/>
  <c r="W262" i="25"/>
  <c r="AC262" i="25" s="1"/>
  <c r="V262" i="25"/>
  <c r="AB262" i="25" s="1"/>
  <c r="AE261" i="25"/>
  <c r="AB261" i="25"/>
  <c r="X261" i="25"/>
  <c r="AD261" i="25" s="1"/>
  <c r="W261" i="25"/>
  <c r="AC261" i="25" s="1"/>
  <c r="V261" i="25"/>
  <c r="AE260" i="25"/>
  <c r="AD260" i="25"/>
  <c r="AC260" i="25"/>
  <c r="X260" i="25"/>
  <c r="W260" i="25"/>
  <c r="V260" i="25"/>
  <c r="AB260" i="25" s="1"/>
  <c r="AE259" i="25"/>
  <c r="X259" i="25"/>
  <c r="AD259" i="25" s="1"/>
  <c r="W259" i="25"/>
  <c r="AC259" i="25" s="1"/>
  <c r="V259" i="25"/>
  <c r="AB259" i="25" s="1"/>
  <c r="AE258" i="25"/>
  <c r="X258" i="25"/>
  <c r="AD258" i="25" s="1"/>
  <c r="W258" i="25"/>
  <c r="AC258" i="25" s="1"/>
  <c r="V258" i="25"/>
  <c r="AB258" i="25" s="1"/>
  <c r="AE257" i="25"/>
  <c r="X257" i="25"/>
  <c r="AD257" i="25" s="1"/>
  <c r="W257" i="25"/>
  <c r="AC257" i="25" s="1"/>
  <c r="V257" i="25"/>
  <c r="AB257" i="25" s="1"/>
  <c r="AE256" i="25"/>
  <c r="X256" i="25"/>
  <c r="AD256" i="25" s="1"/>
  <c r="W256" i="25"/>
  <c r="AC256" i="25" s="1"/>
  <c r="V256" i="25"/>
  <c r="AB256" i="25" s="1"/>
  <c r="AG255" i="25"/>
  <c r="AF255" i="25"/>
  <c r="X255" i="25"/>
  <c r="AD255" i="25" s="1"/>
  <c r="W255" i="25"/>
  <c r="AC255" i="25" s="1"/>
  <c r="V255" i="25"/>
  <c r="AB255" i="25" s="1"/>
  <c r="AG254" i="25"/>
  <c r="AF254" i="25"/>
  <c r="X254" i="25"/>
  <c r="AD254" i="25" s="1"/>
  <c r="W254" i="25"/>
  <c r="AC254" i="25" s="1"/>
  <c r="V254" i="25"/>
  <c r="AB254" i="25" s="1"/>
  <c r="AG253" i="25"/>
  <c r="AF253" i="25"/>
  <c r="AB253" i="25"/>
  <c r="X253" i="25"/>
  <c r="AD253" i="25" s="1"/>
  <c r="W253" i="25"/>
  <c r="AC253" i="25" s="1"/>
  <c r="V253" i="25"/>
  <c r="AG252" i="25"/>
  <c r="AF252" i="25"/>
  <c r="X252" i="25"/>
  <c r="AD252" i="25" s="1"/>
  <c r="W252" i="25"/>
  <c r="AC252" i="25" s="1"/>
  <c r="V252" i="25"/>
  <c r="AB252" i="25" s="1"/>
  <c r="AG251" i="25"/>
  <c r="AF251" i="25"/>
  <c r="AD251" i="25"/>
  <c r="X251" i="25"/>
  <c r="W251" i="25"/>
  <c r="AC251" i="25" s="1"/>
  <c r="V251" i="25"/>
  <c r="AB251" i="25" s="1"/>
  <c r="AG250" i="25"/>
  <c r="AF250" i="25"/>
  <c r="X250" i="25"/>
  <c r="AD250" i="25" s="1"/>
  <c r="W250" i="25"/>
  <c r="AC250" i="25" s="1"/>
  <c r="V250" i="25"/>
  <c r="AB250" i="25" s="1"/>
  <c r="AG249" i="25"/>
  <c r="AF249" i="25"/>
  <c r="X249" i="25"/>
  <c r="AD249" i="25" s="1"/>
  <c r="W249" i="25"/>
  <c r="AC249" i="25" s="1"/>
  <c r="V249" i="25"/>
  <c r="AB249" i="25" s="1"/>
  <c r="AG248" i="25"/>
  <c r="AF248" i="25"/>
  <c r="X248" i="25"/>
  <c r="AD248" i="25" s="1"/>
  <c r="W248" i="25"/>
  <c r="AC248" i="25" s="1"/>
  <c r="V248" i="25"/>
  <c r="AB248" i="25" s="1"/>
  <c r="AG247" i="25"/>
  <c r="AF247" i="25"/>
  <c r="X247" i="25"/>
  <c r="AD247" i="25" s="1"/>
  <c r="W247" i="25"/>
  <c r="AC247" i="25" s="1"/>
  <c r="V247" i="25"/>
  <c r="AB247" i="25" s="1"/>
  <c r="AG246" i="25"/>
  <c r="AF246" i="25"/>
  <c r="AB246" i="25"/>
  <c r="X246" i="25"/>
  <c r="AD246" i="25" s="1"/>
  <c r="W246" i="25"/>
  <c r="AC246" i="25" s="1"/>
  <c r="V246" i="25"/>
  <c r="AG245" i="25"/>
  <c r="AF245" i="25"/>
  <c r="X245" i="25"/>
  <c r="AD245" i="25" s="1"/>
  <c r="W245" i="25"/>
  <c r="AC245" i="25" s="1"/>
  <c r="V245" i="25"/>
  <c r="AB245" i="25" s="1"/>
  <c r="AG244" i="25"/>
  <c r="AF244" i="25"/>
  <c r="X244" i="25"/>
  <c r="AD244" i="25" s="1"/>
  <c r="W244" i="25"/>
  <c r="AC244" i="25" s="1"/>
  <c r="V244" i="25"/>
  <c r="AB244" i="25" s="1"/>
  <c r="AG243" i="25"/>
  <c r="AF243" i="25"/>
  <c r="X243" i="25"/>
  <c r="AD243" i="25" s="1"/>
  <c r="W243" i="25"/>
  <c r="AC243" i="25" s="1"/>
  <c r="V243" i="25"/>
  <c r="AB243" i="25" s="1"/>
  <c r="AG242" i="25"/>
  <c r="AF242" i="25"/>
  <c r="X242" i="25"/>
  <c r="AD242" i="25" s="1"/>
  <c r="W242" i="25"/>
  <c r="AC242" i="25" s="1"/>
  <c r="V242" i="25"/>
  <c r="AB242" i="25" s="1"/>
  <c r="AG241" i="25"/>
  <c r="AF241" i="25"/>
  <c r="X241" i="25"/>
  <c r="AD241" i="25" s="1"/>
  <c r="W241" i="25"/>
  <c r="AC241" i="25" s="1"/>
  <c r="V241" i="25"/>
  <c r="AB241" i="25" s="1"/>
  <c r="AG240" i="25"/>
  <c r="AF240" i="25"/>
  <c r="X240" i="25"/>
  <c r="AD240" i="25" s="1"/>
  <c r="W240" i="25"/>
  <c r="AC240" i="25" s="1"/>
  <c r="V240" i="25"/>
  <c r="AB240" i="25" s="1"/>
  <c r="AG239" i="25"/>
  <c r="AF239" i="25"/>
  <c r="X239" i="25"/>
  <c r="AD239" i="25" s="1"/>
  <c r="W239" i="25"/>
  <c r="AC239" i="25" s="1"/>
  <c r="V239" i="25"/>
  <c r="AB239" i="25" s="1"/>
  <c r="AG238" i="25"/>
  <c r="AF238" i="25"/>
  <c r="X238" i="25"/>
  <c r="AD238" i="25" s="1"/>
  <c r="W238" i="25"/>
  <c r="AC238" i="25" s="1"/>
  <c r="V238" i="25"/>
  <c r="AB238" i="25" s="1"/>
  <c r="AG237" i="25"/>
  <c r="AF237" i="25"/>
  <c r="X237" i="25"/>
  <c r="AD237" i="25" s="1"/>
  <c r="W237" i="25"/>
  <c r="AC237" i="25" s="1"/>
  <c r="V237" i="25"/>
  <c r="AB237" i="25" s="1"/>
  <c r="AG236" i="25"/>
  <c r="AF236" i="25"/>
  <c r="X236" i="25"/>
  <c r="AD236" i="25" s="1"/>
  <c r="W236" i="25"/>
  <c r="AC236" i="25" s="1"/>
  <c r="V236" i="25"/>
  <c r="AB236" i="25" s="1"/>
  <c r="AG235" i="25"/>
  <c r="AF235" i="25"/>
  <c r="X235" i="25"/>
  <c r="AD235" i="25" s="1"/>
  <c r="W235" i="25"/>
  <c r="AC235" i="25" s="1"/>
  <c r="V235" i="25"/>
  <c r="AB235" i="25" s="1"/>
  <c r="AG234" i="25"/>
  <c r="AF234" i="25"/>
  <c r="X234" i="25"/>
  <c r="AD234" i="25" s="1"/>
  <c r="W234" i="25"/>
  <c r="AC234" i="25" s="1"/>
  <c r="V234" i="25"/>
  <c r="AB234" i="25" s="1"/>
  <c r="AG233" i="25"/>
  <c r="AF233" i="25"/>
  <c r="X233" i="25"/>
  <c r="AD233" i="25" s="1"/>
  <c r="W233" i="25"/>
  <c r="AC233" i="25" s="1"/>
  <c r="V233" i="25"/>
  <c r="AB233" i="25" s="1"/>
  <c r="AG232" i="25"/>
  <c r="AF232" i="25"/>
  <c r="AC232" i="25"/>
  <c r="X232" i="25"/>
  <c r="AD232" i="25" s="1"/>
  <c r="W232" i="25"/>
  <c r="V232" i="25"/>
  <c r="AB232" i="25" s="1"/>
  <c r="AE231" i="25"/>
  <c r="X231" i="25"/>
  <c r="AD231" i="25" s="1"/>
  <c r="W231" i="25"/>
  <c r="AC231" i="25" s="1"/>
  <c r="V231" i="25"/>
  <c r="AB231" i="25" s="1"/>
  <c r="AE230" i="25"/>
  <c r="X230" i="25"/>
  <c r="AD230" i="25" s="1"/>
  <c r="W230" i="25"/>
  <c r="AC230" i="25" s="1"/>
  <c r="V230" i="25"/>
  <c r="AB230" i="25" s="1"/>
  <c r="AE229" i="25"/>
  <c r="X229" i="25"/>
  <c r="AD229" i="25" s="1"/>
  <c r="W229" i="25"/>
  <c r="AC229" i="25" s="1"/>
  <c r="V229" i="25"/>
  <c r="AB229" i="25" s="1"/>
  <c r="AE228" i="25"/>
  <c r="X228" i="25"/>
  <c r="AD228" i="25" s="1"/>
  <c r="W228" i="25"/>
  <c r="AC228" i="25" s="1"/>
  <c r="V228" i="25"/>
  <c r="AB228" i="25" s="1"/>
  <c r="AE227" i="25"/>
  <c r="X227" i="25"/>
  <c r="AD227" i="25" s="1"/>
  <c r="W227" i="25"/>
  <c r="AC227" i="25" s="1"/>
  <c r="V227" i="25"/>
  <c r="AB227" i="25" s="1"/>
  <c r="AE226" i="25"/>
  <c r="X226" i="25"/>
  <c r="AD226" i="25" s="1"/>
  <c r="W226" i="25"/>
  <c r="AC226" i="25" s="1"/>
  <c r="V226" i="25"/>
  <c r="AB226" i="25" s="1"/>
  <c r="AE225" i="25"/>
  <c r="X225" i="25"/>
  <c r="AD225" i="25" s="1"/>
  <c r="W225" i="25"/>
  <c r="AC225" i="25" s="1"/>
  <c r="V225" i="25"/>
  <c r="AB225" i="25" s="1"/>
  <c r="AE224" i="25"/>
  <c r="X224" i="25"/>
  <c r="AD224" i="25" s="1"/>
  <c r="W224" i="25"/>
  <c r="AC224" i="25" s="1"/>
  <c r="V224" i="25"/>
  <c r="AB224" i="25" s="1"/>
  <c r="AE223" i="25"/>
  <c r="X223" i="25"/>
  <c r="AD223" i="25" s="1"/>
  <c r="W223" i="25"/>
  <c r="AC223" i="25" s="1"/>
  <c r="V223" i="25"/>
  <c r="AB223" i="25" s="1"/>
  <c r="AE222" i="25"/>
  <c r="X222" i="25"/>
  <c r="AD222" i="25" s="1"/>
  <c r="W222" i="25"/>
  <c r="AC222" i="25" s="1"/>
  <c r="V222" i="25"/>
  <c r="AB222" i="25" s="1"/>
  <c r="AE221" i="25"/>
  <c r="X221" i="25"/>
  <c r="AD221" i="25" s="1"/>
  <c r="W221" i="25"/>
  <c r="AC221" i="25" s="1"/>
  <c r="V221" i="25"/>
  <c r="AB221" i="25" s="1"/>
  <c r="AE220" i="25"/>
  <c r="X220" i="25"/>
  <c r="AD220" i="25" s="1"/>
  <c r="W220" i="25"/>
  <c r="AC220" i="25" s="1"/>
  <c r="V220" i="25"/>
  <c r="AB220" i="25" s="1"/>
  <c r="AE219" i="25"/>
  <c r="X219" i="25"/>
  <c r="AD219" i="25" s="1"/>
  <c r="W219" i="25"/>
  <c r="AC219" i="25" s="1"/>
  <c r="V219" i="25"/>
  <c r="AB219" i="25" s="1"/>
  <c r="AE218" i="25"/>
  <c r="X218" i="25"/>
  <c r="AD218" i="25" s="1"/>
  <c r="W218" i="25"/>
  <c r="AC218" i="25" s="1"/>
  <c r="V218" i="25"/>
  <c r="AB218" i="25" s="1"/>
  <c r="AE217" i="25"/>
  <c r="X217" i="25"/>
  <c r="AD217" i="25" s="1"/>
  <c r="W217" i="25"/>
  <c r="AC217" i="25" s="1"/>
  <c r="V217" i="25"/>
  <c r="AB217" i="25" s="1"/>
  <c r="AE216" i="25"/>
  <c r="X216" i="25"/>
  <c r="AD216" i="25" s="1"/>
  <c r="W216" i="25"/>
  <c r="AC216" i="25" s="1"/>
  <c r="V216" i="25"/>
  <c r="AB216" i="25" s="1"/>
  <c r="AE215" i="25"/>
  <c r="X215" i="25"/>
  <c r="AD215" i="25" s="1"/>
  <c r="W215" i="25"/>
  <c r="AC215" i="25" s="1"/>
  <c r="V215" i="25"/>
  <c r="AB215" i="25" s="1"/>
  <c r="AE214" i="25"/>
  <c r="X214" i="25"/>
  <c r="AD214" i="25" s="1"/>
  <c r="W214" i="25"/>
  <c r="AC214" i="25" s="1"/>
  <c r="V214" i="25"/>
  <c r="AB214" i="25" s="1"/>
  <c r="AE213" i="25"/>
  <c r="X213" i="25"/>
  <c r="AD213" i="25" s="1"/>
  <c r="W213" i="25"/>
  <c r="AC213" i="25" s="1"/>
  <c r="V213" i="25"/>
  <c r="AB213" i="25" s="1"/>
  <c r="AE212" i="25"/>
  <c r="AB212" i="25"/>
  <c r="X212" i="25"/>
  <c r="AD212" i="25" s="1"/>
  <c r="W212" i="25"/>
  <c r="AC212" i="25" s="1"/>
  <c r="V212" i="25"/>
  <c r="AE211" i="25"/>
  <c r="X211" i="25"/>
  <c r="AD211" i="25" s="1"/>
  <c r="W211" i="25"/>
  <c r="AC211" i="25" s="1"/>
  <c r="V211" i="25"/>
  <c r="AB211" i="25" s="1"/>
  <c r="AE210" i="25"/>
  <c r="X210" i="25"/>
  <c r="AD210" i="25" s="1"/>
  <c r="W210" i="25"/>
  <c r="AC210" i="25" s="1"/>
  <c r="V210" i="25"/>
  <c r="AB210" i="25" s="1"/>
  <c r="AE209" i="25"/>
  <c r="X209" i="25"/>
  <c r="AD209" i="25" s="1"/>
  <c r="W209" i="25"/>
  <c r="AC209" i="25" s="1"/>
  <c r="V209" i="25"/>
  <c r="AB209" i="25" s="1"/>
  <c r="AE208" i="25"/>
  <c r="X208" i="25"/>
  <c r="AD208" i="25" s="1"/>
  <c r="W208" i="25"/>
  <c r="AC208" i="25" s="1"/>
  <c r="V208" i="25"/>
  <c r="AB208" i="25" s="1"/>
  <c r="AE207" i="25"/>
  <c r="X207" i="25"/>
  <c r="AD207" i="25" s="1"/>
  <c r="W207" i="25"/>
  <c r="AC207" i="25" s="1"/>
  <c r="V207" i="25"/>
  <c r="AB207" i="25" s="1"/>
  <c r="AE206" i="25"/>
  <c r="X206" i="25"/>
  <c r="AD206" i="25" s="1"/>
  <c r="W206" i="25"/>
  <c r="AC206" i="25" s="1"/>
  <c r="V206" i="25"/>
  <c r="AB206" i="25" s="1"/>
  <c r="AG205" i="25"/>
  <c r="AF205" i="25"/>
  <c r="X205" i="25"/>
  <c r="AD205" i="25" s="1"/>
  <c r="W205" i="25"/>
  <c r="AC205" i="25" s="1"/>
  <c r="V205" i="25"/>
  <c r="AB205" i="25" s="1"/>
  <c r="AG204" i="25"/>
  <c r="AF204" i="25"/>
  <c r="X204" i="25"/>
  <c r="AD204" i="25" s="1"/>
  <c r="W204" i="25"/>
  <c r="AC204" i="25" s="1"/>
  <c r="V204" i="25"/>
  <c r="AB204" i="25" s="1"/>
  <c r="AG203" i="25"/>
  <c r="AF203" i="25"/>
  <c r="X203" i="25"/>
  <c r="AD203" i="25" s="1"/>
  <c r="W203" i="25"/>
  <c r="AC203" i="25" s="1"/>
  <c r="V203" i="25"/>
  <c r="AB203" i="25" s="1"/>
  <c r="AG202" i="25"/>
  <c r="AF202" i="25"/>
  <c r="X202" i="25"/>
  <c r="AD202" i="25" s="1"/>
  <c r="W202" i="25"/>
  <c r="AC202" i="25" s="1"/>
  <c r="V202" i="25"/>
  <c r="AB202" i="25" s="1"/>
  <c r="AG201" i="25"/>
  <c r="AF201" i="25"/>
  <c r="X201" i="25"/>
  <c r="AD201" i="25" s="1"/>
  <c r="W201" i="25"/>
  <c r="AC201" i="25" s="1"/>
  <c r="V201" i="25"/>
  <c r="AB201" i="25" s="1"/>
  <c r="AG200" i="25"/>
  <c r="AF200" i="25"/>
  <c r="X200" i="25"/>
  <c r="AD200" i="25" s="1"/>
  <c r="W200" i="25"/>
  <c r="AC200" i="25" s="1"/>
  <c r="V200" i="25"/>
  <c r="AB200" i="25" s="1"/>
  <c r="AG199" i="25"/>
  <c r="AF199" i="25"/>
  <c r="X199" i="25"/>
  <c r="AD199" i="25" s="1"/>
  <c r="W199" i="25"/>
  <c r="AC199" i="25" s="1"/>
  <c r="V199" i="25"/>
  <c r="AB199" i="25" s="1"/>
  <c r="AG198" i="25"/>
  <c r="AF198" i="25"/>
  <c r="X198" i="25"/>
  <c r="AD198" i="25" s="1"/>
  <c r="W198" i="25"/>
  <c r="AC198" i="25" s="1"/>
  <c r="V198" i="25"/>
  <c r="AB198" i="25" s="1"/>
  <c r="AG197" i="25"/>
  <c r="AF197" i="25"/>
  <c r="X197" i="25"/>
  <c r="AD197" i="25" s="1"/>
  <c r="W197" i="25"/>
  <c r="AC197" i="25" s="1"/>
  <c r="V197" i="25"/>
  <c r="AB197" i="25" s="1"/>
  <c r="AG196" i="25"/>
  <c r="AF196" i="25"/>
  <c r="X196" i="25"/>
  <c r="AD196" i="25" s="1"/>
  <c r="W196" i="25"/>
  <c r="AC196" i="25" s="1"/>
  <c r="V196" i="25"/>
  <c r="AB196" i="25" s="1"/>
  <c r="AG195" i="25"/>
  <c r="AF195" i="25"/>
  <c r="X195" i="25"/>
  <c r="AD195" i="25" s="1"/>
  <c r="W195" i="25"/>
  <c r="AC195" i="25" s="1"/>
  <c r="V195" i="25"/>
  <c r="AB195" i="25" s="1"/>
  <c r="AG194" i="25"/>
  <c r="AF194" i="25"/>
  <c r="X194" i="25"/>
  <c r="AD194" i="25" s="1"/>
  <c r="W194" i="25"/>
  <c r="AC194" i="25" s="1"/>
  <c r="V194" i="25"/>
  <c r="AB194" i="25" s="1"/>
  <c r="X193" i="25"/>
  <c r="AD193" i="25" s="1"/>
  <c r="W193" i="25"/>
  <c r="AC193" i="25" s="1"/>
  <c r="V193" i="25"/>
  <c r="AB193" i="25" s="1"/>
  <c r="X192" i="25"/>
  <c r="AD192" i="25" s="1"/>
  <c r="W192" i="25"/>
  <c r="AC192" i="25" s="1"/>
  <c r="V192" i="25"/>
  <c r="AB192" i="25" s="1"/>
  <c r="X191" i="25"/>
  <c r="AD191" i="25" s="1"/>
  <c r="W191" i="25"/>
  <c r="AC191" i="25" s="1"/>
  <c r="V191" i="25"/>
  <c r="AB191" i="25" s="1"/>
  <c r="X190" i="25"/>
  <c r="AD190" i="25" s="1"/>
  <c r="W190" i="25"/>
  <c r="AC190" i="25" s="1"/>
  <c r="V190" i="25"/>
  <c r="AB190" i="25" s="1"/>
  <c r="X189" i="25"/>
  <c r="AD189" i="25" s="1"/>
  <c r="W189" i="25"/>
  <c r="AC189" i="25" s="1"/>
  <c r="V189" i="25"/>
  <c r="AB189" i="25" s="1"/>
  <c r="AC188" i="25"/>
  <c r="X188" i="25"/>
  <c r="AD188" i="25" s="1"/>
  <c r="W188" i="25"/>
  <c r="V188" i="25"/>
  <c r="AB188" i="25" s="1"/>
  <c r="X187" i="25"/>
  <c r="AD187" i="25" s="1"/>
  <c r="W187" i="25"/>
  <c r="AC187" i="25" s="1"/>
  <c r="V187" i="25"/>
  <c r="AB187" i="25" s="1"/>
  <c r="X186" i="25"/>
  <c r="AD186" i="25" s="1"/>
  <c r="W186" i="25"/>
  <c r="AC186" i="25" s="1"/>
  <c r="V186" i="25"/>
  <c r="AB186" i="25" s="1"/>
  <c r="X185" i="25"/>
  <c r="AD185" i="25" s="1"/>
  <c r="W185" i="25"/>
  <c r="AC185" i="25" s="1"/>
  <c r="V185" i="25"/>
  <c r="AB185" i="25" s="1"/>
  <c r="X184" i="25"/>
  <c r="AD184" i="25" s="1"/>
  <c r="W184" i="25"/>
  <c r="AC184" i="25" s="1"/>
  <c r="V184" i="25"/>
  <c r="AB184" i="25" s="1"/>
  <c r="X183" i="25"/>
  <c r="AD183" i="25" s="1"/>
  <c r="W183" i="25"/>
  <c r="AC183" i="25" s="1"/>
  <c r="V183" i="25"/>
  <c r="AB183" i="25" s="1"/>
  <c r="X182" i="25"/>
  <c r="AD182" i="25" s="1"/>
  <c r="W182" i="25"/>
  <c r="AC182" i="25" s="1"/>
  <c r="V182" i="25"/>
  <c r="AB182" i="25" s="1"/>
  <c r="AC181" i="25"/>
  <c r="X181" i="25"/>
  <c r="AD181" i="25" s="1"/>
  <c r="W181" i="25"/>
  <c r="V181" i="25"/>
  <c r="AB181" i="25" s="1"/>
  <c r="X180" i="25"/>
  <c r="AD180" i="25" s="1"/>
  <c r="W180" i="25"/>
  <c r="AC180" i="25" s="1"/>
  <c r="V180" i="25"/>
  <c r="AB180" i="25" s="1"/>
  <c r="X179" i="25"/>
  <c r="AD179" i="25" s="1"/>
  <c r="W179" i="25"/>
  <c r="AC179" i="25" s="1"/>
  <c r="V179" i="25"/>
  <c r="AB179" i="25" s="1"/>
  <c r="X178" i="25"/>
  <c r="AD178" i="25" s="1"/>
  <c r="W178" i="25"/>
  <c r="AC178" i="25" s="1"/>
  <c r="V178" i="25"/>
  <c r="AB178" i="25" s="1"/>
  <c r="X177" i="25"/>
  <c r="AD177" i="25" s="1"/>
  <c r="W177" i="25"/>
  <c r="AC177" i="25" s="1"/>
  <c r="V177" i="25"/>
  <c r="AB177" i="25" s="1"/>
  <c r="X176" i="25"/>
  <c r="AD176" i="25" s="1"/>
  <c r="W176" i="25"/>
  <c r="AC176" i="25" s="1"/>
  <c r="V176" i="25"/>
  <c r="AB176" i="25" s="1"/>
  <c r="X175" i="25"/>
  <c r="AD175" i="25" s="1"/>
  <c r="W175" i="25"/>
  <c r="AC175" i="25" s="1"/>
  <c r="V175" i="25"/>
  <c r="AB175" i="25" s="1"/>
  <c r="AB174" i="25"/>
  <c r="X174" i="25"/>
  <c r="AD174" i="25" s="1"/>
  <c r="W174" i="25"/>
  <c r="AC174" i="25" s="1"/>
  <c r="V174" i="25"/>
  <c r="X173" i="25"/>
  <c r="AD173" i="25" s="1"/>
  <c r="W173" i="25"/>
  <c r="AC173" i="25" s="1"/>
  <c r="V173" i="25"/>
  <c r="AB173" i="25" s="1"/>
  <c r="X172" i="25"/>
  <c r="AD172" i="25" s="1"/>
  <c r="W172" i="25"/>
  <c r="AC172" i="25" s="1"/>
  <c r="V172" i="25"/>
  <c r="AB172" i="25" s="1"/>
  <c r="X171" i="25"/>
  <c r="AD171" i="25" s="1"/>
  <c r="W171" i="25"/>
  <c r="AC171" i="25" s="1"/>
  <c r="V171" i="25"/>
  <c r="AB171" i="25" s="1"/>
  <c r="X170" i="25"/>
  <c r="AD170" i="25" s="1"/>
  <c r="W170" i="25"/>
  <c r="AC170" i="25" s="1"/>
  <c r="V170" i="25"/>
  <c r="AB170" i="25" s="1"/>
  <c r="AG169" i="25"/>
  <c r="X169" i="25"/>
  <c r="AD169" i="25" s="1"/>
  <c r="W169" i="25"/>
  <c r="AC169" i="25" s="1"/>
  <c r="V169" i="25"/>
  <c r="AB169" i="25" s="1"/>
  <c r="X168" i="25"/>
  <c r="AD168" i="25" s="1"/>
  <c r="W168" i="25"/>
  <c r="AC168" i="25" s="1"/>
  <c r="V168" i="25"/>
  <c r="AB168" i="25" s="1"/>
  <c r="AG167" i="25"/>
  <c r="X167" i="25"/>
  <c r="AD167" i="25" s="1"/>
  <c r="W167" i="25"/>
  <c r="AC167" i="25" s="1"/>
  <c r="V167" i="25"/>
  <c r="AB167" i="25" s="1"/>
  <c r="X166" i="25"/>
  <c r="AD166" i="25" s="1"/>
  <c r="W166" i="25"/>
  <c r="AC166" i="25" s="1"/>
  <c r="V166" i="25"/>
  <c r="AB166" i="25" s="1"/>
  <c r="AG165" i="25"/>
  <c r="X165" i="25"/>
  <c r="AD165" i="25" s="1"/>
  <c r="W165" i="25"/>
  <c r="AC165" i="25" s="1"/>
  <c r="V165" i="25"/>
  <c r="AB165" i="25" s="1"/>
  <c r="X164" i="25"/>
  <c r="AD164" i="25" s="1"/>
  <c r="W164" i="25"/>
  <c r="AC164" i="25" s="1"/>
  <c r="V164" i="25"/>
  <c r="AB164" i="25" s="1"/>
  <c r="AG163" i="25"/>
  <c r="X163" i="25"/>
  <c r="AD163" i="25" s="1"/>
  <c r="W163" i="25"/>
  <c r="AC163" i="25" s="1"/>
  <c r="V163" i="25"/>
  <c r="AB163" i="25" s="1"/>
  <c r="AB162" i="25"/>
  <c r="X162" i="25"/>
  <c r="AD162" i="25" s="1"/>
  <c r="W162" i="25"/>
  <c r="AC162" i="25" s="1"/>
  <c r="V162" i="25"/>
  <c r="AG161" i="25"/>
  <c r="X161" i="25"/>
  <c r="AD161" i="25" s="1"/>
  <c r="W161" i="25"/>
  <c r="AC161" i="25" s="1"/>
  <c r="V161" i="25"/>
  <c r="AB161" i="25" s="1"/>
  <c r="X160" i="25"/>
  <c r="AD160" i="25" s="1"/>
  <c r="W160" i="25"/>
  <c r="AC160" i="25" s="1"/>
  <c r="V160" i="25"/>
  <c r="AB160" i="25" s="1"/>
  <c r="AG159" i="25"/>
  <c r="X159" i="25"/>
  <c r="AD159" i="25" s="1"/>
  <c r="W159" i="25"/>
  <c r="AC159" i="25" s="1"/>
  <c r="V159" i="25"/>
  <c r="AB159" i="25" s="1"/>
  <c r="X158" i="25"/>
  <c r="AD158" i="25" s="1"/>
  <c r="W158" i="25"/>
  <c r="AC158" i="25" s="1"/>
  <c r="V158" i="25"/>
  <c r="AB158" i="25" s="1"/>
  <c r="AG157" i="25"/>
  <c r="X157" i="25"/>
  <c r="AD157" i="25" s="1"/>
  <c r="W157" i="25"/>
  <c r="AC157" i="25" s="1"/>
  <c r="V157" i="25"/>
  <c r="AB157" i="25" s="1"/>
  <c r="X156" i="25"/>
  <c r="AD156" i="25" s="1"/>
  <c r="W156" i="25"/>
  <c r="AC156" i="25" s="1"/>
  <c r="V156" i="25"/>
  <c r="AB156" i="25" s="1"/>
  <c r="AG155" i="25"/>
  <c r="X155" i="25"/>
  <c r="AD155" i="25" s="1"/>
  <c r="W155" i="25"/>
  <c r="AC155" i="25" s="1"/>
  <c r="V155" i="25"/>
  <c r="AB155" i="25" s="1"/>
  <c r="X154" i="25"/>
  <c r="AD154" i="25" s="1"/>
  <c r="W154" i="25"/>
  <c r="AC154" i="25" s="1"/>
  <c r="V154" i="25"/>
  <c r="AB154" i="25" s="1"/>
  <c r="AG153" i="25"/>
  <c r="AC153" i="25"/>
  <c r="X153" i="25"/>
  <c r="AD153" i="25" s="1"/>
  <c r="W153" i="25"/>
  <c r="V153" i="25"/>
  <c r="AB153" i="25" s="1"/>
  <c r="X152" i="25"/>
  <c r="AD152" i="25" s="1"/>
  <c r="W152" i="25"/>
  <c r="AC152" i="25" s="1"/>
  <c r="V152" i="25"/>
  <c r="AB152" i="25" s="1"/>
  <c r="AG151" i="25"/>
  <c r="X151" i="25"/>
  <c r="AD151" i="25" s="1"/>
  <c r="W151" i="25"/>
  <c r="AC151" i="25" s="1"/>
  <c r="V151" i="25"/>
  <c r="AB151" i="25" s="1"/>
  <c r="X150" i="25"/>
  <c r="AD150" i="25" s="1"/>
  <c r="W150" i="25"/>
  <c r="AC150" i="25" s="1"/>
  <c r="V150" i="25"/>
  <c r="AB150" i="25" s="1"/>
  <c r="AG149" i="25"/>
  <c r="X149" i="25"/>
  <c r="AD149" i="25" s="1"/>
  <c r="W149" i="25"/>
  <c r="AC149" i="25" s="1"/>
  <c r="V149" i="25"/>
  <c r="AB149" i="25" s="1"/>
  <c r="X148" i="25"/>
  <c r="AD148" i="25" s="1"/>
  <c r="W148" i="25"/>
  <c r="AC148" i="25" s="1"/>
  <c r="V148" i="25"/>
  <c r="AB148" i="25" s="1"/>
  <c r="AG147" i="25"/>
  <c r="X147" i="25"/>
  <c r="AD147" i="25" s="1"/>
  <c r="W147" i="25"/>
  <c r="AC147" i="25" s="1"/>
  <c r="V147" i="25"/>
  <c r="AB147" i="25" s="1"/>
  <c r="X146" i="25"/>
  <c r="AD146" i="25" s="1"/>
  <c r="W146" i="25"/>
  <c r="AC146" i="25" s="1"/>
  <c r="V146" i="25"/>
  <c r="AB146" i="25" s="1"/>
  <c r="AG145" i="25"/>
  <c r="AE145" i="25"/>
  <c r="X145" i="25"/>
  <c r="AD145" i="25" s="1"/>
  <c r="W145" i="25"/>
  <c r="AC145" i="25" s="1"/>
  <c r="V145" i="25"/>
  <c r="AB145" i="25" s="1"/>
  <c r="AG144" i="25"/>
  <c r="AE144" i="25"/>
  <c r="X144" i="25"/>
  <c r="AD144" i="25" s="1"/>
  <c r="W144" i="25"/>
  <c r="AC144" i="25" s="1"/>
  <c r="V144" i="25"/>
  <c r="AB144" i="25" s="1"/>
  <c r="AG143" i="25"/>
  <c r="AE143" i="25"/>
  <c r="X143" i="25"/>
  <c r="AD143" i="25" s="1"/>
  <c r="W143" i="25"/>
  <c r="AC143" i="25" s="1"/>
  <c r="V143" i="25"/>
  <c r="AB143" i="25" s="1"/>
  <c r="AG142" i="25"/>
  <c r="AE142" i="25"/>
  <c r="X142" i="25"/>
  <c r="AD142" i="25" s="1"/>
  <c r="W142" i="25"/>
  <c r="AC142" i="25" s="1"/>
  <c r="V142" i="25"/>
  <c r="AB142" i="25" s="1"/>
  <c r="AG141" i="25"/>
  <c r="AE141" i="25"/>
  <c r="X141" i="25"/>
  <c r="AD141" i="25" s="1"/>
  <c r="W141" i="25"/>
  <c r="AC141" i="25" s="1"/>
  <c r="V141" i="25"/>
  <c r="AB141" i="25" s="1"/>
  <c r="AG140" i="25"/>
  <c r="AE140" i="25"/>
  <c r="X140" i="25"/>
  <c r="AD140" i="25" s="1"/>
  <c r="W140" i="25"/>
  <c r="AC140" i="25" s="1"/>
  <c r="V140" i="25"/>
  <c r="AB140" i="25" s="1"/>
  <c r="AG139" i="25"/>
  <c r="AE139" i="25"/>
  <c r="X139" i="25"/>
  <c r="AD139" i="25" s="1"/>
  <c r="W139" i="25"/>
  <c r="AC139" i="25" s="1"/>
  <c r="V139" i="25"/>
  <c r="AB139" i="25" s="1"/>
  <c r="AG138" i="25"/>
  <c r="AE138" i="25"/>
  <c r="X138" i="25"/>
  <c r="AD138" i="25" s="1"/>
  <c r="W138" i="25"/>
  <c r="AC138" i="25" s="1"/>
  <c r="V138" i="25"/>
  <c r="AB138" i="25" s="1"/>
  <c r="AG137" i="25"/>
  <c r="AE137" i="25"/>
  <c r="X137" i="25"/>
  <c r="AD137" i="25" s="1"/>
  <c r="W137" i="25"/>
  <c r="AC137" i="25" s="1"/>
  <c r="V137" i="25"/>
  <c r="AB137" i="25" s="1"/>
  <c r="AG136" i="25"/>
  <c r="AE136" i="25"/>
  <c r="X136" i="25"/>
  <c r="AD136" i="25" s="1"/>
  <c r="W136" i="25"/>
  <c r="AC136" i="25" s="1"/>
  <c r="V136" i="25"/>
  <c r="AB136" i="25" s="1"/>
  <c r="AG135" i="25"/>
  <c r="AE135" i="25"/>
  <c r="X135" i="25"/>
  <c r="AD135" i="25" s="1"/>
  <c r="W135" i="25"/>
  <c r="AC135" i="25" s="1"/>
  <c r="V135" i="25"/>
  <c r="AB135" i="25" s="1"/>
  <c r="AG134" i="25"/>
  <c r="AE134" i="25"/>
  <c r="X134" i="25"/>
  <c r="AD134" i="25" s="1"/>
  <c r="W134" i="25"/>
  <c r="AC134" i="25" s="1"/>
  <c r="V134" i="25"/>
  <c r="AB134" i="25" s="1"/>
  <c r="AG133" i="25"/>
  <c r="X133" i="25"/>
  <c r="AD133" i="25" s="1"/>
  <c r="W133" i="25"/>
  <c r="AC133" i="25" s="1"/>
  <c r="V133" i="25"/>
  <c r="AB133" i="25" s="1"/>
  <c r="X132" i="25"/>
  <c r="AD132" i="25" s="1"/>
  <c r="W132" i="25"/>
  <c r="AC132" i="25" s="1"/>
  <c r="V132" i="25"/>
  <c r="AB132" i="25" s="1"/>
  <c r="AG131" i="25"/>
  <c r="X131" i="25"/>
  <c r="AD131" i="25" s="1"/>
  <c r="W131" i="25"/>
  <c r="AC131" i="25" s="1"/>
  <c r="V131" i="25"/>
  <c r="AB131" i="25" s="1"/>
  <c r="AB130" i="25"/>
  <c r="X130" i="25"/>
  <c r="AD130" i="25" s="1"/>
  <c r="W130" i="25"/>
  <c r="AC130" i="25" s="1"/>
  <c r="V130" i="25"/>
  <c r="AG129" i="25"/>
  <c r="X129" i="25"/>
  <c r="AD129" i="25" s="1"/>
  <c r="W129" i="25"/>
  <c r="AC129" i="25" s="1"/>
  <c r="V129" i="25"/>
  <c r="AB129" i="25" s="1"/>
  <c r="AC128" i="25"/>
  <c r="X128" i="25"/>
  <c r="AD128" i="25" s="1"/>
  <c r="W128" i="25"/>
  <c r="V128" i="25"/>
  <c r="AB128" i="25" s="1"/>
  <c r="AG127" i="25"/>
  <c r="X127" i="25"/>
  <c r="AD127" i="25" s="1"/>
  <c r="W127" i="25"/>
  <c r="AC127" i="25" s="1"/>
  <c r="V127" i="25"/>
  <c r="AB127" i="25" s="1"/>
  <c r="X126" i="25"/>
  <c r="AD126" i="25" s="1"/>
  <c r="W126" i="25"/>
  <c r="AC126" i="25" s="1"/>
  <c r="V126" i="25"/>
  <c r="AB126" i="25" s="1"/>
  <c r="AG125" i="25"/>
  <c r="X125" i="25"/>
  <c r="AD125" i="25" s="1"/>
  <c r="W125" i="25"/>
  <c r="AC125" i="25" s="1"/>
  <c r="V125" i="25"/>
  <c r="AB125" i="25" s="1"/>
  <c r="X124" i="25"/>
  <c r="AD124" i="25" s="1"/>
  <c r="W124" i="25"/>
  <c r="AC124" i="25" s="1"/>
  <c r="V124" i="25"/>
  <c r="AB124" i="25" s="1"/>
  <c r="AG123" i="25"/>
  <c r="X123" i="25"/>
  <c r="AD123" i="25" s="1"/>
  <c r="W123" i="25"/>
  <c r="AC123" i="25" s="1"/>
  <c r="V123" i="25"/>
  <c r="AB123" i="25" s="1"/>
  <c r="X122" i="25"/>
  <c r="AD122" i="25" s="1"/>
  <c r="W122" i="25"/>
  <c r="AC122" i="25" s="1"/>
  <c r="V122" i="25"/>
  <c r="AB122" i="25" s="1"/>
  <c r="AG121" i="25"/>
  <c r="X121" i="25"/>
  <c r="AD121" i="25" s="1"/>
  <c r="W121" i="25"/>
  <c r="AC121" i="25" s="1"/>
  <c r="V121" i="25"/>
  <c r="AB121" i="25" s="1"/>
  <c r="X120" i="25"/>
  <c r="AD120" i="25" s="1"/>
  <c r="W120" i="25"/>
  <c r="AC120" i="25" s="1"/>
  <c r="V120" i="25"/>
  <c r="AB120" i="25" s="1"/>
  <c r="AG119" i="25"/>
  <c r="X119" i="25"/>
  <c r="AD119" i="25" s="1"/>
  <c r="W119" i="25"/>
  <c r="AC119" i="25" s="1"/>
  <c r="V119" i="25"/>
  <c r="AB119" i="25" s="1"/>
  <c r="X118" i="25"/>
  <c r="AD118" i="25" s="1"/>
  <c r="W118" i="25"/>
  <c r="AC118" i="25" s="1"/>
  <c r="V118" i="25"/>
  <c r="AB118" i="25" s="1"/>
  <c r="AG117" i="25"/>
  <c r="X117" i="25"/>
  <c r="AD117" i="25" s="1"/>
  <c r="W117" i="25"/>
  <c r="AC117" i="25" s="1"/>
  <c r="V117" i="25"/>
  <c r="AB117" i="25" s="1"/>
  <c r="X116" i="25"/>
  <c r="AD116" i="25" s="1"/>
  <c r="W116" i="25"/>
  <c r="AC116" i="25" s="1"/>
  <c r="V116" i="25"/>
  <c r="AB116" i="25" s="1"/>
  <c r="AG115" i="25"/>
  <c r="X115" i="25"/>
  <c r="AD115" i="25" s="1"/>
  <c r="W115" i="25"/>
  <c r="AC115" i="25" s="1"/>
  <c r="V115" i="25"/>
  <c r="AB115" i="25" s="1"/>
  <c r="X114" i="25"/>
  <c r="AD114" i="25" s="1"/>
  <c r="W114" i="25"/>
  <c r="AC114" i="25" s="1"/>
  <c r="V114" i="25"/>
  <c r="AB114" i="25" s="1"/>
  <c r="AG113" i="25"/>
  <c r="X113" i="25"/>
  <c r="AD113" i="25" s="1"/>
  <c r="W113" i="25"/>
  <c r="AC113" i="25" s="1"/>
  <c r="V113" i="25"/>
  <c r="AB113" i="25" s="1"/>
  <c r="X112" i="25"/>
  <c r="AD112" i="25" s="1"/>
  <c r="W112" i="25"/>
  <c r="AC112" i="25" s="1"/>
  <c r="V112" i="25"/>
  <c r="AB112" i="25" s="1"/>
  <c r="AG111" i="25"/>
  <c r="X111" i="25"/>
  <c r="AD111" i="25" s="1"/>
  <c r="W111" i="25"/>
  <c r="AC111" i="25" s="1"/>
  <c r="V111" i="25"/>
  <c r="AB111" i="25" s="1"/>
  <c r="X110" i="25"/>
  <c r="AD110" i="25" s="1"/>
  <c r="W110" i="25"/>
  <c r="AC110" i="25" s="1"/>
  <c r="V110" i="25"/>
  <c r="AB110" i="25" s="1"/>
  <c r="AG109" i="25"/>
  <c r="X109" i="25"/>
  <c r="AD109" i="25" s="1"/>
  <c r="W109" i="25"/>
  <c r="AC109" i="25" s="1"/>
  <c r="V109" i="25"/>
  <c r="AB109" i="25" s="1"/>
  <c r="AG108" i="25"/>
  <c r="X108" i="25"/>
  <c r="AD108" i="25" s="1"/>
  <c r="W108" i="25"/>
  <c r="AC108" i="25" s="1"/>
  <c r="V108" i="25"/>
  <c r="AB108" i="25" s="1"/>
  <c r="AG107" i="25"/>
  <c r="X107" i="25"/>
  <c r="AD107" i="25" s="1"/>
  <c r="W107" i="25"/>
  <c r="AC107" i="25" s="1"/>
  <c r="V107" i="25"/>
  <c r="AB107" i="25" s="1"/>
  <c r="AG106" i="25"/>
  <c r="X106" i="25"/>
  <c r="AD106" i="25" s="1"/>
  <c r="W106" i="25"/>
  <c r="AC106" i="25" s="1"/>
  <c r="V106" i="25"/>
  <c r="AB106" i="25" s="1"/>
  <c r="AG105" i="25"/>
  <c r="X105" i="25"/>
  <c r="AD105" i="25" s="1"/>
  <c r="W105" i="25"/>
  <c r="AC105" i="25" s="1"/>
  <c r="V105" i="25"/>
  <c r="AB105" i="25" s="1"/>
  <c r="AG104" i="25"/>
  <c r="X104" i="25"/>
  <c r="AD104" i="25" s="1"/>
  <c r="W104" i="25"/>
  <c r="AC104" i="25" s="1"/>
  <c r="V104" i="25"/>
  <c r="AB104" i="25" s="1"/>
  <c r="AG103" i="25"/>
  <c r="X103" i="25"/>
  <c r="AD103" i="25" s="1"/>
  <c r="W103" i="25"/>
  <c r="AC103" i="25" s="1"/>
  <c r="V103" i="25"/>
  <c r="AB103" i="25" s="1"/>
  <c r="AG102" i="25"/>
  <c r="X102" i="25"/>
  <c r="AD102" i="25" s="1"/>
  <c r="W102" i="25"/>
  <c r="AC102" i="25" s="1"/>
  <c r="V102" i="25"/>
  <c r="AB102" i="25" s="1"/>
  <c r="AG101" i="25"/>
  <c r="X101" i="25"/>
  <c r="AD101" i="25" s="1"/>
  <c r="W101" i="25"/>
  <c r="AC101" i="25" s="1"/>
  <c r="V101" i="25"/>
  <c r="AB101" i="25" s="1"/>
  <c r="AG100" i="25"/>
  <c r="X100" i="25"/>
  <c r="AD100" i="25" s="1"/>
  <c r="W100" i="25"/>
  <c r="AC100" i="25" s="1"/>
  <c r="V100" i="25"/>
  <c r="AB100" i="25" s="1"/>
  <c r="AG99" i="25"/>
  <c r="X99" i="25"/>
  <c r="AD99" i="25" s="1"/>
  <c r="W99" i="25"/>
  <c r="AC99" i="25" s="1"/>
  <c r="V99" i="25"/>
  <c r="AB99" i="25" s="1"/>
  <c r="AG98" i="25"/>
  <c r="X98" i="25"/>
  <c r="AD98" i="25" s="1"/>
  <c r="W98" i="25"/>
  <c r="AC98" i="25" s="1"/>
  <c r="V98" i="25"/>
  <c r="AB98" i="25" s="1"/>
  <c r="AG97" i="25"/>
  <c r="AE97" i="25"/>
  <c r="X97" i="25"/>
  <c r="AD97" i="25" s="1"/>
  <c r="W97" i="25"/>
  <c r="AC97" i="25" s="1"/>
  <c r="V97" i="25"/>
  <c r="AB97" i="25" s="1"/>
  <c r="AG96" i="25"/>
  <c r="AE96" i="25"/>
  <c r="AC96" i="25"/>
  <c r="X96" i="25"/>
  <c r="AD96" i="25" s="1"/>
  <c r="W96" i="25"/>
  <c r="V96" i="25"/>
  <c r="AB96" i="25" s="1"/>
  <c r="AG95" i="25"/>
  <c r="AE95" i="25"/>
  <c r="X95" i="25"/>
  <c r="AD95" i="25" s="1"/>
  <c r="W95" i="25"/>
  <c r="AC95" i="25" s="1"/>
  <c r="V95" i="25"/>
  <c r="AB95" i="25" s="1"/>
  <c r="AG94" i="25"/>
  <c r="AE94" i="25"/>
  <c r="X94" i="25"/>
  <c r="AD94" i="25" s="1"/>
  <c r="W94" i="25"/>
  <c r="AC94" i="25" s="1"/>
  <c r="V94" i="25"/>
  <c r="AB94" i="25" s="1"/>
  <c r="AG93" i="25"/>
  <c r="AE93" i="25"/>
  <c r="X93" i="25"/>
  <c r="AD93" i="25" s="1"/>
  <c r="W93" i="25"/>
  <c r="AC93" i="25" s="1"/>
  <c r="V93" i="25"/>
  <c r="AB93" i="25" s="1"/>
  <c r="AG92" i="25"/>
  <c r="AE92" i="25"/>
  <c r="X92" i="25"/>
  <c r="AD92" i="25" s="1"/>
  <c r="W92" i="25"/>
  <c r="AC92" i="25" s="1"/>
  <c r="V92" i="25"/>
  <c r="AB92" i="25" s="1"/>
  <c r="AG91" i="25"/>
  <c r="AE91" i="25"/>
  <c r="X91" i="25"/>
  <c r="AD91" i="25" s="1"/>
  <c r="W91" i="25"/>
  <c r="AC91" i="25" s="1"/>
  <c r="V91" i="25"/>
  <c r="AB91" i="25" s="1"/>
  <c r="AG90" i="25"/>
  <c r="AE90" i="25"/>
  <c r="X90" i="25"/>
  <c r="AD90" i="25" s="1"/>
  <c r="W90" i="25"/>
  <c r="AC90" i="25" s="1"/>
  <c r="V90" i="25"/>
  <c r="AB90" i="25" s="1"/>
  <c r="AG89" i="25"/>
  <c r="AE89" i="25"/>
  <c r="X89" i="25"/>
  <c r="AD89" i="25" s="1"/>
  <c r="W89" i="25"/>
  <c r="AC89" i="25" s="1"/>
  <c r="V89" i="25"/>
  <c r="AB89" i="25" s="1"/>
  <c r="AG88" i="25"/>
  <c r="AE88" i="25"/>
  <c r="X88" i="25"/>
  <c r="AD88" i="25" s="1"/>
  <c r="W88" i="25"/>
  <c r="AC88" i="25" s="1"/>
  <c r="V88" i="25"/>
  <c r="AB88" i="25" s="1"/>
  <c r="AG87" i="25"/>
  <c r="AE87" i="25"/>
  <c r="X87" i="25"/>
  <c r="AD87" i="25" s="1"/>
  <c r="W87" i="25"/>
  <c r="AC87" i="25" s="1"/>
  <c r="V87" i="25"/>
  <c r="AB87" i="25" s="1"/>
  <c r="AG86" i="25"/>
  <c r="AE86" i="25"/>
  <c r="X86" i="25"/>
  <c r="AD86" i="25" s="1"/>
  <c r="W86" i="25"/>
  <c r="AC86" i="25" s="1"/>
  <c r="V86" i="25"/>
  <c r="AB86" i="25" s="1"/>
  <c r="AG85" i="25"/>
  <c r="AB85" i="25"/>
  <c r="X85" i="25"/>
  <c r="AD85" i="25" s="1"/>
  <c r="W85" i="25"/>
  <c r="AC85" i="25" s="1"/>
  <c r="V85" i="25"/>
  <c r="AG84" i="25"/>
  <c r="X84" i="25"/>
  <c r="AD84" i="25" s="1"/>
  <c r="W84" i="25"/>
  <c r="AC84" i="25" s="1"/>
  <c r="V84" i="25"/>
  <c r="AB84" i="25" s="1"/>
  <c r="AG83" i="25"/>
  <c r="AD83" i="25"/>
  <c r="X83" i="25"/>
  <c r="W83" i="25"/>
  <c r="AC83" i="25" s="1"/>
  <c r="V83" i="25"/>
  <c r="AB83" i="25" s="1"/>
  <c r="AG82" i="25"/>
  <c r="X82" i="25"/>
  <c r="AD82" i="25" s="1"/>
  <c r="W82" i="25"/>
  <c r="AC82" i="25" s="1"/>
  <c r="V82" i="25"/>
  <c r="AB82" i="25" s="1"/>
  <c r="AG81" i="25"/>
  <c r="X81" i="25"/>
  <c r="AD81" i="25" s="1"/>
  <c r="W81" i="25"/>
  <c r="AC81" i="25" s="1"/>
  <c r="V81" i="25"/>
  <c r="AB81" i="25" s="1"/>
  <c r="AG80" i="25"/>
  <c r="X80" i="25"/>
  <c r="AD80" i="25" s="1"/>
  <c r="W80" i="25"/>
  <c r="AC80" i="25" s="1"/>
  <c r="V80" i="25"/>
  <c r="AB80" i="25" s="1"/>
  <c r="AG79" i="25"/>
  <c r="X79" i="25"/>
  <c r="AD79" i="25" s="1"/>
  <c r="W79" i="25"/>
  <c r="AC79" i="25" s="1"/>
  <c r="V79" i="25"/>
  <c r="AB79" i="25" s="1"/>
  <c r="AG78" i="25"/>
  <c r="X78" i="25"/>
  <c r="AD78" i="25" s="1"/>
  <c r="W78" i="25"/>
  <c r="AC78" i="25" s="1"/>
  <c r="V78" i="25"/>
  <c r="AB78" i="25" s="1"/>
  <c r="AG77" i="25"/>
  <c r="X77" i="25"/>
  <c r="AD77" i="25" s="1"/>
  <c r="W77" i="25"/>
  <c r="AC77" i="25" s="1"/>
  <c r="V77" i="25"/>
  <c r="AB77" i="25" s="1"/>
  <c r="AG76" i="25"/>
  <c r="X76" i="25"/>
  <c r="AD76" i="25" s="1"/>
  <c r="W76" i="25"/>
  <c r="AC76" i="25" s="1"/>
  <c r="V76" i="25"/>
  <c r="AB76" i="25" s="1"/>
  <c r="AG75" i="25"/>
  <c r="X75" i="25"/>
  <c r="AD75" i="25" s="1"/>
  <c r="W75" i="25"/>
  <c r="AC75" i="25" s="1"/>
  <c r="V75" i="25"/>
  <c r="AB75" i="25" s="1"/>
  <c r="AG74" i="25"/>
  <c r="AB74" i="25"/>
  <c r="X74" i="25"/>
  <c r="AD74" i="25" s="1"/>
  <c r="W74" i="25"/>
  <c r="AC74" i="25" s="1"/>
  <c r="V74" i="25"/>
  <c r="X73" i="25"/>
  <c r="AD73" i="25" s="1"/>
  <c r="W73" i="25"/>
  <c r="AC73" i="25" s="1"/>
  <c r="V73" i="25"/>
  <c r="AB73" i="25" s="1"/>
  <c r="X72" i="25"/>
  <c r="AD72" i="25" s="1"/>
  <c r="W72" i="25"/>
  <c r="AC72" i="25" s="1"/>
  <c r="V72" i="25"/>
  <c r="AB72" i="25" s="1"/>
  <c r="X71" i="25"/>
  <c r="AD71" i="25" s="1"/>
  <c r="W71" i="25"/>
  <c r="AC71" i="25" s="1"/>
  <c r="V71" i="25"/>
  <c r="AB71" i="25" s="1"/>
  <c r="X70" i="25"/>
  <c r="AD70" i="25" s="1"/>
  <c r="W70" i="25"/>
  <c r="AC70" i="25" s="1"/>
  <c r="V70" i="25"/>
  <c r="AB70" i="25" s="1"/>
  <c r="X69" i="25"/>
  <c r="AD69" i="25" s="1"/>
  <c r="W69" i="25"/>
  <c r="AC69" i="25" s="1"/>
  <c r="V69" i="25"/>
  <c r="AB69" i="25" s="1"/>
  <c r="X68" i="25"/>
  <c r="AD68" i="25" s="1"/>
  <c r="W68" i="25"/>
  <c r="AC68" i="25" s="1"/>
  <c r="V68" i="25"/>
  <c r="AB68" i="25" s="1"/>
  <c r="X67" i="25"/>
  <c r="AD67" i="25" s="1"/>
  <c r="W67" i="25"/>
  <c r="AC67" i="25" s="1"/>
  <c r="V67" i="25"/>
  <c r="AB67" i="25" s="1"/>
  <c r="X66" i="25"/>
  <c r="AD66" i="25" s="1"/>
  <c r="W66" i="25"/>
  <c r="AC66" i="25" s="1"/>
  <c r="V66" i="25"/>
  <c r="AB66" i="25" s="1"/>
  <c r="X65" i="25"/>
  <c r="AD65" i="25" s="1"/>
  <c r="W65" i="25"/>
  <c r="AC65" i="25" s="1"/>
  <c r="V65" i="25"/>
  <c r="AB65" i="25" s="1"/>
  <c r="X64" i="25"/>
  <c r="AD64" i="25" s="1"/>
  <c r="W64" i="25"/>
  <c r="AC64" i="25" s="1"/>
  <c r="V64" i="25"/>
  <c r="AB64" i="25" s="1"/>
  <c r="X63" i="25"/>
  <c r="AD63" i="25" s="1"/>
  <c r="W63" i="25"/>
  <c r="AC63" i="25" s="1"/>
  <c r="V63" i="25"/>
  <c r="AB63" i="25" s="1"/>
  <c r="X62" i="25"/>
  <c r="AD62" i="25" s="1"/>
  <c r="W62" i="25"/>
  <c r="AC62" i="25" s="1"/>
  <c r="V62" i="25"/>
  <c r="AB62" i="25" s="1"/>
  <c r="X61" i="25"/>
  <c r="AD61" i="25" s="1"/>
  <c r="W61" i="25"/>
  <c r="AC61" i="25" s="1"/>
  <c r="V61" i="25"/>
  <c r="AB61" i="25" s="1"/>
  <c r="X60" i="25"/>
  <c r="AD60" i="25" s="1"/>
  <c r="W60" i="25"/>
  <c r="AC60" i="25" s="1"/>
  <c r="V60" i="25"/>
  <c r="AB60" i="25" s="1"/>
  <c r="X59" i="25"/>
  <c r="AD59" i="25" s="1"/>
  <c r="W59" i="25"/>
  <c r="AC59" i="25" s="1"/>
  <c r="V59" i="25"/>
  <c r="AB59" i="25" s="1"/>
  <c r="X58" i="25"/>
  <c r="AD58" i="25" s="1"/>
  <c r="W58" i="25"/>
  <c r="AC58" i="25" s="1"/>
  <c r="V58" i="25"/>
  <c r="AB58" i="25" s="1"/>
  <c r="X57" i="25"/>
  <c r="AD57" i="25" s="1"/>
  <c r="W57" i="25"/>
  <c r="AC57" i="25" s="1"/>
  <c r="V57" i="25"/>
  <c r="AB57" i="25" s="1"/>
  <c r="AC56" i="25"/>
  <c r="X56" i="25"/>
  <c r="AD56" i="25" s="1"/>
  <c r="W56" i="25"/>
  <c r="V56" i="25"/>
  <c r="AB56" i="25" s="1"/>
  <c r="X55" i="25"/>
  <c r="AD55" i="25" s="1"/>
  <c r="W55" i="25"/>
  <c r="AC55" i="25" s="1"/>
  <c r="V55" i="25"/>
  <c r="AB55" i="25" s="1"/>
  <c r="X54" i="25"/>
  <c r="AD54" i="25" s="1"/>
  <c r="W54" i="25"/>
  <c r="AC54" i="25" s="1"/>
  <c r="V54" i="25"/>
  <c r="AB54" i="25" s="1"/>
  <c r="X53" i="25"/>
  <c r="AD53" i="25" s="1"/>
  <c r="W53" i="25"/>
  <c r="AC53" i="25" s="1"/>
  <c r="V53" i="25"/>
  <c r="AB53" i="25" s="1"/>
  <c r="X52" i="25"/>
  <c r="AD52" i="25" s="1"/>
  <c r="W52" i="25"/>
  <c r="AC52" i="25" s="1"/>
  <c r="V52" i="25"/>
  <c r="AB52" i="25" s="1"/>
  <c r="X51" i="25"/>
  <c r="AD51" i="25" s="1"/>
  <c r="W51" i="25"/>
  <c r="AC51" i="25" s="1"/>
  <c r="V51" i="25"/>
  <c r="AB51" i="25" s="1"/>
  <c r="X50" i="25"/>
  <c r="AD50" i="25" s="1"/>
  <c r="W50" i="25"/>
  <c r="AC50" i="25" s="1"/>
  <c r="V50" i="25"/>
  <c r="AB50" i="25" s="1"/>
  <c r="AG49" i="25"/>
  <c r="AF49" i="25"/>
  <c r="X49" i="25"/>
  <c r="AD49" i="25" s="1"/>
  <c r="W49" i="25"/>
  <c r="AC49" i="25" s="1"/>
  <c r="V49" i="25"/>
  <c r="AB49" i="25" s="1"/>
  <c r="AG48" i="25"/>
  <c r="AF48" i="25"/>
  <c r="X48" i="25"/>
  <c r="AD48" i="25" s="1"/>
  <c r="W48" i="25"/>
  <c r="AC48" i="25" s="1"/>
  <c r="V48" i="25"/>
  <c r="AB48" i="25" s="1"/>
  <c r="AG47" i="25"/>
  <c r="AF47" i="25"/>
  <c r="X47" i="25"/>
  <c r="AD47" i="25" s="1"/>
  <c r="W47" i="25"/>
  <c r="AC47" i="25" s="1"/>
  <c r="V47" i="25"/>
  <c r="AB47" i="25" s="1"/>
  <c r="AG46" i="25"/>
  <c r="AF46" i="25"/>
  <c r="X46" i="25"/>
  <c r="AD46" i="25" s="1"/>
  <c r="W46" i="25"/>
  <c r="AC46" i="25" s="1"/>
  <c r="V46" i="25"/>
  <c r="AB46" i="25" s="1"/>
  <c r="AG45" i="25"/>
  <c r="AF45" i="25"/>
  <c r="X45" i="25"/>
  <c r="AD45" i="25" s="1"/>
  <c r="W45" i="25"/>
  <c r="AC45" i="25" s="1"/>
  <c r="V45" i="25"/>
  <c r="AB45" i="25" s="1"/>
  <c r="AG44" i="25"/>
  <c r="AF44" i="25"/>
  <c r="X44" i="25"/>
  <c r="AD44" i="25" s="1"/>
  <c r="W44" i="25"/>
  <c r="AC44" i="25" s="1"/>
  <c r="V44" i="25"/>
  <c r="AB44" i="25" s="1"/>
  <c r="AG43" i="25"/>
  <c r="AF43" i="25"/>
  <c r="X43" i="25"/>
  <c r="AD43" i="25" s="1"/>
  <c r="W43" i="25"/>
  <c r="AC43" i="25" s="1"/>
  <c r="V43" i="25"/>
  <c r="AB43" i="25" s="1"/>
  <c r="AG42" i="25"/>
  <c r="AF42" i="25"/>
  <c r="X42" i="25"/>
  <c r="AD42" i="25" s="1"/>
  <c r="W42" i="25"/>
  <c r="AC42" i="25" s="1"/>
  <c r="V42" i="25"/>
  <c r="AB42" i="25" s="1"/>
  <c r="AG41" i="25"/>
  <c r="AF41" i="25"/>
  <c r="X41" i="25"/>
  <c r="AD41" i="25" s="1"/>
  <c r="W41" i="25"/>
  <c r="AC41" i="25" s="1"/>
  <c r="V41" i="25"/>
  <c r="AB41" i="25" s="1"/>
  <c r="AG40" i="25"/>
  <c r="AF40" i="25"/>
  <c r="X40" i="25"/>
  <c r="AD40" i="25" s="1"/>
  <c r="W40" i="25"/>
  <c r="AC40" i="25" s="1"/>
  <c r="V40" i="25"/>
  <c r="AB40" i="25" s="1"/>
  <c r="AG39" i="25"/>
  <c r="AF39" i="25"/>
  <c r="X39" i="25"/>
  <c r="AD39" i="25" s="1"/>
  <c r="W39" i="25"/>
  <c r="AC39" i="25" s="1"/>
  <c r="V39" i="25"/>
  <c r="AB39" i="25" s="1"/>
  <c r="AG38" i="25"/>
  <c r="AF38" i="25"/>
  <c r="X38" i="25"/>
  <c r="AD38" i="25" s="1"/>
  <c r="W38" i="25"/>
  <c r="AC38" i="25" s="1"/>
  <c r="V38" i="25"/>
  <c r="AB38" i="25" s="1"/>
  <c r="AG37" i="25"/>
  <c r="X37" i="25"/>
  <c r="AD37" i="25" s="1"/>
  <c r="W37" i="25"/>
  <c r="AC37" i="25" s="1"/>
  <c r="V37" i="25"/>
  <c r="AB37" i="25" s="1"/>
  <c r="AG36" i="25"/>
  <c r="X36" i="25"/>
  <c r="AD36" i="25" s="1"/>
  <c r="W36" i="25"/>
  <c r="AC36" i="25" s="1"/>
  <c r="V36" i="25"/>
  <c r="AB36" i="25" s="1"/>
  <c r="AG35" i="25"/>
  <c r="X35" i="25"/>
  <c r="AD35" i="25" s="1"/>
  <c r="W35" i="25"/>
  <c r="AC35" i="25" s="1"/>
  <c r="V35" i="25"/>
  <c r="AB35" i="25" s="1"/>
  <c r="AG34" i="25"/>
  <c r="X34" i="25"/>
  <c r="AD34" i="25" s="1"/>
  <c r="W34" i="25"/>
  <c r="AC34" i="25" s="1"/>
  <c r="V34" i="25"/>
  <c r="AB34" i="25" s="1"/>
  <c r="AG33" i="25"/>
  <c r="X33" i="25"/>
  <c r="AD33" i="25" s="1"/>
  <c r="W33" i="25"/>
  <c r="AC33" i="25" s="1"/>
  <c r="V33" i="25"/>
  <c r="AB33" i="25" s="1"/>
  <c r="AG32" i="25"/>
  <c r="X32" i="25"/>
  <c r="AD32" i="25" s="1"/>
  <c r="W32" i="25"/>
  <c r="AC32" i="25" s="1"/>
  <c r="V32" i="25"/>
  <c r="AB32" i="25" s="1"/>
  <c r="AG31" i="25"/>
  <c r="X31" i="25"/>
  <c r="AD31" i="25" s="1"/>
  <c r="W31" i="25"/>
  <c r="AC31" i="25" s="1"/>
  <c r="V31" i="25"/>
  <c r="AB31" i="25" s="1"/>
  <c r="AG30" i="25"/>
  <c r="X30" i="25"/>
  <c r="AD30" i="25" s="1"/>
  <c r="W30" i="25"/>
  <c r="AC30" i="25" s="1"/>
  <c r="V30" i="25"/>
  <c r="AB30" i="25" s="1"/>
  <c r="AG29" i="25"/>
  <c r="X29" i="25"/>
  <c r="AD29" i="25" s="1"/>
  <c r="W29" i="25"/>
  <c r="AC29" i="25" s="1"/>
  <c r="V29" i="25"/>
  <c r="AB29" i="25" s="1"/>
  <c r="AG28" i="25"/>
  <c r="AC28" i="25"/>
  <c r="X28" i="25"/>
  <c r="AD28" i="25" s="1"/>
  <c r="W28" i="25"/>
  <c r="V28" i="25"/>
  <c r="AB28" i="25" s="1"/>
  <c r="AG27" i="25"/>
  <c r="AC27" i="25"/>
  <c r="X27" i="25"/>
  <c r="AD27" i="25" s="1"/>
  <c r="W27" i="25"/>
  <c r="V27" i="25"/>
  <c r="AB27" i="25" s="1"/>
  <c r="AG26" i="25"/>
  <c r="X26" i="25"/>
  <c r="AD26" i="25" s="1"/>
  <c r="W26" i="25"/>
  <c r="AC26" i="25" s="1"/>
  <c r="V26" i="25"/>
  <c r="AB26" i="25" s="1"/>
  <c r="AG25" i="25"/>
  <c r="AE25" i="25"/>
  <c r="X25" i="25"/>
  <c r="AD25" i="25" s="1"/>
  <c r="W25" i="25"/>
  <c r="AC25" i="25" s="1"/>
  <c r="V25" i="25"/>
  <c r="AB25" i="25" s="1"/>
  <c r="AG24" i="25"/>
  <c r="AE24" i="25"/>
  <c r="X24" i="25"/>
  <c r="AD24" i="25" s="1"/>
  <c r="W24" i="25"/>
  <c r="AC24" i="25" s="1"/>
  <c r="V24" i="25"/>
  <c r="AB24" i="25" s="1"/>
  <c r="AG23" i="25"/>
  <c r="AE23" i="25"/>
  <c r="X23" i="25"/>
  <c r="AD23" i="25" s="1"/>
  <c r="W23" i="25"/>
  <c r="AC23" i="25" s="1"/>
  <c r="V23" i="25"/>
  <c r="AB23" i="25" s="1"/>
  <c r="AG22" i="25"/>
  <c r="AE22" i="25"/>
  <c r="AD22" i="25"/>
  <c r="X22" i="25"/>
  <c r="W22" i="25"/>
  <c r="AC22" i="25" s="1"/>
  <c r="V22" i="25"/>
  <c r="AB22" i="25" s="1"/>
  <c r="AG21" i="25"/>
  <c r="AE21" i="25"/>
  <c r="X21" i="25"/>
  <c r="AD21" i="25" s="1"/>
  <c r="W21" i="25"/>
  <c r="AC21" i="25" s="1"/>
  <c r="V21" i="25"/>
  <c r="AB21" i="25" s="1"/>
  <c r="AG20" i="25"/>
  <c r="AE20" i="25"/>
  <c r="X20" i="25"/>
  <c r="AD20" i="25" s="1"/>
  <c r="W20" i="25"/>
  <c r="AC20" i="25" s="1"/>
  <c r="V20" i="25"/>
  <c r="AB20" i="25" s="1"/>
  <c r="AG19" i="25"/>
  <c r="AE19" i="25"/>
  <c r="X19" i="25"/>
  <c r="AD19" i="25" s="1"/>
  <c r="W19" i="25"/>
  <c r="AC19" i="25" s="1"/>
  <c r="V19" i="25"/>
  <c r="AB19" i="25" s="1"/>
  <c r="AG18" i="25"/>
  <c r="AE18" i="25"/>
  <c r="X18" i="25"/>
  <c r="AD18" i="25" s="1"/>
  <c r="W18" i="25"/>
  <c r="AC18" i="25" s="1"/>
  <c r="V18" i="25"/>
  <c r="AB18" i="25" s="1"/>
  <c r="AG17" i="25"/>
  <c r="AE17" i="25"/>
  <c r="X17" i="25"/>
  <c r="AD17" i="25" s="1"/>
  <c r="W17" i="25"/>
  <c r="AC17" i="25" s="1"/>
  <c r="V17" i="25"/>
  <c r="AB17" i="25" s="1"/>
  <c r="AG16" i="25"/>
  <c r="AE16" i="25"/>
  <c r="AC16" i="25"/>
  <c r="X16" i="25"/>
  <c r="AD16" i="25" s="1"/>
  <c r="W16" i="25"/>
  <c r="V16" i="25"/>
  <c r="AB16" i="25" s="1"/>
  <c r="AG15" i="25"/>
  <c r="AE15" i="25"/>
  <c r="X15" i="25"/>
  <c r="AD15" i="25" s="1"/>
  <c r="W15" i="25"/>
  <c r="AC15" i="25" s="1"/>
  <c r="V15" i="25"/>
  <c r="AB15" i="25" s="1"/>
  <c r="AG14" i="25"/>
  <c r="AE14" i="25"/>
  <c r="X14" i="25"/>
  <c r="AD14" i="25" s="1"/>
  <c r="W14" i="25"/>
  <c r="AC14" i="25" s="1"/>
  <c r="V14" i="25"/>
  <c r="AB14" i="25" s="1"/>
  <c r="AG13" i="25"/>
  <c r="X13" i="25"/>
  <c r="AD13" i="25" s="1"/>
  <c r="W13" i="25"/>
  <c r="AC13" i="25" s="1"/>
  <c r="V13" i="25"/>
  <c r="AB13" i="25" s="1"/>
  <c r="AG12" i="25"/>
  <c r="X12" i="25"/>
  <c r="AD12" i="25" s="1"/>
  <c r="W12" i="25"/>
  <c r="AC12" i="25" s="1"/>
  <c r="V12" i="25"/>
  <c r="AB12" i="25" s="1"/>
  <c r="AG11" i="25"/>
  <c r="X11" i="25"/>
  <c r="AD11" i="25" s="1"/>
  <c r="W11" i="25"/>
  <c r="AC11" i="25" s="1"/>
  <c r="V11" i="25"/>
  <c r="AB11" i="25" s="1"/>
  <c r="AG10" i="25"/>
  <c r="X10" i="25"/>
  <c r="AD10" i="25" s="1"/>
  <c r="W10" i="25"/>
  <c r="AC10" i="25" s="1"/>
  <c r="V10" i="25"/>
  <c r="AB10" i="25" s="1"/>
  <c r="AG9" i="25"/>
  <c r="X9" i="25"/>
  <c r="AD9" i="25" s="1"/>
  <c r="W9" i="25"/>
  <c r="AC9" i="25" s="1"/>
  <c r="V9" i="25"/>
  <c r="AB9" i="25" s="1"/>
  <c r="AG8" i="25"/>
  <c r="X8" i="25"/>
  <c r="AD8" i="25" s="1"/>
  <c r="W8" i="25"/>
  <c r="AC8" i="25" s="1"/>
  <c r="V8" i="25"/>
  <c r="AB8" i="25" s="1"/>
  <c r="AG7" i="25"/>
  <c r="X7" i="25"/>
  <c r="AD7" i="25" s="1"/>
  <c r="W7" i="25"/>
  <c r="AC7" i="25" s="1"/>
  <c r="V7" i="25"/>
  <c r="AB7" i="25" s="1"/>
  <c r="AG6" i="25"/>
  <c r="X6" i="25"/>
  <c r="AD6" i="25" s="1"/>
  <c r="W6" i="25"/>
  <c r="AC6" i="25" s="1"/>
  <c r="V6" i="25"/>
  <c r="AB6" i="25" s="1"/>
  <c r="AG5" i="25"/>
  <c r="X5" i="25"/>
  <c r="AD5" i="25" s="1"/>
  <c r="W5" i="25"/>
  <c r="AC5" i="25" s="1"/>
  <c r="V5" i="25"/>
  <c r="AB5" i="25" s="1"/>
  <c r="AG4" i="25"/>
  <c r="X4" i="25"/>
  <c r="AD4" i="25" s="1"/>
  <c r="W4" i="25"/>
  <c r="AC4" i="25" s="1"/>
  <c r="V4" i="25"/>
  <c r="AB4" i="25" s="1"/>
  <c r="AG3" i="25"/>
  <c r="X3" i="25"/>
  <c r="AD3" i="25" s="1"/>
  <c r="W3" i="25"/>
  <c r="AC3" i="25" s="1"/>
  <c r="V3" i="25"/>
  <c r="AB3" i="25" s="1"/>
  <c r="AG2" i="25"/>
  <c r="X2" i="25"/>
  <c r="AD2" i="25" s="1"/>
  <c r="W2" i="25"/>
  <c r="AC2" i="25" s="1"/>
  <c r="V2" i="25"/>
  <c r="AB2" i="25" s="1"/>
  <c r="AG49" i="24"/>
  <c r="AF49" i="24"/>
  <c r="AC49" i="24"/>
  <c r="AG48" i="24"/>
  <c r="AF48" i="24"/>
  <c r="AE48" i="24"/>
  <c r="AE49" i="24" s="1"/>
  <c r="AD48" i="24"/>
  <c r="AD49" i="24" s="1"/>
  <c r="AC48" i="24"/>
  <c r="AG47" i="24"/>
  <c r="AF47" i="24"/>
  <c r="AE47" i="24"/>
  <c r="AD47" i="24"/>
  <c r="AG46" i="24"/>
  <c r="AF46" i="24"/>
  <c r="AE46" i="24"/>
  <c r="AD46" i="24"/>
  <c r="AG45" i="24"/>
  <c r="AE45" i="24"/>
  <c r="AC44" i="24"/>
  <c r="AC45" i="24" s="1"/>
  <c r="AC46" i="24" s="1"/>
  <c r="AC47" i="24" s="1"/>
  <c r="AG43" i="24"/>
  <c r="AG44" i="24" s="1"/>
  <c r="AF43" i="24"/>
  <c r="AF44" i="24" s="1"/>
  <c r="AF45" i="24" s="1"/>
  <c r="AE43" i="24"/>
  <c r="AE44" i="24" s="1"/>
  <c r="AD43" i="24"/>
  <c r="AD44" i="24" s="1"/>
  <c r="AD45" i="24" s="1"/>
  <c r="AC43" i="24"/>
  <c r="AG42" i="24"/>
  <c r="AF42" i="24"/>
  <c r="AG41" i="24"/>
  <c r="AF41" i="24"/>
  <c r="AG40" i="24"/>
  <c r="AF40" i="24"/>
  <c r="AE40" i="24"/>
  <c r="AE41" i="24" s="1"/>
  <c r="AE42" i="24" s="1"/>
  <c r="AD40" i="24"/>
  <c r="AD41" i="24" s="1"/>
  <c r="AD42" i="24" s="1"/>
  <c r="AG39" i="24"/>
  <c r="AF39" i="24"/>
  <c r="AE39" i="24"/>
  <c r="AD39" i="24"/>
  <c r="AE38" i="24"/>
  <c r="AE37" i="24"/>
  <c r="AG36" i="24"/>
  <c r="AG37" i="24" s="1"/>
  <c r="AG38" i="24" s="1"/>
  <c r="AF36" i="24"/>
  <c r="AF37" i="24" s="1"/>
  <c r="AF38" i="24" s="1"/>
  <c r="AE36" i="24"/>
  <c r="AD36" i="24"/>
  <c r="AD37" i="24" s="1"/>
  <c r="AD38" i="24" s="1"/>
  <c r="AG35" i="24"/>
  <c r="AF35" i="24"/>
  <c r="AE35" i="24"/>
  <c r="AD35" i="24"/>
  <c r="AG33" i="24"/>
  <c r="AG34" i="24" s="1"/>
  <c r="AF33" i="24"/>
  <c r="AF34" i="24" s="1"/>
  <c r="AD33" i="24"/>
  <c r="AD34" i="24" s="1"/>
  <c r="AG32" i="24"/>
  <c r="AF32" i="24"/>
  <c r="AE32" i="24"/>
  <c r="AE33" i="24" s="1"/>
  <c r="AE34" i="24" s="1"/>
  <c r="AD32" i="24"/>
  <c r="AG31" i="24"/>
  <c r="AF31" i="24"/>
  <c r="AE31" i="24"/>
  <c r="AD31" i="24"/>
  <c r="AF29" i="24"/>
  <c r="AF30" i="24" s="1"/>
  <c r="AC29" i="24"/>
  <c r="AC30" i="24" s="1"/>
  <c r="AC31" i="24" s="1"/>
  <c r="AC32" i="24" s="1"/>
  <c r="AC33" i="24" s="1"/>
  <c r="AC34" i="24" s="1"/>
  <c r="AC35" i="24" s="1"/>
  <c r="AC36" i="24" s="1"/>
  <c r="AC37" i="24" s="1"/>
  <c r="AC38" i="24" s="1"/>
  <c r="AC39" i="24" s="1"/>
  <c r="AC40" i="24" s="1"/>
  <c r="AC41" i="24" s="1"/>
  <c r="AC42" i="24" s="1"/>
  <c r="AG28" i="24"/>
  <c r="AG29" i="24" s="1"/>
  <c r="AG30" i="24" s="1"/>
  <c r="AF28" i="24"/>
  <c r="AE28" i="24"/>
  <c r="AE29" i="24" s="1"/>
  <c r="AE30" i="24" s="1"/>
  <c r="AD28" i="24"/>
  <c r="AD29" i="24" s="1"/>
  <c r="AD30" i="24" s="1"/>
  <c r="AC28" i="24"/>
  <c r="AG27" i="24"/>
  <c r="AF27" i="24"/>
  <c r="AG26" i="24"/>
  <c r="AF26" i="24"/>
  <c r="AG25" i="24"/>
  <c r="AF25" i="24"/>
  <c r="AG24" i="24"/>
  <c r="AF24" i="24"/>
  <c r="AE24" i="24"/>
  <c r="AE25" i="24" s="1"/>
  <c r="AE26" i="24" s="1"/>
  <c r="AE27" i="24" s="1"/>
  <c r="AG23" i="24"/>
  <c r="AF23" i="24"/>
  <c r="AE23" i="24"/>
  <c r="AD23" i="24"/>
  <c r="AD24" i="24" s="1"/>
  <c r="AD25" i="24" s="1"/>
  <c r="AD26" i="24" s="1"/>
  <c r="AD27" i="24" s="1"/>
  <c r="AG22" i="24"/>
  <c r="AF22" i="24"/>
  <c r="AG21" i="24"/>
  <c r="AF21" i="24"/>
  <c r="AG20" i="24"/>
  <c r="AF20" i="24"/>
  <c r="AG19" i="24"/>
  <c r="AF19" i="24"/>
  <c r="AG18" i="24"/>
  <c r="AF18" i="24"/>
  <c r="AE18" i="24"/>
  <c r="AE19" i="24" s="1"/>
  <c r="AE20" i="24" s="1"/>
  <c r="AE21" i="24" s="1"/>
  <c r="AE22" i="24" s="1"/>
  <c r="AD18" i="24"/>
  <c r="AD19" i="24" s="1"/>
  <c r="AD20" i="24" s="1"/>
  <c r="AD21" i="24" s="1"/>
  <c r="AD22" i="24" s="1"/>
  <c r="AG15" i="24"/>
  <c r="AG16" i="24" s="1"/>
  <c r="AG17" i="24" s="1"/>
  <c r="AF15" i="24"/>
  <c r="AF16" i="24" s="1"/>
  <c r="AF17" i="24" s="1"/>
  <c r="AE15" i="24"/>
  <c r="AE16" i="24" s="1"/>
  <c r="AE17" i="24" s="1"/>
  <c r="AD15" i="24"/>
  <c r="AD16" i="24" s="1"/>
  <c r="AD17" i="24" s="1"/>
  <c r="AC15" i="24"/>
  <c r="AC16" i="24" s="1"/>
  <c r="AC17" i="24" s="1"/>
  <c r="AC18" i="24" s="1"/>
  <c r="AC19" i="24" s="1"/>
  <c r="AC20" i="24" s="1"/>
  <c r="AC21" i="24" s="1"/>
  <c r="AC22" i="24" s="1"/>
  <c r="AC23" i="24" s="1"/>
  <c r="AC24" i="24" s="1"/>
  <c r="AC25" i="24" s="1"/>
  <c r="AC26" i="24" s="1"/>
  <c r="AC27" i="24" s="1"/>
  <c r="AG14" i="24"/>
  <c r="AF14" i="24"/>
  <c r="AE14" i="24"/>
  <c r="AD14" i="24"/>
  <c r="AD13" i="24"/>
  <c r="AC13" i="24"/>
  <c r="AC14" i="24" s="1"/>
  <c r="AG12" i="24"/>
  <c r="AG13" i="24" s="1"/>
  <c r="AF12" i="24"/>
  <c r="AF13" i="24" s="1"/>
  <c r="AE12" i="24"/>
  <c r="AE13" i="24" s="1"/>
  <c r="AD12" i="24"/>
  <c r="AC12" i="24"/>
  <c r="AG11" i="24"/>
  <c r="AF11" i="24"/>
  <c r="AE11" i="24"/>
  <c r="AD11" i="24"/>
  <c r="AF10" i="24"/>
  <c r="AG9" i="24"/>
  <c r="AG10" i="24" s="1"/>
  <c r="AF9" i="24"/>
  <c r="AE9" i="24"/>
  <c r="AE10" i="24" s="1"/>
  <c r="AD9" i="24"/>
  <c r="AD10" i="24" s="1"/>
  <c r="AC9" i="24"/>
  <c r="AC10" i="24" s="1"/>
  <c r="AC11" i="24" s="1"/>
  <c r="AG7" i="24"/>
  <c r="AG8" i="24" s="1"/>
  <c r="AF7" i="24"/>
  <c r="AF8" i="24" s="1"/>
  <c r="AE7" i="24"/>
  <c r="AE8" i="24" s="1"/>
  <c r="AD7" i="24"/>
  <c r="AD8" i="24" s="1"/>
  <c r="AC7" i="24"/>
  <c r="AC8" i="24" s="1"/>
  <c r="AF6" i="24"/>
  <c r="AG5" i="24"/>
  <c r="AG6" i="24" s="1"/>
  <c r="AF5" i="24"/>
  <c r="AE5" i="24"/>
  <c r="AE6" i="24" s="1"/>
  <c r="AD5" i="24"/>
  <c r="AD6" i="24" s="1"/>
  <c r="AC5" i="24"/>
  <c r="AC6" i="24" s="1"/>
  <c r="Z54" i="24"/>
  <c r="X54" i="24"/>
  <c r="V54" i="24"/>
  <c r="U54" i="24"/>
  <c r="T54" i="24"/>
  <c r="P54" i="24"/>
  <c r="O54" i="24"/>
  <c r="N54" i="24"/>
  <c r="M54" i="24"/>
  <c r="Z53" i="24"/>
  <c r="V53" i="24"/>
  <c r="U53" i="24"/>
  <c r="T53" i="24"/>
  <c r="P53" i="24"/>
  <c r="O53" i="24"/>
  <c r="N53" i="24"/>
  <c r="M53" i="24"/>
  <c r="Z52" i="24"/>
  <c r="X52" i="24"/>
  <c r="V52" i="24"/>
  <c r="V56" i="24" s="1"/>
  <c r="U52" i="24"/>
  <c r="U56" i="24" s="1"/>
  <c r="T52" i="24"/>
  <c r="P52" i="24"/>
  <c r="O52" i="24"/>
  <c r="N52" i="24"/>
  <c r="M52" i="24"/>
  <c r="AU71" i="23"/>
  <c r="AT71" i="23"/>
  <c r="AU70" i="23"/>
  <c r="AT70" i="23"/>
  <c r="AS70" i="23"/>
  <c r="AS71" i="23" s="1"/>
  <c r="AR70" i="23"/>
  <c r="AQ70" i="23"/>
  <c r="AQ71" i="23" s="1"/>
  <c r="AU69" i="23"/>
  <c r="AT69" i="23"/>
  <c r="AS69" i="23"/>
  <c r="AR69" i="23"/>
  <c r="AV69" i="23" s="1"/>
  <c r="AU68" i="23"/>
  <c r="AT68" i="23"/>
  <c r="AS68" i="23"/>
  <c r="AR68" i="23"/>
  <c r="AV68" i="23" s="1"/>
  <c r="AQ66" i="23"/>
  <c r="AQ67" i="23" s="1"/>
  <c r="AQ68" i="23" s="1"/>
  <c r="AQ69" i="23" s="1"/>
  <c r="AV65" i="23"/>
  <c r="AU65" i="23"/>
  <c r="AU66" i="23" s="1"/>
  <c r="AU67" i="23" s="1"/>
  <c r="AT65" i="23"/>
  <c r="AT66" i="23" s="1"/>
  <c r="AT67" i="23" s="1"/>
  <c r="AS65" i="23"/>
  <c r="AS66" i="23" s="1"/>
  <c r="AS67" i="23" s="1"/>
  <c r="AR65" i="23"/>
  <c r="AR66" i="23" s="1"/>
  <c r="AV66" i="23" s="1"/>
  <c r="AQ65" i="23"/>
  <c r="AU64" i="23"/>
  <c r="AT64" i="23"/>
  <c r="AU63" i="23"/>
  <c r="AT63" i="23"/>
  <c r="AU62" i="23"/>
  <c r="AT62" i="23"/>
  <c r="AS62" i="23"/>
  <c r="AS63" i="23" s="1"/>
  <c r="AS64" i="23" s="1"/>
  <c r="AR62" i="23"/>
  <c r="AR63" i="23" s="1"/>
  <c r="AV61" i="23"/>
  <c r="AU61" i="23"/>
  <c r="AT61" i="23"/>
  <c r="AS61" i="23"/>
  <c r="AR61" i="23"/>
  <c r="AU60" i="23"/>
  <c r="AV59" i="23"/>
  <c r="AU58" i="23"/>
  <c r="AU59" i="23" s="1"/>
  <c r="AT58" i="23"/>
  <c r="AT59" i="23" s="1"/>
  <c r="AT60" i="23" s="1"/>
  <c r="AS58" i="23"/>
  <c r="AS59" i="23" s="1"/>
  <c r="AS60" i="23" s="1"/>
  <c r="AR58" i="23"/>
  <c r="AR59" i="23" s="1"/>
  <c r="AR60" i="23" s="1"/>
  <c r="AV60" i="23" s="1"/>
  <c r="AV57" i="23"/>
  <c r="AU57" i="23"/>
  <c r="AT57" i="23"/>
  <c r="AS57" i="23"/>
  <c r="AR57" i="23"/>
  <c r="AS55" i="23"/>
  <c r="AS56" i="23" s="1"/>
  <c r="AR55" i="23"/>
  <c r="AR56" i="23" s="1"/>
  <c r="AV56" i="23" s="1"/>
  <c r="AU54" i="23"/>
  <c r="AU55" i="23" s="1"/>
  <c r="AU56" i="23" s="1"/>
  <c r="AT54" i="23"/>
  <c r="AT55" i="23" s="1"/>
  <c r="AT56" i="23" s="1"/>
  <c r="AS54" i="23"/>
  <c r="AR54" i="23"/>
  <c r="AV54" i="23" s="1"/>
  <c r="AV53" i="23"/>
  <c r="AU53" i="23"/>
  <c r="AT53" i="23"/>
  <c r="AS53" i="23"/>
  <c r="AR53" i="23"/>
  <c r="AR51" i="23"/>
  <c r="AR52" i="23" s="1"/>
  <c r="AV52" i="23" s="1"/>
  <c r="AQ51" i="23"/>
  <c r="AQ52" i="23" s="1"/>
  <c r="AQ53" i="23" s="1"/>
  <c r="AQ54" i="23" s="1"/>
  <c r="AQ55" i="23" s="1"/>
  <c r="AQ56" i="23" s="1"/>
  <c r="AQ57" i="23" s="1"/>
  <c r="AQ58" i="23" s="1"/>
  <c r="AQ59" i="23" s="1"/>
  <c r="AQ60" i="23" s="1"/>
  <c r="AQ61" i="23" s="1"/>
  <c r="AQ62" i="23" s="1"/>
  <c r="AQ63" i="23" s="1"/>
  <c r="AQ64" i="23" s="1"/>
  <c r="AU50" i="23"/>
  <c r="AU51" i="23" s="1"/>
  <c r="AU52" i="23" s="1"/>
  <c r="AT50" i="23"/>
  <c r="AT51" i="23" s="1"/>
  <c r="AT52" i="23" s="1"/>
  <c r="AS50" i="23"/>
  <c r="AS51" i="23" s="1"/>
  <c r="AS52" i="23" s="1"/>
  <c r="AR50" i="23"/>
  <c r="AV50" i="23" s="1"/>
  <c r="AQ50" i="23"/>
  <c r="AU49" i="23"/>
  <c r="AT49" i="23"/>
  <c r="AU48" i="23"/>
  <c r="AT48" i="23"/>
  <c r="AU47" i="23"/>
  <c r="AT47" i="23"/>
  <c r="AU46" i="23"/>
  <c r="AT46" i="23"/>
  <c r="AS46" i="23"/>
  <c r="AS47" i="23" s="1"/>
  <c r="AS48" i="23" s="1"/>
  <c r="AS49" i="23" s="1"/>
  <c r="AV45" i="23"/>
  <c r="AU45" i="23"/>
  <c r="AT45" i="23"/>
  <c r="AS45" i="23"/>
  <c r="AR45" i="23"/>
  <c r="AR46" i="23" s="1"/>
  <c r="AU44" i="23"/>
  <c r="AT44" i="23"/>
  <c r="AU43" i="23"/>
  <c r="AT43" i="23"/>
  <c r="AU42" i="23"/>
  <c r="AT42" i="23"/>
  <c r="AU41" i="23"/>
  <c r="AT41" i="23"/>
  <c r="AR41" i="23"/>
  <c r="AV41" i="23" s="1"/>
  <c r="AV40" i="23"/>
  <c r="AU40" i="23"/>
  <c r="AT40" i="23"/>
  <c r="AS40" i="23"/>
  <c r="AS41" i="23" s="1"/>
  <c r="AS42" i="23" s="1"/>
  <c r="AS43" i="23" s="1"/>
  <c r="AS44" i="23" s="1"/>
  <c r="AR40" i="23"/>
  <c r="AV37" i="23"/>
  <c r="AU37" i="23"/>
  <c r="AU38" i="23" s="1"/>
  <c r="AU39" i="23" s="1"/>
  <c r="AT37" i="23"/>
  <c r="AT38" i="23" s="1"/>
  <c r="AT39" i="23" s="1"/>
  <c r="AS37" i="23"/>
  <c r="AS38" i="23" s="1"/>
  <c r="AS39" i="23" s="1"/>
  <c r="AR37" i="23"/>
  <c r="AR38" i="23" s="1"/>
  <c r="AQ37" i="23"/>
  <c r="AQ38" i="23" s="1"/>
  <c r="AQ39" i="23" s="1"/>
  <c r="AQ40" i="23" s="1"/>
  <c r="AQ41" i="23" s="1"/>
  <c r="AQ42" i="23" s="1"/>
  <c r="AQ43" i="23" s="1"/>
  <c r="AQ44" i="23" s="1"/>
  <c r="AQ45" i="23" s="1"/>
  <c r="AQ46" i="23" s="1"/>
  <c r="AQ47" i="23" s="1"/>
  <c r="AQ48" i="23" s="1"/>
  <c r="AQ49" i="23" s="1"/>
  <c r="AU36" i="23"/>
  <c r="AU35" i="23"/>
  <c r="AT35" i="23"/>
  <c r="AT36" i="23" s="1"/>
  <c r="AS35" i="23"/>
  <c r="AS36" i="23" s="1"/>
  <c r="AR35" i="23"/>
  <c r="AR36" i="23" s="1"/>
  <c r="AV36" i="23" s="1"/>
  <c r="AQ35" i="23"/>
  <c r="AQ36" i="23" s="1"/>
  <c r="AU33" i="23"/>
  <c r="AU34" i="23" s="1"/>
  <c r="AT33" i="23"/>
  <c r="AT34" i="23" s="1"/>
  <c r="AS33" i="23"/>
  <c r="AS34" i="23" s="1"/>
  <c r="AR33" i="23"/>
  <c r="AV33" i="23" s="1"/>
  <c r="AU32" i="23"/>
  <c r="AU31" i="23"/>
  <c r="AT29" i="23"/>
  <c r="AT30" i="23" s="1"/>
  <c r="AT31" i="23" s="1"/>
  <c r="AT32" i="23" s="1"/>
  <c r="AS29" i="23"/>
  <c r="AS30" i="23" s="1"/>
  <c r="AS31" i="23" s="1"/>
  <c r="AS32" i="23" s="1"/>
  <c r="AU28" i="23"/>
  <c r="AU29" i="23" s="1"/>
  <c r="AU30" i="23" s="1"/>
  <c r="AT28" i="23"/>
  <c r="AS28" i="23"/>
  <c r="AR28" i="23"/>
  <c r="AR29" i="23" s="1"/>
  <c r="AU27" i="23"/>
  <c r="AU24" i="23"/>
  <c r="AU25" i="23" s="1"/>
  <c r="AU26" i="23" s="1"/>
  <c r="AT24" i="23"/>
  <c r="AT25" i="23" s="1"/>
  <c r="AT26" i="23" s="1"/>
  <c r="AT27" i="23" s="1"/>
  <c r="AS24" i="23"/>
  <c r="AS25" i="23" s="1"/>
  <c r="AS26" i="23" s="1"/>
  <c r="AS27" i="23" s="1"/>
  <c r="AR24" i="23"/>
  <c r="AR25" i="23" s="1"/>
  <c r="AV25" i="23" s="1"/>
  <c r="AQ24" i="23"/>
  <c r="AQ25" i="23" s="1"/>
  <c r="AU22" i="23"/>
  <c r="AU23" i="23" s="1"/>
  <c r="AU19" i="23"/>
  <c r="AU20" i="23" s="1"/>
  <c r="AU21" i="23" s="1"/>
  <c r="AT19" i="23"/>
  <c r="AT20" i="23" s="1"/>
  <c r="AT21" i="23" s="1"/>
  <c r="AT22" i="23" s="1"/>
  <c r="AT23" i="23" s="1"/>
  <c r="AS19" i="23"/>
  <c r="AS20" i="23" s="1"/>
  <c r="AS21" i="23" s="1"/>
  <c r="AS22" i="23" s="1"/>
  <c r="AS23" i="23" s="1"/>
  <c r="AR19" i="23"/>
  <c r="AR20" i="23" s="1"/>
  <c r="AV20" i="23" s="1"/>
  <c r="AU18" i="23"/>
  <c r="AT18" i="23"/>
  <c r="AS18" i="23"/>
  <c r="AR18" i="23"/>
  <c r="AV18" i="23" s="1"/>
  <c r="AU17" i="23"/>
  <c r="AT16" i="23"/>
  <c r="AT17" i="23" s="1"/>
  <c r="AQ15" i="23"/>
  <c r="AU14" i="23"/>
  <c r="AU15" i="23" s="1"/>
  <c r="AU16" i="23" s="1"/>
  <c r="AT14" i="23"/>
  <c r="AT15" i="23" s="1"/>
  <c r="AS14" i="23"/>
  <c r="AS15" i="23" s="1"/>
  <c r="AS16" i="23" s="1"/>
  <c r="AS17" i="23" s="1"/>
  <c r="AR14" i="23"/>
  <c r="AV14" i="23" s="1"/>
  <c r="AQ14" i="23"/>
  <c r="AV13" i="23"/>
  <c r="AU13" i="23"/>
  <c r="AT13" i="23"/>
  <c r="AS13" i="23"/>
  <c r="AR13" i="23"/>
  <c r="AU12" i="23"/>
  <c r="AT10" i="23"/>
  <c r="AT11" i="23" s="1"/>
  <c r="AT12" i="23" s="1"/>
  <c r="AV9" i="23"/>
  <c r="AU9" i="23"/>
  <c r="AU10" i="23" s="1"/>
  <c r="AU11" i="23" s="1"/>
  <c r="AT9" i="23"/>
  <c r="AS9" i="23"/>
  <c r="AS10" i="23" s="1"/>
  <c r="AS11" i="23" s="1"/>
  <c r="AS12" i="23" s="1"/>
  <c r="AR9" i="23"/>
  <c r="AR10" i="23" s="1"/>
  <c r="AQ9" i="23"/>
  <c r="AQ10" i="23" s="1"/>
  <c r="AU8" i="23"/>
  <c r="AS6" i="23"/>
  <c r="AS7" i="23" s="1"/>
  <c r="AS8" i="23" s="1"/>
  <c r="AU5" i="23"/>
  <c r="AU6" i="23" s="1"/>
  <c r="AU7" i="23" s="1"/>
  <c r="AT5" i="23"/>
  <c r="AT6" i="23" s="1"/>
  <c r="AT7" i="23" s="1"/>
  <c r="AT8" i="23" s="1"/>
  <c r="AS5" i="23"/>
  <c r="AR5" i="23"/>
  <c r="AV5" i="23" s="1"/>
  <c r="AQ5" i="23"/>
  <c r="AQ6" i="23" s="1"/>
  <c r="AL77" i="23"/>
  <c r="AG77" i="23"/>
  <c r="AD77" i="23"/>
  <c r="AB77" i="23"/>
  <c r="T77" i="23"/>
  <c r="AK76" i="23"/>
  <c r="AJ76" i="23"/>
  <c r="AI76" i="23"/>
  <c r="AF76" i="23"/>
  <c r="AE76" i="23"/>
  <c r="AC76" i="23"/>
  <c r="AA76" i="23"/>
  <c r="Z76" i="23"/>
  <c r="Y76" i="23"/>
  <c r="X76" i="23"/>
  <c r="W76" i="23"/>
  <c r="V76" i="23"/>
  <c r="U76" i="23"/>
  <c r="S76" i="23"/>
  <c r="R76" i="23"/>
  <c r="Q76" i="23"/>
  <c r="P76" i="23"/>
  <c r="O76" i="23"/>
  <c r="M76" i="23"/>
  <c r="L76" i="23"/>
  <c r="AK75" i="23"/>
  <c r="AJ75" i="23"/>
  <c r="AI75" i="23"/>
  <c r="AH75" i="23"/>
  <c r="AF75" i="23"/>
  <c r="AC75" i="23"/>
  <c r="AA75" i="23"/>
  <c r="Z75" i="23"/>
  <c r="Y75" i="23"/>
  <c r="X75" i="23"/>
  <c r="W75" i="23"/>
  <c r="V75" i="23"/>
  <c r="U75" i="23"/>
  <c r="S75" i="23"/>
  <c r="R75" i="23"/>
  <c r="Q75" i="23"/>
  <c r="P75" i="23"/>
  <c r="O75" i="23"/>
  <c r="M75" i="23"/>
  <c r="L75" i="23"/>
  <c r="AP74" i="23"/>
  <c r="D44" i="22"/>
  <c r="J35" i="22"/>
  <c r="J27" i="22"/>
  <c r="J19" i="22"/>
  <c r="J11" i="22"/>
  <c r="F37" i="22"/>
  <c r="J37" i="22" s="1"/>
  <c r="F36" i="22"/>
  <c r="J36" i="22" s="1"/>
  <c r="F35" i="22"/>
  <c r="F34" i="22"/>
  <c r="J34" i="22" s="1"/>
  <c r="F33" i="22"/>
  <c r="J33" i="22" s="1"/>
  <c r="F32" i="22"/>
  <c r="J32" i="22" s="1"/>
  <c r="F31" i="22"/>
  <c r="J31" i="22" s="1"/>
  <c r="F30" i="22"/>
  <c r="J30" i="22" s="1"/>
  <c r="F29" i="22"/>
  <c r="J29" i="22" s="1"/>
  <c r="F28" i="22"/>
  <c r="F27" i="22"/>
  <c r="F26" i="22"/>
  <c r="J26" i="22" s="1"/>
  <c r="F25" i="22"/>
  <c r="J25" i="22" s="1"/>
  <c r="E43" i="22" s="1"/>
  <c r="F24" i="22"/>
  <c r="J24" i="22" s="1"/>
  <c r="F23" i="22"/>
  <c r="J23" i="22" s="1"/>
  <c r="F22" i="22"/>
  <c r="J22" i="22" s="1"/>
  <c r="F21" i="22"/>
  <c r="J21" i="22" s="1"/>
  <c r="F20" i="22"/>
  <c r="J20" i="22" s="1"/>
  <c r="F19" i="22"/>
  <c r="F18" i="22"/>
  <c r="F17" i="22"/>
  <c r="J17" i="22" s="1"/>
  <c r="F16" i="22"/>
  <c r="J16" i="22" s="1"/>
  <c r="F15" i="22"/>
  <c r="J15" i="22" s="1"/>
  <c r="F14" i="22"/>
  <c r="J14" i="22" s="1"/>
  <c r="F13" i="22"/>
  <c r="E45" i="22" s="1"/>
  <c r="F12" i="22"/>
  <c r="J12" i="22" s="1"/>
  <c r="F11" i="22"/>
  <c r="F10" i="22"/>
  <c r="J10" i="22" s="1"/>
  <c r="F9" i="22"/>
  <c r="J9" i="22" s="1"/>
  <c r="F8" i="22"/>
  <c r="E44" i="22" s="1"/>
  <c r="F7" i="22"/>
  <c r="J7" i="22" s="1"/>
  <c r="F6" i="22"/>
  <c r="J6" i="22" s="1"/>
  <c r="F5" i="22"/>
  <c r="J5" i="22" s="1"/>
  <c r="E40" i="22" s="1"/>
  <c r="E48" i="22" s="1"/>
  <c r="AE13" i="21"/>
  <c r="AD13" i="21"/>
  <c r="AC13" i="21"/>
  <c r="AB13" i="21"/>
  <c r="AA13" i="21"/>
  <c r="W13" i="21"/>
  <c r="V13" i="21"/>
  <c r="U13" i="21"/>
  <c r="AI13" i="21" s="1"/>
  <c r="T13" i="21"/>
  <c r="S13" i="21"/>
  <c r="Y13" i="21" s="1"/>
  <c r="AG13" i="21" s="1"/>
  <c r="R13" i="21"/>
  <c r="AE12" i="21"/>
  <c r="AD12" i="21"/>
  <c r="AE6" i="21"/>
  <c r="AD6" i="21"/>
  <c r="AC6" i="21"/>
  <c r="AB6" i="21"/>
  <c r="AA6" i="21"/>
  <c r="W6" i="21"/>
  <c r="V6" i="21"/>
  <c r="U6" i="21"/>
  <c r="AI6" i="21" s="1"/>
  <c r="T6" i="21"/>
  <c r="S6" i="21"/>
  <c r="Y6" i="21" s="1"/>
  <c r="R6" i="21"/>
  <c r="X6" i="21" s="1"/>
  <c r="AE4" i="21"/>
  <c r="AD4" i="21"/>
  <c r="AE3" i="21"/>
  <c r="AD3" i="21"/>
  <c r="AC3" i="21"/>
  <c r="AB3" i="21"/>
  <c r="AA3" i="21"/>
  <c r="W3" i="21"/>
  <c r="V3" i="21"/>
  <c r="U3" i="21"/>
  <c r="AI3" i="21" s="1"/>
  <c r="T3" i="21"/>
  <c r="S3" i="21"/>
  <c r="Y3" i="21" s="1"/>
  <c r="R3" i="21"/>
  <c r="J1145" i="21"/>
  <c r="M1145" i="21" s="1"/>
  <c r="J1144" i="21"/>
  <c r="M1144" i="21" s="1"/>
  <c r="J1143" i="21"/>
  <c r="J1142" i="21"/>
  <c r="J1141" i="21"/>
  <c r="M1141" i="21" s="1"/>
  <c r="J1140" i="21"/>
  <c r="M1140" i="21" s="1"/>
  <c r="J1139" i="21"/>
  <c r="J1138" i="21"/>
  <c r="M1138" i="21" s="1"/>
  <c r="J1137" i="21"/>
  <c r="M1137" i="21" s="1"/>
  <c r="J1136" i="21"/>
  <c r="M1136" i="21" s="1"/>
  <c r="J1135" i="21"/>
  <c r="J1134" i="21"/>
  <c r="J1034" i="21"/>
  <c r="M1034" i="21" s="1"/>
  <c r="J1033" i="21"/>
  <c r="M1033" i="21" s="1"/>
  <c r="J1032" i="21"/>
  <c r="J1031" i="21"/>
  <c r="J1030" i="21"/>
  <c r="J1029" i="21"/>
  <c r="J1028" i="21"/>
  <c r="J1027" i="21"/>
  <c r="J1026" i="21"/>
  <c r="M1026" i="21" s="1"/>
  <c r="J1025" i="21"/>
  <c r="M1025" i="21" s="1"/>
  <c r="J1024" i="21"/>
  <c r="J1023" i="21"/>
  <c r="M1023" i="21" s="1"/>
  <c r="J1022" i="21"/>
  <c r="M1022" i="21" s="1"/>
  <c r="J1021" i="21"/>
  <c r="J1020" i="21"/>
  <c r="J1019" i="21"/>
  <c r="J1018" i="21"/>
  <c r="M1018" i="21" s="1"/>
  <c r="J1017" i="21"/>
  <c r="M1017" i="21" s="1"/>
  <c r="J592" i="21"/>
  <c r="J591" i="21"/>
  <c r="M591" i="21" s="1"/>
  <c r="J590" i="21"/>
  <c r="M590" i="21" s="1"/>
  <c r="J589" i="21"/>
  <c r="J588" i="21"/>
  <c r="J587" i="21"/>
  <c r="J586" i="21"/>
  <c r="M586" i="21" s="1"/>
  <c r="J585" i="21"/>
  <c r="J584" i="21"/>
  <c r="J583" i="21"/>
  <c r="M583" i="21" s="1"/>
  <c r="J582" i="21"/>
  <c r="M582" i="21" s="1"/>
  <c r="J581" i="21"/>
  <c r="L580" i="21"/>
  <c r="K580" i="21"/>
  <c r="L579" i="21"/>
  <c r="O579" i="21" s="1"/>
  <c r="K579" i="21"/>
  <c r="L578" i="21"/>
  <c r="K578" i="21"/>
  <c r="N578" i="21" s="1"/>
  <c r="L577" i="21"/>
  <c r="O577" i="21" s="1"/>
  <c r="K577" i="21"/>
  <c r="L576" i="21"/>
  <c r="K576" i="21"/>
  <c r="L575" i="21"/>
  <c r="O575" i="21" s="1"/>
  <c r="K575" i="21"/>
  <c r="L574" i="21"/>
  <c r="K574" i="21"/>
  <c r="N574" i="21" s="1"/>
  <c r="L573" i="21"/>
  <c r="O573" i="21" s="1"/>
  <c r="K573" i="21"/>
  <c r="L572" i="21"/>
  <c r="K572" i="21"/>
  <c r="L571" i="21"/>
  <c r="O571" i="21" s="1"/>
  <c r="K571" i="21"/>
  <c r="L570" i="21"/>
  <c r="K570" i="21"/>
  <c r="N570" i="21" s="1"/>
  <c r="L569" i="21"/>
  <c r="O569" i="21" s="1"/>
  <c r="K569" i="21"/>
  <c r="J568" i="21"/>
  <c r="J567" i="21"/>
  <c r="J566" i="21"/>
  <c r="M566" i="21" s="1"/>
  <c r="J565" i="21"/>
  <c r="J564" i="21"/>
  <c r="J563" i="21"/>
  <c r="M563" i="21" s="1"/>
  <c r="J562" i="21"/>
  <c r="M562" i="21" s="1"/>
  <c r="J561" i="21"/>
  <c r="J560" i="21"/>
  <c r="J559" i="21"/>
  <c r="J558" i="21"/>
  <c r="M558" i="21" s="1"/>
  <c r="J557" i="21"/>
  <c r="J556" i="21"/>
  <c r="J555" i="21"/>
  <c r="M555" i="21" s="1"/>
  <c r="J554" i="21"/>
  <c r="M554" i="21" s="1"/>
  <c r="J553" i="21"/>
  <c r="J552" i="21"/>
  <c r="J551" i="21"/>
  <c r="J550" i="21"/>
  <c r="M550" i="21" s="1"/>
  <c r="J549" i="21"/>
  <c r="J548" i="21"/>
  <c r="J547" i="21"/>
  <c r="M547" i="21" s="1"/>
  <c r="J546" i="21"/>
  <c r="M546" i="21" s="1"/>
  <c r="J545" i="21"/>
  <c r="L544" i="21"/>
  <c r="K544" i="21"/>
  <c r="L543" i="21"/>
  <c r="O543" i="21" s="1"/>
  <c r="K543" i="21"/>
  <c r="L542" i="21"/>
  <c r="K542" i="21"/>
  <c r="N542" i="21" s="1"/>
  <c r="L541" i="21"/>
  <c r="O541" i="21" s="1"/>
  <c r="K541" i="21"/>
  <c r="L540" i="21"/>
  <c r="K540" i="21"/>
  <c r="L539" i="21"/>
  <c r="O539" i="21" s="1"/>
  <c r="K539" i="21"/>
  <c r="L538" i="21"/>
  <c r="K538" i="21"/>
  <c r="N538" i="21" s="1"/>
  <c r="L537" i="21"/>
  <c r="O537" i="21" s="1"/>
  <c r="K537" i="21"/>
  <c r="L536" i="21"/>
  <c r="K536" i="21"/>
  <c r="L535" i="21"/>
  <c r="O535" i="21" s="1"/>
  <c r="K535" i="21"/>
  <c r="L534" i="21"/>
  <c r="K534" i="21"/>
  <c r="N534" i="21" s="1"/>
  <c r="L533" i="21"/>
  <c r="O533" i="21" s="1"/>
  <c r="K533" i="21"/>
  <c r="J532" i="21"/>
  <c r="J531" i="21"/>
  <c r="J530" i="21"/>
  <c r="M530" i="21" s="1"/>
  <c r="J529" i="21"/>
  <c r="J528" i="21"/>
  <c r="J527" i="21"/>
  <c r="M527" i="21" s="1"/>
  <c r="J526" i="21"/>
  <c r="M526" i="21" s="1"/>
  <c r="J525" i="21"/>
  <c r="J524" i="21"/>
  <c r="J523" i="21"/>
  <c r="J522" i="21"/>
  <c r="M522" i="21" s="1"/>
  <c r="J521" i="21"/>
  <c r="J1157" i="21"/>
  <c r="M1157" i="21" s="1"/>
  <c r="M1156" i="21"/>
  <c r="J1156" i="21"/>
  <c r="M1155" i="21"/>
  <c r="J1155" i="21"/>
  <c r="M1154" i="21"/>
  <c r="J1154" i="21"/>
  <c r="J1153" i="21"/>
  <c r="M1153" i="21" s="1"/>
  <c r="J1152" i="21"/>
  <c r="M1152" i="21" s="1"/>
  <c r="M1151" i="21"/>
  <c r="J1151" i="21"/>
  <c r="J1150" i="21"/>
  <c r="M1150" i="21" s="1"/>
  <c r="J1149" i="21"/>
  <c r="M1149" i="21" s="1"/>
  <c r="M1148" i="21"/>
  <c r="J1148" i="21"/>
  <c r="J1147" i="21"/>
  <c r="M1147" i="21" s="1"/>
  <c r="J1146" i="21"/>
  <c r="M1143" i="21"/>
  <c r="M1142" i="21"/>
  <c r="M1139" i="21"/>
  <c r="M1135" i="21"/>
  <c r="M1134" i="21"/>
  <c r="J1133" i="21"/>
  <c r="M1133" i="21" s="1"/>
  <c r="J1132" i="21"/>
  <c r="M1132" i="21" s="1"/>
  <c r="J1131" i="21"/>
  <c r="M1131" i="21" s="1"/>
  <c r="J1130" i="21"/>
  <c r="M1130" i="21" s="1"/>
  <c r="M1129" i="21"/>
  <c r="J1129" i="21"/>
  <c r="J1128" i="21"/>
  <c r="M1128" i="21" s="1"/>
  <c r="J1127" i="21"/>
  <c r="M1127" i="21" s="1"/>
  <c r="J1126" i="21"/>
  <c r="M1126" i="21" s="1"/>
  <c r="J1125" i="21"/>
  <c r="M1125" i="21" s="1"/>
  <c r="J1124" i="21"/>
  <c r="M1124" i="21" s="1"/>
  <c r="J1123" i="21"/>
  <c r="M1123" i="21" s="1"/>
  <c r="J1122" i="21"/>
  <c r="M1122" i="21" s="1"/>
  <c r="J1121" i="21"/>
  <c r="M1121" i="21" s="1"/>
  <c r="J1120" i="21"/>
  <c r="M1120" i="21" s="1"/>
  <c r="J1119" i="21"/>
  <c r="M1119" i="21" s="1"/>
  <c r="J1118" i="21"/>
  <c r="M1118" i="21" s="1"/>
  <c r="M1117" i="21"/>
  <c r="J1117" i="21"/>
  <c r="J1116" i="21"/>
  <c r="M1116" i="21" s="1"/>
  <c r="J1115" i="21"/>
  <c r="M1115" i="21" s="1"/>
  <c r="J1114" i="21"/>
  <c r="M1114" i="21" s="1"/>
  <c r="J1113" i="21"/>
  <c r="M1113" i="21" s="1"/>
  <c r="J1112" i="21"/>
  <c r="M1112" i="21" s="1"/>
  <c r="J1111" i="21"/>
  <c r="M1111" i="21" s="1"/>
  <c r="M1110" i="21"/>
  <c r="J1110" i="21"/>
  <c r="J1109" i="21"/>
  <c r="M1109" i="21" s="1"/>
  <c r="J1108" i="21"/>
  <c r="M1108" i="21" s="1"/>
  <c r="J1107" i="21"/>
  <c r="M1107" i="21" s="1"/>
  <c r="J1106" i="21"/>
  <c r="M1106" i="21" s="1"/>
  <c r="J1105" i="21"/>
  <c r="M1105" i="21" s="1"/>
  <c r="M1104" i="21"/>
  <c r="J1104" i="21"/>
  <c r="J1103" i="21"/>
  <c r="M1103" i="21" s="1"/>
  <c r="J1102" i="21"/>
  <c r="M1102" i="21" s="1"/>
  <c r="M1101" i="21"/>
  <c r="J1101" i="21"/>
  <c r="J1100" i="21"/>
  <c r="M1100" i="21" s="1"/>
  <c r="J1099" i="21"/>
  <c r="M1099" i="21" s="1"/>
  <c r="M1098" i="21"/>
  <c r="J1098" i="21"/>
  <c r="J1097" i="21"/>
  <c r="M1097" i="21" s="1"/>
  <c r="M1096" i="21"/>
  <c r="J1096" i="21"/>
  <c r="J1095" i="21"/>
  <c r="M1095" i="21" s="1"/>
  <c r="M1094" i="21"/>
  <c r="J1094" i="21"/>
  <c r="J1093" i="21"/>
  <c r="M1093" i="21" s="1"/>
  <c r="J1092" i="21"/>
  <c r="M1092" i="21" s="1"/>
  <c r="J1091" i="21"/>
  <c r="M1091" i="21" s="1"/>
  <c r="J1090" i="21"/>
  <c r="M1090" i="21" s="1"/>
  <c r="M1089" i="21"/>
  <c r="J1089" i="21"/>
  <c r="J1088" i="21"/>
  <c r="M1088" i="21" s="1"/>
  <c r="J1087" i="21"/>
  <c r="M1087" i="21" s="1"/>
  <c r="M1086" i="21"/>
  <c r="J1086" i="21"/>
  <c r="M1085" i="21"/>
  <c r="J1085" i="21"/>
  <c r="J1084" i="21"/>
  <c r="M1084" i="21" s="1"/>
  <c r="J1083" i="21"/>
  <c r="M1083" i="21" s="1"/>
  <c r="J1082" i="21"/>
  <c r="M1082" i="21" s="1"/>
  <c r="M1081" i="21"/>
  <c r="J1081" i="21"/>
  <c r="M1080" i="21"/>
  <c r="J1080" i="21"/>
  <c r="J1079" i="21"/>
  <c r="M1079" i="21" s="1"/>
  <c r="J1078" i="21"/>
  <c r="M1078" i="21" s="1"/>
  <c r="M1077" i="21"/>
  <c r="J1077" i="21"/>
  <c r="M1076" i="21"/>
  <c r="J1076" i="21"/>
  <c r="J1075" i="21"/>
  <c r="M1075" i="21" s="1"/>
  <c r="M1074" i="21"/>
  <c r="J1074" i="21"/>
  <c r="J1073" i="21"/>
  <c r="M1073" i="21" s="1"/>
  <c r="M1072" i="21"/>
  <c r="J1072" i="21"/>
  <c r="J1071" i="21"/>
  <c r="M1071" i="21" s="1"/>
  <c r="J1070" i="21"/>
  <c r="M1070" i="21" s="1"/>
  <c r="M1069" i="21"/>
  <c r="J1069" i="21"/>
  <c r="J1068" i="21"/>
  <c r="M1068" i="21" s="1"/>
  <c r="J1067" i="21"/>
  <c r="M1067" i="21" s="1"/>
  <c r="M1066" i="21"/>
  <c r="J1066" i="21"/>
  <c r="M1065" i="21"/>
  <c r="J1065" i="21"/>
  <c r="J1064" i="21"/>
  <c r="M1064" i="21" s="1"/>
  <c r="J1063" i="21"/>
  <c r="M1063" i="21" s="1"/>
  <c r="M1062" i="21"/>
  <c r="J1062" i="21"/>
  <c r="J1061" i="21"/>
  <c r="M1061" i="21" s="1"/>
  <c r="M1060" i="21"/>
  <c r="J1060" i="21"/>
  <c r="J1059" i="21"/>
  <c r="M1059" i="21" s="1"/>
  <c r="J1058" i="21"/>
  <c r="M1058" i="21" s="1"/>
  <c r="M1057" i="21"/>
  <c r="J1057" i="21"/>
  <c r="J1056" i="21"/>
  <c r="M1056" i="21" s="1"/>
  <c r="J1055" i="21"/>
  <c r="M1055" i="21" s="1"/>
  <c r="J1054" i="21"/>
  <c r="M1054" i="21" s="1"/>
  <c r="M1053" i="21"/>
  <c r="J1053" i="21"/>
  <c r="J1052" i="21"/>
  <c r="M1052" i="21" s="1"/>
  <c r="J1051" i="21"/>
  <c r="M1051" i="21" s="1"/>
  <c r="M1050" i="21"/>
  <c r="J1050" i="21"/>
  <c r="J1049" i="21"/>
  <c r="M1049" i="21" s="1"/>
  <c r="J1048" i="21"/>
  <c r="M1048" i="21" s="1"/>
  <c r="J1047" i="21"/>
  <c r="M1047" i="21" s="1"/>
  <c r="J1046" i="21"/>
  <c r="M1046" i="21" s="1"/>
  <c r="M1045" i="21"/>
  <c r="J1045" i="21"/>
  <c r="M1044" i="21"/>
  <c r="J1044" i="21"/>
  <c r="J1043" i="21"/>
  <c r="M1043" i="21" s="1"/>
  <c r="M1042" i="21"/>
  <c r="J1042" i="21"/>
  <c r="J1041" i="21"/>
  <c r="M1041" i="21" s="1"/>
  <c r="M1040" i="21"/>
  <c r="J1040" i="21"/>
  <c r="J1039" i="21"/>
  <c r="M1039" i="21" s="1"/>
  <c r="J1038" i="21"/>
  <c r="M1038" i="21" s="1"/>
  <c r="M1037" i="21"/>
  <c r="J1037" i="21"/>
  <c r="J1036" i="21"/>
  <c r="M1036" i="21" s="1"/>
  <c r="J1035" i="21"/>
  <c r="M1035" i="21" s="1"/>
  <c r="M1032" i="21"/>
  <c r="M1031" i="21"/>
  <c r="M1030" i="21"/>
  <c r="M1029" i="21"/>
  <c r="M1028" i="21"/>
  <c r="M1027" i="21"/>
  <c r="M1024" i="21"/>
  <c r="M1021" i="21"/>
  <c r="M1020" i="21"/>
  <c r="M1019" i="21"/>
  <c r="J1016" i="21"/>
  <c r="M1016" i="21" s="1"/>
  <c r="M1015" i="21"/>
  <c r="J1015" i="21"/>
  <c r="J1014" i="21"/>
  <c r="M1014" i="21" s="1"/>
  <c r="M1013" i="21"/>
  <c r="J1013" i="21"/>
  <c r="J1012" i="21"/>
  <c r="M1012" i="21" s="1"/>
  <c r="J1011" i="21"/>
  <c r="M1011" i="21" s="1"/>
  <c r="J1010" i="21"/>
  <c r="M1010" i="21" s="1"/>
  <c r="M1009" i="21"/>
  <c r="J1009" i="21"/>
  <c r="J1008" i="21"/>
  <c r="M1008" i="21" s="1"/>
  <c r="M1007" i="21"/>
  <c r="J1007" i="21"/>
  <c r="J1006" i="21"/>
  <c r="M1006" i="21" s="1"/>
  <c r="J1005" i="21"/>
  <c r="M1005" i="21" s="1"/>
  <c r="M1004" i="21"/>
  <c r="J1004" i="21"/>
  <c r="J1003" i="21"/>
  <c r="M1003" i="21" s="1"/>
  <c r="J1002" i="21"/>
  <c r="M1002" i="21" s="1"/>
  <c r="M1001" i="21"/>
  <c r="J1001" i="21"/>
  <c r="J1000" i="21"/>
  <c r="M1000" i="21" s="1"/>
  <c r="J999" i="21"/>
  <c r="M999" i="21" s="1"/>
  <c r="J998" i="21"/>
  <c r="M998" i="21" s="1"/>
  <c r="J997" i="21"/>
  <c r="M997" i="21" s="1"/>
  <c r="M996" i="21"/>
  <c r="J996" i="21"/>
  <c r="J995" i="21"/>
  <c r="M995" i="21" s="1"/>
  <c r="J994" i="21"/>
  <c r="M994" i="21" s="1"/>
  <c r="J993" i="21"/>
  <c r="M993" i="21" s="1"/>
  <c r="J992" i="21"/>
  <c r="M992" i="21" s="1"/>
  <c r="J991" i="21"/>
  <c r="M991" i="21" s="1"/>
  <c r="J990" i="21"/>
  <c r="M990" i="21" s="1"/>
  <c r="M989" i="21"/>
  <c r="J989" i="21"/>
  <c r="J988" i="21"/>
  <c r="M988" i="21" s="1"/>
  <c r="J987" i="21"/>
  <c r="M987" i="21" s="1"/>
  <c r="J986" i="21"/>
  <c r="M986" i="21" s="1"/>
  <c r="M985" i="21"/>
  <c r="J985" i="21"/>
  <c r="J984" i="21"/>
  <c r="M984" i="21" s="1"/>
  <c r="J983" i="21"/>
  <c r="M983" i="21" s="1"/>
  <c r="J982" i="21"/>
  <c r="M982" i="21" s="1"/>
  <c r="M981" i="21"/>
  <c r="J981" i="21"/>
  <c r="J980" i="21"/>
  <c r="M980" i="21" s="1"/>
  <c r="J979" i="21"/>
  <c r="M979" i="21" s="1"/>
  <c r="J978" i="21"/>
  <c r="M978" i="21" s="1"/>
  <c r="J977" i="21"/>
  <c r="M977" i="21" s="1"/>
  <c r="J976" i="21"/>
  <c r="M976" i="21" s="1"/>
  <c r="J975" i="21"/>
  <c r="M975" i="21" s="1"/>
  <c r="J974" i="21"/>
  <c r="M974" i="21" s="1"/>
  <c r="J973" i="21"/>
  <c r="M973" i="21" s="1"/>
  <c r="J972" i="21"/>
  <c r="M972" i="21" s="1"/>
  <c r="J971" i="21"/>
  <c r="M971" i="21" s="1"/>
  <c r="J970" i="21"/>
  <c r="M970" i="21" s="1"/>
  <c r="M969" i="21"/>
  <c r="J969" i="21"/>
  <c r="J968" i="21"/>
  <c r="M968" i="21" s="1"/>
  <c r="J967" i="21"/>
  <c r="M967" i="21" s="1"/>
  <c r="J966" i="21"/>
  <c r="M966" i="21" s="1"/>
  <c r="M965" i="21"/>
  <c r="J965" i="21"/>
  <c r="J964" i="21"/>
  <c r="M964" i="21" s="1"/>
  <c r="J963" i="21"/>
  <c r="M963" i="21" s="1"/>
  <c r="J962" i="21"/>
  <c r="M962" i="21" s="1"/>
  <c r="J961" i="21"/>
  <c r="M961" i="21" s="1"/>
  <c r="J960" i="21"/>
  <c r="M960" i="21" s="1"/>
  <c r="J959" i="21"/>
  <c r="M959" i="21" s="1"/>
  <c r="J958" i="21"/>
  <c r="M958" i="21" s="1"/>
  <c r="M957" i="21"/>
  <c r="J957" i="21"/>
  <c r="J956" i="21"/>
  <c r="M956" i="21" s="1"/>
  <c r="J955" i="21"/>
  <c r="M955" i="21" s="1"/>
  <c r="J954" i="21"/>
  <c r="M954" i="21" s="1"/>
  <c r="M953" i="21"/>
  <c r="J953" i="21"/>
  <c r="J952" i="21"/>
  <c r="M952" i="21" s="1"/>
  <c r="J951" i="21"/>
  <c r="M951" i="21" s="1"/>
  <c r="J950" i="21"/>
  <c r="M950" i="21" s="1"/>
  <c r="M949" i="21"/>
  <c r="J949" i="21"/>
  <c r="J948" i="21"/>
  <c r="M948" i="21" s="1"/>
  <c r="J947" i="21"/>
  <c r="M947" i="21" s="1"/>
  <c r="J946" i="21"/>
  <c r="M946" i="21" s="1"/>
  <c r="J945" i="21"/>
  <c r="M945" i="21" s="1"/>
  <c r="J944" i="21"/>
  <c r="M944" i="21" s="1"/>
  <c r="J943" i="21"/>
  <c r="M943" i="21" s="1"/>
  <c r="J942" i="21"/>
  <c r="M942" i="21" s="1"/>
  <c r="J941" i="21"/>
  <c r="M941" i="21" s="1"/>
  <c r="J940" i="21"/>
  <c r="M940" i="21" s="1"/>
  <c r="J939" i="21"/>
  <c r="M939" i="21" s="1"/>
  <c r="J938" i="21"/>
  <c r="M938" i="21" s="1"/>
  <c r="M937" i="21"/>
  <c r="J937" i="21"/>
  <c r="J936" i="21"/>
  <c r="M936" i="21" s="1"/>
  <c r="J935" i="21"/>
  <c r="M935" i="21" s="1"/>
  <c r="J934" i="21"/>
  <c r="M934" i="21" s="1"/>
  <c r="M933" i="21"/>
  <c r="J933" i="21"/>
  <c r="J932" i="21"/>
  <c r="M932" i="21" s="1"/>
  <c r="J931" i="21"/>
  <c r="M931" i="21" s="1"/>
  <c r="J930" i="21"/>
  <c r="M930" i="21" s="1"/>
  <c r="J929" i="21"/>
  <c r="M929" i="21" s="1"/>
  <c r="J928" i="21"/>
  <c r="M928" i="21" s="1"/>
  <c r="J927" i="21"/>
  <c r="M927" i="21" s="1"/>
  <c r="J926" i="21"/>
  <c r="M926" i="21" s="1"/>
  <c r="J925" i="21"/>
  <c r="M925" i="21" s="1"/>
  <c r="J924" i="21"/>
  <c r="M924" i="21" s="1"/>
  <c r="J923" i="21"/>
  <c r="M923" i="21" s="1"/>
  <c r="J922" i="21"/>
  <c r="M922" i="21" s="1"/>
  <c r="M921" i="21"/>
  <c r="J921" i="21"/>
  <c r="J920" i="21"/>
  <c r="M920" i="21" s="1"/>
  <c r="J919" i="21"/>
  <c r="M919" i="21" s="1"/>
  <c r="J918" i="21"/>
  <c r="M918" i="21" s="1"/>
  <c r="M917" i="21"/>
  <c r="J917" i="21"/>
  <c r="J916" i="21"/>
  <c r="M916" i="21" s="1"/>
  <c r="J915" i="21"/>
  <c r="M915" i="21" s="1"/>
  <c r="M914" i="21"/>
  <c r="J914" i="21"/>
  <c r="J913" i="21"/>
  <c r="M913" i="21" s="1"/>
  <c r="J912" i="21"/>
  <c r="M912" i="21" s="1"/>
  <c r="J911" i="21"/>
  <c r="M911" i="21" s="1"/>
  <c r="J910" i="21"/>
  <c r="M910" i="21" s="1"/>
  <c r="M909" i="21"/>
  <c r="J909" i="21"/>
  <c r="J908" i="21"/>
  <c r="M908" i="21" s="1"/>
  <c r="J907" i="21"/>
  <c r="M907" i="21" s="1"/>
  <c r="M906" i="21"/>
  <c r="J906" i="21"/>
  <c r="J905" i="21"/>
  <c r="M905" i="21" s="1"/>
  <c r="J904" i="21"/>
  <c r="M904" i="21" s="1"/>
  <c r="J903" i="21"/>
  <c r="M903" i="21" s="1"/>
  <c r="J902" i="21"/>
  <c r="M902" i="21" s="1"/>
  <c r="J901" i="21"/>
  <c r="M901" i="21" s="1"/>
  <c r="J900" i="21"/>
  <c r="M900" i="21" s="1"/>
  <c r="J899" i="21"/>
  <c r="M899" i="21" s="1"/>
  <c r="M898" i="21"/>
  <c r="J898" i="21"/>
  <c r="J897" i="21"/>
  <c r="M897" i="21" s="1"/>
  <c r="J896" i="21"/>
  <c r="M896" i="21" s="1"/>
  <c r="J895" i="21"/>
  <c r="M895" i="21" s="1"/>
  <c r="M894" i="21"/>
  <c r="J894" i="21"/>
  <c r="J893" i="21"/>
  <c r="M893" i="21" s="1"/>
  <c r="J892" i="21"/>
  <c r="M892" i="21" s="1"/>
  <c r="J891" i="21"/>
  <c r="M891" i="21" s="1"/>
  <c r="J890" i="21"/>
  <c r="M890" i="21" s="1"/>
  <c r="J889" i="21"/>
  <c r="M889" i="21" s="1"/>
  <c r="M888" i="21"/>
  <c r="J888" i="21"/>
  <c r="J887" i="21"/>
  <c r="M887" i="21" s="1"/>
  <c r="J886" i="21"/>
  <c r="M886" i="21" s="1"/>
  <c r="J885" i="21"/>
  <c r="M885" i="21" s="1"/>
  <c r="M884" i="21"/>
  <c r="J884" i="21"/>
  <c r="J883" i="21"/>
  <c r="M883" i="21" s="1"/>
  <c r="J882" i="21"/>
  <c r="M882" i="21" s="1"/>
  <c r="J881" i="21"/>
  <c r="M881" i="21" s="1"/>
  <c r="J880" i="21"/>
  <c r="M880" i="21" s="1"/>
  <c r="J879" i="21"/>
  <c r="M879" i="21" s="1"/>
  <c r="J878" i="21"/>
  <c r="M878" i="21" s="1"/>
  <c r="J877" i="21"/>
  <c r="M877" i="21" s="1"/>
  <c r="M876" i="21"/>
  <c r="J876" i="21"/>
  <c r="J875" i="21"/>
  <c r="M875" i="21" s="1"/>
  <c r="J874" i="21"/>
  <c r="M874" i="21" s="1"/>
  <c r="J873" i="21"/>
  <c r="M873" i="21" s="1"/>
  <c r="M872" i="21"/>
  <c r="J872" i="21"/>
  <c r="J871" i="21"/>
  <c r="M871" i="21" s="1"/>
  <c r="J870" i="21"/>
  <c r="M870" i="21" s="1"/>
  <c r="J869" i="21"/>
  <c r="M868" i="21"/>
  <c r="J868" i="21"/>
  <c r="J867" i="21"/>
  <c r="M867" i="21" s="1"/>
  <c r="M866" i="21"/>
  <c r="J866" i="21"/>
  <c r="J865" i="21"/>
  <c r="M865" i="21" s="1"/>
  <c r="M864" i="21"/>
  <c r="J864" i="21"/>
  <c r="J863" i="21"/>
  <c r="M863" i="21" s="1"/>
  <c r="J862" i="21"/>
  <c r="M862" i="21" s="1"/>
  <c r="J861" i="21"/>
  <c r="M861" i="21" s="1"/>
  <c r="M860" i="21"/>
  <c r="J860" i="21"/>
  <c r="J859" i="21"/>
  <c r="M859" i="21" s="1"/>
  <c r="M858" i="21"/>
  <c r="J858" i="21"/>
  <c r="J857" i="21"/>
  <c r="M857" i="21" s="1"/>
  <c r="J856" i="21"/>
  <c r="M856" i="21" s="1"/>
  <c r="J855" i="21"/>
  <c r="M855" i="21" s="1"/>
  <c r="J854" i="21"/>
  <c r="M854" i="21" s="1"/>
  <c r="J853" i="21"/>
  <c r="M853" i="21" s="1"/>
  <c r="M852" i="21"/>
  <c r="J852" i="21"/>
  <c r="J851" i="21"/>
  <c r="M851" i="21" s="1"/>
  <c r="M850" i="21"/>
  <c r="J850" i="21"/>
  <c r="J849" i="21"/>
  <c r="M849" i="21" s="1"/>
  <c r="J848" i="21"/>
  <c r="M848" i="21" s="1"/>
  <c r="J847" i="21"/>
  <c r="M847" i="21" s="1"/>
  <c r="J846" i="21"/>
  <c r="M846" i="21" s="1"/>
  <c r="J845" i="21"/>
  <c r="M845" i="21" s="1"/>
  <c r="M844" i="21"/>
  <c r="J844" i="21"/>
  <c r="J843" i="21"/>
  <c r="M843" i="21" s="1"/>
  <c r="M842" i="21"/>
  <c r="J842" i="21"/>
  <c r="J841" i="21"/>
  <c r="M841" i="21" s="1"/>
  <c r="J840" i="21"/>
  <c r="M840" i="21" s="1"/>
  <c r="J839" i="21"/>
  <c r="M839" i="21" s="1"/>
  <c r="J838" i="21"/>
  <c r="M838" i="21" s="1"/>
  <c r="J837" i="21"/>
  <c r="M837" i="21" s="1"/>
  <c r="M836" i="21"/>
  <c r="J836" i="21"/>
  <c r="J835" i="21"/>
  <c r="M835" i="21" s="1"/>
  <c r="M834" i="21"/>
  <c r="J834" i="21"/>
  <c r="J833" i="21"/>
  <c r="M833" i="21" s="1"/>
  <c r="M832" i="21"/>
  <c r="J832" i="21"/>
  <c r="J831" i="21"/>
  <c r="M831" i="21" s="1"/>
  <c r="J830" i="21"/>
  <c r="M830" i="21" s="1"/>
  <c r="J829" i="21"/>
  <c r="M829" i="21" s="1"/>
  <c r="M828" i="21"/>
  <c r="J828" i="21"/>
  <c r="J827" i="21"/>
  <c r="M827" i="21" s="1"/>
  <c r="M826" i="21"/>
  <c r="J826" i="21"/>
  <c r="J825" i="21"/>
  <c r="M825" i="21" s="1"/>
  <c r="J824" i="21"/>
  <c r="M824" i="21" s="1"/>
  <c r="J823" i="21"/>
  <c r="M823" i="21" s="1"/>
  <c r="J822" i="21"/>
  <c r="M822" i="21" s="1"/>
  <c r="J821" i="21"/>
  <c r="M821" i="21" s="1"/>
  <c r="M820" i="21"/>
  <c r="J820" i="21"/>
  <c r="J819" i="21"/>
  <c r="M819" i="21" s="1"/>
  <c r="M818" i="21"/>
  <c r="J818" i="21"/>
  <c r="J817" i="21"/>
  <c r="M817" i="21" s="1"/>
  <c r="J816" i="21"/>
  <c r="M816" i="21" s="1"/>
  <c r="J815" i="21"/>
  <c r="M815" i="21" s="1"/>
  <c r="J814" i="21"/>
  <c r="M814" i="21" s="1"/>
  <c r="J813" i="21"/>
  <c r="M813" i="21" s="1"/>
  <c r="M812" i="21"/>
  <c r="J812" i="21"/>
  <c r="J811" i="21"/>
  <c r="M811" i="21" s="1"/>
  <c r="M810" i="21"/>
  <c r="J810" i="21"/>
  <c r="J809" i="21"/>
  <c r="M809" i="21" s="1"/>
  <c r="J808" i="21"/>
  <c r="M808" i="21" s="1"/>
  <c r="J807" i="21"/>
  <c r="M807" i="21" s="1"/>
  <c r="J806" i="21"/>
  <c r="M806" i="21" s="1"/>
  <c r="J805" i="21"/>
  <c r="M805" i="21" s="1"/>
  <c r="M804" i="21"/>
  <c r="J804" i="21"/>
  <c r="J803" i="21"/>
  <c r="M803" i="21" s="1"/>
  <c r="M802" i="21"/>
  <c r="J802" i="21"/>
  <c r="J801" i="21"/>
  <c r="M801" i="21" s="1"/>
  <c r="J800" i="21"/>
  <c r="M800" i="21" s="1"/>
  <c r="J799" i="21"/>
  <c r="M799" i="21" s="1"/>
  <c r="J798" i="21"/>
  <c r="M798" i="21" s="1"/>
  <c r="J797" i="21"/>
  <c r="M797" i="21" s="1"/>
  <c r="M796" i="21"/>
  <c r="J796" i="21"/>
  <c r="J795" i="21"/>
  <c r="M795" i="21" s="1"/>
  <c r="M794" i="21"/>
  <c r="J794" i="21"/>
  <c r="J793" i="21"/>
  <c r="M793" i="21" s="1"/>
  <c r="J792" i="21"/>
  <c r="M792" i="21" s="1"/>
  <c r="J791" i="21"/>
  <c r="M791" i="21" s="1"/>
  <c r="J790" i="21"/>
  <c r="M790" i="21" s="1"/>
  <c r="J789" i="21"/>
  <c r="M789" i="21" s="1"/>
  <c r="M788" i="21"/>
  <c r="J788" i="21"/>
  <c r="J787" i="21"/>
  <c r="M787" i="21" s="1"/>
  <c r="M786" i="21"/>
  <c r="J786" i="21"/>
  <c r="J785" i="21"/>
  <c r="M785" i="21" s="1"/>
  <c r="J784" i="21"/>
  <c r="M784" i="21" s="1"/>
  <c r="J783" i="21"/>
  <c r="M783" i="21" s="1"/>
  <c r="J782" i="21"/>
  <c r="M782" i="21" s="1"/>
  <c r="J781" i="21"/>
  <c r="M781" i="21" s="1"/>
  <c r="M780" i="21"/>
  <c r="J780" i="21"/>
  <c r="J779" i="21"/>
  <c r="M779" i="21" s="1"/>
  <c r="M778" i="21"/>
  <c r="J778" i="21"/>
  <c r="J777" i="21"/>
  <c r="M777" i="21" s="1"/>
  <c r="J776" i="21"/>
  <c r="M776" i="21" s="1"/>
  <c r="J775" i="21"/>
  <c r="M775" i="21" s="1"/>
  <c r="J774" i="21"/>
  <c r="M774" i="21" s="1"/>
  <c r="J773" i="21"/>
  <c r="M773" i="21" s="1"/>
  <c r="M772" i="21"/>
  <c r="J772" i="21"/>
  <c r="J771" i="21"/>
  <c r="M771" i="21" s="1"/>
  <c r="M770" i="21"/>
  <c r="J770" i="21"/>
  <c r="J769" i="21"/>
  <c r="M769" i="21" s="1"/>
  <c r="M768" i="21"/>
  <c r="J768" i="21"/>
  <c r="J767" i="21"/>
  <c r="M767" i="21" s="1"/>
  <c r="J766" i="21"/>
  <c r="M766" i="21" s="1"/>
  <c r="J765" i="21"/>
  <c r="M765" i="21" s="1"/>
  <c r="M764" i="21"/>
  <c r="J764" i="21"/>
  <c r="J763" i="21"/>
  <c r="M763" i="21" s="1"/>
  <c r="M762" i="21"/>
  <c r="J762" i="21"/>
  <c r="J761" i="21"/>
  <c r="M761" i="21" s="1"/>
  <c r="J760" i="21"/>
  <c r="M760" i="21" s="1"/>
  <c r="M759" i="21"/>
  <c r="J759" i="21"/>
  <c r="J758" i="21"/>
  <c r="M758" i="21" s="1"/>
  <c r="J757" i="21"/>
  <c r="M757" i="21" s="1"/>
  <c r="J756" i="21"/>
  <c r="M756" i="21" s="1"/>
  <c r="M755" i="21"/>
  <c r="J755" i="21"/>
  <c r="J754" i="21"/>
  <c r="M754" i="21" s="1"/>
  <c r="J753" i="21"/>
  <c r="M753" i="21" s="1"/>
  <c r="J752" i="21"/>
  <c r="M752" i="21" s="1"/>
  <c r="J751" i="21"/>
  <c r="M751" i="21" s="1"/>
  <c r="M750" i="21"/>
  <c r="J750" i="21"/>
  <c r="J749" i="21"/>
  <c r="M749" i="21" s="1"/>
  <c r="J748" i="21"/>
  <c r="M748" i="21" s="1"/>
  <c r="M747" i="21"/>
  <c r="J747" i="21"/>
  <c r="J746" i="21"/>
  <c r="M746" i="21" s="1"/>
  <c r="M745" i="21"/>
  <c r="J745" i="21"/>
  <c r="J744" i="21"/>
  <c r="M744" i="21" s="1"/>
  <c r="M743" i="21"/>
  <c r="J743" i="21"/>
  <c r="J742" i="21"/>
  <c r="M742" i="21" s="1"/>
  <c r="M741" i="21"/>
  <c r="J741" i="21"/>
  <c r="J740" i="21"/>
  <c r="M740" i="21" s="1"/>
  <c r="J739" i="21"/>
  <c r="M739" i="21" s="1"/>
  <c r="M738" i="21"/>
  <c r="J738" i="21"/>
  <c r="J737" i="21"/>
  <c r="M737" i="21" s="1"/>
  <c r="J736" i="21"/>
  <c r="M736" i="21" s="1"/>
  <c r="J735" i="21"/>
  <c r="M735" i="21" s="1"/>
  <c r="M734" i="21"/>
  <c r="J734" i="21"/>
  <c r="J733" i="21"/>
  <c r="M733" i="21" s="1"/>
  <c r="J732" i="21"/>
  <c r="M732" i="21" s="1"/>
  <c r="M731" i="21"/>
  <c r="J731" i="21"/>
  <c r="J730" i="21"/>
  <c r="M730" i="21" s="1"/>
  <c r="M729" i="21"/>
  <c r="J729" i="21"/>
  <c r="J728" i="21"/>
  <c r="M728" i="21" s="1"/>
  <c r="J727" i="21"/>
  <c r="M727" i="21" s="1"/>
  <c r="M726" i="21"/>
  <c r="J726" i="21"/>
  <c r="M725" i="21"/>
  <c r="J725" i="21"/>
  <c r="J724" i="21"/>
  <c r="M724" i="21" s="1"/>
  <c r="M723" i="21"/>
  <c r="J723" i="21"/>
  <c r="M722" i="21"/>
  <c r="J722" i="21"/>
  <c r="J721" i="21"/>
  <c r="M721" i="21" s="1"/>
  <c r="J720" i="21"/>
  <c r="M720" i="21" s="1"/>
  <c r="J719" i="21"/>
  <c r="M719" i="21" s="1"/>
  <c r="J718" i="21"/>
  <c r="M718" i="21" s="1"/>
  <c r="M717" i="21"/>
  <c r="J717" i="21"/>
  <c r="J716" i="21"/>
  <c r="M716" i="21" s="1"/>
  <c r="M715" i="21"/>
  <c r="J715" i="21"/>
  <c r="J714" i="21"/>
  <c r="M714" i="21" s="1"/>
  <c r="M713" i="21"/>
  <c r="J713" i="21"/>
  <c r="J712" i="21"/>
  <c r="M712" i="21" s="1"/>
  <c r="M711" i="21"/>
  <c r="J711" i="21"/>
  <c r="J710" i="21"/>
  <c r="M710" i="21" s="1"/>
  <c r="J709" i="21"/>
  <c r="M709" i="21" s="1"/>
  <c r="J708" i="21"/>
  <c r="M708" i="21" s="1"/>
  <c r="J707" i="21"/>
  <c r="M707" i="21" s="1"/>
  <c r="M706" i="21"/>
  <c r="J706" i="21"/>
  <c r="J705" i="21"/>
  <c r="M705" i="21" s="1"/>
  <c r="J704" i="21"/>
  <c r="M704" i="21" s="1"/>
  <c r="J703" i="21"/>
  <c r="M703" i="21" s="1"/>
  <c r="J702" i="21"/>
  <c r="M702" i="21" s="1"/>
  <c r="J701" i="21"/>
  <c r="M701" i="21" s="1"/>
  <c r="J700" i="21"/>
  <c r="M700" i="21" s="1"/>
  <c r="J699" i="21"/>
  <c r="M699" i="21" s="1"/>
  <c r="J698" i="21"/>
  <c r="M698" i="21" s="1"/>
  <c r="J697" i="21"/>
  <c r="M697" i="21" s="1"/>
  <c r="J696" i="21"/>
  <c r="M696" i="21" s="1"/>
  <c r="M695" i="21"/>
  <c r="J695" i="21"/>
  <c r="J694" i="21"/>
  <c r="M694" i="21" s="1"/>
  <c r="J693" i="21"/>
  <c r="M693" i="21" s="1"/>
  <c r="J692" i="21"/>
  <c r="M692" i="21" s="1"/>
  <c r="J691" i="21"/>
  <c r="M691" i="21" s="1"/>
  <c r="M690" i="21"/>
  <c r="J690" i="21"/>
  <c r="J689" i="21"/>
  <c r="M689" i="21" s="1"/>
  <c r="J688" i="21"/>
  <c r="M688" i="21" s="1"/>
  <c r="J687" i="21"/>
  <c r="M687" i="21" s="1"/>
  <c r="J686" i="21"/>
  <c r="M686" i="21" s="1"/>
  <c r="J685" i="21"/>
  <c r="M685" i="21" s="1"/>
  <c r="J684" i="21"/>
  <c r="M684" i="21" s="1"/>
  <c r="J683" i="21"/>
  <c r="M683" i="21" s="1"/>
  <c r="J682" i="21"/>
  <c r="M682" i="21" s="1"/>
  <c r="J681" i="21"/>
  <c r="M681" i="21" s="1"/>
  <c r="J680" i="21"/>
  <c r="M680" i="21" s="1"/>
  <c r="J679" i="21"/>
  <c r="M679" i="21" s="1"/>
  <c r="M678" i="21"/>
  <c r="J678" i="21"/>
  <c r="J677" i="21"/>
  <c r="M677" i="21" s="1"/>
  <c r="J676" i="21"/>
  <c r="M676" i="21" s="1"/>
  <c r="J675" i="21"/>
  <c r="M675" i="21" s="1"/>
  <c r="J674" i="21"/>
  <c r="M674" i="21" s="1"/>
  <c r="J673" i="21"/>
  <c r="M673" i="21" s="1"/>
  <c r="J672" i="21"/>
  <c r="M672" i="21" s="1"/>
  <c r="J671" i="21"/>
  <c r="M671" i="21" s="1"/>
  <c r="J670" i="21"/>
  <c r="M670" i="21" s="1"/>
  <c r="J669" i="21"/>
  <c r="M669" i="21" s="1"/>
  <c r="J668" i="21"/>
  <c r="M668" i="21" s="1"/>
  <c r="J667" i="21"/>
  <c r="M667" i="21" s="1"/>
  <c r="M666" i="21"/>
  <c r="J666" i="21"/>
  <c r="J665" i="21"/>
  <c r="M665" i="21" s="1"/>
  <c r="J664" i="21"/>
  <c r="M664" i="21" s="1"/>
  <c r="J663" i="21"/>
  <c r="M663" i="21" s="1"/>
  <c r="M662" i="21"/>
  <c r="J662" i="21"/>
  <c r="L661" i="21"/>
  <c r="O661" i="21" s="1"/>
  <c r="J661" i="21"/>
  <c r="M661" i="21" s="1"/>
  <c r="L660" i="21"/>
  <c r="O660" i="21" s="1"/>
  <c r="J660" i="21"/>
  <c r="M660" i="21" s="1"/>
  <c r="L659" i="21"/>
  <c r="O659" i="21" s="1"/>
  <c r="J659" i="21"/>
  <c r="M659" i="21" s="1"/>
  <c r="L658" i="21"/>
  <c r="O658" i="21" s="1"/>
  <c r="J658" i="21"/>
  <c r="M658" i="21" s="1"/>
  <c r="L657" i="21"/>
  <c r="O657" i="21" s="1"/>
  <c r="J657" i="21"/>
  <c r="M657" i="21" s="1"/>
  <c r="L656" i="21"/>
  <c r="O656" i="21" s="1"/>
  <c r="J656" i="21"/>
  <c r="M656" i="21" s="1"/>
  <c r="L655" i="21"/>
  <c r="O655" i="21" s="1"/>
  <c r="J655" i="21"/>
  <c r="M655" i="21" s="1"/>
  <c r="M654" i="21"/>
  <c r="L654" i="21"/>
  <c r="O654" i="21" s="1"/>
  <c r="J654" i="21"/>
  <c r="L653" i="21"/>
  <c r="O653" i="21" s="1"/>
  <c r="J653" i="21"/>
  <c r="M653" i="21" s="1"/>
  <c r="L652" i="21"/>
  <c r="O652" i="21" s="1"/>
  <c r="J652" i="21"/>
  <c r="M652" i="21" s="1"/>
  <c r="L651" i="21"/>
  <c r="O651" i="21" s="1"/>
  <c r="J651" i="21"/>
  <c r="M651" i="21" s="1"/>
  <c r="L650" i="21"/>
  <c r="O650" i="21" s="1"/>
  <c r="K650" i="21"/>
  <c r="N650" i="21" s="1"/>
  <c r="L649" i="21"/>
  <c r="O649" i="21" s="1"/>
  <c r="K649" i="21"/>
  <c r="N649" i="21" s="1"/>
  <c r="N648" i="21"/>
  <c r="L648" i="21"/>
  <c r="O648" i="21" s="1"/>
  <c r="K648" i="21"/>
  <c r="L647" i="21"/>
  <c r="O647" i="21" s="1"/>
  <c r="K647" i="21"/>
  <c r="N647" i="21" s="1"/>
  <c r="N646" i="21"/>
  <c r="L646" i="21"/>
  <c r="O646" i="21" s="1"/>
  <c r="K646" i="21"/>
  <c r="L645" i="21"/>
  <c r="O645" i="21" s="1"/>
  <c r="K645" i="21"/>
  <c r="N645" i="21" s="1"/>
  <c r="N644" i="21"/>
  <c r="L644" i="21"/>
  <c r="O644" i="21" s="1"/>
  <c r="K644" i="21"/>
  <c r="O643" i="21"/>
  <c r="L643" i="21"/>
  <c r="K643" i="21"/>
  <c r="N643" i="21" s="1"/>
  <c r="N642" i="21"/>
  <c r="L642" i="21"/>
  <c r="O642" i="21" s="1"/>
  <c r="K642" i="21"/>
  <c r="L641" i="21"/>
  <c r="O641" i="21" s="1"/>
  <c r="K641" i="21"/>
  <c r="N641" i="21" s="1"/>
  <c r="N640" i="21"/>
  <c r="L640" i="21"/>
  <c r="O640" i="21" s="1"/>
  <c r="K640" i="21"/>
  <c r="O639" i="21"/>
  <c r="L639" i="21"/>
  <c r="J639" i="21"/>
  <c r="M639" i="21" s="1"/>
  <c r="L638" i="21"/>
  <c r="O638" i="21" s="1"/>
  <c r="J638" i="21"/>
  <c r="M638" i="21" s="1"/>
  <c r="L637" i="21"/>
  <c r="O637" i="21" s="1"/>
  <c r="J637" i="21"/>
  <c r="M637" i="21" s="1"/>
  <c r="L636" i="21"/>
  <c r="O636" i="21" s="1"/>
  <c r="J636" i="21"/>
  <c r="M636" i="21" s="1"/>
  <c r="O635" i="21"/>
  <c r="L635" i="21"/>
  <c r="J635" i="21"/>
  <c r="M635" i="21" s="1"/>
  <c r="L634" i="21"/>
  <c r="O634" i="21" s="1"/>
  <c r="J634" i="21"/>
  <c r="M634" i="21" s="1"/>
  <c r="L633" i="21"/>
  <c r="O633" i="21" s="1"/>
  <c r="J633" i="21"/>
  <c r="M633" i="21" s="1"/>
  <c r="L632" i="21"/>
  <c r="O632" i="21" s="1"/>
  <c r="J632" i="21"/>
  <c r="M632" i="21" s="1"/>
  <c r="L631" i="21"/>
  <c r="O631" i="21" s="1"/>
  <c r="J631" i="21"/>
  <c r="M631" i="21" s="1"/>
  <c r="L630" i="21"/>
  <c r="O630" i="21" s="1"/>
  <c r="J630" i="21"/>
  <c r="M630" i="21" s="1"/>
  <c r="L629" i="21"/>
  <c r="O629" i="21" s="1"/>
  <c r="J629" i="21"/>
  <c r="M629" i="21" s="1"/>
  <c r="J628" i="21"/>
  <c r="M628" i="21" s="1"/>
  <c r="J627" i="21"/>
  <c r="M627" i="21" s="1"/>
  <c r="J626" i="21"/>
  <c r="M626" i="21" s="1"/>
  <c r="M625" i="21"/>
  <c r="J625" i="21"/>
  <c r="J624" i="21"/>
  <c r="M624" i="21" s="1"/>
  <c r="J623" i="21"/>
  <c r="M623" i="21" s="1"/>
  <c r="J622" i="21"/>
  <c r="M622" i="21" s="1"/>
  <c r="J621" i="21"/>
  <c r="M621" i="21" s="1"/>
  <c r="J620" i="21"/>
  <c r="M620" i="21" s="1"/>
  <c r="J619" i="21"/>
  <c r="M619" i="21" s="1"/>
  <c r="J618" i="21"/>
  <c r="M618" i="21" s="1"/>
  <c r="M617" i="21"/>
  <c r="J617" i="21"/>
  <c r="N616" i="21"/>
  <c r="L616" i="21"/>
  <c r="O616" i="21" s="1"/>
  <c r="K616" i="21"/>
  <c r="L615" i="21"/>
  <c r="O615" i="21" s="1"/>
  <c r="K615" i="21"/>
  <c r="N615" i="21" s="1"/>
  <c r="N614" i="21"/>
  <c r="L614" i="21"/>
  <c r="O614" i="21" s="1"/>
  <c r="K614" i="21"/>
  <c r="L613" i="21"/>
  <c r="O613" i="21" s="1"/>
  <c r="K613" i="21"/>
  <c r="N613" i="21" s="1"/>
  <c r="L612" i="21"/>
  <c r="O612" i="21" s="1"/>
  <c r="K612" i="21"/>
  <c r="N612" i="21" s="1"/>
  <c r="L611" i="21"/>
  <c r="O611" i="21" s="1"/>
  <c r="K611" i="21"/>
  <c r="N611" i="21" s="1"/>
  <c r="L610" i="21"/>
  <c r="O610" i="21" s="1"/>
  <c r="K610" i="21"/>
  <c r="N610" i="21" s="1"/>
  <c r="L609" i="21"/>
  <c r="O609" i="21" s="1"/>
  <c r="K609" i="21"/>
  <c r="N609" i="21" s="1"/>
  <c r="N608" i="21"/>
  <c r="L608" i="21"/>
  <c r="O608" i="21" s="1"/>
  <c r="K608" i="21"/>
  <c r="L607" i="21"/>
  <c r="O607" i="21" s="1"/>
  <c r="K607" i="21"/>
  <c r="N607" i="21" s="1"/>
  <c r="N606" i="21"/>
  <c r="L606" i="21"/>
  <c r="O606" i="21" s="1"/>
  <c r="K606" i="21"/>
  <c r="L605" i="21"/>
  <c r="O605" i="21" s="1"/>
  <c r="K605" i="21"/>
  <c r="N605" i="21" s="1"/>
  <c r="J604" i="21"/>
  <c r="M604" i="21" s="1"/>
  <c r="J603" i="21"/>
  <c r="M603" i="21" s="1"/>
  <c r="J602" i="21"/>
  <c r="M602" i="21" s="1"/>
  <c r="J601" i="21"/>
  <c r="M601" i="21" s="1"/>
  <c r="J600" i="21"/>
  <c r="M600" i="21" s="1"/>
  <c r="J599" i="21"/>
  <c r="M599" i="21" s="1"/>
  <c r="J598" i="21"/>
  <c r="M598" i="21" s="1"/>
  <c r="M597" i="21"/>
  <c r="J597" i="21"/>
  <c r="J596" i="21"/>
  <c r="M596" i="21" s="1"/>
  <c r="J595" i="21"/>
  <c r="M595" i="21" s="1"/>
  <c r="J594" i="21"/>
  <c r="M594" i="21" s="1"/>
  <c r="J593" i="21"/>
  <c r="M593" i="21" s="1"/>
  <c r="M592" i="21"/>
  <c r="M589" i="21"/>
  <c r="M588" i="21"/>
  <c r="M587" i="21"/>
  <c r="M585" i="21"/>
  <c r="M584" i="21"/>
  <c r="M581" i="21"/>
  <c r="O580" i="21"/>
  <c r="N580" i="21"/>
  <c r="N579" i="21"/>
  <c r="O578" i="21"/>
  <c r="N577" i="21"/>
  <c r="O576" i="21"/>
  <c r="N576" i="21"/>
  <c r="N575" i="21"/>
  <c r="O574" i="21"/>
  <c r="N573" i="21"/>
  <c r="O572" i="21"/>
  <c r="N572" i="21"/>
  <c r="N571" i="21"/>
  <c r="O570" i="21"/>
  <c r="N569" i="21"/>
  <c r="M568" i="21"/>
  <c r="M567" i="21"/>
  <c r="M565" i="21"/>
  <c r="M564" i="21"/>
  <c r="M561" i="21"/>
  <c r="M560" i="21"/>
  <c r="M559" i="21"/>
  <c r="M557" i="21"/>
  <c r="M556" i="21"/>
  <c r="M553" i="21"/>
  <c r="M552" i="21"/>
  <c r="M551" i="21"/>
  <c r="M549" i="21"/>
  <c r="M548" i="21"/>
  <c r="M545" i="21"/>
  <c r="O544" i="21"/>
  <c r="N544" i="21"/>
  <c r="N543" i="21"/>
  <c r="O542" i="21"/>
  <c r="N541" i="21"/>
  <c r="O540" i="21"/>
  <c r="N540" i="21"/>
  <c r="N539" i="21"/>
  <c r="O538" i="21"/>
  <c r="N537" i="21"/>
  <c r="O536" i="21"/>
  <c r="N536" i="21"/>
  <c r="N535" i="21"/>
  <c r="O534" i="21"/>
  <c r="N533" i="21"/>
  <c r="M532" i="21"/>
  <c r="M531" i="21"/>
  <c r="M529" i="21"/>
  <c r="M528" i="21"/>
  <c r="M525" i="21"/>
  <c r="M524" i="21"/>
  <c r="M523" i="21"/>
  <c r="M521" i="21"/>
  <c r="J520" i="21"/>
  <c r="M520" i="21" s="1"/>
  <c r="J519" i="21"/>
  <c r="M519" i="21" s="1"/>
  <c r="J518" i="21"/>
  <c r="M518" i="21" s="1"/>
  <c r="J517" i="21"/>
  <c r="M517" i="21" s="1"/>
  <c r="J516" i="21"/>
  <c r="M516" i="21" s="1"/>
  <c r="J515" i="21"/>
  <c r="M515" i="21" s="1"/>
  <c r="J514" i="21"/>
  <c r="M514" i="21" s="1"/>
  <c r="M513" i="21"/>
  <c r="J513" i="21"/>
  <c r="J512" i="21"/>
  <c r="M512" i="21" s="1"/>
  <c r="J511" i="21"/>
  <c r="M511" i="21" s="1"/>
  <c r="J510" i="21"/>
  <c r="M510" i="21" s="1"/>
  <c r="M509" i="21"/>
  <c r="J509" i="21"/>
  <c r="J508" i="21"/>
  <c r="M508" i="21" s="1"/>
  <c r="J507" i="21"/>
  <c r="M507" i="21" s="1"/>
  <c r="J506" i="21"/>
  <c r="M506" i="21" s="1"/>
  <c r="J505" i="21"/>
  <c r="M505" i="21" s="1"/>
  <c r="J504" i="21"/>
  <c r="M504" i="21" s="1"/>
  <c r="J503" i="21"/>
  <c r="M503" i="21" s="1"/>
  <c r="J502" i="21"/>
  <c r="M502" i="21" s="1"/>
  <c r="J501" i="21"/>
  <c r="M501" i="21" s="1"/>
  <c r="J500" i="21"/>
  <c r="M500" i="21" s="1"/>
  <c r="J499" i="21"/>
  <c r="M499" i="21" s="1"/>
  <c r="J498" i="21"/>
  <c r="M498" i="21" s="1"/>
  <c r="N497" i="21"/>
  <c r="L497" i="21"/>
  <c r="O497" i="21" s="1"/>
  <c r="K497" i="21"/>
  <c r="L496" i="21"/>
  <c r="O496" i="21" s="1"/>
  <c r="K496" i="21"/>
  <c r="N496" i="21" s="1"/>
  <c r="L495" i="21"/>
  <c r="O495" i="21" s="1"/>
  <c r="K495" i="21"/>
  <c r="N495" i="21" s="1"/>
  <c r="O494" i="21"/>
  <c r="N494" i="21"/>
  <c r="L494" i="21"/>
  <c r="K494" i="21"/>
  <c r="N493" i="21"/>
  <c r="L493" i="21"/>
  <c r="O493" i="21" s="1"/>
  <c r="K493" i="21"/>
  <c r="L492" i="21"/>
  <c r="O492" i="21" s="1"/>
  <c r="K492" i="21"/>
  <c r="N492" i="21" s="1"/>
  <c r="N491" i="21"/>
  <c r="L491" i="21"/>
  <c r="O491" i="21" s="1"/>
  <c r="K491" i="21"/>
  <c r="O490" i="21"/>
  <c r="L490" i="21"/>
  <c r="K490" i="21"/>
  <c r="N490" i="21" s="1"/>
  <c r="N489" i="21"/>
  <c r="L489" i="21"/>
  <c r="O489" i="21" s="1"/>
  <c r="K489" i="21"/>
  <c r="L488" i="21"/>
  <c r="O488" i="21" s="1"/>
  <c r="K488" i="21"/>
  <c r="N488" i="21" s="1"/>
  <c r="L487" i="21"/>
  <c r="O487" i="21" s="1"/>
  <c r="K487" i="21"/>
  <c r="N487" i="21" s="1"/>
  <c r="O486" i="21"/>
  <c r="N486" i="21"/>
  <c r="L486" i="21"/>
  <c r="K486" i="21"/>
  <c r="N485" i="21"/>
  <c r="L485" i="21"/>
  <c r="O485" i="21" s="1"/>
  <c r="K485" i="21"/>
  <c r="L484" i="21"/>
  <c r="O484" i="21" s="1"/>
  <c r="K484" i="21"/>
  <c r="N484" i="21" s="1"/>
  <c r="N483" i="21"/>
  <c r="L483" i="21"/>
  <c r="O483" i="21" s="1"/>
  <c r="K483" i="21"/>
  <c r="O482" i="21"/>
  <c r="L482" i="21"/>
  <c r="K482" i="21"/>
  <c r="N482" i="21" s="1"/>
  <c r="N481" i="21"/>
  <c r="L481" i="21"/>
  <c r="O481" i="21" s="1"/>
  <c r="K481" i="21"/>
  <c r="L480" i="21"/>
  <c r="O480" i="21" s="1"/>
  <c r="K480" i="21"/>
  <c r="N480" i="21" s="1"/>
  <c r="L479" i="21"/>
  <c r="O479" i="21" s="1"/>
  <c r="K479" i="21"/>
  <c r="N479" i="21" s="1"/>
  <c r="O478" i="21"/>
  <c r="N478" i="21"/>
  <c r="L478" i="21"/>
  <c r="K478" i="21"/>
  <c r="N477" i="21"/>
  <c r="L477" i="21"/>
  <c r="O477" i="21" s="1"/>
  <c r="K477" i="21"/>
  <c r="L476" i="21"/>
  <c r="O476" i="21" s="1"/>
  <c r="K476" i="21"/>
  <c r="N476" i="21" s="1"/>
  <c r="N475" i="21"/>
  <c r="L475" i="21"/>
  <c r="O475" i="21" s="1"/>
  <c r="K475" i="21"/>
  <c r="J474" i="21"/>
  <c r="M474" i="21" s="1"/>
  <c r="M473" i="21"/>
  <c r="J473" i="21"/>
  <c r="J472" i="21"/>
  <c r="M472" i="21" s="1"/>
  <c r="J471" i="21"/>
  <c r="M471" i="21" s="1"/>
  <c r="J470" i="21"/>
  <c r="M470" i="21" s="1"/>
  <c r="M469" i="21"/>
  <c r="J469" i="21"/>
  <c r="J468" i="21"/>
  <c r="M468" i="21" s="1"/>
  <c r="J467" i="21"/>
  <c r="M467" i="21" s="1"/>
  <c r="J466" i="21"/>
  <c r="M466" i="21" s="1"/>
  <c r="M465" i="21"/>
  <c r="J465" i="21"/>
  <c r="J464" i="21"/>
  <c r="M464" i="21" s="1"/>
  <c r="J463" i="21"/>
  <c r="M463" i="21" s="1"/>
  <c r="J462" i="21"/>
  <c r="M462" i="21" s="1"/>
  <c r="M461" i="21"/>
  <c r="J461" i="21"/>
  <c r="J460" i="21"/>
  <c r="M460" i="21" s="1"/>
  <c r="J459" i="21"/>
  <c r="M459" i="21" s="1"/>
  <c r="J458" i="21"/>
  <c r="M458" i="21" s="1"/>
  <c r="M457" i="21"/>
  <c r="J457" i="21"/>
  <c r="J456" i="21"/>
  <c r="M456" i="21" s="1"/>
  <c r="J455" i="21"/>
  <c r="M455" i="21" s="1"/>
  <c r="J454" i="21"/>
  <c r="M454" i="21" s="1"/>
  <c r="J453" i="21"/>
  <c r="M453" i="21" s="1"/>
  <c r="J452" i="21"/>
  <c r="M452" i="21" s="1"/>
  <c r="L451" i="21"/>
  <c r="O451" i="21" s="1"/>
  <c r="J451" i="21"/>
  <c r="M451" i="21" s="1"/>
  <c r="J450" i="21"/>
  <c r="M450" i="21" s="1"/>
  <c r="M449" i="21"/>
  <c r="J449" i="21"/>
  <c r="L448" i="21"/>
  <c r="O448" i="21" s="1"/>
  <c r="J448" i="21"/>
  <c r="M448" i="21" s="1"/>
  <c r="J447" i="21"/>
  <c r="M447" i="21" s="1"/>
  <c r="J446" i="21"/>
  <c r="M446" i="21" s="1"/>
  <c r="L445" i="21"/>
  <c r="O445" i="21" s="1"/>
  <c r="J445" i="21"/>
  <c r="M445" i="21" s="1"/>
  <c r="J444" i="21"/>
  <c r="M444" i="21" s="1"/>
  <c r="J443" i="21"/>
  <c r="M443" i="21" s="1"/>
  <c r="J442" i="21"/>
  <c r="M442" i="21" s="1"/>
  <c r="M441" i="21"/>
  <c r="L441" i="21"/>
  <c r="O441" i="21" s="1"/>
  <c r="J441" i="21"/>
  <c r="J440" i="21"/>
  <c r="M440" i="21" s="1"/>
  <c r="L439" i="21"/>
  <c r="O439" i="21" s="1"/>
  <c r="J439" i="21"/>
  <c r="M439" i="21" s="1"/>
  <c r="J438" i="21"/>
  <c r="M438" i="21" s="1"/>
  <c r="M437" i="21"/>
  <c r="J437" i="21"/>
  <c r="L436" i="21"/>
  <c r="O436" i="21" s="1"/>
  <c r="J436" i="21"/>
  <c r="M436" i="21" s="1"/>
  <c r="J435" i="21"/>
  <c r="M435" i="21" s="1"/>
  <c r="J434" i="21"/>
  <c r="M434" i="21" s="1"/>
  <c r="L433" i="21"/>
  <c r="O433" i="21" s="1"/>
  <c r="J433" i="21"/>
  <c r="M433" i="21" s="1"/>
  <c r="J432" i="21"/>
  <c r="M432" i="21" s="1"/>
  <c r="J431" i="21"/>
  <c r="M431" i="21" s="1"/>
  <c r="L430" i="21"/>
  <c r="O430" i="21" s="1"/>
  <c r="J430" i="21"/>
  <c r="M430" i="21" s="1"/>
  <c r="M429" i="21"/>
  <c r="J429" i="21"/>
  <c r="J428" i="21"/>
  <c r="M428" i="21" s="1"/>
  <c r="L427" i="21"/>
  <c r="O427" i="21" s="1"/>
  <c r="J427" i="21"/>
  <c r="M427" i="21" s="1"/>
  <c r="J426" i="21"/>
  <c r="M426" i="21" s="1"/>
  <c r="J425" i="21"/>
  <c r="M425" i="21" s="1"/>
  <c r="L424" i="21"/>
  <c r="O424" i="21" s="1"/>
  <c r="J424" i="21"/>
  <c r="M424" i="21" s="1"/>
  <c r="J423" i="21"/>
  <c r="M423" i="21" s="1"/>
  <c r="O422" i="21"/>
  <c r="L422" i="21"/>
  <c r="J422" i="21"/>
  <c r="M422" i="21" s="1"/>
  <c r="J421" i="21"/>
  <c r="M421" i="21" s="1"/>
  <c r="L420" i="21"/>
  <c r="O420" i="21" s="1"/>
  <c r="J420" i="21"/>
  <c r="M420" i="21" s="1"/>
  <c r="J419" i="21"/>
  <c r="M419" i="21" s="1"/>
  <c r="O418" i="21"/>
  <c r="N418" i="21"/>
  <c r="L418" i="21"/>
  <c r="K418" i="21"/>
  <c r="N417" i="21"/>
  <c r="L417" i="21"/>
  <c r="O417" i="21" s="1"/>
  <c r="K417" i="21"/>
  <c r="L416" i="21"/>
  <c r="O416" i="21" s="1"/>
  <c r="K416" i="21"/>
  <c r="N416" i="21" s="1"/>
  <c r="O415" i="21"/>
  <c r="L415" i="21"/>
  <c r="K415" i="21"/>
  <c r="N415" i="21" s="1"/>
  <c r="L414" i="21"/>
  <c r="O414" i="21" s="1"/>
  <c r="K414" i="21"/>
  <c r="N414" i="21" s="1"/>
  <c r="N413" i="21"/>
  <c r="L413" i="21"/>
  <c r="O413" i="21" s="1"/>
  <c r="K413" i="21"/>
  <c r="L412" i="21"/>
  <c r="O412" i="21" s="1"/>
  <c r="K412" i="21"/>
  <c r="N412" i="21" s="1"/>
  <c r="L411" i="21"/>
  <c r="O411" i="21" s="1"/>
  <c r="K411" i="21"/>
  <c r="N411" i="21" s="1"/>
  <c r="L410" i="21"/>
  <c r="O410" i="21" s="1"/>
  <c r="K410" i="21"/>
  <c r="N410" i="21" s="1"/>
  <c r="L409" i="21"/>
  <c r="O409" i="21" s="1"/>
  <c r="K409" i="21"/>
  <c r="N409" i="21" s="1"/>
  <c r="L408" i="21"/>
  <c r="O408" i="21" s="1"/>
  <c r="K408" i="21"/>
  <c r="N408" i="21" s="1"/>
  <c r="N407" i="21"/>
  <c r="L407" i="21"/>
  <c r="O407" i="21" s="1"/>
  <c r="K407" i="21"/>
  <c r="N406" i="21"/>
  <c r="L406" i="21"/>
  <c r="O406" i="21" s="1"/>
  <c r="K406" i="21"/>
  <c r="L405" i="21"/>
  <c r="O405" i="21" s="1"/>
  <c r="K405" i="21"/>
  <c r="N405" i="21" s="1"/>
  <c r="L404" i="21"/>
  <c r="O404" i="21" s="1"/>
  <c r="K404" i="21"/>
  <c r="N404" i="21" s="1"/>
  <c r="O403" i="21"/>
  <c r="N403" i="21"/>
  <c r="L403" i="21"/>
  <c r="K403" i="21"/>
  <c r="O402" i="21"/>
  <c r="L402" i="21"/>
  <c r="K402" i="21"/>
  <c r="N402" i="21" s="1"/>
  <c r="N401" i="21"/>
  <c r="L401" i="21"/>
  <c r="O401" i="21" s="1"/>
  <c r="K401" i="21"/>
  <c r="L400" i="21"/>
  <c r="O400" i="21" s="1"/>
  <c r="K400" i="21"/>
  <c r="N400" i="21" s="1"/>
  <c r="L399" i="21"/>
  <c r="O399" i="21" s="1"/>
  <c r="K399" i="21"/>
  <c r="N399" i="21" s="1"/>
  <c r="O398" i="21"/>
  <c r="L398" i="21"/>
  <c r="K398" i="21"/>
  <c r="N398" i="21" s="1"/>
  <c r="L397" i="21"/>
  <c r="O397" i="21" s="1"/>
  <c r="K397" i="21"/>
  <c r="N397" i="21" s="1"/>
  <c r="L396" i="21"/>
  <c r="O396" i="21" s="1"/>
  <c r="K396" i="21"/>
  <c r="N396" i="21" s="1"/>
  <c r="L395" i="21"/>
  <c r="O395" i="21" s="1"/>
  <c r="K395" i="21"/>
  <c r="N395" i="21" s="1"/>
  <c r="L394" i="21"/>
  <c r="O394" i="21" s="1"/>
  <c r="K394" i="21"/>
  <c r="N394" i="21" s="1"/>
  <c r="L393" i="21"/>
  <c r="O393" i="21" s="1"/>
  <c r="K393" i="21"/>
  <c r="N393" i="21" s="1"/>
  <c r="L392" i="21"/>
  <c r="O392" i="21" s="1"/>
  <c r="K392" i="21"/>
  <c r="N392" i="21" s="1"/>
  <c r="O391" i="21"/>
  <c r="N391" i="21"/>
  <c r="L391" i="21"/>
  <c r="K391" i="21"/>
  <c r="N390" i="21"/>
  <c r="L390" i="21"/>
  <c r="O390" i="21" s="1"/>
  <c r="K390" i="21"/>
  <c r="L389" i="21"/>
  <c r="O389" i="21" s="1"/>
  <c r="K389" i="21"/>
  <c r="N389" i="21" s="1"/>
  <c r="L388" i="21"/>
  <c r="O388" i="21" s="1"/>
  <c r="K388" i="21"/>
  <c r="N388" i="21" s="1"/>
  <c r="O387" i="21"/>
  <c r="L387" i="21"/>
  <c r="K387" i="21"/>
  <c r="N387" i="21" s="1"/>
  <c r="O386" i="21"/>
  <c r="M386" i="21"/>
  <c r="L386" i="21"/>
  <c r="J386" i="21"/>
  <c r="J385" i="21"/>
  <c r="M385" i="21" s="1"/>
  <c r="J384" i="21"/>
  <c r="M384" i="21" s="1"/>
  <c r="L383" i="21"/>
  <c r="O383" i="21" s="1"/>
  <c r="J383" i="21"/>
  <c r="M383" i="21" s="1"/>
  <c r="M382" i="21"/>
  <c r="J382" i="21"/>
  <c r="J381" i="21"/>
  <c r="M381" i="21" s="1"/>
  <c r="L380" i="21"/>
  <c r="O380" i="21" s="1"/>
  <c r="J380" i="21"/>
  <c r="M380" i="21" s="1"/>
  <c r="J379" i="21"/>
  <c r="M379" i="21" s="1"/>
  <c r="J378" i="21"/>
  <c r="M378" i="21" s="1"/>
  <c r="J377" i="21"/>
  <c r="M377" i="21" s="1"/>
  <c r="L376" i="21"/>
  <c r="O376" i="21" s="1"/>
  <c r="J376" i="21"/>
  <c r="M376" i="21" s="1"/>
  <c r="J375" i="21"/>
  <c r="M375" i="21" s="1"/>
  <c r="L374" i="21"/>
  <c r="O374" i="21" s="1"/>
  <c r="J374" i="21"/>
  <c r="M374" i="21" s="1"/>
  <c r="J373" i="21"/>
  <c r="M373" i="21" s="1"/>
  <c r="J372" i="21"/>
  <c r="M372" i="21" s="1"/>
  <c r="L371" i="21"/>
  <c r="O371" i="21" s="1"/>
  <c r="J371" i="21"/>
  <c r="M371" i="21" s="1"/>
  <c r="J370" i="21"/>
  <c r="M370" i="21" s="1"/>
  <c r="J369" i="21"/>
  <c r="M369" i="21" s="1"/>
  <c r="L368" i="21"/>
  <c r="O368" i="21" s="1"/>
  <c r="J368" i="21"/>
  <c r="M368" i="21" s="1"/>
  <c r="J367" i="21"/>
  <c r="M367" i="21" s="1"/>
  <c r="J366" i="21"/>
  <c r="M366" i="21" s="1"/>
  <c r="O365" i="21"/>
  <c r="L365" i="21"/>
  <c r="J365" i="21"/>
  <c r="M365" i="21" s="1"/>
  <c r="M364" i="21"/>
  <c r="J364" i="21"/>
  <c r="J363" i="21"/>
  <c r="M363" i="21" s="1"/>
  <c r="L362" i="21"/>
  <c r="O362" i="21" s="1"/>
  <c r="J362" i="21"/>
  <c r="M362" i="21" s="1"/>
  <c r="J361" i="21"/>
  <c r="M361" i="21" s="1"/>
  <c r="J360" i="21"/>
  <c r="M360" i="21" s="1"/>
  <c r="L359" i="21"/>
  <c r="O359" i="21" s="1"/>
  <c r="J359" i="21"/>
  <c r="M359" i="21" s="1"/>
  <c r="J358" i="21"/>
  <c r="M358" i="21" s="1"/>
  <c r="O357" i="21"/>
  <c r="L357" i="21"/>
  <c r="J357" i="21"/>
  <c r="M357" i="21" s="1"/>
  <c r="M356" i="21"/>
  <c r="J356" i="21"/>
  <c r="L355" i="21"/>
  <c r="O355" i="21" s="1"/>
  <c r="J355" i="21"/>
  <c r="M355" i="21" s="1"/>
  <c r="J354" i="21"/>
  <c r="M354" i="21" s="1"/>
  <c r="L353" i="21"/>
  <c r="O353" i="21" s="1"/>
  <c r="J353" i="21"/>
  <c r="M353" i="21" s="1"/>
  <c r="L352" i="21"/>
  <c r="O352" i="21" s="1"/>
  <c r="J352" i="21"/>
  <c r="M352" i="21" s="1"/>
  <c r="M351" i="21"/>
  <c r="L351" i="21"/>
  <c r="O351" i="21" s="1"/>
  <c r="J351" i="21"/>
  <c r="L350" i="21"/>
  <c r="O350" i="21" s="1"/>
  <c r="J350" i="21"/>
  <c r="M350" i="21" s="1"/>
  <c r="L349" i="21"/>
  <c r="O349" i="21" s="1"/>
  <c r="J349" i="21"/>
  <c r="M349" i="21" s="1"/>
  <c r="O348" i="21"/>
  <c r="L348" i="21"/>
  <c r="J348" i="21"/>
  <c r="M348" i="21" s="1"/>
  <c r="L347" i="21"/>
  <c r="O347" i="21" s="1"/>
  <c r="J347" i="21"/>
  <c r="M347" i="21" s="1"/>
  <c r="L346" i="21"/>
  <c r="O346" i="21" s="1"/>
  <c r="J346" i="21"/>
  <c r="M346" i="21" s="1"/>
  <c r="L345" i="21"/>
  <c r="O345" i="21" s="1"/>
  <c r="J345" i="21"/>
  <c r="M345" i="21" s="1"/>
  <c r="O344" i="21"/>
  <c r="L344" i="21"/>
  <c r="J344" i="21"/>
  <c r="M344" i="21" s="1"/>
  <c r="M343" i="21"/>
  <c r="L343" i="21"/>
  <c r="O343" i="21" s="1"/>
  <c r="J343" i="21"/>
  <c r="L342" i="21"/>
  <c r="O342" i="21" s="1"/>
  <c r="J342" i="21"/>
  <c r="M342" i="21" s="1"/>
  <c r="N341" i="21"/>
  <c r="L341" i="21"/>
  <c r="O341" i="21" s="1"/>
  <c r="K341" i="21"/>
  <c r="L340" i="21"/>
  <c r="O340" i="21" s="1"/>
  <c r="K340" i="21"/>
  <c r="N340" i="21" s="1"/>
  <c r="L339" i="21"/>
  <c r="O339" i="21" s="1"/>
  <c r="K339" i="21"/>
  <c r="N339" i="21" s="1"/>
  <c r="L338" i="21"/>
  <c r="O338" i="21" s="1"/>
  <c r="K338" i="21"/>
  <c r="N338" i="21" s="1"/>
  <c r="L337" i="21"/>
  <c r="O337" i="21" s="1"/>
  <c r="K337" i="21"/>
  <c r="N337" i="21" s="1"/>
  <c r="N336" i="21"/>
  <c r="L336" i="21"/>
  <c r="O336" i="21" s="1"/>
  <c r="K336" i="21"/>
  <c r="L335" i="21"/>
  <c r="O335" i="21" s="1"/>
  <c r="K335" i="21"/>
  <c r="N335" i="21" s="1"/>
  <c r="L334" i="21"/>
  <c r="O334" i="21" s="1"/>
  <c r="K334" i="21"/>
  <c r="N334" i="21" s="1"/>
  <c r="L333" i="21"/>
  <c r="O333" i="21" s="1"/>
  <c r="K333" i="21"/>
  <c r="N333" i="21" s="1"/>
  <c r="L332" i="21"/>
  <c r="O332" i="21" s="1"/>
  <c r="K332" i="21"/>
  <c r="N332" i="21" s="1"/>
  <c r="L331" i="21"/>
  <c r="O331" i="21" s="1"/>
  <c r="K331" i="21"/>
  <c r="N331" i="21" s="1"/>
  <c r="L330" i="21"/>
  <c r="O330" i="21" s="1"/>
  <c r="K330" i="21"/>
  <c r="N330" i="21" s="1"/>
  <c r="O329" i="21"/>
  <c r="L329" i="21"/>
  <c r="J329" i="21"/>
  <c r="M329" i="21" s="1"/>
  <c r="O328" i="21"/>
  <c r="L328" i="21"/>
  <c r="J328" i="21"/>
  <c r="M328" i="21" s="1"/>
  <c r="M327" i="21"/>
  <c r="L327" i="21"/>
  <c r="O327" i="21" s="1"/>
  <c r="J327" i="21"/>
  <c r="L326" i="21"/>
  <c r="O326" i="21" s="1"/>
  <c r="J326" i="21"/>
  <c r="M326" i="21" s="1"/>
  <c r="L325" i="21"/>
  <c r="O325" i="21" s="1"/>
  <c r="J325" i="21"/>
  <c r="M325" i="21" s="1"/>
  <c r="O324" i="21"/>
  <c r="L324" i="21"/>
  <c r="J324" i="21"/>
  <c r="M324" i="21" s="1"/>
  <c r="M323" i="21"/>
  <c r="L323" i="21"/>
  <c r="O323" i="21" s="1"/>
  <c r="J323" i="21"/>
  <c r="L322" i="21"/>
  <c r="O322" i="21" s="1"/>
  <c r="J322" i="21"/>
  <c r="M322" i="21" s="1"/>
  <c r="L321" i="21"/>
  <c r="O321" i="21" s="1"/>
  <c r="J321" i="21"/>
  <c r="M321" i="21" s="1"/>
  <c r="L320" i="21"/>
  <c r="O320" i="21" s="1"/>
  <c r="J320" i="21"/>
  <c r="M320" i="21" s="1"/>
  <c r="M319" i="21"/>
  <c r="L319" i="21"/>
  <c r="O319" i="21" s="1"/>
  <c r="J319" i="21"/>
  <c r="L318" i="21"/>
  <c r="O318" i="21" s="1"/>
  <c r="J318" i="21"/>
  <c r="M318" i="21" s="1"/>
  <c r="J317" i="21"/>
  <c r="M317" i="21" s="1"/>
  <c r="J316" i="21"/>
  <c r="M316" i="21" s="1"/>
  <c r="M315" i="21"/>
  <c r="J315" i="21"/>
  <c r="J314" i="21"/>
  <c r="M314" i="21" s="1"/>
  <c r="J313" i="21"/>
  <c r="M313" i="21" s="1"/>
  <c r="M312" i="21"/>
  <c r="J312" i="21"/>
  <c r="J311" i="21"/>
  <c r="M311" i="21" s="1"/>
  <c r="J310" i="21"/>
  <c r="M310" i="21" s="1"/>
  <c r="J309" i="21"/>
  <c r="M309" i="21" s="1"/>
  <c r="J308" i="21"/>
  <c r="M308" i="21" s="1"/>
  <c r="M307" i="21"/>
  <c r="J307" i="21"/>
  <c r="J306" i="21"/>
  <c r="M306" i="21" s="1"/>
  <c r="O305" i="21"/>
  <c r="N305" i="21"/>
  <c r="L305" i="21"/>
  <c r="K305" i="21"/>
  <c r="O304" i="21"/>
  <c r="N304" i="21"/>
  <c r="L304" i="21"/>
  <c r="K304" i="21"/>
  <c r="L303" i="21"/>
  <c r="O303" i="21" s="1"/>
  <c r="K303" i="21"/>
  <c r="N303" i="21" s="1"/>
  <c r="L302" i="21"/>
  <c r="O302" i="21" s="1"/>
  <c r="K302" i="21"/>
  <c r="N302" i="21" s="1"/>
  <c r="O301" i="21"/>
  <c r="N301" i="21"/>
  <c r="L301" i="21"/>
  <c r="K301" i="21"/>
  <c r="O300" i="21"/>
  <c r="N300" i="21"/>
  <c r="L300" i="21"/>
  <c r="K300" i="21"/>
  <c r="L299" i="21"/>
  <c r="O299" i="21" s="1"/>
  <c r="K299" i="21"/>
  <c r="N299" i="21" s="1"/>
  <c r="L298" i="21"/>
  <c r="O298" i="21" s="1"/>
  <c r="K298" i="21"/>
  <c r="N298" i="21" s="1"/>
  <c r="O297" i="21"/>
  <c r="N297" i="21"/>
  <c r="L297" i="21"/>
  <c r="K297" i="21"/>
  <c r="O296" i="21"/>
  <c r="N296" i="21"/>
  <c r="L296" i="21"/>
  <c r="K296" i="21"/>
  <c r="L295" i="21"/>
  <c r="O295" i="21" s="1"/>
  <c r="K295" i="21"/>
  <c r="N295" i="21" s="1"/>
  <c r="L294" i="21"/>
  <c r="O294" i="21" s="1"/>
  <c r="K294" i="21"/>
  <c r="N294" i="21" s="1"/>
  <c r="J293" i="21"/>
  <c r="M293" i="21" s="1"/>
  <c r="M292" i="21"/>
  <c r="J292" i="21"/>
  <c r="J291" i="21"/>
  <c r="M291" i="21" s="1"/>
  <c r="J290" i="21"/>
  <c r="M290" i="21" s="1"/>
  <c r="J289" i="21"/>
  <c r="M289" i="21" s="1"/>
  <c r="J288" i="21"/>
  <c r="M288" i="21" s="1"/>
  <c r="M287" i="21"/>
  <c r="J287" i="21"/>
  <c r="J286" i="21"/>
  <c r="M286" i="21" s="1"/>
  <c r="J285" i="21"/>
  <c r="M285" i="21" s="1"/>
  <c r="M284" i="21"/>
  <c r="J284" i="21"/>
  <c r="J283" i="21"/>
  <c r="M283" i="21" s="1"/>
  <c r="J282" i="21"/>
  <c r="M282" i="21" s="1"/>
  <c r="J281" i="21"/>
  <c r="M281" i="21" s="1"/>
  <c r="M280" i="21"/>
  <c r="J280" i="21"/>
  <c r="M279" i="21"/>
  <c r="J279" i="21"/>
  <c r="J278" i="21"/>
  <c r="M278" i="21" s="1"/>
  <c r="J277" i="21"/>
  <c r="M277" i="21" s="1"/>
  <c r="M276" i="21"/>
  <c r="J276" i="21"/>
  <c r="M275" i="21"/>
  <c r="J275" i="21"/>
  <c r="J274" i="21"/>
  <c r="M274" i="21" s="1"/>
  <c r="J273" i="21"/>
  <c r="M273" i="21" s="1"/>
  <c r="J272" i="21"/>
  <c r="M272" i="21" s="1"/>
  <c r="M271" i="21"/>
  <c r="J271" i="21"/>
  <c r="J270" i="21"/>
  <c r="M270" i="21" s="1"/>
  <c r="J269" i="21"/>
  <c r="M269" i="21" s="1"/>
  <c r="M268" i="21"/>
  <c r="J268" i="21"/>
  <c r="J267" i="21"/>
  <c r="M267" i="21" s="1"/>
  <c r="J266" i="21"/>
  <c r="M266" i="21" s="1"/>
  <c r="J265" i="21"/>
  <c r="M265" i="21" s="1"/>
  <c r="M264" i="21"/>
  <c r="J264" i="21"/>
  <c r="M263" i="21"/>
  <c r="J263" i="21"/>
  <c r="J262" i="21"/>
  <c r="M262" i="21" s="1"/>
  <c r="J261" i="21"/>
  <c r="M261" i="21" s="1"/>
  <c r="M260" i="21"/>
  <c r="J260" i="21"/>
  <c r="M259" i="21"/>
  <c r="J259" i="21"/>
  <c r="J258" i="21"/>
  <c r="M258" i="21" s="1"/>
  <c r="J257" i="21"/>
  <c r="M257" i="21" s="1"/>
  <c r="J256" i="21"/>
  <c r="M256" i="21" s="1"/>
  <c r="L255" i="21"/>
  <c r="O255" i="21" s="1"/>
  <c r="K255" i="21"/>
  <c r="N255" i="21" s="1"/>
  <c r="L254" i="21"/>
  <c r="O254" i="21" s="1"/>
  <c r="K254" i="21"/>
  <c r="N254" i="21" s="1"/>
  <c r="O253" i="21"/>
  <c r="L253" i="21"/>
  <c r="K253" i="21"/>
  <c r="N253" i="21" s="1"/>
  <c r="L252" i="21"/>
  <c r="O252" i="21" s="1"/>
  <c r="K252" i="21"/>
  <c r="N252" i="21" s="1"/>
  <c r="L251" i="21"/>
  <c r="O251" i="21" s="1"/>
  <c r="K251" i="21"/>
  <c r="N251" i="21" s="1"/>
  <c r="L250" i="21"/>
  <c r="O250" i="21" s="1"/>
  <c r="K250" i="21"/>
  <c r="N250" i="21" s="1"/>
  <c r="L249" i="21"/>
  <c r="O249" i="21" s="1"/>
  <c r="K249" i="21"/>
  <c r="N249" i="21" s="1"/>
  <c r="O248" i="21"/>
  <c r="L248" i="21"/>
  <c r="K248" i="21"/>
  <c r="N248" i="21" s="1"/>
  <c r="L247" i="21"/>
  <c r="O247" i="21" s="1"/>
  <c r="K247" i="21"/>
  <c r="N247" i="21" s="1"/>
  <c r="L246" i="21"/>
  <c r="O246" i="21" s="1"/>
  <c r="K246" i="21"/>
  <c r="N246" i="21" s="1"/>
  <c r="O245" i="21"/>
  <c r="L245" i="21"/>
  <c r="K245" i="21"/>
  <c r="N245" i="21" s="1"/>
  <c r="O244" i="21"/>
  <c r="L244" i="21"/>
  <c r="K244" i="21"/>
  <c r="N244" i="21" s="1"/>
  <c r="L243" i="21"/>
  <c r="O243" i="21" s="1"/>
  <c r="K243" i="21"/>
  <c r="N243" i="21" s="1"/>
  <c r="L242" i="21"/>
  <c r="O242" i="21" s="1"/>
  <c r="K242" i="21"/>
  <c r="N242" i="21" s="1"/>
  <c r="L241" i="21"/>
  <c r="O241" i="21" s="1"/>
  <c r="K241" i="21"/>
  <c r="N241" i="21" s="1"/>
  <c r="O240" i="21"/>
  <c r="L240" i="21"/>
  <c r="K240" i="21"/>
  <c r="N240" i="21" s="1"/>
  <c r="L239" i="21"/>
  <c r="O239" i="21" s="1"/>
  <c r="K239" i="21"/>
  <c r="N239" i="21" s="1"/>
  <c r="L238" i="21"/>
  <c r="O238" i="21" s="1"/>
  <c r="K238" i="21"/>
  <c r="N238" i="21" s="1"/>
  <c r="O237" i="21"/>
  <c r="L237" i="21"/>
  <c r="K237" i="21"/>
  <c r="N237" i="21" s="1"/>
  <c r="L236" i="21"/>
  <c r="O236" i="21" s="1"/>
  <c r="K236" i="21"/>
  <c r="N236" i="21" s="1"/>
  <c r="L235" i="21"/>
  <c r="O235" i="21" s="1"/>
  <c r="K235" i="21"/>
  <c r="N235" i="21" s="1"/>
  <c r="L234" i="21"/>
  <c r="O234" i="21" s="1"/>
  <c r="K234" i="21"/>
  <c r="N234" i="21" s="1"/>
  <c r="L233" i="21"/>
  <c r="O233" i="21" s="1"/>
  <c r="K233" i="21"/>
  <c r="N233" i="21" s="1"/>
  <c r="O232" i="21"/>
  <c r="L232" i="21"/>
  <c r="K232" i="21"/>
  <c r="N232" i="21" s="1"/>
  <c r="M231" i="21"/>
  <c r="J231" i="21"/>
  <c r="J230" i="21"/>
  <c r="M230" i="21" s="1"/>
  <c r="J229" i="21"/>
  <c r="M229" i="21" s="1"/>
  <c r="M228" i="21"/>
  <c r="J228" i="21"/>
  <c r="J227" i="21"/>
  <c r="M227" i="21" s="1"/>
  <c r="J226" i="21"/>
  <c r="M226" i="21" s="1"/>
  <c r="J225" i="21"/>
  <c r="M225" i="21" s="1"/>
  <c r="M224" i="21"/>
  <c r="J224" i="21"/>
  <c r="M223" i="21"/>
  <c r="J223" i="21"/>
  <c r="J222" i="21"/>
  <c r="M222" i="21" s="1"/>
  <c r="J221" i="21"/>
  <c r="M221" i="21" s="1"/>
  <c r="M220" i="21"/>
  <c r="J220" i="21"/>
  <c r="M219" i="21"/>
  <c r="J219" i="21"/>
  <c r="J218" i="21"/>
  <c r="M218" i="21" s="1"/>
  <c r="J217" i="21"/>
  <c r="M217" i="21" s="1"/>
  <c r="J216" i="21"/>
  <c r="M216" i="21" s="1"/>
  <c r="M215" i="21"/>
  <c r="J215" i="21"/>
  <c r="J214" i="21"/>
  <c r="M214" i="21" s="1"/>
  <c r="J213" i="21"/>
  <c r="M213" i="21" s="1"/>
  <c r="M212" i="21"/>
  <c r="J212" i="21"/>
  <c r="J211" i="21"/>
  <c r="M211" i="21" s="1"/>
  <c r="J210" i="21"/>
  <c r="M210" i="21" s="1"/>
  <c r="J209" i="21"/>
  <c r="M209" i="21" s="1"/>
  <c r="M208" i="21"/>
  <c r="J208" i="21"/>
  <c r="M207" i="21"/>
  <c r="J207" i="21"/>
  <c r="J206" i="21"/>
  <c r="M206" i="21" s="1"/>
  <c r="O205" i="21"/>
  <c r="N205" i="21"/>
  <c r="L205" i="21"/>
  <c r="K205" i="21"/>
  <c r="O204" i="21"/>
  <c r="N204" i="21"/>
  <c r="L204" i="21"/>
  <c r="K204" i="21"/>
  <c r="L203" i="21"/>
  <c r="O203" i="21" s="1"/>
  <c r="K203" i="21"/>
  <c r="N203" i="21" s="1"/>
  <c r="L202" i="21"/>
  <c r="O202" i="21" s="1"/>
  <c r="K202" i="21"/>
  <c r="N202" i="21" s="1"/>
  <c r="O201" i="21"/>
  <c r="N201" i="21"/>
  <c r="L201" i="21"/>
  <c r="K201" i="21"/>
  <c r="O200" i="21"/>
  <c r="N200" i="21"/>
  <c r="L200" i="21"/>
  <c r="K200" i="21"/>
  <c r="L199" i="21"/>
  <c r="O199" i="21" s="1"/>
  <c r="K199" i="21"/>
  <c r="N199" i="21" s="1"/>
  <c r="L198" i="21"/>
  <c r="O198" i="21" s="1"/>
  <c r="K198" i="21"/>
  <c r="N198" i="21" s="1"/>
  <c r="O197" i="21"/>
  <c r="N197" i="21"/>
  <c r="L197" i="21"/>
  <c r="K197" i="21"/>
  <c r="O196" i="21"/>
  <c r="N196" i="21"/>
  <c r="L196" i="21"/>
  <c r="K196" i="21"/>
  <c r="L195" i="21"/>
  <c r="O195" i="21" s="1"/>
  <c r="K195" i="21"/>
  <c r="N195" i="21" s="1"/>
  <c r="L194" i="21"/>
  <c r="O194" i="21" s="1"/>
  <c r="K194" i="21"/>
  <c r="N194" i="21" s="1"/>
  <c r="L169" i="21"/>
  <c r="O169" i="21" s="1"/>
  <c r="L167" i="21"/>
  <c r="O167" i="21" s="1"/>
  <c r="L165" i="21"/>
  <c r="O165" i="21" s="1"/>
  <c r="L163" i="21"/>
  <c r="O163" i="21" s="1"/>
  <c r="L161" i="21"/>
  <c r="O161" i="21" s="1"/>
  <c r="L159" i="21"/>
  <c r="O159" i="21" s="1"/>
  <c r="L157" i="21"/>
  <c r="O157" i="21" s="1"/>
  <c r="O155" i="21"/>
  <c r="L155" i="21"/>
  <c r="L153" i="21"/>
  <c r="O153" i="21" s="1"/>
  <c r="L151" i="21"/>
  <c r="O151" i="21" s="1"/>
  <c r="L149" i="21"/>
  <c r="O149" i="21" s="1"/>
  <c r="O147" i="21"/>
  <c r="L147" i="21"/>
  <c r="M145" i="21"/>
  <c r="L145" i="21"/>
  <c r="O145" i="21" s="1"/>
  <c r="J145" i="21"/>
  <c r="L144" i="21"/>
  <c r="O144" i="21" s="1"/>
  <c r="J144" i="21"/>
  <c r="M144" i="21" s="1"/>
  <c r="M143" i="21"/>
  <c r="L143" i="21"/>
  <c r="O143" i="21" s="1"/>
  <c r="J143" i="21"/>
  <c r="L142" i="21"/>
  <c r="O142" i="21" s="1"/>
  <c r="J142" i="21"/>
  <c r="M142" i="21" s="1"/>
  <c r="L141" i="21"/>
  <c r="O141" i="21" s="1"/>
  <c r="J141" i="21"/>
  <c r="M141" i="21" s="1"/>
  <c r="L140" i="21"/>
  <c r="O140" i="21" s="1"/>
  <c r="J140" i="21"/>
  <c r="M140" i="21" s="1"/>
  <c r="M139" i="21"/>
  <c r="L139" i="21"/>
  <c r="O139" i="21" s="1"/>
  <c r="J139" i="21"/>
  <c r="L138" i="21"/>
  <c r="O138" i="21" s="1"/>
  <c r="J138" i="21"/>
  <c r="M138" i="21" s="1"/>
  <c r="M137" i="21"/>
  <c r="L137" i="21"/>
  <c r="O137" i="21" s="1"/>
  <c r="J137" i="21"/>
  <c r="L136" i="21"/>
  <c r="O136" i="21" s="1"/>
  <c r="J136" i="21"/>
  <c r="M136" i="21" s="1"/>
  <c r="L135" i="21"/>
  <c r="O135" i="21" s="1"/>
  <c r="J135" i="21"/>
  <c r="M135" i="21" s="1"/>
  <c r="L134" i="21"/>
  <c r="O134" i="21" s="1"/>
  <c r="J134" i="21"/>
  <c r="M134" i="21" s="1"/>
  <c r="L133" i="21"/>
  <c r="O133" i="21" s="1"/>
  <c r="L131" i="21"/>
  <c r="O131" i="21" s="1"/>
  <c r="L129" i="21"/>
  <c r="O129" i="21" s="1"/>
  <c r="L127" i="21"/>
  <c r="O127" i="21" s="1"/>
  <c r="L125" i="21"/>
  <c r="O125" i="21" s="1"/>
  <c r="L123" i="21"/>
  <c r="O123" i="21" s="1"/>
  <c r="L121" i="21"/>
  <c r="O121" i="21" s="1"/>
  <c r="O119" i="21"/>
  <c r="L119" i="21"/>
  <c r="L117" i="21"/>
  <c r="O117" i="21" s="1"/>
  <c r="L115" i="21"/>
  <c r="O115" i="21" s="1"/>
  <c r="L113" i="21"/>
  <c r="O113" i="21" s="1"/>
  <c r="O111" i="21"/>
  <c r="L111" i="21"/>
  <c r="L109" i="21"/>
  <c r="O109" i="21" s="1"/>
  <c r="L108" i="21"/>
  <c r="O108" i="21" s="1"/>
  <c r="L107" i="21"/>
  <c r="O107" i="21" s="1"/>
  <c r="L106" i="21"/>
  <c r="O106" i="21" s="1"/>
  <c r="L105" i="21"/>
  <c r="O105" i="21" s="1"/>
  <c r="L104" i="21"/>
  <c r="O104" i="21" s="1"/>
  <c r="L103" i="21"/>
  <c r="O103" i="21" s="1"/>
  <c r="L102" i="21"/>
  <c r="O102" i="21" s="1"/>
  <c r="L101" i="21"/>
  <c r="O101" i="21" s="1"/>
  <c r="L100" i="21"/>
  <c r="O100" i="21" s="1"/>
  <c r="L99" i="21"/>
  <c r="O99" i="21" s="1"/>
  <c r="L98" i="21"/>
  <c r="O98" i="21" s="1"/>
  <c r="O97" i="21"/>
  <c r="M97" i="21"/>
  <c r="L97" i="21"/>
  <c r="J97" i="21"/>
  <c r="O96" i="21"/>
  <c r="M96" i="21"/>
  <c r="L96" i="21"/>
  <c r="J96" i="21"/>
  <c r="O95" i="21"/>
  <c r="M95" i="21"/>
  <c r="L95" i="21"/>
  <c r="J95" i="21"/>
  <c r="O94" i="21"/>
  <c r="M94" i="21"/>
  <c r="L94" i="21"/>
  <c r="J94" i="21"/>
  <c r="O93" i="21"/>
  <c r="M93" i="21"/>
  <c r="L93" i="21"/>
  <c r="J93" i="21"/>
  <c r="O92" i="21"/>
  <c r="M92" i="21"/>
  <c r="L92" i="21"/>
  <c r="J92" i="21"/>
  <c r="O91" i="21"/>
  <c r="M91" i="21"/>
  <c r="L91" i="21"/>
  <c r="J91" i="21"/>
  <c r="O90" i="21"/>
  <c r="M90" i="21"/>
  <c r="L90" i="21"/>
  <c r="J90" i="21"/>
  <c r="O89" i="21"/>
  <c r="M89" i="21"/>
  <c r="L89" i="21"/>
  <c r="J89" i="21"/>
  <c r="O88" i="21"/>
  <c r="M88" i="21"/>
  <c r="L88" i="21"/>
  <c r="J88" i="21"/>
  <c r="O87" i="21"/>
  <c r="M87" i="21"/>
  <c r="L87" i="21"/>
  <c r="J87" i="21"/>
  <c r="O86" i="21"/>
  <c r="M86" i="21"/>
  <c r="L86" i="21"/>
  <c r="J86" i="21"/>
  <c r="L85" i="21"/>
  <c r="O85" i="21" s="1"/>
  <c r="L84" i="21"/>
  <c r="O84" i="21" s="1"/>
  <c r="L83" i="21"/>
  <c r="O83" i="21" s="1"/>
  <c r="L82" i="21"/>
  <c r="O82" i="21" s="1"/>
  <c r="L81" i="21"/>
  <c r="O81" i="21" s="1"/>
  <c r="L80" i="21"/>
  <c r="O80" i="21" s="1"/>
  <c r="L79" i="21"/>
  <c r="O79" i="21" s="1"/>
  <c r="L78" i="21"/>
  <c r="O78" i="21" s="1"/>
  <c r="L77" i="21"/>
  <c r="O77" i="21" s="1"/>
  <c r="L76" i="21"/>
  <c r="O76" i="21" s="1"/>
  <c r="L75" i="21"/>
  <c r="O75" i="21" s="1"/>
  <c r="L74" i="21"/>
  <c r="O74" i="21" s="1"/>
  <c r="L49" i="21"/>
  <c r="O49" i="21" s="1"/>
  <c r="K49" i="21"/>
  <c r="N49" i="21" s="1"/>
  <c r="L48" i="21"/>
  <c r="O48" i="21" s="1"/>
  <c r="K48" i="21"/>
  <c r="N48" i="21" s="1"/>
  <c r="L47" i="21"/>
  <c r="O47" i="21" s="1"/>
  <c r="K47" i="21"/>
  <c r="N47" i="21" s="1"/>
  <c r="L46" i="21"/>
  <c r="O46" i="21" s="1"/>
  <c r="K46" i="21"/>
  <c r="N46" i="21" s="1"/>
  <c r="L45" i="21"/>
  <c r="O45" i="21" s="1"/>
  <c r="K45" i="21"/>
  <c r="N45" i="21" s="1"/>
  <c r="L44" i="21"/>
  <c r="O44" i="21" s="1"/>
  <c r="K44" i="21"/>
  <c r="N44" i="21" s="1"/>
  <c r="O43" i="21"/>
  <c r="L43" i="21"/>
  <c r="K43" i="21"/>
  <c r="N43" i="21" s="1"/>
  <c r="L42" i="21"/>
  <c r="O42" i="21" s="1"/>
  <c r="K42" i="21"/>
  <c r="N42" i="21" s="1"/>
  <c r="O41" i="21"/>
  <c r="L41" i="21"/>
  <c r="K41" i="21"/>
  <c r="N41" i="21" s="1"/>
  <c r="L40" i="21"/>
  <c r="O40" i="21" s="1"/>
  <c r="K40" i="21"/>
  <c r="N40" i="21" s="1"/>
  <c r="L39" i="21"/>
  <c r="O39" i="21" s="1"/>
  <c r="K39" i="21"/>
  <c r="N39" i="21" s="1"/>
  <c r="O38" i="21"/>
  <c r="L38" i="21"/>
  <c r="K38" i="21"/>
  <c r="L37" i="21"/>
  <c r="O37" i="21" s="1"/>
  <c r="L36" i="21"/>
  <c r="O36" i="21" s="1"/>
  <c r="L35" i="21"/>
  <c r="O35" i="21" s="1"/>
  <c r="L34" i="21"/>
  <c r="O34" i="21" s="1"/>
  <c r="O33" i="21"/>
  <c r="L33" i="21"/>
  <c r="O32" i="21"/>
  <c r="L32" i="21"/>
  <c r="O31" i="21"/>
  <c r="L31" i="21"/>
  <c r="L30" i="21"/>
  <c r="O30" i="21" s="1"/>
  <c r="L29" i="21"/>
  <c r="O29" i="21" s="1"/>
  <c r="L28" i="21"/>
  <c r="O28" i="21" s="1"/>
  <c r="L27" i="21"/>
  <c r="O27" i="21" s="1"/>
  <c r="L26" i="21"/>
  <c r="O26" i="21" s="1"/>
  <c r="O25" i="21"/>
  <c r="L25" i="21"/>
  <c r="J25" i="21"/>
  <c r="M25" i="21" s="1"/>
  <c r="O24" i="21"/>
  <c r="M24" i="21"/>
  <c r="L24" i="21"/>
  <c r="J24" i="21"/>
  <c r="L23" i="21"/>
  <c r="O23" i="21" s="1"/>
  <c r="J23" i="21"/>
  <c r="M23" i="21" s="1"/>
  <c r="M22" i="21"/>
  <c r="L22" i="21"/>
  <c r="O22" i="21" s="1"/>
  <c r="J22" i="21"/>
  <c r="O21" i="21"/>
  <c r="L21" i="21"/>
  <c r="J21" i="21"/>
  <c r="M21" i="21" s="1"/>
  <c r="L20" i="21"/>
  <c r="O20" i="21" s="1"/>
  <c r="J20" i="21"/>
  <c r="M20" i="21" s="1"/>
  <c r="O19" i="21"/>
  <c r="L19" i="21"/>
  <c r="J19" i="21"/>
  <c r="M19" i="21" s="1"/>
  <c r="L18" i="21"/>
  <c r="O18" i="21" s="1"/>
  <c r="J18" i="21"/>
  <c r="M18" i="21" s="1"/>
  <c r="O17" i="21"/>
  <c r="L17" i="21"/>
  <c r="J17" i="21"/>
  <c r="M17" i="21" s="1"/>
  <c r="L16" i="21"/>
  <c r="O16" i="21" s="1"/>
  <c r="J16" i="21"/>
  <c r="M16" i="21" s="1"/>
  <c r="O15" i="21"/>
  <c r="M15" i="21"/>
  <c r="L15" i="21"/>
  <c r="J15" i="21"/>
  <c r="L14" i="21"/>
  <c r="O14" i="21" s="1"/>
  <c r="J14" i="21"/>
  <c r="M14" i="21" s="1"/>
  <c r="O13" i="21"/>
  <c r="L13" i="21"/>
  <c r="O12" i="21"/>
  <c r="L12" i="21"/>
  <c r="O11" i="21"/>
  <c r="L11" i="21"/>
  <c r="L10" i="21"/>
  <c r="O10" i="21" s="1"/>
  <c r="L9" i="21"/>
  <c r="O9" i="21" s="1"/>
  <c r="L8" i="21"/>
  <c r="O8" i="21" s="1"/>
  <c r="L7" i="21"/>
  <c r="O7" i="21" s="1"/>
  <c r="L6" i="21"/>
  <c r="O6" i="21" s="1"/>
  <c r="O5" i="21"/>
  <c r="L5" i="21"/>
  <c r="O4" i="21"/>
  <c r="L4" i="21"/>
  <c r="O3" i="21"/>
  <c r="L3" i="21"/>
  <c r="L2" i="21"/>
  <c r="X1145" i="16"/>
  <c r="W1145" i="16"/>
  <c r="X1144" i="16"/>
  <c r="W1144" i="16"/>
  <c r="X1143" i="16"/>
  <c r="W1143" i="16"/>
  <c r="X1142" i="16"/>
  <c r="W1142" i="16"/>
  <c r="X1141" i="16"/>
  <c r="W1141" i="16"/>
  <c r="X1140" i="16"/>
  <c r="W1140" i="16"/>
  <c r="X1139" i="16"/>
  <c r="W1139" i="16"/>
  <c r="X1138" i="16"/>
  <c r="W1138" i="16"/>
  <c r="X1137" i="16"/>
  <c r="W1137" i="16"/>
  <c r="X1136" i="16"/>
  <c r="W1136" i="16"/>
  <c r="X1135" i="16"/>
  <c r="W1135" i="16"/>
  <c r="X1134" i="16"/>
  <c r="W1134" i="16"/>
  <c r="X1034" i="16"/>
  <c r="W1034" i="16"/>
  <c r="X1033" i="16"/>
  <c r="W1033" i="16"/>
  <c r="X1032" i="16"/>
  <c r="W1032" i="16"/>
  <c r="X1031" i="16"/>
  <c r="W1031" i="16"/>
  <c r="X1030" i="16"/>
  <c r="W1030" i="16"/>
  <c r="X1029" i="16"/>
  <c r="W1029" i="16"/>
  <c r="X1028" i="16"/>
  <c r="W1028" i="16"/>
  <c r="X1027" i="16"/>
  <c r="W1027" i="16"/>
  <c r="X1026" i="16"/>
  <c r="W1026" i="16"/>
  <c r="X1025" i="16"/>
  <c r="W1025" i="16"/>
  <c r="X1024" i="16"/>
  <c r="W1024" i="16"/>
  <c r="X1023" i="16"/>
  <c r="W1023" i="16"/>
  <c r="X1022" i="16"/>
  <c r="W1022" i="16"/>
  <c r="X1021" i="16"/>
  <c r="W1021" i="16"/>
  <c r="X1020" i="16"/>
  <c r="W1020" i="16"/>
  <c r="X1019" i="16"/>
  <c r="W1019" i="16"/>
  <c r="X1018" i="16"/>
  <c r="W1018" i="16"/>
  <c r="X1017" i="16"/>
  <c r="W1017" i="16"/>
  <c r="X592" i="16"/>
  <c r="W592" i="16"/>
  <c r="X591" i="16"/>
  <c r="W591" i="16"/>
  <c r="X590" i="16"/>
  <c r="W590" i="16"/>
  <c r="X589" i="16"/>
  <c r="W589" i="16"/>
  <c r="X588" i="16"/>
  <c r="W588" i="16"/>
  <c r="X587" i="16"/>
  <c r="W587" i="16"/>
  <c r="X586" i="16"/>
  <c r="W586" i="16"/>
  <c r="X585" i="16"/>
  <c r="W585" i="16"/>
  <c r="X584" i="16"/>
  <c r="W584" i="16"/>
  <c r="X583" i="16"/>
  <c r="W583" i="16"/>
  <c r="X582" i="16"/>
  <c r="W582" i="16"/>
  <c r="X581" i="16"/>
  <c r="W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X568" i="16"/>
  <c r="W568" i="16"/>
  <c r="X567" i="16"/>
  <c r="W567" i="16"/>
  <c r="X566" i="16"/>
  <c r="W566" i="16"/>
  <c r="X565" i="16"/>
  <c r="W565" i="16"/>
  <c r="X564" i="16"/>
  <c r="W564" i="16"/>
  <c r="X563" i="16"/>
  <c r="W563" i="16"/>
  <c r="X562" i="16"/>
  <c r="W562" i="16"/>
  <c r="X561" i="16"/>
  <c r="W561" i="16"/>
  <c r="X560" i="16"/>
  <c r="W560" i="16"/>
  <c r="X559" i="16"/>
  <c r="W559" i="16"/>
  <c r="X558" i="16"/>
  <c r="W558" i="16"/>
  <c r="X557" i="16"/>
  <c r="W557" i="16"/>
  <c r="X556" i="16"/>
  <c r="W556" i="16"/>
  <c r="X555" i="16"/>
  <c r="W555" i="16"/>
  <c r="X554" i="16"/>
  <c r="W554" i="16"/>
  <c r="X553" i="16"/>
  <c r="W553" i="16"/>
  <c r="X552" i="16"/>
  <c r="W552" i="16"/>
  <c r="X551" i="16"/>
  <c r="W551" i="16"/>
  <c r="X550" i="16"/>
  <c r="W550" i="16"/>
  <c r="X549" i="16"/>
  <c r="W549" i="16"/>
  <c r="X548" i="16"/>
  <c r="W548" i="16"/>
  <c r="X547" i="16"/>
  <c r="W547" i="16"/>
  <c r="X546" i="16"/>
  <c r="W546" i="16"/>
  <c r="X545" i="16"/>
  <c r="W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X532" i="16"/>
  <c r="W532" i="16"/>
  <c r="X531" i="16"/>
  <c r="W531" i="16"/>
  <c r="X530" i="16"/>
  <c r="W530" i="16"/>
  <c r="X529" i="16"/>
  <c r="W529" i="16"/>
  <c r="X528" i="16"/>
  <c r="W528" i="16"/>
  <c r="X527" i="16"/>
  <c r="W527" i="16"/>
  <c r="X526" i="16"/>
  <c r="W526" i="16"/>
  <c r="X525" i="16"/>
  <c r="W525" i="16"/>
  <c r="X524" i="16"/>
  <c r="W524" i="16"/>
  <c r="X523" i="16"/>
  <c r="W523" i="16"/>
  <c r="X522" i="16"/>
  <c r="W522" i="16"/>
  <c r="X521" i="16"/>
  <c r="W521" i="16"/>
  <c r="AD400" i="17"/>
  <c r="AB400" i="17"/>
  <c r="X400" i="17"/>
  <c r="W400" i="17"/>
  <c r="AC400" i="17" s="1"/>
  <c r="AD399" i="17"/>
  <c r="X399" i="17"/>
  <c r="W399" i="17"/>
  <c r="AD398" i="17"/>
  <c r="AC398" i="17"/>
  <c r="X398" i="17"/>
  <c r="W398" i="17"/>
  <c r="AD397" i="17"/>
  <c r="X397" i="17"/>
  <c r="W397" i="17"/>
  <c r="AC397" i="17" s="1"/>
  <c r="AD396" i="17"/>
  <c r="X396" i="17"/>
  <c r="W396" i="17"/>
  <c r="AC396" i="17" s="1"/>
  <c r="AD395" i="17"/>
  <c r="X395" i="17"/>
  <c r="W395" i="17"/>
  <c r="AC395" i="17" s="1"/>
  <c r="AD394" i="17"/>
  <c r="X394" i="17"/>
  <c r="W394" i="17"/>
  <c r="AC394" i="17" s="1"/>
  <c r="AD393" i="17"/>
  <c r="X393" i="17"/>
  <c r="W393" i="17"/>
  <c r="AC393" i="17" s="1"/>
  <c r="AD392" i="17"/>
  <c r="X392" i="17"/>
  <c r="W392" i="17"/>
  <c r="AC392" i="17" s="1"/>
  <c r="AD391" i="17"/>
  <c r="X391" i="17"/>
  <c r="W391" i="17"/>
  <c r="AD390" i="17"/>
  <c r="X390" i="17"/>
  <c r="AC390" i="17" s="1"/>
  <c r="W390" i="17"/>
  <c r="AD389" i="17"/>
  <c r="AB389" i="17"/>
  <c r="X389" i="17"/>
  <c r="W389" i="17"/>
  <c r="AC389" i="17" s="1"/>
  <c r="AD388" i="17"/>
  <c r="X388" i="17"/>
  <c r="W388" i="17"/>
  <c r="AC388" i="17" s="1"/>
  <c r="AD387" i="17"/>
  <c r="AB387" i="17"/>
  <c r="X387" i="17"/>
  <c r="W387" i="17"/>
  <c r="AC387" i="17" s="1"/>
  <c r="AD386" i="17"/>
  <c r="X386" i="17"/>
  <c r="W386" i="17"/>
  <c r="AC386" i="17" s="1"/>
  <c r="AD385" i="17"/>
  <c r="AB385" i="17"/>
  <c r="X385" i="17"/>
  <c r="W385" i="17"/>
  <c r="AC385" i="17" s="1"/>
  <c r="AD384" i="17"/>
  <c r="X384" i="17"/>
  <c r="W384" i="17"/>
  <c r="AC384" i="17" s="1"/>
  <c r="AD383" i="17"/>
  <c r="X383" i="17"/>
  <c r="W383" i="17"/>
  <c r="AD382" i="17"/>
  <c r="X382" i="17"/>
  <c r="AC382" i="17" s="1"/>
  <c r="W382" i="17"/>
  <c r="AD381" i="17"/>
  <c r="X381" i="17"/>
  <c r="W381" i="17"/>
  <c r="AC381" i="17" s="1"/>
  <c r="AD380" i="17"/>
  <c r="X380" i="17"/>
  <c r="W380" i="17"/>
  <c r="AC380" i="17" s="1"/>
  <c r="AD379" i="17"/>
  <c r="X379" i="17"/>
  <c r="W379" i="17"/>
  <c r="AC379" i="17" s="1"/>
  <c r="AD378" i="17"/>
  <c r="X378" i="17"/>
  <c r="W378" i="17"/>
  <c r="AC378" i="17" s="1"/>
  <c r="AD377" i="17"/>
  <c r="X377" i="17"/>
  <c r="W377" i="17"/>
  <c r="AC377" i="17" s="1"/>
  <c r="AD376" i="17"/>
  <c r="X376" i="17"/>
  <c r="W376" i="17"/>
  <c r="AC376" i="17" s="1"/>
  <c r="AD375" i="17"/>
  <c r="X375" i="17"/>
  <c r="W375" i="17"/>
  <c r="AD374" i="17"/>
  <c r="X374" i="17"/>
  <c r="AC374" i="17" s="1"/>
  <c r="W374" i="17"/>
  <c r="AD373" i="17"/>
  <c r="X373" i="17"/>
  <c r="W373" i="17"/>
  <c r="AC373" i="17" s="1"/>
  <c r="AD372" i="17"/>
  <c r="AB372" i="17"/>
  <c r="X372" i="17"/>
  <c r="W372" i="17"/>
  <c r="AC372" i="17" s="1"/>
  <c r="AD371" i="17"/>
  <c r="X371" i="17"/>
  <c r="W371" i="17"/>
  <c r="AC371" i="17" s="1"/>
  <c r="AD193" i="17"/>
  <c r="X193" i="17"/>
  <c r="W193" i="17"/>
  <c r="AC193" i="17" s="1"/>
  <c r="X193" i="16"/>
  <c r="W193" i="16"/>
  <c r="V193" i="16"/>
  <c r="AD192" i="17"/>
  <c r="AB192" i="17"/>
  <c r="X192" i="17"/>
  <c r="W192" i="17"/>
  <c r="AC192" i="17" s="1"/>
  <c r="X192" i="16"/>
  <c r="W192" i="16"/>
  <c r="V192" i="16"/>
  <c r="AD191" i="17"/>
  <c r="X191" i="17"/>
  <c r="W191" i="17"/>
  <c r="X191" i="16"/>
  <c r="W191" i="16"/>
  <c r="V191" i="16"/>
  <c r="AD190" i="17"/>
  <c r="X190" i="17"/>
  <c r="W190" i="17"/>
  <c r="AC190" i="17" s="1"/>
  <c r="X190" i="16"/>
  <c r="W190" i="16"/>
  <c r="V190" i="16"/>
  <c r="AD189" i="17"/>
  <c r="X189" i="17"/>
  <c r="W189" i="17"/>
  <c r="X189" i="16"/>
  <c r="W189" i="16"/>
  <c r="V189" i="16"/>
  <c r="AD188" i="17"/>
  <c r="X188" i="17"/>
  <c r="W188" i="17"/>
  <c r="AC188" i="17" s="1"/>
  <c r="X188" i="16"/>
  <c r="W188" i="16"/>
  <c r="V188" i="16"/>
  <c r="AD187" i="17"/>
  <c r="X187" i="17"/>
  <c r="W187" i="17"/>
  <c r="X187" i="16"/>
  <c r="W187" i="16"/>
  <c r="V187" i="16"/>
  <c r="AD186" i="17"/>
  <c r="X186" i="17"/>
  <c r="W186" i="17"/>
  <c r="AC186" i="17" s="1"/>
  <c r="X186" i="16"/>
  <c r="W186" i="16"/>
  <c r="V186" i="16"/>
  <c r="AD185" i="17"/>
  <c r="X185" i="17"/>
  <c r="W185" i="17"/>
  <c r="AC185" i="17" s="1"/>
  <c r="X185" i="16"/>
  <c r="W185" i="16"/>
  <c r="V185" i="16"/>
  <c r="AD184" i="17"/>
  <c r="X184" i="17"/>
  <c r="W184" i="17"/>
  <c r="X184" i="16"/>
  <c r="W184" i="16"/>
  <c r="V184" i="16"/>
  <c r="AD183" i="17"/>
  <c r="AB183" i="17"/>
  <c r="X183" i="17"/>
  <c r="W183" i="17"/>
  <c r="X183" i="16"/>
  <c r="W183" i="16"/>
  <c r="V183" i="16"/>
  <c r="AD182" i="17"/>
  <c r="X182" i="17"/>
  <c r="W182" i="17"/>
  <c r="X182" i="16"/>
  <c r="W182" i="16"/>
  <c r="V182" i="16"/>
  <c r="AE181" i="17"/>
  <c r="V181" i="17"/>
  <c r="AB181" i="17" s="1"/>
  <c r="X181" i="16"/>
  <c r="W181" i="16"/>
  <c r="V181" i="16"/>
  <c r="AE180" i="17"/>
  <c r="V180" i="17"/>
  <c r="AB180" i="17" s="1"/>
  <c r="X180" i="16"/>
  <c r="W180" i="16"/>
  <c r="V180" i="16"/>
  <c r="AE179" i="17"/>
  <c r="V179" i="17"/>
  <c r="AB179" i="17" s="1"/>
  <c r="X179" i="16"/>
  <c r="W179" i="16"/>
  <c r="V179" i="16"/>
  <c r="AE178" i="17"/>
  <c r="AB178" i="17"/>
  <c r="V178" i="17"/>
  <c r="X178" i="16"/>
  <c r="W178" i="16"/>
  <c r="V178" i="16"/>
  <c r="AE177" i="17"/>
  <c r="V177" i="17"/>
  <c r="AB177" i="17" s="1"/>
  <c r="X177" i="16"/>
  <c r="W177" i="16"/>
  <c r="V177" i="16"/>
  <c r="AE176" i="17"/>
  <c r="V176" i="17"/>
  <c r="AB176" i="17" s="1"/>
  <c r="X176" i="16"/>
  <c r="W176" i="16"/>
  <c r="V176" i="16"/>
  <c r="AE175" i="17"/>
  <c r="AB175" i="17"/>
  <c r="V175" i="17"/>
  <c r="X175" i="16"/>
  <c r="W175" i="16"/>
  <c r="V175" i="16"/>
  <c r="AE174" i="17"/>
  <c r="V174" i="17"/>
  <c r="AB174" i="17" s="1"/>
  <c r="X174" i="16"/>
  <c r="W174" i="16"/>
  <c r="V174" i="16"/>
  <c r="AE173" i="17"/>
  <c r="V173" i="17"/>
  <c r="AB173" i="17" s="1"/>
  <c r="X173" i="16"/>
  <c r="W173" i="16"/>
  <c r="V173" i="16"/>
  <c r="AE172" i="17"/>
  <c r="V172" i="17"/>
  <c r="AB172" i="17" s="1"/>
  <c r="X172" i="16"/>
  <c r="W172" i="16"/>
  <c r="V172" i="16"/>
  <c r="AE171" i="17"/>
  <c r="AB171" i="17"/>
  <c r="V171" i="17"/>
  <c r="X171" i="16"/>
  <c r="W171" i="16"/>
  <c r="V171" i="16"/>
  <c r="AE170" i="17"/>
  <c r="V170" i="17"/>
  <c r="AB170" i="17" s="1"/>
  <c r="X170" i="16"/>
  <c r="W170" i="16"/>
  <c r="V170" i="16"/>
  <c r="AD169" i="17"/>
  <c r="AC169" i="17"/>
  <c r="X169" i="17"/>
  <c r="W169" i="17"/>
  <c r="AD168" i="17"/>
  <c r="X168" i="17"/>
  <c r="W168" i="17"/>
  <c r="AC168" i="17" s="1"/>
  <c r="AD167" i="17"/>
  <c r="X167" i="17"/>
  <c r="AC167" i="17" s="1"/>
  <c r="W167" i="17"/>
  <c r="AD166" i="17"/>
  <c r="X166" i="17"/>
  <c r="AC166" i="17" s="1"/>
  <c r="W166" i="17"/>
  <c r="AD165" i="17"/>
  <c r="X165" i="17"/>
  <c r="W165" i="17"/>
  <c r="AD164" i="17"/>
  <c r="X164" i="17"/>
  <c r="W164" i="17"/>
  <c r="AD163" i="17"/>
  <c r="X163" i="17"/>
  <c r="W163" i="17"/>
  <c r="AD162" i="17"/>
  <c r="X162" i="17"/>
  <c r="W162" i="17"/>
  <c r="AD161" i="17"/>
  <c r="X161" i="17"/>
  <c r="W161" i="17"/>
  <c r="AD160" i="17"/>
  <c r="X160" i="17"/>
  <c r="W160" i="17"/>
  <c r="AD159" i="17"/>
  <c r="X159" i="17"/>
  <c r="W159" i="17"/>
  <c r="AD158" i="17"/>
  <c r="X158" i="17"/>
  <c r="W158" i="17"/>
  <c r="AD157" i="17"/>
  <c r="X157" i="17"/>
  <c r="W157" i="17"/>
  <c r="AD156" i="17"/>
  <c r="X156" i="17"/>
  <c r="W156" i="17"/>
  <c r="AD155" i="17"/>
  <c r="X155" i="17"/>
  <c r="W155" i="17"/>
  <c r="AD154" i="17"/>
  <c r="X154" i="17"/>
  <c r="W154" i="17"/>
  <c r="AD153" i="17"/>
  <c r="X153" i="17"/>
  <c r="W153" i="17"/>
  <c r="AD152" i="17"/>
  <c r="X152" i="17"/>
  <c r="W152" i="17"/>
  <c r="AD151" i="17"/>
  <c r="X151" i="17"/>
  <c r="W151" i="17"/>
  <c r="AD150" i="17"/>
  <c r="X150" i="17"/>
  <c r="W150" i="17"/>
  <c r="AD149" i="17"/>
  <c r="X149" i="17"/>
  <c r="W149" i="17"/>
  <c r="AD148" i="17"/>
  <c r="X148" i="17"/>
  <c r="W148" i="17"/>
  <c r="AD147" i="17"/>
  <c r="X147" i="17"/>
  <c r="W147" i="17"/>
  <c r="AD146" i="17"/>
  <c r="X146" i="17"/>
  <c r="W146" i="17"/>
  <c r="AE145" i="17"/>
  <c r="V145" i="17"/>
  <c r="AB145" i="17" s="1"/>
  <c r="AE144" i="17"/>
  <c r="V144" i="17"/>
  <c r="AB144" i="17" s="1"/>
  <c r="AE143" i="17"/>
  <c r="V143" i="17"/>
  <c r="AB143" i="17" s="1"/>
  <c r="AE142" i="17"/>
  <c r="AC142" i="17"/>
  <c r="V142" i="17"/>
  <c r="AB142" i="17" s="1"/>
  <c r="AE141" i="17"/>
  <c r="V141" i="17"/>
  <c r="AB141" i="17" s="1"/>
  <c r="AE140" i="17"/>
  <c r="V140" i="17"/>
  <c r="AB140" i="17" s="1"/>
  <c r="AE139" i="17"/>
  <c r="V139" i="17"/>
  <c r="AB139" i="17" s="1"/>
  <c r="AE138" i="17"/>
  <c r="V138" i="17"/>
  <c r="AB138" i="17" s="1"/>
  <c r="AE137" i="17"/>
  <c r="V137" i="17"/>
  <c r="AB137" i="17" s="1"/>
  <c r="AE136" i="17"/>
  <c r="V136" i="17"/>
  <c r="AB136" i="17" s="1"/>
  <c r="AE135" i="17"/>
  <c r="V135" i="17"/>
  <c r="AB135" i="17" s="1"/>
  <c r="AE134" i="17"/>
  <c r="AC134" i="17"/>
  <c r="V134" i="17"/>
  <c r="AB134" i="17" s="1"/>
  <c r="AD133" i="17"/>
  <c r="X133" i="17"/>
  <c r="W133" i="17"/>
  <c r="AD132" i="17"/>
  <c r="X132" i="17"/>
  <c r="W132" i="17"/>
  <c r="AD131" i="17"/>
  <c r="X131" i="17"/>
  <c r="W131" i="17"/>
  <c r="AD130" i="17"/>
  <c r="X130" i="17"/>
  <c r="W130" i="17"/>
  <c r="AD129" i="17"/>
  <c r="X129" i="17"/>
  <c r="W129" i="17"/>
  <c r="AD128" i="17"/>
  <c r="X128" i="17"/>
  <c r="W128" i="17"/>
  <c r="AD127" i="17"/>
  <c r="X127" i="17"/>
  <c r="W127" i="17"/>
  <c r="AD126" i="17"/>
  <c r="X126" i="17"/>
  <c r="W126" i="17"/>
  <c r="AD125" i="17"/>
  <c r="X125" i="17"/>
  <c r="W125" i="17"/>
  <c r="AD124" i="17"/>
  <c r="X124" i="17"/>
  <c r="W124" i="17"/>
  <c r="AD123" i="17"/>
  <c r="X123" i="17"/>
  <c r="W123" i="17"/>
  <c r="AD122" i="17"/>
  <c r="X122" i="17"/>
  <c r="W122" i="17"/>
  <c r="X73" i="17"/>
  <c r="W73" i="17"/>
  <c r="V73" i="17"/>
  <c r="AB73" i="17" s="1"/>
  <c r="X72" i="17"/>
  <c r="AC72" i="17" s="1"/>
  <c r="W72" i="17"/>
  <c r="V72" i="17"/>
  <c r="AB72" i="17" s="1"/>
  <c r="X71" i="17"/>
  <c r="AC71" i="17" s="1"/>
  <c r="W71" i="17"/>
  <c r="V71" i="17"/>
  <c r="AB71" i="17" s="1"/>
  <c r="X70" i="17"/>
  <c r="W70" i="17"/>
  <c r="AC70" i="17" s="1"/>
  <c r="V70" i="17"/>
  <c r="AB70" i="17" s="1"/>
  <c r="X69" i="17"/>
  <c r="W69" i="17"/>
  <c r="V69" i="17"/>
  <c r="AB69" i="17" s="1"/>
  <c r="X68" i="17"/>
  <c r="W68" i="17"/>
  <c r="AC68" i="17" s="1"/>
  <c r="V68" i="17"/>
  <c r="AB68" i="17" s="1"/>
  <c r="X67" i="17"/>
  <c r="W67" i="17"/>
  <c r="V67" i="17"/>
  <c r="AB67" i="17" s="1"/>
  <c r="X66" i="17"/>
  <c r="W66" i="17"/>
  <c r="AC66" i="17" s="1"/>
  <c r="V66" i="17"/>
  <c r="AB66" i="17" s="1"/>
  <c r="X65" i="17"/>
  <c r="W65" i="17"/>
  <c r="V65" i="17"/>
  <c r="AB65" i="17" s="1"/>
  <c r="X64" i="17"/>
  <c r="AC64" i="17" s="1"/>
  <c r="W64" i="17"/>
  <c r="V64" i="17"/>
  <c r="AB64" i="17" s="1"/>
  <c r="X63" i="17"/>
  <c r="AC63" i="17" s="1"/>
  <c r="W63" i="17"/>
  <c r="V63" i="17"/>
  <c r="AB63" i="17" s="1"/>
  <c r="X62" i="17"/>
  <c r="W62" i="17"/>
  <c r="AC62" i="17" s="1"/>
  <c r="V62" i="17"/>
  <c r="AB62" i="17" s="1"/>
  <c r="X61" i="17"/>
  <c r="W61" i="17"/>
  <c r="V61" i="17"/>
  <c r="AB61" i="17" s="1"/>
  <c r="X60" i="17"/>
  <c r="W60" i="17"/>
  <c r="V60" i="17"/>
  <c r="AB60" i="17" s="1"/>
  <c r="X59" i="17"/>
  <c r="W59" i="17"/>
  <c r="AC59" i="17" s="1"/>
  <c r="V59" i="17"/>
  <c r="AB59" i="17" s="1"/>
  <c r="X58" i="17"/>
  <c r="W58" i="17"/>
  <c r="AC58" i="17" s="1"/>
  <c r="V58" i="17"/>
  <c r="AB58" i="17" s="1"/>
  <c r="X57" i="17"/>
  <c r="W57" i="17"/>
  <c r="V57" i="17"/>
  <c r="AB57" i="17" s="1"/>
  <c r="X56" i="17"/>
  <c r="AC56" i="17" s="1"/>
  <c r="W56" i="17"/>
  <c r="V56" i="17"/>
  <c r="AB56" i="17" s="1"/>
  <c r="X55" i="17"/>
  <c r="AC55" i="17" s="1"/>
  <c r="W55" i="17"/>
  <c r="V55" i="17"/>
  <c r="AB55" i="17" s="1"/>
  <c r="X54" i="17"/>
  <c r="W54" i="17"/>
  <c r="AC54" i="17" s="1"/>
  <c r="V54" i="17"/>
  <c r="AB54" i="17" s="1"/>
  <c r="X53" i="17"/>
  <c r="W53" i="17"/>
  <c r="V53" i="17"/>
  <c r="AB53" i="17" s="1"/>
  <c r="X52" i="17"/>
  <c r="W52" i="17"/>
  <c r="AC52" i="17" s="1"/>
  <c r="V52" i="17"/>
  <c r="AB52" i="17" s="1"/>
  <c r="X51" i="17"/>
  <c r="W51" i="17"/>
  <c r="V51" i="17"/>
  <c r="AB51" i="17" s="1"/>
  <c r="X50" i="17"/>
  <c r="W50" i="17"/>
  <c r="AC50" i="17" s="1"/>
  <c r="V50" i="17"/>
  <c r="AB50" i="17" s="1"/>
  <c r="M40" i="5"/>
  <c r="M39" i="5"/>
  <c r="M38" i="5"/>
  <c r="AI9" i="17"/>
  <c r="AJ7" i="17"/>
  <c r="AI7" i="17"/>
  <c r="AJ4" i="17"/>
  <c r="AI4" i="17"/>
  <c r="AD370" i="17"/>
  <c r="AD369" i="17"/>
  <c r="AD368" i="17"/>
  <c r="AD367" i="17"/>
  <c r="AD366" i="17"/>
  <c r="AD365" i="17"/>
  <c r="AD364" i="17"/>
  <c r="AD363" i="17"/>
  <c r="AD362" i="17"/>
  <c r="AD361" i="17"/>
  <c r="AD360" i="17"/>
  <c r="AD359" i="17"/>
  <c r="AD358" i="17"/>
  <c r="AD357" i="17"/>
  <c r="AD356" i="17"/>
  <c r="AD355" i="17"/>
  <c r="AD354" i="17"/>
  <c r="AD353" i="17"/>
  <c r="AD352" i="17"/>
  <c r="AD351" i="17"/>
  <c r="AD350" i="17"/>
  <c r="AD349" i="17"/>
  <c r="AD348" i="17"/>
  <c r="AD347" i="17"/>
  <c r="AD346" i="17"/>
  <c r="AD345" i="17"/>
  <c r="AD344" i="17"/>
  <c r="AD343" i="17"/>
  <c r="AD342" i="17"/>
  <c r="AD341" i="17"/>
  <c r="AD340" i="17"/>
  <c r="AD339" i="17"/>
  <c r="AD338" i="17"/>
  <c r="AD337" i="17"/>
  <c r="AD336" i="17"/>
  <c r="AD335" i="17"/>
  <c r="AD334" i="17"/>
  <c r="AD333" i="17"/>
  <c r="AD332" i="17"/>
  <c r="AD331" i="17"/>
  <c r="AD330" i="17"/>
  <c r="AD329" i="17"/>
  <c r="AD328" i="17"/>
  <c r="AD327" i="17"/>
  <c r="AD326" i="17"/>
  <c r="AD325" i="17"/>
  <c r="AD324" i="17"/>
  <c r="AD323" i="17"/>
  <c r="AD322" i="17"/>
  <c r="AD321" i="17"/>
  <c r="AD320" i="17"/>
  <c r="AD319" i="17"/>
  <c r="AD318" i="17"/>
  <c r="AD317" i="17"/>
  <c r="AD316" i="17"/>
  <c r="AD315" i="17"/>
  <c r="AD314" i="17"/>
  <c r="AD313" i="17"/>
  <c r="AD312" i="17"/>
  <c r="AD311" i="17"/>
  <c r="AD310" i="17"/>
  <c r="AD309" i="17"/>
  <c r="AD308" i="17"/>
  <c r="AD307" i="17"/>
  <c r="AD306" i="17"/>
  <c r="AD305" i="17"/>
  <c r="AD304" i="17"/>
  <c r="AD303" i="17"/>
  <c r="AD302" i="17"/>
  <c r="AD301" i="17"/>
  <c r="AD300" i="17"/>
  <c r="AD299" i="17"/>
  <c r="AD298" i="17"/>
  <c r="AD297" i="17"/>
  <c r="AD296" i="17"/>
  <c r="AD295" i="17"/>
  <c r="AD294" i="17"/>
  <c r="AD293" i="17"/>
  <c r="AD292" i="17"/>
  <c r="AD291" i="17"/>
  <c r="AD290" i="17"/>
  <c r="AD289" i="17"/>
  <c r="AD288" i="17"/>
  <c r="AD287" i="17"/>
  <c r="AD286" i="17"/>
  <c r="AD285" i="17"/>
  <c r="AD284" i="17"/>
  <c r="AD283" i="17"/>
  <c r="AD282" i="17"/>
  <c r="AD281" i="17"/>
  <c r="AD280" i="17"/>
  <c r="AD279" i="17"/>
  <c r="AD278" i="17"/>
  <c r="AD277" i="17"/>
  <c r="AD276" i="17"/>
  <c r="AD275" i="17"/>
  <c r="AD274" i="17"/>
  <c r="AD273" i="17"/>
  <c r="AD272" i="17"/>
  <c r="AD271" i="17"/>
  <c r="AD270" i="17"/>
  <c r="AD269" i="17"/>
  <c r="AD268" i="17"/>
  <c r="AD267" i="17"/>
  <c r="AD266" i="17"/>
  <c r="AD265" i="17"/>
  <c r="AD264" i="17"/>
  <c r="AD263" i="17"/>
  <c r="AD262" i="17"/>
  <c r="AD261" i="17"/>
  <c r="AD260" i="17"/>
  <c r="AD259" i="17"/>
  <c r="AD258" i="17"/>
  <c r="AD257" i="17"/>
  <c r="AD256" i="17"/>
  <c r="AD255" i="17"/>
  <c r="AD254" i="17"/>
  <c r="AD253" i="17"/>
  <c r="AD252" i="17"/>
  <c r="AD251" i="17"/>
  <c r="AD250" i="17"/>
  <c r="AD249" i="17"/>
  <c r="AD248" i="17"/>
  <c r="AD247" i="17"/>
  <c r="AD246" i="17"/>
  <c r="AD245" i="17"/>
  <c r="AD244" i="17"/>
  <c r="AD243" i="17"/>
  <c r="AD242" i="17"/>
  <c r="AD241" i="17"/>
  <c r="AD240" i="17"/>
  <c r="AD239" i="17"/>
  <c r="AD238" i="17"/>
  <c r="AD237" i="17"/>
  <c r="AD236" i="17"/>
  <c r="AD235" i="17"/>
  <c r="AD234" i="17"/>
  <c r="AD233" i="17"/>
  <c r="AD232" i="17"/>
  <c r="AD231" i="17"/>
  <c r="AD230" i="17"/>
  <c r="AD229" i="17"/>
  <c r="AD228" i="17"/>
  <c r="AD227" i="17"/>
  <c r="AD9" i="21" s="1"/>
  <c r="AD226" i="17"/>
  <c r="AD225" i="17"/>
  <c r="AD224" i="17"/>
  <c r="AD223" i="17"/>
  <c r="AD222" i="17"/>
  <c r="AD221" i="17"/>
  <c r="AD220" i="17"/>
  <c r="AD219" i="17"/>
  <c r="AD218" i="17"/>
  <c r="AD217" i="17"/>
  <c r="AD216" i="17"/>
  <c r="AE215" i="17"/>
  <c r="AE214" i="17"/>
  <c r="AE213" i="17"/>
  <c r="AE212" i="17"/>
  <c r="AE211" i="17"/>
  <c r="AE210" i="17"/>
  <c r="AE209" i="17"/>
  <c r="AE208" i="17"/>
  <c r="AE207" i="17"/>
  <c r="AE206" i="17"/>
  <c r="AE205" i="17"/>
  <c r="AD204" i="17"/>
  <c r="AD203" i="17"/>
  <c r="AD202" i="17"/>
  <c r="AD201" i="17"/>
  <c r="AD200" i="17"/>
  <c r="AD199" i="17"/>
  <c r="AD198" i="17"/>
  <c r="AD197" i="17"/>
  <c r="AD196" i="17"/>
  <c r="AD195" i="17"/>
  <c r="AD194" i="17"/>
  <c r="AD121" i="17"/>
  <c r="AD120" i="17"/>
  <c r="AD119" i="17"/>
  <c r="AD118" i="17"/>
  <c r="AD117" i="17"/>
  <c r="AD116" i="17"/>
  <c r="AD115" i="17"/>
  <c r="AD114" i="17"/>
  <c r="AD113" i="17"/>
  <c r="AD112" i="17"/>
  <c r="AD111" i="17"/>
  <c r="AD110" i="17"/>
  <c r="AE109" i="17"/>
  <c r="AE108" i="17"/>
  <c r="AE107" i="17"/>
  <c r="AE106" i="17"/>
  <c r="AE105" i="17"/>
  <c r="AE104" i="17"/>
  <c r="AE103" i="17"/>
  <c r="AE102" i="17"/>
  <c r="AE101" i="17"/>
  <c r="AE100" i="17"/>
  <c r="AE99" i="17"/>
  <c r="AE98" i="17"/>
  <c r="AD97" i="17"/>
  <c r="AD96" i="17"/>
  <c r="AD95" i="17"/>
  <c r="AD94" i="17"/>
  <c r="AD93" i="17"/>
  <c r="AD92" i="17"/>
  <c r="AD91" i="17"/>
  <c r="AD90" i="17"/>
  <c r="AD89" i="17"/>
  <c r="AD88" i="17"/>
  <c r="AD87" i="17"/>
  <c r="AD86" i="17"/>
  <c r="AE85" i="17"/>
  <c r="AE84" i="17"/>
  <c r="AE83" i="17"/>
  <c r="AE82" i="17"/>
  <c r="AE81" i="17"/>
  <c r="AE80" i="17"/>
  <c r="AE79" i="17"/>
  <c r="AE78" i="17"/>
  <c r="AE77" i="17"/>
  <c r="AE76" i="17"/>
  <c r="AE75" i="17"/>
  <c r="AE74" i="17"/>
  <c r="AD37" i="17"/>
  <c r="AD36" i="17"/>
  <c r="AD35" i="17"/>
  <c r="AD34" i="17"/>
  <c r="AD33" i="17"/>
  <c r="AD32" i="17"/>
  <c r="AD31" i="17"/>
  <c r="AD30" i="17"/>
  <c r="AD29" i="17"/>
  <c r="AD28" i="17"/>
  <c r="AD27" i="17"/>
  <c r="AD26" i="17"/>
  <c r="AE13" i="17"/>
  <c r="AE12" i="17"/>
  <c r="AE11" i="17"/>
  <c r="AE10" i="17"/>
  <c r="AE9" i="17"/>
  <c r="AE8" i="17"/>
  <c r="AE7" i="17"/>
  <c r="AE6" i="17"/>
  <c r="AE5" i="17"/>
  <c r="AE4" i="17"/>
  <c r="AE3" i="17"/>
  <c r="AE2" i="17"/>
  <c r="AE5" i="21" s="1"/>
  <c r="V400" i="17"/>
  <c r="V399" i="17"/>
  <c r="AB399" i="17" s="1"/>
  <c r="V398" i="17"/>
  <c r="AB398" i="17" s="1"/>
  <c r="V397" i="17"/>
  <c r="AB397" i="17" s="1"/>
  <c r="V396" i="17"/>
  <c r="AB396" i="17" s="1"/>
  <c r="V395" i="17"/>
  <c r="AB395" i="17" s="1"/>
  <c r="V394" i="17"/>
  <c r="AB394" i="17" s="1"/>
  <c r="V393" i="17"/>
  <c r="AB393" i="17" s="1"/>
  <c r="V392" i="17"/>
  <c r="AB392" i="17" s="1"/>
  <c r="V391" i="17"/>
  <c r="AB391" i="17" s="1"/>
  <c r="V390" i="17"/>
  <c r="AB390" i="17" s="1"/>
  <c r="V389" i="17"/>
  <c r="V388" i="17"/>
  <c r="AB388" i="17" s="1"/>
  <c r="V387" i="17"/>
  <c r="V386" i="17"/>
  <c r="AB386" i="17" s="1"/>
  <c r="V385" i="17"/>
  <c r="V384" i="17"/>
  <c r="AB384" i="17" s="1"/>
  <c r="V383" i="17"/>
  <c r="AB383" i="17" s="1"/>
  <c r="V382" i="17"/>
  <c r="AB382" i="17" s="1"/>
  <c r="V381" i="17"/>
  <c r="AB381" i="17" s="1"/>
  <c r="V380" i="17"/>
  <c r="AB380" i="17" s="1"/>
  <c r="V379" i="17"/>
  <c r="AB379" i="17" s="1"/>
  <c r="V378" i="17"/>
  <c r="AB378" i="17" s="1"/>
  <c r="V377" i="17"/>
  <c r="AB377" i="17" s="1"/>
  <c r="V376" i="17"/>
  <c r="AB376" i="17" s="1"/>
  <c r="V375" i="17"/>
  <c r="AB375" i="17" s="1"/>
  <c r="V374" i="17"/>
  <c r="AB374" i="17" s="1"/>
  <c r="V373" i="17"/>
  <c r="AB373" i="17" s="1"/>
  <c r="V372" i="17"/>
  <c r="V371" i="17"/>
  <c r="AB371" i="17" s="1"/>
  <c r="X370" i="17"/>
  <c r="W370" i="17"/>
  <c r="V370" i="17"/>
  <c r="AB370" i="17" s="1"/>
  <c r="X369" i="17"/>
  <c r="W369" i="17"/>
  <c r="V369" i="17"/>
  <c r="AB369" i="17" s="1"/>
  <c r="X368" i="17"/>
  <c r="W368" i="17"/>
  <c r="V368" i="17"/>
  <c r="AB368" i="17" s="1"/>
  <c r="X367" i="17"/>
  <c r="W367" i="17"/>
  <c r="V367" i="17"/>
  <c r="AB367" i="17" s="1"/>
  <c r="X366" i="17"/>
  <c r="W366" i="17"/>
  <c r="V366" i="17"/>
  <c r="AB366" i="17" s="1"/>
  <c r="X365" i="17"/>
  <c r="W365" i="17"/>
  <c r="V365" i="17"/>
  <c r="AB365" i="17" s="1"/>
  <c r="X364" i="17"/>
  <c r="W364" i="17"/>
  <c r="V364" i="17"/>
  <c r="AB364" i="17" s="1"/>
  <c r="X363" i="17"/>
  <c r="W363" i="17"/>
  <c r="V363" i="17"/>
  <c r="AB363" i="17" s="1"/>
  <c r="X362" i="17"/>
  <c r="W362" i="17"/>
  <c r="V362" i="17"/>
  <c r="AB362" i="17" s="1"/>
  <c r="X361" i="17"/>
  <c r="W361" i="17"/>
  <c r="V361" i="17"/>
  <c r="AB361" i="17" s="1"/>
  <c r="X360" i="17"/>
  <c r="W360" i="17"/>
  <c r="V360" i="17"/>
  <c r="AB360" i="17" s="1"/>
  <c r="X359" i="17"/>
  <c r="W359" i="17"/>
  <c r="V359" i="17"/>
  <c r="AB359" i="17" s="1"/>
  <c r="X358" i="17"/>
  <c r="W358" i="17"/>
  <c r="V358" i="17"/>
  <c r="AB358" i="17" s="1"/>
  <c r="X357" i="17"/>
  <c r="W357" i="17"/>
  <c r="V357" i="17"/>
  <c r="AB357" i="17" s="1"/>
  <c r="X356" i="17"/>
  <c r="W356" i="17"/>
  <c r="V356" i="17"/>
  <c r="AB356" i="17" s="1"/>
  <c r="X355" i="17"/>
  <c r="W355" i="17"/>
  <c r="V355" i="17"/>
  <c r="AB355" i="17" s="1"/>
  <c r="X354" i="17"/>
  <c r="W354" i="17"/>
  <c r="V354" i="17"/>
  <c r="AB354" i="17" s="1"/>
  <c r="X353" i="17"/>
  <c r="W353" i="17"/>
  <c r="V353" i="17"/>
  <c r="AB353" i="17" s="1"/>
  <c r="X352" i="17"/>
  <c r="W352" i="17"/>
  <c r="V352" i="17"/>
  <c r="AB352" i="17" s="1"/>
  <c r="X351" i="17"/>
  <c r="W351" i="17"/>
  <c r="V351" i="17"/>
  <c r="AB351" i="17" s="1"/>
  <c r="X350" i="17"/>
  <c r="W350" i="17"/>
  <c r="V350" i="17"/>
  <c r="AB350" i="17" s="1"/>
  <c r="X349" i="17"/>
  <c r="W349" i="17"/>
  <c r="V349" i="17"/>
  <c r="AB349" i="17" s="1"/>
  <c r="X348" i="17"/>
  <c r="W348" i="17"/>
  <c r="V348" i="17"/>
  <c r="AB348" i="17" s="1"/>
  <c r="X347" i="17"/>
  <c r="W347" i="17"/>
  <c r="V347" i="17"/>
  <c r="AB347" i="17" s="1"/>
  <c r="X346" i="17"/>
  <c r="W346" i="17"/>
  <c r="V346" i="17"/>
  <c r="AB346" i="17" s="1"/>
  <c r="X345" i="17"/>
  <c r="W345" i="17"/>
  <c r="V345" i="17"/>
  <c r="AB345" i="17" s="1"/>
  <c r="X344" i="17"/>
  <c r="W344" i="17"/>
  <c r="V344" i="17"/>
  <c r="AB344" i="17" s="1"/>
  <c r="X343" i="17"/>
  <c r="W343" i="17"/>
  <c r="V343" i="17"/>
  <c r="AB343" i="17" s="1"/>
  <c r="X342" i="17"/>
  <c r="W342" i="17"/>
  <c r="V342" i="17"/>
  <c r="AB342" i="17" s="1"/>
  <c r="X341" i="17"/>
  <c r="W341" i="17"/>
  <c r="V341" i="17"/>
  <c r="AB341" i="17" s="1"/>
  <c r="X340" i="17"/>
  <c r="W340" i="17"/>
  <c r="V340" i="17"/>
  <c r="AB340" i="17" s="1"/>
  <c r="X339" i="17"/>
  <c r="W339" i="17"/>
  <c r="V339" i="17"/>
  <c r="AB339" i="17" s="1"/>
  <c r="X338" i="17"/>
  <c r="W338" i="17"/>
  <c r="V338" i="17"/>
  <c r="AB338" i="17" s="1"/>
  <c r="X337" i="17"/>
  <c r="W337" i="17"/>
  <c r="V337" i="17"/>
  <c r="AB337" i="17" s="1"/>
  <c r="X336" i="17"/>
  <c r="W336" i="17"/>
  <c r="V336" i="17"/>
  <c r="AB336" i="17" s="1"/>
  <c r="X335" i="17"/>
  <c r="W335" i="17"/>
  <c r="V335" i="17"/>
  <c r="AB335" i="17" s="1"/>
  <c r="X334" i="17"/>
  <c r="W334" i="17"/>
  <c r="V334" i="17"/>
  <c r="AB334" i="17" s="1"/>
  <c r="X333" i="17"/>
  <c r="W333" i="17"/>
  <c r="V333" i="17"/>
  <c r="AB333" i="17" s="1"/>
  <c r="X332" i="17"/>
  <c r="W332" i="17"/>
  <c r="V332" i="17"/>
  <c r="AB332" i="17" s="1"/>
  <c r="X331" i="17"/>
  <c r="W331" i="17"/>
  <c r="V331" i="17"/>
  <c r="AB331" i="17" s="1"/>
  <c r="X330" i="17"/>
  <c r="W330" i="17"/>
  <c r="V330" i="17"/>
  <c r="AB330" i="17" s="1"/>
  <c r="X329" i="17"/>
  <c r="W329" i="17"/>
  <c r="V329" i="17"/>
  <c r="AB329" i="17" s="1"/>
  <c r="X328" i="17"/>
  <c r="W328" i="17"/>
  <c r="V328" i="17"/>
  <c r="AB328" i="17" s="1"/>
  <c r="X327" i="17"/>
  <c r="W327" i="17"/>
  <c r="V327" i="17"/>
  <c r="AB327" i="17" s="1"/>
  <c r="X326" i="17"/>
  <c r="W326" i="17"/>
  <c r="V326" i="17"/>
  <c r="AB326" i="17" s="1"/>
  <c r="X325" i="17"/>
  <c r="W325" i="17"/>
  <c r="V325" i="17"/>
  <c r="AB325" i="17" s="1"/>
  <c r="X324" i="17"/>
  <c r="W324" i="17"/>
  <c r="V324" i="17"/>
  <c r="AB324" i="17" s="1"/>
  <c r="X323" i="17"/>
  <c r="W323" i="17"/>
  <c r="V323" i="17"/>
  <c r="AB323" i="17" s="1"/>
  <c r="X322" i="17"/>
  <c r="W322" i="17"/>
  <c r="V322" i="17"/>
  <c r="AB322" i="17" s="1"/>
  <c r="X321" i="17"/>
  <c r="W321" i="17"/>
  <c r="V321" i="17"/>
  <c r="AB321" i="17" s="1"/>
  <c r="X320" i="17"/>
  <c r="W320" i="17"/>
  <c r="V320" i="17"/>
  <c r="AB320" i="17" s="1"/>
  <c r="X319" i="17"/>
  <c r="W319" i="17"/>
  <c r="V319" i="17"/>
  <c r="AB319" i="17" s="1"/>
  <c r="X318" i="17"/>
  <c r="W318" i="17"/>
  <c r="V318" i="17"/>
  <c r="AB318" i="17" s="1"/>
  <c r="X317" i="17"/>
  <c r="W317" i="17"/>
  <c r="V317" i="17"/>
  <c r="AB317" i="17" s="1"/>
  <c r="X316" i="17"/>
  <c r="W316" i="17"/>
  <c r="V316" i="17"/>
  <c r="AB316" i="17" s="1"/>
  <c r="X315" i="17"/>
  <c r="W315" i="17"/>
  <c r="V315" i="17"/>
  <c r="AB315" i="17" s="1"/>
  <c r="X314" i="17"/>
  <c r="W314" i="17"/>
  <c r="V314" i="17"/>
  <c r="AB314" i="17" s="1"/>
  <c r="X313" i="17"/>
  <c r="W313" i="17"/>
  <c r="V313" i="17"/>
  <c r="AB313" i="17" s="1"/>
  <c r="X312" i="17"/>
  <c r="W312" i="17"/>
  <c r="V312" i="17"/>
  <c r="AB312" i="17" s="1"/>
  <c r="X311" i="17"/>
  <c r="W311" i="17"/>
  <c r="V311" i="17"/>
  <c r="AB311" i="17" s="1"/>
  <c r="X310" i="17"/>
  <c r="W310" i="17"/>
  <c r="V310" i="17"/>
  <c r="AB310" i="17" s="1"/>
  <c r="X309" i="17"/>
  <c r="W309" i="17"/>
  <c r="V309" i="17"/>
  <c r="AB309" i="17" s="1"/>
  <c r="X308" i="17"/>
  <c r="W308" i="17"/>
  <c r="V308" i="17"/>
  <c r="AB308" i="17" s="1"/>
  <c r="X307" i="17"/>
  <c r="W307" i="17"/>
  <c r="V307" i="17"/>
  <c r="AB307" i="17" s="1"/>
  <c r="X306" i="17"/>
  <c r="W306" i="17"/>
  <c r="AC306" i="17" s="1"/>
  <c r="V306" i="17"/>
  <c r="AB306" i="17" s="1"/>
  <c r="X305" i="17"/>
  <c r="W305" i="17"/>
  <c r="V305" i="17"/>
  <c r="AB305" i="17" s="1"/>
  <c r="X304" i="17"/>
  <c r="W304" i="17"/>
  <c r="V304" i="17"/>
  <c r="AB304" i="17" s="1"/>
  <c r="X303" i="17"/>
  <c r="W303" i="17"/>
  <c r="V303" i="17"/>
  <c r="AB303" i="17" s="1"/>
  <c r="X302" i="17"/>
  <c r="W302" i="17"/>
  <c r="V302" i="17"/>
  <c r="AB302" i="17" s="1"/>
  <c r="X301" i="17"/>
  <c r="W301" i="17"/>
  <c r="V301" i="17"/>
  <c r="AB301" i="17" s="1"/>
  <c r="X300" i="17"/>
  <c r="W300" i="17"/>
  <c r="AC300" i="17" s="1"/>
  <c r="V300" i="17"/>
  <c r="AB300" i="17" s="1"/>
  <c r="X299" i="17"/>
  <c r="W299" i="17"/>
  <c r="V299" i="17"/>
  <c r="AB299" i="17" s="1"/>
  <c r="X298" i="17"/>
  <c r="W298" i="17"/>
  <c r="AC298" i="17" s="1"/>
  <c r="V298" i="17"/>
  <c r="AB298" i="17" s="1"/>
  <c r="X297" i="17"/>
  <c r="W297" i="17"/>
  <c r="V297" i="17"/>
  <c r="AB297" i="17" s="1"/>
  <c r="X296" i="17"/>
  <c r="W296" i="17"/>
  <c r="V296" i="17"/>
  <c r="AB296" i="17" s="1"/>
  <c r="X295" i="17"/>
  <c r="W295" i="17"/>
  <c r="V295" i="17"/>
  <c r="AB295" i="17" s="1"/>
  <c r="X294" i="17"/>
  <c r="W294" i="17"/>
  <c r="V294" i="17"/>
  <c r="AB294" i="17" s="1"/>
  <c r="X293" i="17"/>
  <c r="W293" i="17"/>
  <c r="V293" i="17"/>
  <c r="AB293" i="17" s="1"/>
  <c r="X292" i="17"/>
  <c r="W292" i="17"/>
  <c r="AC292" i="17" s="1"/>
  <c r="V292" i="17"/>
  <c r="AB292" i="17" s="1"/>
  <c r="X291" i="17"/>
  <c r="W291" i="17"/>
  <c r="V291" i="17"/>
  <c r="AB291" i="17" s="1"/>
  <c r="X290" i="17"/>
  <c r="W290" i="17"/>
  <c r="V290" i="17"/>
  <c r="AB290" i="17" s="1"/>
  <c r="X289" i="17"/>
  <c r="W289" i="17"/>
  <c r="V289" i="17"/>
  <c r="AB289" i="17" s="1"/>
  <c r="X288" i="17"/>
  <c r="W288" i="17"/>
  <c r="V288" i="17"/>
  <c r="AB288" i="17" s="1"/>
  <c r="X287" i="17"/>
  <c r="W287" i="17"/>
  <c r="V287" i="17"/>
  <c r="AB287" i="17" s="1"/>
  <c r="X286" i="17"/>
  <c r="W286" i="17"/>
  <c r="V286" i="17"/>
  <c r="AB286" i="17" s="1"/>
  <c r="X285" i="17"/>
  <c r="W285" i="17"/>
  <c r="V285" i="17"/>
  <c r="AB285" i="17" s="1"/>
  <c r="X284" i="17"/>
  <c r="W284" i="17"/>
  <c r="AC284" i="17" s="1"/>
  <c r="V284" i="17"/>
  <c r="AB284" i="17" s="1"/>
  <c r="X283" i="17"/>
  <c r="W283" i="17"/>
  <c r="V283" i="17"/>
  <c r="AB283" i="17" s="1"/>
  <c r="X282" i="17"/>
  <c r="W282" i="17"/>
  <c r="V282" i="17"/>
  <c r="AB282" i="17" s="1"/>
  <c r="X281" i="17"/>
  <c r="W281" i="17"/>
  <c r="V281" i="17"/>
  <c r="AB281" i="17" s="1"/>
  <c r="X280" i="17"/>
  <c r="W280" i="17"/>
  <c r="V280" i="17"/>
  <c r="AB280" i="17" s="1"/>
  <c r="X279" i="17"/>
  <c r="W279" i="17"/>
  <c r="V279" i="17"/>
  <c r="AB279" i="17" s="1"/>
  <c r="X278" i="17"/>
  <c r="W278" i="17"/>
  <c r="V278" i="17"/>
  <c r="AB278" i="17" s="1"/>
  <c r="X277" i="17"/>
  <c r="W277" i="17"/>
  <c r="V277" i="17"/>
  <c r="AB277" i="17" s="1"/>
  <c r="X276" i="17"/>
  <c r="W276" i="17"/>
  <c r="AC276" i="17" s="1"/>
  <c r="V276" i="17"/>
  <c r="AB276" i="17" s="1"/>
  <c r="X275" i="17"/>
  <c r="W275" i="17"/>
  <c r="V275" i="17"/>
  <c r="AB275" i="17" s="1"/>
  <c r="X274" i="17"/>
  <c r="W274" i="17"/>
  <c r="V274" i="17"/>
  <c r="AB274" i="17" s="1"/>
  <c r="X273" i="17"/>
  <c r="W273" i="17"/>
  <c r="V273" i="17"/>
  <c r="AB273" i="17" s="1"/>
  <c r="X272" i="17"/>
  <c r="W272" i="17"/>
  <c r="V272" i="17"/>
  <c r="AB272" i="17" s="1"/>
  <c r="X271" i="17"/>
  <c r="W271" i="17"/>
  <c r="V271" i="17"/>
  <c r="AB271" i="17" s="1"/>
  <c r="X270" i="17"/>
  <c r="W270" i="17"/>
  <c r="V270" i="17"/>
  <c r="AB270" i="17" s="1"/>
  <c r="X269" i="17"/>
  <c r="W269" i="17"/>
  <c r="V269" i="17"/>
  <c r="AB269" i="17" s="1"/>
  <c r="X268" i="17"/>
  <c r="W268" i="17"/>
  <c r="AC268" i="17" s="1"/>
  <c r="V268" i="17"/>
  <c r="AB268" i="17" s="1"/>
  <c r="X267" i="17"/>
  <c r="W267" i="17"/>
  <c r="V267" i="17"/>
  <c r="AB267" i="17" s="1"/>
  <c r="X266" i="17"/>
  <c r="W266" i="17"/>
  <c r="V266" i="17"/>
  <c r="AB266" i="17" s="1"/>
  <c r="X265" i="17"/>
  <c r="W265" i="17"/>
  <c r="V265" i="17"/>
  <c r="AB265" i="17" s="1"/>
  <c r="X264" i="17"/>
  <c r="W264" i="17"/>
  <c r="V264" i="17"/>
  <c r="AB264" i="17" s="1"/>
  <c r="X263" i="17"/>
  <c r="W263" i="17"/>
  <c r="V263" i="17"/>
  <c r="AB263" i="17" s="1"/>
  <c r="X262" i="17"/>
  <c r="W262" i="17"/>
  <c r="V262" i="17"/>
  <c r="AB262" i="17" s="1"/>
  <c r="X261" i="17"/>
  <c r="W261" i="17"/>
  <c r="V261" i="17"/>
  <c r="AB261" i="17" s="1"/>
  <c r="X260" i="17"/>
  <c r="W260" i="17"/>
  <c r="AC260" i="17" s="1"/>
  <c r="V260" i="17"/>
  <c r="AB260" i="17" s="1"/>
  <c r="X259" i="17"/>
  <c r="W259" i="17"/>
  <c r="V259" i="17"/>
  <c r="AB259" i="17" s="1"/>
  <c r="X258" i="17"/>
  <c r="W258" i="17"/>
  <c r="V258" i="17"/>
  <c r="AB258" i="17" s="1"/>
  <c r="X257" i="17"/>
  <c r="W257" i="17"/>
  <c r="V257" i="17"/>
  <c r="AB257" i="17" s="1"/>
  <c r="X256" i="17"/>
  <c r="W256" i="17"/>
  <c r="V256" i="17"/>
  <c r="AB256" i="17" s="1"/>
  <c r="X255" i="17"/>
  <c r="W255" i="17"/>
  <c r="V255" i="17"/>
  <c r="AB255" i="17" s="1"/>
  <c r="X254" i="17"/>
  <c r="W254" i="17"/>
  <c r="V254" i="17"/>
  <c r="AB254" i="17" s="1"/>
  <c r="X253" i="17"/>
  <c r="W253" i="17"/>
  <c r="V253" i="17"/>
  <c r="AB253" i="17" s="1"/>
  <c r="X252" i="17"/>
  <c r="W252" i="17"/>
  <c r="AC252" i="17" s="1"/>
  <c r="V252" i="17"/>
  <c r="AB252" i="17" s="1"/>
  <c r="X251" i="17"/>
  <c r="W251" i="17"/>
  <c r="V251" i="17"/>
  <c r="AB251" i="17" s="1"/>
  <c r="X250" i="17"/>
  <c r="W250" i="17"/>
  <c r="V250" i="17"/>
  <c r="AB250" i="17" s="1"/>
  <c r="X249" i="17"/>
  <c r="W249" i="17"/>
  <c r="V249" i="17"/>
  <c r="AB249" i="17" s="1"/>
  <c r="X248" i="17"/>
  <c r="W248" i="17"/>
  <c r="V248" i="17"/>
  <c r="AB248" i="17" s="1"/>
  <c r="X247" i="17"/>
  <c r="W247" i="17"/>
  <c r="V247" i="17"/>
  <c r="AB247" i="17" s="1"/>
  <c r="X246" i="17"/>
  <c r="W246" i="17"/>
  <c r="V246" i="17"/>
  <c r="AB246" i="17" s="1"/>
  <c r="X245" i="17"/>
  <c r="W245" i="17"/>
  <c r="V245" i="17"/>
  <c r="AB245" i="17" s="1"/>
  <c r="X244" i="17"/>
  <c r="W244" i="17"/>
  <c r="AC244" i="17" s="1"/>
  <c r="V244" i="17"/>
  <c r="AB244" i="17" s="1"/>
  <c r="X243" i="17"/>
  <c r="W243" i="17"/>
  <c r="V243" i="17"/>
  <c r="AB243" i="17" s="1"/>
  <c r="X242" i="17"/>
  <c r="W242" i="17"/>
  <c r="V242" i="17"/>
  <c r="AB242" i="17" s="1"/>
  <c r="X241" i="17"/>
  <c r="W241" i="17"/>
  <c r="V241" i="17"/>
  <c r="AB241" i="17" s="1"/>
  <c r="X240" i="17"/>
  <c r="W240" i="17"/>
  <c r="V240" i="17"/>
  <c r="AB240" i="17" s="1"/>
  <c r="X239" i="17"/>
  <c r="W239" i="17"/>
  <c r="V239" i="17"/>
  <c r="AB239" i="17" s="1"/>
  <c r="X238" i="17"/>
  <c r="W238" i="17"/>
  <c r="V238" i="17"/>
  <c r="AB238" i="17" s="1"/>
  <c r="X237" i="17"/>
  <c r="W237" i="17"/>
  <c r="V237" i="17"/>
  <c r="AB237" i="17" s="1"/>
  <c r="X236" i="17"/>
  <c r="W236" i="17"/>
  <c r="AC236" i="17" s="1"/>
  <c r="V236" i="17"/>
  <c r="AB236" i="17" s="1"/>
  <c r="X235" i="17"/>
  <c r="W235" i="17"/>
  <c r="AC235" i="17" s="1"/>
  <c r="V235" i="17"/>
  <c r="AB235" i="17" s="1"/>
  <c r="X234" i="17"/>
  <c r="W234" i="17"/>
  <c r="V234" i="17"/>
  <c r="AB234" i="17" s="1"/>
  <c r="X233" i="17"/>
  <c r="W233" i="17"/>
  <c r="V233" i="17"/>
  <c r="AB233" i="17" s="1"/>
  <c r="X232" i="17"/>
  <c r="W232" i="17"/>
  <c r="V232" i="17"/>
  <c r="AB232" i="17" s="1"/>
  <c r="X231" i="17"/>
  <c r="W231" i="17"/>
  <c r="V231" i="17"/>
  <c r="AB231" i="17" s="1"/>
  <c r="X230" i="17"/>
  <c r="W230" i="17"/>
  <c r="V230" i="17"/>
  <c r="AB230" i="17" s="1"/>
  <c r="X229" i="17"/>
  <c r="W229" i="17"/>
  <c r="V229" i="17"/>
  <c r="AB229" i="17" s="1"/>
  <c r="X228" i="17"/>
  <c r="W228" i="17"/>
  <c r="AC228" i="17" s="1"/>
  <c r="V228" i="17"/>
  <c r="AB228" i="17" s="1"/>
  <c r="X227" i="17"/>
  <c r="W227" i="17"/>
  <c r="AC227" i="17" s="1"/>
  <c r="V227" i="17"/>
  <c r="AB227" i="17" s="1"/>
  <c r="X226" i="17"/>
  <c r="W226" i="17"/>
  <c r="AC226" i="17" s="1"/>
  <c r="V226" i="17"/>
  <c r="AB226" i="17" s="1"/>
  <c r="X225" i="17"/>
  <c r="W225" i="17"/>
  <c r="V225" i="17"/>
  <c r="AB225" i="17" s="1"/>
  <c r="X224" i="17"/>
  <c r="W224" i="17"/>
  <c r="AC224" i="17" s="1"/>
  <c r="V224" i="17"/>
  <c r="AB224" i="17" s="1"/>
  <c r="X223" i="17"/>
  <c r="W223" i="17"/>
  <c r="V223" i="17"/>
  <c r="AB223" i="17" s="1"/>
  <c r="X222" i="17"/>
  <c r="W222" i="17"/>
  <c r="AC222" i="17" s="1"/>
  <c r="V222" i="17"/>
  <c r="AB222" i="17" s="1"/>
  <c r="X221" i="17"/>
  <c r="W221" i="17"/>
  <c r="V221" i="17"/>
  <c r="AB221" i="17" s="1"/>
  <c r="X220" i="17"/>
  <c r="W220" i="17"/>
  <c r="AC220" i="17" s="1"/>
  <c r="V220" i="17"/>
  <c r="AB220" i="17" s="1"/>
  <c r="X219" i="17"/>
  <c r="W219" i="17"/>
  <c r="AC219" i="17" s="1"/>
  <c r="V219" i="17"/>
  <c r="AB219" i="17" s="1"/>
  <c r="X218" i="17"/>
  <c r="W218" i="17"/>
  <c r="AC218" i="17" s="1"/>
  <c r="V218" i="17"/>
  <c r="AB218" i="17" s="1"/>
  <c r="X217" i="17"/>
  <c r="W217" i="17"/>
  <c r="V217" i="17"/>
  <c r="AB217" i="17" s="1"/>
  <c r="X216" i="17"/>
  <c r="W216" i="17"/>
  <c r="AC216" i="17" s="1"/>
  <c r="V216" i="17"/>
  <c r="AB216" i="17" s="1"/>
  <c r="X215" i="17"/>
  <c r="W215" i="17"/>
  <c r="V215" i="17"/>
  <c r="AB215" i="17" s="1"/>
  <c r="X214" i="17"/>
  <c r="W214" i="17"/>
  <c r="AC214" i="17" s="1"/>
  <c r="V214" i="17"/>
  <c r="AB214" i="17" s="1"/>
  <c r="X213" i="17"/>
  <c r="W213" i="17"/>
  <c r="V213" i="17"/>
  <c r="AB213" i="17" s="1"/>
  <c r="X212" i="17"/>
  <c r="W212" i="17"/>
  <c r="AC212" i="17" s="1"/>
  <c r="V212" i="17"/>
  <c r="AB212" i="17" s="1"/>
  <c r="X211" i="17"/>
  <c r="W211" i="17"/>
  <c r="AC211" i="17" s="1"/>
  <c r="V211" i="17"/>
  <c r="AB211" i="17" s="1"/>
  <c r="X210" i="17"/>
  <c r="W210" i="17"/>
  <c r="AC210" i="17" s="1"/>
  <c r="V210" i="17"/>
  <c r="AB210" i="17" s="1"/>
  <c r="X209" i="17"/>
  <c r="W209" i="17"/>
  <c r="V209" i="17"/>
  <c r="AB209" i="17" s="1"/>
  <c r="X208" i="17"/>
  <c r="W208" i="17"/>
  <c r="AC208" i="17" s="1"/>
  <c r="V208" i="17"/>
  <c r="AB208" i="17" s="1"/>
  <c r="X207" i="17"/>
  <c r="W207" i="17"/>
  <c r="V207" i="17"/>
  <c r="AB207" i="17" s="1"/>
  <c r="X206" i="17"/>
  <c r="W206" i="17"/>
  <c r="AC206" i="17" s="1"/>
  <c r="V206" i="17"/>
  <c r="AB206" i="17" s="1"/>
  <c r="X205" i="17"/>
  <c r="W205" i="17"/>
  <c r="V205" i="17"/>
  <c r="AB205" i="17" s="1"/>
  <c r="X204" i="17"/>
  <c r="W204" i="17"/>
  <c r="AC204" i="17" s="1"/>
  <c r="V204" i="17"/>
  <c r="AB204" i="17" s="1"/>
  <c r="X203" i="17"/>
  <c r="W203" i="17"/>
  <c r="AC203" i="17" s="1"/>
  <c r="V203" i="17"/>
  <c r="AB203" i="17" s="1"/>
  <c r="X202" i="17"/>
  <c r="W202" i="17"/>
  <c r="AC202" i="17" s="1"/>
  <c r="V202" i="17"/>
  <c r="AB202" i="17" s="1"/>
  <c r="X201" i="17"/>
  <c r="W201" i="17"/>
  <c r="V201" i="17"/>
  <c r="AB201" i="17" s="1"/>
  <c r="X200" i="17"/>
  <c r="W200" i="17"/>
  <c r="AC200" i="17" s="1"/>
  <c r="V200" i="17"/>
  <c r="AB200" i="17" s="1"/>
  <c r="X199" i="17"/>
  <c r="W199" i="17"/>
  <c r="V199" i="17"/>
  <c r="AB199" i="17" s="1"/>
  <c r="X198" i="17"/>
  <c r="W198" i="17"/>
  <c r="AC198" i="17" s="1"/>
  <c r="V198" i="17"/>
  <c r="AB198" i="17" s="1"/>
  <c r="X197" i="17"/>
  <c r="W197" i="17"/>
  <c r="V197" i="17"/>
  <c r="AB197" i="17" s="1"/>
  <c r="X196" i="17"/>
  <c r="W196" i="17"/>
  <c r="AC196" i="17" s="1"/>
  <c r="V196" i="17"/>
  <c r="AB196" i="17" s="1"/>
  <c r="X195" i="17"/>
  <c r="W195" i="17"/>
  <c r="AC195" i="17" s="1"/>
  <c r="V195" i="17"/>
  <c r="AB195" i="17" s="1"/>
  <c r="X194" i="17"/>
  <c r="W194" i="17"/>
  <c r="AC194" i="17" s="1"/>
  <c r="V194" i="17"/>
  <c r="AB194" i="17" s="1"/>
  <c r="V193" i="17"/>
  <c r="AB193" i="17" s="1"/>
  <c r="V192" i="17"/>
  <c r="V191" i="17"/>
  <c r="AB191" i="17" s="1"/>
  <c r="V190" i="17"/>
  <c r="AB190" i="17" s="1"/>
  <c r="V189" i="17"/>
  <c r="AB189" i="17" s="1"/>
  <c r="V188" i="17"/>
  <c r="AB188" i="17" s="1"/>
  <c r="V187" i="17"/>
  <c r="AB187" i="17" s="1"/>
  <c r="V186" i="17"/>
  <c r="AB186" i="17" s="1"/>
  <c r="V185" i="17"/>
  <c r="AB185" i="17" s="1"/>
  <c r="V184" i="17"/>
  <c r="AB184" i="17" s="1"/>
  <c r="V183" i="17"/>
  <c r="V182" i="17"/>
  <c r="AB182" i="17" s="1"/>
  <c r="X181" i="17"/>
  <c r="W181" i="17"/>
  <c r="X180" i="17"/>
  <c r="W180" i="17"/>
  <c r="X179" i="17"/>
  <c r="W179" i="17"/>
  <c r="X178" i="17"/>
  <c r="W178" i="17"/>
  <c r="AC178" i="17" s="1"/>
  <c r="X177" i="17"/>
  <c r="AC177" i="17" s="1"/>
  <c r="W177" i="17"/>
  <c r="X176" i="17"/>
  <c r="W176" i="17"/>
  <c r="X175" i="17"/>
  <c r="W175" i="17"/>
  <c r="X174" i="17"/>
  <c r="W174" i="17"/>
  <c r="AC174" i="17" s="1"/>
  <c r="X173" i="17"/>
  <c r="W173" i="17"/>
  <c r="X172" i="17"/>
  <c r="W172" i="17"/>
  <c r="X171" i="17"/>
  <c r="W171" i="17"/>
  <c r="X170" i="17"/>
  <c r="W170" i="17"/>
  <c r="AC170" i="17" s="1"/>
  <c r="V169" i="17"/>
  <c r="AB169" i="17" s="1"/>
  <c r="V168" i="17"/>
  <c r="AB168" i="17" s="1"/>
  <c r="V167" i="17"/>
  <c r="AB167" i="17" s="1"/>
  <c r="V166" i="17"/>
  <c r="AB166" i="17" s="1"/>
  <c r="V165" i="17"/>
  <c r="AB165" i="17" s="1"/>
  <c r="V164" i="17"/>
  <c r="AB164" i="17" s="1"/>
  <c r="V163" i="17"/>
  <c r="AB163" i="17" s="1"/>
  <c r="V162" i="17"/>
  <c r="AB162" i="17" s="1"/>
  <c r="V161" i="17"/>
  <c r="AB161" i="17" s="1"/>
  <c r="V160" i="17"/>
  <c r="AB160" i="17" s="1"/>
  <c r="V159" i="17"/>
  <c r="AB159" i="17" s="1"/>
  <c r="V158" i="17"/>
  <c r="AB158" i="17" s="1"/>
  <c r="V157" i="17"/>
  <c r="AB157" i="17" s="1"/>
  <c r="V156" i="17"/>
  <c r="AB156" i="17" s="1"/>
  <c r="V155" i="17"/>
  <c r="AB155" i="17" s="1"/>
  <c r="V154" i="17"/>
  <c r="AB154" i="17" s="1"/>
  <c r="V153" i="17"/>
  <c r="AB153" i="17" s="1"/>
  <c r="V152" i="17"/>
  <c r="AB152" i="17" s="1"/>
  <c r="V151" i="17"/>
  <c r="AB151" i="17" s="1"/>
  <c r="V150" i="17"/>
  <c r="AB150" i="17" s="1"/>
  <c r="V149" i="17"/>
  <c r="AB149" i="17" s="1"/>
  <c r="V148" i="17"/>
  <c r="AB148" i="17" s="1"/>
  <c r="V147" i="17"/>
  <c r="AB147" i="17" s="1"/>
  <c r="V146" i="17"/>
  <c r="AB146" i="17" s="1"/>
  <c r="X145" i="17"/>
  <c r="W145" i="17"/>
  <c r="X144" i="17"/>
  <c r="W144" i="17"/>
  <c r="X143" i="17"/>
  <c r="W143" i="17"/>
  <c r="X142" i="17"/>
  <c r="W142" i="17"/>
  <c r="X141" i="17"/>
  <c r="W141" i="17"/>
  <c r="X140" i="17"/>
  <c r="W140" i="17"/>
  <c r="X139" i="17"/>
  <c r="W139" i="17"/>
  <c r="X138" i="17"/>
  <c r="W138" i="17"/>
  <c r="AC138" i="17" s="1"/>
  <c r="X137" i="17"/>
  <c r="W137" i="17"/>
  <c r="X136" i="17"/>
  <c r="W136" i="17"/>
  <c r="X135" i="17"/>
  <c r="W135" i="17"/>
  <c r="X134" i="17"/>
  <c r="W134" i="17"/>
  <c r="V133" i="17"/>
  <c r="AB133" i="17" s="1"/>
  <c r="V132" i="17"/>
  <c r="AB132" i="17" s="1"/>
  <c r="V131" i="17"/>
  <c r="AB131" i="17" s="1"/>
  <c r="V130" i="17"/>
  <c r="AB130" i="17" s="1"/>
  <c r="V129" i="17"/>
  <c r="AB129" i="17" s="1"/>
  <c r="V128" i="17"/>
  <c r="AB128" i="17" s="1"/>
  <c r="V127" i="17"/>
  <c r="AB127" i="17" s="1"/>
  <c r="V126" i="17"/>
  <c r="AB126" i="17" s="1"/>
  <c r="V125" i="17"/>
  <c r="AB125" i="17" s="1"/>
  <c r="V124" i="17"/>
  <c r="AB124" i="17" s="1"/>
  <c r="V123" i="17"/>
  <c r="AB123" i="17" s="1"/>
  <c r="V122" i="17"/>
  <c r="AB122" i="17" s="1"/>
  <c r="X121" i="17"/>
  <c r="W121" i="17"/>
  <c r="V121" i="17"/>
  <c r="AB121" i="17" s="1"/>
  <c r="X120" i="17"/>
  <c r="W120" i="17"/>
  <c r="AC120" i="17" s="1"/>
  <c r="V120" i="17"/>
  <c r="AB120" i="17" s="1"/>
  <c r="X119" i="17"/>
  <c r="W119" i="17"/>
  <c r="V119" i="17"/>
  <c r="AB119" i="17" s="1"/>
  <c r="X118" i="17"/>
  <c r="W118" i="17"/>
  <c r="V118" i="17"/>
  <c r="AB118" i="17" s="1"/>
  <c r="X117" i="17"/>
  <c r="W117" i="17"/>
  <c r="V117" i="17"/>
  <c r="AB117" i="17" s="1"/>
  <c r="X116" i="17"/>
  <c r="W116" i="17"/>
  <c r="V116" i="17"/>
  <c r="AB116" i="17" s="1"/>
  <c r="X115" i="17"/>
  <c r="W115" i="17"/>
  <c r="AC115" i="17" s="1"/>
  <c r="V115" i="17"/>
  <c r="AB115" i="17" s="1"/>
  <c r="X114" i="17"/>
  <c r="W114" i="17"/>
  <c r="AC114" i="17" s="1"/>
  <c r="V114" i="17"/>
  <c r="AB114" i="17" s="1"/>
  <c r="X113" i="17"/>
  <c r="W113" i="17"/>
  <c r="V113" i="17"/>
  <c r="AB113" i="17" s="1"/>
  <c r="X112" i="17"/>
  <c r="W112" i="17"/>
  <c r="V112" i="17"/>
  <c r="AB112" i="17" s="1"/>
  <c r="X111" i="17"/>
  <c r="W111" i="17"/>
  <c r="V111" i="17"/>
  <c r="AB111" i="17" s="1"/>
  <c r="X110" i="17"/>
  <c r="W110" i="17"/>
  <c r="V110" i="17"/>
  <c r="AB110" i="17" s="1"/>
  <c r="X109" i="17"/>
  <c r="W109" i="17"/>
  <c r="V109" i="17"/>
  <c r="AB109" i="17" s="1"/>
  <c r="X108" i="17"/>
  <c r="W108" i="17"/>
  <c r="AC108" i="17" s="1"/>
  <c r="V108" i="17"/>
  <c r="AB108" i="17" s="1"/>
  <c r="X107" i="17"/>
  <c r="W107" i="17"/>
  <c r="V107" i="17"/>
  <c r="AB107" i="17" s="1"/>
  <c r="X106" i="17"/>
  <c r="W106" i="17"/>
  <c r="V106" i="17"/>
  <c r="AB106" i="17" s="1"/>
  <c r="X105" i="17"/>
  <c r="W105" i="17"/>
  <c r="V105" i="17"/>
  <c r="AB105" i="17" s="1"/>
  <c r="X104" i="17"/>
  <c r="W104" i="17"/>
  <c r="AC104" i="17" s="1"/>
  <c r="V104" i="17"/>
  <c r="AB104" i="17" s="1"/>
  <c r="X103" i="17"/>
  <c r="W103" i="17"/>
  <c r="V103" i="17"/>
  <c r="AB103" i="17" s="1"/>
  <c r="X102" i="17"/>
  <c r="W102" i="17"/>
  <c r="V102" i="17"/>
  <c r="AB102" i="17" s="1"/>
  <c r="X101" i="17"/>
  <c r="W101" i="17"/>
  <c r="V101" i="17"/>
  <c r="AB101" i="17" s="1"/>
  <c r="X100" i="17"/>
  <c r="W100" i="17"/>
  <c r="V100" i="17"/>
  <c r="AB100" i="17" s="1"/>
  <c r="X99" i="17"/>
  <c r="W99" i="17"/>
  <c r="AC99" i="17" s="1"/>
  <c r="V99" i="17"/>
  <c r="AB99" i="17" s="1"/>
  <c r="X98" i="17"/>
  <c r="W98" i="17"/>
  <c r="AC98" i="17" s="1"/>
  <c r="V98" i="17"/>
  <c r="AB98" i="17" s="1"/>
  <c r="X97" i="17"/>
  <c r="W97" i="17"/>
  <c r="V97" i="17"/>
  <c r="AB97" i="17" s="1"/>
  <c r="X96" i="17"/>
  <c r="W96" i="17"/>
  <c r="V96" i="17"/>
  <c r="AB96" i="17" s="1"/>
  <c r="X95" i="17"/>
  <c r="W95" i="17"/>
  <c r="V95" i="17"/>
  <c r="AB95" i="17" s="1"/>
  <c r="X94" i="17"/>
  <c r="W94" i="17"/>
  <c r="V94" i="17"/>
  <c r="AB94" i="17" s="1"/>
  <c r="X93" i="17"/>
  <c r="W93" i="17"/>
  <c r="V93" i="17"/>
  <c r="AB93" i="17" s="1"/>
  <c r="X92" i="17"/>
  <c r="W92" i="17"/>
  <c r="AC92" i="17" s="1"/>
  <c r="V92" i="17"/>
  <c r="AB92" i="17" s="1"/>
  <c r="X91" i="17"/>
  <c r="W91" i="17"/>
  <c r="V91" i="17"/>
  <c r="AB91" i="17" s="1"/>
  <c r="X90" i="17"/>
  <c r="W90" i="17"/>
  <c r="V90" i="17"/>
  <c r="AB90" i="17" s="1"/>
  <c r="X89" i="17"/>
  <c r="W89" i="17"/>
  <c r="V89" i="17"/>
  <c r="AB89" i="17" s="1"/>
  <c r="X88" i="17"/>
  <c r="W88" i="17"/>
  <c r="AC88" i="17" s="1"/>
  <c r="V88" i="17"/>
  <c r="AB88" i="17" s="1"/>
  <c r="X87" i="17"/>
  <c r="W87" i="17"/>
  <c r="V87" i="17"/>
  <c r="AB87" i="17" s="1"/>
  <c r="X86" i="17"/>
  <c r="W86" i="17"/>
  <c r="V86" i="17"/>
  <c r="AB86" i="17" s="1"/>
  <c r="X85" i="17"/>
  <c r="W85" i="17"/>
  <c r="V85" i="17"/>
  <c r="AB85" i="17" s="1"/>
  <c r="X84" i="17"/>
  <c r="W84" i="17"/>
  <c r="V84" i="17"/>
  <c r="AB84" i="17" s="1"/>
  <c r="X83" i="17"/>
  <c r="W83" i="17"/>
  <c r="AC83" i="17" s="1"/>
  <c r="V83" i="17"/>
  <c r="AB83" i="17" s="1"/>
  <c r="X82" i="17"/>
  <c r="W82" i="17"/>
  <c r="AC82" i="17" s="1"/>
  <c r="V82" i="17"/>
  <c r="AB82" i="17" s="1"/>
  <c r="X81" i="17"/>
  <c r="W81" i="17"/>
  <c r="V81" i="17"/>
  <c r="AB81" i="17" s="1"/>
  <c r="X80" i="17"/>
  <c r="W80" i="17"/>
  <c r="V80" i="17"/>
  <c r="AB80" i="17" s="1"/>
  <c r="X79" i="17"/>
  <c r="W79" i="17"/>
  <c r="V79" i="17"/>
  <c r="AB79" i="17" s="1"/>
  <c r="X78" i="17"/>
  <c r="W78" i="17"/>
  <c r="AC78" i="17" s="1"/>
  <c r="V78" i="17"/>
  <c r="AB78" i="17" s="1"/>
  <c r="X77" i="17"/>
  <c r="W77" i="17"/>
  <c r="V77" i="17"/>
  <c r="AB77" i="17" s="1"/>
  <c r="X76" i="17"/>
  <c r="W76" i="17"/>
  <c r="AC76" i="17" s="1"/>
  <c r="V76" i="17"/>
  <c r="AB76" i="17" s="1"/>
  <c r="X75" i="17"/>
  <c r="W75" i="17"/>
  <c r="V75" i="17"/>
  <c r="AB75" i="17" s="1"/>
  <c r="X74" i="17"/>
  <c r="W74" i="17"/>
  <c r="V74" i="17"/>
  <c r="AB74" i="17" s="1"/>
  <c r="X49" i="17"/>
  <c r="W49" i="17"/>
  <c r="V49" i="17"/>
  <c r="AB49" i="17" s="1"/>
  <c r="X48" i="17"/>
  <c r="W48" i="17"/>
  <c r="V48" i="17"/>
  <c r="AB48" i="17" s="1"/>
  <c r="X47" i="17"/>
  <c r="W47" i="17"/>
  <c r="V47" i="17"/>
  <c r="AB47" i="17" s="1"/>
  <c r="X46" i="17"/>
  <c r="W46" i="17"/>
  <c r="V46" i="17"/>
  <c r="AB46" i="17" s="1"/>
  <c r="X45" i="17"/>
  <c r="W45" i="17"/>
  <c r="V45" i="17"/>
  <c r="AB45" i="17" s="1"/>
  <c r="X44" i="17"/>
  <c r="W44" i="17"/>
  <c r="V44" i="17"/>
  <c r="AB44" i="17" s="1"/>
  <c r="X43" i="17"/>
  <c r="W43" i="17"/>
  <c r="AC43" i="17" s="1"/>
  <c r="V43" i="17"/>
  <c r="AB43" i="17" s="1"/>
  <c r="X42" i="17"/>
  <c r="W42" i="17"/>
  <c r="V42" i="17"/>
  <c r="AB42" i="17" s="1"/>
  <c r="X41" i="17"/>
  <c r="W41" i="17"/>
  <c r="V41" i="17"/>
  <c r="AB41" i="17" s="1"/>
  <c r="X40" i="17"/>
  <c r="W40" i="17"/>
  <c r="V40" i="17"/>
  <c r="AB40" i="17" s="1"/>
  <c r="X39" i="17"/>
  <c r="W39" i="17"/>
  <c r="V39" i="17"/>
  <c r="AB39" i="17" s="1"/>
  <c r="X38" i="17"/>
  <c r="W38" i="17"/>
  <c r="V38" i="17"/>
  <c r="AB38" i="17" s="1"/>
  <c r="X37" i="17"/>
  <c r="W37" i="17"/>
  <c r="V37" i="17"/>
  <c r="AB37" i="17" s="1"/>
  <c r="X36" i="17"/>
  <c r="W36" i="17"/>
  <c r="V36" i="17"/>
  <c r="AB36" i="17" s="1"/>
  <c r="X35" i="17"/>
  <c r="W35" i="17"/>
  <c r="V35" i="17"/>
  <c r="AB35" i="17" s="1"/>
  <c r="X34" i="17"/>
  <c r="W34" i="17"/>
  <c r="V34" i="17"/>
  <c r="AB34" i="17" s="1"/>
  <c r="X33" i="17"/>
  <c r="W33" i="17"/>
  <c r="V33" i="17"/>
  <c r="AB33" i="17" s="1"/>
  <c r="X32" i="17"/>
  <c r="W32" i="17"/>
  <c r="V32" i="17"/>
  <c r="AB32" i="17" s="1"/>
  <c r="X31" i="17"/>
  <c r="W31" i="17"/>
  <c r="V31" i="17"/>
  <c r="AB31" i="17" s="1"/>
  <c r="X30" i="17"/>
  <c r="W30" i="17"/>
  <c r="V30" i="17"/>
  <c r="AB30" i="17" s="1"/>
  <c r="X29" i="17"/>
  <c r="W29" i="17"/>
  <c r="V29" i="17"/>
  <c r="AB29" i="17" s="1"/>
  <c r="X28" i="17"/>
  <c r="W28" i="17"/>
  <c r="V28" i="17"/>
  <c r="AB28" i="17" s="1"/>
  <c r="X27" i="17"/>
  <c r="W27" i="17"/>
  <c r="V27" i="17"/>
  <c r="AB27" i="17" s="1"/>
  <c r="X26" i="17"/>
  <c r="W26" i="17"/>
  <c r="V26" i="17"/>
  <c r="AB26" i="17" s="1"/>
  <c r="X25" i="17"/>
  <c r="W25" i="17"/>
  <c r="V25" i="17"/>
  <c r="AB25" i="17" s="1"/>
  <c r="X24" i="17"/>
  <c r="W24" i="17"/>
  <c r="V24" i="17"/>
  <c r="AB24" i="17" s="1"/>
  <c r="X23" i="17"/>
  <c r="W23" i="17"/>
  <c r="V23" i="17"/>
  <c r="AB23" i="17" s="1"/>
  <c r="X22" i="17"/>
  <c r="W22" i="17"/>
  <c r="V22" i="17"/>
  <c r="AB22" i="17" s="1"/>
  <c r="X21" i="17"/>
  <c r="W21" i="17"/>
  <c r="V21" i="17"/>
  <c r="AB21" i="17" s="1"/>
  <c r="X20" i="17"/>
  <c r="W20" i="17"/>
  <c r="V20" i="17"/>
  <c r="AB20" i="17" s="1"/>
  <c r="X19" i="17"/>
  <c r="W19" i="17"/>
  <c r="AC19" i="17" s="1"/>
  <c r="V19" i="17"/>
  <c r="AB19" i="17" s="1"/>
  <c r="X18" i="17"/>
  <c r="W18" i="17"/>
  <c r="V18" i="17"/>
  <c r="AB18" i="17" s="1"/>
  <c r="X17" i="17"/>
  <c r="W17" i="17"/>
  <c r="V17" i="17"/>
  <c r="AB17" i="17" s="1"/>
  <c r="X16" i="17"/>
  <c r="W16" i="17"/>
  <c r="V16" i="17"/>
  <c r="AB16" i="17" s="1"/>
  <c r="X15" i="17"/>
  <c r="W15" i="17"/>
  <c r="V15" i="17"/>
  <c r="AB15" i="17" s="1"/>
  <c r="X14" i="17"/>
  <c r="W14" i="17"/>
  <c r="V14" i="17"/>
  <c r="AB14" i="17" s="1"/>
  <c r="X13" i="17"/>
  <c r="W13" i="17"/>
  <c r="V13" i="17"/>
  <c r="AB13" i="17" s="1"/>
  <c r="X12" i="17"/>
  <c r="W12" i="17"/>
  <c r="V12" i="17"/>
  <c r="AB12" i="17" s="1"/>
  <c r="X11" i="17"/>
  <c r="W11" i="17"/>
  <c r="V11" i="17"/>
  <c r="AB11" i="17" s="1"/>
  <c r="X10" i="17"/>
  <c r="W10" i="17"/>
  <c r="V10" i="17"/>
  <c r="AB10" i="17" s="1"/>
  <c r="X9" i="17"/>
  <c r="W9" i="17"/>
  <c r="V9" i="17"/>
  <c r="AB9" i="17" s="1"/>
  <c r="X8" i="17"/>
  <c r="W8" i="17"/>
  <c r="V8" i="17"/>
  <c r="AB8" i="17" s="1"/>
  <c r="X7" i="17"/>
  <c r="W7" i="17"/>
  <c r="V7" i="17"/>
  <c r="AB7" i="17" s="1"/>
  <c r="X6" i="17"/>
  <c r="W6" i="17"/>
  <c r="V6" i="17"/>
  <c r="AB6" i="17" s="1"/>
  <c r="X5" i="17"/>
  <c r="W5" i="17"/>
  <c r="V5" i="17"/>
  <c r="AB5" i="17" s="1"/>
  <c r="X4" i="17"/>
  <c r="W4" i="17"/>
  <c r="V4" i="17"/>
  <c r="AB4" i="17" s="1"/>
  <c r="X3" i="17"/>
  <c r="W3" i="17"/>
  <c r="V3" i="17"/>
  <c r="AB3" i="17" s="1"/>
  <c r="X2" i="17"/>
  <c r="W2" i="17"/>
  <c r="V2" i="17"/>
  <c r="AB2" i="17" s="1"/>
  <c r="AE1157" i="16"/>
  <c r="AE1156" i="16"/>
  <c r="AE1155" i="16"/>
  <c r="AE1154" i="16"/>
  <c r="AE1153" i="16"/>
  <c r="AE1152" i="16"/>
  <c r="AE1151" i="16"/>
  <c r="AE1150" i="16"/>
  <c r="AE1149" i="16"/>
  <c r="AE1148" i="16"/>
  <c r="AE1147" i="16"/>
  <c r="AE1146" i="16"/>
  <c r="AE1145" i="16"/>
  <c r="AD1145" i="16"/>
  <c r="AC1145" i="16"/>
  <c r="AE1144" i="16"/>
  <c r="AD1144" i="16"/>
  <c r="AC1144" i="16"/>
  <c r="AE1143" i="16"/>
  <c r="AD1143" i="16"/>
  <c r="AC1143" i="16"/>
  <c r="AE1142" i="16"/>
  <c r="AD1142" i="16"/>
  <c r="AC1142" i="16"/>
  <c r="AE1141" i="16"/>
  <c r="AD1141" i="16"/>
  <c r="AC1141" i="16"/>
  <c r="AE1140" i="16"/>
  <c r="AD1140" i="16"/>
  <c r="AC1140" i="16"/>
  <c r="AE1139" i="16"/>
  <c r="AD1139" i="16"/>
  <c r="AC1139" i="16"/>
  <c r="AE1138" i="16"/>
  <c r="AD1138" i="16"/>
  <c r="AC1138" i="16"/>
  <c r="AE1137" i="16"/>
  <c r="AD1137" i="16"/>
  <c r="AC1137" i="16"/>
  <c r="AE1136" i="16"/>
  <c r="AD1136" i="16"/>
  <c r="AC1136" i="16"/>
  <c r="AE1135" i="16"/>
  <c r="AD1135" i="16"/>
  <c r="AC1135" i="16"/>
  <c r="AE1134" i="16"/>
  <c r="AD1134" i="16"/>
  <c r="AC1134" i="16"/>
  <c r="AE1133" i="16"/>
  <c r="AE1132" i="16"/>
  <c r="AE1131" i="16"/>
  <c r="AE1130" i="16"/>
  <c r="AE1129" i="16"/>
  <c r="AE1128" i="16"/>
  <c r="AE1127" i="16"/>
  <c r="AE1126" i="16"/>
  <c r="AE1125" i="16"/>
  <c r="AE1124" i="16"/>
  <c r="AE1123" i="16"/>
  <c r="AE1122" i="16"/>
  <c r="AE1121" i="16"/>
  <c r="AE1120" i="16"/>
  <c r="AE1119" i="16"/>
  <c r="AE1118" i="16"/>
  <c r="AE1117" i="16"/>
  <c r="AE1116" i="16"/>
  <c r="AE1115" i="16"/>
  <c r="AE1114" i="16"/>
  <c r="AE1113" i="16"/>
  <c r="AE1112" i="16"/>
  <c r="AE1111" i="16"/>
  <c r="AE1110" i="16"/>
  <c r="AE1109" i="16"/>
  <c r="AE1108" i="16"/>
  <c r="AE1107" i="16"/>
  <c r="AE1106" i="16"/>
  <c r="AE1105" i="16"/>
  <c r="AE1104" i="16"/>
  <c r="AE1103" i="16"/>
  <c r="AE1102" i="16"/>
  <c r="AE1101" i="16"/>
  <c r="AE1100" i="16"/>
  <c r="AE1099" i="16"/>
  <c r="AE1098" i="16"/>
  <c r="AE1097" i="16"/>
  <c r="AE1096" i="16"/>
  <c r="AE1095" i="16"/>
  <c r="AE1094" i="16"/>
  <c r="AE1093" i="16"/>
  <c r="AE1092" i="16"/>
  <c r="AE1091" i="16"/>
  <c r="AE1090" i="16"/>
  <c r="AE1089" i="16"/>
  <c r="AE1088" i="16"/>
  <c r="AE1087" i="16"/>
  <c r="AE1086" i="16"/>
  <c r="AE1085" i="16"/>
  <c r="AE1084" i="16"/>
  <c r="AE1083" i="16"/>
  <c r="AE1082" i="16"/>
  <c r="AE1081" i="16"/>
  <c r="AE1080" i="16"/>
  <c r="AE1079" i="16"/>
  <c r="AE1078" i="16"/>
  <c r="AE1077" i="16"/>
  <c r="AE1076" i="16"/>
  <c r="AE1075" i="16"/>
  <c r="AE1074" i="16"/>
  <c r="AE1073" i="16"/>
  <c r="AE1072" i="16"/>
  <c r="AE1071" i="16"/>
  <c r="AE1070" i="16"/>
  <c r="AE1069" i="16"/>
  <c r="AE1068" i="16"/>
  <c r="AE1067" i="16"/>
  <c r="AE1066" i="16"/>
  <c r="AE1065" i="16"/>
  <c r="AE1064" i="16"/>
  <c r="AE1063" i="16"/>
  <c r="AE1062" i="16"/>
  <c r="AE1061" i="16"/>
  <c r="AE1060" i="16"/>
  <c r="AE1059" i="16"/>
  <c r="AE1058" i="16"/>
  <c r="AE1057" i="16"/>
  <c r="AE1056" i="16"/>
  <c r="AE1055" i="16"/>
  <c r="AE1054" i="16"/>
  <c r="AE1053" i="16"/>
  <c r="AE1052" i="16"/>
  <c r="AE1051" i="16"/>
  <c r="AE1050" i="16"/>
  <c r="AE1049" i="16"/>
  <c r="AE1048" i="16"/>
  <c r="AE1047" i="16"/>
  <c r="AE1046" i="16"/>
  <c r="AE1045" i="16"/>
  <c r="AE1044" i="16"/>
  <c r="AE1043" i="16"/>
  <c r="AE1042" i="16"/>
  <c r="AE1041" i="16"/>
  <c r="AE1040" i="16"/>
  <c r="AE1039" i="16"/>
  <c r="AE1038" i="16"/>
  <c r="AE1037" i="16"/>
  <c r="AE1036" i="16"/>
  <c r="AE1035" i="16"/>
  <c r="AE1034" i="16"/>
  <c r="AD1034" i="16"/>
  <c r="AC1034" i="16"/>
  <c r="AE1033" i="16"/>
  <c r="AD1033" i="16"/>
  <c r="AC1033" i="16"/>
  <c r="AE1032" i="16"/>
  <c r="AD1032" i="16"/>
  <c r="AC1032" i="16"/>
  <c r="AE1031" i="16"/>
  <c r="AD1031" i="16"/>
  <c r="AC1031" i="16"/>
  <c r="AE1030" i="16"/>
  <c r="AD1030" i="16"/>
  <c r="AC1030" i="16"/>
  <c r="AE1029" i="16"/>
  <c r="AD1029" i="16"/>
  <c r="AC1029" i="16"/>
  <c r="AE1028" i="16"/>
  <c r="AD1028" i="16"/>
  <c r="AC1028" i="16"/>
  <c r="AE1027" i="16"/>
  <c r="AD1027" i="16"/>
  <c r="AC1027" i="16"/>
  <c r="AE1026" i="16"/>
  <c r="AD1026" i="16"/>
  <c r="AC1026" i="16"/>
  <c r="AE1025" i="16"/>
  <c r="AD1025" i="16"/>
  <c r="AC1025" i="16"/>
  <c r="AE1024" i="16"/>
  <c r="AD1024" i="16"/>
  <c r="AC1024" i="16"/>
  <c r="AE1023" i="16"/>
  <c r="AD1023" i="16"/>
  <c r="AC1023" i="16"/>
  <c r="AE1022" i="16"/>
  <c r="AD1022" i="16"/>
  <c r="AC1022" i="16"/>
  <c r="AE1021" i="16"/>
  <c r="AD1021" i="16"/>
  <c r="AC1021" i="16"/>
  <c r="AE1020" i="16"/>
  <c r="AD1020" i="16"/>
  <c r="AC1020" i="16"/>
  <c r="AE1019" i="16"/>
  <c r="AD1019" i="16"/>
  <c r="AC1019" i="16"/>
  <c r="AE1018" i="16"/>
  <c r="AD1018" i="16"/>
  <c r="AC1018" i="16"/>
  <c r="AE1017" i="16"/>
  <c r="AD1017" i="16"/>
  <c r="AC1017" i="16"/>
  <c r="AE1016" i="16"/>
  <c r="AE1015" i="16"/>
  <c r="AE1014" i="16"/>
  <c r="AE1013" i="16"/>
  <c r="AE1012" i="16"/>
  <c r="AE1011" i="16"/>
  <c r="AE1010" i="16"/>
  <c r="AE1009" i="16"/>
  <c r="AE1008" i="16"/>
  <c r="AE1007" i="16"/>
  <c r="AE1006" i="16"/>
  <c r="AE1005" i="16"/>
  <c r="AE1004" i="16"/>
  <c r="AE1003" i="16"/>
  <c r="AE1002" i="16"/>
  <c r="AE1001" i="16"/>
  <c r="AE1000" i="16"/>
  <c r="AE999" i="16"/>
  <c r="AE998" i="16"/>
  <c r="AE997" i="16"/>
  <c r="AE996" i="16"/>
  <c r="AE995" i="16"/>
  <c r="AE994" i="16"/>
  <c r="AE993" i="16"/>
  <c r="AE992" i="16"/>
  <c r="AE991" i="16"/>
  <c r="AE990" i="16"/>
  <c r="AE989" i="16"/>
  <c r="AE988" i="16"/>
  <c r="AE987" i="16"/>
  <c r="AE986" i="16"/>
  <c r="AE985" i="16"/>
  <c r="AE984" i="16"/>
  <c r="AE983" i="16"/>
  <c r="AE982" i="16"/>
  <c r="AE981" i="16"/>
  <c r="AE980" i="16"/>
  <c r="AE979" i="16"/>
  <c r="AE978" i="16"/>
  <c r="AE977" i="16"/>
  <c r="AE976" i="16"/>
  <c r="AE975" i="16"/>
  <c r="AE974" i="16"/>
  <c r="AE973" i="16"/>
  <c r="AE972" i="16"/>
  <c r="AE971" i="16"/>
  <c r="AE970" i="16"/>
  <c r="AE969" i="16"/>
  <c r="AE968" i="16"/>
  <c r="AE967" i="16"/>
  <c r="AE966" i="16"/>
  <c r="AE965" i="16"/>
  <c r="AE964" i="16"/>
  <c r="AE963" i="16"/>
  <c r="AE962" i="16"/>
  <c r="AE961" i="16"/>
  <c r="AE960" i="16"/>
  <c r="AE959" i="16"/>
  <c r="AE958" i="16"/>
  <c r="AE957" i="16"/>
  <c r="AE956" i="16"/>
  <c r="AE955" i="16"/>
  <c r="AE954" i="16"/>
  <c r="AE953" i="16"/>
  <c r="AE952" i="16"/>
  <c r="AE951" i="16"/>
  <c r="AE950" i="16"/>
  <c r="AE949" i="16"/>
  <c r="AE948" i="16"/>
  <c r="AE947" i="16"/>
  <c r="AE946" i="16"/>
  <c r="AE945" i="16"/>
  <c r="AE944" i="16"/>
  <c r="AE943" i="16"/>
  <c r="AE942" i="16"/>
  <c r="AE941" i="16"/>
  <c r="AE940" i="16"/>
  <c r="AE939" i="16"/>
  <c r="AE938" i="16"/>
  <c r="AE937" i="16"/>
  <c r="AE936" i="16"/>
  <c r="AE935" i="16"/>
  <c r="AE934" i="16"/>
  <c r="AE933" i="16"/>
  <c r="AE932" i="16"/>
  <c r="AE931" i="16"/>
  <c r="AE930" i="16"/>
  <c r="AE929" i="16"/>
  <c r="AE928" i="16"/>
  <c r="AE927" i="16"/>
  <c r="AE926" i="16"/>
  <c r="AE925" i="16"/>
  <c r="AE924" i="16"/>
  <c r="AE923" i="16"/>
  <c r="AE922" i="16"/>
  <c r="AE921" i="16"/>
  <c r="AE920" i="16"/>
  <c r="AE919" i="16"/>
  <c r="AE918" i="16"/>
  <c r="AE917" i="16"/>
  <c r="AE916" i="16"/>
  <c r="AE915" i="16"/>
  <c r="AE914" i="16"/>
  <c r="AE913" i="16"/>
  <c r="AE912" i="16"/>
  <c r="AE911" i="16"/>
  <c r="AE910" i="16"/>
  <c r="AE909" i="16"/>
  <c r="AE908" i="16"/>
  <c r="AE907" i="16"/>
  <c r="AE906" i="16"/>
  <c r="AE905" i="16"/>
  <c r="AE904" i="16"/>
  <c r="AE903" i="16"/>
  <c r="AE902" i="16"/>
  <c r="AE901" i="16"/>
  <c r="AE900" i="16"/>
  <c r="AE899" i="16"/>
  <c r="AE898" i="16"/>
  <c r="AE897" i="16"/>
  <c r="AE896" i="16"/>
  <c r="AE895" i="16"/>
  <c r="AE894" i="16"/>
  <c r="AE893" i="16"/>
  <c r="AE892" i="16"/>
  <c r="AE891" i="16"/>
  <c r="AE890" i="16"/>
  <c r="AE889" i="16"/>
  <c r="AE888" i="16"/>
  <c r="AE887" i="16"/>
  <c r="AE886" i="16"/>
  <c r="AE885" i="16"/>
  <c r="AE884" i="16"/>
  <c r="AE883" i="16"/>
  <c r="AE882" i="16"/>
  <c r="AE881" i="16"/>
  <c r="AE880" i="16"/>
  <c r="AE879" i="16"/>
  <c r="AE878" i="16"/>
  <c r="AE877" i="16"/>
  <c r="AE876" i="16"/>
  <c r="AE875" i="16"/>
  <c r="AE874" i="16"/>
  <c r="AE873" i="16"/>
  <c r="AE872" i="16"/>
  <c r="AE871" i="16"/>
  <c r="AE870" i="16"/>
  <c r="AE869" i="16"/>
  <c r="AE868" i="16"/>
  <c r="AE867" i="16"/>
  <c r="AE866" i="16"/>
  <c r="AE865" i="16"/>
  <c r="AE864" i="16"/>
  <c r="AE863" i="16"/>
  <c r="AE862" i="16"/>
  <c r="AE861" i="16"/>
  <c r="AE860" i="16"/>
  <c r="AE859" i="16"/>
  <c r="AE858" i="16"/>
  <c r="AE857" i="16"/>
  <c r="AE856" i="16"/>
  <c r="AE855" i="16"/>
  <c r="AE854" i="16"/>
  <c r="AE853" i="16"/>
  <c r="AE852" i="16"/>
  <c r="AE851" i="16"/>
  <c r="AE850" i="16"/>
  <c r="AE849" i="16"/>
  <c r="AE848" i="16"/>
  <c r="AE847" i="16"/>
  <c r="AE846" i="16"/>
  <c r="AE845" i="16"/>
  <c r="AE844" i="16"/>
  <c r="AE843" i="16"/>
  <c r="AE842" i="16"/>
  <c r="AE841" i="16"/>
  <c r="AE840" i="16"/>
  <c r="AE839" i="16"/>
  <c r="AE838" i="16"/>
  <c r="AE837" i="16"/>
  <c r="AE836" i="16"/>
  <c r="AE835" i="16"/>
  <c r="AE834" i="16"/>
  <c r="AE833" i="16"/>
  <c r="AE832" i="16"/>
  <c r="AE831" i="16"/>
  <c r="AE830" i="16"/>
  <c r="AE829" i="16"/>
  <c r="AE828" i="16"/>
  <c r="AE827" i="16"/>
  <c r="AE826" i="16"/>
  <c r="AE825" i="16"/>
  <c r="AE824" i="16"/>
  <c r="AE823" i="16"/>
  <c r="AE822" i="16"/>
  <c r="AE821" i="16"/>
  <c r="AE820" i="16"/>
  <c r="AE819" i="16"/>
  <c r="AE818" i="16"/>
  <c r="AE817" i="16"/>
  <c r="AE816" i="16"/>
  <c r="AE815" i="16"/>
  <c r="AE814" i="16"/>
  <c r="AE813" i="16"/>
  <c r="AE812" i="16"/>
  <c r="AE811" i="16"/>
  <c r="AE810" i="16"/>
  <c r="AE809" i="16"/>
  <c r="AE808" i="16"/>
  <c r="AE807" i="16"/>
  <c r="AE806" i="16"/>
  <c r="AE805" i="16"/>
  <c r="AE804" i="16"/>
  <c r="AE803" i="16"/>
  <c r="AE802" i="16"/>
  <c r="AE801" i="16"/>
  <c r="AE800" i="16"/>
  <c r="AE799" i="16"/>
  <c r="AE798" i="16"/>
  <c r="AE797" i="16"/>
  <c r="AE796" i="16"/>
  <c r="AE795" i="16"/>
  <c r="AE794" i="16"/>
  <c r="AE793" i="16"/>
  <c r="AE792" i="16"/>
  <c r="AE791" i="16"/>
  <c r="AE790" i="16"/>
  <c r="AE789" i="16"/>
  <c r="AE788" i="16"/>
  <c r="AE787" i="16"/>
  <c r="AE786" i="16"/>
  <c r="AE785" i="16"/>
  <c r="AE784" i="16"/>
  <c r="AE783" i="16"/>
  <c r="AE782" i="16"/>
  <c r="AE781" i="16"/>
  <c r="AE780" i="16"/>
  <c r="AE779" i="16"/>
  <c r="AE778" i="16"/>
  <c r="AE777" i="16"/>
  <c r="AE776" i="16"/>
  <c r="AE775" i="16"/>
  <c r="AE774" i="16"/>
  <c r="AE773" i="16"/>
  <c r="AE772" i="16"/>
  <c r="AE771" i="16"/>
  <c r="AE770" i="16"/>
  <c r="AE769" i="16"/>
  <c r="AE768" i="16"/>
  <c r="AE767" i="16"/>
  <c r="AE766" i="16"/>
  <c r="AE765" i="16"/>
  <c r="AE764" i="16"/>
  <c r="AE763" i="16"/>
  <c r="AE762" i="16"/>
  <c r="AE761" i="16"/>
  <c r="AE760" i="16"/>
  <c r="AE759" i="16"/>
  <c r="AE758" i="16"/>
  <c r="AE757" i="16"/>
  <c r="AE756" i="16"/>
  <c r="AE755" i="16"/>
  <c r="AE754" i="16"/>
  <c r="AE753" i="16"/>
  <c r="AE752" i="16"/>
  <c r="AE751" i="16"/>
  <c r="AE750" i="16"/>
  <c r="AE749" i="16"/>
  <c r="AE748" i="16"/>
  <c r="AE747" i="16"/>
  <c r="AE746" i="16"/>
  <c r="AE745" i="16"/>
  <c r="AE744" i="16"/>
  <c r="AE743" i="16"/>
  <c r="AE742" i="16"/>
  <c r="AE741" i="16"/>
  <c r="AE740" i="16"/>
  <c r="AE739" i="16"/>
  <c r="AE738" i="16"/>
  <c r="AE737" i="16"/>
  <c r="AE736" i="16"/>
  <c r="AE735" i="16"/>
  <c r="AE734" i="16"/>
  <c r="AE733" i="16"/>
  <c r="AE732" i="16"/>
  <c r="AE731" i="16"/>
  <c r="AE730" i="16"/>
  <c r="AE729" i="16"/>
  <c r="AE728" i="16"/>
  <c r="AE727" i="16"/>
  <c r="AE726" i="16"/>
  <c r="AE725" i="16"/>
  <c r="AE724" i="16"/>
  <c r="AE723" i="16"/>
  <c r="AE722" i="16"/>
  <c r="AE721" i="16"/>
  <c r="AE720" i="16"/>
  <c r="AE719" i="16"/>
  <c r="AE718" i="16"/>
  <c r="AE717" i="16"/>
  <c r="AE716" i="16"/>
  <c r="AE715" i="16"/>
  <c r="AE714" i="16"/>
  <c r="AE713" i="16"/>
  <c r="AE712" i="16"/>
  <c r="AE711" i="16"/>
  <c r="AE710" i="16"/>
  <c r="AE709" i="16"/>
  <c r="AE708" i="16"/>
  <c r="AE707" i="16"/>
  <c r="AE706" i="16"/>
  <c r="AE705" i="16"/>
  <c r="AE704" i="16"/>
  <c r="AE703" i="16"/>
  <c r="AE702" i="16"/>
  <c r="AE701" i="16"/>
  <c r="AE700" i="16"/>
  <c r="AE699" i="16"/>
  <c r="AE698" i="16"/>
  <c r="AE697" i="16"/>
  <c r="AE696" i="16"/>
  <c r="AE695" i="16"/>
  <c r="AE694" i="16"/>
  <c r="AE693" i="16"/>
  <c r="AE692" i="16"/>
  <c r="AE691" i="16"/>
  <c r="AD691" i="16"/>
  <c r="AE690" i="16"/>
  <c r="AE689" i="16"/>
  <c r="AE688" i="16"/>
  <c r="AE687" i="16"/>
  <c r="AE686" i="16"/>
  <c r="AE685" i="16"/>
  <c r="AE684" i="16"/>
  <c r="AE683" i="16"/>
  <c r="AE682" i="16"/>
  <c r="AE681" i="16"/>
  <c r="AE680" i="16"/>
  <c r="AE679" i="16"/>
  <c r="AE678" i="16"/>
  <c r="AE677" i="16"/>
  <c r="AE676" i="16"/>
  <c r="AE675" i="16"/>
  <c r="AE674" i="16"/>
  <c r="AE673" i="16"/>
  <c r="AE672" i="16"/>
  <c r="AE671" i="16"/>
  <c r="AE670" i="16"/>
  <c r="AE669" i="16"/>
  <c r="AE668" i="16"/>
  <c r="AE667" i="16"/>
  <c r="AE666" i="16"/>
  <c r="AE665" i="16"/>
  <c r="AE664" i="16"/>
  <c r="AE663" i="16"/>
  <c r="AE662" i="16"/>
  <c r="AG661" i="16"/>
  <c r="AE661" i="16"/>
  <c r="AG660" i="16"/>
  <c r="AE660" i="16"/>
  <c r="AG659" i="16"/>
  <c r="AE659" i="16"/>
  <c r="AG658" i="16"/>
  <c r="AE658" i="16"/>
  <c r="AG657" i="16"/>
  <c r="AE657" i="16"/>
  <c r="AG656" i="16"/>
  <c r="AE656" i="16"/>
  <c r="AG655" i="16"/>
  <c r="AE655" i="16"/>
  <c r="AC655" i="16"/>
  <c r="AG654" i="16"/>
  <c r="AE654" i="16"/>
  <c r="AG653" i="16"/>
  <c r="AE653" i="16"/>
  <c r="AG652" i="16"/>
  <c r="AE652" i="16"/>
  <c r="AG651" i="16"/>
  <c r="AE651" i="16"/>
  <c r="AG650" i="16"/>
  <c r="AF650" i="16"/>
  <c r="AG649" i="16"/>
  <c r="AF649" i="16"/>
  <c r="AG648" i="16"/>
  <c r="AF648" i="16"/>
  <c r="AG647" i="16"/>
  <c r="AF647" i="16"/>
  <c r="AG646" i="16"/>
  <c r="AF646" i="16"/>
  <c r="AG645" i="16"/>
  <c r="AF645" i="16"/>
  <c r="AG644" i="16"/>
  <c r="AF644" i="16"/>
  <c r="AG643" i="16"/>
  <c r="AF643" i="16"/>
  <c r="AG642" i="16"/>
  <c r="AF642" i="16"/>
  <c r="AG641" i="16"/>
  <c r="AF641" i="16"/>
  <c r="AG640" i="16"/>
  <c r="AF640" i="16"/>
  <c r="AG639" i="16"/>
  <c r="AE639" i="16"/>
  <c r="AG638" i="16"/>
  <c r="AE638" i="16"/>
  <c r="AG637" i="16"/>
  <c r="AE637" i="16"/>
  <c r="AG636" i="16"/>
  <c r="AE636" i="16"/>
  <c r="AG635" i="16"/>
  <c r="AE635" i="16"/>
  <c r="AG634" i="16"/>
  <c r="AE634" i="16"/>
  <c r="AG633" i="16"/>
  <c r="AE633" i="16"/>
  <c r="AG632" i="16"/>
  <c r="AE632" i="16"/>
  <c r="AG631" i="16"/>
  <c r="AE631" i="16"/>
  <c r="AG630" i="16"/>
  <c r="AE630" i="16"/>
  <c r="AG629" i="16"/>
  <c r="AE629" i="16"/>
  <c r="AE628" i="16"/>
  <c r="AE627" i="16"/>
  <c r="AE626" i="16"/>
  <c r="AE625" i="16"/>
  <c r="AE624" i="16"/>
  <c r="AE623" i="16"/>
  <c r="AE622" i="16"/>
  <c r="AE621" i="16"/>
  <c r="AE620" i="16"/>
  <c r="AE619" i="16"/>
  <c r="AE618" i="16"/>
  <c r="AE617" i="16"/>
  <c r="AG616" i="16"/>
  <c r="AF616" i="16"/>
  <c r="AG615" i="16"/>
  <c r="AF615" i="16"/>
  <c r="AG614" i="16"/>
  <c r="AF614" i="16"/>
  <c r="AG613" i="16"/>
  <c r="AF613" i="16"/>
  <c r="AG612" i="16"/>
  <c r="AF612" i="16"/>
  <c r="AG611" i="16"/>
  <c r="AF611" i="16"/>
  <c r="AG610" i="16"/>
  <c r="AF610" i="16"/>
  <c r="AG609" i="16"/>
  <c r="AF609" i="16"/>
  <c r="AG608" i="16"/>
  <c r="AF608" i="16"/>
  <c r="AG607" i="16"/>
  <c r="AF607" i="16"/>
  <c r="AG606" i="16"/>
  <c r="AF606" i="16"/>
  <c r="AG605" i="16"/>
  <c r="AF605" i="16"/>
  <c r="AE604" i="16"/>
  <c r="AE603" i="16"/>
  <c r="AE602" i="16"/>
  <c r="AE601" i="16"/>
  <c r="AE600" i="16"/>
  <c r="AE599" i="16"/>
  <c r="AE598" i="16"/>
  <c r="AE597" i="16"/>
  <c r="AE596" i="16"/>
  <c r="AE595" i="16"/>
  <c r="AE594" i="16"/>
  <c r="AE593" i="16"/>
  <c r="AE592" i="16"/>
  <c r="AD592" i="16"/>
  <c r="AC592" i="16"/>
  <c r="AE591" i="16"/>
  <c r="AD591" i="16"/>
  <c r="AC591" i="16"/>
  <c r="AE590" i="16"/>
  <c r="AD590" i="16"/>
  <c r="AC590" i="16"/>
  <c r="AE589" i="16"/>
  <c r="AD589" i="16"/>
  <c r="AC589" i="16"/>
  <c r="AE588" i="16"/>
  <c r="AD588" i="16"/>
  <c r="AC588" i="16"/>
  <c r="AE587" i="16"/>
  <c r="AD587" i="16"/>
  <c r="AC587" i="16"/>
  <c r="AE586" i="16"/>
  <c r="AD586" i="16"/>
  <c r="AC586" i="16"/>
  <c r="AE585" i="16"/>
  <c r="AD585" i="16"/>
  <c r="AC585" i="16"/>
  <c r="AE584" i="16"/>
  <c r="AD584" i="16"/>
  <c r="AC584" i="16"/>
  <c r="AE583" i="16"/>
  <c r="AD583" i="16"/>
  <c r="AC583" i="16"/>
  <c r="AE582" i="16"/>
  <c r="AD582" i="16"/>
  <c r="AC582" i="16"/>
  <c r="AE581" i="16"/>
  <c r="AD581" i="16"/>
  <c r="AC581" i="16"/>
  <c r="AG580" i="16"/>
  <c r="AF580" i="16"/>
  <c r="AB580" i="16"/>
  <c r="AG579" i="16"/>
  <c r="AF579" i="16"/>
  <c r="AD579" i="16"/>
  <c r="AB579" i="16"/>
  <c r="AG578" i="16"/>
  <c r="AF578" i="16"/>
  <c r="AB578" i="16"/>
  <c r="AG577" i="16"/>
  <c r="AF577" i="16"/>
  <c r="AB577" i="16"/>
  <c r="AG576" i="16"/>
  <c r="AF576" i="16"/>
  <c r="AB576" i="16"/>
  <c r="AG575" i="16"/>
  <c r="AF575" i="16"/>
  <c r="AB575" i="16"/>
  <c r="AG574" i="16"/>
  <c r="AF574" i="16"/>
  <c r="AB574" i="16"/>
  <c r="AG573" i="16"/>
  <c r="AF573" i="16"/>
  <c r="AB573" i="16"/>
  <c r="AG572" i="16"/>
  <c r="AF572" i="16"/>
  <c r="AB572" i="16"/>
  <c r="AG571" i="16"/>
  <c r="AF571" i="16"/>
  <c r="AB571" i="16"/>
  <c r="AG570" i="16"/>
  <c r="AF570" i="16"/>
  <c r="AB570" i="16"/>
  <c r="AG569" i="16"/>
  <c r="AF569" i="16"/>
  <c r="AB569" i="16"/>
  <c r="AE568" i="16"/>
  <c r="AD568" i="16"/>
  <c r="AC568" i="16"/>
  <c r="AE567" i="16"/>
  <c r="AD567" i="16"/>
  <c r="AC567" i="16"/>
  <c r="AE566" i="16"/>
  <c r="AD566" i="16"/>
  <c r="AC566" i="16"/>
  <c r="AE565" i="16"/>
  <c r="AD565" i="16"/>
  <c r="AC565" i="16"/>
  <c r="AE564" i="16"/>
  <c r="AD564" i="16"/>
  <c r="AC564" i="16"/>
  <c r="AE563" i="16"/>
  <c r="AD563" i="16"/>
  <c r="AC563" i="16"/>
  <c r="AE562" i="16"/>
  <c r="AD562" i="16"/>
  <c r="AC562" i="16"/>
  <c r="AE561" i="16"/>
  <c r="AD561" i="16"/>
  <c r="AC561" i="16"/>
  <c r="AE560" i="16"/>
  <c r="AD560" i="16"/>
  <c r="AC560" i="16"/>
  <c r="AE559" i="16"/>
  <c r="AD559" i="16"/>
  <c r="AC559" i="16"/>
  <c r="AE558" i="16"/>
  <c r="AD558" i="16"/>
  <c r="AC558" i="16"/>
  <c r="AE557" i="16"/>
  <c r="AD557" i="16"/>
  <c r="AC557" i="16"/>
  <c r="AE556" i="16"/>
  <c r="AD556" i="16"/>
  <c r="AC556" i="16"/>
  <c r="AE555" i="16"/>
  <c r="AD555" i="16"/>
  <c r="AC555" i="16"/>
  <c r="AE554" i="16"/>
  <c r="AD554" i="16"/>
  <c r="AC554" i="16"/>
  <c r="AE553" i="16"/>
  <c r="AD553" i="16"/>
  <c r="AC553" i="16"/>
  <c r="AE552" i="16"/>
  <c r="AD552" i="16"/>
  <c r="AC552" i="16"/>
  <c r="AE551" i="16"/>
  <c r="AD551" i="16"/>
  <c r="AC551" i="16"/>
  <c r="AE550" i="16"/>
  <c r="AD550" i="16"/>
  <c r="AC550" i="16"/>
  <c r="AE549" i="16"/>
  <c r="AD549" i="16"/>
  <c r="AC549" i="16"/>
  <c r="AE548" i="16"/>
  <c r="AD548" i="16"/>
  <c r="AC548" i="16"/>
  <c r="AE547" i="16"/>
  <c r="AD547" i="16"/>
  <c r="AC547" i="16"/>
  <c r="AE546" i="16"/>
  <c r="AD546" i="16"/>
  <c r="AC546" i="16"/>
  <c r="AE545" i="16"/>
  <c r="AD545" i="16"/>
  <c r="AC545" i="16"/>
  <c r="AG544" i="16"/>
  <c r="AF544" i="16"/>
  <c r="AB544" i="16"/>
  <c r="AG543" i="16"/>
  <c r="AF543" i="16"/>
  <c r="AB543" i="16"/>
  <c r="AG542" i="16"/>
  <c r="AF542" i="16"/>
  <c r="AB542" i="16"/>
  <c r="AG541" i="16"/>
  <c r="AF541" i="16"/>
  <c r="AB541" i="16"/>
  <c r="AG540" i="16"/>
  <c r="AF540" i="16"/>
  <c r="AB540" i="16"/>
  <c r="AG539" i="16"/>
  <c r="AF539" i="16"/>
  <c r="AB539" i="16"/>
  <c r="AG538" i="16"/>
  <c r="AF538" i="16"/>
  <c r="AB538" i="16"/>
  <c r="AG537" i="16"/>
  <c r="AF537" i="16"/>
  <c r="AB537" i="16"/>
  <c r="AG536" i="16"/>
  <c r="AF536" i="16"/>
  <c r="AB536" i="16"/>
  <c r="AG535" i="16"/>
  <c r="AF535" i="16"/>
  <c r="AB535" i="16"/>
  <c r="AG534" i="16"/>
  <c r="AF534" i="16"/>
  <c r="AB534" i="16"/>
  <c r="AG533" i="16"/>
  <c r="AF533" i="16"/>
  <c r="AB533" i="16"/>
  <c r="AE532" i="16"/>
  <c r="AD532" i="16"/>
  <c r="AC532" i="16"/>
  <c r="AE531" i="16"/>
  <c r="AD531" i="16"/>
  <c r="AC531" i="16"/>
  <c r="AE530" i="16"/>
  <c r="AD530" i="16"/>
  <c r="AC530" i="16"/>
  <c r="AE529" i="16"/>
  <c r="AD529" i="16"/>
  <c r="AC529" i="16"/>
  <c r="AE528" i="16"/>
  <c r="AD528" i="16"/>
  <c r="AC528" i="16"/>
  <c r="AE527" i="16"/>
  <c r="AD527" i="16"/>
  <c r="AC527" i="16"/>
  <c r="AE526" i="16"/>
  <c r="AD526" i="16"/>
  <c r="AC526" i="16"/>
  <c r="AB526" i="16"/>
  <c r="AE525" i="16"/>
  <c r="AD525" i="16"/>
  <c r="AC525" i="16"/>
  <c r="AE524" i="16"/>
  <c r="AD524" i="16"/>
  <c r="AC524" i="16"/>
  <c r="AE523" i="16"/>
  <c r="AD523" i="16"/>
  <c r="AC523" i="16"/>
  <c r="AE522" i="16"/>
  <c r="AD522" i="16"/>
  <c r="AC522" i="16"/>
  <c r="AE521" i="16"/>
  <c r="AD521" i="16"/>
  <c r="AC521" i="16"/>
  <c r="AE520" i="16"/>
  <c r="AE519" i="16"/>
  <c r="AE518" i="16"/>
  <c r="AE517" i="16"/>
  <c r="AE516" i="16"/>
  <c r="AE515" i="16"/>
  <c r="AE514" i="16"/>
  <c r="AE513" i="16"/>
  <c r="AE512" i="16"/>
  <c r="AE511" i="16"/>
  <c r="AB511" i="16"/>
  <c r="AE510" i="16"/>
  <c r="AE509" i="16"/>
  <c r="AE508" i="16"/>
  <c r="AE507" i="16"/>
  <c r="AE506" i="16"/>
  <c r="AE505" i="16"/>
  <c r="AE504" i="16"/>
  <c r="AE503" i="16"/>
  <c r="AE502" i="16"/>
  <c r="AE501" i="16"/>
  <c r="AE500" i="16"/>
  <c r="AE499" i="16"/>
  <c r="AE498" i="16"/>
  <c r="AG497" i="16"/>
  <c r="AF497" i="16"/>
  <c r="AG496" i="16"/>
  <c r="AF496" i="16"/>
  <c r="AG495" i="16"/>
  <c r="AF495" i="16"/>
  <c r="AG494" i="16"/>
  <c r="AF494" i="16"/>
  <c r="AD494" i="16"/>
  <c r="AG493" i="16"/>
  <c r="AF493" i="16"/>
  <c r="AG492" i="16"/>
  <c r="AF492" i="16"/>
  <c r="AB492" i="16"/>
  <c r="AG491" i="16"/>
  <c r="AF491" i="16"/>
  <c r="AG490" i="16"/>
  <c r="AF490" i="16"/>
  <c r="AB490" i="16"/>
  <c r="AG489" i="16"/>
  <c r="AF489" i="16"/>
  <c r="AG488" i="16"/>
  <c r="AF488" i="16"/>
  <c r="AB488" i="16"/>
  <c r="AG487" i="16"/>
  <c r="AF487" i="16"/>
  <c r="AG486" i="16"/>
  <c r="AF486" i="16"/>
  <c r="AG485" i="16"/>
  <c r="AF485" i="16"/>
  <c r="AG484" i="16"/>
  <c r="AF484" i="16"/>
  <c r="AG483" i="16"/>
  <c r="AF483" i="16"/>
  <c r="AB483" i="16"/>
  <c r="AG482" i="16"/>
  <c r="AF482" i="16"/>
  <c r="AG481" i="16"/>
  <c r="AF481" i="16"/>
  <c r="AG480" i="16"/>
  <c r="AF480" i="16"/>
  <c r="AG479" i="16"/>
  <c r="AF479" i="16"/>
  <c r="AG478" i="16"/>
  <c r="AF478" i="16"/>
  <c r="AG477" i="16"/>
  <c r="AF477" i="16"/>
  <c r="AG476" i="16"/>
  <c r="AF476" i="16"/>
  <c r="AG475" i="16"/>
  <c r="AF475" i="16"/>
  <c r="AE474" i="16"/>
  <c r="AE473" i="16"/>
  <c r="AE472" i="16"/>
  <c r="AE471" i="16"/>
  <c r="AE470" i="16"/>
  <c r="AE469" i="16"/>
  <c r="AE468" i="16"/>
  <c r="AB468" i="16"/>
  <c r="AE467" i="16"/>
  <c r="AE466" i="16"/>
  <c r="AE465" i="16"/>
  <c r="AE464" i="16"/>
  <c r="AE463" i="16"/>
  <c r="AE462" i="16"/>
  <c r="AE461" i="16"/>
  <c r="AE460" i="16"/>
  <c r="AE459" i="16"/>
  <c r="AE458" i="16"/>
  <c r="AE457" i="16"/>
  <c r="AC457" i="16"/>
  <c r="AE456" i="16"/>
  <c r="AE455" i="16"/>
  <c r="AE454" i="16"/>
  <c r="AE453" i="16"/>
  <c r="AE452" i="16"/>
  <c r="AG451" i="16"/>
  <c r="AE451" i="16"/>
  <c r="AE450" i="16"/>
  <c r="AE449" i="16"/>
  <c r="AG448" i="16"/>
  <c r="AE448" i="16"/>
  <c r="AB448" i="16"/>
  <c r="AE447" i="16"/>
  <c r="AE446" i="16"/>
  <c r="AG445" i="16"/>
  <c r="AE445" i="16"/>
  <c r="AE444" i="16"/>
  <c r="AE443" i="16"/>
  <c r="AD443" i="16"/>
  <c r="AE442" i="16"/>
  <c r="AG441" i="16"/>
  <c r="AE441" i="16"/>
  <c r="AD441" i="16"/>
  <c r="AE440" i="16"/>
  <c r="AG439" i="16"/>
  <c r="AE439" i="16"/>
  <c r="AE438" i="16"/>
  <c r="AD438" i="16"/>
  <c r="AE437" i="16"/>
  <c r="AG436" i="16"/>
  <c r="AE436" i="16"/>
  <c r="AE435" i="16"/>
  <c r="AE434" i="16"/>
  <c r="AG433" i="16"/>
  <c r="AE433" i="16"/>
  <c r="AD433" i="16"/>
  <c r="AE432" i="16"/>
  <c r="AE431" i="16"/>
  <c r="AC431" i="16"/>
  <c r="AG430" i="16"/>
  <c r="AE430" i="16"/>
  <c r="AE429" i="16"/>
  <c r="AE428" i="16"/>
  <c r="AG427" i="16"/>
  <c r="AE427" i="16"/>
  <c r="AE426" i="16"/>
  <c r="AE425" i="16"/>
  <c r="AG424" i="16"/>
  <c r="AE424" i="16"/>
  <c r="AE423" i="16"/>
  <c r="AC423" i="16"/>
  <c r="AG422" i="16"/>
  <c r="AE422" i="16"/>
  <c r="AE421" i="16"/>
  <c r="AG420" i="16"/>
  <c r="AE420" i="16"/>
  <c r="AE419" i="16"/>
  <c r="AG418" i="16"/>
  <c r="AF418" i="16"/>
  <c r="AG417" i="16"/>
  <c r="AF417" i="16"/>
  <c r="AG416" i="16"/>
  <c r="AF416" i="16"/>
  <c r="AG415" i="16"/>
  <c r="AF415" i="16"/>
  <c r="AG414" i="16"/>
  <c r="AF414" i="16"/>
  <c r="AG413" i="16"/>
  <c r="AF413" i="16"/>
  <c r="AG412" i="16"/>
  <c r="AF412" i="16"/>
  <c r="AG411" i="16"/>
  <c r="AF411" i="16"/>
  <c r="AG410" i="16"/>
  <c r="AF410" i="16"/>
  <c r="AG409" i="16"/>
  <c r="AF409" i="16"/>
  <c r="AG408" i="16"/>
  <c r="AF408" i="16"/>
  <c r="AG407" i="16"/>
  <c r="AF407" i="16"/>
  <c r="AG406" i="16"/>
  <c r="AF406" i="16"/>
  <c r="AG405" i="16"/>
  <c r="AF405" i="16"/>
  <c r="AG404" i="16"/>
  <c r="AF404" i="16"/>
  <c r="AD404" i="16"/>
  <c r="AG403" i="16"/>
  <c r="AF403" i="16"/>
  <c r="AG402" i="16"/>
  <c r="AF402" i="16"/>
  <c r="AD402" i="16"/>
  <c r="AG401" i="16"/>
  <c r="AF401" i="16"/>
  <c r="AG400" i="16"/>
  <c r="AF400" i="16"/>
  <c r="AD400" i="16"/>
  <c r="AG399" i="16"/>
  <c r="AF399" i="16"/>
  <c r="AG398" i="16"/>
  <c r="AF398" i="16"/>
  <c r="AB398" i="16"/>
  <c r="AG397" i="16"/>
  <c r="AF397" i="16"/>
  <c r="AG396" i="16"/>
  <c r="AF396" i="16"/>
  <c r="AC396" i="16"/>
  <c r="AG395" i="16"/>
  <c r="AF395" i="16"/>
  <c r="AG394" i="16"/>
  <c r="AF394" i="16"/>
  <c r="AB394" i="16"/>
  <c r="AG393" i="16"/>
  <c r="AF393" i="16"/>
  <c r="AG392" i="16"/>
  <c r="AF392" i="16"/>
  <c r="AG391" i="16"/>
  <c r="AF391" i="16"/>
  <c r="AG390" i="16"/>
  <c r="AF390" i="16"/>
  <c r="AG389" i="16"/>
  <c r="AF389" i="16"/>
  <c r="AG388" i="16"/>
  <c r="AF388" i="16"/>
  <c r="AB388" i="16"/>
  <c r="AG387" i="16"/>
  <c r="AF387" i="16"/>
  <c r="AG386" i="16"/>
  <c r="AE386" i="16"/>
  <c r="AE385" i="16"/>
  <c r="AE384" i="16"/>
  <c r="AG383" i="16"/>
  <c r="AE383" i="16"/>
  <c r="AB383" i="16"/>
  <c r="AE382" i="16"/>
  <c r="AE381" i="16"/>
  <c r="AG380" i="16"/>
  <c r="AE380" i="16"/>
  <c r="AE379" i="16"/>
  <c r="AE378" i="16"/>
  <c r="AD378" i="16"/>
  <c r="AE377" i="16"/>
  <c r="AG376" i="16"/>
  <c r="AE376" i="16"/>
  <c r="AD376" i="16"/>
  <c r="AE375" i="16"/>
  <c r="AG374" i="16"/>
  <c r="AE374" i="16"/>
  <c r="AE373" i="16"/>
  <c r="AD373" i="16"/>
  <c r="AE372" i="16"/>
  <c r="AG371" i="16"/>
  <c r="AE371" i="16"/>
  <c r="AE370" i="16"/>
  <c r="AE369" i="16"/>
  <c r="AG368" i="16"/>
  <c r="AE368" i="16"/>
  <c r="AD368" i="16"/>
  <c r="AE367" i="16"/>
  <c r="AE366" i="16"/>
  <c r="AC366" i="16"/>
  <c r="AG365" i="16"/>
  <c r="AE365" i="16"/>
  <c r="AE364" i="16"/>
  <c r="AE363" i="16"/>
  <c r="AG362" i="16"/>
  <c r="AE362" i="16"/>
  <c r="AE361" i="16"/>
  <c r="AD361" i="16"/>
  <c r="AE360" i="16"/>
  <c r="AG359" i="16"/>
  <c r="AE359" i="16"/>
  <c r="AB359" i="16"/>
  <c r="AE358" i="16"/>
  <c r="AG357" i="16"/>
  <c r="AE357" i="16"/>
  <c r="AB357" i="16"/>
  <c r="AE356" i="16"/>
  <c r="AG355" i="16"/>
  <c r="AE355" i="16"/>
  <c r="AC355" i="16"/>
  <c r="AE354" i="16"/>
  <c r="AG353" i="16"/>
  <c r="AE353" i="16"/>
  <c r="AG352" i="16"/>
  <c r="AE352" i="16"/>
  <c r="AG351" i="16"/>
  <c r="AE351" i="16"/>
  <c r="AB351" i="16"/>
  <c r="AG350" i="16"/>
  <c r="AE350" i="16"/>
  <c r="AG349" i="16"/>
  <c r="AE349" i="16"/>
  <c r="AB349" i="16"/>
  <c r="AG348" i="16"/>
  <c r="AE348" i="16"/>
  <c r="AG347" i="16"/>
  <c r="AE347" i="16"/>
  <c r="AC347" i="16"/>
  <c r="AG346" i="16"/>
  <c r="AE346" i="16"/>
  <c r="AG345" i="16"/>
  <c r="AE345" i="16"/>
  <c r="AD345" i="16"/>
  <c r="AG344" i="16"/>
  <c r="AE344" i="16"/>
  <c r="AG343" i="16"/>
  <c r="AE343" i="16"/>
  <c r="AD343" i="16"/>
  <c r="AG342" i="16"/>
  <c r="AE342" i="16"/>
  <c r="AG341" i="16"/>
  <c r="AF341" i="16"/>
  <c r="AG340" i="16"/>
  <c r="AF340" i="16"/>
  <c r="AG339" i="16"/>
  <c r="AF339" i="16"/>
  <c r="AG338" i="16"/>
  <c r="AF338" i="16"/>
  <c r="AG337" i="16"/>
  <c r="AF337" i="16"/>
  <c r="AG336" i="16"/>
  <c r="AF336" i="16"/>
  <c r="AG335" i="16"/>
  <c r="AF335" i="16"/>
  <c r="AG334" i="16"/>
  <c r="AF334" i="16"/>
  <c r="AC334" i="16"/>
  <c r="AG333" i="16"/>
  <c r="AF333" i="16"/>
  <c r="AG332" i="16"/>
  <c r="AF332" i="16"/>
  <c r="AB332" i="16"/>
  <c r="AG331" i="16"/>
  <c r="AF331" i="16"/>
  <c r="AG330" i="16"/>
  <c r="AF330" i="16"/>
  <c r="AD330" i="16"/>
  <c r="AG329" i="16"/>
  <c r="AE329" i="16"/>
  <c r="AG328" i="16"/>
  <c r="AE328" i="16"/>
  <c r="AG327" i="16"/>
  <c r="AE327" i="16"/>
  <c r="AG326" i="16"/>
  <c r="AE326" i="16"/>
  <c r="AG325" i="16"/>
  <c r="AE325" i="16"/>
  <c r="AG324" i="16"/>
  <c r="AE324" i="16"/>
  <c r="AG323" i="16"/>
  <c r="AE323" i="16"/>
  <c r="AG322" i="16"/>
  <c r="AE322" i="16"/>
  <c r="AG321" i="16"/>
  <c r="AE321" i="16"/>
  <c r="AG320" i="16"/>
  <c r="AE320" i="16"/>
  <c r="AG319" i="16"/>
  <c r="AE319" i="16"/>
  <c r="AB319" i="16"/>
  <c r="AG318" i="16"/>
  <c r="AE318" i="16"/>
  <c r="AE317" i="16"/>
  <c r="AE316" i="16"/>
  <c r="AE315" i="16"/>
  <c r="AE314" i="16"/>
  <c r="AC314" i="16"/>
  <c r="AE313" i="16"/>
  <c r="AE312" i="16"/>
  <c r="AE311" i="16"/>
  <c r="AD311" i="16"/>
  <c r="AE310" i="16"/>
  <c r="AE309" i="16"/>
  <c r="AE308" i="16"/>
  <c r="AE307" i="16"/>
  <c r="AE306" i="16"/>
  <c r="AC306" i="16"/>
  <c r="AG305" i="16"/>
  <c r="AF305" i="16"/>
  <c r="AG304" i="16"/>
  <c r="AF304" i="16"/>
  <c r="AB304" i="16"/>
  <c r="AG303" i="16"/>
  <c r="AF303" i="16"/>
  <c r="AG302" i="16"/>
  <c r="AF302" i="16"/>
  <c r="AD302" i="16"/>
  <c r="AG301" i="16"/>
  <c r="AF301" i="16"/>
  <c r="AG300" i="16"/>
  <c r="AF300" i="16"/>
  <c r="AC300" i="16"/>
  <c r="AG299" i="16"/>
  <c r="AF299" i="16"/>
  <c r="AG298" i="16"/>
  <c r="AF298" i="16"/>
  <c r="AG297" i="16"/>
  <c r="AF297" i="16"/>
  <c r="AG296" i="16"/>
  <c r="AF296" i="16"/>
  <c r="AG295" i="16"/>
  <c r="AF295" i="16"/>
  <c r="AG294" i="16"/>
  <c r="AF294" i="16"/>
  <c r="AE293" i="16"/>
  <c r="AE292" i="16"/>
  <c r="AD292" i="16"/>
  <c r="AE291" i="16"/>
  <c r="AE290" i="16"/>
  <c r="AE289" i="16"/>
  <c r="AE288" i="16"/>
  <c r="AE287" i="16"/>
  <c r="AC287" i="16"/>
  <c r="AE286" i="16"/>
  <c r="AE285" i="16"/>
  <c r="AE284" i="16"/>
  <c r="AD284" i="16"/>
  <c r="AE283" i="16"/>
  <c r="AE282" i="16"/>
  <c r="AE281" i="16"/>
  <c r="AE280" i="16"/>
  <c r="AE279" i="16"/>
  <c r="AC279" i="16"/>
  <c r="AE278" i="16"/>
  <c r="AE277" i="16"/>
  <c r="AE276" i="16"/>
  <c r="AD276" i="16"/>
  <c r="AE275" i="16"/>
  <c r="AE274" i="16"/>
  <c r="AE273" i="16"/>
  <c r="AE272" i="16"/>
  <c r="AE271" i="16"/>
  <c r="AC271" i="16"/>
  <c r="AE270" i="16"/>
  <c r="AE269" i="16"/>
  <c r="AE268" i="16"/>
  <c r="AD268" i="16"/>
  <c r="AE267" i="16"/>
  <c r="AE266" i="16"/>
  <c r="AE265" i="16"/>
  <c r="AE264" i="16"/>
  <c r="AE263" i="16"/>
  <c r="AC263" i="16"/>
  <c r="AE262" i="16"/>
  <c r="AE261" i="16"/>
  <c r="AE260" i="16"/>
  <c r="AD260" i="16"/>
  <c r="AE259" i="16"/>
  <c r="AE258" i="16"/>
  <c r="AE257" i="16"/>
  <c r="AE256" i="16"/>
  <c r="AG255" i="16"/>
  <c r="AF255" i="16"/>
  <c r="AG254" i="16"/>
  <c r="AF254" i="16"/>
  <c r="AC254" i="16"/>
  <c r="AG253" i="16"/>
  <c r="AF253" i="16"/>
  <c r="AG252" i="16"/>
  <c r="AF252" i="16"/>
  <c r="AG251" i="16"/>
  <c r="AF251" i="16"/>
  <c r="AG250" i="16"/>
  <c r="AF250" i="16"/>
  <c r="AG249" i="16"/>
  <c r="AF249" i="16"/>
  <c r="AD249" i="16"/>
  <c r="AG248" i="16"/>
  <c r="AF248" i="16"/>
  <c r="AG247" i="16"/>
  <c r="AF247" i="16"/>
  <c r="AG246" i="16"/>
  <c r="AF246" i="16"/>
  <c r="AC246" i="16"/>
  <c r="AG245" i="16"/>
  <c r="AF245" i="16"/>
  <c r="AG244" i="16"/>
  <c r="AF244" i="16"/>
  <c r="AG243" i="16"/>
  <c r="AF243" i="16"/>
  <c r="AG242" i="16"/>
  <c r="AF242" i="16"/>
  <c r="AG241" i="16"/>
  <c r="AF241" i="16"/>
  <c r="AD241" i="16"/>
  <c r="AG240" i="16"/>
  <c r="AF240" i="16"/>
  <c r="AG239" i="16"/>
  <c r="AF239" i="16"/>
  <c r="AG238" i="16"/>
  <c r="AF238" i="16"/>
  <c r="AC238" i="16"/>
  <c r="AG237" i="16"/>
  <c r="AF237" i="16"/>
  <c r="AG236" i="16"/>
  <c r="AF236" i="16"/>
  <c r="AG235" i="16"/>
  <c r="AF235" i="16"/>
  <c r="AG234" i="16"/>
  <c r="AF234" i="16"/>
  <c r="AG233" i="16"/>
  <c r="AF233" i="16"/>
  <c r="AD233" i="16"/>
  <c r="AG232" i="16"/>
  <c r="AF232" i="16"/>
  <c r="AE231" i="16"/>
  <c r="AE230" i="16"/>
  <c r="AE229" i="16"/>
  <c r="AE228" i="16"/>
  <c r="AE227" i="16"/>
  <c r="AE226" i="16"/>
  <c r="AE225" i="16"/>
  <c r="AE224" i="16"/>
  <c r="AE223" i="16"/>
  <c r="AE222" i="16"/>
  <c r="AE221" i="16"/>
  <c r="AE220" i="16"/>
  <c r="AE219" i="16"/>
  <c r="AE218" i="16"/>
  <c r="AE217" i="16"/>
  <c r="AE216" i="16"/>
  <c r="AE215" i="16"/>
  <c r="AE214" i="16"/>
  <c r="AE213" i="16"/>
  <c r="AE212" i="16"/>
  <c r="AE211" i="16"/>
  <c r="AE210" i="16"/>
  <c r="AE209" i="16"/>
  <c r="AE208" i="16"/>
  <c r="AE207" i="16"/>
  <c r="AE206" i="16"/>
  <c r="AG205" i="16"/>
  <c r="AF205" i="16"/>
  <c r="AG204" i="16"/>
  <c r="AF204" i="16"/>
  <c r="AC204" i="16"/>
  <c r="AG203" i="16"/>
  <c r="AF203" i="16"/>
  <c r="AG202" i="16"/>
  <c r="AF202" i="16"/>
  <c r="AG201" i="16"/>
  <c r="AF201" i="16"/>
  <c r="AB201" i="16"/>
  <c r="AG200" i="16"/>
  <c r="AF200" i="16"/>
  <c r="AG199" i="16"/>
  <c r="AF199" i="16"/>
  <c r="AD199" i="16"/>
  <c r="AG198" i="16"/>
  <c r="AF198" i="16"/>
  <c r="AG197" i="16"/>
  <c r="AF197" i="16"/>
  <c r="AG196" i="16"/>
  <c r="AF196" i="16"/>
  <c r="AC196" i="16"/>
  <c r="AG195" i="16"/>
  <c r="AF195" i="16"/>
  <c r="AG194" i="16"/>
  <c r="AF194" i="16"/>
  <c r="AD193" i="16"/>
  <c r="AC193" i="16"/>
  <c r="AB193" i="16"/>
  <c r="AD192" i="16"/>
  <c r="AC192" i="16"/>
  <c r="AB192" i="16"/>
  <c r="AD191" i="16"/>
  <c r="AC191" i="16"/>
  <c r="AB191" i="16"/>
  <c r="AD190" i="16"/>
  <c r="AC190" i="16"/>
  <c r="AB190" i="16"/>
  <c r="AD189" i="16"/>
  <c r="AC189" i="16"/>
  <c r="AB189" i="16"/>
  <c r="AD188" i="16"/>
  <c r="AC188" i="16"/>
  <c r="AB188" i="16"/>
  <c r="AD187" i="16"/>
  <c r="AC187" i="16"/>
  <c r="AB187" i="16"/>
  <c r="AD186" i="16"/>
  <c r="AC186" i="16"/>
  <c r="AB186" i="16"/>
  <c r="AD185" i="16"/>
  <c r="AC185" i="16"/>
  <c r="AB185" i="16"/>
  <c r="AD184" i="16"/>
  <c r="AC184" i="16"/>
  <c r="AB184" i="16"/>
  <c r="AD183" i="16"/>
  <c r="AC183" i="16"/>
  <c r="AB183" i="16"/>
  <c r="AD182" i="16"/>
  <c r="AC182" i="16"/>
  <c r="AB182" i="16"/>
  <c r="AD181" i="16"/>
  <c r="AC181" i="16"/>
  <c r="AB181" i="16"/>
  <c r="AD180" i="16"/>
  <c r="AC180" i="16"/>
  <c r="AB180" i="16"/>
  <c r="AD179" i="16"/>
  <c r="AC179" i="16"/>
  <c r="AB179" i="16"/>
  <c r="AD178" i="16"/>
  <c r="AC178" i="16"/>
  <c r="AB178" i="16"/>
  <c r="AD177" i="16"/>
  <c r="AC177" i="16"/>
  <c r="AB177" i="16"/>
  <c r="AD176" i="16"/>
  <c r="AC176" i="16"/>
  <c r="AB176" i="16"/>
  <c r="AD175" i="16"/>
  <c r="AC175" i="16"/>
  <c r="AB175" i="16"/>
  <c r="AD174" i="16"/>
  <c r="AC174" i="16"/>
  <c r="AB174" i="16"/>
  <c r="AD173" i="16"/>
  <c r="AC173" i="16"/>
  <c r="AB173" i="16"/>
  <c r="AD172" i="16"/>
  <c r="AC172" i="16"/>
  <c r="AB172" i="16"/>
  <c r="AD171" i="16"/>
  <c r="AC171" i="16"/>
  <c r="AB171" i="16"/>
  <c r="AD170" i="16"/>
  <c r="AC170" i="16"/>
  <c r="AB170" i="16"/>
  <c r="AG169" i="16"/>
  <c r="AD168" i="16"/>
  <c r="AG167" i="16"/>
  <c r="AC166" i="16"/>
  <c r="AG165" i="16"/>
  <c r="AB164" i="16"/>
  <c r="AG163" i="16"/>
  <c r="AG161" i="16"/>
  <c r="AG159" i="16"/>
  <c r="AD159" i="16"/>
  <c r="AG157" i="16"/>
  <c r="AC157" i="16"/>
  <c r="AG155" i="16"/>
  <c r="AB155" i="16"/>
  <c r="AG153" i="16"/>
  <c r="AD152" i="16"/>
  <c r="AG151" i="16"/>
  <c r="AC150" i="16"/>
  <c r="AG149" i="16"/>
  <c r="AB148" i="16"/>
  <c r="AG147" i="16"/>
  <c r="AG145" i="16"/>
  <c r="AE145" i="16"/>
  <c r="AG144" i="16"/>
  <c r="AE144" i="16"/>
  <c r="AG143" i="16"/>
  <c r="AE143" i="16"/>
  <c r="AG142" i="16"/>
  <c r="AE142" i="16"/>
  <c r="AG141" i="16"/>
  <c r="AE141" i="16"/>
  <c r="AG140" i="16"/>
  <c r="AE140" i="16"/>
  <c r="AG139" i="16"/>
  <c r="AE139" i="16"/>
  <c r="AD139" i="16"/>
  <c r="AG138" i="16"/>
  <c r="AE138" i="16"/>
  <c r="AG137" i="16"/>
  <c r="AE137" i="16"/>
  <c r="AG136" i="16"/>
  <c r="AE136" i="16"/>
  <c r="AG135" i="16"/>
  <c r="AE135" i="16"/>
  <c r="AG134" i="16"/>
  <c r="AE134" i="16"/>
  <c r="AG133" i="16"/>
  <c r="AD132" i="16"/>
  <c r="AG131" i="16"/>
  <c r="AG129" i="16"/>
  <c r="AB128" i="16"/>
  <c r="AG127" i="16"/>
  <c r="AG125" i="16"/>
  <c r="AG123" i="16"/>
  <c r="AD123" i="16"/>
  <c r="AG121" i="16"/>
  <c r="AC121" i="16"/>
  <c r="AG119" i="16"/>
  <c r="AG117" i="16"/>
  <c r="AD116" i="16"/>
  <c r="AG115" i="16"/>
  <c r="AG113" i="16"/>
  <c r="AB112" i="16"/>
  <c r="AG111" i="16"/>
  <c r="AG109" i="16"/>
  <c r="AG108" i="16"/>
  <c r="AG107" i="16"/>
  <c r="AG106" i="16"/>
  <c r="AG105" i="16"/>
  <c r="AG104" i="16"/>
  <c r="AG103" i="16"/>
  <c r="AG102" i="16"/>
  <c r="AG101" i="16"/>
  <c r="AG100" i="16"/>
  <c r="AG99" i="16"/>
  <c r="AG98" i="16"/>
  <c r="AG97" i="16"/>
  <c r="AE97" i="16"/>
  <c r="AG96" i="16"/>
  <c r="AE96" i="16"/>
  <c r="AG95" i="16"/>
  <c r="AE95" i="16"/>
  <c r="AG94" i="16"/>
  <c r="AE94" i="16"/>
  <c r="AG93" i="16"/>
  <c r="AE93" i="16"/>
  <c r="AB93" i="16"/>
  <c r="AG92" i="16"/>
  <c r="AE92" i="16"/>
  <c r="AG91" i="16"/>
  <c r="AE91" i="16"/>
  <c r="AD91" i="16"/>
  <c r="AG90" i="16"/>
  <c r="AE90" i="16"/>
  <c r="AG89" i="16"/>
  <c r="AE89" i="16"/>
  <c r="AG88" i="16"/>
  <c r="AE88" i="16"/>
  <c r="AG87" i="16"/>
  <c r="AE87" i="16"/>
  <c r="AG86" i="16"/>
  <c r="AE86" i="16"/>
  <c r="AG85" i="16"/>
  <c r="AG84" i="16"/>
  <c r="AG83" i="16"/>
  <c r="AG82" i="16"/>
  <c r="AG81" i="16"/>
  <c r="AG80" i="16"/>
  <c r="AG79" i="16"/>
  <c r="AG78" i="16"/>
  <c r="AG77" i="16"/>
  <c r="AG76" i="16"/>
  <c r="AG75" i="16"/>
  <c r="AG74" i="16"/>
  <c r="AC64" i="16"/>
  <c r="AG49" i="16"/>
  <c r="AF49" i="16"/>
  <c r="AB49" i="16"/>
  <c r="AG48" i="16"/>
  <c r="AF48" i="16"/>
  <c r="AG47" i="16"/>
  <c r="AF47" i="16"/>
  <c r="AG46" i="16"/>
  <c r="AF46" i="16"/>
  <c r="AG45" i="16"/>
  <c r="AF45" i="16"/>
  <c r="AG44" i="16"/>
  <c r="AF44" i="16"/>
  <c r="AG43" i="16"/>
  <c r="AF43" i="16"/>
  <c r="AG42" i="16"/>
  <c r="AF42" i="16"/>
  <c r="AG41" i="16"/>
  <c r="AF41" i="16"/>
  <c r="AB41" i="16"/>
  <c r="AG40" i="16"/>
  <c r="AF40" i="16"/>
  <c r="AG39" i="16"/>
  <c r="AF39" i="16"/>
  <c r="AD39" i="16"/>
  <c r="AG38" i="16"/>
  <c r="AF38" i="16"/>
  <c r="AG37" i="16"/>
  <c r="AG36" i="16"/>
  <c r="AG35" i="16"/>
  <c r="AG34" i="16"/>
  <c r="AG33" i="16"/>
  <c r="AG32" i="16"/>
  <c r="AG31" i="16"/>
  <c r="AG30" i="16"/>
  <c r="AG29" i="16"/>
  <c r="AG28" i="16"/>
  <c r="AG27" i="16"/>
  <c r="AG26" i="16"/>
  <c r="AG25" i="16"/>
  <c r="AE25" i="16"/>
  <c r="AG24" i="16"/>
  <c r="AE24" i="16"/>
  <c r="AG23" i="16"/>
  <c r="AE23" i="16"/>
  <c r="AG22" i="16"/>
  <c r="AE22" i="16"/>
  <c r="AG21" i="16"/>
  <c r="AE21" i="16"/>
  <c r="AG20" i="16"/>
  <c r="AE20" i="16"/>
  <c r="AG19" i="16"/>
  <c r="AE19" i="16"/>
  <c r="AD19" i="16"/>
  <c r="AG18" i="16"/>
  <c r="AE18" i="16"/>
  <c r="AG17" i="16"/>
  <c r="AE17" i="16"/>
  <c r="AG16" i="16"/>
  <c r="AE16" i="16"/>
  <c r="AG15" i="16"/>
  <c r="AE15" i="16"/>
  <c r="AG14" i="16"/>
  <c r="AE14" i="16"/>
  <c r="AG13" i="16"/>
  <c r="AG12" i="16"/>
  <c r="AG11" i="16"/>
  <c r="AG10" i="16"/>
  <c r="AG9" i="16"/>
  <c r="AG8" i="16"/>
  <c r="AG7" i="16"/>
  <c r="AG6" i="16"/>
  <c r="AG5" i="16"/>
  <c r="AG4" i="16"/>
  <c r="AG3" i="16"/>
  <c r="AG2" i="16"/>
  <c r="X1157" i="16"/>
  <c r="AD1157" i="16" s="1"/>
  <c r="W1157" i="16"/>
  <c r="AC1157" i="16" s="1"/>
  <c r="V1157" i="16"/>
  <c r="AB1157" i="16" s="1"/>
  <c r="X1156" i="16"/>
  <c r="AD1156" i="16" s="1"/>
  <c r="W1156" i="16"/>
  <c r="AC1156" i="16" s="1"/>
  <c r="V1156" i="16"/>
  <c r="AB1156" i="16" s="1"/>
  <c r="X1155" i="16"/>
  <c r="AD1155" i="16" s="1"/>
  <c r="W1155" i="16"/>
  <c r="AC1155" i="16" s="1"/>
  <c r="V1155" i="16"/>
  <c r="AB1155" i="16" s="1"/>
  <c r="X1154" i="16"/>
  <c r="AD1154" i="16" s="1"/>
  <c r="W1154" i="16"/>
  <c r="AC1154" i="16" s="1"/>
  <c r="V1154" i="16"/>
  <c r="AB1154" i="16" s="1"/>
  <c r="X1153" i="16"/>
  <c r="AD1153" i="16" s="1"/>
  <c r="W1153" i="16"/>
  <c r="AC1153" i="16" s="1"/>
  <c r="V1153" i="16"/>
  <c r="AB1153" i="16" s="1"/>
  <c r="X1152" i="16"/>
  <c r="AD1152" i="16" s="1"/>
  <c r="W1152" i="16"/>
  <c r="AC1152" i="16" s="1"/>
  <c r="V1152" i="16"/>
  <c r="AB1152" i="16" s="1"/>
  <c r="X1151" i="16"/>
  <c r="AD1151" i="16" s="1"/>
  <c r="W1151" i="16"/>
  <c r="AC1151" i="16" s="1"/>
  <c r="V1151" i="16"/>
  <c r="AB1151" i="16" s="1"/>
  <c r="X1150" i="16"/>
  <c r="AD1150" i="16" s="1"/>
  <c r="W1150" i="16"/>
  <c r="AC1150" i="16" s="1"/>
  <c r="V1150" i="16"/>
  <c r="AB1150" i="16" s="1"/>
  <c r="X1149" i="16"/>
  <c r="AD1149" i="16" s="1"/>
  <c r="W1149" i="16"/>
  <c r="AC1149" i="16" s="1"/>
  <c r="V1149" i="16"/>
  <c r="AB1149" i="16" s="1"/>
  <c r="X1148" i="16"/>
  <c r="AD1148" i="16" s="1"/>
  <c r="W1148" i="16"/>
  <c r="AC1148" i="16" s="1"/>
  <c r="V1148" i="16"/>
  <c r="AB1148" i="16" s="1"/>
  <c r="X1147" i="16"/>
  <c r="AD1147" i="16" s="1"/>
  <c r="W1147" i="16"/>
  <c r="AC1147" i="16" s="1"/>
  <c r="V1147" i="16"/>
  <c r="AB1147" i="16" s="1"/>
  <c r="X1146" i="16"/>
  <c r="AD1146" i="16" s="1"/>
  <c r="W1146" i="16"/>
  <c r="AC1146" i="16" s="1"/>
  <c r="V1146" i="16"/>
  <c r="AB1146" i="16" s="1"/>
  <c r="V1145" i="16"/>
  <c r="AB1145" i="16" s="1"/>
  <c r="V1144" i="16"/>
  <c r="AB1144" i="16" s="1"/>
  <c r="V1143" i="16"/>
  <c r="AB1143" i="16" s="1"/>
  <c r="V1142" i="16"/>
  <c r="AB1142" i="16" s="1"/>
  <c r="V1141" i="16"/>
  <c r="AB1141" i="16" s="1"/>
  <c r="V1140" i="16"/>
  <c r="AB1140" i="16" s="1"/>
  <c r="V1139" i="16"/>
  <c r="AB1139" i="16" s="1"/>
  <c r="V1138" i="16"/>
  <c r="AB1138" i="16" s="1"/>
  <c r="V1137" i="16"/>
  <c r="AB1137" i="16" s="1"/>
  <c r="V1136" i="16"/>
  <c r="AB1136" i="16" s="1"/>
  <c r="V1135" i="16"/>
  <c r="AB1135" i="16" s="1"/>
  <c r="V1134" i="16"/>
  <c r="AB1134" i="16" s="1"/>
  <c r="X1133" i="16"/>
  <c r="AD1133" i="16" s="1"/>
  <c r="W1133" i="16"/>
  <c r="AC1133" i="16" s="1"/>
  <c r="V1133" i="16"/>
  <c r="AB1133" i="16" s="1"/>
  <c r="X1132" i="16"/>
  <c r="AD1132" i="16" s="1"/>
  <c r="W1132" i="16"/>
  <c r="AC1132" i="16" s="1"/>
  <c r="V1132" i="16"/>
  <c r="AB1132" i="16" s="1"/>
  <c r="X1131" i="16"/>
  <c r="AD1131" i="16" s="1"/>
  <c r="W1131" i="16"/>
  <c r="AC1131" i="16" s="1"/>
  <c r="V1131" i="16"/>
  <c r="AB1131" i="16" s="1"/>
  <c r="X1130" i="16"/>
  <c r="AD1130" i="16" s="1"/>
  <c r="W1130" i="16"/>
  <c r="AC1130" i="16" s="1"/>
  <c r="V1130" i="16"/>
  <c r="AB1130" i="16" s="1"/>
  <c r="X1129" i="16"/>
  <c r="AD1129" i="16" s="1"/>
  <c r="W1129" i="16"/>
  <c r="AC1129" i="16" s="1"/>
  <c r="V1129" i="16"/>
  <c r="AB1129" i="16" s="1"/>
  <c r="X1128" i="16"/>
  <c r="AD1128" i="16" s="1"/>
  <c r="W1128" i="16"/>
  <c r="AC1128" i="16" s="1"/>
  <c r="V1128" i="16"/>
  <c r="AB1128" i="16" s="1"/>
  <c r="X1127" i="16"/>
  <c r="AD1127" i="16" s="1"/>
  <c r="W1127" i="16"/>
  <c r="AC1127" i="16" s="1"/>
  <c r="V1127" i="16"/>
  <c r="AB1127" i="16" s="1"/>
  <c r="X1126" i="16"/>
  <c r="AD1126" i="16" s="1"/>
  <c r="W1126" i="16"/>
  <c r="AC1126" i="16" s="1"/>
  <c r="V1126" i="16"/>
  <c r="AB1126" i="16" s="1"/>
  <c r="X1125" i="16"/>
  <c r="AD1125" i="16" s="1"/>
  <c r="W1125" i="16"/>
  <c r="AC1125" i="16" s="1"/>
  <c r="V1125" i="16"/>
  <c r="AB1125" i="16" s="1"/>
  <c r="X1124" i="16"/>
  <c r="AD1124" i="16" s="1"/>
  <c r="W1124" i="16"/>
  <c r="AC1124" i="16" s="1"/>
  <c r="V1124" i="16"/>
  <c r="AB1124" i="16" s="1"/>
  <c r="X1123" i="16"/>
  <c r="AD1123" i="16" s="1"/>
  <c r="W1123" i="16"/>
  <c r="AC1123" i="16" s="1"/>
  <c r="V1123" i="16"/>
  <c r="AB1123" i="16" s="1"/>
  <c r="X1122" i="16"/>
  <c r="AD1122" i="16" s="1"/>
  <c r="W1122" i="16"/>
  <c r="AC1122" i="16" s="1"/>
  <c r="V1122" i="16"/>
  <c r="AB1122" i="16" s="1"/>
  <c r="X1121" i="16"/>
  <c r="AD1121" i="16" s="1"/>
  <c r="W1121" i="16"/>
  <c r="AC1121" i="16" s="1"/>
  <c r="V1121" i="16"/>
  <c r="AB1121" i="16" s="1"/>
  <c r="X1120" i="16"/>
  <c r="AD1120" i="16" s="1"/>
  <c r="W1120" i="16"/>
  <c r="AC1120" i="16" s="1"/>
  <c r="V1120" i="16"/>
  <c r="AB1120" i="16" s="1"/>
  <c r="X1119" i="16"/>
  <c r="AD1119" i="16" s="1"/>
  <c r="W1119" i="16"/>
  <c r="AC1119" i="16" s="1"/>
  <c r="V1119" i="16"/>
  <c r="AB1119" i="16" s="1"/>
  <c r="X1118" i="16"/>
  <c r="AD1118" i="16" s="1"/>
  <c r="W1118" i="16"/>
  <c r="AC1118" i="16" s="1"/>
  <c r="V1118" i="16"/>
  <c r="AB1118" i="16" s="1"/>
  <c r="X1117" i="16"/>
  <c r="AD1117" i="16" s="1"/>
  <c r="W1117" i="16"/>
  <c r="AC1117" i="16" s="1"/>
  <c r="V1117" i="16"/>
  <c r="AB1117" i="16" s="1"/>
  <c r="X1116" i="16"/>
  <c r="AD1116" i="16" s="1"/>
  <c r="W1116" i="16"/>
  <c r="AC1116" i="16" s="1"/>
  <c r="V1116" i="16"/>
  <c r="AB1116" i="16" s="1"/>
  <c r="X1115" i="16"/>
  <c r="AD1115" i="16" s="1"/>
  <c r="W1115" i="16"/>
  <c r="AC1115" i="16" s="1"/>
  <c r="V1115" i="16"/>
  <c r="AB1115" i="16" s="1"/>
  <c r="X1114" i="16"/>
  <c r="AD1114" i="16" s="1"/>
  <c r="W1114" i="16"/>
  <c r="AC1114" i="16" s="1"/>
  <c r="V1114" i="16"/>
  <c r="AB1114" i="16" s="1"/>
  <c r="X1113" i="16"/>
  <c r="AD1113" i="16" s="1"/>
  <c r="W1113" i="16"/>
  <c r="AC1113" i="16" s="1"/>
  <c r="V1113" i="16"/>
  <c r="AB1113" i="16" s="1"/>
  <c r="X1112" i="16"/>
  <c r="AD1112" i="16" s="1"/>
  <c r="W1112" i="16"/>
  <c r="AC1112" i="16" s="1"/>
  <c r="V1112" i="16"/>
  <c r="AB1112" i="16" s="1"/>
  <c r="X1111" i="16"/>
  <c r="AD1111" i="16" s="1"/>
  <c r="W1111" i="16"/>
  <c r="AC1111" i="16" s="1"/>
  <c r="V1111" i="16"/>
  <c r="AB1111" i="16" s="1"/>
  <c r="X1110" i="16"/>
  <c r="AD1110" i="16" s="1"/>
  <c r="W1110" i="16"/>
  <c r="AC1110" i="16" s="1"/>
  <c r="V1110" i="16"/>
  <c r="AB1110" i="16" s="1"/>
  <c r="X1109" i="16"/>
  <c r="AD1109" i="16" s="1"/>
  <c r="W1109" i="16"/>
  <c r="AC1109" i="16" s="1"/>
  <c r="V1109" i="16"/>
  <c r="AB1109" i="16" s="1"/>
  <c r="X1108" i="16"/>
  <c r="AD1108" i="16" s="1"/>
  <c r="W1108" i="16"/>
  <c r="AC1108" i="16" s="1"/>
  <c r="V1108" i="16"/>
  <c r="AB1108" i="16" s="1"/>
  <c r="X1107" i="16"/>
  <c r="AD1107" i="16" s="1"/>
  <c r="W1107" i="16"/>
  <c r="AC1107" i="16" s="1"/>
  <c r="V1107" i="16"/>
  <c r="AB1107" i="16" s="1"/>
  <c r="X1106" i="16"/>
  <c r="AD1106" i="16" s="1"/>
  <c r="W1106" i="16"/>
  <c r="AC1106" i="16" s="1"/>
  <c r="V1106" i="16"/>
  <c r="AB1106" i="16" s="1"/>
  <c r="X1105" i="16"/>
  <c r="AD1105" i="16" s="1"/>
  <c r="W1105" i="16"/>
  <c r="AC1105" i="16" s="1"/>
  <c r="V1105" i="16"/>
  <c r="AB1105" i="16" s="1"/>
  <c r="X1104" i="16"/>
  <c r="AD1104" i="16" s="1"/>
  <c r="W1104" i="16"/>
  <c r="AC1104" i="16" s="1"/>
  <c r="V1104" i="16"/>
  <c r="AB1104" i="16" s="1"/>
  <c r="X1103" i="16"/>
  <c r="AD1103" i="16" s="1"/>
  <c r="W1103" i="16"/>
  <c r="AC1103" i="16" s="1"/>
  <c r="V1103" i="16"/>
  <c r="AB1103" i="16" s="1"/>
  <c r="X1102" i="16"/>
  <c r="AD1102" i="16" s="1"/>
  <c r="W1102" i="16"/>
  <c r="AC1102" i="16" s="1"/>
  <c r="V1102" i="16"/>
  <c r="AB1102" i="16" s="1"/>
  <c r="X1101" i="16"/>
  <c r="AD1101" i="16" s="1"/>
  <c r="W1101" i="16"/>
  <c r="AC1101" i="16" s="1"/>
  <c r="V1101" i="16"/>
  <c r="AB1101" i="16" s="1"/>
  <c r="X1100" i="16"/>
  <c r="AD1100" i="16" s="1"/>
  <c r="W1100" i="16"/>
  <c r="AC1100" i="16" s="1"/>
  <c r="V1100" i="16"/>
  <c r="AB1100" i="16" s="1"/>
  <c r="X1099" i="16"/>
  <c r="AD1099" i="16" s="1"/>
  <c r="W1099" i="16"/>
  <c r="AC1099" i="16" s="1"/>
  <c r="V1099" i="16"/>
  <c r="AB1099" i="16" s="1"/>
  <c r="X1098" i="16"/>
  <c r="AD1098" i="16" s="1"/>
  <c r="W1098" i="16"/>
  <c r="AC1098" i="16" s="1"/>
  <c r="V1098" i="16"/>
  <c r="AB1098" i="16" s="1"/>
  <c r="X1097" i="16"/>
  <c r="AD1097" i="16" s="1"/>
  <c r="W1097" i="16"/>
  <c r="AC1097" i="16" s="1"/>
  <c r="V1097" i="16"/>
  <c r="AB1097" i="16" s="1"/>
  <c r="X1096" i="16"/>
  <c r="AD1096" i="16" s="1"/>
  <c r="W1096" i="16"/>
  <c r="AC1096" i="16" s="1"/>
  <c r="V1096" i="16"/>
  <c r="AB1096" i="16" s="1"/>
  <c r="X1095" i="16"/>
  <c r="AD1095" i="16" s="1"/>
  <c r="W1095" i="16"/>
  <c r="AC1095" i="16" s="1"/>
  <c r="V1095" i="16"/>
  <c r="AB1095" i="16" s="1"/>
  <c r="X1094" i="16"/>
  <c r="AD1094" i="16" s="1"/>
  <c r="W1094" i="16"/>
  <c r="AC1094" i="16" s="1"/>
  <c r="V1094" i="16"/>
  <c r="AB1094" i="16" s="1"/>
  <c r="X1093" i="16"/>
  <c r="AD1093" i="16" s="1"/>
  <c r="W1093" i="16"/>
  <c r="AC1093" i="16" s="1"/>
  <c r="V1093" i="16"/>
  <c r="AB1093" i="16" s="1"/>
  <c r="X1092" i="16"/>
  <c r="AD1092" i="16" s="1"/>
  <c r="W1092" i="16"/>
  <c r="AC1092" i="16" s="1"/>
  <c r="V1092" i="16"/>
  <c r="AB1092" i="16" s="1"/>
  <c r="X1091" i="16"/>
  <c r="AD1091" i="16" s="1"/>
  <c r="W1091" i="16"/>
  <c r="AC1091" i="16" s="1"/>
  <c r="V1091" i="16"/>
  <c r="AB1091" i="16" s="1"/>
  <c r="X1090" i="16"/>
  <c r="AD1090" i="16" s="1"/>
  <c r="W1090" i="16"/>
  <c r="AC1090" i="16" s="1"/>
  <c r="V1090" i="16"/>
  <c r="AB1090" i="16" s="1"/>
  <c r="X1089" i="16"/>
  <c r="AD1089" i="16" s="1"/>
  <c r="W1089" i="16"/>
  <c r="AC1089" i="16" s="1"/>
  <c r="V1089" i="16"/>
  <c r="AB1089" i="16" s="1"/>
  <c r="X1088" i="16"/>
  <c r="AD1088" i="16" s="1"/>
  <c r="W1088" i="16"/>
  <c r="AC1088" i="16" s="1"/>
  <c r="V1088" i="16"/>
  <c r="AB1088" i="16" s="1"/>
  <c r="X1087" i="16"/>
  <c r="AD1087" i="16" s="1"/>
  <c r="W1087" i="16"/>
  <c r="AC1087" i="16" s="1"/>
  <c r="V1087" i="16"/>
  <c r="AB1087" i="16" s="1"/>
  <c r="X1086" i="16"/>
  <c r="AD1086" i="16" s="1"/>
  <c r="W1086" i="16"/>
  <c r="AC1086" i="16" s="1"/>
  <c r="V1086" i="16"/>
  <c r="AB1086" i="16" s="1"/>
  <c r="X1085" i="16"/>
  <c r="AD1085" i="16" s="1"/>
  <c r="W1085" i="16"/>
  <c r="AC1085" i="16" s="1"/>
  <c r="V1085" i="16"/>
  <c r="AB1085" i="16" s="1"/>
  <c r="X1084" i="16"/>
  <c r="AD1084" i="16" s="1"/>
  <c r="W1084" i="16"/>
  <c r="AC1084" i="16" s="1"/>
  <c r="V1084" i="16"/>
  <c r="AB1084" i="16" s="1"/>
  <c r="X1083" i="16"/>
  <c r="AD1083" i="16" s="1"/>
  <c r="W1083" i="16"/>
  <c r="AC1083" i="16" s="1"/>
  <c r="V1083" i="16"/>
  <c r="AB1083" i="16" s="1"/>
  <c r="X1082" i="16"/>
  <c r="AD1082" i="16" s="1"/>
  <c r="W1082" i="16"/>
  <c r="AC1082" i="16" s="1"/>
  <c r="V1082" i="16"/>
  <c r="AB1082" i="16" s="1"/>
  <c r="X1081" i="16"/>
  <c r="AD1081" i="16" s="1"/>
  <c r="W1081" i="16"/>
  <c r="AC1081" i="16" s="1"/>
  <c r="V1081" i="16"/>
  <c r="AB1081" i="16" s="1"/>
  <c r="X1080" i="16"/>
  <c r="AD1080" i="16" s="1"/>
  <c r="W1080" i="16"/>
  <c r="AC1080" i="16" s="1"/>
  <c r="V1080" i="16"/>
  <c r="AB1080" i="16" s="1"/>
  <c r="X1079" i="16"/>
  <c r="AD1079" i="16" s="1"/>
  <c r="W1079" i="16"/>
  <c r="AC1079" i="16" s="1"/>
  <c r="V1079" i="16"/>
  <c r="AB1079" i="16" s="1"/>
  <c r="X1078" i="16"/>
  <c r="AD1078" i="16" s="1"/>
  <c r="W1078" i="16"/>
  <c r="AC1078" i="16" s="1"/>
  <c r="V1078" i="16"/>
  <c r="AB1078" i="16" s="1"/>
  <c r="X1077" i="16"/>
  <c r="AD1077" i="16" s="1"/>
  <c r="W1077" i="16"/>
  <c r="AC1077" i="16" s="1"/>
  <c r="V1077" i="16"/>
  <c r="AB1077" i="16" s="1"/>
  <c r="X1076" i="16"/>
  <c r="AD1076" i="16" s="1"/>
  <c r="W1076" i="16"/>
  <c r="AC1076" i="16" s="1"/>
  <c r="V1076" i="16"/>
  <c r="AB1076" i="16" s="1"/>
  <c r="X1075" i="16"/>
  <c r="AD1075" i="16" s="1"/>
  <c r="W1075" i="16"/>
  <c r="AC1075" i="16" s="1"/>
  <c r="V1075" i="16"/>
  <c r="AB1075" i="16" s="1"/>
  <c r="X1074" i="16"/>
  <c r="AD1074" i="16" s="1"/>
  <c r="W1074" i="16"/>
  <c r="AC1074" i="16" s="1"/>
  <c r="V1074" i="16"/>
  <c r="AB1074" i="16" s="1"/>
  <c r="X1073" i="16"/>
  <c r="AD1073" i="16" s="1"/>
  <c r="W1073" i="16"/>
  <c r="AC1073" i="16" s="1"/>
  <c r="V1073" i="16"/>
  <c r="AB1073" i="16" s="1"/>
  <c r="X1072" i="16"/>
  <c r="AD1072" i="16" s="1"/>
  <c r="W1072" i="16"/>
  <c r="AC1072" i="16" s="1"/>
  <c r="V1072" i="16"/>
  <c r="AB1072" i="16" s="1"/>
  <c r="X1071" i="16"/>
  <c r="AD1071" i="16" s="1"/>
  <c r="W1071" i="16"/>
  <c r="AC1071" i="16" s="1"/>
  <c r="V1071" i="16"/>
  <c r="AB1071" i="16" s="1"/>
  <c r="X1070" i="16"/>
  <c r="AD1070" i="16" s="1"/>
  <c r="W1070" i="16"/>
  <c r="AC1070" i="16" s="1"/>
  <c r="V1070" i="16"/>
  <c r="AB1070" i="16" s="1"/>
  <c r="X1069" i="16"/>
  <c r="AD1069" i="16" s="1"/>
  <c r="W1069" i="16"/>
  <c r="AC1069" i="16" s="1"/>
  <c r="V1069" i="16"/>
  <c r="AB1069" i="16" s="1"/>
  <c r="X1068" i="16"/>
  <c r="AD1068" i="16" s="1"/>
  <c r="W1068" i="16"/>
  <c r="AC1068" i="16" s="1"/>
  <c r="V1068" i="16"/>
  <c r="AB1068" i="16" s="1"/>
  <c r="X1067" i="16"/>
  <c r="AD1067" i="16" s="1"/>
  <c r="W1067" i="16"/>
  <c r="AC1067" i="16" s="1"/>
  <c r="V1067" i="16"/>
  <c r="AB1067" i="16" s="1"/>
  <c r="X1066" i="16"/>
  <c r="AD1066" i="16" s="1"/>
  <c r="W1066" i="16"/>
  <c r="AC1066" i="16" s="1"/>
  <c r="V1066" i="16"/>
  <c r="AB1066" i="16" s="1"/>
  <c r="X1065" i="16"/>
  <c r="AD1065" i="16" s="1"/>
  <c r="W1065" i="16"/>
  <c r="AC1065" i="16" s="1"/>
  <c r="V1065" i="16"/>
  <c r="AB1065" i="16" s="1"/>
  <c r="X1064" i="16"/>
  <c r="AD1064" i="16" s="1"/>
  <c r="W1064" i="16"/>
  <c r="AC1064" i="16" s="1"/>
  <c r="V1064" i="16"/>
  <c r="AB1064" i="16" s="1"/>
  <c r="X1063" i="16"/>
  <c r="AD1063" i="16" s="1"/>
  <c r="W1063" i="16"/>
  <c r="AC1063" i="16" s="1"/>
  <c r="V1063" i="16"/>
  <c r="AB1063" i="16" s="1"/>
  <c r="X1062" i="16"/>
  <c r="AD1062" i="16" s="1"/>
  <c r="W1062" i="16"/>
  <c r="AC1062" i="16" s="1"/>
  <c r="V1062" i="16"/>
  <c r="AB1062" i="16" s="1"/>
  <c r="X1061" i="16"/>
  <c r="AD1061" i="16" s="1"/>
  <c r="W1061" i="16"/>
  <c r="AC1061" i="16" s="1"/>
  <c r="V1061" i="16"/>
  <c r="AB1061" i="16" s="1"/>
  <c r="X1060" i="16"/>
  <c r="AD1060" i="16" s="1"/>
  <c r="W1060" i="16"/>
  <c r="AC1060" i="16" s="1"/>
  <c r="V1060" i="16"/>
  <c r="AB1060" i="16" s="1"/>
  <c r="X1059" i="16"/>
  <c r="AD1059" i="16" s="1"/>
  <c r="W1059" i="16"/>
  <c r="AC1059" i="16" s="1"/>
  <c r="V1059" i="16"/>
  <c r="AB1059" i="16" s="1"/>
  <c r="X1058" i="16"/>
  <c r="AD1058" i="16" s="1"/>
  <c r="W1058" i="16"/>
  <c r="AC1058" i="16" s="1"/>
  <c r="V1058" i="16"/>
  <c r="AB1058" i="16" s="1"/>
  <c r="X1057" i="16"/>
  <c r="AD1057" i="16" s="1"/>
  <c r="W1057" i="16"/>
  <c r="AC1057" i="16" s="1"/>
  <c r="V1057" i="16"/>
  <c r="AB1057" i="16" s="1"/>
  <c r="X1056" i="16"/>
  <c r="AD1056" i="16" s="1"/>
  <c r="W1056" i="16"/>
  <c r="AC1056" i="16" s="1"/>
  <c r="V1056" i="16"/>
  <c r="AB1056" i="16" s="1"/>
  <c r="X1055" i="16"/>
  <c r="AD1055" i="16" s="1"/>
  <c r="W1055" i="16"/>
  <c r="AC1055" i="16" s="1"/>
  <c r="V1055" i="16"/>
  <c r="AB1055" i="16" s="1"/>
  <c r="X1054" i="16"/>
  <c r="AD1054" i="16" s="1"/>
  <c r="W1054" i="16"/>
  <c r="AC1054" i="16" s="1"/>
  <c r="V1054" i="16"/>
  <c r="AB1054" i="16" s="1"/>
  <c r="X1053" i="16"/>
  <c r="AD1053" i="16" s="1"/>
  <c r="W1053" i="16"/>
  <c r="AC1053" i="16" s="1"/>
  <c r="V1053" i="16"/>
  <c r="AB1053" i="16" s="1"/>
  <c r="X1052" i="16"/>
  <c r="AD1052" i="16" s="1"/>
  <c r="W1052" i="16"/>
  <c r="AC1052" i="16" s="1"/>
  <c r="V1052" i="16"/>
  <c r="AB1052" i="16" s="1"/>
  <c r="X1051" i="16"/>
  <c r="AD1051" i="16" s="1"/>
  <c r="W1051" i="16"/>
  <c r="AC1051" i="16" s="1"/>
  <c r="V1051" i="16"/>
  <c r="AB1051" i="16" s="1"/>
  <c r="X1050" i="16"/>
  <c r="AD1050" i="16" s="1"/>
  <c r="W1050" i="16"/>
  <c r="AC1050" i="16" s="1"/>
  <c r="V1050" i="16"/>
  <c r="AB1050" i="16" s="1"/>
  <c r="X1049" i="16"/>
  <c r="AD1049" i="16" s="1"/>
  <c r="W1049" i="16"/>
  <c r="AC1049" i="16" s="1"/>
  <c r="V1049" i="16"/>
  <c r="AB1049" i="16" s="1"/>
  <c r="X1048" i="16"/>
  <c r="AD1048" i="16" s="1"/>
  <c r="W1048" i="16"/>
  <c r="AC1048" i="16" s="1"/>
  <c r="V1048" i="16"/>
  <c r="AB1048" i="16" s="1"/>
  <c r="X1047" i="16"/>
  <c r="AD1047" i="16" s="1"/>
  <c r="W1047" i="16"/>
  <c r="AC1047" i="16" s="1"/>
  <c r="V1047" i="16"/>
  <c r="AB1047" i="16" s="1"/>
  <c r="X1046" i="16"/>
  <c r="AD1046" i="16" s="1"/>
  <c r="W1046" i="16"/>
  <c r="AC1046" i="16" s="1"/>
  <c r="V1046" i="16"/>
  <c r="AB1046" i="16" s="1"/>
  <c r="X1045" i="16"/>
  <c r="AD1045" i="16" s="1"/>
  <c r="W1045" i="16"/>
  <c r="AC1045" i="16" s="1"/>
  <c r="V1045" i="16"/>
  <c r="AB1045" i="16" s="1"/>
  <c r="X1044" i="16"/>
  <c r="AD1044" i="16" s="1"/>
  <c r="W1044" i="16"/>
  <c r="AC1044" i="16" s="1"/>
  <c r="V1044" i="16"/>
  <c r="AB1044" i="16" s="1"/>
  <c r="X1043" i="16"/>
  <c r="AD1043" i="16" s="1"/>
  <c r="W1043" i="16"/>
  <c r="AC1043" i="16" s="1"/>
  <c r="V1043" i="16"/>
  <c r="AB1043" i="16" s="1"/>
  <c r="X1042" i="16"/>
  <c r="AD1042" i="16" s="1"/>
  <c r="W1042" i="16"/>
  <c r="AC1042" i="16" s="1"/>
  <c r="V1042" i="16"/>
  <c r="AB1042" i="16" s="1"/>
  <c r="X1041" i="16"/>
  <c r="AD1041" i="16" s="1"/>
  <c r="W1041" i="16"/>
  <c r="AC1041" i="16" s="1"/>
  <c r="V1041" i="16"/>
  <c r="AB1041" i="16" s="1"/>
  <c r="X1040" i="16"/>
  <c r="AD1040" i="16" s="1"/>
  <c r="W1040" i="16"/>
  <c r="AC1040" i="16" s="1"/>
  <c r="V1040" i="16"/>
  <c r="AB1040" i="16" s="1"/>
  <c r="X1039" i="16"/>
  <c r="AD1039" i="16" s="1"/>
  <c r="W1039" i="16"/>
  <c r="AC1039" i="16" s="1"/>
  <c r="V1039" i="16"/>
  <c r="AB1039" i="16" s="1"/>
  <c r="X1038" i="16"/>
  <c r="AD1038" i="16" s="1"/>
  <c r="W1038" i="16"/>
  <c r="AC1038" i="16" s="1"/>
  <c r="V1038" i="16"/>
  <c r="AB1038" i="16" s="1"/>
  <c r="X1037" i="16"/>
  <c r="AD1037" i="16" s="1"/>
  <c r="W1037" i="16"/>
  <c r="AC1037" i="16" s="1"/>
  <c r="V1037" i="16"/>
  <c r="AB1037" i="16" s="1"/>
  <c r="X1036" i="16"/>
  <c r="AD1036" i="16" s="1"/>
  <c r="W1036" i="16"/>
  <c r="AC1036" i="16" s="1"/>
  <c r="V1036" i="16"/>
  <c r="AB1036" i="16" s="1"/>
  <c r="X1035" i="16"/>
  <c r="AD1035" i="16" s="1"/>
  <c r="W1035" i="16"/>
  <c r="AC1035" i="16" s="1"/>
  <c r="V1035" i="16"/>
  <c r="AB1035" i="16" s="1"/>
  <c r="V1034" i="16"/>
  <c r="AB1034" i="16" s="1"/>
  <c r="V1033" i="16"/>
  <c r="AB1033" i="16" s="1"/>
  <c r="V1032" i="16"/>
  <c r="AB1032" i="16" s="1"/>
  <c r="V1031" i="16"/>
  <c r="AB1031" i="16" s="1"/>
  <c r="V1030" i="16"/>
  <c r="AB1030" i="16" s="1"/>
  <c r="V1029" i="16"/>
  <c r="AB1029" i="16" s="1"/>
  <c r="V1028" i="16"/>
  <c r="AB1028" i="16" s="1"/>
  <c r="V1027" i="16"/>
  <c r="AB1027" i="16" s="1"/>
  <c r="V1026" i="16"/>
  <c r="AB1026" i="16" s="1"/>
  <c r="V1025" i="16"/>
  <c r="AB1025" i="16" s="1"/>
  <c r="V1024" i="16"/>
  <c r="AB1024" i="16" s="1"/>
  <c r="V1023" i="16"/>
  <c r="AB1023" i="16" s="1"/>
  <c r="V1022" i="16"/>
  <c r="AB1022" i="16" s="1"/>
  <c r="V1021" i="16"/>
  <c r="AB1021" i="16" s="1"/>
  <c r="V1020" i="16"/>
  <c r="AB1020" i="16" s="1"/>
  <c r="V1019" i="16"/>
  <c r="AB1019" i="16" s="1"/>
  <c r="V1018" i="16"/>
  <c r="AB1018" i="16" s="1"/>
  <c r="V1017" i="16"/>
  <c r="AB1017" i="16" s="1"/>
  <c r="X1016" i="16"/>
  <c r="AD1016" i="16" s="1"/>
  <c r="W1016" i="16"/>
  <c r="AC1016" i="16" s="1"/>
  <c r="V1016" i="16"/>
  <c r="AB1016" i="16" s="1"/>
  <c r="X1015" i="16"/>
  <c r="AD1015" i="16" s="1"/>
  <c r="W1015" i="16"/>
  <c r="AC1015" i="16" s="1"/>
  <c r="V1015" i="16"/>
  <c r="AB1015" i="16" s="1"/>
  <c r="X1014" i="16"/>
  <c r="AD1014" i="16" s="1"/>
  <c r="W1014" i="16"/>
  <c r="AC1014" i="16" s="1"/>
  <c r="V1014" i="16"/>
  <c r="AB1014" i="16" s="1"/>
  <c r="X1013" i="16"/>
  <c r="AD1013" i="16" s="1"/>
  <c r="W1013" i="16"/>
  <c r="AC1013" i="16" s="1"/>
  <c r="V1013" i="16"/>
  <c r="AB1013" i="16" s="1"/>
  <c r="X1012" i="16"/>
  <c r="AD1012" i="16" s="1"/>
  <c r="W1012" i="16"/>
  <c r="AC1012" i="16" s="1"/>
  <c r="V1012" i="16"/>
  <c r="AB1012" i="16" s="1"/>
  <c r="X1011" i="16"/>
  <c r="AD1011" i="16" s="1"/>
  <c r="W1011" i="16"/>
  <c r="AC1011" i="16" s="1"/>
  <c r="V1011" i="16"/>
  <c r="AB1011" i="16" s="1"/>
  <c r="X1010" i="16"/>
  <c r="AD1010" i="16" s="1"/>
  <c r="W1010" i="16"/>
  <c r="AC1010" i="16" s="1"/>
  <c r="V1010" i="16"/>
  <c r="AB1010" i="16" s="1"/>
  <c r="X1009" i="16"/>
  <c r="AD1009" i="16" s="1"/>
  <c r="W1009" i="16"/>
  <c r="AC1009" i="16" s="1"/>
  <c r="V1009" i="16"/>
  <c r="AB1009" i="16" s="1"/>
  <c r="X1008" i="16"/>
  <c r="AD1008" i="16" s="1"/>
  <c r="W1008" i="16"/>
  <c r="AC1008" i="16" s="1"/>
  <c r="V1008" i="16"/>
  <c r="AB1008" i="16" s="1"/>
  <c r="X1007" i="16"/>
  <c r="AD1007" i="16" s="1"/>
  <c r="W1007" i="16"/>
  <c r="AC1007" i="16" s="1"/>
  <c r="V1007" i="16"/>
  <c r="AB1007" i="16" s="1"/>
  <c r="X1006" i="16"/>
  <c r="AD1006" i="16" s="1"/>
  <c r="W1006" i="16"/>
  <c r="AC1006" i="16" s="1"/>
  <c r="V1006" i="16"/>
  <c r="AB1006" i="16" s="1"/>
  <c r="X1005" i="16"/>
  <c r="AD1005" i="16" s="1"/>
  <c r="W1005" i="16"/>
  <c r="AC1005" i="16" s="1"/>
  <c r="V1005" i="16"/>
  <c r="AB1005" i="16" s="1"/>
  <c r="X1004" i="16"/>
  <c r="AD1004" i="16" s="1"/>
  <c r="W1004" i="16"/>
  <c r="AC1004" i="16" s="1"/>
  <c r="V1004" i="16"/>
  <c r="AB1004" i="16" s="1"/>
  <c r="X1003" i="16"/>
  <c r="AD1003" i="16" s="1"/>
  <c r="W1003" i="16"/>
  <c r="AC1003" i="16" s="1"/>
  <c r="V1003" i="16"/>
  <c r="AB1003" i="16" s="1"/>
  <c r="X1002" i="16"/>
  <c r="AD1002" i="16" s="1"/>
  <c r="W1002" i="16"/>
  <c r="AC1002" i="16" s="1"/>
  <c r="V1002" i="16"/>
  <c r="AB1002" i="16" s="1"/>
  <c r="X1001" i="16"/>
  <c r="AD1001" i="16" s="1"/>
  <c r="W1001" i="16"/>
  <c r="AC1001" i="16" s="1"/>
  <c r="V1001" i="16"/>
  <c r="AB1001" i="16" s="1"/>
  <c r="X1000" i="16"/>
  <c r="AD1000" i="16" s="1"/>
  <c r="W1000" i="16"/>
  <c r="AC1000" i="16" s="1"/>
  <c r="V1000" i="16"/>
  <c r="AB1000" i="16" s="1"/>
  <c r="X999" i="16"/>
  <c r="AD999" i="16" s="1"/>
  <c r="W999" i="16"/>
  <c r="AC999" i="16" s="1"/>
  <c r="V999" i="16"/>
  <c r="AB999" i="16" s="1"/>
  <c r="X998" i="16"/>
  <c r="AD998" i="16" s="1"/>
  <c r="W998" i="16"/>
  <c r="AC998" i="16" s="1"/>
  <c r="V998" i="16"/>
  <c r="AB998" i="16" s="1"/>
  <c r="X997" i="16"/>
  <c r="AD997" i="16" s="1"/>
  <c r="W997" i="16"/>
  <c r="AC997" i="16" s="1"/>
  <c r="V997" i="16"/>
  <c r="AB997" i="16" s="1"/>
  <c r="X996" i="16"/>
  <c r="AD996" i="16" s="1"/>
  <c r="W996" i="16"/>
  <c r="AC996" i="16" s="1"/>
  <c r="V996" i="16"/>
  <c r="AB996" i="16" s="1"/>
  <c r="X995" i="16"/>
  <c r="AD995" i="16" s="1"/>
  <c r="W995" i="16"/>
  <c r="AC995" i="16" s="1"/>
  <c r="V995" i="16"/>
  <c r="AB995" i="16" s="1"/>
  <c r="X994" i="16"/>
  <c r="AD994" i="16" s="1"/>
  <c r="W994" i="16"/>
  <c r="AC994" i="16" s="1"/>
  <c r="V994" i="16"/>
  <c r="AB994" i="16" s="1"/>
  <c r="X993" i="16"/>
  <c r="AD993" i="16" s="1"/>
  <c r="W993" i="16"/>
  <c r="AC993" i="16" s="1"/>
  <c r="V993" i="16"/>
  <c r="AB993" i="16" s="1"/>
  <c r="X992" i="16"/>
  <c r="AD992" i="16" s="1"/>
  <c r="W992" i="16"/>
  <c r="AC992" i="16" s="1"/>
  <c r="V992" i="16"/>
  <c r="AB992" i="16" s="1"/>
  <c r="X991" i="16"/>
  <c r="AD991" i="16" s="1"/>
  <c r="W991" i="16"/>
  <c r="AC991" i="16" s="1"/>
  <c r="V991" i="16"/>
  <c r="AB991" i="16" s="1"/>
  <c r="X990" i="16"/>
  <c r="AD990" i="16" s="1"/>
  <c r="W990" i="16"/>
  <c r="AC990" i="16" s="1"/>
  <c r="V990" i="16"/>
  <c r="AB990" i="16" s="1"/>
  <c r="X989" i="16"/>
  <c r="AD989" i="16" s="1"/>
  <c r="W989" i="16"/>
  <c r="AC989" i="16" s="1"/>
  <c r="V989" i="16"/>
  <c r="AB989" i="16" s="1"/>
  <c r="X988" i="16"/>
  <c r="AD988" i="16" s="1"/>
  <c r="W988" i="16"/>
  <c r="AC988" i="16" s="1"/>
  <c r="V988" i="16"/>
  <c r="AB988" i="16" s="1"/>
  <c r="X987" i="16"/>
  <c r="AD987" i="16" s="1"/>
  <c r="W987" i="16"/>
  <c r="AC987" i="16" s="1"/>
  <c r="V987" i="16"/>
  <c r="AB987" i="16" s="1"/>
  <c r="X986" i="16"/>
  <c r="AD986" i="16" s="1"/>
  <c r="W986" i="16"/>
  <c r="AC986" i="16" s="1"/>
  <c r="V986" i="16"/>
  <c r="AB986" i="16" s="1"/>
  <c r="X985" i="16"/>
  <c r="AD985" i="16" s="1"/>
  <c r="W985" i="16"/>
  <c r="AC985" i="16" s="1"/>
  <c r="V985" i="16"/>
  <c r="AB985" i="16" s="1"/>
  <c r="X984" i="16"/>
  <c r="AD984" i="16" s="1"/>
  <c r="W984" i="16"/>
  <c r="AC984" i="16" s="1"/>
  <c r="V984" i="16"/>
  <c r="AB984" i="16" s="1"/>
  <c r="X983" i="16"/>
  <c r="AD983" i="16" s="1"/>
  <c r="W983" i="16"/>
  <c r="AC983" i="16" s="1"/>
  <c r="V983" i="16"/>
  <c r="AB983" i="16" s="1"/>
  <c r="X982" i="16"/>
  <c r="AD982" i="16" s="1"/>
  <c r="W982" i="16"/>
  <c r="AC982" i="16" s="1"/>
  <c r="V982" i="16"/>
  <c r="AB982" i="16" s="1"/>
  <c r="X981" i="16"/>
  <c r="AD981" i="16" s="1"/>
  <c r="W981" i="16"/>
  <c r="AC981" i="16" s="1"/>
  <c r="V981" i="16"/>
  <c r="AB981" i="16" s="1"/>
  <c r="X980" i="16"/>
  <c r="AD980" i="16" s="1"/>
  <c r="W980" i="16"/>
  <c r="AC980" i="16" s="1"/>
  <c r="V980" i="16"/>
  <c r="AB980" i="16" s="1"/>
  <c r="X979" i="16"/>
  <c r="AD979" i="16" s="1"/>
  <c r="W979" i="16"/>
  <c r="AC979" i="16" s="1"/>
  <c r="V979" i="16"/>
  <c r="AB979" i="16" s="1"/>
  <c r="X978" i="16"/>
  <c r="AD978" i="16" s="1"/>
  <c r="W978" i="16"/>
  <c r="AC978" i="16" s="1"/>
  <c r="V978" i="16"/>
  <c r="AB978" i="16" s="1"/>
  <c r="X977" i="16"/>
  <c r="AD977" i="16" s="1"/>
  <c r="W977" i="16"/>
  <c r="AC977" i="16" s="1"/>
  <c r="V977" i="16"/>
  <c r="AB977" i="16" s="1"/>
  <c r="X976" i="16"/>
  <c r="AD976" i="16" s="1"/>
  <c r="W976" i="16"/>
  <c r="AC976" i="16" s="1"/>
  <c r="V976" i="16"/>
  <c r="AB976" i="16" s="1"/>
  <c r="X975" i="16"/>
  <c r="AD975" i="16" s="1"/>
  <c r="W975" i="16"/>
  <c r="AC975" i="16" s="1"/>
  <c r="V975" i="16"/>
  <c r="AB975" i="16" s="1"/>
  <c r="X974" i="16"/>
  <c r="AD974" i="16" s="1"/>
  <c r="W974" i="16"/>
  <c r="AC974" i="16" s="1"/>
  <c r="V974" i="16"/>
  <c r="AB974" i="16" s="1"/>
  <c r="X973" i="16"/>
  <c r="AD973" i="16" s="1"/>
  <c r="W973" i="16"/>
  <c r="AC973" i="16" s="1"/>
  <c r="V973" i="16"/>
  <c r="AB973" i="16" s="1"/>
  <c r="X972" i="16"/>
  <c r="AD972" i="16" s="1"/>
  <c r="W972" i="16"/>
  <c r="AC972" i="16" s="1"/>
  <c r="V972" i="16"/>
  <c r="AB972" i="16" s="1"/>
  <c r="X971" i="16"/>
  <c r="AD971" i="16" s="1"/>
  <c r="W971" i="16"/>
  <c r="AC971" i="16" s="1"/>
  <c r="V971" i="16"/>
  <c r="AB971" i="16" s="1"/>
  <c r="X970" i="16"/>
  <c r="AD970" i="16" s="1"/>
  <c r="W970" i="16"/>
  <c r="AC970" i="16" s="1"/>
  <c r="V970" i="16"/>
  <c r="AB970" i="16" s="1"/>
  <c r="X969" i="16"/>
  <c r="AD969" i="16" s="1"/>
  <c r="W969" i="16"/>
  <c r="AC969" i="16" s="1"/>
  <c r="V969" i="16"/>
  <c r="AB969" i="16" s="1"/>
  <c r="X968" i="16"/>
  <c r="AD968" i="16" s="1"/>
  <c r="W968" i="16"/>
  <c r="AC968" i="16" s="1"/>
  <c r="V968" i="16"/>
  <c r="AB968" i="16" s="1"/>
  <c r="X967" i="16"/>
  <c r="AD967" i="16" s="1"/>
  <c r="W967" i="16"/>
  <c r="AC967" i="16" s="1"/>
  <c r="V967" i="16"/>
  <c r="AB967" i="16" s="1"/>
  <c r="X966" i="16"/>
  <c r="AD966" i="16" s="1"/>
  <c r="W966" i="16"/>
  <c r="AC966" i="16" s="1"/>
  <c r="V966" i="16"/>
  <c r="AB966" i="16" s="1"/>
  <c r="X965" i="16"/>
  <c r="AD965" i="16" s="1"/>
  <c r="W965" i="16"/>
  <c r="AC965" i="16" s="1"/>
  <c r="V965" i="16"/>
  <c r="AB965" i="16" s="1"/>
  <c r="X964" i="16"/>
  <c r="AD964" i="16" s="1"/>
  <c r="W964" i="16"/>
  <c r="AC964" i="16" s="1"/>
  <c r="V964" i="16"/>
  <c r="AB964" i="16" s="1"/>
  <c r="X963" i="16"/>
  <c r="AD963" i="16" s="1"/>
  <c r="W963" i="16"/>
  <c r="AC963" i="16" s="1"/>
  <c r="V963" i="16"/>
  <c r="AB963" i="16" s="1"/>
  <c r="X962" i="16"/>
  <c r="AD962" i="16" s="1"/>
  <c r="W962" i="16"/>
  <c r="AC962" i="16" s="1"/>
  <c r="V962" i="16"/>
  <c r="AB962" i="16" s="1"/>
  <c r="X961" i="16"/>
  <c r="AD961" i="16" s="1"/>
  <c r="W961" i="16"/>
  <c r="AC961" i="16" s="1"/>
  <c r="V961" i="16"/>
  <c r="AB961" i="16" s="1"/>
  <c r="X960" i="16"/>
  <c r="AD960" i="16" s="1"/>
  <c r="W960" i="16"/>
  <c r="AC960" i="16" s="1"/>
  <c r="V960" i="16"/>
  <c r="AB960" i="16" s="1"/>
  <c r="X959" i="16"/>
  <c r="AD959" i="16" s="1"/>
  <c r="W959" i="16"/>
  <c r="AC959" i="16" s="1"/>
  <c r="V959" i="16"/>
  <c r="AB959" i="16" s="1"/>
  <c r="X958" i="16"/>
  <c r="AD958" i="16" s="1"/>
  <c r="W958" i="16"/>
  <c r="AC958" i="16" s="1"/>
  <c r="V958" i="16"/>
  <c r="AB958" i="16" s="1"/>
  <c r="X957" i="16"/>
  <c r="AD957" i="16" s="1"/>
  <c r="W957" i="16"/>
  <c r="AC957" i="16" s="1"/>
  <c r="V957" i="16"/>
  <c r="AB957" i="16" s="1"/>
  <c r="X956" i="16"/>
  <c r="AD956" i="16" s="1"/>
  <c r="W956" i="16"/>
  <c r="AC956" i="16" s="1"/>
  <c r="V956" i="16"/>
  <c r="AB956" i="16" s="1"/>
  <c r="X955" i="16"/>
  <c r="AD955" i="16" s="1"/>
  <c r="W955" i="16"/>
  <c r="AC955" i="16" s="1"/>
  <c r="V955" i="16"/>
  <c r="AB955" i="16" s="1"/>
  <c r="X954" i="16"/>
  <c r="AD954" i="16" s="1"/>
  <c r="W954" i="16"/>
  <c r="AC954" i="16" s="1"/>
  <c r="V954" i="16"/>
  <c r="AB954" i="16" s="1"/>
  <c r="X953" i="16"/>
  <c r="AD953" i="16" s="1"/>
  <c r="W953" i="16"/>
  <c r="AC953" i="16" s="1"/>
  <c r="V953" i="16"/>
  <c r="AB953" i="16" s="1"/>
  <c r="X952" i="16"/>
  <c r="AD952" i="16" s="1"/>
  <c r="W952" i="16"/>
  <c r="AC952" i="16" s="1"/>
  <c r="V952" i="16"/>
  <c r="AB952" i="16" s="1"/>
  <c r="X951" i="16"/>
  <c r="AD951" i="16" s="1"/>
  <c r="W951" i="16"/>
  <c r="AC951" i="16" s="1"/>
  <c r="V951" i="16"/>
  <c r="AB951" i="16" s="1"/>
  <c r="X950" i="16"/>
  <c r="AD950" i="16" s="1"/>
  <c r="W950" i="16"/>
  <c r="AC950" i="16" s="1"/>
  <c r="V950" i="16"/>
  <c r="AB950" i="16" s="1"/>
  <c r="X949" i="16"/>
  <c r="AD949" i="16" s="1"/>
  <c r="W949" i="16"/>
  <c r="AC949" i="16" s="1"/>
  <c r="V949" i="16"/>
  <c r="AB949" i="16" s="1"/>
  <c r="X948" i="16"/>
  <c r="AD948" i="16" s="1"/>
  <c r="W948" i="16"/>
  <c r="AC948" i="16" s="1"/>
  <c r="V948" i="16"/>
  <c r="AB948" i="16" s="1"/>
  <c r="X947" i="16"/>
  <c r="AD947" i="16" s="1"/>
  <c r="W947" i="16"/>
  <c r="AC947" i="16" s="1"/>
  <c r="V947" i="16"/>
  <c r="AB947" i="16" s="1"/>
  <c r="X946" i="16"/>
  <c r="AD946" i="16" s="1"/>
  <c r="W946" i="16"/>
  <c r="AC946" i="16" s="1"/>
  <c r="V946" i="16"/>
  <c r="AB946" i="16" s="1"/>
  <c r="X945" i="16"/>
  <c r="AD945" i="16" s="1"/>
  <c r="W945" i="16"/>
  <c r="AC945" i="16" s="1"/>
  <c r="V945" i="16"/>
  <c r="AB945" i="16" s="1"/>
  <c r="X944" i="16"/>
  <c r="AD944" i="16" s="1"/>
  <c r="W944" i="16"/>
  <c r="AC944" i="16" s="1"/>
  <c r="V944" i="16"/>
  <c r="AB944" i="16" s="1"/>
  <c r="X943" i="16"/>
  <c r="AD943" i="16" s="1"/>
  <c r="W943" i="16"/>
  <c r="AC943" i="16" s="1"/>
  <c r="V943" i="16"/>
  <c r="AB943" i="16" s="1"/>
  <c r="X942" i="16"/>
  <c r="AD942" i="16" s="1"/>
  <c r="W942" i="16"/>
  <c r="AC942" i="16" s="1"/>
  <c r="V942" i="16"/>
  <c r="AB942" i="16" s="1"/>
  <c r="X941" i="16"/>
  <c r="AD941" i="16" s="1"/>
  <c r="W941" i="16"/>
  <c r="AC941" i="16" s="1"/>
  <c r="V941" i="16"/>
  <c r="AB941" i="16" s="1"/>
  <c r="X940" i="16"/>
  <c r="AD940" i="16" s="1"/>
  <c r="W940" i="16"/>
  <c r="AC940" i="16" s="1"/>
  <c r="V940" i="16"/>
  <c r="AB940" i="16" s="1"/>
  <c r="X939" i="16"/>
  <c r="AD939" i="16" s="1"/>
  <c r="W939" i="16"/>
  <c r="AC939" i="16" s="1"/>
  <c r="V939" i="16"/>
  <c r="AB939" i="16" s="1"/>
  <c r="X938" i="16"/>
  <c r="AD938" i="16" s="1"/>
  <c r="W938" i="16"/>
  <c r="AC938" i="16" s="1"/>
  <c r="V938" i="16"/>
  <c r="AB938" i="16" s="1"/>
  <c r="X937" i="16"/>
  <c r="AD937" i="16" s="1"/>
  <c r="W937" i="16"/>
  <c r="AC937" i="16" s="1"/>
  <c r="V937" i="16"/>
  <c r="AB937" i="16" s="1"/>
  <c r="X936" i="16"/>
  <c r="AD936" i="16" s="1"/>
  <c r="W936" i="16"/>
  <c r="AC936" i="16" s="1"/>
  <c r="V936" i="16"/>
  <c r="AB936" i="16" s="1"/>
  <c r="X935" i="16"/>
  <c r="AD935" i="16" s="1"/>
  <c r="W935" i="16"/>
  <c r="AC935" i="16" s="1"/>
  <c r="V935" i="16"/>
  <c r="AB935" i="16" s="1"/>
  <c r="X934" i="16"/>
  <c r="AD934" i="16" s="1"/>
  <c r="W934" i="16"/>
  <c r="AC934" i="16" s="1"/>
  <c r="V934" i="16"/>
  <c r="AB934" i="16" s="1"/>
  <c r="X933" i="16"/>
  <c r="AD933" i="16" s="1"/>
  <c r="W933" i="16"/>
  <c r="AC933" i="16" s="1"/>
  <c r="V933" i="16"/>
  <c r="AB933" i="16" s="1"/>
  <c r="X932" i="16"/>
  <c r="AD932" i="16" s="1"/>
  <c r="W932" i="16"/>
  <c r="AC932" i="16" s="1"/>
  <c r="V932" i="16"/>
  <c r="AB932" i="16" s="1"/>
  <c r="X931" i="16"/>
  <c r="AD931" i="16" s="1"/>
  <c r="W931" i="16"/>
  <c r="AC931" i="16" s="1"/>
  <c r="V931" i="16"/>
  <c r="AB931" i="16" s="1"/>
  <c r="X930" i="16"/>
  <c r="AD930" i="16" s="1"/>
  <c r="W930" i="16"/>
  <c r="AC930" i="16" s="1"/>
  <c r="V930" i="16"/>
  <c r="AB930" i="16" s="1"/>
  <c r="X929" i="16"/>
  <c r="AD929" i="16" s="1"/>
  <c r="W929" i="16"/>
  <c r="AC929" i="16" s="1"/>
  <c r="V929" i="16"/>
  <c r="AB929" i="16" s="1"/>
  <c r="X928" i="16"/>
  <c r="AD928" i="16" s="1"/>
  <c r="W928" i="16"/>
  <c r="AC928" i="16" s="1"/>
  <c r="V928" i="16"/>
  <c r="AB928" i="16" s="1"/>
  <c r="X927" i="16"/>
  <c r="AD927" i="16" s="1"/>
  <c r="W927" i="16"/>
  <c r="AC927" i="16" s="1"/>
  <c r="V927" i="16"/>
  <c r="AB927" i="16" s="1"/>
  <c r="X926" i="16"/>
  <c r="AD926" i="16" s="1"/>
  <c r="W926" i="16"/>
  <c r="AC926" i="16" s="1"/>
  <c r="V926" i="16"/>
  <c r="AB926" i="16" s="1"/>
  <c r="X925" i="16"/>
  <c r="AD925" i="16" s="1"/>
  <c r="W925" i="16"/>
  <c r="AC925" i="16" s="1"/>
  <c r="V925" i="16"/>
  <c r="AB925" i="16" s="1"/>
  <c r="X924" i="16"/>
  <c r="AD924" i="16" s="1"/>
  <c r="W924" i="16"/>
  <c r="AC924" i="16" s="1"/>
  <c r="V924" i="16"/>
  <c r="AB924" i="16" s="1"/>
  <c r="X923" i="16"/>
  <c r="AD923" i="16" s="1"/>
  <c r="W923" i="16"/>
  <c r="AC923" i="16" s="1"/>
  <c r="V923" i="16"/>
  <c r="AB923" i="16" s="1"/>
  <c r="X922" i="16"/>
  <c r="AD922" i="16" s="1"/>
  <c r="W922" i="16"/>
  <c r="AC922" i="16" s="1"/>
  <c r="V922" i="16"/>
  <c r="AB922" i="16" s="1"/>
  <c r="X921" i="16"/>
  <c r="AD921" i="16" s="1"/>
  <c r="W921" i="16"/>
  <c r="AC921" i="16" s="1"/>
  <c r="V921" i="16"/>
  <c r="AB921" i="16" s="1"/>
  <c r="X920" i="16"/>
  <c r="AD920" i="16" s="1"/>
  <c r="W920" i="16"/>
  <c r="AC920" i="16" s="1"/>
  <c r="V920" i="16"/>
  <c r="AB920" i="16" s="1"/>
  <c r="X919" i="16"/>
  <c r="AD919" i="16" s="1"/>
  <c r="W919" i="16"/>
  <c r="AC919" i="16" s="1"/>
  <c r="V919" i="16"/>
  <c r="AB919" i="16" s="1"/>
  <c r="X918" i="16"/>
  <c r="AD918" i="16" s="1"/>
  <c r="W918" i="16"/>
  <c r="AC918" i="16" s="1"/>
  <c r="V918" i="16"/>
  <c r="AB918" i="16" s="1"/>
  <c r="X917" i="16"/>
  <c r="AD917" i="16" s="1"/>
  <c r="W917" i="16"/>
  <c r="AC917" i="16" s="1"/>
  <c r="V917" i="16"/>
  <c r="AB917" i="16" s="1"/>
  <c r="X916" i="16"/>
  <c r="AD916" i="16" s="1"/>
  <c r="W916" i="16"/>
  <c r="AC916" i="16" s="1"/>
  <c r="V916" i="16"/>
  <c r="AB916" i="16" s="1"/>
  <c r="X915" i="16"/>
  <c r="AD915" i="16" s="1"/>
  <c r="W915" i="16"/>
  <c r="AC915" i="16" s="1"/>
  <c r="V915" i="16"/>
  <c r="AB915" i="16" s="1"/>
  <c r="X914" i="16"/>
  <c r="AD914" i="16" s="1"/>
  <c r="W914" i="16"/>
  <c r="AC914" i="16" s="1"/>
  <c r="V914" i="16"/>
  <c r="AB914" i="16" s="1"/>
  <c r="X913" i="16"/>
  <c r="AD913" i="16" s="1"/>
  <c r="W913" i="16"/>
  <c r="AC913" i="16" s="1"/>
  <c r="V913" i="16"/>
  <c r="AB913" i="16" s="1"/>
  <c r="X912" i="16"/>
  <c r="AD912" i="16" s="1"/>
  <c r="W912" i="16"/>
  <c r="AC912" i="16" s="1"/>
  <c r="V912" i="16"/>
  <c r="AB912" i="16" s="1"/>
  <c r="X911" i="16"/>
  <c r="AD911" i="16" s="1"/>
  <c r="W911" i="16"/>
  <c r="AC911" i="16" s="1"/>
  <c r="V911" i="16"/>
  <c r="AB911" i="16" s="1"/>
  <c r="X910" i="16"/>
  <c r="AD910" i="16" s="1"/>
  <c r="W910" i="16"/>
  <c r="AC910" i="16" s="1"/>
  <c r="V910" i="16"/>
  <c r="AB910" i="16" s="1"/>
  <c r="X909" i="16"/>
  <c r="AD909" i="16" s="1"/>
  <c r="W909" i="16"/>
  <c r="AC909" i="16" s="1"/>
  <c r="V909" i="16"/>
  <c r="AB909" i="16" s="1"/>
  <c r="X908" i="16"/>
  <c r="AD908" i="16" s="1"/>
  <c r="W908" i="16"/>
  <c r="AC908" i="16" s="1"/>
  <c r="V908" i="16"/>
  <c r="AB908" i="16" s="1"/>
  <c r="X907" i="16"/>
  <c r="AD907" i="16" s="1"/>
  <c r="W907" i="16"/>
  <c r="AC907" i="16" s="1"/>
  <c r="V907" i="16"/>
  <c r="AB907" i="16" s="1"/>
  <c r="X906" i="16"/>
  <c r="AD906" i="16" s="1"/>
  <c r="W906" i="16"/>
  <c r="AC906" i="16" s="1"/>
  <c r="V906" i="16"/>
  <c r="AB906" i="16" s="1"/>
  <c r="X905" i="16"/>
  <c r="AD905" i="16" s="1"/>
  <c r="W905" i="16"/>
  <c r="AC905" i="16" s="1"/>
  <c r="V905" i="16"/>
  <c r="AB905" i="16" s="1"/>
  <c r="X904" i="16"/>
  <c r="AD904" i="16" s="1"/>
  <c r="W904" i="16"/>
  <c r="AC904" i="16" s="1"/>
  <c r="V904" i="16"/>
  <c r="AB904" i="16" s="1"/>
  <c r="X903" i="16"/>
  <c r="AD903" i="16" s="1"/>
  <c r="W903" i="16"/>
  <c r="AC903" i="16" s="1"/>
  <c r="V903" i="16"/>
  <c r="AB903" i="16" s="1"/>
  <c r="X902" i="16"/>
  <c r="AD902" i="16" s="1"/>
  <c r="W902" i="16"/>
  <c r="AC902" i="16" s="1"/>
  <c r="V902" i="16"/>
  <c r="AB902" i="16" s="1"/>
  <c r="X901" i="16"/>
  <c r="AD901" i="16" s="1"/>
  <c r="W901" i="16"/>
  <c r="AC901" i="16" s="1"/>
  <c r="V901" i="16"/>
  <c r="AB901" i="16" s="1"/>
  <c r="X900" i="16"/>
  <c r="AD900" i="16" s="1"/>
  <c r="W900" i="16"/>
  <c r="AC900" i="16" s="1"/>
  <c r="V900" i="16"/>
  <c r="AB900" i="16" s="1"/>
  <c r="X899" i="16"/>
  <c r="AD899" i="16" s="1"/>
  <c r="W899" i="16"/>
  <c r="AC899" i="16" s="1"/>
  <c r="V899" i="16"/>
  <c r="AB899" i="16" s="1"/>
  <c r="X898" i="16"/>
  <c r="AD898" i="16" s="1"/>
  <c r="W898" i="16"/>
  <c r="AC898" i="16" s="1"/>
  <c r="V898" i="16"/>
  <c r="AB898" i="16" s="1"/>
  <c r="X897" i="16"/>
  <c r="AD897" i="16" s="1"/>
  <c r="W897" i="16"/>
  <c r="AC897" i="16" s="1"/>
  <c r="V897" i="16"/>
  <c r="AB897" i="16" s="1"/>
  <c r="X896" i="16"/>
  <c r="AD896" i="16" s="1"/>
  <c r="W896" i="16"/>
  <c r="AC896" i="16" s="1"/>
  <c r="V896" i="16"/>
  <c r="AB896" i="16" s="1"/>
  <c r="X895" i="16"/>
  <c r="AD895" i="16" s="1"/>
  <c r="W895" i="16"/>
  <c r="AC895" i="16" s="1"/>
  <c r="V895" i="16"/>
  <c r="AB895" i="16" s="1"/>
  <c r="X894" i="16"/>
  <c r="AD894" i="16" s="1"/>
  <c r="W894" i="16"/>
  <c r="AC894" i="16" s="1"/>
  <c r="V894" i="16"/>
  <c r="AB894" i="16" s="1"/>
  <c r="X893" i="16"/>
  <c r="AD893" i="16" s="1"/>
  <c r="W893" i="16"/>
  <c r="AC893" i="16" s="1"/>
  <c r="V893" i="16"/>
  <c r="AB893" i="16" s="1"/>
  <c r="X892" i="16"/>
  <c r="AD892" i="16" s="1"/>
  <c r="W892" i="16"/>
  <c r="AC892" i="16" s="1"/>
  <c r="V892" i="16"/>
  <c r="AB892" i="16" s="1"/>
  <c r="X891" i="16"/>
  <c r="AD891" i="16" s="1"/>
  <c r="W891" i="16"/>
  <c r="AC891" i="16" s="1"/>
  <c r="V891" i="16"/>
  <c r="AB891" i="16" s="1"/>
  <c r="X890" i="16"/>
  <c r="AD890" i="16" s="1"/>
  <c r="W890" i="16"/>
  <c r="AC890" i="16" s="1"/>
  <c r="V890" i="16"/>
  <c r="AB890" i="16" s="1"/>
  <c r="X889" i="16"/>
  <c r="AD889" i="16" s="1"/>
  <c r="W889" i="16"/>
  <c r="AC889" i="16" s="1"/>
  <c r="V889" i="16"/>
  <c r="AB889" i="16" s="1"/>
  <c r="X888" i="16"/>
  <c r="AD888" i="16" s="1"/>
  <c r="W888" i="16"/>
  <c r="AC888" i="16" s="1"/>
  <c r="V888" i="16"/>
  <c r="AB888" i="16" s="1"/>
  <c r="X887" i="16"/>
  <c r="AD887" i="16" s="1"/>
  <c r="W887" i="16"/>
  <c r="AC887" i="16" s="1"/>
  <c r="V887" i="16"/>
  <c r="AB887" i="16" s="1"/>
  <c r="X886" i="16"/>
  <c r="AD886" i="16" s="1"/>
  <c r="W886" i="16"/>
  <c r="AC886" i="16" s="1"/>
  <c r="V886" i="16"/>
  <c r="AB886" i="16" s="1"/>
  <c r="X885" i="16"/>
  <c r="AD885" i="16" s="1"/>
  <c r="W885" i="16"/>
  <c r="AC885" i="16" s="1"/>
  <c r="V885" i="16"/>
  <c r="AB885" i="16" s="1"/>
  <c r="X884" i="16"/>
  <c r="AD884" i="16" s="1"/>
  <c r="W884" i="16"/>
  <c r="AC884" i="16" s="1"/>
  <c r="V884" i="16"/>
  <c r="AB884" i="16" s="1"/>
  <c r="X883" i="16"/>
  <c r="AD883" i="16" s="1"/>
  <c r="W883" i="16"/>
  <c r="AC883" i="16" s="1"/>
  <c r="V883" i="16"/>
  <c r="AB883" i="16" s="1"/>
  <c r="X882" i="16"/>
  <c r="AD882" i="16" s="1"/>
  <c r="W882" i="16"/>
  <c r="AC882" i="16" s="1"/>
  <c r="V882" i="16"/>
  <c r="AB882" i="16" s="1"/>
  <c r="X881" i="16"/>
  <c r="AD881" i="16" s="1"/>
  <c r="W881" i="16"/>
  <c r="AC881" i="16" s="1"/>
  <c r="V881" i="16"/>
  <c r="AB881" i="16" s="1"/>
  <c r="X880" i="16"/>
  <c r="AD880" i="16" s="1"/>
  <c r="W880" i="16"/>
  <c r="AC880" i="16" s="1"/>
  <c r="V880" i="16"/>
  <c r="AB880" i="16" s="1"/>
  <c r="X879" i="16"/>
  <c r="AD879" i="16" s="1"/>
  <c r="W879" i="16"/>
  <c r="AC879" i="16" s="1"/>
  <c r="V879" i="16"/>
  <c r="AB879" i="16" s="1"/>
  <c r="X878" i="16"/>
  <c r="AD878" i="16" s="1"/>
  <c r="W878" i="16"/>
  <c r="AC878" i="16" s="1"/>
  <c r="V878" i="16"/>
  <c r="AB878" i="16" s="1"/>
  <c r="X877" i="16"/>
  <c r="AD877" i="16" s="1"/>
  <c r="W877" i="16"/>
  <c r="AC877" i="16" s="1"/>
  <c r="V877" i="16"/>
  <c r="AB877" i="16" s="1"/>
  <c r="X876" i="16"/>
  <c r="AD876" i="16" s="1"/>
  <c r="W876" i="16"/>
  <c r="AC876" i="16" s="1"/>
  <c r="V876" i="16"/>
  <c r="AB876" i="16" s="1"/>
  <c r="X875" i="16"/>
  <c r="AD875" i="16" s="1"/>
  <c r="W875" i="16"/>
  <c r="AC875" i="16" s="1"/>
  <c r="V875" i="16"/>
  <c r="AB875" i="16" s="1"/>
  <c r="X874" i="16"/>
  <c r="AD874" i="16" s="1"/>
  <c r="W874" i="16"/>
  <c r="AC874" i="16" s="1"/>
  <c r="V874" i="16"/>
  <c r="AB874" i="16" s="1"/>
  <c r="X873" i="16"/>
  <c r="AD873" i="16" s="1"/>
  <c r="W873" i="16"/>
  <c r="AC873" i="16" s="1"/>
  <c r="V873" i="16"/>
  <c r="AB873" i="16" s="1"/>
  <c r="X872" i="16"/>
  <c r="AD872" i="16" s="1"/>
  <c r="W872" i="16"/>
  <c r="AC872" i="16" s="1"/>
  <c r="V872" i="16"/>
  <c r="AB872" i="16" s="1"/>
  <c r="X871" i="16"/>
  <c r="AD871" i="16" s="1"/>
  <c r="W871" i="16"/>
  <c r="AC871" i="16" s="1"/>
  <c r="V871" i="16"/>
  <c r="AB871" i="16" s="1"/>
  <c r="X870" i="16"/>
  <c r="AD870" i="16" s="1"/>
  <c r="W870" i="16"/>
  <c r="AC870" i="16" s="1"/>
  <c r="V870" i="16"/>
  <c r="AB870" i="16" s="1"/>
  <c r="X869" i="16"/>
  <c r="AD869" i="16" s="1"/>
  <c r="AO7" i="16" s="1"/>
  <c r="W869" i="16"/>
  <c r="AC869" i="16" s="1"/>
  <c r="V869" i="16"/>
  <c r="AB869" i="16" s="1"/>
  <c r="X868" i="16"/>
  <c r="AD868" i="16" s="1"/>
  <c r="W868" i="16"/>
  <c r="AC868" i="16" s="1"/>
  <c r="V868" i="16"/>
  <c r="AB868" i="16" s="1"/>
  <c r="X867" i="16"/>
  <c r="AD867" i="16" s="1"/>
  <c r="W867" i="16"/>
  <c r="AC867" i="16" s="1"/>
  <c r="V867" i="16"/>
  <c r="AB867" i="16" s="1"/>
  <c r="X866" i="16"/>
  <c r="AD866" i="16" s="1"/>
  <c r="W866" i="16"/>
  <c r="AC866" i="16" s="1"/>
  <c r="V866" i="16"/>
  <c r="AB866" i="16" s="1"/>
  <c r="X865" i="16"/>
  <c r="AD865" i="16" s="1"/>
  <c r="W865" i="16"/>
  <c r="AC865" i="16" s="1"/>
  <c r="V865" i="16"/>
  <c r="AB865" i="16" s="1"/>
  <c r="X864" i="16"/>
  <c r="AD864" i="16" s="1"/>
  <c r="W864" i="16"/>
  <c r="AC864" i="16" s="1"/>
  <c r="V864" i="16"/>
  <c r="AB864" i="16" s="1"/>
  <c r="X863" i="16"/>
  <c r="AD863" i="16" s="1"/>
  <c r="W863" i="16"/>
  <c r="AC863" i="16" s="1"/>
  <c r="V863" i="16"/>
  <c r="AB863" i="16" s="1"/>
  <c r="X862" i="16"/>
  <c r="AD862" i="16" s="1"/>
  <c r="W862" i="16"/>
  <c r="AC862" i="16" s="1"/>
  <c r="V862" i="16"/>
  <c r="AB862" i="16" s="1"/>
  <c r="X861" i="16"/>
  <c r="AD861" i="16" s="1"/>
  <c r="W861" i="16"/>
  <c r="AC861" i="16" s="1"/>
  <c r="V861" i="16"/>
  <c r="AB861" i="16" s="1"/>
  <c r="X860" i="16"/>
  <c r="AD860" i="16" s="1"/>
  <c r="W860" i="16"/>
  <c r="AC860" i="16" s="1"/>
  <c r="V860" i="16"/>
  <c r="AB860" i="16" s="1"/>
  <c r="X859" i="16"/>
  <c r="AD859" i="16" s="1"/>
  <c r="W859" i="16"/>
  <c r="AC859" i="16" s="1"/>
  <c r="V859" i="16"/>
  <c r="AB859" i="16" s="1"/>
  <c r="X858" i="16"/>
  <c r="AD858" i="16" s="1"/>
  <c r="W858" i="16"/>
  <c r="AC858" i="16" s="1"/>
  <c r="V858" i="16"/>
  <c r="AB858" i="16" s="1"/>
  <c r="X857" i="16"/>
  <c r="AD857" i="16" s="1"/>
  <c r="W857" i="16"/>
  <c r="AC857" i="16" s="1"/>
  <c r="V857" i="16"/>
  <c r="AB857" i="16" s="1"/>
  <c r="X856" i="16"/>
  <c r="AD856" i="16" s="1"/>
  <c r="W856" i="16"/>
  <c r="AC856" i="16" s="1"/>
  <c r="V856" i="16"/>
  <c r="AB856" i="16" s="1"/>
  <c r="X855" i="16"/>
  <c r="AD855" i="16" s="1"/>
  <c r="W855" i="16"/>
  <c r="AC855" i="16" s="1"/>
  <c r="V855" i="16"/>
  <c r="AB855" i="16" s="1"/>
  <c r="X854" i="16"/>
  <c r="AD854" i="16" s="1"/>
  <c r="W854" i="16"/>
  <c r="AC854" i="16" s="1"/>
  <c r="V854" i="16"/>
  <c r="AB854" i="16" s="1"/>
  <c r="X853" i="16"/>
  <c r="AD853" i="16" s="1"/>
  <c r="W853" i="16"/>
  <c r="AC853" i="16" s="1"/>
  <c r="V853" i="16"/>
  <c r="AB853" i="16" s="1"/>
  <c r="X852" i="16"/>
  <c r="AD852" i="16" s="1"/>
  <c r="W852" i="16"/>
  <c r="AC852" i="16" s="1"/>
  <c r="V852" i="16"/>
  <c r="AB852" i="16" s="1"/>
  <c r="X851" i="16"/>
  <c r="AD851" i="16" s="1"/>
  <c r="W851" i="16"/>
  <c r="AC851" i="16" s="1"/>
  <c r="V851" i="16"/>
  <c r="AB851" i="16" s="1"/>
  <c r="X850" i="16"/>
  <c r="AD850" i="16" s="1"/>
  <c r="W850" i="16"/>
  <c r="AC850" i="16" s="1"/>
  <c r="V850" i="16"/>
  <c r="AB850" i="16" s="1"/>
  <c r="X849" i="16"/>
  <c r="AD849" i="16" s="1"/>
  <c r="W849" i="16"/>
  <c r="AC849" i="16" s="1"/>
  <c r="V849" i="16"/>
  <c r="AB849" i="16" s="1"/>
  <c r="X848" i="16"/>
  <c r="AD848" i="16" s="1"/>
  <c r="W848" i="16"/>
  <c r="AC848" i="16" s="1"/>
  <c r="V848" i="16"/>
  <c r="AB848" i="16" s="1"/>
  <c r="X847" i="16"/>
  <c r="AD847" i="16" s="1"/>
  <c r="W847" i="16"/>
  <c r="AC847" i="16" s="1"/>
  <c r="V847" i="16"/>
  <c r="AB847" i="16" s="1"/>
  <c r="X846" i="16"/>
  <c r="AD846" i="16" s="1"/>
  <c r="W846" i="16"/>
  <c r="AC846" i="16" s="1"/>
  <c r="V846" i="16"/>
  <c r="AB846" i="16" s="1"/>
  <c r="X845" i="16"/>
  <c r="AD845" i="16" s="1"/>
  <c r="W845" i="16"/>
  <c r="AC845" i="16" s="1"/>
  <c r="V845" i="16"/>
  <c r="AB845" i="16" s="1"/>
  <c r="X844" i="16"/>
  <c r="AD844" i="16" s="1"/>
  <c r="W844" i="16"/>
  <c r="AC844" i="16" s="1"/>
  <c r="V844" i="16"/>
  <c r="AB844" i="16" s="1"/>
  <c r="X843" i="16"/>
  <c r="AD843" i="16" s="1"/>
  <c r="W843" i="16"/>
  <c r="AC843" i="16" s="1"/>
  <c r="V843" i="16"/>
  <c r="AB843" i="16" s="1"/>
  <c r="X842" i="16"/>
  <c r="AD842" i="16" s="1"/>
  <c r="W842" i="16"/>
  <c r="AC842" i="16" s="1"/>
  <c r="V842" i="16"/>
  <c r="AB842" i="16" s="1"/>
  <c r="X841" i="16"/>
  <c r="AD841" i="16" s="1"/>
  <c r="W841" i="16"/>
  <c r="AC841" i="16" s="1"/>
  <c r="V841" i="16"/>
  <c r="AB841" i="16" s="1"/>
  <c r="X840" i="16"/>
  <c r="AD840" i="16" s="1"/>
  <c r="W840" i="16"/>
  <c r="AC840" i="16" s="1"/>
  <c r="V840" i="16"/>
  <c r="AB840" i="16" s="1"/>
  <c r="X839" i="16"/>
  <c r="AD839" i="16" s="1"/>
  <c r="W839" i="16"/>
  <c r="AC839" i="16" s="1"/>
  <c r="V839" i="16"/>
  <c r="AB839" i="16" s="1"/>
  <c r="X838" i="16"/>
  <c r="AD838" i="16" s="1"/>
  <c r="W838" i="16"/>
  <c r="AC838" i="16" s="1"/>
  <c r="V838" i="16"/>
  <c r="AB838" i="16" s="1"/>
  <c r="X837" i="16"/>
  <c r="AD837" i="16" s="1"/>
  <c r="W837" i="16"/>
  <c r="AC837" i="16" s="1"/>
  <c r="V837" i="16"/>
  <c r="AB837" i="16" s="1"/>
  <c r="X836" i="16"/>
  <c r="AD836" i="16" s="1"/>
  <c r="W836" i="16"/>
  <c r="AC836" i="16" s="1"/>
  <c r="V836" i="16"/>
  <c r="AB836" i="16" s="1"/>
  <c r="X835" i="16"/>
  <c r="AD835" i="16" s="1"/>
  <c r="W835" i="16"/>
  <c r="AC835" i="16" s="1"/>
  <c r="V835" i="16"/>
  <c r="AB835" i="16" s="1"/>
  <c r="X834" i="16"/>
  <c r="AD834" i="16" s="1"/>
  <c r="W834" i="16"/>
  <c r="AC834" i="16" s="1"/>
  <c r="V834" i="16"/>
  <c r="AB834" i="16" s="1"/>
  <c r="X833" i="16"/>
  <c r="AD833" i="16" s="1"/>
  <c r="W833" i="16"/>
  <c r="AC833" i="16" s="1"/>
  <c r="V833" i="16"/>
  <c r="AB833" i="16" s="1"/>
  <c r="X832" i="16"/>
  <c r="AD832" i="16" s="1"/>
  <c r="W832" i="16"/>
  <c r="AC832" i="16" s="1"/>
  <c r="V832" i="16"/>
  <c r="AB832" i="16" s="1"/>
  <c r="X831" i="16"/>
  <c r="AD831" i="16" s="1"/>
  <c r="W831" i="16"/>
  <c r="AC831" i="16" s="1"/>
  <c r="V831" i="16"/>
  <c r="AB831" i="16" s="1"/>
  <c r="X830" i="16"/>
  <c r="AD830" i="16" s="1"/>
  <c r="W830" i="16"/>
  <c r="AC830" i="16" s="1"/>
  <c r="V830" i="16"/>
  <c r="AB830" i="16" s="1"/>
  <c r="X829" i="16"/>
  <c r="AD829" i="16" s="1"/>
  <c r="W829" i="16"/>
  <c r="AC829" i="16" s="1"/>
  <c r="V829" i="16"/>
  <c r="AB829" i="16" s="1"/>
  <c r="X828" i="16"/>
  <c r="AD828" i="16" s="1"/>
  <c r="W828" i="16"/>
  <c r="AC828" i="16" s="1"/>
  <c r="V828" i="16"/>
  <c r="AB828" i="16" s="1"/>
  <c r="X827" i="16"/>
  <c r="AD827" i="16" s="1"/>
  <c r="W827" i="16"/>
  <c r="AC827" i="16" s="1"/>
  <c r="V827" i="16"/>
  <c r="AB827" i="16" s="1"/>
  <c r="X826" i="16"/>
  <c r="AD826" i="16" s="1"/>
  <c r="W826" i="16"/>
  <c r="AC826" i="16" s="1"/>
  <c r="V826" i="16"/>
  <c r="AB826" i="16" s="1"/>
  <c r="X825" i="16"/>
  <c r="AD825" i="16" s="1"/>
  <c r="W825" i="16"/>
  <c r="AC825" i="16" s="1"/>
  <c r="V825" i="16"/>
  <c r="AB825" i="16" s="1"/>
  <c r="X824" i="16"/>
  <c r="AD824" i="16" s="1"/>
  <c r="W824" i="16"/>
  <c r="AC824" i="16" s="1"/>
  <c r="V824" i="16"/>
  <c r="AB824" i="16" s="1"/>
  <c r="X823" i="16"/>
  <c r="AD823" i="16" s="1"/>
  <c r="W823" i="16"/>
  <c r="AC823" i="16" s="1"/>
  <c r="V823" i="16"/>
  <c r="AB823" i="16" s="1"/>
  <c r="X822" i="16"/>
  <c r="AD822" i="16" s="1"/>
  <c r="W822" i="16"/>
  <c r="AC822" i="16" s="1"/>
  <c r="V822" i="16"/>
  <c r="AB822" i="16" s="1"/>
  <c r="X821" i="16"/>
  <c r="AD821" i="16" s="1"/>
  <c r="W821" i="16"/>
  <c r="AC821" i="16" s="1"/>
  <c r="V821" i="16"/>
  <c r="AB821" i="16" s="1"/>
  <c r="X820" i="16"/>
  <c r="AD820" i="16" s="1"/>
  <c r="W820" i="16"/>
  <c r="AC820" i="16" s="1"/>
  <c r="V820" i="16"/>
  <c r="AB820" i="16" s="1"/>
  <c r="X819" i="16"/>
  <c r="AD819" i="16" s="1"/>
  <c r="W819" i="16"/>
  <c r="AC819" i="16" s="1"/>
  <c r="V819" i="16"/>
  <c r="AB819" i="16" s="1"/>
  <c r="X818" i="16"/>
  <c r="AD818" i="16" s="1"/>
  <c r="W818" i="16"/>
  <c r="AC818" i="16" s="1"/>
  <c r="V818" i="16"/>
  <c r="AB818" i="16" s="1"/>
  <c r="X817" i="16"/>
  <c r="AD817" i="16" s="1"/>
  <c r="W817" i="16"/>
  <c r="AC817" i="16" s="1"/>
  <c r="V817" i="16"/>
  <c r="AB817" i="16" s="1"/>
  <c r="X816" i="16"/>
  <c r="AD816" i="16" s="1"/>
  <c r="W816" i="16"/>
  <c r="AC816" i="16" s="1"/>
  <c r="V816" i="16"/>
  <c r="AB816" i="16" s="1"/>
  <c r="X815" i="16"/>
  <c r="AD815" i="16" s="1"/>
  <c r="W815" i="16"/>
  <c r="AC815" i="16" s="1"/>
  <c r="V815" i="16"/>
  <c r="AB815" i="16" s="1"/>
  <c r="X814" i="16"/>
  <c r="AD814" i="16" s="1"/>
  <c r="W814" i="16"/>
  <c r="AC814" i="16" s="1"/>
  <c r="V814" i="16"/>
  <c r="AB814" i="16" s="1"/>
  <c r="X813" i="16"/>
  <c r="AD813" i="16" s="1"/>
  <c r="W813" i="16"/>
  <c r="AC813" i="16" s="1"/>
  <c r="V813" i="16"/>
  <c r="AB813" i="16" s="1"/>
  <c r="X812" i="16"/>
  <c r="AD812" i="16" s="1"/>
  <c r="W812" i="16"/>
  <c r="AC812" i="16" s="1"/>
  <c r="V812" i="16"/>
  <c r="AB812" i="16" s="1"/>
  <c r="X811" i="16"/>
  <c r="AD811" i="16" s="1"/>
  <c r="W811" i="16"/>
  <c r="AC811" i="16" s="1"/>
  <c r="V811" i="16"/>
  <c r="AB811" i="16" s="1"/>
  <c r="X810" i="16"/>
  <c r="AD810" i="16" s="1"/>
  <c r="W810" i="16"/>
  <c r="AC810" i="16" s="1"/>
  <c r="V810" i="16"/>
  <c r="AB810" i="16" s="1"/>
  <c r="X809" i="16"/>
  <c r="AD809" i="16" s="1"/>
  <c r="W809" i="16"/>
  <c r="AC809" i="16" s="1"/>
  <c r="V809" i="16"/>
  <c r="AB809" i="16" s="1"/>
  <c r="X808" i="16"/>
  <c r="AD808" i="16" s="1"/>
  <c r="W808" i="16"/>
  <c r="AC808" i="16" s="1"/>
  <c r="V808" i="16"/>
  <c r="AB808" i="16" s="1"/>
  <c r="X807" i="16"/>
  <c r="AD807" i="16" s="1"/>
  <c r="W807" i="16"/>
  <c r="AC807" i="16" s="1"/>
  <c r="V807" i="16"/>
  <c r="AB807" i="16" s="1"/>
  <c r="X806" i="16"/>
  <c r="AD806" i="16" s="1"/>
  <c r="W806" i="16"/>
  <c r="AC806" i="16" s="1"/>
  <c r="V806" i="16"/>
  <c r="AB806" i="16" s="1"/>
  <c r="X805" i="16"/>
  <c r="AD805" i="16" s="1"/>
  <c r="W805" i="16"/>
  <c r="AC805" i="16" s="1"/>
  <c r="V805" i="16"/>
  <c r="AB805" i="16" s="1"/>
  <c r="X804" i="16"/>
  <c r="AD804" i="16" s="1"/>
  <c r="W804" i="16"/>
  <c r="AC804" i="16" s="1"/>
  <c r="V804" i="16"/>
  <c r="AB804" i="16" s="1"/>
  <c r="X803" i="16"/>
  <c r="AD803" i="16" s="1"/>
  <c r="W803" i="16"/>
  <c r="AC803" i="16" s="1"/>
  <c r="V803" i="16"/>
  <c r="AB803" i="16" s="1"/>
  <c r="X802" i="16"/>
  <c r="AD802" i="16" s="1"/>
  <c r="W802" i="16"/>
  <c r="AC802" i="16" s="1"/>
  <c r="V802" i="16"/>
  <c r="AB802" i="16" s="1"/>
  <c r="X801" i="16"/>
  <c r="AD801" i="16" s="1"/>
  <c r="W801" i="16"/>
  <c r="AC801" i="16" s="1"/>
  <c r="V801" i="16"/>
  <c r="AB801" i="16" s="1"/>
  <c r="X800" i="16"/>
  <c r="AD800" i="16" s="1"/>
  <c r="W800" i="16"/>
  <c r="AC800" i="16" s="1"/>
  <c r="V800" i="16"/>
  <c r="AB800" i="16" s="1"/>
  <c r="X799" i="16"/>
  <c r="AD799" i="16" s="1"/>
  <c r="W799" i="16"/>
  <c r="AC799" i="16" s="1"/>
  <c r="V799" i="16"/>
  <c r="AB799" i="16" s="1"/>
  <c r="X798" i="16"/>
  <c r="AD798" i="16" s="1"/>
  <c r="W798" i="16"/>
  <c r="AC798" i="16" s="1"/>
  <c r="V798" i="16"/>
  <c r="AB798" i="16" s="1"/>
  <c r="X797" i="16"/>
  <c r="AD797" i="16" s="1"/>
  <c r="W797" i="16"/>
  <c r="AC797" i="16" s="1"/>
  <c r="V797" i="16"/>
  <c r="AB797" i="16" s="1"/>
  <c r="X796" i="16"/>
  <c r="AD796" i="16" s="1"/>
  <c r="W796" i="16"/>
  <c r="AC796" i="16" s="1"/>
  <c r="V796" i="16"/>
  <c r="AB796" i="16" s="1"/>
  <c r="X795" i="16"/>
  <c r="AD795" i="16" s="1"/>
  <c r="W795" i="16"/>
  <c r="AC795" i="16" s="1"/>
  <c r="V795" i="16"/>
  <c r="AB795" i="16" s="1"/>
  <c r="X794" i="16"/>
  <c r="AD794" i="16" s="1"/>
  <c r="W794" i="16"/>
  <c r="AC794" i="16" s="1"/>
  <c r="V794" i="16"/>
  <c r="AB794" i="16" s="1"/>
  <c r="X793" i="16"/>
  <c r="AD793" i="16" s="1"/>
  <c r="W793" i="16"/>
  <c r="AC793" i="16" s="1"/>
  <c r="V793" i="16"/>
  <c r="AB793" i="16" s="1"/>
  <c r="X792" i="16"/>
  <c r="AD792" i="16" s="1"/>
  <c r="W792" i="16"/>
  <c r="AC792" i="16" s="1"/>
  <c r="V792" i="16"/>
  <c r="AB792" i="16" s="1"/>
  <c r="X791" i="16"/>
  <c r="AD791" i="16" s="1"/>
  <c r="W791" i="16"/>
  <c r="AC791" i="16" s="1"/>
  <c r="V791" i="16"/>
  <c r="AB791" i="16" s="1"/>
  <c r="X790" i="16"/>
  <c r="AD790" i="16" s="1"/>
  <c r="W790" i="16"/>
  <c r="AC790" i="16" s="1"/>
  <c r="V790" i="16"/>
  <c r="AB790" i="16" s="1"/>
  <c r="X789" i="16"/>
  <c r="AD789" i="16" s="1"/>
  <c r="W789" i="16"/>
  <c r="AC789" i="16" s="1"/>
  <c r="V789" i="16"/>
  <c r="AB789" i="16" s="1"/>
  <c r="X788" i="16"/>
  <c r="AD788" i="16" s="1"/>
  <c r="W788" i="16"/>
  <c r="AC788" i="16" s="1"/>
  <c r="V788" i="16"/>
  <c r="AB788" i="16" s="1"/>
  <c r="X787" i="16"/>
  <c r="AD787" i="16" s="1"/>
  <c r="W787" i="16"/>
  <c r="AC787" i="16" s="1"/>
  <c r="V787" i="16"/>
  <c r="AB787" i="16" s="1"/>
  <c r="X786" i="16"/>
  <c r="AD786" i="16" s="1"/>
  <c r="W786" i="16"/>
  <c r="AC786" i="16" s="1"/>
  <c r="V786" i="16"/>
  <c r="AB786" i="16" s="1"/>
  <c r="X785" i="16"/>
  <c r="AD785" i="16" s="1"/>
  <c r="W785" i="16"/>
  <c r="AC785" i="16" s="1"/>
  <c r="V785" i="16"/>
  <c r="AB785" i="16" s="1"/>
  <c r="X784" i="16"/>
  <c r="AD784" i="16" s="1"/>
  <c r="W784" i="16"/>
  <c r="AC784" i="16" s="1"/>
  <c r="V784" i="16"/>
  <c r="AB784" i="16" s="1"/>
  <c r="X783" i="16"/>
  <c r="AD783" i="16" s="1"/>
  <c r="W783" i="16"/>
  <c r="AC783" i="16" s="1"/>
  <c r="V783" i="16"/>
  <c r="AB783" i="16" s="1"/>
  <c r="X782" i="16"/>
  <c r="AD782" i="16" s="1"/>
  <c r="W782" i="16"/>
  <c r="AC782" i="16" s="1"/>
  <c r="V782" i="16"/>
  <c r="AB782" i="16" s="1"/>
  <c r="X781" i="16"/>
  <c r="AD781" i="16" s="1"/>
  <c r="W781" i="16"/>
  <c r="AC781" i="16" s="1"/>
  <c r="V781" i="16"/>
  <c r="AB781" i="16" s="1"/>
  <c r="X780" i="16"/>
  <c r="AD780" i="16" s="1"/>
  <c r="W780" i="16"/>
  <c r="AC780" i="16" s="1"/>
  <c r="V780" i="16"/>
  <c r="AB780" i="16" s="1"/>
  <c r="X779" i="16"/>
  <c r="AD779" i="16" s="1"/>
  <c r="W779" i="16"/>
  <c r="AC779" i="16" s="1"/>
  <c r="V779" i="16"/>
  <c r="AB779" i="16" s="1"/>
  <c r="X778" i="16"/>
  <c r="AD778" i="16" s="1"/>
  <c r="W778" i="16"/>
  <c r="AC778" i="16" s="1"/>
  <c r="V778" i="16"/>
  <c r="AB778" i="16" s="1"/>
  <c r="X777" i="16"/>
  <c r="AD777" i="16" s="1"/>
  <c r="W777" i="16"/>
  <c r="AC777" i="16" s="1"/>
  <c r="V777" i="16"/>
  <c r="AB777" i="16" s="1"/>
  <c r="X776" i="16"/>
  <c r="AD776" i="16" s="1"/>
  <c r="W776" i="16"/>
  <c r="AC776" i="16" s="1"/>
  <c r="V776" i="16"/>
  <c r="AB776" i="16" s="1"/>
  <c r="X775" i="16"/>
  <c r="AD775" i="16" s="1"/>
  <c r="W775" i="16"/>
  <c r="AC775" i="16" s="1"/>
  <c r="V775" i="16"/>
  <c r="AB775" i="16" s="1"/>
  <c r="X774" i="16"/>
  <c r="AD774" i="16" s="1"/>
  <c r="W774" i="16"/>
  <c r="AC774" i="16" s="1"/>
  <c r="V774" i="16"/>
  <c r="AB774" i="16" s="1"/>
  <c r="X773" i="16"/>
  <c r="AD773" i="16" s="1"/>
  <c r="W773" i="16"/>
  <c r="AC773" i="16" s="1"/>
  <c r="V773" i="16"/>
  <c r="AB773" i="16" s="1"/>
  <c r="X772" i="16"/>
  <c r="AD772" i="16" s="1"/>
  <c r="W772" i="16"/>
  <c r="AC772" i="16" s="1"/>
  <c r="V772" i="16"/>
  <c r="AB772" i="16" s="1"/>
  <c r="X771" i="16"/>
  <c r="AD771" i="16" s="1"/>
  <c r="W771" i="16"/>
  <c r="AC771" i="16" s="1"/>
  <c r="V771" i="16"/>
  <c r="AB771" i="16" s="1"/>
  <c r="X770" i="16"/>
  <c r="AD770" i="16" s="1"/>
  <c r="W770" i="16"/>
  <c r="AC770" i="16" s="1"/>
  <c r="V770" i="16"/>
  <c r="AB770" i="16" s="1"/>
  <c r="X769" i="16"/>
  <c r="AD769" i="16" s="1"/>
  <c r="W769" i="16"/>
  <c r="AC769" i="16" s="1"/>
  <c r="V769" i="16"/>
  <c r="AB769" i="16" s="1"/>
  <c r="X768" i="16"/>
  <c r="AD768" i="16" s="1"/>
  <c r="W768" i="16"/>
  <c r="AC768" i="16" s="1"/>
  <c r="V768" i="16"/>
  <c r="AB768" i="16" s="1"/>
  <c r="X767" i="16"/>
  <c r="AD767" i="16" s="1"/>
  <c r="W767" i="16"/>
  <c r="AC767" i="16" s="1"/>
  <c r="V767" i="16"/>
  <c r="AB767" i="16" s="1"/>
  <c r="X766" i="16"/>
  <c r="AD766" i="16" s="1"/>
  <c r="W766" i="16"/>
  <c r="AC766" i="16" s="1"/>
  <c r="V766" i="16"/>
  <c r="AB766" i="16" s="1"/>
  <c r="X765" i="16"/>
  <c r="AD765" i="16" s="1"/>
  <c r="W765" i="16"/>
  <c r="AC765" i="16" s="1"/>
  <c r="V765" i="16"/>
  <c r="AB765" i="16" s="1"/>
  <c r="X764" i="16"/>
  <c r="AD764" i="16" s="1"/>
  <c r="W764" i="16"/>
  <c r="AC764" i="16" s="1"/>
  <c r="V764" i="16"/>
  <c r="AB764" i="16" s="1"/>
  <c r="X763" i="16"/>
  <c r="AD763" i="16" s="1"/>
  <c r="W763" i="16"/>
  <c r="AC763" i="16" s="1"/>
  <c r="V763" i="16"/>
  <c r="AB763" i="16" s="1"/>
  <c r="X762" i="16"/>
  <c r="AD762" i="16" s="1"/>
  <c r="W762" i="16"/>
  <c r="AC762" i="16" s="1"/>
  <c r="V762" i="16"/>
  <c r="AB762" i="16" s="1"/>
  <c r="X761" i="16"/>
  <c r="AD761" i="16" s="1"/>
  <c r="W761" i="16"/>
  <c r="AC761" i="16" s="1"/>
  <c r="V761" i="16"/>
  <c r="AB761" i="16" s="1"/>
  <c r="X760" i="16"/>
  <c r="AD760" i="16" s="1"/>
  <c r="W760" i="16"/>
  <c r="AC760" i="16" s="1"/>
  <c r="V760" i="16"/>
  <c r="AB760" i="16" s="1"/>
  <c r="X759" i="16"/>
  <c r="AD759" i="16" s="1"/>
  <c r="W759" i="16"/>
  <c r="AC759" i="16" s="1"/>
  <c r="V759" i="16"/>
  <c r="AB759" i="16" s="1"/>
  <c r="X758" i="16"/>
  <c r="AD758" i="16" s="1"/>
  <c r="W758" i="16"/>
  <c r="AC758" i="16" s="1"/>
  <c r="V758" i="16"/>
  <c r="AB758" i="16" s="1"/>
  <c r="X757" i="16"/>
  <c r="AD757" i="16" s="1"/>
  <c r="W757" i="16"/>
  <c r="AC757" i="16" s="1"/>
  <c r="V757" i="16"/>
  <c r="AB757" i="16" s="1"/>
  <c r="X756" i="16"/>
  <c r="AD756" i="16" s="1"/>
  <c r="W756" i="16"/>
  <c r="AC756" i="16" s="1"/>
  <c r="V756" i="16"/>
  <c r="AB756" i="16" s="1"/>
  <c r="X755" i="16"/>
  <c r="AD755" i="16" s="1"/>
  <c r="W755" i="16"/>
  <c r="AC755" i="16" s="1"/>
  <c r="V755" i="16"/>
  <c r="AB755" i="16" s="1"/>
  <c r="X754" i="16"/>
  <c r="AD754" i="16" s="1"/>
  <c r="W754" i="16"/>
  <c r="AC754" i="16" s="1"/>
  <c r="V754" i="16"/>
  <c r="AB754" i="16" s="1"/>
  <c r="X753" i="16"/>
  <c r="AD753" i="16" s="1"/>
  <c r="W753" i="16"/>
  <c r="AC753" i="16" s="1"/>
  <c r="V753" i="16"/>
  <c r="AB753" i="16" s="1"/>
  <c r="X752" i="16"/>
  <c r="AD752" i="16" s="1"/>
  <c r="W752" i="16"/>
  <c r="AC752" i="16" s="1"/>
  <c r="V752" i="16"/>
  <c r="AB752" i="16" s="1"/>
  <c r="X751" i="16"/>
  <c r="AD751" i="16" s="1"/>
  <c r="W751" i="16"/>
  <c r="AC751" i="16" s="1"/>
  <c r="V751" i="16"/>
  <c r="AB751" i="16" s="1"/>
  <c r="X750" i="16"/>
  <c r="AD750" i="16" s="1"/>
  <c r="W750" i="16"/>
  <c r="AC750" i="16" s="1"/>
  <c r="V750" i="16"/>
  <c r="AB750" i="16" s="1"/>
  <c r="X749" i="16"/>
  <c r="AD749" i="16" s="1"/>
  <c r="W749" i="16"/>
  <c r="AC749" i="16" s="1"/>
  <c r="V749" i="16"/>
  <c r="AB749" i="16" s="1"/>
  <c r="X748" i="16"/>
  <c r="AD748" i="16" s="1"/>
  <c r="W748" i="16"/>
  <c r="AC748" i="16" s="1"/>
  <c r="V748" i="16"/>
  <c r="AB748" i="16" s="1"/>
  <c r="X747" i="16"/>
  <c r="AD747" i="16" s="1"/>
  <c r="W747" i="16"/>
  <c r="AC747" i="16" s="1"/>
  <c r="V747" i="16"/>
  <c r="AB747" i="16" s="1"/>
  <c r="X746" i="16"/>
  <c r="AD746" i="16" s="1"/>
  <c r="W746" i="16"/>
  <c r="AC746" i="16" s="1"/>
  <c r="V746" i="16"/>
  <c r="AB746" i="16" s="1"/>
  <c r="X745" i="16"/>
  <c r="AD745" i="16" s="1"/>
  <c r="W745" i="16"/>
  <c r="AC745" i="16" s="1"/>
  <c r="V745" i="16"/>
  <c r="AB745" i="16" s="1"/>
  <c r="X744" i="16"/>
  <c r="AD744" i="16" s="1"/>
  <c r="W744" i="16"/>
  <c r="AC744" i="16" s="1"/>
  <c r="V744" i="16"/>
  <c r="AB744" i="16" s="1"/>
  <c r="X743" i="16"/>
  <c r="AD743" i="16" s="1"/>
  <c r="W743" i="16"/>
  <c r="AC743" i="16" s="1"/>
  <c r="V743" i="16"/>
  <c r="AB743" i="16" s="1"/>
  <c r="X742" i="16"/>
  <c r="AD742" i="16" s="1"/>
  <c r="W742" i="16"/>
  <c r="AC742" i="16" s="1"/>
  <c r="V742" i="16"/>
  <c r="AB742" i="16" s="1"/>
  <c r="X741" i="16"/>
  <c r="AD741" i="16" s="1"/>
  <c r="W741" i="16"/>
  <c r="AC741" i="16" s="1"/>
  <c r="V741" i="16"/>
  <c r="AB741" i="16" s="1"/>
  <c r="X740" i="16"/>
  <c r="AD740" i="16" s="1"/>
  <c r="W740" i="16"/>
  <c r="AC740" i="16" s="1"/>
  <c r="V740" i="16"/>
  <c r="AB740" i="16" s="1"/>
  <c r="X739" i="16"/>
  <c r="AD739" i="16" s="1"/>
  <c r="W739" i="16"/>
  <c r="AC739" i="16" s="1"/>
  <c r="V739" i="16"/>
  <c r="AB739" i="16" s="1"/>
  <c r="X738" i="16"/>
  <c r="AD738" i="16" s="1"/>
  <c r="W738" i="16"/>
  <c r="AC738" i="16" s="1"/>
  <c r="V738" i="16"/>
  <c r="AB738" i="16" s="1"/>
  <c r="X737" i="16"/>
  <c r="AD737" i="16" s="1"/>
  <c r="W737" i="16"/>
  <c r="AC737" i="16" s="1"/>
  <c r="V737" i="16"/>
  <c r="AB737" i="16" s="1"/>
  <c r="X736" i="16"/>
  <c r="AD736" i="16" s="1"/>
  <c r="W736" i="16"/>
  <c r="AC736" i="16" s="1"/>
  <c r="V736" i="16"/>
  <c r="AB736" i="16" s="1"/>
  <c r="X735" i="16"/>
  <c r="AD735" i="16" s="1"/>
  <c r="W735" i="16"/>
  <c r="AC735" i="16" s="1"/>
  <c r="V735" i="16"/>
  <c r="AB735" i="16" s="1"/>
  <c r="X734" i="16"/>
  <c r="AD734" i="16" s="1"/>
  <c r="W734" i="16"/>
  <c r="AC734" i="16" s="1"/>
  <c r="V734" i="16"/>
  <c r="AB734" i="16" s="1"/>
  <c r="X733" i="16"/>
  <c r="AD733" i="16" s="1"/>
  <c r="W733" i="16"/>
  <c r="AC733" i="16" s="1"/>
  <c r="V733" i="16"/>
  <c r="AB733" i="16" s="1"/>
  <c r="X732" i="16"/>
  <c r="AD732" i="16" s="1"/>
  <c r="W732" i="16"/>
  <c r="AC732" i="16" s="1"/>
  <c r="V732" i="16"/>
  <c r="AB732" i="16" s="1"/>
  <c r="X731" i="16"/>
  <c r="AD731" i="16" s="1"/>
  <c r="W731" i="16"/>
  <c r="AC731" i="16" s="1"/>
  <c r="V731" i="16"/>
  <c r="AB731" i="16" s="1"/>
  <c r="X730" i="16"/>
  <c r="AD730" i="16" s="1"/>
  <c r="W730" i="16"/>
  <c r="AC730" i="16" s="1"/>
  <c r="V730" i="16"/>
  <c r="AB730" i="16" s="1"/>
  <c r="X729" i="16"/>
  <c r="AD729" i="16" s="1"/>
  <c r="W729" i="16"/>
  <c r="AC729" i="16" s="1"/>
  <c r="V729" i="16"/>
  <c r="AB729" i="16" s="1"/>
  <c r="X728" i="16"/>
  <c r="AD728" i="16" s="1"/>
  <c r="W728" i="16"/>
  <c r="AC728" i="16" s="1"/>
  <c r="V728" i="16"/>
  <c r="AB728" i="16" s="1"/>
  <c r="X727" i="16"/>
  <c r="AD727" i="16" s="1"/>
  <c r="W727" i="16"/>
  <c r="AC727" i="16" s="1"/>
  <c r="V727" i="16"/>
  <c r="AB727" i="16" s="1"/>
  <c r="X726" i="16"/>
  <c r="AD726" i="16" s="1"/>
  <c r="W726" i="16"/>
  <c r="AC726" i="16" s="1"/>
  <c r="V726" i="16"/>
  <c r="AB726" i="16" s="1"/>
  <c r="X725" i="16"/>
  <c r="AD725" i="16" s="1"/>
  <c r="W725" i="16"/>
  <c r="AC725" i="16" s="1"/>
  <c r="V725" i="16"/>
  <c r="AB725" i="16" s="1"/>
  <c r="X724" i="16"/>
  <c r="AD724" i="16" s="1"/>
  <c r="W724" i="16"/>
  <c r="AC724" i="16" s="1"/>
  <c r="V724" i="16"/>
  <c r="AB724" i="16" s="1"/>
  <c r="X723" i="16"/>
  <c r="AD723" i="16" s="1"/>
  <c r="W723" i="16"/>
  <c r="AC723" i="16" s="1"/>
  <c r="V723" i="16"/>
  <c r="AB723" i="16" s="1"/>
  <c r="X722" i="16"/>
  <c r="AD722" i="16" s="1"/>
  <c r="W722" i="16"/>
  <c r="AC722" i="16" s="1"/>
  <c r="V722" i="16"/>
  <c r="AB722" i="16" s="1"/>
  <c r="X721" i="16"/>
  <c r="AD721" i="16" s="1"/>
  <c r="W721" i="16"/>
  <c r="AC721" i="16" s="1"/>
  <c r="V721" i="16"/>
  <c r="AB721" i="16" s="1"/>
  <c r="X720" i="16"/>
  <c r="AD720" i="16" s="1"/>
  <c r="W720" i="16"/>
  <c r="AC720" i="16" s="1"/>
  <c r="V720" i="16"/>
  <c r="AB720" i="16" s="1"/>
  <c r="X719" i="16"/>
  <c r="AD719" i="16" s="1"/>
  <c r="W719" i="16"/>
  <c r="AC719" i="16" s="1"/>
  <c r="V719" i="16"/>
  <c r="AB719" i="16" s="1"/>
  <c r="X718" i="16"/>
  <c r="AD718" i="16" s="1"/>
  <c r="W718" i="16"/>
  <c r="AC718" i="16" s="1"/>
  <c r="V718" i="16"/>
  <c r="AB718" i="16" s="1"/>
  <c r="X717" i="16"/>
  <c r="AD717" i="16" s="1"/>
  <c r="W717" i="16"/>
  <c r="AC717" i="16" s="1"/>
  <c r="V717" i="16"/>
  <c r="AB717" i="16" s="1"/>
  <c r="X716" i="16"/>
  <c r="AD716" i="16" s="1"/>
  <c r="W716" i="16"/>
  <c r="AC716" i="16" s="1"/>
  <c r="V716" i="16"/>
  <c r="AB716" i="16" s="1"/>
  <c r="X715" i="16"/>
  <c r="AD715" i="16" s="1"/>
  <c r="W715" i="16"/>
  <c r="AC715" i="16" s="1"/>
  <c r="V715" i="16"/>
  <c r="AB715" i="16" s="1"/>
  <c r="X714" i="16"/>
  <c r="AD714" i="16" s="1"/>
  <c r="W714" i="16"/>
  <c r="AC714" i="16" s="1"/>
  <c r="V714" i="16"/>
  <c r="AB714" i="16" s="1"/>
  <c r="X713" i="16"/>
  <c r="AD713" i="16" s="1"/>
  <c r="W713" i="16"/>
  <c r="AC713" i="16" s="1"/>
  <c r="V713" i="16"/>
  <c r="AB713" i="16" s="1"/>
  <c r="X712" i="16"/>
  <c r="AD712" i="16" s="1"/>
  <c r="W712" i="16"/>
  <c r="AC712" i="16" s="1"/>
  <c r="V712" i="16"/>
  <c r="AB712" i="16" s="1"/>
  <c r="X711" i="16"/>
  <c r="AD711" i="16" s="1"/>
  <c r="W711" i="16"/>
  <c r="AC711" i="16" s="1"/>
  <c r="V711" i="16"/>
  <c r="AB711" i="16" s="1"/>
  <c r="X710" i="16"/>
  <c r="AD710" i="16" s="1"/>
  <c r="W710" i="16"/>
  <c r="AC710" i="16" s="1"/>
  <c r="V710" i="16"/>
  <c r="AB710" i="16" s="1"/>
  <c r="X709" i="16"/>
  <c r="AD709" i="16" s="1"/>
  <c r="W709" i="16"/>
  <c r="AC709" i="16" s="1"/>
  <c r="V709" i="16"/>
  <c r="AB709" i="16" s="1"/>
  <c r="X708" i="16"/>
  <c r="AD708" i="16" s="1"/>
  <c r="W708" i="16"/>
  <c r="AC708" i="16" s="1"/>
  <c r="V708" i="16"/>
  <c r="AB708" i="16" s="1"/>
  <c r="X707" i="16"/>
  <c r="AD707" i="16" s="1"/>
  <c r="W707" i="16"/>
  <c r="AC707" i="16" s="1"/>
  <c r="V707" i="16"/>
  <c r="AB707" i="16" s="1"/>
  <c r="X706" i="16"/>
  <c r="AD706" i="16" s="1"/>
  <c r="W706" i="16"/>
  <c r="AC706" i="16" s="1"/>
  <c r="V706" i="16"/>
  <c r="AB706" i="16" s="1"/>
  <c r="X705" i="16"/>
  <c r="AD705" i="16" s="1"/>
  <c r="W705" i="16"/>
  <c r="AC705" i="16" s="1"/>
  <c r="V705" i="16"/>
  <c r="AB705" i="16" s="1"/>
  <c r="X704" i="16"/>
  <c r="AD704" i="16" s="1"/>
  <c r="W704" i="16"/>
  <c r="AC704" i="16" s="1"/>
  <c r="V704" i="16"/>
  <c r="AB704" i="16" s="1"/>
  <c r="X703" i="16"/>
  <c r="AD703" i="16" s="1"/>
  <c r="W703" i="16"/>
  <c r="AC703" i="16" s="1"/>
  <c r="V703" i="16"/>
  <c r="AB703" i="16" s="1"/>
  <c r="X702" i="16"/>
  <c r="AD702" i="16" s="1"/>
  <c r="W702" i="16"/>
  <c r="AC702" i="16" s="1"/>
  <c r="V702" i="16"/>
  <c r="AB702" i="16" s="1"/>
  <c r="X701" i="16"/>
  <c r="AD701" i="16" s="1"/>
  <c r="W701" i="16"/>
  <c r="AC701" i="16" s="1"/>
  <c r="V701" i="16"/>
  <c r="AB701" i="16" s="1"/>
  <c r="X700" i="16"/>
  <c r="AD700" i="16" s="1"/>
  <c r="W700" i="16"/>
  <c r="AC700" i="16" s="1"/>
  <c r="V700" i="16"/>
  <c r="AB700" i="16" s="1"/>
  <c r="X699" i="16"/>
  <c r="AD699" i="16" s="1"/>
  <c r="W699" i="16"/>
  <c r="AC699" i="16" s="1"/>
  <c r="V699" i="16"/>
  <c r="AB699" i="16" s="1"/>
  <c r="X698" i="16"/>
  <c r="AD698" i="16" s="1"/>
  <c r="W698" i="16"/>
  <c r="AC698" i="16" s="1"/>
  <c r="V698" i="16"/>
  <c r="AB698" i="16" s="1"/>
  <c r="X697" i="16"/>
  <c r="AD697" i="16" s="1"/>
  <c r="W697" i="16"/>
  <c r="AC697" i="16" s="1"/>
  <c r="V697" i="16"/>
  <c r="AB697" i="16" s="1"/>
  <c r="X696" i="16"/>
  <c r="AD696" i="16" s="1"/>
  <c r="W696" i="16"/>
  <c r="AC696" i="16" s="1"/>
  <c r="V696" i="16"/>
  <c r="AB696" i="16" s="1"/>
  <c r="X695" i="16"/>
  <c r="AD695" i="16" s="1"/>
  <c r="W695" i="16"/>
  <c r="AC695" i="16" s="1"/>
  <c r="V695" i="16"/>
  <c r="AB695" i="16" s="1"/>
  <c r="X694" i="16"/>
  <c r="AD694" i="16" s="1"/>
  <c r="W694" i="16"/>
  <c r="AC694" i="16" s="1"/>
  <c r="V694" i="16"/>
  <c r="AB694" i="16" s="1"/>
  <c r="X693" i="16"/>
  <c r="AD693" i="16" s="1"/>
  <c r="W693" i="16"/>
  <c r="AC693" i="16" s="1"/>
  <c r="V693" i="16"/>
  <c r="AB693" i="16" s="1"/>
  <c r="X692" i="16"/>
  <c r="AD692" i="16" s="1"/>
  <c r="W692" i="16"/>
  <c r="AC692" i="16" s="1"/>
  <c r="V692" i="16"/>
  <c r="AB692" i="16" s="1"/>
  <c r="X691" i="16"/>
  <c r="W691" i="16"/>
  <c r="AC691" i="16" s="1"/>
  <c r="V691" i="16"/>
  <c r="AB691" i="16" s="1"/>
  <c r="X690" i="16"/>
  <c r="AD690" i="16" s="1"/>
  <c r="W690" i="16"/>
  <c r="AC690" i="16" s="1"/>
  <c r="V690" i="16"/>
  <c r="AB690" i="16" s="1"/>
  <c r="X689" i="16"/>
  <c r="AD689" i="16" s="1"/>
  <c r="W689" i="16"/>
  <c r="AC689" i="16" s="1"/>
  <c r="V689" i="16"/>
  <c r="AB689" i="16" s="1"/>
  <c r="X688" i="16"/>
  <c r="AD688" i="16" s="1"/>
  <c r="W688" i="16"/>
  <c r="AC688" i="16" s="1"/>
  <c r="V688" i="16"/>
  <c r="AB688" i="16" s="1"/>
  <c r="X687" i="16"/>
  <c r="AD687" i="16" s="1"/>
  <c r="W687" i="16"/>
  <c r="AC687" i="16" s="1"/>
  <c r="V687" i="16"/>
  <c r="AB687" i="16" s="1"/>
  <c r="X686" i="16"/>
  <c r="AD686" i="16" s="1"/>
  <c r="W686" i="16"/>
  <c r="AC686" i="16" s="1"/>
  <c r="V686" i="16"/>
  <c r="AB686" i="16" s="1"/>
  <c r="X685" i="16"/>
  <c r="AD685" i="16" s="1"/>
  <c r="W685" i="16"/>
  <c r="AC685" i="16" s="1"/>
  <c r="V685" i="16"/>
  <c r="AB685" i="16" s="1"/>
  <c r="X684" i="16"/>
  <c r="AD684" i="16" s="1"/>
  <c r="W684" i="16"/>
  <c r="AC684" i="16" s="1"/>
  <c r="V684" i="16"/>
  <c r="AB684" i="16" s="1"/>
  <c r="X683" i="16"/>
  <c r="AD683" i="16" s="1"/>
  <c r="W683" i="16"/>
  <c r="AC683" i="16" s="1"/>
  <c r="V683" i="16"/>
  <c r="AB683" i="16" s="1"/>
  <c r="X682" i="16"/>
  <c r="AD682" i="16" s="1"/>
  <c r="W682" i="16"/>
  <c r="AC682" i="16" s="1"/>
  <c r="V682" i="16"/>
  <c r="AB682" i="16" s="1"/>
  <c r="X681" i="16"/>
  <c r="AD681" i="16" s="1"/>
  <c r="W681" i="16"/>
  <c r="AC681" i="16" s="1"/>
  <c r="V681" i="16"/>
  <c r="AB681" i="16" s="1"/>
  <c r="X680" i="16"/>
  <c r="AD680" i="16" s="1"/>
  <c r="W680" i="16"/>
  <c r="AC680" i="16" s="1"/>
  <c r="V680" i="16"/>
  <c r="AB680" i="16" s="1"/>
  <c r="X679" i="16"/>
  <c r="AD679" i="16" s="1"/>
  <c r="W679" i="16"/>
  <c r="AC679" i="16" s="1"/>
  <c r="V679" i="16"/>
  <c r="AB679" i="16" s="1"/>
  <c r="X678" i="16"/>
  <c r="AD678" i="16" s="1"/>
  <c r="W678" i="16"/>
  <c r="AC678" i="16" s="1"/>
  <c r="V678" i="16"/>
  <c r="AB678" i="16" s="1"/>
  <c r="X677" i="16"/>
  <c r="AD677" i="16" s="1"/>
  <c r="W677" i="16"/>
  <c r="AC677" i="16" s="1"/>
  <c r="V677" i="16"/>
  <c r="AB677" i="16" s="1"/>
  <c r="X676" i="16"/>
  <c r="AD676" i="16" s="1"/>
  <c r="W676" i="16"/>
  <c r="AC676" i="16" s="1"/>
  <c r="V676" i="16"/>
  <c r="AB676" i="16" s="1"/>
  <c r="X675" i="16"/>
  <c r="AD675" i="16" s="1"/>
  <c r="W675" i="16"/>
  <c r="AC675" i="16" s="1"/>
  <c r="V675" i="16"/>
  <c r="AB675" i="16" s="1"/>
  <c r="X674" i="16"/>
  <c r="AD674" i="16" s="1"/>
  <c r="W674" i="16"/>
  <c r="AC674" i="16" s="1"/>
  <c r="V674" i="16"/>
  <c r="AB674" i="16" s="1"/>
  <c r="X673" i="16"/>
  <c r="AD673" i="16" s="1"/>
  <c r="W673" i="16"/>
  <c r="AC673" i="16" s="1"/>
  <c r="V673" i="16"/>
  <c r="AB673" i="16" s="1"/>
  <c r="X672" i="16"/>
  <c r="AD672" i="16" s="1"/>
  <c r="W672" i="16"/>
  <c r="AC672" i="16" s="1"/>
  <c r="V672" i="16"/>
  <c r="AB672" i="16" s="1"/>
  <c r="X671" i="16"/>
  <c r="AD671" i="16" s="1"/>
  <c r="W671" i="16"/>
  <c r="AC671" i="16" s="1"/>
  <c r="V671" i="16"/>
  <c r="AB671" i="16" s="1"/>
  <c r="X670" i="16"/>
  <c r="AD670" i="16" s="1"/>
  <c r="W670" i="16"/>
  <c r="AC670" i="16" s="1"/>
  <c r="V670" i="16"/>
  <c r="AB670" i="16" s="1"/>
  <c r="X669" i="16"/>
  <c r="AD669" i="16" s="1"/>
  <c r="W669" i="16"/>
  <c r="AC669" i="16" s="1"/>
  <c r="V669" i="16"/>
  <c r="AB669" i="16" s="1"/>
  <c r="X668" i="16"/>
  <c r="AD668" i="16" s="1"/>
  <c r="W668" i="16"/>
  <c r="AC668" i="16" s="1"/>
  <c r="V668" i="16"/>
  <c r="AB668" i="16" s="1"/>
  <c r="X667" i="16"/>
  <c r="AD667" i="16" s="1"/>
  <c r="W667" i="16"/>
  <c r="AC667" i="16" s="1"/>
  <c r="V667" i="16"/>
  <c r="AB667" i="16" s="1"/>
  <c r="X666" i="16"/>
  <c r="AD666" i="16" s="1"/>
  <c r="W666" i="16"/>
  <c r="AC666" i="16" s="1"/>
  <c r="V666" i="16"/>
  <c r="AB666" i="16" s="1"/>
  <c r="X665" i="16"/>
  <c r="AD665" i="16" s="1"/>
  <c r="W665" i="16"/>
  <c r="AC665" i="16" s="1"/>
  <c r="V665" i="16"/>
  <c r="AB665" i="16" s="1"/>
  <c r="X664" i="16"/>
  <c r="AD664" i="16" s="1"/>
  <c r="W664" i="16"/>
  <c r="AC664" i="16" s="1"/>
  <c r="V664" i="16"/>
  <c r="AB664" i="16" s="1"/>
  <c r="X663" i="16"/>
  <c r="AD663" i="16" s="1"/>
  <c r="W663" i="16"/>
  <c r="AC663" i="16" s="1"/>
  <c r="V663" i="16"/>
  <c r="AB663" i="16" s="1"/>
  <c r="X662" i="16"/>
  <c r="AD662" i="16" s="1"/>
  <c r="W662" i="16"/>
  <c r="AC662" i="16" s="1"/>
  <c r="V662" i="16"/>
  <c r="AB662" i="16" s="1"/>
  <c r="X661" i="16"/>
  <c r="AD661" i="16" s="1"/>
  <c r="W661" i="16"/>
  <c r="AC661" i="16" s="1"/>
  <c r="V661" i="16"/>
  <c r="AB661" i="16" s="1"/>
  <c r="X660" i="16"/>
  <c r="AD660" i="16" s="1"/>
  <c r="W660" i="16"/>
  <c r="AC660" i="16" s="1"/>
  <c r="V660" i="16"/>
  <c r="AB660" i="16" s="1"/>
  <c r="X659" i="16"/>
  <c r="AD659" i="16" s="1"/>
  <c r="W659" i="16"/>
  <c r="AC659" i="16" s="1"/>
  <c r="V659" i="16"/>
  <c r="AB659" i="16" s="1"/>
  <c r="X658" i="16"/>
  <c r="AD658" i="16" s="1"/>
  <c r="W658" i="16"/>
  <c r="AC658" i="16" s="1"/>
  <c r="V658" i="16"/>
  <c r="AB658" i="16" s="1"/>
  <c r="X657" i="16"/>
  <c r="AD657" i="16" s="1"/>
  <c r="W657" i="16"/>
  <c r="AC657" i="16" s="1"/>
  <c r="V657" i="16"/>
  <c r="AB657" i="16" s="1"/>
  <c r="X656" i="16"/>
  <c r="AD656" i="16" s="1"/>
  <c r="W656" i="16"/>
  <c r="AC656" i="16" s="1"/>
  <c r="V656" i="16"/>
  <c r="AB656" i="16" s="1"/>
  <c r="X655" i="16"/>
  <c r="AD655" i="16" s="1"/>
  <c r="W655" i="16"/>
  <c r="V655" i="16"/>
  <c r="AB655" i="16" s="1"/>
  <c r="X654" i="16"/>
  <c r="AD654" i="16" s="1"/>
  <c r="W654" i="16"/>
  <c r="AC654" i="16" s="1"/>
  <c r="V654" i="16"/>
  <c r="AB654" i="16" s="1"/>
  <c r="X653" i="16"/>
  <c r="AD653" i="16" s="1"/>
  <c r="W653" i="16"/>
  <c r="AC653" i="16" s="1"/>
  <c r="V653" i="16"/>
  <c r="AB653" i="16" s="1"/>
  <c r="X652" i="16"/>
  <c r="AD652" i="16" s="1"/>
  <c r="W652" i="16"/>
  <c r="AC652" i="16" s="1"/>
  <c r="V652" i="16"/>
  <c r="AB652" i="16" s="1"/>
  <c r="X651" i="16"/>
  <c r="AD651" i="16" s="1"/>
  <c r="W651" i="16"/>
  <c r="AC651" i="16" s="1"/>
  <c r="V651" i="16"/>
  <c r="AB651" i="16" s="1"/>
  <c r="X650" i="16"/>
  <c r="AD650" i="16" s="1"/>
  <c r="W650" i="16"/>
  <c r="AC650" i="16" s="1"/>
  <c r="V650" i="16"/>
  <c r="AB650" i="16" s="1"/>
  <c r="X649" i="16"/>
  <c r="AD649" i="16" s="1"/>
  <c r="W649" i="16"/>
  <c r="AC649" i="16" s="1"/>
  <c r="V649" i="16"/>
  <c r="AB649" i="16" s="1"/>
  <c r="X648" i="16"/>
  <c r="AD648" i="16" s="1"/>
  <c r="W648" i="16"/>
  <c r="AC648" i="16" s="1"/>
  <c r="V648" i="16"/>
  <c r="AB648" i="16" s="1"/>
  <c r="X647" i="16"/>
  <c r="AD647" i="16" s="1"/>
  <c r="W647" i="16"/>
  <c r="AC647" i="16" s="1"/>
  <c r="V647" i="16"/>
  <c r="AB647" i="16" s="1"/>
  <c r="X646" i="16"/>
  <c r="AD646" i="16" s="1"/>
  <c r="W646" i="16"/>
  <c r="AC646" i="16" s="1"/>
  <c r="V646" i="16"/>
  <c r="AB646" i="16" s="1"/>
  <c r="X645" i="16"/>
  <c r="AD645" i="16" s="1"/>
  <c r="W645" i="16"/>
  <c r="AC645" i="16" s="1"/>
  <c r="V645" i="16"/>
  <c r="AB645" i="16" s="1"/>
  <c r="X644" i="16"/>
  <c r="AD644" i="16" s="1"/>
  <c r="W644" i="16"/>
  <c r="AC644" i="16" s="1"/>
  <c r="V644" i="16"/>
  <c r="AB644" i="16" s="1"/>
  <c r="X643" i="16"/>
  <c r="AD643" i="16" s="1"/>
  <c r="W643" i="16"/>
  <c r="AC643" i="16" s="1"/>
  <c r="V643" i="16"/>
  <c r="AB643" i="16" s="1"/>
  <c r="X642" i="16"/>
  <c r="AD642" i="16" s="1"/>
  <c r="W642" i="16"/>
  <c r="AC642" i="16" s="1"/>
  <c r="V642" i="16"/>
  <c r="AB642" i="16" s="1"/>
  <c r="X641" i="16"/>
  <c r="AD641" i="16" s="1"/>
  <c r="W641" i="16"/>
  <c r="AC641" i="16" s="1"/>
  <c r="V641" i="16"/>
  <c r="AB641" i="16" s="1"/>
  <c r="X640" i="16"/>
  <c r="AD640" i="16" s="1"/>
  <c r="W640" i="16"/>
  <c r="AC640" i="16" s="1"/>
  <c r="V640" i="16"/>
  <c r="AB640" i="16" s="1"/>
  <c r="X639" i="16"/>
  <c r="AD639" i="16" s="1"/>
  <c r="W639" i="16"/>
  <c r="AC639" i="16" s="1"/>
  <c r="V639" i="16"/>
  <c r="AB639" i="16" s="1"/>
  <c r="X638" i="16"/>
  <c r="AD638" i="16" s="1"/>
  <c r="W638" i="16"/>
  <c r="AC638" i="16" s="1"/>
  <c r="V638" i="16"/>
  <c r="AB638" i="16" s="1"/>
  <c r="X637" i="16"/>
  <c r="AD637" i="16" s="1"/>
  <c r="W637" i="16"/>
  <c r="AC637" i="16" s="1"/>
  <c r="V637" i="16"/>
  <c r="AB637" i="16" s="1"/>
  <c r="X636" i="16"/>
  <c r="AD636" i="16" s="1"/>
  <c r="W636" i="16"/>
  <c r="AC636" i="16" s="1"/>
  <c r="V636" i="16"/>
  <c r="AB636" i="16" s="1"/>
  <c r="X635" i="16"/>
  <c r="AD635" i="16" s="1"/>
  <c r="W635" i="16"/>
  <c r="AC635" i="16" s="1"/>
  <c r="V635" i="16"/>
  <c r="AB635" i="16" s="1"/>
  <c r="X634" i="16"/>
  <c r="AD634" i="16" s="1"/>
  <c r="W634" i="16"/>
  <c r="AC634" i="16" s="1"/>
  <c r="V634" i="16"/>
  <c r="AB634" i="16" s="1"/>
  <c r="X633" i="16"/>
  <c r="AD633" i="16" s="1"/>
  <c r="W633" i="16"/>
  <c r="AC633" i="16" s="1"/>
  <c r="V633" i="16"/>
  <c r="AB633" i="16" s="1"/>
  <c r="X632" i="16"/>
  <c r="AD632" i="16" s="1"/>
  <c r="W632" i="16"/>
  <c r="AC632" i="16" s="1"/>
  <c r="V632" i="16"/>
  <c r="AB632" i="16" s="1"/>
  <c r="X631" i="16"/>
  <c r="AD631" i="16" s="1"/>
  <c r="W631" i="16"/>
  <c r="AC631" i="16" s="1"/>
  <c r="V631" i="16"/>
  <c r="AB631" i="16" s="1"/>
  <c r="X630" i="16"/>
  <c r="AD630" i="16" s="1"/>
  <c r="W630" i="16"/>
  <c r="AC630" i="16" s="1"/>
  <c r="V630" i="16"/>
  <c r="AB630" i="16" s="1"/>
  <c r="X629" i="16"/>
  <c r="AD629" i="16" s="1"/>
  <c r="W629" i="16"/>
  <c r="AC629" i="16" s="1"/>
  <c r="V629" i="16"/>
  <c r="AB629" i="16" s="1"/>
  <c r="X628" i="16"/>
  <c r="AD628" i="16" s="1"/>
  <c r="W628" i="16"/>
  <c r="AC628" i="16" s="1"/>
  <c r="V628" i="16"/>
  <c r="AB628" i="16" s="1"/>
  <c r="X627" i="16"/>
  <c r="AD627" i="16" s="1"/>
  <c r="W627" i="16"/>
  <c r="AC627" i="16" s="1"/>
  <c r="V627" i="16"/>
  <c r="AB627" i="16" s="1"/>
  <c r="X626" i="16"/>
  <c r="AD626" i="16" s="1"/>
  <c r="W626" i="16"/>
  <c r="AC626" i="16" s="1"/>
  <c r="V626" i="16"/>
  <c r="AB626" i="16" s="1"/>
  <c r="X625" i="16"/>
  <c r="AD625" i="16" s="1"/>
  <c r="W625" i="16"/>
  <c r="AC625" i="16" s="1"/>
  <c r="V625" i="16"/>
  <c r="AB625" i="16" s="1"/>
  <c r="X624" i="16"/>
  <c r="AD624" i="16" s="1"/>
  <c r="W624" i="16"/>
  <c r="AC624" i="16" s="1"/>
  <c r="V624" i="16"/>
  <c r="AB624" i="16" s="1"/>
  <c r="X623" i="16"/>
  <c r="AD623" i="16" s="1"/>
  <c r="W623" i="16"/>
  <c r="AC623" i="16" s="1"/>
  <c r="V623" i="16"/>
  <c r="AB623" i="16" s="1"/>
  <c r="X622" i="16"/>
  <c r="AD622" i="16" s="1"/>
  <c r="W622" i="16"/>
  <c r="AC622" i="16" s="1"/>
  <c r="V622" i="16"/>
  <c r="AB622" i="16" s="1"/>
  <c r="X621" i="16"/>
  <c r="AD621" i="16" s="1"/>
  <c r="W621" i="16"/>
  <c r="AC621" i="16" s="1"/>
  <c r="V621" i="16"/>
  <c r="AB621" i="16" s="1"/>
  <c r="X620" i="16"/>
  <c r="AD620" i="16" s="1"/>
  <c r="W620" i="16"/>
  <c r="AC620" i="16" s="1"/>
  <c r="V620" i="16"/>
  <c r="AB620" i="16" s="1"/>
  <c r="X619" i="16"/>
  <c r="AD619" i="16" s="1"/>
  <c r="W619" i="16"/>
  <c r="AC619" i="16" s="1"/>
  <c r="V619" i="16"/>
  <c r="AB619" i="16" s="1"/>
  <c r="X618" i="16"/>
  <c r="AD618" i="16" s="1"/>
  <c r="W618" i="16"/>
  <c r="AC618" i="16" s="1"/>
  <c r="V618" i="16"/>
  <c r="AB618" i="16" s="1"/>
  <c r="X617" i="16"/>
  <c r="AD617" i="16" s="1"/>
  <c r="W617" i="16"/>
  <c r="AC617" i="16" s="1"/>
  <c r="V617" i="16"/>
  <c r="AB617" i="16" s="1"/>
  <c r="X616" i="16"/>
  <c r="AD616" i="16" s="1"/>
  <c r="W616" i="16"/>
  <c r="AC616" i="16" s="1"/>
  <c r="V616" i="16"/>
  <c r="AB616" i="16" s="1"/>
  <c r="X615" i="16"/>
  <c r="AD615" i="16" s="1"/>
  <c r="W615" i="16"/>
  <c r="AC615" i="16" s="1"/>
  <c r="V615" i="16"/>
  <c r="AB615" i="16" s="1"/>
  <c r="X614" i="16"/>
  <c r="AD614" i="16" s="1"/>
  <c r="W614" i="16"/>
  <c r="AC614" i="16" s="1"/>
  <c r="V614" i="16"/>
  <c r="AB614" i="16" s="1"/>
  <c r="X613" i="16"/>
  <c r="AD613" i="16" s="1"/>
  <c r="W613" i="16"/>
  <c r="AC613" i="16" s="1"/>
  <c r="V613" i="16"/>
  <c r="AB613" i="16" s="1"/>
  <c r="X612" i="16"/>
  <c r="AD612" i="16" s="1"/>
  <c r="W612" i="16"/>
  <c r="AC612" i="16" s="1"/>
  <c r="V612" i="16"/>
  <c r="AB612" i="16" s="1"/>
  <c r="X611" i="16"/>
  <c r="AD611" i="16" s="1"/>
  <c r="W611" i="16"/>
  <c r="AC611" i="16" s="1"/>
  <c r="V611" i="16"/>
  <c r="AB611" i="16" s="1"/>
  <c r="X610" i="16"/>
  <c r="AD610" i="16" s="1"/>
  <c r="W610" i="16"/>
  <c r="AC610" i="16" s="1"/>
  <c r="V610" i="16"/>
  <c r="AB610" i="16" s="1"/>
  <c r="X609" i="16"/>
  <c r="AD609" i="16" s="1"/>
  <c r="W609" i="16"/>
  <c r="AC609" i="16" s="1"/>
  <c r="V609" i="16"/>
  <c r="AB609" i="16" s="1"/>
  <c r="X608" i="16"/>
  <c r="AD608" i="16" s="1"/>
  <c r="W608" i="16"/>
  <c r="AC608" i="16" s="1"/>
  <c r="V608" i="16"/>
  <c r="AB608" i="16" s="1"/>
  <c r="X607" i="16"/>
  <c r="AD607" i="16" s="1"/>
  <c r="W607" i="16"/>
  <c r="AC607" i="16" s="1"/>
  <c r="V607" i="16"/>
  <c r="AB607" i="16" s="1"/>
  <c r="X606" i="16"/>
  <c r="AD606" i="16" s="1"/>
  <c r="W606" i="16"/>
  <c r="AC606" i="16" s="1"/>
  <c r="V606" i="16"/>
  <c r="AB606" i="16" s="1"/>
  <c r="X605" i="16"/>
  <c r="AD605" i="16" s="1"/>
  <c r="W605" i="16"/>
  <c r="AC605" i="16" s="1"/>
  <c r="V605" i="16"/>
  <c r="AB605" i="16" s="1"/>
  <c r="X604" i="16"/>
  <c r="AD604" i="16" s="1"/>
  <c r="W604" i="16"/>
  <c r="AC604" i="16" s="1"/>
  <c r="V604" i="16"/>
  <c r="AB604" i="16" s="1"/>
  <c r="X603" i="16"/>
  <c r="AD603" i="16" s="1"/>
  <c r="W603" i="16"/>
  <c r="AC603" i="16" s="1"/>
  <c r="V603" i="16"/>
  <c r="AB603" i="16" s="1"/>
  <c r="X602" i="16"/>
  <c r="AD602" i="16" s="1"/>
  <c r="W602" i="16"/>
  <c r="AC602" i="16" s="1"/>
  <c r="V602" i="16"/>
  <c r="AB602" i="16" s="1"/>
  <c r="X601" i="16"/>
  <c r="AD601" i="16" s="1"/>
  <c r="W601" i="16"/>
  <c r="AC601" i="16" s="1"/>
  <c r="V601" i="16"/>
  <c r="AB601" i="16" s="1"/>
  <c r="X600" i="16"/>
  <c r="AD600" i="16" s="1"/>
  <c r="W600" i="16"/>
  <c r="AC600" i="16" s="1"/>
  <c r="V600" i="16"/>
  <c r="AB600" i="16" s="1"/>
  <c r="X599" i="16"/>
  <c r="AD599" i="16" s="1"/>
  <c r="W599" i="16"/>
  <c r="AC599" i="16" s="1"/>
  <c r="V599" i="16"/>
  <c r="AB599" i="16" s="1"/>
  <c r="X598" i="16"/>
  <c r="AD598" i="16" s="1"/>
  <c r="W598" i="16"/>
  <c r="AC598" i="16" s="1"/>
  <c r="V598" i="16"/>
  <c r="AB598" i="16" s="1"/>
  <c r="X597" i="16"/>
  <c r="AD597" i="16" s="1"/>
  <c r="W597" i="16"/>
  <c r="AC597" i="16" s="1"/>
  <c r="V597" i="16"/>
  <c r="AB597" i="16" s="1"/>
  <c r="X596" i="16"/>
  <c r="AD596" i="16" s="1"/>
  <c r="W596" i="16"/>
  <c r="AC596" i="16" s="1"/>
  <c r="V596" i="16"/>
  <c r="AB596" i="16" s="1"/>
  <c r="X595" i="16"/>
  <c r="AD595" i="16" s="1"/>
  <c r="W595" i="16"/>
  <c r="AC595" i="16" s="1"/>
  <c r="V595" i="16"/>
  <c r="AB595" i="16" s="1"/>
  <c r="X594" i="16"/>
  <c r="AD594" i="16" s="1"/>
  <c r="W594" i="16"/>
  <c r="AC594" i="16" s="1"/>
  <c r="V594" i="16"/>
  <c r="AB594" i="16" s="1"/>
  <c r="X593" i="16"/>
  <c r="AD593" i="16" s="1"/>
  <c r="W593" i="16"/>
  <c r="AC593" i="16" s="1"/>
  <c r="V593" i="16"/>
  <c r="AB593" i="16" s="1"/>
  <c r="V592" i="16"/>
  <c r="AB592" i="16" s="1"/>
  <c r="V591" i="16"/>
  <c r="AB591" i="16" s="1"/>
  <c r="V590" i="16"/>
  <c r="AB590" i="16" s="1"/>
  <c r="V589" i="16"/>
  <c r="AB589" i="16" s="1"/>
  <c r="V588" i="16"/>
  <c r="AB588" i="16" s="1"/>
  <c r="V587" i="16"/>
  <c r="AB587" i="16" s="1"/>
  <c r="V586" i="16"/>
  <c r="AB586" i="16" s="1"/>
  <c r="V585" i="16"/>
  <c r="AB585" i="16" s="1"/>
  <c r="V584" i="16"/>
  <c r="AB584" i="16" s="1"/>
  <c r="V583" i="16"/>
  <c r="AB583" i="16" s="1"/>
  <c r="V582" i="16"/>
  <c r="AB582" i="16" s="1"/>
  <c r="V581" i="16"/>
  <c r="AB581" i="16" s="1"/>
  <c r="X580" i="16"/>
  <c r="AD580" i="16" s="1"/>
  <c r="W580" i="16"/>
  <c r="AC580" i="16" s="1"/>
  <c r="X579" i="16"/>
  <c r="W579" i="16"/>
  <c r="AC579" i="16" s="1"/>
  <c r="X578" i="16"/>
  <c r="AD578" i="16" s="1"/>
  <c r="W578" i="16"/>
  <c r="AC578" i="16" s="1"/>
  <c r="X577" i="16"/>
  <c r="AD577" i="16" s="1"/>
  <c r="W577" i="16"/>
  <c r="AC577" i="16" s="1"/>
  <c r="X576" i="16"/>
  <c r="AD576" i="16" s="1"/>
  <c r="W576" i="16"/>
  <c r="AC576" i="16" s="1"/>
  <c r="X575" i="16"/>
  <c r="AD575" i="16" s="1"/>
  <c r="W575" i="16"/>
  <c r="AC575" i="16" s="1"/>
  <c r="X574" i="16"/>
  <c r="AD574" i="16" s="1"/>
  <c r="W574" i="16"/>
  <c r="AC574" i="16" s="1"/>
  <c r="X573" i="16"/>
  <c r="AD573" i="16" s="1"/>
  <c r="W573" i="16"/>
  <c r="AC573" i="16" s="1"/>
  <c r="X572" i="16"/>
  <c r="AD572" i="16" s="1"/>
  <c r="W572" i="16"/>
  <c r="AC572" i="16" s="1"/>
  <c r="X571" i="16"/>
  <c r="AD571" i="16" s="1"/>
  <c r="W571" i="16"/>
  <c r="AC571" i="16" s="1"/>
  <c r="X570" i="16"/>
  <c r="AD570" i="16" s="1"/>
  <c r="W570" i="16"/>
  <c r="AC570" i="16" s="1"/>
  <c r="X569" i="16"/>
  <c r="AD569" i="16" s="1"/>
  <c r="W569" i="16"/>
  <c r="AC569" i="16" s="1"/>
  <c r="V568" i="16"/>
  <c r="AB568" i="16" s="1"/>
  <c r="V567" i="16"/>
  <c r="AB567" i="16" s="1"/>
  <c r="V566" i="16"/>
  <c r="AB566" i="16" s="1"/>
  <c r="V565" i="16"/>
  <c r="AB565" i="16" s="1"/>
  <c r="V564" i="16"/>
  <c r="AB564" i="16" s="1"/>
  <c r="V563" i="16"/>
  <c r="AB563" i="16" s="1"/>
  <c r="V562" i="16"/>
  <c r="AB562" i="16" s="1"/>
  <c r="V561" i="16"/>
  <c r="AB561" i="16" s="1"/>
  <c r="V560" i="16"/>
  <c r="AB560" i="16" s="1"/>
  <c r="V559" i="16"/>
  <c r="AB559" i="16" s="1"/>
  <c r="V558" i="16"/>
  <c r="AB558" i="16" s="1"/>
  <c r="V557" i="16"/>
  <c r="AB557" i="16" s="1"/>
  <c r="V556" i="16"/>
  <c r="AB556" i="16" s="1"/>
  <c r="V555" i="16"/>
  <c r="AB555" i="16" s="1"/>
  <c r="V554" i="16"/>
  <c r="AB554" i="16" s="1"/>
  <c r="V553" i="16"/>
  <c r="AB553" i="16" s="1"/>
  <c r="V552" i="16"/>
  <c r="AB552" i="16" s="1"/>
  <c r="V551" i="16"/>
  <c r="AB551" i="16" s="1"/>
  <c r="V550" i="16"/>
  <c r="AB550" i="16" s="1"/>
  <c r="V549" i="16"/>
  <c r="AB549" i="16" s="1"/>
  <c r="V548" i="16"/>
  <c r="AB548" i="16" s="1"/>
  <c r="V547" i="16"/>
  <c r="AB547" i="16" s="1"/>
  <c r="V546" i="16"/>
  <c r="AB546" i="16" s="1"/>
  <c r="V545" i="16"/>
  <c r="AB545" i="16" s="1"/>
  <c r="X544" i="16"/>
  <c r="AD544" i="16" s="1"/>
  <c r="W544" i="16"/>
  <c r="AC544" i="16" s="1"/>
  <c r="X543" i="16"/>
  <c r="AD543" i="16" s="1"/>
  <c r="W543" i="16"/>
  <c r="AC543" i="16" s="1"/>
  <c r="X542" i="16"/>
  <c r="AD542" i="16" s="1"/>
  <c r="W542" i="16"/>
  <c r="AC542" i="16" s="1"/>
  <c r="X541" i="16"/>
  <c r="AD541" i="16" s="1"/>
  <c r="W541" i="16"/>
  <c r="AC541" i="16" s="1"/>
  <c r="X540" i="16"/>
  <c r="AD540" i="16" s="1"/>
  <c r="W540" i="16"/>
  <c r="AC540" i="16" s="1"/>
  <c r="X539" i="16"/>
  <c r="AD539" i="16" s="1"/>
  <c r="W539" i="16"/>
  <c r="AC539" i="16" s="1"/>
  <c r="X538" i="16"/>
  <c r="AD538" i="16" s="1"/>
  <c r="W538" i="16"/>
  <c r="AC538" i="16" s="1"/>
  <c r="X537" i="16"/>
  <c r="AD537" i="16" s="1"/>
  <c r="W537" i="16"/>
  <c r="AC537" i="16" s="1"/>
  <c r="X536" i="16"/>
  <c r="AD536" i="16" s="1"/>
  <c r="W536" i="16"/>
  <c r="AC536" i="16" s="1"/>
  <c r="X535" i="16"/>
  <c r="AD535" i="16" s="1"/>
  <c r="W535" i="16"/>
  <c r="AC535" i="16" s="1"/>
  <c r="X534" i="16"/>
  <c r="AD534" i="16" s="1"/>
  <c r="W534" i="16"/>
  <c r="AC534" i="16" s="1"/>
  <c r="X533" i="16"/>
  <c r="AD533" i="16" s="1"/>
  <c r="W533" i="16"/>
  <c r="AC533" i="16" s="1"/>
  <c r="V532" i="16"/>
  <c r="AB532" i="16" s="1"/>
  <c r="V531" i="16"/>
  <c r="AB531" i="16" s="1"/>
  <c r="V530" i="16"/>
  <c r="AB530" i="16" s="1"/>
  <c r="V529" i="16"/>
  <c r="AB529" i="16" s="1"/>
  <c r="V528" i="16"/>
  <c r="AB528" i="16" s="1"/>
  <c r="V527" i="16"/>
  <c r="AB527" i="16" s="1"/>
  <c r="V526" i="16"/>
  <c r="V525" i="16"/>
  <c r="AB525" i="16" s="1"/>
  <c r="V524" i="16"/>
  <c r="AB524" i="16" s="1"/>
  <c r="V523" i="16"/>
  <c r="AB523" i="16" s="1"/>
  <c r="V522" i="16"/>
  <c r="AB522" i="16" s="1"/>
  <c r="V521" i="16"/>
  <c r="AB521" i="16" s="1"/>
  <c r="X520" i="16"/>
  <c r="AD520" i="16" s="1"/>
  <c r="W520" i="16"/>
  <c r="AC520" i="16" s="1"/>
  <c r="V520" i="16"/>
  <c r="AB520" i="16" s="1"/>
  <c r="X519" i="16"/>
  <c r="AD519" i="16" s="1"/>
  <c r="W519" i="16"/>
  <c r="AC519" i="16" s="1"/>
  <c r="V519" i="16"/>
  <c r="AB519" i="16" s="1"/>
  <c r="X518" i="16"/>
  <c r="AD518" i="16" s="1"/>
  <c r="W518" i="16"/>
  <c r="AC518" i="16" s="1"/>
  <c r="V518" i="16"/>
  <c r="AB518" i="16" s="1"/>
  <c r="X517" i="16"/>
  <c r="AD517" i="16" s="1"/>
  <c r="W517" i="16"/>
  <c r="AC517" i="16" s="1"/>
  <c r="V517" i="16"/>
  <c r="AB517" i="16" s="1"/>
  <c r="X516" i="16"/>
  <c r="AD516" i="16" s="1"/>
  <c r="W516" i="16"/>
  <c r="AC516" i="16" s="1"/>
  <c r="V516" i="16"/>
  <c r="AB516" i="16" s="1"/>
  <c r="X515" i="16"/>
  <c r="AD515" i="16" s="1"/>
  <c r="W515" i="16"/>
  <c r="AC515" i="16" s="1"/>
  <c r="V515" i="16"/>
  <c r="AB515" i="16" s="1"/>
  <c r="X514" i="16"/>
  <c r="AD514" i="16" s="1"/>
  <c r="W514" i="16"/>
  <c r="AC514" i="16" s="1"/>
  <c r="V514" i="16"/>
  <c r="AB514" i="16" s="1"/>
  <c r="X513" i="16"/>
  <c r="AD513" i="16" s="1"/>
  <c r="W513" i="16"/>
  <c r="AC513" i="16" s="1"/>
  <c r="V513" i="16"/>
  <c r="AB513" i="16" s="1"/>
  <c r="X512" i="16"/>
  <c r="AD512" i="16" s="1"/>
  <c r="W512" i="16"/>
  <c r="AC512" i="16" s="1"/>
  <c r="V512" i="16"/>
  <c r="AB512" i="16" s="1"/>
  <c r="X511" i="16"/>
  <c r="AD511" i="16" s="1"/>
  <c r="W511" i="16"/>
  <c r="AC511" i="16" s="1"/>
  <c r="V511" i="16"/>
  <c r="X510" i="16"/>
  <c r="AD510" i="16" s="1"/>
  <c r="W510" i="16"/>
  <c r="AC510" i="16" s="1"/>
  <c r="V510" i="16"/>
  <c r="AB510" i="16" s="1"/>
  <c r="X509" i="16"/>
  <c r="AD509" i="16" s="1"/>
  <c r="W509" i="16"/>
  <c r="AC509" i="16" s="1"/>
  <c r="V509" i="16"/>
  <c r="AB509" i="16" s="1"/>
  <c r="X508" i="16"/>
  <c r="AD508" i="16" s="1"/>
  <c r="W508" i="16"/>
  <c r="AC508" i="16" s="1"/>
  <c r="V508" i="16"/>
  <c r="AB508" i="16" s="1"/>
  <c r="X507" i="16"/>
  <c r="AD507" i="16" s="1"/>
  <c r="W507" i="16"/>
  <c r="AC507" i="16" s="1"/>
  <c r="V507" i="16"/>
  <c r="AB507" i="16" s="1"/>
  <c r="X506" i="16"/>
  <c r="AD506" i="16" s="1"/>
  <c r="W506" i="16"/>
  <c r="AC506" i="16" s="1"/>
  <c r="V506" i="16"/>
  <c r="AB506" i="16" s="1"/>
  <c r="X505" i="16"/>
  <c r="AD505" i="16" s="1"/>
  <c r="W505" i="16"/>
  <c r="AC505" i="16" s="1"/>
  <c r="V505" i="16"/>
  <c r="AB505" i="16" s="1"/>
  <c r="X504" i="16"/>
  <c r="AD504" i="16" s="1"/>
  <c r="W504" i="16"/>
  <c r="AC504" i="16" s="1"/>
  <c r="V504" i="16"/>
  <c r="AB504" i="16" s="1"/>
  <c r="X503" i="16"/>
  <c r="AD503" i="16" s="1"/>
  <c r="W503" i="16"/>
  <c r="AC503" i="16" s="1"/>
  <c r="V503" i="16"/>
  <c r="AB503" i="16" s="1"/>
  <c r="X502" i="16"/>
  <c r="AD502" i="16" s="1"/>
  <c r="W502" i="16"/>
  <c r="AC502" i="16" s="1"/>
  <c r="V502" i="16"/>
  <c r="AB502" i="16" s="1"/>
  <c r="X501" i="16"/>
  <c r="AD501" i="16" s="1"/>
  <c r="W501" i="16"/>
  <c r="AC501" i="16" s="1"/>
  <c r="V501" i="16"/>
  <c r="AB501" i="16" s="1"/>
  <c r="X500" i="16"/>
  <c r="AD500" i="16" s="1"/>
  <c r="W500" i="16"/>
  <c r="AC500" i="16" s="1"/>
  <c r="V500" i="16"/>
  <c r="AB500" i="16" s="1"/>
  <c r="X499" i="16"/>
  <c r="AD499" i="16" s="1"/>
  <c r="W499" i="16"/>
  <c r="AC499" i="16" s="1"/>
  <c r="V499" i="16"/>
  <c r="AB499" i="16" s="1"/>
  <c r="X498" i="16"/>
  <c r="AD498" i="16" s="1"/>
  <c r="W498" i="16"/>
  <c r="AC498" i="16" s="1"/>
  <c r="V498" i="16"/>
  <c r="AB498" i="16" s="1"/>
  <c r="X497" i="16"/>
  <c r="AD497" i="16" s="1"/>
  <c r="W497" i="16"/>
  <c r="AC497" i="16" s="1"/>
  <c r="V497" i="16"/>
  <c r="AB497" i="16" s="1"/>
  <c r="X496" i="16"/>
  <c r="AD496" i="16" s="1"/>
  <c r="W496" i="16"/>
  <c r="AC496" i="16" s="1"/>
  <c r="V496" i="16"/>
  <c r="AB496" i="16" s="1"/>
  <c r="X495" i="16"/>
  <c r="AD495" i="16" s="1"/>
  <c r="W495" i="16"/>
  <c r="AC495" i="16" s="1"/>
  <c r="V495" i="16"/>
  <c r="AB495" i="16" s="1"/>
  <c r="X494" i="16"/>
  <c r="W494" i="16"/>
  <c r="AC494" i="16" s="1"/>
  <c r="V494" i="16"/>
  <c r="AB494" i="16" s="1"/>
  <c r="X493" i="16"/>
  <c r="AD493" i="16" s="1"/>
  <c r="W493" i="16"/>
  <c r="AC493" i="16" s="1"/>
  <c r="V493" i="16"/>
  <c r="AB493" i="16" s="1"/>
  <c r="X492" i="16"/>
  <c r="AD492" i="16" s="1"/>
  <c r="W492" i="16"/>
  <c r="AC492" i="16" s="1"/>
  <c r="V492" i="16"/>
  <c r="X491" i="16"/>
  <c r="AD491" i="16" s="1"/>
  <c r="W491" i="16"/>
  <c r="AC491" i="16" s="1"/>
  <c r="V491" i="16"/>
  <c r="AB491" i="16" s="1"/>
  <c r="X490" i="16"/>
  <c r="AD490" i="16" s="1"/>
  <c r="W490" i="16"/>
  <c r="AC490" i="16" s="1"/>
  <c r="V490" i="16"/>
  <c r="X489" i="16"/>
  <c r="AD489" i="16" s="1"/>
  <c r="W489" i="16"/>
  <c r="AC489" i="16" s="1"/>
  <c r="V489" i="16"/>
  <c r="AB489" i="16" s="1"/>
  <c r="X488" i="16"/>
  <c r="AD488" i="16" s="1"/>
  <c r="W488" i="16"/>
  <c r="AC488" i="16" s="1"/>
  <c r="V488" i="16"/>
  <c r="X487" i="16"/>
  <c r="AD487" i="16" s="1"/>
  <c r="W487" i="16"/>
  <c r="AC487" i="16" s="1"/>
  <c r="V487" i="16"/>
  <c r="AB487" i="16" s="1"/>
  <c r="X486" i="16"/>
  <c r="AD486" i="16" s="1"/>
  <c r="W486" i="16"/>
  <c r="AC486" i="16" s="1"/>
  <c r="V486" i="16"/>
  <c r="AB486" i="16" s="1"/>
  <c r="X485" i="16"/>
  <c r="AD485" i="16" s="1"/>
  <c r="W485" i="16"/>
  <c r="AC485" i="16" s="1"/>
  <c r="V485" i="16"/>
  <c r="AB485" i="16" s="1"/>
  <c r="X484" i="16"/>
  <c r="AD484" i="16" s="1"/>
  <c r="W484" i="16"/>
  <c r="AC484" i="16" s="1"/>
  <c r="V484" i="16"/>
  <c r="AB484" i="16" s="1"/>
  <c r="X483" i="16"/>
  <c r="AD483" i="16" s="1"/>
  <c r="W483" i="16"/>
  <c r="AC483" i="16" s="1"/>
  <c r="V483" i="16"/>
  <c r="X482" i="16"/>
  <c r="AD482" i="16" s="1"/>
  <c r="W482" i="16"/>
  <c r="AC482" i="16" s="1"/>
  <c r="V482" i="16"/>
  <c r="AB482" i="16" s="1"/>
  <c r="X481" i="16"/>
  <c r="AD481" i="16" s="1"/>
  <c r="W481" i="16"/>
  <c r="AC481" i="16" s="1"/>
  <c r="V481" i="16"/>
  <c r="AB481" i="16" s="1"/>
  <c r="X480" i="16"/>
  <c r="AD480" i="16" s="1"/>
  <c r="W480" i="16"/>
  <c r="AC480" i="16" s="1"/>
  <c r="V480" i="16"/>
  <c r="AB480" i="16" s="1"/>
  <c r="X479" i="16"/>
  <c r="AD479" i="16" s="1"/>
  <c r="W479" i="16"/>
  <c r="AC479" i="16" s="1"/>
  <c r="V479" i="16"/>
  <c r="AB479" i="16" s="1"/>
  <c r="X478" i="16"/>
  <c r="AD478" i="16" s="1"/>
  <c r="W478" i="16"/>
  <c r="AC478" i="16" s="1"/>
  <c r="V478" i="16"/>
  <c r="AB478" i="16" s="1"/>
  <c r="X477" i="16"/>
  <c r="AD477" i="16" s="1"/>
  <c r="W477" i="16"/>
  <c r="AC477" i="16" s="1"/>
  <c r="V477" i="16"/>
  <c r="AB477" i="16" s="1"/>
  <c r="X476" i="16"/>
  <c r="AD476" i="16" s="1"/>
  <c r="W476" i="16"/>
  <c r="AC476" i="16" s="1"/>
  <c r="V476" i="16"/>
  <c r="AB476" i="16" s="1"/>
  <c r="X475" i="16"/>
  <c r="AD475" i="16" s="1"/>
  <c r="W475" i="16"/>
  <c r="AC475" i="16" s="1"/>
  <c r="V475" i="16"/>
  <c r="AB475" i="16" s="1"/>
  <c r="X474" i="16"/>
  <c r="AD474" i="16" s="1"/>
  <c r="W474" i="16"/>
  <c r="AC474" i="16" s="1"/>
  <c r="V474" i="16"/>
  <c r="AB474" i="16" s="1"/>
  <c r="X473" i="16"/>
  <c r="AD473" i="16" s="1"/>
  <c r="W473" i="16"/>
  <c r="AC473" i="16" s="1"/>
  <c r="V473" i="16"/>
  <c r="AB473" i="16" s="1"/>
  <c r="X472" i="16"/>
  <c r="AD472" i="16" s="1"/>
  <c r="W472" i="16"/>
  <c r="AC472" i="16" s="1"/>
  <c r="V472" i="16"/>
  <c r="AB472" i="16" s="1"/>
  <c r="X471" i="16"/>
  <c r="AD471" i="16" s="1"/>
  <c r="W471" i="16"/>
  <c r="AC471" i="16" s="1"/>
  <c r="V471" i="16"/>
  <c r="AB471" i="16" s="1"/>
  <c r="X470" i="16"/>
  <c r="AD470" i="16" s="1"/>
  <c r="W470" i="16"/>
  <c r="AC470" i="16" s="1"/>
  <c r="V470" i="16"/>
  <c r="AB470" i="16" s="1"/>
  <c r="X469" i="16"/>
  <c r="AD469" i="16" s="1"/>
  <c r="W469" i="16"/>
  <c r="AC469" i="16" s="1"/>
  <c r="V469" i="16"/>
  <c r="AB469" i="16" s="1"/>
  <c r="X468" i="16"/>
  <c r="AD468" i="16" s="1"/>
  <c r="W468" i="16"/>
  <c r="AC468" i="16" s="1"/>
  <c r="V468" i="16"/>
  <c r="X467" i="16"/>
  <c r="AD467" i="16" s="1"/>
  <c r="W467" i="16"/>
  <c r="AC467" i="16" s="1"/>
  <c r="V467" i="16"/>
  <c r="AB467" i="16" s="1"/>
  <c r="X466" i="16"/>
  <c r="AD466" i="16" s="1"/>
  <c r="W466" i="16"/>
  <c r="AC466" i="16" s="1"/>
  <c r="V466" i="16"/>
  <c r="AB466" i="16" s="1"/>
  <c r="X465" i="16"/>
  <c r="AD465" i="16" s="1"/>
  <c r="W465" i="16"/>
  <c r="AC465" i="16" s="1"/>
  <c r="V465" i="16"/>
  <c r="AB465" i="16" s="1"/>
  <c r="X464" i="16"/>
  <c r="AD464" i="16" s="1"/>
  <c r="W464" i="16"/>
  <c r="AC464" i="16" s="1"/>
  <c r="V464" i="16"/>
  <c r="AB464" i="16" s="1"/>
  <c r="X463" i="16"/>
  <c r="AD463" i="16" s="1"/>
  <c r="W463" i="16"/>
  <c r="AC463" i="16" s="1"/>
  <c r="V463" i="16"/>
  <c r="AB463" i="16" s="1"/>
  <c r="X462" i="16"/>
  <c r="AD462" i="16" s="1"/>
  <c r="W462" i="16"/>
  <c r="AC462" i="16" s="1"/>
  <c r="V462" i="16"/>
  <c r="AB462" i="16" s="1"/>
  <c r="X461" i="16"/>
  <c r="AD461" i="16" s="1"/>
  <c r="W461" i="16"/>
  <c r="AC461" i="16" s="1"/>
  <c r="V461" i="16"/>
  <c r="AB461" i="16" s="1"/>
  <c r="X460" i="16"/>
  <c r="AD460" i="16" s="1"/>
  <c r="W460" i="16"/>
  <c r="AC460" i="16" s="1"/>
  <c r="V460" i="16"/>
  <c r="AB460" i="16" s="1"/>
  <c r="X459" i="16"/>
  <c r="AD459" i="16" s="1"/>
  <c r="W459" i="16"/>
  <c r="AC459" i="16" s="1"/>
  <c r="V459" i="16"/>
  <c r="AB459" i="16" s="1"/>
  <c r="X458" i="16"/>
  <c r="AD458" i="16" s="1"/>
  <c r="W458" i="16"/>
  <c r="AC458" i="16" s="1"/>
  <c r="V458" i="16"/>
  <c r="AB458" i="16" s="1"/>
  <c r="X457" i="16"/>
  <c r="AD457" i="16" s="1"/>
  <c r="W457" i="16"/>
  <c r="V457" i="16"/>
  <c r="AB457" i="16" s="1"/>
  <c r="X456" i="16"/>
  <c r="AD456" i="16" s="1"/>
  <c r="W456" i="16"/>
  <c r="AC456" i="16" s="1"/>
  <c r="V456" i="16"/>
  <c r="AB456" i="16" s="1"/>
  <c r="X455" i="16"/>
  <c r="AD455" i="16" s="1"/>
  <c r="W455" i="16"/>
  <c r="AC455" i="16" s="1"/>
  <c r="V455" i="16"/>
  <c r="AB455" i="16" s="1"/>
  <c r="X454" i="16"/>
  <c r="AD454" i="16" s="1"/>
  <c r="W454" i="16"/>
  <c r="AC454" i="16" s="1"/>
  <c r="V454" i="16"/>
  <c r="AB454" i="16" s="1"/>
  <c r="X453" i="16"/>
  <c r="AD453" i="16" s="1"/>
  <c r="W453" i="16"/>
  <c r="AC453" i="16" s="1"/>
  <c r="V453" i="16"/>
  <c r="AB453" i="16" s="1"/>
  <c r="X452" i="16"/>
  <c r="AD452" i="16" s="1"/>
  <c r="W452" i="16"/>
  <c r="AC452" i="16" s="1"/>
  <c r="V452" i="16"/>
  <c r="AB452" i="16" s="1"/>
  <c r="X451" i="16"/>
  <c r="AD451" i="16" s="1"/>
  <c r="W451" i="16"/>
  <c r="AC451" i="16" s="1"/>
  <c r="V451" i="16"/>
  <c r="AB451" i="16" s="1"/>
  <c r="X450" i="16"/>
  <c r="AD450" i="16" s="1"/>
  <c r="W450" i="16"/>
  <c r="AC450" i="16" s="1"/>
  <c r="V450" i="16"/>
  <c r="AB450" i="16" s="1"/>
  <c r="X449" i="16"/>
  <c r="AD449" i="16" s="1"/>
  <c r="W449" i="16"/>
  <c r="AC449" i="16" s="1"/>
  <c r="V449" i="16"/>
  <c r="AB449" i="16" s="1"/>
  <c r="X448" i="16"/>
  <c r="AD448" i="16" s="1"/>
  <c r="W448" i="16"/>
  <c r="AC448" i="16" s="1"/>
  <c r="V448" i="16"/>
  <c r="X447" i="16"/>
  <c r="AD447" i="16" s="1"/>
  <c r="W447" i="16"/>
  <c r="AC447" i="16" s="1"/>
  <c r="V447" i="16"/>
  <c r="AB447" i="16" s="1"/>
  <c r="X446" i="16"/>
  <c r="AD446" i="16" s="1"/>
  <c r="W446" i="16"/>
  <c r="AC446" i="16" s="1"/>
  <c r="V446" i="16"/>
  <c r="AB446" i="16" s="1"/>
  <c r="X445" i="16"/>
  <c r="AD445" i="16" s="1"/>
  <c r="W445" i="16"/>
  <c r="AC445" i="16" s="1"/>
  <c r="V445" i="16"/>
  <c r="AB445" i="16" s="1"/>
  <c r="X444" i="16"/>
  <c r="AD444" i="16" s="1"/>
  <c r="W444" i="16"/>
  <c r="AC444" i="16" s="1"/>
  <c r="V444" i="16"/>
  <c r="AB444" i="16" s="1"/>
  <c r="X443" i="16"/>
  <c r="W443" i="16"/>
  <c r="AC443" i="16" s="1"/>
  <c r="V443" i="16"/>
  <c r="AB443" i="16" s="1"/>
  <c r="X442" i="16"/>
  <c r="AD442" i="16" s="1"/>
  <c r="W442" i="16"/>
  <c r="AC442" i="16" s="1"/>
  <c r="V442" i="16"/>
  <c r="AB442" i="16" s="1"/>
  <c r="X441" i="16"/>
  <c r="W441" i="16"/>
  <c r="AC441" i="16" s="1"/>
  <c r="V441" i="16"/>
  <c r="AB441" i="16" s="1"/>
  <c r="X440" i="16"/>
  <c r="AD440" i="16" s="1"/>
  <c r="W440" i="16"/>
  <c r="AC440" i="16" s="1"/>
  <c r="V440" i="16"/>
  <c r="AB440" i="16" s="1"/>
  <c r="X439" i="16"/>
  <c r="AD439" i="16" s="1"/>
  <c r="W439" i="16"/>
  <c r="AC439" i="16" s="1"/>
  <c r="V439" i="16"/>
  <c r="AB439" i="16" s="1"/>
  <c r="X438" i="16"/>
  <c r="W438" i="16"/>
  <c r="AC438" i="16" s="1"/>
  <c r="V438" i="16"/>
  <c r="AB438" i="16" s="1"/>
  <c r="X437" i="16"/>
  <c r="AD437" i="16" s="1"/>
  <c r="W437" i="16"/>
  <c r="AC437" i="16" s="1"/>
  <c r="V437" i="16"/>
  <c r="AB437" i="16" s="1"/>
  <c r="X436" i="16"/>
  <c r="AD436" i="16" s="1"/>
  <c r="W436" i="16"/>
  <c r="AC436" i="16" s="1"/>
  <c r="V436" i="16"/>
  <c r="AB436" i="16" s="1"/>
  <c r="X435" i="16"/>
  <c r="AD435" i="16" s="1"/>
  <c r="W435" i="16"/>
  <c r="AC435" i="16" s="1"/>
  <c r="V435" i="16"/>
  <c r="AB435" i="16" s="1"/>
  <c r="X434" i="16"/>
  <c r="AD434" i="16" s="1"/>
  <c r="W434" i="16"/>
  <c r="AC434" i="16" s="1"/>
  <c r="V434" i="16"/>
  <c r="AB434" i="16" s="1"/>
  <c r="X433" i="16"/>
  <c r="W433" i="16"/>
  <c r="AC433" i="16" s="1"/>
  <c r="V433" i="16"/>
  <c r="AB433" i="16" s="1"/>
  <c r="X432" i="16"/>
  <c r="AD432" i="16" s="1"/>
  <c r="W432" i="16"/>
  <c r="AC432" i="16" s="1"/>
  <c r="V432" i="16"/>
  <c r="AB432" i="16" s="1"/>
  <c r="X431" i="16"/>
  <c r="AD431" i="16" s="1"/>
  <c r="W431" i="16"/>
  <c r="V431" i="16"/>
  <c r="AB431" i="16" s="1"/>
  <c r="X430" i="16"/>
  <c r="AD430" i="16" s="1"/>
  <c r="W430" i="16"/>
  <c r="AC430" i="16" s="1"/>
  <c r="V430" i="16"/>
  <c r="AB430" i="16" s="1"/>
  <c r="X429" i="16"/>
  <c r="AD429" i="16" s="1"/>
  <c r="W429" i="16"/>
  <c r="AC429" i="16" s="1"/>
  <c r="V429" i="16"/>
  <c r="AB429" i="16" s="1"/>
  <c r="X428" i="16"/>
  <c r="AD428" i="16" s="1"/>
  <c r="W428" i="16"/>
  <c r="AC428" i="16" s="1"/>
  <c r="V428" i="16"/>
  <c r="AB428" i="16" s="1"/>
  <c r="X427" i="16"/>
  <c r="AD427" i="16" s="1"/>
  <c r="W427" i="16"/>
  <c r="AC427" i="16" s="1"/>
  <c r="V427" i="16"/>
  <c r="AB427" i="16" s="1"/>
  <c r="X426" i="16"/>
  <c r="AD426" i="16" s="1"/>
  <c r="W426" i="16"/>
  <c r="AC426" i="16" s="1"/>
  <c r="V426" i="16"/>
  <c r="AB426" i="16" s="1"/>
  <c r="X425" i="16"/>
  <c r="AD425" i="16" s="1"/>
  <c r="W425" i="16"/>
  <c r="AC425" i="16" s="1"/>
  <c r="V425" i="16"/>
  <c r="AB425" i="16" s="1"/>
  <c r="X424" i="16"/>
  <c r="AD424" i="16" s="1"/>
  <c r="W424" i="16"/>
  <c r="AC424" i="16" s="1"/>
  <c r="V424" i="16"/>
  <c r="AB424" i="16" s="1"/>
  <c r="X423" i="16"/>
  <c r="AD423" i="16" s="1"/>
  <c r="W423" i="16"/>
  <c r="V423" i="16"/>
  <c r="AB423" i="16" s="1"/>
  <c r="X422" i="16"/>
  <c r="AD422" i="16" s="1"/>
  <c r="W422" i="16"/>
  <c r="AC422" i="16" s="1"/>
  <c r="V422" i="16"/>
  <c r="AB422" i="16" s="1"/>
  <c r="X421" i="16"/>
  <c r="AD421" i="16" s="1"/>
  <c r="W421" i="16"/>
  <c r="AC421" i="16" s="1"/>
  <c r="V421" i="16"/>
  <c r="AB421" i="16" s="1"/>
  <c r="X420" i="16"/>
  <c r="AD420" i="16" s="1"/>
  <c r="W420" i="16"/>
  <c r="AC420" i="16" s="1"/>
  <c r="V420" i="16"/>
  <c r="AB420" i="16" s="1"/>
  <c r="X419" i="16"/>
  <c r="AD419" i="16" s="1"/>
  <c r="W419" i="16"/>
  <c r="AC419" i="16" s="1"/>
  <c r="V419" i="16"/>
  <c r="AB419" i="16" s="1"/>
  <c r="X418" i="16"/>
  <c r="AD418" i="16" s="1"/>
  <c r="W418" i="16"/>
  <c r="AC418" i="16" s="1"/>
  <c r="V418" i="16"/>
  <c r="AB418" i="16" s="1"/>
  <c r="X417" i="16"/>
  <c r="AD417" i="16" s="1"/>
  <c r="W417" i="16"/>
  <c r="AC417" i="16" s="1"/>
  <c r="V417" i="16"/>
  <c r="AB417" i="16" s="1"/>
  <c r="X416" i="16"/>
  <c r="AD416" i="16" s="1"/>
  <c r="W416" i="16"/>
  <c r="AC416" i="16" s="1"/>
  <c r="V416" i="16"/>
  <c r="AB416" i="16" s="1"/>
  <c r="X415" i="16"/>
  <c r="AD415" i="16" s="1"/>
  <c r="W415" i="16"/>
  <c r="AC415" i="16" s="1"/>
  <c r="V415" i="16"/>
  <c r="AB415" i="16" s="1"/>
  <c r="X414" i="16"/>
  <c r="AD414" i="16" s="1"/>
  <c r="W414" i="16"/>
  <c r="AC414" i="16" s="1"/>
  <c r="V414" i="16"/>
  <c r="AB414" i="16" s="1"/>
  <c r="X413" i="16"/>
  <c r="AD413" i="16" s="1"/>
  <c r="W413" i="16"/>
  <c r="AC413" i="16" s="1"/>
  <c r="V413" i="16"/>
  <c r="AB413" i="16" s="1"/>
  <c r="X412" i="16"/>
  <c r="AD412" i="16" s="1"/>
  <c r="W412" i="16"/>
  <c r="AC412" i="16" s="1"/>
  <c r="V412" i="16"/>
  <c r="AB412" i="16" s="1"/>
  <c r="X411" i="16"/>
  <c r="AD411" i="16" s="1"/>
  <c r="W411" i="16"/>
  <c r="AC411" i="16" s="1"/>
  <c r="V411" i="16"/>
  <c r="AB411" i="16" s="1"/>
  <c r="X410" i="16"/>
  <c r="AD410" i="16" s="1"/>
  <c r="W410" i="16"/>
  <c r="AC410" i="16" s="1"/>
  <c r="V410" i="16"/>
  <c r="AB410" i="16" s="1"/>
  <c r="X409" i="16"/>
  <c r="AD409" i="16" s="1"/>
  <c r="W409" i="16"/>
  <c r="AC409" i="16" s="1"/>
  <c r="V409" i="16"/>
  <c r="AB409" i="16" s="1"/>
  <c r="X408" i="16"/>
  <c r="AD408" i="16" s="1"/>
  <c r="W408" i="16"/>
  <c r="AC408" i="16" s="1"/>
  <c r="V408" i="16"/>
  <c r="AB408" i="16" s="1"/>
  <c r="X407" i="16"/>
  <c r="AD407" i="16" s="1"/>
  <c r="W407" i="16"/>
  <c r="AC407" i="16" s="1"/>
  <c r="V407" i="16"/>
  <c r="AB407" i="16" s="1"/>
  <c r="X406" i="16"/>
  <c r="AD406" i="16" s="1"/>
  <c r="W406" i="16"/>
  <c r="AC406" i="16" s="1"/>
  <c r="V406" i="16"/>
  <c r="AB406" i="16" s="1"/>
  <c r="X405" i="16"/>
  <c r="AD405" i="16" s="1"/>
  <c r="W405" i="16"/>
  <c r="AC405" i="16" s="1"/>
  <c r="V405" i="16"/>
  <c r="AB405" i="16" s="1"/>
  <c r="X404" i="16"/>
  <c r="W404" i="16"/>
  <c r="AC404" i="16" s="1"/>
  <c r="V404" i="16"/>
  <c r="AB404" i="16" s="1"/>
  <c r="X403" i="16"/>
  <c r="AD403" i="16" s="1"/>
  <c r="W403" i="16"/>
  <c r="AC403" i="16" s="1"/>
  <c r="V403" i="16"/>
  <c r="AB403" i="16" s="1"/>
  <c r="X402" i="16"/>
  <c r="W402" i="16"/>
  <c r="AC402" i="16" s="1"/>
  <c r="V402" i="16"/>
  <c r="AB402" i="16" s="1"/>
  <c r="X401" i="16"/>
  <c r="AD401" i="16" s="1"/>
  <c r="W401" i="16"/>
  <c r="AC401" i="16" s="1"/>
  <c r="V401" i="16"/>
  <c r="AB401" i="16" s="1"/>
  <c r="X400" i="16"/>
  <c r="W400" i="16"/>
  <c r="AC400" i="16" s="1"/>
  <c r="V400" i="16"/>
  <c r="AB400" i="16" s="1"/>
  <c r="X399" i="16"/>
  <c r="AD399" i="16" s="1"/>
  <c r="W399" i="16"/>
  <c r="AC399" i="16" s="1"/>
  <c r="V399" i="16"/>
  <c r="AB399" i="16" s="1"/>
  <c r="X398" i="16"/>
  <c r="AD398" i="16" s="1"/>
  <c r="W398" i="16"/>
  <c r="AC398" i="16" s="1"/>
  <c r="V398" i="16"/>
  <c r="X397" i="16"/>
  <c r="AD397" i="16" s="1"/>
  <c r="W397" i="16"/>
  <c r="AC397" i="16" s="1"/>
  <c r="V397" i="16"/>
  <c r="AB397" i="16" s="1"/>
  <c r="X396" i="16"/>
  <c r="AD396" i="16" s="1"/>
  <c r="W396" i="16"/>
  <c r="V396" i="16"/>
  <c r="AB396" i="16" s="1"/>
  <c r="X395" i="16"/>
  <c r="AD395" i="16" s="1"/>
  <c r="W395" i="16"/>
  <c r="AC395" i="16" s="1"/>
  <c r="V395" i="16"/>
  <c r="AB395" i="16" s="1"/>
  <c r="X394" i="16"/>
  <c r="AD394" i="16" s="1"/>
  <c r="W394" i="16"/>
  <c r="AC394" i="16" s="1"/>
  <c r="V394" i="16"/>
  <c r="X393" i="16"/>
  <c r="AD393" i="16" s="1"/>
  <c r="W393" i="16"/>
  <c r="AC393" i="16" s="1"/>
  <c r="V393" i="16"/>
  <c r="AB393" i="16" s="1"/>
  <c r="X392" i="16"/>
  <c r="AD392" i="16" s="1"/>
  <c r="W392" i="16"/>
  <c r="AC392" i="16" s="1"/>
  <c r="V392" i="16"/>
  <c r="AB392" i="16" s="1"/>
  <c r="X391" i="16"/>
  <c r="AD391" i="16" s="1"/>
  <c r="W391" i="16"/>
  <c r="AC391" i="16" s="1"/>
  <c r="V391" i="16"/>
  <c r="AB391" i="16" s="1"/>
  <c r="X390" i="16"/>
  <c r="AD390" i="16" s="1"/>
  <c r="W390" i="16"/>
  <c r="AC390" i="16" s="1"/>
  <c r="V390" i="16"/>
  <c r="AB390" i="16" s="1"/>
  <c r="X389" i="16"/>
  <c r="AD389" i="16" s="1"/>
  <c r="W389" i="16"/>
  <c r="AC389" i="16" s="1"/>
  <c r="V389" i="16"/>
  <c r="AB389" i="16" s="1"/>
  <c r="X388" i="16"/>
  <c r="AD388" i="16" s="1"/>
  <c r="W388" i="16"/>
  <c r="AC388" i="16" s="1"/>
  <c r="V388" i="16"/>
  <c r="X387" i="16"/>
  <c r="AD387" i="16" s="1"/>
  <c r="W387" i="16"/>
  <c r="AC387" i="16" s="1"/>
  <c r="V387" i="16"/>
  <c r="AB387" i="16" s="1"/>
  <c r="X386" i="16"/>
  <c r="AD386" i="16" s="1"/>
  <c r="W386" i="16"/>
  <c r="AC386" i="16" s="1"/>
  <c r="V386" i="16"/>
  <c r="AB386" i="16" s="1"/>
  <c r="X385" i="16"/>
  <c r="AD385" i="16" s="1"/>
  <c r="W385" i="16"/>
  <c r="AC385" i="16" s="1"/>
  <c r="V385" i="16"/>
  <c r="AB385" i="16" s="1"/>
  <c r="X384" i="16"/>
  <c r="AD384" i="16" s="1"/>
  <c r="W384" i="16"/>
  <c r="AC384" i="16" s="1"/>
  <c r="V384" i="16"/>
  <c r="AB384" i="16" s="1"/>
  <c r="X383" i="16"/>
  <c r="AD383" i="16" s="1"/>
  <c r="W383" i="16"/>
  <c r="AC383" i="16" s="1"/>
  <c r="V383" i="16"/>
  <c r="X382" i="16"/>
  <c r="AD382" i="16" s="1"/>
  <c r="W382" i="16"/>
  <c r="AC382" i="16" s="1"/>
  <c r="V382" i="16"/>
  <c r="AB382" i="16" s="1"/>
  <c r="X381" i="16"/>
  <c r="AD381" i="16" s="1"/>
  <c r="W381" i="16"/>
  <c r="AC381" i="16" s="1"/>
  <c r="V381" i="16"/>
  <c r="AB381" i="16" s="1"/>
  <c r="X380" i="16"/>
  <c r="AD380" i="16" s="1"/>
  <c r="W380" i="16"/>
  <c r="AC380" i="16" s="1"/>
  <c r="V380" i="16"/>
  <c r="AB380" i="16" s="1"/>
  <c r="X379" i="16"/>
  <c r="AD379" i="16" s="1"/>
  <c r="W379" i="16"/>
  <c r="AC379" i="16" s="1"/>
  <c r="V379" i="16"/>
  <c r="AB379" i="16" s="1"/>
  <c r="X378" i="16"/>
  <c r="W378" i="16"/>
  <c r="AC378" i="16" s="1"/>
  <c r="V378" i="16"/>
  <c r="AB378" i="16" s="1"/>
  <c r="X377" i="16"/>
  <c r="AD377" i="16" s="1"/>
  <c r="W377" i="16"/>
  <c r="AC377" i="16" s="1"/>
  <c r="V377" i="16"/>
  <c r="AB377" i="16" s="1"/>
  <c r="X376" i="16"/>
  <c r="W376" i="16"/>
  <c r="AC376" i="16" s="1"/>
  <c r="V376" i="16"/>
  <c r="AB376" i="16" s="1"/>
  <c r="X375" i="16"/>
  <c r="AD375" i="16" s="1"/>
  <c r="W375" i="16"/>
  <c r="AC375" i="16" s="1"/>
  <c r="V375" i="16"/>
  <c r="AB375" i="16" s="1"/>
  <c r="X374" i="16"/>
  <c r="AD374" i="16" s="1"/>
  <c r="W374" i="16"/>
  <c r="AC374" i="16" s="1"/>
  <c r="V374" i="16"/>
  <c r="AB374" i="16" s="1"/>
  <c r="X373" i="16"/>
  <c r="W373" i="16"/>
  <c r="AC373" i="16" s="1"/>
  <c r="V373" i="16"/>
  <c r="AB373" i="16" s="1"/>
  <c r="X372" i="16"/>
  <c r="AD372" i="16" s="1"/>
  <c r="W372" i="16"/>
  <c r="AC372" i="16" s="1"/>
  <c r="V372" i="16"/>
  <c r="AB372" i="16" s="1"/>
  <c r="X371" i="16"/>
  <c r="AD371" i="16" s="1"/>
  <c r="W371" i="16"/>
  <c r="AC371" i="16" s="1"/>
  <c r="V371" i="16"/>
  <c r="AB371" i="16" s="1"/>
  <c r="X370" i="16"/>
  <c r="AD370" i="16" s="1"/>
  <c r="W370" i="16"/>
  <c r="AC370" i="16" s="1"/>
  <c r="V370" i="16"/>
  <c r="AB370" i="16" s="1"/>
  <c r="X369" i="16"/>
  <c r="AD369" i="16" s="1"/>
  <c r="W369" i="16"/>
  <c r="AC369" i="16" s="1"/>
  <c r="V369" i="16"/>
  <c r="AB369" i="16" s="1"/>
  <c r="X368" i="16"/>
  <c r="W368" i="16"/>
  <c r="AC368" i="16" s="1"/>
  <c r="V368" i="16"/>
  <c r="AB368" i="16" s="1"/>
  <c r="X367" i="16"/>
  <c r="AD367" i="16" s="1"/>
  <c r="W367" i="16"/>
  <c r="AC367" i="16" s="1"/>
  <c r="V367" i="16"/>
  <c r="AB367" i="16" s="1"/>
  <c r="X366" i="16"/>
  <c r="AD366" i="16" s="1"/>
  <c r="W366" i="16"/>
  <c r="V366" i="16"/>
  <c r="AB366" i="16" s="1"/>
  <c r="X365" i="16"/>
  <c r="AD365" i="16" s="1"/>
  <c r="W365" i="16"/>
  <c r="AC365" i="16" s="1"/>
  <c r="V365" i="16"/>
  <c r="AB365" i="16" s="1"/>
  <c r="X364" i="16"/>
  <c r="AD364" i="16" s="1"/>
  <c r="W364" i="16"/>
  <c r="AC364" i="16" s="1"/>
  <c r="V364" i="16"/>
  <c r="AB364" i="16" s="1"/>
  <c r="X363" i="16"/>
  <c r="AD363" i="16" s="1"/>
  <c r="W363" i="16"/>
  <c r="AC363" i="16" s="1"/>
  <c r="V363" i="16"/>
  <c r="AB363" i="16" s="1"/>
  <c r="X362" i="16"/>
  <c r="AD362" i="16" s="1"/>
  <c r="W362" i="16"/>
  <c r="AC362" i="16" s="1"/>
  <c r="V362" i="16"/>
  <c r="AB362" i="16" s="1"/>
  <c r="X361" i="16"/>
  <c r="W361" i="16"/>
  <c r="AC361" i="16" s="1"/>
  <c r="V361" i="16"/>
  <c r="AB361" i="16" s="1"/>
  <c r="X360" i="16"/>
  <c r="AD360" i="16" s="1"/>
  <c r="W360" i="16"/>
  <c r="AC360" i="16" s="1"/>
  <c r="V360" i="16"/>
  <c r="AB360" i="16" s="1"/>
  <c r="X359" i="16"/>
  <c r="AD359" i="16" s="1"/>
  <c r="W359" i="16"/>
  <c r="AC359" i="16" s="1"/>
  <c r="V359" i="16"/>
  <c r="X358" i="16"/>
  <c r="AD358" i="16" s="1"/>
  <c r="W358" i="16"/>
  <c r="AC358" i="16" s="1"/>
  <c r="V358" i="16"/>
  <c r="AB358" i="16" s="1"/>
  <c r="X357" i="16"/>
  <c r="AD357" i="16" s="1"/>
  <c r="W357" i="16"/>
  <c r="AC357" i="16" s="1"/>
  <c r="V357" i="16"/>
  <c r="X356" i="16"/>
  <c r="AD356" i="16" s="1"/>
  <c r="W356" i="16"/>
  <c r="AC356" i="16" s="1"/>
  <c r="V356" i="16"/>
  <c r="AB356" i="16" s="1"/>
  <c r="X355" i="16"/>
  <c r="AD355" i="16" s="1"/>
  <c r="W355" i="16"/>
  <c r="V355" i="16"/>
  <c r="AB355" i="16" s="1"/>
  <c r="X354" i="16"/>
  <c r="AD354" i="16" s="1"/>
  <c r="W354" i="16"/>
  <c r="AC354" i="16" s="1"/>
  <c r="V354" i="16"/>
  <c r="AB354" i="16" s="1"/>
  <c r="X353" i="16"/>
  <c r="AD353" i="16" s="1"/>
  <c r="W353" i="16"/>
  <c r="AC353" i="16" s="1"/>
  <c r="V353" i="16"/>
  <c r="AB353" i="16" s="1"/>
  <c r="X352" i="16"/>
  <c r="AD352" i="16" s="1"/>
  <c r="W352" i="16"/>
  <c r="AC352" i="16" s="1"/>
  <c r="V352" i="16"/>
  <c r="AB352" i="16" s="1"/>
  <c r="X351" i="16"/>
  <c r="AD351" i="16" s="1"/>
  <c r="W351" i="16"/>
  <c r="AC351" i="16" s="1"/>
  <c r="V351" i="16"/>
  <c r="X350" i="16"/>
  <c r="AD350" i="16" s="1"/>
  <c r="W350" i="16"/>
  <c r="AC350" i="16" s="1"/>
  <c r="V350" i="16"/>
  <c r="AB350" i="16" s="1"/>
  <c r="X349" i="16"/>
  <c r="AD349" i="16" s="1"/>
  <c r="W349" i="16"/>
  <c r="AC349" i="16" s="1"/>
  <c r="V349" i="16"/>
  <c r="X348" i="16"/>
  <c r="AD348" i="16" s="1"/>
  <c r="W348" i="16"/>
  <c r="AC348" i="16" s="1"/>
  <c r="V348" i="16"/>
  <c r="AB348" i="16" s="1"/>
  <c r="X347" i="16"/>
  <c r="AD347" i="16" s="1"/>
  <c r="W347" i="16"/>
  <c r="V347" i="16"/>
  <c r="AB347" i="16" s="1"/>
  <c r="X346" i="16"/>
  <c r="AD346" i="16" s="1"/>
  <c r="W346" i="16"/>
  <c r="AC346" i="16" s="1"/>
  <c r="V346" i="16"/>
  <c r="AB346" i="16" s="1"/>
  <c r="X345" i="16"/>
  <c r="W345" i="16"/>
  <c r="AC345" i="16" s="1"/>
  <c r="V345" i="16"/>
  <c r="AB345" i="16" s="1"/>
  <c r="X344" i="16"/>
  <c r="AD344" i="16" s="1"/>
  <c r="W344" i="16"/>
  <c r="AC344" i="16" s="1"/>
  <c r="V344" i="16"/>
  <c r="AB344" i="16" s="1"/>
  <c r="X343" i="16"/>
  <c r="W343" i="16"/>
  <c r="AC343" i="16" s="1"/>
  <c r="V343" i="16"/>
  <c r="AB343" i="16" s="1"/>
  <c r="X342" i="16"/>
  <c r="AD342" i="16" s="1"/>
  <c r="W342" i="16"/>
  <c r="AC342" i="16" s="1"/>
  <c r="V342" i="16"/>
  <c r="AB342" i="16" s="1"/>
  <c r="X341" i="16"/>
  <c r="AD341" i="16" s="1"/>
  <c r="W341" i="16"/>
  <c r="AC341" i="16" s="1"/>
  <c r="V341" i="16"/>
  <c r="AB341" i="16" s="1"/>
  <c r="X340" i="16"/>
  <c r="AD340" i="16" s="1"/>
  <c r="W340" i="16"/>
  <c r="AC340" i="16" s="1"/>
  <c r="V340" i="16"/>
  <c r="AB340" i="16" s="1"/>
  <c r="X339" i="16"/>
  <c r="AD339" i="16" s="1"/>
  <c r="W339" i="16"/>
  <c r="AC339" i="16" s="1"/>
  <c r="V339" i="16"/>
  <c r="AB339" i="16" s="1"/>
  <c r="X338" i="16"/>
  <c r="AD338" i="16" s="1"/>
  <c r="W338" i="16"/>
  <c r="AC338" i="16" s="1"/>
  <c r="V338" i="16"/>
  <c r="AB338" i="16" s="1"/>
  <c r="X337" i="16"/>
  <c r="AD337" i="16" s="1"/>
  <c r="W337" i="16"/>
  <c r="AC337" i="16" s="1"/>
  <c r="V337" i="16"/>
  <c r="AB337" i="16" s="1"/>
  <c r="X336" i="16"/>
  <c r="AD336" i="16" s="1"/>
  <c r="W336" i="16"/>
  <c r="AC336" i="16" s="1"/>
  <c r="V336" i="16"/>
  <c r="AB336" i="16" s="1"/>
  <c r="X335" i="16"/>
  <c r="AD335" i="16" s="1"/>
  <c r="W335" i="16"/>
  <c r="AC335" i="16" s="1"/>
  <c r="V335" i="16"/>
  <c r="AB335" i="16" s="1"/>
  <c r="X334" i="16"/>
  <c r="AD334" i="16" s="1"/>
  <c r="W334" i="16"/>
  <c r="V334" i="16"/>
  <c r="AB334" i="16" s="1"/>
  <c r="X333" i="16"/>
  <c r="AD333" i="16" s="1"/>
  <c r="W333" i="16"/>
  <c r="AC333" i="16" s="1"/>
  <c r="V333" i="16"/>
  <c r="AB333" i="16" s="1"/>
  <c r="X332" i="16"/>
  <c r="AD332" i="16" s="1"/>
  <c r="W332" i="16"/>
  <c r="AC332" i="16" s="1"/>
  <c r="V332" i="16"/>
  <c r="X331" i="16"/>
  <c r="AD331" i="16" s="1"/>
  <c r="W331" i="16"/>
  <c r="AC331" i="16" s="1"/>
  <c r="V331" i="16"/>
  <c r="AB331" i="16" s="1"/>
  <c r="X330" i="16"/>
  <c r="W330" i="16"/>
  <c r="AC330" i="16" s="1"/>
  <c r="V330" i="16"/>
  <c r="AB330" i="16" s="1"/>
  <c r="X329" i="16"/>
  <c r="AD329" i="16" s="1"/>
  <c r="W329" i="16"/>
  <c r="AC329" i="16" s="1"/>
  <c r="V329" i="16"/>
  <c r="AB329" i="16" s="1"/>
  <c r="X328" i="16"/>
  <c r="AD328" i="16" s="1"/>
  <c r="W328" i="16"/>
  <c r="AC328" i="16" s="1"/>
  <c r="V328" i="16"/>
  <c r="AB328" i="16" s="1"/>
  <c r="X327" i="16"/>
  <c r="AD327" i="16" s="1"/>
  <c r="W327" i="16"/>
  <c r="AC327" i="16" s="1"/>
  <c r="V327" i="16"/>
  <c r="AB327" i="16" s="1"/>
  <c r="X326" i="16"/>
  <c r="AD326" i="16" s="1"/>
  <c r="W326" i="16"/>
  <c r="AC326" i="16" s="1"/>
  <c r="V326" i="16"/>
  <c r="AB326" i="16" s="1"/>
  <c r="X325" i="16"/>
  <c r="AD325" i="16" s="1"/>
  <c r="W325" i="16"/>
  <c r="AC325" i="16" s="1"/>
  <c r="V325" i="16"/>
  <c r="AB325" i="16" s="1"/>
  <c r="X324" i="16"/>
  <c r="AD324" i="16" s="1"/>
  <c r="W324" i="16"/>
  <c r="AC324" i="16" s="1"/>
  <c r="V324" i="16"/>
  <c r="AB324" i="16" s="1"/>
  <c r="X323" i="16"/>
  <c r="AD323" i="16" s="1"/>
  <c r="W323" i="16"/>
  <c r="AC323" i="16" s="1"/>
  <c r="V323" i="16"/>
  <c r="AB323" i="16" s="1"/>
  <c r="X322" i="16"/>
  <c r="AD322" i="16" s="1"/>
  <c r="W322" i="16"/>
  <c r="AC322" i="16" s="1"/>
  <c r="V322" i="16"/>
  <c r="AB322" i="16" s="1"/>
  <c r="X321" i="16"/>
  <c r="AD321" i="16" s="1"/>
  <c r="W321" i="16"/>
  <c r="AC321" i="16" s="1"/>
  <c r="V321" i="16"/>
  <c r="AB321" i="16" s="1"/>
  <c r="X320" i="16"/>
  <c r="AD320" i="16" s="1"/>
  <c r="W320" i="16"/>
  <c r="AC320" i="16" s="1"/>
  <c r="V320" i="16"/>
  <c r="AB320" i="16" s="1"/>
  <c r="X319" i="16"/>
  <c r="AD319" i="16" s="1"/>
  <c r="W319" i="16"/>
  <c r="AC319" i="16" s="1"/>
  <c r="V319" i="16"/>
  <c r="X318" i="16"/>
  <c r="AD318" i="16" s="1"/>
  <c r="W318" i="16"/>
  <c r="AC318" i="16" s="1"/>
  <c r="V318" i="16"/>
  <c r="AB318" i="16" s="1"/>
  <c r="X317" i="16"/>
  <c r="AD317" i="16" s="1"/>
  <c r="W317" i="16"/>
  <c r="AC317" i="16" s="1"/>
  <c r="V317" i="16"/>
  <c r="AB317" i="16" s="1"/>
  <c r="X316" i="16"/>
  <c r="AD316" i="16" s="1"/>
  <c r="W316" i="16"/>
  <c r="AC316" i="16" s="1"/>
  <c r="V316" i="16"/>
  <c r="AB316" i="16" s="1"/>
  <c r="X315" i="16"/>
  <c r="AD315" i="16" s="1"/>
  <c r="W315" i="16"/>
  <c r="AC315" i="16" s="1"/>
  <c r="V315" i="16"/>
  <c r="AB315" i="16" s="1"/>
  <c r="X314" i="16"/>
  <c r="AD314" i="16" s="1"/>
  <c r="W314" i="16"/>
  <c r="V314" i="16"/>
  <c r="AB314" i="16" s="1"/>
  <c r="X313" i="16"/>
  <c r="AD313" i="16" s="1"/>
  <c r="W313" i="16"/>
  <c r="AC313" i="16" s="1"/>
  <c r="V313" i="16"/>
  <c r="AB313" i="16" s="1"/>
  <c r="X312" i="16"/>
  <c r="AD312" i="16" s="1"/>
  <c r="W312" i="16"/>
  <c r="AC312" i="16" s="1"/>
  <c r="V312" i="16"/>
  <c r="AB312" i="16" s="1"/>
  <c r="X311" i="16"/>
  <c r="W311" i="16"/>
  <c r="AC311" i="16" s="1"/>
  <c r="V311" i="16"/>
  <c r="AB311" i="16" s="1"/>
  <c r="X310" i="16"/>
  <c r="AD310" i="16" s="1"/>
  <c r="W310" i="16"/>
  <c r="AC310" i="16" s="1"/>
  <c r="V310" i="16"/>
  <c r="AB310" i="16" s="1"/>
  <c r="X309" i="16"/>
  <c r="AD309" i="16" s="1"/>
  <c r="W309" i="16"/>
  <c r="AC309" i="16" s="1"/>
  <c r="V309" i="16"/>
  <c r="AB309" i="16" s="1"/>
  <c r="X308" i="16"/>
  <c r="AD308" i="16" s="1"/>
  <c r="W308" i="16"/>
  <c r="AC308" i="16" s="1"/>
  <c r="V308" i="16"/>
  <c r="AB308" i="16" s="1"/>
  <c r="X307" i="16"/>
  <c r="AD307" i="16" s="1"/>
  <c r="W307" i="16"/>
  <c r="AC307" i="16" s="1"/>
  <c r="V307" i="16"/>
  <c r="AB307" i="16" s="1"/>
  <c r="X306" i="16"/>
  <c r="AD306" i="16" s="1"/>
  <c r="W306" i="16"/>
  <c r="V306" i="16"/>
  <c r="AB306" i="16" s="1"/>
  <c r="X305" i="16"/>
  <c r="AD305" i="16" s="1"/>
  <c r="W305" i="16"/>
  <c r="AC305" i="16" s="1"/>
  <c r="V305" i="16"/>
  <c r="AB305" i="16" s="1"/>
  <c r="X304" i="16"/>
  <c r="AD304" i="16" s="1"/>
  <c r="W304" i="16"/>
  <c r="AC304" i="16" s="1"/>
  <c r="V304" i="16"/>
  <c r="X303" i="16"/>
  <c r="AD303" i="16" s="1"/>
  <c r="W303" i="16"/>
  <c r="AC303" i="16" s="1"/>
  <c r="V303" i="16"/>
  <c r="AB303" i="16" s="1"/>
  <c r="X302" i="16"/>
  <c r="W302" i="16"/>
  <c r="AC302" i="16" s="1"/>
  <c r="V302" i="16"/>
  <c r="AB302" i="16" s="1"/>
  <c r="X301" i="16"/>
  <c r="AD301" i="16" s="1"/>
  <c r="W301" i="16"/>
  <c r="AC301" i="16" s="1"/>
  <c r="V301" i="16"/>
  <c r="AB301" i="16" s="1"/>
  <c r="X300" i="16"/>
  <c r="AD300" i="16" s="1"/>
  <c r="W300" i="16"/>
  <c r="V300" i="16"/>
  <c r="AB300" i="16" s="1"/>
  <c r="X299" i="16"/>
  <c r="AD299" i="16" s="1"/>
  <c r="W299" i="16"/>
  <c r="AC299" i="16" s="1"/>
  <c r="V299" i="16"/>
  <c r="AB299" i="16" s="1"/>
  <c r="X298" i="16"/>
  <c r="AD298" i="16" s="1"/>
  <c r="W298" i="16"/>
  <c r="AC298" i="16" s="1"/>
  <c r="V298" i="16"/>
  <c r="AB298" i="16" s="1"/>
  <c r="X297" i="16"/>
  <c r="AD297" i="16" s="1"/>
  <c r="W297" i="16"/>
  <c r="AC297" i="16" s="1"/>
  <c r="V297" i="16"/>
  <c r="AB297" i="16" s="1"/>
  <c r="X296" i="16"/>
  <c r="AD296" i="16" s="1"/>
  <c r="W296" i="16"/>
  <c r="AC296" i="16" s="1"/>
  <c r="V296" i="16"/>
  <c r="AB296" i="16" s="1"/>
  <c r="X295" i="16"/>
  <c r="AD295" i="16" s="1"/>
  <c r="W295" i="16"/>
  <c r="AC295" i="16" s="1"/>
  <c r="V295" i="16"/>
  <c r="AB295" i="16" s="1"/>
  <c r="X294" i="16"/>
  <c r="AD294" i="16" s="1"/>
  <c r="W294" i="16"/>
  <c r="AC294" i="16" s="1"/>
  <c r="V294" i="16"/>
  <c r="AB294" i="16" s="1"/>
  <c r="X293" i="16"/>
  <c r="AD293" i="16" s="1"/>
  <c r="W293" i="16"/>
  <c r="AC293" i="16" s="1"/>
  <c r="V293" i="16"/>
  <c r="AB293" i="16" s="1"/>
  <c r="X292" i="16"/>
  <c r="W292" i="16"/>
  <c r="AC292" i="16" s="1"/>
  <c r="V292" i="16"/>
  <c r="AB292" i="16" s="1"/>
  <c r="X291" i="16"/>
  <c r="AD291" i="16" s="1"/>
  <c r="W291" i="16"/>
  <c r="AC291" i="16" s="1"/>
  <c r="V291" i="16"/>
  <c r="AB291" i="16" s="1"/>
  <c r="X290" i="16"/>
  <c r="AD290" i="16" s="1"/>
  <c r="W290" i="16"/>
  <c r="AC290" i="16" s="1"/>
  <c r="V290" i="16"/>
  <c r="AB290" i="16" s="1"/>
  <c r="X289" i="16"/>
  <c r="AD289" i="16" s="1"/>
  <c r="W289" i="16"/>
  <c r="AC289" i="16" s="1"/>
  <c r="V289" i="16"/>
  <c r="AB289" i="16" s="1"/>
  <c r="X288" i="16"/>
  <c r="AD288" i="16" s="1"/>
  <c r="W288" i="16"/>
  <c r="AC288" i="16" s="1"/>
  <c r="V288" i="16"/>
  <c r="AB288" i="16" s="1"/>
  <c r="X287" i="16"/>
  <c r="AD287" i="16" s="1"/>
  <c r="W287" i="16"/>
  <c r="V287" i="16"/>
  <c r="AB287" i="16" s="1"/>
  <c r="X286" i="16"/>
  <c r="AD286" i="16" s="1"/>
  <c r="W286" i="16"/>
  <c r="AC286" i="16" s="1"/>
  <c r="V286" i="16"/>
  <c r="AB286" i="16" s="1"/>
  <c r="X285" i="16"/>
  <c r="AD285" i="16" s="1"/>
  <c r="W285" i="16"/>
  <c r="AC285" i="16" s="1"/>
  <c r="V285" i="16"/>
  <c r="AB285" i="16" s="1"/>
  <c r="X284" i="16"/>
  <c r="W284" i="16"/>
  <c r="AC284" i="16" s="1"/>
  <c r="V284" i="16"/>
  <c r="AB284" i="16" s="1"/>
  <c r="X283" i="16"/>
  <c r="AD283" i="16" s="1"/>
  <c r="W283" i="16"/>
  <c r="AC283" i="16" s="1"/>
  <c r="V283" i="16"/>
  <c r="AB283" i="16" s="1"/>
  <c r="X282" i="16"/>
  <c r="AD282" i="16" s="1"/>
  <c r="W282" i="16"/>
  <c r="AC282" i="16" s="1"/>
  <c r="V282" i="16"/>
  <c r="AB282" i="16" s="1"/>
  <c r="X281" i="16"/>
  <c r="AD281" i="16" s="1"/>
  <c r="W281" i="16"/>
  <c r="AC281" i="16" s="1"/>
  <c r="V281" i="16"/>
  <c r="AB281" i="16" s="1"/>
  <c r="X280" i="16"/>
  <c r="AD280" i="16" s="1"/>
  <c r="W280" i="16"/>
  <c r="AC280" i="16" s="1"/>
  <c r="V280" i="16"/>
  <c r="AB280" i="16" s="1"/>
  <c r="X279" i="16"/>
  <c r="AD279" i="16" s="1"/>
  <c r="W279" i="16"/>
  <c r="V279" i="16"/>
  <c r="AB279" i="16" s="1"/>
  <c r="X278" i="16"/>
  <c r="AD278" i="16" s="1"/>
  <c r="W278" i="16"/>
  <c r="AC278" i="16" s="1"/>
  <c r="V278" i="16"/>
  <c r="AB278" i="16" s="1"/>
  <c r="X277" i="16"/>
  <c r="AD277" i="16" s="1"/>
  <c r="W277" i="16"/>
  <c r="AC277" i="16" s="1"/>
  <c r="V277" i="16"/>
  <c r="AB277" i="16" s="1"/>
  <c r="X276" i="16"/>
  <c r="W276" i="16"/>
  <c r="AC276" i="16" s="1"/>
  <c r="V276" i="16"/>
  <c r="AB276" i="16" s="1"/>
  <c r="X275" i="16"/>
  <c r="AD275" i="16" s="1"/>
  <c r="W275" i="16"/>
  <c r="AC275" i="16" s="1"/>
  <c r="V275" i="16"/>
  <c r="AB275" i="16" s="1"/>
  <c r="X274" i="16"/>
  <c r="AD274" i="16" s="1"/>
  <c r="W274" i="16"/>
  <c r="AC274" i="16" s="1"/>
  <c r="V274" i="16"/>
  <c r="AB274" i="16" s="1"/>
  <c r="X273" i="16"/>
  <c r="AD273" i="16" s="1"/>
  <c r="W273" i="16"/>
  <c r="AC273" i="16" s="1"/>
  <c r="V273" i="16"/>
  <c r="AB273" i="16" s="1"/>
  <c r="X272" i="16"/>
  <c r="AD272" i="16" s="1"/>
  <c r="W272" i="16"/>
  <c r="AC272" i="16" s="1"/>
  <c r="V272" i="16"/>
  <c r="AB272" i="16" s="1"/>
  <c r="X271" i="16"/>
  <c r="AD271" i="16" s="1"/>
  <c r="W271" i="16"/>
  <c r="V271" i="16"/>
  <c r="AB271" i="16" s="1"/>
  <c r="X270" i="16"/>
  <c r="AD270" i="16" s="1"/>
  <c r="W270" i="16"/>
  <c r="AC270" i="16" s="1"/>
  <c r="V270" i="16"/>
  <c r="AB270" i="16" s="1"/>
  <c r="X269" i="16"/>
  <c r="AD269" i="16" s="1"/>
  <c r="W269" i="16"/>
  <c r="AC269" i="16" s="1"/>
  <c r="V269" i="16"/>
  <c r="AB269" i="16" s="1"/>
  <c r="X268" i="16"/>
  <c r="W268" i="16"/>
  <c r="AC268" i="16" s="1"/>
  <c r="V268" i="16"/>
  <c r="AB268" i="16" s="1"/>
  <c r="X267" i="16"/>
  <c r="AD267" i="16" s="1"/>
  <c r="W267" i="16"/>
  <c r="AC267" i="16" s="1"/>
  <c r="V267" i="16"/>
  <c r="AB267" i="16" s="1"/>
  <c r="X266" i="16"/>
  <c r="AD266" i="16" s="1"/>
  <c r="W266" i="16"/>
  <c r="AC266" i="16" s="1"/>
  <c r="V266" i="16"/>
  <c r="AB266" i="16" s="1"/>
  <c r="X265" i="16"/>
  <c r="AD265" i="16" s="1"/>
  <c r="W265" i="16"/>
  <c r="AC265" i="16" s="1"/>
  <c r="V265" i="16"/>
  <c r="AB265" i="16" s="1"/>
  <c r="X264" i="16"/>
  <c r="AD264" i="16" s="1"/>
  <c r="W264" i="16"/>
  <c r="AC264" i="16" s="1"/>
  <c r="V264" i="16"/>
  <c r="AB264" i="16" s="1"/>
  <c r="X263" i="16"/>
  <c r="AD263" i="16" s="1"/>
  <c r="W263" i="16"/>
  <c r="V263" i="16"/>
  <c r="AB263" i="16" s="1"/>
  <c r="X262" i="16"/>
  <c r="AD262" i="16" s="1"/>
  <c r="W262" i="16"/>
  <c r="AC262" i="16" s="1"/>
  <c r="V262" i="16"/>
  <c r="AB262" i="16" s="1"/>
  <c r="X261" i="16"/>
  <c r="AD261" i="16" s="1"/>
  <c r="W261" i="16"/>
  <c r="AC261" i="16" s="1"/>
  <c r="V261" i="16"/>
  <c r="AB261" i="16" s="1"/>
  <c r="X260" i="16"/>
  <c r="W260" i="16"/>
  <c r="AC260" i="16" s="1"/>
  <c r="V260" i="16"/>
  <c r="AB260" i="16" s="1"/>
  <c r="X259" i="16"/>
  <c r="AD259" i="16" s="1"/>
  <c r="W259" i="16"/>
  <c r="AC259" i="16" s="1"/>
  <c r="V259" i="16"/>
  <c r="AB259" i="16" s="1"/>
  <c r="X258" i="16"/>
  <c r="AD258" i="16" s="1"/>
  <c r="W258" i="16"/>
  <c r="AC258" i="16" s="1"/>
  <c r="V258" i="16"/>
  <c r="AB258" i="16" s="1"/>
  <c r="X257" i="16"/>
  <c r="AD257" i="16" s="1"/>
  <c r="W257" i="16"/>
  <c r="AC257" i="16" s="1"/>
  <c r="V257" i="16"/>
  <c r="AB257" i="16" s="1"/>
  <c r="X256" i="16"/>
  <c r="AD256" i="16" s="1"/>
  <c r="W256" i="16"/>
  <c r="AC256" i="16" s="1"/>
  <c r="V256" i="16"/>
  <c r="AB256" i="16" s="1"/>
  <c r="X255" i="16"/>
  <c r="AD255" i="16" s="1"/>
  <c r="W255" i="16"/>
  <c r="AC255" i="16" s="1"/>
  <c r="V255" i="16"/>
  <c r="AB255" i="16" s="1"/>
  <c r="X254" i="16"/>
  <c r="AD254" i="16" s="1"/>
  <c r="W254" i="16"/>
  <c r="V254" i="16"/>
  <c r="AB254" i="16" s="1"/>
  <c r="X253" i="16"/>
  <c r="AD253" i="16" s="1"/>
  <c r="W253" i="16"/>
  <c r="AC253" i="16" s="1"/>
  <c r="V253" i="16"/>
  <c r="AB253" i="16" s="1"/>
  <c r="X252" i="16"/>
  <c r="AD252" i="16" s="1"/>
  <c r="W252" i="16"/>
  <c r="AC252" i="16" s="1"/>
  <c r="V252" i="16"/>
  <c r="AB252" i="16" s="1"/>
  <c r="X251" i="16"/>
  <c r="AD251" i="16" s="1"/>
  <c r="W251" i="16"/>
  <c r="AC251" i="16" s="1"/>
  <c r="V251" i="16"/>
  <c r="AB251" i="16" s="1"/>
  <c r="X250" i="16"/>
  <c r="AD250" i="16" s="1"/>
  <c r="W250" i="16"/>
  <c r="AC250" i="16" s="1"/>
  <c r="V250" i="16"/>
  <c r="AB250" i="16" s="1"/>
  <c r="X249" i="16"/>
  <c r="W249" i="16"/>
  <c r="AC249" i="16" s="1"/>
  <c r="V249" i="16"/>
  <c r="AB249" i="16" s="1"/>
  <c r="X248" i="16"/>
  <c r="AD248" i="16" s="1"/>
  <c r="W248" i="16"/>
  <c r="AC248" i="16" s="1"/>
  <c r="V248" i="16"/>
  <c r="AB248" i="16" s="1"/>
  <c r="X247" i="16"/>
  <c r="AD247" i="16" s="1"/>
  <c r="W247" i="16"/>
  <c r="AC247" i="16" s="1"/>
  <c r="V247" i="16"/>
  <c r="AB247" i="16" s="1"/>
  <c r="X246" i="16"/>
  <c r="AD246" i="16" s="1"/>
  <c r="W246" i="16"/>
  <c r="V246" i="16"/>
  <c r="AB246" i="16" s="1"/>
  <c r="X245" i="16"/>
  <c r="AD245" i="16" s="1"/>
  <c r="W245" i="16"/>
  <c r="AC245" i="16" s="1"/>
  <c r="V245" i="16"/>
  <c r="AB245" i="16" s="1"/>
  <c r="X244" i="16"/>
  <c r="AD244" i="16" s="1"/>
  <c r="W244" i="16"/>
  <c r="AC244" i="16" s="1"/>
  <c r="V244" i="16"/>
  <c r="AB244" i="16" s="1"/>
  <c r="X243" i="16"/>
  <c r="AD243" i="16" s="1"/>
  <c r="W243" i="16"/>
  <c r="AC243" i="16" s="1"/>
  <c r="V243" i="16"/>
  <c r="AB243" i="16" s="1"/>
  <c r="X242" i="16"/>
  <c r="AD242" i="16" s="1"/>
  <c r="W242" i="16"/>
  <c r="AC242" i="16" s="1"/>
  <c r="V242" i="16"/>
  <c r="AB242" i="16" s="1"/>
  <c r="X241" i="16"/>
  <c r="W241" i="16"/>
  <c r="AC241" i="16" s="1"/>
  <c r="V241" i="16"/>
  <c r="AB241" i="16" s="1"/>
  <c r="X240" i="16"/>
  <c r="AD240" i="16" s="1"/>
  <c r="W240" i="16"/>
  <c r="AC240" i="16" s="1"/>
  <c r="V240" i="16"/>
  <c r="AB240" i="16" s="1"/>
  <c r="X239" i="16"/>
  <c r="AD239" i="16" s="1"/>
  <c r="W239" i="16"/>
  <c r="AC239" i="16" s="1"/>
  <c r="V239" i="16"/>
  <c r="AB239" i="16" s="1"/>
  <c r="X238" i="16"/>
  <c r="AD238" i="16" s="1"/>
  <c r="W238" i="16"/>
  <c r="V238" i="16"/>
  <c r="AB238" i="16" s="1"/>
  <c r="X237" i="16"/>
  <c r="AD237" i="16" s="1"/>
  <c r="W237" i="16"/>
  <c r="AC237" i="16" s="1"/>
  <c r="V237" i="16"/>
  <c r="AB237" i="16" s="1"/>
  <c r="X236" i="16"/>
  <c r="AD236" i="16" s="1"/>
  <c r="W236" i="16"/>
  <c r="AC236" i="16" s="1"/>
  <c r="V236" i="16"/>
  <c r="AB236" i="16" s="1"/>
  <c r="X235" i="16"/>
  <c r="AD235" i="16" s="1"/>
  <c r="W235" i="16"/>
  <c r="AC235" i="16" s="1"/>
  <c r="V235" i="16"/>
  <c r="AB235" i="16" s="1"/>
  <c r="X234" i="16"/>
  <c r="AD234" i="16" s="1"/>
  <c r="W234" i="16"/>
  <c r="AC234" i="16" s="1"/>
  <c r="V234" i="16"/>
  <c r="AB234" i="16" s="1"/>
  <c r="X233" i="16"/>
  <c r="W233" i="16"/>
  <c r="AC233" i="16" s="1"/>
  <c r="V233" i="16"/>
  <c r="AB233" i="16" s="1"/>
  <c r="X232" i="16"/>
  <c r="AD232" i="16" s="1"/>
  <c r="W232" i="16"/>
  <c r="AC232" i="16" s="1"/>
  <c r="V232" i="16"/>
  <c r="AB232" i="16" s="1"/>
  <c r="X231" i="16"/>
  <c r="AD231" i="16" s="1"/>
  <c r="W231" i="16"/>
  <c r="AC231" i="16" s="1"/>
  <c r="V231" i="16"/>
  <c r="AB231" i="16" s="1"/>
  <c r="X230" i="16"/>
  <c r="AD230" i="16" s="1"/>
  <c r="W230" i="16"/>
  <c r="AC230" i="16" s="1"/>
  <c r="V230" i="16"/>
  <c r="AB230" i="16" s="1"/>
  <c r="X229" i="16"/>
  <c r="AD229" i="16" s="1"/>
  <c r="W229" i="16"/>
  <c r="AC229" i="16" s="1"/>
  <c r="V229" i="16"/>
  <c r="AB229" i="16" s="1"/>
  <c r="X228" i="16"/>
  <c r="AD228" i="16" s="1"/>
  <c r="W228" i="16"/>
  <c r="AC228" i="16" s="1"/>
  <c r="V228" i="16"/>
  <c r="AB228" i="16" s="1"/>
  <c r="X227" i="16"/>
  <c r="AD227" i="16" s="1"/>
  <c r="W227" i="16"/>
  <c r="AC227" i="16" s="1"/>
  <c r="V227" i="16"/>
  <c r="AB227" i="16" s="1"/>
  <c r="X226" i="16"/>
  <c r="AD226" i="16" s="1"/>
  <c r="W226" i="16"/>
  <c r="AC226" i="16" s="1"/>
  <c r="V226" i="16"/>
  <c r="AB226" i="16" s="1"/>
  <c r="X225" i="16"/>
  <c r="AD225" i="16" s="1"/>
  <c r="W225" i="16"/>
  <c r="AC225" i="16" s="1"/>
  <c r="V225" i="16"/>
  <c r="AB225" i="16" s="1"/>
  <c r="X224" i="16"/>
  <c r="AD224" i="16" s="1"/>
  <c r="W224" i="16"/>
  <c r="AC224" i="16" s="1"/>
  <c r="V224" i="16"/>
  <c r="AB224" i="16" s="1"/>
  <c r="X223" i="16"/>
  <c r="AD223" i="16" s="1"/>
  <c r="W223" i="16"/>
  <c r="AC223" i="16" s="1"/>
  <c r="V223" i="16"/>
  <c r="AB223" i="16" s="1"/>
  <c r="X222" i="16"/>
  <c r="AD222" i="16" s="1"/>
  <c r="W222" i="16"/>
  <c r="AC222" i="16" s="1"/>
  <c r="V222" i="16"/>
  <c r="AB222" i="16" s="1"/>
  <c r="X221" i="16"/>
  <c r="AD221" i="16" s="1"/>
  <c r="W221" i="16"/>
  <c r="AC221" i="16" s="1"/>
  <c r="V221" i="16"/>
  <c r="AB221" i="16" s="1"/>
  <c r="X220" i="16"/>
  <c r="AD220" i="16" s="1"/>
  <c r="W220" i="16"/>
  <c r="AC220" i="16" s="1"/>
  <c r="V220" i="16"/>
  <c r="AB220" i="16" s="1"/>
  <c r="X219" i="16"/>
  <c r="AD219" i="16" s="1"/>
  <c r="W219" i="16"/>
  <c r="AC219" i="16" s="1"/>
  <c r="V219" i="16"/>
  <c r="AB219" i="16" s="1"/>
  <c r="X218" i="16"/>
  <c r="AD218" i="16" s="1"/>
  <c r="W218" i="16"/>
  <c r="AC218" i="16" s="1"/>
  <c r="V218" i="16"/>
  <c r="AB218" i="16" s="1"/>
  <c r="X217" i="16"/>
  <c r="AD217" i="16" s="1"/>
  <c r="W217" i="16"/>
  <c r="AC217" i="16" s="1"/>
  <c r="V217" i="16"/>
  <c r="AB217" i="16" s="1"/>
  <c r="X216" i="16"/>
  <c r="AD216" i="16" s="1"/>
  <c r="W216" i="16"/>
  <c r="AC216" i="16" s="1"/>
  <c r="V216" i="16"/>
  <c r="AB216" i="16" s="1"/>
  <c r="X215" i="16"/>
  <c r="AD215" i="16" s="1"/>
  <c r="W215" i="16"/>
  <c r="AC215" i="16" s="1"/>
  <c r="V215" i="16"/>
  <c r="AB215" i="16" s="1"/>
  <c r="X214" i="16"/>
  <c r="AD214" i="16" s="1"/>
  <c r="W214" i="16"/>
  <c r="AC214" i="16" s="1"/>
  <c r="V214" i="16"/>
  <c r="AB214" i="16" s="1"/>
  <c r="X213" i="16"/>
  <c r="AD213" i="16" s="1"/>
  <c r="W213" i="16"/>
  <c r="AC213" i="16" s="1"/>
  <c r="V213" i="16"/>
  <c r="AB213" i="16" s="1"/>
  <c r="X212" i="16"/>
  <c r="AD212" i="16" s="1"/>
  <c r="W212" i="16"/>
  <c r="AC212" i="16" s="1"/>
  <c r="V212" i="16"/>
  <c r="AB212" i="16" s="1"/>
  <c r="X211" i="16"/>
  <c r="AD211" i="16" s="1"/>
  <c r="W211" i="16"/>
  <c r="AC211" i="16" s="1"/>
  <c r="V211" i="16"/>
  <c r="AB211" i="16" s="1"/>
  <c r="X210" i="16"/>
  <c r="AD210" i="16" s="1"/>
  <c r="W210" i="16"/>
  <c r="AC210" i="16" s="1"/>
  <c r="V210" i="16"/>
  <c r="AB210" i="16" s="1"/>
  <c r="X209" i="16"/>
  <c r="AD209" i="16" s="1"/>
  <c r="W209" i="16"/>
  <c r="AC209" i="16" s="1"/>
  <c r="V209" i="16"/>
  <c r="AB209" i="16" s="1"/>
  <c r="X208" i="16"/>
  <c r="AD208" i="16" s="1"/>
  <c r="W208" i="16"/>
  <c r="AC208" i="16" s="1"/>
  <c r="V208" i="16"/>
  <c r="AB208" i="16" s="1"/>
  <c r="X207" i="16"/>
  <c r="AD207" i="16" s="1"/>
  <c r="W207" i="16"/>
  <c r="AC207" i="16" s="1"/>
  <c r="V207" i="16"/>
  <c r="AB207" i="16" s="1"/>
  <c r="X206" i="16"/>
  <c r="AD206" i="16" s="1"/>
  <c r="W206" i="16"/>
  <c r="AC206" i="16" s="1"/>
  <c r="V206" i="16"/>
  <c r="AB206" i="16" s="1"/>
  <c r="X205" i="16"/>
  <c r="AD205" i="16" s="1"/>
  <c r="W205" i="16"/>
  <c r="AC205" i="16" s="1"/>
  <c r="V205" i="16"/>
  <c r="AB205" i="16" s="1"/>
  <c r="X204" i="16"/>
  <c r="AD204" i="16" s="1"/>
  <c r="W204" i="16"/>
  <c r="V204" i="16"/>
  <c r="AB204" i="16" s="1"/>
  <c r="X203" i="16"/>
  <c r="AD203" i="16" s="1"/>
  <c r="W203" i="16"/>
  <c r="AC203" i="16" s="1"/>
  <c r="V203" i="16"/>
  <c r="AB203" i="16" s="1"/>
  <c r="X202" i="16"/>
  <c r="AD202" i="16" s="1"/>
  <c r="W202" i="16"/>
  <c r="AC202" i="16" s="1"/>
  <c r="V202" i="16"/>
  <c r="AB202" i="16" s="1"/>
  <c r="X201" i="16"/>
  <c r="AD201" i="16" s="1"/>
  <c r="W201" i="16"/>
  <c r="AC201" i="16" s="1"/>
  <c r="V201" i="16"/>
  <c r="X200" i="16"/>
  <c r="AD200" i="16" s="1"/>
  <c r="W200" i="16"/>
  <c r="AC200" i="16" s="1"/>
  <c r="V200" i="16"/>
  <c r="AB200" i="16" s="1"/>
  <c r="X199" i="16"/>
  <c r="W199" i="16"/>
  <c r="AC199" i="16" s="1"/>
  <c r="V199" i="16"/>
  <c r="AB199" i="16" s="1"/>
  <c r="X198" i="16"/>
  <c r="AD198" i="16" s="1"/>
  <c r="W198" i="16"/>
  <c r="AC198" i="16" s="1"/>
  <c r="V198" i="16"/>
  <c r="AB198" i="16" s="1"/>
  <c r="X197" i="16"/>
  <c r="AD197" i="16" s="1"/>
  <c r="W197" i="16"/>
  <c r="AC197" i="16" s="1"/>
  <c r="V197" i="16"/>
  <c r="AB197" i="16" s="1"/>
  <c r="X196" i="16"/>
  <c r="AD196" i="16" s="1"/>
  <c r="W196" i="16"/>
  <c r="V196" i="16"/>
  <c r="AB196" i="16" s="1"/>
  <c r="X195" i="16"/>
  <c r="AD195" i="16" s="1"/>
  <c r="W195" i="16"/>
  <c r="AC195" i="16" s="1"/>
  <c r="V195" i="16"/>
  <c r="AB195" i="16" s="1"/>
  <c r="X194" i="16"/>
  <c r="AD194" i="16" s="1"/>
  <c r="W194" i="16"/>
  <c r="AC194" i="16" s="1"/>
  <c r="V194" i="16"/>
  <c r="AB194" i="16" s="1"/>
  <c r="X169" i="16"/>
  <c r="AD169" i="16" s="1"/>
  <c r="W169" i="16"/>
  <c r="AC169" i="16" s="1"/>
  <c r="V169" i="16"/>
  <c r="AB169" i="16" s="1"/>
  <c r="X168" i="16"/>
  <c r="W168" i="16"/>
  <c r="AC168" i="16" s="1"/>
  <c r="V168" i="16"/>
  <c r="AB168" i="16" s="1"/>
  <c r="X167" i="16"/>
  <c r="AD167" i="16" s="1"/>
  <c r="W167" i="16"/>
  <c r="AC167" i="16" s="1"/>
  <c r="V167" i="16"/>
  <c r="AB167" i="16" s="1"/>
  <c r="X166" i="16"/>
  <c r="AD166" i="16" s="1"/>
  <c r="W166" i="16"/>
  <c r="V166" i="16"/>
  <c r="AB166" i="16" s="1"/>
  <c r="X165" i="16"/>
  <c r="AD165" i="16" s="1"/>
  <c r="W165" i="16"/>
  <c r="AC165" i="16" s="1"/>
  <c r="V165" i="16"/>
  <c r="AB165" i="16" s="1"/>
  <c r="X164" i="16"/>
  <c r="AD164" i="16" s="1"/>
  <c r="W164" i="16"/>
  <c r="AC164" i="16" s="1"/>
  <c r="V164" i="16"/>
  <c r="X163" i="16"/>
  <c r="AD163" i="16" s="1"/>
  <c r="W163" i="16"/>
  <c r="AC163" i="16" s="1"/>
  <c r="V163" i="16"/>
  <c r="AB163" i="16" s="1"/>
  <c r="X162" i="16"/>
  <c r="AD162" i="16" s="1"/>
  <c r="W162" i="16"/>
  <c r="AC162" i="16" s="1"/>
  <c r="V162" i="16"/>
  <c r="AB162" i="16" s="1"/>
  <c r="X161" i="16"/>
  <c r="AD161" i="16" s="1"/>
  <c r="W161" i="16"/>
  <c r="AC161" i="16" s="1"/>
  <c r="V161" i="16"/>
  <c r="AB161" i="16" s="1"/>
  <c r="X160" i="16"/>
  <c r="AD160" i="16" s="1"/>
  <c r="W160" i="16"/>
  <c r="AC160" i="16" s="1"/>
  <c r="V160" i="16"/>
  <c r="AB160" i="16" s="1"/>
  <c r="X159" i="16"/>
  <c r="W159" i="16"/>
  <c r="AC159" i="16" s="1"/>
  <c r="V159" i="16"/>
  <c r="AB159" i="16" s="1"/>
  <c r="X158" i="16"/>
  <c r="AD158" i="16" s="1"/>
  <c r="W158" i="16"/>
  <c r="AC158" i="16" s="1"/>
  <c r="V158" i="16"/>
  <c r="AB158" i="16" s="1"/>
  <c r="X157" i="16"/>
  <c r="AD157" i="16" s="1"/>
  <c r="W157" i="16"/>
  <c r="V157" i="16"/>
  <c r="AB157" i="16" s="1"/>
  <c r="X156" i="16"/>
  <c r="AD156" i="16" s="1"/>
  <c r="W156" i="16"/>
  <c r="AC156" i="16" s="1"/>
  <c r="V156" i="16"/>
  <c r="AB156" i="16" s="1"/>
  <c r="X155" i="16"/>
  <c r="AD155" i="16" s="1"/>
  <c r="W155" i="16"/>
  <c r="AC155" i="16" s="1"/>
  <c r="V155" i="16"/>
  <c r="X154" i="16"/>
  <c r="AD154" i="16" s="1"/>
  <c r="W154" i="16"/>
  <c r="AC154" i="16" s="1"/>
  <c r="V154" i="16"/>
  <c r="AB154" i="16" s="1"/>
  <c r="X153" i="16"/>
  <c r="AD153" i="16" s="1"/>
  <c r="W153" i="16"/>
  <c r="AC153" i="16" s="1"/>
  <c r="V153" i="16"/>
  <c r="AB153" i="16" s="1"/>
  <c r="X152" i="16"/>
  <c r="W152" i="16"/>
  <c r="AC152" i="16" s="1"/>
  <c r="V152" i="16"/>
  <c r="AB152" i="16" s="1"/>
  <c r="X151" i="16"/>
  <c r="AD151" i="16" s="1"/>
  <c r="W151" i="16"/>
  <c r="AC151" i="16" s="1"/>
  <c r="V151" i="16"/>
  <c r="AB151" i="16" s="1"/>
  <c r="X150" i="16"/>
  <c r="AD150" i="16" s="1"/>
  <c r="W150" i="16"/>
  <c r="V150" i="16"/>
  <c r="AB150" i="16" s="1"/>
  <c r="X149" i="16"/>
  <c r="AD149" i="16" s="1"/>
  <c r="W149" i="16"/>
  <c r="AC149" i="16" s="1"/>
  <c r="V149" i="16"/>
  <c r="AB149" i="16" s="1"/>
  <c r="X148" i="16"/>
  <c r="AD148" i="16" s="1"/>
  <c r="W148" i="16"/>
  <c r="AC148" i="16" s="1"/>
  <c r="V148" i="16"/>
  <c r="X147" i="16"/>
  <c r="AD147" i="16" s="1"/>
  <c r="W147" i="16"/>
  <c r="AC147" i="16" s="1"/>
  <c r="V147" i="16"/>
  <c r="AB147" i="16" s="1"/>
  <c r="X146" i="16"/>
  <c r="AD146" i="16" s="1"/>
  <c r="W146" i="16"/>
  <c r="AC146" i="16" s="1"/>
  <c r="V146" i="16"/>
  <c r="AB146" i="16" s="1"/>
  <c r="X145" i="16"/>
  <c r="AD145" i="16" s="1"/>
  <c r="W145" i="16"/>
  <c r="AC145" i="16" s="1"/>
  <c r="V145" i="16"/>
  <c r="AB145" i="16" s="1"/>
  <c r="X144" i="16"/>
  <c r="AD144" i="16" s="1"/>
  <c r="W144" i="16"/>
  <c r="AC144" i="16" s="1"/>
  <c r="V144" i="16"/>
  <c r="AB144" i="16" s="1"/>
  <c r="X143" i="16"/>
  <c r="AD143" i="16" s="1"/>
  <c r="W143" i="16"/>
  <c r="AC143" i="16" s="1"/>
  <c r="V143" i="16"/>
  <c r="AB143" i="16" s="1"/>
  <c r="X142" i="16"/>
  <c r="AD142" i="16" s="1"/>
  <c r="W142" i="16"/>
  <c r="AC142" i="16" s="1"/>
  <c r="V142" i="16"/>
  <c r="AB142" i="16" s="1"/>
  <c r="X141" i="16"/>
  <c r="AD141" i="16" s="1"/>
  <c r="W141" i="16"/>
  <c r="AC141" i="16" s="1"/>
  <c r="V141" i="16"/>
  <c r="AB141" i="16" s="1"/>
  <c r="X140" i="16"/>
  <c r="AD140" i="16" s="1"/>
  <c r="W140" i="16"/>
  <c r="AC140" i="16" s="1"/>
  <c r="V140" i="16"/>
  <c r="AB140" i="16" s="1"/>
  <c r="X139" i="16"/>
  <c r="W139" i="16"/>
  <c r="AC139" i="16" s="1"/>
  <c r="V139" i="16"/>
  <c r="AB139" i="16" s="1"/>
  <c r="X138" i="16"/>
  <c r="AD138" i="16" s="1"/>
  <c r="W138" i="16"/>
  <c r="AC138" i="16" s="1"/>
  <c r="V138" i="16"/>
  <c r="AB138" i="16" s="1"/>
  <c r="X137" i="16"/>
  <c r="AD137" i="16" s="1"/>
  <c r="W137" i="16"/>
  <c r="AC137" i="16" s="1"/>
  <c r="V137" i="16"/>
  <c r="AB137" i="16" s="1"/>
  <c r="X136" i="16"/>
  <c r="AD136" i="16" s="1"/>
  <c r="W136" i="16"/>
  <c r="AC136" i="16" s="1"/>
  <c r="V136" i="16"/>
  <c r="AB136" i="16" s="1"/>
  <c r="X135" i="16"/>
  <c r="AD135" i="16" s="1"/>
  <c r="W135" i="16"/>
  <c r="AC135" i="16" s="1"/>
  <c r="V135" i="16"/>
  <c r="AB135" i="16" s="1"/>
  <c r="X134" i="16"/>
  <c r="AD134" i="16" s="1"/>
  <c r="W134" i="16"/>
  <c r="AC134" i="16" s="1"/>
  <c r="V134" i="16"/>
  <c r="AB134" i="16" s="1"/>
  <c r="X133" i="16"/>
  <c r="AD133" i="16" s="1"/>
  <c r="W133" i="16"/>
  <c r="AC133" i="16" s="1"/>
  <c r="V133" i="16"/>
  <c r="AB133" i="16" s="1"/>
  <c r="X132" i="16"/>
  <c r="W132" i="16"/>
  <c r="AC132" i="16" s="1"/>
  <c r="V132" i="16"/>
  <c r="AB132" i="16" s="1"/>
  <c r="X131" i="16"/>
  <c r="AD131" i="16" s="1"/>
  <c r="W131" i="16"/>
  <c r="AC131" i="16" s="1"/>
  <c r="V131" i="16"/>
  <c r="AB131" i="16" s="1"/>
  <c r="X130" i="16"/>
  <c r="AD130" i="16" s="1"/>
  <c r="W130" i="16"/>
  <c r="AC130" i="16" s="1"/>
  <c r="V130" i="16"/>
  <c r="AB130" i="16" s="1"/>
  <c r="X129" i="16"/>
  <c r="AD129" i="16" s="1"/>
  <c r="W129" i="16"/>
  <c r="AC129" i="16" s="1"/>
  <c r="V129" i="16"/>
  <c r="AB129" i="16" s="1"/>
  <c r="X128" i="16"/>
  <c r="AD128" i="16" s="1"/>
  <c r="W128" i="16"/>
  <c r="AC128" i="16" s="1"/>
  <c r="V128" i="16"/>
  <c r="X127" i="16"/>
  <c r="AD127" i="16" s="1"/>
  <c r="W127" i="16"/>
  <c r="AC127" i="16" s="1"/>
  <c r="V127" i="16"/>
  <c r="AB127" i="16" s="1"/>
  <c r="X126" i="16"/>
  <c r="AD126" i="16" s="1"/>
  <c r="W126" i="16"/>
  <c r="AC126" i="16" s="1"/>
  <c r="V126" i="16"/>
  <c r="AB126" i="16" s="1"/>
  <c r="X125" i="16"/>
  <c r="AD125" i="16" s="1"/>
  <c r="W125" i="16"/>
  <c r="AC125" i="16" s="1"/>
  <c r="V125" i="16"/>
  <c r="AB125" i="16" s="1"/>
  <c r="X124" i="16"/>
  <c r="AD124" i="16" s="1"/>
  <c r="W124" i="16"/>
  <c r="AC124" i="16" s="1"/>
  <c r="V124" i="16"/>
  <c r="AB124" i="16" s="1"/>
  <c r="X123" i="16"/>
  <c r="W123" i="16"/>
  <c r="AC123" i="16" s="1"/>
  <c r="V123" i="16"/>
  <c r="AB123" i="16" s="1"/>
  <c r="X122" i="16"/>
  <c r="AD122" i="16" s="1"/>
  <c r="W122" i="16"/>
  <c r="AC122" i="16" s="1"/>
  <c r="V122" i="16"/>
  <c r="AB122" i="16" s="1"/>
  <c r="X121" i="16"/>
  <c r="AD121" i="16" s="1"/>
  <c r="W121" i="16"/>
  <c r="V121" i="16"/>
  <c r="AB121" i="16" s="1"/>
  <c r="X120" i="16"/>
  <c r="AD120" i="16" s="1"/>
  <c r="W120" i="16"/>
  <c r="AC120" i="16" s="1"/>
  <c r="V120" i="16"/>
  <c r="AB120" i="16" s="1"/>
  <c r="X119" i="16"/>
  <c r="AD119" i="16" s="1"/>
  <c r="W119" i="16"/>
  <c r="AC119" i="16" s="1"/>
  <c r="V119" i="16"/>
  <c r="AB119" i="16" s="1"/>
  <c r="X118" i="16"/>
  <c r="AD118" i="16" s="1"/>
  <c r="W118" i="16"/>
  <c r="AC118" i="16" s="1"/>
  <c r="V118" i="16"/>
  <c r="AB118" i="16" s="1"/>
  <c r="X117" i="16"/>
  <c r="AD117" i="16" s="1"/>
  <c r="W117" i="16"/>
  <c r="AC117" i="16" s="1"/>
  <c r="V117" i="16"/>
  <c r="AB117" i="16" s="1"/>
  <c r="X116" i="16"/>
  <c r="W116" i="16"/>
  <c r="AC116" i="16" s="1"/>
  <c r="V116" i="16"/>
  <c r="AB116" i="16" s="1"/>
  <c r="X115" i="16"/>
  <c r="AD115" i="16" s="1"/>
  <c r="W115" i="16"/>
  <c r="AC115" i="16" s="1"/>
  <c r="V115" i="16"/>
  <c r="AB115" i="16" s="1"/>
  <c r="X114" i="16"/>
  <c r="AD114" i="16" s="1"/>
  <c r="W114" i="16"/>
  <c r="AC114" i="16" s="1"/>
  <c r="V114" i="16"/>
  <c r="AB114" i="16" s="1"/>
  <c r="X113" i="16"/>
  <c r="AD113" i="16" s="1"/>
  <c r="W113" i="16"/>
  <c r="AC113" i="16" s="1"/>
  <c r="V113" i="16"/>
  <c r="AB113" i="16" s="1"/>
  <c r="X112" i="16"/>
  <c r="AD112" i="16" s="1"/>
  <c r="W112" i="16"/>
  <c r="AC112" i="16" s="1"/>
  <c r="V112" i="16"/>
  <c r="X111" i="16"/>
  <c r="AD111" i="16" s="1"/>
  <c r="W111" i="16"/>
  <c r="AC111" i="16" s="1"/>
  <c r="V111" i="16"/>
  <c r="AB111" i="16" s="1"/>
  <c r="X110" i="16"/>
  <c r="AD110" i="16" s="1"/>
  <c r="W110" i="16"/>
  <c r="AC110" i="16" s="1"/>
  <c r="V110" i="16"/>
  <c r="AB110" i="16" s="1"/>
  <c r="X109" i="16"/>
  <c r="AD109" i="16" s="1"/>
  <c r="W109" i="16"/>
  <c r="AC109" i="16" s="1"/>
  <c r="V109" i="16"/>
  <c r="AB109" i="16" s="1"/>
  <c r="X108" i="16"/>
  <c r="AD108" i="16" s="1"/>
  <c r="W108" i="16"/>
  <c r="AC108" i="16" s="1"/>
  <c r="V108" i="16"/>
  <c r="AB108" i="16" s="1"/>
  <c r="X107" i="16"/>
  <c r="AD107" i="16" s="1"/>
  <c r="W107" i="16"/>
  <c r="AC107" i="16" s="1"/>
  <c r="V107" i="16"/>
  <c r="AB107" i="16" s="1"/>
  <c r="X106" i="16"/>
  <c r="AD106" i="16" s="1"/>
  <c r="W106" i="16"/>
  <c r="AC106" i="16" s="1"/>
  <c r="V106" i="16"/>
  <c r="AB106" i="16" s="1"/>
  <c r="X105" i="16"/>
  <c r="AD105" i="16" s="1"/>
  <c r="W105" i="16"/>
  <c r="AC105" i="16" s="1"/>
  <c r="V105" i="16"/>
  <c r="AB105" i="16" s="1"/>
  <c r="X104" i="16"/>
  <c r="AD104" i="16" s="1"/>
  <c r="W104" i="16"/>
  <c r="AC104" i="16" s="1"/>
  <c r="V104" i="16"/>
  <c r="AB104" i="16" s="1"/>
  <c r="X103" i="16"/>
  <c r="AD103" i="16" s="1"/>
  <c r="W103" i="16"/>
  <c r="AC103" i="16" s="1"/>
  <c r="V103" i="16"/>
  <c r="AB103" i="16" s="1"/>
  <c r="X102" i="16"/>
  <c r="AD102" i="16" s="1"/>
  <c r="W102" i="16"/>
  <c r="AC102" i="16" s="1"/>
  <c r="V102" i="16"/>
  <c r="AB102" i="16" s="1"/>
  <c r="X101" i="16"/>
  <c r="AD101" i="16" s="1"/>
  <c r="W101" i="16"/>
  <c r="AC101" i="16" s="1"/>
  <c r="V101" i="16"/>
  <c r="AB101" i="16" s="1"/>
  <c r="X100" i="16"/>
  <c r="AD100" i="16" s="1"/>
  <c r="W100" i="16"/>
  <c r="AC100" i="16" s="1"/>
  <c r="V100" i="16"/>
  <c r="AB100" i="16" s="1"/>
  <c r="X99" i="16"/>
  <c r="AD99" i="16" s="1"/>
  <c r="W99" i="16"/>
  <c r="AC99" i="16" s="1"/>
  <c r="V99" i="16"/>
  <c r="AB99" i="16" s="1"/>
  <c r="X98" i="16"/>
  <c r="AD98" i="16" s="1"/>
  <c r="W98" i="16"/>
  <c r="AC98" i="16" s="1"/>
  <c r="V98" i="16"/>
  <c r="AB98" i="16" s="1"/>
  <c r="X97" i="16"/>
  <c r="AD97" i="16" s="1"/>
  <c r="W97" i="16"/>
  <c r="AC97" i="16" s="1"/>
  <c r="V97" i="16"/>
  <c r="AB97" i="16" s="1"/>
  <c r="X96" i="16"/>
  <c r="AD96" i="16" s="1"/>
  <c r="W96" i="16"/>
  <c r="AC96" i="16" s="1"/>
  <c r="V96" i="16"/>
  <c r="AB96" i="16" s="1"/>
  <c r="X95" i="16"/>
  <c r="AD95" i="16" s="1"/>
  <c r="W95" i="16"/>
  <c r="AC95" i="16" s="1"/>
  <c r="V95" i="16"/>
  <c r="AB95" i="16" s="1"/>
  <c r="X94" i="16"/>
  <c r="AD94" i="16" s="1"/>
  <c r="W94" i="16"/>
  <c r="AC94" i="16" s="1"/>
  <c r="V94" i="16"/>
  <c r="AB94" i="16" s="1"/>
  <c r="X93" i="16"/>
  <c r="AD93" i="16" s="1"/>
  <c r="W93" i="16"/>
  <c r="AC93" i="16" s="1"/>
  <c r="V93" i="16"/>
  <c r="X92" i="16"/>
  <c r="AD92" i="16" s="1"/>
  <c r="W92" i="16"/>
  <c r="AC92" i="16" s="1"/>
  <c r="V92" i="16"/>
  <c r="AB92" i="16" s="1"/>
  <c r="X91" i="16"/>
  <c r="W91" i="16"/>
  <c r="AC91" i="16" s="1"/>
  <c r="V91" i="16"/>
  <c r="AB91" i="16" s="1"/>
  <c r="X90" i="16"/>
  <c r="AD90" i="16" s="1"/>
  <c r="W90" i="16"/>
  <c r="AC90" i="16" s="1"/>
  <c r="V90" i="16"/>
  <c r="AB90" i="16" s="1"/>
  <c r="X89" i="16"/>
  <c r="AD89" i="16" s="1"/>
  <c r="W89" i="16"/>
  <c r="AC89" i="16" s="1"/>
  <c r="V89" i="16"/>
  <c r="AB89" i="16" s="1"/>
  <c r="X88" i="16"/>
  <c r="AD88" i="16" s="1"/>
  <c r="W88" i="16"/>
  <c r="AC88" i="16" s="1"/>
  <c r="V88" i="16"/>
  <c r="AB88" i="16" s="1"/>
  <c r="X87" i="16"/>
  <c r="AD87" i="16" s="1"/>
  <c r="W87" i="16"/>
  <c r="AC87" i="16" s="1"/>
  <c r="V87" i="16"/>
  <c r="AB87" i="16" s="1"/>
  <c r="X86" i="16"/>
  <c r="AD86" i="16" s="1"/>
  <c r="W86" i="16"/>
  <c r="AC86" i="16" s="1"/>
  <c r="V86" i="16"/>
  <c r="AB86" i="16" s="1"/>
  <c r="X85" i="16"/>
  <c r="AD85" i="16" s="1"/>
  <c r="W85" i="16"/>
  <c r="AC85" i="16" s="1"/>
  <c r="V85" i="16"/>
  <c r="AB85" i="16" s="1"/>
  <c r="X84" i="16"/>
  <c r="AD84" i="16" s="1"/>
  <c r="W84" i="16"/>
  <c r="AC84" i="16" s="1"/>
  <c r="V84" i="16"/>
  <c r="AB84" i="16" s="1"/>
  <c r="X83" i="16"/>
  <c r="AD83" i="16" s="1"/>
  <c r="W83" i="16"/>
  <c r="AC83" i="16" s="1"/>
  <c r="V83" i="16"/>
  <c r="AB83" i="16" s="1"/>
  <c r="X82" i="16"/>
  <c r="AD82" i="16" s="1"/>
  <c r="W82" i="16"/>
  <c r="AC82" i="16" s="1"/>
  <c r="V82" i="16"/>
  <c r="AB82" i="16" s="1"/>
  <c r="X81" i="16"/>
  <c r="AD81" i="16" s="1"/>
  <c r="W81" i="16"/>
  <c r="AC81" i="16" s="1"/>
  <c r="V81" i="16"/>
  <c r="AB81" i="16" s="1"/>
  <c r="X80" i="16"/>
  <c r="AD80" i="16" s="1"/>
  <c r="W80" i="16"/>
  <c r="AC80" i="16" s="1"/>
  <c r="V80" i="16"/>
  <c r="AB80" i="16" s="1"/>
  <c r="X79" i="16"/>
  <c r="AD79" i="16" s="1"/>
  <c r="W79" i="16"/>
  <c r="AC79" i="16" s="1"/>
  <c r="V79" i="16"/>
  <c r="AB79" i="16" s="1"/>
  <c r="X78" i="16"/>
  <c r="AD78" i="16" s="1"/>
  <c r="W78" i="16"/>
  <c r="AC78" i="16" s="1"/>
  <c r="V78" i="16"/>
  <c r="AB78" i="16" s="1"/>
  <c r="X77" i="16"/>
  <c r="AD77" i="16" s="1"/>
  <c r="W77" i="16"/>
  <c r="AC77" i="16" s="1"/>
  <c r="V77" i="16"/>
  <c r="AB77" i="16" s="1"/>
  <c r="X76" i="16"/>
  <c r="AD76" i="16" s="1"/>
  <c r="W76" i="16"/>
  <c r="AC76" i="16" s="1"/>
  <c r="V76" i="16"/>
  <c r="AB76" i="16" s="1"/>
  <c r="X75" i="16"/>
  <c r="AD75" i="16" s="1"/>
  <c r="W75" i="16"/>
  <c r="AC75" i="16" s="1"/>
  <c r="V75" i="16"/>
  <c r="AB75" i="16" s="1"/>
  <c r="X74" i="16"/>
  <c r="AD74" i="16" s="1"/>
  <c r="W74" i="16"/>
  <c r="AC74" i="16" s="1"/>
  <c r="V74" i="16"/>
  <c r="AB74" i="16" s="1"/>
  <c r="X73" i="16"/>
  <c r="AD73" i="16" s="1"/>
  <c r="W73" i="16"/>
  <c r="AC73" i="16" s="1"/>
  <c r="V73" i="16"/>
  <c r="AB73" i="16" s="1"/>
  <c r="X72" i="16"/>
  <c r="AD72" i="16" s="1"/>
  <c r="W72" i="16"/>
  <c r="AC72" i="16" s="1"/>
  <c r="V72" i="16"/>
  <c r="AB72" i="16" s="1"/>
  <c r="X71" i="16"/>
  <c r="AD71" i="16" s="1"/>
  <c r="W71" i="16"/>
  <c r="AC71" i="16" s="1"/>
  <c r="V71" i="16"/>
  <c r="AB71" i="16" s="1"/>
  <c r="X70" i="16"/>
  <c r="AD70" i="16" s="1"/>
  <c r="W70" i="16"/>
  <c r="AC70" i="16" s="1"/>
  <c r="V70" i="16"/>
  <c r="AB70" i="16" s="1"/>
  <c r="X69" i="16"/>
  <c r="AD69" i="16" s="1"/>
  <c r="W69" i="16"/>
  <c r="AC69" i="16" s="1"/>
  <c r="V69" i="16"/>
  <c r="AB69" i="16" s="1"/>
  <c r="X68" i="16"/>
  <c r="AD68" i="16" s="1"/>
  <c r="W68" i="16"/>
  <c r="AC68" i="16" s="1"/>
  <c r="V68" i="16"/>
  <c r="AB68" i="16" s="1"/>
  <c r="X67" i="16"/>
  <c r="AD67" i="16" s="1"/>
  <c r="W67" i="16"/>
  <c r="AC67" i="16" s="1"/>
  <c r="V67" i="16"/>
  <c r="AB67" i="16" s="1"/>
  <c r="X66" i="16"/>
  <c r="AD66" i="16" s="1"/>
  <c r="W66" i="16"/>
  <c r="AC66" i="16" s="1"/>
  <c r="V66" i="16"/>
  <c r="AB66" i="16" s="1"/>
  <c r="X65" i="16"/>
  <c r="AD65" i="16" s="1"/>
  <c r="W65" i="16"/>
  <c r="AC65" i="16" s="1"/>
  <c r="V65" i="16"/>
  <c r="AB65" i="16" s="1"/>
  <c r="X64" i="16"/>
  <c r="AD64" i="16" s="1"/>
  <c r="W64" i="16"/>
  <c r="V64" i="16"/>
  <c r="AB64" i="16" s="1"/>
  <c r="X63" i="16"/>
  <c r="AD63" i="16" s="1"/>
  <c r="W63" i="16"/>
  <c r="AC63" i="16" s="1"/>
  <c r="V63" i="16"/>
  <c r="AB63" i="16" s="1"/>
  <c r="X62" i="16"/>
  <c r="AD62" i="16" s="1"/>
  <c r="W62" i="16"/>
  <c r="AC62" i="16" s="1"/>
  <c r="V62" i="16"/>
  <c r="AB62" i="16" s="1"/>
  <c r="X61" i="16"/>
  <c r="AD61" i="16" s="1"/>
  <c r="W61" i="16"/>
  <c r="AC61" i="16" s="1"/>
  <c r="V61" i="16"/>
  <c r="AB61" i="16" s="1"/>
  <c r="X60" i="16"/>
  <c r="AD60" i="16" s="1"/>
  <c r="W60" i="16"/>
  <c r="AC60" i="16" s="1"/>
  <c r="V60" i="16"/>
  <c r="AB60" i="16" s="1"/>
  <c r="X59" i="16"/>
  <c r="AD59" i="16" s="1"/>
  <c r="W59" i="16"/>
  <c r="AC59" i="16" s="1"/>
  <c r="V59" i="16"/>
  <c r="AB59" i="16" s="1"/>
  <c r="X58" i="16"/>
  <c r="AD58" i="16" s="1"/>
  <c r="W58" i="16"/>
  <c r="AC58" i="16" s="1"/>
  <c r="V58" i="16"/>
  <c r="AB58" i="16" s="1"/>
  <c r="X57" i="16"/>
  <c r="AD57" i="16" s="1"/>
  <c r="W57" i="16"/>
  <c r="AC57" i="16" s="1"/>
  <c r="V57" i="16"/>
  <c r="AB57" i="16" s="1"/>
  <c r="X56" i="16"/>
  <c r="AD56" i="16" s="1"/>
  <c r="W56" i="16"/>
  <c r="AC56" i="16" s="1"/>
  <c r="V56" i="16"/>
  <c r="AB56" i="16" s="1"/>
  <c r="X55" i="16"/>
  <c r="AD55" i="16" s="1"/>
  <c r="W55" i="16"/>
  <c r="AC55" i="16" s="1"/>
  <c r="V55" i="16"/>
  <c r="AB55" i="16" s="1"/>
  <c r="X54" i="16"/>
  <c r="AD54" i="16" s="1"/>
  <c r="W54" i="16"/>
  <c r="AC54" i="16" s="1"/>
  <c r="V54" i="16"/>
  <c r="AB54" i="16" s="1"/>
  <c r="X53" i="16"/>
  <c r="AD53" i="16" s="1"/>
  <c r="W53" i="16"/>
  <c r="AC53" i="16" s="1"/>
  <c r="V53" i="16"/>
  <c r="AB53" i="16" s="1"/>
  <c r="X52" i="16"/>
  <c r="AD52" i="16" s="1"/>
  <c r="W52" i="16"/>
  <c r="AC52" i="16" s="1"/>
  <c r="V52" i="16"/>
  <c r="AB52" i="16" s="1"/>
  <c r="X51" i="16"/>
  <c r="AD51" i="16" s="1"/>
  <c r="W51" i="16"/>
  <c r="AC51" i="16" s="1"/>
  <c r="V51" i="16"/>
  <c r="AB51" i="16" s="1"/>
  <c r="X50" i="16"/>
  <c r="AD50" i="16" s="1"/>
  <c r="W50" i="16"/>
  <c r="AC50" i="16" s="1"/>
  <c r="V50" i="16"/>
  <c r="AB50" i="16" s="1"/>
  <c r="X49" i="16"/>
  <c r="AD49" i="16" s="1"/>
  <c r="W49" i="16"/>
  <c r="AC49" i="16" s="1"/>
  <c r="V49" i="16"/>
  <c r="X48" i="16"/>
  <c r="AD48" i="16" s="1"/>
  <c r="W48" i="16"/>
  <c r="AC48" i="16" s="1"/>
  <c r="V48" i="16"/>
  <c r="AB48" i="16" s="1"/>
  <c r="X47" i="16"/>
  <c r="AD47" i="16" s="1"/>
  <c r="W47" i="16"/>
  <c r="AC47" i="16" s="1"/>
  <c r="V47" i="16"/>
  <c r="AB47" i="16" s="1"/>
  <c r="X46" i="16"/>
  <c r="AD46" i="16" s="1"/>
  <c r="W46" i="16"/>
  <c r="AC46" i="16" s="1"/>
  <c r="V46" i="16"/>
  <c r="AB46" i="16" s="1"/>
  <c r="X45" i="16"/>
  <c r="AD45" i="16" s="1"/>
  <c r="W45" i="16"/>
  <c r="AC45" i="16" s="1"/>
  <c r="V45" i="16"/>
  <c r="AB45" i="16" s="1"/>
  <c r="X44" i="16"/>
  <c r="AD44" i="16" s="1"/>
  <c r="W44" i="16"/>
  <c r="AC44" i="16" s="1"/>
  <c r="V44" i="16"/>
  <c r="AB44" i="16" s="1"/>
  <c r="X43" i="16"/>
  <c r="AD43" i="16" s="1"/>
  <c r="W43" i="16"/>
  <c r="AC43" i="16" s="1"/>
  <c r="V43" i="16"/>
  <c r="AB43" i="16" s="1"/>
  <c r="X42" i="16"/>
  <c r="AD42" i="16" s="1"/>
  <c r="W42" i="16"/>
  <c r="AC42" i="16" s="1"/>
  <c r="V42" i="16"/>
  <c r="AB42" i="16" s="1"/>
  <c r="X41" i="16"/>
  <c r="AD41" i="16" s="1"/>
  <c r="W41" i="16"/>
  <c r="AC41" i="16" s="1"/>
  <c r="V41" i="16"/>
  <c r="X40" i="16"/>
  <c r="AD40" i="16" s="1"/>
  <c r="W40" i="16"/>
  <c r="AC40" i="16" s="1"/>
  <c r="V40" i="16"/>
  <c r="AB40" i="16" s="1"/>
  <c r="X39" i="16"/>
  <c r="W39" i="16"/>
  <c r="AC39" i="16" s="1"/>
  <c r="V39" i="16"/>
  <c r="AB39" i="16" s="1"/>
  <c r="X38" i="16"/>
  <c r="AD38" i="16" s="1"/>
  <c r="W38" i="16"/>
  <c r="AC38" i="16" s="1"/>
  <c r="V38" i="16"/>
  <c r="AB38" i="16" s="1"/>
  <c r="X37" i="16"/>
  <c r="AD37" i="16" s="1"/>
  <c r="W37" i="16"/>
  <c r="AC37" i="16" s="1"/>
  <c r="V37" i="16"/>
  <c r="AB37" i="16" s="1"/>
  <c r="X36" i="16"/>
  <c r="AD36" i="16" s="1"/>
  <c r="W36" i="16"/>
  <c r="AC36" i="16" s="1"/>
  <c r="V36" i="16"/>
  <c r="AB36" i="16" s="1"/>
  <c r="X35" i="16"/>
  <c r="AD35" i="16" s="1"/>
  <c r="W35" i="16"/>
  <c r="AC35" i="16" s="1"/>
  <c r="V35" i="16"/>
  <c r="AB35" i="16" s="1"/>
  <c r="X34" i="16"/>
  <c r="AD34" i="16" s="1"/>
  <c r="W34" i="16"/>
  <c r="AC34" i="16" s="1"/>
  <c r="V34" i="16"/>
  <c r="AB34" i="16" s="1"/>
  <c r="X33" i="16"/>
  <c r="AD33" i="16" s="1"/>
  <c r="W33" i="16"/>
  <c r="AC33" i="16" s="1"/>
  <c r="V33" i="16"/>
  <c r="AB33" i="16" s="1"/>
  <c r="X32" i="16"/>
  <c r="AD32" i="16" s="1"/>
  <c r="W32" i="16"/>
  <c r="AC32" i="16" s="1"/>
  <c r="V32" i="16"/>
  <c r="AB32" i="16" s="1"/>
  <c r="X31" i="16"/>
  <c r="AD31" i="16" s="1"/>
  <c r="W31" i="16"/>
  <c r="AC31" i="16" s="1"/>
  <c r="V31" i="16"/>
  <c r="AB31" i="16" s="1"/>
  <c r="X30" i="16"/>
  <c r="AD30" i="16" s="1"/>
  <c r="W30" i="16"/>
  <c r="AC30" i="16" s="1"/>
  <c r="V30" i="16"/>
  <c r="AB30" i="16" s="1"/>
  <c r="X29" i="16"/>
  <c r="AD29" i="16" s="1"/>
  <c r="W29" i="16"/>
  <c r="AC29" i="16" s="1"/>
  <c r="V29" i="16"/>
  <c r="AB29" i="16" s="1"/>
  <c r="X28" i="16"/>
  <c r="AD28" i="16" s="1"/>
  <c r="W28" i="16"/>
  <c r="AC28" i="16" s="1"/>
  <c r="V28" i="16"/>
  <c r="AB28" i="16" s="1"/>
  <c r="X27" i="16"/>
  <c r="AD27" i="16" s="1"/>
  <c r="W27" i="16"/>
  <c r="AC27" i="16" s="1"/>
  <c r="V27" i="16"/>
  <c r="AB27" i="16" s="1"/>
  <c r="X26" i="16"/>
  <c r="AD26" i="16" s="1"/>
  <c r="W26" i="16"/>
  <c r="AC26" i="16" s="1"/>
  <c r="V26" i="16"/>
  <c r="AB26" i="16" s="1"/>
  <c r="X25" i="16"/>
  <c r="AD25" i="16" s="1"/>
  <c r="W25" i="16"/>
  <c r="AC25" i="16" s="1"/>
  <c r="V25" i="16"/>
  <c r="AB25" i="16" s="1"/>
  <c r="X24" i="16"/>
  <c r="AD24" i="16" s="1"/>
  <c r="W24" i="16"/>
  <c r="AC24" i="16" s="1"/>
  <c r="V24" i="16"/>
  <c r="AB24" i="16" s="1"/>
  <c r="X23" i="16"/>
  <c r="AD23" i="16" s="1"/>
  <c r="W23" i="16"/>
  <c r="AC23" i="16" s="1"/>
  <c r="V23" i="16"/>
  <c r="AB23" i="16" s="1"/>
  <c r="X22" i="16"/>
  <c r="AD22" i="16" s="1"/>
  <c r="W22" i="16"/>
  <c r="AC22" i="16" s="1"/>
  <c r="V22" i="16"/>
  <c r="AB22" i="16" s="1"/>
  <c r="X21" i="16"/>
  <c r="AD21" i="16" s="1"/>
  <c r="W21" i="16"/>
  <c r="AC21" i="16" s="1"/>
  <c r="V21" i="16"/>
  <c r="AB21" i="16" s="1"/>
  <c r="X20" i="16"/>
  <c r="AD20" i="16" s="1"/>
  <c r="W20" i="16"/>
  <c r="AC20" i="16" s="1"/>
  <c r="V20" i="16"/>
  <c r="AB20" i="16" s="1"/>
  <c r="X19" i="16"/>
  <c r="W19" i="16"/>
  <c r="AC19" i="16" s="1"/>
  <c r="V19" i="16"/>
  <c r="AB19" i="16" s="1"/>
  <c r="X18" i="16"/>
  <c r="AD18" i="16" s="1"/>
  <c r="W18" i="16"/>
  <c r="AC18" i="16" s="1"/>
  <c r="V18" i="16"/>
  <c r="AB18" i="16" s="1"/>
  <c r="X17" i="16"/>
  <c r="AD17" i="16" s="1"/>
  <c r="W17" i="16"/>
  <c r="AC17" i="16" s="1"/>
  <c r="V17" i="16"/>
  <c r="AB17" i="16" s="1"/>
  <c r="X16" i="16"/>
  <c r="AD16" i="16" s="1"/>
  <c r="W16" i="16"/>
  <c r="AC16" i="16" s="1"/>
  <c r="V16" i="16"/>
  <c r="AB16" i="16" s="1"/>
  <c r="X15" i="16"/>
  <c r="AD15" i="16" s="1"/>
  <c r="W15" i="16"/>
  <c r="AC15" i="16" s="1"/>
  <c r="V15" i="16"/>
  <c r="AB15" i="16" s="1"/>
  <c r="X14" i="16"/>
  <c r="AD14" i="16" s="1"/>
  <c r="W14" i="16"/>
  <c r="AC14" i="16" s="1"/>
  <c r="V14" i="16"/>
  <c r="AB14" i="16" s="1"/>
  <c r="X13" i="16"/>
  <c r="AD13" i="16" s="1"/>
  <c r="W13" i="16"/>
  <c r="AC13" i="16" s="1"/>
  <c r="V13" i="16"/>
  <c r="AB13" i="16" s="1"/>
  <c r="X12" i="16"/>
  <c r="AD12" i="16" s="1"/>
  <c r="W12" i="16"/>
  <c r="AC12" i="16" s="1"/>
  <c r="V12" i="16"/>
  <c r="AB12" i="16" s="1"/>
  <c r="X11" i="16"/>
  <c r="AD11" i="16" s="1"/>
  <c r="W11" i="16"/>
  <c r="AC11" i="16" s="1"/>
  <c r="V11" i="16"/>
  <c r="AB11" i="16" s="1"/>
  <c r="X10" i="16"/>
  <c r="AD10" i="16" s="1"/>
  <c r="W10" i="16"/>
  <c r="AC10" i="16" s="1"/>
  <c r="V10" i="16"/>
  <c r="AB10" i="16" s="1"/>
  <c r="X9" i="16"/>
  <c r="AD9" i="16" s="1"/>
  <c r="W9" i="16"/>
  <c r="AC9" i="16" s="1"/>
  <c r="V9" i="16"/>
  <c r="AB9" i="16" s="1"/>
  <c r="X8" i="16"/>
  <c r="AD8" i="16" s="1"/>
  <c r="W8" i="16"/>
  <c r="AC8" i="16" s="1"/>
  <c r="V8" i="16"/>
  <c r="AB8" i="16" s="1"/>
  <c r="X7" i="16"/>
  <c r="AD7" i="16" s="1"/>
  <c r="W7" i="16"/>
  <c r="AC7" i="16" s="1"/>
  <c r="V7" i="16"/>
  <c r="AB7" i="16" s="1"/>
  <c r="X6" i="16"/>
  <c r="AD6" i="16" s="1"/>
  <c r="W6" i="16"/>
  <c r="AC6" i="16" s="1"/>
  <c r="V6" i="16"/>
  <c r="AB6" i="16" s="1"/>
  <c r="X5" i="16"/>
  <c r="AD5" i="16" s="1"/>
  <c r="W5" i="16"/>
  <c r="AC5" i="16" s="1"/>
  <c r="V5" i="16"/>
  <c r="AB5" i="16" s="1"/>
  <c r="X4" i="16"/>
  <c r="AD4" i="16" s="1"/>
  <c r="W4" i="16"/>
  <c r="AC4" i="16" s="1"/>
  <c r="V4" i="16"/>
  <c r="AB4" i="16" s="1"/>
  <c r="X3" i="16"/>
  <c r="AD3" i="16" s="1"/>
  <c r="W3" i="16"/>
  <c r="AC3" i="16" s="1"/>
  <c r="V3" i="16"/>
  <c r="AB3" i="16" s="1"/>
  <c r="X2" i="16"/>
  <c r="AD2" i="16" s="1"/>
  <c r="W2" i="16"/>
  <c r="AC2" i="16" s="1"/>
  <c r="V2" i="16"/>
  <c r="AB2" i="16" s="1"/>
  <c r="AD71" i="6"/>
  <c r="AB71" i="6"/>
  <c r="AA71" i="6"/>
  <c r="Z71" i="6"/>
  <c r="Y71" i="6"/>
  <c r="X71" i="6"/>
  <c r="AD70" i="6"/>
  <c r="AB70" i="6"/>
  <c r="AA70" i="6"/>
  <c r="AA70" i="7" s="1"/>
  <c r="Z70" i="6"/>
  <c r="Y70" i="6"/>
  <c r="X70" i="6"/>
  <c r="AD69" i="6"/>
  <c r="AB69" i="6"/>
  <c r="AA69" i="6"/>
  <c r="AA69" i="7" s="1"/>
  <c r="Z69" i="6"/>
  <c r="Y69" i="6"/>
  <c r="X69" i="6"/>
  <c r="AD68" i="6"/>
  <c r="AB68" i="6"/>
  <c r="AA68" i="6"/>
  <c r="AA68" i="7" s="1"/>
  <c r="Z68" i="6"/>
  <c r="Y68" i="6"/>
  <c r="X68" i="6"/>
  <c r="AD67" i="6"/>
  <c r="AB67" i="6"/>
  <c r="AA67" i="6"/>
  <c r="Z67" i="6"/>
  <c r="Y67" i="6"/>
  <c r="X67" i="6"/>
  <c r="W67" i="6"/>
  <c r="AD66" i="6"/>
  <c r="AB66" i="6"/>
  <c r="AA66" i="6"/>
  <c r="AA66" i="7" s="1"/>
  <c r="Z66" i="6"/>
  <c r="Y66" i="6"/>
  <c r="X66" i="6"/>
  <c r="AD65" i="6"/>
  <c r="AB65" i="6"/>
  <c r="AA65" i="6"/>
  <c r="AA65" i="7" s="1"/>
  <c r="Z65" i="6"/>
  <c r="Y65" i="6"/>
  <c r="X65" i="6"/>
  <c r="AD64" i="6"/>
  <c r="AB64" i="6"/>
  <c r="AA64" i="6"/>
  <c r="Z64" i="6"/>
  <c r="Z64" i="7" s="1"/>
  <c r="Y64" i="6"/>
  <c r="X64" i="6"/>
  <c r="AD63" i="6"/>
  <c r="AB63" i="6"/>
  <c r="AA63" i="6"/>
  <c r="Z63" i="6"/>
  <c r="Y63" i="6"/>
  <c r="X63" i="6"/>
  <c r="AD62" i="6"/>
  <c r="AB62" i="6"/>
  <c r="AA62" i="6"/>
  <c r="Z62" i="6"/>
  <c r="Y62" i="6"/>
  <c r="X62" i="6"/>
  <c r="AD61" i="6"/>
  <c r="AB61" i="6"/>
  <c r="AA61" i="6"/>
  <c r="AA61" i="7" s="1"/>
  <c r="Z61" i="6"/>
  <c r="Z61" i="7" s="1"/>
  <c r="Y61" i="6"/>
  <c r="X61" i="6"/>
  <c r="AD60" i="6"/>
  <c r="AB60" i="6"/>
  <c r="AA60" i="6"/>
  <c r="Z60" i="6"/>
  <c r="Y60" i="6"/>
  <c r="X60" i="6"/>
  <c r="AD59" i="6"/>
  <c r="AB59" i="6"/>
  <c r="AA59" i="6"/>
  <c r="Z59" i="6"/>
  <c r="Y59" i="6"/>
  <c r="X59" i="6"/>
  <c r="AD58" i="6"/>
  <c r="AB58" i="6"/>
  <c r="AA58" i="6"/>
  <c r="Z58" i="6"/>
  <c r="Y58" i="6"/>
  <c r="X58" i="6"/>
  <c r="AD57" i="6"/>
  <c r="AB57" i="6"/>
  <c r="AA57" i="6"/>
  <c r="AA57" i="7" s="1"/>
  <c r="Z57" i="6"/>
  <c r="Y57" i="6"/>
  <c r="X57" i="6"/>
  <c r="AD56" i="6"/>
  <c r="AB56" i="6"/>
  <c r="AA56" i="6"/>
  <c r="Z56" i="6"/>
  <c r="Y56" i="6"/>
  <c r="X56" i="6"/>
  <c r="AD55" i="6"/>
  <c r="AB55" i="6"/>
  <c r="AA55" i="6"/>
  <c r="AA55" i="7" s="1"/>
  <c r="Z55" i="6"/>
  <c r="Y55" i="6"/>
  <c r="X55" i="6"/>
  <c r="AD54" i="6"/>
  <c r="AB54" i="6"/>
  <c r="AA54" i="6"/>
  <c r="Z54" i="6"/>
  <c r="Z54" i="7" s="1"/>
  <c r="Y54" i="6"/>
  <c r="X54" i="6"/>
  <c r="AD53" i="6"/>
  <c r="AB53" i="6"/>
  <c r="AA53" i="6"/>
  <c r="AA53" i="7" s="1"/>
  <c r="Z53" i="6"/>
  <c r="Y53" i="6"/>
  <c r="X53" i="6"/>
  <c r="AD52" i="6"/>
  <c r="AB52" i="6"/>
  <c r="AA52" i="6"/>
  <c r="Z52" i="6"/>
  <c r="Y52" i="6"/>
  <c r="X52" i="6"/>
  <c r="U52" i="6"/>
  <c r="AD51" i="6"/>
  <c r="AB51" i="6"/>
  <c r="AA51" i="6"/>
  <c r="Z51" i="6"/>
  <c r="Y51" i="6"/>
  <c r="X51" i="6"/>
  <c r="AD50" i="6"/>
  <c r="AB50" i="6"/>
  <c r="AA50" i="6"/>
  <c r="Z50" i="6"/>
  <c r="Y50" i="6"/>
  <c r="X50" i="6"/>
  <c r="AD49" i="6"/>
  <c r="AB49" i="6"/>
  <c r="AA49" i="6"/>
  <c r="AA49" i="7" s="1"/>
  <c r="Z49" i="6"/>
  <c r="Y49" i="6"/>
  <c r="X49" i="6"/>
  <c r="AD48" i="6"/>
  <c r="AB48" i="6"/>
  <c r="AA48" i="6"/>
  <c r="Z48" i="6"/>
  <c r="Y48" i="6"/>
  <c r="X48" i="6"/>
  <c r="AD47" i="6"/>
  <c r="AB47" i="6"/>
  <c r="AA47" i="6"/>
  <c r="Z47" i="6"/>
  <c r="Y47" i="6"/>
  <c r="X47" i="6"/>
  <c r="W47" i="6"/>
  <c r="AD46" i="6"/>
  <c r="AB46" i="6"/>
  <c r="AA46" i="6"/>
  <c r="Z46" i="6"/>
  <c r="Y46" i="6"/>
  <c r="X46" i="6"/>
  <c r="AD45" i="6"/>
  <c r="AC45" i="6"/>
  <c r="AB45" i="6"/>
  <c r="AA45" i="6"/>
  <c r="AA45" i="7" s="1"/>
  <c r="Z45" i="6"/>
  <c r="Y45" i="6"/>
  <c r="X45" i="6"/>
  <c r="W45" i="6"/>
  <c r="V45" i="6"/>
  <c r="U45" i="6"/>
  <c r="AD44" i="6"/>
  <c r="AB44" i="6"/>
  <c r="AA44" i="6"/>
  <c r="Z44" i="6"/>
  <c r="Y44" i="6"/>
  <c r="X44" i="6"/>
  <c r="AD43" i="6"/>
  <c r="AB43" i="6"/>
  <c r="AA43" i="6"/>
  <c r="Z43" i="6"/>
  <c r="Y43" i="6"/>
  <c r="X43" i="6"/>
  <c r="AD42" i="6"/>
  <c r="AB42" i="6"/>
  <c r="AA42" i="6"/>
  <c r="Z42" i="6"/>
  <c r="Y42" i="6"/>
  <c r="X42" i="6"/>
  <c r="AD41" i="6"/>
  <c r="AB41" i="6"/>
  <c r="AA41" i="6"/>
  <c r="AA41" i="7" s="1"/>
  <c r="Z41" i="6"/>
  <c r="Z41" i="7" s="1"/>
  <c r="Y41" i="6"/>
  <c r="X41" i="6"/>
  <c r="AD40" i="6"/>
  <c r="AC40" i="6"/>
  <c r="AB40" i="6"/>
  <c r="AA40" i="6"/>
  <c r="Z40" i="6"/>
  <c r="Y40" i="6"/>
  <c r="X40" i="6"/>
  <c r="W40" i="6"/>
  <c r="V40" i="6"/>
  <c r="U40" i="6"/>
  <c r="AD39" i="6"/>
  <c r="AC39" i="6"/>
  <c r="AB39" i="6"/>
  <c r="AA39" i="6"/>
  <c r="AA39" i="7" s="1"/>
  <c r="Z39" i="6"/>
  <c r="Y39" i="6"/>
  <c r="X39" i="6"/>
  <c r="W39" i="6"/>
  <c r="V39" i="6"/>
  <c r="U39" i="6"/>
  <c r="AD38" i="6"/>
  <c r="AC38" i="6"/>
  <c r="AB38" i="6"/>
  <c r="AA38" i="6"/>
  <c r="Z38" i="6"/>
  <c r="Z38" i="7" s="1"/>
  <c r="Y38" i="6"/>
  <c r="X38" i="6"/>
  <c r="W38" i="6"/>
  <c r="V38" i="6"/>
  <c r="U38" i="6"/>
  <c r="AD37" i="6"/>
  <c r="AC37" i="6"/>
  <c r="AB37" i="6"/>
  <c r="AA37" i="6"/>
  <c r="AA37" i="7" s="1"/>
  <c r="Z37" i="6"/>
  <c r="Y37" i="6"/>
  <c r="X37" i="6"/>
  <c r="W37" i="6"/>
  <c r="V37" i="6"/>
  <c r="U37" i="6"/>
  <c r="AD36" i="6"/>
  <c r="AC36" i="6"/>
  <c r="AB36" i="6"/>
  <c r="AA36" i="6"/>
  <c r="Z36" i="6"/>
  <c r="Z36" i="7" s="1"/>
  <c r="Y36" i="6"/>
  <c r="X36" i="6"/>
  <c r="W36" i="6"/>
  <c r="V36" i="6"/>
  <c r="U36" i="6"/>
  <c r="AD35" i="6"/>
  <c r="AC35" i="6"/>
  <c r="AB35" i="6"/>
  <c r="AA35" i="6"/>
  <c r="AA35" i="7" s="1"/>
  <c r="Z35" i="6"/>
  <c r="Y35" i="6"/>
  <c r="X35" i="6"/>
  <c r="W35" i="6"/>
  <c r="V35" i="6"/>
  <c r="U35" i="6"/>
  <c r="AD34" i="6"/>
  <c r="AC34" i="6"/>
  <c r="AB34" i="6"/>
  <c r="AA34" i="6"/>
  <c r="Z34" i="6"/>
  <c r="Y34" i="6"/>
  <c r="X34" i="6"/>
  <c r="W34" i="6"/>
  <c r="V34" i="6"/>
  <c r="U34" i="6"/>
  <c r="AD33" i="6"/>
  <c r="AC33" i="6"/>
  <c r="AB33" i="6"/>
  <c r="AA33" i="6"/>
  <c r="AA33" i="7" s="1"/>
  <c r="Z33" i="6"/>
  <c r="Z33" i="7" s="1"/>
  <c r="Y33" i="6"/>
  <c r="X33" i="6"/>
  <c r="W33" i="6"/>
  <c r="V33" i="6"/>
  <c r="U33" i="6"/>
  <c r="AD32" i="6"/>
  <c r="AC32" i="6"/>
  <c r="AB32" i="6"/>
  <c r="AA32" i="6"/>
  <c r="Z32" i="6"/>
  <c r="Y32" i="6"/>
  <c r="X32" i="6"/>
  <c r="W32" i="6"/>
  <c r="V32" i="6"/>
  <c r="U32" i="6"/>
  <c r="AD31" i="6"/>
  <c r="AC31" i="6"/>
  <c r="AB31" i="6"/>
  <c r="AA31" i="6"/>
  <c r="AA31" i="7" s="1"/>
  <c r="Z31" i="6"/>
  <c r="Y31" i="6"/>
  <c r="X31" i="6"/>
  <c r="W31" i="6"/>
  <c r="V31" i="6"/>
  <c r="U31" i="6"/>
  <c r="AD30" i="6"/>
  <c r="AC30" i="6"/>
  <c r="AB30" i="6"/>
  <c r="AA30" i="6"/>
  <c r="Z30" i="6"/>
  <c r="Y30" i="6"/>
  <c r="X30" i="6"/>
  <c r="W30" i="6"/>
  <c r="V30" i="6"/>
  <c r="U30" i="6"/>
  <c r="AD29" i="6"/>
  <c r="AC29" i="6"/>
  <c r="AB29" i="6"/>
  <c r="AA29" i="6"/>
  <c r="AA29" i="7" s="1"/>
  <c r="Z29" i="6"/>
  <c r="Y29" i="6"/>
  <c r="X29" i="6"/>
  <c r="W29" i="6"/>
  <c r="V29" i="6"/>
  <c r="U29" i="6"/>
  <c r="AD28" i="6"/>
  <c r="AC28" i="6"/>
  <c r="AB28" i="6"/>
  <c r="AA28" i="6"/>
  <c r="Z28" i="6"/>
  <c r="Y28" i="6"/>
  <c r="X28" i="6"/>
  <c r="W28" i="6"/>
  <c r="V28" i="6"/>
  <c r="U28" i="6"/>
  <c r="AD27" i="6"/>
  <c r="AC27" i="6"/>
  <c r="AB27" i="6"/>
  <c r="AA27" i="6"/>
  <c r="AA27" i="7" s="1"/>
  <c r="Z27" i="6"/>
  <c r="Y27" i="6"/>
  <c r="X27" i="6"/>
  <c r="W27" i="6"/>
  <c r="V27" i="6"/>
  <c r="U27" i="6"/>
  <c r="AD26" i="6"/>
  <c r="AC26" i="6"/>
  <c r="AB26" i="6"/>
  <c r="AA26" i="6"/>
  <c r="Z26" i="6"/>
  <c r="Z26" i="7" s="1"/>
  <c r="Y26" i="6"/>
  <c r="X26" i="6"/>
  <c r="W26" i="6"/>
  <c r="V26" i="6"/>
  <c r="U26" i="6"/>
  <c r="AD25" i="6"/>
  <c r="AC25" i="6"/>
  <c r="AB25" i="6"/>
  <c r="AA25" i="6"/>
  <c r="AA25" i="7" s="1"/>
  <c r="Z25" i="6"/>
  <c r="Y25" i="6"/>
  <c r="X25" i="6"/>
  <c r="W25" i="6"/>
  <c r="V25" i="6"/>
  <c r="U25" i="6"/>
  <c r="AD24" i="6"/>
  <c r="AC24" i="6"/>
  <c r="AB24" i="6"/>
  <c r="AA24" i="6"/>
  <c r="Z24" i="6"/>
  <c r="Y24" i="6"/>
  <c r="X24" i="6"/>
  <c r="W24" i="6"/>
  <c r="V24" i="6"/>
  <c r="U24" i="6"/>
  <c r="AD23" i="6"/>
  <c r="AC23" i="6"/>
  <c r="AB23" i="6"/>
  <c r="AA23" i="6"/>
  <c r="AA23" i="7" s="1"/>
  <c r="Z23" i="6"/>
  <c r="Y23" i="6"/>
  <c r="X23" i="6"/>
  <c r="W23" i="6"/>
  <c r="V23" i="6"/>
  <c r="U23" i="6"/>
  <c r="AD22" i="6"/>
  <c r="AC22" i="6"/>
  <c r="AB22" i="6"/>
  <c r="AA22" i="6"/>
  <c r="Z22" i="6"/>
  <c r="Z22" i="7" s="1"/>
  <c r="Y22" i="6"/>
  <c r="X22" i="6"/>
  <c r="W22" i="6"/>
  <c r="V22" i="6"/>
  <c r="U22" i="6"/>
  <c r="AD21" i="6"/>
  <c r="AC21" i="6"/>
  <c r="AB21" i="6"/>
  <c r="AA21" i="6"/>
  <c r="AA21" i="7" s="1"/>
  <c r="Z21" i="6"/>
  <c r="Y21" i="6"/>
  <c r="X21" i="6"/>
  <c r="W21" i="6"/>
  <c r="V21" i="6"/>
  <c r="U21" i="6"/>
  <c r="AD20" i="6"/>
  <c r="AC20" i="6"/>
  <c r="AB20" i="6"/>
  <c r="AA20" i="6"/>
  <c r="Z20" i="6"/>
  <c r="Z20" i="7" s="1"/>
  <c r="Y20" i="6"/>
  <c r="X20" i="6"/>
  <c r="W20" i="6"/>
  <c r="V20" i="6"/>
  <c r="U20" i="6"/>
  <c r="AD19" i="6"/>
  <c r="AC19" i="6"/>
  <c r="AB19" i="6"/>
  <c r="AA19" i="6"/>
  <c r="Z19" i="6"/>
  <c r="Y19" i="6"/>
  <c r="X19" i="6"/>
  <c r="W19" i="6"/>
  <c r="V19" i="6"/>
  <c r="U19" i="6"/>
  <c r="AD18" i="6"/>
  <c r="AC18" i="6"/>
  <c r="AB18" i="6"/>
  <c r="AA18" i="6"/>
  <c r="Z18" i="6"/>
  <c r="Z18" i="7" s="1"/>
  <c r="Y18" i="6"/>
  <c r="X18" i="6"/>
  <c r="W18" i="6"/>
  <c r="V18" i="6"/>
  <c r="U18" i="6"/>
  <c r="AD17" i="6"/>
  <c r="AC17" i="6"/>
  <c r="AB17" i="6"/>
  <c r="AA17" i="6"/>
  <c r="AA17" i="7" s="1"/>
  <c r="Z17" i="6"/>
  <c r="Z17" i="7" s="1"/>
  <c r="Y17" i="6"/>
  <c r="X17" i="6"/>
  <c r="W17" i="6"/>
  <c r="V17" i="6"/>
  <c r="U17" i="6"/>
  <c r="AD16" i="6"/>
  <c r="AC16" i="6"/>
  <c r="AB16" i="6"/>
  <c r="AA16" i="6"/>
  <c r="Z16" i="6"/>
  <c r="Z16" i="7" s="1"/>
  <c r="Y16" i="6"/>
  <c r="X16" i="6"/>
  <c r="W16" i="6"/>
  <c r="V16" i="6"/>
  <c r="U16" i="6"/>
  <c r="AD15" i="6"/>
  <c r="AC15" i="6"/>
  <c r="AB15" i="6"/>
  <c r="AA15" i="6"/>
  <c r="AA15" i="7" s="1"/>
  <c r="Z15" i="6"/>
  <c r="Y15" i="6"/>
  <c r="X15" i="6"/>
  <c r="W15" i="6"/>
  <c r="V15" i="6"/>
  <c r="U15" i="6"/>
  <c r="AD14" i="6"/>
  <c r="AC14" i="6"/>
  <c r="AB14" i="6"/>
  <c r="AA14" i="6"/>
  <c r="Z14" i="6"/>
  <c r="Z14" i="7" s="1"/>
  <c r="Y14" i="6"/>
  <c r="X14" i="6"/>
  <c r="W14" i="6"/>
  <c r="V14" i="6"/>
  <c r="U14" i="6"/>
  <c r="AD13" i="6"/>
  <c r="AB13" i="6"/>
  <c r="AA13" i="6"/>
  <c r="AA13" i="7" s="1"/>
  <c r="Z13" i="6"/>
  <c r="AD12" i="6"/>
  <c r="AC12" i="6"/>
  <c r="AB12" i="6"/>
  <c r="AA12" i="6"/>
  <c r="AA12" i="7" s="1"/>
  <c r="Z12" i="6"/>
  <c r="Y12" i="6"/>
  <c r="X12" i="6"/>
  <c r="W12" i="6"/>
  <c r="V12" i="6"/>
  <c r="U12" i="6"/>
  <c r="AD11" i="6"/>
  <c r="AC11" i="6"/>
  <c r="AB11" i="6"/>
  <c r="AA11" i="6"/>
  <c r="Z11" i="6"/>
  <c r="Z11" i="7" s="1"/>
  <c r="Y11" i="6"/>
  <c r="X11" i="6"/>
  <c r="W11" i="6"/>
  <c r="V11" i="6"/>
  <c r="U11" i="6"/>
  <c r="AD10" i="6"/>
  <c r="AC10" i="6"/>
  <c r="AB10" i="6"/>
  <c r="AA10" i="6"/>
  <c r="Z10" i="6"/>
  <c r="Z10" i="7" s="1"/>
  <c r="Y10" i="6"/>
  <c r="X10" i="6"/>
  <c r="W10" i="6"/>
  <c r="V10" i="6"/>
  <c r="U10" i="6"/>
  <c r="AD9" i="6"/>
  <c r="AC9" i="6"/>
  <c r="AB9" i="6"/>
  <c r="AA9" i="6"/>
  <c r="AA9" i="7" s="1"/>
  <c r="Z9" i="6"/>
  <c r="Y9" i="6"/>
  <c r="X9" i="6"/>
  <c r="W9" i="6"/>
  <c r="V9" i="6"/>
  <c r="U9" i="6"/>
  <c r="AD8" i="6"/>
  <c r="AC8" i="6"/>
  <c r="AB8" i="6"/>
  <c r="AA8" i="6"/>
  <c r="AA8" i="7" s="1"/>
  <c r="Z8" i="6"/>
  <c r="Y8" i="6"/>
  <c r="X8" i="6"/>
  <c r="W8" i="6"/>
  <c r="V8" i="6"/>
  <c r="U8" i="6"/>
  <c r="AD7" i="6"/>
  <c r="AC7" i="6"/>
  <c r="AB7" i="6"/>
  <c r="AA7" i="6"/>
  <c r="Z7" i="6"/>
  <c r="Z7" i="7" s="1"/>
  <c r="Y7" i="6"/>
  <c r="X7" i="6"/>
  <c r="W7" i="6"/>
  <c r="V7" i="6"/>
  <c r="U7" i="6"/>
  <c r="AD6" i="6"/>
  <c r="AC6" i="6"/>
  <c r="AB6" i="6"/>
  <c r="AA6" i="6"/>
  <c r="Z6" i="6"/>
  <c r="Y6" i="6"/>
  <c r="X6" i="6"/>
  <c r="W6" i="6"/>
  <c r="V6" i="6"/>
  <c r="U6" i="6"/>
  <c r="AD5" i="6"/>
  <c r="AC5" i="6"/>
  <c r="AB5" i="6"/>
  <c r="AA5" i="6"/>
  <c r="Z5" i="6"/>
  <c r="Y5" i="6"/>
  <c r="X5" i="6"/>
  <c r="W5" i="6"/>
  <c r="V5" i="6"/>
  <c r="U5" i="6"/>
  <c r="AP71" i="14"/>
  <c r="AC71" i="14"/>
  <c r="AC71" i="6" s="1"/>
  <c r="W71" i="14"/>
  <c r="W71" i="6" s="1"/>
  <c r="V71" i="14"/>
  <c r="V71" i="6" s="1"/>
  <c r="U71" i="14"/>
  <c r="U71" i="6" s="1"/>
  <c r="AP70" i="14"/>
  <c r="AC70" i="14"/>
  <c r="AC70" i="6" s="1"/>
  <c r="W70" i="14"/>
  <c r="W70" i="6" s="1"/>
  <c r="V70" i="14"/>
  <c r="V70" i="6" s="1"/>
  <c r="U70" i="14"/>
  <c r="U70" i="6" s="1"/>
  <c r="AP69" i="14"/>
  <c r="AC69" i="14"/>
  <c r="AC69" i="6" s="1"/>
  <c r="W69" i="14"/>
  <c r="W69" i="6" s="1"/>
  <c r="V69" i="14"/>
  <c r="V69" i="6" s="1"/>
  <c r="U69" i="14"/>
  <c r="U69" i="6" s="1"/>
  <c r="AP68" i="14"/>
  <c r="AC68" i="14"/>
  <c r="AC68" i="6" s="1"/>
  <c r="W68" i="14"/>
  <c r="W68" i="6" s="1"/>
  <c r="V68" i="14"/>
  <c r="V68" i="6" s="1"/>
  <c r="U68" i="14"/>
  <c r="U68" i="6" s="1"/>
  <c r="AP67" i="14"/>
  <c r="AC67" i="14"/>
  <c r="AC67" i="6" s="1"/>
  <c r="W67" i="14"/>
  <c r="V67" i="14"/>
  <c r="V67" i="6" s="1"/>
  <c r="U67" i="14"/>
  <c r="U67" i="6" s="1"/>
  <c r="AP66" i="14"/>
  <c r="AC66" i="14"/>
  <c r="AC66" i="6" s="1"/>
  <c r="W66" i="14"/>
  <c r="W66" i="6" s="1"/>
  <c r="V66" i="14"/>
  <c r="V66" i="6" s="1"/>
  <c r="U66" i="14"/>
  <c r="U66" i="6" s="1"/>
  <c r="AP65" i="14"/>
  <c r="AC65" i="14"/>
  <c r="AC65" i="6" s="1"/>
  <c r="W65" i="14"/>
  <c r="W65" i="6" s="1"/>
  <c r="V65" i="14"/>
  <c r="V65" i="6" s="1"/>
  <c r="U65" i="14"/>
  <c r="U65" i="6" s="1"/>
  <c r="AP64" i="14"/>
  <c r="AC64" i="14"/>
  <c r="AC64" i="6" s="1"/>
  <c r="W64" i="14"/>
  <c r="W64" i="6" s="1"/>
  <c r="V64" i="14"/>
  <c r="V64" i="6" s="1"/>
  <c r="U64" i="14"/>
  <c r="U64" i="6" s="1"/>
  <c r="AP63" i="14"/>
  <c r="AC63" i="14"/>
  <c r="AC63" i="6" s="1"/>
  <c r="W63" i="14"/>
  <c r="W63" i="6" s="1"/>
  <c r="V63" i="14"/>
  <c r="V63" i="6" s="1"/>
  <c r="U63" i="14"/>
  <c r="U63" i="6" s="1"/>
  <c r="AP62" i="14"/>
  <c r="AC62" i="14"/>
  <c r="AC62" i="6" s="1"/>
  <c r="W62" i="14"/>
  <c r="W62" i="6" s="1"/>
  <c r="V62" i="14"/>
  <c r="V62" i="6" s="1"/>
  <c r="U62" i="14"/>
  <c r="U62" i="6" s="1"/>
  <c r="AP61" i="14"/>
  <c r="AC61" i="14"/>
  <c r="AC61" i="6" s="1"/>
  <c r="W61" i="14"/>
  <c r="W61" i="6" s="1"/>
  <c r="V61" i="14"/>
  <c r="V61" i="6" s="1"/>
  <c r="U61" i="14"/>
  <c r="U61" i="6" s="1"/>
  <c r="AP60" i="14"/>
  <c r="AC60" i="14"/>
  <c r="AC60" i="6" s="1"/>
  <c r="W60" i="14"/>
  <c r="W60" i="6" s="1"/>
  <c r="V60" i="14"/>
  <c r="V60" i="6" s="1"/>
  <c r="U60" i="14"/>
  <c r="U60" i="6" s="1"/>
  <c r="AP59" i="14"/>
  <c r="AC59" i="14"/>
  <c r="AC59" i="6" s="1"/>
  <c r="W59" i="14"/>
  <c r="W59" i="6" s="1"/>
  <c r="V59" i="14"/>
  <c r="V59" i="6" s="1"/>
  <c r="U59" i="14"/>
  <c r="U59" i="6" s="1"/>
  <c r="AP58" i="14"/>
  <c r="AC58" i="14"/>
  <c r="AC58" i="6" s="1"/>
  <c r="W58" i="14"/>
  <c r="W58" i="6" s="1"/>
  <c r="V58" i="14"/>
  <c r="V58" i="6" s="1"/>
  <c r="U58" i="14"/>
  <c r="U58" i="6" s="1"/>
  <c r="AP57" i="14"/>
  <c r="AC57" i="14"/>
  <c r="AC57" i="6" s="1"/>
  <c r="W57" i="14"/>
  <c r="W57" i="6" s="1"/>
  <c r="V57" i="14"/>
  <c r="V57" i="6" s="1"/>
  <c r="U57" i="14"/>
  <c r="U57" i="6" s="1"/>
  <c r="AP56" i="14"/>
  <c r="AC56" i="14"/>
  <c r="AC56" i="6" s="1"/>
  <c r="W56" i="14"/>
  <c r="W56" i="6" s="1"/>
  <c r="V56" i="14"/>
  <c r="V56" i="6" s="1"/>
  <c r="U56" i="14"/>
  <c r="U56" i="6" s="1"/>
  <c r="AP55" i="14"/>
  <c r="AC55" i="14"/>
  <c r="AC55" i="6" s="1"/>
  <c r="W55" i="14"/>
  <c r="W55" i="6" s="1"/>
  <c r="V55" i="14"/>
  <c r="V55" i="6" s="1"/>
  <c r="U55" i="14"/>
  <c r="U55" i="6" s="1"/>
  <c r="AP54" i="14"/>
  <c r="AC54" i="14"/>
  <c r="AC54" i="6" s="1"/>
  <c r="W54" i="14"/>
  <c r="W54" i="6" s="1"/>
  <c r="V54" i="14"/>
  <c r="V54" i="6" s="1"/>
  <c r="U54" i="14"/>
  <c r="U54" i="6" s="1"/>
  <c r="AP53" i="14"/>
  <c r="AC53" i="14"/>
  <c r="AC53" i="6" s="1"/>
  <c r="W53" i="14"/>
  <c r="W53" i="6" s="1"/>
  <c r="V53" i="14"/>
  <c r="V53" i="6" s="1"/>
  <c r="U53" i="14"/>
  <c r="U53" i="6" s="1"/>
  <c r="AP52" i="14"/>
  <c r="AC52" i="14"/>
  <c r="AC52" i="6" s="1"/>
  <c r="W52" i="14"/>
  <c r="W52" i="6" s="1"/>
  <c r="V52" i="14"/>
  <c r="V52" i="6" s="1"/>
  <c r="U52" i="14"/>
  <c r="AP51" i="14"/>
  <c r="AC51" i="14"/>
  <c r="AC51" i="6" s="1"/>
  <c r="W51" i="14"/>
  <c r="W51" i="6" s="1"/>
  <c r="V51" i="14"/>
  <c r="V51" i="6" s="1"/>
  <c r="U51" i="14"/>
  <c r="U51" i="6" s="1"/>
  <c r="AP50" i="14"/>
  <c r="AC50" i="14"/>
  <c r="AC50" i="6" s="1"/>
  <c r="W50" i="14"/>
  <c r="W50" i="6" s="1"/>
  <c r="V50" i="14"/>
  <c r="V50" i="6" s="1"/>
  <c r="U50" i="14"/>
  <c r="U50" i="6" s="1"/>
  <c r="AP49" i="14"/>
  <c r="AC49" i="14"/>
  <c r="AC49" i="6" s="1"/>
  <c r="W49" i="14"/>
  <c r="W49" i="6" s="1"/>
  <c r="V49" i="14"/>
  <c r="V49" i="6" s="1"/>
  <c r="U49" i="14"/>
  <c r="U49" i="6" s="1"/>
  <c r="AP48" i="14"/>
  <c r="AC48" i="14"/>
  <c r="AC48" i="6" s="1"/>
  <c r="W48" i="14"/>
  <c r="W48" i="6" s="1"/>
  <c r="V48" i="14"/>
  <c r="V48" i="6" s="1"/>
  <c r="U48" i="14"/>
  <c r="U48" i="6" s="1"/>
  <c r="AP47" i="14"/>
  <c r="AC47" i="14"/>
  <c r="AC47" i="6" s="1"/>
  <c r="W47" i="14"/>
  <c r="V47" i="14"/>
  <c r="V47" i="6" s="1"/>
  <c r="U47" i="14"/>
  <c r="U47" i="6" s="1"/>
  <c r="AP46" i="14"/>
  <c r="AC46" i="14"/>
  <c r="AC46" i="6" s="1"/>
  <c r="W46" i="14"/>
  <c r="W46" i="6" s="1"/>
  <c r="V46" i="14"/>
  <c r="V46" i="6" s="1"/>
  <c r="U46" i="14"/>
  <c r="U46" i="6" s="1"/>
  <c r="AP44" i="14"/>
  <c r="AC44" i="14"/>
  <c r="AC44" i="6" s="1"/>
  <c r="W44" i="14"/>
  <c r="W44" i="6" s="1"/>
  <c r="V44" i="14"/>
  <c r="V44" i="6" s="1"/>
  <c r="U44" i="14"/>
  <c r="U44" i="6" s="1"/>
  <c r="AP43" i="14"/>
  <c r="AC43" i="14"/>
  <c r="AC43" i="6" s="1"/>
  <c r="W43" i="14"/>
  <c r="W43" i="6" s="1"/>
  <c r="V43" i="14"/>
  <c r="V43" i="6" s="1"/>
  <c r="U43" i="14"/>
  <c r="U43" i="6" s="1"/>
  <c r="AP42" i="14"/>
  <c r="AC42" i="14"/>
  <c r="AC42" i="6" s="1"/>
  <c r="W42" i="14"/>
  <c r="W42" i="6" s="1"/>
  <c r="V42" i="14"/>
  <c r="V42" i="6" s="1"/>
  <c r="U42" i="14"/>
  <c r="U42" i="6" s="1"/>
  <c r="AP41" i="14"/>
  <c r="AC41" i="14"/>
  <c r="AC41" i="6" s="1"/>
  <c r="W41" i="14"/>
  <c r="W41" i="6" s="1"/>
  <c r="V41" i="14"/>
  <c r="V41" i="6" s="1"/>
  <c r="U41" i="14"/>
  <c r="U41" i="6" s="1"/>
  <c r="AC13" i="14"/>
  <c r="AC13" i="6" s="1"/>
  <c r="Y13" i="14"/>
  <c r="Y13" i="6" s="1"/>
  <c r="X13" i="14"/>
  <c r="X13" i="6" s="1"/>
  <c r="X13" i="7" s="1"/>
  <c r="W13" i="14"/>
  <c r="W13" i="6" s="1"/>
  <c r="V13" i="14"/>
  <c r="V13" i="6" s="1"/>
  <c r="U13" i="14"/>
  <c r="U13" i="6" s="1"/>
  <c r="X54" i="13"/>
  <c r="V54" i="13"/>
  <c r="T54" i="13"/>
  <c r="P54" i="13"/>
  <c r="O54" i="13"/>
  <c r="N54" i="13"/>
  <c r="M54" i="13"/>
  <c r="V53" i="13"/>
  <c r="U53" i="13"/>
  <c r="T53" i="13"/>
  <c r="P53" i="13"/>
  <c r="O53" i="13"/>
  <c r="N53" i="13"/>
  <c r="M53" i="13"/>
  <c r="X52" i="13"/>
  <c r="V52" i="13"/>
  <c r="U52" i="13"/>
  <c r="T52" i="13"/>
  <c r="P52" i="13"/>
  <c r="O52" i="13"/>
  <c r="N52" i="13"/>
  <c r="M52" i="13"/>
  <c r="X54" i="12"/>
  <c r="V54" i="12"/>
  <c r="T54" i="12"/>
  <c r="P54" i="12"/>
  <c r="O54" i="12"/>
  <c r="N54" i="12"/>
  <c r="M54" i="12"/>
  <c r="V53" i="12"/>
  <c r="U53" i="12"/>
  <c r="T53" i="12"/>
  <c r="P53" i="12"/>
  <c r="O53" i="12"/>
  <c r="N53" i="12"/>
  <c r="M53" i="12"/>
  <c r="X52" i="12"/>
  <c r="V52" i="12"/>
  <c r="V56" i="12" s="1"/>
  <c r="U52" i="12"/>
  <c r="T52" i="12"/>
  <c r="P52" i="12"/>
  <c r="O52" i="12"/>
  <c r="N52" i="12"/>
  <c r="M52" i="12"/>
  <c r="Y49" i="11"/>
  <c r="Y48" i="11"/>
  <c r="Y47" i="11"/>
  <c r="Y46" i="11"/>
  <c r="Y45" i="11"/>
  <c r="Y44" i="11"/>
  <c r="Y43" i="11"/>
  <c r="Y42" i="11"/>
  <c r="Y41" i="11"/>
  <c r="Y40" i="11"/>
  <c r="Y39" i="11"/>
  <c r="Y38" i="11"/>
  <c r="Y37" i="11"/>
  <c r="Y36" i="11"/>
  <c r="Y35" i="11"/>
  <c r="Y34" i="11"/>
  <c r="Y33" i="11"/>
  <c r="Y32" i="11"/>
  <c r="Y31" i="11"/>
  <c r="Y30" i="11"/>
  <c r="Y29" i="11"/>
  <c r="Y28" i="11"/>
  <c r="Y27" i="11"/>
  <c r="Y26" i="11"/>
  <c r="Y25" i="11"/>
  <c r="Y24" i="11"/>
  <c r="Y23" i="11"/>
  <c r="Y22" i="11"/>
  <c r="Y21" i="11"/>
  <c r="Y20" i="11"/>
  <c r="Y19" i="11"/>
  <c r="Y18" i="11"/>
  <c r="Y17" i="11"/>
  <c r="Y16" i="11"/>
  <c r="Y15" i="11"/>
  <c r="Y14" i="11"/>
  <c r="Y13" i="11"/>
  <c r="Y12" i="11"/>
  <c r="Y11" i="11"/>
  <c r="Y10" i="11"/>
  <c r="Y9" i="11"/>
  <c r="Y8" i="11"/>
  <c r="Y7" i="11"/>
  <c r="Y6" i="11"/>
  <c r="Y5" i="11"/>
  <c r="X54" i="11"/>
  <c r="V54" i="11"/>
  <c r="T54" i="11"/>
  <c r="P54" i="11"/>
  <c r="O54" i="11"/>
  <c r="N54" i="11"/>
  <c r="M54" i="11"/>
  <c r="V53" i="11"/>
  <c r="U53" i="11"/>
  <c r="T53" i="11"/>
  <c r="P53" i="11"/>
  <c r="O53" i="11"/>
  <c r="N53" i="11"/>
  <c r="M53" i="11"/>
  <c r="X52" i="11"/>
  <c r="V52" i="11"/>
  <c r="V56" i="11" s="1"/>
  <c r="U52" i="11"/>
  <c r="U56" i="11" s="1"/>
  <c r="T52" i="11"/>
  <c r="T56" i="11" s="1"/>
  <c r="P52" i="11"/>
  <c r="P56" i="11" s="1"/>
  <c r="O52" i="11"/>
  <c r="O56" i="11" s="1"/>
  <c r="N52" i="11"/>
  <c r="N56" i="11" s="1"/>
  <c r="M52" i="11"/>
  <c r="M56" i="11" s="1"/>
  <c r="X54" i="10"/>
  <c r="X52" i="10"/>
  <c r="V54" i="10"/>
  <c r="V53" i="10"/>
  <c r="V52" i="10"/>
  <c r="U53" i="10"/>
  <c r="U52" i="10"/>
  <c r="T54" i="10"/>
  <c r="T53" i="10"/>
  <c r="T52" i="10"/>
  <c r="R55" i="10"/>
  <c r="P54" i="10"/>
  <c r="P53" i="10"/>
  <c r="P52" i="10"/>
  <c r="O54" i="10"/>
  <c r="O53" i="10"/>
  <c r="O52" i="10"/>
  <c r="N54" i="10"/>
  <c r="N53" i="10"/>
  <c r="N52" i="10"/>
  <c r="M54" i="10"/>
  <c r="M53" i="10"/>
  <c r="M52" i="10"/>
  <c r="Z49" i="10"/>
  <c r="Z48" i="10"/>
  <c r="Z47" i="10"/>
  <c r="Z46" i="10"/>
  <c r="Z45" i="10"/>
  <c r="Z44" i="10"/>
  <c r="Z43" i="10"/>
  <c r="Z42" i="10"/>
  <c r="Z41" i="10"/>
  <c r="Z40" i="10"/>
  <c r="Z39" i="10"/>
  <c r="Z38" i="10"/>
  <c r="Z37" i="10"/>
  <c r="Z36" i="10"/>
  <c r="Z35" i="10"/>
  <c r="Z34" i="10"/>
  <c r="Z33" i="10"/>
  <c r="Z32" i="10"/>
  <c r="Z31" i="10"/>
  <c r="Z30" i="10"/>
  <c r="Z29" i="10"/>
  <c r="Z28" i="10"/>
  <c r="Z27" i="10"/>
  <c r="Z26" i="10"/>
  <c r="Z25" i="10"/>
  <c r="Z24" i="10"/>
  <c r="Z22" i="10"/>
  <c r="Z21" i="10"/>
  <c r="Z20" i="10"/>
  <c r="Z19" i="10"/>
  <c r="V49" i="10"/>
  <c r="V48" i="10"/>
  <c r="V47" i="10"/>
  <c r="V46" i="10"/>
  <c r="V45" i="10"/>
  <c r="V44" i="10"/>
  <c r="V43" i="10"/>
  <c r="V42" i="10"/>
  <c r="V41" i="10"/>
  <c r="V40" i="10"/>
  <c r="V39" i="10"/>
  <c r="V38" i="10"/>
  <c r="V37" i="10"/>
  <c r="V36" i="10"/>
  <c r="V35" i="10"/>
  <c r="V34" i="10"/>
  <c r="V33" i="10"/>
  <c r="V32" i="10"/>
  <c r="V31" i="10"/>
  <c r="V30" i="10"/>
  <c r="V29" i="10"/>
  <c r="V28" i="10"/>
  <c r="V27" i="10"/>
  <c r="V26" i="10"/>
  <c r="V25" i="10"/>
  <c r="V24" i="10"/>
  <c r="V22" i="10"/>
  <c r="V21" i="10"/>
  <c r="V20" i="10"/>
  <c r="V19" i="10"/>
  <c r="U49" i="10"/>
  <c r="U48" i="10"/>
  <c r="U47" i="10"/>
  <c r="U46" i="10"/>
  <c r="U45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2" i="10"/>
  <c r="U21" i="10"/>
  <c r="U20" i="10"/>
  <c r="U19" i="10"/>
  <c r="T49" i="10"/>
  <c r="T48" i="10"/>
  <c r="T47" i="10"/>
  <c r="T46" i="10"/>
  <c r="T45" i="10"/>
  <c r="T44" i="10"/>
  <c r="T43" i="10"/>
  <c r="T42" i="10"/>
  <c r="T41" i="10"/>
  <c r="T40" i="10"/>
  <c r="T39" i="10"/>
  <c r="T38" i="10"/>
  <c r="T37" i="10"/>
  <c r="T36" i="10"/>
  <c r="T35" i="10"/>
  <c r="T34" i="10"/>
  <c r="T33" i="10"/>
  <c r="T32" i="10"/>
  <c r="T31" i="10"/>
  <c r="T30" i="10"/>
  <c r="T29" i="10"/>
  <c r="T28" i="10"/>
  <c r="T27" i="10"/>
  <c r="T26" i="10"/>
  <c r="T25" i="10"/>
  <c r="T24" i="10"/>
  <c r="T22" i="10"/>
  <c r="T21" i="10"/>
  <c r="T20" i="10"/>
  <c r="T19" i="10"/>
  <c r="R49" i="10"/>
  <c r="R48" i="10"/>
  <c r="R47" i="10"/>
  <c r="R46" i="10"/>
  <c r="R45" i="10"/>
  <c r="R44" i="10"/>
  <c r="R43" i="10"/>
  <c r="R42" i="10"/>
  <c r="R41" i="10"/>
  <c r="R40" i="10"/>
  <c r="R39" i="10"/>
  <c r="R38" i="10"/>
  <c r="R37" i="10"/>
  <c r="R36" i="10"/>
  <c r="R35" i="10"/>
  <c r="R34" i="10"/>
  <c r="R33" i="10"/>
  <c r="R32" i="10"/>
  <c r="R31" i="10"/>
  <c r="R30" i="10"/>
  <c r="R29" i="10"/>
  <c r="R28" i="10"/>
  <c r="R27" i="10"/>
  <c r="R26" i="10"/>
  <c r="R25" i="10"/>
  <c r="R24" i="10"/>
  <c r="R22" i="10"/>
  <c r="R21" i="10"/>
  <c r="R20" i="10"/>
  <c r="R19" i="10"/>
  <c r="P49" i="10"/>
  <c r="P48" i="10"/>
  <c r="P47" i="10"/>
  <c r="P46" i="10"/>
  <c r="P45" i="10"/>
  <c r="P44" i="10"/>
  <c r="P43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2" i="10"/>
  <c r="P21" i="10"/>
  <c r="P20" i="10"/>
  <c r="P19" i="10"/>
  <c r="O49" i="10"/>
  <c r="O48" i="10"/>
  <c r="O47" i="10"/>
  <c r="O46" i="10"/>
  <c r="O45" i="10"/>
  <c r="O44" i="10"/>
  <c r="O43" i="10"/>
  <c r="O42" i="10"/>
  <c r="O41" i="10"/>
  <c r="O40" i="10"/>
  <c r="O39" i="10"/>
  <c r="O38" i="10"/>
  <c r="O37" i="10"/>
  <c r="O36" i="10"/>
  <c r="O35" i="10"/>
  <c r="O34" i="10"/>
  <c r="O33" i="10"/>
  <c r="O32" i="10"/>
  <c r="O31" i="10"/>
  <c r="O30" i="10"/>
  <c r="O29" i="10"/>
  <c r="O28" i="10"/>
  <c r="O27" i="10"/>
  <c r="O26" i="10"/>
  <c r="O25" i="10"/>
  <c r="O24" i="10"/>
  <c r="O22" i="10"/>
  <c r="O21" i="10"/>
  <c r="O20" i="10"/>
  <c r="O19" i="10"/>
  <c r="N49" i="10"/>
  <c r="N48" i="10"/>
  <c r="N47" i="10"/>
  <c r="N46" i="10"/>
  <c r="N45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2" i="10"/>
  <c r="N21" i="10"/>
  <c r="N20" i="10"/>
  <c r="N19" i="10"/>
  <c r="M49" i="10"/>
  <c r="M48" i="10"/>
  <c r="M47" i="10"/>
  <c r="M46" i="10"/>
  <c r="M45" i="10"/>
  <c r="M44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2" i="10"/>
  <c r="M21" i="10"/>
  <c r="M20" i="10"/>
  <c r="M19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2" i="10"/>
  <c r="L21" i="10"/>
  <c r="L20" i="10"/>
  <c r="L19" i="10"/>
  <c r="AK76" i="9"/>
  <c r="AF76" i="9"/>
  <c r="AP74" i="9" s="1"/>
  <c r="AE76" i="9"/>
  <c r="AO74" i="9" s="1"/>
  <c r="AC76" i="9"/>
  <c r="Y76" i="9"/>
  <c r="X76" i="9"/>
  <c r="W76" i="9"/>
  <c r="S76" i="9"/>
  <c r="R76" i="9"/>
  <c r="Q76" i="9"/>
  <c r="P76" i="9"/>
  <c r="O76" i="9"/>
  <c r="M76" i="9"/>
  <c r="L76" i="9"/>
  <c r="AK75" i="9"/>
  <c r="AF75" i="9"/>
  <c r="AC75" i="9"/>
  <c r="AA75" i="9"/>
  <c r="Z75" i="9"/>
  <c r="Y75" i="9"/>
  <c r="X75" i="9"/>
  <c r="W75" i="9"/>
  <c r="V75" i="9"/>
  <c r="U75" i="9"/>
  <c r="S75" i="9"/>
  <c r="R75" i="9"/>
  <c r="Q75" i="9"/>
  <c r="P75" i="9"/>
  <c r="O75" i="9"/>
  <c r="M75" i="9"/>
  <c r="L75" i="9"/>
  <c r="AL77" i="8"/>
  <c r="AG77" i="8"/>
  <c r="AD77" i="8"/>
  <c r="AB77" i="8"/>
  <c r="T77" i="8"/>
  <c r="AK76" i="8"/>
  <c r="AF76" i="8"/>
  <c r="AE76" i="8"/>
  <c r="AC76" i="8"/>
  <c r="Y76" i="8"/>
  <c r="X76" i="8"/>
  <c r="W76" i="8"/>
  <c r="S76" i="8"/>
  <c r="R76" i="8"/>
  <c r="Q76" i="8"/>
  <c r="P76" i="8"/>
  <c r="O76" i="8"/>
  <c r="M76" i="8"/>
  <c r="L76" i="8"/>
  <c r="AK75" i="8"/>
  <c r="AF75" i="8"/>
  <c r="AP74" i="8" s="1"/>
  <c r="AC75" i="8"/>
  <c r="AA75" i="8"/>
  <c r="Z75" i="8"/>
  <c r="Y75" i="8"/>
  <c r="X75" i="8"/>
  <c r="W75" i="8"/>
  <c r="V75" i="8"/>
  <c r="U75" i="8"/>
  <c r="S75" i="8"/>
  <c r="R75" i="8"/>
  <c r="Q75" i="8"/>
  <c r="P75" i="8"/>
  <c r="O75" i="8"/>
  <c r="M75" i="8"/>
  <c r="L75" i="8"/>
  <c r="AL77" i="7"/>
  <c r="AG77" i="7"/>
  <c r="AD77" i="7"/>
  <c r="AB77" i="7"/>
  <c r="T77" i="7"/>
  <c r="AG71" i="7"/>
  <c r="AA71" i="7"/>
  <c r="Z71" i="7"/>
  <c r="AG70" i="7"/>
  <c r="Z70" i="7"/>
  <c r="AG69" i="7"/>
  <c r="Z69" i="7"/>
  <c r="AG68" i="7"/>
  <c r="Z68" i="7"/>
  <c r="AG67" i="7"/>
  <c r="AA67" i="7"/>
  <c r="Z67" i="7"/>
  <c r="AG66" i="7"/>
  <c r="Z66" i="7"/>
  <c r="AG65" i="7"/>
  <c r="Z65" i="7"/>
  <c r="AG64" i="7"/>
  <c r="AA64" i="7"/>
  <c r="AG63" i="7"/>
  <c r="AA63" i="7"/>
  <c r="Z63" i="7"/>
  <c r="AG62" i="7"/>
  <c r="AA62" i="7"/>
  <c r="Z62" i="7"/>
  <c r="AG61" i="7"/>
  <c r="AG60" i="7"/>
  <c r="AA60" i="7"/>
  <c r="Z60" i="7"/>
  <c r="AG59" i="7"/>
  <c r="AA59" i="7"/>
  <c r="Z59" i="7"/>
  <c r="AG58" i="7"/>
  <c r="AA58" i="7"/>
  <c r="Z58" i="7"/>
  <c r="AG57" i="7"/>
  <c r="Z57" i="7"/>
  <c r="AG56" i="7"/>
  <c r="AA56" i="7"/>
  <c r="Z56" i="7"/>
  <c r="AG55" i="7"/>
  <c r="Z55" i="7"/>
  <c r="AG54" i="7"/>
  <c r="AA54" i="7"/>
  <c r="AG53" i="7"/>
  <c r="Z53" i="7"/>
  <c r="AG52" i="7"/>
  <c r="AA52" i="7"/>
  <c r="Z52" i="7"/>
  <c r="AG51" i="7"/>
  <c r="AA51" i="7"/>
  <c r="Z51" i="7"/>
  <c r="AG50" i="7"/>
  <c r="AA50" i="7"/>
  <c r="Z50" i="7"/>
  <c r="AG49" i="7"/>
  <c r="Z49" i="7"/>
  <c r="AG48" i="7"/>
  <c r="AA48" i="7"/>
  <c r="Z48" i="7"/>
  <c r="AG47" i="7"/>
  <c r="AA47" i="7"/>
  <c r="Z47" i="7"/>
  <c r="AG46" i="7"/>
  <c r="AA46" i="7"/>
  <c r="Z46" i="7"/>
  <c r="AG45" i="7"/>
  <c r="Z45" i="7"/>
  <c r="AG44" i="7"/>
  <c r="AA44" i="7"/>
  <c r="Z44" i="7"/>
  <c r="AG43" i="7"/>
  <c r="AA43" i="7"/>
  <c r="Z43" i="7"/>
  <c r="AG42" i="7"/>
  <c r="AA42" i="7"/>
  <c r="Z42" i="7"/>
  <c r="AG41" i="7"/>
  <c r="AG40" i="7"/>
  <c r="AA40" i="7"/>
  <c r="Z40" i="7"/>
  <c r="AG39" i="7"/>
  <c r="Z39" i="7"/>
  <c r="AG38" i="7"/>
  <c r="AA38" i="7"/>
  <c r="AG37" i="7"/>
  <c r="Z37" i="7"/>
  <c r="AG36" i="7"/>
  <c r="AA36" i="7"/>
  <c r="AG35" i="7"/>
  <c r="Z35" i="7"/>
  <c r="AG34" i="7"/>
  <c r="AA34" i="7"/>
  <c r="Z34" i="7"/>
  <c r="AG33" i="7"/>
  <c r="AG32" i="7"/>
  <c r="AA32" i="7"/>
  <c r="Z32" i="7"/>
  <c r="AG31" i="7"/>
  <c r="Z31" i="7"/>
  <c r="AG30" i="7"/>
  <c r="AA30" i="7"/>
  <c r="Z30" i="7"/>
  <c r="AG29" i="7"/>
  <c r="Z29" i="7"/>
  <c r="AG28" i="7"/>
  <c r="AA28" i="7"/>
  <c r="Z28" i="7"/>
  <c r="AG27" i="7"/>
  <c r="Z27" i="7"/>
  <c r="AG26" i="7"/>
  <c r="AA26" i="7"/>
  <c r="AG25" i="7"/>
  <c r="Z25" i="7"/>
  <c r="AG24" i="7"/>
  <c r="AA24" i="7"/>
  <c r="Z24" i="7"/>
  <c r="AG23" i="7"/>
  <c r="Z23" i="7"/>
  <c r="AG22" i="7"/>
  <c r="AA22" i="7"/>
  <c r="AG21" i="7"/>
  <c r="Z21" i="7"/>
  <c r="AG20" i="7"/>
  <c r="AA20" i="7"/>
  <c r="AG19" i="7"/>
  <c r="AA19" i="7"/>
  <c r="Z19" i="7"/>
  <c r="AG18" i="7"/>
  <c r="AA18" i="7"/>
  <c r="AG17" i="7"/>
  <c r="AG16" i="7"/>
  <c r="AA16" i="7"/>
  <c r="AG15" i="7"/>
  <c r="Z15" i="7"/>
  <c r="AG14" i="7"/>
  <c r="AA14" i="7"/>
  <c r="AK13" i="7"/>
  <c r="AJ13" i="7"/>
  <c r="AG13" i="7"/>
  <c r="Z13" i="7"/>
  <c r="S13" i="7"/>
  <c r="R13" i="7"/>
  <c r="Q13" i="7"/>
  <c r="P13" i="7"/>
  <c r="L13" i="7"/>
  <c r="AG12" i="7"/>
  <c r="Z12" i="7"/>
  <c r="AG11" i="7"/>
  <c r="AA11" i="7"/>
  <c r="AG10" i="7"/>
  <c r="AA10" i="7"/>
  <c r="AG9" i="7"/>
  <c r="Z9" i="7"/>
  <c r="AG8" i="7"/>
  <c r="Z8" i="7"/>
  <c r="AG7" i="7"/>
  <c r="AA7" i="7"/>
  <c r="AG6" i="7"/>
  <c r="AA6" i="7"/>
  <c r="Z6" i="7"/>
  <c r="AG5" i="7"/>
  <c r="AA5" i="7"/>
  <c r="Z5" i="7"/>
  <c r="AK76" i="7"/>
  <c r="AF76" i="7"/>
  <c r="AE76" i="7"/>
  <c r="AC76" i="7"/>
  <c r="Y76" i="7"/>
  <c r="X76" i="7"/>
  <c r="W76" i="7"/>
  <c r="S76" i="7"/>
  <c r="R76" i="7"/>
  <c r="Q76" i="7"/>
  <c r="P76" i="7"/>
  <c r="O76" i="7"/>
  <c r="M76" i="7"/>
  <c r="L76" i="7"/>
  <c r="AK75" i="7"/>
  <c r="AF75" i="7"/>
  <c r="AC75" i="7"/>
  <c r="AA75" i="7"/>
  <c r="Z75" i="7"/>
  <c r="Y75" i="7"/>
  <c r="X75" i="7"/>
  <c r="W75" i="7"/>
  <c r="V75" i="7"/>
  <c r="U75" i="7"/>
  <c r="S75" i="7"/>
  <c r="R75" i="7"/>
  <c r="Q75" i="7"/>
  <c r="P75" i="7"/>
  <c r="O75" i="7"/>
  <c r="M75" i="7"/>
  <c r="L75" i="7"/>
  <c r="AP71" i="7"/>
  <c r="AP70" i="7"/>
  <c r="AP69" i="7"/>
  <c r="AP68" i="7"/>
  <c r="AP67" i="7"/>
  <c r="AP66" i="7"/>
  <c r="AP65" i="7"/>
  <c r="AP64" i="7"/>
  <c r="AP63" i="7"/>
  <c r="AP62" i="7"/>
  <c r="AP61" i="7"/>
  <c r="AP60" i="7"/>
  <c r="AP59" i="7"/>
  <c r="AP58" i="7"/>
  <c r="AP57" i="7"/>
  <c r="AP56" i="7"/>
  <c r="AP55" i="7"/>
  <c r="AP54" i="7"/>
  <c r="AP53" i="7"/>
  <c r="AP52" i="7"/>
  <c r="AP51" i="7"/>
  <c r="AP50" i="7"/>
  <c r="AP49" i="7"/>
  <c r="AP48" i="7"/>
  <c r="AP47" i="7"/>
  <c r="AP46" i="7"/>
  <c r="AP44" i="7"/>
  <c r="AP43" i="7"/>
  <c r="AP42" i="7"/>
  <c r="AP41" i="7"/>
  <c r="AK78" i="6"/>
  <c r="AK77" i="6"/>
  <c r="AK76" i="6"/>
  <c r="AK74" i="23" s="1"/>
  <c r="AI76" i="6"/>
  <c r="AI74" i="23" s="1"/>
  <c r="AI78" i="23" s="1"/>
  <c r="AF78" i="6"/>
  <c r="AF77" i="6"/>
  <c r="AF76" i="6"/>
  <c r="AF74" i="23" s="1"/>
  <c r="AE78" i="6"/>
  <c r="AE76" i="6"/>
  <c r="AE74" i="23" s="1"/>
  <c r="AC78" i="6"/>
  <c r="AC77" i="6"/>
  <c r="AC76" i="6"/>
  <c r="AC74" i="23" s="1"/>
  <c r="AA77" i="6"/>
  <c r="Z78" i="6"/>
  <c r="Z77" i="6"/>
  <c r="Y78" i="6"/>
  <c r="Y77" i="6"/>
  <c r="X78" i="6"/>
  <c r="X77" i="6"/>
  <c r="X76" i="6"/>
  <c r="X74" i="23" s="1"/>
  <c r="X78" i="23" s="1"/>
  <c r="W78" i="6"/>
  <c r="W77" i="6"/>
  <c r="V77" i="6"/>
  <c r="U77" i="6"/>
  <c r="U76" i="6"/>
  <c r="U74" i="23" s="1"/>
  <c r="U78" i="23" s="1"/>
  <c r="S78" i="6"/>
  <c r="S77" i="6"/>
  <c r="S76" i="6"/>
  <c r="S74" i="23" s="1"/>
  <c r="R78" i="6"/>
  <c r="R77" i="6"/>
  <c r="R76" i="6"/>
  <c r="R74" i="23" s="1"/>
  <c r="R78" i="23" s="1"/>
  <c r="Q78" i="6"/>
  <c r="Q77" i="6"/>
  <c r="Q76" i="6"/>
  <c r="Q74" i="23" s="1"/>
  <c r="P78" i="6"/>
  <c r="P77" i="6"/>
  <c r="P76" i="6"/>
  <c r="P74" i="23" s="1"/>
  <c r="P78" i="23" s="1"/>
  <c r="O78" i="6"/>
  <c r="O77" i="6"/>
  <c r="O76" i="6"/>
  <c r="O74" i="23" s="1"/>
  <c r="O78" i="23" s="1"/>
  <c r="M78" i="6"/>
  <c r="M77" i="6"/>
  <c r="M76" i="6"/>
  <c r="M74" i="23" s="1"/>
  <c r="M78" i="23" s="1"/>
  <c r="L78" i="6"/>
  <c r="L77" i="6"/>
  <c r="L76" i="6"/>
  <c r="L74" i="23" s="1"/>
  <c r="L78" i="23" s="1"/>
  <c r="AK36" i="6"/>
  <c r="AK35" i="6"/>
  <c r="AK33" i="6"/>
  <c r="AK28" i="6"/>
  <c r="AK25" i="6"/>
  <c r="AK24" i="6"/>
  <c r="AK19" i="6"/>
  <c r="AK18" i="6"/>
  <c r="AK15" i="6"/>
  <c r="AK14" i="6"/>
  <c r="AK13" i="6"/>
  <c r="AK10" i="6"/>
  <c r="AK9" i="6"/>
  <c r="AK6" i="6"/>
  <c r="AK5" i="6"/>
  <c r="AI71" i="6"/>
  <c r="AI70" i="6"/>
  <c r="AI69" i="6"/>
  <c r="AI68" i="6"/>
  <c r="AI67" i="6"/>
  <c r="AI66" i="6"/>
  <c r="AI65" i="6"/>
  <c r="AI64" i="6"/>
  <c r="AI63" i="6"/>
  <c r="AI62" i="6"/>
  <c r="AI61" i="6"/>
  <c r="AI60" i="6"/>
  <c r="AI59" i="6"/>
  <c r="AI58" i="6"/>
  <c r="AI57" i="6"/>
  <c r="AI56" i="6"/>
  <c r="AI55" i="6"/>
  <c r="AI54" i="6"/>
  <c r="AI53" i="6"/>
  <c r="AI52" i="6"/>
  <c r="AI51" i="6"/>
  <c r="AI50" i="6"/>
  <c r="AI49" i="6"/>
  <c r="AI48" i="6"/>
  <c r="AI47" i="6"/>
  <c r="AI46" i="6"/>
  <c r="AI44" i="6"/>
  <c r="AI43" i="6"/>
  <c r="AI42" i="6"/>
  <c r="AI41" i="6"/>
  <c r="AI13" i="6"/>
  <c r="AH71" i="6"/>
  <c r="AH70" i="6"/>
  <c r="AH69" i="6"/>
  <c r="AH68" i="6"/>
  <c r="AH67" i="6"/>
  <c r="AH66" i="6"/>
  <c r="AH65" i="6"/>
  <c r="AH64" i="6"/>
  <c r="AH63" i="6"/>
  <c r="AH62" i="6"/>
  <c r="AH61" i="6"/>
  <c r="AH60" i="6"/>
  <c r="AH59" i="6"/>
  <c r="AH58" i="6"/>
  <c r="AH57" i="6"/>
  <c r="AH56" i="6"/>
  <c r="AH55" i="6"/>
  <c r="AH54" i="6"/>
  <c r="AH53" i="6"/>
  <c r="AH52" i="6"/>
  <c r="AH51" i="6"/>
  <c r="AH50" i="6"/>
  <c r="AH49" i="6"/>
  <c r="AH48" i="6"/>
  <c r="AH47" i="6"/>
  <c r="AH46" i="6"/>
  <c r="AH44" i="6"/>
  <c r="AH43" i="6"/>
  <c r="AH42" i="6"/>
  <c r="AH41" i="6"/>
  <c r="AH13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4" i="6"/>
  <c r="S43" i="6"/>
  <c r="S42" i="6"/>
  <c r="S41" i="6"/>
  <c r="R71" i="6"/>
  <c r="R70" i="6"/>
  <c r="R69" i="6"/>
  <c r="R68" i="6"/>
  <c r="R67" i="6"/>
  <c r="R66" i="6"/>
  <c r="R65" i="6"/>
  <c r="R64" i="6"/>
  <c r="R63" i="6"/>
  <c r="R62" i="6"/>
  <c r="R61" i="6"/>
  <c r="R60" i="6"/>
  <c r="R59" i="6"/>
  <c r="R58" i="6"/>
  <c r="R57" i="6"/>
  <c r="R56" i="6"/>
  <c r="R55" i="6"/>
  <c r="R54" i="6"/>
  <c r="R53" i="6"/>
  <c r="R52" i="6"/>
  <c r="R51" i="6"/>
  <c r="R50" i="6"/>
  <c r="Q71" i="6"/>
  <c r="Q70" i="6"/>
  <c r="Q69" i="6"/>
  <c r="Q68" i="6"/>
  <c r="Q67" i="6"/>
  <c r="Q66" i="6"/>
  <c r="Q65" i="6"/>
  <c r="Q64" i="6"/>
  <c r="Q63" i="6"/>
  <c r="Q62" i="6"/>
  <c r="Q61" i="6"/>
  <c r="Q60" i="6"/>
  <c r="Q59" i="6"/>
  <c r="Q58" i="6"/>
  <c r="Q57" i="6"/>
  <c r="Q56" i="6"/>
  <c r="Q55" i="6"/>
  <c r="Q54" i="6"/>
  <c r="Q53" i="6"/>
  <c r="Q52" i="6"/>
  <c r="Q51" i="6"/>
  <c r="Q50" i="6"/>
  <c r="Q45" i="6"/>
  <c r="Q40" i="6"/>
  <c r="Q39" i="6"/>
  <c r="Q38" i="6"/>
  <c r="Q37" i="6"/>
  <c r="Q34" i="6"/>
  <c r="Q30" i="6"/>
  <c r="Q29" i="6"/>
  <c r="Q26" i="6"/>
  <c r="Q21" i="6"/>
  <c r="Q20" i="6"/>
  <c r="Q16" i="6"/>
  <c r="Q11" i="6"/>
  <c r="Q7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O71" i="6"/>
  <c r="O70" i="6"/>
  <c r="O69" i="6"/>
  <c r="O68" i="6"/>
  <c r="O67" i="6"/>
  <c r="O66" i="6"/>
  <c r="O65" i="6"/>
  <c r="O64" i="6"/>
  <c r="O63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4" i="6"/>
  <c r="O43" i="6"/>
  <c r="O42" i="6"/>
  <c r="O41" i="6"/>
  <c r="O13" i="6"/>
  <c r="N36" i="6"/>
  <c r="N35" i="6"/>
  <c r="N18" i="6"/>
  <c r="N13" i="6"/>
  <c r="N13" i="7" s="1"/>
  <c r="AP71" i="6"/>
  <c r="AP70" i="6"/>
  <c r="AP69" i="6"/>
  <c r="AP68" i="6"/>
  <c r="AP67" i="6"/>
  <c r="AP66" i="6"/>
  <c r="AP65" i="6"/>
  <c r="AP64" i="6"/>
  <c r="AP63" i="6"/>
  <c r="AP62" i="6"/>
  <c r="AP61" i="6"/>
  <c r="AP60" i="6"/>
  <c r="AP59" i="6"/>
  <c r="AP58" i="6"/>
  <c r="AP57" i="6"/>
  <c r="AP56" i="6"/>
  <c r="AP55" i="6"/>
  <c r="AP54" i="6"/>
  <c r="AP53" i="6"/>
  <c r="AP52" i="6"/>
  <c r="AP51" i="6"/>
  <c r="AP50" i="6"/>
  <c r="AP49" i="6"/>
  <c r="AP48" i="6"/>
  <c r="AP47" i="6"/>
  <c r="AP46" i="6"/>
  <c r="AP44" i="6"/>
  <c r="AP43" i="6"/>
  <c r="AP42" i="6"/>
  <c r="AP41" i="6"/>
  <c r="M13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5" i="6"/>
  <c r="L40" i="6"/>
  <c r="L39" i="6"/>
  <c r="L38" i="6"/>
  <c r="L37" i="6"/>
  <c r="L34" i="6"/>
  <c r="L30" i="6"/>
  <c r="L29" i="6"/>
  <c r="L26" i="6"/>
  <c r="L21" i="6"/>
  <c r="L20" i="6"/>
  <c r="L16" i="6"/>
  <c r="L11" i="6"/>
  <c r="L7" i="6"/>
  <c r="AJ76" i="7"/>
  <c r="AJ76" i="6"/>
  <c r="AJ74" i="23" s="1"/>
  <c r="AJ78" i="23" s="1"/>
  <c r="AI76" i="7"/>
  <c r="AI75" i="7"/>
  <c r="AH76" i="7"/>
  <c r="AH76" i="6"/>
  <c r="AH74" i="23" s="1"/>
  <c r="W76" i="6"/>
  <c r="W74" i="23" s="1"/>
  <c r="W78" i="23" s="1"/>
  <c r="F41" i="5"/>
  <c r="W54" i="24" s="1"/>
  <c r="AA78" i="6"/>
  <c r="F18" i="5"/>
  <c r="AB76" i="23" s="1"/>
  <c r="V76" i="7"/>
  <c r="U76" i="7"/>
  <c r="F45" i="5"/>
  <c r="AA54" i="24" s="1"/>
  <c r="E45" i="5"/>
  <c r="AA53" i="24" s="1"/>
  <c r="D45" i="5"/>
  <c r="AA52" i="24" s="1"/>
  <c r="F43" i="5"/>
  <c r="Y54" i="24" s="1"/>
  <c r="D43" i="5"/>
  <c r="Y52" i="24" s="1"/>
  <c r="E41" i="5"/>
  <c r="W53" i="24" s="1"/>
  <c r="D41" i="5"/>
  <c r="W52" i="24" s="1"/>
  <c r="D28" i="5"/>
  <c r="AL76" i="6" s="1"/>
  <c r="AL74" i="23" s="1"/>
  <c r="F23" i="5"/>
  <c r="D23" i="5"/>
  <c r="AG76" i="6" s="1"/>
  <c r="AG74" i="23" s="1"/>
  <c r="F20" i="5"/>
  <c r="E20" i="5"/>
  <c r="D20" i="5"/>
  <c r="AD76" i="6" s="1"/>
  <c r="AD74" i="23" s="1"/>
  <c r="E18" i="5"/>
  <c r="D18" i="5"/>
  <c r="AB76" i="6" s="1"/>
  <c r="AB74" i="23" s="1"/>
  <c r="T46" i="4"/>
  <c r="S46" i="4"/>
  <c r="R46" i="4"/>
  <c r="Q46" i="4"/>
  <c r="P46" i="4"/>
  <c r="O46" i="4"/>
  <c r="N46" i="4"/>
  <c r="M46" i="4"/>
  <c r="U46" i="4" s="1"/>
  <c r="L46" i="4"/>
  <c r="K46" i="4"/>
  <c r="J46" i="4"/>
  <c r="I46" i="4"/>
  <c r="T45" i="4"/>
  <c r="S45" i="4"/>
  <c r="R45" i="4"/>
  <c r="Q45" i="4"/>
  <c r="P45" i="4"/>
  <c r="O45" i="4"/>
  <c r="N45" i="4"/>
  <c r="M45" i="4"/>
  <c r="L45" i="4"/>
  <c r="K45" i="4"/>
  <c r="J45" i="4"/>
  <c r="I45" i="4"/>
  <c r="U45" i="4" s="1"/>
  <c r="T44" i="4"/>
  <c r="S44" i="4"/>
  <c r="R44" i="4"/>
  <c r="Q44" i="4"/>
  <c r="P44" i="4"/>
  <c r="O44" i="4"/>
  <c r="N44" i="4"/>
  <c r="M44" i="4"/>
  <c r="U44" i="4" s="1"/>
  <c r="L44" i="4"/>
  <c r="K44" i="4"/>
  <c r="J44" i="4"/>
  <c r="I44" i="4"/>
  <c r="T43" i="4"/>
  <c r="S43" i="4"/>
  <c r="R43" i="4"/>
  <c r="Q43" i="4"/>
  <c r="P43" i="4"/>
  <c r="O43" i="4"/>
  <c r="N43" i="4"/>
  <c r="M43" i="4"/>
  <c r="L43" i="4"/>
  <c r="K43" i="4"/>
  <c r="J43" i="4"/>
  <c r="I43" i="4"/>
  <c r="U43" i="4" s="1"/>
  <c r="T42" i="4"/>
  <c r="S42" i="4"/>
  <c r="R42" i="4"/>
  <c r="Q42" i="4"/>
  <c r="P42" i="4"/>
  <c r="O42" i="4"/>
  <c r="N42" i="4"/>
  <c r="M42" i="4"/>
  <c r="L42" i="4"/>
  <c r="K42" i="4"/>
  <c r="J42" i="4"/>
  <c r="I42" i="4"/>
  <c r="U42" i="4" s="1"/>
  <c r="T41" i="4"/>
  <c r="S41" i="4"/>
  <c r="R41" i="4"/>
  <c r="Q41" i="4"/>
  <c r="P41" i="4"/>
  <c r="O41" i="4"/>
  <c r="N41" i="4"/>
  <c r="M41" i="4"/>
  <c r="L41" i="4"/>
  <c r="K41" i="4"/>
  <c r="J41" i="4"/>
  <c r="I41" i="4"/>
  <c r="U41" i="4" s="1"/>
  <c r="T40" i="4"/>
  <c r="S40" i="4"/>
  <c r="R40" i="4"/>
  <c r="Q40" i="4"/>
  <c r="P40" i="4"/>
  <c r="O40" i="4"/>
  <c r="N40" i="4"/>
  <c r="M40" i="4"/>
  <c r="L40" i="4"/>
  <c r="K40" i="4"/>
  <c r="J40" i="4"/>
  <c r="I40" i="4"/>
  <c r="U40" i="4" s="1"/>
  <c r="T39" i="4"/>
  <c r="S39" i="4"/>
  <c r="R39" i="4"/>
  <c r="Q39" i="4"/>
  <c r="P39" i="4"/>
  <c r="O39" i="4"/>
  <c r="N39" i="4"/>
  <c r="M39" i="4"/>
  <c r="U39" i="4" s="1"/>
  <c r="L39" i="4"/>
  <c r="K39" i="4"/>
  <c r="J39" i="4"/>
  <c r="I39" i="4"/>
  <c r="T38" i="4"/>
  <c r="S38" i="4"/>
  <c r="R38" i="4"/>
  <c r="Q38" i="4"/>
  <c r="P38" i="4"/>
  <c r="O38" i="4"/>
  <c r="N38" i="4"/>
  <c r="M38" i="4"/>
  <c r="U38" i="4" s="1"/>
  <c r="L38" i="4"/>
  <c r="K38" i="4"/>
  <c r="J38" i="4"/>
  <c r="I38" i="4"/>
  <c r="T37" i="4"/>
  <c r="S37" i="4"/>
  <c r="R37" i="4"/>
  <c r="Q37" i="4"/>
  <c r="P37" i="4"/>
  <c r="O37" i="4"/>
  <c r="N37" i="4"/>
  <c r="M37" i="4"/>
  <c r="L37" i="4"/>
  <c r="K37" i="4"/>
  <c r="J37" i="4"/>
  <c r="I37" i="4"/>
  <c r="U37" i="4" s="1"/>
  <c r="T36" i="4"/>
  <c r="S36" i="4"/>
  <c r="R36" i="4"/>
  <c r="Q36" i="4"/>
  <c r="P36" i="4"/>
  <c r="O36" i="4"/>
  <c r="N36" i="4"/>
  <c r="M36" i="4"/>
  <c r="U36" i="4" s="1"/>
  <c r="L36" i="4"/>
  <c r="K36" i="4"/>
  <c r="J36" i="4"/>
  <c r="I36" i="4"/>
  <c r="T35" i="4"/>
  <c r="S35" i="4"/>
  <c r="R35" i="4"/>
  <c r="Q35" i="4"/>
  <c r="P35" i="4"/>
  <c r="O35" i="4"/>
  <c r="N35" i="4"/>
  <c r="M35" i="4"/>
  <c r="L35" i="4"/>
  <c r="K35" i="4"/>
  <c r="J35" i="4"/>
  <c r="I35" i="4"/>
  <c r="U35" i="4" s="1"/>
  <c r="T34" i="4"/>
  <c r="S34" i="4"/>
  <c r="R34" i="4"/>
  <c r="Q34" i="4"/>
  <c r="P34" i="4"/>
  <c r="O34" i="4"/>
  <c r="N34" i="4"/>
  <c r="M34" i="4"/>
  <c r="L34" i="4"/>
  <c r="K34" i="4"/>
  <c r="J34" i="4"/>
  <c r="I34" i="4"/>
  <c r="U34" i="4" s="1"/>
  <c r="T33" i="4"/>
  <c r="S33" i="4"/>
  <c r="R33" i="4"/>
  <c r="Q33" i="4"/>
  <c r="P33" i="4"/>
  <c r="O33" i="4"/>
  <c r="N33" i="4"/>
  <c r="M33" i="4"/>
  <c r="L33" i="4"/>
  <c r="K33" i="4"/>
  <c r="J33" i="4"/>
  <c r="I33" i="4"/>
  <c r="U33" i="4" s="1"/>
  <c r="T32" i="4"/>
  <c r="S32" i="4"/>
  <c r="R32" i="4"/>
  <c r="Q32" i="4"/>
  <c r="P32" i="4"/>
  <c r="O32" i="4"/>
  <c r="N32" i="4"/>
  <c r="M32" i="4"/>
  <c r="L32" i="4"/>
  <c r="K32" i="4"/>
  <c r="J32" i="4"/>
  <c r="I32" i="4"/>
  <c r="U32" i="4" s="1"/>
  <c r="T31" i="4"/>
  <c r="S31" i="4"/>
  <c r="R31" i="4"/>
  <c r="Q31" i="4"/>
  <c r="P31" i="4"/>
  <c r="O31" i="4"/>
  <c r="N31" i="4"/>
  <c r="M31" i="4"/>
  <c r="U31" i="4" s="1"/>
  <c r="L31" i="4"/>
  <c r="K31" i="4"/>
  <c r="J31" i="4"/>
  <c r="I31" i="4"/>
  <c r="T30" i="4"/>
  <c r="S30" i="4"/>
  <c r="R30" i="4"/>
  <c r="Q30" i="4"/>
  <c r="P30" i="4"/>
  <c r="O30" i="4"/>
  <c r="N30" i="4"/>
  <c r="M30" i="4"/>
  <c r="U30" i="4" s="1"/>
  <c r="L30" i="4"/>
  <c r="K30" i="4"/>
  <c r="J30" i="4"/>
  <c r="I30" i="4"/>
  <c r="T29" i="4"/>
  <c r="S29" i="4"/>
  <c r="R29" i="4"/>
  <c r="Q29" i="4"/>
  <c r="P29" i="4"/>
  <c r="O29" i="4"/>
  <c r="N29" i="4"/>
  <c r="M29" i="4"/>
  <c r="L29" i="4"/>
  <c r="K29" i="4"/>
  <c r="J29" i="4"/>
  <c r="U29" i="4" s="1"/>
  <c r="I29" i="4"/>
  <c r="T28" i="4"/>
  <c r="S28" i="4"/>
  <c r="R28" i="4"/>
  <c r="Q28" i="4"/>
  <c r="P28" i="4"/>
  <c r="O28" i="4"/>
  <c r="N28" i="4"/>
  <c r="M28" i="4"/>
  <c r="U28" i="4" s="1"/>
  <c r="L28" i="4"/>
  <c r="K28" i="4"/>
  <c r="J28" i="4"/>
  <c r="I28" i="4"/>
  <c r="T27" i="4"/>
  <c r="S27" i="4"/>
  <c r="R27" i="4"/>
  <c r="Q27" i="4"/>
  <c r="P27" i="4"/>
  <c r="O27" i="4"/>
  <c r="N27" i="4"/>
  <c r="M27" i="4"/>
  <c r="L27" i="4"/>
  <c r="K27" i="4"/>
  <c r="J27" i="4"/>
  <c r="I27" i="4"/>
  <c r="U27" i="4" s="1"/>
  <c r="T26" i="4"/>
  <c r="S26" i="4"/>
  <c r="R26" i="4"/>
  <c r="Q26" i="4"/>
  <c r="P26" i="4"/>
  <c r="O26" i="4"/>
  <c r="N26" i="4"/>
  <c r="M26" i="4"/>
  <c r="L26" i="4"/>
  <c r="K26" i="4"/>
  <c r="J26" i="4"/>
  <c r="I26" i="4"/>
  <c r="U26" i="4" s="1"/>
  <c r="T25" i="4"/>
  <c r="S25" i="4"/>
  <c r="R25" i="4"/>
  <c r="Q25" i="4"/>
  <c r="P25" i="4"/>
  <c r="O25" i="4"/>
  <c r="N25" i="4"/>
  <c r="M25" i="4"/>
  <c r="L25" i="4"/>
  <c r="K25" i="4"/>
  <c r="J25" i="4"/>
  <c r="I25" i="4"/>
  <c r="U25" i="4" s="1"/>
  <c r="T24" i="4"/>
  <c r="S24" i="4"/>
  <c r="R24" i="4"/>
  <c r="Q24" i="4"/>
  <c r="P24" i="4"/>
  <c r="O24" i="4"/>
  <c r="N24" i="4"/>
  <c r="M24" i="4"/>
  <c r="L24" i="4"/>
  <c r="K24" i="4"/>
  <c r="J24" i="4"/>
  <c r="I24" i="4"/>
  <c r="U24" i="4" s="1"/>
  <c r="T23" i="4"/>
  <c r="S23" i="4"/>
  <c r="R23" i="4"/>
  <c r="Q23" i="4"/>
  <c r="P23" i="4"/>
  <c r="O23" i="4"/>
  <c r="N23" i="4"/>
  <c r="M23" i="4"/>
  <c r="U23" i="4" s="1"/>
  <c r="L23" i="4"/>
  <c r="K23" i="4"/>
  <c r="J23" i="4"/>
  <c r="I23" i="4"/>
  <c r="T22" i="4"/>
  <c r="S22" i="4"/>
  <c r="R22" i="4"/>
  <c r="Q22" i="4"/>
  <c r="P22" i="4"/>
  <c r="O22" i="4"/>
  <c r="N22" i="4"/>
  <c r="M22" i="4"/>
  <c r="U22" i="4" s="1"/>
  <c r="L22" i="4"/>
  <c r="K22" i="4"/>
  <c r="J22" i="4"/>
  <c r="I22" i="4"/>
  <c r="T21" i="4"/>
  <c r="S21" i="4"/>
  <c r="R21" i="4"/>
  <c r="Q21" i="4"/>
  <c r="P21" i="4"/>
  <c r="O21" i="4"/>
  <c r="N21" i="4"/>
  <c r="M21" i="4"/>
  <c r="L21" i="4"/>
  <c r="K21" i="4"/>
  <c r="J21" i="4"/>
  <c r="U21" i="4" s="1"/>
  <c r="I21" i="4"/>
  <c r="T20" i="4"/>
  <c r="S20" i="4"/>
  <c r="R20" i="4"/>
  <c r="Q20" i="4"/>
  <c r="P20" i="4"/>
  <c r="O20" i="4"/>
  <c r="N20" i="4"/>
  <c r="M20" i="4"/>
  <c r="U20" i="4" s="1"/>
  <c r="L20" i="4"/>
  <c r="K20" i="4"/>
  <c r="J20" i="4"/>
  <c r="I20" i="4"/>
  <c r="T19" i="4"/>
  <c r="S19" i="4"/>
  <c r="R19" i="4"/>
  <c r="Q19" i="4"/>
  <c r="P19" i="4"/>
  <c r="O19" i="4"/>
  <c r="N19" i="4"/>
  <c r="M19" i="4"/>
  <c r="L19" i="4"/>
  <c r="K19" i="4"/>
  <c r="J19" i="4"/>
  <c r="I19" i="4"/>
  <c r="U19" i="4" s="1"/>
  <c r="T18" i="4"/>
  <c r="S18" i="4"/>
  <c r="R18" i="4"/>
  <c r="Q18" i="4"/>
  <c r="P18" i="4"/>
  <c r="O18" i="4"/>
  <c r="N18" i="4"/>
  <c r="M18" i="4"/>
  <c r="L18" i="4"/>
  <c r="K18" i="4"/>
  <c r="J18" i="4"/>
  <c r="I18" i="4"/>
  <c r="U18" i="4" s="1"/>
  <c r="T17" i="4"/>
  <c r="S17" i="4"/>
  <c r="R17" i="4"/>
  <c r="Q17" i="4"/>
  <c r="P17" i="4"/>
  <c r="O17" i="4"/>
  <c r="N17" i="4"/>
  <c r="M17" i="4"/>
  <c r="L17" i="4"/>
  <c r="K17" i="4"/>
  <c r="J17" i="4"/>
  <c r="I17" i="4"/>
  <c r="U17" i="4" s="1"/>
  <c r="T16" i="4"/>
  <c r="S16" i="4"/>
  <c r="R16" i="4"/>
  <c r="Q16" i="4"/>
  <c r="P16" i="4"/>
  <c r="O16" i="4"/>
  <c r="N16" i="4"/>
  <c r="M16" i="4"/>
  <c r="L16" i="4"/>
  <c r="K16" i="4"/>
  <c r="J16" i="4"/>
  <c r="I16" i="4"/>
  <c r="U16" i="4" s="1"/>
  <c r="T15" i="4"/>
  <c r="S15" i="4"/>
  <c r="R15" i="4"/>
  <c r="Q15" i="4"/>
  <c r="P15" i="4"/>
  <c r="O15" i="4"/>
  <c r="N15" i="4"/>
  <c r="M15" i="4"/>
  <c r="U15" i="4" s="1"/>
  <c r="L15" i="4"/>
  <c r="K15" i="4"/>
  <c r="J15" i="4"/>
  <c r="I15" i="4"/>
  <c r="T14" i="4"/>
  <c r="S14" i="4"/>
  <c r="R14" i="4"/>
  <c r="Q14" i="4"/>
  <c r="P14" i="4"/>
  <c r="O14" i="4"/>
  <c r="N14" i="4"/>
  <c r="M14" i="4"/>
  <c r="U14" i="4" s="1"/>
  <c r="L14" i="4"/>
  <c r="K14" i="4"/>
  <c r="J14" i="4"/>
  <c r="I14" i="4"/>
  <c r="T13" i="4"/>
  <c r="S13" i="4"/>
  <c r="R13" i="4"/>
  <c r="Q13" i="4"/>
  <c r="P13" i="4"/>
  <c r="O13" i="4"/>
  <c r="N13" i="4"/>
  <c r="M13" i="4"/>
  <c r="L13" i="4"/>
  <c r="K13" i="4"/>
  <c r="J13" i="4"/>
  <c r="I13" i="4"/>
  <c r="U13" i="4" s="1"/>
  <c r="T12" i="4"/>
  <c r="S12" i="4"/>
  <c r="R12" i="4"/>
  <c r="Q12" i="4"/>
  <c r="P12" i="4"/>
  <c r="O12" i="4"/>
  <c r="N12" i="4"/>
  <c r="M12" i="4"/>
  <c r="L12" i="4"/>
  <c r="U12" i="4" s="1"/>
  <c r="K12" i="4"/>
  <c r="J12" i="4"/>
  <c r="I12" i="4"/>
  <c r="T11" i="4"/>
  <c r="S11" i="4"/>
  <c r="R11" i="4"/>
  <c r="Q11" i="4"/>
  <c r="P11" i="4"/>
  <c r="O11" i="4"/>
  <c r="N11" i="4"/>
  <c r="M11" i="4"/>
  <c r="L11" i="4"/>
  <c r="K11" i="4"/>
  <c r="J11" i="4"/>
  <c r="I11" i="4"/>
  <c r="U11" i="4" s="1"/>
  <c r="T10" i="4"/>
  <c r="S10" i="4"/>
  <c r="R10" i="4"/>
  <c r="Q10" i="4"/>
  <c r="P10" i="4"/>
  <c r="O10" i="4"/>
  <c r="N10" i="4"/>
  <c r="M10" i="4"/>
  <c r="L10" i="4"/>
  <c r="K10" i="4"/>
  <c r="J10" i="4"/>
  <c r="I10" i="4"/>
  <c r="U10" i="4" s="1"/>
  <c r="T9" i="4"/>
  <c r="S9" i="4"/>
  <c r="R9" i="4"/>
  <c r="Q9" i="4"/>
  <c r="P9" i="4"/>
  <c r="O9" i="4"/>
  <c r="N9" i="4"/>
  <c r="M9" i="4"/>
  <c r="L9" i="4"/>
  <c r="K9" i="4"/>
  <c r="J9" i="4"/>
  <c r="I9" i="4"/>
  <c r="U9" i="4" s="1"/>
  <c r="T8" i="4"/>
  <c r="S8" i="4"/>
  <c r="R8" i="4"/>
  <c r="Q8" i="4"/>
  <c r="P8" i="4"/>
  <c r="O8" i="4"/>
  <c r="N8" i="4"/>
  <c r="M8" i="4"/>
  <c r="L8" i="4"/>
  <c r="K8" i="4"/>
  <c r="J8" i="4"/>
  <c r="I8" i="4"/>
  <c r="U8" i="4" s="1"/>
  <c r="T7" i="4"/>
  <c r="S7" i="4"/>
  <c r="R7" i="4"/>
  <c r="Q7" i="4"/>
  <c r="P7" i="4"/>
  <c r="O7" i="4"/>
  <c r="N7" i="4"/>
  <c r="M7" i="4"/>
  <c r="U7" i="4" s="1"/>
  <c r="L7" i="4"/>
  <c r="K7" i="4"/>
  <c r="J7" i="4"/>
  <c r="I7" i="4"/>
  <c r="T6" i="4"/>
  <c r="S6" i="4"/>
  <c r="R6" i="4"/>
  <c r="Q6" i="4"/>
  <c r="P6" i="4"/>
  <c r="O6" i="4"/>
  <c r="N6" i="4"/>
  <c r="M6" i="4"/>
  <c r="U6" i="4" s="1"/>
  <c r="L6" i="4"/>
  <c r="K6" i="4"/>
  <c r="J6" i="4"/>
  <c r="I6" i="4"/>
  <c r="T5" i="4"/>
  <c r="S5" i="4"/>
  <c r="R5" i="4"/>
  <c r="Q5" i="4"/>
  <c r="P5" i="4"/>
  <c r="O5" i="4"/>
  <c r="N5" i="4"/>
  <c r="M5" i="4"/>
  <c r="L5" i="4"/>
  <c r="K5" i="4"/>
  <c r="J5" i="4"/>
  <c r="U5" i="4" s="1"/>
  <c r="I5" i="4"/>
  <c r="T4" i="4"/>
  <c r="S4" i="4"/>
  <c r="R4" i="4"/>
  <c r="Q4" i="4"/>
  <c r="P4" i="4"/>
  <c r="O4" i="4"/>
  <c r="N4" i="4"/>
  <c r="M4" i="4"/>
  <c r="L4" i="4"/>
  <c r="U4" i="4" s="1"/>
  <c r="K4" i="4"/>
  <c r="J4" i="4"/>
  <c r="I4" i="4"/>
  <c r="T3" i="4"/>
  <c r="S3" i="4"/>
  <c r="R3" i="4"/>
  <c r="Q3" i="4"/>
  <c r="P3" i="4"/>
  <c r="O3" i="4"/>
  <c r="N3" i="4"/>
  <c r="M3" i="4"/>
  <c r="L3" i="4"/>
  <c r="K3" i="4"/>
  <c r="J3" i="4"/>
  <c r="I3" i="4"/>
  <c r="U3" i="4" s="1"/>
  <c r="T2" i="4"/>
  <c r="S2" i="4"/>
  <c r="R2" i="4"/>
  <c r="Q2" i="4"/>
  <c r="P2" i="4"/>
  <c r="O2" i="4"/>
  <c r="N2" i="4"/>
  <c r="M2" i="4"/>
  <c r="L2" i="4"/>
  <c r="K2" i="4"/>
  <c r="J2" i="4"/>
  <c r="I2" i="4"/>
  <c r="U2" i="4" s="1"/>
  <c r="T68" i="3"/>
  <c r="S68" i="3"/>
  <c r="R68" i="3"/>
  <c r="Q68" i="3"/>
  <c r="P68" i="3"/>
  <c r="O68" i="3"/>
  <c r="N68" i="3"/>
  <c r="M68" i="3"/>
  <c r="L68" i="3"/>
  <c r="K68" i="3"/>
  <c r="J68" i="3"/>
  <c r="I68" i="3"/>
  <c r="U68" i="3" s="1"/>
  <c r="T67" i="3"/>
  <c r="S67" i="3"/>
  <c r="R67" i="3"/>
  <c r="Q67" i="3"/>
  <c r="P67" i="3"/>
  <c r="O67" i="3"/>
  <c r="N67" i="3"/>
  <c r="M67" i="3"/>
  <c r="L67" i="3"/>
  <c r="K67" i="3"/>
  <c r="J67" i="3"/>
  <c r="I67" i="3"/>
  <c r="U67" i="3" s="1"/>
  <c r="T66" i="3"/>
  <c r="S66" i="3"/>
  <c r="R66" i="3"/>
  <c r="Q66" i="3"/>
  <c r="P66" i="3"/>
  <c r="O66" i="3"/>
  <c r="N66" i="3"/>
  <c r="M66" i="3"/>
  <c r="L66" i="3"/>
  <c r="K66" i="3"/>
  <c r="J66" i="3"/>
  <c r="I66" i="3"/>
  <c r="U66" i="3" s="1"/>
  <c r="T65" i="3"/>
  <c r="S65" i="3"/>
  <c r="R65" i="3"/>
  <c r="Q65" i="3"/>
  <c r="P65" i="3"/>
  <c r="O65" i="3"/>
  <c r="N65" i="3"/>
  <c r="M65" i="3"/>
  <c r="U65" i="3" s="1"/>
  <c r="L65" i="3"/>
  <c r="K65" i="3"/>
  <c r="J65" i="3"/>
  <c r="I65" i="3"/>
  <c r="T64" i="3"/>
  <c r="S64" i="3"/>
  <c r="R64" i="3"/>
  <c r="Q64" i="3"/>
  <c r="P64" i="3"/>
  <c r="O64" i="3"/>
  <c r="N64" i="3"/>
  <c r="M64" i="3"/>
  <c r="L64" i="3"/>
  <c r="K64" i="3"/>
  <c r="J64" i="3"/>
  <c r="I64" i="3"/>
  <c r="U64" i="3" s="1"/>
  <c r="T63" i="3"/>
  <c r="S63" i="3"/>
  <c r="R63" i="3"/>
  <c r="Q63" i="3"/>
  <c r="P63" i="3"/>
  <c r="O63" i="3"/>
  <c r="N63" i="3"/>
  <c r="M63" i="3"/>
  <c r="L63" i="3"/>
  <c r="U63" i="3" s="1"/>
  <c r="K63" i="3"/>
  <c r="J63" i="3"/>
  <c r="I63" i="3"/>
  <c r="T62" i="3"/>
  <c r="S62" i="3"/>
  <c r="R62" i="3"/>
  <c r="Q62" i="3"/>
  <c r="P62" i="3"/>
  <c r="O62" i="3"/>
  <c r="N62" i="3"/>
  <c r="M62" i="3"/>
  <c r="L62" i="3"/>
  <c r="U62" i="3" s="1"/>
  <c r="K62" i="3"/>
  <c r="J62" i="3"/>
  <c r="I62" i="3"/>
  <c r="T61" i="3"/>
  <c r="S61" i="3"/>
  <c r="R61" i="3"/>
  <c r="Q61" i="3"/>
  <c r="P61" i="3"/>
  <c r="O61" i="3"/>
  <c r="N61" i="3"/>
  <c r="M61" i="3"/>
  <c r="L61" i="3"/>
  <c r="K61" i="3"/>
  <c r="J61" i="3"/>
  <c r="I61" i="3"/>
  <c r="U61" i="3" s="1"/>
  <c r="T60" i="3"/>
  <c r="S60" i="3"/>
  <c r="R60" i="3"/>
  <c r="Q60" i="3"/>
  <c r="P60" i="3"/>
  <c r="O60" i="3"/>
  <c r="N60" i="3"/>
  <c r="M60" i="3"/>
  <c r="L60" i="3"/>
  <c r="K60" i="3"/>
  <c r="J60" i="3"/>
  <c r="I60" i="3"/>
  <c r="U60" i="3" s="1"/>
  <c r="T59" i="3"/>
  <c r="S59" i="3"/>
  <c r="R59" i="3"/>
  <c r="Q59" i="3"/>
  <c r="P59" i="3"/>
  <c r="O59" i="3"/>
  <c r="N59" i="3"/>
  <c r="M59" i="3"/>
  <c r="L59" i="3"/>
  <c r="K59" i="3"/>
  <c r="J59" i="3"/>
  <c r="I59" i="3"/>
  <c r="U59" i="3" s="1"/>
  <c r="T58" i="3"/>
  <c r="S58" i="3"/>
  <c r="R58" i="3"/>
  <c r="Q58" i="3"/>
  <c r="P58" i="3"/>
  <c r="O58" i="3"/>
  <c r="N58" i="3"/>
  <c r="M58" i="3"/>
  <c r="L58" i="3"/>
  <c r="K58" i="3"/>
  <c r="J58" i="3"/>
  <c r="I58" i="3"/>
  <c r="U58" i="3" s="1"/>
  <c r="T57" i="3"/>
  <c r="S57" i="3"/>
  <c r="R57" i="3"/>
  <c r="Q57" i="3"/>
  <c r="P57" i="3"/>
  <c r="O57" i="3"/>
  <c r="N57" i="3"/>
  <c r="M57" i="3"/>
  <c r="U57" i="3" s="1"/>
  <c r="L57" i="3"/>
  <c r="K57" i="3"/>
  <c r="J57" i="3"/>
  <c r="I57" i="3"/>
  <c r="T56" i="3"/>
  <c r="S56" i="3"/>
  <c r="R56" i="3"/>
  <c r="Q56" i="3"/>
  <c r="P56" i="3"/>
  <c r="O56" i="3"/>
  <c r="N56" i="3"/>
  <c r="M56" i="3"/>
  <c r="L56" i="3"/>
  <c r="K56" i="3"/>
  <c r="J56" i="3"/>
  <c r="U56" i="3" s="1"/>
  <c r="I56" i="3"/>
  <c r="T55" i="3"/>
  <c r="S55" i="3"/>
  <c r="R55" i="3"/>
  <c r="Q55" i="3"/>
  <c r="P55" i="3"/>
  <c r="O55" i="3"/>
  <c r="N55" i="3"/>
  <c r="M55" i="3"/>
  <c r="L55" i="3"/>
  <c r="U55" i="3" s="1"/>
  <c r="K55" i="3"/>
  <c r="J55" i="3"/>
  <c r="I55" i="3"/>
  <c r="T54" i="3"/>
  <c r="S54" i="3"/>
  <c r="R54" i="3"/>
  <c r="Q54" i="3"/>
  <c r="P54" i="3"/>
  <c r="O54" i="3"/>
  <c r="N54" i="3"/>
  <c r="M54" i="3"/>
  <c r="L54" i="3"/>
  <c r="U54" i="3" s="1"/>
  <c r="K54" i="3"/>
  <c r="J54" i="3"/>
  <c r="I54" i="3"/>
  <c r="T53" i="3"/>
  <c r="S53" i="3"/>
  <c r="R53" i="3"/>
  <c r="Q53" i="3"/>
  <c r="P53" i="3"/>
  <c r="O53" i="3"/>
  <c r="N53" i="3"/>
  <c r="M53" i="3"/>
  <c r="L53" i="3"/>
  <c r="K53" i="3"/>
  <c r="J53" i="3"/>
  <c r="I53" i="3"/>
  <c r="U53" i="3" s="1"/>
  <c r="T52" i="3"/>
  <c r="S52" i="3"/>
  <c r="R52" i="3"/>
  <c r="Q52" i="3"/>
  <c r="P52" i="3"/>
  <c r="O52" i="3"/>
  <c r="N52" i="3"/>
  <c r="M52" i="3"/>
  <c r="L52" i="3"/>
  <c r="K52" i="3"/>
  <c r="J52" i="3"/>
  <c r="I52" i="3"/>
  <c r="U52" i="3" s="1"/>
  <c r="T51" i="3"/>
  <c r="S51" i="3"/>
  <c r="R51" i="3"/>
  <c r="Q51" i="3"/>
  <c r="P51" i="3"/>
  <c r="O51" i="3"/>
  <c r="N51" i="3"/>
  <c r="M51" i="3"/>
  <c r="L51" i="3"/>
  <c r="K51" i="3"/>
  <c r="J51" i="3"/>
  <c r="I51" i="3"/>
  <c r="U51" i="3" s="1"/>
  <c r="T50" i="3"/>
  <c r="S50" i="3"/>
  <c r="R50" i="3"/>
  <c r="Q50" i="3"/>
  <c r="P50" i="3"/>
  <c r="O50" i="3"/>
  <c r="N50" i="3"/>
  <c r="M50" i="3"/>
  <c r="L50" i="3"/>
  <c r="K50" i="3"/>
  <c r="J50" i="3"/>
  <c r="I50" i="3"/>
  <c r="U50" i="3" s="1"/>
  <c r="T49" i="3"/>
  <c r="S49" i="3"/>
  <c r="R49" i="3"/>
  <c r="Q49" i="3"/>
  <c r="P49" i="3"/>
  <c r="O49" i="3"/>
  <c r="N49" i="3"/>
  <c r="M49" i="3"/>
  <c r="U49" i="3" s="1"/>
  <c r="L49" i="3"/>
  <c r="K49" i="3"/>
  <c r="J49" i="3"/>
  <c r="I49" i="3"/>
  <c r="T48" i="3"/>
  <c r="S48" i="3"/>
  <c r="R48" i="3"/>
  <c r="Q48" i="3"/>
  <c r="P48" i="3"/>
  <c r="O48" i="3"/>
  <c r="N48" i="3"/>
  <c r="M48" i="3"/>
  <c r="L48" i="3"/>
  <c r="K48" i="3"/>
  <c r="J48" i="3"/>
  <c r="U48" i="3" s="1"/>
  <c r="I48" i="3"/>
  <c r="T47" i="3"/>
  <c r="S47" i="3"/>
  <c r="R47" i="3"/>
  <c r="Q47" i="3"/>
  <c r="P47" i="3"/>
  <c r="O47" i="3"/>
  <c r="N47" i="3"/>
  <c r="M47" i="3"/>
  <c r="L47" i="3"/>
  <c r="U47" i="3" s="1"/>
  <c r="K47" i="3"/>
  <c r="J47" i="3"/>
  <c r="I47" i="3"/>
  <c r="T46" i="3"/>
  <c r="S46" i="3"/>
  <c r="R46" i="3"/>
  <c r="Q46" i="3"/>
  <c r="P46" i="3"/>
  <c r="O46" i="3"/>
  <c r="N46" i="3"/>
  <c r="M46" i="3"/>
  <c r="L46" i="3"/>
  <c r="U46" i="3" s="1"/>
  <c r="K46" i="3"/>
  <c r="J46" i="3"/>
  <c r="I46" i="3"/>
  <c r="T45" i="3"/>
  <c r="S45" i="3"/>
  <c r="R45" i="3"/>
  <c r="Q45" i="3"/>
  <c r="P45" i="3"/>
  <c r="O45" i="3"/>
  <c r="N45" i="3"/>
  <c r="M45" i="3"/>
  <c r="L45" i="3"/>
  <c r="K45" i="3"/>
  <c r="J45" i="3"/>
  <c r="I45" i="3"/>
  <c r="U45" i="3" s="1"/>
  <c r="T44" i="3"/>
  <c r="S44" i="3"/>
  <c r="R44" i="3"/>
  <c r="Q44" i="3"/>
  <c r="P44" i="3"/>
  <c r="O44" i="3"/>
  <c r="N44" i="3"/>
  <c r="M44" i="3"/>
  <c r="L44" i="3"/>
  <c r="K44" i="3"/>
  <c r="J44" i="3"/>
  <c r="I44" i="3"/>
  <c r="U44" i="3" s="1"/>
  <c r="T43" i="3"/>
  <c r="S43" i="3"/>
  <c r="R43" i="3"/>
  <c r="Q43" i="3"/>
  <c r="P43" i="3"/>
  <c r="O43" i="3"/>
  <c r="N43" i="3"/>
  <c r="M43" i="3"/>
  <c r="L43" i="3"/>
  <c r="K43" i="3"/>
  <c r="J43" i="3"/>
  <c r="I43" i="3"/>
  <c r="U43" i="3" s="1"/>
  <c r="T42" i="3"/>
  <c r="S42" i="3"/>
  <c r="R42" i="3"/>
  <c r="Q42" i="3"/>
  <c r="P42" i="3"/>
  <c r="O42" i="3"/>
  <c r="N42" i="3"/>
  <c r="M42" i="3"/>
  <c r="L42" i="3"/>
  <c r="K42" i="3"/>
  <c r="J42" i="3"/>
  <c r="I42" i="3"/>
  <c r="U42" i="3" s="1"/>
  <c r="T41" i="3"/>
  <c r="S41" i="3"/>
  <c r="R41" i="3"/>
  <c r="Q41" i="3"/>
  <c r="P41" i="3"/>
  <c r="O41" i="3"/>
  <c r="N41" i="3"/>
  <c r="M41" i="3"/>
  <c r="U41" i="3" s="1"/>
  <c r="L41" i="3"/>
  <c r="K41" i="3"/>
  <c r="J41" i="3"/>
  <c r="I41" i="3"/>
  <c r="T40" i="3"/>
  <c r="S40" i="3"/>
  <c r="R40" i="3"/>
  <c r="Q40" i="3"/>
  <c r="P40" i="3"/>
  <c r="O40" i="3"/>
  <c r="N40" i="3"/>
  <c r="M40" i="3"/>
  <c r="L40" i="3"/>
  <c r="K40" i="3"/>
  <c r="J40" i="3"/>
  <c r="I40" i="3"/>
  <c r="U40" i="3" s="1"/>
  <c r="T39" i="3"/>
  <c r="S39" i="3"/>
  <c r="R39" i="3"/>
  <c r="Q39" i="3"/>
  <c r="P39" i="3"/>
  <c r="O39" i="3"/>
  <c r="N39" i="3"/>
  <c r="M39" i="3"/>
  <c r="L39" i="3"/>
  <c r="U39" i="3" s="1"/>
  <c r="K39" i="3"/>
  <c r="J39" i="3"/>
  <c r="I39" i="3"/>
  <c r="T38" i="3"/>
  <c r="S38" i="3"/>
  <c r="R38" i="3"/>
  <c r="Q38" i="3"/>
  <c r="P38" i="3"/>
  <c r="O38" i="3"/>
  <c r="N38" i="3"/>
  <c r="M38" i="3"/>
  <c r="L38" i="3"/>
  <c r="K38" i="3"/>
  <c r="J38" i="3"/>
  <c r="I38" i="3"/>
  <c r="U38" i="3" s="1"/>
  <c r="T37" i="3"/>
  <c r="S37" i="3"/>
  <c r="R37" i="3"/>
  <c r="Q37" i="3"/>
  <c r="P37" i="3"/>
  <c r="O37" i="3"/>
  <c r="N37" i="3"/>
  <c r="M37" i="3"/>
  <c r="L37" i="3"/>
  <c r="K37" i="3"/>
  <c r="J37" i="3"/>
  <c r="I37" i="3"/>
  <c r="U37" i="3" s="1"/>
  <c r="T36" i="3"/>
  <c r="S36" i="3"/>
  <c r="R36" i="3"/>
  <c r="Q36" i="3"/>
  <c r="P36" i="3"/>
  <c r="O36" i="3"/>
  <c r="N36" i="3"/>
  <c r="M36" i="3"/>
  <c r="L36" i="3"/>
  <c r="K36" i="3"/>
  <c r="J36" i="3"/>
  <c r="I36" i="3"/>
  <c r="U36" i="3" s="1"/>
  <c r="T35" i="3"/>
  <c r="S35" i="3"/>
  <c r="R35" i="3"/>
  <c r="Q35" i="3"/>
  <c r="P35" i="3"/>
  <c r="O35" i="3"/>
  <c r="N35" i="3"/>
  <c r="M35" i="3"/>
  <c r="L35" i="3"/>
  <c r="K35" i="3"/>
  <c r="J35" i="3"/>
  <c r="I35" i="3"/>
  <c r="U35" i="3" s="1"/>
  <c r="T34" i="3"/>
  <c r="S34" i="3"/>
  <c r="R34" i="3"/>
  <c r="Q34" i="3"/>
  <c r="P34" i="3"/>
  <c r="O34" i="3"/>
  <c r="N34" i="3"/>
  <c r="M34" i="3"/>
  <c r="U34" i="3" s="1"/>
  <c r="L34" i="3"/>
  <c r="K34" i="3"/>
  <c r="J34" i="3"/>
  <c r="I34" i="3"/>
  <c r="T33" i="3"/>
  <c r="S33" i="3"/>
  <c r="R33" i="3"/>
  <c r="Q33" i="3"/>
  <c r="P33" i="3"/>
  <c r="O33" i="3"/>
  <c r="N33" i="3"/>
  <c r="M33" i="3"/>
  <c r="U33" i="3" s="1"/>
  <c r="L33" i="3"/>
  <c r="K33" i="3"/>
  <c r="J33" i="3"/>
  <c r="I33" i="3"/>
  <c r="T32" i="3"/>
  <c r="S32" i="3"/>
  <c r="R32" i="3"/>
  <c r="Q32" i="3"/>
  <c r="P32" i="3"/>
  <c r="O32" i="3"/>
  <c r="N32" i="3"/>
  <c r="M32" i="3"/>
  <c r="L32" i="3"/>
  <c r="K32" i="3"/>
  <c r="J32" i="3"/>
  <c r="I32" i="3"/>
  <c r="U32" i="3" s="1"/>
  <c r="T31" i="3"/>
  <c r="S31" i="3"/>
  <c r="R31" i="3"/>
  <c r="Q31" i="3"/>
  <c r="P31" i="3"/>
  <c r="O31" i="3"/>
  <c r="N31" i="3"/>
  <c r="M31" i="3"/>
  <c r="L31" i="3"/>
  <c r="K31" i="3"/>
  <c r="J31" i="3"/>
  <c r="I31" i="3"/>
  <c r="U31" i="3" s="1"/>
  <c r="T30" i="3"/>
  <c r="S30" i="3"/>
  <c r="R30" i="3"/>
  <c r="Q30" i="3"/>
  <c r="P30" i="3"/>
  <c r="O30" i="3"/>
  <c r="N30" i="3"/>
  <c r="M30" i="3"/>
  <c r="L30" i="3"/>
  <c r="K30" i="3"/>
  <c r="J30" i="3"/>
  <c r="I30" i="3"/>
  <c r="U30" i="3" s="1"/>
  <c r="T29" i="3"/>
  <c r="S29" i="3"/>
  <c r="R29" i="3"/>
  <c r="Q29" i="3"/>
  <c r="P29" i="3"/>
  <c r="O29" i="3"/>
  <c r="N29" i="3"/>
  <c r="M29" i="3"/>
  <c r="L29" i="3"/>
  <c r="K29" i="3"/>
  <c r="J29" i="3"/>
  <c r="I29" i="3"/>
  <c r="U29" i="3" s="1"/>
  <c r="T28" i="3"/>
  <c r="S28" i="3"/>
  <c r="R28" i="3"/>
  <c r="Q28" i="3"/>
  <c r="P28" i="3"/>
  <c r="O28" i="3"/>
  <c r="N28" i="3"/>
  <c r="M28" i="3"/>
  <c r="L28" i="3"/>
  <c r="K28" i="3"/>
  <c r="J28" i="3"/>
  <c r="I28" i="3"/>
  <c r="U28" i="3" s="1"/>
  <c r="T27" i="3"/>
  <c r="S27" i="3"/>
  <c r="R27" i="3"/>
  <c r="Q27" i="3"/>
  <c r="P27" i="3"/>
  <c r="O27" i="3"/>
  <c r="N27" i="3"/>
  <c r="M27" i="3"/>
  <c r="L27" i="3"/>
  <c r="K27" i="3"/>
  <c r="J27" i="3"/>
  <c r="I27" i="3"/>
  <c r="U27" i="3" s="1"/>
  <c r="T26" i="3"/>
  <c r="S26" i="3"/>
  <c r="R26" i="3"/>
  <c r="Q26" i="3"/>
  <c r="P26" i="3"/>
  <c r="O26" i="3"/>
  <c r="N26" i="3"/>
  <c r="M26" i="3"/>
  <c r="U26" i="3" s="1"/>
  <c r="L26" i="3"/>
  <c r="K26" i="3"/>
  <c r="J26" i="3"/>
  <c r="I26" i="3"/>
  <c r="T25" i="3"/>
  <c r="S25" i="3"/>
  <c r="R25" i="3"/>
  <c r="Q25" i="3"/>
  <c r="P25" i="3"/>
  <c r="O25" i="3"/>
  <c r="N25" i="3"/>
  <c r="M25" i="3"/>
  <c r="U25" i="3" s="1"/>
  <c r="L25" i="3"/>
  <c r="K25" i="3"/>
  <c r="J25" i="3"/>
  <c r="I25" i="3"/>
  <c r="T24" i="3"/>
  <c r="S24" i="3"/>
  <c r="R24" i="3"/>
  <c r="Q24" i="3"/>
  <c r="P24" i="3"/>
  <c r="O24" i="3"/>
  <c r="N24" i="3"/>
  <c r="M24" i="3"/>
  <c r="L24" i="3"/>
  <c r="K24" i="3"/>
  <c r="J24" i="3"/>
  <c r="I24" i="3"/>
  <c r="U24" i="3" s="1"/>
  <c r="T23" i="3"/>
  <c r="S23" i="3"/>
  <c r="R23" i="3"/>
  <c r="Q23" i="3"/>
  <c r="P23" i="3"/>
  <c r="O23" i="3"/>
  <c r="N23" i="3"/>
  <c r="M23" i="3"/>
  <c r="L23" i="3"/>
  <c r="K23" i="3"/>
  <c r="J23" i="3"/>
  <c r="I23" i="3"/>
  <c r="U23" i="3" s="1"/>
  <c r="T22" i="3"/>
  <c r="S22" i="3"/>
  <c r="R22" i="3"/>
  <c r="Q22" i="3"/>
  <c r="P22" i="3"/>
  <c r="O22" i="3"/>
  <c r="N22" i="3"/>
  <c r="M22" i="3"/>
  <c r="L22" i="3"/>
  <c r="K22" i="3"/>
  <c r="J22" i="3"/>
  <c r="I22" i="3"/>
  <c r="U22" i="3" s="1"/>
  <c r="T21" i="3"/>
  <c r="S21" i="3"/>
  <c r="R21" i="3"/>
  <c r="Q21" i="3"/>
  <c r="P21" i="3"/>
  <c r="O21" i="3"/>
  <c r="N21" i="3"/>
  <c r="M21" i="3"/>
  <c r="L21" i="3"/>
  <c r="K21" i="3"/>
  <c r="J21" i="3"/>
  <c r="I21" i="3"/>
  <c r="U21" i="3" s="1"/>
  <c r="T20" i="3"/>
  <c r="S20" i="3"/>
  <c r="R20" i="3"/>
  <c r="Q20" i="3"/>
  <c r="P20" i="3"/>
  <c r="O20" i="3"/>
  <c r="N20" i="3"/>
  <c r="M20" i="3"/>
  <c r="L20" i="3"/>
  <c r="K20" i="3"/>
  <c r="J20" i="3"/>
  <c r="I20" i="3"/>
  <c r="U20" i="3" s="1"/>
  <c r="T19" i="3"/>
  <c r="S19" i="3"/>
  <c r="R19" i="3"/>
  <c r="Q19" i="3"/>
  <c r="P19" i="3"/>
  <c r="O19" i="3"/>
  <c r="N19" i="3"/>
  <c r="M19" i="3"/>
  <c r="L19" i="3"/>
  <c r="K19" i="3"/>
  <c r="U19" i="3" s="1"/>
  <c r="J19" i="3"/>
  <c r="I19" i="3"/>
  <c r="T18" i="3"/>
  <c r="S18" i="3"/>
  <c r="R18" i="3"/>
  <c r="Q18" i="3"/>
  <c r="P18" i="3"/>
  <c r="O18" i="3"/>
  <c r="N18" i="3"/>
  <c r="M18" i="3"/>
  <c r="U18" i="3" s="1"/>
  <c r="L18" i="3"/>
  <c r="K18" i="3"/>
  <c r="J18" i="3"/>
  <c r="I18" i="3"/>
  <c r="T17" i="3"/>
  <c r="S17" i="3"/>
  <c r="R17" i="3"/>
  <c r="Q17" i="3"/>
  <c r="P17" i="3"/>
  <c r="O17" i="3"/>
  <c r="N17" i="3"/>
  <c r="M17" i="3"/>
  <c r="U17" i="3" s="1"/>
  <c r="L17" i="3"/>
  <c r="K17" i="3"/>
  <c r="J17" i="3"/>
  <c r="I17" i="3"/>
  <c r="T16" i="3"/>
  <c r="S16" i="3"/>
  <c r="R16" i="3"/>
  <c r="Q16" i="3"/>
  <c r="P16" i="3"/>
  <c r="O16" i="3"/>
  <c r="N16" i="3"/>
  <c r="M16" i="3"/>
  <c r="L16" i="3"/>
  <c r="K16" i="3"/>
  <c r="J16" i="3"/>
  <c r="I16" i="3"/>
  <c r="U16" i="3" s="1"/>
  <c r="T15" i="3"/>
  <c r="S15" i="3"/>
  <c r="R15" i="3"/>
  <c r="Q15" i="3"/>
  <c r="P15" i="3"/>
  <c r="O15" i="3"/>
  <c r="N15" i="3"/>
  <c r="M15" i="3"/>
  <c r="L15" i="3"/>
  <c r="K15" i="3"/>
  <c r="J15" i="3"/>
  <c r="I15" i="3"/>
  <c r="U15" i="3" s="1"/>
  <c r="T14" i="3"/>
  <c r="S14" i="3"/>
  <c r="R14" i="3"/>
  <c r="Q14" i="3"/>
  <c r="P14" i="3"/>
  <c r="O14" i="3"/>
  <c r="N14" i="3"/>
  <c r="M14" i="3"/>
  <c r="L14" i="3"/>
  <c r="K14" i="3"/>
  <c r="J14" i="3"/>
  <c r="I14" i="3"/>
  <c r="U14" i="3" s="1"/>
  <c r="T13" i="3"/>
  <c r="S13" i="3"/>
  <c r="R13" i="3"/>
  <c r="Q13" i="3"/>
  <c r="P13" i="3"/>
  <c r="O13" i="3"/>
  <c r="N13" i="3"/>
  <c r="M13" i="3"/>
  <c r="L13" i="3"/>
  <c r="K13" i="3"/>
  <c r="J13" i="3"/>
  <c r="I13" i="3"/>
  <c r="U13" i="3" s="1"/>
  <c r="T12" i="3"/>
  <c r="S12" i="3"/>
  <c r="R12" i="3"/>
  <c r="Q12" i="3"/>
  <c r="P12" i="3"/>
  <c r="O12" i="3"/>
  <c r="N12" i="3"/>
  <c r="M12" i="3"/>
  <c r="L12" i="3"/>
  <c r="K12" i="3"/>
  <c r="J12" i="3"/>
  <c r="I12" i="3"/>
  <c r="U12" i="3" s="1"/>
  <c r="T11" i="3"/>
  <c r="S11" i="3"/>
  <c r="R11" i="3"/>
  <c r="Q11" i="3"/>
  <c r="P11" i="3"/>
  <c r="O11" i="3"/>
  <c r="N11" i="3"/>
  <c r="M11" i="3"/>
  <c r="L11" i="3"/>
  <c r="K11" i="3"/>
  <c r="U11" i="3" s="1"/>
  <c r="J11" i="3"/>
  <c r="I11" i="3"/>
  <c r="T10" i="3"/>
  <c r="S10" i="3"/>
  <c r="R10" i="3"/>
  <c r="Q10" i="3"/>
  <c r="P10" i="3"/>
  <c r="O10" i="3"/>
  <c r="N10" i="3"/>
  <c r="M10" i="3"/>
  <c r="U10" i="3" s="1"/>
  <c r="L10" i="3"/>
  <c r="K10" i="3"/>
  <c r="J10" i="3"/>
  <c r="I10" i="3"/>
  <c r="T9" i="3"/>
  <c r="S9" i="3"/>
  <c r="R9" i="3"/>
  <c r="Q9" i="3"/>
  <c r="P9" i="3"/>
  <c r="O9" i="3"/>
  <c r="N9" i="3"/>
  <c r="M9" i="3"/>
  <c r="U9" i="3" s="1"/>
  <c r="L9" i="3"/>
  <c r="K9" i="3"/>
  <c r="J9" i="3"/>
  <c r="I9" i="3"/>
  <c r="T8" i="3"/>
  <c r="S8" i="3"/>
  <c r="R8" i="3"/>
  <c r="Q8" i="3"/>
  <c r="P8" i="3"/>
  <c r="O8" i="3"/>
  <c r="N8" i="3"/>
  <c r="M8" i="3"/>
  <c r="L8" i="3"/>
  <c r="K8" i="3"/>
  <c r="J8" i="3"/>
  <c r="I8" i="3"/>
  <c r="U8" i="3" s="1"/>
  <c r="T7" i="3"/>
  <c r="S7" i="3"/>
  <c r="R7" i="3"/>
  <c r="Q7" i="3"/>
  <c r="P7" i="3"/>
  <c r="O7" i="3"/>
  <c r="N7" i="3"/>
  <c r="M7" i="3"/>
  <c r="L7" i="3"/>
  <c r="K7" i="3"/>
  <c r="J7" i="3"/>
  <c r="I7" i="3"/>
  <c r="U7" i="3" s="1"/>
  <c r="T6" i="3"/>
  <c r="S6" i="3"/>
  <c r="R6" i="3"/>
  <c r="Q6" i="3"/>
  <c r="P6" i="3"/>
  <c r="O6" i="3"/>
  <c r="N6" i="3"/>
  <c r="M6" i="3"/>
  <c r="L6" i="3"/>
  <c r="K6" i="3"/>
  <c r="J6" i="3"/>
  <c r="I6" i="3"/>
  <c r="U6" i="3" s="1"/>
  <c r="T5" i="3"/>
  <c r="S5" i="3"/>
  <c r="R5" i="3"/>
  <c r="Q5" i="3"/>
  <c r="P5" i="3"/>
  <c r="O5" i="3"/>
  <c r="N5" i="3"/>
  <c r="M5" i="3"/>
  <c r="L5" i="3"/>
  <c r="K5" i="3"/>
  <c r="J5" i="3"/>
  <c r="I5" i="3"/>
  <c r="U5" i="3" s="1"/>
  <c r="T4" i="3"/>
  <c r="S4" i="3"/>
  <c r="R4" i="3"/>
  <c r="Q4" i="3"/>
  <c r="P4" i="3"/>
  <c r="O4" i="3"/>
  <c r="N4" i="3"/>
  <c r="M4" i="3"/>
  <c r="L4" i="3"/>
  <c r="K4" i="3"/>
  <c r="J4" i="3"/>
  <c r="I4" i="3"/>
  <c r="U4" i="3" s="1"/>
  <c r="T3" i="3"/>
  <c r="S3" i="3"/>
  <c r="R3" i="3"/>
  <c r="Q3" i="3"/>
  <c r="P3" i="3"/>
  <c r="O3" i="3"/>
  <c r="N3" i="3"/>
  <c r="M3" i="3"/>
  <c r="L3" i="3"/>
  <c r="K3" i="3"/>
  <c r="U3" i="3" s="1"/>
  <c r="J3" i="3"/>
  <c r="I3" i="3"/>
  <c r="T2" i="3"/>
  <c r="S2" i="3"/>
  <c r="R2" i="3"/>
  <c r="Q2" i="3"/>
  <c r="P2" i="3"/>
  <c r="O2" i="3"/>
  <c r="N2" i="3"/>
  <c r="M2" i="3"/>
  <c r="U2" i="3" s="1"/>
  <c r="L2" i="3"/>
  <c r="K2" i="3"/>
  <c r="J2" i="3"/>
  <c r="I2" i="3"/>
  <c r="H1" i="2"/>
  <c r="I51" i="28" l="1"/>
  <c r="I51" i="23"/>
  <c r="I51" i="14"/>
  <c r="I51" i="8"/>
  <c r="I51" i="9"/>
  <c r="I51" i="7"/>
  <c r="I51" i="6"/>
  <c r="I59" i="28"/>
  <c r="I59" i="23"/>
  <c r="I59" i="7"/>
  <c r="I59" i="6"/>
  <c r="I59" i="14"/>
  <c r="I59" i="8"/>
  <c r="I59" i="9"/>
  <c r="I8" i="29"/>
  <c r="I8" i="24"/>
  <c r="I8" i="13"/>
  <c r="I8" i="12"/>
  <c r="I8" i="11"/>
  <c r="I8" i="10"/>
  <c r="I24" i="29"/>
  <c r="I24" i="24"/>
  <c r="I24" i="13"/>
  <c r="I24" i="12"/>
  <c r="I24" i="11"/>
  <c r="I24" i="10"/>
  <c r="I32" i="29"/>
  <c r="I32" i="24"/>
  <c r="I32" i="13"/>
  <c r="I32" i="12"/>
  <c r="I32" i="11"/>
  <c r="I32" i="10"/>
  <c r="I49" i="28"/>
  <c r="I49" i="23"/>
  <c r="I49" i="6"/>
  <c r="I49" i="7"/>
  <c r="I49" i="14"/>
  <c r="I49" i="8"/>
  <c r="I49" i="9"/>
  <c r="I57" i="28"/>
  <c r="I57" i="23"/>
  <c r="I57" i="6"/>
  <c r="I57" i="7"/>
  <c r="I57" i="14"/>
  <c r="I57" i="8"/>
  <c r="I57" i="9"/>
  <c r="I65" i="28"/>
  <c r="I65" i="23"/>
  <c r="I65" i="6"/>
  <c r="I65" i="7"/>
  <c r="I65" i="14"/>
  <c r="I65" i="8"/>
  <c r="I65" i="9"/>
  <c r="P12" i="5"/>
  <c r="P15" i="5" s="1"/>
  <c r="I5" i="23"/>
  <c r="I5" i="28"/>
  <c r="BD77" i="28" s="1"/>
  <c r="I5" i="8"/>
  <c r="I5" i="14"/>
  <c r="I5" i="9"/>
  <c r="I5" i="6"/>
  <c r="I5" i="7"/>
  <c r="I8" i="28"/>
  <c r="AZ80" i="28" s="1"/>
  <c r="I8" i="23"/>
  <c r="I8" i="6"/>
  <c r="I8" i="9"/>
  <c r="I8" i="14"/>
  <c r="I8" i="7"/>
  <c r="I8" i="8"/>
  <c r="I10" i="28"/>
  <c r="I10" i="23"/>
  <c r="I10" i="7"/>
  <c r="I10" i="8"/>
  <c r="I10" i="14"/>
  <c r="I10" i="9"/>
  <c r="I10" i="6"/>
  <c r="I13" i="23"/>
  <c r="I13" i="28"/>
  <c r="I13" i="8"/>
  <c r="I13" i="14"/>
  <c r="I13" i="9"/>
  <c r="I13" i="6"/>
  <c r="I13" i="7"/>
  <c r="I16" i="28"/>
  <c r="AR88" i="28" s="1"/>
  <c r="I16" i="23"/>
  <c r="I16" i="6"/>
  <c r="I16" i="14"/>
  <c r="I16" i="9"/>
  <c r="I16" i="7"/>
  <c r="I16" i="8"/>
  <c r="I18" i="28"/>
  <c r="AJ90" i="28" s="1"/>
  <c r="I18" i="23"/>
  <c r="I18" i="7"/>
  <c r="I18" i="8"/>
  <c r="I18" i="9"/>
  <c r="I18" i="6"/>
  <c r="I18" i="14"/>
  <c r="I21" i="23"/>
  <c r="I21" i="28"/>
  <c r="I21" i="8"/>
  <c r="I21" i="9"/>
  <c r="I21" i="6"/>
  <c r="I21" i="14"/>
  <c r="I21" i="7"/>
  <c r="I24" i="28"/>
  <c r="I24" i="23"/>
  <c r="I24" i="6"/>
  <c r="I24" i="14"/>
  <c r="I24" i="7"/>
  <c r="I24" i="9"/>
  <c r="I24" i="8"/>
  <c r="I26" i="28"/>
  <c r="I26" i="23"/>
  <c r="I26" i="7"/>
  <c r="I26" i="8"/>
  <c r="I26" i="9"/>
  <c r="I26" i="14"/>
  <c r="I26" i="6"/>
  <c r="I29" i="23"/>
  <c r="I29" i="28"/>
  <c r="I29" i="8"/>
  <c r="I29" i="9"/>
  <c r="I29" i="6"/>
  <c r="I29" i="14"/>
  <c r="I29" i="7"/>
  <c r="I30" i="23"/>
  <c r="I30" i="28"/>
  <c r="I30" i="8"/>
  <c r="I30" i="9"/>
  <c r="I30" i="6"/>
  <c r="I30" i="14"/>
  <c r="I30" i="7"/>
  <c r="I32" i="28"/>
  <c r="I32" i="23"/>
  <c r="I32" i="6"/>
  <c r="I32" i="14"/>
  <c r="I32" i="7"/>
  <c r="I32" i="9"/>
  <c r="I32" i="8"/>
  <c r="I34" i="28"/>
  <c r="I34" i="23"/>
  <c r="I34" i="7"/>
  <c r="I34" i="8"/>
  <c r="I34" i="14"/>
  <c r="I34" i="9"/>
  <c r="I34" i="6"/>
  <c r="I37" i="23"/>
  <c r="I37" i="28"/>
  <c r="I37" i="8"/>
  <c r="I37" i="9"/>
  <c r="I37" i="14"/>
  <c r="I37" i="6"/>
  <c r="I37" i="7"/>
  <c r="I38" i="23"/>
  <c r="I38" i="28"/>
  <c r="I38" i="8"/>
  <c r="I38" i="9"/>
  <c r="I38" i="14"/>
  <c r="I38" i="6"/>
  <c r="I38" i="7"/>
  <c r="I40" i="28"/>
  <c r="I40" i="23"/>
  <c r="I40" i="14"/>
  <c r="I40" i="6"/>
  <c r="I40" i="7"/>
  <c r="I40" i="8"/>
  <c r="I40" i="9"/>
  <c r="I46" i="23"/>
  <c r="I46" i="28"/>
  <c r="I46" i="8"/>
  <c r="I46" i="14"/>
  <c r="I46" i="9"/>
  <c r="I46" i="7"/>
  <c r="I46" i="6"/>
  <c r="I48" i="28"/>
  <c r="I48" i="23"/>
  <c r="I48" i="9"/>
  <c r="I48" i="6"/>
  <c r="I48" i="14"/>
  <c r="I48" i="7"/>
  <c r="I48" i="8"/>
  <c r="I54" i="23"/>
  <c r="I54" i="28"/>
  <c r="I54" i="8"/>
  <c r="I54" i="9"/>
  <c r="I54" i="7"/>
  <c r="I54" i="14"/>
  <c r="I54" i="6"/>
  <c r="I56" i="28"/>
  <c r="I56" i="23"/>
  <c r="I56" i="9"/>
  <c r="I56" i="6"/>
  <c r="I56" i="14"/>
  <c r="I56" i="7"/>
  <c r="I56" i="8"/>
  <c r="I62" i="23"/>
  <c r="I62" i="28"/>
  <c r="I62" i="8"/>
  <c r="I62" i="9"/>
  <c r="I62" i="7"/>
  <c r="I62" i="6"/>
  <c r="I62" i="14"/>
  <c r="I64" i="28"/>
  <c r="I64" i="23"/>
  <c r="I64" i="6"/>
  <c r="I64" i="14"/>
  <c r="I64" i="7"/>
  <c r="I64" i="9"/>
  <c r="I64" i="8"/>
  <c r="I70" i="23"/>
  <c r="I70" i="28"/>
  <c r="I70" i="8"/>
  <c r="I70" i="9"/>
  <c r="I70" i="7"/>
  <c r="I70" i="6"/>
  <c r="I70" i="14"/>
  <c r="P14" i="5"/>
  <c r="P17" i="5" s="1"/>
  <c r="I5" i="24"/>
  <c r="I5" i="29"/>
  <c r="I5" i="12"/>
  <c r="I5" i="11"/>
  <c r="I5" i="10"/>
  <c r="I5" i="13"/>
  <c r="I10" i="24"/>
  <c r="I10" i="29"/>
  <c r="I10" i="13"/>
  <c r="I10" i="12"/>
  <c r="I10" i="11"/>
  <c r="I10" i="10"/>
  <c r="I11" i="29"/>
  <c r="I11" i="24"/>
  <c r="I11" i="12"/>
  <c r="I11" i="11"/>
  <c r="I11" i="10"/>
  <c r="I11" i="13"/>
  <c r="I13" i="24"/>
  <c r="I13" i="29"/>
  <c r="I13" i="12"/>
  <c r="I13" i="11"/>
  <c r="I13" i="10"/>
  <c r="I13" i="13"/>
  <c r="I18" i="24"/>
  <c r="I18" i="29"/>
  <c r="I18" i="13"/>
  <c r="I18" i="12"/>
  <c r="I18" i="11"/>
  <c r="I18" i="10"/>
  <c r="I19" i="29"/>
  <c r="I19" i="24"/>
  <c r="I19" i="12"/>
  <c r="I19" i="11"/>
  <c r="I19" i="10"/>
  <c r="I19" i="13"/>
  <c r="I21" i="24"/>
  <c r="I21" i="29"/>
  <c r="I21" i="12"/>
  <c r="I21" i="11"/>
  <c r="I21" i="10"/>
  <c r="I21" i="13"/>
  <c r="I26" i="24"/>
  <c r="I26" i="29"/>
  <c r="I26" i="13"/>
  <c r="I26" i="12"/>
  <c r="I26" i="11"/>
  <c r="I26" i="10"/>
  <c r="I27" i="29"/>
  <c r="I27" i="24"/>
  <c r="I27" i="13"/>
  <c r="I27" i="12"/>
  <c r="I27" i="11"/>
  <c r="I27" i="10"/>
  <c r="I29" i="24"/>
  <c r="I29" i="29"/>
  <c r="I29" i="12"/>
  <c r="I29" i="11"/>
  <c r="I29" i="10"/>
  <c r="I29" i="13"/>
  <c r="I34" i="24"/>
  <c r="I34" i="29"/>
  <c r="I34" i="13"/>
  <c r="I34" i="12"/>
  <c r="I34" i="11"/>
  <c r="I34" i="10"/>
  <c r="I35" i="29"/>
  <c r="I35" i="24"/>
  <c r="I35" i="12"/>
  <c r="I35" i="11"/>
  <c r="I35" i="10"/>
  <c r="I35" i="13"/>
  <c r="I37" i="24"/>
  <c r="I37" i="29"/>
  <c r="I37" i="12"/>
  <c r="I37" i="11"/>
  <c r="I37" i="10"/>
  <c r="I37" i="13"/>
  <c r="I42" i="24"/>
  <c r="I42" i="29"/>
  <c r="I42" i="13"/>
  <c r="I42" i="12"/>
  <c r="I42" i="11"/>
  <c r="I42" i="10"/>
  <c r="I43" i="29"/>
  <c r="I43" i="24"/>
  <c r="I43" i="13"/>
  <c r="I43" i="12"/>
  <c r="I43" i="11"/>
  <c r="I43" i="10"/>
  <c r="I45" i="24"/>
  <c r="I45" i="29"/>
  <c r="I45" i="12"/>
  <c r="I45" i="11"/>
  <c r="I45" i="10"/>
  <c r="I45" i="13"/>
  <c r="I6" i="23"/>
  <c r="I6" i="28"/>
  <c r="I6" i="8"/>
  <c r="I6" i="14"/>
  <c r="I6" i="9"/>
  <c r="I6" i="6"/>
  <c r="I6" i="7"/>
  <c r="I22" i="23"/>
  <c r="I22" i="28"/>
  <c r="I22" i="8"/>
  <c r="I22" i="9"/>
  <c r="I22" i="6"/>
  <c r="I22" i="14"/>
  <c r="I22" i="7"/>
  <c r="I14" i="23"/>
  <c r="I14" i="28"/>
  <c r="AZ86" i="28" s="1"/>
  <c r="I14" i="8"/>
  <c r="I14" i="9"/>
  <c r="I14" i="6"/>
  <c r="I14" i="14"/>
  <c r="I14" i="7"/>
  <c r="I42" i="28"/>
  <c r="I42" i="23"/>
  <c r="I42" i="7"/>
  <c r="I42" i="6"/>
  <c r="I42" i="14"/>
  <c r="I42" i="8"/>
  <c r="I42" i="9"/>
  <c r="I50" i="28"/>
  <c r="I50" i="23"/>
  <c r="I50" i="6"/>
  <c r="I50" i="7"/>
  <c r="I50" i="8"/>
  <c r="I50" i="9"/>
  <c r="I50" i="14"/>
  <c r="I58" i="28"/>
  <c r="I58" i="23"/>
  <c r="I58" i="6"/>
  <c r="I58" i="7"/>
  <c r="I58" i="8"/>
  <c r="I58" i="9"/>
  <c r="I58" i="14"/>
  <c r="I66" i="28"/>
  <c r="I66" i="23"/>
  <c r="I66" i="6"/>
  <c r="I66" i="7"/>
  <c r="I66" i="8"/>
  <c r="I66" i="14"/>
  <c r="I66" i="9"/>
  <c r="I7" i="24"/>
  <c r="I7" i="29"/>
  <c r="I7" i="13"/>
  <c r="I7" i="12"/>
  <c r="I7" i="11"/>
  <c r="I7" i="10"/>
  <c r="I15" i="24"/>
  <c r="I15" i="29"/>
  <c r="I15" i="13"/>
  <c r="I15" i="12"/>
  <c r="I15" i="11"/>
  <c r="I15" i="10"/>
  <c r="P13" i="5"/>
  <c r="P16" i="5" s="1"/>
  <c r="I7" i="23"/>
  <c r="I7" i="28"/>
  <c r="AV79" i="28" s="1"/>
  <c r="I7" i="14"/>
  <c r="I7" i="9"/>
  <c r="I7" i="6"/>
  <c r="I7" i="8"/>
  <c r="I7" i="7"/>
  <c r="M83" i="6" s="1"/>
  <c r="I9" i="28"/>
  <c r="I9" i="23"/>
  <c r="I9" i="6"/>
  <c r="I9" i="7"/>
  <c r="I9" i="8"/>
  <c r="I9" i="14"/>
  <c r="I9" i="9"/>
  <c r="I11" i="28"/>
  <c r="I11" i="23"/>
  <c r="I11" i="7"/>
  <c r="M84" i="6" s="1"/>
  <c r="I11" i="8"/>
  <c r="I11" i="14"/>
  <c r="I11" i="9"/>
  <c r="I11" i="6"/>
  <c r="I12" i="28"/>
  <c r="AZ84" i="28" s="1"/>
  <c r="I12" i="23"/>
  <c r="I12" i="8"/>
  <c r="I12" i="14"/>
  <c r="I12" i="9"/>
  <c r="I12" i="6"/>
  <c r="I12" i="7"/>
  <c r="I15" i="23"/>
  <c r="I15" i="28"/>
  <c r="I15" i="9"/>
  <c r="I15" i="6"/>
  <c r="I15" i="14"/>
  <c r="I15" i="7"/>
  <c r="I15" i="8"/>
  <c r="I17" i="28"/>
  <c r="I17" i="23"/>
  <c r="I17" i="14"/>
  <c r="I17" i="7"/>
  <c r="I17" i="8"/>
  <c r="I17" i="9"/>
  <c r="I17" i="6"/>
  <c r="I19" i="28"/>
  <c r="I19" i="23"/>
  <c r="I19" i="7"/>
  <c r="I19" i="8"/>
  <c r="I19" i="9"/>
  <c r="I19" i="6"/>
  <c r="I19" i="14"/>
  <c r="I20" i="28"/>
  <c r="I20" i="23"/>
  <c r="I20" i="8"/>
  <c r="I20" i="9"/>
  <c r="I20" i="7"/>
  <c r="I20" i="6"/>
  <c r="I20" i="14"/>
  <c r="I23" i="23"/>
  <c r="I23" i="28"/>
  <c r="I23" i="9"/>
  <c r="I23" i="6"/>
  <c r="I23" i="14"/>
  <c r="I23" i="7"/>
  <c r="I23" i="8"/>
  <c r="I25" i="28"/>
  <c r="I25" i="23"/>
  <c r="I25" i="14"/>
  <c r="I25" i="7"/>
  <c r="I25" i="6"/>
  <c r="I25" i="8"/>
  <c r="I25" i="9"/>
  <c r="I27" i="28"/>
  <c r="I27" i="23"/>
  <c r="I27" i="7"/>
  <c r="I27" i="8"/>
  <c r="I27" i="9"/>
  <c r="I27" i="6"/>
  <c r="I27" i="14"/>
  <c r="I28" i="28"/>
  <c r="I28" i="23"/>
  <c r="I28" i="7"/>
  <c r="I28" i="8"/>
  <c r="I28" i="9"/>
  <c r="I28" i="6"/>
  <c r="I28" i="14"/>
  <c r="I31" i="23"/>
  <c r="I31" i="28"/>
  <c r="I31" i="9"/>
  <c r="I31" i="8"/>
  <c r="I31" i="6"/>
  <c r="I31" i="14"/>
  <c r="I31" i="7"/>
  <c r="I33" i="28"/>
  <c r="I33" i="23"/>
  <c r="I33" i="14"/>
  <c r="I33" i="6"/>
  <c r="I33" i="7"/>
  <c r="I33" i="8"/>
  <c r="I33" i="9"/>
  <c r="I35" i="28"/>
  <c r="I35" i="23"/>
  <c r="I35" i="7"/>
  <c r="I35" i="8"/>
  <c r="I35" i="9"/>
  <c r="I35" i="6"/>
  <c r="I35" i="14"/>
  <c r="I36" i="28"/>
  <c r="I36" i="23"/>
  <c r="I36" i="8"/>
  <c r="I36" i="9"/>
  <c r="I36" i="6"/>
  <c r="I36" i="14"/>
  <c r="I36" i="7"/>
  <c r="I39" i="23"/>
  <c r="I39" i="28"/>
  <c r="I39" i="9"/>
  <c r="I39" i="14"/>
  <c r="I39" i="6"/>
  <c r="I39" i="7"/>
  <c r="I39" i="8"/>
  <c r="I41" i="28"/>
  <c r="I41" i="23"/>
  <c r="I41" i="14"/>
  <c r="I41" i="6"/>
  <c r="I41" i="7"/>
  <c r="I41" i="8"/>
  <c r="I41" i="9"/>
  <c r="I43" i="28"/>
  <c r="I43" i="23"/>
  <c r="I43" i="8"/>
  <c r="I43" i="14"/>
  <c r="I43" i="9"/>
  <c r="I43" i="6"/>
  <c r="I43" i="7"/>
  <c r="I44" i="28"/>
  <c r="I44" i="23"/>
  <c r="I44" i="8"/>
  <c r="I44" i="9"/>
  <c r="I44" i="7"/>
  <c r="I44" i="14"/>
  <c r="I44" i="6"/>
  <c r="I45" i="23"/>
  <c r="I45" i="28"/>
  <c r="I45" i="14"/>
  <c r="I45" i="8"/>
  <c r="I45" i="9"/>
  <c r="I45" i="7"/>
  <c r="I45" i="6"/>
  <c r="I47" i="23"/>
  <c r="I47" i="28"/>
  <c r="I47" i="9"/>
  <c r="I47" i="14"/>
  <c r="I47" i="8"/>
  <c r="I47" i="7"/>
  <c r="I47" i="6"/>
  <c r="I52" i="28"/>
  <c r="I52" i="23"/>
  <c r="I52" i="8"/>
  <c r="I52" i="14"/>
  <c r="I52" i="9"/>
  <c r="I52" i="7"/>
  <c r="I52" i="6"/>
  <c r="I53" i="23"/>
  <c r="I53" i="28"/>
  <c r="I53" i="8"/>
  <c r="I53" i="9"/>
  <c r="I53" i="7"/>
  <c r="I53" i="14"/>
  <c r="I53" i="6"/>
  <c r="I55" i="23"/>
  <c r="I55" i="28"/>
  <c r="I55" i="9"/>
  <c r="I55" i="14"/>
  <c r="I55" i="8"/>
  <c r="I55" i="6"/>
  <c r="I55" i="7"/>
  <c r="I60" i="28"/>
  <c r="I60" i="23"/>
  <c r="I60" i="8"/>
  <c r="I60" i="14"/>
  <c r="I60" i="9"/>
  <c r="I60" i="7"/>
  <c r="I60" i="6"/>
  <c r="I61" i="23"/>
  <c r="I61" i="28"/>
  <c r="I61" i="8"/>
  <c r="I61" i="9"/>
  <c r="I61" i="7"/>
  <c r="I61" i="14"/>
  <c r="I61" i="6"/>
  <c r="I63" i="23"/>
  <c r="I63" i="28"/>
  <c r="I63" i="9"/>
  <c r="I63" i="8"/>
  <c r="I63" i="14"/>
  <c r="I63" i="6"/>
  <c r="I63" i="7"/>
  <c r="I67" i="28"/>
  <c r="I67" i="23"/>
  <c r="I67" i="14"/>
  <c r="I67" i="8"/>
  <c r="I67" i="9"/>
  <c r="I67" i="7"/>
  <c r="I67" i="6"/>
  <c r="I68" i="28"/>
  <c r="I68" i="23"/>
  <c r="I68" i="8"/>
  <c r="I68" i="14"/>
  <c r="I68" i="9"/>
  <c r="I68" i="7"/>
  <c r="I68" i="6"/>
  <c r="I69" i="23"/>
  <c r="I69" i="28"/>
  <c r="I69" i="8"/>
  <c r="I69" i="9"/>
  <c r="I69" i="7"/>
  <c r="I69" i="14"/>
  <c r="I69" i="6"/>
  <c r="I71" i="23"/>
  <c r="I71" i="28"/>
  <c r="I71" i="9"/>
  <c r="I71" i="14"/>
  <c r="I71" i="8"/>
  <c r="I71" i="6"/>
  <c r="I71" i="7"/>
  <c r="I6" i="24"/>
  <c r="I6" i="29"/>
  <c r="I6" i="12"/>
  <c r="I6" i="13"/>
  <c r="I6" i="10"/>
  <c r="I6" i="11"/>
  <c r="I9" i="29"/>
  <c r="I9" i="24"/>
  <c r="I9" i="13"/>
  <c r="I9" i="12"/>
  <c r="I9" i="11"/>
  <c r="I9" i="10"/>
  <c r="I12" i="24"/>
  <c r="I12" i="29"/>
  <c r="I12" i="12"/>
  <c r="I12" i="11"/>
  <c r="I12" i="10"/>
  <c r="I12" i="13"/>
  <c r="I14" i="24"/>
  <c r="I14" i="29"/>
  <c r="I14" i="13"/>
  <c r="I14" i="11"/>
  <c r="I14" i="10"/>
  <c r="I14" i="12"/>
  <c r="I16" i="29"/>
  <c r="I16" i="24"/>
  <c r="I16" i="13"/>
  <c r="I16" i="12"/>
  <c r="I16" i="11"/>
  <c r="I16" i="10"/>
  <c r="I17" i="29"/>
  <c r="I17" i="24"/>
  <c r="I17" i="13"/>
  <c r="I17" i="12"/>
  <c r="I17" i="11"/>
  <c r="I17" i="10"/>
  <c r="I20" i="24"/>
  <c r="I20" i="29"/>
  <c r="I20" i="12"/>
  <c r="I20" i="11"/>
  <c r="I20" i="10"/>
  <c r="I20" i="13"/>
  <c r="I22" i="24"/>
  <c r="I22" i="29"/>
  <c r="I22" i="10"/>
  <c r="I22" i="13"/>
  <c r="I22" i="12"/>
  <c r="I22" i="11"/>
  <c r="I23" i="24"/>
  <c r="I23" i="29"/>
  <c r="I23" i="13"/>
  <c r="I23" i="12"/>
  <c r="I23" i="11"/>
  <c r="I23" i="10"/>
  <c r="I25" i="29"/>
  <c r="I25" i="24"/>
  <c r="I25" i="13"/>
  <c r="I25" i="12"/>
  <c r="I25" i="11"/>
  <c r="I25" i="10"/>
  <c r="I28" i="24"/>
  <c r="I28" i="29"/>
  <c r="I28" i="12"/>
  <c r="I28" i="11"/>
  <c r="I28" i="10"/>
  <c r="I28" i="13"/>
  <c r="I30" i="24"/>
  <c r="I30" i="29"/>
  <c r="I30" i="12"/>
  <c r="I30" i="11"/>
  <c r="I30" i="10"/>
  <c r="I30" i="13"/>
  <c r="I31" i="24"/>
  <c r="I31" i="29"/>
  <c r="I31" i="13"/>
  <c r="I31" i="12"/>
  <c r="I31" i="11"/>
  <c r="I31" i="10"/>
  <c r="I33" i="29"/>
  <c r="I33" i="24"/>
  <c r="I33" i="13"/>
  <c r="I33" i="12"/>
  <c r="I33" i="11"/>
  <c r="I33" i="10"/>
  <c r="I36" i="24"/>
  <c r="I36" i="29"/>
  <c r="I36" i="12"/>
  <c r="I36" i="11"/>
  <c r="I36" i="10"/>
  <c r="I36" i="13"/>
  <c r="I38" i="24"/>
  <c r="I38" i="29"/>
  <c r="I38" i="13"/>
  <c r="I38" i="11"/>
  <c r="I38" i="12"/>
  <c r="I38" i="10"/>
  <c r="I39" i="24"/>
  <c r="I39" i="29"/>
  <c r="I39" i="13"/>
  <c r="I39" i="12"/>
  <c r="I39" i="11"/>
  <c r="I39" i="10"/>
  <c r="I40" i="29"/>
  <c r="I40" i="24"/>
  <c r="I40" i="13"/>
  <c r="I40" i="12"/>
  <c r="I40" i="11"/>
  <c r="I40" i="10"/>
  <c r="I41" i="29"/>
  <c r="I41" i="24"/>
  <c r="I41" i="13"/>
  <c r="I41" i="12"/>
  <c r="I41" i="11"/>
  <c r="I41" i="10"/>
  <c r="I44" i="24"/>
  <c r="I44" i="29"/>
  <c r="I44" i="12"/>
  <c r="I44" i="11"/>
  <c r="I44" i="10"/>
  <c r="I44" i="13"/>
  <c r="I46" i="24"/>
  <c r="I46" i="29"/>
  <c r="I46" i="12"/>
  <c r="I46" i="10"/>
  <c r="I46" i="13"/>
  <c r="I46" i="11"/>
  <c r="I47" i="24"/>
  <c r="I47" i="29"/>
  <c r="I47" i="13"/>
  <c r="I47" i="12"/>
  <c r="I47" i="11"/>
  <c r="I47" i="10"/>
  <c r="I48" i="29"/>
  <c r="I48" i="24"/>
  <c r="I48" i="13"/>
  <c r="I48" i="12"/>
  <c r="I48" i="11"/>
  <c r="I48" i="10"/>
  <c r="I49" i="29"/>
  <c r="I49" i="24"/>
  <c r="I49" i="13"/>
  <c r="I49" i="12"/>
  <c r="I49" i="11"/>
  <c r="I49" i="10"/>
  <c r="AO5" i="16"/>
  <c r="AT2" i="16"/>
  <c r="AJ2" i="16"/>
  <c r="AC4" i="21"/>
  <c r="AP2" i="16"/>
  <c r="AC74" i="6"/>
  <c r="AO3" i="16"/>
  <c r="AQ3" i="16" s="1"/>
  <c r="AM77" i="7"/>
  <c r="AO2" i="16"/>
  <c r="U74" i="6"/>
  <c r="AJ3" i="16"/>
  <c r="AL3" i="16" s="1"/>
  <c r="AT3" i="16"/>
  <c r="AV3" i="16" s="1"/>
  <c r="AT5" i="16"/>
  <c r="AJ5" i="16"/>
  <c r="AJ6" i="16"/>
  <c r="AT6" i="16"/>
  <c r="AT9" i="16"/>
  <c r="AJ9" i="16"/>
  <c r="AT8" i="16"/>
  <c r="AO4" i="16"/>
  <c r="AO6" i="16"/>
  <c r="AO9" i="16"/>
  <c r="AB5" i="21"/>
  <c r="AC5" i="21"/>
  <c r="AP3" i="16"/>
  <c r="AJ4" i="16"/>
  <c r="AT7" i="16"/>
  <c r="AJ7" i="16"/>
  <c r="AO8" i="16"/>
  <c r="AA9" i="21"/>
  <c r="AA11" i="21"/>
  <c r="AA10" i="21"/>
  <c r="AA12" i="21"/>
  <c r="AC136" i="17"/>
  <c r="AC140" i="17"/>
  <c r="AC144" i="17"/>
  <c r="AC172" i="17"/>
  <c r="AC176" i="17"/>
  <c r="AC180" i="17"/>
  <c r="AC51" i="17"/>
  <c r="AC67" i="17"/>
  <c r="AC45" i="17"/>
  <c r="AC85" i="17"/>
  <c r="AC137" i="17"/>
  <c r="AC141" i="17"/>
  <c r="AC145" i="17"/>
  <c r="AC173" i="17"/>
  <c r="AC181" i="17"/>
  <c r="AK29" i="24"/>
  <c r="AY51" i="23"/>
  <c r="AK33" i="24"/>
  <c r="AY60" i="23"/>
  <c r="AY56" i="23"/>
  <c r="AK38" i="24"/>
  <c r="AY55" i="23"/>
  <c r="AY59" i="23"/>
  <c r="AK32" i="24"/>
  <c r="AY54" i="23"/>
  <c r="AK36" i="24"/>
  <c r="AK30" i="24"/>
  <c r="AY58" i="23"/>
  <c r="AK34" i="24"/>
  <c r="AY52" i="23"/>
  <c r="AY50" i="23"/>
  <c r="AK28" i="24"/>
  <c r="AK37" i="24"/>
  <c r="U11" i="21"/>
  <c r="AC60" i="17"/>
  <c r="AC17" i="17"/>
  <c r="AC135" i="17"/>
  <c r="AC139" i="17"/>
  <c r="AC143" i="17"/>
  <c r="AC171" i="17"/>
  <c r="AC175" i="17"/>
  <c r="AC179" i="17"/>
  <c r="AC15" i="17"/>
  <c r="AC23" i="17"/>
  <c r="AC79" i="17"/>
  <c r="AC95" i="17"/>
  <c r="AC111" i="17"/>
  <c r="AC119" i="17"/>
  <c r="AC199" i="17"/>
  <c r="AC207" i="17"/>
  <c r="AC215" i="17"/>
  <c r="AC223" i="17"/>
  <c r="AC231" i="17"/>
  <c r="AC239" i="17"/>
  <c r="AC247" i="17"/>
  <c r="AC255" i="17"/>
  <c r="AC263" i="17"/>
  <c r="AC271" i="17"/>
  <c r="AC279" i="17"/>
  <c r="AC287" i="17"/>
  <c r="AC303" i="17"/>
  <c r="AC65" i="17"/>
  <c r="AC189" i="17"/>
  <c r="AC391" i="17"/>
  <c r="S5" i="21"/>
  <c r="AC101" i="17"/>
  <c r="AC117" i="17"/>
  <c r="AC197" i="17"/>
  <c r="AC205" i="17"/>
  <c r="AC213" i="17"/>
  <c r="AC221" i="17"/>
  <c r="AC229" i="17"/>
  <c r="AI8" i="17" s="1"/>
  <c r="AC237" i="17"/>
  <c r="AC245" i="17"/>
  <c r="AC253" i="17"/>
  <c r="AC261" i="17"/>
  <c r="AC269" i="17"/>
  <c r="AC277" i="17"/>
  <c r="AC285" i="17"/>
  <c r="AC293" i="17"/>
  <c r="AC301" i="17"/>
  <c r="AC317" i="17"/>
  <c r="AC325" i="17"/>
  <c r="AC333" i="17"/>
  <c r="AC61" i="17"/>
  <c r="AC123" i="17"/>
  <c r="AC125" i="17"/>
  <c r="AC127" i="17"/>
  <c r="AC129" i="17"/>
  <c r="AC131" i="17"/>
  <c r="AC133" i="17"/>
  <c r="AC146" i="17"/>
  <c r="AC148" i="17"/>
  <c r="AC150" i="17"/>
  <c r="AC152" i="17"/>
  <c r="AC154" i="17"/>
  <c r="AC156" i="17"/>
  <c r="AC158" i="17"/>
  <c r="AC160" i="17"/>
  <c r="AC162" i="17"/>
  <c r="AC164" i="17"/>
  <c r="AC187" i="17"/>
  <c r="AC399" i="17"/>
  <c r="T5" i="21"/>
  <c r="AD10" i="21"/>
  <c r="AC243" i="17"/>
  <c r="AC251" i="17"/>
  <c r="AC259" i="17"/>
  <c r="AC267" i="17"/>
  <c r="AC275" i="17"/>
  <c r="AC283" i="17"/>
  <c r="AC291" i="17"/>
  <c r="AC299" i="17"/>
  <c r="AC307" i="17"/>
  <c r="AC315" i="17"/>
  <c r="AC323" i="17"/>
  <c r="AC57" i="17"/>
  <c r="AI5" i="17" s="1"/>
  <c r="AC73" i="17"/>
  <c r="AC184" i="17"/>
  <c r="AD11" i="21"/>
  <c r="AC375" i="17"/>
  <c r="AC302" i="17"/>
  <c r="AC326" i="17"/>
  <c r="T4" i="21"/>
  <c r="AC25" i="17"/>
  <c r="AC89" i="17"/>
  <c r="AC105" i="17"/>
  <c r="AC121" i="17"/>
  <c r="AC201" i="17"/>
  <c r="AC209" i="17"/>
  <c r="AC217" i="17"/>
  <c r="AC225" i="17"/>
  <c r="AC233" i="17"/>
  <c r="AC241" i="17"/>
  <c r="AC249" i="17"/>
  <c r="AC257" i="17"/>
  <c r="AC265" i="17"/>
  <c r="AC273" i="17"/>
  <c r="AC281" i="17"/>
  <c r="AC289" i="17"/>
  <c r="AC297" i="17"/>
  <c r="AC305" i="17"/>
  <c r="AC53" i="17"/>
  <c r="AC69" i="17"/>
  <c r="AC122" i="17"/>
  <c r="AC124" i="17"/>
  <c r="AC126" i="17"/>
  <c r="AC128" i="17"/>
  <c r="AC130" i="17"/>
  <c r="AC132" i="17"/>
  <c r="AC147" i="17"/>
  <c r="AC149" i="17"/>
  <c r="AC151" i="17"/>
  <c r="AC153" i="17"/>
  <c r="AC155" i="17"/>
  <c r="AC157" i="17"/>
  <c r="AC159" i="17"/>
  <c r="AC161" i="17"/>
  <c r="AC163" i="17"/>
  <c r="AC165" i="17"/>
  <c r="AC182" i="17"/>
  <c r="AC183" i="17"/>
  <c r="AC191" i="17"/>
  <c r="AC383" i="17"/>
  <c r="AF6" i="21"/>
  <c r="E41" i="22"/>
  <c r="E49" i="22" s="1"/>
  <c r="E46" i="22"/>
  <c r="AG3" i="21"/>
  <c r="J28" i="22"/>
  <c r="E47" i="22"/>
  <c r="E51" i="22" s="1"/>
  <c r="AR26" i="23"/>
  <c r="AV26" i="23" s="1"/>
  <c r="AR64" i="23"/>
  <c r="AV64" i="23" s="1"/>
  <c r="AV63" i="23"/>
  <c r="AV70" i="23"/>
  <c r="AR71" i="23"/>
  <c r="AV71" i="23" s="1"/>
  <c r="AR30" i="23"/>
  <c r="AV29" i="23"/>
  <c r="E42" i="22"/>
  <c r="E50" i="22" s="1"/>
  <c r="J8" i="22"/>
  <c r="AV24" i="23"/>
  <c r="AV58" i="23"/>
  <c r="AV62" i="23"/>
  <c r="AV28" i="23"/>
  <c r="J18" i="22"/>
  <c r="Z56" i="24"/>
  <c r="J13" i="22"/>
  <c r="I37" i="22"/>
  <c r="D45" i="22"/>
  <c r="AO9" i="25"/>
  <c r="AG6" i="21"/>
  <c r="AV19" i="23"/>
  <c r="AV51" i="23"/>
  <c r="T56" i="24"/>
  <c r="AO7" i="25"/>
  <c r="O56" i="12"/>
  <c r="AC78" i="23"/>
  <c r="F30" i="5"/>
  <c r="D4" i="5"/>
  <c r="E30" i="5" s="1"/>
  <c r="AO5" i="25"/>
  <c r="AO6" i="25"/>
  <c r="AJ8" i="25"/>
  <c r="AP3" i="25"/>
  <c r="AP2" i="25"/>
  <c r="AO2" i="25"/>
  <c r="AT5" i="25"/>
  <c r="AT6" i="25"/>
  <c r="AT7" i="25"/>
  <c r="AT8" i="25"/>
  <c r="AO8" i="25"/>
  <c r="AO11" i="25" s="1"/>
  <c r="AJ9" i="25"/>
  <c r="AO4" i="25"/>
  <c r="AO3" i="25"/>
  <c r="AQ3" i="25" s="1"/>
  <c r="AT4" i="25"/>
  <c r="AJ3" i="25"/>
  <c r="AL3" i="25" s="1"/>
  <c r="AJ4" i="25"/>
  <c r="AT9" i="25"/>
  <c r="AJ5" i="25"/>
  <c r="AJ6" i="25"/>
  <c r="AJ11" i="25" s="1"/>
  <c r="AJ7" i="25"/>
  <c r="AT3" i="25"/>
  <c r="AV3" i="25" s="1"/>
  <c r="P56" i="24"/>
  <c r="AH78" i="23"/>
  <c r="R52" i="24"/>
  <c r="T56" i="12"/>
  <c r="Z13" i="21"/>
  <c r="AH13" i="21" s="1"/>
  <c r="AD77" i="6"/>
  <c r="AD75" i="23"/>
  <c r="N74" i="6"/>
  <c r="M56" i="12"/>
  <c r="AD78" i="6"/>
  <c r="AD76" i="23"/>
  <c r="AG78" i="6"/>
  <c r="AG76" i="23"/>
  <c r="AG76" i="7"/>
  <c r="P56" i="12"/>
  <c r="AB77" i="6"/>
  <c r="AB75" i="23"/>
  <c r="M56" i="24"/>
  <c r="N56" i="24"/>
  <c r="R53" i="24"/>
  <c r="BC81" i="28"/>
  <c r="AU81" i="28"/>
  <c r="AM81" i="28"/>
  <c r="BB81" i="28"/>
  <c r="AT81" i="28"/>
  <c r="AL81" i="28"/>
  <c r="BA81" i="28"/>
  <c r="AS81" i="28"/>
  <c r="AK81" i="28"/>
  <c r="AZ81" i="28"/>
  <c r="AR81" i="28"/>
  <c r="AJ81" i="28"/>
  <c r="AY81" i="28"/>
  <c r="AQ81" i="28"/>
  <c r="AI81" i="28"/>
  <c r="AX81" i="28"/>
  <c r="AP81" i="28"/>
  <c r="AW81" i="28"/>
  <c r="AO81" i="28"/>
  <c r="BC89" i="28"/>
  <c r="AU89" i="28"/>
  <c r="AM89" i="28"/>
  <c r="BB89" i="28"/>
  <c r="AT89" i="28"/>
  <c r="AL89" i="28"/>
  <c r="BA89" i="28"/>
  <c r="AS89" i="28"/>
  <c r="AK89" i="28"/>
  <c r="AZ89" i="28"/>
  <c r="AR89" i="28"/>
  <c r="AJ89" i="28"/>
  <c r="AY89" i="28"/>
  <c r="AQ89" i="28"/>
  <c r="AI89" i="28"/>
  <c r="AX89" i="28"/>
  <c r="AP89" i="28"/>
  <c r="AW89" i="28"/>
  <c r="AO89" i="28"/>
  <c r="BC97" i="28"/>
  <c r="AU97" i="28"/>
  <c r="AM97" i="28"/>
  <c r="BB97" i="28"/>
  <c r="AT97" i="28"/>
  <c r="AL97" i="28"/>
  <c r="BA97" i="28"/>
  <c r="AS97" i="28"/>
  <c r="AK97" i="28"/>
  <c r="AZ97" i="28"/>
  <c r="AR97" i="28"/>
  <c r="AJ97" i="28"/>
  <c r="AY97" i="28"/>
  <c r="AQ97" i="28"/>
  <c r="AI97" i="28"/>
  <c r="AX97" i="28"/>
  <c r="AP97" i="28"/>
  <c r="AW97" i="28"/>
  <c r="AO97" i="28"/>
  <c r="BD97" i="28"/>
  <c r="AV97" i="28"/>
  <c r="AN97" i="28"/>
  <c r="AY105" i="28"/>
  <c r="AQ105" i="28"/>
  <c r="AI105" i="28"/>
  <c r="AX105" i="28"/>
  <c r="AP105" i="28"/>
  <c r="AW105" i="28"/>
  <c r="AO105" i="28"/>
  <c r="BD105" i="28"/>
  <c r="AV105" i="28"/>
  <c r="AN105" i="28"/>
  <c r="BC105" i="28"/>
  <c r="AU105" i="28"/>
  <c r="AM105" i="28"/>
  <c r="BB105" i="28"/>
  <c r="AT105" i="28"/>
  <c r="AL105" i="28"/>
  <c r="BA105" i="28"/>
  <c r="AS105" i="28"/>
  <c r="AK105" i="28"/>
  <c r="AZ105" i="28"/>
  <c r="AR105" i="28"/>
  <c r="AJ105" i="28"/>
  <c r="AY113" i="28"/>
  <c r="AQ113" i="28"/>
  <c r="AI113" i="28"/>
  <c r="R113" i="28"/>
  <c r="AX113" i="28"/>
  <c r="AP113" i="28"/>
  <c r="AW113" i="28"/>
  <c r="AO113" i="28"/>
  <c r="P113" i="28"/>
  <c r="BD113" i="28"/>
  <c r="AV113" i="28"/>
  <c r="AN113" i="28"/>
  <c r="BC113" i="28"/>
  <c r="AU113" i="28"/>
  <c r="AM113" i="28"/>
  <c r="BB113" i="28"/>
  <c r="AT113" i="28"/>
  <c r="AL113" i="28"/>
  <c r="BA113" i="28"/>
  <c r="AS113" i="28"/>
  <c r="AK113" i="28"/>
  <c r="AZ113" i="28"/>
  <c r="AR113" i="28"/>
  <c r="AJ113" i="28"/>
  <c r="BC121" i="28"/>
  <c r="AU121" i="28"/>
  <c r="AM121" i="28"/>
  <c r="BB121" i="28"/>
  <c r="AT121" i="28"/>
  <c r="AL121" i="28"/>
  <c r="BA121" i="28"/>
  <c r="AS121" i="28"/>
  <c r="AK121" i="28"/>
  <c r="AZ121" i="28"/>
  <c r="AR121" i="28"/>
  <c r="AJ121" i="28"/>
  <c r="AX121" i="28"/>
  <c r="AP121" i="28"/>
  <c r="AW121" i="28"/>
  <c r="AO121" i="28"/>
  <c r="P121" i="28"/>
  <c r="BD121" i="28"/>
  <c r="AV121" i="28"/>
  <c r="AN121" i="28"/>
  <c r="R121" i="28"/>
  <c r="AY121" i="28"/>
  <c r="AQ121" i="28"/>
  <c r="AI121" i="28"/>
  <c r="BC129" i="28"/>
  <c r="AU129" i="28"/>
  <c r="AM129" i="28"/>
  <c r="BB129" i="28"/>
  <c r="AT129" i="28"/>
  <c r="AL129" i="28"/>
  <c r="BA129" i="28"/>
  <c r="AS129" i="28"/>
  <c r="AK129" i="28"/>
  <c r="AZ129" i="28"/>
  <c r="AR129" i="28"/>
  <c r="AJ129" i="28"/>
  <c r="AX129" i="28"/>
  <c r="AP129" i="28"/>
  <c r="AW129" i="28"/>
  <c r="AO129" i="28"/>
  <c r="BD129" i="28"/>
  <c r="AV129" i="28"/>
  <c r="AN129" i="28"/>
  <c r="AY129" i="28"/>
  <c r="AQ129" i="28"/>
  <c r="AI129" i="28"/>
  <c r="BD137" i="28"/>
  <c r="AV137" i="28"/>
  <c r="AN137" i="28"/>
  <c r="BC137" i="28"/>
  <c r="AU137" i="28"/>
  <c r="AM137" i="28"/>
  <c r="BB137" i="28"/>
  <c r="AT137" i="28"/>
  <c r="AL137" i="28"/>
  <c r="BA137" i="28"/>
  <c r="AS137" i="28"/>
  <c r="AK137" i="28"/>
  <c r="AZ137" i="28"/>
  <c r="AR137" i="28"/>
  <c r="AJ137" i="28"/>
  <c r="AY137" i="28"/>
  <c r="AQ137" i="28"/>
  <c r="AI137" i="28"/>
  <c r="AX137" i="28"/>
  <c r="AP137" i="28"/>
  <c r="AW137" i="28"/>
  <c r="AO137" i="28"/>
  <c r="AZ78" i="28"/>
  <c r="AV81" i="28"/>
  <c r="AR84" i="28"/>
  <c r="AN87" i="28"/>
  <c r="AY82" i="28"/>
  <c r="AQ82" i="28"/>
  <c r="AI82" i="28"/>
  <c r="AX82" i="28"/>
  <c r="AP82" i="28"/>
  <c r="AW82" i="28"/>
  <c r="AO82" i="28"/>
  <c r="BD82" i="28"/>
  <c r="AV82" i="28"/>
  <c r="AN82" i="28"/>
  <c r="BC82" i="28"/>
  <c r="AU82" i="28"/>
  <c r="AM82" i="28"/>
  <c r="BB82" i="28"/>
  <c r="AT82" i="28"/>
  <c r="AL82" i="28"/>
  <c r="BA82" i="28"/>
  <c r="AS82" i="28"/>
  <c r="AK82" i="28"/>
  <c r="BD90" i="28"/>
  <c r="BC90" i="28"/>
  <c r="BB90" i="28"/>
  <c r="AY90" i="28"/>
  <c r="AQ90" i="28"/>
  <c r="AI90" i="28"/>
  <c r="AX90" i="28"/>
  <c r="AP90" i="28"/>
  <c r="AW90" i="28"/>
  <c r="AO90" i="28"/>
  <c r="AV90" i="28"/>
  <c r="AN90" i="28"/>
  <c r="AU90" i="28"/>
  <c r="AM90" i="28"/>
  <c r="AT90" i="28"/>
  <c r="AL90" i="28"/>
  <c r="BA90" i="28"/>
  <c r="AS90" i="28"/>
  <c r="AK90" i="28"/>
  <c r="AY98" i="28"/>
  <c r="AQ98" i="28"/>
  <c r="AI98" i="28"/>
  <c r="AX98" i="28"/>
  <c r="AP98" i="28"/>
  <c r="AW98" i="28"/>
  <c r="AO98" i="28"/>
  <c r="BD98" i="28"/>
  <c r="AV98" i="28"/>
  <c r="AN98" i="28"/>
  <c r="BC98" i="28"/>
  <c r="AU98" i="28"/>
  <c r="AM98" i="28"/>
  <c r="BB98" i="28"/>
  <c r="AT98" i="28"/>
  <c r="AL98" i="28"/>
  <c r="BA98" i="28"/>
  <c r="AS98" i="28"/>
  <c r="AK98" i="28"/>
  <c r="AZ98" i="28"/>
  <c r="AR98" i="28"/>
  <c r="AJ98" i="28"/>
  <c r="BC106" i="28"/>
  <c r="AU106" i="28"/>
  <c r="AM106" i="28"/>
  <c r="BB106" i="28"/>
  <c r="AT106" i="28"/>
  <c r="AL106" i="28"/>
  <c r="BA106" i="28"/>
  <c r="AS106" i="28"/>
  <c r="AK106" i="28"/>
  <c r="AZ106" i="28"/>
  <c r="AR106" i="28"/>
  <c r="AJ106" i="28"/>
  <c r="AY106" i="28"/>
  <c r="AQ106" i="28"/>
  <c r="AI106" i="28"/>
  <c r="AX106" i="28"/>
  <c r="AP106" i="28"/>
  <c r="AW106" i="28"/>
  <c r="AO106" i="28"/>
  <c r="AN106" i="28"/>
  <c r="BD106" i="28"/>
  <c r="AV106" i="28"/>
  <c r="BC114" i="28"/>
  <c r="AU114" i="28"/>
  <c r="AM114" i="28"/>
  <c r="BB114" i="28"/>
  <c r="AT114" i="28"/>
  <c r="AL114" i="28"/>
  <c r="BA114" i="28"/>
  <c r="AS114" i="28"/>
  <c r="AK114" i="28"/>
  <c r="AZ114" i="28"/>
  <c r="AR114" i="28"/>
  <c r="AJ114" i="28"/>
  <c r="AY114" i="28"/>
  <c r="AQ114" i="28"/>
  <c r="AI114" i="28"/>
  <c r="R114" i="28"/>
  <c r="AX114" i="28"/>
  <c r="AP114" i="28"/>
  <c r="AW114" i="28"/>
  <c r="AO114" i="28"/>
  <c r="P114" i="28"/>
  <c r="BD114" i="28"/>
  <c r="AV114" i="28"/>
  <c r="AN114" i="28"/>
  <c r="AY122" i="28"/>
  <c r="AQ122" i="28"/>
  <c r="AI122" i="28"/>
  <c r="AX122" i="28"/>
  <c r="AP122" i="28"/>
  <c r="AW122" i="28"/>
  <c r="AO122" i="28"/>
  <c r="BD122" i="28"/>
  <c r="AV122" i="28"/>
  <c r="AN122" i="28"/>
  <c r="BB122" i="28"/>
  <c r="AT122" i="28"/>
  <c r="AL122" i="28"/>
  <c r="BA122" i="28"/>
  <c r="AS122" i="28"/>
  <c r="AK122" i="28"/>
  <c r="AZ122" i="28"/>
  <c r="AR122" i="28"/>
  <c r="AJ122" i="28"/>
  <c r="AU122" i="28"/>
  <c r="AM122" i="28"/>
  <c r="BC122" i="28"/>
  <c r="AY130" i="28"/>
  <c r="AQ130" i="28"/>
  <c r="AI130" i="28"/>
  <c r="AX130" i="28"/>
  <c r="AP130" i="28"/>
  <c r="AW130" i="28"/>
  <c r="AO130" i="28"/>
  <c r="BD130" i="28"/>
  <c r="AV130" i="28"/>
  <c r="AN130" i="28"/>
  <c r="BB130" i="28"/>
  <c r="AT130" i="28"/>
  <c r="AL130" i="28"/>
  <c r="BA130" i="28"/>
  <c r="AS130" i="28"/>
  <c r="AK130" i="28"/>
  <c r="AZ130" i="28"/>
  <c r="AR130" i="28"/>
  <c r="AJ130" i="28"/>
  <c r="BC130" i="28"/>
  <c r="AU130" i="28"/>
  <c r="AM130" i="28"/>
  <c r="AZ138" i="28"/>
  <c r="AR138" i="28"/>
  <c r="AJ138" i="28"/>
  <c r="AY138" i="28"/>
  <c r="AQ138" i="28"/>
  <c r="AI138" i="28"/>
  <c r="AX138" i="28"/>
  <c r="AP138" i="28"/>
  <c r="AW138" i="28"/>
  <c r="AO138" i="28"/>
  <c r="BD138" i="28"/>
  <c r="AV138" i="28"/>
  <c r="AN138" i="28"/>
  <c r="BC138" i="28"/>
  <c r="AU138" i="28"/>
  <c r="AM138" i="28"/>
  <c r="BB138" i="28"/>
  <c r="AT138" i="28"/>
  <c r="AL138" i="28"/>
  <c r="BA138" i="28"/>
  <c r="AS138" i="28"/>
  <c r="AK138" i="28"/>
  <c r="AN77" i="28"/>
  <c r="AJ80" i="28"/>
  <c r="BD81" i="28"/>
  <c r="AV87" i="28"/>
  <c r="AR90" i="28"/>
  <c r="BC83" i="28"/>
  <c r="AU83" i="28"/>
  <c r="AM83" i="28"/>
  <c r="BB83" i="28"/>
  <c r="AT83" i="28"/>
  <c r="AL83" i="28"/>
  <c r="BA83" i="28"/>
  <c r="AS83" i="28"/>
  <c r="AK83" i="28"/>
  <c r="AZ83" i="28"/>
  <c r="AR83" i="28"/>
  <c r="AJ83" i="28"/>
  <c r="AY83" i="28"/>
  <c r="AQ83" i="28"/>
  <c r="AI83" i="28"/>
  <c r="AX83" i="28"/>
  <c r="AP83" i="28"/>
  <c r="AW83" i="28"/>
  <c r="AO83" i="28"/>
  <c r="BC91" i="28"/>
  <c r="AU91" i="28"/>
  <c r="AM91" i="28"/>
  <c r="BB91" i="28"/>
  <c r="AT91" i="28"/>
  <c r="AL91" i="28"/>
  <c r="BA91" i="28"/>
  <c r="AS91" i="28"/>
  <c r="AZ91" i="28"/>
  <c r="AR91" i="28"/>
  <c r="AJ91" i="28"/>
  <c r="AY91" i="28"/>
  <c r="AQ91" i="28"/>
  <c r="AI91" i="28"/>
  <c r="AX91" i="28"/>
  <c r="AP91" i="28"/>
  <c r="AN91" i="28"/>
  <c r="AK91" i="28"/>
  <c r="BD91" i="28"/>
  <c r="AW91" i="28"/>
  <c r="AV91" i="28"/>
  <c r="BC99" i="28"/>
  <c r="AU99" i="28"/>
  <c r="AM99" i="28"/>
  <c r="BB99" i="28"/>
  <c r="AT99" i="28"/>
  <c r="AL99" i="28"/>
  <c r="BA99" i="28"/>
  <c r="AS99" i="28"/>
  <c r="AK99" i="28"/>
  <c r="AZ99" i="28"/>
  <c r="AR99" i="28"/>
  <c r="AJ99" i="28"/>
  <c r="AY99" i="28"/>
  <c r="AQ99" i="28"/>
  <c r="AI99" i="28"/>
  <c r="AX99" i="28"/>
  <c r="AP99" i="28"/>
  <c r="AW99" i="28"/>
  <c r="AO99" i="28"/>
  <c r="BD99" i="28"/>
  <c r="AV99" i="28"/>
  <c r="AN99" i="28"/>
  <c r="AY107" i="28"/>
  <c r="AQ107" i="28"/>
  <c r="AI107" i="28"/>
  <c r="AX107" i="28"/>
  <c r="AP107" i="28"/>
  <c r="AW107" i="28"/>
  <c r="AO107" i="28"/>
  <c r="BD107" i="28"/>
  <c r="AV107" i="28"/>
  <c r="AN107" i="28"/>
  <c r="BC107" i="28"/>
  <c r="AU107" i="28"/>
  <c r="AM107" i="28"/>
  <c r="BB107" i="28"/>
  <c r="AT107" i="28"/>
  <c r="AL107" i="28"/>
  <c r="BA107" i="28"/>
  <c r="AS107" i="28"/>
  <c r="AK107" i="28"/>
  <c r="AZ107" i="28"/>
  <c r="AR107" i="28"/>
  <c r="AJ107" i="28"/>
  <c r="AY115" i="28"/>
  <c r="AQ115" i="28"/>
  <c r="AI115" i="28"/>
  <c r="R115" i="28"/>
  <c r="AX115" i="28"/>
  <c r="AP115" i="28"/>
  <c r="AW115" i="28"/>
  <c r="AO115" i="28"/>
  <c r="P115" i="28"/>
  <c r="BD115" i="28"/>
  <c r="AV115" i="28"/>
  <c r="AN115" i="28"/>
  <c r="BC115" i="28"/>
  <c r="AU115" i="28"/>
  <c r="AM115" i="28"/>
  <c r="BB115" i="28"/>
  <c r="AT115" i="28"/>
  <c r="AL115" i="28"/>
  <c r="BA115" i="28"/>
  <c r="AS115" i="28"/>
  <c r="AK115" i="28"/>
  <c r="AZ115" i="28"/>
  <c r="AR115" i="28"/>
  <c r="AJ115" i="28"/>
  <c r="BC123" i="28"/>
  <c r="AU123" i="28"/>
  <c r="AM123" i="28"/>
  <c r="BB123" i="28"/>
  <c r="AT123" i="28"/>
  <c r="AL123" i="28"/>
  <c r="BA123" i="28"/>
  <c r="AS123" i="28"/>
  <c r="AK123" i="28"/>
  <c r="AZ123" i="28"/>
  <c r="AR123" i="28"/>
  <c r="AJ123" i="28"/>
  <c r="AX123" i="28"/>
  <c r="AP123" i="28"/>
  <c r="AW123" i="28"/>
  <c r="AO123" i="28"/>
  <c r="BD123" i="28"/>
  <c r="AV123" i="28"/>
  <c r="AN123" i="28"/>
  <c r="AY123" i="28"/>
  <c r="AQ123" i="28"/>
  <c r="AI123" i="28"/>
  <c r="BD131" i="28"/>
  <c r="AV131" i="28"/>
  <c r="AN131" i="28"/>
  <c r="BC131" i="28"/>
  <c r="AU131" i="28"/>
  <c r="AM131" i="28"/>
  <c r="BB131" i="28"/>
  <c r="AT131" i="28"/>
  <c r="BA131" i="28"/>
  <c r="AS131" i="28"/>
  <c r="AZ131" i="28"/>
  <c r="AR131" i="28"/>
  <c r="AY131" i="28"/>
  <c r="AQ131" i="28"/>
  <c r="AX131" i="28"/>
  <c r="AP131" i="28"/>
  <c r="AO131" i="28"/>
  <c r="AL131" i="28"/>
  <c r="AK131" i="28"/>
  <c r="AJ131" i="28"/>
  <c r="AW131" i="28"/>
  <c r="AI131" i="28"/>
  <c r="BD139" i="28"/>
  <c r="AV139" i="28"/>
  <c r="AN139" i="28"/>
  <c r="BC139" i="28"/>
  <c r="AU139" i="28"/>
  <c r="AM139" i="28"/>
  <c r="BB139" i="28"/>
  <c r="AT139" i="28"/>
  <c r="AL139" i="28"/>
  <c r="BA139" i="28"/>
  <c r="AS139" i="28"/>
  <c r="AK139" i="28"/>
  <c r="AZ139" i="28"/>
  <c r="AR139" i="28"/>
  <c r="AJ139" i="28"/>
  <c r="AY139" i="28"/>
  <c r="AQ139" i="28"/>
  <c r="AI139" i="28"/>
  <c r="AX139" i="28"/>
  <c r="AP139" i="28"/>
  <c r="AW139" i="28"/>
  <c r="AO139" i="28"/>
  <c r="AV77" i="28"/>
  <c r="AR80" i="28"/>
  <c r="AN83" i="28"/>
  <c r="AJ86" i="28"/>
  <c r="BD87" i="28"/>
  <c r="AZ90" i="28"/>
  <c r="AY84" i="28"/>
  <c r="AQ84" i="28"/>
  <c r="AI84" i="28"/>
  <c r="AX84" i="28"/>
  <c r="AP84" i="28"/>
  <c r="AW84" i="28"/>
  <c r="AO84" i="28"/>
  <c r="BD84" i="28"/>
  <c r="AV84" i="28"/>
  <c r="AN84" i="28"/>
  <c r="BC84" i="28"/>
  <c r="AU84" i="28"/>
  <c r="AM84" i="28"/>
  <c r="BB84" i="28"/>
  <c r="AT84" i="28"/>
  <c r="AL84" i="28"/>
  <c r="BA84" i="28"/>
  <c r="AS84" i="28"/>
  <c r="AK84" i="28"/>
  <c r="AY92" i="28"/>
  <c r="AQ92" i="28"/>
  <c r="AI92" i="28"/>
  <c r="AX92" i="28"/>
  <c r="AP92" i="28"/>
  <c r="AW92" i="28"/>
  <c r="AO92" i="28"/>
  <c r="BD92" i="28"/>
  <c r="AV92" i="28"/>
  <c r="AN92" i="28"/>
  <c r="BC92" i="28"/>
  <c r="AU92" i="28"/>
  <c r="AM92" i="28"/>
  <c r="BB92" i="28"/>
  <c r="AT92" i="28"/>
  <c r="AL92" i="28"/>
  <c r="BA92" i="28"/>
  <c r="AS92" i="28"/>
  <c r="AK92" i="28"/>
  <c r="AR92" i="28"/>
  <c r="AJ92" i="28"/>
  <c r="AY100" i="28"/>
  <c r="AQ100" i="28"/>
  <c r="AI100" i="28"/>
  <c r="AX100" i="28"/>
  <c r="AP100" i="28"/>
  <c r="AW100" i="28"/>
  <c r="AO100" i="28"/>
  <c r="BD100" i="28"/>
  <c r="AV100" i="28"/>
  <c r="AN100" i="28"/>
  <c r="BC100" i="28"/>
  <c r="AU100" i="28"/>
  <c r="AM100" i="28"/>
  <c r="BB100" i="28"/>
  <c r="AT100" i="28"/>
  <c r="AL100" i="28"/>
  <c r="BA100" i="28"/>
  <c r="AS100" i="28"/>
  <c r="AK100" i="28"/>
  <c r="AZ100" i="28"/>
  <c r="AR100" i="28"/>
  <c r="AJ100" i="28"/>
  <c r="BC108" i="28"/>
  <c r="AU108" i="28"/>
  <c r="AM108" i="28"/>
  <c r="BB108" i="28"/>
  <c r="AT108" i="28"/>
  <c r="AL108" i="28"/>
  <c r="BA108" i="28"/>
  <c r="AS108" i="28"/>
  <c r="AK108" i="28"/>
  <c r="AZ108" i="28"/>
  <c r="AR108" i="28"/>
  <c r="AJ108" i="28"/>
  <c r="AY108" i="28"/>
  <c r="AQ108" i="28"/>
  <c r="AI108" i="28"/>
  <c r="AX108" i="28"/>
  <c r="AP108" i="28"/>
  <c r="AW108" i="28"/>
  <c r="AO108" i="28"/>
  <c r="BD108" i="28"/>
  <c r="AV108" i="28"/>
  <c r="AN108" i="28"/>
  <c r="BC116" i="28"/>
  <c r="AU116" i="28"/>
  <c r="AM116" i="28"/>
  <c r="BB116" i="28"/>
  <c r="AT116" i="28"/>
  <c r="AL116" i="28"/>
  <c r="BA116" i="28"/>
  <c r="AS116" i="28"/>
  <c r="AK116" i="28"/>
  <c r="AZ116" i="28"/>
  <c r="AR116" i="28"/>
  <c r="AJ116" i="28"/>
  <c r="AY116" i="28"/>
  <c r="AQ116" i="28"/>
  <c r="AI116" i="28"/>
  <c r="R116" i="28"/>
  <c r="AX116" i="28"/>
  <c r="AP116" i="28"/>
  <c r="AW116" i="28"/>
  <c r="AO116" i="28"/>
  <c r="P116" i="28"/>
  <c r="AV116" i="28"/>
  <c r="AN116" i="28"/>
  <c r="BD116" i="28"/>
  <c r="AY124" i="28"/>
  <c r="AQ124" i="28"/>
  <c r="AI124" i="28"/>
  <c r="AX124" i="28"/>
  <c r="AP124" i="28"/>
  <c r="AW124" i="28"/>
  <c r="AO124" i="28"/>
  <c r="BD124" i="28"/>
  <c r="AV124" i="28"/>
  <c r="AN124" i="28"/>
  <c r="BB124" i="28"/>
  <c r="AT124" i="28"/>
  <c r="AL124" i="28"/>
  <c r="BA124" i="28"/>
  <c r="AS124" i="28"/>
  <c r="AK124" i="28"/>
  <c r="AZ124" i="28"/>
  <c r="AR124" i="28"/>
  <c r="AJ124" i="28"/>
  <c r="BC124" i="28"/>
  <c r="AU124" i="28"/>
  <c r="AM124" i="28"/>
  <c r="AZ132" i="28"/>
  <c r="AR132" i="28"/>
  <c r="AJ132" i="28"/>
  <c r="AY132" i="28"/>
  <c r="AQ132" i="28"/>
  <c r="AI132" i="28"/>
  <c r="AX132" i="28"/>
  <c r="AP132" i="28"/>
  <c r="AW132" i="28"/>
  <c r="AO132" i="28"/>
  <c r="BD132" i="28"/>
  <c r="AV132" i="28"/>
  <c r="AN132" i="28"/>
  <c r="BC132" i="28"/>
  <c r="AU132" i="28"/>
  <c r="AM132" i="28"/>
  <c r="BB132" i="28"/>
  <c r="AT132" i="28"/>
  <c r="AL132" i="28"/>
  <c r="BA132" i="28"/>
  <c r="AS132" i="28"/>
  <c r="AK132" i="28"/>
  <c r="AZ140" i="28"/>
  <c r="AR140" i="28"/>
  <c r="AJ140" i="28"/>
  <c r="AY140" i="28"/>
  <c r="AQ140" i="28"/>
  <c r="AI140" i="28"/>
  <c r="AX140" i="28"/>
  <c r="AP140" i="28"/>
  <c r="AW140" i="28"/>
  <c r="AO140" i="28"/>
  <c r="BD140" i="28"/>
  <c r="AV140" i="28"/>
  <c r="AN140" i="28"/>
  <c r="BC140" i="28"/>
  <c r="AU140" i="28"/>
  <c r="AM140" i="28"/>
  <c r="BB140" i="28"/>
  <c r="AT140" i="28"/>
  <c r="AL140" i="28"/>
  <c r="BA140" i="28"/>
  <c r="AS140" i="28"/>
  <c r="AK140" i="28"/>
  <c r="AV83" i="28"/>
  <c r="AR86" i="28"/>
  <c r="AN89" i="28"/>
  <c r="BC77" i="28"/>
  <c r="AU77" i="28"/>
  <c r="AM77" i="28"/>
  <c r="BB77" i="28"/>
  <c r="AT77" i="28"/>
  <c r="AL77" i="28"/>
  <c r="BA77" i="28"/>
  <c r="AS77" i="28"/>
  <c r="L8" i="30" s="1"/>
  <c r="AK77" i="28"/>
  <c r="AZ77" i="28"/>
  <c r="AR77" i="28"/>
  <c r="AJ77" i="28"/>
  <c r="AY77" i="28"/>
  <c r="AQ77" i="28"/>
  <c r="J8" i="30" s="1"/>
  <c r="AI77" i="28"/>
  <c r="AX77" i="28"/>
  <c r="AP77" i="28"/>
  <c r="AW77" i="28"/>
  <c r="AO77" i="28"/>
  <c r="BC85" i="28"/>
  <c r="AU85" i="28"/>
  <c r="AM85" i="28"/>
  <c r="BB85" i="28"/>
  <c r="AT85" i="28"/>
  <c r="AL85" i="28"/>
  <c r="BA85" i="28"/>
  <c r="AS85" i="28"/>
  <c r="AK85" i="28"/>
  <c r="AZ85" i="28"/>
  <c r="AR85" i="28"/>
  <c r="AJ85" i="28"/>
  <c r="AY85" i="28"/>
  <c r="AQ85" i="28"/>
  <c r="AI85" i="28"/>
  <c r="AX85" i="28"/>
  <c r="AP85" i="28"/>
  <c r="AW85" i="28"/>
  <c r="AO85" i="28"/>
  <c r="BC93" i="28"/>
  <c r="AU93" i="28"/>
  <c r="AM93" i="28"/>
  <c r="BB93" i="28"/>
  <c r="AT93" i="28"/>
  <c r="AL93" i="28"/>
  <c r="BA93" i="28"/>
  <c r="AS93" i="28"/>
  <c r="AK93" i="28"/>
  <c r="AZ93" i="28"/>
  <c r="AR93" i="28"/>
  <c r="AJ93" i="28"/>
  <c r="AY93" i="28"/>
  <c r="AQ93" i="28"/>
  <c r="AI93" i="28"/>
  <c r="AX93" i="28"/>
  <c r="AP93" i="28"/>
  <c r="AW93" i="28"/>
  <c r="AO93" i="28"/>
  <c r="BD93" i="28"/>
  <c r="AV93" i="28"/>
  <c r="AN93" i="28"/>
  <c r="BC101" i="28"/>
  <c r="AU101" i="28"/>
  <c r="AM101" i="28"/>
  <c r="BB101" i="28"/>
  <c r="AT101" i="28"/>
  <c r="AL101" i="28"/>
  <c r="BA101" i="28"/>
  <c r="AS101" i="28"/>
  <c r="AK101" i="28"/>
  <c r="AZ101" i="28"/>
  <c r="AR101" i="28"/>
  <c r="AJ101" i="28"/>
  <c r="AY101" i="28"/>
  <c r="AQ101" i="28"/>
  <c r="AI101" i="28"/>
  <c r="AX101" i="28"/>
  <c r="AP101" i="28"/>
  <c r="AW101" i="28"/>
  <c r="AO101" i="28"/>
  <c r="BD101" i="28"/>
  <c r="AV101" i="28"/>
  <c r="AN101" i="28"/>
  <c r="AY109" i="28"/>
  <c r="AQ109" i="28"/>
  <c r="AI109" i="28"/>
  <c r="AX109" i="28"/>
  <c r="AP109" i="28"/>
  <c r="AW109" i="28"/>
  <c r="AO109" i="28"/>
  <c r="BD109" i="28"/>
  <c r="AV109" i="28"/>
  <c r="AN109" i="28"/>
  <c r="BC109" i="28"/>
  <c r="AU109" i="28"/>
  <c r="AM109" i="28"/>
  <c r="BB109" i="28"/>
  <c r="AT109" i="28"/>
  <c r="AL109" i="28"/>
  <c r="BA109" i="28"/>
  <c r="AS109" i="28"/>
  <c r="AK109" i="28"/>
  <c r="AJ109" i="28"/>
  <c r="AZ109" i="28"/>
  <c r="AR109" i="28"/>
  <c r="AY117" i="28"/>
  <c r="AQ117" i="28"/>
  <c r="AI117" i="28"/>
  <c r="AX117" i="28"/>
  <c r="AP117" i="28"/>
  <c r="AW117" i="28"/>
  <c r="AO117" i="28"/>
  <c r="BD117" i="28"/>
  <c r="AV117" i="28"/>
  <c r="AN117" i="28"/>
  <c r="BC117" i="28"/>
  <c r="AU117" i="28"/>
  <c r="AM117" i="28"/>
  <c r="BB117" i="28"/>
  <c r="AT117" i="28"/>
  <c r="AL117" i="28"/>
  <c r="BA117" i="28"/>
  <c r="AS117" i="28"/>
  <c r="AK117" i="28"/>
  <c r="AZ117" i="28"/>
  <c r="AR117" i="28"/>
  <c r="AJ117" i="28"/>
  <c r="BC125" i="28"/>
  <c r="AU125" i="28"/>
  <c r="AM125" i="28"/>
  <c r="BB125" i="28"/>
  <c r="AT125" i="28"/>
  <c r="AL125" i="28"/>
  <c r="BA125" i="28"/>
  <c r="AS125" i="28"/>
  <c r="AK125" i="28"/>
  <c r="AZ125" i="28"/>
  <c r="AR125" i="28"/>
  <c r="AJ125" i="28"/>
  <c r="AX125" i="28"/>
  <c r="AP125" i="28"/>
  <c r="AW125" i="28"/>
  <c r="AO125" i="28"/>
  <c r="BD125" i="28"/>
  <c r="AV125" i="28"/>
  <c r="AN125" i="28"/>
  <c r="AQ125" i="28"/>
  <c r="AI125" i="28"/>
  <c r="AY125" i="28"/>
  <c r="BD133" i="28"/>
  <c r="AV133" i="28"/>
  <c r="AN133" i="28"/>
  <c r="BC133" i="28"/>
  <c r="AU133" i="28"/>
  <c r="AM133" i="28"/>
  <c r="BB133" i="28"/>
  <c r="AT133" i="28"/>
  <c r="AL133" i="28"/>
  <c r="BA133" i="28"/>
  <c r="AS133" i="28"/>
  <c r="AK133" i="28"/>
  <c r="AZ133" i="28"/>
  <c r="AR133" i="28"/>
  <c r="AJ133" i="28"/>
  <c r="AY133" i="28"/>
  <c r="AQ133" i="28"/>
  <c r="AI133" i="28"/>
  <c r="AX133" i="28"/>
  <c r="AP133" i="28"/>
  <c r="AO133" i="28"/>
  <c r="AW133" i="28"/>
  <c r="BD141" i="28"/>
  <c r="AV141" i="28"/>
  <c r="AN141" i="28"/>
  <c r="BC141" i="28"/>
  <c r="AU141" i="28"/>
  <c r="AM141" i="28"/>
  <c r="BB141" i="28"/>
  <c r="AT141" i="28"/>
  <c r="AL141" i="28"/>
  <c r="BA141" i="28"/>
  <c r="AS141" i="28"/>
  <c r="AK141" i="28"/>
  <c r="AZ141" i="28"/>
  <c r="AR141" i="28"/>
  <c r="AJ141" i="28"/>
  <c r="AY141" i="28"/>
  <c r="AQ141" i="28"/>
  <c r="AI141" i="28"/>
  <c r="AX141" i="28"/>
  <c r="AP141" i="28"/>
  <c r="AW141" i="28"/>
  <c r="AO141" i="28"/>
  <c r="AN79" i="28"/>
  <c r="AJ82" i="28"/>
  <c r="BD83" i="28"/>
  <c r="AV89" i="28"/>
  <c r="AO91" i="28"/>
  <c r="AY78" i="28"/>
  <c r="AQ78" i="28"/>
  <c r="AI78" i="28"/>
  <c r="B8" i="30" s="1"/>
  <c r="AX78" i="28"/>
  <c r="AP78" i="28"/>
  <c r="AW78" i="28"/>
  <c r="AO78" i="28"/>
  <c r="BD78" i="28"/>
  <c r="AV78" i="28"/>
  <c r="O8" i="30" s="1"/>
  <c r="AN78" i="28"/>
  <c r="G8" i="30" s="1"/>
  <c r="BC78" i="28"/>
  <c r="AU78" i="28"/>
  <c r="AM78" i="28"/>
  <c r="BB78" i="28"/>
  <c r="AT78" i="28"/>
  <c r="M8" i="30" s="1"/>
  <c r="AL78" i="28"/>
  <c r="BA78" i="28"/>
  <c r="AS78" i="28"/>
  <c r="AK78" i="28"/>
  <c r="AY86" i="28"/>
  <c r="AQ86" i="28"/>
  <c r="AI86" i="28"/>
  <c r="AX86" i="28"/>
  <c r="AP86" i="28"/>
  <c r="AW86" i="28"/>
  <c r="AO86" i="28"/>
  <c r="BD86" i="28"/>
  <c r="AV86" i="28"/>
  <c r="AN86" i="28"/>
  <c r="BC86" i="28"/>
  <c r="AU86" i="28"/>
  <c r="AM86" i="28"/>
  <c r="BB86" i="28"/>
  <c r="AT86" i="28"/>
  <c r="AL86" i="28"/>
  <c r="BA86" i="28"/>
  <c r="AS86" i="28"/>
  <c r="AK86" i="28"/>
  <c r="AY94" i="28"/>
  <c r="AQ94" i="28"/>
  <c r="AI94" i="28"/>
  <c r="AX94" i="28"/>
  <c r="AP94" i="28"/>
  <c r="AW94" i="28"/>
  <c r="AO94" i="28"/>
  <c r="BD94" i="28"/>
  <c r="AV94" i="28"/>
  <c r="AN94" i="28"/>
  <c r="BC94" i="28"/>
  <c r="AU94" i="28"/>
  <c r="AM94" i="28"/>
  <c r="BB94" i="28"/>
  <c r="AT94" i="28"/>
  <c r="AL94" i="28"/>
  <c r="BA94" i="28"/>
  <c r="AS94" i="28"/>
  <c r="AK94" i="28"/>
  <c r="AZ94" i="28"/>
  <c r="AR94" i="28"/>
  <c r="AJ94" i="28"/>
  <c r="AY102" i="28"/>
  <c r="AQ102" i="28"/>
  <c r="AI102" i="28"/>
  <c r="AX102" i="28"/>
  <c r="AP102" i="28"/>
  <c r="AW102" i="28"/>
  <c r="AO102" i="28"/>
  <c r="BD102" i="28"/>
  <c r="AV102" i="28"/>
  <c r="AN102" i="28"/>
  <c r="BC102" i="28"/>
  <c r="AU102" i="28"/>
  <c r="AM102" i="28"/>
  <c r="BB102" i="28"/>
  <c r="AT102" i="28"/>
  <c r="AL102" i="28"/>
  <c r="BA102" i="28"/>
  <c r="AS102" i="28"/>
  <c r="AK102" i="28"/>
  <c r="AZ102" i="28"/>
  <c r="AR102" i="28"/>
  <c r="AJ102" i="28"/>
  <c r="BC110" i="28"/>
  <c r="AU110" i="28"/>
  <c r="AM110" i="28"/>
  <c r="BB110" i="28"/>
  <c r="AT110" i="28"/>
  <c r="AL110" i="28"/>
  <c r="BA110" i="28"/>
  <c r="AS110" i="28"/>
  <c r="AK110" i="28"/>
  <c r="AZ110" i="28"/>
  <c r="AR110" i="28"/>
  <c r="AJ110" i="28"/>
  <c r="AY110" i="28"/>
  <c r="AQ110" i="28"/>
  <c r="AI110" i="28"/>
  <c r="AX110" i="28"/>
  <c r="AP110" i="28"/>
  <c r="AW110" i="28"/>
  <c r="AO110" i="28"/>
  <c r="BD110" i="28"/>
  <c r="AV110" i="28"/>
  <c r="AN110" i="28"/>
  <c r="AY118" i="28"/>
  <c r="AQ118" i="28"/>
  <c r="AI118" i="28"/>
  <c r="R118" i="28"/>
  <c r="AX118" i="28"/>
  <c r="AP118" i="28"/>
  <c r="AW118" i="28"/>
  <c r="AO118" i="28"/>
  <c r="P118" i="28"/>
  <c r="BD118" i="28"/>
  <c r="AV118" i="28"/>
  <c r="AN118" i="28"/>
  <c r="BB118" i="28"/>
  <c r="AT118" i="28"/>
  <c r="AL118" i="28"/>
  <c r="BA118" i="28"/>
  <c r="AS118" i="28"/>
  <c r="AK118" i="28"/>
  <c r="AZ118" i="28"/>
  <c r="AR118" i="28"/>
  <c r="AJ118" i="28"/>
  <c r="BC118" i="28"/>
  <c r="AU118" i="28"/>
  <c r="AM118" i="28"/>
  <c r="AY126" i="28"/>
  <c r="AQ126" i="28"/>
  <c r="AI126" i="28"/>
  <c r="AX126" i="28"/>
  <c r="AP126" i="28"/>
  <c r="AW126" i="28"/>
  <c r="AO126" i="28"/>
  <c r="BD126" i="28"/>
  <c r="AV126" i="28"/>
  <c r="AN126" i="28"/>
  <c r="BB126" i="28"/>
  <c r="AT126" i="28"/>
  <c r="AL126" i="28"/>
  <c r="BA126" i="28"/>
  <c r="AS126" i="28"/>
  <c r="AK126" i="28"/>
  <c r="AZ126" i="28"/>
  <c r="AR126" i="28"/>
  <c r="AJ126" i="28"/>
  <c r="BC126" i="28"/>
  <c r="AU126" i="28"/>
  <c r="AM126" i="28"/>
  <c r="AZ134" i="28"/>
  <c r="AR134" i="28"/>
  <c r="AJ134" i="28"/>
  <c r="AY134" i="28"/>
  <c r="AQ134" i="28"/>
  <c r="AI134" i="28"/>
  <c r="AX134" i="28"/>
  <c r="AP134" i="28"/>
  <c r="AW134" i="28"/>
  <c r="AO134" i="28"/>
  <c r="BD134" i="28"/>
  <c r="AV134" i="28"/>
  <c r="AN134" i="28"/>
  <c r="BC134" i="28"/>
  <c r="AU134" i="28"/>
  <c r="AM134" i="28"/>
  <c r="BB134" i="28"/>
  <c r="AT134" i="28"/>
  <c r="AL134" i="28"/>
  <c r="AK134" i="28"/>
  <c r="BA134" i="28"/>
  <c r="AS134" i="28"/>
  <c r="AZ142" i="28"/>
  <c r="AR142" i="28"/>
  <c r="AJ142" i="28"/>
  <c r="AY142" i="28"/>
  <c r="AQ142" i="28"/>
  <c r="AI142" i="28"/>
  <c r="AX142" i="28"/>
  <c r="AP142" i="28"/>
  <c r="AW142" i="28"/>
  <c r="AO142" i="28"/>
  <c r="BD142" i="28"/>
  <c r="AV142" i="28"/>
  <c r="AN142" i="28"/>
  <c r="BC142" i="28"/>
  <c r="AU142" i="28"/>
  <c r="AM142" i="28"/>
  <c r="BB142" i="28"/>
  <c r="AT142" i="28"/>
  <c r="AL142" i="28"/>
  <c r="BA142" i="28"/>
  <c r="AS142" i="28"/>
  <c r="AK142" i="28"/>
  <c r="AR82" i="28"/>
  <c r="AN85" i="28"/>
  <c r="AJ88" i="28"/>
  <c r="BD89" i="28"/>
  <c r="AZ92" i="28"/>
  <c r="BC79" i="28"/>
  <c r="AU79" i="28"/>
  <c r="AM79" i="28"/>
  <c r="BB79" i="28"/>
  <c r="AT79" i="28"/>
  <c r="AL79" i="28"/>
  <c r="BA79" i="28"/>
  <c r="AS79" i="28"/>
  <c r="AK79" i="28"/>
  <c r="AZ79" i="28"/>
  <c r="AR79" i="28"/>
  <c r="AJ79" i="28"/>
  <c r="AY79" i="28"/>
  <c r="AQ79" i="28"/>
  <c r="AI79" i="28"/>
  <c r="AX79" i="28"/>
  <c r="AP79" i="28"/>
  <c r="AW79" i="28"/>
  <c r="P8" i="30" s="1"/>
  <c r="AO79" i="28"/>
  <c r="BC87" i="28"/>
  <c r="AU87" i="28"/>
  <c r="AM87" i="28"/>
  <c r="BB87" i="28"/>
  <c r="AT87" i="28"/>
  <c r="AL87" i="28"/>
  <c r="BA87" i="28"/>
  <c r="AS87" i="28"/>
  <c r="AK87" i="28"/>
  <c r="AZ87" i="28"/>
  <c r="AR87" i="28"/>
  <c r="AJ87" i="28"/>
  <c r="AY87" i="28"/>
  <c r="AQ87" i="28"/>
  <c r="AI87" i="28"/>
  <c r="AX87" i="28"/>
  <c r="AP87" i="28"/>
  <c r="AW87" i="28"/>
  <c r="AO87" i="28"/>
  <c r="BC95" i="28"/>
  <c r="AU95" i="28"/>
  <c r="AM95" i="28"/>
  <c r="BB95" i="28"/>
  <c r="AT95" i="28"/>
  <c r="AL95" i="28"/>
  <c r="BA95" i="28"/>
  <c r="AS95" i="28"/>
  <c r="AK95" i="28"/>
  <c r="AZ95" i="28"/>
  <c r="AR95" i="28"/>
  <c r="AJ95" i="28"/>
  <c r="AY95" i="28"/>
  <c r="AQ95" i="28"/>
  <c r="AI95" i="28"/>
  <c r="AX95" i="28"/>
  <c r="AP95" i="28"/>
  <c r="AW95" i="28"/>
  <c r="AO95" i="28"/>
  <c r="AN95" i="28"/>
  <c r="BD95" i="28"/>
  <c r="BC103" i="28"/>
  <c r="AU103" i="28"/>
  <c r="AM103" i="28"/>
  <c r="BB103" i="28"/>
  <c r="AT103" i="28"/>
  <c r="AL103" i="28"/>
  <c r="BA103" i="28"/>
  <c r="AS103" i="28"/>
  <c r="AK103" i="28"/>
  <c r="AZ103" i="28"/>
  <c r="AR103" i="28"/>
  <c r="AJ103" i="28"/>
  <c r="AY103" i="28"/>
  <c r="AQ103" i="28"/>
  <c r="AI103" i="28"/>
  <c r="AX103" i="28"/>
  <c r="AP103" i="28"/>
  <c r="AW103" i="28"/>
  <c r="AO103" i="28"/>
  <c r="BD103" i="28"/>
  <c r="AV103" i="28"/>
  <c r="AN103" i="28"/>
  <c r="AY111" i="28"/>
  <c r="AQ111" i="28"/>
  <c r="AI111" i="28"/>
  <c r="AX111" i="28"/>
  <c r="AP111" i="28"/>
  <c r="AW111" i="28"/>
  <c r="AO111" i="28"/>
  <c r="BD111" i="28"/>
  <c r="AV111" i="28"/>
  <c r="AN111" i="28"/>
  <c r="BC111" i="28"/>
  <c r="AU111" i="28"/>
  <c r="AM111" i="28"/>
  <c r="BB111" i="28"/>
  <c r="AT111" i="28"/>
  <c r="AL111" i="28"/>
  <c r="BA111" i="28"/>
  <c r="AS111" i="28"/>
  <c r="AK111" i="28"/>
  <c r="AZ111" i="28"/>
  <c r="AR111" i="28"/>
  <c r="AJ111" i="28"/>
  <c r="BC119" i="28"/>
  <c r="AU119" i="28"/>
  <c r="AM119" i="28"/>
  <c r="BB119" i="28"/>
  <c r="AT119" i="28"/>
  <c r="AL119" i="28"/>
  <c r="BA119" i="28"/>
  <c r="AS119" i="28"/>
  <c r="AK119" i="28"/>
  <c r="AZ119" i="28"/>
  <c r="AR119" i="28"/>
  <c r="AJ119" i="28"/>
  <c r="AX119" i="28"/>
  <c r="AP119" i="28"/>
  <c r="AW119" i="28"/>
  <c r="AO119" i="28"/>
  <c r="P119" i="28"/>
  <c r="BD119" i="28"/>
  <c r="AV119" i="28"/>
  <c r="AN119" i="28"/>
  <c r="AY119" i="28"/>
  <c r="AQ119" i="28"/>
  <c r="AI119" i="28"/>
  <c r="R119" i="28"/>
  <c r="BC127" i="28"/>
  <c r="AU127" i="28"/>
  <c r="AM127" i="28"/>
  <c r="BB127" i="28"/>
  <c r="AT127" i="28"/>
  <c r="AL127" i="28"/>
  <c r="BA127" i="28"/>
  <c r="AS127" i="28"/>
  <c r="AK127" i="28"/>
  <c r="AZ127" i="28"/>
  <c r="AR127" i="28"/>
  <c r="AJ127" i="28"/>
  <c r="AX127" i="28"/>
  <c r="AP127" i="28"/>
  <c r="AW127" i="28"/>
  <c r="AO127" i="28"/>
  <c r="BD127" i="28"/>
  <c r="AV127" i="28"/>
  <c r="AN127" i="28"/>
  <c r="AY127" i="28"/>
  <c r="AQ127" i="28"/>
  <c r="AI127" i="28"/>
  <c r="BD135" i="28"/>
  <c r="AV135" i="28"/>
  <c r="AN135" i="28"/>
  <c r="BC135" i="28"/>
  <c r="AU135" i="28"/>
  <c r="AM135" i="28"/>
  <c r="BB135" i="28"/>
  <c r="AT135" i="28"/>
  <c r="AL135" i="28"/>
  <c r="BA135" i="28"/>
  <c r="AS135" i="28"/>
  <c r="AK135" i="28"/>
  <c r="AZ135" i="28"/>
  <c r="AR135" i="28"/>
  <c r="AJ135" i="28"/>
  <c r="AY135" i="28"/>
  <c r="AQ135" i="28"/>
  <c r="AI135" i="28"/>
  <c r="AX135" i="28"/>
  <c r="AP135" i="28"/>
  <c r="AW135" i="28"/>
  <c r="AO135" i="28"/>
  <c r="BD143" i="28"/>
  <c r="AV143" i="28"/>
  <c r="AN143" i="28"/>
  <c r="BC143" i="28"/>
  <c r="AU143" i="28"/>
  <c r="AM143" i="28"/>
  <c r="BB143" i="28"/>
  <c r="AT143" i="28"/>
  <c r="AL143" i="28"/>
  <c r="BA143" i="28"/>
  <c r="AS143" i="28"/>
  <c r="AK143" i="28"/>
  <c r="AZ143" i="28"/>
  <c r="AR143" i="28"/>
  <c r="AJ143" i="28"/>
  <c r="AY143" i="28"/>
  <c r="AQ143" i="28"/>
  <c r="AI143" i="28"/>
  <c r="AX143" i="28"/>
  <c r="AP143" i="28"/>
  <c r="AW143" i="28"/>
  <c r="AO143" i="28"/>
  <c r="AJ78" i="28"/>
  <c r="BD79" i="28"/>
  <c r="AZ82" i="28"/>
  <c r="AV85" i="28"/>
  <c r="AY80" i="28"/>
  <c r="AQ80" i="28"/>
  <c r="AI80" i="28"/>
  <c r="AX80" i="28"/>
  <c r="AP80" i="28"/>
  <c r="AW80" i="28"/>
  <c r="AO80" i="28"/>
  <c r="BD80" i="28"/>
  <c r="AV80" i="28"/>
  <c r="AN80" i="28"/>
  <c r="BC80" i="28"/>
  <c r="V8" i="30" s="1"/>
  <c r="AU80" i="28"/>
  <c r="AM80" i="28"/>
  <c r="BB80" i="28"/>
  <c r="AT80" i="28"/>
  <c r="AL80" i="28"/>
  <c r="E8" i="30" s="1"/>
  <c r="BA80" i="28"/>
  <c r="AS80" i="28"/>
  <c r="AK80" i="28"/>
  <c r="AY88" i="28"/>
  <c r="AQ88" i="28"/>
  <c r="AI88" i="28"/>
  <c r="AX88" i="28"/>
  <c r="AP88" i="28"/>
  <c r="AW88" i="28"/>
  <c r="AO88" i="28"/>
  <c r="BD88" i="28"/>
  <c r="AV88" i="28"/>
  <c r="AN88" i="28"/>
  <c r="BC88" i="28"/>
  <c r="AU88" i="28"/>
  <c r="AM88" i="28"/>
  <c r="BB88" i="28"/>
  <c r="AT88" i="28"/>
  <c r="AL88" i="28"/>
  <c r="BA88" i="28"/>
  <c r="AS88" i="28"/>
  <c r="AK88" i="28"/>
  <c r="AY96" i="28"/>
  <c r="AQ96" i="28"/>
  <c r="AI96" i="28"/>
  <c r="AX96" i="28"/>
  <c r="AP96" i="28"/>
  <c r="AW96" i="28"/>
  <c r="AO96" i="28"/>
  <c r="BD96" i="28"/>
  <c r="AV96" i="28"/>
  <c r="AN96" i="28"/>
  <c r="BC96" i="28"/>
  <c r="AU96" i="28"/>
  <c r="AM96" i="28"/>
  <c r="BB96" i="28"/>
  <c r="AT96" i="28"/>
  <c r="AL96" i="28"/>
  <c r="BA96" i="28"/>
  <c r="AS96" i="28"/>
  <c r="AK96" i="28"/>
  <c r="AZ96" i="28"/>
  <c r="AR96" i="28"/>
  <c r="AJ96" i="28"/>
  <c r="BC104" i="28"/>
  <c r="AU104" i="28"/>
  <c r="AM104" i="28"/>
  <c r="BB104" i="28"/>
  <c r="AT104" i="28"/>
  <c r="AL104" i="28"/>
  <c r="BA104" i="28"/>
  <c r="AS104" i="28"/>
  <c r="AK104" i="28"/>
  <c r="AZ104" i="28"/>
  <c r="AR104" i="28"/>
  <c r="AJ104" i="28"/>
  <c r="AY104" i="28"/>
  <c r="AQ104" i="28"/>
  <c r="AI104" i="28"/>
  <c r="AX104" i="28"/>
  <c r="AP104" i="28"/>
  <c r="AW104" i="28"/>
  <c r="BD104" i="28"/>
  <c r="AV104" i="28"/>
  <c r="AO104" i="28"/>
  <c r="AN104" i="28"/>
  <c r="BC112" i="28"/>
  <c r="AU112" i="28"/>
  <c r="AM112" i="28"/>
  <c r="BB112" i="28"/>
  <c r="AT112" i="28"/>
  <c r="AL112" i="28"/>
  <c r="BA112" i="28"/>
  <c r="AS112" i="28"/>
  <c r="AK112" i="28"/>
  <c r="AZ112" i="28"/>
  <c r="AR112" i="28"/>
  <c r="AJ112" i="28"/>
  <c r="AY112" i="28"/>
  <c r="AQ112" i="28"/>
  <c r="AI112" i="28"/>
  <c r="AX112" i="28"/>
  <c r="AP112" i="28"/>
  <c r="AW112" i="28"/>
  <c r="AO112" i="28"/>
  <c r="BD112" i="28"/>
  <c r="AV112" i="28"/>
  <c r="AN112" i="28"/>
  <c r="AY120" i="28"/>
  <c r="AQ120" i="28"/>
  <c r="AI120" i="28"/>
  <c r="R120" i="28"/>
  <c r="AX120" i="28"/>
  <c r="AP120" i="28"/>
  <c r="AW120" i="28"/>
  <c r="AO120" i="28"/>
  <c r="P120" i="28"/>
  <c r="BD120" i="28"/>
  <c r="AV120" i="28"/>
  <c r="AN120" i="28"/>
  <c r="BB120" i="28"/>
  <c r="AT120" i="28"/>
  <c r="AL120" i="28"/>
  <c r="BA120" i="28"/>
  <c r="AS120" i="28"/>
  <c r="AK120" i="28"/>
  <c r="AZ120" i="28"/>
  <c r="AR120" i="28"/>
  <c r="AJ120" i="28"/>
  <c r="BC120" i="28"/>
  <c r="AU120" i="28"/>
  <c r="AM120" i="28"/>
  <c r="AY128" i="28"/>
  <c r="AQ128" i="28"/>
  <c r="AI128" i="28"/>
  <c r="AX128" i="28"/>
  <c r="AP128" i="28"/>
  <c r="AW128" i="28"/>
  <c r="AO128" i="28"/>
  <c r="BD128" i="28"/>
  <c r="AV128" i="28"/>
  <c r="AN128" i="28"/>
  <c r="BB128" i="28"/>
  <c r="AT128" i="28"/>
  <c r="AL128" i="28"/>
  <c r="BA128" i="28"/>
  <c r="AS128" i="28"/>
  <c r="AK128" i="28"/>
  <c r="AZ128" i="28"/>
  <c r="AR128" i="28"/>
  <c r="AJ128" i="28"/>
  <c r="AM128" i="28"/>
  <c r="BC128" i="28"/>
  <c r="AU128" i="28"/>
  <c r="AZ136" i="28"/>
  <c r="AR136" i="28"/>
  <c r="AJ136" i="28"/>
  <c r="AY136" i="28"/>
  <c r="AQ136" i="28"/>
  <c r="AI136" i="28"/>
  <c r="AX136" i="28"/>
  <c r="AP136" i="28"/>
  <c r="AW136" i="28"/>
  <c r="AO136" i="28"/>
  <c r="BD136" i="28"/>
  <c r="AV136" i="28"/>
  <c r="AN136" i="28"/>
  <c r="BC136" i="28"/>
  <c r="AU136" i="28"/>
  <c r="AM136" i="28"/>
  <c r="BB136" i="28"/>
  <c r="AT136" i="28"/>
  <c r="AL136" i="28"/>
  <c r="BA136" i="28"/>
  <c r="AK136" i="28"/>
  <c r="AS136" i="28"/>
  <c r="AR78" i="28"/>
  <c r="AN81" i="28"/>
  <c r="AJ84" i="28"/>
  <c r="BD85" i="28"/>
  <c r="AZ88" i="28"/>
  <c r="AV95" i="28"/>
  <c r="AF55" i="29"/>
  <c r="X55" i="29"/>
  <c r="AE55" i="29"/>
  <c r="I8" i="31" s="1"/>
  <c r="AD55" i="29"/>
  <c r="AC55" i="29"/>
  <c r="G8" i="31" s="1"/>
  <c r="AB55" i="29"/>
  <c r="AA55" i="29"/>
  <c r="AH55" i="29"/>
  <c r="Z55" i="29"/>
  <c r="AG55" i="29"/>
  <c r="Y55" i="29"/>
  <c r="AG63" i="29"/>
  <c r="Y63" i="29"/>
  <c r="AF63" i="29"/>
  <c r="X63" i="29"/>
  <c r="AE63" i="29"/>
  <c r="AD63" i="29"/>
  <c r="AC63" i="29"/>
  <c r="AB63" i="29"/>
  <c r="AA63" i="29"/>
  <c r="AH63" i="29"/>
  <c r="Z63" i="29"/>
  <c r="AG71" i="29"/>
  <c r="Y71" i="29"/>
  <c r="AF71" i="29"/>
  <c r="X71" i="29"/>
  <c r="AE71" i="29"/>
  <c r="AD71" i="29"/>
  <c r="AC71" i="29"/>
  <c r="AB71" i="29"/>
  <c r="AA71" i="29"/>
  <c r="AH71" i="29"/>
  <c r="Z71" i="29"/>
  <c r="AG79" i="29"/>
  <c r="Y79" i="29"/>
  <c r="AF79" i="29"/>
  <c r="X79" i="29"/>
  <c r="AE79" i="29"/>
  <c r="AD79" i="29"/>
  <c r="AC79" i="29"/>
  <c r="AB79" i="29"/>
  <c r="AA79" i="29"/>
  <c r="AH79" i="29"/>
  <c r="Z79" i="29"/>
  <c r="AF87" i="29"/>
  <c r="X87" i="29"/>
  <c r="AE87" i="29"/>
  <c r="AD87" i="29"/>
  <c r="AC87" i="29"/>
  <c r="AB87" i="29"/>
  <c r="AH87" i="29"/>
  <c r="Z87" i="29"/>
  <c r="AG87" i="29"/>
  <c r="AA87" i="29"/>
  <c r="Y87" i="29"/>
  <c r="AF95" i="29"/>
  <c r="X95" i="29"/>
  <c r="AE95" i="29"/>
  <c r="AD95" i="29"/>
  <c r="AC95" i="29"/>
  <c r="AB95" i="29"/>
  <c r="AH95" i="29"/>
  <c r="Z95" i="29"/>
  <c r="AG95" i="29"/>
  <c r="AA95" i="29"/>
  <c r="Y95" i="29"/>
  <c r="AA64" i="29"/>
  <c r="AH64" i="29"/>
  <c r="Z64" i="29"/>
  <c r="AG64" i="29"/>
  <c r="Y64" i="29"/>
  <c r="AF64" i="29"/>
  <c r="X64" i="29"/>
  <c r="AE64" i="29"/>
  <c r="AD64" i="29"/>
  <c r="AC64" i="29"/>
  <c r="AB64" i="29"/>
  <c r="AA72" i="29"/>
  <c r="AH72" i="29"/>
  <c r="Z72" i="29"/>
  <c r="AG72" i="29"/>
  <c r="Y72" i="29"/>
  <c r="AF72" i="29"/>
  <c r="X72" i="29"/>
  <c r="AE72" i="29"/>
  <c r="AD72" i="29"/>
  <c r="AC72" i="29"/>
  <c r="AB72" i="29"/>
  <c r="AA80" i="29"/>
  <c r="AH80" i="29"/>
  <c r="Z80" i="29"/>
  <c r="AG80" i="29"/>
  <c r="Y80" i="29"/>
  <c r="AF80" i="29"/>
  <c r="X80" i="29"/>
  <c r="AE80" i="29"/>
  <c r="AD80" i="29"/>
  <c r="AC80" i="29"/>
  <c r="AB80" i="29"/>
  <c r="AH88" i="29"/>
  <c r="Z88" i="29"/>
  <c r="AG88" i="29"/>
  <c r="Y88" i="29"/>
  <c r="AF88" i="29"/>
  <c r="X88" i="29"/>
  <c r="AE88" i="29"/>
  <c r="AD88" i="29"/>
  <c r="AB88" i="29"/>
  <c r="AC88" i="29"/>
  <c r="AA88" i="29"/>
  <c r="AH96" i="29"/>
  <c r="Z96" i="29"/>
  <c r="AG96" i="29"/>
  <c r="Y96" i="29"/>
  <c r="AF96" i="29"/>
  <c r="X96" i="29"/>
  <c r="AE96" i="29"/>
  <c r="AD96" i="29"/>
  <c r="AB96" i="29"/>
  <c r="AA96" i="29"/>
  <c r="AC96" i="29"/>
  <c r="AB56" i="29"/>
  <c r="AD57" i="29"/>
  <c r="X58" i="29"/>
  <c r="AF58" i="29"/>
  <c r="Z59" i="29"/>
  <c r="AH59" i="29"/>
  <c r="AC65" i="29"/>
  <c r="AB65" i="29"/>
  <c r="AA65" i="29"/>
  <c r="AH65" i="29"/>
  <c r="Z65" i="29"/>
  <c r="AG65" i="29"/>
  <c r="Y65" i="29"/>
  <c r="AF65" i="29"/>
  <c r="X65" i="29"/>
  <c r="AE65" i="29"/>
  <c r="AD65" i="29"/>
  <c r="AC73" i="29"/>
  <c r="AB73" i="29"/>
  <c r="AA73" i="29"/>
  <c r="AH73" i="29"/>
  <c r="Z73" i="29"/>
  <c r="AG73" i="29"/>
  <c r="Y73" i="29"/>
  <c r="AF73" i="29"/>
  <c r="X73" i="29"/>
  <c r="AE73" i="29"/>
  <c r="AD73" i="29"/>
  <c r="AC81" i="29"/>
  <c r="AB81" i="29"/>
  <c r="AA81" i="29"/>
  <c r="AH81" i="29"/>
  <c r="Z81" i="29"/>
  <c r="AG81" i="29"/>
  <c r="Y81" i="29"/>
  <c r="AF81" i="29"/>
  <c r="X81" i="29"/>
  <c r="AE81" i="29"/>
  <c r="AD81" i="29"/>
  <c r="AB89" i="29"/>
  <c r="AA89" i="29"/>
  <c r="AH89" i="29"/>
  <c r="Z89" i="29"/>
  <c r="AG89" i="29"/>
  <c r="Y89" i="29"/>
  <c r="AF89" i="29"/>
  <c r="X89" i="29"/>
  <c r="AD89" i="29"/>
  <c r="AE89" i="29"/>
  <c r="AC89" i="29"/>
  <c r="AB97" i="29"/>
  <c r="AA97" i="29"/>
  <c r="AH97" i="29"/>
  <c r="Z97" i="29"/>
  <c r="AG97" i="29"/>
  <c r="Y97" i="29"/>
  <c r="AF97" i="29"/>
  <c r="X97" i="29"/>
  <c r="AD97" i="29"/>
  <c r="AE97" i="29"/>
  <c r="AC97" i="29"/>
  <c r="AC56" i="29"/>
  <c r="AE57" i="29"/>
  <c r="Y58" i="29"/>
  <c r="AG58" i="29"/>
  <c r="AA59" i="29"/>
  <c r="AE66" i="29"/>
  <c r="AD66" i="29"/>
  <c r="AC66" i="29"/>
  <c r="AB66" i="29"/>
  <c r="AA66" i="29"/>
  <c r="AH66" i="29"/>
  <c r="Z66" i="29"/>
  <c r="AG66" i="29"/>
  <c r="Y66" i="29"/>
  <c r="AF66" i="29"/>
  <c r="X66" i="29"/>
  <c r="AE74" i="29"/>
  <c r="AD74" i="29"/>
  <c r="AC74" i="29"/>
  <c r="AB74" i="29"/>
  <c r="AA74" i="29"/>
  <c r="AH74" i="29"/>
  <c r="Z74" i="29"/>
  <c r="AG74" i="29"/>
  <c r="Y74" i="29"/>
  <c r="AF74" i="29"/>
  <c r="X74" i="29"/>
  <c r="AE82" i="29"/>
  <c r="AD82" i="29"/>
  <c r="AC82" i="29"/>
  <c r="AB82" i="29"/>
  <c r="AA82" i="29"/>
  <c r="AH82" i="29"/>
  <c r="Z82" i="29"/>
  <c r="AG82" i="29"/>
  <c r="Y82" i="29"/>
  <c r="AF82" i="29"/>
  <c r="X82" i="29"/>
  <c r="AD90" i="29"/>
  <c r="AC90" i="29"/>
  <c r="AB90" i="29"/>
  <c r="AA90" i="29"/>
  <c r="AH90" i="29"/>
  <c r="Z90" i="29"/>
  <c r="AF90" i="29"/>
  <c r="X90" i="29"/>
  <c r="AE90" i="29"/>
  <c r="Y90" i="29"/>
  <c r="AG90" i="29"/>
  <c r="AD98" i="29"/>
  <c r="AC98" i="29"/>
  <c r="AB98" i="29"/>
  <c r="AA98" i="29"/>
  <c r="AH98" i="29"/>
  <c r="Z98" i="29"/>
  <c r="AF98" i="29"/>
  <c r="X98" i="29"/>
  <c r="AG98" i="29"/>
  <c r="AE98" i="29"/>
  <c r="Y98" i="29"/>
  <c r="AD56" i="29"/>
  <c r="X57" i="29"/>
  <c r="AF57" i="29"/>
  <c r="Z58" i="29"/>
  <c r="AH58" i="29"/>
  <c r="AB59" i="29"/>
  <c r="AG67" i="29"/>
  <c r="Y67" i="29"/>
  <c r="AF67" i="29"/>
  <c r="X67" i="29"/>
  <c r="AE67" i="29"/>
  <c r="AD67" i="29"/>
  <c r="AC67" i="29"/>
  <c r="AB67" i="29"/>
  <c r="AA67" i="29"/>
  <c r="AH67" i="29"/>
  <c r="Z67" i="29"/>
  <c r="AG75" i="29"/>
  <c r="Y75" i="29"/>
  <c r="AF75" i="29"/>
  <c r="X75" i="29"/>
  <c r="AE75" i="29"/>
  <c r="AD75" i="29"/>
  <c r="AC75" i="29"/>
  <c r="AB75" i="29"/>
  <c r="AA75" i="29"/>
  <c r="AH75" i="29"/>
  <c r="Z75" i="29"/>
  <c r="AG83" i="29"/>
  <c r="Y83" i="29"/>
  <c r="AF83" i="29"/>
  <c r="X83" i="29"/>
  <c r="AE83" i="29"/>
  <c r="AD83" i="29"/>
  <c r="AC83" i="29"/>
  <c r="AB83" i="29"/>
  <c r="AA83" i="29"/>
  <c r="AH83" i="29"/>
  <c r="Z83" i="29"/>
  <c r="AF91" i="29"/>
  <c r="X91" i="29"/>
  <c r="AE91" i="29"/>
  <c r="AD91" i="29"/>
  <c r="AC91" i="29"/>
  <c r="AB91" i="29"/>
  <c r="AH91" i="29"/>
  <c r="Z91" i="29"/>
  <c r="AG91" i="29"/>
  <c r="AA91" i="29"/>
  <c r="Y91" i="29"/>
  <c r="AF99" i="29"/>
  <c r="X99" i="29"/>
  <c r="AE99" i="29"/>
  <c r="AD99" i="29"/>
  <c r="AC99" i="29"/>
  <c r="AB99" i="29"/>
  <c r="AH99" i="29"/>
  <c r="Z99" i="29"/>
  <c r="Y99" i="29"/>
  <c r="AG99" i="29"/>
  <c r="AA99" i="29"/>
  <c r="AE56" i="29"/>
  <c r="Y57" i="29"/>
  <c r="AG57" i="29"/>
  <c r="AA58" i="29"/>
  <c r="AC59" i="29"/>
  <c r="H8" i="31"/>
  <c r="AA60" i="29"/>
  <c r="AH60" i="29"/>
  <c r="Z60" i="29"/>
  <c r="AG60" i="29"/>
  <c r="Y60" i="29"/>
  <c r="AF60" i="29"/>
  <c r="X60" i="29"/>
  <c r="AE60" i="29"/>
  <c r="AD60" i="29"/>
  <c r="AC60" i="29"/>
  <c r="AB60" i="29"/>
  <c r="AA68" i="29"/>
  <c r="AH68" i="29"/>
  <c r="Z68" i="29"/>
  <c r="AG68" i="29"/>
  <c r="Y68" i="29"/>
  <c r="AF68" i="29"/>
  <c r="X68" i="29"/>
  <c r="AE68" i="29"/>
  <c r="AD68" i="29"/>
  <c r="AC68" i="29"/>
  <c r="AB68" i="29"/>
  <c r="AA76" i="29"/>
  <c r="AH76" i="29"/>
  <c r="Z76" i="29"/>
  <c r="AG76" i="29"/>
  <c r="Y76" i="29"/>
  <c r="AF76" i="29"/>
  <c r="X76" i="29"/>
  <c r="AE76" i="29"/>
  <c r="AD76" i="29"/>
  <c r="AC76" i="29"/>
  <c r="AB76" i="29"/>
  <c r="AH84" i="29"/>
  <c r="AF84" i="29"/>
  <c r="AA84" i="29"/>
  <c r="Z84" i="29"/>
  <c r="Y84" i="29"/>
  <c r="AG84" i="29"/>
  <c r="X84" i="29"/>
  <c r="AE84" i="29"/>
  <c r="AD84" i="29"/>
  <c r="AC84" i="29"/>
  <c r="AB84" i="29"/>
  <c r="AH92" i="29"/>
  <c r="Z92" i="29"/>
  <c r="AG92" i="29"/>
  <c r="Y92" i="29"/>
  <c r="AF92" i="29"/>
  <c r="X92" i="29"/>
  <c r="AE92" i="29"/>
  <c r="AD92" i="29"/>
  <c r="AB92" i="29"/>
  <c r="AC92" i="29"/>
  <c r="AA92" i="29"/>
  <c r="X56" i="29"/>
  <c r="B8" i="31" s="1"/>
  <c r="AF56" i="29"/>
  <c r="Z57" i="29"/>
  <c r="AH57" i="29"/>
  <c r="AB58" i="29"/>
  <c r="AD59" i="29"/>
  <c r="AC61" i="29"/>
  <c r="AB61" i="29"/>
  <c r="AA61" i="29"/>
  <c r="AH61" i="29"/>
  <c r="Z61" i="29"/>
  <c r="AG61" i="29"/>
  <c r="Y61" i="29"/>
  <c r="AF61" i="29"/>
  <c r="X61" i="29"/>
  <c r="AE61" i="29"/>
  <c r="AD61" i="29"/>
  <c r="AC69" i="29"/>
  <c r="AB69" i="29"/>
  <c r="AA69" i="29"/>
  <c r="AH69" i="29"/>
  <c r="Z69" i="29"/>
  <c r="AG69" i="29"/>
  <c r="Y69" i="29"/>
  <c r="AF69" i="29"/>
  <c r="X69" i="29"/>
  <c r="AE69" i="29"/>
  <c r="AD69" i="29"/>
  <c r="AC77" i="29"/>
  <c r="AB77" i="29"/>
  <c r="AA77" i="29"/>
  <c r="AH77" i="29"/>
  <c r="Z77" i="29"/>
  <c r="AG77" i="29"/>
  <c r="Y77" i="29"/>
  <c r="AF77" i="29"/>
  <c r="X77" i="29"/>
  <c r="AE77" i="29"/>
  <c r="AD77" i="29"/>
  <c r="AB85" i="29"/>
  <c r="AA85" i="29"/>
  <c r="AH85" i="29"/>
  <c r="Z85" i="29"/>
  <c r="AG85" i="29"/>
  <c r="Y85" i="29"/>
  <c r="AF85" i="29"/>
  <c r="X85" i="29"/>
  <c r="AD85" i="29"/>
  <c r="AE85" i="29"/>
  <c r="AC85" i="29"/>
  <c r="AB93" i="29"/>
  <c r="AA93" i="29"/>
  <c r="AH93" i="29"/>
  <c r="Z93" i="29"/>
  <c r="AG93" i="29"/>
  <c r="Y93" i="29"/>
  <c r="AF93" i="29"/>
  <c r="X93" i="29"/>
  <c r="AD93" i="29"/>
  <c r="AC93" i="29"/>
  <c r="AE93" i="29"/>
  <c r="Y56" i="29"/>
  <c r="AG56" i="29"/>
  <c r="AA57" i="29"/>
  <c r="AC58" i="29"/>
  <c r="AE59" i="29"/>
  <c r="AE62" i="29"/>
  <c r="AD62" i="29"/>
  <c r="AC62" i="29"/>
  <c r="AB62" i="29"/>
  <c r="AA62" i="29"/>
  <c r="AH62" i="29"/>
  <c r="Z62" i="29"/>
  <c r="AG62" i="29"/>
  <c r="Y62" i="29"/>
  <c r="AF62" i="29"/>
  <c r="X62" i="29"/>
  <c r="AE70" i="29"/>
  <c r="AD70" i="29"/>
  <c r="AC70" i="29"/>
  <c r="AB70" i="29"/>
  <c r="AA70" i="29"/>
  <c r="AH70" i="29"/>
  <c r="Z70" i="29"/>
  <c r="AG70" i="29"/>
  <c r="Y70" i="29"/>
  <c r="AF70" i="29"/>
  <c r="X70" i="29"/>
  <c r="AE78" i="29"/>
  <c r="AD78" i="29"/>
  <c r="AC78" i="29"/>
  <c r="AB78" i="29"/>
  <c r="AA78" i="29"/>
  <c r="AH78" i="29"/>
  <c r="Z78" i="29"/>
  <c r="AG78" i="29"/>
  <c r="Y78" i="29"/>
  <c r="AF78" i="29"/>
  <c r="X78" i="29"/>
  <c r="AD86" i="29"/>
  <c r="AC86" i="29"/>
  <c r="AB86" i="29"/>
  <c r="AA86" i="29"/>
  <c r="AH86" i="29"/>
  <c r="Z86" i="29"/>
  <c r="AF86" i="29"/>
  <c r="X86" i="29"/>
  <c r="AG86" i="29"/>
  <c r="AE86" i="29"/>
  <c r="Y86" i="29"/>
  <c r="AD94" i="29"/>
  <c r="AC94" i="29"/>
  <c r="AB94" i="29"/>
  <c r="AA94" i="29"/>
  <c r="AH94" i="29"/>
  <c r="Z94" i="29"/>
  <c r="AF94" i="29"/>
  <c r="X94" i="29"/>
  <c r="AG94" i="29"/>
  <c r="AE94" i="29"/>
  <c r="Y94" i="29"/>
  <c r="Z56" i="29"/>
  <c r="X59" i="29"/>
  <c r="N8" i="30"/>
  <c r="I8" i="30"/>
  <c r="T8" i="30"/>
  <c r="H8" i="30"/>
  <c r="C8" i="31"/>
  <c r="J8" i="31"/>
  <c r="F8" i="31"/>
  <c r="Z6" i="21"/>
  <c r="AH6" i="21" s="1"/>
  <c r="AQ11" i="23"/>
  <c r="AQ7" i="23"/>
  <c r="AV10" i="23"/>
  <c r="AR11" i="23"/>
  <c r="AV46" i="23"/>
  <c r="AR47" i="23"/>
  <c r="AJ2" i="25"/>
  <c r="AT2" i="25"/>
  <c r="AV38" i="23"/>
  <c r="AR39" i="23"/>
  <c r="AV39" i="23" s="1"/>
  <c r="AQ26" i="23"/>
  <c r="Q78" i="23"/>
  <c r="AR21" i="23"/>
  <c r="AV55" i="23"/>
  <c r="AV35" i="23"/>
  <c r="AR67" i="23"/>
  <c r="AV67" i="23" s="1"/>
  <c r="AR15" i="23"/>
  <c r="AQ16" i="23"/>
  <c r="O56" i="24"/>
  <c r="AK78" i="23"/>
  <c r="AR6" i="23"/>
  <c r="AR34" i="23"/>
  <c r="AV34" i="23" s="1"/>
  <c r="AR42" i="23"/>
  <c r="AQ2" i="25"/>
  <c r="AR27" i="23"/>
  <c r="AV27" i="23" s="1"/>
  <c r="AJ13" i="21"/>
  <c r="AJ6" i="21"/>
  <c r="N38" i="21"/>
  <c r="V5" i="21" s="1"/>
  <c r="O2" i="21"/>
  <c r="W4" i="21" s="1"/>
  <c r="Z4" i="21" s="1"/>
  <c r="AH4" i="21" s="1"/>
  <c r="W5" i="21"/>
  <c r="Z5" i="21" s="1"/>
  <c r="AH5" i="21" s="1"/>
  <c r="R9" i="21"/>
  <c r="R10" i="21"/>
  <c r="M869" i="21"/>
  <c r="U10" i="21" s="1"/>
  <c r="AI10" i="21" s="1"/>
  <c r="U9" i="21"/>
  <c r="AI9" i="21" s="1"/>
  <c r="R11" i="21"/>
  <c r="X11" i="21" s="1"/>
  <c r="AF11" i="21" s="1"/>
  <c r="X3" i="21"/>
  <c r="AF3" i="21" s="1"/>
  <c r="R12" i="21"/>
  <c r="M1146" i="21"/>
  <c r="U12" i="21" s="1"/>
  <c r="AI12" i="21" s="1"/>
  <c r="AJ3" i="21"/>
  <c r="X13" i="21"/>
  <c r="AF13" i="21" s="1"/>
  <c r="Z3" i="21"/>
  <c r="AH3" i="21" s="1"/>
  <c r="AT4" i="16"/>
  <c r="AT10" i="16" s="1"/>
  <c r="AJ8" i="16"/>
  <c r="AJ11" i="16" s="1"/>
  <c r="AJ12" i="16" s="1"/>
  <c r="AJ10" i="16"/>
  <c r="AO10" i="16"/>
  <c r="AQ2" i="16"/>
  <c r="AC2" i="17"/>
  <c r="AI3" i="17" s="1"/>
  <c r="AC4" i="17"/>
  <c r="AC6" i="17"/>
  <c r="AC8" i="17"/>
  <c r="AC10" i="17"/>
  <c r="AC12" i="17"/>
  <c r="AC14" i="17"/>
  <c r="AI2" i="17" s="1"/>
  <c r="AC22" i="17"/>
  <c r="AC27" i="17"/>
  <c r="AC29" i="17"/>
  <c r="AC31" i="17"/>
  <c r="AC33" i="17"/>
  <c r="AC35" i="17"/>
  <c r="AC37" i="17"/>
  <c r="AC42" i="17"/>
  <c r="AC77" i="17"/>
  <c r="AC86" i="17"/>
  <c r="AC93" i="17"/>
  <c r="AC102" i="17"/>
  <c r="AC109" i="17"/>
  <c r="AC118" i="17"/>
  <c r="AC39" i="17"/>
  <c r="AC47" i="17"/>
  <c r="AC75" i="17"/>
  <c r="AC84" i="17"/>
  <c r="AC91" i="17"/>
  <c r="AC100" i="17"/>
  <c r="AC107" i="17"/>
  <c r="AC116" i="17"/>
  <c r="AC16" i="17"/>
  <c r="AC24" i="17"/>
  <c r="AC44" i="17"/>
  <c r="AC21" i="17"/>
  <c r="AC41" i="17"/>
  <c r="AC49" i="17"/>
  <c r="AC80" i="17"/>
  <c r="AC87" i="17"/>
  <c r="AC96" i="17"/>
  <c r="AC103" i="17"/>
  <c r="AC112" i="17"/>
  <c r="AC3" i="17"/>
  <c r="AC5" i="17"/>
  <c r="AC7" i="17"/>
  <c r="AC9" i="17"/>
  <c r="AC11" i="17"/>
  <c r="AC13" i="17"/>
  <c r="AC18" i="17"/>
  <c r="AC26" i="17"/>
  <c r="AC28" i="17"/>
  <c r="AC30" i="17"/>
  <c r="AC32" i="17"/>
  <c r="AC34" i="17"/>
  <c r="AC36" i="17"/>
  <c r="AC38" i="17"/>
  <c r="AC46" i="17"/>
  <c r="AC94" i="17"/>
  <c r="AC110" i="17"/>
  <c r="AC20" i="17"/>
  <c r="AC40" i="17"/>
  <c r="AC48" i="17"/>
  <c r="AC74" i="17"/>
  <c r="AC81" i="17"/>
  <c r="AC90" i="17"/>
  <c r="AC97" i="17"/>
  <c r="AC106" i="17"/>
  <c r="AC113" i="17"/>
  <c r="AC230" i="17"/>
  <c r="AC238" i="17"/>
  <c r="AC246" i="17"/>
  <c r="AC254" i="17"/>
  <c r="AC262" i="17"/>
  <c r="AC270" i="17"/>
  <c r="AC278" i="17"/>
  <c r="AC286" i="17"/>
  <c r="AC294" i="17"/>
  <c r="AC309" i="17"/>
  <c r="AC318" i="17"/>
  <c r="AC331" i="17"/>
  <c r="AC342" i="17"/>
  <c r="AI6" i="17" s="1"/>
  <c r="AC357" i="17"/>
  <c r="AC232" i="17"/>
  <c r="AC240" i="17"/>
  <c r="AC248" i="17"/>
  <c r="AC256" i="17"/>
  <c r="AC264" i="17"/>
  <c r="AC272" i="17"/>
  <c r="AC280" i="17"/>
  <c r="AC350" i="17"/>
  <c r="AC354" i="17"/>
  <c r="AC365" i="17"/>
  <c r="AC234" i="17"/>
  <c r="AC242" i="17"/>
  <c r="AC250" i="17"/>
  <c r="AC258" i="17"/>
  <c r="AC266" i="17"/>
  <c r="AC274" i="17"/>
  <c r="AC282" i="17"/>
  <c r="AC290" i="17"/>
  <c r="AC295" i="17"/>
  <c r="AC310" i="17"/>
  <c r="AC341" i="17"/>
  <c r="AC358" i="17"/>
  <c r="AC334" i="17"/>
  <c r="AC338" i="17"/>
  <c r="AC349" i="17"/>
  <c r="AC366" i="17"/>
  <c r="AC370" i="17"/>
  <c r="AO11" i="16"/>
  <c r="AC339" i="17"/>
  <c r="AC347" i="17"/>
  <c r="AC355" i="17"/>
  <c r="AC363" i="17"/>
  <c r="AT11" i="16"/>
  <c r="AC288" i="17"/>
  <c r="AC296" i="17"/>
  <c r="AC304" i="17"/>
  <c r="AC312" i="17"/>
  <c r="AC320" i="17"/>
  <c r="AC328" i="17"/>
  <c r="AC336" i="17"/>
  <c r="AC344" i="17"/>
  <c r="AC352" i="17"/>
  <c r="AC360" i="17"/>
  <c r="AC368" i="17"/>
  <c r="AC314" i="17"/>
  <c r="AC322" i="17"/>
  <c r="AC330" i="17"/>
  <c r="AC346" i="17"/>
  <c r="AC362" i="17"/>
  <c r="AC311" i="17"/>
  <c r="AC319" i="17"/>
  <c r="AC327" i="17"/>
  <c r="AC335" i="17"/>
  <c r="AC343" i="17"/>
  <c r="AC351" i="17"/>
  <c r="AC359" i="17"/>
  <c r="AC367" i="17"/>
  <c r="AC308" i="17"/>
  <c r="AC316" i="17"/>
  <c r="AC324" i="17"/>
  <c r="AC332" i="17"/>
  <c r="AC340" i="17"/>
  <c r="AC348" i="17"/>
  <c r="AC356" i="17"/>
  <c r="AC364" i="17"/>
  <c r="AC313" i="17"/>
  <c r="AC321" i="17"/>
  <c r="AC329" i="17"/>
  <c r="AC337" i="17"/>
  <c r="AC345" i="17"/>
  <c r="AC353" i="17"/>
  <c r="AC361" i="17"/>
  <c r="AC369" i="17"/>
  <c r="AH75" i="6"/>
  <c r="AA75" i="6"/>
  <c r="AG74" i="8"/>
  <c r="AG74" i="9"/>
  <c r="AG74" i="7"/>
  <c r="W54" i="13"/>
  <c r="W54" i="12"/>
  <c r="W54" i="11"/>
  <c r="W54" i="10"/>
  <c r="AJ74" i="8"/>
  <c r="AJ74" i="9"/>
  <c r="AJ74" i="7"/>
  <c r="W74" i="8"/>
  <c r="W78" i="8" s="1"/>
  <c r="W74" i="9"/>
  <c r="W74" i="7"/>
  <c r="AL74" i="8"/>
  <c r="AL74" i="9"/>
  <c r="AL74" i="7"/>
  <c r="AH74" i="8"/>
  <c r="AH74" i="9"/>
  <c r="AH74" i="7"/>
  <c r="AB74" i="8"/>
  <c r="AB74" i="9"/>
  <c r="AB74" i="7"/>
  <c r="AB76" i="9"/>
  <c r="AB76" i="8"/>
  <c r="AB78" i="6"/>
  <c r="AB76" i="7"/>
  <c r="AD74" i="8"/>
  <c r="AD74" i="9"/>
  <c r="AD74" i="7"/>
  <c r="O74" i="8"/>
  <c r="O78" i="8" s="1"/>
  <c r="O74" i="9"/>
  <c r="O74" i="7"/>
  <c r="U74" i="8"/>
  <c r="U74" i="9"/>
  <c r="U74" i="7"/>
  <c r="X74" i="6"/>
  <c r="AI77" i="6"/>
  <c r="AD75" i="7"/>
  <c r="Z76" i="7"/>
  <c r="AI74" i="8"/>
  <c r="AI74" i="9"/>
  <c r="AI74" i="7"/>
  <c r="AA53" i="12"/>
  <c r="AA53" i="13"/>
  <c r="AA53" i="11"/>
  <c r="AA53" i="10"/>
  <c r="M16" i="6"/>
  <c r="M29" i="6"/>
  <c r="M56" i="6"/>
  <c r="U75" i="6"/>
  <c r="U80" i="6" s="1"/>
  <c r="U59" i="7" s="1"/>
  <c r="O74" i="6"/>
  <c r="O13" i="7"/>
  <c r="O13" i="9" s="1"/>
  <c r="L74" i="8"/>
  <c r="L78" i="8" s="1"/>
  <c r="L74" i="9"/>
  <c r="L74" i="7"/>
  <c r="X74" i="8"/>
  <c r="X78" i="8" s="1"/>
  <c r="X13" i="9" s="1"/>
  <c r="X74" i="9"/>
  <c r="X74" i="7"/>
  <c r="AI78" i="6"/>
  <c r="AA76" i="7"/>
  <c r="AC13" i="7"/>
  <c r="AI76" i="9"/>
  <c r="AI76" i="8"/>
  <c r="AF74" i="8"/>
  <c r="AF74" i="9"/>
  <c r="AF74" i="7"/>
  <c r="E28" i="5"/>
  <c r="AL75" i="23" s="1"/>
  <c r="F28" i="5"/>
  <c r="AL76" i="23" s="1"/>
  <c r="AJ75" i="9"/>
  <c r="AJ75" i="8"/>
  <c r="W52" i="13"/>
  <c r="W52" i="12"/>
  <c r="W52" i="11"/>
  <c r="W52" i="10"/>
  <c r="R52" i="13"/>
  <c r="R52" i="12"/>
  <c r="R52" i="10"/>
  <c r="R52" i="11"/>
  <c r="M23" i="6"/>
  <c r="R74" i="8"/>
  <c r="R78" i="8" s="1"/>
  <c r="R13" i="9" s="1"/>
  <c r="R74" i="9"/>
  <c r="R74" i="7"/>
  <c r="U78" i="6"/>
  <c r="AJ76" i="9"/>
  <c r="AJ76" i="8"/>
  <c r="AD75" i="9"/>
  <c r="AD75" i="8"/>
  <c r="W53" i="13"/>
  <c r="W53" i="12"/>
  <c r="W53" i="11"/>
  <c r="W53" i="10"/>
  <c r="AH75" i="9"/>
  <c r="AH75" i="8"/>
  <c r="Z52" i="13"/>
  <c r="Z52" i="12"/>
  <c r="Z52" i="11"/>
  <c r="Z52" i="10"/>
  <c r="Z55" i="10" s="1"/>
  <c r="AI74" i="6"/>
  <c r="AI13" i="7"/>
  <c r="P74" i="8"/>
  <c r="P78" i="8" s="1"/>
  <c r="P74" i="9"/>
  <c r="P74" i="7"/>
  <c r="AJ77" i="6"/>
  <c r="AA76" i="9"/>
  <c r="AA76" i="8"/>
  <c r="M8" i="6"/>
  <c r="AD76" i="9"/>
  <c r="AD76" i="8"/>
  <c r="U76" i="9"/>
  <c r="U76" i="8"/>
  <c r="AH76" i="9"/>
  <c r="AH76" i="8"/>
  <c r="Z53" i="13"/>
  <c r="Z53" i="12"/>
  <c r="Z53" i="11"/>
  <c r="Z53" i="10"/>
  <c r="M27" i="6"/>
  <c r="M74" i="6"/>
  <c r="M13" i="7"/>
  <c r="W74" i="6"/>
  <c r="W13" i="7"/>
  <c r="Y74" i="6"/>
  <c r="Y13" i="7"/>
  <c r="AH74" i="6"/>
  <c r="AH13" i="7"/>
  <c r="M74" i="8"/>
  <c r="M78" i="8" s="1"/>
  <c r="M74" i="9"/>
  <c r="M74" i="7"/>
  <c r="V78" i="6"/>
  <c r="AJ78" i="6"/>
  <c r="AH75" i="7"/>
  <c r="AD76" i="7"/>
  <c r="AA52" i="13"/>
  <c r="AA52" i="12"/>
  <c r="AA52" i="10"/>
  <c r="AA52" i="11"/>
  <c r="AB75" i="9"/>
  <c r="AB75" i="8"/>
  <c r="U54" i="13"/>
  <c r="U54" i="12"/>
  <c r="U56" i="12" s="1"/>
  <c r="U54" i="10"/>
  <c r="U54" i="11"/>
  <c r="AA54" i="13"/>
  <c r="AA54" i="12"/>
  <c r="AA54" i="10"/>
  <c r="AA54" i="11"/>
  <c r="Y52" i="13"/>
  <c r="Y52" i="12"/>
  <c r="Y52" i="11"/>
  <c r="Y52" i="10"/>
  <c r="V76" i="9"/>
  <c r="V76" i="8"/>
  <c r="Z54" i="13"/>
  <c r="Z54" i="11"/>
  <c r="Z54" i="10"/>
  <c r="Z54" i="12"/>
  <c r="M12" i="6"/>
  <c r="M43" i="6"/>
  <c r="V74" i="6"/>
  <c r="V13" i="7"/>
  <c r="S74" i="8"/>
  <c r="S74" i="9"/>
  <c r="S74" i="7"/>
  <c r="AE74" i="8"/>
  <c r="AE74" i="9"/>
  <c r="AE74" i="7"/>
  <c r="AH77" i="6"/>
  <c r="AG76" i="9"/>
  <c r="AG76" i="8"/>
  <c r="Y54" i="13"/>
  <c r="Y54" i="12"/>
  <c r="Y54" i="11"/>
  <c r="Y54" i="10"/>
  <c r="Z76" i="9"/>
  <c r="Z76" i="8"/>
  <c r="AI75" i="9"/>
  <c r="AI75" i="8"/>
  <c r="Q74" i="8"/>
  <c r="Q78" i="8" s="1"/>
  <c r="Q13" i="9" s="1"/>
  <c r="Q74" i="9"/>
  <c r="Q74" i="7"/>
  <c r="AC74" i="8"/>
  <c r="AC78" i="8" s="1"/>
  <c r="AC13" i="9" s="1"/>
  <c r="AD13" i="9" s="1"/>
  <c r="AC74" i="9"/>
  <c r="AC74" i="7"/>
  <c r="AH78" i="6"/>
  <c r="AK74" i="8"/>
  <c r="AK78" i="8" s="1"/>
  <c r="AK13" i="9" s="1"/>
  <c r="AK74" i="9"/>
  <c r="AK74" i="7"/>
  <c r="AB75" i="7"/>
  <c r="AJ75" i="7"/>
  <c r="U13" i="7"/>
  <c r="M55" i="10"/>
  <c r="N56" i="12"/>
  <c r="X51" i="11"/>
  <c r="Y51" i="11"/>
  <c r="L51" i="10"/>
  <c r="P51" i="10"/>
  <c r="S51" i="10"/>
  <c r="V51" i="10"/>
  <c r="Y51" i="10"/>
  <c r="P55" i="10"/>
  <c r="P55" i="24" s="1"/>
  <c r="V55" i="10"/>
  <c r="O51" i="10"/>
  <c r="R51" i="10"/>
  <c r="U51" i="10"/>
  <c r="X51" i="10"/>
  <c r="X56" i="10" s="1"/>
  <c r="AA51" i="10"/>
  <c r="O55" i="10"/>
  <c r="O55" i="11" s="1"/>
  <c r="U55" i="10"/>
  <c r="U55" i="24" s="1"/>
  <c r="X55" i="10"/>
  <c r="N51" i="10"/>
  <c r="T51" i="10"/>
  <c r="Z51" i="10"/>
  <c r="N55" i="10"/>
  <c r="T55" i="10"/>
  <c r="M51" i="10"/>
  <c r="Q51" i="10"/>
  <c r="W51" i="10"/>
  <c r="P13" i="9"/>
  <c r="L13" i="9"/>
  <c r="M91" i="6"/>
  <c r="M86" i="6"/>
  <c r="AA73" i="7"/>
  <c r="AA78" i="7" s="1"/>
  <c r="Z73" i="7"/>
  <c r="Z78" i="7" s="1"/>
  <c r="AG73" i="7"/>
  <c r="AF73" i="7"/>
  <c r="AE73" i="7"/>
  <c r="M89" i="6"/>
  <c r="M38" i="6"/>
  <c r="M64" i="6"/>
  <c r="M17" i="6"/>
  <c r="M30" i="6"/>
  <c r="M39" i="6"/>
  <c r="M44" i="6"/>
  <c r="R75" i="6"/>
  <c r="X75" i="6"/>
  <c r="X80" i="6" s="1"/>
  <c r="M48" i="6"/>
  <c r="M60" i="6"/>
  <c r="M20" i="6"/>
  <c r="M31" i="6"/>
  <c r="M40" i="6"/>
  <c r="M49" i="6"/>
  <c r="M53" i="6"/>
  <c r="M57" i="6"/>
  <c r="M61" i="6"/>
  <c r="M65" i="6"/>
  <c r="M69" i="6"/>
  <c r="Q74" i="6"/>
  <c r="AJ74" i="6"/>
  <c r="M52" i="6"/>
  <c r="M68" i="6"/>
  <c r="M7" i="6"/>
  <c r="M21" i="6"/>
  <c r="M32" i="6"/>
  <c r="M41" i="6"/>
  <c r="M45" i="6"/>
  <c r="Q75" i="6"/>
  <c r="W75" i="6"/>
  <c r="Z74" i="6"/>
  <c r="Z76" i="6" s="1"/>
  <c r="Z74" i="23" s="1"/>
  <c r="Z78" i="23" s="1"/>
  <c r="M22" i="6"/>
  <c r="M34" i="6"/>
  <c r="M46" i="6"/>
  <c r="M50" i="6"/>
  <c r="M54" i="6"/>
  <c r="M58" i="6"/>
  <c r="M62" i="6"/>
  <c r="M66" i="6"/>
  <c r="M70" i="6"/>
  <c r="L74" i="6"/>
  <c r="P74" i="6"/>
  <c r="Z75" i="6"/>
  <c r="M11" i="6"/>
  <c r="M42" i="6"/>
  <c r="L75" i="6"/>
  <c r="P75" i="6"/>
  <c r="AF74" i="6"/>
  <c r="AI75" i="6"/>
  <c r="AI80" i="6" s="1"/>
  <c r="M26" i="6"/>
  <c r="M47" i="6"/>
  <c r="M51" i="6"/>
  <c r="M55" i="6"/>
  <c r="M59" i="6"/>
  <c r="M63" i="6"/>
  <c r="M67" i="6"/>
  <c r="M71" i="6"/>
  <c r="S74" i="6"/>
  <c r="V75" i="6"/>
  <c r="AF75" i="6"/>
  <c r="AF80" i="6" s="1"/>
  <c r="M37" i="6"/>
  <c r="O75" i="6"/>
  <c r="O80" i="6" s="1"/>
  <c r="O70" i="7" s="1"/>
  <c r="S75" i="6"/>
  <c r="S80" i="6" s="1"/>
  <c r="S69" i="7" s="1"/>
  <c r="Y75" i="6"/>
  <c r="Y80" i="6" s="1"/>
  <c r="AA74" i="6"/>
  <c r="AA76" i="6" s="1"/>
  <c r="AA74" i="23" s="1"/>
  <c r="AA78" i="23" s="1"/>
  <c r="AC75" i="6"/>
  <c r="AC80" i="6" s="1"/>
  <c r="D37" i="5"/>
  <c r="S52" i="24" s="1"/>
  <c r="U8" i="30" l="1"/>
  <c r="C8" i="30"/>
  <c r="AD58" i="29"/>
  <c r="AE58" i="29"/>
  <c r="S8" i="30"/>
  <c r="AF59" i="29"/>
  <c r="AG59" i="29"/>
  <c r="Y59" i="29"/>
  <c r="C6" i="31" s="1"/>
  <c r="AB51" i="10"/>
  <c r="M92" i="6"/>
  <c r="AV30" i="23"/>
  <c r="AR31" i="23"/>
  <c r="AE75" i="6"/>
  <c r="AE80" i="6" s="1"/>
  <c r="Q8" i="30"/>
  <c r="D8" i="30"/>
  <c r="W6" i="30"/>
  <c r="AI11" i="21"/>
  <c r="AB57" i="29"/>
  <c r="AC57" i="29"/>
  <c r="R80" i="6"/>
  <c r="L80" i="6"/>
  <c r="L40" i="7" s="1"/>
  <c r="R56" i="10"/>
  <c r="R49" i="11" s="1"/>
  <c r="K8" i="30"/>
  <c r="AO10" i="25"/>
  <c r="AE74" i="6"/>
  <c r="R74" i="6"/>
  <c r="F8" i="30"/>
  <c r="AH56" i="29"/>
  <c r="L8" i="31" s="1"/>
  <c r="AA56" i="29"/>
  <c r="E8" i="31" s="1"/>
  <c r="M90" i="6"/>
  <c r="M87" i="6" s="1"/>
  <c r="M93" i="6" s="1"/>
  <c r="M85" i="6"/>
  <c r="AK74" i="6"/>
  <c r="F4" i="5"/>
  <c r="E4" i="5"/>
  <c r="W80" i="6"/>
  <c r="T13" i="7"/>
  <c r="Z56" i="12"/>
  <c r="Z55" i="12" s="1"/>
  <c r="W13" i="9"/>
  <c r="AT11" i="25"/>
  <c r="R54" i="24"/>
  <c r="R56" i="24" s="1"/>
  <c r="R55" i="24" s="1"/>
  <c r="M13" i="9"/>
  <c r="V55" i="11"/>
  <c r="V55" i="24"/>
  <c r="Z66" i="23"/>
  <c r="Z63" i="23"/>
  <c r="Z69" i="23"/>
  <c r="Z56" i="23"/>
  <c r="Z53" i="23"/>
  <c r="Z62" i="23"/>
  <c r="Z59" i="23"/>
  <c r="Z68" i="23"/>
  <c r="Z65" i="23"/>
  <c r="Z52" i="23"/>
  <c r="Z71" i="23"/>
  <c r="Z58" i="23"/>
  <c r="Z55" i="23"/>
  <c r="Z64" i="23"/>
  <c r="Z61" i="23"/>
  <c r="Z67" i="23"/>
  <c r="Z54" i="23"/>
  <c r="Z51" i="23"/>
  <c r="Z70" i="23"/>
  <c r="Z60" i="23"/>
  <c r="Z57" i="23"/>
  <c r="Z42" i="23"/>
  <c r="Z39" i="23"/>
  <c r="Z32" i="23"/>
  <c r="Z29" i="23"/>
  <c r="Z16" i="23"/>
  <c r="Z48" i="23"/>
  <c r="Z45" i="23"/>
  <c r="Z22" i="23"/>
  <c r="Z19" i="23"/>
  <c r="Z13" i="23"/>
  <c r="Z38" i="23"/>
  <c r="Z35" i="23"/>
  <c r="Z28" i="23"/>
  <c r="Z25" i="23"/>
  <c r="Z44" i="23"/>
  <c r="Z41" i="23"/>
  <c r="Z31" i="23"/>
  <c r="Z18" i="23"/>
  <c r="Z15" i="23"/>
  <c r="Z50" i="23"/>
  <c r="Z47" i="23"/>
  <c r="Z34" i="23"/>
  <c r="Z24" i="23"/>
  <c r="Z21" i="23"/>
  <c r="Z40" i="23"/>
  <c r="Z37" i="23"/>
  <c r="Z30" i="23"/>
  <c r="Z27" i="23"/>
  <c r="Z14" i="23"/>
  <c r="Z46" i="23"/>
  <c r="Z43" i="23"/>
  <c r="Z33" i="23"/>
  <c r="Z20" i="23"/>
  <c r="Z17" i="23"/>
  <c r="Z49" i="23"/>
  <c r="Z36" i="23"/>
  <c r="Z26" i="23"/>
  <c r="Z23" i="23"/>
  <c r="Z9" i="23"/>
  <c r="Z5" i="23"/>
  <c r="Z8" i="23"/>
  <c r="Z12" i="23"/>
  <c r="Z11" i="23"/>
  <c r="Z7" i="23"/>
  <c r="Z10" i="23"/>
  <c r="Z6" i="23"/>
  <c r="Z55" i="24"/>
  <c r="AA69" i="23"/>
  <c r="AA56" i="23"/>
  <c r="AA53" i="23"/>
  <c r="AA62" i="23"/>
  <c r="AA59" i="23"/>
  <c r="AA68" i="23"/>
  <c r="AA65" i="23"/>
  <c r="AA71" i="23"/>
  <c r="AA58" i="23"/>
  <c r="AA55" i="23"/>
  <c r="AA64" i="23"/>
  <c r="AA61" i="23"/>
  <c r="AA67" i="23"/>
  <c r="AA54" i="23"/>
  <c r="AA51" i="23"/>
  <c r="AA70" i="23"/>
  <c r="AA60" i="23"/>
  <c r="AA57" i="23"/>
  <c r="AA66" i="23"/>
  <c r="AA63" i="23"/>
  <c r="AA48" i="23"/>
  <c r="AA45" i="23"/>
  <c r="AA22" i="23"/>
  <c r="AA19" i="23"/>
  <c r="AA13" i="23"/>
  <c r="AA38" i="23"/>
  <c r="AA35" i="23"/>
  <c r="AA28" i="23"/>
  <c r="AA25" i="23"/>
  <c r="AA44" i="23"/>
  <c r="AA41" i="23"/>
  <c r="AA31" i="23"/>
  <c r="AA18" i="23"/>
  <c r="AA15" i="23"/>
  <c r="AA50" i="23"/>
  <c r="AA47" i="23"/>
  <c r="AA34" i="23"/>
  <c r="AA24" i="23"/>
  <c r="AA21" i="23"/>
  <c r="AA52" i="23"/>
  <c r="AA40" i="23"/>
  <c r="AA37" i="23"/>
  <c r="AA30" i="23"/>
  <c r="AA27" i="23"/>
  <c r="AA14" i="23"/>
  <c r="AA46" i="23"/>
  <c r="AA43" i="23"/>
  <c r="AA33" i="23"/>
  <c r="AA20" i="23"/>
  <c r="AA17" i="23"/>
  <c r="AA49" i="23"/>
  <c r="AA36" i="23"/>
  <c r="AA26" i="23"/>
  <c r="AA23" i="23"/>
  <c r="AA42" i="23"/>
  <c r="AA39" i="23"/>
  <c r="AA32" i="23"/>
  <c r="AA29" i="23"/>
  <c r="AA16" i="23"/>
  <c r="AA9" i="23"/>
  <c r="AA5" i="23"/>
  <c r="AA8" i="23"/>
  <c r="AA12" i="23"/>
  <c r="AA11" i="23"/>
  <c r="AA7" i="23"/>
  <c r="AA10" i="23"/>
  <c r="AA6" i="23"/>
  <c r="T55" i="11"/>
  <c r="T55" i="24"/>
  <c r="N55" i="11"/>
  <c r="N55" i="24"/>
  <c r="AH80" i="6"/>
  <c r="AH40" i="7" s="1"/>
  <c r="N56" i="10"/>
  <c r="N40" i="11" s="1"/>
  <c r="N40" i="12" s="1"/>
  <c r="O55" i="24"/>
  <c r="M55" i="24"/>
  <c r="F10" i="31"/>
  <c r="F6" i="31"/>
  <c r="M10" i="30"/>
  <c r="M6" i="30"/>
  <c r="I10" i="31"/>
  <c r="I6" i="31"/>
  <c r="D10" i="30"/>
  <c r="D6" i="30"/>
  <c r="U10" i="30"/>
  <c r="U6" i="30"/>
  <c r="I10" i="30"/>
  <c r="I6" i="30"/>
  <c r="L10" i="30"/>
  <c r="L6" i="30"/>
  <c r="O6" i="30"/>
  <c r="O10" i="30"/>
  <c r="G6" i="30"/>
  <c r="G10" i="30"/>
  <c r="R6" i="30"/>
  <c r="R10" i="30"/>
  <c r="W8" i="30"/>
  <c r="D6" i="31"/>
  <c r="D10" i="31"/>
  <c r="D8" i="31"/>
  <c r="G6" i="31"/>
  <c r="G10" i="31"/>
  <c r="B10" i="31"/>
  <c r="B6" i="31"/>
  <c r="Q10" i="30"/>
  <c r="Q6" i="30"/>
  <c r="C6" i="30"/>
  <c r="C10" i="30"/>
  <c r="T10" i="30"/>
  <c r="T6" i="30"/>
  <c r="R8" i="30"/>
  <c r="L10" i="31"/>
  <c r="J10" i="31"/>
  <c r="J6" i="31"/>
  <c r="K6" i="30"/>
  <c r="K10" i="30"/>
  <c r="K6" i="31"/>
  <c r="K10" i="31"/>
  <c r="H10" i="30"/>
  <c r="H6" i="30"/>
  <c r="S6" i="30"/>
  <c r="S10" i="30"/>
  <c r="F6" i="30"/>
  <c r="F10" i="30"/>
  <c r="E10" i="31"/>
  <c r="E6" i="31"/>
  <c r="H6" i="31"/>
  <c r="H10" i="31"/>
  <c r="P10" i="30"/>
  <c r="P6" i="30"/>
  <c r="B6" i="30"/>
  <c r="B10" i="30"/>
  <c r="N6" i="30"/>
  <c r="N10" i="30"/>
  <c r="W10" i="30"/>
  <c r="K8" i="31"/>
  <c r="C10" i="31"/>
  <c r="J6" i="30"/>
  <c r="J10" i="30"/>
  <c r="E10" i="30"/>
  <c r="E6" i="30"/>
  <c r="V6" i="30"/>
  <c r="V10" i="30"/>
  <c r="AQ12" i="23"/>
  <c r="AT10" i="25"/>
  <c r="AR12" i="23"/>
  <c r="AV12" i="23" s="1"/>
  <c r="AV11" i="23"/>
  <c r="AJ10" i="25"/>
  <c r="AO12" i="25"/>
  <c r="AQ27" i="23"/>
  <c r="AV21" i="23"/>
  <c r="AR22" i="23"/>
  <c r="AV42" i="23"/>
  <c r="AR43" i="23"/>
  <c r="AQ8" i="23"/>
  <c r="AQ17" i="23"/>
  <c r="AV6" i="23"/>
  <c r="AR7" i="23"/>
  <c r="AR16" i="23"/>
  <c r="AV15" i="23"/>
  <c r="AR48" i="23"/>
  <c r="AV47" i="23"/>
  <c r="AJ5" i="21"/>
  <c r="X12" i="21"/>
  <c r="AF12" i="21" s="1"/>
  <c r="Y5" i="21"/>
  <c r="AG5" i="21" s="1"/>
  <c r="X10" i="21"/>
  <c r="AF10" i="21" s="1"/>
  <c r="X9" i="21"/>
  <c r="AF9" i="21" s="1"/>
  <c r="AT12" i="16"/>
  <c r="AO12" i="16"/>
  <c r="T55" i="12"/>
  <c r="U71" i="7"/>
  <c r="U61" i="7"/>
  <c r="V55" i="12"/>
  <c r="U63" i="7"/>
  <c r="U44" i="7"/>
  <c r="U50" i="7"/>
  <c r="U62" i="7"/>
  <c r="U47" i="7"/>
  <c r="U70" i="7"/>
  <c r="Z56" i="10"/>
  <c r="U54" i="7"/>
  <c r="T56" i="10"/>
  <c r="U64" i="7"/>
  <c r="U65" i="7"/>
  <c r="U48" i="7"/>
  <c r="U58" i="7"/>
  <c r="U60" i="7"/>
  <c r="U49" i="7"/>
  <c r="U69" i="7"/>
  <c r="U52" i="7"/>
  <c r="U67" i="7"/>
  <c r="S49" i="11"/>
  <c r="L40" i="9"/>
  <c r="O70" i="9"/>
  <c r="AI40" i="7"/>
  <c r="AI36" i="7"/>
  <c r="AI32" i="7"/>
  <c r="AI28" i="7"/>
  <c r="AI19" i="7"/>
  <c r="AI16" i="7"/>
  <c r="AI12" i="7"/>
  <c r="AI21" i="7"/>
  <c r="AI39" i="7"/>
  <c r="AI35" i="7"/>
  <c r="AI31" i="7"/>
  <c r="AI27" i="7"/>
  <c r="AI24" i="7"/>
  <c r="AI18" i="7"/>
  <c r="AI15" i="7"/>
  <c r="AI11" i="7"/>
  <c r="AI38" i="7"/>
  <c r="AI34" i="7"/>
  <c r="AI30" i="7"/>
  <c r="AI26" i="7"/>
  <c r="AI17" i="7"/>
  <c r="AI23" i="7"/>
  <c r="AI20" i="7"/>
  <c r="AI14" i="7"/>
  <c r="AI10" i="7"/>
  <c r="AI45" i="7"/>
  <c r="AI37" i="7"/>
  <c r="AI33" i="7"/>
  <c r="AI29" i="7"/>
  <c r="AI25" i="7"/>
  <c r="AI7" i="7"/>
  <c r="AI6" i="7"/>
  <c r="AI22" i="7"/>
  <c r="AI9" i="7"/>
  <c r="AI8" i="7"/>
  <c r="AI5" i="7"/>
  <c r="AI70" i="7"/>
  <c r="AI61" i="7"/>
  <c r="AI53" i="7"/>
  <c r="AI44" i="7"/>
  <c r="AI41" i="7"/>
  <c r="AI49" i="7"/>
  <c r="AI50" i="7"/>
  <c r="AI42" i="7"/>
  <c r="AI47" i="7"/>
  <c r="AI57" i="7"/>
  <c r="AI58" i="7"/>
  <c r="AI51" i="7"/>
  <c r="AI43" i="7"/>
  <c r="AI54" i="7"/>
  <c r="AI63" i="7"/>
  <c r="AI56" i="7"/>
  <c r="AI67" i="7"/>
  <c r="AI60" i="7"/>
  <c r="AI69" i="7"/>
  <c r="AI55" i="7"/>
  <c r="AI65" i="7"/>
  <c r="AI66" i="7"/>
  <c r="AI59" i="7"/>
  <c r="AI52" i="7"/>
  <c r="AI71" i="7"/>
  <c r="AI68" i="7"/>
  <c r="AI46" i="7"/>
  <c r="AI62" i="7"/>
  <c r="AI48" i="7"/>
  <c r="AI64" i="7"/>
  <c r="M55" i="11"/>
  <c r="M55" i="12"/>
  <c r="AH22" i="7"/>
  <c r="AH9" i="7"/>
  <c r="AH15" i="7"/>
  <c r="AH20" i="7"/>
  <c r="AH45" i="7"/>
  <c r="AH50" i="7"/>
  <c r="AH51" i="7"/>
  <c r="AH63" i="7"/>
  <c r="AH56" i="7"/>
  <c r="AC23" i="7"/>
  <c r="AC17" i="7"/>
  <c r="AC45" i="7"/>
  <c r="AC37" i="7"/>
  <c r="AC33" i="7"/>
  <c r="AC29" i="7"/>
  <c r="AC20" i="7"/>
  <c r="AC14" i="7"/>
  <c r="AC10" i="7"/>
  <c r="AC25" i="7"/>
  <c r="AC22" i="7"/>
  <c r="AC40" i="7"/>
  <c r="AC36" i="7"/>
  <c r="AC32" i="7"/>
  <c r="AC28" i="7"/>
  <c r="AC19" i="7"/>
  <c r="AC16" i="7"/>
  <c r="AC12" i="7"/>
  <c r="AC39" i="7"/>
  <c r="AC35" i="7"/>
  <c r="AC31" i="7"/>
  <c r="AC27" i="7"/>
  <c r="AC21" i="7"/>
  <c r="AC18" i="7"/>
  <c r="AC24" i="7"/>
  <c r="AC15" i="7"/>
  <c r="AC11" i="7"/>
  <c r="AC38" i="7"/>
  <c r="AC30" i="7"/>
  <c r="AC9" i="7"/>
  <c r="AC5" i="7"/>
  <c r="AC8" i="7"/>
  <c r="AC34" i="7"/>
  <c r="AC26" i="7"/>
  <c r="AC7" i="7"/>
  <c r="AC6" i="7"/>
  <c r="AC68" i="7"/>
  <c r="AC70" i="7"/>
  <c r="AC51" i="7"/>
  <c r="AC67" i="7"/>
  <c r="AC46" i="7"/>
  <c r="AC47" i="7"/>
  <c r="AC59" i="7"/>
  <c r="AC55" i="7"/>
  <c r="AC48" i="7"/>
  <c r="AC42" i="7"/>
  <c r="AC44" i="7"/>
  <c r="AC63" i="7"/>
  <c r="AC56" i="7"/>
  <c r="AC41" i="7"/>
  <c r="AC52" i="7"/>
  <c r="AC61" i="7"/>
  <c r="AC54" i="7"/>
  <c r="AC57" i="7"/>
  <c r="AC58" i="7"/>
  <c r="AC69" i="7"/>
  <c r="AC65" i="7"/>
  <c r="AC66" i="7"/>
  <c r="AC43" i="7"/>
  <c r="AC60" i="7"/>
  <c r="AC62" i="7"/>
  <c r="AC71" i="7"/>
  <c r="AC64" i="7"/>
  <c r="AA74" i="8"/>
  <c r="AA78" i="8" s="1"/>
  <c r="AA74" i="9"/>
  <c r="AA74" i="7"/>
  <c r="Y67" i="7"/>
  <c r="Y63" i="7"/>
  <c r="Y59" i="7"/>
  <c r="Y55" i="7"/>
  <c r="Y70" i="7"/>
  <c r="Y66" i="7"/>
  <c r="Y62" i="7"/>
  <c r="Y58" i="7"/>
  <c r="Y54" i="7"/>
  <c r="Y69" i="7"/>
  <c r="Y65" i="7"/>
  <c r="Y61" i="7"/>
  <c r="Y57" i="7"/>
  <c r="Y53" i="7"/>
  <c r="Y68" i="7"/>
  <c r="Y64" i="7"/>
  <c r="Y60" i="7"/>
  <c r="Y56" i="7"/>
  <c r="Y52" i="7"/>
  <c r="Y47" i="7"/>
  <c r="Y43" i="7"/>
  <c r="Y39" i="7"/>
  <c r="Y35" i="7"/>
  <c r="Y31" i="7"/>
  <c r="Y27" i="7"/>
  <c r="Y18" i="7"/>
  <c r="Y71" i="7"/>
  <c r="Y51" i="7"/>
  <c r="Y24" i="7"/>
  <c r="Y21" i="7"/>
  <c r="Y15" i="7"/>
  <c r="Y11" i="7"/>
  <c r="Y46" i="7"/>
  <c r="Y42" i="7"/>
  <c r="Y38" i="7"/>
  <c r="Y34" i="7"/>
  <c r="Y30" i="7"/>
  <c r="Y26" i="7"/>
  <c r="Y50" i="7"/>
  <c r="Y23" i="7"/>
  <c r="Y49" i="7"/>
  <c r="Y45" i="7"/>
  <c r="Y41" i="7"/>
  <c r="Y37" i="7"/>
  <c r="Y33" i="7"/>
  <c r="Y29" i="7"/>
  <c r="Y20" i="7"/>
  <c r="Y17" i="7"/>
  <c r="Y14" i="7"/>
  <c r="Y10" i="7"/>
  <c r="Y22" i="7"/>
  <c r="Y48" i="7"/>
  <c r="Y44" i="7"/>
  <c r="Y40" i="7"/>
  <c r="Y36" i="7"/>
  <c r="Y32" i="7"/>
  <c r="Y28" i="7"/>
  <c r="Y25" i="7"/>
  <c r="Y19" i="7"/>
  <c r="Y12" i="7"/>
  <c r="Y6" i="7"/>
  <c r="Y16" i="7"/>
  <c r="Y9" i="7"/>
  <c r="Y7" i="7"/>
  <c r="Y8" i="7"/>
  <c r="Y5" i="7"/>
  <c r="X71" i="7"/>
  <c r="X67" i="7"/>
  <c r="X63" i="7"/>
  <c r="X59" i="7"/>
  <c r="X55" i="7"/>
  <c r="X70" i="7"/>
  <c r="X66" i="7"/>
  <c r="X62" i="7"/>
  <c r="X58" i="7"/>
  <c r="X54" i="7"/>
  <c r="X69" i="7"/>
  <c r="X65" i="7"/>
  <c r="X61" i="7"/>
  <c r="X57" i="7"/>
  <c r="X53" i="7"/>
  <c r="X68" i="7"/>
  <c r="X52" i="7"/>
  <c r="X16" i="7"/>
  <c r="X12" i="7"/>
  <c r="X47" i="7"/>
  <c r="X43" i="7"/>
  <c r="X39" i="7"/>
  <c r="X35" i="7"/>
  <c r="X31" i="7"/>
  <c r="X27" i="7"/>
  <c r="X18" i="7"/>
  <c r="X51" i="7"/>
  <c r="X24" i="7"/>
  <c r="X21" i="7"/>
  <c r="X15" i="7"/>
  <c r="X11" i="7"/>
  <c r="X64" i="7"/>
  <c r="X56" i="7"/>
  <c r="X46" i="7"/>
  <c r="X42" i="7"/>
  <c r="X38" i="7"/>
  <c r="X34" i="7"/>
  <c r="X30" i="7"/>
  <c r="X26" i="7"/>
  <c r="X50" i="7"/>
  <c r="X23" i="7"/>
  <c r="X49" i="7"/>
  <c r="X45" i="7"/>
  <c r="X41" i="7"/>
  <c r="X37" i="7"/>
  <c r="X33" i="7"/>
  <c r="X29" i="7"/>
  <c r="X20" i="7"/>
  <c r="X17" i="7"/>
  <c r="X14" i="7"/>
  <c r="X10" i="7"/>
  <c r="X22" i="7"/>
  <c r="X19" i="7"/>
  <c r="X7" i="7"/>
  <c r="X48" i="7"/>
  <c r="X40" i="7"/>
  <c r="X32" i="7"/>
  <c r="X6" i="7"/>
  <c r="X25" i="7"/>
  <c r="X9" i="7"/>
  <c r="X44" i="7"/>
  <c r="X36" i="7"/>
  <c r="X28" i="7"/>
  <c r="X8" i="7"/>
  <c r="X5" i="7"/>
  <c r="X60" i="7"/>
  <c r="Z67" i="8"/>
  <c r="Z71" i="8"/>
  <c r="Z55" i="8"/>
  <c r="Z47" i="8"/>
  <c r="Z68" i="8"/>
  <c r="Z60" i="8"/>
  <c r="Z54" i="8"/>
  <c r="Z46" i="8"/>
  <c r="Z61" i="8"/>
  <c r="Z59" i="8"/>
  <c r="Z53" i="8"/>
  <c r="Z45" i="8"/>
  <c r="Z63" i="8"/>
  <c r="Z51" i="8"/>
  <c r="Z44" i="8"/>
  <c r="Z65" i="8"/>
  <c r="Z64" i="8"/>
  <c r="Z57" i="8"/>
  <c r="Z50" i="8"/>
  <c r="Z43" i="8"/>
  <c r="Z66" i="8"/>
  <c r="Z70" i="8"/>
  <c r="Z28" i="8"/>
  <c r="Z23" i="8"/>
  <c r="Z18" i="8"/>
  <c r="Z48" i="8"/>
  <c r="Z42" i="8"/>
  <c r="Z39" i="8"/>
  <c r="Z33" i="8"/>
  <c r="Z27" i="8"/>
  <c r="Z49" i="8"/>
  <c r="Z38" i="8"/>
  <c r="Z32" i="8"/>
  <c r="Z22" i="8"/>
  <c r="Z17" i="8"/>
  <c r="Z13" i="8"/>
  <c r="Z69" i="8"/>
  <c r="Z40" i="8"/>
  <c r="Z31" i="8"/>
  <c r="Z26" i="8"/>
  <c r="Z16" i="8"/>
  <c r="Z12" i="8"/>
  <c r="Z37" i="8"/>
  <c r="Z30" i="8"/>
  <c r="Z21" i="8"/>
  <c r="Z62" i="8"/>
  <c r="Z58" i="8"/>
  <c r="Z36" i="8"/>
  <c r="Z25" i="8"/>
  <c r="Z20" i="8"/>
  <c r="Z56" i="8"/>
  <c r="Z41" i="8"/>
  <c r="Z35" i="8"/>
  <c r="Z29" i="8"/>
  <c r="Z19" i="8"/>
  <c r="Z14" i="8"/>
  <c r="Z34" i="8"/>
  <c r="Z10" i="8"/>
  <c r="Z5" i="8"/>
  <c r="Z9" i="8"/>
  <c r="Z15" i="8"/>
  <c r="Z8" i="8"/>
  <c r="Z7" i="8"/>
  <c r="Z24" i="8"/>
  <c r="Z11" i="8"/>
  <c r="Z6" i="8"/>
  <c r="Z52" i="8"/>
  <c r="Z74" i="8"/>
  <c r="Z78" i="8" s="1"/>
  <c r="Z74" i="9"/>
  <c r="Z74" i="7"/>
  <c r="R46" i="7"/>
  <c r="R42" i="7"/>
  <c r="R38" i="7"/>
  <c r="R34" i="7"/>
  <c r="R30" i="7"/>
  <c r="R26" i="7"/>
  <c r="R23" i="7"/>
  <c r="R49" i="7"/>
  <c r="R45" i="7"/>
  <c r="R41" i="7"/>
  <c r="R37" i="7"/>
  <c r="R33" i="7"/>
  <c r="R29" i="7"/>
  <c r="R20" i="7"/>
  <c r="R17" i="7"/>
  <c r="R14" i="7"/>
  <c r="R10" i="7"/>
  <c r="R22" i="7"/>
  <c r="R48" i="7"/>
  <c r="R44" i="7"/>
  <c r="R40" i="7"/>
  <c r="R36" i="7"/>
  <c r="R32" i="7"/>
  <c r="R28" i="7"/>
  <c r="R25" i="7"/>
  <c r="R19" i="7"/>
  <c r="R16" i="7"/>
  <c r="R12" i="7"/>
  <c r="R47" i="7"/>
  <c r="R43" i="7"/>
  <c r="R39" i="7"/>
  <c r="R35" i="7"/>
  <c r="R31" i="7"/>
  <c r="R27" i="7"/>
  <c r="R18" i="7"/>
  <c r="R9" i="7"/>
  <c r="R6" i="7"/>
  <c r="R24" i="7"/>
  <c r="R21" i="7"/>
  <c r="R8" i="7"/>
  <c r="R5" i="7"/>
  <c r="R15" i="7"/>
  <c r="R7" i="7"/>
  <c r="R11" i="7"/>
  <c r="R59" i="7"/>
  <c r="R60" i="7"/>
  <c r="R67" i="7"/>
  <c r="R68" i="7"/>
  <c r="R57" i="7"/>
  <c r="R50" i="7"/>
  <c r="R53" i="7"/>
  <c r="R56" i="7"/>
  <c r="R65" i="7"/>
  <c r="R58" i="7"/>
  <c r="R71" i="7"/>
  <c r="R61" i="7"/>
  <c r="R54" i="7"/>
  <c r="R63" i="7"/>
  <c r="R70" i="7"/>
  <c r="R69" i="7"/>
  <c r="R55" i="7"/>
  <c r="R62" i="7"/>
  <c r="R64" i="7"/>
  <c r="R66" i="7"/>
  <c r="R52" i="7"/>
  <c r="R51" i="7"/>
  <c r="AC49" i="7"/>
  <c r="AC53" i="7"/>
  <c r="S23" i="7"/>
  <c r="S45" i="7"/>
  <c r="S37" i="7"/>
  <c r="S33" i="7"/>
  <c r="S29" i="7"/>
  <c r="S20" i="7"/>
  <c r="S17" i="7"/>
  <c r="S14" i="7"/>
  <c r="S10" i="7"/>
  <c r="S22" i="7"/>
  <c r="S40" i="7"/>
  <c r="S36" i="7"/>
  <c r="S32" i="7"/>
  <c r="S28" i="7"/>
  <c r="S25" i="7"/>
  <c r="S19" i="7"/>
  <c r="S16" i="7"/>
  <c r="S12" i="7"/>
  <c r="S39" i="7"/>
  <c r="S35" i="7"/>
  <c r="S31" i="7"/>
  <c r="S27" i="7"/>
  <c r="S18" i="7"/>
  <c r="S24" i="7"/>
  <c r="S21" i="7"/>
  <c r="S15" i="7"/>
  <c r="S11" i="7"/>
  <c r="S34" i="7"/>
  <c r="S9" i="7"/>
  <c r="S8" i="7"/>
  <c r="S5" i="7"/>
  <c r="S38" i="7"/>
  <c r="S30" i="7"/>
  <c r="S42" i="7"/>
  <c r="S7" i="7"/>
  <c r="S50" i="7"/>
  <c r="S26" i="7"/>
  <c r="S6" i="7"/>
  <c r="S66" i="7"/>
  <c r="S60" i="7"/>
  <c r="S63" i="7"/>
  <c r="S56" i="7"/>
  <c r="S49" i="7"/>
  <c r="S68" i="7"/>
  <c r="S71" i="7"/>
  <c r="S64" i="7"/>
  <c r="S44" i="7"/>
  <c r="S54" i="7"/>
  <c r="S53" i="7"/>
  <c r="S62" i="7"/>
  <c r="S61" i="7"/>
  <c r="S70" i="7"/>
  <c r="S41" i="7"/>
  <c r="S57" i="7"/>
  <c r="S59" i="7"/>
  <c r="S43" i="7"/>
  <c r="S47" i="7"/>
  <c r="S65" i="7"/>
  <c r="S51" i="7"/>
  <c r="S55" i="7"/>
  <c r="S67" i="7"/>
  <c r="S48" i="7"/>
  <c r="S46" i="7"/>
  <c r="S58" i="7"/>
  <c r="S52" i="7"/>
  <c r="F37" i="5"/>
  <c r="S54" i="24" s="1"/>
  <c r="R54" i="12"/>
  <c r="R56" i="12" s="1"/>
  <c r="R55" i="12" s="1"/>
  <c r="R54" i="10"/>
  <c r="R54" i="13"/>
  <c r="R54" i="11"/>
  <c r="L22" i="7"/>
  <c r="L48" i="7"/>
  <c r="L44" i="7"/>
  <c r="L36" i="7"/>
  <c r="L32" i="7"/>
  <c r="L28" i="7"/>
  <c r="L25" i="7"/>
  <c r="L19" i="7"/>
  <c r="L12" i="7"/>
  <c r="L47" i="7"/>
  <c r="L43" i="7"/>
  <c r="L35" i="7"/>
  <c r="L31" i="7"/>
  <c r="L27" i="7"/>
  <c r="L18" i="7"/>
  <c r="L24" i="7"/>
  <c r="L15" i="7"/>
  <c r="L46" i="7"/>
  <c r="L42" i="7"/>
  <c r="L23" i="7"/>
  <c r="L8" i="7"/>
  <c r="L5" i="7"/>
  <c r="L14" i="7"/>
  <c r="L65" i="7"/>
  <c r="L17" i="7"/>
  <c r="L49" i="7"/>
  <c r="L41" i="7"/>
  <c r="L33" i="7"/>
  <c r="L33" i="9" s="1"/>
  <c r="L10" i="7"/>
  <c r="L9" i="7"/>
  <c r="L6" i="7"/>
  <c r="L45" i="7"/>
  <c r="L29" i="7"/>
  <c r="L60" i="7"/>
  <c r="L39" i="7"/>
  <c r="L56" i="7"/>
  <c r="L26" i="7"/>
  <c r="L58" i="7"/>
  <c r="L37" i="7"/>
  <c r="L57" i="7"/>
  <c r="L68" i="7"/>
  <c r="L55" i="7"/>
  <c r="L64" i="7"/>
  <c r="L51" i="7"/>
  <c r="L66" i="7"/>
  <c r="L63" i="7"/>
  <c r="L20" i="7"/>
  <c r="L59" i="7"/>
  <c r="L11" i="7"/>
  <c r="L16" i="7"/>
  <c r="L71" i="7"/>
  <c r="L53" i="7"/>
  <c r="L30" i="7"/>
  <c r="L38" i="7"/>
  <c r="L67" i="7"/>
  <c r="L34" i="7"/>
  <c r="L69" i="7"/>
  <c r="L62" i="7"/>
  <c r="L21" i="7"/>
  <c r="L52" i="7"/>
  <c r="L54" i="7"/>
  <c r="L70" i="7"/>
  <c r="L61" i="7"/>
  <c r="L7" i="7"/>
  <c r="L50" i="7"/>
  <c r="W40" i="7"/>
  <c r="W36" i="7"/>
  <c r="W32" i="7"/>
  <c r="W28" i="7"/>
  <c r="W25" i="7"/>
  <c r="W19" i="7"/>
  <c r="W16" i="7"/>
  <c r="W12" i="7"/>
  <c r="W39" i="7"/>
  <c r="W35" i="7"/>
  <c r="W31" i="7"/>
  <c r="W27" i="7"/>
  <c r="W18" i="7"/>
  <c r="W9" i="7"/>
  <c r="W24" i="7"/>
  <c r="W21" i="7"/>
  <c r="W15" i="7"/>
  <c r="W11" i="7"/>
  <c r="W38" i="7"/>
  <c r="W34" i="7"/>
  <c r="W30" i="7"/>
  <c r="W26" i="7"/>
  <c r="W23" i="7"/>
  <c r="W45" i="7"/>
  <c r="W37" i="7"/>
  <c r="W33" i="7"/>
  <c r="W29" i="7"/>
  <c r="W20" i="7"/>
  <c r="W17" i="7"/>
  <c r="W14" i="7"/>
  <c r="W10" i="7"/>
  <c r="W7" i="7"/>
  <c r="W22" i="7"/>
  <c r="W6" i="7"/>
  <c r="W8" i="7"/>
  <c r="W5" i="7"/>
  <c r="W46" i="7"/>
  <c r="W64" i="7"/>
  <c r="W65" i="7"/>
  <c r="W42" i="7"/>
  <c r="W44" i="7"/>
  <c r="W54" i="7"/>
  <c r="W41" i="7"/>
  <c r="W43" i="7"/>
  <c r="W51" i="7"/>
  <c r="W53" i="7"/>
  <c r="W62" i="7"/>
  <c r="W47" i="7"/>
  <c r="W50" i="7"/>
  <c r="W59" i="7"/>
  <c r="W68" i="7"/>
  <c r="W60" i="7"/>
  <c r="W61" i="7"/>
  <c r="W70" i="7"/>
  <c r="W55" i="7"/>
  <c r="W58" i="7"/>
  <c r="W67" i="7"/>
  <c r="W69" i="7"/>
  <c r="W63" i="7"/>
  <c r="W66" i="7"/>
  <c r="W48" i="7"/>
  <c r="W49" i="7"/>
  <c r="W52" i="7"/>
  <c r="W71" i="7"/>
  <c r="W57" i="7"/>
  <c r="W56" i="7"/>
  <c r="R32" i="11"/>
  <c r="AC50" i="7"/>
  <c r="O16" i="7"/>
  <c r="O12" i="7"/>
  <c r="O39" i="7"/>
  <c r="O35" i="7"/>
  <c r="O31" i="7"/>
  <c r="O27" i="7"/>
  <c r="O18" i="7"/>
  <c r="O24" i="7"/>
  <c r="O21" i="7"/>
  <c r="O15" i="7"/>
  <c r="O11" i="7"/>
  <c r="O38" i="7"/>
  <c r="O34" i="7"/>
  <c r="O30" i="7"/>
  <c r="O26" i="7"/>
  <c r="O23" i="7"/>
  <c r="O45" i="7"/>
  <c r="O37" i="7"/>
  <c r="O33" i="7"/>
  <c r="O29" i="7"/>
  <c r="O20" i="7"/>
  <c r="O17" i="7"/>
  <c r="O14" i="7"/>
  <c r="O10" i="7"/>
  <c r="O22" i="7"/>
  <c r="O7" i="7"/>
  <c r="O19" i="7"/>
  <c r="O40" i="7"/>
  <c r="O32" i="7"/>
  <c r="O9" i="7"/>
  <c r="O6" i="7"/>
  <c r="O25" i="7"/>
  <c r="O36" i="7"/>
  <c r="O28" i="7"/>
  <c r="O8" i="7"/>
  <c r="O5" i="7"/>
  <c r="O41" i="7"/>
  <c r="O49" i="7"/>
  <c r="O50" i="7"/>
  <c r="O53" i="7"/>
  <c r="O44" i="7"/>
  <c r="O56" i="7"/>
  <c r="O57" i="7"/>
  <c r="O58" i="7"/>
  <c r="O47" i="7"/>
  <c r="O61" i="7"/>
  <c r="O46" i="7"/>
  <c r="O64" i="7"/>
  <c r="O65" i="7"/>
  <c r="O66" i="7"/>
  <c r="O69" i="7"/>
  <c r="O54" i="7"/>
  <c r="O55" i="7"/>
  <c r="O63" i="7"/>
  <c r="O42" i="7"/>
  <c r="O43" i="7"/>
  <c r="O62" i="7"/>
  <c r="O48" i="7"/>
  <c r="O59" i="7"/>
  <c r="O60" i="7"/>
  <c r="O71" i="7"/>
  <c r="O52" i="7"/>
  <c r="O51" i="7"/>
  <c r="O68" i="7"/>
  <c r="O67" i="7"/>
  <c r="AA66" i="8"/>
  <c r="AA68" i="8"/>
  <c r="AA60" i="8"/>
  <c r="AA54" i="8"/>
  <c r="AA46" i="8"/>
  <c r="AA61" i="8"/>
  <c r="AA59" i="8"/>
  <c r="AA53" i="8"/>
  <c r="AA45" i="8"/>
  <c r="AA69" i="8"/>
  <c r="AA62" i="8"/>
  <c r="AA58" i="8"/>
  <c r="AA52" i="8"/>
  <c r="AA65" i="8"/>
  <c r="AA64" i="8"/>
  <c r="AA57" i="8"/>
  <c r="AA50" i="8"/>
  <c r="AA43" i="8"/>
  <c r="AA49" i="8"/>
  <c r="AA42" i="8"/>
  <c r="AA70" i="8"/>
  <c r="AA56" i="8"/>
  <c r="AA48" i="8"/>
  <c r="AA39" i="8"/>
  <c r="AA33" i="8"/>
  <c r="AA27" i="8"/>
  <c r="AA63" i="8"/>
  <c r="AA38" i="8"/>
  <c r="AA32" i="8"/>
  <c r="AA22" i="8"/>
  <c r="AA17" i="8"/>
  <c r="AA13" i="8"/>
  <c r="AA67" i="8"/>
  <c r="AA55" i="8"/>
  <c r="AA40" i="8"/>
  <c r="AA31" i="8"/>
  <c r="AA26" i="8"/>
  <c r="AA16" i="8"/>
  <c r="AA44" i="8"/>
  <c r="AA37" i="8"/>
  <c r="AA30" i="8"/>
  <c r="AA21" i="8"/>
  <c r="AA15" i="8"/>
  <c r="AA36" i="8"/>
  <c r="AA25" i="8"/>
  <c r="AA20" i="8"/>
  <c r="AA71" i="8"/>
  <c r="AA51" i="8"/>
  <c r="AA41" i="8"/>
  <c r="AA35" i="8"/>
  <c r="AA29" i="8"/>
  <c r="AA19" i="8"/>
  <c r="AA14" i="8"/>
  <c r="AA34" i="8"/>
  <c r="AA24" i="8"/>
  <c r="AA23" i="8"/>
  <c r="AA12" i="8"/>
  <c r="AA9" i="8"/>
  <c r="AA8" i="8"/>
  <c r="AA47" i="8"/>
  <c r="AA18" i="8"/>
  <c r="AA7" i="8"/>
  <c r="AA28" i="8"/>
  <c r="AA11" i="8"/>
  <c r="AA6" i="8"/>
  <c r="AA5" i="8"/>
  <c r="AA10" i="8"/>
  <c r="R22" i="11"/>
  <c r="S52" i="13"/>
  <c r="S52" i="12"/>
  <c r="S52" i="10"/>
  <c r="S52" i="11"/>
  <c r="E37" i="5"/>
  <c r="S53" i="24" s="1"/>
  <c r="R53" i="13"/>
  <c r="R53" i="12"/>
  <c r="R53" i="10"/>
  <c r="R53" i="11"/>
  <c r="T23" i="11"/>
  <c r="T11" i="11"/>
  <c r="T5" i="11"/>
  <c r="T16" i="11"/>
  <c r="T12" i="11"/>
  <c r="T13" i="11"/>
  <c r="T17" i="11"/>
  <c r="T14" i="11"/>
  <c r="T8" i="11"/>
  <c r="T15" i="11"/>
  <c r="T9" i="11"/>
  <c r="T7" i="11"/>
  <c r="T6" i="11"/>
  <c r="T40" i="11"/>
  <c r="T24" i="11"/>
  <c r="T34" i="11"/>
  <c r="T18" i="11"/>
  <c r="T44" i="11"/>
  <c r="T28" i="11"/>
  <c r="T38" i="11"/>
  <c r="T22" i="11"/>
  <c r="T48" i="11"/>
  <c r="T32" i="11"/>
  <c r="T42" i="11"/>
  <c r="T26" i="11"/>
  <c r="T10" i="11"/>
  <c r="T36" i="11"/>
  <c r="T20" i="11"/>
  <c r="T46" i="11"/>
  <c r="T30" i="11"/>
  <c r="T27" i="11"/>
  <c r="T35" i="11"/>
  <c r="T43" i="11"/>
  <c r="T19" i="11"/>
  <c r="T29" i="11"/>
  <c r="T21" i="11"/>
  <c r="T31" i="11"/>
  <c r="T25" i="11"/>
  <c r="T37" i="11"/>
  <c r="T39" i="11"/>
  <c r="T33" i="11"/>
  <c r="T49" i="11"/>
  <c r="T41" i="11"/>
  <c r="T47" i="11"/>
  <c r="T45" i="11"/>
  <c r="R18" i="11"/>
  <c r="R16" i="11"/>
  <c r="R14" i="11"/>
  <c r="R23" i="11"/>
  <c r="R17" i="11"/>
  <c r="R15" i="11"/>
  <c r="R13" i="11"/>
  <c r="R11" i="11"/>
  <c r="R9" i="11"/>
  <c r="R7" i="11"/>
  <c r="R10" i="11"/>
  <c r="R5" i="11"/>
  <c r="R12" i="11"/>
  <c r="R8" i="11"/>
  <c r="R6" i="11"/>
  <c r="R26" i="11"/>
  <c r="R27" i="11"/>
  <c r="R28" i="11"/>
  <c r="R29" i="11"/>
  <c r="R30" i="11"/>
  <c r="R31" i="11"/>
  <c r="R40" i="11"/>
  <c r="R34" i="11"/>
  <c r="R35" i="11"/>
  <c r="R36" i="11"/>
  <c r="R37" i="11"/>
  <c r="R38" i="11"/>
  <c r="R39" i="11"/>
  <c r="R48" i="11"/>
  <c r="R42" i="11"/>
  <c r="R43" i="11"/>
  <c r="R44" i="11"/>
  <c r="R45" i="11"/>
  <c r="R46" i="11"/>
  <c r="R47" i="11"/>
  <c r="R25" i="11"/>
  <c r="R41" i="11"/>
  <c r="R24" i="11"/>
  <c r="R20" i="11"/>
  <c r="R21" i="11"/>
  <c r="R19" i="11"/>
  <c r="R33" i="11"/>
  <c r="N8" i="11"/>
  <c r="N7" i="11"/>
  <c r="N20" i="11"/>
  <c r="N45" i="11"/>
  <c r="Z28" i="11"/>
  <c r="AL76" i="9"/>
  <c r="AL76" i="8"/>
  <c r="AL76" i="7"/>
  <c r="AL78" i="6"/>
  <c r="M56" i="10"/>
  <c r="U55" i="12"/>
  <c r="U55" i="11"/>
  <c r="P55" i="11"/>
  <c r="P55" i="12"/>
  <c r="Z20" i="11"/>
  <c r="O55" i="12"/>
  <c r="Z30" i="11"/>
  <c r="N19" i="11"/>
  <c r="Z41" i="11"/>
  <c r="Z37" i="11"/>
  <c r="AH78" i="8"/>
  <c r="Z18" i="11"/>
  <c r="Z23" i="11"/>
  <c r="Z17" i="11"/>
  <c r="Z14" i="11"/>
  <c r="Z8" i="11"/>
  <c r="Z7" i="11"/>
  <c r="Z9" i="11"/>
  <c r="Z6" i="11"/>
  <c r="Z15" i="11"/>
  <c r="Z10" i="11"/>
  <c r="Z5" i="11"/>
  <c r="Z11" i="11"/>
  <c r="Z16" i="11"/>
  <c r="Z12" i="11"/>
  <c r="Z13" i="11"/>
  <c r="Z47" i="11"/>
  <c r="Z35" i="11"/>
  <c r="Z36" i="11"/>
  <c r="Z38" i="11"/>
  <c r="Z32" i="11"/>
  <c r="Z43" i="11"/>
  <c r="Z19" i="11"/>
  <c r="Z26" i="11"/>
  <c r="Z44" i="11"/>
  <c r="Z46" i="11"/>
  <c r="Z40" i="11"/>
  <c r="Z34" i="11"/>
  <c r="Z48" i="11"/>
  <c r="Z25" i="11"/>
  <c r="Z42" i="11"/>
  <c r="Z29" i="11"/>
  <c r="Z33" i="11"/>
  <c r="Z45" i="11"/>
  <c r="Z21" i="11"/>
  <c r="Z31" i="11"/>
  <c r="Z49" i="11"/>
  <c r="Z22" i="11"/>
  <c r="U56" i="10"/>
  <c r="AL13" i="7"/>
  <c r="U55" i="7"/>
  <c r="U46" i="7"/>
  <c r="Z56" i="11"/>
  <c r="Z55" i="11" s="1"/>
  <c r="U41" i="7"/>
  <c r="AL75" i="9"/>
  <c r="AL75" i="8"/>
  <c r="AL77" i="6"/>
  <c r="AL75" i="7"/>
  <c r="N55" i="12"/>
  <c r="AB13" i="7"/>
  <c r="U78" i="8"/>
  <c r="U57" i="7"/>
  <c r="U56" i="7"/>
  <c r="U53" i="7"/>
  <c r="X31" i="9"/>
  <c r="U68" i="7"/>
  <c r="U45" i="7"/>
  <c r="U37" i="7"/>
  <c r="U33" i="7"/>
  <c r="U29" i="7"/>
  <c r="U20" i="7"/>
  <c r="U17" i="7"/>
  <c r="U14" i="7"/>
  <c r="U22" i="7"/>
  <c r="U40" i="7"/>
  <c r="U36" i="7"/>
  <c r="U32" i="7"/>
  <c r="U28" i="7"/>
  <c r="U25" i="7"/>
  <c r="U19" i="7"/>
  <c r="U16" i="7"/>
  <c r="U12" i="7"/>
  <c r="U39" i="7"/>
  <c r="U35" i="7"/>
  <c r="U31" i="7"/>
  <c r="U27" i="7"/>
  <c r="U18" i="7"/>
  <c r="U24" i="7"/>
  <c r="U21" i="7"/>
  <c r="U15" i="7"/>
  <c r="U11" i="7"/>
  <c r="U38" i="7"/>
  <c r="U34" i="7"/>
  <c r="U30" i="7"/>
  <c r="U26" i="7"/>
  <c r="U8" i="7"/>
  <c r="U5" i="7"/>
  <c r="U10" i="7"/>
  <c r="U7" i="7"/>
  <c r="U23" i="7"/>
  <c r="U9" i="7"/>
  <c r="U6" i="7"/>
  <c r="U51" i="7"/>
  <c r="U66" i="7"/>
  <c r="R56" i="11"/>
  <c r="R55" i="11" s="1"/>
  <c r="AD13" i="7"/>
  <c r="U42" i="7"/>
  <c r="P56" i="10"/>
  <c r="U43" i="7"/>
  <c r="AI78" i="8"/>
  <c r="AI13" i="9" s="1"/>
  <c r="AJ78" i="8"/>
  <c r="AJ13" i="9" s="1"/>
  <c r="V56" i="10"/>
  <c r="O56" i="10"/>
  <c r="M75" i="6"/>
  <c r="M80" i="6" s="1"/>
  <c r="M65" i="7" s="1"/>
  <c r="P80" i="6"/>
  <c r="V76" i="6"/>
  <c r="V74" i="23" s="1"/>
  <c r="V78" i="23" s="1"/>
  <c r="Q80" i="6"/>
  <c r="Y76" i="6"/>
  <c r="Y74" i="23" s="1"/>
  <c r="Y78" i="23" s="1"/>
  <c r="D35" i="5"/>
  <c r="Q52" i="24" s="1"/>
  <c r="AH48" i="7" l="1"/>
  <c r="AH70" i="7"/>
  <c r="AH58" i="7"/>
  <c r="AH57" i="7"/>
  <c r="AH5" i="7"/>
  <c r="AH23" i="7"/>
  <c r="AH18" i="7"/>
  <c r="AH12" i="7"/>
  <c r="AH12" i="9" s="1"/>
  <c r="L6" i="31"/>
  <c r="M6" i="31" s="1"/>
  <c r="AH71" i="7"/>
  <c r="AH61" i="7"/>
  <c r="AH65" i="7"/>
  <c r="AH64" i="7"/>
  <c r="AH8" i="7"/>
  <c r="AH17" i="7"/>
  <c r="AH24" i="7"/>
  <c r="AH24" i="9" s="1"/>
  <c r="AH16" i="7"/>
  <c r="AH69" i="7"/>
  <c r="AH59" i="7"/>
  <c r="AH47" i="7"/>
  <c r="AH46" i="7"/>
  <c r="AH7" i="7"/>
  <c r="AH26" i="7"/>
  <c r="AH27" i="7"/>
  <c r="AH19" i="7"/>
  <c r="AH60" i="7"/>
  <c r="AH66" i="7"/>
  <c r="AH43" i="7"/>
  <c r="AH49" i="7"/>
  <c r="AH25" i="7"/>
  <c r="AH30" i="7"/>
  <c r="AH31" i="7"/>
  <c r="AH31" i="9" s="1"/>
  <c r="AH28" i="7"/>
  <c r="AR32" i="23"/>
  <c r="AV32" i="23" s="1"/>
  <c r="AV31" i="23"/>
  <c r="AH41" i="7"/>
  <c r="AH55" i="7"/>
  <c r="AH54" i="7"/>
  <c r="AH6" i="7"/>
  <c r="AH33" i="7"/>
  <c r="AH34" i="7"/>
  <c r="AH35" i="7"/>
  <c r="AH32" i="7"/>
  <c r="AH67" i="7"/>
  <c r="AH62" i="7"/>
  <c r="AH44" i="7"/>
  <c r="AH29" i="7"/>
  <c r="AH10" i="7"/>
  <c r="AH10" i="9" s="1"/>
  <c r="AH38" i="7"/>
  <c r="AH39" i="7"/>
  <c r="AH36" i="7"/>
  <c r="AH52" i="7"/>
  <c r="AH68" i="7"/>
  <c r="AH53" i="7"/>
  <c r="AH42" i="7"/>
  <c r="AH37" i="7"/>
  <c r="AH37" i="9" s="1"/>
  <c r="AH14" i="7"/>
  <c r="AH11" i="7"/>
  <c r="AH21" i="7"/>
  <c r="N37" i="11"/>
  <c r="N42" i="11"/>
  <c r="N28" i="11"/>
  <c r="N43" i="11"/>
  <c r="N9" i="11"/>
  <c r="N9" i="12" s="1"/>
  <c r="N10" i="11"/>
  <c r="N36" i="11"/>
  <c r="N24" i="11"/>
  <c r="N24" i="12" s="1"/>
  <c r="N41" i="11"/>
  <c r="N25" i="11"/>
  <c r="N11" i="11"/>
  <c r="N12" i="11"/>
  <c r="N13" i="11"/>
  <c r="N13" i="24" s="1"/>
  <c r="N14" i="11"/>
  <c r="N30" i="11"/>
  <c r="N34" i="11"/>
  <c r="N34" i="24" s="1"/>
  <c r="N21" i="11"/>
  <c r="N27" i="11"/>
  <c r="N15" i="11"/>
  <c r="N16" i="11"/>
  <c r="N35" i="11"/>
  <c r="N35" i="24" s="1"/>
  <c r="N39" i="11"/>
  <c r="N46" i="11"/>
  <c r="N32" i="11"/>
  <c r="N32" i="24" s="1"/>
  <c r="N29" i="11"/>
  <c r="N48" i="11"/>
  <c r="N17" i="11"/>
  <c r="N18" i="11"/>
  <c r="N18" i="24" s="1"/>
  <c r="N49" i="11"/>
  <c r="N49" i="24" s="1"/>
  <c r="N26" i="11"/>
  <c r="N47" i="11"/>
  <c r="N47" i="24" s="1"/>
  <c r="N33" i="11"/>
  <c r="N33" i="24" s="1"/>
  <c r="N44" i="11"/>
  <c r="N23" i="11"/>
  <c r="N23" i="24" s="1"/>
  <c r="N40" i="13"/>
  <c r="N31" i="11"/>
  <c r="N38" i="11"/>
  <c r="N38" i="24" s="1"/>
  <c r="N22" i="11"/>
  <c r="N5" i="11"/>
  <c r="N5" i="24" s="1"/>
  <c r="N6" i="11"/>
  <c r="N6" i="24" s="1"/>
  <c r="M8" i="31"/>
  <c r="J15" i="31" s="1"/>
  <c r="AO13" i="9"/>
  <c r="Z73" i="23"/>
  <c r="Z42" i="24"/>
  <c r="AA42" i="24" s="1"/>
  <c r="Z19" i="24"/>
  <c r="AA19" i="24" s="1"/>
  <c r="Z12" i="24"/>
  <c r="AA12" i="24" s="1"/>
  <c r="Z7" i="24"/>
  <c r="AA7" i="24" s="1"/>
  <c r="Z37" i="24"/>
  <c r="AA37" i="24" s="1"/>
  <c r="N26" i="24"/>
  <c r="N29" i="24"/>
  <c r="N48" i="24"/>
  <c r="N17" i="24"/>
  <c r="R41" i="24"/>
  <c r="S41" i="24" s="1"/>
  <c r="R48" i="24"/>
  <c r="S48" i="24" s="1"/>
  <c r="R31" i="24"/>
  <c r="S31" i="24" s="1"/>
  <c r="R12" i="24"/>
  <c r="S12" i="24" s="1"/>
  <c r="R17" i="24"/>
  <c r="S17" i="24" s="1"/>
  <c r="T49" i="24"/>
  <c r="T19" i="24"/>
  <c r="T10" i="24"/>
  <c r="T44" i="24"/>
  <c r="T15" i="24"/>
  <c r="T11" i="24"/>
  <c r="Z22" i="24"/>
  <c r="AA22" i="24" s="1"/>
  <c r="Z25" i="24"/>
  <c r="AA25" i="24" s="1"/>
  <c r="Z43" i="24"/>
  <c r="AA43" i="24" s="1"/>
  <c r="Z16" i="24"/>
  <c r="AA16" i="24" s="1"/>
  <c r="Z8" i="24"/>
  <c r="AA8" i="24" s="1"/>
  <c r="Z41" i="24"/>
  <c r="AA41" i="24" s="1"/>
  <c r="N44" i="24"/>
  <c r="R25" i="24"/>
  <c r="S25" i="24" s="1"/>
  <c r="R39" i="24"/>
  <c r="S39" i="24" s="1"/>
  <c r="R30" i="24"/>
  <c r="S30" i="24" s="1"/>
  <c r="R5" i="24"/>
  <c r="R23" i="24"/>
  <c r="S23" i="24" s="1"/>
  <c r="T33" i="24"/>
  <c r="T43" i="24"/>
  <c r="T26" i="24"/>
  <c r="T18" i="24"/>
  <c r="T8" i="24"/>
  <c r="T23" i="24"/>
  <c r="R32" i="24"/>
  <c r="S32" i="24" s="1"/>
  <c r="L52" i="24"/>
  <c r="Z11" i="24"/>
  <c r="AA11" i="24" s="1"/>
  <c r="N22" i="24"/>
  <c r="R47" i="24"/>
  <c r="S47" i="24" s="1"/>
  <c r="R38" i="24"/>
  <c r="S38" i="24" s="1"/>
  <c r="R29" i="24"/>
  <c r="S29" i="24" s="1"/>
  <c r="R10" i="24"/>
  <c r="S10" i="24" s="1"/>
  <c r="R14" i="24"/>
  <c r="S14" i="24" s="1"/>
  <c r="T39" i="24"/>
  <c r="T35" i="24"/>
  <c r="T42" i="24"/>
  <c r="T34" i="24"/>
  <c r="T14" i="24"/>
  <c r="R49" i="24"/>
  <c r="S49" i="24" s="1"/>
  <c r="AP13" i="9"/>
  <c r="Z31" i="24"/>
  <c r="AA31" i="24" s="1"/>
  <c r="Z34" i="24"/>
  <c r="AA34" i="24" s="1"/>
  <c r="Z38" i="24"/>
  <c r="AA38" i="24" s="1"/>
  <c r="Z5" i="24"/>
  <c r="Z17" i="24"/>
  <c r="AA17" i="24" s="1"/>
  <c r="N37" i="24"/>
  <c r="Z28" i="24"/>
  <c r="AA28" i="24" s="1"/>
  <c r="N45" i="24"/>
  <c r="N20" i="24"/>
  <c r="N7" i="24"/>
  <c r="N8" i="24"/>
  <c r="R33" i="24"/>
  <c r="S33" i="24" s="1"/>
  <c r="R46" i="24"/>
  <c r="S46" i="24" s="1"/>
  <c r="R37" i="24"/>
  <c r="S37" i="24" s="1"/>
  <c r="R28" i="24"/>
  <c r="S28" i="24" s="1"/>
  <c r="R7" i="24"/>
  <c r="S7" i="24" s="1"/>
  <c r="R16" i="24"/>
  <c r="S16" i="24" s="1"/>
  <c r="T37" i="24"/>
  <c r="T27" i="24"/>
  <c r="T32" i="24"/>
  <c r="T24" i="24"/>
  <c r="T17" i="24"/>
  <c r="R22" i="24"/>
  <c r="S22" i="24" s="1"/>
  <c r="Z32" i="24"/>
  <c r="AA32" i="24" s="1"/>
  <c r="Z36" i="24"/>
  <c r="AA36" i="24" s="1"/>
  <c r="Z10" i="24"/>
  <c r="AA10" i="24" s="1"/>
  <c r="N42" i="24"/>
  <c r="N28" i="24"/>
  <c r="N43" i="24"/>
  <c r="N10" i="24"/>
  <c r="R19" i="24"/>
  <c r="S19" i="24" s="1"/>
  <c r="R45" i="24"/>
  <c r="S45" i="24" s="1"/>
  <c r="R36" i="24"/>
  <c r="S36" i="24" s="1"/>
  <c r="R27" i="24"/>
  <c r="S27" i="24" s="1"/>
  <c r="R9" i="24"/>
  <c r="S9" i="24" s="1"/>
  <c r="R18" i="24"/>
  <c r="S18" i="24" s="1"/>
  <c r="T25" i="24"/>
  <c r="T30" i="24"/>
  <c r="T48" i="24"/>
  <c r="T40" i="24"/>
  <c r="T13" i="24"/>
  <c r="X8" i="30"/>
  <c r="AA73" i="23"/>
  <c r="Z48" i="24"/>
  <c r="AA48" i="24" s="1"/>
  <c r="N19" i="24"/>
  <c r="Z40" i="24"/>
  <c r="AA40" i="24" s="1"/>
  <c r="Z23" i="24"/>
  <c r="AA23" i="24" s="1"/>
  <c r="Z45" i="24"/>
  <c r="AA45" i="24" s="1"/>
  <c r="Z46" i="24"/>
  <c r="AA46" i="24" s="1"/>
  <c r="Z35" i="24"/>
  <c r="AA35" i="24" s="1"/>
  <c r="Z15" i="24"/>
  <c r="AA15" i="24" s="1"/>
  <c r="Z18" i="24"/>
  <c r="AA18" i="24" s="1"/>
  <c r="Z30" i="24"/>
  <c r="AA30" i="24" s="1"/>
  <c r="N24" i="24"/>
  <c r="N41" i="24"/>
  <c r="N25" i="24"/>
  <c r="N11" i="24"/>
  <c r="N12" i="24"/>
  <c r="R21" i="24"/>
  <c r="S21" i="24" s="1"/>
  <c r="R44" i="24"/>
  <c r="S44" i="24" s="1"/>
  <c r="R35" i="24"/>
  <c r="S35" i="24" s="1"/>
  <c r="R26" i="24"/>
  <c r="S26" i="24" s="1"/>
  <c r="R11" i="24"/>
  <c r="S11" i="24" s="1"/>
  <c r="T45" i="24"/>
  <c r="T31" i="24"/>
  <c r="T46" i="24"/>
  <c r="T22" i="24"/>
  <c r="T6" i="24"/>
  <c r="T12" i="24"/>
  <c r="N40" i="29"/>
  <c r="N90" i="29" s="1"/>
  <c r="N40" i="24"/>
  <c r="Z14" i="24"/>
  <c r="AA14" i="24" s="1"/>
  <c r="Z21" i="24"/>
  <c r="AA21" i="24" s="1"/>
  <c r="N36" i="24"/>
  <c r="N30" i="24"/>
  <c r="Z33" i="24"/>
  <c r="AA33" i="24" s="1"/>
  <c r="Z44" i="24"/>
  <c r="AA44" i="24" s="1"/>
  <c r="Z47" i="24"/>
  <c r="AA47" i="24" s="1"/>
  <c r="Z6" i="24"/>
  <c r="AA6" i="24" s="1"/>
  <c r="N31" i="24"/>
  <c r="N14" i="24"/>
  <c r="R20" i="24"/>
  <c r="S20" i="24" s="1"/>
  <c r="R43" i="24"/>
  <c r="S43" i="24" s="1"/>
  <c r="R34" i="24"/>
  <c r="S34" i="24" s="1"/>
  <c r="R6" i="24"/>
  <c r="S6" i="24" s="1"/>
  <c r="R13" i="24"/>
  <c r="S13" i="24" s="1"/>
  <c r="T47" i="24"/>
  <c r="T21" i="24"/>
  <c r="T20" i="24"/>
  <c r="T38" i="24"/>
  <c r="T7" i="24"/>
  <c r="T16" i="24"/>
  <c r="AO13" i="23"/>
  <c r="Z49" i="24"/>
  <c r="AA49" i="24" s="1"/>
  <c r="N39" i="24"/>
  <c r="Z29" i="24"/>
  <c r="AA29" i="24" s="1"/>
  <c r="Z26" i="24"/>
  <c r="AA26" i="24" s="1"/>
  <c r="Z13" i="24"/>
  <c r="AA13" i="24" s="1"/>
  <c r="Z9" i="24"/>
  <c r="AA9" i="24" s="1"/>
  <c r="N46" i="24"/>
  <c r="Z20" i="24"/>
  <c r="AA20" i="24" s="1"/>
  <c r="N21" i="24"/>
  <c r="N27" i="24"/>
  <c r="N15" i="24"/>
  <c r="N16" i="24"/>
  <c r="R24" i="24"/>
  <c r="S24" i="24" s="1"/>
  <c r="R42" i="24"/>
  <c r="S42" i="24" s="1"/>
  <c r="R40" i="24"/>
  <c r="S40" i="24" s="1"/>
  <c r="R8" i="24"/>
  <c r="S8" i="24" s="1"/>
  <c r="R15" i="24"/>
  <c r="S15" i="24" s="1"/>
  <c r="T41" i="24"/>
  <c r="T29" i="24"/>
  <c r="T36" i="24"/>
  <c r="T28" i="24"/>
  <c r="T9" i="24"/>
  <c r="T5" i="24"/>
  <c r="AP13" i="23"/>
  <c r="G15" i="31"/>
  <c r="C15" i="31"/>
  <c r="X10" i="30"/>
  <c r="X6" i="30"/>
  <c r="M10" i="31"/>
  <c r="AR44" i="23"/>
  <c r="AV44" i="23" s="1"/>
  <c r="AV43" i="23"/>
  <c r="AV16" i="23"/>
  <c r="AR17" i="23"/>
  <c r="AV17" i="23" s="1"/>
  <c r="AJ12" i="25"/>
  <c r="AR8" i="23"/>
  <c r="AV8" i="23" s="1"/>
  <c r="AV7" i="23"/>
  <c r="AV22" i="23"/>
  <c r="AR23" i="23"/>
  <c r="AV23" i="23" s="1"/>
  <c r="AT12" i="25"/>
  <c r="AQ18" i="23"/>
  <c r="AQ28" i="23"/>
  <c r="AQ13" i="23"/>
  <c r="AV48" i="23"/>
  <c r="AR49" i="23"/>
  <c r="AV49" i="23" s="1"/>
  <c r="AP13" i="8"/>
  <c r="Z24" i="11"/>
  <c r="Z24" i="12" s="1"/>
  <c r="AA24" i="12" s="1"/>
  <c r="Z27" i="11"/>
  <c r="Z27" i="12" s="1"/>
  <c r="AA27" i="12" s="1"/>
  <c r="Z39" i="11"/>
  <c r="M65" i="9"/>
  <c r="M8" i="7"/>
  <c r="U48" i="9"/>
  <c r="U49" i="9"/>
  <c r="U61" i="9"/>
  <c r="U50" i="9"/>
  <c r="U64" i="9"/>
  <c r="U71" i="9"/>
  <c r="U60" i="9"/>
  <c r="U67" i="9"/>
  <c r="U69" i="9"/>
  <c r="U59" i="9"/>
  <c r="U65" i="9"/>
  <c r="U47" i="9"/>
  <c r="U52" i="9"/>
  <c r="U70" i="9"/>
  <c r="U62" i="9"/>
  <c r="U44" i="9"/>
  <c r="U13" i="9"/>
  <c r="U58" i="9"/>
  <c r="AA36" i="11"/>
  <c r="Z36" i="12"/>
  <c r="AA36" i="12" s="1"/>
  <c r="Z36" i="13"/>
  <c r="AA36" i="13" s="1"/>
  <c r="R40" i="12"/>
  <c r="S40" i="12" s="1"/>
  <c r="S40" i="11"/>
  <c r="R40" i="13"/>
  <c r="S40" i="13" s="1"/>
  <c r="T5" i="12"/>
  <c r="T51" i="11"/>
  <c r="T5" i="13"/>
  <c r="O69" i="9"/>
  <c r="W49" i="9"/>
  <c r="W9" i="9"/>
  <c r="R59" i="9"/>
  <c r="X12" i="9"/>
  <c r="AD57" i="7"/>
  <c r="AC57" i="9"/>
  <c r="AD57" i="9" s="1"/>
  <c r="AH63" i="9"/>
  <c r="M17" i="7"/>
  <c r="M56" i="7"/>
  <c r="U66" i="9"/>
  <c r="U8" i="9"/>
  <c r="U24" i="9"/>
  <c r="U19" i="9"/>
  <c r="U17" i="9"/>
  <c r="M23" i="7"/>
  <c r="U55" i="9"/>
  <c r="AA45" i="11"/>
  <c r="Z45" i="12"/>
  <c r="AA45" i="12" s="1"/>
  <c r="Z45" i="13"/>
  <c r="AA45" i="13" s="1"/>
  <c r="AA46" i="11"/>
  <c r="Z46" i="12"/>
  <c r="AA46" i="12" s="1"/>
  <c r="Z46" i="13"/>
  <c r="AA46" i="13" s="1"/>
  <c r="AA35" i="11"/>
  <c r="Z35" i="12"/>
  <c r="AA35" i="12" s="1"/>
  <c r="Z35" i="13"/>
  <c r="AA35" i="13" s="1"/>
  <c r="AA15" i="11"/>
  <c r="Z15" i="12"/>
  <c r="AA15" i="12" s="1"/>
  <c r="Z15" i="13"/>
  <c r="AA15" i="13" s="1"/>
  <c r="AA18" i="11"/>
  <c r="Z18" i="12"/>
  <c r="AA18" i="12" s="1"/>
  <c r="Z18" i="13"/>
  <c r="AA18" i="13" s="1"/>
  <c r="N19" i="12"/>
  <c r="N19" i="29" s="1"/>
  <c r="N69" i="29" s="1"/>
  <c r="N19" i="13"/>
  <c r="N45" i="12"/>
  <c r="N45" i="13"/>
  <c r="N20" i="12"/>
  <c r="N20" i="13"/>
  <c r="N7" i="12"/>
  <c r="N7" i="13"/>
  <c r="N8" i="12"/>
  <c r="N8" i="29" s="1"/>
  <c r="N58" i="29" s="1"/>
  <c r="N8" i="13"/>
  <c r="R41" i="12"/>
  <c r="S41" i="11"/>
  <c r="R41" i="13"/>
  <c r="S41" i="13" s="1"/>
  <c r="R48" i="12"/>
  <c r="S48" i="11"/>
  <c r="R48" i="13"/>
  <c r="S48" i="13" s="1"/>
  <c r="S31" i="11"/>
  <c r="R31" i="12"/>
  <c r="R31" i="13"/>
  <c r="S31" i="13" s="1"/>
  <c r="R12" i="12"/>
  <c r="S12" i="11"/>
  <c r="R12" i="13"/>
  <c r="S12" i="13" s="1"/>
  <c r="R17" i="12"/>
  <c r="S17" i="11"/>
  <c r="R17" i="13"/>
  <c r="S17" i="13" s="1"/>
  <c r="T49" i="12"/>
  <c r="T49" i="13"/>
  <c r="T19" i="12"/>
  <c r="T19" i="13"/>
  <c r="T10" i="12"/>
  <c r="T10" i="13"/>
  <c r="T44" i="12"/>
  <c r="T44" i="13"/>
  <c r="T15" i="12"/>
  <c r="T15" i="13"/>
  <c r="T11" i="12"/>
  <c r="T11" i="13"/>
  <c r="L52" i="13"/>
  <c r="L52" i="12"/>
  <c r="L52" i="11"/>
  <c r="L52" i="10"/>
  <c r="M37" i="7"/>
  <c r="O48" i="9"/>
  <c r="O66" i="9"/>
  <c r="O56" i="9"/>
  <c r="O28" i="9"/>
  <c r="O7" i="9"/>
  <c r="O37" i="9"/>
  <c r="O15" i="9"/>
  <c r="O12" i="9"/>
  <c r="M44" i="7"/>
  <c r="W48" i="9"/>
  <c r="W61" i="9"/>
  <c r="W51" i="9"/>
  <c r="W46" i="9"/>
  <c r="W17" i="9"/>
  <c r="W30" i="9"/>
  <c r="W18" i="9"/>
  <c r="W25" i="9"/>
  <c r="L61" i="9"/>
  <c r="L67" i="9"/>
  <c r="L20" i="9"/>
  <c r="L37" i="9"/>
  <c r="L6" i="9"/>
  <c r="L14" i="9"/>
  <c r="L18" i="9"/>
  <c r="L25" i="9"/>
  <c r="R69" i="9"/>
  <c r="R56" i="9"/>
  <c r="R11" i="9"/>
  <c r="R9" i="9"/>
  <c r="R12" i="9"/>
  <c r="R44" i="9"/>
  <c r="R33" i="9"/>
  <c r="R34" i="9"/>
  <c r="Z68" i="9"/>
  <c r="Y68" i="28" s="1"/>
  <c r="Y140" i="28" s="1"/>
  <c r="Z57" i="9"/>
  <c r="Y57" i="28" s="1"/>
  <c r="Y129" i="28" s="1"/>
  <c r="Z49" i="9"/>
  <c r="Y49" i="28" s="1"/>
  <c r="Y121" i="28" s="1"/>
  <c r="Z39" i="9"/>
  <c r="Y39" i="28" s="1"/>
  <c r="Y111" i="28" s="1"/>
  <c r="Z24" i="9"/>
  <c r="Y24" i="28" s="1"/>
  <c r="Y96" i="28" s="1"/>
  <c r="Z26" i="9"/>
  <c r="Y26" i="28" s="1"/>
  <c r="Y98" i="28" s="1"/>
  <c r="Z19" i="9"/>
  <c r="Y19" i="28" s="1"/>
  <c r="Y91" i="28" s="1"/>
  <c r="Z5" i="9"/>
  <c r="Y5" i="28" s="1"/>
  <c r="Y77" i="28" s="1"/>
  <c r="Z64" i="9"/>
  <c r="Y64" i="28" s="1"/>
  <c r="Y136" i="28" s="1"/>
  <c r="Z53" i="9"/>
  <c r="Y53" i="28" s="1"/>
  <c r="Y125" i="28" s="1"/>
  <c r="Z45" i="9"/>
  <c r="Y45" i="28" s="1"/>
  <c r="Y117" i="28" s="1"/>
  <c r="Z35" i="9"/>
  <c r="Y35" i="28" s="1"/>
  <c r="Y107" i="28" s="1"/>
  <c r="Z20" i="9"/>
  <c r="Y20" i="28" s="1"/>
  <c r="Y92" i="28" s="1"/>
  <c r="Z22" i="9"/>
  <c r="Y22" i="28" s="1"/>
  <c r="Y94" i="28" s="1"/>
  <c r="Z17" i="9"/>
  <c r="Y17" i="28" s="1"/>
  <c r="Y89" i="28" s="1"/>
  <c r="Z23" i="9"/>
  <c r="Y23" i="28" s="1"/>
  <c r="Y95" i="28" s="1"/>
  <c r="Z71" i="9"/>
  <c r="Y71" i="28" s="1"/>
  <c r="Y143" i="28" s="1"/>
  <c r="Z60" i="9"/>
  <c r="Y60" i="28" s="1"/>
  <c r="Y132" i="28" s="1"/>
  <c r="Z70" i="9"/>
  <c r="Y70" i="28" s="1"/>
  <c r="Y142" i="28" s="1"/>
  <c r="Z41" i="9"/>
  <c r="Y41" i="28" s="1"/>
  <c r="Y113" i="28" s="1"/>
  <c r="Z31" i="9"/>
  <c r="Y31" i="28" s="1"/>
  <c r="Y103" i="28" s="1"/>
  <c r="Z16" i="9"/>
  <c r="Y16" i="28" s="1"/>
  <c r="Y88" i="28" s="1"/>
  <c r="Z18" i="9"/>
  <c r="Y18" i="28" s="1"/>
  <c r="Y90" i="28" s="1"/>
  <c r="Z12" i="9"/>
  <c r="Y12" i="28" s="1"/>
  <c r="Y84" i="28" s="1"/>
  <c r="Z14" i="9"/>
  <c r="Y14" i="28" s="1"/>
  <c r="Y86" i="28" s="1"/>
  <c r="Z67" i="9"/>
  <c r="Y67" i="28" s="1"/>
  <c r="Y139" i="28" s="1"/>
  <c r="Z63" i="9"/>
  <c r="Y63" i="28" s="1"/>
  <c r="Y135" i="28" s="1"/>
  <c r="Z52" i="9"/>
  <c r="Y52" i="28" s="1"/>
  <c r="Y124" i="28" s="1"/>
  <c r="Z62" i="9"/>
  <c r="Y62" i="28" s="1"/>
  <c r="Y134" i="28" s="1"/>
  <c r="Z33" i="9"/>
  <c r="Y33" i="28" s="1"/>
  <c r="Y105" i="28" s="1"/>
  <c r="Z34" i="9"/>
  <c r="Y34" i="28" s="1"/>
  <c r="Y106" i="28" s="1"/>
  <c r="Z42" i="9"/>
  <c r="Y42" i="28" s="1"/>
  <c r="Y114" i="28" s="1"/>
  <c r="Z15" i="9"/>
  <c r="Y15" i="28" s="1"/>
  <c r="Y87" i="28" s="1"/>
  <c r="Z29" i="9"/>
  <c r="Y29" i="28" s="1"/>
  <c r="Y101" i="28" s="1"/>
  <c r="Z6" i="9"/>
  <c r="Y6" i="28" s="1"/>
  <c r="Y78" i="28" s="1"/>
  <c r="Z61" i="9"/>
  <c r="Y61" i="28" s="1"/>
  <c r="Y133" i="28" s="1"/>
  <c r="Z43" i="9"/>
  <c r="Y43" i="28" s="1"/>
  <c r="Y115" i="28" s="1"/>
  <c r="Z30" i="9"/>
  <c r="Y30" i="28" s="1"/>
  <c r="Y102" i="28" s="1"/>
  <c r="Z9" i="9"/>
  <c r="Y9" i="28" s="1"/>
  <c r="Y81" i="28" s="1"/>
  <c r="Z66" i="9"/>
  <c r="Y66" i="28" s="1"/>
  <c r="Y138" i="28" s="1"/>
  <c r="Z48" i="9"/>
  <c r="Y48" i="28" s="1"/>
  <c r="Y120" i="28" s="1"/>
  <c r="Z25" i="9"/>
  <c r="Y25" i="28" s="1"/>
  <c r="Y97" i="28" s="1"/>
  <c r="Z10" i="9"/>
  <c r="Y10" i="28" s="1"/>
  <c r="Y82" i="28" s="1"/>
  <c r="Z59" i="9"/>
  <c r="Y59" i="28" s="1"/>
  <c r="Y131" i="28" s="1"/>
  <c r="Z58" i="9"/>
  <c r="Y58" i="28" s="1"/>
  <c r="Y130" i="28" s="1"/>
  <c r="Z38" i="9"/>
  <c r="Y38" i="28" s="1"/>
  <c r="Y110" i="28" s="1"/>
  <c r="Z11" i="9"/>
  <c r="Y11" i="28" s="1"/>
  <c r="Y83" i="28" s="1"/>
  <c r="Z55" i="9"/>
  <c r="Y55" i="28" s="1"/>
  <c r="Y127" i="28" s="1"/>
  <c r="Z54" i="9"/>
  <c r="Y54" i="28" s="1"/>
  <c r="Y126" i="28" s="1"/>
  <c r="Z40" i="9"/>
  <c r="Y40" i="28" s="1"/>
  <c r="Y112" i="28" s="1"/>
  <c r="Z7" i="9"/>
  <c r="Y7" i="28" s="1"/>
  <c r="Y79" i="28" s="1"/>
  <c r="Z51" i="9"/>
  <c r="Y51" i="28" s="1"/>
  <c r="Y123" i="28" s="1"/>
  <c r="Z50" i="9"/>
  <c r="Y50" i="28" s="1"/>
  <c r="Y122" i="28" s="1"/>
  <c r="Z28" i="9"/>
  <c r="Y28" i="28" s="1"/>
  <c r="Y100" i="28" s="1"/>
  <c r="Z27" i="9"/>
  <c r="Y27" i="28" s="1"/>
  <c r="Y99" i="28" s="1"/>
  <c r="Z56" i="9"/>
  <c r="Y56" i="28" s="1"/>
  <c r="Y128" i="28" s="1"/>
  <c r="Z37" i="9"/>
  <c r="Y37" i="28" s="1"/>
  <c r="Y109" i="28" s="1"/>
  <c r="Z44" i="9"/>
  <c r="Y44" i="28" s="1"/>
  <c r="Y116" i="28" s="1"/>
  <c r="Z8" i="9"/>
  <c r="Y8" i="28" s="1"/>
  <c r="Y80" i="28" s="1"/>
  <c r="Z65" i="9"/>
  <c r="Y65" i="28" s="1"/>
  <c r="Y137" i="28" s="1"/>
  <c r="Z36" i="9"/>
  <c r="Y36" i="28" s="1"/>
  <c r="Y108" i="28" s="1"/>
  <c r="Z69" i="9"/>
  <c r="Y69" i="28" s="1"/>
  <c r="Y141" i="28" s="1"/>
  <c r="Z46" i="9"/>
  <c r="Y46" i="28" s="1"/>
  <c r="Y118" i="28" s="1"/>
  <c r="Z32" i="9"/>
  <c r="Y32" i="28" s="1"/>
  <c r="Y104" i="28" s="1"/>
  <c r="Z21" i="9"/>
  <c r="Y21" i="28" s="1"/>
  <c r="Y93" i="28" s="1"/>
  <c r="Z47" i="9"/>
  <c r="Y47" i="28" s="1"/>
  <c r="Y119" i="28" s="1"/>
  <c r="Z13" i="9"/>
  <c r="Y13" i="28" s="1"/>
  <c r="Y85" i="28" s="1"/>
  <c r="X60" i="9"/>
  <c r="X6" i="9"/>
  <c r="X14" i="9"/>
  <c r="X49" i="9"/>
  <c r="X46" i="9"/>
  <c r="X18" i="9"/>
  <c r="X16" i="9"/>
  <c r="X54" i="9"/>
  <c r="X67" i="9"/>
  <c r="AD62" i="7"/>
  <c r="AC62" i="9"/>
  <c r="AD62" i="9" s="1"/>
  <c r="AD54" i="7"/>
  <c r="AC54" i="9"/>
  <c r="AD54" i="9" s="1"/>
  <c r="AD48" i="7"/>
  <c r="AC48" i="9"/>
  <c r="AD48" i="9" s="1"/>
  <c r="AD68" i="7"/>
  <c r="AC68" i="9"/>
  <c r="AD68" i="9" s="1"/>
  <c r="AD30" i="7"/>
  <c r="AC30" i="9"/>
  <c r="AD30" i="9" s="1"/>
  <c r="AD31" i="7"/>
  <c r="AC31" i="9"/>
  <c r="AD31" i="9" s="1"/>
  <c r="AD36" i="7"/>
  <c r="AC36" i="9"/>
  <c r="AD36" i="9" s="1"/>
  <c r="AD33" i="7"/>
  <c r="AC33" i="9"/>
  <c r="AD33" i="9" s="1"/>
  <c r="AH48" i="9"/>
  <c r="AH70" i="9"/>
  <c r="AH58" i="9"/>
  <c r="AH57" i="9"/>
  <c r="AH5" i="9"/>
  <c r="AH23" i="9"/>
  <c r="AH18" i="9"/>
  <c r="AI62" i="9"/>
  <c r="AI55" i="9"/>
  <c r="AI51" i="9"/>
  <c r="AI44" i="9"/>
  <c r="AI6" i="9"/>
  <c r="AI14" i="9"/>
  <c r="AI11" i="9"/>
  <c r="AI21" i="9"/>
  <c r="M41" i="7"/>
  <c r="U42" i="9"/>
  <c r="AA21" i="11"/>
  <c r="Z21" i="12"/>
  <c r="AA21" i="12" s="1"/>
  <c r="Z21" i="13"/>
  <c r="AA21" i="13" s="1"/>
  <c r="AA41" i="11"/>
  <c r="Z41" i="12"/>
  <c r="Z41" i="13"/>
  <c r="AA41" i="13" s="1"/>
  <c r="N22" i="12"/>
  <c r="N22" i="13"/>
  <c r="R42" i="12"/>
  <c r="S42" i="12" s="1"/>
  <c r="S42" i="11"/>
  <c r="R42" i="13"/>
  <c r="S42" i="13" s="1"/>
  <c r="T29" i="12"/>
  <c r="T29" i="13"/>
  <c r="M51" i="7"/>
  <c r="O59" i="9"/>
  <c r="R32" i="12"/>
  <c r="S32" i="11"/>
  <c r="R32" i="13"/>
  <c r="S32" i="13" s="1"/>
  <c r="W26" i="9"/>
  <c r="L34" i="9"/>
  <c r="L24" i="9"/>
  <c r="R55" i="9"/>
  <c r="R47" i="9"/>
  <c r="X10" i="9"/>
  <c r="Y73" i="7"/>
  <c r="Y78" i="7" s="1"/>
  <c r="Y17" i="8" s="1"/>
  <c r="AD9" i="7"/>
  <c r="AC9" i="9"/>
  <c r="AD9" i="9" s="1"/>
  <c r="AH50" i="9"/>
  <c r="AI39" i="9"/>
  <c r="M29" i="7"/>
  <c r="AM13" i="7"/>
  <c r="U51" i="9"/>
  <c r="U26" i="9"/>
  <c r="U18" i="9"/>
  <c r="U25" i="9"/>
  <c r="U20" i="9"/>
  <c r="U53" i="9"/>
  <c r="M12" i="7"/>
  <c r="N30" i="12"/>
  <c r="N30" i="29" s="1"/>
  <c r="N80" i="29" s="1"/>
  <c r="N30" i="13"/>
  <c r="AA33" i="11"/>
  <c r="Z33" i="12"/>
  <c r="AA33" i="12" s="1"/>
  <c r="Z33" i="13"/>
  <c r="AA33" i="13" s="1"/>
  <c r="AA44" i="11"/>
  <c r="Z44" i="12"/>
  <c r="AA44" i="12" s="1"/>
  <c r="Z44" i="13"/>
  <c r="AA44" i="13" s="1"/>
  <c r="AA47" i="11"/>
  <c r="Z47" i="12"/>
  <c r="AA47" i="12" s="1"/>
  <c r="Z47" i="13"/>
  <c r="AA47" i="13" s="1"/>
  <c r="AA6" i="11"/>
  <c r="Z6" i="12"/>
  <c r="AA6" i="12" s="1"/>
  <c r="Z6" i="13"/>
  <c r="AA6" i="13" s="1"/>
  <c r="AH30" i="9"/>
  <c r="AH13" i="9"/>
  <c r="AL13" i="9" s="1"/>
  <c r="N37" i="12"/>
  <c r="N37" i="29" s="1"/>
  <c r="N87" i="29" s="1"/>
  <c r="N37" i="13"/>
  <c r="N24" i="13"/>
  <c r="N28" i="12"/>
  <c r="N28" i="13"/>
  <c r="N43" i="12"/>
  <c r="N43" i="13"/>
  <c r="N10" i="12"/>
  <c r="N10" i="13"/>
  <c r="R25" i="12"/>
  <c r="S25" i="11"/>
  <c r="R25" i="13"/>
  <c r="S25" i="13" s="1"/>
  <c r="R39" i="12"/>
  <c r="S39" i="11"/>
  <c r="R39" i="13"/>
  <c r="S39" i="13" s="1"/>
  <c r="R30" i="12"/>
  <c r="S30" i="11"/>
  <c r="R30" i="13"/>
  <c r="S30" i="13" s="1"/>
  <c r="R5" i="12"/>
  <c r="S5" i="11"/>
  <c r="R51" i="11"/>
  <c r="R5" i="13"/>
  <c r="R23" i="12"/>
  <c r="S23" i="11"/>
  <c r="R23" i="13"/>
  <c r="S23" i="13" s="1"/>
  <c r="T33" i="12"/>
  <c r="T33" i="13"/>
  <c r="T43" i="12"/>
  <c r="T43" i="13"/>
  <c r="T26" i="12"/>
  <c r="T26" i="13"/>
  <c r="T18" i="12"/>
  <c r="T18" i="13"/>
  <c r="T8" i="12"/>
  <c r="T8" i="13"/>
  <c r="T23" i="12"/>
  <c r="T23" i="13"/>
  <c r="AA73" i="8"/>
  <c r="O67" i="9"/>
  <c r="O62" i="9"/>
  <c r="O65" i="9"/>
  <c r="O44" i="9"/>
  <c r="O36" i="9"/>
  <c r="O22" i="9"/>
  <c r="O45" i="9"/>
  <c r="O21" i="9"/>
  <c r="O16" i="9"/>
  <c r="M49" i="7"/>
  <c r="W66" i="9"/>
  <c r="W60" i="9"/>
  <c r="W43" i="9"/>
  <c r="W5" i="9"/>
  <c r="W73" i="7"/>
  <c r="W78" i="7" s="1"/>
  <c r="W67" i="23" s="1"/>
  <c r="W20" i="9"/>
  <c r="W34" i="9"/>
  <c r="W27" i="9"/>
  <c r="W28" i="9"/>
  <c r="L70" i="9"/>
  <c r="L38" i="9"/>
  <c r="L63" i="9"/>
  <c r="L58" i="9"/>
  <c r="L9" i="9"/>
  <c r="L73" i="7"/>
  <c r="L78" i="7" s="1"/>
  <c r="L57" i="23" s="1"/>
  <c r="L5" i="9"/>
  <c r="L27" i="9"/>
  <c r="L28" i="9"/>
  <c r="AD49" i="7"/>
  <c r="AC49" i="9"/>
  <c r="AD49" i="9" s="1"/>
  <c r="R70" i="9"/>
  <c r="R53" i="9"/>
  <c r="R7" i="9"/>
  <c r="R18" i="9"/>
  <c r="R16" i="9"/>
  <c r="R48" i="9"/>
  <c r="R37" i="9"/>
  <c r="R38" i="9"/>
  <c r="M66" i="7"/>
  <c r="X73" i="7"/>
  <c r="X78" i="7" s="1"/>
  <c r="X42" i="23" s="1"/>
  <c r="X5" i="9"/>
  <c r="X32" i="9"/>
  <c r="X17" i="9"/>
  <c r="X23" i="9"/>
  <c r="X56" i="9"/>
  <c r="X27" i="9"/>
  <c r="X52" i="9"/>
  <c r="X58" i="9"/>
  <c r="X71" i="9"/>
  <c r="Y7" i="8"/>
  <c r="Y32" i="8"/>
  <c r="Y31" i="8"/>
  <c r="Y64" i="8"/>
  <c r="M34" i="7"/>
  <c r="AD60" i="7"/>
  <c r="AC60" i="9"/>
  <c r="AD60" i="9" s="1"/>
  <c r="AD61" i="7"/>
  <c r="AC61" i="9"/>
  <c r="AD61" i="9" s="1"/>
  <c r="AD55" i="7"/>
  <c r="AC55" i="9"/>
  <c r="AD55" i="9" s="1"/>
  <c r="AD6" i="7"/>
  <c r="AC6" i="9"/>
  <c r="AD6" i="9" s="1"/>
  <c r="AD38" i="7"/>
  <c r="AC38" i="9"/>
  <c r="AD38" i="9" s="1"/>
  <c r="AD35" i="7"/>
  <c r="AC35" i="9"/>
  <c r="AD35" i="9" s="1"/>
  <c r="AD40" i="7"/>
  <c r="AC40" i="9"/>
  <c r="AD40" i="9" s="1"/>
  <c r="AD37" i="7"/>
  <c r="AC37" i="9"/>
  <c r="AD37" i="9" s="1"/>
  <c r="AH71" i="9"/>
  <c r="AH61" i="9"/>
  <c r="AH65" i="9"/>
  <c r="AH64" i="9"/>
  <c r="AH8" i="9"/>
  <c r="AH17" i="9"/>
  <c r="AH16" i="9"/>
  <c r="AI46" i="9"/>
  <c r="AI69" i="9"/>
  <c r="AI58" i="9"/>
  <c r="AI53" i="9"/>
  <c r="AI7" i="9"/>
  <c r="AI20" i="9"/>
  <c r="AI15" i="9"/>
  <c r="AI12" i="9"/>
  <c r="M64" i="7"/>
  <c r="U5" i="9"/>
  <c r="U73" i="7"/>
  <c r="U78" i="7" s="1"/>
  <c r="U50" i="23" s="1"/>
  <c r="U68" i="9"/>
  <c r="AA10" i="11"/>
  <c r="Z10" i="12"/>
  <c r="AA10" i="12" s="1"/>
  <c r="Z10" i="13"/>
  <c r="AA10" i="13" s="1"/>
  <c r="N5" i="12"/>
  <c r="N5" i="13"/>
  <c r="T41" i="12"/>
  <c r="T41" i="13"/>
  <c r="O19" i="9"/>
  <c r="W14" i="9"/>
  <c r="L57" i="9"/>
  <c r="R29" i="9"/>
  <c r="X51" i="9"/>
  <c r="AI10" i="9"/>
  <c r="U6" i="9"/>
  <c r="U30" i="9"/>
  <c r="U27" i="9"/>
  <c r="U28" i="9"/>
  <c r="U29" i="9"/>
  <c r="N39" i="12"/>
  <c r="N39" i="13"/>
  <c r="AA29" i="11"/>
  <c r="Z29" i="12"/>
  <c r="AA29" i="12" s="1"/>
  <c r="Z29" i="13"/>
  <c r="AA29" i="13" s="1"/>
  <c r="AA26" i="11"/>
  <c r="Z26" i="12"/>
  <c r="AA26" i="12" s="1"/>
  <c r="Z26" i="13"/>
  <c r="AA26" i="13" s="1"/>
  <c r="AA13" i="11"/>
  <c r="Z13" i="12"/>
  <c r="AA13" i="12" s="1"/>
  <c r="Z13" i="13"/>
  <c r="AA13" i="13" s="1"/>
  <c r="AA9" i="11"/>
  <c r="Z9" i="12"/>
  <c r="AA9" i="12" s="1"/>
  <c r="Z9" i="13"/>
  <c r="AA9" i="13" s="1"/>
  <c r="N41" i="12"/>
  <c r="N41" i="13"/>
  <c r="N25" i="12"/>
  <c r="N25" i="13"/>
  <c r="N11" i="12"/>
  <c r="N11" i="13"/>
  <c r="N12" i="12"/>
  <c r="N12" i="13"/>
  <c r="R47" i="12"/>
  <c r="S47" i="11"/>
  <c r="R47" i="13"/>
  <c r="S47" i="13" s="1"/>
  <c r="R38" i="12"/>
  <c r="S38" i="11"/>
  <c r="R38" i="13"/>
  <c r="S38" i="13" s="1"/>
  <c r="R29" i="12"/>
  <c r="S29" i="11"/>
  <c r="R29" i="13"/>
  <c r="S29" i="13" s="1"/>
  <c r="R10" i="12"/>
  <c r="S10" i="11"/>
  <c r="R10" i="13"/>
  <c r="S10" i="13" s="1"/>
  <c r="S14" i="11"/>
  <c r="R14" i="12"/>
  <c r="R14" i="13"/>
  <c r="S14" i="13" s="1"/>
  <c r="T39" i="12"/>
  <c r="T39" i="13"/>
  <c r="T35" i="12"/>
  <c r="T35" i="13"/>
  <c r="T42" i="12"/>
  <c r="T42" i="13"/>
  <c r="T34" i="12"/>
  <c r="T34" i="13"/>
  <c r="T14" i="12"/>
  <c r="T14" i="13"/>
  <c r="M30" i="7"/>
  <c r="O68" i="9"/>
  <c r="O43" i="9"/>
  <c r="O64" i="9"/>
  <c r="O53" i="9"/>
  <c r="O25" i="9"/>
  <c r="O10" i="9"/>
  <c r="O23" i="9"/>
  <c r="O24" i="9"/>
  <c r="M47" i="7"/>
  <c r="M52" i="7"/>
  <c r="W63" i="9"/>
  <c r="W68" i="9"/>
  <c r="W41" i="9"/>
  <c r="W8" i="9"/>
  <c r="W29" i="9"/>
  <c r="W38" i="9"/>
  <c r="W31" i="9"/>
  <c r="W32" i="9"/>
  <c r="L54" i="8"/>
  <c r="L54" i="9"/>
  <c r="L30" i="9"/>
  <c r="L66" i="9"/>
  <c r="L26" i="8"/>
  <c r="L26" i="9"/>
  <c r="L10" i="8"/>
  <c r="L10" i="9"/>
  <c r="L8" i="9"/>
  <c r="L31" i="9"/>
  <c r="L32" i="8"/>
  <c r="L32" i="9"/>
  <c r="R51" i="9"/>
  <c r="R63" i="9"/>
  <c r="R50" i="9"/>
  <c r="R15" i="9"/>
  <c r="R27" i="9"/>
  <c r="R19" i="9"/>
  <c r="R22" i="9"/>
  <c r="R41" i="9"/>
  <c r="R42" i="9"/>
  <c r="M63" i="7"/>
  <c r="X8" i="9"/>
  <c r="X40" i="9"/>
  <c r="X20" i="9"/>
  <c r="X50" i="9"/>
  <c r="X64" i="9"/>
  <c r="X68" i="9"/>
  <c r="X62" i="9"/>
  <c r="M57" i="7"/>
  <c r="Y9" i="8"/>
  <c r="Y36" i="8"/>
  <c r="Y20" i="8"/>
  <c r="Y50" i="8"/>
  <c r="Y15" i="8"/>
  <c r="Y35" i="8"/>
  <c r="Y68" i="8"/>
  <c r="Y62" i="8"/>
  <c r="M71" i="7"/>
  <c r="AD43" i="7"/>
  <c r="AC43" i="9"/>
  <c r="AD43" i="9" s="1"/>
  <c r="AD52" i="7"/>
  <c r="AC52" i="9"/>
  <c r="AD52" i="9" s="1"/>
  <c r="AD59" i="7"/>
  <c r="AC59" i="9"/>
  <c r="AD59" i="9" s="1"/>
  <c r="AD7" i="7"/>
  <c r="AC7" i="9"/>
  <c r="AD7" i="9" s="1"/>
  <c r="AD11" i="7"/>
  <c r="AC11" i="9"/>
  <c r="AD11" i="9" s="1"/>
  <c r="AD39" i="7"/>
  <c r="AC39" i="9"/>
  <c r="AD39" i="9" s="1"/>
  <c r="AD22" i="7"/>
  <c r="AC22" i="9"/>
  <c r="AD22" i="9" s="1"/>
  <c r="AD45" i="7"/>
  <c r="AC45" i="9"/>
  <c r="AD45" i="9" s="1"/>
  <c r="AH69" i="9"/>
  <c r="AH59" i="9"/>
  <c r="AH47" i="9"/>
  <c r="AH46" i="9"/>
  <c r="AH7" i="9"/>
  <c r="AH26" i="9"/>
  <c r="AH19" i="9"/>
  <c r="M38" i="7"/>
  <c r="AI68" i="9"/>
  <c r="AI60" i="9"/>
  <c r="AI57" i="9"/>
  <c r="AI61" i="9"/>
  <c r="AI25" i="9"/>
  <c r="AI23" i="9"/>
  <c r="AI18" i="9"/>
  <c r="AI16" i="9"/>
  <c r="M60" i="7"/>
  <c r="V80" i="6"/>
  <c r="V74" i="8"/>
  <c r="V78" i="8" s="1"/>
  <c r="V13" i="9" s="1"/>
  <c r="V74" i="9"/>
  <c r="V74" i="7"/>
  <c r="U21" i="9"/>
  <c r="AA40" i="11"/>
  <c r="Z40" i="12"/>
  <c r="Z40" i="13"/>
  <c r="AA40" i="13" s="1"/>
  <c r="R24" i="12"/>
  <c r="S24" i="12" s="1"/>
  <c r="S24" i="11"/>
  <c r="R24" i="13"/>
  <c r="S24" i="13" s="1"/>
  <c r="T36" i="12"/>
  <c r="T36" i="13"/>
  <c r="M20" i="7"/>
  <c r="M55" i="7"/>
  <c r="O33" i="9"/>
  <c r="W53" i="9"/>
  <c r="L59" i="8"/>
  <c r="L59" i="9"/>
  <c r="L19" i="8"/>
  <c r="L19" i="9"/>
  <c r="R40" i="9"/>
  <c r="X42" i="9"/>
  <c r="Y10" i="8"/>
  <c r="Y69" i="8"/>
  <c r="AD70" i="7"/>
  <c r="AC70" i="9"/>
  <c r="AD70" i="9" s="1"/>
  <c r="AH51" i="9"/>
  <c r="AI40" i="9"/>
  <c r="P47" i="7"/>
  <c r="P43" i="7"/>
  <c r="P39" i="7"/>
  <c r="P35" i="7"/>
  <c r="P31" i="7"/>
  <c r="P27" i="7"/>
  <c r="P18" i="7"/>
  <c r="P24" i="7"/>
  <c r="P21" i="7"/>
  <c r="P15" i="7"/>
  <c r="P11" i="7"/>
  <c r="P46" i="7"/>
  <c r="P42" i="7"/>
  <c r="P38" i="7"/>
  <c r="P34" i="7"/>
  <c r="P30" i="7"/>
  <c r="P26" i="7"/>
  <c r="P23" i="7"/>
  <c r="P49" i="7"/>
  <c r="P45" i="7"/>
  <c r="P41" i="7"/>
  <c r="P37" i="7"/>
  <c r="P33" i="7"/>
  <c r="P29" i="7"/>
  <c r="P20" i="7"/>
  <c r="P17" i="7"/>
  <c r="P14" i="7"/>
  <c r="P22" i="7"/>
  <c r="P48" i="7"/>
  <c r="P44" i="7"/>
  <c r="P40" i="7"/>
  <c r="P36" i="7"/>
  <c r="P32" i="7"/>
  <c r="P28" i="7"/>
  <c r="P25" i="7"/>
  <c r="P19" i="7"/>
  <c r="P16" i="7"/>
  <c r="P7" i="7"/>
  <c r="P12" i="7"/>
  <c r="P9" i="7"/>
  <c r="P6" i="7"/>
  <c r="P10" i="7"/>
  <c r="P8" i="7"/>
  <c r="P5" i="7"/>
  <c r="P53" i="7"/>
  <c r="P54" i="7"/>
  <c r="P61" i="7"/>
  <c r="P62" i="7"/>
  <c r="P69" i="7"/>
  <c r="P70" i="7"/>
  <c r="P50" i="7"/>
  <c r="P51" i="7"/>
  <c r="P52" i="7"/>
  <c r="P55" i="7"/>
  <c r="P66" i="7"/>
  <c r="P67" i="7"/>
  <c r="P68" i="7"/>
  <c r="P71" i="7"/>
  <c r="P65" i="7"/>
  <c r="P56" i="7"/>
  <c r="P64" i="7"/>
  <c r="P58" i="7"/>
  <c r="P60" i="7"/>
  <c r="P63" i="7"/>
  <c r="P59" i="7"/>
  <c r="P57" i="7"/>
  <c r="D46" i="5"/>
  <c r="AB52" i="24" s="1"/>
  <c r="Q52" i="13"/>
  <c r="Q52" i="12"/>
  <c r="Q52" i="11"/>
  <c r="Q52" i="10"/>
  <c r="U43" i="9"/>
  <c r="U9" i="9"/>
  <c r="U34" i="9"/>
  <c r="U31" i="9"/>
  <c r="U32" i="9"/>
  <c r="U33" i="9"/>
  <c r="U56" i="9"/>
  <c r="M16" i="7"/>
  <c r="U23" i="11"/>
  <c r="U17" i="11"/>
  <c r="U15" i="11"/>
  <c r="U13" i="11"/>
  <c r="U11" i="11"/>
  <c r="U9" i="11"/>
  <c r="U16" i="11"/>
  <c r="U12" i="11"/>
  <c r="U14" i="11"/>
  <c r="U8" i="11"/>
  <c r="U7" i="11"/>
  <c r="U6" i="11"/>
  <c r="U18" i="11"/>
  <c r="U10" i="11"/>
  <c r="U5" i="11"/>
  <c r="U44" i="11"/>
  <c r="U48" i="11"/>
  <c r="U47" i="11"/>
  <c r="U41" i="11"/>
  <c r="U35" i="11"/>
  <c r="U49" i="11"/>
  <c r="U43" i="11"/>
  <c r="U19" i="11"/>
  <c r="U26" i="11"/>
  <c r="U20" i="11"/>
  <c r="U34" i="11"/>
  <c r="U29" i="11"/>
  <c r="U30" i="11"/>
  <c r="U21" i="11"/>
  <c r="U28" i="11"/>
  <c r="U45" i="11"/>
  <c r="U46" i="11"/>
  <c r="U22" i="11"/>
  <c r="U32" i="11"/>
  <c r="U31" i="11"/>
  <c r="U25" i="11"/>
  <c r="U37" i="11"/>
  <c r="U24" i="11"/>
  <c r="U36" i="11"/>
  <c r="U40" i="11"/>
  <c r="U27" i="11"/>
  <c r="U33" i="11"/>
  <c r="U42" i="11"/>
  <c r="U38" i="11"/>
  <c r="U39" i="11"/>
  <c r="AA42" i="11"/>
  <c r="Z42" i="12"/>
  <c r="Z42" i="13"/>
  <c r="AA42" i="13" s="1"/>
  <c r="AA19" i="11"/>
  <c r="Z19" i="12"/>
  <c r="Z19" i="13"/>
  <c r="AA19" i="13" s="1"/>
  <c r="AA12" i="11"/>
  <c r="Z12" i="12"/>
  <c r="Z12" i="13"/>
  <c r="AA12" i="13" s="1"/>
  <c r="AA7" i="11"/>
  <c r="Z7" i="12"/>
  <c r="Z7" i="13"/>
  <c r="AA7" i="13" s="1"/>
  <c r="N36" i="12"/>
  <c r="N36" i="13"/>
  <c r="M43" i="7"/>
  <c r="N31" i="12"/>
  <c r="N31" i="13"/>
  <c r="N14" i="12"/>
  <c r="N14" i="13"/>
  <c r="R33" i="12"/>
  <c r="S33" i="11"/>
  <c r="R33" i="13"/>
  <c r="S33" i="13" s="1"/>
  <c r="R46" i="12"/>
  <c r="S46" i="12" s="1"/>
  <c r="S46" i="11"/>
  <c r="R46" i="13"/>
  <c r="S46" i="13" s="1"/>
  <c r="R37" i="12"/>
  <c r="S37" i="11"/>
  <c r="R37" i="13"/>
  <c r="S37" i="13" s="1"/>
  <c r="R28" i="12"/>
  <c r="S28" i="11"/>
  <c r="R28" i="13"/>
  <c r="S28" i="13" s="1"/>
  <c r="R7" i="12"/>
  <c r="S7" i="11"/>
  <c r="R7" i="13"/>
  <c r="S7" i="13" s="1"/>
  <c r="R16" i="12"/>
  <c r="S16" i="12" s="1"/>
  <c r="S16" i="11"/>
  <c r="R16" i="13"/>
  <c r="S16" i="13" s="1"/>
  <c r="T37" i="12"/>
  <c r="R37" i="29" s="1"/>
  <c r="R87" i="29" s="1"/>
  <c r="T37" i="13"/>
  <c r="T27" i="12"/>
  <c r="T27" i="13"/>
  <c r="T32" i="12"/>
  <c r="T32" i="13"/>
  <c r="T24" i="12"/>
  <c r="T24" i="13"/>
  <c r="T17" i="12"/>
  <c r="R17" i="29" s="1"/>
  <c r="R67" i="29" s="1"/>
  <c r="T17" i="13"/>
  <c r="M31" i="7"/>
  <c r="M39" i="7"/>
  <c r="O51" i="9"/>
  <c r="O42" i="9"/>
  <c r="O46" i="9"/>
  <c r="O50" i="9"/>
  <c r="O6" i="9"/>
  <c r="O14" i="9"/>
  <c r="O26" i="9"/>
  <c r="O18" i="9"/>
  <c r="AD50" i="7"/>
  <c r="AC50" i="9"/>
  <c r="AD50" i="9" s="1"/>
  <c r="W56" i="9"/>
  <c r="W69" i="9"/>
  <c r="W59" i="9"/>
  <c r="W54" i="9"/>
  <c r="W6" i="9"/>
  <c r="W33" i="9"/>
  <c r="W11" i="9"/>
  <c r="W35" i="9"/>
  <c r="W36" i="9"/>
  <c r="L52" i="8"/>
  <c r="L52" i="28" s="1"/>
  <c r="L124" i="28" s="1"/>
  <c r="L52" i="9"/>
  <c r="L53" i="8"/>
  <c r="L53" i="9"/>
  <c r="L51" i="8"/>
  <c r="L51" i="9"/>
  <c r="L56" i="8"/>
  <c r="L56" i="9"/>
  <c r="L33" i="8"/>
  <c r="L33" i="28" s="1"/>
  <c r="L105" i="28" s="1"/>
  <c r="L23" i="8"/>
  <c r="L23" i="9"/>
  <c r="L35" i="8"/>
  <c r="L35" i="9"/>
  <c r="L36" i="8"/>
  <c r="L36" i="9"/>
  <c r="S54" i="13"/>
  <c r="S54" i="12"/>
  <c r="S54" i="11"/>
  <c r="S54" i="10"/>
  <c r="R52" i="9"/>
  <c r="R54" i="9"/>
  <c r="R57" i="9"/>
  <c r="R5" i="9"/>
  <c r="R73" i="7"/>
  <c r="R31" i="9"/>
  <c r="R25" i="9"/>
  <c r="R10" i="9"/>
  <c r="R45" i="9"/>
  <c r="R46" i="9"/>
  <c r="M69" i="7"/>
  <c r="X28" i="9"/>
  <c r="X48" i="9"/>
  <c r="X29" i="9"/>
  <c r="X26" i="9"/>
  <c r="X11" i="9"/>
  <c r="X35" i="9"/>
  <c r="X53" i="9"/>
  <c r="X66" i="9"/>
  <c r="M7" i="7"/>
  <c r="Y16" i="8"/>
  <c r="Y40" i="8"/>
  <c r="Y29" i="8"/>
  <c r="Y26" i="8"/>
  <c r="Y21" i="8"/>
  <c r="Y39" i="8"/>
  <c r="Y53" i="8"/>
  <c r="Y66" i="8"/>
  <c r="AD66" i="7"/>
  <c r="AC66" i="9"/>
  <c r="AD66" i="9" s="1"/>
  <c r="AD41" i="7"/>
  <c r="AC41" i="9"/>
  <c r="AD41" i="9" s="1"/>
  <c r="AD47" i="7"/>
  <c r="AC47" i="9"/>
  <c r="AD47" i="9" s="1"/>
  <c r="AD26" i="7"/>
  <c r="AC26" i="9"/>
  <c r="AD26" i="9" s="1"/>
  <c r="AD15" i="7"/>
  <c r="AC15" i="9"/>
  <c r="AD15" i="9" s="1"/>
  <c r="AD12" i="7"/>
  <c r="AC12" i="9"/>
  <c r="AD12" i="9" s="1"/>
  <c r="AD25" i="7"/>
  <c r="AC25" i="9"/>
  <c r="AD25" i="9" s="1"/>
  <c r="AD17" i="7"/>
  <c r="AC17" i="9"/>
  <c r="AD17" i="9" s="1"/>
  <c r="AH60" i="9"/>
  <c r="AH66" i="9"/>
  <c r="AH43" i="9"/>
  <c r="AH49" i="9"/>
  <c r="AH25" i="9"/>
  <c r="AH28" i="9"/>
  <c r="M48" i="7"/>
  <c r="AI71" i="9"/>
  <c r="AI67" i="9"/>
  <c r="AI47" i="9"/>
  <c r="AI70" i="9"/>
  <c r="AI29" i="9"/>
  <c r="AI17" i="9"/>
  <c r="AI24" i="9"/>
  <c r="AI19" i="9"/>
  <c r="M36" i="7"/>
  <c r="M28" i="7"/>
  <c r="M25" i="7"/>
  <c r="M19" i="7"/>
  <c r="M35" i="7"/>
  <c r="M18" i="7"/>
  <c r="M24" i="7"/>
  <c r="M15" i="7"/>
  <c r="M33" i="7"/>
  <c r="M14" i="7"/>
  <c r="M10" i="7"/>
  <c r="M5" i="7"/>
  <c r="M9" i="7"/>
  <c r="M6" i="7"/>
  <c r="O18" i="11"/>
  <c r="O15" i="11"/>
  <c r="O9" i="11"/>
  <c r="O8" i="11"/>
  <c r="O7" i="11"/>
  <c r="O10" i="11"/>
  <c r="O6" i="11"/>
  <c r="O16" i="11"/>
  <c r="O11" i="11"/>
  <c r="O12" i="11"/>
  <c r="O5" i="11"/>
  <c r="O23" i="11"/>
  <c r="O13" i="11"/>
  <c r="O17" i="11"/>
  <c r="O14" i="11"/>
  <c r="O49" i="11"/>
  <c r="O27" i="11"/>
  <c r="O39" i="11"/>
  <c r="O24" i="11"/>
  <c r="O28" i="11"/>
  <c r="O35" i="11"/>
  <c r="O47" i="11"/>
  <c r="O30" i="11"/>
  <c r="O32" i="11"/>
  <c r="O26" i="11"/>
  <c r="O36" i="11"/>
  <c r="O43" i="11"/>
  <c r="O38" i="11"/>
  <c r="O40" i="11"/>
  <c r="O34" i="11"/>
  <c r="O44" i="11"/>
  <c r="O21" i="11"/>
  <c r="O46" i="11"/>
  <c r="O48" i="11"/>
  <c r="O42" i="11"/>
  <c r="O19" i="11"/>
  <c r="O20" i="11"/>
  <c r="O33" i="11"/>
  <c r="O37" i="11"/>
  <c r="O25" i="11"/>
  <c r="O41" i="11"/>
  <c r="O22" i="11"/>
  <c r="O29" i="11"/>
  <c r="O45" i="11"/>
  <c r="O31" i="11"/>
  <c r="U23" i="9"/>
  <c r="U38" i="9"/>
  <c r="U35" i="9"/>
  <c r="U36" i="9"/>
  <c r="U37" i="9"/>
  <c r="U57" i="9"/>
  <c r="U41" i="9"/>
  <c r="U54" i="9"/>
  <c r="AA22" i="11"/>
  <c r="Z22" i="12"/>
  <c r="Z22" i="13"/>
  <c r="AA22" i="13" s="1"/>
  <c r="AA25" i="11"/>
  <c r="Z25" i="12"/>
  <c r="Z25" i="13"/>
  <c r="AA25" i="13" s="1"/>
  <c r="AA43" i="11"/>
  <c r="Z43" i="12"/>
  <c r="Z43" i="13"/>
  <c r="AA43" i="13" s="1"/>
  <c r="AA16" i="11"/>
  <c r="Z16" i="12"/>
  <c r="Z16" i="13"/>
  <c r="AA16" i="13" s="1"/>
  <c r="AA8" i="11"/>
  <c r="Z8" i="12"/>
  <c r="Z8" i="13"/>
  <c r="AA8" i="13" s="1"/>
  <c r="N46" i="12"/>
  <c r="N46" i="13"/>
  <c r="AA30" i="11"/>
  <c r="Z30" i="12"/>
  <c r="Z30" i="13"/>
  <c r="AA30" i="13" s="1"/>
  <c r="M23" i="11"/>
  <c r="M17" i="11"/>
  <c r="M15" i="11"/>
  <c r="M18" i="11"/>
  <c r="M16" i="11"/>
  <c r="M14" i="11"/>
  <c r="M12" i="11"/>
  <c r="M10" i="11"/>
  <c r="M8" i="11"/>
  <c r="M9" i="11"/>
  <c r="M7" i="11"/>
  <c r="M6" i="11"/>
  <c r="M11" i="11"/>
  <c r="M5" i="11"/>
  <c r="M13" i="11"/>
  <c r="M49" i="11"/>
  <c r="M27" i="11"/>
  <c r="M19" i="11"/>
  <c r="M29" i="11"/>
  <c r="M39" i="11"/>
  <c r="M35" i="11"/>
  <c r="M28" i="11"/>
  <c r="M37" i="11"/>
  <c r="M21" i="11"/>
  <c r="M47" i="11"/>
  <c r="M24" i="11"/>
  <c r="M26" i="11"/>
  <c r="M43" i="11"/>
  <c r="M36" i="11"/>
  <c r="M45" i="11"/>
  <c r="M30" i="11"/>
  <c r="M32" i="11"/>
  <c r="M34" i="11"/>
  <c r="M44" i="11"/>
  <c r="M38" i="11"/>
  <c r="M40" i="11"/>
  <c r="M42" i="11"/>
  <c r="M46" i="11"/>
  <c r="M48" i="11"/>
  <c r="M33" i="11"/>
  <c r="M22" i="11"/>
  <c r="M25" i="11"/>
  <c r="M41" i="11"/>
  <c r="M31" i="11"/>
  <c r="M20" i="11"/>
  <c r="AA28" i="11"/>
  <c r="Z28" i="12"/>
  <c r="Z28" i="13"/>
  <c r="AA28" i="13" s="1"/>
  <c r="N21" i="12"/>
  <c r="N21" i="13"/>
  <c r="N27" i="12"/>
  <c r="N27" i="13"/>
  <c r="N15" i="12"/>
  <c r="N15" i="13"/>
  <c r="N16" i="12"/>
  <c r="N16" i="13"/>
  <c r="S19" i="11"/>
  <c r="R19" i="12"/>
  <c r="R19" i="13"/>
  <c r="S19" i="13" s="1"/>
  <c r="R45" i="12"/>
  <c r="S45" i="11"/>
  <c r="R45" i="13"/>
  <c r="S45" i="13" s="1"/>
  <c r="R36" i="12"/>
  <c r="S36" i="11"/>
  <c r="R36" i="13"/>
  <c r="S36" i="13" s="1"/>
  <c r="R27" i="12"/>
  <c r="S27" i="11"/>
  <c r="R27" i="13"/>
  <c r="S27" i="13" s="1"/>
  <c r="R9" i="12"/>
  <c r="S9" i="11"/>
  <c r="R9" i="13"/>
  <c r="S9" i="13" s="1"/>
  <c r="R18" i="12"/>
  <c r="S18" i="11"/>
  <c r="R18" i="13"/>
  <c r="S18" i="13" s="1"/>
  <c r="T25" i="12"/>
  <c r="T25" i="13"/>
  <c r="T30" i="12"/>
  <c r="T30" i="13"/>
  <c r="T48" i="12"/>
  <c r="T48" i="13"/>
  <c r="T40" i="12"/>
  <c r="T40" i="13"/>
  <c r="T13" i="12"/>
  <c r="T13" i="13"/>
  <c r="M45" i="7"/>
  <c r="R22" i="12"/>
  <c r="S22" i="11"/>
  <c r="R22" i="13"/>
  <c r="S22" i="13" s="1"/>
  <c r="M40" i="7"/>
  <c r="O52" i="9"/>
  <c r="O63" i="9"/>
  <c r="O61" i="9"/>
  <c r="O49" i="9"/>
  <c r="O9" i="9"/>
  <c r="O17" i="9"/>
  <c r="O30" i="9"/>
  <c r="O27" i="9"/>
  <c r="W57" i="9"/>
  <c r="W67" i="9"/>
  <c r="W50" i="9"/>
  <c r="W44" i="9"/>
  <c r="W22" i="9"/>
  <c r="W37" i="9"/>
  <c r="W15" i="9"/>
  <c r="W39" i="9"/>
  <c r="W40" i="9"/>
  <c r="L21" i="8"/>
  <c r="L21" i="9"/>
  <c r="L71" i="8"/>
  <c r="L71" i="9"/>
  <c r="L64" i="8"/>
  <c r="L64" i="9"/>
  <c r="L39" i="8"/>
  <c r="L39" i="28" s="1"/>
  <c r="L111" i="28" s="1"/>
  <c r="L39" i="9"/>
  <c r="L41" i="8"/>
  <c r="L41" i="9"/>
  <c r="L42" i="8"/>
  <c r="L42" i="9"/>
  <c r="L43" i="8"/>
  <c r="L43" i="9"/>
  <c r="L44" i="8"/>
  <c r="L44" i="28" s="1"/>
  <c r="L116" i="28" s="1"/>
  <c r="L44" i="9"/>
  <c r="R66" i="9"/>
  <c r="R61" i="9"/>
  <c r="R68" i="9"/>
  <c r="R8" i="9"/>
  <c r="R35" i="9"/>
  <c r="R28" i="9"/>
  <c r="R14" i="9"/>
  <c r="R49" i="9"/>
  <c r="M53" i="7"/>
  <c r="X36" i="9"/>
  <c r="X7" i="9"/>
  <c r="X33" i="9"/>
  <c r="X30" i="9"/>
  <c r="X15" i="9"/>
  <c r="X39" i="9"/>
  <c r="X57" i="9"/>
  <c r="X70" i="9"/>
  <c r="M22" i="7"/>
  <c r="Y6" i="8"/>
  <c r="Y44" i="8"/>
  <c r="Y33" i="8"/>
  <c r="Y30" i="8"/>
  <c r="Y24" i="8"/>
  <c r="Y43" i="8"/>
  <c r="Y57" i="8"/>
  <c r="Y70" i="8"/>
  <c r="AD65" i="7"/>
  <c r="AC65" i="9"/>
  <c r="AD65" i="9" s="1"/>
  <c r="AD56" i="7"/>
  <c r="AC56" i="9"/>
  <c r="AD56" i="9" s="1"/>
  <c r="AD46" i="7"/>
  <c r="AC46" i="9"/>
  <c r="AD46" i="9" s="1"/>
  <c r="AD34" i="7"/>
  <c r="AC34" i="9"/>
  <c r="AD34" i="9" s="1"/>
  <c r="AD24" i="7"/>
  <c r="AC24" i="9"/>
  <c r="AD24" i="9" s="1"/>
  <c r="AD16" i="7"/>
  <c r="AC16" i="9"/>
  <c r="AD16" i="9" s="1"/>
  <c r="AD10" i="7"/>
  <c r="AC10" i="9"/>
  <c r="AD10" i="9" s="1"/>
  <c r="AD23" i="7"/>
  <c r="AC23" i="9"/>
  <c r="AD23" i="9" s="1"/>
  <c r="AH41" i="9"/>
  <c r="AH55" i="9"/>
  <c r="AH54" i="9"/>
  <c r="AH6" i="9"/>
  <c r="AH33" i="9"/>
  <c r="AH34" i="9"/>
  <c r="AH35" i="9"/>
  <c r="AH32" i="9"/>
  <c r="M61" i="7"/>
  <c r="AI52" i="9"/>
  <c r="AI56" i="9"/>
  <c r="AI42" i="9"/>
  <c r="AI5" i="9"/>
  <c r="AI73" i="7"/>
  <c r="AI78" i="7" s="1"/>
  <c r="AI59" i="8" s="1"/>
  <c r="AI33" i="9"/>
  <c r="AI26" i="9"/>
  <c r="AI27" i="9"/>
  <c r="AI28" i="9"/>
  <c r="M32" i="7"/>
  <c r="R49" i="13"/>
  <c r="S49" i="13" s="1"/>
  <c r="U16" i="9"/>
  <c r="N26" i="12"/>
  <c r="N26" i="13"/>
  <c r="R15" i="12"/>
  <c r="S15" i="11"/>
  <c r="R15" i="13"/>
  <c r="S15" i="13" s="1"/>
  <c r="T28" i="12"/>
  <c r="T28" i="13"/>
  <c r="O8" i="9"/>
  <c r="O39" i="9"/>
  <c r="W64" i="9"/>
  <c r="W19" i="9"/>
  <c r="L45" i="8"/>
  <c r="L45" i="9"/>
  <c r="R65" i="9"/>
  <c r="R30" i="9"/>
  <c r="X45" i="9"/>
  <c r="X63" i="9"/>
  <c r="Y42" i="8"/>
  <c r="Y63" i="8"/>
  <c r="AD42" i="7"/>
  <c r="AC42" i="9"/>
  <c r="AD42" i="9" s="1"/>
  <c r="AD32" i="7"/>
  <c r="AC32" i="9"/>
  <c r="AD32" i="9" s="1"/>
  <c r="AH56" i="9"/>
  <c r="AH20" i="9"/>
  <c r="AH9" i="9"/>
  <c r="AI48" i="9"/>
  <c r="AI43" i="9"/>
  <c r="AI38" i="9"/>
  <c r="Y74" i="8"/>
  <c r="Y78" i="8" s="1"/>
  <c r="Y13" i="9" s="1"/>
  <c r="Y74" i="9"/>
  <c r="Y74" i="7"/>
  <c r="V23" i="11"/>
  <c r="V17" i="11"/>
  <c r="V15" i="11"/>
  <c r="V18" i="11"/>
  <c r="V16" i="11"/>
  <c r="V14" i="11"/>
  <c r="V12" i="11"/>
  <c r="W12" i="11" s="1"/>
  <c r="V10" i="11"/>
  <c r="V8" i="11"/>
  <c r="V6" i="11"/>
  <c r="V13" i="11"/>
  <c r="V7" i="11"/>
  <c r="V9" i="11"/>
  <c r="V5" i="11"/>
  <c r="V11" i="11"/>
  <c r="V31" i="11"/>
  <c r="V48" i="11"/>
  <c r="V39" i="11"/>
  <c r="V25" i="11"/>
  <c r="V47" i="11"/>
  <c r="V33" i="11"/>
  <c r="V27" i="11"/>
  <c r="V20" i="11"/>
  <c r="V41" i="11"/>
  <c r="V35" i="11"/>
  <c r="V19" i="11"/>
  <c r="V29" i="11"/>
  <c r="V21" i="11"/>
  <c r="W21" i="11" s="1"/>
  <c r="V49" i="11"/>
  <c r="V26" i="11"/>
  <c r="V43" i="11"/>
  <c r="V28" i="11"/>
  <c r="V37" i="11"/>
  <c r="V30" i="11"/>
  <c r="V32" i="11"/>
  <c r="V42" i="11"/>
  <c r="V44" i="11"/>
  <c r="V46" i="11"/>
  <c r="V38" i="11"/>
  <c r="V22" i="11"/>
  <c r="V36" i="11"/>
  <c r="V45" i="11"/>
  <c r="V34" i="11"/>
  <c r="V24" i="11"/>
  <c r="V40" i="11"/>
  <c r="AO13" i="8"/>
  <c r="U7" i="8"/>
  <c r="U7" i="9"/>
  <c r="U11" i="9"/>
  <c r="U39" i="9"/>
  <c r="U40" i="9"/>
  <c r="U45" i="8"/>
  <c r="U45" i="9"/>
  <c r="AA49" i="11"/>
  <c r="Z49" i="12"/>
  <c r="Z49" i="13"/>
  <c r="AA49" i="13" s="1"/>
  <c r="AA48" i="11"/>
  <c r="Z48" i="12"/>
  <c r="Z48" i="13"/>
  <c r="AA48" i="13" s="1"/>
  <c r="AA32" i="11"/>
  <c r="Z32" i="12"/>
  <c r="Z32" i="13"/>
  <c r="AA32" i="13" s="1"/>
  <c r="AA11" i="11"/>
  <c r="Z11" i="12"/>
  <c r="Z11" i="13"/>
  <c r="AA11" i="13" s="1"/>
  <c r="AA14" i="11"/>
  <c r="Z14" i="13"/>
  <c r="AA14" i="13" s="1"/>
  <c r="Z14" i="12"/>
  <c r="N42" i="12"/>
  <c r="N42" i="13"/>
  <c r="N29" i="12"/>
  <c r="N29" i="13"/>
  <c r="N48" i="12"/>
  <c r="N48" i="13"/>
  <c r="N17" i="12"/>
  <c r="N17" i="13"/>
  <c r="N18" i="12"/>
  <c r="N18" i="13"/>
  <c r="S21" i="11"/>
  <c r="R21" i="12"/>
  <c r="R21" i="13"/>
  <c r="S21" i="13" s="1"/>
  <c r="R44" i="12"/>
  <c r="S44" i="11"/>
  <c r="R44" i="13"/>
  <c r="S44" i="13" s="1"/>
  <c r="R35" i="12"/>
  <c r="S35" i="11"/>
  <c r="R35" i="13"/>
  <c r="S35" i="13" s="1"/>
  <c r="R26" i="12"/>
  <c r="S26" i="11"/>
  <c r="R26" i="13"/>
  <c r="S26" i="13" s="1"/>
  <c r="S11" i="11"/>
  <c r="R11" i="12"/>
  <c r="R11" i="13"/>
  <c r="S11" i="13" s="1"/>
  <c r="T45" i="12"/>
  <c r="T45" i="13"/>
  <c r="T31" i="12"/>
  <c r="T31" i="13"/>
  <c r="T46" i="12"/>
  <c r="T46" i="13"/>
  <c r="T22" i="12"/>
  <c r="T22" i="13"/>
  <c r="T6" i="12"/>
  <c r="T6" i="13"/>
  <c r="T12" i="12"/>
  <c r="T12" i="13"/>
  <c r="M54" i="7"/>
  <c r="S53" i="12"/>
  <c r="S53" i="13"/>
  <c r="S53" i="11"/>
  <c r="S53" i="10"/>
  <c r="M58" i="7"/>
  <c r="O71" i="9"/>
  <c r="O55" i="9"/>
  <c r="O47" i="9"/>
  <c r="O41" i="9"/>
  <c r="O32" i="9"/>
  <c r="O20" i="9"/>
  <c r="O34" i="9"/>
  <c r="O31" i="9"/>
  <c r="W71" i="9"/>
  <c r="W58" i="9"/>
  <c r="W47" i="9"/>
  <c r="W42" i="9"/>
  <c r="W7" i="9"/>
  <c r="W45" i="9"/>
  <c r="W21" i="9"/>
  <c r="W12" i="9"/>
  <c r="M62" i="7"/>
  <c r="L62" i="8"/>
  <c r="L62" i="9"/>
  <c r="L16" i="8"/>
  <c r="L16" i="9"/>
  <c r="L55" i="8"/>
  <c r="L55" i="9"/>
  <c r="L60" i="8"/>
  <c r="L60" i="9"/>
  <c r="L49" i="8"/>
  <c r="L49" i="9"/>
  <c r="L46" i="8"/>
  <c r="L46" i="9"/>
  <c r="L47" i="8"/>
  <c r="L47" i="9"/>
  <c r="L48" i="8"/>
  <c r="L48" i="9"/>
  <c r="AD53" i="7"/>
  <c r="AC53" i="9"/>
  <c r="AD53" i="9" s="1"/>
  <c r="R64" i="9"/>
  <c r="R71" i="9"/>
  <c r="R67" i="9"/>
  <c r="R21" i="9"/>
  <c r="R39" i="9"/>
  <c r="R32" i="9"/>
  <c r="R17" i="9"/>
  <c r="R23" i="9"/>
  <c r="M68" i="7"/>
  <c r="Z73" i="8"/>
  <c r="X44" i="8"/>
  <c r="X44" i="9"/>
  <c r="X19" i="9"/>
  <c r="X37" i="9"/>
  <c r="X34" i="9"/>
  <c r="X21" i="8"/>
  <c r="X21" i="9"/>
  <c r="X43" i="9"/>
  <c r="X61" i="9"/>
  <c r="X55" i="9"/>
  <c r="M70" i="7"/>
  <c r="Y12" i="8"/>
  <c r="Y48" i="8"/>
  <c r="Y37" i="8"/>
  <c r="Y34" i="8"/>
  <c r="Y51" i="8"/>
  <c r="Y47" i="8"/>
  <c r="Y61" i="8"/>
  <c r="Y55" i="8"/>
  <c r="AA68" i="9"/>
  <c r="Z68" i="28" s="1"/>
  <c r="Z140" i="28" s="1"/>
  <c r="AA70" i="9"/>
  <c r="Z70" i="28" s="1"/>
  <c r="Z142" i="28" s="1"/>
  <c r="AA50" i="9"/>
  <c r="Z50" i="28" s="1"/>
  <c r="Z122" i="28" s="1"/>
  <c r="AA45" i="9"/>
  <c r="Z45" i="28" s="1"/>
  <c r="Z117" i="28" s="1"/>
  <c r="AA40" i="9"/>
  <c r="Z40" i="28" s="1"/>
  <c r="Z112" i="28" s="1"/>
  <c r="AA33" i="9"/>
  <c r="Z33" i="28" s="1"/>
  <c r="Z105" i="28" s="1"/>
  <c r="AA17" i="9"/>
  <c r="Z17" i="28" s="1"/>
  <c r="Z89" i="28" s="1"/>
  <c r="AA5" i="9"/>
  <c r="Z5" i="28" s="1"/>
  <c r="Z77" i="28" s="1"/>
  <c r="AA64" i="9"/>
  <c r="Z64" i="28" s="1"/>
  <c r="Z136" i="28" s="1"/>
  <c r="AA66" i="9"/>
  <c r="Z66" i="28" s="1"/>
  <c r="Z138" i="28" s="1"/>
  <c r="AA58" i="9"/>
  <c r="Z58" i="28" s="1"/>
  <c r="Z130" i="28" s="1"/>
  <c r="AA41" i="9"/>
  <c r="Z41" i="28" s="1"/>
  <c r="Z113" i="28" s="1"/>
  <c r="AA42" i="9"/>
  <c r="Z42" i="28" s="1"/>
  <c r="Z114" i="28" s="1"/>
  <c r="AA30" i="9"/>
  <c r="Z30" i="28" s="1"/>
  <c r="Z102" i="28" s="1"/>
  <c r="AA12" i="9"/>
  <c r="Z12" i="28" s="1"/>
  <c r="Z84" i="28" s="1"/>
  <c r="AA22" i="9"/>
  <c r="Z22" i="28" s="1"/>
  <c r="Z94" i="28" s="1"/>
  <c r="AA67" i="9"/>
  <c r="Z67" i="28" s="1"/>
  <c r="Z139" i="28" s="1"/>
  <c r="AA57" i="9"/>
  <c r="Z57" i="28" s="1"/>
  <c r="Z129" i="28" s="1"/>
  <c r="AA47" i="9"/>
  <c r="Z47" i="28" s="1"/>
  <c r="Z119" i="28" s="1"/>
  <c r="AA27" i="9"/>
  <c r="Z27" i="28" s="1"/>
  <c r="Z99" i="28" s="1"/>
  <c r="AA21" i="9"/>
  <c r="Z21" i="28" s="1"/>
  <c r="Z93" i="28" s="1"/>
  <c r="AA8" i="9"/>
  <c r="Z8" i="28" s="1"/>
  <c r="Z80" i="28" s="1"/>
  <c r="AA6" i="9"/>
  <c r="Z6" i="28" s="1"/>
  <c r="Z78" i="28" s="1"/>
  <c r="AA63" i="9"/>
  <c r="Z63" i="28" s="1"/>
  <c r="Z135" i="28" s="1"/>
  <c r="AA53" i="9"/>
  <c r="Z53" i="28" s="1"/>
  <c r="Z125" i="28" s="1"/>
  <c r="AA43" i="9"/>
  <c r="Z43" i="28" s="1"/>
  <c r="Z115" i="28" s="1"/>
  <c r="AA23" i="9"/>
  <c r="Z23" i="28" s="1"/>
  <c r="Z95" i="28" s="1"/>
  <c r="AA36" i="9"/>
  <c r="Z36" i="28" s="1"/>
  <c r="Z108" i="28" s="1"/>
  <c r="AA28" i="9"/>
  <c r="Z28" i="28" s="1"/>
  <c r="Z100" i="28" s="1"/>
  <c r="AA24" i="9"/>
  <c r="Z24" i="28" s="1"/>
  <c r="Z96" i="28" s="1"/>
  <c r="AA59" i="9"/>
  <c r="Z59" i="28" s="1"/>
  <c r="Z131" i="28" s="1"/>
  <c r="AA62" i="9"/>
  <c r="Z62" i="28" s="1"/>
  <c r="Z134" i="28" s="1"/>
  <c r="AA39" i="9"/>
  <c r="Z39" i="28" s="1"/>
  <c r="Z111" i="28" s="1"/>
  <c r="AA19" i="9"/>
  <c r="Z19" i="28" s="1"/>
  <c r="Z91" i="28" s="1"/>
  <c r="AA34" i="9"/>
  <c r="Z34" i="28" s="1"/>
  <c r="Z106" i="28" s="1"/>
  <c r="AA20" i="9"/>
  <c r="Z20" i="28" s="1"/>
  <c r="Z92" i="28" s="1"/>
  <c r="AA55" i="9"/>
  <c r="Z55" i="28" s="1"/>
  <c r="Z127" i="28" s="1"/>
  <c r="AA51" i="9"/>
  <c r="Z51" i="28" s="1"/>
  <c r="Z123" i="28" s="1"/>
  <c r="AA48" i="9"/>
  <c r="Z48" i="28" s="1"/>
  <c r="Z120" i="28" s="1"/>
  <c r="AA35" i="9"/>
  <c r="Z35" i="28" s="1"/>
  <c r="Z107" i="28" s="1"/>
  <c r="AA16" i="9"/>
  <c r="Z16" i="28" s="1"/>
  <c r="Z88" i="28" s="1"/>
  <c r="AA18" i="9"/>
  <c r="Z18" i="28" s="1"/>
  <c r="Z90" i="28" s="1"/>
  <c r="AA60" i="9"/>
  <c r="Z60" i="28" s="1"/>
  <c r="Z132" i="28" s="1"/>
  <c r="AA46" i="9"/>
  <c r="Z46" i="28" s="1"/>
  <c r="Z118" i="28" s="1"/>
  <c r="AA44" i="9"/>
  <c r="Z44" i="28" s="1"/>
  <c r="Z116" i="28" s="1"/>
  <c r="AA31" i="9"/>
  <c r="Z31" i="28" s="1"/>
  <c r="Z103" i="28" s="1"/>
  <c r="AA15" i="9"/>
  <c r="Z15" i="28" s="1"/>
  <c r="Z87" i="28" s="1"/>
  <c r="AA13" i="9"/>
  <c r="Z13" i="28" s="1"/>
  <c r="Z85" i="28" s="1"/>
  <c r="AA69" i="9"/>
  <c r="Z69" i="28" s="1"/>
  <c r="Z141" i="28" s="1"/>
  <c r="AA56" i="9"/>
  <c r="Z56" i="28" s="1"/>
  <c r="Z128" i="28" s="1"/>
  <c r="AA49" i="9"/>
  <c r="Z49" i="28" s="1"/>
  <c r="Z121" i="28" s="1"/>
  <c r="AA32" i="9"/>
  <c r="Z32" i="28" s="1"/>
  <c r="Z104" i="28" s="1"/>
  <c r="AA11" i="9"/>
  <c r="Z11" i="28" s="1"/>
  <c r="Z83" i="28" s="1"/>
  <c r="AA9" i="9"/>
  <c r="Z9" i="28" s="1"/>
  <c r="Z81" i="28" s="1"/>
  <c r="AA71" i="9"/>
  <c r="Z71" i="28" s="1"/>
  <c r="Z143" i="28" s="1"/>
  <c r="AA52" i="9"/>
  <c r="Z52" i="28" s="1"/>
  <c r="Z124" i="28" s="1"/>
  <c r="AA25" i="9"/>
  <c r="Z25" i="28" s="1"/>
  <c r="Z97" i="28" s="1"/>
  <c r="AA10" i="9"/>
  <c r="Z10" i="28" s="1"/>
  <c r="Z82" i="28" s="1"/>
  <c r="AA65" i="9"/>
  <c r="Z65" i="28" s="1"/>
  <c r="Z137" i="28" s="1"/>
  <c r="AA54" i="9"/>
  <c r="Z54" i="28" s="1"/>
  <c r="Z126" i="28" s="1"/>
  <c r="AA37" i="9"/>
  <c r="Z37" i="28" s="1"/>
  <c r="Z109" i="28" s="1"/>
  <c r="AA29" i="9"/>
  <c r="Z29" i="28" s="1"/>
  <c r="Z101" i="28" s="1"/>
  <c r="AA7" i="9"/>
  <c r="Z7" i="28" s="1"/>
  <c r="Z79" i="28" s="1"/>
  <c r="AA14" i="9"/>
  <c r="Z14" i="28" s="1"/>
  <c r="Z86" i="28" s="1"/>
  <c r="AA61" i="9"/>
  <c r="Z61" i="28" s="1"/>
  <c r="Z133" i="28" s="1"/>
  <c r="AA38" i="9"/>
  <c r="Z38" i="28" s="1"/>
  <c r="Z110" i="28" s="1"/>
  <c r="AA26" i="9"/>
  <c r="Z26" i="28" s="1"/>
  <c r="Z98" i="28" s="1"/>
  <c r="AD69" i="7"/>
  <c r="AC69" i="9"/>
  <c r="AD69" i="9" s="1"/>
  <c r="AD63" i="7"/>
  <c r="AC63" i="9"/>
  <c r="AD63" i="9" s="1"/>
  <c r="AD67" i="7"/>
  <c r="AC67" i="9"/>
  <c r="AD67" i="9" s="1"/>
  <c r="AD8" i="7"/>
  <c r="AC8" i="9"/>
  <c r="AD8" i="9" s="1"/>
  <c r="AD18" i="7"/>
  <c r="AC18" i="9"/>
  <c r="AD18" i="9" s="1"/>
  <c r="AD19" i="7"/>
  <c r="AC19" i="9"/>
  <c r="AD19" i="9" s="1"/>
  <c r="AD14" i="7"/>
  <c r="AC14" i="9"/>
  <c r="AD14" i="9" s="1"/>
  <c r="M50" i="7"/>
  <c r="AH67" i="9"/>
  <c r="AH62" i="9"/>
  <c r="AH44" i="9"/>
  <c r="AH29" i="9"/>
  <c r="AH38" i="9"/>
  <c r="AH39" i="9"/>
  <c r="AH36" i="9"/>
  <c r="M21" i="7"/>
  <c r="AI59" i="9"/>
  <c r="AI63" i="9"/>
  <c r="AI50" i="8"/>
  <c r="AI50" i="9"/>
  <c r="AI8" i="9"/>
  <c r="AI37" i="9"/>
  <c r="AI30" i="9"/>
  <c r="AI31" i="8"/>
  <c r="AI31" i="9"/>
  <c r="AI32" i="9"/>
  <c r="M46" i="7"/>
  <c r="U14" i="9"/>
  <c r="AA23" i="11"/>
  <c r="Z23" i="12"/>
  <c r="Z23" i="13"/>
  <c r="AA23" i="13" s="1"/>
  <c r="N6" i="13"/>
  <c r="R8" i="12"/>
  <c r="S8" i="11"/>
  <c r="R8" i="13"/>
  <c r="S8" i="13" s="1"/>
  <c r="T9" i="12"/>
  <c r="T9" i="13"/>
  <c r="O57" i="9"/>
  <c r="O11" i="9"/>
  <c r="W70" i="9"/>
  <c r="L7" i="8"/>
  <c r="L7" i="9"/>
  <c r="L65" i="8"/>
  <c r="L65" i="9"/>
  <c r="R6" i="9"/>
  <c r="X25" i="9"/>
  <c r="X69" i="9"/>
  <c r="Y25" i="8"/>
  <c r="Y18" i="8"/>
  <c r="AD71" i="7"/>
  <c r="AC71" i="9"/>
  <c r="AD71" i="9" s="1"/>
  <c r="AD27" i="7"/>
  <c r="AC27" i="9"/>
  <c r="AD27" i="9" s="1"/>
  <c r="AD29" i="7"/>
  <c r="AC29" i="9"/>
  <c r="AD29" i="9" s="1"/>
  <c r="AH45" i="9"/>
  <c r="AH15" i="9"/>
  <c r="AH22" i="9"/>
  <c r="AI65" i="9"/>
  <c r="AI41" i="8"/>
  <c r="AI41" i="9"/>
  <c r="AI22" i="9"/>
  <c r="Q24" i="7"/>
  <c r="Q15" i="7"/>
  <c r="Q46" i="7"/>
  <c r="Q42" i="7"/>
  <c r="Q23" i="7"/>
  <c r="Q49" i="7"/>
  <c r="Q41" i="7"/>
  <c r="Q33" i="7"/>
  <c r="Q17" i="7"/>
  <c r="Q14" i="7"/>
  <c r="Q10" i="7"/>
  <c r="Q22" i="7"/>
  <c r="Q48" i="7"/>
  <c r="Q44" i="7"/>
  <c r="Q36" i="7"/>
  <c r="Q32" i="7"/>
  <c r="Q28" i="7"/>
  <c r="Q25" i="7"/>
  <c r="Q19" i="7"/>
  <c r="Q12" i="7"/>
  <c r="Q9" i="7"/>
  <c r="Q6" i="7"/>
  <c r="Q43" i="7"/>
  <c r="Q35" i="7"/>
  <c r="Q27" i="7"/>
  <c r="Q8" i="7"/>
  <c r="Q5" i="7"/>
  <c r="Q18" i="7"/>
  <c r="Q47" i="7"/>
  <c r="Q31" i="7"/>
  <c r="Q39" i="7"/>
  <c r="Q11" i="7"/>
  <c r="Q38" i="7"/>
  <c r="Q55" i="7"/>
  <c r="Q40" i="7"/>
  <c r="Q51" i="7"/>
  <c r="Q34" i="7"/>
  <c r="Q7" i="7"/>
  <c r="Q54" i="7"/>
  <c r="Q63" i="7"/>
  <c r="Q56" i="7"/>
  <c r="Q59" i="7"/>
  <c r="Q52" i="7"/>
  <c r="Q62" i="7"/>
  <c r="Q71" i="7"/>
  <c r="Q64" i="7"/>
  <c r="Q67" i="7"/>
  <c r="Q60" i="7"/>
  <c r="Q70" i="7"/>
  <c r="Q26" i="7"/>
  <c r="Q29" i="7"/>
  <c r="Q37" i="7"/>
  <c r="Q68" i="7"/>
  <c r="Q45" i="7"/>
  <c r="Q50" i="7"/>
  <c r="Q69" i="7"/>
  <c r="Q65" i="7"/>
  <c r="Q66" i="7"/>
  <c r="Q20" i="7"/>
  <c r="Q16" i="7"/>
  <c r="Q61" i="7"/>
  <c r="Q21" i="7"/>
  <c r="Q58" i="7"/>
  <c r="Q57" i="7"/>
  <c r="Q53" i="7"/>
  <c r="Q30" i="7"/>
  <c r="P18" i="11"/>
  <c r="P16" i="11"/>
  <c r="P14" i="11"/>
  <c r="P12" i="11"/>
  <c r="P10" i="11"/>
  <c r="P6" i="11"/>
  <c r="P11" i="11"/>
  <c r="P5" i="11"/>
  <c r="P23" i="11"/>
  <c r="P13" i="11"/>
  <c r="P17" i="11"/>
  <c r="P8" i="11"/>
  <c r="P7" i="11"/>
  <c r="P15" i="11"/>
  <c r="P9" i="11"/>
  <c r="P22" i="11"/>
  <c r="P27" i="11"/>
  <c r="P31" i="11"/>
  <c r="P35" i="11"/>
  <c r="P19" i="11"/>
  <c r="P39" i="11"/>
  <c r="P25" i="11"/>
  <c r="P43" i="11"/>
  <c r="P29" i="11"/>
  <c r="P47" i="11"/>
  <c r="P33" i="11"/>
  <c r="P30" i="11"/>
  <c r="P37" i="11"/>
  <c r="P41" i="11"/>
  <c r="P24" i="11"/>
  <c r="P26" i="11"/>
  <c r="P28" i="11"/>
  <c r="P38" i="11"/>
  <c r="P40" i="11"/>
  <c r="P42" i="11"/>
  <c r="P44" i="11"/>
  <c r="P20" i="11"/>
  <c r="P21" i="11"/>
  <c r="P36" i="11"/>
  <c r="P34" i="11"/>
  <c r="P32" i="11"/>
  <c r="P48" i="11"/>
  <c r="P45" i="11"/>
  <c r="P49" i="11"/>
  <c r="P46" i="11"/>
  <c r="U10" i="9"/>
  <c r="U15" i="9"/>
  <c r="U12" i="9"/>
  <c r="U22" i="9"/>
  <c r="U46" i="9"/>
  <c r="AA31" i="11"/>
  <c r="Z31" i="12"/>
  <c r="Z31" i="13"/>
  <c r="AA31" i="13" s="1"/>
  <c r="AA34" i="11"/>
  <c r="Z34" i="12"/>
  <c r="Z34" i="13"/>
  <c r="AA34" i="13" s="1"/>
  <c r="AA38" i="11"/>
  <c r="Z38" i="12"/>
  <c r="Z38" i="13"/>
  <c r="AA38" i="13" s="1"/>
  <c r="AA5" i="11"/>
  <c r="Z5" i="12"/>
  <c r="Z5" i="13"/>
  <c r="AA17" i="11"/>
  <c r="Z17" i="12"/>
  <c r="Z17" i="13"/>
  <c r="AA17" i="13" s="1"/>
  <c r="AA37" i="11"/>
  <c r="Z37" i="12"/>
  <c r="Z37" i="13"/>
  <c r="AA37" i="13" s="1"/>
  <c r="AA20" i="11"/>
  <c r="Z20" i="12"/>
  <c r="Z20" i="13"/>
  <c r="AA20" i="13" s="1"/>
  <c r="M27" i="7"/>
  <c r="N47" i="12"/>
  <c r="N47" i="13"/>
  <c r="N33" i="12"/>
  <c r="N44" i="12"/>
  <c r="N44" i="13"/>
  <c r="N23" i="12"/>
  <c r="N23" i="13"/>
  <c r="R20" i="12"/>
  <c r="S20" i="11"/>
  <c r="R20" i="13"/>
  <c r="S20" i="13" s="1"/>
  <c r="S43" i="11"/>
  <c r="R43" i="12"/>
  <c r="R43" i="13"/>
  <c r="S43" i="13" s="1"/>
  <c r="R34" i="12"/>
  <c r="S34" i="11"/>
  <c r="R34" i="13"/>
  <c r="S34" i="13" s="1"/>
  <c r="R6" i="12"/>
  <c r="S6" i="11"/>
  <c r="R6" i="13"/>
  <c r="S6" i="13" s="1"/>
  <c r="R13" i="12"/>
  <c r="S13" i="11"/>
  <c r="R13" i="13"/>
  <c r="S13" i="13" s="1"/>
  <c r="T47" i="12"/>
  <c r="T47" i="13"/>
  <c r="T21" i="12"/>
  <c r="T21" i="13"/>
  <c r="T20" i="12"/>
  <c r="T20" i="13"/>
  <c r="T38" i="12"/>
  <c r="T38" i="13"/>
  <c r="T7" i="12"/>
  <c r="T7" i="13"/>
  <c r="T16" i="12"/>
  <c r="T16" i="13"/>
  <c r="M11" i="7"/>
  <c r="M59" i="7"/>
  <c r="M42" i="7"/>
  <c r="O60" i="9"/>
  <c r="O54" i="9"/>
  <c r="O58" i="9"/>
  <c r="O73" i="7"/>
  <c r="O78" i="7" s="1"/>
  <c r="O32" i="8" s="1"/>
  <c r="O32" i="28" s="1"/>
  <c r="O104" i="28" s="1"/>
  <c r="O5" i="9"/>
  <c r="O40" i="9"/>
  <c r="O29" i="9"/>
  <c r="O38" i="9"/>
  <c r="O35" i="9"/>
  <c r="W52" i="9"/>
  <c r="W55" i="9"/>
  <c r="W62" i="9"/>
  <c r="W65" i="9"/>
  <c r="W10" i="9"/>
  <c r="W23" i="9"/>
  <c r="W24" i="9"/>
  <c r="W16" i="9"/>
  <c r="L50" i="8"/>
  <c r="L50" i="9"/>
  <c r="L69" i="8"/>
  <c r="L69" i="9"/>
  <c r="L11" i="8"/>
  <c r="L11" i="9"/>
  <c r="L68" i="8"/>
  <c r="L68" i="9"/>
  <c r="L29" i="8"/>
  <c r="L29" i="9"/>
  <c r="L17" i="8"/>
  <c r="L17" i="9"/>
  <c r="L15" i="8"/>
  <c r="L15" i="9"/>
  <c r="L12" i="8"/>
  <c r="L12" i="9"/>
  <c r="L22" i="8"/>
  <c r="L22" i="9"/>
  <c r="S73" i="7"/>
  <c r="U63" i="9"/>
  <c r="R62" i="9"/>
  <c r="R58" i="9"/>
  <c r="R60" i="9"/>
  <c r="R24" i="9"/>
  <c r="R43" i="9"/>
  <c r="R36" i="9"/>
  <c r="R20" i="9"/>
  <c r="R26" i="9"/>
  <c r="X9" i="9"/>
  <c r="X22" i="9"/>
  <c r="X41" i="9"/>
  <c r="X38" i="9"/>
  <c r="X24" i="9"/>
  <c r="X47" i="9"/>
  <c r="X65" i="9"/>
  <c r="X59" i="9"/>
  <c r="M67" i="7"/>
  <c r="Y19" i="8"/>
  <c r="Y22" i="8"/>
  <c r="Y41" i="8"/>
  <c r="Y38" i="8"/>
  <c r="Y71" i="8"/>
  <c r="Y52" i="8"/>
  <c r="Y65" i="8"/>
  <c r="Y59" i="8"/>
  <c r="AD64" i="7"/>
  <c r="AC64" i="9"/>
  <c r="AD64" i="9" s="1"/>
  <c r="AD58" i="7"/>
  <c r="AC58" i="9"/>
  <c r="AD58" i="9" s="1"/>
  <c r="AD44" i="7"/>
  <c r="AC44" i="9"/>
  <c r="AD44" i="9" s="1"/>
  <c r="AD51" i="7"/>
  <c r="AC51" i="9"/>
  <c r="AD51" i="9" s="1"/>
  <c r="AD5" i="7"/>
  <c r="AC73" i="7"/>
  <c r="AC78" i="7" s="1"/>
  <c r="AC51" i="8" s="1"/>
  <c r="AC5" i="9"/>
  <c r="AD21" i="7"/>
  <c r="AC21" i="9"/>
  <c r="AD21" i="9" s="1"/>
  <c r="AD28" i="7"/>
  <c r="AC28" i="9"/>
  <c r="AD28" i="9" s="1"/>
  <c r="AD20" i="7"/>
  <c r="AC20" i="9"/>
  <c r="AD20" i="9" s="1"/>
  <c r="AH52" i="9"/>
  <c r="AH68" i="9"/>
  <c r="AH53" i="9"/>
  <c r="AH42" i="9"/>
  <c r="AH14" i="9"/>
  <c r="AH11" i="9"/>
  <c r="AH21" i="9"/>
  <c r="AH40" i="9"/>
  <c r="AI64" i="9"/>
  <c r="AI66" i="9"/>
  <c r="AI54" i="9"/>
  <c r="AI49" i="8"/>
  <c r="AI49" i="9"/>
  <c r="AI9" i="9"/>
  <c r="AI45" i="9"/>
  <c r="AI34" i="9"/>
  <c r="AI35" i="8"/>
  <c r="AI35" i="9"/>
  <c r="AI36" i="9"/>
  <c r="M26" i="7"/>
  <c r="R49" i="12"/>
  <c r="D10" i="5"/>
  <c r="T76" i="6" s="1"/>
  <c r="T74" i="23" s="1"/>
  <c r="AH27" i="8" l="1"/>
  <c r="AD27" i="28" s="1"/>
  <c r="AD99" i="28" s="1"/>
  <c r="W38" i="11"/>
  <c r="W55" i="8"/>
  <c r="W50" i="8"/>
  <c r="N46" i="29"/>
  <c r="N96" i="29" s="1"/>
  <c r="N13" i="13"/>
  <c r="L31" i="8"/>
  <c r="L31" i="28" s="1"/>
  <c r="L103" i="28" s="1"/>
  <c r="L66" i="8"/>
  <c r="L66" i="28" s="1"/>
  <c r="L138" i="28" s="1"/>
  <c r="N9" i="24"/>
  <c r="N13" i="12"/>
  <c r="AH27" i="9"/>
  <c r="N49" i="13"/>
  <c r="AH73" i="7"/>
  <c r="AH78" i="7" s="1"/>
  <c r="AH6" i="8" s="1"/>
  <c r="AD6" i="28" s="1"/>
  <c r="AD78" i="28" s="1"/>
  <c r="L15" i="28"/>
  <c r="L87" i="28" s="1"/>
  <c r="L11" i="28"/>
  <c r="L83" i="28" s="1"/>
  <c r="W23" i="8"/>
  <c r="W15" i="8"/>
  <c r="W54" i="8"/>
  <c r="N35" i="13"/>
  <c r="L8" i="8"/>
  <c r="L30" i="8"/>
  <c r="N49" i="12"/>
  <c r="N35" i="12"/>
  <c r="N35" i="29" s="1"/>
  <c r="N85" i="29" s="1"/>
  <c r="N38" i="13"/>
  <c r="N9" i="13"/>
  <c r="N9" i="29" s="1"/>
  <c r="N59" i="29" s="1"/>
  <c r="N38" i="12"/>
  <c r="W35" i="8"/>
  <c r="R41" i="29"/>
  <c r="R91" i="29" s="1"/>
  <c r="R26" i="29"/>
  <c r="R76" i="29" s="1"/>
  <c r="K15" i="31"/>
  <c r="AI36" i="8"/>
  <c r="AI9" i="8"/>
  <c r="U12" i="8"/>
  <c r="N6" i="12"/>
  <c r="AI32" i="8"/>
  <c r="AI8" i="8"/>
  <c r="N34" i="13"/>
  <c r="U41" i="8"/>
  <c r="U35" i="8"/>
  <c r="U56" i="8"/>
  <c r="U34" i="8"/>
  <c r="N51" i="11"/>
  <c r="AI64" i="8"/>
  <c r="AH68" i="8"/>
  <c r="N33" i="13"/>
  <c r="N33" i="29" s="1"/>
  <c r="N83" i="29" s="1"/>
  <c r="AI65" i="8"/>
  <c r="AE65" i="28" s="1"/>
  <c r="AE137" i="28" s="1"/>
  <c r="AH36" i="8"/>
  <c r="U40" i="8"/>
  <c r="X63" i="8"/>
  <c r="AH32" i="8"/>
  <c r="X7" i="8"/>
  <c r="N34" i="12"/>
  <c r="AH71" i="8"/>
  <c r="U38" i="8"/>
  <c r="T38" i="28" s="1"/>
  <c r="T110" i="28" s="1"/>
  <c r="U33" i="8"/>
  <c r="U9" i="8"/>
  <c r="U57" i="8"/>
  <c r="AH44" i="8"/>
  <c r="N32" i="13"/>
  <c r="U39" i="8"/>
  <c r="T39" i="28" s="1"/>
  <c r="T111" i="28" s="1"/>
  <c r="U16" i="8"/>
  <c r="AH69" i="8"/>
  <c r="AH52" i="8"/>
  <c r="AD52" i="28" s="1"/>
  <c r="AD124" i="28" s="1"/>
  <c r="AI34" i="8"/>
  <c r="AI54" i="8"/>
  <c r="U46" i="8"/>
  <c r="U10" i="8"/>
  <c r="T10" i="28" s="1"/>
  <c r="T82" i="28" s="1"/>
  <c r="AI30" i="8"/>
  <c r="AI63" i="8"/>
  <c r="N32" i="12"/>
  <c r="X39" i="8"/>
  <c r="U37" i="8"/>
  <c r="U23" i="8"/>
  <c r="AH31" i="8"/>
  <c r="U32" i="8"/>
  <c r="T32" i="28" s="1"/>
  <c r="T104" i="28" s="1"/>
  <c r="U43" i="8"/>
  <c r="AH61" i="8"/>
  <c r="U15" i="8"/>
  <c r="AI22" i="8"/>
  <c r="AE22" i="28" s="1"/>
  <c r="AE94" i="28" s="1"/>
  <c r="U14" i="8"/>
  <c r="U11" i="8"/>
  <c r="T11" i="28" s="1"/>
  <c r="T83" i="28" s="1"/>
  <c r="AH66" i="8"/>
  <c r="AH24" i="8"/>
  <c r="AD24" i="28" s="1"/>
  <c r="AD96" i="28" s="1"/>
  <c r="Y11" i="8"/>
  <c r="AI45" i="8"/>
  <c r="AI66" i="8"/>
  <c r="AE66" i="28" s="1"/>
  <c r="AE138" i="28" s="1"/>
  <c r="AH53" i="8"/>
  <c r="U22" i="8"/>
  <c r="AI37" i="8"/>
  <c r="U36" i="8"/>
  <c r="T36" i="28" s="1"/>
  <c r="T108" i="28" s="1"/>
  <c r="U31" i="8"/>
  <c r="I15" i="31"/>
  <c r="D15" i="31"/>
  <c r="E15" i="31"/>
  <c r="H15" i="31"/>
  <c r="B15" i="31"/>
  <c r="L15" i="31"/>
  <c r="F15" i="31"/>
  <c r="M15" i="31"/>
  <c r="L32" i="28"/>
  <c r="L104" i="28" s="1"/>
  <c r="L26" i="28"/>
  <c r="L98" i="28" s="1"/>
  <c r="R7" i="29"/>
  <c r="R57" i="29" s="1"/>
  <c r="R45" i="29"/>
  <c r="R95" i="29" s="1"/>
  <c r="W31" i="11"/>
  <c r="W7" i="11"/>
  <c r="N28" i="29"/>
  <c r="N78" i="29" s="1"/>
  <c r="W41" i="8"/>
  <c r="W70" i="8"/>
  <c r="V70" i="28" s="1"/>
  <c r="V142" i="28" s="1"/>
  <c r="W45" i="8"/>
  <c r="V45" i="28" s="1"/>
  <c r="V117" i="28" s="1"/>
  <c r="W58" i="8"/>
  <c r="R30" i="29"/>
  <c r="R80" i="29" s="1"/>
  <c r="N15" i="29"/>
  <c r="N65" i="29" s="1"/>
  <c r="L35" i="28"/>
  <c r="L107" i="28" s="1"/>
  <c r="N36" i="29"/>
  <c r="N86" i="29" s="1"/>
  <c r="N43" i="29"/>
  <c r="N93" i="29" s="1"/>
  <c r="N7" i="29"/>
  <c r="N57" i="29" s="1"/>
  <c r="W10" i="8"/>
  <c r="W52" i="8"/>
  <c r="W37" i="8"/>
  <c r="W67" i="8"/>
  <c r="V67" i="28" s="1"/>
  <c r="V139" i="28" s="1"/>
  <c r="W11" i="8"/>
  <c r="W59" i="8"/>
  <c r="W38" i="8"/>
  <c r="W68" i="8"/>
  <c r="W31" i="8"/>
  <c r="V31" i="28" s="1"/>
  <c r="V103" i="28" s="1"/>
  <c r="W7" i="8"/>
  <c r="V7" i="28" s="1"/>
  <c r="V79" i="28" s="1"/>
  <c r="W71" i="8"/>
  <c r="W16" i="8"/>
  <c r="V16" i="28" s="1"/>
  <c r="V88" i="28" s="1"/>
  <c r="W65" i="8"/>
  <c r="W40" i="8"/>
  <c r="V40" i="28" s="1"/>
  <c r="V112" i="28" s="1"/>
  <c r="W22" i="8"/>
  <c r="V22" i="28" s="1"/>
  <c r="V94" i="28" s="1"/>
  <c r="W57" i="8"/>
  <c r="V57" i="28" s="1"/>
  <c r="V129" i="28" s="1"/>
  <c r="W33" i="8"/>
  <c r="V33" i="28" s="1"/>
  <c r="V105" i="28" s="1"/>
  <c r="W69" i="8"/>
  <c r="V69" i="28" s="1"/>
  <c r="V141" i="28" s="1"/>
  <c r="W29" i="8"/>
  <c r="W12" i="8"/>
  <c r="V12" i="28" s="1"/>
  <c r="V84" i="28" s="1"/>
  <c r="W42" i="8"/>
  <c r="V42" i="28" s="1"/>
  <c r="V114" i="28" s="1"/>
  <c r="W19" i="8"/>
  <c r="L59" i="28"/>
  <c r="L131" i="28" s="1"/>
  <c r="N25" i="29"/>
  <c r="N75" i="29" s="1"/>
  <c r="W24" i="8"/>
  <c r="V24" i="28" s="1"/>
  <c r="V96" i="28" s="1"/>
  <c r="W62" i="8"/>
  <c r="V62" i="28" s="1"/>
  <c r="V134" i="28" s="1"/>
  <c r="W39" i="8"/>
  <c r="W44" i="8"/>
  <c r="W36" i="8"/>
  <c r="W6" i="8"/>
  <c r="W56" i="8"/>
  <c r="V56" i="28" s="1"/>
  <c r="V128" i="28" s="1"/>
  <c r="W32" i="8"/>
  <c r="V32" i="28" s="1"/>
  <c r="V104" i="28" s="1"/>
  <c r="W8" i="8"/>
  <c r="V8" i="28" s="1"/>
  <c r="V80" i="28" s="1"/>
  <c r="R35" i="29"/>
  <c r="R85" i="29" s="1"/>
  <c r="W21" i="8"/>
  <c r="W47" i="8"/>
  <c r="W64" i="8"/>
  <c r="V64" i="28" s="1"/>
  <c r="V136" i="28" s="1"/>
  <c r="W53" i="8"/>
  <c r="V53" i="28" s="1"/>
  <c r="V125" i="28" s="1"/>
  <c r="Z51" i="11"/>
  <c r="L49" i="28"/>
  <c r="L121" i="28" s="1"/>
  <c r="L62" i="28"/>
  <c r="L134" i="28" s="1"/>
  <c r="L8" i="28"/>
  <c r="L80" i="28" s="1"/>
  <c r="R21" i="29"/>
  <c r="R71" i="29" s="1"/>
  <c r="L19" i="28"/>
  <c r="L91" i="28" s="1"/>
  <c r="N11" i="29"/>
  <c r="N61" i="29" s="1"/>
  <c r="W14" i="8"/>
  <c r="V14" i="28" s="1"/>
  <c r="V86" i="28" s="1"/>
  <c r="AE31" i="28"/>
  <c r="AE103" i="28" s="1"/>
  <c r="AE50" i="28"/>
  <c r="AE122" i="28" s="1"/>
  <c r="U6" i="8"/>
  <c r="T6" i="28" s="1"/>
  <c r="T78" i="28" s="1"/>
  <c r="N23" i="29"/>
  <c r="N73" i="29" s="1"/>
  <c r="T33" i="28"/>
  <c r="T105" i="28" s="1"/>
  <c r="T9" i="28"/>
  <c r="T81" i="28" s="1"/>
  <c r="AE37" i="28"/>
  <c r="AE109" i="28" s="1"/>
  <c r="AE59" i="28"/>
  <c r="AE131" i="28" s="1"/>
  <c r="V41" i="28"/>
  <c r="V113" i="28" s="1"/>
  <c r="T22" i="28"/>
  <c r="T94" i="28" s="1"/>
  <c r="L65" i="28"/>
  <c r="L137" i="28" s="1"/>
  <c r="R9" i="29"/>
  <c r="R59" i="29" s="1"/>
  <c r="AD44" i="28"/>
  <c r="AD116" i="28" s="1"/>
  <c r="L42" i="28"/>
  <c r="L114" i="28" s="1"/>
  <c r="L71" i="28"/>
  <c r="L143" i="28" s="1"/>
  <c r="V15" i="28"/>
  <c r="V87" i="28" s="1"/>
  <c r="V50" i="28"/>
  <c r="V122" i="28" s="1"/>
  <c r="T57" i="28"/>
  <c r="T129" i="28" s="1"/>
  <c r="X66" i="8"/>
  <c r="W66" i="28" s="1"/>
  <c r="W138" i="28" s="1"/>
  <c r="X26" i="8"/>
  <c r="W26" i="28" s="1"/>
  <c r="W98" i="28" s="1"/>
  <c r="L51" i="28"/>
  <c r="L123" i="28" s="1"/>
  <c r="V35" i="28"/>
  <c r="V107" i="28" s="1"/>
  <c r="V54" i="28"/>
  <c r="V126" i="28" s="1"/>
  <c r="R32" i="29"/>
  <c r="R82" i="29" s="1"/>
  <c r="N14" i="29"/>
  <c r="N64" i="29" s="1"/>
  <c r="X68" i="8"/>
  <c r="W68" i="28" s="1"/>
  <c r="W140" i="28" s="1"/>
  <c r="N41" i="29"/>
  <c r="N91" i="29" s="1"/>
  <c r="N39" i="29"/>
  <c r="N89" i="29" s="1"/>
  <c r="X27" i="8"/>
  <c r="W27" i="28" s="1"/>
  <c r="W99" i="28" s="1"/>
  <c r="X38" i="8"/>
  <c r="X55" i="8"/>
  <c r="X34" i="8"/>
  <c r="W34" i="28" s="1"/>
  <c r="W106" i="28" s="1"/>
  <c r="X45" i="8"/>
  <c r="W45" i="28" s="1"/>
  <c r="W117" i="28" s="1"/>
  <c r="X15" i="8"/>
  <c r="W15" i="28" s="1"/>
  <c r="W87" i="28" s="1"/>
  <c r="X36" i="8"/>
  <c r="W36" i="28" s="1"/>
  <c r="W108" i="28" s="1"/>
  <c r="X42" i="8"/>
  <c r="W42" i="28" s="1"/>
  <c r="W114" i="28" s="1"/>
  <c r="X31" i="8"/>
  <c r="W31" i="28" s="1"/>
  <c r="W103" i="28" s="1"/>
  <c r="X40" i="8"/>
  <c r="W40" i="28" s="1"/>
  <c r="W112" i="28" s="1"/>
  <c r="AD61" i="28"/>
  <c r="AD133" i="28" s="1"/>
  <c r="X65" i="8"/>
  <c r="X41" i="8"/>
  <c r="W41" i="28" s="1"/>
  <c r="W113" i="28" s="1"/>
  <c r="V58" i="28"/>
  <c r="V130" i="28" s="1"/>
  <c r="R22" i="29"/>
  <c r="R72" i="29" s="1"/>
  <c r="N18" i="29"/>
  <c r="N68" i="29" s="1"/>
  <c r="N32" i="29"/>
  <c r="N82" i="29" s="1"/>
  <c r="N26" i="29"/>
  <c r="N76" i="29" s="1"/>
  <c r="X53" i="8"/>
  <c r="X29" i="8"/>
  <c r="W29" i="28" s="1"/>
  <c r="W101" i="28" s="1"/>
  <c r="N12" i="29"/>
  <c r="N62" i="29" s="1"/>
  <c r="N49" i="29"/>
  <c r="N99" i="29" s="1"/>
  <c r="U29" i="8"/>
  <c r="T29" i="28" s="1"/>
  <c r="T101" i="28" s="1"/>
  <c r="X51" i="8"/>
  <c r="W51" i="28" s="1"/>
  <c r="W123" i="28" s="1"/>
  <c r="Q5" i="29"/>
  <c r="Q55" i="29" s="1"/>
  <c r="R29" i="29"/>
  <c r="R79" i="29" s="1"/>
  <c r="R5" i="29"/>
  <c r="R55" i="29" s="1"/>
  <c r="X69" i="8"/>
  <c r="W69" i="28" s="1"/>
  <c r="W141" i="28" s="1"/>
  <c r="X61" i="8"/>
  <c r="W61" i="28" s="1"/>
  <c r="W133" i="28" s="1"/>
  <c r="X37" i="8"/>
  <c r="W37" i="28" s="1"/>
  <c r="W109" i="28" s="1"/>
  <c r="X70" i="8"/>
  <c r="X30" i="8"/>
  <c r="W30" i="28" s="1"/>
  <c r="W102" i="28" s="1"/>
  <c r="X64" i="8"/>
  <c r="W64" i="28" s="1"/>
  <c r="W136" i="28" s="1"/>
  <c r="X8" i="8"/>
  <c r="W8" i="28" s="1"/>
  <c r="W80" i="28" s="1"/>
  <c r="L30" i="28"/>
  <c r="L102" i="28" s="1"/>
  <c r="V38" i="28"/>
  <c r="V110" i="28" s="1"/>
  <c r="V68" i="28"/>
  <c r="V140" i="28" s="1"/>
  <c r="R34" i="29"/>
  <c r="R84" i="29" s="1"/>
  <c r="AD71" i="28"/>
  <c r="AD143" i="28" s="1"/>
  <c r="N20" i="29"/>
  <c r="N70" i="29" s="1"/>
  <c r="X47" i="8"/>
  <c r="X22" i="8"/>
  <c r="W22" i="28" s="1"/>
  <c r="W94" i="28" s="1"/>
  <c r="T15" i="28"/>
  <c r="T87" i="28" s="1"/>
  <c r="X35" i="8"/>
  <c r="W35" i="28" s="1"/>
  <c r="W107" i="28" s="1"/>
  <c r="X48" i="8"/>
  <c r="W48" i="28" s="1"/>
  <c r="W120" i="28" s="1"/>
  <c r="X71" i="8"/>
  <c r="W71" i="28" s="1"/>
  <c r="W143" i="28" s="1"/>
  <c r="X59" i="8"/>
  <c r="W59" i="28" s="1"/>
  <c r="W131" i="28" s="1"/>
  <c r="X25" i="8"/>
  <c r="X43" i="8"/>
  <c r="X19" i="8"/>
  <c r="W19" i="28" s="1"/>
  <c r="W91" i="28" s="1"/>
  <c r="R12" i="29"/>
  <c r="R62" i="29" s="1"/>
  <c r="T45" i="28"/>
  <c r="T117" i="28" s="1"/>
  <c r="T7" i="28"/>
  <c r="T79" i="28" s="1"/>
  <c r="L45" i="28"/>
  <c r="L117" i="28" s="1"/>
  <c r="R28" i="29"/>
  <c r="R78" i="29" s="1"/>
  <c r="X57" i="8"/>
  <c r="X33" i="8"/>
  <c r="W33" i="28" s="1"/>
  <c r="W105" i="28" s="1"/>
  <c r="R40" i="29"/>
  <c r="R90" i="29" s="1"/>
  <c r="N21" i="29"/>
  <c r="N71" i="29" s="1"/>
  <c r="T34" i="28"/>
  <c r="T106" i="28" s="1"/>
  <c r="R36" i="29"/>
  <c r="R86" i="29" s="1"/>
  <c r="X50" i="8"/>
  <c r="W50" i="28" s="1"/>
  <c r="W122" i="28" s="1"/>
  <c r="X32" i="8"/>
  <c r="W32" i="28" s="1"/>
  <c r="W104" i="28" s="1"/>
  <c r="R18" i="29"/>
  <c r="R68" i="29" s="1"/>
  <c r="N10" i="29"/>
  <c r="N60" i="29" s="1"/>
  <c r="N24" i="29"/>
  <c r="N74" i="29" s="1"/>
  <c r="N45" i="29"/>
  <c r="N95" i="29" s="1"/>
  <c r="X20" i="8"/>
  <c r="W20" i="28" s="1"/>
  <c r="W92" i="28" s="1"/>
  <c r="AC28" i="8"/>
  <c r="AA28" i="28" s="1"/>
  <c r="AA100" i="28" s="1"/>
  <c r="X24" i="8"/>
  <c r="W24" i="28" s="1"/>
  <c r="W96" i="28" s="1"/>
  <c r="X9" i="8"/>
  <c r="W9" i="28" s="1"/>
  <c r="W81" i="28" s="1"/>
  <c r="X11" i="8"/>
  <c r="X28" i="8"/>
  <c r="W28" i="28" s="1"/>
  <c r="W100" i="28" s="1"/>
  <c r="X62" i="8"/>
  <c r="W62" i="28" s="1"/>
  <c r="W134" i="28" s="1"/>
  <c r="W65" i="28"/>
  <c r="W137" i="28" s="1"/>
  <c r="L22" i="28"/>
  <c r="L94" i="28" s="1"/>
  <c r="L50" i="28"/>
  <c r="L122" i="28" s="1"/>
  <c r="AC13" i="8"/>
  <c r="AC13" i="23"/>
  <c r="AD13" i="23" s="1"/>
  <c r="AC66" i="23"/>
  <c r="AD66" i="23" s="1"/>
  <c r="AC15" i="23"/>
  <c r="AD15" i="23" s="1"/>
  <c r="AC7" i="23"/>
  <c r="AD7" i="23" s="1"/>
  <c r="AC45" i="23"/>
  <c r="AD45" i="23" s="1"/>
  <c r="AC65" i="23"/>
  <c r="AD65" i="23" s="1"/>
  <c r="AC24" i="23"/>
  <c r="AD24" i="23" s="1"/>
  <c r="AC41" i="23"/>
  <c r="AD41" i="23" s="1"/>
  <c r="AC12" i="23"/>
  <c r="AD12" i="23" s="1"/>
  <c r="AC43" i="23"/>
  <c r="AD43" i="23" s="1"/>
  <c r="AC11" i="23"/>
  <c r="AD11" i="23" s="1"/>
  <c r="AC56" i="23"/>
  <c r="AD56" i="23" s="1"/>
  <c r="AC16" i="23"/>
  <c r="AD16" i="23" s="1"/>
  <c r="AC67" i="23"/>
  <c r="AD67" i="23" s="1"/>
  <c r="AC14" i="23"/>
  <c r="AD14" i="23" s="1"/>
  <c r="AC47" i="23"/>
  <c r="AD47" i="23" s="1"/>
  <c r="AC25" i="23"/>
  <c r="AD25" i="23" s="1"/>
  <c r="AC52" i="23"/>
  <c r="AD52" i="23" s="1"/>
  <c r="AC39" i="23"/>
  <c r="AD39" i="23" s="1"/>
  <c r="AC46" i="23"/>
  <c r="AD46" i="23" s="1"/>
  <c r="AC10" i="23"/>
  <c r="AD10" i="23" s="1"/>
  <c r="AC26" i="23"/>
  <c r="AD26" i="23" s="1"/>
  <c r="AC17" i="23"/>
  <c r="AD17" i="23" s="1"/>
  <c r="AC50" i="23"/>
  <c r="AD50" i="23" s="1"/>
  <c r="AC59" i="23"/>
  <c r="AD59" i="23" s="1"/>
  <c r="AC22" i="23"/>
  <c r="AD22" i="23" s="1"/>
  <c r="AC34" i="23"/>
  <c r="AD34" i="23" s="1"/>
  <c r="AC23" i="23"/>
  <c r="AD23" i="23" s="1"/>
  <c r="AC69" i="23"/>
  <c r="AD69" i="23" s="1"/>
  <c r="AC18" i="23"/>
  <c r="AD18" i="23" s="1"/>
  <c r="AC63" i="23"/>
  <c r="AD63" i="23" s="1"/>
  <c r="AC58" i="23"/>
  <c r="AD58" i="23" s="1"/>
  <c r="AC21" i="23"/>
  <c r="AD21" i="23" s="1"/>
  <c r="AC70" i="23"/>
  <c r="AD70" i="23" s="1"/>
  <c r="AC29" i="23"/>
  <c r="AD29" i="23" s="1"/>
  <c r="AC68" i="23"/>
  <c r="AD68" i="23" s="1"/>
  <c r="AC33" i="23"/>
  <c r="AD33" i="23" s="1"/>
  <c r="AC6" i="23"/>
  <c r="AD6" i="23" s="1"/>
  <c r="AC37" i="23"/>
  <c r="AD37" i="23" s="1"/>
  <c r="AC44" i="23"/>
  <c r="AD44" i="23" s="1"/>
  <c r="AC28" i="23"/>
  <c r="AD28" i="23" s="1"/>
  <c r="AC71" i="23"/>
  <c r="AD71" i="23" s="1"/>
  <c r="AC9" i="23"/>
  <c r="AD9" i="23" s="1"/>
  <c r="AC8" i="23"/>
  <c r="AD8" i="23" s="1"/>
  <c r="AC62" i="23"/>
  <c r="AD62" i="23" s="1"/>
  <c r="AC30" i="23"/>
  <c r="AD30" i="23" s="1"/>
  <c r="AC60" i="23"/>
  <c r="AD60" i="23" s="1"/>
  <c r="AC38" i="23"/>
  <c r="AD38" i="23" s="1"/>
  <c r="AC49" i="23"/>
  <c r="AD49" i="23" s="1"/>
  <c r="AC51" i="23"/>
  <c r="AD51" i="23" s="1"/>
  <c r="AC20" i="23"/>
  <c r="AD20" i="23" s="1"/>
  <c r="AC57" i="23"/>
  <c r="AD57" i="23" s="1"/>
  <c r="AC27" i="23"/>
  <c r="AD27" i="23" s="1"/>
  <c r="AC53" i="23"/>
  <c r="AD53" i="23" s="1"/>
  <c r="AC54" i="23"/>
  <c r="AD54" i="23" s="1"/>
  <c r="AC31" i="23"/>
  <c r="AD31" i="23" s="1"/>
  <c r="AC61" i="23"/>
  <c r="AD61" i="23" s="1"/>
  <c r="AC35" i="23"/>
  <c r="AD35" i="23" s="1"/>
  <c r="AC19" i="23"/>
  <c r="AD19" i="23" s="1"/>
  <c r="AC64" i="23"/>
  <c r="AD64" i="23" s="1"/>
  <c r="AC5" i="23"/>
  <c r="AC42" i="23"/>
  <c r="AD42" i="23" s="1"/>
  <c r="AC32" i="23"/>
  <c r="AD32" i="23" s="1"/>
  <c r="AC48" i="23"/>
  <c r="AD48" i="23" s="1"/>
  <c r="AC36" i="23"/>
  <c r="AD36" i="23" s="1"/>
  <c r="AC55" i="23"/>
  <c r="AD55" i="23" s="1"/>
  <c r="AC40" i="23"/>
  <c r="AD40" i="23" s="1"/>
  <c r="R20" i="29"/>
  <c r="R70" i="29" s="1"/>
  <c r="S13" i="12"/>
  <c r="Q13" i="29"/>
  <c r="Q63" i="29" s="1"/>
  <c r="S43" i="12"/>
  <c r="Q43" i="29"/>
  <c r="Q93" i="29" s="1"/>
  <c r="P42" i="24"/>
  <c r="P35" i="24"/>
  <c r="P14" i="24"/>
  <c r="AE34" i="28"/>
  <c r="AE106" i="28" s="1"/>
  <c r="AE54" i="28"/>
  <c r="AE126" i="28" s="1"/>
  <c r="W47" i="28"/>
  <c r="W119" i="28" s="1"/>
  <c r="L12" i="28"/>
  <c r="L84" i="28" s="1"/>
  <c r="L68" i="28"/>
  <c r="L140" i="28" s="1"/>
  <c r="V65" i="28"/>
  <c r="V137" i="28" s="1"/>
  <c r="O35" i="8"/>
  <c r="O35" i="28" s="1"/>
  <c r="O107" i="28" s="1"/>
  <c r="V5" i="29"/>
  <c r="V55" i="29" s="1"/>
  <c r="T12" i="28"/>
  <c r="T84" i="28" s="1"/>
  <c r="P48" i="24"/>
  <c r="P40" i="24"/>
  <c r="P33" i="24"/>
  <c r="P31" i="24"/>
  <c r="P13" i="24"/>
  <c r="P16" i="24"/>
  <c r="L7" i="28"/>
  <c r="L79" i="28" s="1"/>
  <c r="T14" i="28"/>
  <c r="T86" i="28" s="1"/>
  <c r="W55" i="28"/>
  <c r="W127" i="28" s="1"/>
  <c r="L46" i="28"/>
  <c r="L118" i="28" s="1"/>
  <c r="L16" i="28"/>
  <c r="L88" i="28" s="1"/>
  <c r="R6" i="29"/>
  <c r="R56" i="29" s="1"/>
  <c r="N29" i="29"/>
  <c r="N79" i="29" s="1"/>
  <c r="V24" i="24"/>
  <c r="V42" i="24"/>
  <c r="V21" i="24"/>
  <c r="V47" i="24"/>
  <c r="V7" i="24"/>
  <c r="V18" i="24"/>
  <c r="S15" i="12"/>
  <c r="Q15" i="29"/>
  <c r="Q65" i="29" s="1"/>
  <c r="W39" i="28"/>
  <c r="W111" i="28" s="1"/>
  <c r="W7" i="28"/>
  <c r="W79" i="28" s="1"/>
  <c r="R48" i="29"/>
  <c r="R98" i="29" s="1"/>
  <c r="S36" i="12"/>
  <c r="Q36" i="29"/>
  <c r="Q86" i="29" s="1"/>
  <c r="N16" i="29"/>
  <c r="N66" i="29" s="1"/>
  <c r="M22" i="24"/>
  <c r="M34" i="24"/>
  <c r="M47" i="24"/>
  <c r="M27" i="24"/>
  <c r="M8" i="24"/>
  <c r="M23" i="24"/>
  <c r="AA25" i="12"/>
  <c r="V25" i="29"/>
  <c r="V75" i="29" s="1"/>
  <c r="O41" i="24"/>
  <c r="O46" i="24"/>
  <c r="O26" i="24"/>
  <c r="O27" i="24"/>
  <c r="O11" i="24"/>
  <c r="O18" i="24"/>
  <c r="L23" i="28"/>
  <c r="L95" i="28" s="1"/>
  <c r="AE49" i="28"/>
  <c r="AE121" i="28" s="1"/>
  <c r="AA37" i="12"/>
  <c r="V37" i="29"/>
  <c r="V87" i="29" s="1"/>
  <c r="AA31" i="12"/>
  <c r="V31" i="29"/>
  <c r="V81" i="29" s="1"/>
  <c r="P32" i="24"/>
  <c r="P38" i="24"/>
  <c r="P47" i="24"/>
  <c r="P27" i="24"/>
  <c r="P23" i="24"/>
  <c r="P18" i="24"/>
  <c r="S8" i="12"/>
  <c r="Q8" i="29"/>
  <c r="Q58" i="29" s="1"/>
  <c r="AA11" i="12"/>
  <c r="V11" i="29"/>
  <c r="V61" i="29" s="1"/>
  <c r="V34" i="24"/>
  <c r="V32" i="24"/>
  <c r="V29" i="24"/>
  <c r="V25" i="24"/>
  <c r="W13" i="11"/>
  <c r="V13" i="24"/>
  <c r="V15" i="24"/>
  <c r="S22" i="12"/>
  <c r="Q22" i="29"/>
  <c r="Q72" i="29" s="1"/>
  <c r="M33" i="24"/>
  <c r="M32" i="24"/>
  <c r="M21" i="24"/>
  <c r="M49" i="24"/>
  <c r="M10" i="24"/>
  <c r="O25" i="24"/>
  <c r="O21" i="24"/>
  <c r="O32" i="24"/>
  <c r="O49" i="24"/>
  <c r="O16" i="24"/>
  <c r="AA42" i="12"/>
  <c r="V42" i="29"/>
  <c r="V92" i="29" s="1"/>
  <c r="U36" i="24"/>
  <c r="W45" i="11"/>
  <c r="U45" i="24"/>
  <c r="U19" i="24"/>
  <c r="U5" i="24"/>
  <c r="U16" i="24"/>
  <c r="S49" i="12"/>
  <c r="Q49" i="29"/>
  <c r="Q99" i="29" s="1"/>
  <c r="AD28" i="8"/>
  <c r="P34" i="24"/>
  <c r="P28" i="24"/>
  <c r="P22" i="24"/>
  <c r="S35" i="12"/>
  <c r="Q35" i="29"/>
  <c r="Q85" i="29" s="1"/>
  <c r="AA49" i="12"/>
  <c r="V49" i="29"/>
  <c r="V99" i="29" s="1"/>
  <c r="V45" i="24"/>
  <c r="W30" i="11"/>
  <c r="V30" i="24"/>
  <c r="V19" i="24"/>
  <c r="V39" i="24"/>
  <c r="W6" i="11"/>
  <c r="V6" i="24"/>
  <c r="V17" i="24"/>
  <c r="S9" i="12"/>
  <c r="Q9" i="29"/>
  <c r="Q59" i="29" s="1"/>
  <c r="AA28" i="12"/>
  <c r="V28" i="29"/>
  <c r="V78" i="29" s="1"/>
  <c r="M48" i="24"/>
  <c r="M30" i="24"/>
  <c r="M37" i="24"/>
  <c r="M13" i="24"/>
  <c r="M12" i="24"/>
  <c r="AA30" i="12"/>
  <c r="V30" i="29"/>
  <c r="V80" i="29" s="1"/>
  <c r="AA16" i="12"/>
  <c r="V16" i="29"/>
  <c r="V66" i="29" s="1"/>
  <c r="O37" i="24"/>
  <c r="O44" i="24"/>
  <c r="O30" i="24"/>
  <c r="O14" i="24"/>
  <c r="O6" i="24"/>
  <c r="S28" i="12"/>
  <c r="Q28" i="29"/>
  <c r="Q78" i="29" s="1"/>
  <c r="U24" i="24"/>
  <c r="U28" i="24"/>
  <c r="U43" i="24"/>
  <c r="AD51" i="8"/>
  <c r="AA51" i="28"/>
  <c r="AA123" i="28" s="1"/>
  <c r="P29" i="24"/>
  <c r="S20" i="12"/>
  <c r="Q20" i="29"/>
  <c r="Q70" i="29" s="1"/>
  <c r="AA38" i="12"/>
  <c r="V38" i="29"/>
  <c r="V88" i="29" s="1"/>
  <c r="P36" i="24"/>
  <c r="P26" i="24"/>
  <c r="P43" i="24"/>
  <c r="P9" i="24"/>
  <c r="P11" i="24"/>
  <c r="W25" i="28"/>
  <c r="W97" i="28" s="1"/>
  <c r="N6" i="29"/>
  <c r="N56" i="29" s="1"/>
  <c r="AE32" i="28"/>
  <c r="AE104" i="28" s="1"/>
  <c r="AE8" i="28"/>
  <c r="AE80" i="28" s="1"/>
  <c r="V71" i="28"/>
  <c r="V143" i="28" s="1"/>
  <c r="S11" i="12"/>
  <c r="Q11" i="29"/>
  <c r="Q61" i="29" s="1"/>
  <c r="V36" i="24"/>
  <c r="W36" i="24" s="1"/>
  <c r="V37" i="24"/>
  <c r="V35" i="24"/>
  <c r="V48" i="24"/>
  <c r="V8" i="24"/>
  <c r="V23" i="24"/>
  <c r="AI13" i="8"/>
  <c r="AE13" i="28" s="1"/>
  <c r="AE85" i="28" s="1"/>
  <c r="AI13" i="23"/>
  <c r="AI62" i="23"/>
  <c r="AI6" i="23"/>
  <c r="AI41" i="23"/>
  <c r="AI39" i="23"/>
  <c r="AI46" i="23"/>
  <c r="AI7" i="23"/>
  <c r="AI55" i="23"/>
  <c r="AI14" i="23"/>
  <c r="AI48" i="23"/>
  <c r="AI22" i="23"/>
  <c r="AI40" i="23"/>
  <c r="AI69" i="23"/>
  <c r="AI20" i="23"/>
  <c r="AI57" i="23"/>
  <c r="AI18" i="23"/>
  <c r="AI51" i="23"/>
  <c r="AI11" i="23"/>
  <c r="AI65" i="23"/>
  <c r="AI10" i="23"/>
  <c r="AI58" i="23"/>
  <c r="AI15" i="23"/>
  <c r="AI44" i="23"/>
  <c r="AI21" i="23"/>
  <c r="AI43" i="23"/>
  <c r="AI38" i="23"/>
  <c r="AI53" i="23"/>
  <c r="AI12" i="23"/>
  <c r="AI68" i="23"/>
  <c r="AI25" i="23"/>
  <c r="AI60" i="23"/>
  <c r="AI71" i="23"/>
  <c r="AI29" i="23"/>
  <c r="AI5" i="23"/>
  <c r="AI28" i="23"/>
  <c r="AI46" i="8"/>
  <c r="AE46" i="28" s="1"/>
  <c r="AE118" i="28" s="1"/>
  <c r="AI16" i="23"/>
  <c r="AI8" i="23"/>
  <c r="AI32" i="23"/>
  <c r="AI49" i="23"/>
  <c r="AI35" i="23"/>
  <c r="AI67" i="23"/>
  <c r="AI17" i="23"/>
  <c r="AI52" i="23"/>
  <c r="AI33" i="23"/>
  <c r="AI61" i="23"/>
  <c r="AI59" i="23"/>
  <c r="AI37" i="23"/>
  <c r="AI64" i="23"/>
  <c r="AI9" i="23"/>
  <c r="AI36" i="23"/>
  <c r="AI47" i="23"/>
  <c r="AI24" i="23"/>
  <c r="AI56" i="23"/>
  <c r="AI26" i="23"/>
  <c r="AI63" i="23"/>
  <c r="AI30" i="23"/>
  <c r="AI66" i="23"/>
  <c r="AI45" i="23"/>
  <c r="AI23" i="23"/>
  <c r="AI70" i="23"/>
  <c r="AI19" i="23"/>
  <c r="AI42" i="23"/>
  <c r="AI27" i="23"/>
  <c r="AI60" i="8"/>
  <c r="AE60" i="28" s="1"/>
  <c r="AE132" i="28" s="1"/>
  <c r="AI50" i="23"/>
  <c r="AI31" i="23"/>
  <c r="AI54" i="23"/>
  <c r="AI34" i="23"/>
  <c r="AD32" i="28"/>
  <c r="AD104" i="28" s="1"/>
  <c r="L41" i="28"/>
  <c r="L113" i="28" s="1"/>
  <c r="L21" i="28"/>
  <c r="L93" i="28" s="1"/>
  <c r="V37" i="28"/>
  <c r="V109" i="28" s="1"/>
  <c r="S45" i="12"/>
  <c r="Q45" i="29"/>
  <c r="Q95" i="29" s="1"/>
  <c r="M46" i="24"/>
  <c r="M45" i="24"/>
  <c r="M28" i="24"/>
  <c r="M5" i="24"/>
  <c r="M14" i="24"/>
  <c r="AA22" i="12"/>
  <c r="V22" i="29"/>
  <c r="V72" i="29" s="1"/>
  <c r="T37" i="28"/>
  <c r="T109" i="28" s="1"/>
  <c r="T23" i="28"/>
  <c r="T95" i="28" s="1"/>
  <c r="O33" i="24"/>
  <c r="O34" i="24"/>
  <c r="O47" i="24"/>
  <c r="O17" i="24"/>
  <c r="O10" i="24"/>
  <c r="W11" i="28"/>
  <c r="W83" i="28" s="1"/>
  <c r="L56" i="28"/>
  <c r="L128" i="28" s="1"/>
  <c r="V36" i="28"/>
  <c r="V108" i="28" s="1"/>
  <c r="V6" i="28"/>
  <c r="V78" i="28" s="1"/>
  <c r="R24" i="29"/>
  <c r="R74" i="29" s="1"/>
  <c r="S33" i="12"/>
  <c r="Q33" i="29"/>
  <c r="Q83" i="29" s="1"/>
  <c r="N31" i="29"/>
  <c r="N81" i="29" s="1"/>
  <c r="AA12" i="12"/>
  <c r="V12" i="29"/>
  <c r="V62" i="29" s="1"/>
  <c r="U39" i="24"/>
  <c r="W39" i="24" s="1"/>
  <c r="U37" i="24"/>
  <c r="W37" i="24" s="1"/>
  <c r="U21" i="24"/>
  <c r="U49" i="24"/>
  <c r="W18" i="11"/>
  <c r="U18" i="24"/>
  <c r="AE45" i="28"/>
  <c r="AE117" i="28" s="1"/>
  <c r="AD53" i="28"/>
  <c r="AD125" i="28" s="1"/>
  <c r="S6" i="12"/>
  <c r="Q6" i="29"/>
  <c r="Q56" i="29" s="1"/>
  <c r="P5" i="24"/>
  <c r="N47" i="29"/>
  <c r="N97" i="29" s="1"/>
  <c r="AE36" i="28"/>
  <c r="AE108" i="28" s="1"/>
  <c r="AE9" i="28"/>
  <c r="AE81" i="28" s="1"/>
  <c r="AE64" i="28"/>
  <c r="AE136" i="28" s="1"/>
  <c r="AD68" i="28"/>
  <c r="AD140" i="28" s="1"/>
  <c r="W38" i="28"/>
  <c r="W110" i="28" s="1"/>
  <c r="L17" i="28"/>
  <c r="L89" i="28" s="1"/>
  <c r="L69" i="28"/>
  <c r="L141" i="28" s="1"/>
  <c r="V23" i="28"/>
  <c r="V95" i="28" s="1"/>
  <c r="V55" i="28"/>
  <c r="V127" i="28" s="1"/>
  <c r="R38" i="29"/>
  <c r="R88" i="29" s="1"/>
  <c r="R47" i="29"/>
  <c r="R97" i="29" s="1"/>
  <c r="AA17" i="12"/>
  <c r="V17" i="29"/>
  <c r="V67" i="29" s="1"/>
  <c r="T46" i="28"/>
  <c r="T118" i="28" s="1"/>
  <c r="P21" i="24"/>
  <c r="P24" i="24"/>
  <c r="P25" i="24"/>
  <c r="P15" i="24"/>
  <c r="P6" i="24"/>
  <c r="AD36" i="28"/>
  <c r="AD108" i="28" s="1"/>
  <c r="W43" i="28"/>
  <c r="W115" i="28" s="1"/>
  <c r="L48" i="28"/>
  <c r="L120" i="28" s="1"/>
  <c r="L60" i="28"/>
  <c r="L132" i="28" s="1"/>
  <c r="R46" i="29"/>
  <c r="R96" i="29" s="1"/>
  <c r="N17" i="29"/>
  <c r="N67" i="29" s="1"/>
  <c r="N42" i="29"/>
  <c r="N92" i="29" s="1"/>
  <c r="AA32" i="12"/>
  <c r="V32" i="29"/>
  <c r="V82" i="29" s="1"/>
  <c r="V22" i="24"/>
  <c r="W28" i="11"/>
  <c r="V28" i="24"/>
  <c r="W28" i="24" s="1"/>
  <c r="V41" i="24"/>
  <c r="V31" i="24"/>
  <c r="V10" i="24"/>
  <c r="T16" i="28"/>
  <c r="T88" i="28" s="1"/>
  <c r="W70" i="28"/>
  <c r="W142" i="28" s="1"/>
  <c r="R13" i="29"/>
  <c r="R63" i="29" s="1"/>
  <c r="R25" i="29"/>
  <c r="R75" i="29" s="1"/>
  <c r="N27" i="29"/>
  <c r="N77" i="29" s="1"/>
  <c r="M20" i="24"/>
  <c r="M42" i="24"/>
  <c r="M36" i="24"/>
  <c r="M35" i="24"/>
  <c r="M11" i="24"/>
  <c r="M16" i="24"/>
  <c r="O31" i="24"/>
  <c r="O20" i="24"/>
  <c r="O40" i="24"/>
  <c r="O35" i="24"/>
  <c r="O13" i="24"/>
  <c r="O7" i="24"/>
  <c r="L36" i="28"/>
  <c r="L108" i="28" s="1"/>
  <c r="O56" i="8"/>
  <c r="O56" i="28" s="1"/>
  <c r="O128" i="28" s="1"/>
  <c r="O70" i="23"/>
  <c r="O13" i="23"/>
  <c r="O63" i="23"/>
  <c r="O17" i="23"/>
  <c r="O43" i="23"/>
  <c r="O10" i="23"/>
  <c r="O42" i="23"/>
  <c r="O14" i="23"/>
  <c r="O61" i="23"/>
  <c r="O30" i="23"/>
  <c r="O64" i="23"/>
  <c r="O23" i="23"/>
  <c r="O46" i="23"/>
  <c r="O26" i="23"/>
  <c r="O71" i="23"/>
  <c r="O32" i="23"/>
  <c r="O49" i="23"/>
  <c r="O27" i="23"/>
  <c r="O53" i="23"/>
  <c r="O24" i="23"/>
  <c r="O50" i="23"/>
  <c r="O18" i="23"/>
  <c r="O68" i="23"/>
  <c r="O25" i="23"/>
  <c r="O51" i="23"/>
  <c r="O6" i="23"/>
  <c r="O47" i="23"/>
  <c r="O34" i="23"/>
  <c r="O5" i="23"/>
  <c r="O35" i="23"/>
  <c r="O67" i="23"/>
  <c r="O36" i="23"/>
  <c r="O16" i="23"/>
  <c r="O20" i="23"/>
  <c r="O69" i="23"/>
  <c r="O33" i="23"/>
  <c r="O66" i="23"/>
  <c r="O37" i="23"/>
  <c r="O60" i="23"/>
  <c r="O40" i="23"/>
  <c r="O62" i="23"/>
  <c r="O22" i="23"/>
  <c r="O55" i="23"/>
  <c r="O57" i="23"/>
  <c r="O11" i="23"/>
  <c r="O56" i="23"/>
  <c r="O15" i="23"/>
  <c r="O28" i="8"/>
  <c r="O28" i="28" s="1"/>
  <c r="O100" i="28" s="1"/>
  <c r="O31" i="23"/>
  <c r="O54" i="23"/>
  <c r="O29" i="23"/>
  <c r="O65" i="23"/>
  <c r="O45" i="23"/>
  <c r="O8" i="23"/>
  <c r="O39" i="23"/>
  <c r="O28" i="23"/>
  <c r="O12" i="23"/>
  <c r="O52" i="23"/>
  <c r="O41" i="23"/>
  <c r="O58" i="23"/>
  <c r="O38" i="23"/>
  <c r="O44" i="23"/>
  <c r="O21" i="23"/>
  <c r="O9" i="23"/>
  <c r="O59" i="23"/>
  <c r="O19" i="23"/>
  <c r="O48" i="23"/>
  <c r="O7" i="23"/>
  <c r="S34" i="12"/>
  <c r="Q34" i="29"/>
  <c r="Q84" i="29" s="1"/>
  <c r="P46" i="24"/>
  <c r="P20" i="24"/>
  <c r="P41" i="24"/>
  <c r="P39" i="24"/>
  <c r="P7" i="24"/>
  <c r="P10" i="24"/>
  <c r="AA23" i="12"/>
  <c r="V23" i="29"/>
  <c r="V73" i="29" s="1"/>
  <c r="S44" i="12"/>
  <c r="Q44" i="29"/>
  <c r="Q94" i="29" s="1"/>
  <c r="AA14" i="12"/>
  <c r="V14" i="29"/>
  <c r="V64" i="29" s="1"/>
  <c r="V38" i="24"/>
  <c r="V43" i="24"/>
  <c r="V20" i="24"/>
  <c r="V11" i="24"/>
  <c r="V12" i="24"/>
  <c r="AI5" i="8"/>
  <c r="AE5" i="28" s="1"/>
  <c r="AE77" i="28" s="1"/>
  <c r="S27" i="12"/>
  <c r="Q27" i="29"/>
  <c r="Q77" i="29" s="1"/>
  <c r="S19" i="12"/>
  <c r="Q19" i="29"/>
  <c r="Q69" i="29" s="1"/>
  <c r="M31" i="24"/>
  <c r="M40" i="24"/>
  <c r="M43" i="24"/>
  <c r="M39" i="24"/>
  <c r="M6" i="24"/>
  <c r="M18" i="24"/>
  <c r="AA43" i="12"/>
  <c r="V43" i="29"/>
  <c r="V93" i="29" s="1"/>
  <c r="O45" i="24"/>
  <c r="O19" i="24"/>
  <c r="O38" i="24"/>
  <c r="O28" i="24"/>
  <c r="O23" i="24"/>
  <c r="O8" i="24"/>
  <c r="S37" i="12"/>
  <c r="Q37" i="29"/>
  <c r="Q87" i="29" s="1"/>
  <c r="U42" i="24"/>
  <c r="U31" i="24"/>
  <c r="U29" i="24"/>
  <c r="U41" i="24"/>
  <c r="W41" i="24" s="1"/>
  <c r="U7" i="24"/>
  <c r="U15" i="24"/>
  <c r="W15" i="24" s="1"/>
  <c r="AA34" i="12"/>
  <c r="V34" i="29"/>
  <c r="V84" i="29" s="1"/>
  <c r="P49" i="24"/>
  <c r="P44" i="24"/>
  <c r="P37" i="24"/>
  <c r="P19" i="24"/>
  <c r="P12" i="24"/>
  <c r="P9" i="30"/>
  <c r="P15" i="30" s="1"/>
  <c r="P11" i="30"/>
  <c r="P7" i="30"/>
  <c r="P13" i="30" s="1"/>
  <c r="W21" i="28"/>
  <c r="W93" i="28" s="1"/>
  <c r="W44" i="28"/>
  <c r="W116" i="28" s="1"/>
  <c r="L47" i="28"/>
  <c r="L119" i="28" s="1"/>
  <c r="L55" i="28"/>
  <c r="L127" i="28" s="1"/>
  <c r="R31" i="29"/>
  <c r="R81" i="29" s="1"/>
  <c r="N48" i="29"/>
  <c r="N98" i="29" s="1"/>
  <c r="W46" i="11"/>
  <c r="V46" i="24"/>
  <c r="V26" i="24"/>
  <c r="V27" i="24"/>
  <c r="V5" i="24"/>
  <c r="W5" i="24" s="1"/>
  <c r="V14" i="24"/>
  <c r="W57" i="28"/>
  <c r="W129" i="28" s="1"/>
  <c r="M41" i="24"/>
  <c r="M38" i="24"/>
  <c r="M26" i="24"/>
  <c r="M29" i="24"/>
  <c r="M7" i="24"/>
  <c r="M15" i="24"/>
  <c r="O29" i="24"/>
  <c r="O42" i="24"/>
  <c r="O43" i="24"/>
  <c r="O24" i="24"/>
  <c r="O5" i="24"/>
  <c r="O9" i="24"/>
  <c r="AD31" i="28"/>
  <c r="AD103" i="28" s="1"/>
  <c r="AC25" i="8"/>
  <c r="AA19" i="12"/>
  <c r="V19" i="29"/>
  <c r="V69" i="29" s="1"/>
  <c r="U33" i="24"/>
  <c r="U32" i="24"/>
  <c r="U34" i="24"/>
  <c r="U47" i="24"/>
  <c r="AE35" i="28"/>
  <c r="AE107" i="28" s="1"/>
  <c r="L29" i="28"/>
  <c r="L101" i="28" s="1"/>
  <c r="V10" i="28"/>
  <c r="V82" i="28" s="1"/>
  <c r="V52" i="28"/>
  <c r="V124" i="28" s="1"/>
  <c r="O5" i="8"/>
  <c r="O5" i="28" s="1"/>
  <c r="O77" i="28" s="1"/>
  <c r="AA20" i="12"/>
  <c r="V20" i="29"/>
  <c r="V70" i="29" s="1"/>
  <c r="P8" i="24"/>
  <c r="R16" i="29"/>
  <c r="R66" i="29" s="1"/>
  <c r="N44" i="29"/>
  <c r="N94" i="29" s="1"/>
  <c r="P45" i="24"/>
  <c r="P30" i="24"/>
  <c r="P17" i="24"/>
  <c r="AE41" i="28"/>
  <c r="AE113" i="28" s="1"/>
  <c r="AE30" i="28"/>
  <c r="AE102" i="28" s="1"/>
  <c r="AE63" i="28"/>
  <c r="AE135" i="28" s="1"/>
  <c r="AC63" i="8"/>
  <c r="V21" i="28"/>
  <c r="V93" i="28" s="1"/>
  <c r="V47" i="28"/>
  <c r="V119" i="28" s="1"/>
  <c r="S26" i="12"/>
  <c r="Q26" i="29"/>
  <c r="Q76" i="29" s="1"/>
  <c r="S21" i="12"/>
  <c r="Q21" i="29"/>
  <c r="Q71" i="29" s="1"/>
  <c r="AA48" i="12"/>
  <c r="V48" i="29"/>
  <c r="V98" i="29" s="1"/>
  <c r="T40" i="28"/>
  <c r="T112" i="28" s="1"/>
  <c r="V40" i="24"/>
  <c r="V44" i="24"/>
  <c r="V49" i="24"/>
  <c r="V33" i="24"/>
  <c r="W9" i="11"/>
  <c r="V9" i="24"/>
  <c r="V16" i="24"/>
  <c r="W16" i="24" s="1"/>
  <c r="W63" i="28"/>
  <c r="W135" i="28" s="1"/>
  <c r="V19" i="28"/>
  <c r="V91" i="28" s="1"/>
  <c r="L43" i="28"/>
  <c r="L115" i="28" s="1"/>
  <c r="L64" i="28"/>
  <c r="L136" i="28" s="1"/>
  <c r="V39" i="28"/>
  <c r="V111" i="28" s="1"/>
  <c r="V44" i="28"/>
  <c r="V116" i="28" s="1"/>
  <c r="S18" i="12"/>
  <c r="Q18" i="29"/>
  <c r="Q68" i="29" s="1"/>
  <c r="M25" i="24"/>
  <c r="M44" i="24"/>
  <c r="M24" i="24"/>
  <c r="M19" i="24"/>
  <c r="M9" i="24"/>
  <c r="M17" i="24"/>
  <c r="AA8" i="12"/>
  <c r="V8" i="29"/>
  <c r="V58" i="29" s="1"/>
  <c r="T41" i="28"/>
  <c r="T113" i="28" s="1"/>
  <c r="T35" i="28"/>
  <c r="T107" i="28" s="1"/>
  <c r="O22" i="24"/>
  <c r="O48" i="24"/>
  <c r="O36" i="24"/>
  <c r="O39" i="24"/>
  <c r="O12" i="24"/>
  <c r="O15" i="24"/>
  <c r="AD66" i="28"/>
  <c r="AD138" i="28" s="1"/>
  <c r="W53" i="28"/>
  <c r="W125" i="28" s="1"/>
  <c r="L53" i="28"/>
  <c r="L125" i="28" s="1"/>
  <c r="V11" i="28"/>
  <c r="V83" i="28" s="1"/>
  <c r="V59" i="28"/>
  <c r="V131" i="28" s="1"/>
  <c r="R27" i="29"/>
  <c r="R77" i="29" s="1"/>
  <c r="S7" i="12"/>
  <c r="Q7" i="29"/>
  <c r="Q57" i="29" s="1"/>
  <c r="N13" i="29"/>
  <c r="N63" i="29" s="1"/>
  <c r="U27" i="24"/>
  <c r="U22" i="24"/>
  <c r="W20" i="11"/>
  <c r="U20" i="24"/>
  <c r="W20" i="24" s="1"/>
  <c r="W48" i="11"/>
  <c r="U48" i="24"/>
  <c r="W48" i="24" s="1"/>
  <c r="U14" i="24"/>
  <c r="U23" i="24"/>
  <c r="AA40" i="12"/>
  <c r="V40" i="29"/>
  <c r="V90" i="29" s="1"/>
  <c r="AD69" i="28"/>
  <c r="AD141" i="28" s="1"/>
  <c r="H9" i="31"/>
  <c r="H11" i="31"/>
  <c r="U30" i="8"/>
  <c r="T30" i="28" s="1"/>
  <c r="T102" i="28" s="1"/>
  <c r="W20" i="8"/>
  <c r="V20" i="28" s="1"/>
  <c r="V92" i="28" s="1"/>
  <c r="S30" i="12"/>
  <c r="Q30" i="29"/>
  <c r="Q80" i="29" s="1"/>
  <c r="Y13" i="8"/>
  <c r="X13" i="28" s="1"/>
  <c r="X85" i="28" s="1"/>
  <c r="Y13" i="23"/>
  <c r="Y7" i="23"/>
  <c r="Y11" i="23"/>
  <c r="Y8" i="23"/>
  <c r="Y46" i="23"/>
  <c r="Y67" i="23"/>
  <c r="Y9" i="23"/>
  <c r="Y15" i="23"/>
  <c r="Y32" i="23"/>
  <c r="Y31" i="23"/>
  <c r="Y28" i="23"/>
  <c r="Y27" i="23"/>
  <c r="Y36" i="23"/>
  <c r="Y35" i="23"/>
  <c r="Y29" i="23"/>
  <c r="Y53" i="23"/>
  <c r="Y17" i="23"/>
  <c r="Y64" i="23"/>
  <c r="Y14" i="23"/>
  <c r="Y60" i="23"/>
  <c r="Y20" i="23"/>
  <c r="Y68" i="23"/>
  <c r="Y23" i="23"/>
  <c r="Y58" i="23"/>
  <c r="Y49" i="23"/>
  <c r="Y54" i="23"/>
  <c r="Y50" i="23"/>
  <c r="Y62" i="23"/>
  <c r="Y16" i="23"/>
  <c r="Y21" i="23"/>
  <c r="AH13" i="8"/>
  <c r="AD13" i="28" s="1"/>
  <c r="AD85" i="28" s="1"/>
  <c r="AH13" i="23"/>
  <c r="AH41" i="23"/>
  <c r="AH33" i="23"/>
  <c r="AH49" i="23"/>
  <c r="AH28" i="23"/>
  <c r="AH67" i="23"/>
  <c r="AH10" i="23"/>
  <c r="AH55" i="23"/>
  <c r="AH34" i="23"/>
  <c r="AH60" i="23"/>
  <c r="AH25" i="23"/>
  <c r="AH62" i="23"/>
  <c r="AH38" i="23"/>
  <c r="AH42" i="23"/>
  <c r="AH21" i="23"/>
  <c r="AH54" i="23"/>
  <c r="AH35" i="23"/>
  <c r="AH66" i="23"/>
  <c r="AH30" i="23"/>
  <c r="AH44" i="23"/>
  <c r="AH39" i="23"/>
  <c r="AH6" i="23"/>
  <c r="AH32" i="23"/>
  <c r="AH43" i="23"/>
  <c r="AH31" i="23"/>
  <c r="AH29" i="23"/>
  <c r="AH36" i="23"/>
  <c r="AH68" i="23"/>
  <c r="AH14" i="23"/>
  <c r="R15" i="29"/>
  <c r="R65" i="29" s="1"/>
  <c r="R49" i="29"/>
  <c r="R99" i="29" s="1"/>
  <c r="S31" i="12"/>
  <c r="Q31" i="29"/>
  <c r="Q81" i="29" s="1"/>
  <c r="U61" i="23"/>
  <c r="AH27" i="23"/>
  <c r="AH47" i="23"/>
  <c r="Y69" i="23"/>
  <c r="Y45" i="23"/>
  <c r="X62" i="23"/>
  <c r="X50" i="23"/>
  <c r="V13" i="29"/>
  <c r="V63" i="29" s="1"/>
  <c r="AH24" i="23"/>
  <c r="AH65" i="23"/>
  <c r="Y65" i="23"/>
  <c r="Y41" i="23"/>
  <c r="X58" i="23"/>
  <c r="X23" i="23"/>
  <c r="L6" i="23"/>
  <c r="L61" i="23"/>
  <c r="W14" i="23"/>
  <c r="W49" i="23"/>
  <c r="V44" i="29"/>
  <c r="V94" i="29" s="1"/>
  <c r="V21" i="29"/>
  <c r="V71" i="29" s="1"/>
  <c r="L45" i="23"/>
  <c r="L7" i="23"/>
  <c r="W10" i="23"/>
  <c r="W52" i="23"/>
  <c r="V15" i="29"/>
  <c r="V65" i="29" s="1"/>
  <c r="AH37" i="23"/>
  <c r="Y26" i="23"/>
  <c r="U38" i="23"/>
  <c r="U8" i="24"/>
  <c r="U17" i="24"/>
  <c r="T43" i="28"/>
  <c r="T115" i="28" s="1"/>
  <c r="S10" i="12"/>
  <c r="Q10" i="29"/>
  <c r="Q60" i="29" s="1"/>
  <c r="W13" i="8"/>
  <c r="V13" i="28" s="1"/>
  <c r="V85" i="28" s="1"/>
  <c r="W13" i="23"/>
  <c r="W69" i="23"/>
  <c r="W33" i="23"/>
  <c r="W66" i="23"/>
  <c r="W20" i="23"/>
  <c r="W63" i="23"/>
  <c r="W29" i="23"/>
  <c r="W59" i="23"/>
  <c r="W11" i="23"/>
  <c r="W60" i="23"/>
  <c r="W34" i="23"/>
  <c r="W68" i="23"/>
  <c r="W38" i="23"/>
  <c r="W57" i="23"/>
  <c r="W22" i="23"/>
  <c r="W40" i="23"/>
  <c r="W54" i="23"/>
  <c r="W35" i="23"/>
  <c r="W43" i="23"/>
  <c r="W27" i="23"/>
  <c r="W41" i="23"/>
  <c r="W31" i="23"/>
  <c r="W5" i="23"/>
  <c r="W28" i="23"/>
  <c r="W8" i="23"/>
  <c r="W32" i="23"/>
  <c r="W50" i="23"/>
  <c r="W15" i="23"/>
  <c r="S23" i="12"/>
  <c r="Q23" i="29"/>
  <c r="Q73" i="29" s="1"/>
  <c r="S32" i="12"/>
  <c r="Q32" i="29"/>
  <c r="Q82" i="29" s="1"/>
  <c r="U66" i="8"/>
  <c r="T66" i="28" s="1"/>
  <c r="T138" i="28" s="1"/>
  <c r="L27" i="23"/>
  <c r="L63" i="23"/>
  <c r="W18" i="23"/>
  <c r="W51" i="23"/>
  <c r="T51" i="24"/>
  <c r="U24" i="23"/>
  <c r="U21" i="23"/>
  <c r="U45" i="23"/>
  <c r="AH18" i="23"/>
  <c r="AH58" i="23"/>
  <c r="Y61" i="23"/>
  <c r="Y37" i="23"/>
  <c r="X54" i="23"/>
  <c r="X49" i="23"/>
  <c r="U22" i="23"/>
  <c r="AH22" i="23"/>
  <c r="AH45" i="23"/>
  <c r="AH56" i="23"/>
  <c r="Y24" i="23"/>
  <c r="Y6" i="23"/>
  <c r="X51" i="23"/>
  <c r="X25" i="23"/>
  <c r="L15" i="23"/>
  <c r="L11" i="23"/>
  <c r="W21" i="23"/>
  <c r="W47" i="23"/>
  <c r="V10" i="29"/>
  <c r="V60" i="29" s="1"/>
  <c r="X47" i="23"/>
  <c r="L55" i="23"/>
  <c r="W24" i="24"/>
  <c r="S47" i="12"/>
  <c r="Q47" i="29"/>
  <c r="Q97" i="29" s="1"/>
  <c r="N22" i="29"/>
  <c r="N72" i="29" s="1"/>
  <c r="AH57" i="8"/>
  <c r="AD57" i="28" s="1"/>
  <c r="AD129" i="28" s="1"/>
  <c r="R44" i="29"/>
  <c r="R94" i="29" s="1"/>
  <c r="U55" i="8"/>
  <c r="T55" i="28" s="1"/>
  <c r="T127" i="28" s="1"/>
  <c r="U49" i="23"/>
  <c r="AH26" i="23"/>
  <c r="AH59" i="23"/>
  <c r="Y56" i="23"/>
  <c r="Y10" i="23"/>
  <c r="X68" i="23"/>
  <c r="X20" i="23"/>
  <c r="Q40" i="29"/>
  <c r="Q90" i="29" s="1"/>
  <c r="V26" i="29"/>
  <c r="V76" i="29" s="1"/>
  <c r="U54" i="23"/>
  <c r="AH17" i="23"/>
  <c r="AH61" i="23"/>
  <c r="Y52" i="23"/>
  <c r="Y22" i="23"/>
  <c r="X52" i="23"/>
  <c r="X17" i="23"/>
  <c r="L25" i="23"/>
  <c r="L37" i="23"/>
  <c r="W19" i="23"/>
  <c r="W64" i="23"/>
  <c r="V33" i="29"/>
  <c r="V83" i="29" s="1"/>
  <c r="L19" i="23"/>
  <c r="W16" i="23"/>
  <c r="W65" i="23"/>
  <c r="V35" i="29"/>
  <c r="V85" i="29" s="1"/>
  <c r="AH40" i="23"/>
  <c r="Y66" i="23"/>
  <c r="W37" i="23"/>
  <c r="Q16" i="29"/>
  <c r="Q66" i="29" s="1"/>
  <c r="Q46" i="29"/>
  <c r="Q96" i="29" s="1"/>
  <c r="AA7" i="12"/>
  <c r="V7" i="29"/>
  <c r="V57" i="29" s="1"/>
  <c r="U40" i="24"/>
  <c r="U46" i="24"/>
  <c r="W46" i="24" s="1"/>
  <c r="U26" i="24"/>
  <c r="U44" i="24"/>
  <c r="U12" i="24"/>
  <c r="T31" i="28"/>
  <c r="T103" i="28" s="1"/>
  <c r="R14" i="29"/>
  <c r="R64" i="29" s="1"/>
  <c r="R39" i="29"/>
  <c r="R89" i="29" s="1"/>
  <c r="L67" i="8"/>
  <c r="L67" i="28" s="1"/>
  <c r="L139" i="28" s="1"/>
  <c r="L13" i="23"/>
  <c r="L40" i="23"/>
  <c r="L21" i="23"/>
  <c r="L41" i="23"/>
  <c r="L54" i="23"/>
  <c r="L10" i="23"/>
  <c r="L52" i="23"/>
  <c r="L33" i="23"/>
  <c r="L71" i="23"/>
  <c r="L42" i="23"/>
  <c r="L30" i="23"/>
  <c r="L8" i="23"/>
  <c r="L53" i="23"/>
  <c r="L23" i="23"/>
  <c r="L60" i="23"/>
  <c r="L48" i="23"/>
  <c r="L64" i="23"/>
  <c r="L43" i="23"/>
  <c r="L66" i="23"/>
  <c r="L31" i="23"/>
  <c r="L51" i="23"/>
  <c r="L35" i="23"/>
  <c r="L26" i="23"/>
  <c r="L32" i="23"/>
  <c r="L56" i="23"/>
  <c r="L36" i="23"/>
  <c r="L16" i="23"/>
  <c r="L46" i="23"/>
  <c r="S39" i="12"/>
  <c r="Q39" i="29"/>
  <c r="Q89" i="29" s="1"/>
  <c r="S17" i="12"/>
  <c r="Q17" i="29"/>
  <c r="Q67" i="29" s="1"/>
  <c r="N38" i="29"/>
  <c r="N88" i="29" s="1"/>
  <c r="Z39" i="24"/>
  <c r="AA39" i="24" s="1"/>
  <c r="L5" i="23"/>
  <c r="L38" i="23"/>
  <c r="W30" i="23"/>
  <c r="W61" i="23"/>
  <c r="U66" i="23"/>
  <c r="U5" i="23"/>
  <c r="U11" i="23"/>
  <c r="U63" i="23"/>
  <c r="AH23" i="23"/>
  <c r="AH70" i="23"/>
  <c r="Y47" i="23"/>
  <c r="Y48" i="23"/>
  <c r="X16" i="23"/>
  <c r="X14" i="23"/>
  <c r="U12" i="23"/>
  <c r="U44" i="23"/>
  <c r="AH9" i="23"/>
  <c r="AH50" i="23"/>
  <c r="Y70" i="23"/>
  <c r="Y30" i="23"/>
  <c r="X63" i="23"/>
  <c r="L17" i="23"/>
  <c r="L69" i="23"/>
  <c r="W45" i="23"/>
  <c r="W58" i="23"/>
  <c r="V36" i="29"/>
  <c r="V86" i="29" s="1"/>
  <c r="AH53" i="23"/>
  <c r="Y40" i="23"/>
  <c r="L47" i="23"/>
  <c r="L44" i="23"/>
  <c r="S29" i="12"/>
  <c r="Q29" i="29"/>
  <c r="Q79" i="29" s="1"/>
  <c r="U20" i="8"/>
  <c r="T20" i="28" s="1"/>
  <c r="T92" i="28" s="1"/>
  <c r="U13" i="23"/>
  <c r="U59" i="23"/>
  <c r="U58" i="23"/>
  <c r="U23" i="23"/>
  <c r="U31" i="23"/>
  <c r="U26" i="23"/>
  <c r="U56" i="23"/>
  <c r="U71" i="23"/>
  <c r="U30" i="23"/>
  <c r="U57" i="23"/>
  <c r="U48" i="23"/>
  <c r="U47" i="23"/>
  <c r="U19" i="23"/>
  <c r="U18" i="23"/>
  <c r="U8" i="23"/>
  <c r="U27" i="23"/>
  <c r="U41" i="23"/>
  <c r="U62" i="23"/>
  <c r="U46" i="23"/>
  <c r="U32" i="23"/>
  <c r="U43" i="23"/>
  <c r="U25" i="23"/>
  <c r="U60" i="23"/>
  <c r="U17" i="23"/>
  <c r="U28" i="23"/>
  <c r="U51" i="23"/>
  <c r="U20" i="23"/>
  <c r="U70" i="23"/>
  <c r="U6" i="23"/>
  <c r="U29" i="23"/>
  <c r="U65" i="23"/>
  <c r="X13" i="8"/>
  <c r="W13" i="28" s="1"/>
  <c r="W85" i="28" s="1"/>
  <c r="X13" i="23"/>
  <c r="X36" i="23"/>
  <c r="X15" i="23"/>
  <c r="X28" i="23"/>
  <c r="X11" i="23"/>
  <c r="X44" i="23"/>
  <c r="X21" i="23"/>
  <c r="X7" i="23"/>
  <c r="X39" i="23"/>
  <c r="X48" i="23"/>
  <c r="X35" i="23"/>
  <c r="X19" i="23"/>
  <c r="X43" i="23"/>
  <c r="X41" i="23"/>
  <c r="X65" i="23"/>
  <c r="X33" i="23"/>
  <c r="X57" i="23"/>
  <c r="X29" i="23"/>
  <c r="X53" i="23"/>
  <c r="X37" i="23"/>
  <c r="X61" i="23"/>
  <c r="X30" i="23"/>
  <c r="X70" i="23"/>
  <c r="X26" i="23"/>
  <c r="X66" i="23"/>
  <c r="X34" i="23"/>
  <c r="X55" i="23"/>
  <c r="X9" i="23"/>
  <c r="X24" i="23"/>
  <c r="W27" i="8"/>
  <c r="V27" i="28" s="1"/>
  <c r="V99" i="28" s="1"/>
  <c r="W43" i="8"/>
  <c r="V43" i="28" s="1"/>
  <c r="V115" i="28" s="1"/>
  <c r="R23" i="29"/>
  <c r="R73" i="29" s="1"/>
  <c r="R43" i="29"/>
  <c r="R93" i="29" s="1"/>
  <c r="AA41" i="12"/>
  <c r="V41" i="29"/>
  <c r="V91" i="29" s="1"/>
  <c r="AH12" i="8"/>
  <c r="AD12" i="28" s="1"/>
  <c r="AD84" i="28" s="1"/>
  <c r="O9" i="30"/>
  <c r="O15" i="30" s="1"/>
  <c r="O7" i="30"/>
  <c r="O13" i="30" s="1"/>
  <c r="O11" i="30"/>
  <c r="R10" i="29"/>
  <c r="R60" i="29" s="1"/>
  <c r="S48" i="12"/>
  <c r="Q48" i="29"/>
  <c r="Q98" i="29" s="1"/>
  <c r="Z27" i="24"/>
  <c r="AA27" i="24" s="1"/>
  <c r="AH7" i="23"/>
  <c r="AH69" i="23"/>
  <c r="Y18" i="23"/>
  <c r="Y25" i="23"/>
  <c r="X31" i="23"/>
  <c r="X40" i="23"/>
  <c r="Q42" i="29"/>
  <c r="Q92" i="29" s="1"/>
  <c r="V29" i="29"/>
  <c r="V79" i="29" s="1"/>
  <c r="U69" i="23"/>
  <c r="AH8" i="23"/>
  <c r="AH71" i="23"/>
  <c r="Y71" i="23"/>
  <c r="Y19" i="23"/>
  <c r="X27" i="23"/>
  <c r="X32" i="23"/>
  <c r="L18" i="23"/>
  <c r="L20" i="23"/>
  <c r="W9" i="23"/>
  <c r="W53" i="23"/>
  <c r="V6" i="29"/>
  <c r="V56" i="29" s="1"/>
  <c r="L24" i="23"/>
  <c r="L59" i="23"/>
  <c r="W24" i="23"/>
  <c r="W62" i="23"/>
  <c r="V46" i="29"/>
  <c r="V96" i="29" s="1"/>
  <c r="U55" i="23"/>
  <c r="X38" i="23"/>
  <c r="L62" i="23"/>
  <c r="L39" i="23"/>
  <c r="W10" i="11"/>
  <c r="U10" i="24"/>
  <c r="W10" i="24" s="1"/>
  <c r="U9" i="24"/>
  <c r="T56" i="28"/>
  <c r="T128" i="28" s="1"/>
  <c r="S14" i="12"/>
  <c r="Q14" i="29"/>
  <c r="Q64" i="29" s="1"/>
  <c r="G9" i="31"/>
  <c r="G11" i="31"/>
  <c r="L25" i="8"/>
  <c r="L25" i="28" s="1"/>
  <c r="L97" i="28" s="1"/>
  <c r="Z24" i="24"/>
  <c r="AA24" i="24" s="1"/>
  <c r="L9" i="23"/>
  <c r="L70" i="23"/>
  <c r="W17" i="23"/>
  <c r="W48" i="23"/>
  <c r="W7" i="24"/>
  <c r="W47" i="24"/>
  <c r="U14" i="23"/>
  <c r="U42" i="23"/>
  <c r="U52" i="23"/>
  <c r="AH5" i="23"/>
  <c r="AH48" i="23"/>
  <c r="Y51" i="23"/>
  <c r="Y12" i="23"/>
  <c r="X18" i="23"/>
  <c r="X6" i="23"/>
  <c r="U15" i="23"/>
  <c r="U40" i="23"/>
  <c r="U33" i="23"/>
  <c r="U64" i="23"/>
  <c r="AH15" i="23"/>
  <c r="AH51" i="23"/>
  <c r="Y57" i="23"/>
  <c r="Y33" i="23"/>
  <c r="X69" i="23"/>
  <c r="X45" i="23"/>
  <c r="L22" i="23"/>
  <c r="L29" i="23"/>
  <c r="L50" i="23"/>
  <c r="W7" i="23"/>
  <c r="W71" i="23"/>
  <c r="AH11" i="23"/>
  <c r="Y39" i="23"/>
  <c r="W44" i="23"/>
  <c r="W27" i="24"/>
  <c r="U37" i="23"/>
  <c r="W36" i="23"/>
  <c r="W11" i="11"/>
  <c r="U11" i="24"/>
  <c r="L10" i="28"/>
  <c r="L82" i="28" s="1"/>
  <c r="L54" i="28"/>
  <c r="L126" i="28" s="1"/>
  <c r="V29" i="28"/>
  <c r="V101" i="28" s="1"/>
  <c r="W63" i="8"/>
  <c r="V63" i="28" s="1"/>
  <c r="V135" i="28" s="1"/>
  <c r="X56" i="8"/>
  <c r="W56" i="28" s="1"/>
  <c r="W128" i="28" s="1"/>
  <c r="W34" i="8"/>
  <c r="V34" i="28" s="1"/>
  <c r="V106" i="28" s="1"/>
  <c r="W60" i="8"/>
  <c r="V60" i="28" s="1"/>
  <c r="V132" i="28" s="1"/>
  <c r="R8" i="29"/>
  <c r="R58" i="29" s="1"/>
  <c r="R33" i="29"/>
  <c r="R83" i="29" s="1"/>
  <c r="S25" i="12"/>
  <c r="Q25" i="29"/>
  <c r="Q75" i="29" s="1"/>
  <c r="Y8" i="8"/>
  <c r="W25" i="8"/>
  <c r="V25" i="28" s="1"/>
  <c r="V97" i="28" s="1"/>
  <c r="R11" i="29"/>
  <c r="R61" i="29" s="1"/>
  <c r="R19" i="29"/>
  <c r="R69" i="29" s="1"/>
  <c r="S12" i="12"/>
  <c r="Q12" i="29"/>
  <c r="Q62" i="29" s="1"/>
  <c r="AH19" i="23"/>
  <c r="AH46" i="23"/>
  <c r="Y63" i="23"/>
  <c r="Y42" i="23"/>
  <c r="Y5" i="23"/>
  <c r="X64" i="23"/>
  <c r="X8" i="23"/>
  <c r="Q24" i="29"/>
  <c r="Q74" i="29" s="1"/>
  <c r="V9" i="29"/>
  <c r="V59" i="29" s="1"/>
  <c r="AH16" i="23"/>
  <c r="AH64" i="23"/>
  <c r="Y59" i="23"/>
  <c r="Y38" i="23"/>
  <c r="X71" i="23"/>
  <c r="X56" i="23"/>
  <c r="X5" i="23"/>
  <c r="L14" i="23"/>
  <c r="L67" i="23"/>
  <c r="W26" i="23"/>
  <c r="W70" i="23"/>
  <c r="V47" i="29"/>
  <c r="V97" i="29" s="1"/>
  <c r="L65" i="23"/>
  <c r="L34" i="23"/>
  <c r="W23" i="23"/>
  <c r="W55" i="23"/>
  <c r="V18" i="29"/>
  <c r="V68" i="29" s="1"/>
  <c r="V45" i="29"/>
  <c r="V95" i="29" s="1"/>
  <c r="U39" i="23"/>
  <c r="AH52" i="23"/>
  <c r="X59" i="23"/>
  <c r="L49" i="23"/>
  <c r="U36" i="23"/>
  <c r="W6" i="23"/>
  <c r="U38" i="24"/>
  <c r="W38" i="24" s="1"/>
  <c r="U25" i="24"/>
  <c r="W25" i="24" s="1"/>
  <c r="U30" i="24"/>
  <c r="W30" i="24" s="1"/>
  <c r="W35" i="11"/>
  <c r="U35" i="24"/>
  <c r="W35" i="24" s="1"/>
  <c r="U6" i="24"/>
  <c r="W6" i="24" s="1"/>
  <c r="U13" i="24"/>
  <c r="W13" i="24" s="1"/>
  <c r="R42" i="29"/>
  <c r="R92" i="29" s="1"/>
  <c r="S38" i="12"/>
  <c r="Q38" i="29"/>
  <c r="Q88" i="29" s="1"/>
  <c r="N5" i="29"/>
  <c r="N55" i="29" s="1"/>
  <c r="L63" i="8"/>
  <c r="L63" i="28" s="1"/>
  <c r="L135" i="28" s="1"/>
  <c r="X6" i="8"/>
  <c r="W6" i="28" s="1"/>
  <c r="W78" i="28" s="1"/>
  <c r="S41" i="12"/>
  <c r="Q41" i="29"/>
  <c r="Q91" i="29" s="1"/>
  <c r="L28" i="23"/>
  <c r="L58" i="23"/>
  <c r="W25" i="23"/>
  <c r="W46" i="23"/>
  <c r="U53" i="23"/>
  <c r="U34" i="23"/>
  <c r="U16" i="23"/>
  <c r="AH12" i="23"/>
  <c r="AH57" i="23"/>
  <c r="Y55" i="23"/>
  <c r="Y34" i="23"/>
  <c r="X67" i="23"/>
  <c r="X46" i="23"/>
  <c r="X60" i="23"/>
  <c r="U68" i="23"/>
  <c r="U10" i="23"/>
  <c r="U7" i="23"/>
  <c r="U9" i="23"/>
  <c r="U67" i="23"/>
  <c r="AH20" i="23"/>
  <c r="AH63" i="23"/>
  <c r="Y43" i="23"/>
  <c r="Y44" i="23"/>
  <c r="X12" i="23"/>
  <c r="X10" i="23"/>
  <c r="L12" i="23"/>
  <c r="L68" i="23"/>
  <c r="W12" i="23"/>
  <c r="W42" i="23"/>
  <c r="X22" i="23"/>
  <c r="W39" i="23"/>
  <c r="U35" i="23"/>
  <c r="W56" i="23"/>
  <c r="W26" i="24"/>
  <c r="S5" i="24"/>
  <c r="S51" i="24" s="1"/>
  <c r="R51" i="24"/>
  <c r="N51" i="24"/>
  <c r="N76" i="23"/>
  <c r="N75" i="23"/>
  <c r="N76" i="6"/>
  <c r="W23" i="24"/>
  <c r="W43" i="24"/>
  <c r="W19" i="24"/>
  <c r="L53" i="24"/>
  <c r="W32" i="24"/>
  <c r="AA5" i="24"/>
  <c r="L54" i="24"/>
  <c r="L56" i="24" s="1"/>
  <c r="W33" i="24"/>
  <c r="W49" i="24"/>
  <c r="W34" i="24"/>
  <c r="W44" i="24"/>
  <c r="W42" i="24"/>
  <c r="I14" i="31"/>
  <c r="E14" i="31"/>
  <c r="M14" i="31"/>
  <c r="L14" i="31"/>
  <c r="H14" i="31"/>
  <c r="D14" i="31"/>
  <c r="K14" i="31"/>
  <c r="G14" i="31"/>
  <c r="C14" i="31"/>
  <c r="J14" i="31"/>
  <c r="F14" i="31"/>
  <c r="B14" i="31"/>
  <c r="AQ29" i="23"/>
  <c r="AQ19" i="23"/>
  <c r="AC26" i="8"/>
  <c r="O14" i="8"/>
  <c r="O14" i="28" s="1"/>
  <c r="O86" i="28" s="1"/>
  <c r="AI40" i="8"/>
  <c r="AE40" i="28" s="1"/>
  <c r="AE112" i="28" s="1"/>
  <c r="AC22" i="8"/>
  <c r="AC35" i="8"/>
  <c r="AI21" i="8"/>
  <c r="AE21" i="28" s="1"/>
  <c r="AE93" i="28" s="1"/>
  <c r="AC48" i="8"/>
  <c r="AC18" i="8"/>
  <c r="AC42" i="8"/>
  <c r="AI27" i="8"/>
  <c r="AE27" i="28" s="1"/>
  <c r="AE99" i="28" s="1"/>
  <c r="X52" i="8"/>
  <c r="W52" i="28" s="1"/>
  <c r="W124" i="28" s="1"/>
  <c r="X17" i="8"/>
  <c r="W17" i="28" s="1"/>
  <c r="W89" i="28" s="1"/>
  <c r="U26" i="8"/>
  <c r="T26" i="28" s="1"/>
  <c r="T98" i="28" s="1"/>
  <c r="AC9" i="8"/>
  <c r="O38" i="8"/>
  <c r="O38" i="28" s="1"/>
  <c r="O110" i="28" s="1"/>
  <c r="O11" i="8"/>
  <c r="O11" i="28" s="1"/>
  <c r="O83" i="28" s="1"/>
  <c r="W16" i="11"/>
  <c r="AI26" i="8"/>
  <c r="AE26" i="28" s="1"/>
  <c r="AE98" i="28" s="1"/>
  <c r="AI56" i="8"/>
  <c r="AE56" i="28" s="1"/>
  <c r="AE128" i="28" s="1"/>
  <c r="AC50" i="8"/>
  <c r="U53" i="8"/>
  <c r="T53" i="28" s="1"/>
  <c r="T125" i="28" s="1"/>
  <c r="W5" i="11"/>
  <c r="AC44" i="8"/>
  <c r="AC71" i="8"/>
  <c r="AI38" i="8"/>
  <c r="AE38" i="28" s="1"/>
  <c r="AE110" i="28" s="1"/>
  <c r="AC56" i="8"/>
  <c r="O63" i="8"/>
  <c r="O63" i="28" s="1"/>
  <c r="O135" i="28" s="1"/>
  <c r="AI67" i="8"/>
  <c r="AE67" i="28" s="1"/>
  <c r="AE139" i="28" s="1"/>
  <c r="W39" i="11"/>
  <c r="W37" i="11"/>
  <c r="U21" i="8"/>
  <c r="T21" i="28" s="1"/>
  <c r="T93" i="28" s="1"/>
  <c r="O43" i="8"/>
  <c r="O43" i="28" s="1"/>
  <c r="O115" i="28" s="1"/>
  <c r="U28" i="8"/>
  <c r="T28" i="28" s="1"/>
  <c r="T100" i="28" s="1"/>
  <c r="U68" i="8"/>
  <c r="T68" i="28" s="1"/>
  <c r="T140" i="28" s="1"/>
  <c r="L70" i="8"/>
  <c r="L70" i="28" s="1"/>
  <c r="L142" i="28" s="1"/>
  <c r="O65" i="8"/>
  <c r="O65" i="28" s="1"/>
  <c r="O137" i="28" s="1"/>
  <c r="Z39" i="13"/>
  <c r="AA39" i="13" s="1"/>
  <c r="Z39" i="12"/>
  <c r="AA39" i="12" s="1"/>
  <c r="AA39" i="11"/>
  <c r="O29" i="8"/>
  <c r="O29" i="28" s="1"/>
  <c r="O101" i="28" s="1"/>
  <c r="O54" i="8"/>
  <c r="O54" i="28" s="1"/>
  <c r="O126" i="28" s="1"/>
  <c r="AI33" i="8"/>
  <c r="AE33" i="28" s="1"/>
  <c r="AE105" i="28" s="1"/>
  <c r="O42" i="8"/>
  <c r="O42" i="28" s="1"/>
  <c r="O114" i="28" s="1"/>
  <c r="AI23" i="8"/>
  <c r="AE23" i="28" s="1"/>
  <c r="AE95" i="28" s="1"/>
  <c r="AI7" i="8"/>
  <c r="AE7" i="28" s="1"/>
  <c r="AE79" i="28" s="1"/>
  <c r="X10" i="8"/>
  <c r="W10" i="28" s="1"/>
  <c r="W82" i="28" s="1"/>
  <c r="AI44" i="8"/>
  <c r="AE44" i="28" s="1"/>
  <c r="AE116" i="28" s="1"/>
  <c r="AC33" i="8"/>
  <c r="X18" i="8"/>
  <c r="W18" i="28" s="1"/>
  <c r="W90" i="28" s="1"/>
  <c r="L37" i="8"/>
  <c r="L37" i="28" s="1"/>
  <c r="L109" i="28" s="1"/>
  <c r="O12" i="8"/>
  <c r="O12" i="28" s="1"/>
  <c r="O84" i="28" s="1"/>
  <c r="AA27" i="11"/>
  <c r="Z27" i="13"/>
  <c r="AA27" i="13" s="1"/>
  <c r="AC24" i="8"/>
  <c r="W41" i="11"/>
  <c r="W15" i="11"/>
  <c r="U27" i="8"/>
  <c r="T27" i="28" s="1"/>
  <c r="T99" i="28" s="1"/>
  <c r="L9" i="8"/>
  <c r="L9" i="28" s="1"/>
  <c r="L81" i="28" s="1"/>
  <c r="Y67" i="8"/>
  <c r="U19" i="8"/>
  <c r="T19" i="28" s="1"/>
  <c r="T91" i="28" s="1"/>
  <c r="AA24" i="11"/>
  <c r="Z24" i="13"/>
  <c r="AA24" i="13" s="1"/>
  <c r="AD73" i="7"/>
  <c r="AC58" i="8"/>
  <c r="O40" i="8"/>
  <c r="O40" i="28" s="1"/>
  <c r="O112" i="28" s="1"/>
  <c r="O60" i="8"/>
  <c r="O60" i="28" s="1"/>
  <c r="O132" i="28" s="1"/>
  <c r="O71" i="8"/>
  <c r="O71" i="28" s="1"/>
  <c r="O143" i="28" s="1"/>
  <c r="AI48" i="8"/>
  <c r="AE48" i="28" s="1"/>
  <c r="AE120" i="28" s="1"/>
  <c r="O17" i="8"/>
  <c r="O17" i="28" s="1"/>
  <c r="O89" i="28" s="1"/>
  <c r="AI17" i="8"/>
  <c r="AE17" i="28" s="1"/>
  <c r="AE89" i="28" s="1"/>
  <c r="AC66" i="8"/>
  <c r="W34" i="11"/>
  <c r="W8" i="11"/>
  <c r="AC7" i="8"/>
  <c r="O10" i="8"/>
  <c r="O10" i="28" s="1"/>
  <c r="O82" i="28" s="1"/>
  <c r="U5" i="8"/>
  <c r="T5" i="28" s="1"/>
  <c r="T77" i="28" s="1"/>
  <c r="AC55" i="8"/>
  <c r="X58" i="8"/>
  <c r="W58" i="28" s="1"/>
  <c r="W130" i="28" s="1"/>
  <c r="X23" i="8"/>
  <c r="W23" i="28" s="1"/>
  <c r="W95" i="28" s="1"/>
  <c r="O45" i="8"/>
  <c r="O45" i="28" s="1"/>
  <c r="O117" i="28" s="1"/>
  <c r="U18" i="8"/>
  <c r="T18" i="28" s="1"/>
  <c r="T90" i="28" s="1"/>
  <c r="AH50" i="8"/>
  <c r="AD50" i="28" s="1"/>
  <c r="AD122" i="28" s="1"/>
  <c r="Y46" i="8"/>
  <c r="W46" i="8"/>
  <c r="V46" i="28" s="1"/>
  <c r="V118" i="28" s="1"/>
  <c r="N76" i="9"/>
  <c r="N76" i="7"/>
  <c r="P42" i="12"/>
  <c r="P42" i="13"/>
  <c r="P14" i="12"/>
  <c r="P14" i="13"/>
  <c r="Q48" i="9"/>
  <c r="V27" i="12"/>
  <c r="V27" i="13"/>
  <c r="M38" i="12"/>
  <c r="M38" i="13"/>
  <c r="M7" i="12"/>
  <c r="M7" i="13"/>
  <c r="O46" i="12"/>
  <c r="O46" i="13"/>
  <c r="O11" i="12"/>
  <c r="O11" i="13"/>
  <c r="U32" i="12"/>
  <c r="U32" i="13"/>
  <c r="P40" i="9"/>
  <c r="M64" i="9"/>
  <c r="Y11" i="9"/>
  <c r="X11" i="28" s="1"/>
  <c r="X83" i="28" s="1"/>
  <c r="Y52" i="9"/>
  <c r="X52" i="28" s="1"/>
  <c r="X124" i="28" s="1"/>
  <c r="P40" i="12"/>
  <c r="P40" i="13"/>
  <c r="Q37" i="9"/>
  <c r="Q22" i="9"/>
  <c r="V49" i="12"/>
  <c r="V49" i="13"/>
  <c r="Y43" i="9"/>
  <c r="X43" i="28" s="1"/>
  <c r="X115" i="28" s="1"/>
  <c r="M44" i="12"/>
  <c r="M44" i="13"/>
  <c r="M17" i="12"/>
  <c r="M17" i="13"/>
  <c r="F35" i="5"/>
  <c r="Q54" i="24" s="1"/>
  <c r="L54" i="13"/>
  <c r="L54" i="12"/>
  <c r="L54" i="10"/>
  <c r="L54" i="11"/>
  <c r="U22" i="12"/>
  <c r="U22" i="13"/>
  <c r="U23" i="12"/>
  <c r="U23" i="13"/>
  <c r="P54" i="9"/>
  <c r="P38" i="9"/>
  <c r="P32" i="12"/>
  <c r="P32" i="13"/>
  <c r="P38" i="12"/>
  <c r="P38" i="13"/>
  <c r="P47" i="12"/>
  <c r="P47" i="13"/>
  <c r="P27" i="12"/>
  <c r="P27" i="13"/>
  <c r="P23" i="12"/>
  <c r="P23" i="13"/>
  <c r="P18" i="12"/>
  <c r="P18" i="13"/>
  <c r="Q20" i="9"/>
  <c r="Q29" i="9"/>
  <c r="Q52" i="9"/>
  <c r="Q40" i="9"/>
  <c r="Q5" i="9"/>
  <c r="Q73" i="7"/>
  <c r="Q78" i="7" s="1"/>
  <c r="Q51" i="23" s="1"/>
  <c r="Q19" i="9"/>
  <c r="Q10" i="9"/>
  <c r="Q46" i="9"/>
  <c r="AC29" i="8"/>
  <c r="Y18" i="9"/>
  <c r="X18" i="28" s="1"/>
  <c r="X90" i="28" s="1"/>
  <c r="AC14" i="8"/>
  <c r="AA73" i="9"/>
  <c r="O31" i="8"/>
  <c r="O31" i="28" s="1"/>
  <c r="O103" i="28" s="1"/>
  <c r="O41" i="8"/>
  <c r="O41" i="28" s="1"/>
  <c r="O113" i="28" s="1"/>
  <c r="V24" i="12"/>
  <c r="T24" i="29" s="1"/>
  <c r="T74" i="29" s="1"/>
  <c r="V24" i="13"/>
  <c r="V42" i="12"/>
  <c r="V42" i="13"/>
  <c r="V21" i="12"/>
  <c r="V21" i="13"/>
  <c r="V47" i="12"/>
  <c r="V47" i="13"/>
  <c r="V7" i="12"/>
  <c r="T7" i="29" s="1"/>
  <c r="T57" i="29" s="1"/>
  <c r="V7" i="13"/>
  <c r="V18" i="12"/>
  <c r="V18" i="13"/>
  <c r="M32" i="9"/>
  <c r="AC10" i="8"/>
  <c r="AC34" i="8"/>
  <c r="O9" i="8"/>
  <c r="O9" i="28" s="1"/>
  <c r="O81" i="28" s="1"/>
  <c r="O52" i="8"/>
  <c r="O52" i="28" s="1"/>
  <c r="O124" i="28" s="1"/>
  <c r="M22" i="12"/>
  <c r="M22" i="13"/>
  <c r="M34" i="12"/>
  <c r="M34" i="13"/>
  <c r="M47" i="12"/>
  <c r="M47" i="13"/>
  <c r="M27" i="12"/>
  <c r="M27" i="13"/>
  <c r="M8" i="12"/>
  <c r="M8" i="13"/>
  <c r="M23" i="12"/>
  <c r="M23" i="13"/>
  <c r="O37" i="12"/>
  <c r="O37" i="13"/>
  <c r="O44" i="12"/>
  <c r="O44" i="13"/>
  <c r="O30" i="12"/>
  <c r="O30" i="13"/>
  <c r="O14" i="12"/>
  <c r="O14" i="13"/>
  <c r="O6" i="12"/>
  <c r="O6" i="13"/>
  <c r="M33" i="9"/>
  <c r="M36" i="9"/>
  <c r="AI29" i="8"/>
  <c r="AE29" i="28" s="1"/>
  <c r="AE101" i="28" s="1"/>
  <c r="AI71" i="8"/>
  <c r="AE71" i="28" s="1"/>
  <c r="AE143" i="28" s="1"/>
  <c r="O6" i="8"/>
  <c r="O6" i="28" s="1"/>
  <c r="O78" i="28" s="1"/>
  <c r="O51" i="8"/>
  <c r="O51" i="28" s="1"/>
  <c r="O123" i="28" s="1"/>
  <c r="W24" i="11"/>
  <c r="U40" i="12"/>
  <c r="U40" i="13"/>
  <c r="U46" i="12"/>
  <c r="S46" i="29" s="1"/>
  <c r="S96" i="29" s="1"/>
  <c r="U46" i="13"/>
  <c r="U26" i="12"/>
  <c r="U26" i="13"/>
  <c r="U44" i="12"/>
  <c r="U44" i="13"/>
  <c r="U12" i="12"/>
  <c r="U12" i="13"/>
  <c r="M16" i="9"/>
  <c r="P64" i="9"/>
  <c r="P52" i="9"/>
  <c r="P53" i="9"/>
  <c r="P16" i="9"/>
  <c r="P48" i="9"/>
  <c r="P41" i="9"/>
  <c r="P42" i="9"/>
  <c r="P31" i="9"/>
  <c r="M60" i="9"/>
  <c r="AI25" i="8"/>
  <c r="AE25" i="28" s="1"/>
  <c r="AE97" i="28" s="1"/>
  <c r="AI68" i="8"/>
  <c r="AE68" i="28" s="1"/>
  <c r="AE140" i="28" s="1"/>
  <c r="AC43" i="8"/>
  <c r="W73" i="9"/>
  <c r="M52" i="9"/>
  <c r="AI12" i="8"/>
  <c r="AE12" i="28" s="1"/>
  <c r="AE84" i="28" s="1"/>
  <c r="AI53" i="8"/>
  <c r="AE53" i="28" s="1"/>
  <c r="AE125" i="28" s="1"/>
  <c r="AC37" i="8"/>
  <c r="Y58" i="9"/>
  <c r="Y23" i="9"/>
  <c r="X73" i="9"/>
  <c r="R73" i="9"/>
  <c r="L28" i="8"/>
  <c r="L28" i="28" s="1"/>
  <c r="L100" i="28" s="1"/>
  <c r="W66" i="8"/>
  <c r="V66" i="28" s="1"/>
  <c r="V138" i="28" s="1"/>
  <c r="W23" i="11"/>
  <c r="M29" i="9"/>
  <c r="Y56" i="9"/>
  <c r="L24" i="8"/>
  <c r="L24" i="28" s="1"/>
  <c r="L96" i="28" s="1"/>
  <c r="AI11" i="8"/>
  <c r="AE11" i="28" s="1"/>
  <c r="AE83" i="28" s="1"/>
  <c r="AI51" i="8"/>
  <c r="AE51" i="28" s="1"/>
  <c r="AE123" i="28" s="1"/>
  <c r="AH18" i="8"/>
  <c r="AD18" i="28" s="1"/>
  <c r="AD90" i="28" s="1"/>
  <c r="AC30" i="8"/>
  <c r="Y54" i="9"/>
  <c r="Y49" i="9"/>
  <c r="L18" i="8"/>
  <c r="L18" i="28" s="1"/>
  <c r="L90" i="28" s="1"/>
  <c r="L20" i="8"/>
  <c r="L20" i="28" s="1"/>
  <c r="L92" i="28" s="1"/>
  <c r="W18" i="8"/>
  <c r="V18" i="28" s="1"/>
  <c r="V90" i="28" s="1"/>
  <c r="W51" i="8"/>
  <c r="V51" i="28" s="1"/>
  <c r="V123" i="28" s="1"/>
  <c r="L55" i="10"/>
  <c r="L56" i="10" s="1"/>
  <c r="U24" i="8"/>
  <c r="T24" i="28" s="1"/>
  <c r="T96" i="28" s="1"/>
  <c r="M56" i="9"/>
  <c r="Y45" i="8"/>
  <c r="W9" i="8"/>
  <c r="V9" i="28" s="1"/>
  <c r="V81" i="28" s="1"/>
  <c r="P30" i="12"/>
  <c r="P30" i="13"/>
  <c r="Q61" i="9"/>
  <c r="Q9" i="9"/>
  <c r="M50" i="9"/>
  <c r="V26" i="12"/>
  <c r="V26" i="13"/>
  <c r="M41" i="12"/>
  <c r="M41" i="13"/>
  <c r="M29" i="12"/>
  <c r="M29" i="13"/>
  <c r="O26" i="12"/>
  <c r="O26" i="13"/>
  <c r="O18" i="12"/>
  <c r="O18" i="29" s="1"/>
  <c r="O68" i="29" s="1"/>
  <c r="O18" i="13"/>
  <c r="W27" i="11"/>
  <c r="U34" i="12"/>
  <c r="U34" i="13"/>
  <c r="P66" i="9"/>
  <c r="P34" i="9"/>
  <c r="M55" i="9"/>
  <c r="Y46" i="9"/>
  <c r="P33" i="12"/>
  <c r="P33" i="13"/>
  <c r="Q62" i="9"/>
  <c r="Q42" i="9"/>
  <c r="Y55" i="9"/>
  <c r="X55" i="28" s="1"/>
  <c r="X127" i="28" s="1"/>
  <c r="V44" i="12"/>
  <c r="W44" i="12" s="1"/>
  <c r="V44" i="13"/>
  <c r="M19" i="12"/>
  <c r="M19" i="29" s="1"/>
  <c r="M69" i="29" s="1"/>
  <c r="M19" i="13"/>
  <c r="O25" i="12"/>
  <c r="O25" i="13"/>
  <c r="O32" i="12"/>
  <c r="O32" i="13"/>
  <c r="M14" i="9"/>
  <c r="U27" i="12"/>
  <c r="U27" i="13"/>
  <c r="P37" i="9"/>
  <c r="V22" i="7"/>
  <c r="V40" i="7"/>
  <c r="V36" i="7"/>
  <c r="V32" i="7"/>
  <c r="V28" i="7"/>
  <c r="V25" i="7"/>
  <c r="V19" i="7"/>
  <c r="V16" i="7"/>
  <c r="V12" i="7"/>
  <c r="V39" i="7"/>
  <c r="V35" i="7"/>
  <c r="V31" i="7"/>
  <c r="V27" i="7"/>
  <c r="V18" i="7"/>
  <c r="V24" i="7"/>
  <c r="V21" i="7"/>
  <c r="V15" i="7"/>
  <c r="V11" i="7"/>
  <c r="V38" i="7"/>
  <c r="V34" i="7"/>
  <c r="V30" i="7"/>
  <c r="V26" i="7"/>
  <c r="V23" i="7"/>
  <c r="V45" i="7"/>
  <c r="V37" i="7"/>
  <c r="V29" i="7"/>
  <c r="V14" i="7"/>
  <c r="V8" i="7"/>
  <c r="V5" i="7"/>
  <c r="V17" i="7"/>
  <c r="V10" i="7"/>
  <c r="V7" i="7"/>
  <c r="V20" i="7"/>
  <c r="V33" i="7"/>
  <c r="V9" i="7"/>
  <c r="V6" i="7"/>
  <c r="V68" i="7"/>
  <c r="V59" i="7"/>
  <c r="V62" i="7"/>
  <c r="V65" i="7"/>
  <c r="V70" i="7"/>
  <c r="V48" i="7"/>
  <c r="V41" i="7"/>
  <c r="V47" i="7"/>
  <c r="V56" i="7"/>
  <c r="V49" i="7"/>
  <c r="V55" i="7"/>
  <c r="V64" i="7"/>
  <c r="V44" i="7"/>
  <c r="V63" i="7"/>
  <c r="V52" i="7"/>
  <c r="V61" i="7"/>
  <c r="V46" i="7"/>
  <c r="V58" i="7"/>
  <c r="V60" i="7"/>
  <c r="V51" i="7"/>
  <c r="V42" i="7"/>
  <c r="V54" i="7"/>
  <c r="V71" i="7"/>
  <c r="V67" i="7"/>
  <c r="V53" i="7"/>
  <c r="V50" i="7"/>
  <c r="V69" i="7"/>
  <c r="V57" i="7"/>
  <c r="V66" i="7"/>
  <c r="V43" i="7"/>
  <c r="Y36" i="9"/>
  <c r="X36" i="28" s="1"/>
  <c r="X108" i="28" s="1"/>
  <c r="M34" i="9"/>
  <c r="AC64" i="8"/>
  <c r="Y19" i="9"/>
  <c r="X19" i="28" s="1"/>
  <c r="X91" i="28" s="1"/>
  <c r="P34" i="12"/>
  <c r="P34" i="29" s="1"/>
  <c r="P84" i="29" s="1"/>
  <c r="P34" i="13"/>
  <c r="P28" i="12"/>
  <c r="P28" i="13"/>
  <c r="P29" i="12"/>
  <c r="P29" i="13"/>
  <c r="P22" i="12"/>
  <c r="P22" i="13"/>
  <c r="P5" i="12"/>
  <c r="P5" i="29" s="1"/>
  <c r="P55" i="29" s="1"/>
  <c r="P5" i="13"/>
  <c r="P51" i="11"/>
  <c r="Q30" i="9"/>
  <c r="Q66" i="9"/>
  <c r="Q26" i="9"/>
  <c r="Q59" i="9"/>
  <c r="Q55" i="9"/>
  <c r="Q8" i="9"/>
  <c r="Q25" i="9"/>
  <c r="Q14" i="9"/>
  <c r="Q15" i="9"/>
  <c r="Y61" i="9"/>
  <c r="X61" i="28" s="1"/>
  <c r="X133" i="28" s="1"/>
  <c r="Y37" i="9"/>
  <c r="X37" i="28" s="1"/>
  <c r="X109" i="28" s="1"/>
  <c r="M68" i="9"/>
  <c r="V34" i="12"/>
  <c r="V34" i="13"/>
  <c r="V32" i="12"/>
  <c r="W32" i="12" s="1"/>
  <c r="V32" i="13"/>
  <c r="V29" i="12"/>
  <c r="V29" i="13"/>
  <c r="V25" i="12"/>
  <c r="V25" i="13"/>
  <c r="V13" i="12"/>
  <c r="V13" i="13"/>
  <c r="V15" i="12"/>
  <c r="V15" i="13"/>
  <c r="Y63" i="9"/>
  <c r="X63" i="28" s="1"/>
  <c r="X135" i="28" s="1"/>
  <c r="O39" i="8"/>
  <c r="O39" i="28" s="1"/>
  <c r="O111" i="28" s="1"/>
  <c r="AI52" i="8"/>
  <c r="AE52" i="28" s="1"/>
  <c r="AE124" i="28" s="1"/>
  <c r="AC65" i="8"/>
  <c r="Y24" i="9"/>
  <c r="X24" i="28" s="1"/>
  <c r="X96" i="28" s="1"/>
  <c r="Y6" i="9"/>
  <c r="X6" i="28" s="1"/>
  <c r="X78" i="28" s="1"/>
  <c r="M40" i="9"/>
  <c r="M33" i="12"/>
  <c r="M33" i="13"/>
  <c r="M32" i="12"/>
  <c r="M32" i="13"/>
  <c r="M21" i="12"/>
  <c r="M21" i="13"/>
  <c r="M49" i="12"/>
  <c r="M49" i="29" s="1"/>
  <c r="M99" i="29" s="1"/>
  <c r="M49" i="13"/>
  <c r="M10" i="12"/>
  <c r="M10" i="13"/>
  <c r="O33" i="12"/>
  <c r="O33" i="13"/>
  <c r="O34" i="12"/>
  <c r="O34" i="13"/>
  <c r="O47" i="12"/>
  <c r="O47" i="29" s="1"/>
  <c r="O97" i="29" s="1"/>
  <c r="O47" i="13"/>
  <c r="O17" i="12"/>
  <c r="O17" i="13"/>
  <c r="O10" i="12"/>
  <c r="O10" i="13"/>
  <c r="M15" i="9"/>
  <c r="M48" i="9"/>
  <c r="AC12" i="8"/>
  <c r="AC47" i="8"/>
  <c r="Y66" i="9"/>
  <c r="X66" i="28" s="1"/>
  <c r="X138" i="28" s="1"/>
  <c r="Y26" i="9"/>
  <c r="X26" i="28" s="1"/>
  <c r="X98" i="28" s="1"/>
  <c r="M7" i="9"/>
  <c r="M39" i="9"/>
  <c r="U36" i="12"/>
  <c r="U36" i="13"/>
  <c r="U45" i="12"/>
  <c r="S45" i="29" s="1"/>
  <c r="S95" i="29" s="1"/>
  <c r="U45" i="13"/>
  <c r="U19" i="12"/>
  <c r="U19" i="13"/>
  <c r="U5" i="12"/>
  <c r="U51" i="11"/>
  <c r="U5" i="13"/>
  <c r="U16" i="12"/>
  <c r="U16" i="13"/>
  <c r="P56" i="9"/>
  <c r="P51" i="9"/>
  <c r="P5" i="9"/>
  <c r="P73" i="7"/>
  <c r="P78" i="7" s="1"/>
  <c r="P60" i="23" s="1"/>
  <c r="P19" i="9"/>
  <c r="P22" i="9"/>
  <c r="P45" i="9"/>
  <c r="P46" i="9"/>
  <c r="P35" i="9"/>
  <c r="M38" i="9"/>
  <c r="AC39" i="8"/>
  <c r="Y15" i="9"/>
  <c r="X15" i="28" s="1"/>
  <c r="X87" i="28" s="1"/>
  <c r="Y9" i="9"/>
  <c r="X9" i="28" s="1"/>
  <c r="X81" i="28" s="1"/>
  <c r="M47" i="9"/>
  <c r="O25" i="8"/>
  <c r="O25" i="28" s="1"/>
  <c r="O97" i="28" s="1"/>
  <c r="O68" i="8"/>
  <c r="O68" i="28" s="1"/>
  <c r="O140" i="28" s="1"/>
  <c r="AI10" i="8"/>
  <c r="AE10" i="28" s="1"/>
  <c r="AE82" i="28" s="1"/>
  <c r="L57" i="8"/>
  <c r="L57" i="28" s="1"/>
  <c r="L129" i="28" s="1"/>
  <c r="AC38" i="8"/>
  <c r="Y58" i="8"/>
  <c r="Y23" i="8"/>
  <c r="L58" i="8"/>
  <c r="L58" i="28" s="1"/>
  <c r="L130" i="28" s="1"/>
  <c r="W28" i="8"/>
  <c r="V28" i="28" s="1"/>
  <c r="V100" i="28" s="1"/>
  <c r="M49" i="9"/>
  <c r="O22" i="8"/>
  <c r="O22" i="28" s="1"/>
  <c r="O94" i="28" s="1"/>
  <c r="O62" i="8"/>
  <c r="O62" i="28" s="1"/>
  <c r="O134" i="28" s="1"/>
  <c r="W26" i="11"/>
  <c r="Y56" i="8"/>
  <c r="O59" i="8"/>
  <c r="O59" i="28" s="1"/>
  <c r="O131" i="28" s="1"/>
  <c r="AH58" i="8"/>
  <c r="AD58" i="28" s="1"/>
  <c r="AD130" i="28" s="1"/>
  <c r="AC54" i="8"/>
  <c r="Y54" i="8"/>
  <c r="X54" i="28" s="1"/>
  <c r="X126" i="28" s="1"/>
  <c r="Y49" i="8"/>
  <c r="X49" i="28" s="1"/>
  <c r="X121" i="28" s="1"/>
  <c r="X67" i="8"/>
  <c r="W67" i="28" s="1"/>
  <c r="W139" i="28" s="1"/>
  <c r="X46" i="8"/>
  <c r="W46" i="28" s="1"/>
  <c r="W118" i="28" s="1"/>
  <c r="X60" i="8"/>
  <c r="W60" i="28" s="1"/>
  <c r="W132" i="28" s="1"/>
  <c r="O15" i="8"/>
  <c r="O15" i="28" s="1"/>
  <c r="O87" i="28" s="1"/>
  <c r="M23" i="9"/>
  <c r="M17" i="9"/>
  <c r="P35" i="12"/>
  <c r="P35" i="29" s="1"/>
  <c r="P85" i="29" s="1"/>
  <c r="P35" i="13"/>
  <c r="Q71" i="9"/>
  <c r="Q23" i="9"/>
  <c r="V14" i="12"/>
  <c r="V14" i="13"/>
  <c r="Y8" i="9"/>
  <c r="M37" i="9"/>
  <c r="P48" i="12"/>
  <c r="P48" i="29" s="1"/>
  <c r="P98" i="29" s="1"/>
  <c r="P48" i="13"/>
  <c r="P16" i="12"/>
  <c r="P16" i="13"/>
  <c r="Q18" i="9"/>
  <c r="M70" i="9"/>
  <c r="V9" i="12"/>
  <c r="V9" i="13"/>
  <c r="S78" i="7"/>
  <c r="R78" i="7"/>
  <c r="U48" i="12"/>
  <c r="U48" i="13"/>
  <c r="P58" i="9"/>
  <c r="P7" i="9"/>
  <c r="Y71" i="9"/>
  <c r="X71" i="28" s="1"/>
  <c r="X143" i="28" s="1"/>
  <c r="AC21" i="8"/>
  <c r="O13" i="8"/>
  <c r="O13" i="28" s="1"/>
  <c r="O85" i="28" s="1"/>
  <c r="O70" i="8"/>
  <c r="O70" i="28" s="1"/>
  <c r="O142" i="28" s="1"/>
  <c r="M42" i="9"/>
  <c r="AA5" i="13"/>
  <c r="P36" i="12"/>
  <c r="P36" i="13"/>
  <c r="P26" i="12"/>
  <c r="P26" i="13"/>
  <c r="P43" i="12"/>
  <c r="P43" i="13"/>
  <c r="P9" i="12"/>
  <c r="P9" i="13"/>
  <c r="P11" i="12"/>
  <c r="P11" i="13"/>
  <c r="Q53" i="9"/>
  <c r="Q65" i="9"/>
  <c r="Q70" i="9"/>
  <c r="Q56" i="9"/>
  <c r="Q38" i="9"/>
  <c r="Q27" i="9"/>
  <c r="Q28" i="9"/>
  <c r="Q17" i="9"/>
  <c r="Q24" i="9"/>
  <c r="Y25" i="9"/>
  <c r="X25" i="28" s="1"/>
  <c r="X97" i="28" s="1"/>
  <c r="O73" i="9"/>
  <c r="AC8" i="8"/>
  <c r="AC69" i="8"/>
  <c r="O34" i="8"/>
  <c r="O34" i="28" s="1"/>
  <c r="O106" i="28" s="1"/>
  <c r="O47" i="8"/>
  <c r="O47" i="28" s="1"/>
  <c r="O119" i="28" s="1"/>
  <c r="V45" i="12"/>
  <c r="V45" i="13"/>
  <c r="V30" i="12"/>
  <c r="V30" i="13"/>
  <c r="V19" i="12"/>
  <c r="V19" i="13"/>
  <c r="V39" i="12"/>
  <c r="V39" i="13"/>
  <c r="V6" i="12"/>
  <c r="V6" i="13"/>
  <c r="V17" i="12"/>
  <c r="V17" i="13"/>
  <c r="AI43" i="8"/>
  <c r="AE43" i="28" s="1"/>
  <c r="AE115" i="28" s="1"/>
  <c r="AI28" i="8"/>
  <c r="AE28" i="28" s="1"/>
  <c r="AE100" i="28" s="1"/>
  <c r="M61" i="9"/>
  <c r="O27" i="8"/>
  <c r="O27" i="28" s="1"/>
  <c r="O99" i="28" s="1"/>
  <c r="O49" i="8"/>
  <c r="O49" i="28" s="1"/>
  <c r="O121" i="28" s="1"/>
  <c r="M48" i="12"/>
  <c r="M48" i="13"/>
  <c r="M30" i="12"/>
  <c r="M30" i="13"/>
  <c r="M37" i="12"/>
  <c r="M37" i="13"/>
  <c r="M13" i="12"/>
  <c r="M13" i="13"/>
  <c r="M12" i="12"/>
  <c r="M12" i="13"/>
  <c r="O31" i="12"/>
  <c r="O31" i="13"/>
  <c r="O20" i="12"/>
  <c r="O20" i="13"/>
  <c r="O40" i="12"/>
  <c r="O40" i="13"/>
  <c r="O35" i="12"/>
  <c r="O35" i="13"/>
  <c r="O13" i="12"/>
  <c r="O13" i="13"/>
  <c r="O7" i="12"/>
  <c r="O7" i="13"/>
  <c r="M24" i="9"/>
  <c r="AI19" i="8"/>
  <c r="AE19" i="28" s="1"/>
  <c r="AE91" i="28" s="1"/>
  <c r="AI70" i="8"/>
  <c r="AE70" i="28" s="1"/>
  <c r="AE142" i="28" s="1"/>
  <c r="M69" i="9"/>
  <c r="O18" i="8"/>
  <c r="O18" i="28" s="1"/>
  <c r="O90" i="28" s="1"/>
  <c r="O50" i="8"/>
  <c r="O50" i="28" s="1"/>
  <c r="O122" i="28" s="1"/>
  <c r="M31" i="9"/>
  <c r="U24" i="12"/>
  <c r="U24" i="13"/>
  <c r="U28" i="12"/>
  <c r="U28" i="13"/>
  <c r="U43" i="12"/>
  <c r="U43" i="13"/>
  <c r="U10" i="12"/>
  <c r="U10" i="13"/>
  <c r="U9" i="12"/>
  <c r="U9" i="13"/>
  <c r="AB52" i="12"/>
  <c r="AB52" i="13"/>
  <c r="AB52" i="10"/>
  <c r="AB52" i="11"/>
  <c r="P65" i="9"/>
  <c r="P50" i="9"/>
  <c r="P8" i="9"/>
  <c r="P25" i="9"/>
  <c r="P14" i="9"/>
  <c r="P49" i="9"/>
  <c r="P11" i="9"/>
  <c r="P39" i="9"/>
  <c r="AC70" i="8"/>
  <c r="W36" i="11"/>
  <c r="AI16" i="8"/>
  <c r="AE16" i="28" s="1"/>
  <c r="AE88" i="28" s="1"/>
  <c r="AI61" i="8"/>
  <c r="AE61" i="28" s="1"/>
  <c r="AE133" i="28" s="1"/>
  <c r="AC59" i="8"/>
  <c r="M71" i="9"/>
  <c r="M30" i="9"/>
  <c r="N51" i="13"/>
  <c r="U13" i="8"/>
  <c r="T13" i="28" s="1"/>
  <c r="T85" i="28" s="1"/>
  <c r="U49" i="8"/>
  <c r="T49" i="28" s="1"/>
  <c r="T121" i="28" s="1"/>
  <c r="U60" i="8"/>
  <c r="T60" i="28" s="1"/>
  <c r="T132" i="28" s="1"/>
  <c r="U70" i="8"/>
  <c r="T70" i="28" s="1"/>
  <c r="T142" i="28" s="1"/>
  <c r="U54" i="8"/>
  <c r="T54" i="28" s="1"/>
  <c r="T126" i="28" s="1"/>
  <c r="U67" i="8"/>
  <c r="T67" i="28" s="1"/>
  <c r="T139" i="28" s="1"/>
  <c r="U65" i="8"/>
  <c r="T65" i="28" s="1"/>
  <c r="T137" i="28" s="1"/>
  <c r="U48" i="8"/>
  <c r="T48" i="28" s="1"/>
  <c r="T120" i="28" s="1"/>
  <c r="U50" i="8"/>
  <c r="T50" i="28" s="1"/>
  <c r="T122" i="28" s="1"/>
  <c r="U71" i="8"/>
  <c r="T71" i="28" s="1"/>
  <c r="T143" i="28" s="1"/>
  <c r="U63" i="8"/>
  <c r="T63" i="28" s="1"/>
  <c r="T135" i="28" s="1"/>
  <c r="U47" i="8"/>
  <c r="T47" i="28" s="1"/>
  <c r="T119" i="28" s="1"/>
  <c r="U58" i="8"/>
  <c r="T58" i="28" s="1"/>
  <c r="T130" i="28" s="1"/>
  <c r="U59" i="8"/>
  <c r="T59" i="28" s="1"/>
  <c r="T131" i="28" s="1"/>
  <c r="U69" i="8"/>
  <c r="T69" i="28" s="1"/>
  <c r="T141" i="28" s="1"/>
  <c r="U64" i="8"/>
  <c r="T64" i="28" s="1"/>
  <c r="T136" i="28" s="1"/>
  <c r="U62" i="8"/>
  <c r="T62" i="28" s="1"/>
  <c r="T134" i="28" s="1"/>
  <c r="U44" i="8"/>
  <c r="T44" i="28" s="1"/>
  <c r="T116" i="28" s="1"/>
  <c r="U52" i="8"/>
  <c r="T52" i="28" s="1"/>
  <c r="T124" i="28" s="1"/>
  <c r="U61" i="8"/>
  <c r="T61" i="28" s="1"/>
  <c r="T133" i="28" s="1"/>
  <c r="AI15" i="8"/>
  <c r="AE15" i="28" s="1"/>
  <c r="AE87" i="28" s="1"/>
  <c r="AI58" i="8"/>
  <c r="AE58" i="28" s="1"/>
  <c r="AE130" i="28" s="1"/>
  <c r="AC61" i="8"/>
  <c r="Y64" i="9"/>
  <c r="X64" i="28" s="1"/>
  <c r="X136" i="28" s="1"/>
  <c r="Y17" i="9"/>
  <c r="X17" i="28" s="1"/>
  <c r="X89" i="28" s="1"/>
  <c r="X5" i="8"/>
  <c r="W5" i="28" s="1"/>
  <c r="W77" i="28" s="1"/>
  <c r="L27" i="8"/>
  <c r="L27" i="28" s="1"/>
  <c r="L99" i="28" s="1"/>
  <c r="W5" i="8"/>
  <c r="V5" i="28" s="1"/>
  <c r="V77" i="28" s="1"/>
  <c r="AI39" i="8"/>
  <c r="AE39" i="28" s="1"/>
  <c r="AE111" i="28" s="1"/>
  <c r="Y5" i="9"/>
  <c r="L34" i="8"/>
  <c r="L34" i="28" s="1"/>
  <c r="L106" i="28" s="1"/>
  <c r="M51" i="9"/>
  <c r="U42" i="8"/>
  <c r="T42" i="28" s="1"/>
  <c r="T114" i="28" s="1"/>
  <c r="AI14" i="8"/>
  <c r="AE14" i="28" s="1"/>
  <c r="AE86" i="28" s="1"/>
  <c r="AI55" i="8"/>
  <c r="AE55" i="28" s="1"/>
  <c r="AE127" i="28" s="1"/>
  <c r="AH23" i="8"/>
  <c r="AD23" i="28" s="1"/>
  <c r="AD95" i="28" s="1"/>
  <c r="AC36" i="8"/>
  <c r="Y60" i="9"/>
  <c r="Y14" i="9"/>
  <c r="L14" i="8"/>
  <c r="L14" i="28" s="1"/>
  <c r="L86" i="28" s="1"/>
  <c r="W30" i="8"/>
  <c r="V30" i="28" s="1"/>
  <c r="V102" i="28" s="1"/>
  <c r="W61" i="8"/>
  <c r="V61" i="28" s="1"/>
  <c r="V133" i="28" s="1"/>
  <c r="L56" i="12"/>
  <c r="W19" i="11"/>
  <c r="X12" i="8"/>
  <c r="W12" i="28" s="1"/>
  <c r="W84" i="28" s="1"/>
  <c r="W49" i="8"/>
  <c r="V49" i="28" s="1"/>
  <c r="V121" i="28" s="1"/>
  <c r="AB13" i="9"/>
  <c r="P45" i="12"/>
  <c r="P45" i="13"/>
  <c r="Q68" i="9"/>
  <c r="M26" i="12"/>
  <c r="M26" i="13"/>
  <c r="M10" i="9"/>
  <c r="U47" i="12"/>
  <c r="W47" i="12" s="1"/>
  <c r="U47" i="13"/>
  <c r="P60" i="9"/>
  <c r="P33" i="9"/>
  <c r="Y10" i="9"/>
  <c r="X10" i="28" s="1"/>
  <c r="X82" i="28" s="1"/>
  <c r="P31" i="12"/>
  <c r="P31" i="13"/>
  <c r="Q12" i="9"/>
  <c r="V40" i="12"/>
  <c r="V40" i="13"/>
  <c r="V16" i="12"/>
  <c r="T16" i="29" s="1"/>
  <c r="T66" i="29" s="1"/>
  <c r="V16" i="13"/>
  <c r="Y44" i="9"/>
  <c r="X44" i="28" s="1"/>
  <c r="X116" i="28" s="1"/>
  <c r="M24" i="12"/>
  <c r="M24" i="13"/>
  <c r="O21" i="12"/>
  <c r="O21" i="13"/>
  <c r="M28" i="9"/>
  <c r="U20" i="12"/>
  <c r="S20" i="29" s="1"/>
  <c r="S70" i="29" s="1"/>
  <c r="U20" i="13"/>
  <c r="AD5" i="9"/>
  <c r="AD73" i="9" s="1"/>
  <c r="AC73" i="9"/>
  <c r="Y59" i="9"/>
  <c r="X59" i="28" s="1"/>
  <c r="X131" i="28" s="1"/>
  <c r="M67" i="9"/>
  <c r="P21" i="12"/>
  <c r="P21" i="13"/>
  <c r="P25" i="12"/>
  <c r="P25" i="29" s="1"/>
  <c r="P75" i="29" s="1"/>
  <c r="P25" i="13"/>
  <c r="P15" i="12"/>
  <c r="P15" i="13"/>
  <c r="P6" i="12"/>
  <c r="P6" i="13"/>
  <c r="Q57" i="9"/>
  <c r="Q60" i="9"/>
  <c r="Q63" i="9"/>
  <c r="Q11" i="9"/>
  <c r="Q35" i="9"/>
  <c r="Q32" i="9"/>
  <c r="Q33" i="9"/>
  <c r="AC27" i="8"/>
  <c r="AC19" i="8"/>
  <c r="Y47" i="9"/>
  <c r="X47" i="28" s="1"/>
  <c r="X119" i="28" s="1"/>
  <c r="Y48" i="9"/>
  <c r="X48" i="28" s="1"/>
  <c r="X120" i="28" s="1"/>
  <c r="AC53" i="8"/>
  <c r="V36" i="12"/>
  <c r="W36" i="12" s="1"/>
  <c r="V36" i="13"/>
  <c r="V37" i="12"/>
  <c r="V37" i="13"/>
  <c r="V35" i="12"/>
  <c r="V35" i="13"/>
  <c r="V48" i="12"/>
  <c r="T48" i="29" s="1"/>
  <c r="T98" i="29" s="1"/>
  <c r="V48" i="13"/>
  <c r="V8" i="12"/>
  <c r="V8" i="13"/>
  <c r="V23" i="12"/>
  <c r="V23" i="13"/>
  <c r="Y42" i="9"/>
  <c r="X42" i="28" s="1"/>
  <c r="X114" i="28" s="1"/>
  <c r="O8" i="8"/>
  <c r="O8" i="28" s="1"/>
  <c r="O80" i="28" s="1"/>
  <c r="AC16" i="8"/>
  <c r="AC46" i="8"/>
  <c r="Y70" i="9"/>
  <c r="X70" i="28" s="1"/>
  <c r="X142" i="28" s="1"/>
  <c r="Y30" i="9"/>
  <c r="X30" i="28" s="1"/>
  <c r="X102" i="28" s="1"/>
  <c r="M22" i="9"/>
  <c r="W40" i="11"/>
  <c r="M46" i="12"/>
  <c r="M46" i="13"/>
  <c r="M45" i="12"/>
  <c r="M45" i="29" s="1"/>
  <c r="M95" i="29" s="1"/>
  <c r="M45" i="13"/>
  <c r="M28" i="12"/>
  <c r="M28" i="13"/>
  <c r="M5" i="12"/>
  <c r="M5" i="13"/>
  <c r="M51" i="11"/>
  <c r="M14" i="12"/>
  <c r="M14" i="13"/>
  <c r="O45" i="12"/>
  <c r="O45" i="13"/>
  <c r="O19" i="12"/>
  <c r="O19" i="13"/>
  <c r="O38" i="12"/>
  <c r="O38" i="13"/>
  <c r="O28" i="12"/>
  <c r="O28" i="13"/>
  <c r="O23" i="12"/>
  <c r="O23" i="13"/>
  <c r="O8" i="12"/>
  <c r="O8" i="13"/>
  <c r="M6" i="9"/>
  <c r="M18" i="9"/>
  <c r="AC17" i="8"/>
  <c r="AC15" i="8"/>
  <c r="Y53" i="9"/>
  <c r="X53" i="28" s="1"/>
  <c r="X125" i="28" s="1"/>
  <c r="Y29" i="9"/>
  <c r="X29" i="28" s="1"/>
  <c r="X101" i="28" s="1"/>
  <c r="W32" i="11"/>
  <c r="U39" i="12"/>
  <c r="U39" i="13"/>
  <c r="U37" i="12"/>
  <c r="U37" i="13"/>
  <c r="U21" i="12"/>
  <c r="S21" i="29" s="1"/>
  <c r="S71" i="29" s="1"/>
  <c r="U21" i="13"/>
  <c r="W21" i="13" s="1"/>
  <c r="U49" i="12"/>
  <c r="U49" i="13"/>
  <c r="W49" i="13" s="1"/>
  <c r="U18" i="12"/>
  <c r="U18" i="13"/>
  <c r="W18" i="13" s="1"/>
  <c r="U11" i="12"/>
  <c r="U11" i="13"/>
  <c r="P57" i="9"/>
  <c r="P71" i="9"/>
  <c r="P70" i="9"/>
  <c r="P10" i="9"/>
  <c r="P28" i="9"/>
  <c r="P17" i="9"/>
  <c r="P23" i="9"/>
  <c r="P15" i="9"/>
  <c r="P43" i="9"/>
  <c r="AC45" i="8"/>
  <c r="Y62" i="9"/>
  <c r="X62" i="28" s="1"/>
  <c r="X134" i="28" s="1"/>
  <c r="Y50" i="9"/>
  <c r="X50" i="28" s="1"/>
  <c r="X122" i="28" s="1"/>
  <c r="M57" i="9"/>
  <c r="M63" i="9"/>
  <c r="O24" i="8"/>
  <c r="O24" i="28" s="1"/>
  <c r="O96" i="28" s="1"/>
  <c r="O53" i="8"/>
  <c r="O53" i="28" s="1"/>
  <c r="O125" i="28" s="1"/>
  <c r="W42" i="11"/>
  <c r="N51" i="12"/>
  <c r="AC40" i="8"/>
  <c r="M66" i="9"/>
  <c r="L73" i="9"/>
  <c r="O16" i="8"/>
  <c r="O16" i="28" s="1"/>
  <c r="O88" i="28" s="1"/>
  <c r="O36" i="8"/>
  <c r="O36" i="28" s="1"/>
  <c r="O108" i="28" s="1"/>
  <c r="O67" i="8"/>
  <c r="O67" i="28" s="1"/>
  <c r="O139" i="28" s="1"/>
  <c r="S5" i="13"/>
  <c r="S51" i="13" s="1"/>
  <c r="R51" i="13"/>
  <c r="AI73" i="9"/>
  <c r="AH73" i="9"/>
  <c r="AH70" i="8"/>
  <c r="AD70" i="28" s="1"/>
  <c r="AD142" i="28" s="1"/>
  <c r="AC68" i="8"/>
  <c r="Y60" i="8"/>
  <c r="Y14" i="8"/>
  <c r="X54" i="8"/>
  <c r="W54" i="28" s="1"/>
  <c r="W126" i="28" s="1"/>
  <c r="X49" i="8"/>
  <c r="W49" i="28" s="1"/>
  <c r="W121" i="28" s="1"/>
  <c r="O37" i="8"/>
  <c r="O37" i="28" s="1"/>
  <c r="O109" i="28" s="1"/>
  <c r="O66" i="8"/>
  <c r="O66" i="28" s="1"/>
  <c r="O138" i="28" s="1"/>
  <c r="U8" i="8"/>
  <c r="T8" i="28" s="1"/>
  <c r="T80" i="28" s="1"/>
  <c r="AH63" i="8"/>
  <c r="AD63" i="28" s="1"/>
  <c r="AD135" i="28" s="1"/>
  <c r="M8" i="9"/>
  <c r="Q34" i="9"/>
  <c r="O27" i="12"/>
  <c r="O27" i="13"/>
  <c r="U17" i="12"/>
  <c r="U17" i="13"/>
  <c r="W17" i="13" s="1"/>
  <c r="P12" i="9"/>
  <c r="Y7" i="9"/>
  <c r="X7" i="28" s="1"/>
  <c r="X79" i="28" s="1"/>
  <c r="S5" i="12"/>
  <c r="R51" i="12"/>
  <c r="M27" i="9"/>
  <c r="Q16" i="9"/>
  <c r="M25" i="12"/>
  <c r="M25" i="13"/>
  <c r="O16" i="12"/>
  <c r="O16" i="13"/>
  <c r="Y16" i="9"/>
  <c r="X16" i="28" s="1"/>
  <c r="X88" i="28" s="1"/>
  <c r="T51" i="12"/>
  <c r="E35" i="5"/>
  <c r="Q53" i="24" s="1"/>
  <c r="L53" i="13"/>
  <c r="L53" i="12"/>
  <c r="L53" i="11"/>
  <c r="L56" i="11" s="1"/>
  <c r="L53" i="10"/>
  <c r="Y38" i="9"/>
  <c r="X38" i="28" s="1"/>
  <c r="X110" i="28" s="1"/>
  <c r="Q69" i="9"/>
  <c r="T74" i="8"/>
  <c r="T74" i="9"/>
  <c r="T74" i="7"/>
  <c r="AC20" i="8"/>
  <c r="P46" i="12"/>
  <c r="P46" i="13"/>
  <c r="P20" i="12"/>
  <c r="P20" i="13"/>
  <c r="P39" i="12"/>
  <c r="P39" i="13"/>
  <c r="P7" i="12"/>
  <c r="P7" i="13"/>
  <c r="P10" i="12"/>
  <c r="P10" i="13"/>
  <c r="Q58" i="9"/>
  <c r="Q50" i="9"/>
  <c r="Q67" i="9"/>
  <c r="Q54" i="8"/>
  <c r="Q54" i="28" s="1"/>
  <c r="Q126" i="28" s="1"/>
  <c r="Q54" i="9"/>
  <c r="Q39" i="9"/>
  <c r="Q43" i="9"/>
  <c r="Q36" i="9"/>
  <c r="Q41" i="8"/>
  <c r="Q41" i="9"/>
  <c r="M46" i="9"/>
  <c r="O20" i="8"/>
  <c r="O20" i="28" s="1"/>
  <c r="O92" i="28" s="1"/>
  <c r="O55" i="8"/>
  <c r="O55" i="28" s="1"/>
  <c r="O127" i="28" s="1"/>
  <c r="M54" i="9"/>
  <c r="U73" i="9"/>
  <c r="V22" i="12"/>
  <c r="W22" i="12" s="1"/>
  <c r="V22" i="13"/>
  <c r="V28" i="12"/>
  <c r="W28" i="12" s="1"/>
  <c r="V28" i="13"/>
  <c r="V41" i="12"/>
  <c r="T41" i="29" s="1"/>
  <c r="T91" i="29" s="1"/>
  <c r="V41" i="13"/>
  <c r="V31" i="12"/>
  <c r="V31" i="13"/>
  <c r="V10" i="12"/>
  <c r="V10" i="13"/>
  <c r="AC32" i="8"/>
  <c r="W28" i="13"/>
  <c r="AC23" i="8"/>
  <c r="O30" i="8"/>
  <c r="O30" i="28" s="1"/>
  <c r="O102" i="28" s="1"/>
  <c r="O61" i="8"/>
  <c r="O61" i="28" s="1"/>
  <c r="O133" i="28" s="1"/>
  <c r="W48" i="13"/>
  <c r="W25" i="11"/>
  <c r="M20" i="12"/>
  <c r="M20" i="13"/>
  <c r="M42" i="12"/>
  <c r="M42" i="13"/>
  <c r="M36" i="12"/>
  <c r="M36" i="13"/>
  <c r="M35" i="12"/>
  <c r="M35" i="13"/>
  <c r="M11" i="12"/>
  <c r="M11" i="13"/>
  <c r="M16" i="12"/>
  <c r="M16" i="13"/>
  <c r="O29" i="12"/>
  <c r="O29" i="13"/>
  <c r="O42" i="12"/>
  <c r="O42" i="13"/>
  <c r="O43" i="12"/>
  <c r="O43" i="13"/>
  <c r="O24" i="12"/>
  <c r="O24" i="13"/>
  <c r="O5" i="12"/>
  <c r="O51" i="11"/>
  <c r="O5" i="13"/>
  <c r="O9" i="12"/>
  <c r="O9" i="13"/>
  <c r="M9" i="9"/>
  <c r="M35" i="9"/>
  <c r="AI24" i="8"/>
  <c r="AE24" i="28" s="1"/>
  <c r="AE96" i="28" s="1"/>
  <c r="AI47" i="8"/>
  <c r="AE47" i="28" s="1"/>
  <c r="AE119" i="28" s="1"/>
  <c r="AC41" i="8"/>
  <c r="O26" i="8"/>
  <c r="O26" i="28" s="1"/>
  <c r="O98" i="28" s="1"/>
  <c r="O46" i="8"/>
  <c r="O46" i="28" s="1"/>
  <c r="O118" i="28" s="1"/>
  <c r="M43" i="9"/>
  <c r="U38" i="12"/>
  <c r="U38" i="13"/>
  <c r="U25" i="12"/>
  <c r="S25" i="29" s="1"/>
  <c r="S75" i="29" s="1"/>
  <c r="U25" i="13"/>
  <c r="W25" i="13" s="1"/>
  <c r="U30" i="12"/>
  <c r="U30" i="13"/>
  <c r="W30" i="13" s="1"/>
  <c r="U35" i="12"/>
  <c r="U35" i="13"/>
  <c r="U6" i="12"/>
  <c r="W6" i="12" s="1"/>
  <c r="U6" i="13"/>
  <c r="W6" i="13" s="1"/>
  <c r="U13" i="12"/>
  <c r="S13" i="29" s="1"/>
  <c r="S63" i="29" s="1"/>
  <c r="U13" i="13"/>
  <c r="P59" i="9"/>
  <c r="P68" i="8"/>
  <c r="P68" i="9"/>
  <c r="P69" i="9"/>
  <c r="P6" i="9"/>
  <c r="P32" i="9"/>
  <c r="P20" i="9"/>
  <c r="P26" i="9"/>
  <c r="P21" i="9"/>
  <c r="P47" i="9"/>
  <c r="Y69" i="9"/>
  <c r="X69" i="28" s="1"/>
  <c r="X141" i="28" s="1"/>
  <c r="AI18" i="8"/>
  <c r="AE18" i="28" s="1"/>
  <c r="AE90" i="28" s="1"/>
  <c r="AI57" i="8"/>
  <c r="AE57" i="28" s="1"/>
  <c r="AE129" i="28" s="1"/>
  <c r="AC11" i="8"/>
  <c r="AI20" i="8"/>
  <c r="AE20" i="28" s="1"/>
  <c r="AE92" i="28" s="1"/>
  <c r="AI69" i="8"/>
  <c r="AE69" i="28" s="1"/>
  <c r="AE141" i="28" s="1"/>
  <c r="Y31" i="9"/>
  <c r="X31" i="28" s="1"/>
  <c r="X103" i="28" s="1"/>
  <c r="Y32" i="9"/>
  <c r="X32" i="28" s="1"/>
  <c r="X104" i="28" s="1"/>
  <c r="L13" i="8"/>
  <c r="L13" i="28" s="1"/>
  <c r="L85" i="28" s="1"/>
  <c r="L40" i="8"/>
  <c r="L40" i="28" s="1"/>
  <c r="L112" i="28" s="1"/>
  <c r="W43" i="11"/>
  <c r="M12" i="9"/>
  <c r="Y5" i="8"/>
  <c r="X5" i="28" s="1"/>
  <c r="X77" i="28" s="1"/>
  <c r="W26" i="8"/>
  <c r="V26" i="28" s="1"/>
  <c r="V98" i="28" s="1"/>
  <c r="M41" i="9"/>
  <c r="AI6" i="8"/>
  <c r="AE6" i="28" s="1"/>
  <c r="AE78" i="28" s="1"/>
  <c r="AI62" i="8"/>
  <c r="AE62" i="28" s="1"/>
  <c r="AE134" i="28" s="1"/>
  <c r="AC62" i="8"/>
  <c r="Y27" i="9"/>
  <c r="Y28" i="9"/>
  <c r="L6" i="8"/>
  <c r="L6" i="28" s="1"/>
  <c r="L78" i="28" s="1"/>
  <c r="L61" i="8"/>
  <c r="L61" i="28" s="1"/>
  <c r="L133" i="28" s="1"/>
  <c r="W17" i="8"/>
  <c r="V17" i="28" s="1"/>
  <c r="V89" i="28" s="1"/>
  <c r="W48" i="8"/>
  <c r="V48" i="28" s="1"/>
  <c r="V120" i="28" s="1"/>
  <c r="W44" i="11"/>
  <c r="U17" i="8"/>
  <c r="T17" i="28" s="1"/>
  <c r="T89" i="28" s="1"/>
  <c r="O69" i="8"/>
  <c r="O69" i="28" s="1"/>
  <c r="O141" i="28" s="1"/>
  <c r="P17" i="12"/>
  <c r="P17" i="13"/>
  <c r="Q47" i="9"/>
  <c r="V46" i="12"/>
  <c r="V46" i="13"/>
  <c r="V5" i="12"/>
  <c r="V5" i="13"/>
  <c r="V51" i="11"/>
  <c r="M15" i="12"/>
  <c r="M15" i="13"/>
  <c r="O41" i="12"/>
  <c r="O41" i="13"/>
  <c r="M25" i="9"/>
  <c r="W24" i="13"/>
  <c r="U33" i="12"/>
  <c r="U33" i="13"/>
  <c r="U8" i="12"/>
  <c r="U8" i="13"/>
  <c r="P61" i="9"/>
  <c r="P18" i="8"/>
  <c r="P18" i="9"/>
  <c r="Y67" i="9"/>
  <c r="Y22" i="9"/>
  <c r="X22" i="28" s="1"/>
  <c r="X94" i="28" s="1"/>
  <c r="W47" i="11"/>
  <c r="P13" i="12"/>
  <c r="P13" i="13"/>
  <c r="Q51" i="9"/>
  <c r="Y34" i="9"/>
  <c r="X34" i="28" s="1"/>
  <c r="X106" i="28" s="1"/>
  <c r="M58" i="9"/>
  <c r="V33" i="12"/>
  <c r="V33" i="13"/>
  <c r="M9" i="12"/>
  <c r="M9" i="13"/>
  <c r="O49" i="12"/>
  <c r="O49" i="13"/>
  <c r="Y21" i="9"/>
  <c r="X21" i="28" s="1"/>
  <c r="X93" i="28" s="1"/>
  <c r="U14" i="12"/>
  <c r="U14" i="13"/>
  <c r="W14" i="13" s="1"/>
  <c r="P55" i="9"/>
  <c r="P44" i="9"/>
  <c r="P27" i="9"/>
  <c r="M20" i="9"/>
  <c r="Y35" i="9"/>
  <c r="X35" i="28" s="1"/>
  <c r="X107" i="28" s="1"/>
  <c r="W33" i="11"/>
  <c r="Y45" i="9"/>
  <c r="AA5" i="12"/>
  <c r="Z51" i="12"/>
  <c r="P24" i="12"/>
  <c r="P24" i="13"/>
  <c r="M59" i="9"/>
  <c r="P41" i="12"/>
  <c r="P41" i="13"/>
  <c r="N75" i="9"/>
  <c r="N75" i="8"/>
  <c r="N75" i="7"/>
  <c r="M26" i="9"/>
  <c r="AC5" i="8"/>
  <c r="AA5" i="28" s="1"/>
  <c r="AA77" i="28" s="1"/>
  <c r="Y65" i="9"/>
  <c r="X65" i="28" s="1"/>
  <c r="X137" i="28" s="1"/>
  <c r="Y41" i="9"/>
  <c r="X41" i="28" s="1"/>
  <c r="X113" i="28" s="1"/>
  <c r="O58" i="8"/>
  <c r="O58" i="28" s="1"/>
  <c r="O130" i="28" s="1"/>
  <c r="M11" i="9"/>
  <c r="P49" i="12"/>
  <c r="P49" i="13"/>
  <c r="P44" i="12"/>
  <c r="P44" i="13"/>
  <c r="P37" i="12"/>
  <c r="P37" i="13"/>
  <c r="P19" i="12"/>
  <c r="P19" i="13"/>
  <c r="P8" i="12"/>
  <c r="P8" i="13"/>
  <c r="P12" i="12"/>
  <c r="P12" i="13"/>
  <c r="Q21" i="9"/>
  <c r="Q45" i="9"/>
  <c r="Q64" i="9"/>
  <c r="Q7" i="9"/>
  <c r="Q31" i="9"/>
  <c r="Q6" i="9"/>
  <c r="Q44" i="9"/>
  <c r="Q49" i="9"/>
  <c r="O57" i="8"/>
  <c r="O57" i="28" s="1"/>
  <c r="O129" i="28" s="1"/>
  <c r="M21" i="9"/>
  <c r="AC67" i="8"/>
  <c r="Y51" i="9"/>
  <c r="X51" i="28" s="1"/>
  <c r="X123" i="28" s="1"/>
  <c r="Y12" i="9"/>
  <c r="X12" i="28" s="1"/>
  <c r="X84" i="28" s="1"/>
  <c r="M62" i="9"/>
  <c r="W22" i="11"/>
  <c r="V38" i="12"/>
  <c r="V38" i="13"/>
  <c r="V43" i="12"/>
  <c r="V43" i="13"/>
  <c r="W43" i="13" s="1"/>
  <c r="V20" i="12"/>
  <c r="V20" i="13"/>
  <c r="V11" i="12"/>
  <c r="V11" i="13"/>
  <c r="V12" i="12"/>
  <c r="V12" i="13"/>
  <c r="AI42" i="8"/>
  <c r="AE42" i="28" s="1"/>
  <c r="AE114" i="28" s="1"/>
  <c r="Y57" i="9"/>
  <c r="X57" i="28" s="1"/>
  <c r="X129" i="28" s="1"/>
  <c r="Y33" i="9"/>
  <c r="X33" i="28" s="1"/>
  <c r="X105" i="28" s="1"/>
  <c r="M53" i="9"/>
  <c r="M45" i="9"/>
  <c r="M31" i="12"/>
  <c r="M31" i="13"/>
  <c r="M40" i="12"/>
  <c r="M40" i="13"/>
  <c r="M43" i="12"/>
  <c r="M43" i="13"/>
  <c r="M39" i="12"/>
  <c r="M39" i="13"/>
  <c r="M6" i="12"/>
  <c r="M6" i="13"/>
  <c r="M18" i="12"/>
  <c r="M18" i="13"/>
  <c r="O22" i="12"/>
  <c r="O22" i="13"/>
  <c r="O48" i="12"/>
  <c r="O48" i="13"/>
  <c r="O36" i="12"/>
  <c r="O36" i="13"/>
  <c r="O39" i="12"/>
  <c r="O39" i="13"/>
  <c r="O12" i="12"/>
  <c r="O12" i="13"/>
  <c r="O15" i="12"/>
  <c r="O15" i="13"/>
  <c r="M5" i="9"/>
  <c r="M73" i="7"/>
  <c r="M78" i="7" s="1"/>
  <c r="M33" i="23" s="1"/>
  <c r="M19" i="9"/>
  <c r="Y39" i="9"/>
  <c r="X39" i="28" s="1"/>
  <c r="X111" i="28" s="1"/>
  <c r="Y40" i="9"/>
  <c r="X40" i="28" s="1"/>
  <c r="X112" i="28" s="1"/>
  <c r="W17" i="11"/>
  <c r="W27" i="12"/>
  <c r="U42" i="12"/>
  <c r="W42" i="12" s="1"/>
  <c r="U42" i="13"/>
  <c r="W42" i="13" s="1"/>
  <c r="U31" i="12"/>
  <c r="U31" i="13"/>
  <c r="U29" i="12"/>
  <c r="W29" i="12" s="1"/>
  <c r="U29" i="13"/>
  <c r="W29" i="13" s="1"/>
  <c r="U41" i="12"/>
  <c r="W41" i="12" s="1"/>
  <c r="U41" i="13"/>
  <c r="W41" i="13" s="1"/>
  <c r="U7" i="12"/>
  <c r="U7" i="13"/>
  <c r="W7" i="13" s="1"/>
  <c r="U15" i="12"/>
  <c r="W15" i="12" s="1"/>
  <c r="U15" i="13"/>
  <c r="W15" i="13" s="1"/>
  <c r="P63" i="8"/>
  <c r="P63" i="9"/>
  <c r="P67" i="9"/>
  <c r="P62" i="9"/>
  <c r="P9" i="9"/>
  <c r="P36" i="8"/>
  <c r="P36" i="9"/>
  <c r="P29" i="9"/>
  <c r="P30" i="9"/>
  <c r="P24" i="9"/>
  <c r="O33" i="8"/>
  <c r="O33" i="28" s="1"/>
  <c r="O105" i="28" s="1"/>
  <c r="AC52" i="8"/>
  <c r="Y68" i="9"/>
  <c r="X68" i="28" s="1"/>
  <c r="X140" i="28" s="1"/>
  <c r="Y20" i="9"/>
  <c r="X20" i="28" s="1"/>
  <c r="X92" i="28" s="1"/>
  <c r="O23" i="8"/>
  <c r="O23" i="28" s="1"/>
  <c r="O95" i="28" s="1"/>
  <c r="O64" i="8"/>
  <c r="O64" i="28" s="1"/>
  <c r="O136" i="28" s="1"/>
  <c r="W14" i="11"/>
  <c r="O19" i="8"/>
  <c r="O19" i="28" s="1"/>
  <c r="O91" i="28" s="1"/>
  <c r="AC6" i="8"/>
  <c r="AC60" i="8"/>
  <c r="AC49" i="8"/>
  <c r="L5" i="8"/>
  <c r="L5" i="28" s="1"/>
  <c r="L77" i="28" s="1"/>
  <c r="L38" i="8"/>
  <c r="L38" i="28" s="1"/>
  <c r="L110" i="28" s="1"/>
  <c r="O21" i="8"/>
  <c r="O21" i="28" s="1"/>
  <c r="O93" i="28" s="1"/>
  <c r="O44" i="8"/>
  <c r="O44" i="28" s="1"/>
  <c r="O116" i="28" s="1"/>
  <c r="W18" i="12"/>
  <c r="S51" i="11"/>
  <c r="U25" i="8"/>
  <c r="T25" i="28" s="1"/>
  <c r="T97" i="28" s="1"/>
  <c r="U51" i="8"/>
  <c r="T51" i="28" s="1"/>
  <c r="T123" i="28" s="1"/>
  <c r="W29" i="11"/>
  <c r="AH5" i="8"/>
  <c r="AD5" i="28" s="1"/>
  <c r="AD77" i="28" s="1"/>
  <c r="AH48" i="8"/>
  <c r="AD48" i="28" s="1"/>
  <c r="AD120" i="28" s="1"/>
  <c r="AC31" i="8"/>
  <c r="Y27" i="8"/>
  <c r="Y28" i="8"/>
  <c r="X16" i="8"/>
  <c r="W16" i="28" s="1"/>
  <c r="W88" i="28" s="1"/>
  <c r="X14" i="8"/>
  <c r="W14" i="28" s="1"/>
  <c r="W86" i="28" s="1"/>
  <c r="Z73" i="9"/>
  <c r="M44" i="9"/>
  <c r="O7" i="8"/>
  <c r="O48" i="8"/>
  <c r="O48" i="28" s="1"/>
  <c r="O120" i="28" s="1"/>
  <c r="W49" i="11"/>
  <c r="AC57" i="8"/>
  <c r="T51" i="13"/>
  <c r="E10" i="5"/>
  <c r="T75" i="23" s="1"/>
  <c r="N77" i="6"/>
  <c r="F10" i="5"/>
  <c r="T76" i="23" s="1"/>
  <c r="N78" i="6"/>
  <c r="D47" i="5"/>
  <c r="D29" i="5"/>
  <c r="W22" i="24" l="1"/>
  <c r="AH19" i="8"/>
  <c r="AD19" i="28" s="1"/>
  <c r="AD91" i="28" s="1"/>
  <c r="AH38" i="8"/>
  <c r="AD38" i="28" s="1"/>
  <c r="AD110" i="28" s="1"/>
  <c r="AH16" i="8"/>
  <c r="AD16" i="28" s="1"/>
  <c r="AD88" i="28" s="1"/>
  <c r="N34" i="29"/>
  <c r="N84" i="29" s="1"/>
  <c r="Z51" i="24"/>
  <c r="AH51" i="8"/>
  <c r="AD51" i="28" s="1"/>
  <c r="AD123" i="28" s="1"/>
  <c r="AH20" i="8"/>
  <c r="AD20" i="28" s="1"/>
  <c r="AD92" i="28" s="1"/>
  <c r="AH41" i="8"/>
  <c r="AD41" i="28" s="1"/>
  <c r="AD113" i="28" s="1"/>
  <c r="AH25" i="8"/>
  <c r="AD25" i="28" s="1"/>
  <c r="AD97" i="28" s="1"/>
  <c r="AH60" i="8"/>
  <c r="AD60" i="28" s="1"/>
  <c r="AD132" i="28" s="1"/>
  <c r="AH67" i="8"/>
  <c r="AD67" i="28" s="1"/>
  <c r="AD139" i="28" s="1"/>
  <c r="AH45" i="8"/>
  <c r="AD45" i="28" s="1"/>
  <c r="AD117" i="28" s="1"/>
  <c r="AH47" i="8"/>
  <c r="AD47" i="28" s="1"/>
  <c r="AD119" i="28" s="1"/>
  <c r="AH10" i="8"/>
  <c r="AD10" i="28" s="1"/>
  <c r="AD82" i="28" s="1"/>
  <c r="AA51" i="24"/>
  <c r="AH40" i="8"/>
  <c r="AD40" i="28" s="1"/>
  <c r="AD112" i="28" s="1"/>
  <c r="AH30" i="8"/>
  <c r="AD30" i="28" s="1"/>
  <c r="AD102" i="28" s="1"/>
  <c r="AH15" i="8"/>
  <c r="AD15" i="28" s="1"/>
  <c r="AD87" i="28" s="1"/>
  <c r="AH42" i="8"/>
  <c r="AD42" i="28" s="1"/>
  <c r="AD114" i="28" s="1"/>
  <c r="AH7" i="8"/>
  <c r="AD7" i="28" s="1"/>
  <c r="AD79" i="28" s="1"/>
  <c r="AH39" i="8"/>
  <c r="AD39" i="28" s="1"/>
  <c r="AD111" i="28" s="1"/>
  <c r="AH8" i="8"/>
  <c r="AD8" i="28" s="1"/>
  <c r="AD80" i="28" s="1"/>
  <c r="S28" i="29"/>
  <c r="S78" i="29" s="1"/>
  <c r="T6" i="29"/>
  <c r="T56" i="29" s="1"/>
  <c r="AH17" i="8"/>
  <c r="AD17" i="28" s="1"/>
  <c r="AD89" i="28" s="1"/>
  <c r="AH55" i="8"/>
  <c r="AD55" i="28" s="1"/>
  <c r="AD127" i="28" s="1"/>
  <c r="AH21" i="8"/>
  <c r="AD21" i="28" s="1"/>
  <c r="AD93" i="28" s="1"/>
  <c r="AH43" i="8"/>
  <c r="AD43" i="28" s="1"/>
  <c r="AD115" i="28" s="1"/>
  <c r="AH22" i="8"/>
  <c r="AD22" i="28" s="1"/>
  <c r="AD94" i="28" s="1"/>
  <c r="AH59" i="8"/>
  <c r="AD59" i="28" s="1"/>
  <c r="AD131" i="28" s="1"/>
  <c r="AH56" i="8"/>
  <c r="AD56" i="28" s="1"/>
  <c r="AD128" i="28" s="1"/>
  <c r="X56" i="28"/>
  <c r="X128" i="28" s="1"/>
  <c r="X58" i="28"/>
  <c r="X130" i="28" s="1"/>
  <c r="AH34" i="8"/>
  <c r="AD34" i="28" s="1"/>
  <c r="AD106" i="28" s="1"/>
  <c r="AH54" i="8"/>
  <c r="AD54" i="28" s="1"/>
  <c r="AD126" i="28" s="1"/>
  <c r="AH26" i="8"/>
  <c r="AD26" i="28" s="1"/>
  <c r="AD98" i="28" s="1"/>
  <c r="AH65" i="8"/>
  <c r="AD65" i="28" s="1"/>
  <c r="AD137" i="28" s="1"/>
  <c r="AH9" i="8"/>
  <c r="AD9" i="28" s="1"/>
  <c r="AD81" i="28" s="1"/>
  <c r="AH37" i="8"/>
  <c r="AD37" i="28" s="1"/>
  <c r="AD109" i="28" s="1"/>
  <c r="AH35" i="8"/>
  <c r="AD35" i="28" s="1"/>
  <c r="AD107" i="28" s="1"/>
  <c r="AH49" i="8"/>
  <c r="AD49" i="28" s="1"/>
  <c r="AD121" i="28" s="1"/>
  <c r="AH29" i="8"/>
  <c r="AD29" i="28" s="1"/>
  <c r="AD101" i="28" s="1"/>
  <c r="AH14" i="8"/>
  <c r="AD14" i="28" s="1"/>
  <c r="AD86" i="28" s="1"/>
  <c r="AH11" i="8"/>
  <c r="AD11" i="28" s="1"/>
  <c r="AD83" i="28" s="1"/>
  <c r="AH46" i="8"/>
  <c r="AD46" i="28" s="1"/>
  <c r="AD118" i="28" s="1"/>
  <c r="AH62" i="8"/>
  <c r="AD62" i="28" s="1"/>
  <c r="AD134" i="28" s="1"/>
  <c r="AH64" i="8"/>
  <c r="AD64" i="28" s="1"/>
  <c r="AD136" i="28" s="1"/>
  <c r="AH28" i="8"/>
  <c r="AD28" i="28" s="1"/>
  <c r="AD100" i="28" s="1"/>
  <c r="AH33" i="8"/>
  <c r="AD33" i="28" s="1"/>
  <c r="AD105" i="28" s="1"/>
  <c r="P19" i="29"/>
  <c r="P69" i="29" s="1"/>
  <c r="M25" i="29"/>
  <c r="M75" i="29" s="1"/>
  <c r="S17" i="29"/>
  <c r="S67" i="29" s="1"/>
  <c r="S48" i="29"/>
  <c r="S98" i="29" s="1"/>
  <c r="P16" i="29"/>
  <c r="P66" i="29" s="1"/>
  <c r="S19" i="29"/>
  <c r="S69" i="29" s="1"/>
  <c r="O17" i="29"/>
  <c r="O67" i="29" s="1"/>
  <c r="M10" i="29"/>
  <c r="M60" i="29" s="1"/>
  <c r="M33" i="29"/>
  <c r="M83" i="29" s="1"/>
  <c r="P28" i="29"/>
  <c r="P78" i="29" s="1"/>
  <c r="O25" i="29"/>
  <c r="O75" i="29" s="1"/>
  <c r="M41" i="29"/>
  <c r="M91" i="29" s="1"/>
  <c r="S26" i="29"/>
  <c r="S76" i="29" s="1"/>
  <c r="T18" i="29"/>
  <c r="T68" i="29" s="1"/>
  <c r="T42" i="29"/>
  <c r="T92" i="29" s="1"/>
  <c r="P42" i="29"/>
  <c r="P92" i="29" s="1"/>
  <c r="E42" i="5"/>
  <c r="E21" i="5"/>
  <c r="M17" i="29"/>
  <c r="M67" i="29" s="1"/>
  <c r="W34" i="12"/>
  <c r="W21" i="24"/>
  <c r="X23" i="28"/>
  <c r="X95" i="28" s="1"/>
  <c r="O43" i="29"/>
  <c r="O93" i="29" s="1"/>
  <c r="M11" i="29"/>
  <c r="M61" i="29" s="1"/>
  <c r="M20" i="29"/>
  <c r="M70" i="29" s="1"/>
  <c r="Q41" i="28"/>
  <c r="Q113" i="28" s="1"/>
  <c r="P20" i="29"/>
  <c r="P70" i="29" s="1"/>
  <c r="T25" i="29"/>
  <c r="T75" i="29" s="1"/>
  <c r="O6" i="29"/>
  <c r="O56" i="29" s="1"/>
  <c r="O37" i="29"/>
  <c r="O87" i="29" s="1"/>
  <c r="M47" i="29"/>
  <c r="M97" i="29" s="1"/>
  <c r="P23" i="29"/>
  <c r="P73" i="29" s="1"/>
  <c r="P32" i="29"/>
  <c r="P82" i="29" s="1"/>
  <c r="W31" i="24"/>
  <c r="O39" i="29"/>
  <c r="O89" i="29" s="1"/>
  <c r="M18" i="29"/>
  <c r="M68" i="29" s="1"/>
  <c r="M40" i="29"/>
  <c r="M90" i="29" s="1"/>
  <c r="T11" i="29"/>
  <c r="T61" i="29" s="1"/>
  <c r="S33" i="29"/>
  <c r="S83" i="29" s="1"/>
  <c r="S11" i="29"/>
  <c r="S61" i="29" s="1"/>
  <c r="S37" i="29"/>
  <c r="S87" i="29" s="1"/>
  <c r="M46" i="29"/>
  <c r="M96" i="29" s="1"/>
  <c r="T35" i="29"/>
  <c r="T85" i="29" s="1"/>
  <c r="P21" i="29"/>
  <c r="P71" i="29" s="1"/>
  <c r="T40" i="29"/>
  <c r="T90" i="29" s="1"/>
  <c r="T9" i="29"/>
  <c r="T59" i="29" s="1"/>
  <c r="S36" i="29"/>
  <c r="S86" i="29" s="1"/>
  <c r="O34" i="29"/>
  <c r="O84" i="29" s="1"/>
  <c r="M21" i="29"/>
  <c r="M71" i="29" s="1"/>
  <c r="P22" i="29"/>
  <c r="P72" i="29" s="1"/>
  <c r="O26" i="29"/>
  <c r="O76" i="29" s="1"/>
  <c r="T47" i="29"/>
  <c r="T97" i="29" s="1"/>
  <c r="M44" i="29"/>
  <c r="M94" i="29" s="1"/>
  <c r="W40" i="24"/>
  <c r="W44" i="13"/>
  <c r="X27" i="28"/>
  <c r="X99" i="28" s="1"/>
  <c r="W38" i="13"/>
  <c r="AA51" i="11"/>
  <c r="W14" i="24"/>
  <c r="S18" i="29"/>
  <c r="S68" i="29" s="1"/>
  <c r="S39" i="29"/>
  <c r="S89" i="29" s="1"/>
  <c r="M5" i="29"/>
  <c r="M55" i="29" s="1"/>
  <c r="T23" i="29"/>
  <c r="T73" i="29" s="1"/>
  <c r="T37" i="29"/>
  <c r="T87" i="29" s="1"/>
  <c r="P6" i="29"/>
  <c r="P56" i="29" s="1"/>
  <c r="O40" i="29"/>
  <c r="O90" i="29" s="1"/>
  <c r="M13" i="29"/>
  <c r="M63" i="29" s="1"/>
  <c r="P11" i="29"/>
  <c r="P61" i="29" s="1"/>
  <c r="P36" i="29"/>
  <c r="P86" i="29" s="1"/>
  <c r="P18" i="28"/>
  <c r="P90" i="28" s="1"/>
  <c r="T46" i="29"/>
  <c r="T96" i="29" s="1"/>
  <c r="P68" i="28"/>
  <c r="P140" i="28" s="1"/>
  <c r="O42" i="29"/>
  <c r="O92" i="29" s="1"/>
  <c r="M35" i="29"/>
  <c r="M85" i="29" s="1"/>
  <c r="P10" i="29"/>
  <c r="P60" i="29" s="1"/>
  <c r="P46" i="29"/>
  <c r="P96" i="29" s="1"/>
  <c r="O8" i="29"/>
  <c r="O58" i="29" s="1"/>
  <c r="O19" i="29"/>
  <c r="O69" i="29" s="1"/>
  <c r="M24" i="29"/>
  <c r="M74" i="29" s="1"/>
  <c r="W9" i="12"/>
  <c r="G7" i="31"/>
  <c r="G13" i="31" s="1"/>
  <c r="P36" i="28"/>
  <c r="P108" i="28" s="1"/>
  <c r="O36" i="29"/>
  <c r="O86" i="29" s="1"/>
  <c r="M6" i="29"/>
  <c r="M56" i="29" s="1"/>
  <c r="M31" i="29"/>
  <c r="M81" i="29" s="1"/>
  <c r="P37" i="29"/>
  <c r="P87" i="29" s="1"/>
  <c r="O49" i="29"/>
  <c r="O99" i="29" s="1"/>
  <c r="O29" i="29"/>
  <c r="O79" i="29" s="1"/>
  <c r="M36" i="29"/>
  <c r="M86" i="29" s="1"/>
  <c r="P7" i="29"/>
  <c r="P57" i="29" s="1"/>
  <c r="S10" i="29"/>
  <c r="S60" i="29" s="1"/>
  <c r="T19" i="29"/>
  <c r="T69" i="29" s="1"/>
  <c r="W16" i="13"/>
  <c r="O15" i="29"/>
  <c r="O65" i="29" s="1"/>
  <c r="O48" i="29"/>
  <c r="O98" i="29" s="1"/>
  <c r="M39" i="29"/>
  <c r="M89" i="29" s="1"/>
  <c r="M45" i="8"/>
  <c r="M45" i="28" s="1"/>
  <c r="M117" i="28" s="1"/>
  <c r="P12" i="29"/>
  <c r="P62" i="29" s="1"/>
  <c r="P44" i="29"/>
  <c r="P94" i="29" s="1"/>
  <c r="P24" i="29"/>
  <c r="P74" i="29" s="1"/>
  <c r="M9" i="29"/>
  <c r="M59" i="29" s="1"/>
  <c r="S43" i="29"/>
  <c r="S93" i="29" s="1"/>
  <c r="T17" i="29"/>
  <c r="T67" i="29" s="1"/>
  <c r="T30" i="29"/>
  <c r="T80" i="29" s="1"/>
  <c r="W18" i="24"/>
  <c r="W17" i="24"/>
  <c r="P14" i="30"/>
  <c r="W7" i="12"/>
  <c r="T12" i="29"/>
  <c r="T62" i="29" s="1"/>
  <c r="T38" i="29"/>
  <c r="T88" i="29" s="1"/>
  <c r="P13" i="29"/>
  <c r="P63" i="29" s="1"/>
  <c r="W8" i="12"/>
  <c r="M15" i="29"/>
  <c r="M65" i="29" s="1"/>
  <c r="P17" i="29"/>
  <c r="P67" i="29" s="1"/>
  <c r="W30" i="12"/>
  <c r="T31" i="29"/>
  <c r="T81" i="29" s="1"/>
  <c r="O16" i="29"/>
  <c r="O66" i="29" s="1"/>
  <c r="W39" i="13"/>
  <c r="O38" i="29"/>
  <c r="O88" i="29" s="1"/>
  <c r="O21" i="29"/>
  <c r="O71" i="29" s="1"/>
  <c r="O35" i="29"/>
  <c r="O85" i="29" s="1"/>
  <c r="M12" i="29"/>
  <c r="M62" i="29" s="1"/>
  <c r="M48" i="29"/>
  <c r="M98" i="29" s="1"/>
  <c r="P26" i="29"/>
  <c r="P76" i="29" s="1"/>
  <c r="W9" i="13"/>
  <c r="T13" i="29"/>
  <c r="T63" i="29" s="1"/>
  <c r="S27" i="29"/>
  <c r="S77" i="29" s="1"/>
  <c r="O44" i="29"/>
  <c r="O94" i="29" s="1"/>
  <c r="M27" i="29"/>
  <c r="M77" i="29" s="1"/>
  <c r="P18" i="29"/>
  <c r="P68" i="29" s="1"/>
  <c r="P38" i="29"/>
  <c r="P88" i="29" s="1"/>
  <c r="S22" i="29"/>
  <c r="S72" i="29" s="1"/>
  <c r="P40" i="29"/>
  <c r="P90" i="29" s="1"/>
  <c r="O11" i="29"/>
  <c r="O61" i="29" s="1"/>
  <c r="T27" i="29"/>
  <c r="T77" i="29" s="1"/>
  <c r="W33" i="13"/>
  <c r="W13" i="13"/>
  <c r="O5" i="29"/>
  <c r="O55" i="29" s="1"/>
  <c r="W40" i="12"/>
  <c r="X46" i="28"/>
  <c r="X118" i="28" s="1"/>
  <c r="O46" i="29"/>
  <c r="O96" i="29" s="1"/>
  <c r="W9" i="24"/>
  <c r="O12" i="29"/>
  <c r="O62" i="29" s="1"/>
  <c r="M43" i="29"/>
  <c r="M93" i="29" s="1"/>
  <c r="P8" i="29"/>
  <c r="P58" i="29" s="1"/>
  <c r="P49" i="29"/>
  <c r="P99" i="29" s="1"/>
  <c r="T33" i="29"/>
  <c r="T83" i="29" s="1"/>
  <c r="O24" i="29"/>
  <c r="O74" i="29" s="1"/>
  <c r="M42" i="29"/>
  <c r="M92" i="29" s="1"/>
  <c r="P39" i="29"/>
  <c r="P89" i="29" s="1"/>
  <c r="S49" i="29"/>
  <c r="S99" i="29" s="1"/>
  <c r="M28" i="29"/>
  <c r="M78" i="29" s="1"/>
  <c r="T8" i="29"/>
  <c r="T58" i="29" s="1"/>
  <c r="P15" i="29"/>
  <c r="P65" i="29" s="1"/>
  <c r="P31" i="29"/>
  <c r="P81" i="29" s="1"/>
  <c r="M26" i="29"/>
  <c r="M76" i="29" s="1"/>
  <c r="S9" i="29"/>
  <c r="S59" i="29" s="1"/>
  <c r="W24" i="12"/>
  <c r="T39" i="29"/>
  <c r="T89" i="29" s="1"/>
  <c r="Z51" i="13"/>
  <c r="T14" i="29"/>
  <c r="T64" i="29" s="1"/>
  <c r="S5" i="29"/>
  <c r="S55" i="29" s="1"/>
  <c r="O10" i="29"/>
  <c r="O60" i="29" s="1"/>
  <c r="O33" i="29"/>
  <c r="O83" i="29" s="1"/>
  <c r="M32" i="29"/>
  <c r="M82" i="29" s="1"/>
  <c r="P29" i="29"/>
  <c r="P79" i="29" s="1"/>
  <c r="O32" i="29"/>
  <c r="O82" i="29" s="1"/>
  <c r="M29" i="29"/>
  <c r="M79" i="29" s="1"/>
  <c r="S44" i="29"/>
  <c r="S94" i="29" s="1"/>
  <c r="T21" i="29"/>
  <c r="T71" i="29" s="1"/>
  <c r="P14" i="29"/>
  <c r="P64" i="29" s="1"/>
  <c r="H7" i="31"/>
  <c r="H13" i="31" s="1"/>
  <c r="V24" i="29"/>
  <c r="V74" i="29" s="1"/>
  <c r="O22" i="29"/>
  <c r="O72" i="29" s="1"/>
  <c r="AA51" i="12"/>
  <c r="T5" i="29"/>
  <c r="T55" i="29" s="1"/>
  <c r="M16" i="29"/>
  <c r="M66" i="29" s="1"/>
  <c r="D53" i="5"/>
  <c r="P63" i="28"/>
  <c r="P135" i="28" s="1"/>
  <c r="T20" i="29"/>
  <c r="T70" i="29" s="1"/>
  <c r="S14" i="29"/>
  <c r="S64" i="29" s="1"/>
  <c r="W49" i="12"/>
  <c r="W38" i="12"/>
  <c r="T28" i="29"/>
  <c r="T78" i="29" s="1"/>
  <c r="O27" i="29"/>
  <c r="O77" i="29" s="1"/>
  <c r="O23" i="29"/>
  <c r="O73" i="29" s="1"/>
  <c r="O45" i="29"/>
  <c r="O95" i="29" s="1"/>
  <c r="O7" i="29"/>
  <c r="O57" i="29" s="1"/>
  <c r="O20" i="29"/>
  <c r="O70" i="29" s="1"/>
  <c r="M37" i="29"/>
  <c r="M87" i="29" s="1"/>
  <c r="P9" i="29"/>
  <c r="P59" i="29" s="1"/>
  <c r="AA51" i="13"/>
  <c r="T29" i="29"/>
  <c r="T79" i="29" s="1"/>
  <c r="S34" i="29"/>
  <c r="S84" i="29" s="1"/>
  <c r="P30" i="29"/>
  <c r="P80" i="29" s="1"/>
  <c r="O14" i="29"/>
  <c r="O64" i="29" s="1"/>
  <c r="M23" i="29"/>
  <c r="M73" i="29" s="1"/>
  <c r="M34" i="29"/>
  <c r="M84" i="29" s="1"/>
  <c r="P27" i="29"/>
  <c r="P77" i="29" s="1"/>
  <c r="T49" i="29"/>
  <c r="T99" i="29" s="1"/>
  <c r="M7" i="29"/>
  <c r="M57" i="29" s="1"/>
  <c r="W5" i="12"/>
  <c r="S31" i="29"/>
  <c r="S81" i="29" s="1"/>
  <c r="W43" i="12"/>
  <c r="P41" i="29"/>
  <c r="P91" i="29" s="1"/>
  <c r="O41" i="29"/>
  <c r="O91" i="29" s="1"/>
  <c r="S35" i="29"/>
  <c r="S85" i="29" s="1"/>
  <c r="O9" i="29"/>
  <c r="O59" i="29" s="1"/>
  <c r="T10" i="29"/>
  <c r="T60" i="29" s="1"/>
  <c r="S51" i="12"/>
  <c r="X14" i="28"/>
  <c r="X86" i="28" s="1"/>
  <c r="O28" i="29"/>
  <c r="O78" i="29" s="1"/>
  <c r="M14" i="29"/>
  <c r="M64" i="29" s="1"/>
  <c r="P45" i="29"/>
  <c r="P95" i="29" s="1"/>
  <c r="O13" i="29"/>
  <c r="O63" i="29" s="1"/>
  <c r="O31" i="29"/>
  <c r="O81" i="29" s="1"/>
  <c r="M30" i="29"/>
  <c r="M80" i="29" s="1"/>
  <c r="P43" i="29"/>
  <c r="P93" i="29" s="1"/>
  <c r="W45" i="13"/>
  <c r="T15" i="29"/>
  <c r="T65" i="29" s="1"/>
  <c r="P33" i="29"/>
  <c r="P83" i="29" s="1"/>
  <c r="O30" i="29"/>
  <c r="O80" i="29" s="1"/>
  <c r="M8" i="29"/>
  <c r="M58" i="29" s="1"/>
  <c r="M22" i="29"/>
  <c r="M72" i="29" s="1"/>
  <c r="P47" i="29"/>
  <c r="P97" i="29" s="1"/>
  <c r="S23" i="29"/>
  <c r="S73" i="29" s="1"/>
  <c r="S32" i="29"/>
  <c r="S82" i="29" s="1"/>
  <c r="M38" i="29"/>
  <c r="M88" i="29" s="1"/>
  <c r="O14" i="30"/>
  <c r="J11" i="31"/>
  <c r="F9" i="31"/>
  <c r="F11" i="31"/>
  <c r="E9" i="31"/>
  <c r="E11" i="31"/>
  <c r="C9" i="31"/>
  <c r="C11" i="31"/>
  <c r="J9" i="31"/>
  <c r="B9" i="30"/>
  <c r="B7" i="30"/>
  <c r="B13" i="30" s="1"/>
  <c r="B11" i="30"/>
  <c r="AD57" i="8"/>
  <c r="AA57" i="28"/>
  <c r="AA129" i="28" s="1"/>
  <c r="AD49" i="8"/>
  <c r="AA49" i="28"/>
  <c r="AA121" i="28" s="1"/>
  <c r="W48" i="12"/>
  <c r="F47" i="5"/>
  <c r="F53" i="5" s="1"/>
  <c r="X28" i="28"/>
  <c r="X100" i="28" s="1"/>
  <c r="AD60" i="8"/>
  <c r="AA60" i="28"/>
  <c r="AA132" i="28" s="1"/>
  <c r="AD52" i="8"/>
  <c r="AA52" i="28"/>
  <c r="AA124" i="28" s="1"/>
  <c r="W17" i="12"/>
  <c r="W10" i="13"/>
  <c r="AD40" i="8"/>
  <c r="AA40" i="28"/>
  <c r="AA112" i="28" s="1"/>
  <c r="L9" i="30"/>
  <c r="L11" i="30"/>
  <c r="L7" i="30"/>
  <c r="L13" i="30" s="1"/>
  <c r="W45" i="12"/>
  <c r="AD54" i="8"/>
  <c r="AA54" i="28"/>
  <c r="AA126" i="28" s="1"/>
  <c r="W16" i="12"/>
  <c r="W26" i="12"/>
  <c r="N76" i="8"/>
  <c r="AD24" i="8"/>
  <c r="AA24" i="28"/>
  <c r="AA96" i="28" s="1"/>
  <c r="AD9" i="8"/>
  <c r="AA9" i="28"/>
  <c r="AA81" i="28" s="1"/>
  <c r="X73" i="23"/>
  <c r="M64" i="23"/>
  <c r="P8" i="23"/>
  <c r="P35" i="23"/>
  <c r="P42" i="23"/>
  <c r="M17" i="23"/>
  <c r="M29" i="23"/>
  <c r="P58" i="23"/>
  <c r="M56" i="23"/>
  <c r="M37" i="23"/>
  <c r="P33" i="23"/>
  <c r="P66" i="23"/>
  <c r="Q23" i="23"/>
  <c r="Q71" i="23"/>
  <c r="M19" i="23"/>
  <c r="M58" i="23"/>
  <c r="S41" i="29"/>
  <c r="S91" i="29" s="1"/>
  <c r="Q41" i="23"/>
  <c r="Q54" i="23"/>
  <c r="Q32" i="23"/>
  <c r="Q60" i="23"/>
  <c r="M59" i="23"/>
  <c r="P51" i="24"/>
  <c r="T36" i="29"/>
  <c r="T86" i="29" s="1"/>
  <c r="M62" i="23"/>
  <c r="Q27" i="23"/>
  <c r="Q65" i="23"/>
  <c r="M28" i="23"/>
  <c r="M68" i="23"/>
  <c r="F29" i="5"/>
  <c r="AM76" i="23" s="1"/>
  <c r="AD6" i="8"/>
  <c r="AA6" i="28"/>
  <c r="AA78" i="28" s="1"/>
  <c r="W11" i="13"/>
  <c r="W21" i="12"/>
  <c r="AD45" i="8"/>
  <c r="AA45" i="28"/>
  <c r="AA117" i="28" s="1"/>
  <c r="AD46" i="8"/>
  <c r="AA46" i="28"/>
  <c r="AA118" i="28" s="1"/>
  <c r="AD53" i="8"/>
  <c r="AA53" i="28"/>
  <c r="AA125" i="28" s="1"/>
  <c r="AD30" i="8"/>
  <c r="AA30" i="28"/>
  <c r="AA102" i="28" s="1"/>
  <c r="AD55" i="8"/>
  <c r="AA55" i="28"/>
  <c r="AA127" i="28" s="1"/>
  <c r="AD35" i="8"/>
  <c r="AA35" i="28"/>
  <c r="AA107" i="28" s="1"/>
  <c r="P23" i="23"/>
  <c r="P70" i="23"/>
  <c r="P11" i="23"/>
  <c r="P5" i="23"/>
  <c r="P41" i="23"/>
  <c r="P64" i="23"/>
  <c r="M20" i="23"/>
  <c r="P44" i="23"/>
  <c r="P24" i="23"/>
  <c r="P9" i="23"/>
  <c r="M49" i="23"/>
  <c r="P32" i="23"/>
  <c r="P59" i="23"/>
  <c r="M10" i="23"/>
  <c r="M32" i="23"/>
  <c r="Q6" i="23"/>
  <c r="Q45" i="23"/>
  <c r="W11" i="24"/>
  <c r="T22" i="29"/>
  <c r="T72" i="29" s="1"/>
  <c r="M24" i="23"/>
  <c r="M53" i="23"/>
  <c r="AI73" i="23"/>
  <c r="Q25" i="23"/>
  <c r="Q26" i="23"/>
  <c r="T32" i="29"/>
  <c r="T82" i="29" s="1"/>
  <c r="Q5" i="23"/>
  <c r="Q20" i="23"/>
  <c r="Q42" i="23"/>
  <c r="AD15" i="8"/>
  <c r="AA15" i="28"/>
  <c r="AA87" i="28" s="1"/>
  <c r="AD16" i="8"/>
  <c r="AA16" i="28"/>
  <c r="AA88" i="28" s="1"/>
  <c r="M9" i="30"/>
  <c r="M11" i="30"/>
  <c r="M7" i="30"/>
  <c r="M13" i="30" s="1"/>
  <c r="M15" i="8"/>
  <c r="M15" i="28" s="1"/>
  <c r="M87" i="28" s="1"/>
  <c r="AD65" i="8"/>
  <c r="AA65" i="28"/>
  <c r="AA137" i="28" s="1"/>
  <c r="AD64" i="8"/>
  <c r="AA64" i="28"/>
  <c r="AA136" i="28" s="1"/>
  <c r="W12" i="12"/>
  <c r="AD34" i="8"/>
  <c r="AA34" i="28"/>
  <c r="AA106" i="28" s="1"/>
  <c r="Q13" i="8"/>
  <c r="Q13" i="28" s="1"/>
  <c r="Q85" i="28" s="1"/>
  <c r="Q13" i="23"/>
  <c r="J9" i="30"/>
  <c r="J7" i="30"/>
  <c r="J13" i="30" s="1"/>
  <c r="J11" i="30"/>
  <c r="AD50" i="8"/>
  <c r="AA50" i="28"/>
  <c r="AA122" i="28" s="1"/>
  <c r="AD22" i="8"/>
  <c r="AA22" i="28"/>
  <c r="AA94" i="28" s="1"/>
  <c r="S6" i="29"/>
  <c r="S56" i="29" s="1"/>
  <c r="I9" i="31" s="1"/>
  <c r="P50" i="23"/>
  <c r="P46" i="23"/>
  <c r="P48" i="23"/>
  <c r="M23" i="23"/>
  <c r="M12" i="23"/>
  <c r="P7" i="23"/>
  <c r="W73" i="23"/>
  <c r="P47" i="23"/>
  <c r="M55" i="23"/>
  <c r="P40" i="23"/>
  <c r="AD63" i="8"/>
  <c r="AA63" i="28"/>
  <c r="AA135" i="28" s="1"/>
  <c r="Q48" i="23"/>
  <c r="Q68" i="23"/>
  <c r="S47" i="29"/>
  <c r="S97" i="29" s="1"/>
  <c r="M5" i="23"/>
  <c r="T26" i="29"/>
  <c r="T76" i="29" s="1"/>
  <c r="S29" i="29"/>
  <c r="S79" i="29" s="1"/>
  <c r="M35" i="23"/>
  <c r="Q36" i="23"/>
  <c r="Q67" i="23"/>
  <c r="Q35" i="23"/>
  <c r="Q69" i="23"/>
  <c r="Q24" i="23"/>
  <c r="Q38" i="23"/>
  <c r="Q53" i="23"/>
  <c r="M36" i="23"/>
  <c r="M14" i="23"/>
  <c r="AD70" i="8"/>
  <c r="AA70" i="28"/>
  <c r="AA142" i="28" s="1"/>
  <c r="AD69" i="8"/>
  <c r="AA69" i="28"/>
  <c r="AA141" i="28" s="1"/>
  <c r="P13" i="8"/>
  <c r="P13" i="28" s="1"/>
  <c r="P85" i="28" s="1"/>
  <c r="P13" i="23"/>
  <c r="AD10" i="8"/>
  <c r="AA10" i="28"/>
  <c r="AA82" i="28" s="1"/>
  <c r="X67" i="28"/>
  <c r="X139" i="28" s="1"/>
  <c r="N74" i="23"/>
  <c r="N78" i="23" s="1"/>
  <c r="N74" i="8"/>
  <c r="N78" i="8" s="1"/>
  <c r="N13" i="9" s="1"/>
  <c r="N74" i="9"/>
  <c r="N74" i="7"/>
  <c r="M52" i="23"/>
  <c r="P17" i="23"/>
  <c r="P71" i="23"/>
  <c r="S38" i="29"/>
  <c r="S88" i="29" s="1"/>
  <c r="Y73" i="23"/>
  <c r="P49" i="23"/>
  <c r="P45" i="23"/>
  <c r="P51" i="23"/>
  <c r="P16" i="23"/>
  <c r="P27" i="23"/>
  <c r="M16" i="23"/>
  <c r="P30" i="23"/>
  <c r="P62" i="23"/>
  <c r="P21" i="23"/>
  <c r="P6" i="23"/>
  <c r="M39" i="23"/>
  <c r="Q31" i="23"/>
  <c r="Q21" i="23"/>
  <c r="M18" i="23"/>
  <c r="M51" i="24"/>
  <c r="M50" i="23"/>
  <c r="M48" i="23"/>
  <c r="M45" i="23"/>
  <c r="M21" i="23"/>
  <c r="Q8" i="23"/>
  <c r="Q66" i="23"/>
  <c r="T34" i="29"/>
  <c r="T84" i="29" s="1"/>
  <c r="Q46" i="23"/>
  <c r="Q40" i="23"/>
  <c r="Q22" i="23"/>
  <c r="Q62" i="23"/>
  <c r="Q9" i="23"/>
  <c r="AD17" i="8"/>
  <c r="AA17" i="28"/>
  <c r="AA89" i="28" s="1"/>
  <c r="M44" i="8"/>
  <c r="M44" i="28" s="1"/>
  <c r="M116" i="28" s="1"/>
  <c r="T9" i="30"/>
  <c r="T11" i="30"/>
  <c r="T7" i="30"/>
  <c r="T13" i="30" s="1"/>
  <c r="AD11" i="8"/>
  <c r="AA11" i="28"/>
  <c r="AA83" i="28" s="1"/>
  <c r="P20" i="8"/>
  <c r="P20" i="28" s="1"/>
  <c r="P92" i="28" s="1"/>
  <c r="W25" i="12"/>
  <c r="AD20" i="8"/>
  <c r="AA20" i="28"/>
  <c r="AA92" i="28" s="1"/>
  <c r="X60" i="28"/>
  <c r="X132" i="28" s="1"/>
  <c r="AD19" i="8"/>
  <c r="AA19" i="28"/>
  <c r="AA91" i="28" s="1"/>
  <c r="AD8" i="8"/>
  <c r="AA8" i="28"/>
  <c r="AA80" i="28" s="1"/>
  <c r="AD38" i="8"/>
  <c r="AA38" i="28"/>
  <c r="AA110" i="28" s="1"/>
  <c r="AD39" i="8"/>
  <c r="AA39" i="28"/>
  <c r="AA111" i="28" s="1"/>
  <c r="W19" i="13"/>
  <c r="AD43" i="8"/>
  <c r="AA43" i="28"/>
  <c r="AA115" i="28" s="1"/>
  <c r="AD14" i="8"/>
  <c r="AA14" i="28"/>
  <c r="AA86" i="28" s="1"/>
  <c r="AD7" i="8"/>
  <c r="AA7" i="28"/>
  <c r="AA79" i="28" s="1"/>
  <c r="AD56" i="8"/>
  <c r="AA56" i="28"/>
  <c r="AA128" i="28" s="1"/>
  <c r="M43" i="23"/>
  <c r="M44" i="23"/>
  <c r="P14" i="23"/>
  <c r="P65" i="23"/>
  <c r="M63" i="23"/>
  <c r="V27" i="29"/>
  <c r="V77" i="29" s="1"/>
  <c r="M71" i="23"/>
  <c r="U73" i="23"/>
  <c r="L73" i="23"/>
  <c r="P54" i="23"/>
  <c r="M34" i="23"/>
  <c r="P18" i="23"/>
  <c r="P12" i="23"/>
  <c r="Q47" i="23"/>
  <c r="Q61" i="23"/>
  <c r="M40" i="23"/>
  <c r="S15" i="29"/>
  <c r="S65" i="29" s="1"/>
  <c r="M9" i="23"/>
  <c r="Q43" i="23"/>
  <c r="Q50" i="23"/>
  <c r="Q11" i="23"/>
  <c r="Q57" i="23"/>
  <c r="M27" i="23"/>
  <c r="M42" i="23"/>
  <c r="M54" i="23"/>
  <c r="Q17" i="23"/>
  <c r="Q56" i="23"/>
  <c r="W45" i="24"/>
  <c r="AD13" i="8"/>
  <c r="AA13" i="28"/>
  <c r="AA85" i="28" s="1"/>
  <c r="O73" i="8"/>
  <c r="O7" i="28"/>
  <c r="O79" i="28" s="1"/>
  <c r="E9" i="30" s="1"/>
  <c r="AD41" i="8"/>
  <c r="AA41" i="28"/>
  <c r="AA113" i="28" s="1"/>
  <c r="W31" i="12"/>
  <c r="M50" i="8"/>
  <c r="M50" i="28" s="1"/>
  <c r="M122" i="28" s="1"/>
  <c r="M13" i="23"/>
  <c r="M65" i="23"/>
  <c r="AD67" i="8"/>
  <c r="AA67" i="28"/>
  <c r="AA139" i="28" s="1"/>
  <c r="AD62" i="8"/>
  <c r="AA62" i="28"/>
  <c r="AA134" i="28" s="1"/>
  <c r="AD23" i="8"/>
  <c r="AA23" i="28"/>
  <c r="AA95" i="28" s="1"/>
  <c r="AD68" i="8"/>
  <c r="AA68" i="28"/>
  <c r="AA140" i="28" s="1"/>
  <c r="AD27" i="8"/>
  <c r="AA27" i="28"/>
  <c r="AA99" i="28" s="1"/>
  <c r="AD61" i="8"/>
  <c r="AA61" i="28"/>
  <c r="AA133" i="28" s="1"/>
  <c r="R13" i="23"/>
  <c r="R67" i="23"/>
  <c r="R60" i="23"/>
  <c r="R36" i="23"/>
  <c r="R59" i="23"/>
  <c r="R40" i="23"/>
  <c r="R32" i="23"/>
  <c r="R64" i="23"/>
  <c r="R62" i="23"/>
  <c r="R55" i="23"/>
  <c r="R21" i="23"/>
  <c r="R24" i="23"/>
  <c r="R20" i="23"/>
  <c r="R6" i="23"/>
  <c r="R29" i="23"/>
  <c r="R17" i="23"/>
  <c r="R71" i="23"/>
  <c r="R58" i="23"/>
  <c r="R43" i="23"/>
  <c r="R65" i="23"/>
  <c r="R47" i="23"/>
  <c r="R39" i="23"/>
  <c r="R26" i="23"/>
  <c r="R23" i="23"/>
  <c r="R69" i="23"/>
  <c r="R30" i="23"/>
  <c r="R12" i="23"/>
  <c r="R18" i="23"/>
  <c r="R37" i="23"/>
  <c r="R51" i="23"/>
  <c r="R52" i="23"/>
  <c r="R5" i="23"/>
  <c r="R56" i="23"/>
  <c r="R53" i="23"/>
  <c r="R15" i="23"/>
  <c r="R22" i="23"/>
  <c r="R68" i="23"/>
  <c r="R44" i="23"/>
  <c r="R10" i="23"/>
  <c r="R28" i="23"/>
  <c r="R16" i="23"/>
  <c r="R38" i="23"/>
  <c r="R63" i="23"/>
  <c r="R54" i="23"/>
  <c r="R66" i="23"/>
  <c r="R11" i="23"/>
  <c r="R33" i="23"/>
  <c r="R48" i="23"/>
  <c r="R27" i="23"/>
  <c r="R41" i="23"/>
  <c r="R31" i="23"/>
  <c r="R45" i="23"/>
  <c r="R8" i="23"/>
  <c r="R9" i="23"/>
  <c r="R7" i="23"/>
  <c r="R14" i="23"/>
  <c r="R34" i="23"/>
  <c r="R50" i="23"/>
  <c r="R19" i="23"/>
  <c r="R42" i="23"/>
  <c r="R57" i="23"/>
  <c r="R61" i="23"/>
  <c r="R70" i="23"/>
  <c r="R25" i="23"/>
  <c r="R46" i="23"/>
  <c r="R35" i="23"/>
  <c r="R49" i="23"/>
  <c r="AD42" i="8"/>
  <c r="AA42" i="28"/>
  <c r="AA114" i="28" s="1"/>
  <c r="AD26" i="8"/>
  <c r="AA26" i="28"/>
  <c r="AA98" i="28" s="1"/>
  <c r="P28" i="23"/>
  <c r="P57" i="23"/>
  <c r="P22" i="23"/>
  <c r="P56" i="23"/>
  <c r="P53" i="23"/>
  <c r="P38" i="23"/>
  <c r="M41" i="23"/>
  <c r="M30" i="23"/>
  <c r="P29" i="23"/>
  <c r="P67" i="23"/>
  <c r="S8" i="29"/>
  <c r="S58" i="29" s="1"/>
  <c r="P26" i="23"/>
  <c r="P69" i="23"/>
  <c r="T44" i="29"/>
  <c r="T94" i="29" s="1"/>
  <c r="V51" i="24"/>
  <c r="Q49" i="23"/>
  <c r="Q7" i="23"/>
  <c r="U9" i="30"/>
  <c r="U11" i="30"/>
  <c r="U7" i="30"/>
  <c r="U13" i="30" s="1"/>
  <c r="M6" i="23"/>
  <c r="M7" i="23"/>
  <c r="M15" i="23"/>
  <c r="M22" i="23"/>
  <c r="T45" i="29"/>
  <c r="T95" i="29" s="1"/>
  <c r="Q15" i="23"/>
  <c r="Q55" i="23"/>
  <c r="Q30" i="23"/>
  <c r="S16" i="29"/>
  <c r="S66" i="29" s="1"/>
  <c r="M61" i="23"/>
  <c r="Q10" i="23"/>
  <c r="Q52" i="23"/>
  <c r="Q12" i="23"/>
  <c r="Q37" i="23"/>
  <c r="AD31" i="8"/>
  <c r="AA31" i="28"/>
  <c r="AA103" i="28" s="1"/>
  <c r="W39" i="12"/>
  <c r="M51" i="12"/>
  <c r="S13" i="23"/>
  <c r="S32" i="23"/>
  <c r="S64" i="23"/>
  <c r="S62" i="23"/>
  <c r="S55" i="23"/>
  <c r="S21" i="23"/>
  <c r="S24" i="23"/>
  <c r="S20" i="23"/>
  <c r="S6" i="23"/>
  <c r="S29" i="23"/>
  <c r="S17" i="23"/>
  <c r="S56" i="23"/>
  <c r="S12" i="23"/>
  <c r="S34" i="23"/>
  <c r="S71" i="23"/>
  <c r="S58" i="23"/>
  <c r="S43" i="23"/>
  <c r="S65" i="23"/>
  <c r="S47" i="23"/>
  <c r="S39" i="23"/>
  <c r="S26" i="23"/>
  <c r="S30" i="23"/>
  <c r="S23" i="23"/>
  <c r="S67" i="23"/>
  <c r="S60" i="23"/>
  <c r="S36" i="23"/>
  <c r="S59" i="23"/>
  <c r="S40" i="23"/>
  <c r="S15" i="23"/>
  <c r="S68" i="23"/>
  <c r="S44" i="23"/>
  <c r="S5" i="23"/>
  <c r="S10" i="23"/>
  <c r="S28" i="23"/>
  <c r="S53" i="23"/>
  <c r="S16" i="23"/>
  <c r="S38" i="23"/>
  <c r="S63" i="23"/>
  <c r="S22" i="23"/>
  <c r="S54" i="23"/>
  <c r="S66" i="23"/>
  <c r="S11" i="23"/>
  <c r="S33" i="23"/>
  <c r="S27" i="23"/>
  <c r="S41" i="23"/>
  <c r="S31" i="23"/>
  <c r="S8" i="23"/>
  <c r="S7" i="23"/>
  <c r="S14" i="23"/>
  <c r="S48" i="23"/>
  <c r="S50" i="23"/>
  <c r="S42" i="23"/>
  <c r="S57" i="23"/>
  <c r="S45" i="23"/>
  <c r="S61" i="23"/>
  <c r="S9" i="23"/>
  <c r="S70" i="23"/>
  <c r="S25" i="23"/>
  <c r="S46" i="23"/>
  <c r="S35" i="23"/>
  <c r="S49" i="23"/>
  <c r="S69" i="23"/>
  <c r="S18" i="23"/>
  <c r="S37" i="23"/>
  <c r="S51" i="23"/>
  <c r="S19" i="23"/>
  <c r="S52" i="23"/>
  <c r="AD47" i="8"/>
  <c r="AA47" i="28"/>
  <c r="AA119" i="28" s="1"/>
  <c r="AD29" i="8"/>
  <c r="AA29" i="28"/>
  <c r="AA101" i="28" s="1"/>
  <c r="W32" i="13"/>
  <c r="AD58" i="8"/>
  <c r="AA58" i="28"/>
  <c r="AA130" i="28" s="1"/>
  <c r="AD33" i="8"/>
  <c r="AA33" i="28"/>
  <c r="AA105" i="28" s="1"/>
  <c r="AD71" i="8"/>
  <c r="AA71" i="28"/>
  <c r="AA143" i="28" s="1"/>
  <c r="AD18" i="8"/>
  <c r="AA18" i="28"/>
  <c r="AA90" i="28" s="1"/>
  <c r="L55" i="24"/>
  <c r="P43" i="23"/>
  <c r="P25" i="23"/>
  <c r="X56" i="24"/>
  <c r="AH73" i="23"/>
  <c r="M57" i="23"/>
  <c r="P31" i="23"/>
  <c r="V39" i="29"/>
  <c r="V89" i="29" s="1"/>
  <c r="M51" i="23"/>
  <c r="P55" i="23"/>
  <c r="S12" i="29"/>
  <c r="S62" i="29" s="1"/>
  <c r="S40" i="29"/>
  <c r="S90" i="29" s="1"/>
  <c r="M8" i="23"/>
  <c r="P34" i="23"/>
  <c r="P61" i="23"/>
  <c r="M31" i="23"/>
  <c r="Q34" i="23"/>
  <c r="AD25" i="8"/>
  <c r="AA25" i="28"/>
  <c r="AA97" i="28" s="1"/>
  <c r="O51" i="24"/>
  <c r="M70" i="23"/>
  <c r="S7" i="29"/>
  <c r="S57" i="29" s="1"/>
  <c r="S42" i="29"/>
  <c r="S92" i="29" s="1"/>
  <c r="T43" i="29"/>
  <c r="T93" i="29" s="1"/>
  <c r="Q39" i="23"/>
  <c r="Q58" i="23"/>
  <c r="M11" i="23"/>
  <c r="Q33" i="23"/>
  <c r="Q63" i="23"/>
  <c r="M67" i="23"/>
  <c r="Q28" i="23"/>
  <c r="Q70" i="23"/>
  <c r="U51" i="24"/>
  <c r="W29" i="24"/>
  <c r="L9" i="31"/>
  <c r="L11" i="31"/>
  <c r="X53" i="24"/>
  <c r="AE75" i="23"/>
  <c r="AO74" i="23" s="1"/>
  <c r="AD32" i="8"/>
  <c r="AA32" i="28"/>
  <c r="AA104" i="28" s="1"/>
  <c r="AD36" i="8"/>
  <c r="AA36" i="28"/>
  <c r="AA108" i="28" s="1"/>
  <c r="AD59" i="8"/>
  <c r="AA59" i="28"/>
  <c r="AA131" i="28" s="1"/>
  <c r="AD21" i="8"/>
  <c r="AA21" i="28"/>
  <c r="AA93" i="28" s="1"/>
  <c r="AD12" i="8"/>
  <c r="AA12" i="28"/>
  <c r="AA84" i="28" s="1"/>
  <c r="X45" i="28"/>
  <c r="X117" i="28" s="1"/>
  <c r="AD37" i="8"/>
  <c r="AA37" i="28"/>
  <c r="AA109" i="28" s="1"/>
  <c r="AD66" i="8"/>
  <c r="AA66" i="28"/>
  <c r="AA138" i="28" s="1"/>
  <c r="AD44" i="8"/>
  <c r="AA44" i="28"/>
  <c r="AA116" i="28" s="1"/>
  <c r="AD48" i="8"/>
  <c r="AA48" i="28"/>
  <c r="AA120" i="28" s="1"/>
  <c r="D9" i="31"/>
  <c r="D7" i="31"/>
  <c r="D13" i="31" s="1"/>
  <c r="D11" i="31"/>
  <c r="P15" i="23"/>
  <c r="P10" i="23"/>
  <c r="S30" i="29"/>
  <c r="S80" i="29" s="1"/>
  <c r="X8" i="28"/>
  <c r="X80" i="28" s="1"/>
  <c r="N9" i="30" s="1"/>
  <c r="P39" i="23"/>
  <c r="M66" i="23"/>
  <c r="P19" i="23"/>
  <c r="P52" i="23"/>
  <c r="M38" i="23"/>
  <c r="P37" i="23"/>
  <c r="M60" i="23"/>
  <c r="P36" i="23"/>
  <c r="P63" i="23"/>
  <c r="M47" i="23"/>
  <c r="P20" i="23"/>
  <c r="P68" i="23"/>
  <c r="M25" i="23"/>
  <c r="Q44" i="23"/>
  <c r="Q64" i="23"/>
  <c r="W12" i="24"/>
  <c r="O73" i="23"/>
  <c r="M69" i="23"/>
  <c r="W8" i="24"/>
  <c r="M26" i="23"/>
  <c r="S24" i="29"/>
  <c r="S74" i="29" s="1"/>
  <c r="Q14" i="23"/>
  <c r="Q59" i="23"/>
  <c r="M46" i="23"/>
  <c r="Q19" i="23"/>
  <c r="Q29" i="23"/>
  <c r="Q18" i="23"/>
  <c r="Q16" i="23"/>
  <c r="AC73" i="23"/>
  <c r="AD5" i="23"/>
  <c r="AD73" i="23" s="1"/>
  <c r="AQ20" i="23"/>
  <c r="AQ30" i="23"/>
  <c r="Q33" i="8"/>
  <c r="Q33" i="28" s="1"/>
  <c r="Q105" i="28" s="1"/>
  <c r="Q63" i="8"/>
  <c r="Q63" i="28" s="1"/>
  <c r="Q135" i="28" s="1"/>
  <c r="Q12" i="8"/>
  <c r="Q12" i="28" s="1"/>
  <c r="Q84" i="28" s="1"/>
  <c r="M70" i="8"/>
  <c r="M70" i="28" s="1"/>
  <c r="M142" i="28" s="1"/>
  <c r="M37" i="8"/>
  <c r="M37" i="28" s="1"/>
  <c r="M109" i="28" s="1"/>
  <c r="M7" i="8"/>
  <c r="M7" i="28" s="1"/>
  <c r="M79" i="28" s="1"/>
  <c r="Q25" i="8"/>
  <c r="Q25" i="28" s="1"/>
  <c r="Q97" i="28" s="1"/>
  <c r="Q26" i="8"/>
  <c r="Q26" i="28" s="1"/>
  <c r="Q98" i="28" s="1"/>
  <c r="W51" i="11"/>
  <c r="M59" i="8"/>
  <c r="M59" i="28" s="1"/>
  <c r="M131" i="28" s="1"/>
  <c r="Q51" i="8"/>
  <c r="Q51" i="28" s="1"/>
  <c r="Q123" i="28" s="1"/>
  <c r="Q36" i="8"/>
  <c r="Q36" i="28" s="1"/>
  <c r="Q108" i="28" s="1"/>
  <c r="Q67" i="8"/>
  <c r="Q67" i="28" s="1"/>
  <c r="Q139" i="28" s="1"/>
  <c r="M30" i="8"/>
  <c r="M30" i="28" s="1"/>
  <c r="M102" i="28" s="1"/>
  <c r="W19" i="12"/>
  <c r="Q28" i="8"/>
  <c r="Q28" i="28" s="1"/>
  <c r="Q100" i="28" s="1"/>
  <c r="Q70" i="8"/>
  <c r="Q70" i="28" s="1"/>
  <c r="Q142" i="28" s="1"/>
  <c r="Q5" i="8"/>
  <c r="Q5" i="28" s="1"/>
  <c r="Q77" i="28" s="1"/>
  <c r="W27" i="13"/>
  <c r="Q56" i="8"/>
  <c r="Q56" i="28" s="1"/>
  <c r="Q128" i="28" s="1"/>
  <c r="W31" i="13"/>
  <c r="M19" i="8"/>
  <c r="M19" i="28" s="1"/>
  <c r="M91" i="28" s="1"/>
  <c r="Q44" i="8"/>
  <c r="Q44" i="28" s="1"/>
  <c r="Q116" i="28" s="1"/>
  <c r="Q64" i="8"/>
  <c r="Q64" i="28" s="1"/>
  <c r="Q136" i="28" s="1"/>
  <c r="M26" i="8"/>
  <c r="M26" i="28" s="1"/>
  <c r="M98" i="28" s="1"/>
  <c r="W8" i="13"/>
  <c r="W13" i="12"/>
  <c r="M54" i="8"/>
  <c r="M54" i="28" s="1"/>
  <c r="M126" i="28" s="1"/>
  <c r="Q34" i="8"/>
  <c r="Q34" i="28" s="1"/>
  <c r="Q106" i="28" s="1"/>
  <c r="Q32" i="8"/>
  <c r="Q32" i="28" s="1"/>
  <c r="Q104" i="28" s="1"/>
  <c r="Q60" i="8"/>
  <c r="Q60" i="28" s="1"/>
  <c r="Q132" i="28" s="1"/>
  <c r="W20" i="13"/>
  <c r="Q18" i="8"/>
  <c r="Q18" i="28" s="1"/>
  <c r="Q90" i="28" s="1"/>
  <c r="Q8" i="8"/>
  <c r="Q8" i="28" s="1"/>
  <c r="Q80" i="28" s="1"/>
  <c r="Q66" i="8"/>
  <c r="Q66" i="28" s="1"/>
  <c r="Q138" i="28" s="1"/>
  <c r="W26" i="13"/>
  <c r="Q7" i="8"/>
  <c r="Q7" i="28" s="1"/>
  <c r="Q79" i="28" s="1"/>
  <c r="Q47" i="8"/>
  <c r="Q47" i="28" s="1"/>
  <c r="Q119" i="28" s="1"/>
  <c r="Q43" i="8"/>
  <c r="Q43" i="28" s="1"/>
  <c r="Q115" i="28" s="1"/>
  <c r="Q50" i="8"/>
  <c r="Q50" i="28" s="1"/>
  <c r="Q122" i="28" s="1"/>
  <c r="W20" i="12"/>
  <c r="W73" i="8"/>
  <c r="X56" i="12"/>
  <c r="Q27" i="8"/>
  <c r="Q27" i="28" s="1"/>
  <c r="Q99" i="28" s="1"/>
  <c r="Q65" i="8"/>
  <c r="Q65" i="28" s="1"/>
  <c r="Q137" i="28" s="1"/>
  <c r="W14" i="12"/>
  <c r="W36" i="13"/>
  <c r="Q71" i="8"/>
  <c r="Q71" i="28" s="1"/>
  <c r="Q143" i="28" s="1"/>
  <c r="Q6" i="8"/>
  <c r="Q6" i="28" s="1"/>
  <c r="Q78" i="28" s="1"/>
  <c r="Q45" i="8"/>
  <c r="Q45" i="28" s="1"/>
  <c r="Q117" i="28" s="1"/>
  <c r="AI73" i="8"/>
  <c r="M8" i="8"/>
  <c r="M8" i="28" s="1"/>
  <c r="M80" i="28" s="1"/>
  <c r="W37" i="13"/>
  <c r="W35" i="13"/>
  <c r="Q35" i="8"/>
  <c r="Q35" i="28" s="1"/>
  <c r="Q107" i="28" s="1"/>
  <c r="Q57" i="8"/>
  <c r="Q57" i="28" s="1"/>
  <c r="Q129" i="28" s="1"/>
  <c r="Q68" i="8"/>
  <c r="Q68" i="28" s="1"/>
  <c r="Q140" i="28" s="1"/>
  <c r="L55" i="11"/>
  <c r="Q15" i="8"/>
  <c r="Q15" i="28" s="1"/>
  <c r="Q87" i="28" s="1"/>
  <c r="Q55" i="8"/>
  <c r="Q55" i="28" s="1"/>
  <c r="Q127" i="28" s="1"/>
  <c r="Q30" i="8"/>
  <c r="Q30" i="28" s="1"/>
  <c r="Q102" i="28" s="1"/>
  <c r="Q42" i="8"/>
  <c r="Q42" i="28" s="1"/>
  <c r="Q114" i="28" s="1"/>
  <c r="Q9" i="8"/>
  <c r="Q9" i="28" s="1"/>
  <c r="Q81" i="28" s="1"/>
  <c r="M56" i="8"/>
  <c r="M56" i="28" s="1"/>
  <c r="M128" i="28" s="1"/>
  <c r="W46" i="13"/>
  <c r="Q49" i="8"/>
  <c r="Q49" i="28" s="1"/>
  <c r="Q121" i="28" s="1"/>
  <c r="W33" i="12"/>
  <c r="V51" i="13"/>
  <c r="Q39" i="8"/>
  <c r="Q39" i="28" s="1"/>
  <c r="Q111" i="28" s="1"/>
  <c r="Q58" i="8"/>
  <c r="Q58" i="28" s="1"/>
  <c r="Q130" i="28" s="1"/>
  <c r="W11" i="12"/>
  <c r="W37" i="12"/>
  <c r="Q24" i="8"/>
  <c r="Q24" i="28" s="1"/>
  <c r="Q96" i="28" s="1"/>
  <c r="Q38" i="8"/>
  <c r="Q38" i="28" s="1"/>
  <c r="Q110" i="28" s="1"/>
  <c r="Q53" i="8"/>
  <c r="Q53" i="28" s="1"/>
  <c r="Q125" i="28" s="1"/>
  <c r="Q23" i="8"/>
  <c r="Q23" i="28" s="1"/>
  <c r="Q95" i="28" s="1"/>
  <c r="M40" i="8"/>
  <c r="M40" i="28" s="1"/>
  <c r="M112" i="28" s="1"/>
  <c r="W34" i="13"/>
  <c r="W46" i="12"/>
  <c r="W23" i="13"/>
  <c r="M64" i="8"/>
  <c r="M64" i="28" s="1"/>
  <c r="M136" i="28" s="1"/>
  <c r="W10" i="12"/>
  <c r="Q17" i="8"/>
  <c r="Q17" i="28" s="1"/>
  <c r="Q89" i="28" s="1"/>
  <c r="M21" i="8"/>
  <c r="M21" i="28" s="1"/>
  <c r="M93" i="28" s="1"/>
  <c r="Q31" i="8"/>
  <c r="Q31" i="28" s="1"/>
  <c r="Q103" i="28" s="1"/>
  <c r="Q21" i="8"/>
  <c r="Q21" i="28" s="1"/>
  <c r="Q93" i="28" s="1"/>
  <c r="W22" i="13"/>
  <c r="Q69" i="8"/>
  <c r="Q69" i="28" s="1"/>
  <c r="Q141" i="28" s="1"/>
  <c r="Q16" i="8"/>
  <c r="Q16" i="28" s="1"/>
  <c r="Q88" i="28" s="1"/>
  <c r="Q11" i="8"/>
  <c r="Q11" i="28" s="1"/>
  <c r="Q83" i="28" s="1"/>
  <c r="Q14" i="8"/>
  <c r="Q14" i="28" s="1"/>
  <c r="Q86" i="28" s="1"/>
  <c r="Q59" i="8"/>
  <c r="Q59" i="28" s="1"/>
  <c r="Q131" i="28" s="1"/>
  <c r="Q62" i="8"/>
  <c r="Q62" i="28" s="1"/>
  <c r="Q134" i="28" s="1"/>
  <c r="Q61" i="8"/>
  <c r="Q61" i="28" s="1"/>
  <c r="Q133" i="28" s="1"/>
  <c r="W12" i="13"/>
  <c r="W40" i="13"/>
  <c r="W47" i="13"/>
  <c r="Q20" i="8"/>
  <c r="Q20" i="28" s="1"/>
  <c r="Q92" i="28" s="1"/>
  <c r="W23" i="12"/>
  <c r="AM76" i="6"/>
  <c r="AM74" i="9"/>
  <c r="AM74" i="7"/>
  <c r="P55" i="8"/>
  <c r="P55" i="28" s="1"/>
  <c r="P127" i="28" s="1"/>
  <c r="M25" i="8"/>
  <c r="M25" i="28" s="1"/>
  <c r="M97" i="28" s="1"/>
  <c r="V51" i="12"/>
  <c r="M12" i="8"/>
  <c r="M12" i="28" s="1"/>
  <c r="M84" i="28" s="1"/>
  <c r="P23" i="8"/>
  <c r="P23" i="28" s="1"/>
  <c r="P95" i="28" s="1"/>
  <c r="P70" i="8"/>
  <c r="P70" i="28" s="1"/>
  <c r="P142" i="28" s="1"/>
  <c r="W35" i="12"/>
  <c r="P39" i="8"/>
  <c r="P39" i="28" s="1"/>
  <c r="P111" i="28" s="1"/>
  <c r="P25" i="8"/>
  <c r="P25" i="28" s="1"/>
  <c r="P97" i="28" s="1"/>
  <c r="P46" i="8"/>
  <c r="P73" i="9"/>
  <c r="M34" i="8"/>
  <c r="M34" i="28" s="1"/>
  <c r="M106" i="28" s="1"/>
  <c r="V69" i="9"/>
  <c r="AB69" i="9" s="1"/>
  <c r="AB69" i="7"/>
  <c r="V60" i="9"/>
  <c r="AB60" i="9" s="1"/>
  <c r="AB60" i="7"/>
  <c r="V55" i="9"/>
  <c r="AB55" i="9" s="1"/>
  <c r="AB55" i="7"/>
  <c r="V62" i="9"/>
  <c r="AB62" i="9" s="1"/>
  <c r="AB62" i="7"/>
  <c r="V10" i="9"/>
  <c r="AB10" i="9" s="1"/>
  <c r="AB10" i="7"/>
  <c r="V23" i="9"/>
  <c r="AB23" i="9" s="1"/>
  <c r="AB23" i="7"/>
  <c r="V24" i="9"/>
  <c r="AB24" i="9" s="1"/>
  <c r="AB24" i="7"/>
  <c r="V19" i="9"/>
  <c r="AB19" i="9" s="1"/>
  <c r="AB19" i="7"/>
  <c r="P37" i="8"/>
  <c r="P37" i="28" s="1"/>
  <c r="P109" i="28" s="1"/>
  <c r="M55" i="8"/>
  <c r="M55" i="28" s="1"/>
  <c r="M127" i="28" s="1"/>
  <c r="P41" i="8"/>
  <c r="P52" i="8"/>
  <c r="P52" i="28" s="1"/>
  <c r="P124" i="28" s="1"/>
  <c r="M36" i="8"/>
  <c r="M36" i="28" s="1"/>
  <c r="M108" i="28" s="1"/>
  <c r="Q46" i="8"/>
  <c r="Q46" i="28" s="1"/>
  <c r="Q118" i="28" s="1"/>
  <c r="P33" i="8"/>
  <c r="P33" i="28" s="1"/>
  <c r="P105" i="28" s="1"/>
  <c r="V64" i="9"/>
  <c r="AB64" i="9" s="1"/>
  <c r="AB64" i="7"/>
  <c r="V21" i="9"/>
  <c r="AB21" i="9" s="1"/>
  <c r="AB21" i="7"/>
  <c r="L73" i="8"/>
  <c r="P24" i="8"/>
  <c r="P24" i="28" s="1"/>
  <c r="P96" i="28" s="1"/>
  <c r="P9" i="8"/>
  <c r="P9" i="28" s="1"/>
  <c r="P81" i="28" s="1"/>
  <c r="Q73" i="9"/>
  <c r="M11" i="8"/>
  <c r="M11" i="28" s="1"/>
  <c r="M83" i="28" s="1"/>
  <c r="P61" i="8"/>
  <c r="P61" i="28" s="1"/>
  <c r="P133" i="28" s="1"/>
  <c r="P47" i="8"/>
  <c r="P32" i="8"/>
  <c r="P32" i="28" s="1"/>
  <c r="P104" i="28" s="1"/>
  <c r="P59" i="8"/>
  <c r="P59" i="28" s="1"/>
  <c r="P131" i="28" s="1"/>
  <c r="M43" i="8"/>
  <c r="M43" i="28" s="1"/>
  <c r="M115" i="28" s="1"/>
  <c r="O51" i="12"/>
  <c r="M27" i="8"/>
  <c r="M27" i="28" s="1"/>
  <c r="M99" i="28" s="1"/>
  <c r="M18" i="8"/>
  <c r="M18" i="28" s="1"/>
  <c r="M90" i="28" s="1"/>
  <c r="M22" i="8"/>
  <c r="M22" i="28" s="1"/>
  <c r="M94" i="28" s="1"/>
  <c r="P60" i="8"/>
  <c r="P60" i="28" s="1"/>
  <c r="P132" i="28" s="1"/>
  <c r="M51" i="8"/>
  <c r="M51" i="28" s="1"/>
  <c r="M123" i="28" s="1"/>
  <c r="X73" i="8"/>
  <c r="M71" i="8"/>
  <c r="M71" i="28" s="1"/>
  <c r="M143" i="28" s="1"/>
  <c r="M61" i="8"/>
  <c r="M61" i="28" s="1"/>
  <c r="M133" i="28" s="1"/>
  <c r="M49" i="8"/>
  <c r="M49" i="28" s="1"/>
  <c r="M121" i="28" s="1"/>
  <c r="P5" i="8"/>
  <c r="P5" i="28" s="1"/>
  <c r="P77" i="28" s="1"/>
  <c r="V50" i="9"/>
  <c r="AB50" i="9" s="1"/>
  <c r="AB50" i="7"/>
  <c r="V58" i="9"/>
  <c r="AB58" i="9" s="1"/>
  <c r="AB58" i="7"/>
  <c r="V49" i="9"/>
  <c r="AB49" i="9" s="1"/>
  <c r="AB49" i="7"/>
  <c r="V59" i="9"/>
  <c r="AB59" i="9" s="1"/>
  <c r="AB59" i="7"/>
  <c r="V17" i="9"/>
  <c r="AB17" i="9" s="1"/>
  <c r="AB17" i="7"/>
  <c r="V26" i="9"/>
  <c r="AB26" i="9" s="1"/>
  <c r="AB26" i="7"/>
  <c r="V18" i="9"/>
  <c r="AB18" i="9" s="1"/>
  <c r="AB18" i="7"/>
  <c r="V25" i="9"/>
  <c r="AB25" i="9" s="1"/>
  <c r="AB25" i="7"/>
  <c r="M60" i="8"/>
  <c r="M60" i="28" s="1"/>
  <c r="M132" i="28" s="1"/>
  <c r="Q40" i="8"/>
  <c r="Q40" i="28" s="1"/>
  <c r="Q112" i="28" s="1"/>
  <c r="M62" i="8"/>
  <c r="M62" i="28" s="1"/>
  <c r="M134" i="28" s="1"/>
  <c r="M20" i="8"/>
  <c r="M20" i="28" s="1"/>
  <c r="M92" i="28" s="1"/>
  <c r="M41" i="8"/>
  <c r="M41" i="28" s="1"/>
  <c r="M113" i="28" s="1"/>
  <c r="M35" i="8"/>
  <c r="M35" i="28" s="1"/>
  <c r="M107" i="28" s="1"/>
  <c r="M66" i="8"/>
  <c r="M66" i="28" s="1"/>
  <c r="M138" i="28" s="1"/>
  <c r="P17" i="8"/>
  <c r="P17" i="28" s="1"/>
  <c r="P89" i="28" s="1"/>
  <c r="P71" i="8"/>
  <c r="P71" i="28" s="1"/>
  <c r="P143" i="28" s="1"/>
  <c r="P11" i="8"/>
  <c r="P11" i="28" s="1"/>
  <c r="P83" i="28" s="1"/>
  <c r="P8" i="8"/>
  <c r="P8" i="28" s="1"/>
  <c r="P80" i="28" s="1"/>
  <c r="M31" i="8"/>
  <c r="M31" i="28" s="1"/>
  <c r="M103" i="28" s="1"/>
  <c r="M24" i="8"/>
  <c r="M24" i="28" s="1"/>
  <c r="M96" i="28" s="1"/>
  <c r="R13" i="8"/>
  <c r="R13" i="28" s="1"/>
  <c r="R85" i="28" s="1"/>
  <c r="R59" i="8"/>
  <c r="R59" i="28" s="1"/>
  <c r="R131" i="28" s="1"/>
  <c r="R55" i="8"/>
  <c r="R55" i="28" s="1"/>
  <c r="R127" i="28" s="1"/>
  <c r="R40" i="8"/>
  <c r="R40" i="28" s="1"/>
  <c r="R112" i="28" s="1"/>
  <c r="R31" i="8"/>
  <c r="R31" i="28" s="1"/>
  <c r="R103" i="28" s="1"/>
  <c r="R10" i="8"/>
  <c r="R10" i="28" s="1"/>
  <c r="R82" i="28" s="1"/>
  <c r="R66" i="8"/>
  <c r="R66" i="28" s="1"/>
  <c r="R138" i="28" s="1"/>
  <c r="R14" i="8"/>
  <c r="R14" i="28" s="1"/>
  <c r="R86" i="28" s="1"/>
  <c r="R53" i="8"/>
  <c r="R53" i="28" s="1"/>
  <c r="R125" i="28" s="1"/>
  <c r="R29" i="8"/>
  <c r="R29" i="28" s="1"/>
  <c r="R101" i="28" s="1"/>
  <c r="R22" i="8"/>
  <c r="R22" i="28" s="1"/>
  <c r="R94" i="28" s="1"/>
  <c r="R69" i="8"/>
  <c r="R69" i="28" s="1"/>
  <c r="R141" i="28" s="1"/>
  <c r="R33" i="8"/>
  <c r="R33" i="28" s="1"/>
  <c r="R105" i="28" s="1"/>
  <c r="R68" i="8"/>
  <c r="R68" i="28" s="1"/>
  <c r="R140" i="28" s="1"/>
  <c r="R35" i="8"/>
  <c r="R35" i="28" s="1"/>
  <c r="R107" i="28" s="1"/>
  <c r="R71" i="8"/>
  <c r="R71" i="28" s="1"/>
  <c r="R143" i="28" s="1"/>
  <c r="R21" i="8"/>
  <c r="R21" i="28" s="1"/>
  <c r="R93" i="28" s="1"/>
  <c r="R32" i="8"/>
  <c r="R32" i="28" s="1"/>
  <c r="R104" i="28" s="1"/>
  <c r="R23" i="8"/>
  <c r="R23" i="28" s="1"/>
  <c r="R95" i="28" s="1"/>
  <c r="R43" i="8"/>
  <c r="R36" i="8"/>
  <c r="R36" i="28" s="1"/>
  <c r="R108" i="28" s="1"/>
  <c r="R11" i="8"/>
  <c r="R11" i="28" s="1"/>
  <c r="R83" i="28" s="1"/>
  <c r="R12" i="8"/>
  <c r="R12" i="28" s="1"/>
  <c r="R84" i="28" s="1"/>
  <c r="R54" i="8"/>
  <c r="R54" i="28" s="1"/>
  <c r="R126" i="28" s="1"/>
  <c r="R30" i="8"/>
  <c r="R30" i="28" s="1"/>
  <c r="R102" i="28" s="1"/>
  <c r="R60" i="8"/>
  <c r="R60" i="28" s="1"/>
  <c r="R132" i="28" s="1"/>
  <c r="R65" i="8"/>
  <c r="R65" i="28" s="1"/>
  <c r="R137" i="28" s="1"/>
  <c r="R70" i="8"/>
  <c r="R70" i="28" s="1"/>
  <c r="R142" i="28" s="1"/>
  <c r="R7" i="8"/>
  <c r="R7" i="28" s="1"/>
  <c r="R79" i="28" s="1"/>
  <c r="R16" i="8"/>
  <c r="R16" i="28" s="1"/>
  <c r="R88" i="28" s="1"/>
  <c r="R37" i="8"/>
  <c r="R37" i="28" s="1"/>
  <c r="R109" i="28" s="1"/>
  <c r="R63" i="8"/>
  <c r="R63" i="28" s="1"/>
  <c r="R135" i="28" s="1"/>
  <c r="R15" i="8"/>
  <c r="R15" i="28" s="1"/>
  <c r="R87" i="28" s="1"/>
  <c r="R19" i="8"/>
  <c r="R19" i="28" s="1"/>
  <c r="R91" i="28" s="1"/>
  <c r="R41" i="8"/>
  <c r="R5" i="8"/>
  <c r="R5" i="28" s="1"/>
  <c r="R77" i="28" s="1"/>
  <c r="R6" i="8"/>
  <c r="R6" i="28" s="1"/>
  <c r="R78" i="28" s="1"/>
  <c r="R62" i="8"/>
  <c r="R62" i="28" s="1"/>
  <c r="R134" i="28" s="1"/>
  <c r="R20" i="8"/>
  <c r="R20" i="28" s="1"/>
  <c r="R92" i="28" s="1"/>
  <c r="R56" i="8"/>
  <c r="R56" i="28" s="1"/>
  <c r="R128" i="28" s="1"/>
  <c r="R50" i="8"/>
  <c r="R50" i="28" s="1"/>
  <c r="R122" i="28" s="1"/>
  <c r="R18" i="8"/>
  <c r="R18" i="28" s="1"/>
  <c r="R90" i="28" s="1"/>
  <c r="R24" i="8"/>
  <c r="R24" i="28" s="1"/>
  <c r="R96" i="28" s="1"/>
  <c r="R47" i="8"/>
  <c r="R25" i="8"/>
  <c r="R25" i="28" s="1"/>
  <c r="R97" i="28" s="1"/>
  <c r="R45" i="8"/>
  <c r="R45" i="28" s="1"/>
  <c r="R117" i="28" s="1"/>
  <c r="R61" i="8"/>
  <c r="R61" i="28" s="1"/>
  <c r="R133" i="28" s="1"/>
  <c r="R39" i="8"/>
  <c r="R39" i="28" s="1"/>
  <c r="R111" i="28" s="1"/>
  <c r="R44" i="8"/>
  <c r="R57" i="8"/>
  <c r="R57" i="28" s="1"/>
  <c r="R129" i="28" s="1"/>
  <c r="R38" i="8"/>
  <c r="R38" i="28" s="1"/>
  <c r="R110" i="28" s="1"/>
  <c r="R42" i="8"/>
  <c r="R8" i="8"/>
  <c r="R8" i="28" s="1"/>
  <c r="R80" i="28" s="1"/>
  <c r="R28" i="8"/>
  <c r="R28" i="28" s="1"/>
  <c r="R100" i="28" s="1"/>
  <c r="R49" i="8"/>
  <c r="R64" i="8"/>
  <c r="R64" i="28" s="1"/>
  <c r="R136" i="28" s="1"/>
  <c r="R67" i="8"/>
  <c r="R67" i="28" s="1"/>
  <c r="R139" i="28" s="1"/>
  <c r="R17" i="8"/>
  <c r="R17" i="28" s="1"/>
  <c r="R89" i="28" s="1"/>
  <c r="R9" i="8"/>
  <c r="R9" i="28" s="1"/>
  <c r="R81" i="28" s="1"/>
  <c r="R34" i="8"/>
  <c r="R34" i="28" s="1"/>
  <c r="R106" i="28" s="1"/>
  <c r="R27" i="8"/>
  <c r="R27" i="28" s="1"/>
  <c r="R99" i="28" s="1"/>
  <c r="R48" i="8"/>
  <c r="R51" i="8"/>
  <c r="R51" i="28" s="1"/>
  <c r="R123" i="28" s="1"/>
  <c r="R52" i="8"/>
  <c r="R52" i="28" s="1"/>
  <c r="R124" i="28" s="1"/>
  <c r="R46" i="8"/>
  <c r="R58" i="8"/>
  <c r="R58" i="28" s="1"/>
  <c r="R130" i="28" s="1"/>
  <c r="R26" i="8"/>
  <c r="R26" i="28" s="1"/>
  <c r="R98" i="28" s="1"/>
  <c r="M38" i="8"/>
  <c r="M38" i="28" s="1"/>
  <c r="M110" i="28" s="1"/>
  <c r="P45" i="8"/>
  <c r="P45" i="28" s="1"/>
  <c r="P117" i="28" s="1"/>
  <c r="U51" i="13"/>
  <c r="V53" i="9"/>
  <c r="AB53" i="9" s="1"/>
  <c r="AB53" i="7"/>
  <c r="V46" i="9"/>
  <c r="AB46" i="9" s="1"/>
  <c r="AB46" i="7"/>
  <c r="V56" i="9"/>
  <c r="AB56" i="9" s="1"/>
  <c r="AB56" i="7"/>
  <c r="V68" i="9"/>
  <c r="AB68" i="9" s="1"/>
  <c r="AB68" i="7"/>
  <c r="V5" i="9"/>
  <c r="V73" i="7"/>
  <c r="V78" i="7" s="1"/>
  <c r="V55" i="23" s="1"/>
  <c r="AB55" i="23" s="1"/>
  <c r="AB5" i="7"/>
  <c r="V30" i="9"/>
  <c r="AB30" i="9" s="1"/>
  <c r="AB30" i="7"/>
  <c r="V27" i="9"/>
  <c r="AB27" i="9" s="1"/>
  <c r="AB27" i="7"/>
  <c r="V28" i="9"/>
  <c r="AB28" i="9" s="1"/>
  <c r="AB28" i="7"/>
  <c r="P34" i="8"/>
  <c r="P34" i="28" s="1"/>
  <c r="P106" i="28" s="1"/>
  <c r="M29" i="8"/>
  <c r="M29" i="28" s="1"/>
  <c r="M101" i="28" s="1"/>
  <c r="M52" i="8"/>
  <c r="M52" i="28" s="1"/>
  <c r="M124" i="28" s="1"/>
  <c r="P48" i="8"/>
  <c r="P64" i="8"/>
  <c r="P64" i="28" s="1"/>
  <c r="P136" i="28" s="1"/>
  <c r="M33" i="8"/>
  <c r="M33" i="28" s="1"/>
  <c r="M105" i="28" s="1"/>
  <c r="M32" i="8"/>
  <c r="M32" i="28" s="1"/>
  <c r="M104" i="28" s="1"/>
  <c r="Q10" i="8"/>
  <c r="Q10" i="28" s="1"/>
  <c r="Q82" i="28" s="1"/>
  <c r="Q22" i="8"/>
  <c r="Q22" i="28" s="1"/>
  <c r="Q94" i="28" s="1"/>
  <c r="P40" i="8"/>
  <c r="P40" i="28" s="1"/>
  <c r="P112" i="28" s="1"/>
  <c r="V7" i="9"/>
  <c r="AB7" i="9" s="1"/>
  <c r="AB7" i="7"/>
  <c r="P21" i="8"/>
  <c r="P21" i="28" s="1"/>
  <c r="P93" i="28" s="1"/>
  <c r="P6" i="8"/>
  <c r="P6" i="28" s="1"/>
  <c r="P78" i="28" s="1"/>
  <c r="M6" i="8"/>
  <c r="M6" i="28" s="1"/>
  <c r="M78" i="28" s="1"/>
  <c r="Y73" i="9"/>
  <c r="S13" i="8"/>
  <c r="S46" i="8"/>
  <c r="S68" i="8"/>
  <c r="S35" i="8"/>
  <c r="S71" i="8"/>
  <c r="S21" i="8"/>
  <c r="S32" i="8"/>
  <c r="S23" i="8"/>
  <c r="S53" i="8"/>
  <c r="S51" i="8"/>
  <c r="S42" i="8"/>
  <c r="S58" i="8"/>
  <c r="S10" i="8"/>
  <c r="S11" i="8"/>
  <c r="S12" i="8"/>
  <c r="S40" i="8"/>
  <c r="S66" i="8"/>
  <c r="S14" i="8"/>
  <c r="S30" i="8"/>
  <c r="S62" i="8"/>
  <c r="S20" i="8"/>
  <c r="S59" i="8"/>
  <c r="S27" i="8"/>
  <c r="S57" i="8"/>
  <c r="S69" i="8"/>
  <c r="S33" i="8"/>
  <c r="S70" i="8"/>
  <c r="S7" i="8"/>
  <c r="S16" i="8"/>
  <c r="S37" i="8"/>
  <c r="S63" i="8"/>
  <c r="S15" i="8"/>
  <c r="S19" i="8"/>
  <c r="S41" i="8"/>
  <c r="S5" i="8"/>
  <c r="S6" i="8"/>
  <c r="S38" i="8"/>
  <c r="S36" i="8"/>
  <c r="S55" i="8"/>
  <c r="S50" i="8"/>
  <c r="S47" i="8"/>
  <c r="S54" i="8"/>
  <c r="S25" i="8"/>
  <c r="S45" i="8"/>
  <c r="S60" i="8"/>
  <c r="S43" i="8"/>
  <c r="S29" i="8"/>
  <c r="S8" i="8"/>
  <c r="S28" i="8"/>
  <c r="S49" i="8"/>
  <c r="S64" i="8"/>
  <c r="S67" i="8"/>
  <c r="S17" i="8"/>
  <c r="S18" i="8"/>
  <c r="S22" i="8"/>
  <c r="S24" i="8"/>
  <c r="S31" i="8"/>
  <c r="S56" i="8"/>
  <c r="S9" i="8"/>
  <c r="S44" i="8"/>
  <c r="S34" i="8"/>
  <c r="S61" i="8"/>
  <c r="S65" i="8"/>
  <c r="S39" i="8"/>
  <c r="S48" i="8"/>
  <c r="S52" i="8"/>
  <c r="S26" i="8"/>
  <c r="M17" i="8"/>
  <c r="M17" i="28" s="1"/>
  <c r="M89" i="28" s="1"/>
  <c r="P51" i="8"/>
  <c r="P51" i="28" s="1"/>
  <c r="P123" i="28" s="1"/>
  <c r="V67" i="9"/>
  <c r="AB67" i="9" s="1"/>
  <c r="AB67" i="7"/>
  <c r="V61" i="9"/>
  <c r="AB61" i="9" s="1"/>
  <c r="AB61" i="7"/>
  <c r="V47" i="9"/>
  <c r="AB47" i="9" s="1"/>
  <c r="AB47" i="7"/>
  <c r="V6" i="9"/>
  <c r="AB6" i="9" s="1"/>
  <c r="AB6" i="7"/>
  <c r="V8" i="9"/>
  <c r="AB8" i="9" s="1"/>
  <c r="AB8" i="7"/>
  <c r="V34" i="9"/>
  <c r="AB34" i="9" s="1"/>
  <c r="AB34" i="7"/>
  <c r="V31" i="9"/>
  <c r="AB31" i="9" s="1"/>
  <c r="AB31" i="7"/>
  <c r="V32" i="9"/>
  <c r="AB32" i="9" s="1"/>
  <c r="AB32" i="7"/>
  <c r="L23" i="11"/>
  <c r="L17" i="11"/>
  <c r="L15" i="11"/>
  <c r="L13" i="11"/>
  <c r="L11" i="11"/>
  <c r="L9" i="11"/>
  <c r="L18" i="11"/>
  <c r="L8" i="11"/>
  <c r="L10" i="11"/>
  <c r="L7" i="11"/>
  <c r="L16" i="11"/>
  <c r="L6" i="11"/>
  <c r="L12" i="11"/>
  <c r="L5" i="11"/>
  <c r="L14" i="11"/>
  <c r="L36" i="11"/>
  <c r="L32" i="11"/>
  <c r="L19" i="11"/>
  <c r="L21" i="11"/>
  <c r="L44" i="11"/>
  <c r="L30" i="11"/>
  <c r="L22" i="11"/>
  <c r="L40" i="11"/>
  <c r="L38" i="11"/>
  <c r="L31" i="11"/>
  <c r="L48" i="11"/>
  <c r="L26" i="11"/>
  <c r="L46" i="11"/>
  <c r="L39" i="11"/>
  <c r="L34" i="11"/>
  <c r="L29" i="11"/>
  <c r="L47" i="11"/>
  <c r="L42" i="11"/>
  <c r="L25" i="11"/>
  <c r="L27" i="11"/>
  <c r="L37" i="11"/>
  <c r="L41" i="11"/>
  <c r="L43" i="11"/>
  <c r="L33" i="11"/>
  <c r="L49" i="11"/>
  <c r="L28" i="11"/>
  <c r="L24" i="11"/>
  <c r="L45" i="11"/>
  <c r="L20" i="11"/>
  <c r="L35" i="11"/>
  <c r="Q52" i="8"/>
  <c r="Q52" i="28" s="1"/>
  <c r="Q124" i="28" s="1"/>
  <c r="P38" i="8"/>
  <c r="P38" i="28" s="1"/>
  <c r="P110" i="28" s="1"/>
  <c r="Q48" i="8"/>
  <c r="Q48" i="28" s="1"/>
  <c r="Q120" i="28" s="1"/>
  <c r="T77" i="6"/>
  <c r="T75" i="9"/>
  <c r="T75" i="8"/>
  <c r="T75" i="7"/>
  <c r="V51" i="9"/>
  <c r="AB51" i="9" s="1"/>
  <c r="AB51" i="7"/>
  <c r="V45" i="9"/>
  <c r="AB45" i="9" s="1"/>
  <c r="AB45" i="7"/>
  <c r="W5" i="13"/>
  <c r="P62" i="8"/>
  <c r="P62" i="28" s="1"/>
  <c r="P134" i="28" s="1"/>
  <c r="M13" i="8"/>
  <c r="M13" i="28" s="1"/>
  <c r="M85" i="28" s="1"/>
  <c r="M65" i="8"/>
  <c r="M65" i="28" s="1"/>
  <c r="M137" i="28" s="1"/>
  <c r="P27" i="8"/>
  <c r="P27" i="28" s="1"/>
  <c r="P99" i="28" s="1"/>
  <c r="M58" i="8"/>
  <c r="M58" i="28" s="1"/>
  <c r="M130" i="28" s="1"/>
  <c r="M9" i="8"/>
  <c r="M9" i="28" s="1"/>
  <c r="M81" i="28" s="1"/>
  <c r="M46" i="8"/>
  <c r="M46" i="28" s="1"/>
  <c r="M118" i="28" s="1"/>
  <c r="M63" i="8"/>
  <c r="M63" i="28" s="1"/>
  <c r="M135" i="28" s="1"/>
  <c r="P43" i="8"/>
  <c r="P28" i="8"/>
  <c r="P28" i="28" s="1"/>
  <c r="P100" i="28" s="1"/>
  <c r="P57" i="8"/>
  <c r="P57" i="28" s="1"/>
  <c r="P129" i="28" s="1"/>
  <c r="M67" i="8"/>
  <c r="M67" i="28" s="1"/>
  <c r="M139" i="28" s="1"/>
  <c r="M28" i="8"/>
  <c r="M28" i="28" s="1"/>
  <c r="M100" i="28" s="1"/>
  <c r="M73" i="9"/>
  <c r="P49" i="8"/>
  <c r="P50" i="8"/>
  <c r="P50" i="28" s="1"/>
  <c r="P122" i="28" s="1"/>
  <c r="P22" i="8"/>
  <c r="P22" i="28" s="1"/>
  <c r="P94" i="28" s="1"/>
  <c r="U51" i="12"/>
  <c r="P51" i="13"/>
  <c r="V71" i="8"/>
  <c r="AB71" i="8" s="1"/>
  <c r="V71" i="9"/>
  <c r="AB71" i="9" s="1"/>
  <c r="AB71" i="7"/>
  <c r="V52" i="8"/>
  <c r="AB52" i="8" s="1"/>
  <c r="V52" i="9"/>
  <c r="AB52" i="9" s="1"/>
  <c r="AB52" i="7"/>
  <c r="V41" i="9"/>
  <c r="AB41" i="9" s="1"/>
  <c r="AB41" i="7"/>
  <c r="V9" i="9"/>
  <c r="AB9" i="9" s="1"/>
  <c r="AB9" i="7"/>
  <c r="V14" i="9"/>
  <c r="AB14" i="9" s="1"/>
  <c r="AB14" i="7"/>
  <c r="V38" i="8"/>
  <c r="AB38" i="8" s="1"/>
  <c r="V38" i="9"/>
  <c r="AB38" i="9" s="1"/>
  <c r="AB38" i="7"/>
  <c r="V35" i="9"/>
  <c r="AB35" i="9" s="1"/>
  <c r="AB35" i="7"/>
  <c r="V36" i="8"/>
  <c r="AB36" i="8" s="1"/>
  <c r="V36" i="9"/>
  <c r="AB36" i="9" s="1"/>
  <c r="AB36" i="7"/>
  <c r="P66" i="8"/>
  <c r="P66" i="28" s="1"/>
  <c r="P138" i="28" s="1"/>
  <c r="L55" i="12"/>
  <c r="P31" i="8"/>
  <c r="P31" i="28" s="1"/>
  <c r="P103" i="28" s="1"/>
  <c r="P16" i="8"/>
  <c r="P16" i="28" s="1"/>
  <c r="P88" i="28" s="1"/>
  <c r="Q19" i="8"/>
  <c r="Q19" i="28" s="1"/>
  <c r="Q91" i="28" s="1"/>
  <c r="Q37" i="8"/>
  <c r="Q37" i="28" s="1"/>
  <c r="Q109" i="28" s="1"/>
  <c r="O51" i="13"/>
  <c r="V65" i="9"/>
  <c r="AB65" i="9" s="1"/>
  <c r="AB65" i="7"/>
  <c r="V16" i="8"/>
  <c r="AB16" i="8" s="1"/>
  <c r="V16" i="9"/>
  <c r="AB16" i="9" s="1"/>
  <c r="AB16" i="7"/>
  <c r="P30" i="8"/>
  <c r="P30" i="28" s="1"/>
  <c r="P102" i="28" s="1"/>
  <c r="AH73" i="8"/>
  <c r="U73" i="8"/>
  <c r="P29" i="8"/>
  <c r="P29" i="28" s="1"/>
  <c r="P101" i="28" s="1"/>
  <c r="P67" i="8"/>
  <c r="P67" i="28" s="1"/>
  <c r="P139" i="28" s="1"/>
  <c r="M53" i="8"/>
  <c r="M53" i="28" s="1"/>
  <c r="M125" i="28" s="1"/>
  <c r="AD5" i="8"/>
  <c r="AC73" i="8"/>
  <c r="Y73" i="8"/>
  <c r="P26" i="8"/>
  <c r="P26" i="28" s="1"/>
  <c r="P98" i="28" s="1"/>
  <c r="P69" i="8"/>
  <c r="P69" i="28" s="1"/>
  <c r="P141" i="28" s="1"/>
  <c r="Q53" i="13"/>
  <c r="Q53" i="12"/>
  <c r="Q53" i="11"/>
  <c r="Q53" i="10"/>
  <c r="M10" i="8"/>
  <c r="M10" i="28" s="1"/>
  <c r="M82" i="28" s="1"/>
  <c r="M42" i="8"/>
  <c r="M42" i="28" s="1"/>
  <c r="M114" i="28" s="1"/>
  <c r="P7" i="8"/>
  <c r="P7" i="28" s="1"/>
  <c r="P79" i="28" s="1"/>
  <c r="M23" i="8"/>
  <c r="M23" i="28" s="1"/>
  <c r="M95" i="28" s="1"/>
  <c r="M47" i="8"/>
  <c r="M47" i="28" s="1"/>
  <c r="M119" i="28" s="1"/>
  <c r="P56" i="8"/>
  <c r="P56" i="28" s="1"/>
  <c r="P128" i="28" s="1"/>
  <c r="M39" i="8"/>
  <c r="M39" i="28" s="1"/>
  <c r="M111" i="28" s="1"/>
  <c r="M48" i="8"/>
  <c r="M48" i="28" s="1"/>
  <c r="M120" i="28" s="1"/>
  <c r="M68" i="8"/>
  <c r="M68" i="28" s="1"/>
  <c r="M140" i="28" s="1"/>
  <c r="P51" i="12"/>
  <c r="V43" i="8"/>
  <c r="AB43" i="8" s="1"/>
  <c r="V43" i="9"/>
  <c r="AB43" i="9" s="1"/>
  <c r="AB43" i="7"/>
  <c r="V54" i="8"/>
  <c r="V54" i="9"/>
  <c r="AB54" i="9" s="1"/>
  <c r="AB54" i="7"/>
  <c r="V63" i="9"/>
  <c r="AB63" i="9" s="1"/>
  <c r="AB63" i="7"/>
  <c r="V48" i="8"/>
  <c r="AB48" i="8" s="1"/>
  <c r="V48" i="9"/>
  <c r="AB48" i="9" s="1"/>
  <c r="AB48" i="7"/>
  <c r="V33" i="8"/>
  <c r="AB33" i="8" s="1"/>
  <c r="V33" i="9"/>
  <c r="AB33" i="9" s="1"/>
  <c r="AB33" i="7"/>
  <c r="V29" i="8"/>
  <c r="AB29" i="8" s="1"/>
  <c r="V29" i="9"/>
  <c r="AB29" i="9" s="1"/>
  <c r="AB29" i="7"/>
  <c r="V11" i="8"/>
  <c r="AB11" i="8" s="1"/>
  <c r="V11" i="9"/>
  <c r="AB11" i="9" s="1"/>
  <c r="AB11" i="7"/>
  <c r="V39" i="8"/>
  <c r="AB39" i="8" s="1"/>
  <c r="V39" i="9"/>
  <c r="AB39" i="9" s="1"/>
  <c r="AB39" i="7"/>
  <c r="V40" i="8"/>
  <c r="AB40" i="8" s="1"/>
  <c r="V40" i="9"/>
  <c r="AB40" i="9" s="1"/>
  <c r="AB40" i="7"/>
  <c r="Q29" i="8"/>
  <c r="Q29" i="28" s="1"/>
  <c r="Q101" i="28" s="1"/>
  <c r="P54" i="8"/>
  <c r="P54" i="28" s="1"/>
  <c r="P126" i="28" s="1"/>
  <c r="P58" i="8"/>
  <c r="P58" i="28" s="1"/>
  <c r="P130" i="28" s="1"/>
  <c r="V57" i="9"/>
  <c r="AB57" i="9" s="1"/>
  <c r="AB57" i="7"/>
  <c r="AM78" i="6"/>
  <c r="AM76" i="9"/>
  <c r="AM76" i="8"/>
  <c r="AM76" i="7"/>
  <c r="T78" i="6"/>
  <c r="T76" i="9"/>
  <c r="T76" i="8"/>
  <c r="T76" i="7"/>
  <c r="M5" i="8"/>
  <c r="M5" i="28" s="1"/>
  <c r="M77" i="28" s="1"/>
  <c r="P44" i="8"/>
  <c r="P12" i="8"/>
  <c r="P12" i="28" s="1"/>
  <c r="P84" i="28" s="1"/>
  <c r="M57" i="8"/>
  <c r="M57" i="28" s="1"/>
  <c r="M129" i="28" s="1"/>
  <c r="P15" i="8"/>
  <c r="P15" i="28" s="1"/>
  <c r="P87" i="28" s="1"/>
  <c r="P10" i="8"/>
  <c r="P10" i="28" s="1"/>
  <c r="P82" i="28" s="1"/>
  <c r="M51" i="13"/>
  <c r="P14" i="8"/>
  <c r="P14" i="28" s="1"/>
  <c r="P86" i="28" s="1"/>
  <c r="P65" i="8"/>
  <c r="P65" i="28" s="1"/>
  <c r="P137" i="28" s="1"/>
  <c r="M69" i="8"/>
  <c r="M69" i="28" s="1"/>
  <c r="M141" i="28" s="1"/>
  <c r="P35" i="8"/>
  <c r="P35" i="28" s="1"/>
  <c r="P107" i="28" s="1"/>
  <c r="P19" i="8"/>
  <c r="P19" i="28" s="1"/>
  <c r="P91" i="28" s="1"/>
  <c r="V66" i="8"/>
  <c r="AB66" i="8" s="1"/>
  <c r="V66" i="9"/>
  <c r="AB66" i="9" s="1"/>
  <c r="AB66" i="7"/>
  <c r="V42" i="8"/>
  <c r="AB42" i="8" s="1"/>
  <c r="V42" i="9"/>
  <c r="AB42" i="9" s="1"/>
  <c r="AB42" i="7"/>
  <c r="V44" i="8"/>
  <c r="AB44" i="8" s="1"/>
  <c r="V44" i="9"/>
  <c r="AB44" i="9" s="1"/>
  <c r="AB44" i="7"/>
  <c r="V70" i="8"/>
  <c r="AB70" i="8" s="1"/>
  <c r="V70" i="9"/>
  <c r="AB70" i="9" s="1"/>
  <c r="AB70" i="7"/>
  <c r="V20" i="8"/>
  <c r="AB20" i="8" s="1"/>
  <c r="V20" i="9"/>
  <c r="AB20" i="9" s="1"/>
  <c r="AB20" i="7"/>
  <c r="V37" i="8"/>
  <c r="AB37" i="8" s="1"/>
  <c r="V37" i="9"/>
  <c r="AB37" i="9" s="1"/>
  <c r="AB37" i="7"/>
  <c r="V15" i="8"/>
  <c r="AB15" i="8" s="1"/>
  <c r="V15" i="9"/>
  <c r="AB15" i="9" s="1"/>
  <c r="AB15" i="7"/>
  <c r="V12" i="9"/>
  <c r="AB12" i="9" s="1"/>
  <c r="AB12" i="7"/>
  <c r="V22" i="8"/>
  <c r="AB22" i="8" s="1"/>
  <c r="V22" i="9"/>
  <c r="AB22" i="9" s="1"/>
  <c r="AB22" i="7"/>
  <c r="M14" i="8"/>
  <c r="M14" i="28" s="1"/>
  <c r="M86" i="28" s="1"/>
  <c r="P42" i="8"/>
  <c r="P53" i="8"/>
  <c r="P53" i="28" s="1"/>
  <c r="P125" i="28" s="1"/>
  <c r="M16" i="8"/>
  <c r="M16" i="28" s="1"/>
  <c r="M88" i="28" s="1"/>
  <c r="F46" i="5"/>
  <c r="AB54" i="24" s="1"/>
  <c r="Q54" i="13"/>
  <c r="Q54" i="12"/>
  <c r="Q54" i="11"/>
  <c r="Q54" i="10"/>
  <c r="U54" i="28" l="1"/>
  <c r="U126" i="28" s="1"/>
  <c r="C7" i="31"/>
  <c r="C13" i="31" s="1"/>
  <c r="W51" i="24"/>
  <c r="E7" i="31"/>
  <c r="E13" i="31" s="1"/>
  <c r="J7" i="31"/>
  <c r="J13" i="31" s="1"/>
  <c r="L7" i="31"/>
  <c r="L13" i="31" s="1"/>
  <c r="W51" i="12"/>
  <c r="F7" i="31"/>
  <c r="F13" i="31" s="1"/>
  <c r="Q9" i="30"/>
  <c r="Q15" i="30" s="1"/>
  <c r="AB54" i="8"/>
  <c r="AD73" i="8"/>
  <c r="V35" i="8"/>
  <c r="AB35" i="8" s="1"/>
  <c r="E15" i="30"/>
  <c r="E14" i="30"/>
  <c r="L20" i="24"/>
  <c r="Q20" i="24" s="1"/>
  <c r="L37" i="24"/>
  <c r="Q37" i="24" s="1"/>
  <c r="L46" i="24"/>
  <c r="Q46" i="24" s="1"/>
  <c r="L44" i="24"/>
  <c r="Q44" i="24" s="1"/>
  <c r="L6" i="24"/>
  <c r="Q6" i="24" s="1"/>
  <c r="L13" i="24"/>
  <c r="Q13" i="24" s="1"/>
  <c r="H9" i="30"/>
  <c r="H11" i="30"/>
  <c r="H7" i="30"/>
  <c r="H13" i="30" s="1"/>
  <c r="U16" i="28"/>
  <c r="U88" i="28" s="1"/>
  <c r="V15" i="23"/>
  <c r="AB15" i="23" s="1"/>
  <c r="V44" i="23"/>
  <c r="AB44" i="23" s="1"/>
  <c r="U39" i="28"/>
  <c r="U111" i="28" s="1"/>
  <c r="U48" i="28"/>
  <c r="U120" i="28" s="1"/>
  <c r="V35" i="23"/>
  <c r="AB35" i="23" s="1"/>
  <c r="V41" i="23"/>
  <c r="AB41" i="23" s="1"/>
  <c r="T15" i="30"/>
  <c r="T14" i="30"/>
  <c r="M15" i="30"/>
  <c r="M14" i="30"/>
  <c r="V18" i="23"/>
  <c r="AB18" i="23" s="1"/>
  <c r="V49" i="23"/>
  <c r="AB49" i="23" s="1"/>
  <c r="V19" i="23"/>
  <c r="AB19" i="23" s="1"/>
  <c r="V62" i="23"/>
  <c r="AB62" i="23" s="1"/>
  <c r="B15" i="30"/>
  <c r="B14" i="30"/>
  <c r="L45" i="24"/>
  <c r="Q45" i="24" s="1"/>
  <c r="L27" i="24"/>
  <c r="Q27" i="24" s="1"/>
  <c r="L26" i="24"/>
  <c r="Q26" i="24" s="1"/>
  <c r="L21" i="24"/>
  <c r="Q21" i="24" s="1"/>
  <c r="L16" i="24"/>
  <c r="Q16" i="24" s="1"/>
  <c r="L15" i="24"/>
  <c r="Q15" i="24" s="1"/>
  <c r="F9" i="30"/>
  <c r="F7" i="30"/>
  <c r="F13" i="30" s="1"/>
  <c r="F11" i="30"/>
  <c r="V21" i="23"/>
  <c r="AB21" i="23" s="1"/>
  <c r="V64" i="23"/>
  <c r="AB64" i="23" s="1"/>
  <c r="U15" i="28"/>
  <c r="U87" i="28" s="1"/>
  <c r="U44" i="28"/>
  <c r="U116" i="28" s="1"/>
  <c r="V11" i="23"/>
  <c r="AB11" i="23" s="1"/>
  <c r="V63" i="23"/>
  <c r="AB63" i="23" s="1"/>
  <c r="U35" i="28"/>
  <c r="U107" i="28" s="1"/>
  <c r="V31" i="23"/>
  <c r="AB31" i="23" s="1"/>
  <c r="V47" i="23"/>
  <c r="AB47" i="23" s="1"/>
  <c r="M73" i="23"/>
  <c r="V28" i="23"/>
  <c r="AB28" i="23" s="1"/>
  <c r="V68" i="23"/>
  <c r="AB68" i="23" s="1"/>
  <c r="C9" i="30"/>
  <c r="C7" i="30"/>
  <c r="C13" i="30" s="1"/>
  <c r="C11" i="30"/>
  <c r="L24" i="24"/>
  <c r="Q24" i="24" s="1"/>
  <c r="L25" i="24"/>
  <c r="Q25" i="24" s="1"/>
  <c r="L48" i="24"/>
  <c r="Q48" i="24" s="1"/>
  <c r="L19" i="24"/>
  <c r="Q19" i="24" s="1"/>
  <c r="L7" i="24"/>
  <c r="Q7" i="24" s="1"/>
  <c r="L17" i="24"/>
  <c r="Q17" i="24" s="1"/>
  <c r="G9" i="30"/>
  <c r="G7" i="30"/>
  <c r="G13" i="30" s="1"/>
  <c r="G11" i="30"/>
  <c r="V37" i="23"/>
  <c r="AB37" i="23" s="1"/>
  <c r="V42" i="23"/>
  <c r="AB42" i="23" s="1"/>
  <c r="U11" i="28"/>
  <c r="U83" i="28" s="1"/>
  <c r="R73" i="23"/>
  <c r="S78" i="23" s="1"/>
  <c r="V38" i="23"/>
  <c r="AB38" i="23" s="1"/>
  <c r="V52" i="23"/>
  <c r="AB52" i="23" s="1"/>
  <c r="V26" i="23"/>
  <c r="AB26" i="23" s="1"/>
  <c r="V58" i="23"/>
  <c r="AB58" i="23" s="1"/>
  <c r="V24" i="23"/>
  <c r="AB24" i="23" s="1"/>
  <c r="L10" i="24"/>
  <c r="Q10" i="24" s="1"/>
  <c r="V13" i="8"/>
  <c r="V13" i="23"/>
  <c r="AB13" i="23" s="1"/>
  <c r="V45" i="23"/>
  <c r="AB45" i="23" s="1"/>
  <c r="V51" i="23"/>
  <c r="AB51" i="23" s="1"/>
  <c r="U37" i="28"/>
  <c r="U109" i="28" s="1"/>
  <c r="U42" i="28"/>
  <c r="U114" i="28" s="1"/>
  <c r="S73" i="23"/>
  <c r="V29" i="23"/>
  <c r="AB29" i="23" s="1"/>
  <c r="V54" i="23"/>
  <c r="AB54" i="23" s="1"/>
  <c r="U38" i="28"/>
  <c r="U110" i="28" s="1"/>
  <c r="U52" i="28"/>
  <c r="U124" i="28" s="1"/>
  <c r="V34" i="23"/>
  <c r="AB34" i="23" s="1"/>
  <c r="V61" i="23"/>
  <c r="AB61" i="23" s="1"/>
  <c r="E7" i="30"/>
  <c r="E13" i="30" s="1"/>
  <c r="J15" i="30"/>
  <c r="J14" i="30"/>
  <c r="V27" i="23"/>
  <c r="AB27" i="23" s="1"/>
  <c r="V56" i="23"/>
  <c r="AB56" i="23" s="1"/>
  <c r="P73" i="23"/>
  <c r="L28" i="24"/>
  <c r="Q28" i="24" s="1"/>
  <c r="L31" i="24"/>
  <c r="Q31" i="24" s="1"/>
  <c r="L10" i="13"/>
  <c r="Q10" i="13" s="1"/>
  <c r="V14" i="8"/>
  <c r="L49" i="24"/>
  <c r="Q49" i="24" s="1"/>
  <c r="L47" i="24"/>
  <c r="Q47" i="24" s="1"/>
  <c r="L38" i="24"/>
  <c r="Q38" i="24" s="1"/>
  <c r="L36" i="24"/>
  <c r="Q36" i="24" s="1"/>
  <c r="L8" i="24"/>
  <c r="Q8" i="24" s="1"/>
  <c r="V8" i="8"/>
  <c r="N15" i="30"/>
  <c r="N14" i="30"/>
  <c r="V22" i="23"/>
  <c r="AB22" i="23" s="1"/>
  <c r="V20" i="23"/>
  <c r="AB20" i="23" s="1"/>
  <c r="V66" i="23"/>
  <c r="AB66" i="23" s="1"/>
  <c r="U29" i="28"/>
  <c r="U101" i="28" s="1"/>
  <c r="V14" i="23"/>
  <c r="AB14" i="23" s="1"/>
  <c r="V71" i="23"/>
  <c r="AB71" i="23" s="1"/>
  <c r="E11" i="30"/>
  <c r="V17" i="23"/>
  <c r="AB17" i="23" s="1"/>
  <c r="V50" i="23"/>
  <c r="AB50" i="23" s="1"/>
  <c r="N11" i="30"/>
  <c r="V23" i="23"/>
  <c r="AB23" i="23" s="1"/>
  <c r="V60" i="23"/>
  <c r="AB60" i="23" s="1"/>
  <c r="L42" i="24"/>
  <c r="Q42" i="24" s="1"/>
  <c r="L32" i="24"/>
  <c r="Q32" i="24" s="1"/>
  <c r="L23" i="24"/>
  <c r="Q23" i="24" s="1"/>
  <c r="V57" i="8"/>
  <c r="V45" i="8"/>
  <c r="L33" i="24"/>
  <c r="Q33" i="24" s="1"/>
  <c r="L29" i="24"/>
  <c r="Q29" i="24" s="1"/>
  <c r="L40" i="24"/>
  <c r="Q40" i="24" s="1"/>
  <c r="L14" i="24"/>
  <c r="Q14" i="24" s="1"/>
  <c r="L18" i="24"/>
  <c r="Q18" i="24" s="1"/>
  <c r="V24" i="8"/>
  <c r="V7" i="23"/>
  <c r="AB7" i="23" s="1"/>
  <c r="V57" i="23"/>
  <c r="AB57" i="23" s="1"/>
  <c r="U22" i="28"/>
  <c r="U94" i="28" s="1"/>
  <c r="U20" i="28"/>
  <c r="U92" i="28" s="1"/>
  <c r="U66" i="28"/>
  <c r="U138" i="28" s="1"/>
  <c r="V40" i="23"/>
  <c r="AB40" i="23" s="1"/>
  <c r="V33" i="23"/>
  <c r="AB33" i="23" s="1"/>
  <c r="V43" i="23"/>
  <c r="AB43" i="23" s="1"/>
  <c r="U71" i="28"/>
  <c r="U143" i="28" s="1"/>
  <c r="V8" i="23"/>
  <c r="AB8" i="23" s="1"/>
  <c r="V67" i="23"/>
  <c r="AB67" i="23" s="1"/>
  <c r="V30" i="23"/>
  <c r="AB30" i="23" s="1"/>
  <c r="V46" i="23"/>
  <c r="AB46" i="23" s="1"/>
  <c r="Q7" i="30"/>
  <c r="Q13" i="30" s="1"/>
  <c r="N7" i="30"/>
  <c r="N13" i="30" s="1"/>
  <c r="I7" i="31"/>
  <c r="I13" i="31" s="1"/>
  <c r="L43" i="24"/>
  <c r="Q43" i="24" s="1"/>
  <c r="L34" i="24"/>
  <c r="Q34" i="24" s="1"/>
  <c r="L22" i="24"/>
  <c r="Q22" i="24" s="1"/>
  <c r="L5" i="24"/>
  <c r="L9" i="24"/>
  <c r="Q9" i="24" s="1"/>
  <c r="AM74" i="8"/>
  <c r="AM74" i="23"/>
  <c r="V12" i="23"/>
  <c r="AB12" i="23" s="1"/>
  <c r="V70" i="23"/>
  <c r="AB70" i="23" s="1"/>
  <c r="U40" i="28"/>
  <c r="U112" i="28" s="1"/>
  <c r="U33" i="28"/>
  <c r="U105" i="28" s="1"/>
  <c r="U43" i="28"/>
  <c r="U115" i="28" s="1"/>
  <c r="V36" i="23"/>
  <c r="AB36" i="23" s="1"/>
  <c r="V9" i="23"/>
  <c r="AB9" i="23" s="1"/>
  <c r="V25" i="23"/>
  <c r="AB25" i="23" s="1"/>
  <c r="V59" i="23"/>
  <c r="AB59" i="23" s="1"/>
  <c r="Q11" i="30"/>
  <c r="V10" i="23"/>
  <c r="AB10" i="23" s="1"/>
  <c r="V69" i="23"/>
  <c r="AB69" i="23" s="1"/>
  <c r="L15" i="30"/>
  <c r="L14" i="30"/>
  <c r="I11" i="31"/>
  <c r="L35" i="24"/>
  <c r="Q35" i="24" s="1"/>
  <c r="L41" i="24"/>
  <c r="Q41" i="24" s="1"/>
  <c r="L39" i="24"/>
  <c r="Q39" i="24" s="1"/>
  <c r="L30" i="24"/>
  <c r="Q30" i="24" s="1"/>
  <c r="L12" i="24"/>
  <c r="Q12" i="24" s="1"/>
  <c r="L11" i="24"/>
  <c r="Q11" i="24" s="1"/>
  <c r="V6" i="8"/>
  <c r="V68" i="8"/>
  <c r="V16" i="23"/>
  <c r="AB16" i="23" s="1"/>
  <c r="V65" i="23"/>
  <c r="AB65" i="23" s="1"/>
  <c r="U70" i="28"/>
  <c r="U142" i="28" s="1"/>
  <c r="U15" i="30"/>
  <c r="U14" i="30"/>
  <c r="V39" i="23"/>
  <c r="AB39" i="23" s="1"/>
  <c r="V48" i="23"/>
  <c r="AB48" i="23" s="1"/>
  <c r="U36" i="28"/>
  <c r="U108" i="28" s="1"/>
  <c r="V32" i="23"/>
  <c r="AB32" i="23" s="1"/>
  <c r="V6" i="23"/>
  <c r="AB6" i="23" s="1"/>
  <c r="V5" i="23"/>
  <c r="V53" i="23"/>
  <c r="AB53" i="23" s="1"/>
  <c r="Q73" i="23"/>
  <c r="AQ31" i="23"/>
  <c r="AQ21" i="23"/>
  <c r="S73" i="8"/>
  <c r="W51" i="13"/>
  <c r="Q73" i="8"/>
  <c r="V64" i="8"/>
  <c r="V28" i="8"/>
  <c r="V18" i="8"/>
  <c r="Q39" i="11"/>
  <c r="AB39" i="11" s="1"/>
  <c r="L39" i="12"/>
  <c r="Q39" i="12" s="1"/>
  <c r="L39" i="13"/>
  <c r="Q39" i="13" s="1"/>
  <c r="M73" i="8"/>
  <c r="V41" i="8"/>
  <c r="Q20" i="11"/>
  <c r="AB20" i="11" s="1"/>
  <c r="L20" i="12"/>
  <c r="Q20" i="12" s="1"/>
  <c r="L20" i="13"/>
  <c r="Q20" i="13" s="1"/>
  <c r="Q37" i="11"/>
  <c r="AB37" i="11" s="1"/>
  <c r="L37" i="12"/>
  <c r="Q37" i="12" s="1"/>
  <c r="L37" i="13"/>
  <c r="Q37" i="13" s="1"/>
  <c r="Q46" i="11"/>
  <c r="AB46" i="11" s="1"/>
  <c r="L46" i="12"/>
  <c r="Q46" i="12" s="1"/>
  <c r="L46" i="13"/>
  <c r="Q46" i="13" s="1"/>
  <c r="Q44" i="11"/>
  <c r="AB44" i="11" s="1"/>
  <c r="L44" i="12"/>
  <c r="Q44" i="12" s="1"/>
  <c r="L44" i="13"/>
  <c r="Q44" i="13" s="1"/>
  <c r="Q6" i="11"/>
  <c r="AB6" i="11" s="1"/>
  <c r="L6" i="12"/>
  <c r="Q6" i="12" s="1"/>
  <c r="L6" i="13"/>
  <c r="Q6" i="13" s="1"/>
  <c r="Q13" i="11"/>
  <c r="AB13" i="11" s="1"/>
  <c r="L13" i="12"/>
  <c r="Q13" i="12" s="1"/>
  <c r="L13" i="13"/>
  <c r="Q13" i="13" s="1"/>
  <c r="V61" i="8"/>
  <c r="V30" i="8"/>
  <c r="V53" i="8"/>
  <c r="V59" i="8"/>
  <c r="V62" i="8"/>
  <c r="Q30" i="11"/>
  <c r="AB30" i="11" s="1"/>
  <c r="L30" i="12"/>
  <c r="Q30" i="12" s="1"/>
  <c r="L30" i="13"/>
  <c r="Q30" i="13" s="1"/>
  <c r="Q45" i="11"/>
  <c r="AB45" i="11" s="1"/>
  <c r="L45" i="12"/>
  <c r="Q45" i="12" s="1"/>
  <c r="L45" i="13"/>
  <c r="Q45" i="13" s="1"/>
  <c r="Q27" i="11"/>
  <c r="AB27" i="11" s="1"/>
  <c r="L27" i="12"/>
  <c r="Q27" i="12" s="1"/>
  <c r="L27" i="13"/>
  <c r="Q27" i="13" s="1"/>
  <c r="Q26" i="11"/>
  <c r="AB26" i="11" s="1"/>
  <c r="L26" i="12"/>
  <c r="Q26" i="12" s="1"/>
  <c r="L26" i="13"/>
  <c r="Q26" i="13" s="1"/>
  <c r="Q21" i="11"/>
  <c r="AB21" i="11" s="1"/>
  <c r="L21" i="12"/>
  <c r="Q21" i="12" s="1"/>
  <c r="L21" i="13"/>
  <c r="Q21" i="13" s="1"/>
  <c r="Q16" i="11"/>
  <c r="AB16" i="11" s="1"/>
  <c r="L16" i="12"/>
  <c r="Q16" i="12" s="1"/>
  <c r="L16" i="13"/>
  <c r="Q16" i="13" s="1"/>
  <c r="Q15" i="11"/>
  <c r="AB15" i="11" s="1"/>
  <c r="L15" i="12"/>
  <c r="Q15" i="12" s="1"/>
  <c r="L15" i="13"/>
  <c r="Q15" i="13" s="1"/>
  <c r="V31" i="8"/>
  <c r="V50" i="8"/>
  <c r="V69" i="8"/>
  <c r="AB73" i="7"/>
  <c r="V56" i="8"/>
  <c r="V26" i="8"/>
  <c r="P73" i="8"/>
  <c r="V23" i="8"/>
  <c r="Q35" i="11"/>
  <c r="AB35" i="11" s="1"/>
  <c r="L35" i="12"/>
  <c r="Q35" i="12" s="1"/>
  <c r="L35" i="13"/>
  <c r="Q35" i="13" s="1"/>
  <c r="Q11" i="11"/>
  <c r="AB11" i="11" s="1"/>
  <c r="L11" i="12"/>
  <c r="Q11" i="12" s="1"/>
  <c r="L11" i="13"/>
  <c r="Q11" i="13" s="1"/>
  <c r="Q24" i="11"/>
  <c r="AB24" i="11" s="1"/>
  <c r="L24" i="12"/>
  <c r="Q24" i="12" s="1"/>
  <c r="L24" i="13"/>
  <c r="Q24" i="13" s="1"/>
  <c r="Q19" i="11"/>
  <c r="AB19" i="11" s="1"/>
  <c r="L19" i="12"/>
  <c r="Q19" i="12" s="1"/>
  <c r="L19" i="13"/>
  <c r="Q19" i="13" s="1"/>
  <c r="Q28" i="11"/>
  <c r="AB28" i="11" s="1"/>
  <c r="L28" i="12"/>
  <c r="Q28" i="12" s="1"/>
  <c r="L28" i="13"/>
  <c r="Q28" i="13" s="1"/>
  <c r="Q42" i="11"/>
  <c r="AB42" i="11" s="1"/>
  <c r="L42" i="12"/>
  <c r="Q42" i="12" s="1"/>
  <c r="L42" i="13"/>
  <c r="Q42" i="13" s="1"/>
  <c r="Q31" i="11"/>
  <c r="AB31" i="11" s="1"/>
  <c r="L31" i="12"/>
  <c r="Q31" i="12" s="1"/>
  <c r="L31" i="13"/>
  <c r="Q31" i="13" s="1"/>
  <c r="Q32" i="11"/>
  <c r="AB32" i="11" s="1"/>
  <c r="L32" i="12"/>
  <c r="Q32" i="12" s="1"/>
  <c r="L32" i="13"/>
  <c r="Q32" i="13" s="1"/>
  <c r="Q10" i="11"/>
  <c r="AB10" i="11" s="1"/>
  <c r="L10" i="12"/>
  <c r="Q10" i="12" s="1"/>
  <c r="Q23" i="11"/>
  <c r="AB23" i="11" s="1"/>
  <c r="L23" i="12"/>
  <c r="Q23" i="12" s="1"/>
  <c r="L23" i="13"/>
  <c r="Q23" i="13" s="1"/>
  <c r="V67" i="8"/>
  <c r="V73" i="9"/>
  <c r="AB5" i="9"/>
  <c r="AB73" i="9" s="1"/>
  <c r="R73" i="8"/>
  <c r="S78" i="8" s="1"/>
  <c r="V49" i="8"/>
  <c r="V55" i="8"/>
  <c r="Q12" i="11"/>
  <c r="AB12" i="11" s="1"/>
  <c r="L12" i="12"/>
  <c r="Q12" i="12" s="1"/>
  <c r="L12" i="13"/>
  <c r="Q12" i="13" s="1"/>
  <c r="Q48" i="11"/>
  <c r="AB48" i="11" s="1"/>
  <c r="L48" i="12"/>
  <c r="Q48" i="12" s="1"/>
  <c r="L48" i="13"/>
  <c r="Q48" i="13" s="1"/>
  <c r="Q7" i="11"/>
  <c r="AB7" i="11" s="1"/>
  <c r="L7" i="12"/>
  <c r="Q7" i="12" s="1"/>
  <c r="L7" i="13"/>
  <c r="Q7" i="13" s="1"/>
  <c r="Q49" i="11"/>
  <c r="AB49" i="11" s="1"/>
  <c r="L49" i="12"/>
  <c r="Q49" i="12" s="1"/>
  <c r="L49" i="13"/>
  <c r="Q49" i="13" s="1"/>
  <c r="Q47" i="11"/>
  <c r="AB47" i="11" s="1"/>
  <c r="L47" i="12"/>
  <c r="Q47" i="12" s="1"/>
  <c r="L47" i="13"/>
  <c r="Q47" i="13" s="1"/>
  <c r="Q38" i="11"/>
  <c r="AB38" i="11" s="1"/>
  <c r="L38" i="12"/>
  <c r="Q38" i="12" s="1"/>
  <c r="L38" i="13"/>
  <c r="Q38" i="13" s="1"/>
  <c r="Q36" i="11"/>
  <c r="AB36" i="11" s="1"/>
  <c r="L36" i="12"/>
  <c r="Q36" i="12" s="1"/>
  <c r="L36" i="13"/>
  <c r="Q36" i="13" s="1"/>
  <c r="Q8" i="11"/>
  <c r="AB8" i="11" s="1"/>
  <c r="L8" i="12"/>
  <c r="Q8" i="12" s="1"/>
  <c r="L8" i="13"/>
  <c r="Q8" i="13" s="1"/>
  <c r="V34" i="8"/>
  <c r="V7" i="8"/>
  <c r="V5" i="8"/>
  <c r="U5" i="28" s="1"/>
  <c r="U77" i="28" s="1"/>
  <c r="V25" i="8"/>
  <c r="V21" i="8"/>
  <c r="V19" i="8"/>
  <c r="AB54" i="13"/>
  <c r="AB54" i="12"/>
  <c r="AB54" i="10"/>
  <c r="AB54" i="11"/>
  <c r="Q25" i="11"/>
  <c r="AB25" i="11" s="1"/>
  <c r="L25" i="12"/>
  <c r="Q25" i="12" s="1"/>
  <c r="L25" i="13"/>
  <c r="Q25" i="13" s="1"/>
  <c r="Q17" i="11"/>
  <c r="AB17" i="11" s="1"/>
  <c r="L17" i="12"/>
  <c r="Q17" i="12" s="1"/>
  <c r="L17" i="13"/>
  <c r="Q17" i="13" s="1"/>
  <c r="AE75" i="9"/>
  <c r="AE75" i="8"/>
  <c r="AO74" i="8" s="1"/>
  <c r="AE75" i="7"/>
  <c r="E43" i="5"/>
  <c r="Y53" i="24" s="1"/>
  <c r="X53" i="13"/>
  <c r="X53" i="12"/>
  <c r="X53" i="11"/>
  <c r="X56" i="11" s="1"/>
  <c r="X53" i="10"/>
  <c r="V12" i="8"/>
  <c r="V63" i="8"/>
  <c r="V65" i="8"/>
  <c r="V9" i="8"/>
  <c r="V51" i="8"/>
  <c r="Q33" i="11"/>
  <c r="AB33" i="11" s="1"/>
  <c r="L33" i="12"/>
  <c r="Q33" i="12" s="1"/>
  <c r="L33" i="13"/>
  <c r="Q33" i="13" s="1"/>
  <c r="Q29" i="11"/>
  <c r="AB29" i="11" s="1"/>
  <c r="L29" i="12"/>
  <c r="Q29" i="12" s="1"/>
  <c r="L29" i="13"/>
  <c r="Q29" i="13" s="1"/>
  <c r="Q40" i="11"/>
  <c r="AB40" i="11" s="1"/>
  <c r="L40" i="12"/>
  <c r="Q40" i="12" s="1"/>
  <c r="L40" i="13"/>
  <c r="Q40" i="13" s="1"/>
  <c r="Q14" i="11"/>
  <c r="AB14" i="11" s="1"/>
  <c r="X14" i="24" s="1"/>
  <c r="Y14" i="24" s="1"/>
  <c r="L14" i="12"/>
  <c r="Q14" i="12" s="1"/>
  <c r="L14" i="13"/>
  <c r="Q14" i="13" s="1"/>
  <c r="Q18" i="11"/>
  <c r="AB18" i="11" s="1"/>
  <c r="L18" i="12"/>
  <c r="Q18" i="12" s="1"/>
  <c r="L18" i="13"/>
  <c r="Q18" i="13" s="1"/>
  <c r="V47" i="8"/>
  <c r="V27" i="8"/>
  <c r="V46" i="8"/>
  <c r="V17" i="8"/>
  <c r="V10" i="8"/>
  <c r="Q41" i="11"/>
  <c r="AB41" i="11" s="1"/>
  <c r="L41" i="12"/>
  <c r="Q41" i="12" s="1"/>
  <c r="L41" i="13"/>
  <c r="Q41" i="13" s="1"/>
  <c r="Q43" i="11"/>
  <c r="AB43" i="11" s="1"/>
  <c r="L43" i="12"/>
  <c r="Q43" i="12" s="1"/>
  <c r="L43" i="13"/>
  <c r="Q43" i="13" s="1"/>
  <c r="Q34" i="11"/>
  <c r="AB34" i="11" s="1"/>
  <c r="L34" i="12"/>
  <c r="Q34" i="12" s="1"/>
  <c r="L34" i="13"/>
  <c r="Q34" i="13" s="1"/>
  <c r="Q22" i="11"/>
  <c r="AB22" i="11" s="1"/>
  <c r="L22" i="12"/>
  <c r="Q22" i="12" s="1"/>
  <c r="L22" i="13"/>
  <c r="Q22" i="13" s="1"/>
  <c r="L51" i="11"/>
  <c r="L5" i="12"/>
  <c r="Q5" i="11"/>
  <c r="L5" i="13"/>
  <c r="Q9" i="11"/>
  <c r="AB9" i="11" s="1"/>
  <c r="L9" i="12"/>
  <c r="Q9" i="12" s="1"/>
  <c r="L9" i="13"/>
  <c r="Q9" i="13" s="1"/>
  <c r="V32" i="8"/>
  <c r="V58" i="8"/>
  <c r="V60" i="8"/>
  <c r="E23" i="5"/>
  <c r="AG75" i="23" s="1"/>
  <c r="AE77" i="6"/>
  <c r="L11" i="29" l="1"/>
  <c r="L61" i="29" s="1"/>
  <c r="X42" i="24"/>
  <c r="Y42" i="24" s="1"/>
  <c r="Q14" i="30"/>
  <c r="X11" i="24"/>
  <c r="Y11" i="24" s="1"/>
  <c r="L30" i="29"/>
  <c r="L80" i="29" s="1"/>
  <c r="L5" i="29"/>
  <c r="L55" i="29" s="1"/>
  <c r="X21" i="24"/>
  <c r="Y21" i="24" s="1"/>
  <c r="AB51" i="8"/>
  <c r="U51" i="28"/>
  <c r="U123" i="28" s="1"/>
  <c r="AB61" i="8"/>
  <c r="U61" i="28"/>
  <c r="U133" i="28" s="1"/>
  <c r="E47" i="5"/>
  <c r="G47" i="5" s="1"/>
  <c r="X9" i="24"/>
  <c r="Y9" i="24" s="1"/>
  <c r="X41" i="24"/>
  <c r="Y41" i="24" s="1"/>
  <c r="X18" i="24"/>
  <c r="Y18" i="24" s="1"/>
  <c r="AB63" i="8"/>
  <c r="U63" i="28"/>
  <c r="U135" i="28" s="1"/>
  <c r="AB7" i="8"/>
  <c r="U7" i="28"/>
  <c r="U79" i="28" s="1"/>
  <c r="X49" i="24"/>
  <c r="Y49" i="24" s="1"/>
  <c r="X28" i="24"/>
  <c r="Y28" i="24" s="1"/>
  <c r="AB56" i="8"/>
  <c r="U56" i="28"/>
  <c r="U128" i="28" s="1"/>
  <c r="X26" i="24"/>
  <c r="Y26" i="24" s="1"/>
  <c r="X20" i="24"/>
  <c r="Y20" i="24" s="1"/>
  <c r="AB64" i="8"/>
  <c r="U64" i="28"/>
  <c r="U136" i="28" s="1"/>
  <c r="V73" i="23"/>
  <c r="AB5" i="23"/>
  <c r="AB73" i="23" s="1"/>
  <c r="L12" i="29"/>
  <c r="L62" i="29" s="1"/>
  <c r="L35" i="29"/>
  <c r="L85" i="29" s="1"/>
  <c r="L14" i="29"/>
  <c r="L64" i="29" s="1"/>
  <c r="AB57" i="8"/>
  <c r="U57" i="28"/>
  <c r="U129" i="28" s="1"/>
  <c r="L8" i="29"/>
  <c r="L58" i="29" s="1"/>
  <c r="L49" i="29"/>
  <c r="L99" i="29" s="1"/>
  <c r="L15" i="29"/>
  <c r="L65" i="29" s="1"/>
  <c r="L27" i="29"/>
  <c r="L77" i="29" s="1"/>
  <c r="AB21" i="8"/>
  <c r="U21" i="28"/>
  <c r="U93" i="28" s="1"/>
  <c r="AB10" i="8"/>
  <c r="U10" i="28"/>
  <c r="U82" i="28" s="1"/>
  <c r="X29" i="24"/>
  <c r="Y29" i="24" s="1"/>
  <c r="AB12" i="8"/>
  <c r="U12" i="28"/>
  <c r="U84" i="28" s="1"/>
  <c r="AB34" i="8"/>
  <c r="U34" i="28"/>
  <c r="U106" i="28" s="1"/>
  <c r="X12" i="24"/>
  <c r="Y12" i="24" s="1"/>
  <c r="X30" i="24"/>
  <c r="Y30" i="24" s="1"/>
  <c r="X13" i="24"/>
  <c r="Y13" i="24" s="1"/>
  <c r="AB41" i="8"/>
  <c r="U41" i="28"/>
  <c r="U113" i="28" s="1"/>
  <c r="L34" i="29"/>
  <c r="L84" i="29" s="1"/>
  <c r="AB14" i="8"/>
  <c r="U14" i="28"/>
  <c r="U86" i="28" s="1"/>
  <c r="L28" i="29"/>
  <c r="L78" i="29" s="1"/>
  <c r="L17" i="29"/>
  <c r="L67" i="29" s="1"/>
  <c r="L25" i="29"/>
  <c r="L75" i="29" s="1"/>
  <c r="L13" i="29"/>
  <c r="L63" i="29" s="1"/>
  <c r="L37" i="29"/>
  <c r="L87" i="29" s="1"/>
  <c r="X47" i="24"/>
  <c r="Y47" i="24" s="1"/>
  <c r="X34" i="24"/>
  <c r="Y34" i="24" s="1"/>
  <c r="AB17" i="8"/>
  <c r="U17" i="28"/>
  <c r="U89" i="28" s="1"/>
  <c r="AB55" i="8"/>
  <c r="U55" i="28"/>
  <c r="U127" i="28" s="1"/>
  <c r="X31" i="24"/>
  <c r="Y31" i="24" s="1"/>
  <c r="X16" i="24"/>
  <c r="Y16" i="24" s="1"/>
  <c r="AB62" i="8"/>
  <c r="U62" i="28"/>
  <c r="U134" i="28" s="1"/>
  <c r="X46" i="24"/>
  <c r="Y46" i="24" s="1"/>
  <c r="L40" i="29"/>
  <c r="L90" i="29" s="1"/>
  <c r="L36" i="29"/>
  <c r="L86" i="29" s="1"/>
  <c r="L10" i="29"/>
  <c r="L60" i="29" s="1"/>
  <c r="L16" i="29"/>
  <c r="L66" i="29" s="1"/>
  <c r="L45" i="29"/>
  <c r="L95" i="29" s="1"/>
  <c r="AB58" i="8"/>
  <c r="U58" i="28"/>
  <c r="U130" i="28" s="1"/>
  <c r="AB32" i="8"/>
  <c r="U32" i="28"/>
  <c r="U104" i="28" s="1"/>
  <c r="X38" i="24"/>
  <c r="Y38" i="24" s="1"/>
  <c r="X23" i="24"/>
  <c r="Y23" i="24" s="1"/>
  <c r="AB69" i="8"/>
  <c r="U69" i="28"/>
  <c r="U141" i="28" s="1"/>
  <c r="AB60" i="8"/>
  <c r="U60" i="28"/>
  <c r="U132" i="28" s="1"/>
  <c r="AB46" i="8"/>
  <c r="U46" i="28"/>
  <c r="U118" i="28" s="1"/>
  <c r="X7" i="24"/>
  <c r="Y7" i="24" s="1"/>
  <c r="AB49" i="8"/>
  <c r="U49" i="28"/>
  <c r="U121" i="28" s="1"/>
  <c r="X19" i="24"/>
  <c r="Y19" i="24" s="1"/>
  <c r="AB50" i="8"/>
  <c r="U50" i="28"/>
  <c r="U122" i="28" s="1"/>
  <c r="X27" i="24"/>
  <c r="Y27" i="24" s="1"/>
  <c r="AB59" i="8"/>
  <c r="U59" i="28"/>
  <c r="U131" i="28" s="1"/>
  <c r="AB68" i="8"/>
  <c r="U68" i="28"/>
  <c r="U140" i="28" s="1"/>
  <c r="L9" i="29"/>
  <c r="L59" i="29" s="1"/>
  <c r="L43" i="29"/>
  <c r="L93" i="29" s="1"/>
  <c r="L23" i="29"/>
  <c r="L73" i="29" s="1"/>
  <c r="L7" i="29"/>
  <c r="L57" i="29" s="1"/>
  <c r="L24" i="29"/>
  <c r="L74" i="29" s="1"/>
  <c r="L6" i="29"/>
  <c r="L56" i="29" s="1"/>
  <c r="B9" i="31" s="1"/>
  <c r="L20" i="29"/>
  <c r="L70" i="29" s="1"/>
  <c r="X33" i="24"/>
  <c r="Y33" i="24" s="1"/>
  <c r="X17" i="24"/>
  <c r="Y17" i="24" s="1"/>
  <c r="AB19" i="8"/>
  <c r="U19" i="28"/>
  <c r="U91" i="28" s="1"/>
  <c r="X8" i="24"/>
  <c r="Y8" i="24" s="1"/>
  <c r="X10" i="24"/>
  <c r="Y10" i="24" s="1"/>
  <c r="X35" i="24"/>
  <c r="Y35" i="24" s="1"/>
  <c r="AB31" i="8"/>
  <c r="U31" i="28"/>
  <c r="U103" i="28" s="1"/>
  <c r="AB53" i="8"/>
  <c r="U53" i="28"/>
  <c r="U125" i="28" s="1"/>
  <c r="X6" i="24"/>
  <c r="Y6" i="24" s="1"/>
  <c r="AB6" i="8"/>
  <c r="U6" i="28"/>
  <c r="U78" i="28" s="1"/>
  <c r="K9" i="30" s="1"/>
  <c r="L39" i="29"/>
  <c r="L89" i="29" s="1"/>
  <c r="Q5" i="24"/>
  <c r="Q51" i="24" s="1"/>
  <c r="L51" i="24"/>
  <c r="AB24" i="8"/>
  <c r="U24" i="28"/>
  <c r="U96" i="28" s="1"/>
  <c r="L29" i="29"/>
  <c r="L79" i="29" s="1"/>
  <c r="L38" i="29"/>
  <c r="L88" i="29" s="1"/>
  <c r="AB13" i="8"/>
  <c r="U13" i="28"/>
  <c r="U85" i="28" s="1"/>
  <c r="L21" i="29"/>
  <c r="L71" i="29" s="1"/>
  <c r="AB47" i="8"/>
  <c r="U47" i="28"/>
  <c r="U119" i="28" s="1"/>
  <c r="AB23" i="8"/>
  <c r="U23" i="28"/>
  <c r="U95" i="28" s="1"/>
  <c r="AB30" i="8"/>
  <c r="U30" i="28"/>
  <c r="U102" i="28" s="1"/>
  <c r="X37" i="24"/>
  <c r="Y37" i="24" s="1"/>
  <c r="X39" i="24"/>
  <c r="Y39" i="24" s="1"/>
  <c r="L32" i="29"/>
  <c r="L82" i="29" s="1"/>
  <c r="L19" i="29"/>
  <c r="L69" i="29" s="1"/>
  <c r="F15" i="30"/>
  <c r="F14" i="30"/>
  <c r="L44" i="29"/>
  <c r="L94" i="29" s="1"/>
  <c r="AB27" i="8"/>
  <c r="U27" i="28"/>
  <c r="U99" i="28" s="1"/>
  <c r="X24" i="24"/>
  <c r="Y24" i="24" s="1"/>
  <c r="X45" i="24"/>
  <c r="Y45" i="24" s="1"/>
  <c r="AB18" i="8"/>
  <c r="U18" i="28"/>
  <c r="U90" i="28" s="1"/>
  <c r="L18" i="29"/>
  <c r="L68" i="29" s="1"/>
  <c r="L33" i="29"/>
  <c r="L83" i="29" s="1"/>
  <c r="AB8" i="8"/>
  <c r="U8" i="28"/>
  <c r="U80" i="28" s="1"/>
  <c r="L47" i="29"/>
  <c r="L97" i="29" s="1"/>
  <c r="G15" i="30"/>
  <c r="G14" i="30"/>
  <c r="C15" i="30"/>
  <c r="C14" i="30"/>
  <c r="L26" i="29"/>
  <c r="L76" i="29" s="1"/>
  <c r="H15" i="30"/>
  <c r="H14" i="30"/>
  <c r="X43" i="24"/>
  <c r="Y43" i="24" s="1"/>
  <c r="X40" i="24"/>
  <c r="Y40" i="24" s="1"/>
  <c r="AB9" i="8"/>
  <c r="U9" i="28"/>
  <c r="U81" i="28" s="1"/>
  <c r="AB25" i="8"/>
  <c r="U25" i="28"/>
  <c r="U97" i="28" s="1"/>
  <c r="X48" i="24"/>
  <c r="Y48" i="24" s="1"/>
  <c r="L41" i="29"/>
  <c r="L91" i="29" s="1"/>
  <c r="E29" i="5"/>
  <c r="AM75" i="23" s="1"/>
  <c r="X22" i="24"/>
  <c r="Y22" i="24" s="1"/>
  <c r="AB65" i="8"/>
  <c r="U65" i="28"/>
  <c r="U137" i="28" s="1"/>
  <c r="X25" i="24"/>
  <c r="Y25" i="24" s="1"/>
  <c r="K11" i="30"/>
  <c r="X36" i="24"/>
  <c r="Y36" i="24" s="1"/>
  <c r="AB67" i="8"/>
  <c r="U67" i="28"/>
  <c r="U139" i="28" s="1"/>
  <c r="X32" i="24"/>
  <c r="Y32" i="24" s="1"/>
  <c r="AB26" i="8"/>
  <c r="U26" i="28"/>
  <c r="U98" i="28" s="1"/>
  <c r="X15" i="24"/>
  <c r="Y15" i="24" s="1"/>
  <c r="X44" i="24"/>
  <c r="Y44" i="24" s="1"/>
  <c r="AB28" i="8"/>
  <c r="U28" i="28"/>
  <c r="U100" i="28" s="1"/>
  <c r="L22" i="29"/>
  <c r="L72" i="29" s="1"/>
  <c r="AB45" i="8"/>
  <c r="U45" i="28"/>
  <c r="U117" i="28" s="1"/>
  <c r="L42" i="29"/>
  <c r="L92" i="29" s="1"/>
  <c r="L31" i="29"/>
  <c r="L81" i="29" s="1"/>
  <c r="L48" i="29"/>
  <c r="L98" i="29" s="1"/>
  <c r="L46" i="29"/>
  <c r="L96" i="29" s="1"/>
  <c r="AQ22" i="23"/>
  <c r="AQ32" i="23"/>
  <c r="AM75" i="9"/>
  <c r="X25" i="12"/>
  <c r="Y25" i="12" s="1"/>
  <c r="X25" i="13"/>
  <c r="X9" i="12"/>
  <c r="Y9" i="12" s="1"/>
  <c r="AB9" i="12" s="1"/>
  <c r="X9" i="13"/>
  <c r="X41" i="12"/>
  <c r="Y41" i="12" s="1"/>
  <c r="AB41" i="12" s="1"/>
  <c r="X41" i="13"/>
  <c r="X18" i="12"/>
  <c r="Y18" i="12" s="1"/>
  <c r="AB18" i="12" s="1"/>
  <c r="X18" i="13"/>
  <c r="X49" i="12"/>
  <c r="Y49" i="12" s="1"/>
  <c r="AB49" i="12" s="1"/>
  <c r="X49" i="13"/>
  <c r="X28" i="12"/>
  <c r="Y28" i="12" s="1"/>
  <c r="AB28" i="12" s="1"/>
  <c r="X28" i="13"/>
  <c r="X26" i="12"/>
  <c r="Y26" i="12" s="1"/>
  <c r="AB26" i="12" s="1"/>
  <c r="X26" i="13"/>
  <c r="X20" i="12"/>
  <c r="Y20" i="12" s="1"/>
  <c r="X20" i="13"/>
  <c r="V73" i="8"/>
  <c r="AB5" i="8"/>
  <c r="X44" i="12"/>
  <c r="Y44" i="12" s="1"/>
  <c r="AB44" i="12" s="1"/>
  <c r="X44" i="13"/>
  <c r="X29" i="12"/>
  <c r="Y29" i="12" s="1"/>
  <c r="AB29" i="12" s="1"/>
  <c r="X29" i="13"/>
  <c r="X12" i="12"/>
  <c r="Y12" i="12" s="1"/>
  <c r="AB12" i="12" s="1"/>
  <c r="X12" i="13"/>
  <c r="X11" i="12"/>
  <c r="Y11" i="12" s="1"/>
  <c r="AB11" i="12" s="1"/>
  <c r="X11" i="13"/>
  <c r="X30" i="12"/>
  <c r="Y30" i="12" s="1"/>
  <c r="AB30" i="12" s="1"/>
  <c r="X30" i="13"/>
  <c r="X13" i="12"/>
  <c r="Y13" i="12" s="1"/>
  <c r="AB13" i="12" s="1"/>
  <c r="X13" i="13"/>
  <c r="AG77" i="6"/>
  <c r="AG75" i="9"/>
  <c r="AG75" i="8"/>
  <c r="AG75" i="7"/>
  <c r="X34" i="12"/>
  <c r="Y34" i="12" s="1"/>
  <c r="AB34" i="12" s="1"/>
  <c r="X34" i="13"/>
  <c r="X38" i="12"/>
  <c r="Y38" i="12" s="1"/>
  <c r="AB38" i="12" s="1"/>
  <c r="X38" i="13"/>
  <c r="X23" i="13"/>
  <c r="X23" i="12"/>
  <c r="Y23" i="12" s="1"/>
  <c r="AB23" i="12" s="1"/>
  <c r="X31" i="12"/>
  <c r="Y31" i="12" s="1"/>
  <c r="AB31" i="12" s="1"/>
  <c r="X31" i="13"/>
  <c r="X16" i="12"/>
  <c r="Y16" i="12" s="1"/>
  <c r="AB16" i="12" s="1"/>
  <c r="X16" i="13"/>
  <c r="X46" i="12"/>
  <c r="Y46" i="12" s="1"/>
  <c r="AB46" i="12" s="1"/>
  <c r="X46" i="13"/>
  <c r="AB20" i="12"/>
  <c r="L51" i="13"/>
  <c r="Q5" i="13"/>
  <c r="AB5" i="11"/>
  <c r="Q51" i="11"/>
  <c r="Q5" i="12"/>
  <c r="L51" i="12"/>
  <c r="X14" i="12"/>
  <c r="Y14" i="12" s="1"/>
  <c r="AB14" i="12" s="1"/>
  <c r="X14" i="13"/>
  <c r="X7" i="12"/>
  <c r="Y7" i="12" s="1"/>
  <c r="AB7" i="12" s="1"/>
  <c r="X7" i="13"/>
  <c r="X19" i="12"/>
  <c r="Y19" i="12" s="1"/>
  <c r="AB19" i="12" s="1"/>
  <c r="X19" i="13"/>
  <c r="X27" i="12"/>
  <c r="Y27" i="12" s="1"/>
  <c r="AB27" i="12" s="1"/>
  <c r="X27" i="13"/>
  <c r="X22" i="12"/>
  <c r="Y22" i="12" s="1"/>
  <c r="AB22" i="12" s="1"/>
  <c r="X22" i="13"/>
  <c r="X36" i="12"/>
  <c r="Y36" i="12" s="1"/>
  <c r="AB36" i="12" s="1"/>
  <c r="X36" i="13"/>
  <c r="X15" i="12"/>
  <c r="Y15" i="12" s="1"/>
  <c r="X15" i="13"/>
  <c r="X33" i="12"/>
  <c r="Y33" i="12" s="1"/>
  <c r="AB33" i="12" s="1"/>
  <c r="X33" i="13"/>
  <c r="X17" i="12"/>
  <c r="Y17" i="12" s="1"/>
  <c r="AB17" i="12" s="1"/>
  <c r="X17" i="13"/>
  <c r="X8" i="12"/>
  <c r="Y8" i="12" s="1"/>
  <c r="AB8" i="12" s="1"/>
  <c r="X8" i="13"/>
  <c r="S13" i="9"/>
  <c r="S9" i="9"/>
  <c r="S9" i="28" s="1"/>
  <c r="S81" i="28" s="1"/>
  <c r="S34" i="9"/>
  <c r="S34" i="28" s="1"/>
  <c r="S106" i="28" s="1"/>
  <c r="S53" i="9"/>
  <c r="S53" i="28" s="1"/>
  <c r="S125" i="28" s="1"/>
  <c r="S38" i="9"/>
  <c r="S38" i="28" s="1"/>
  <c r="S110" i="28" s="1"/>
  <c r="S29" i="9"/>
  <c r="S29" i="28" s="1"/>
  <c r="S101" i="28" s="1"/>
  <c r="S50" i="9"/>
  <c r="S50" i="28" s="1"/>
  <c r="S122" i="28" s="1"/>
  <c r="S27" i="9"/>
  <c r="S27" i="28" s="1"/>
  <c r="S99" i="28" s="1"/>
  <c r="S52" i="9"/>
  <c r="S52" i="28" s="1"/>
  <c r="S124" i="28" s="1"/>
  <c r="S57" i="9"/>
  <c r="S57" i="28" s="1"/>
  <c r="S129" i="28" s="1"/>
  <c r="S65" i="9"/>
  <c r="S65" i="28" s="1"/>
  <c r="S137" i="28" s="1"/>
  <c r="S24" i="9"/>
  <c r="S24" i="28" s="1"/>
  <c r="S96" i="28" s="1"/>
  <c r="S36" i="9"/>
  <c r="S36" i="28" s="1"/>
  <c r="S108" i="28" s="1"/>
  <c r="S58" i="9"/>
  <c r="S58" i="28" s="1"/>
  <c r="S130" i="28" s="1"/>
  <c r="S26" i="9"/>
  <c r="S26" i="28" s="1"/>
  <c r="S98" i="28" s="1"/>
  <c r="S67" i="9"/>
  <c r="S67" i="28" s="1"/>
  <c r="S139" i="28" s="1"/>
  <c r="S56" i="9"/>
  <c r="S56" i="28" s="1"/>
  <c r="S128" i="28" s="1"/>
  <c r="S17" i="9"/>
  <c r="S17" i="28" s="1"/>
  <c r="S89" i="28" s="1"/>
  <c r="S59" i="9"/>
  <c r="S59" i="28" s="1"/>
  <c r="S131" i="28" s="1"/>
  <c r="S55" i="9"/>
  <c r="S55" i="28" s="1"/>
  <c r="S127" i="28" s="1"/>
  <c r="S18" i="9"/>
  <c r="S18" i="28" s="1"/>
  <c r="S90" i="28" s="1"/>
  <c r="S48" i="9"/>
  <c r="S48" i="28" s="1"/>
  <c r="S120" i="28" s="1"/>
  <c r="S51" i="9"/>
  <c r="S51" i="28" s="1"/>
  <c r="S123" i="28" s="1"/>
  <c r="S22" i="9"/>
  <c r="S22" i="28" s="1"/>
  <c r="S94" i="28" s="1"/>
  <c r="S42" i="9"/>
  <c r="S42" i="28" s="1"/>
  <c r="S114" i="28" s="1"/>
  <c r="S31" i="9"/>
  <c r="S31" i="28" s="1"/>
  <c r="S103" i="28" s="1"/>
  <c r="S10" i="9"/>
  <c r="S10" i="28" s="1"/>
  <c r="S82" i="28" s="1"/>
  <c r="S8" i="9"/>
  <c r="S8" i="28" s="1"/>
  <c r="S80" i="28" s="1"/>
  <c r="S39" i="9"/>
  <c r="S39" i="28" s="1"/>
  <c r="S111" i="28" s="1"/>
  <c r="S40" i="9"/>
  <c r="S40" i="28" s="1"/>
  <c r="S112" i="28" s="1"/>
  <c r="S46" i="9"/>
  <c r="S46" i="28" s="1"/>
  <c r="S118" i="28" s="1"/>
  <c r="S66" i="9"/>
  <c r="S66" i="28" s="1"/>
  <c r="S138" i="28" s="1"/>
  <c r="S68" i="9"/>
  <c r="S68" i="28" s="1"/>
  <c r="S140" i="28" s="1"/>
  <c r="S35" i="9"/>
  <c r="S35" i="28" s="1"/>
  <c r="S107" i="28" s="1"/>
  <c r="S14" i="9"/>
  <c r="S14" i="28" s="1"/>
  <c r="S86" i="28" s="1"/>
  <c r="S71" i="9"/>
  <c r="S71" i="28" s="1"/>
  <c r="S143" i="28" s="1"/>
  <c r="S21" i="9"/>
  <c r="S21" i="28" s="1"/>
  <c r="S93" i="28" s="1"/>
  <c r="S12" i="9"/>
  <c r="S12" i="28" s="1"/>
  <c r="S84" i="28" s="1"/>
  <c r="S33" i="9"/>
  <c r="S33" i="28" s="1"/>
  <c r="S105" i="28" s="1"/>
  <c r="S30" i="9"/>
  <c r="S30" i="28" s="1"/>
  <c r="S102" i="28" s="1"/>
  <c r="S32" i="9"/>
  <c r="S32" i="28" s="1"/>
  <c r="S104" i="28" s="1"/>
  <c r="S23" i="9"/>
  <c r="S23" i="28" s="1"/>
  <c r="S95" i="28" s="1"/>
  <c r="S64" i="9"/>
  <c r="S64" i="28" s="1"/>
  <c r="S136" i="28" s="1"/>
  <c r="S28" i="9"/>
  <c r="S28" i="28" s="1"/>
  <c r="S100" i="28" s="1"/>
  <c r="S69" i="9"/>
  <c r="S69" i="28" s="1"/>
  <c r="S141" i="28" s="1"/>
  <c r="S11" i="9"/>
  <c r="S11" i="28" s="1"/>
  <c r="S83" i="28" s="1"/>
  <c r="S70" i="9"/>
  <c r="S70" i="28" s="1"/>
  <c r="S142" i="28" s="1"/>
  <c r="S7" i="9"/>
  <c r="S7" i="28" s="1"/>
  <c r="S79" i="28" s="1"/>
  <c r="S37" i="9"/>
  <c r="S37" i="28" s="1"/>
  <c r="S109" i="28" s="1"/>
  <c r="S63" i="9"/>
  <c r="S63" i="28" s="1"/>
  <c r="S135" i="28" s="1"/>
  <c r="S41" i="9"/>
  <c r="S41" i="28" s="1"/>
  <c r="S113" i="28" s="1"/>
  <c r="S6" i="9"/>
  <c r="S6" i="28" s="1"/>
  <c r="S78" i="28" s="1"/>
  <c r="S62" i="9"/>
  <c r="S62" i="28" s="1"/>
  <c r="S134" i="28" s="1"/>
  <c r="S60" i="9"/>
  <c r="S60" i="28" s="1"/>
  <c r="S132" i="28" s="1"/>
  <c r="S43" i="9"/>
  <c r="S43" i="28" s="1"/>
  <c r="S115" i="28" s="1"/>
  <c r="S20" i="9"/>
  <c r="S20" i="28" s="1"/>
  <c r="S92" i="28" s="1"/>
  <c r="S44" i="9"/>
  <c r="S44" i="28" s="1"/>
  <c r="S116" i="28" s="1"/>
  <c r="S61" i="9"/>
  <c r="S61" i="28" s="1"/>
  <c r="S133" i="28" s="1"/>
  <c r="S16" i="9"/>
  <c r="S16" i="28" s="1"/>
  <c r="S88" i="28" s="1"/>
  <c r="S15" i="9"/>
  <c r="S15" i="28" s="1"/>
  <c r="S87" i="28" s="1"/>
  <c r="S19" i="9"/>
  <c r="S19" i="28" s="1"/>
  <c r="S91" i="28" s="1"/>
  <c r="S54" i="9"/>
  <c r="S54" i="28" s="1"/>
  <c r="S126" i="28" s="1"/>
  <c r="S5" i="9"/>
  <c r="S5" i="28" s="1"/>
  <c r="S77" i="28" s="1"/>
  <c r="S25" i="9"/>
  <c r="S25" i="28" s="1"/>
  <c r="S97" i="28" s="1"/>
  <c r="S45" i="9"/>
  <c r="S45" i="28" s="1"/>
  <c r="S117" i="28" s="1"/>
  <c r="S47" i="9"/>
  <c r="S47" i="28" s="1"/>
  <c r="S119" i="28" s="1"/>
  <c r="S49" i="9"/>
  <c r="S49" i="28" s="1"/>
  <c r="S121" i="28" s="1"/>
  <c r="X10" i="12"/>
  <c r="Y10" i="12" s="1"/>
  <c r="AB10" i="12" s="1"/>
  <c r="X10" i="13"/>
  <c r="X35" i="12"/>
  <c r="Y35" i="12" s="1"/>
  <c r="AB35" i="12" s="1"/>
  <c r="X35" i="13"/>
  <c r="X6" i="12"/>
  <c r="Y6" i="12" s="1"/>
  <c r="AB6" i="12" s="1"/>
  <c r="X6" i="13"/>
  <c r="X32" i="12"/>
  <c r="Y32" i="12" s="1"/>
  <c r="AB32" i="12" s="1"/>
  <c r="X32" i="13"/>
  <c r="X43" i="12"/>
  <c r="Y43" i="12" s="1"/>
  <c r="AB43" i="12" s="1"/>
  <c r="X43" i="13"/>
  <c r="X47" i="12"/>
  <c r="Y47" i="12" s="1"/>
  <c r="AB47" i="12" s="1"/>
  <c r="X47" i="13"/>
  <c r="X42" i="12"/>
  <c r="Y42" i="12" s="1"/>
  <c r="AB42" i="12" s="1"/>
  <c r="X42" i="13"/>
  <c r="X21" i="12"/>
  <c r="Y21" i="12" s="1"/>
  <c r="AB21" i="12" s="1"/>
  <c r="X21" i="13"/>
  <c r="X37" i="12"/>
  <c r="Y37" i="12" s="1"/>
  <c r="AB37" i="12" s="1"/>
  <c r="X37" i="13"/>
  <c r="X39" i="12"/>
  <c r="Y39" i="12" s="1"/>
  <c r="AB39" i="12" s="1"/>
  <c r="X39" i="13"/>
  <c r="X40" i="12"/>
  <c r="Y40" i="12" s="1"/>
  <c r="AB40" i="12" s="1"/>
  <c r="X40" i="13"/>
  <c r="E46" i="5"/>
  <c r="AB53" i="24" s="1"/>
  <c r="Y53" i="13"/>
  <c r="Y53" i="12"/>
  <c r="Y53" i="11"/>
  <c r="Y53" i="10"/>
  <c r="AB25" i="12"/>
  <c r="X48" i="12"/>
  <c r="Y48" i="12" s="1"/>
  <c r="AB48" i="12" s="1"/>
  <c r="X48" i="13"/>
  <c r="X24" i="12"/>
  <c r="Y24" i="12" s="1"/>
  <c r="AB24" i="12" s="1"/>
  <c r="X24" i="13"/>
  <c r="AB15" i="12"/>
  <c r="X45" i="12"/>
  <c r="Y45" i="12" s="1"/>
  <c r="AB45" i="12" s="1"/>
  <c r="X45" i="13"/>
  <c r="K7" i="30" l="1"/>
  <c r="K13" i="30" s="1"/>
  <c r="AM77" i="6"/>
  <c r="I9" i="30"/>
  <c r="I14" i="30" s="1"/>
  <c r="AB73" i="8"/>
  <c r="E53" i="5"/>
  <c r="K15" i="30"/>
  <c r="K14" i="30"/>
  <c r="T13" i="9"/>
  <c r="S13" i="28"/>
  <c r="S85" i="28" s="1"/>
  <c r="I7" i="30" s="1"/>
  <c r="I13" i="30" s="1"/>
  <c r="X5" i="24"/>
  <c r="AM75" i="7"/>
  <c r="B7" i="31"/>
  <c r="B13" i="31" s="1"/>
  <c r="I11" i="30"/>
  <c r="AM75" i="8"/>
  <c r="B11" i="31"/>
  <c r="Y6" i="13"/>
  <c r="AB6" i="13" s="1"/>
  <c r="AJ6" i="24" s="1"/>
  <c r="U6" i="29"/>
  <c r="U56" i="29" s="1"/>
  <c r="Y19" i="13"/>
  <c r="AB19" i="13" s="1"/>
  <c r="AJ19" i="24" s="1"/>
  <c r="U19" i="29"/>
  <c r="U69" i="29" s="1"/>
  <c r="Y34" i="13"/>
  <c r="AB34" i="13" s="1"/>
  <c r="AJ34" i="24" s="1"/>
  <c r="U34" i="29"/>
  <c r="U84" i="29" s="1"/>
  <c r="Y25" i="13"/>
  <c r="AB25" i="13" s="1"/>
  <c r="AJ25" i="24" s="1"/>
  <c r="U25" i="29"/>
  <c r="U75" i="29" s="1"/>
  <c r="Y12" i="13"/>
  <c r="AB12" i="13" s="1"/>
  <c r="G28" i="22" s="1"/>
  <c r="I28" i="22" s="1"/>
  <c r="U12" i="29"/>
  <c r="U62" i="29" s="1"/>
  <c r="Y35" i="13"/>
  <c r="AB35" i="13" s="1"/>
  <c r="AJ35" i="24" s="1"/>
  <c r="U35" i="29"/>
  <c r="U85" i="29" s="1"/>
  <c r="Y8" i="13"/>
  <c r="AB8" i="13" s="1"/>
  <c r="AJ8" i="24" s="1"/>
  <c r="U8" i="29"/>
  <c r="U58" i="29" s="1"/>
  <c r="Y36" i="13"/>
  <c r="AB36" i="13" s="1"/>
  <c r="AJ36" i="24" s="1"/>
  <c r="U36" i="29"/>
  <c r="U86" i="29" s="1"/>
  <c r="Y7" i="13"/>
  <c r="AB7" i="13" s="1"/>
  <c r="G13" i="22" s="1"/>
  <c r="I13" i="22" s="1"/>
  <c r="U7" i="29"/>
  <c r="U57" i="29" s="1"/>
  <c r="Y31" i="13"/>
  <c r="AB31" i="13" s="1"/>
  <c r="AJ31" i="24" s="1"/>
  <c r="U31" i="29"/>
  <c r="U81" i="29" s="1"/>
  <c r="Y13" i="13"/>
  <c r="AB13" i="13" s="1"/>
  <c r="AJ13" i="24" s="1"/>
  <c r="U13" i="29"/>
  <c r="U63" i="29" s="1"/>
  <c r="Y20" i="13"/>
  <c r="AB20" i="13" s="1"/>
  <c r="AJ20" i="24" s="1"/>
  <c r="U20" i="29"/>
  <c r="U70" i="29" s="1"/>
  <c r="Y18" i="13"/>
  <c r="AB18" i="13" s="1"/>
  <c r="AJ18" i="24" s="1"/>
  <c r="U18" i="29"/>
  <c r="U68" i="29" s="1"/>
  <c r="Y24" i="13"/>
  <c r="AB24" i="13" s="1"/>
  <c r="AJ24" i="24" s="1"/>
  <c r="U24" i="29"/>
  <c r="U74" i="29" s="1"/>
  <c r="Y48" i="13"/>
  <c r="AB48" i="13" s="1"/>
  <c r="AJ48" i="24" s="1"/>
  <c r="U48" i="29"/>
  <c r="U98" i="29" s="1"/>
  <c r="Y21" i="13"/>
  <c r="AB21" i="13" s="1"/>
  <c r="AJ21" i="24" s="1"/>
  <c r="U21" i="29"/>
  <c r="U71" i="29" s="1"/>
  <c r="Y29" i="13"/>
  <c r="AB29" i="13" s="1"/>
  <c r="AJ29" i="24" s="1"/>
  <c r="U29" i="29"/>
  <c r="U79" i="29" s="1"/>
  <c r="Y47" i="13"/>
  <c r="AB47" i="13" s="1"/>
  <c r="AJ47" i="24" s="1"/>
  <c r="U47" i="29"/>
  <c r="U97" i="29" s="1"/>
  <c r="Y10" i="13"/>
  <c r="AB10" i="13" s="1"/>
  <c r="G19" i="22" s="1"/>
  <c r="I19" i="22" s="1"/>
  <c r="U10" i="29"/>
  <c r="U60" i="29" s="1"/>
  <c r="Y17" i="13"/>
  <c r="AB17" i="13" s="1"/>
  <c r="AJ17" i="24" s="1"/>
  <c r="U17" i="29"/>
  <c r="U67" i="29" s="1"/>
  <c r="Y22" i="13"/>
  <c r="AB22" i="13" s="1"/>
  <c r="AJ22" i="24" s="1"/>
  <c r="U22" i="29"/>
  <c r="U72" i="29" s="1"/>
  <c r="Y14" i="13"/>
  <c r="AB14" i="13" s="1"/>
  <c r="AJ14" i="24" s="1"/>
  <c r="U14" i="29"/>
  <c r="U64" i="29" s="1"/>
  <c r="Y30" i="13"/>
  <c r="AB30" i="13" s="1"/>
  <c r="AJ30" i="24" s="1"/>
  <c r="U30" i="29"/>
  <c r="U80" i="29" s="1"/>
  <c r="Y26" i="13"/>
  <c r="AB26" i="13" s="1"/>
  <c r="AJ26" i="24" s="1"/>
  <c r="U26" i="29"/>
  <c r="U76" i="29" s="1"/>
  <c r="Y41" i="13"/>
  <c r="AB41" i="13" s="1"/>
  <c r="AJ41" i="24" s="1"/>
  <c r="U41" i="29"/>
  <c r="U91" i="29" s="1"/>
  <c r="Y15" i="13"/>
  <c r="AB15" i="13" s="1"/>
  <c r="AJ15" i="24" s="1"/>
  <c r="U15" i="29"/>
  <c r="U65" i="29" s="1"/>
  <c r="Y16" i="13"/>
  <c r="AB16" i="13" s="1"/>
  <c r="AJ16" i="24" s="1"/>
  <c r="U16" i="29"/>
  <c r="U66" i="29" s="1"/>
  <c r="Y49" i="13"/>
  <c r="AB49" i="13" s="1"/>
  <c r="AJ49" i="24" s="1"/>
  <c r="U49" i="29"/>
  <c r="U99" i="29" s="1"/>
  <c r="Y37" i="13"/>
  <c r="AB37" i="13" s="1"/>
  <c r="AJ37" i="24" s="1"/>
  <c r="U37" i="29"/>
  <c r="U87" i="29" s="1"/>
  <c r="Y43" i="13"/>
  <c r="AB43" i="13" s="1"/>
  <c r="AJ43" i="24" s="1"/>
  <c r="U43" i="29"/>
  <c r="U93" i="29" s="1"/>
  <c r="Y45" i="13"/>
  <c r="AB45" i="13" s="1"/>
  <c r="AJ45" i="24" s="1"/>
  <c r="U45" i="29"/>
  <c r="U95" i="29" s="1"/>
  <c r="Y40" i="13"/>
  <c r="AB40" i="13" s="1"/>
  <c r="AJ40" i="24" s="1"/>
  <c r="U40" i="29"/>
  <c r="U90" i="29" s="1"/>
  <c r="Y32" i="13"/>
  <c r="AB32" i="13" s="1"/>
  <c r="AJ32" i="24" s="1"/>
  <c r="U32" i="29"/>
  <c r="U82" i="29" s="1"/>
  <c r="Y23" i="13"/>
  <c r="AB23" i="13" s="1"/>
  <c r="AJ23" i="24" s="1"/>
  <c r="U23" i="29"/>
  <c r="U73" i="29" s="1"/>
  <c r="Y44" i="13"/>
  <c r="AB44" i="13" s="1"/>
  <c r="AJ44" i="24" s="1"/>
  <c r="U44" i="29"/>
  <c r="U94" i="29" s="1"/>
  <c r="Y33" i="13"/>
  <c r="AB33" i="13" s="1"/>
  <c r="AJ33" i="24" s="1"/>
  <c r="U33" i="29"/>
  <c r="U83" i="29" s="1"/>
  <c r="Y27" i="13"/>
  <c r="AB27" i="13" s="1"/>
  <c r="AJ27" i="24" s="1"/>
  <c r="U27" i="29"/>
  <c r="U77" i="29" s="1"/>
  <c r="Y46" i="13"/>
  <c r="AB46" i="13" s="1"/>
  <c r="AJ46" i="24" s="1"/>
  <c r="U46" i="29"/>
  <c r="U96" i="29" s="1"/>
  <c r="Y38" i="13"/>
  <c r="AB38" i="13" s="1"/>
  <c r="AJ38" i="24" s="1"/>
  <c r="U38" i="29"/>
  <c r="U88" i="29" s="1"/>
  <c r="Y28" i="13"/>
  <c r="AB28" i="13" s="1"/>
  <c r="AJ28" i="24" s="1"/>
  <c r="U28" i="29"/>
  <c r="U78" i="29" s="1"/>
  <c r="Y9" i="13"/>
  <c r="AB9" i="13" s="1"/>
  <c r="G23" i="22" s="1"/>
  <c r="I23" i="22" s="1"/>
  <c r="U9" i="29"/>
  <c r="U59" i="29" s="1"/>
  <c r="Y42" i="13"/>
  <c r="AB42" i="13" s="1"/>
  <c r="AJ42" i="24" s="1"/>
  <c r="U42" i="29"/>
  <c r="U92" i="29" s="1"/>
  <c r="Y39" i="13"/>
  <c r="AB39" i="13" s="1"/>
  <c r="AJ39" i="24" s="1"/>
  <c r="U39" i="29"/>
  <c r="U89" i="29" s="1"/>
  <c r="Y11" i="13"/>
  <c r="AB11" i="13" s="1"/>
  <c r="AJ11" i="24" s="1"/>
  <c r="U11" i="29"/>
  <c r="U61" i="29" s="1"/>
  <c r="G9" i="22"/>
  <c r="I9" i="22" s="1"/>
  <c r="AQ33" i="23"/>
  <c r="AQ23" i="23"/>
  <c r="AA229" i="17"/>
  <c r="AA242" i="17"/>
  <c r="AA234" i="17"/>
  <c r="AA762" i="16"/>
  <c r="AG762" i="16" s="1"/>
  <c r="AA767" i="16"/>
  <c r="AG767" i="16" s="1"/>
  <c r="AA780" i="16"/>
  <c r="AG780" i="16" s="1"/>
  <c r="AA787" i="16"/>
  <c r="AG787" i="16" s="1"/>
  <c r="AA773" i="16"/>
  <c r="AG773" i="16" s="1"/>
  <c r="AA769" i="16"/>
  <c r="AG769" i="16" s="1"/>
  <c r="AA765" i="16"/>
  <c r="AG765" i="16" s="1"/>
  <c r="AA277" i="17"/>
  <c r="AA262" i="17"/>
  <c r="AA794" i="16"/>
  <c r="AG794" i="16" s="1"/>
  <c r="AA808" i="16"/>
  <c r="AG808" i="16" s="1"/>
  <c r="AA821" i="16"/>
  <c r="AG821" i="16" s="1"/>
  <c r="AA817" i="16"/>
  <c r="AG817" i="16" s="1"/>
  <c r="AA303" i="17"/>
  <c r="AA834" i="16"/>
  <c r="AG834" i="16" s="1"/>
  <c r="AA849" i="16"/>
  <c r="AG849" i="16" s="1"/>
  <c r="AA833" i="16"/>
  <c r="AG833" i="16" s="1"/>
  <c r="AA363" i="17"/>
  <c r="AA355" i="17"/>
  <c r="AA351" i="17"/>
  <c r="AA335" i="17"/>
  <c r="AA338" i="17"/>
  <c r="AA358" i="17"/>
  <c r="AA346" i="17"/>
  <c r="AA890" i="16"/>
  <c r="AG890" i="16" s="1"/>
  <c r="AA881" i="16"/>
  <c r="AG881" i="16" s="1"/>
  <c r="AA888" i="16"/>
  <c r="AG888" i="16" s="1"/>
  <c r="AA871" i="16"/>
  <c r="AG871" i="16" s="1"/>
  <c r="AA886" i="16"/>
  <c r="AG886" i="16" s="1"/>
  <c r="AA870" i="16"/>
  <c r="AG870" i="16" s="1"/>
  <c r="AA884" i="16"/>
  <c r="AG884" i="16" s="1"/>
  <c r="AA899" i="16"/>
  <c r="AG899" i="16" s="1"/>
  <c r="AA901" i="16"/>
  <c r="AG901" i="16" s="1"/>
  <c r="AA869" i="16"/>
  <c r="AG869" i="16" s="1"/>
  <c r="AA949" i="16"/>
  <c r="AA677" i="16"/>
  <c r="AA665" i="16"/>
  <c r="AA672" i="16"/>
  <c r="AA664" i="16"/>
  <c r="AB51" i="11"/>
  <c r="X5" i="12"/>
  <c r="X5" i="13"/>
  <c r="Q51" i="12"/>
  <c r="Q51" i="13"/>
  <c r="AB53" i="13"/>
  <c r="AB53" i="12"/>
  <c r="AB53" i="10"/>
  <c r="AB53" i="11"/>
  <c r="S73" i="9"/>
  <c r="AA713" i="16" l="1"/>
  <c r="AA719" i="16"/>
  <c r="AA674" i="16"/>
  <c r="AA960" i="16"/>
  <c r="AA300" i="17"/>
  <c r="AA298" i="17"/>
  <c r="AA793" i="16"/>
  <c r="AG793" i="16" s="1"/>
  <c r="AA280" i="17"/>
  <c r="AA316" i="17"/>
  <c r="AA811" i="16"/>
  <c r="AG811" i="16" s="1"/>
  <c r="AA278" i="17"/>
  <c r="AA667" i="16"/>
  <c r="AA835" i="16"/>
  <c r="AG835" i="16" s="1"/>
  <c r="AA669" i="16"/>
  <c r="AA885" i="16"/>
  <c r="AG885" i="16" s="1"/>
  <c r="AA895" i="16"/>
  <c r="AG895" i="16" s="1"/>
  <c r="AA354" i="17"/>
  <c r="AA836" i="16"/>
  <c r="AG836" i="16" s="1"/>
  <c r="AA288" i="17"/>
  <c r="AA268" i="17"/>
  <c r="AA270" i="17"/>
  <c r="AA764" i="16"/>
  <c r="AG764" i="16" s="1"/>
  <c r="AA254" i="17"/>
  <c r="AA261" i="17"/>
  <c r="AA838" i="16"/>
  <c r="AG838" i="16" s="1"/>
  <c r="AA302" i="17"/>
  <c r="AA806" i="16"/>
  <c r="AG806" i="16" s="1"/>
  <c r="AA681" i="16"/>
  <c r="AA662" i="16"/>
  <c r="AA883" i="16"/>
  <c r="AG883" i="16" s="1"/>
  <c r="AA896" i="16"/>
  <c r="AG896" i="16" s="1"/>
  <c r="AA343" i="17"/>
  <c r="AA846" i="16"/>
  <c r="AG846" i="16" s="1"/>
  <c r="AA291" i="17"/>
  <c r="AA799" i="16"/>
  <c r="AG799" i="16" s="1"/>
  <c r="AA273" i="17"/>
  <c r="AA782" i="16"/>
  <c r="AG782" i="16" s="1"/>
  <c r="AA706" i="16"/>
  <c r="AA872" i="16"/>
  <c r="AG872" i="16" s="1"/>
  <c r="AA364" i="17"/>
  <c r="AA345" i="17"/>
  <c r="AA244" i="17"/>
  <c r="AA1003" i="16"/>
  <c r="AA705" i="16"/>
  <c r="AA1002" i="16"/>
  <c r="AA878" i="16"/>
  <c r="AG878" i="16" s="1"/>
  <c r="AA897" i="16"/>
  <c r="AG897" i="16" s="1"/>
  <c r="AA368" i="17"/>
  <c r="AA367" i="17"/>
  <c r="AA768" i="16"/>
  <c r="AG768" i="16" s="1"/>
  <c r="AA241" i="17"/>
  <c r="AA710" i="16"/>
  <c r="AA898" i="16"/>
  <c r="AG898" i="16" s="1"/>
  <c r="AA339" i="17"/>
  <c r="AA763" i="16"/>
  <c r="AG763" i="16" s="1"/>
  <c r="AA770" i="16"/>
  <c r="AG770" i="16" s="1"/>
  <c r="AA1124" i="16"/>
  <c r="AG1124" i="16" s="1"/>
  <c r="AA717" i="16"/>
  <c r="AG717" i="16" s="1"/>
  <c r="AA1008" i="16"/>
  <c r="AA243" i="17"/>
  <c r="AA711" i="16"/>
  <c r="AA730" i="16"/>
  <c r="AA370" i="17"/>
  <c r="AA361" i="17"/>
  <c r="AA299" i="17"/>
  <c r="AA230" i="17"/>
  <c r="AA666" i="16"/>
  <c r="AA678" i="16"/>
  <c r="AA712" i="16"/>
  <c r="AA822" i="16"/>
  <c r="AG822" i="16" s="1"/>
  <c r="AA850" i="16"/>
  <c r="AG850" i="16" s="1"/>
  <c r="AA293" i="17"/>
  <c r="AA809" i="16"/>
  <c r="AG809" i="16" s="1"/>
  <c r="AA807" i="16"/>
  <c r="AG807" i="16" s="1"/>
  <c r="AA274" i="17"/>
  <c r="AA663" i="16"/>
  <c r="AA825" i="16"/>
  <c r="AG825" i="16" s="1"/>
  <c r="AA314" i="17"/>
  <c r="AA796" i="16"/>
  <c r="AG796" i="16" s="1"/>
  <c r="AA675" i="16"/>
  <c r="AG675" i="16" s="1"/>
  <c r="AA839" i="16"/>
  <c r="AG839" i="16" s="1"/>
  <c r="AA311" i="17"/>
  <c r="AA802" i="16"/>
  <c r="AG802" i="16" s="1"/>
  <c r="AA265" i="17"/>
  <c r="AA679" i="16"/>
  <c r="AA668" i="16"/>
  <c r="AA708" i="16"/>
  <c r="AA964" i="16"/>
  <c r="AG964" i="16" s="1"/>
  <c r="AA837" i="16"/>
  <c r="AG837" i="16" s="1"/>
  <c r="AA847" i="16"/>
  <c r="AG847" i="16" s="1"/>
  <c r="AA290" i="17"/>
  <c r="AA315" i="17"/>
  <c r="AA804" i="16"/>
  <c r="AG804" i="16" s="1"/>
  <c r="AA264" i="17"/>
  <c r="AA271" i="17"/>
  <c r="AA948" i="16"/>
  <c r="AG948" i="16" s="1"/>
  <c r="AA959" i="16"/>
  <c r="L959" i="21" s="1"/>
  <c r="O959" i="21" s="1"/>
  <c r="AA1012" i="16"/>
  <c r="L1012" i="21" s="1"/>
  <c r="O1012" i="21" s="1"/>
  <c r="AA1015" i="16"/>
  <c r="AA707" i="16"/>
  <c r="AA720" i="16"/>
  <c r="AG720" i="16" s="1"/>
  <c r="AA1004" i="16"/>
  <c r="AA961" i="16"/>
  <c r="AG961" i="16" s="1"/>
  <c r="AA891" i="16"/>
  <c r="AG891" i="16" s="1"/>
  <c r="AA902" i="16"/>
  <c r="AG902" i="16" s="1"/>
  <c r="AA904" i="16"/>
  <c r="AG904" i="16" s="1"/>
  <c r="AA344" i="17"/>
  <c r="AA352" i="17"/>
  <c r="AA347" i="17"/>
  <c r="AA369" i="17"/>
  <c r="AA716" i="16"/>
  <c r="AG716" i="16" s="1"/>
  <c r="AA722" i="16"/>
  <c r="AG722" i="16" s="1"/>
  <c r="AA1006" i="16"/>
  <c r="AG1006" i="16" s="1"/>
  <c r="AA876" i="16"/>
  <c r="AG876" i="16" s="1"/>
  <c r="AA879" i="16"/>
  <c r="AG879" i="16" s="1"/>
  <c r="AA889" i="16"/>
  <c r="AG889" i="16" s="1"/>
  <c r="AA342" i="17"/>
  <c r="AA350" i="17"/>
  <c r="AA353" i="17"/>
  <c r="AA721" i="16"/>
  <c r="L721" i="21" s="1"/>
  <c r="O721" i="21" s="1"/>
  <c r="AA703" i="16"/>
  <c r="AG703" i="16" s="1"/>
  <c r="AA1013" i="16"/>
  <c r="AG1013" i="16" s="1"/>
  <c r="AA967" i="16"/>
  <c r="AA893" i="16"/>
  <c r="AG893" i="16" s="1"/>
  <c r="AA892" i="16"/>
  <c r="AG892" i="16" s="1"/>
  <c r="AA903" i="16"/>
  <c r="AG903" i="16" s="1"/>
  <c r="AA882" i="16"/>
  <c r="AG882" i="16" s="1"/>
  <c r="AA340" i="17"/>
  <c r="AA337" i="17"/>
  <c r="AA359" i="17"/>
  <c r="AA845" i="16"/>
  <c r="AG845" i="16" s="1"/>
  <c r="AA824" i="16"/>
  <c r="AG824" i="16" s="1"/>
  <c r="AA308" i="17"/>
  <c r="AA309" i="17"/>
  <c r="AA795" i="16"/>
  <c r="AG795" i="16" s="1"/>
  <c r="AA792" i="16"/>
  <c r="AG792" i="16" s="1"/>
  <c r="AA276" i="17"/>
  <c r="AA287" i="17"/>
  <c r="AA788" i="16"/>
  <c r="AG788" i="16" s="1"/>
  <c r="AA248" i="17"/>
  <c r="AA750" i="16"/>
  <c r="L750" i="21" s="1"/>
  <c r="O750" i="21" s="1"/>
  <c r="AA854" i="16"/>
  <c r="AG854" i="16" s="1"/>
  <c r="AA281" i="17"/>
  <c r="AA245" i="17"/>
  <c r="AA843" i="16"/>
  <c r="AG843" i="16" s="1"/>
  <c r="AA848" i="16"/>
  <c r="AG848" i="16" s="1"/>
  <c r="AA312" i="17"/>
  <c r="AA301" i="17"/>
  <c r="AA797" i="16"/>
  <c r="AG797" i="16" s="1"/>
  <c r="AA798" i="16"/>
  <c r="AG798" i="16" s="1"/>
  <c r="AA266" i="17"/>
  <c r="AA286" i="17"/>
  <c r="AA1053" i="16"/>
  <c r="AG1053" i="16" s="1"/>
  <c r="AA327" i="17"/>
  <c r="AA965" i="16"/>
  <c r="AG965" i="16" s="1"/>
  <c r="AA958" i="16"/>
  <c r="L958" i="21" s="1"/>
  <c r="O958" i="21" s="1"/>
  <c r="AA953" i="16"/>
  <c r="AG953" i="16" s="1"/>
  <c r="AA955" i="16"/>
  <c r="AA951" i="16"/>
  <c r="AG951" i="16" s="1"/>
  <c r="AA954" i="16"/>
  <c r="L954" i="21" s="1"/>
  <c r="O954" i="21" s="1"/>
  <c r="AA671" i="16"/>
  <c r="AG671" i="16" s="1"/>
  <c r="AA673" i="16"/>
  <c r="AG673" i="16" s="1"/>
  <c r="AA670" i="16"/>
  <c r="AG670" i="16" s="1"/>
  <c r="AA715" i="16"/>
  <c r="L715" i="21" s="1"/>
  <c r="O715" i="21" s="1"/>
  <c r="AA704" i="16"/>
  <c r="L704" i="21" s="1"/>
  <c r="O704" i="21" s="1"/>
  <c r="AA957" i="16"/>
  <c r="AA956" i="16"/>
  <c r="AG956" i="16" s="1"/>
  <c r="AA1014" i="16"/>
  <c r="AG1014" i="16" s="1"/>
  <c r="AA968" i="16"/>
  <c r="AG968" i="16" s="1"/>
  <c r="AA755" i="16"/>
  <c r="AG755" i="16" s="1"/>
  <c r="AA875" i="16"/>
  <c r="AG875" i="16" s="1"/>
  <c r="AA900" i="16"/>
  <c r="AG900" i="16" s="1"/>
  <c r="AA887" i="16"/>
  <c r="AG887" i="16" s="1"/>
  <c r="AA873" i="16"/>
  <c r="AG873" i="16" s="1"/>
  <c r="AA348" i="17"/>
  <c r="AA356" i="17"/>
  <c r="AA366" i="17"/>
  <c r="AA349" i="17"/>
  <c r="AA365" i="17"/>
  <c r="AA827" i="16"/>
  <c r="AG827" i="16" s="1"/>
  <c r="AA823" i="16"/>
  <c r="AG823" i="16" s="1"/>
  <c r="AA826" i="16"/>
  <c r="AG826" i="16" s="1"/>
  <c r="AA292" i="17"/>
  <c r="AA295" i="17"/>
  <c r="AA1133" i="16"/>
  <c r="L1139" i="21" s="1"/>
  <c r="AA627" i="16"/>
  <c r="L627" i="21" s="1"/>
  <c r="O627" i="21" s="1"/>
  <c r="AA803" i="16"/>
  <c r="AG803" i="16" s="1"/>
  <c r="AA791" i="16"/>
  <c r="AG791" i="16" s="1"/>
  <c r="AA810" i="16"/>
  <c r="AG810" i="16" s="1"/>
  <c r="AA258" i="17"/>
  <c r="AA269" i="17"/>
  <c r="AA785" i="16"/>
  <c r="AG785" i="16" s="1"/>
  <c r="AA236" i="17"/>
  <c r="AA783" i="16"/>
  <c r="AG783" i="16" s="1"/>
  <c r="AA252" i="17"/>
  <c r="AA237" i="17"/>
  <c r="AA1091" i="16"/>
  <c r="L1091" i="21" s="1"/>
  <c r="O1091" i="21" s="1"/>
  <c r="AA1076" i="16"/>
  <c r="AA321" i="17"/>
  <c r="AA680" i="16"/>
  <c r="AG680" i="16" s="1"/>
  <c r="AA676" i="16"/>
  <c r="L676" i="21" s="1"/>
  <c r="O676" i="21" s="1"/>
  <c r="AA709" i="16"/>
  <c r="AG709" i="16" s="1"/>
  <c r="AA718" i="16"/>
  <c r="AG718" i="16" s="1"/>
  <c r="AA714" i="16"/>
  <c r="AG714" i="16" s="1"/>
  <c r="AA963" i="16"/>
  <c r="AG963" i="16" s="1"/>
  <c r="AA950" i="16"/>
  <c r="AA1007" i="16"/>
  <c r="AG1007" i="16" s="1"/>
  <c r="AA1001" i="16"/>
  <c r="L1001" i="21" s="1"/>
  <c r="O1001" i="21" s="1"/>
  <c r="AA877" i="16"/>
  <c r="AG877" i="16" s="1"/>
  <c r="AA360" i="17"/>
  <c r="AA894" i="16"/>
  <c r="AG894" i="16" s="1"/>
  <c r="AA880" i="16"/>
  <c r="AG880" i="16" s="1"/>
  <c r="AA874" i="16"/>
  <c r="AG874" i="16" s="1"/>
  <c r="AA362" i="17"/>
  <c r="AA336" i="17"/>
  <c r="AA341" i="17"/>
  <c r="AA357" i="17"/>
  <c r="AA829" i="16"/>
  <c r="AG829" i="16" s="1"/>
  <c r="AA844" i="16"/>
  <c r="AG844" i="16" s="1"/>
  <c r="AA840" i="16"/>
  <c r="AG840" i="16" s="1"/>
  <c r="AA296" i="17"/>
  <c r="AA304" i="17"/>
  <c r="AA307" i="17"/>
  <c r="AA1092" i="16"/>
  <c r="AG1092" i="16" s="1"/>
  <c r="AA805" i="16"/>
  <c r="AG805" i="16" s="1"/>
  <c r="AA812" i="16"/>
  <c r="AG812" i="16" s="1"/>
  <c r="AA800" i="16"/>
  <c r="AG800" i="16" s="1"/>
  <c r="AA282" i="17"/>
  <c r="AA257" i="17"/>
  <c r="AA279" i="17"/>
  <c r="AA781" i="16"/>
  <c r="AG781" i="16" s="1"/>
  <c r="AA766" i="16"/>
  <c r="AG766" i="16" s="1"/>
  <c r="AA778" i="16"/>
  <c r="AG778" i="16" s="1"/>
  <c r="AA240" i="17"/>
  <c r="AA249" i="17"/>
  <c r="AA1005" i="16"/>
  <c r="AG1005" i="16" s="1"/>
  <c r="AA1011" i="16"/>
  <c r="AG1011" i="16" s="1"/>
  <c r="AA966" i="16"/>
  <c r="AA952" i="16"/>
  <c r="AG952" i="16" s="1"/>
  <c r="AA962" i="16"/>
  <c r="AG962" i="16" s="1"/>
  <c r="AA1072" i="16"/>
  <c r="AG1072" i="16" s="1"/>
  <c r="AA263" i="17"/>
  <c r="AA285" i="17"/>
  <c r="AA771" i="16"/>
  <c r="AG771" i="16" s="1"/>
  <c r="AA790" i="16"/>
  <c r="AG790" i="16" s="1"/>
  <c r="AA232" i="17"/>
  <c r="AA238" i="17"/>
  <c r="AA1122" i="16"/>
  <c r="AG1122" i="16" s="1"/>
  <c r="AA1118" i="16"/>
  <c r="AG1118" i="16" s="1"/>
  <c r="AA1045" i="16"/>
  <c r="L1045" i="21" s="1"/>
  <c r="O1045" i="21" s="1"/>
  <c r="AA1081" i="16"/>
  <c r="AG1081" i="16" s="1"/>
  <c r="AA862" i="16"/>
  <c r="AG862" i="16" s="1"/>
  <c r="AA620" i="16"/>
  <c r="AG620" i="16" s="1"/>
  <c r="AA756" i="16"/>
  <c r="L756" i="21" s="1"/>
  <c r="O756" i="21" s="1"/>
  <c r="AA326" i="17"/>
  <c r="AA742" i="16"/>
  <c r="AG742" i="16" s="1"/>
  <c r="AA227" i="17"/>
  <c r="AA853" i="16"/>
  <c r="AG853" i="16" s="1"/>
  <c r="AA757" i="16"/>
  <c r="AG757" i="16" s="1"/>
  <c r="AA1115" i="16"/>
  <c r="L1115" i="21" s="1"/>
  <c r="O1115" i="21" s="1"/>
  <c r="AA618" i="16"/>
  <c r="AG618" i="16" s="1"/>
  <c r="AA1125" i="16"/>
  <c r="AG1125" i="16" s="1"/>
  <c r="AA1131" i="16"/>
  <c r="L1131" i="21" s="1"/>
  <c r="O1131" i="21" s="1"/>
  <c r="AA1112" i="16"/>
  <c r="AG1112" i="16" s="1"/>
  <c r="AA1050" i="16"/>
  <c r="AG1050" i="16" s="1"/>
  <c r="AA1117" i="16"/>
  <c r="AG1117" i="16" s="1"/>
  <c r="AA1070" i="16"/>
  <c r="AG1070" i="16" s="1"/>
  <c r="AA251" i="17"/>
  <c r="AA1099" i="16"/>
  <c r="AG1099" i="16" s="1"/>
  <c r="AA1103" i="16"/>
  <c r="AG1103" i="16" s="1"/>
  <c r="AA235" i="17"/>
  <c r="AA1051" i="16"/>
  <c r="L1051" i="21" s="1"/>
  <c r="O1051" i="21" s="1"/>
  <c r="AA1108" i="16"/>
  <c r="AG1108" i="16" s="1"/>
  <c r="AA1041" i="16"/>
  <c r="L1041" i="21" s="1"/>
  <c r="O1041" i="21" s="1"/>
  <c r="AA776" i="16"/>
  <c r="AG776" i="16" s="1"/>
  <c r="AA250" i="17"/>
  <c r="AA233" i="17"/>
  <c r="AA253" i="17"/>
  <c r="I15" i="30"/>
  <c r="AA1037" i="16"/>
  <c r="L1037" i="21" s="1"/>
  <c r="O1037" i="21" s="1"/>
  <c r="AA1123" i="16"/>
  <c r="AG1123" i="16" s="1"/>
  <c r="AA1071" i="16"/>
  <c r="AG1071" i="16" s="1"/>
  <c r="AA1061" i="16"/>
  <c r="AG1061" i="16" s="1"/>
  <c r="AA1035" i="16"/>
  <c r="AG1035" i="16" s="1"/>
  <c r="AA1052" i="16"/>
  <c r="L1052" i="21" s="1"/>
  <c r="O1052" i="21" s="1"/>
  <c r="AA1055" i="16"/>
  <c r="L1055" i="21" s="1"/>
  <c r="O1055" i="21" s="1"/>
  <c r="AA1105" i="16"/>
  <c r="AG1105" i="16" s="1"/>
  <c r="AA979" i="16"/>
  <c r="AG979" i="16" s="1"/>
  <c r="AA1069" i="16"/>
  <c r="L1069" i="21" s="1"/>
  <c r="O1069" i="21" s="1"/>
  <c r="AA1067" i="16"/>
  <c r="AG1067" i="16" s="1"/>
  <c r="AA1084" i="16"/>
  <c r="AG1084" i="16" s="1"/>
  <c r="AA1079" i="16"/>
  <c r="AG1079" i="16" s="1"/>
  <c r="AA1090" i="16"/>
  <c r="AG1090" i="16" s="1"/>
  <c r="AA455" i="16"/>
  <c r="AG455" i="16" s="1"/>
  <c r="AA1085" i="16"/>
  <c r="AG1085" i="16" s="1"/>
  <c r="AA1059" i="16"/>
  <c r="AG1059" i="16" s="1"/>
  <c r="AA1044" i="16"/>
  <c r="AG1044" i="16" s="1"/>
  <c r="AA1046" i="16"/>
  <c r="L1046" i="21" s="1"/>
  <c r="O1046" i="21" s="1"/>
  <c r="AA1056" i="16"/>
  <c r="L1056" i="21" s="1"/>
  <c r="O1056" i="21" s="1"/>
  <c r="AA1074" i="16"/>
  <c r="AG1074" i="16" s="1"/>
  <c r="AA1101" i="16"/>
  <c r="AG1101" i="16" s="1"/>
  <c r="AA1083" i="16"/>
  <c r="AG1083" i="16" s="1"/>
  <c r="AA1060" i="16"/>
  <c r="AG1060" i="16" s="1"/>
  <c r="AA1102" i="16"/>
  <c r="AG1102" i="16" s="1"/>
  <c r="AA1104" i="16"/>
  <c r="AG1104" i="16" s="1"/>
  <c r="AA1106" i="16"/>
  <c r="AG1106" i="16" s="1"/>
  <c r="AA856" i="16"/>
  <c r="AG856" i="16" s="1"/>
  <c r="AA329" i="17"/>
  <c r="AA737" i="16"/>
  <c r="AG737" i="16" s="1"/>
  <c r="AA743" i="16"/>
  <c r="L743" i="21" s="1"/>
  <c r="O743" i="21" s="1"/>
  <c r="AA1054" i="16"/>
  <c r="AG1054" i="16" s="1"/>
  <c r="AA1087" i="16"/>
  <c r="AG1087" i="16" s="1"/>
  <c r="AA1073" i="16"/>
  <c r="L1073" i="21" s="1"/>
  <c r="O1073" i="21" s="1"/>
  <c r="AA1114" i="16"/>
  <c r="L1114" i="21" s="1"/>
  <c r="O1114" i="21" s="1"/>
  <c r="AA1033" i="16"/>
  <c r="AG1033" i="16" s="1"/>
  <c r="AA741" i="16"/>
  <c r="AG741" i="16" s="1"/>
  <c r="AA728" i="16"/>
  <c r="AG728" i="16" s="1"/>
  <c r="AA865" i="16"/>
  <c r="AG865" i="16" s="1"/>
  <c r="AA858" i="16"/>
  <c r="AG858" i="16" s="1"/>
  <c r="AA731" i="16"/>
  <c r="L731" i="21" s="1"/>
  <c r="O731" i="21" s="1"/>
  <c r="AA736" i="16"/>
  <c r="AG736" i="16" s="1"/>
  <c r="AA1086" i="16"/>
  <c r="AG1086" i="16" s="1"/>
  <c r="AA1040" i="16"/>
  <c r="AG1040" i="16" s="1"/>
  <c r="AA1089" i="16"/>
  <c r="AG1089" i="16" s="1"/>
  <c r="AA622" i="16"/>
  <c r="AG622" i="16" s="1"/>
  <c r="AA861" i="16"/>
  <c r="AG861" i="16" s="1"/>
  <c r="AA320" i="17"/>
  <c r="AA913" i="16"/>
  <c r="AG913" i="16" s="1"/>
  <c r="AA724" i="16"/>
  <c r="AG724" i="16" s="1"/>
  <c r="AA754" i="16"/>
  <c r="AG754" i="16" s="1"/>
  <c r="AA852" i="16"/>
  <c r="AG852" i="16" s="1"/>
  <c r="AA318" i="17"/>
  <c r="AA230" i="16"/>
  <c r="AG230" i="16" s="1"/>
  <c r="AA438" i="16"/>
  <c r="L438" i="21" s="1"/>
  <c r="O438" i="21" s="1"/>
  <c r="AA1088" i="16"/>
  <c r="AG1088" i="16" s="1"/>
  <c r="AA1121" i="16"/>
  <c r="AG1121" i="16" s="1"/>
  <c r="AA1116" i="16"/>
  <c r="AG1116" i="16" s="1"/>
  <c r="AA1110" i="16"/>
  <c r="L1110" i="21" s="1"/>
  <c r="O1110" i="21" s="1"/>
  <c r="AA1119" i="16"/>
  <c r="AG1119" i="16" s="1"/>
  <c r="AA1120" i="16"/>
  <c r="L1120" i="21" s="1"/>
  <c r="O1120" i="21" s="1"/>
  <c r="AA1042" i="16"/>
  <c r="AG1042" i="16" s="1"/>
  <c r="AA390" i="17"/>
  <c r="AA1038" i="16"/>
  <c r="AG1038" i="16" s="1"/>
  <c r="AA1039" i="16"/>
  <c r="AG1039" i="16" s="1"/>
  <c r="AA1048" i="16"/>
  <c r="AG1048" i="16" s="1"/>
  <c r="AA1057" i="16"/>
  <c r="AG1057" i="16" s="1"/>
  <c r="AA1058" i="16"/>
  <c r="AG1058" i="16" s="1"/>
  <c r="AA1078" i="16"/>
  <c r="AG1078" i="16" s="1"/>
  <c r="AA1047" i="16"/>
  <c r="AG1047" i="16" s="1"/>
  <c r="AA1111" i="16"/>
  <c r="L1111" i="21" s="1"/>
  <c r="O1111" i="21" s="1"/>
  <c r="AA1080" i="16"/>
  <c r="AG1080" i="16" s="1"/>
  <c r="AA1049" i="16"/>
  <c r="L1049" i="21" s="1"/>
  <c r="O1049" i="21" s="1"/>
  <c r="AA1113" i="16"/>
  <c r="L1113" i="21" s="1"/>
  <c r="O1113" i="21" s="1"/>
  <c r="AA1082" i="16"/>
  <c r="L1082" i="21" s="1"/>
  <c r="O1082" i="21" s="1"/>
  <c r="AA1016" i="16"/>
  <c r="L1034" i="21" s="1"/>
  <c r="AA1010" i="16"/>
  <c r="AG1010" i="16" s="1"/>
  <c r="AA828" i="16"/>
  <c r="AG828" i="16" s="1"/>
  <c r="AA831" i="16"/>
  <c r="AG831" i="16" s="1"/>
  <c r="AA841" i="16"/>
  <c r="AG841" i="16" s="1"/>
  <c r="AA294" i="17"/>
  <c r="AA306" i="17"/>
  <c r="AA297" i="17"/>
  <c r="AA313" i="17"/>
  <c r="AA1093" i="16"/>
  <c r="L1093" i="21" s="1"/>
  <c r="O1093" i="21" s="1"/>
  <c r="AA1043" i="16"/>
  <c r="AG1043" i="16" s="1"/>
  <c r="AA1107" i="16"/>
  <c r="AG1107" i="16" s="1"/>
  <c r="AA1068" i="16"/>
  <c r="L1068" i="21" s="1"/>
  <c r="O1068" i="21" s="1"/>
  <c r="AA1132" i="16"/>
  <c r="AG1132" i="16" s="1"/>
  <c r="AA1094" i="16"/>
  <c r="AG1094" i="16" s="1"/>
  <c r="AA1063" i="16"/>
  <c r="AG1063" i="16" s="1"/>
  <c r="AA1127" i="16"/>
  <c r="AG1127" i="16" s="1"/>
  <c r="AA1096" i="16"/>
  <c r="L1096" i="21" s="1"/>
  <c r="O1096" i="21" s="1"/>
  <c r="AA1065" i="16"/>
  <c r="L1065" i="21" s="1"/>
  <c r="O1065" i="21" s="1"/>
  <c r="AA1129" i="16"/>
  <c r="AG1129" i="16" s="1"/>
  <c r="AA1098" i="16"/>
  <c r="L1098" i="21" s="1"/>
  <c r="O1098" i="21" s="1"/>
  <c r="AA813" i="16"/>
  <c r="AG813" i="16" s="1"/>
  <c r="AA820" i="16"/>
  <c r="AG820" i="16" s="1"/>
  <c r="AA815" i="16"/>
  <c r="AG815" i="16" s="1"/>
  <c r="AA818" i="16"/>
  <c r="AG818" i="16" s="1"/>
  <c r="AA260" i="17"/>
  <c r="AA259" i="17"/>
  <c r="AA275" i="17"/>
  <c r="AA789" i="16"/>
  <c r="AG789" i="16" s="1"/>
  <c r="AA779" i="16"/>
  <c r="AG779" i="16" s="1"/>
  <c r="AA774" i="16"/>
  <c r="AG774" i="16" s="1"/>
  <c r="AA784" i="16"/>
  <c r="AG784" i="16" s="1"/>
  <c r="AA228" i="17"/>
  <c r="AA256" i="17"/>
  <c r="AA239" i="17"/>
  <c r="AA255" i="17"/>
  <c r="AJ12" i="24"/>
  <c r="AA502" i="16"/>
  <c r="L502" i="21" s="1"/>
  <c r="O502" i="21" s="1"/>
  <c r="AA1009" i="16"/>
  <c r="L1009" i="21" s="1"/>
  <c r="O1009" i="21" s="1"/>
  <c r="AA830" i="16"/>
  <c r="AG830" i="16" s="1"/>
  <c r="AA832" i="16"/>
  <c r="AG832" i="16" s="1"/>
  <c r="AA842" i="16"/>
  <c r="AG842" i="16" s="1"/>
  <c r="AA310" i="17"/>
  <c r="AA289" i="17"/>
  <c r="AA305" i="17"/>
  <c r="AA1077" i="16"/>
  <c r="AG1077" i="16" s="1"/>
  <c r="AA1109" i="16"/>
  <c r="AG1109" i="16" s="1"/>
  <c r="AA1075" i="16"/>
  <c r="L1075" i="21" s="1"/>
  <c r="O1075" i="21" s="1"/>
  <c r="AA1036" i="16"/>
  <c r="AG1036" i="16" s="1"/>
  <c r="AA1100" i="16"/>
  <c r="L1100" i="21" s="1"/>
  <c r="O1100" i="21" s="1"/>
  <c r="AA1062" i="16"/>
  <c r="AG1062" i="16" s="1"/>
  <c r="AA1126" i="16"/>
  <c r="AG1126" i="16" s="1"/>
  <c r="AA1095" i="16"/>
  <c r="AG1095" i="16" s="1"/>
  <c r="AA1064" i="16"/>
  <c r="AG1064" i="16" s="1"/>
  <c r="AA1128" i="16"/>
  <c r="AG1128" i="16" s="1"/>
  <c r="AA1097" i="16"/>
  <c r="AG1097" i="16" s="1"/>
  <c r="AA1066" i="16"/>
  <c r="AG1066" i="16" s="1"/>
  <c r="AA1130" i="16"/>
  <c r="L1130" i="21" s="1"/>
  <c r="O1130" i="21" s="1"/>
  <c r="AA801" i="16"/>
  <c r="AG801" i="16" s="1"/>
  <c r="AA819" i="16"/>
  <c r="AG819" i="16" s="1"/>
  <c r="AA814" i="16"/>
  <c r="AG814" i="16" s="1"/>
  <c r="AA816" i="16"/>
  <c r="AG816" i="16" s="1"/>
  <c r="AA284" i="17"/>
  <c r="AA272" i="17"/>
  <c r="AA267" i="17"/>
  <c r="AA283" i="17"/>
  <c r="AA777" i="16"/>
  <c r="AG777" i="16" s="1"/>
  <c r="AA772" i="16"/>
  <c r="AG772" i="16" s="1"/>
  <c r="AA775" i="16"/>
  <c r="AG775" i="16" s="1"/>
  <c r="AA786" i="16"/>
  <c r="AG786" i="16" s="1"/>
  <c r="AA246" i="17"/>
  <c r="AA231" i="17"/>
  <c r="AA247" i="17"/>
  <c r="AA1135" i="16"/>
  <c r="AG1135" i="16" s="1"/>
  <c r="AA217" i="16"/>
  <c r="AG217" i="16" s="1"/>
  <c r="AA505" i="16"/>
  <c r="AG505" i="16" s="1"/>
  <c r="AA999" i="16"/>
  <c r="AG999" i="16" s="1"/>
  <c r="AA124" i="17"/>
  <c r="AA458" i="16"/>
  <c r="L458" i="21" s="1"/>
  <c r="O458" i="21" s="1"/>
  <c r="AA528" i="16"/>
  <c r="AG528" i="16" s="1"/>
  <c r="AA127" i="17"/>
  <c r="AA221" i="16"/>
  <c r="AG221" i="16" s="1"/>
  <c r="AA387" i="17"/>
  <c r="AA212" i="16"/>
  <c r="AG212" i="16" s="1"/>
  <c r="AA684" i="16"/>
  <c r="AG684" i="16" s="1"/>
  <c r="AA260" i="16"/>
  <c r="AG260" i="16" s="1"/>
  <c r="AA509" i="16"/>
  <c r="AG509" i="16" s="1"/>
  <c r="AA385" i="17"/>
  <c r="AA272" i="16"/>
  <c r="L272" i="21" s="1"/>
  <c r="O272" i="21" s="1"/>
  <c r="AA309" i="16"/>
  <c r="AG309" i="16" s="1"/>
  <c r="AA551" i="16"/>
  <c r="AG551" i="16" s="1"/>
  <c r="AA989" i="16"/>
  <c r="AG989" i="16" s="1"/>
  <c r="AA928" i="16"/>
  <c r="AG928" i="16" s="1"/>
  <c r="AA285" i="16"/>
  <c r="AG285" i="16" s="1"/>
  <c r="AA284" i="16"/>
  <c r="AG284" i="16" s="1"/>
  <c r="AA373" i="16"/>
  <c r="AG373" i="16" s="1"/>
  <c r="AA453" i="16"/>
  <c r="AG453" i="16" s="1"/>
  <c r="AA225" i="16"/>
  <c r="L225" i="21" s="1"/>
  <c r="O225" i="21" s="1"/>
  <c r="AA924" i="16"/>
  <c r="L924" i="21" s="1"/>
  <c r="O924" i="21" s="1"/>
  <c r="AA699" i="16"/>
  <c r="AG699" i="16" s="1"/>
  <c r="AA270" i="16"/>
  <c r="AG270" i="16" s="1"/>
  <c r="AA423" i="16"/>
  <c r="AG423" i="16" s="1"/>
  <c r="AA132" i="17"/>
  <c r="AA54" i="17"/>
  <c r="AA383" i="17"/>
  <c r="AA73" i="17"/>
  <c r="G29" i="22"/>
  <c r="I29" i="22" s="1"/>
  <c r="AA947" i="16"/>
  <c r="AG947" i="16" s="1"/>
  <c r="AA211" i="16"/>
  <c r="L211" i="21" s="1"/>
  <c r="O211" i="21" s="1"/>
  <c r="AA114" i="16"/>
  <c r="AG114" i="16" s="1"/>
  <c r="AA922" i="16"/>
  <c r="AG922" i="16" s="1"/>
  <c r="AA1149" i="16"/>
  <c r="L1149" i="21" s="1"/>
  <c r="O1149" i="21" s="1"/>
  <c r="AA692" i="16"/>
  <c r="AG692" i="16" s="1"/>
  <c r="AA564" i="16"/>
  <c r="AG564" i="16" s="1"/>
  <c r="AA61" i="17"/>
  <c r="AA149" i="17"/>
  <c r="G14" i="22"/>
  <c r="I14" i="22" s="1"/>
  <c r="AA1000" i="16"/>
  <c r="AG1000" i="16" s="1"/>
  <c r="AA292" i="16"/>
  <c r="L292" i="21" s="1"/>
  <c r="O292" i="21" s="1"/>
  <c r="AA385" i="16"/>
  <c r="AG385" i="16" s="1"/>
  <c r="AA457" i="16"/>
  <c r="AG457" i="16" s="1"/>
  <c r="AA972" i="16"/>
  <c r="AG972" i="16" s="1"/>
  <c r="AA987" i="16"/>
  <c r="AG987" i="16" s="1"/>
  <c r="AA945" i="16"/>
  <c r="AG945" i="16" s="1"/>
  <c r="AA283" i="16"/>
  <c r="AG283" i="16" s="1"/>
  <c r="AA452" i="16"/>
  <c r="AG452" i="16" s="1"/>
  <c r="AA51" i="16"/>
  <c r="AG51" i="16" s="1"/>
  <c r="AA130" i="16"/>
  <c r="L130" i="21" s="1"/>
  <c r="O130" i="21" s="1"/>
  <c r="AA229" i="16"/>
  <c r="AG229" i="16" s="1"/>
  <c r="AA926" i="16"/>
  <c r="L926" i="21" s="1"/>
  <c r="O926" i="21" s="1"/>
  <c r="AA970" i="16"/>
  <c r="AG970" i="16" s="1"/>
  <c r="AA1155" i="16"/>
  <c r="AG1155" i="16" s="1"/>
  <c r="AA695" i="16"/>
  <c r="AG695" i="16" s="1"/>
  <c r="AA269" i="16"/>
  <c r="AG269" i="16" s="1"/>
  <c r="AA594" i="16"/>
  <c r="AG594" i="16" s="1"/>
  <c r="AA161" i="17"/>
  <c r="AA531" i="16"/>
  <c r="AG531" i="16" s="1"/>
  <c r="AA1029" i="16"/>
  <c r="AG1029" i="16" s="1"/>
  <c r="AA67" i="17"/>
  <c r="AA291" i="16"/>
  <c r="AG291" i="16" s="1"/>
  <c r="AA128" i="16"/>
  <c r="AG128" i="16" s="1"/>
  <c r="AA1148" i="16"/>
  <c r="L1148" i="21" s="1"/>
  <c r="O1148" i="21" s="1"/>
  <c r="AA698" i="16"/>
  <c r="L698" i="21" s="1"/>
  <c r="O698" i="21" s="1"/>
  <c r="AA597" i="16"/>
  <c r="AG597" i="16" s="1"/>
  <c r="AA171" i="16"/>
  <c r="AG171" i="16" s="1"/>
  <c r="AA122" i="17"/>
  <c r="AA988" i="16"/>
  <c r="AG988" i="16" s="1"/>
  <c r="AA985" i="16"/>
  <c r="AG985" i="16" s="1"/>
  <c r="AA288" i="16"/>
  <c r="AG288" i="16" s="1"/>
  <c r="AA461" i="16"/>
  <c r="AG461" i="16" s="1"/>
  <c r="AA911" i="16"/>
  <c r="L911" i="21" s="1"/>
  <c r="O911" i="21" s="1"/>
  <c r="AA934" i="16"/>
  <c r="AG934" i="16" s="1"/>
  <c r="AA946" i="16"/>
  <c r="AG946" i="16" s="1"/>
  <c r="AA459" i="16"/>
  <c r="AG459" i="16" s="1"/>
  <c r="AA469" i="16"/>
  <c r="AG469" i="16" s="1"/>
  <c r="AA456" i="16"/>
  <c r="L456" i="21" s="1"/>
  <c r="O456" i="21" s="1"/>
  <c r="AA210" i="16"/>
  <c r="AG210" i="16" s="1"/>
  <c r="AA973" i="16"/>
  <c r="AG973" i="16" s="1"/>
  <c r="AA919" i="16"/>
  <c r="L919" i="21" s="1"/>
  <c r="O919" i="21" s="1"/>
  <c r="AA1152" i="16"/>
  <c r="AG1152" i="16" s="1"/>
  <c r="AA500" i="16"/>
  <c r="AG500" i="16" s="1"/>
  <c r="AA256" i="16"/>
  <c r="AG256" i="16" s="1"/>
  <c r="AA600" i="16"/>
  <c r="AG600" i="16" s="1"/>
  <c r="AA59" i="17"/>
  <c r="AA162" i="17"/>
  <c r="AA1030" i="16"/>
  <c r="AG1030" i="16" s="1"/>
  <c r="AA1136" i="16"/>
  <c r="AG1136" i="16" s="1"/>
  <c r="AA124" i="16"/>
  <c r="AG124" i="16" s="1"/>
  <c r="AA110" i="16"/>
  <c r="AG110" i="16" s="1"/>
  <c r="AA231" i="16"/>
  <c r="AG231" i="16" s="1"/>
  <c r="AA464" i="16"/>
  <c r="L464" i="21" s="1"/>
  <c r="O464" i="21" s="1"/>
  <c r="AA282" i="16"/>
  <c r="AG282" i="16" s="1"/>
  <c r="AA925" i="16"/>
  <c r="L925" i="21" s="1"/>
  <c r="O925" i="21" s="1"/>
  <c r="AA920" i="16"/>
  <c r="L920" i="21" s="1"/>
  <c r="O920" i="21" s="1"/>
  <c r="AA1154" i="16"/>
  <c r="AG1154" i="16" s="1"/>
  <c r="AA601" i="16"/>
  <c r="AG601" i="16" s="1"/>
  <c r="AA169" i="17"/>
  <c r="AA558" i="16"/>
  <c r="AG558" i="16" s="1"/>
  <c r="AA942" i="16"/>
  <c r="AG942" i="16" s="1"/>
  <c r="AA935" i="16"/>
  <c r="L935" i="21" s="1"/>
  <c r="O935" i="21" s="1"/>
  <c r="AA213" i="16"/>
  <c r="AG213" i="16" s="1"/>
  <c r="AA126" i="16"/>
  <c r="AG126" i="16" s="1"/>
  <c r="AA375" i="16"/>
  <c r="AG375" i="16" s="1"/>
  <c r="AA116" i="16"/>
  <c r="AG116" i="16" s="1"/>
  <c r="AA290" i="16"/>
  <c r="L290" i="21" s="1"/>
  <c r="O290" i="21" s="1"/>
  <c r="AA907" i="16"/>
  <c r="AG907" i="16" s="1"/>
  <c r="AA905" i="16"/>
  <c r="AG905" i="16" s="1"/>
  <c r="AA689" i="16"/>
  <c r="L689" i="21" s="1"/>
  <c r="O689" i="21" s="1"/>
  <c r="AA150" i="16"/>
  <c r="AG150" i="16" s="1"/>
  <c r="AA508" i="16"/>
  <c r="AG508" i="16" s="1"/>
  <c r="AA1027" i="16"/>
  <c r="AG1027" i="16" s="1"/>
  <c r="AA557" i="16"/>
  <c r="AG557" i="16" s="1"/>
  <c r="AA51" i="17"/>
  <c r="AA1017" i="16"/>
  <c r="AG1017" i="16" s="1"/>
  <c r="AA933" i="16"/>
  <c r="AG933" i="16" s="1"/>
  <c r="AA995" i="16"/>
  <c r="L995" i="21" s="1"/>
  <c r="O995" i="21" s="1"/>
  <c r="AA990" i="16"/>
  <c r="AG990" i="16" s="1"/>
  <c r="AA936" i="16"/>
  <c r="L936" i="21" s="1"/>
  <c r="O936" i="21" s="1"/>
  <c r="AA993" i="16"/>
  <c r="L993" i="21" s="1"/>
  <c r="O993" i="21" s="1"/>
  <c r="AA851" i="16"/>
  <c r="L851" i="21" s="1"/>
  <c r="O851" i="21" s="1"/>
  <c r="AA332" i="17"/>
  <c r="AA866" i="16"/>
  <c r="AG866" i="16" s="1"/>
  <c r="AA334" i="17"/>
  <c r="AA331" i="17"/>
  <c r="AA384" i="16"/>
  <c r="AG384" i="16" s="1"/>
  <c r="AA356" i="16"/>
  <c r="AG356" i="16" s="1"/>
  <c r="AA293" i="16"/>
  <c r="AG293" i="16" s="1"/>
  <c r="AA358" i="16"/>
  <c r="AG358" i="16" s="1"/>
  <c r="AA57" i="16"/>
  <c r="AG57" i="16" s="1"/>
  <c r="AA206" i="16"/>
  <c r="AG206" i="16" s="1"/>
  <c r="AA454" i="16"/>
  <c r="AG454" i="16" s="1"/>
  <c r="AA207" i="16"/>
  <c r="AG207" i="16" s="1"/>
  <c r="AA463" i="16"/>
  <c r="AG463" i="16" s="1"/>
  <c r="AA208" i="16"/>
  <c r="AG208" i="16" s="1"/>
  <c r="AA472" i="16"/>
  <c r="L472" i="21" s="1"/>
  <c r="O472" i="21" s="1"/>
  <c r="AA289" i="16"/>
  <c r="L289" i="21" s="1"/>
  <c r="O289" i="21" s="1"/>
  <c r="AA54" i="16"/>
  <c r="AG54" i="16" s="1"/>
  <c r="AA354" i="16"/>
  <c r="L354" i="21" s="1"/>
  <c r="O354" i="21" s="1"/>
  <c r="AA915" i="16"/>
  <c r="AG915" i="16" s="1"/>
  <c r="AA980" i="16"/>
  <c r="L980" i="21" s="1"/>
  <c r="O980" i="21" s="1"/>
  <c r="AA975" i="16"/>
  <c r="AG975" i="16" s="1"/>
  <c r="AA921" i="16"/>
  <c r="L921" i="21" s="1"/>
  <c r="O921" i="21" s="1"/>
  <c r="AA978" i="16"/>
  <c r="AG978" i="16" s="1"/>
  <c r="AA753" i="16"/>
  <c r="L753" i="21" s="1"/>
  <c r="O753" i="21" s="1"/>
  <c r="AA745" i="16"/>
  <c r="AG745" i="16" s="1"/>
  <c r="AA732" i="16"/>
  <c r="AG732" i="16" s="1"/>
  <c r="AA758" i="16"/>
  <c r="AG758" i="16" s="1"/>
  <c r="AA744" i="16"/>
  <c r="L744" i="21" s="1"/>
  <c r="O744" i="21" s="1"/>
  <c r="AA623" i="16"/>
  <c r="AG623" i="16" s="1"/>
  <c r="AA628" i="16"/>
  <c r="AG628" i="16" s="1"/>
  <c r="AA1156" i="16"/>
  <c r="AG1156" i="16" s="1"/>
  <c r="AA682" i="16"/>
  <c r="AG682" i="16" s="1"/>
  <c r="AA700" i="16"/>
  <c r="AG700" i="16" s="1"/>
  <c r="AA148" i="16"/>
  <c r="AG148" i="16" s="1"/>
  <c r="AA276" i="16"/>
  <c r="AG276" i="16" s="1"/>
  <c r="AA67" i="16"/>
  <c r="AG67" i="16" s="1"/>
  <c r="AA308" i="16"/>
  <c r="AG308" i="16" s="1"/>
  <c r="AA512" i="16"/>
  <c r="AG512" i="16" s="1"/>
  <c r="AA602" i="16"/>
  <c r="AG602" i="16" s="1"/>
  <c r="AA1028" i="16"/>
  <c r="AG1028" i="16" s="1"/>
  <c r="AA173" i="16"/>
  <c r="AG173" i="16" s="1"/>
  <c r="AA172" i="16"/>
  <c r="AG172" i="16" s="1"/>
  <c r="AA126" i="17"/>
  <c r="AA133" i="17"/>
  <c r="AA177" i="16"/>
  <c r="AG177" i="16" s="1"/>
  <c r="AA167" i="17"/>
  <c r="AA589" i="16"/>
  <c r="AG589" i="16" s="1"/>
  <c r="AA1138" i="16"/>
  <c r="AG1138" i="16" s="1"/>
  <c r="AJ10" i="24"/>
  <c r="AA932" i="16"/>
  <c r="AG932" i="16" s="1"/>
  <c r="AA944" i="16"/>
  <c r="AG944" i="16" s="1"/>
  <c r="AA930" i="16"/>
  <c r="AG930" i="16" s="1"/>
  <c r="AA859" i="16"/>
  <c r="AG859" i="16" s="1"/>
  <c r="AA855" i="16"/>
  <c r="AG855" i="16" s="1"/>
  <c r="AA330" i="17"/>
  <c r="AA317" i="17"/>
  <c r="AA333" i="17"/>
  <c r="AA55" i="16"/>
  <c r="AG55" i="16" s="1"/>
  <c r="AA369" i="16"/>
  <c r="AG369" i="16" s="1"/>
  <c r="AA56" i="16"/>
  <c r="L56" i="21" s="1"/>
  <c r="O56" i="21" s="1"/>
  <c r="AA370" i="16"/>
  <c r="AG370" i="16" s="1"/>
  <c r="AA214" i="16"/>
  <c r="AG214" i="16" s="1"/>
  <c r="AA462" i="16"/>
  <c r="AG462" i="16" s="1"/>
  <c r="AA215" i="16"/>
  <c r="L215" i="21" s="1"/>
  <c r="O215" i="21" s="1"/>
  <c r="AA471" i="16"/>
  <c r="AG471" i="16" s="1"/>
  <c r="AA216" i="16"/>
  <c r="AG216" i="16" s="1"/>
  <c r="AA53" i="16"/>
  <c r="AG53" i="16" s="1"/>
  <c r="AA366" i="16"/>
  <c r="AG366" i="16" s="1"/>
  <c r="AA118" i="16"/>
  <c r="AG118" i="16" s="1"/>
  <c r="AA367" i="16"/>
  <c r="AG367" i="16" s="1"/>
  <c r="AA923" i="16"/>
  <c r="L923" i="21" s="1"/>
  <c r="O923" i="21" s="1"/>
  <c r="AA910" i="16"/>
  <c r="AG910" i="16" s="1"/>
  <c r="AA983" i="16"/>
  <c r="AG983" i="16" s="1"/>
  <c r="AA969" i="16"/>
  <c r="AG969" i="16" s="1"/>
  <c r="AA729" i="16"/>
  <c r="L729" i="21" s="1"/>
  <c r="O729" i="21" s="1"/>
  <c r="AA749" i="16"/>
  <c r="AG749" i="16" s="1"/>
  <c r="AA740" i="16"/>
  <c r="L740" i="21" s="1"/>
  <c r="O740" i="21" s="1"/>
  <c r="AA727" i="16"/>
  <c r="AG727" i="16" s="1"/>
  <c r="AA752" i="16"/>
  <c r="AG752" i="16" s="1"/>
  <c r="AA617" i="16"/>
  <c r="AG617" i="16" s="1"/>
  <c r="AA624" i="16"/>
  <c r="L624" i="21" s="1"/>
  <c r="O624" i="21" s="1"/>
  <c r="AA1150" i="16"/>
  <c r="AG1150" i="16" s="1"/>
  <c r="AA701" i="16"/>
  <c r="AG701" i="16" s="1"/>
  <c r="AA702" i="16"/>
  <c r="L702" i="21" s="1"/>
  <c r="O702" i="21" s="1"/>
  <c r="AA259" i="16"/>
  <c r="AG259" i="16" s="1"/>
  <c r="AA440" i="16"/>
  <c r="L440" i="21" s="1"/>
  <c r="O440" i="21" s="1"/>
  <c r="AA271" i="16"/>
  <c r="AG271" i="16" s="1"/>
  <c r="AA503" i="16"/>
  <c r="AG503" i="16" s="1"/>
  <c r="AA313" i="16"/>
  <c r="AG313" i="16" s="1"/>
  <c r="AA595" i="16"/>
  <c r="AG595" i="16" s="1"/>
  <c r="AA1023" i="16"/>
  <c r="AG1023" i="16" s="1"/>
  <c r="AA174" i="16"/>
  <c r="AG174" i="16" s="1"/>
  <c r="AA559" i="16"/>
  <c r="AG559" i="16" s="1"/>
  <c r="AA52" i="17"/>
  <c r="AA168" i="17"/>
  <c r="AA178" i="16"/>
  <c r="AG178" i="16" s="1"/>
  <c r="AA176" i="16"/>
  <c r="AG176" i="16" s="1"/>
  <c r="AA371" i="17"/>
  <c r="AA182" i="16"/>
  <c r="AG182" i="16" s="1"/>
  <c r="AJ7" i="24"/>
  <c r="AA997" i="16"/>
  <c r="AG997" i="16" s="1"/>
  <c r="AA998" i="16"/>
  <c r="AG998" i="16" s="1"/>
  <c r="AA941" i="16"/>
  <c r="AG941" i="16" s="1"/>
  <c r="AA940" i="16"/>
  <c r="AG940" i="16" s="1"/>
  <c r="AA927" i="16"/>
  <c r="AG927" i="16" s="1"/>
  <c r="AA992" i="16"/>
  <c r="AG992" i="16" s="1"/>
  <c r="AA938" i="16"/>
  <c r="AG938" i="16" s="1"/>
  <c r="AA867" i="16"/>
  <c r="AG867" i="16" s="1"/>
  <c r="AA863" i="16"/>
  <c r="AG863" i="16" s="1"/>
  <c r="AA328" i="17"/>
  <c r="AA319" i="17"/>
  <c r="AA120" i="16"/>
  <c r="AG120" i="16" s="1"/>
  <c r="AA381" i="16"/>
  <c r="AG381" i="16" s="1"/>
  <c r="AA122" i="16"/>
  <c r="AG122" i="16" s="1"/>
  <c r="AA382" i="16"/>
  <c r="AG382" i="16" s="1"/>
  <c r="AA372" i="16"/>
  <c r="AG372" i="16" s="1"/>
  <c r="AA222" i="16"/>
  <c r="L222" i="21" s="1"/>
  <c r="O222" i="21" s="1"/>
  <c r="AA470" i="16"/>
  <c r="L470" i="21" s="1"/>
  <c r="O470" i="21" s="1"/>
  <c r="AA223" i="16"/>
  <c r="L223" i="21" s="1"/>
  <c r="O223" i="21" s="1"/>
  <c r="AA360" i="16"/>
  <c r="AG360" i="16" s="1"/>
  <c r="AA224" i="16"/>
  <c r="AG224" i="16" s="1"/>
  <c r="AA61" i="16"/>
  <c r="AG61" i="16" s="1"/>
  <c r="AA378" i="16"/>
  <c r="L378" i="21" s="1"/>
  <c r="O378" i="21" s="1"/>
  <c r="AA379" i="16"/>
  <c r="L379" i="21" s="1"/>
  <c r="O379" i="21" s="1"/>
  <c r="AA909" i="16"/>
  <c r="AG909" i="16" s="1"/>
  <c r="AA971" i="16"/>
  <c r="AG971" i="16" s="1"/>
  <c r="AA918" i="16"/>
  <c r="AG918" i="16" s="1"/>
  <c r="AA912" i="16"/>
  <c r="L912" i="21" s="1"/>
  <c r="O912" i="21" s="1"/>
  <c r="AA977" i="16"/>
  <c r="AG977" i="16" s="1"/>
  <c r="AA725" i="16"/>
  <c r="AG725" i="16" s="1"/>
  <c r="AA723" i="16"/>
  <c r="L900" i="21" s="1"/>
  <c r="AA748" i="16"/>
  <c r="L748" i="21" s="1"/>
  <c r="O748" i="21" s="1"/>
  <c r="AA735" i="16"/>
  <c r="AG735" i="16" s="1"/>
  <c r="AA760" i="16"/>
  <c r="AG760" i="16" s="1"/>
  <c r="AA625" i="16"/>
  <c r="AG625" i="16" s="1"/>
  <c r="AA621" i="16"/>
  <c r="L621" i="21" s="1"/>
  <c r="O621" i="21" s="1"/>
  <c r="AA1151" i="16"/>
  <c r="AG1151" i="16" s="1"/>
  <c r="AA683" i="16"/>
  <c r="AG683" i="16" s="1"/>
  <c r="AA687" i="16"/>
  <c r="AG687" i="16" s="1"/>
  <c r="AA275" i="16"/>
  <c r="AG275" i="16" s="1"/>
  <c r="AA507" i="16"/>
  <c r="L507" i="21" s="1"/>
  <c r="O507" i="21" s="1"/>
  <c r="AA432" i="16"/>
  <c r="L432" i="21" s="1"/>
  <c r="O432" i="21" s="1"/>
  <c r="AA519" i="16"/>
  <c r="AG519" i="16" s="1"/>
  <c r="AA70" i="16"/>
  <c r="AG70" i="16" s="1"/>
  <c r="AA603" i="16"/>
  <c r="L603" i="21" s="1"/>
  <c r="O603" i="21" s="1"/>
  <c r="AA382" i="17"/>
  <c r="AA524" i="16"/>
  <c r="AG524" i="16" s="1"/>
  <c r="AA50" i="17"/>
  <c r="AA128" i="17"/>
  <c r="AA523" i="16"/>
  <c r="AG523" i="16" s="1"/>
  <c r="AA180" i="16"/>
  <c r="AG180" i="16" s="1"/>
  <c r="AA529" i="16"/>
  <c r="AG529" i="16" s="1"/>
  <c r="AA1018" i="16"/>
  <c r="AG1018" i="16" s="1"/>
  <c r="AA592" i="16"/>
  <c r="AG592" i="16" s="1"/>
  <c r="AA1139" i="16"/>
  <c r="AG1139" i="16" s="1"/>
  <c r="AA931" i="16"/>
  <c r="AG931" i="16" s="1"/>
  <c r="AA996" i="16"/>
  <c r="AG996" i="16" s="1"/>
  <c r="AA943" i="16"/>
  <c r="L943" i="21" s="1"/>
  <c r="O943" i="21" s="1"/>
  <c r="AA929" i="16"/>
  <c r="AG929" i="16" s="1"/>
  <c r="AA986" i="16"/>
  <c r="AG986" i="16" s="1"/>
  <c r="AA860" i="16"/>
  <c r="AG860" i="16" s="1"/>
  <c r="AA864" i="16"/>
  <c r="AG864" i="16" s="1"/>
  <c r="AA324" i="17"/>
  <c r="AA323" i="17"/>
  <c r="AA219" i="16"/>
  <c r="AG219" i="16" s="1"/>
  <c r="AA467" i="16"/>
  <c r="AG467" i="16" s="1"/>
  <c r="AA220" i="16"/>
  <c r="L220" i="21" s="1"/>
  <c r="O220" i="21" s="1"/>
  <c r="AA460" i="16"/>
  <c r="AG460" i="16" s="1"/>
  <c r="AA50" i="16"/>
  <c r="L50" i="21" s="1"/>
  <c r="AA286" i="16"/>
  <c r="AG286" i="16" s="1"/>
  <c r="AA59" i="16"/>
  <c r="AG59" i="16" s="1"/>
  <c r="AA287" i="16"/>
  <c r="AG287" i="16" s="1"/>
  <c r="AA52" i="16"/>
  <c r="AG52" i="16" s="1"/>
  <c r="AA364" i="16"/>
  <c r="AG364" i="16" s="1"/>
  <c r="AA132" i="16"/>
  <c r="L179" i="21" s="1"/>
  <c r="AA465" i="16"/>
  <c r="AG465" i="16" s="1"/>
  <c r="AA218" i="16"/>
  <c r="L218" i="21" s="1"/>
  <c r="O218" i="21" s="1"/>
  <c r="AA466" i="16"/>
  <c r="AG466" i="16" s="1"/>
  <c r="AA917" i="16"/>
  <c r="AG917" i="16" s="1"/>
  <c r="AA908" i="16"/>
  <c r="AG908" i="16" s="1"/>
  <c r="AA974" i="16"/>
  <c r="L974" i="21" s="1"/>
  <c r="O974" i="21" s="1"/>
  <c r="AA976" i="16"/>
  <c r="AG976" i="16" s="1"/>
  <c r="AA906" i="16"/>
  <c r="L906" i="21" s="1"/>
  <c r="O906" i="21" s="1"/>
  <c r="AA761" i="16"/>
  <c r="AG761" i="16" s="1"/>
  <c r="AA739" i="16"/>
  <c r="L739" i="21" s="1"/>
  <c r="O739" i="21" s="1"/>
  <c r="AA726" i="16"/>
  <c r="AG726" i="16" s="1"/>
  <c r="AA751" i="16"/>
  <c r="AG751" i="16" s="1"/>
  <c r="AA738" i="16"/>
  <c r="AG738" i="16" s="1"/>
  <c r="AA626" i="16"/>
  <c r="L626" i="21" s="1"/>
  <c r="O626" i="21" s="1"/>
  <c r="AA1157" i="16"/>
  <c r="AG1157" i="16" s="1"/>
  <c r="AA1153" i="16"/>
  <c r="L1153" i="21" s="1"/>
  <c r="O1153" i="21" s="1"/>
  <c r="AA685" i="16"/>
  <c r="AG685" i="16" s="1"/>
  <c r="AA696" i="16"/>
  <c r="AG696" i="16" s="1"/>
  <c r="AA498" i="16"/>
  <c r="AG498" i="16" s="1"/>
  <c r="AA306" i="16"/>
  <c r="L306" i="21" s="1"/>
  <c r="O306" i="21" s="1"/>
  <c r="AA518" i="16"/>
  <c r="AG518" i="16" s="1"/>
  <c r="AA160" i="16"/>
  <c r="AG160" i="16" s="1"/>
  <c r="AA258" i="16"/>
  <c r="AG258" i="16" s="1"/>
  <c r="AA604" i="16"/>
  <c r="L604" i="21" s="1"/>
  <c r="O604" i="21" s="1"/>
  <c r="AA378" i="17"/>
  <c r="AA53" i="17"/>
  <c r="AA123" i="17"/>
  <c r="AA568" i="16"/>
  <c r="AG568" i="16" s="1"/>
  <c r="AA563" i="16"/>
  <c r="AG563" i="16" s="1"/>
  <c r="AA170" i="16"/>
  <c r="AG170" i="16" s="1"/>
  <c r="AA556" i="16"/>
  <c r="AG556" i="16" s="1"/>
  <c r="AA555" i="16"/>
  <c r="AG555" i="16" s="1"/>
  <c r="AA389" i="17"/>
  <c r="G33" i="22"/>
  <c r="I33" i="22" s="1"/>
  <c r="AA939" i="16"/>
  <c r="AG939" i="16" s="1"/>
  <c r="AA991" i="16"/>
  <c r="AG991" i="16" s="1"/>
  <c r="AA937" i="16"/>
  <c r="L937" i="21" s="1"/>
  <c r="O937" i="21" s="1"/>
  <c r="AA994" i="16"/>
  <c r="AG994" i="16" s="1"/>
  <c r="AA868" i="16"/>
  <c r="AG868" i="16" s="1"/>
  <c r="AA857" i="16"/>
  <c r="AG857" i="16" s="1"/>
  <c r="AA322" i="17"/>
  <c r="AA325" i="17"/>
  <c r="AA227" i="16"/>
  <c r="L227" i="21" s="1"/>
  <c r="O227" i="21" s="1"/>
  <c r="AA228" i="16"/>
  <c r="AG228" i="16" s="1"/>
  <c r="AA468" i="16"/>
  <c r="AG468" i="16" s="1"/>
  <c r="AA58" i="16"/>
  <c r="L58" i="21" s="1"/>
  <c r="O58" i="21" s="1"/>
  <c r="AA361" i="16"/>
  <c r="AG361" i="16" s="1"/>
  <c r="AA112" i="16"/>
  <c r="L112" i="21" s="1"/>
  <c r="O112" i="21" s="1"/>
  <c r="AA363" i="16"/>
  <c r="AG363" i="16" s="1"/>
  <c r="AA60" i="16"/>
  <c r="AG60" i="16" s="1"/>
  <c r="AA377" i="16"/>
  <c r="L377" i="21" s="1"/>
  <c r="O377" i="21" s="1"/>
  <c r="AA209" i="16"/>
  <c r="AG209" i="16" s="1"/>
  <c r="AA473" i="16"/>
  <c r="AG473" i="16" s="1"/>
  <c r="AA226" i="16"/>
  <c r="AG226" i="16" s="1"/>
  <c r="AA474" i="16"/>
  <c r="L564" i="21" s="1"/>
  <c r="AA981" i="16"/>
  <c r="AG981" i="16" s="1"/>
  <c r="AA916" i="16"/>
  <c r="L916" i="21" s="1"/>
  <c r="O916" i="21" s="1"/>
  <c r="AA982" i="16"/>
  <c r="AG982" i="16" s="1"/>
  <c r="AA984" i="16"/>
  <c r="AG984" i="16" s="1"/>
  <c r="AA914" i="16"/>
  <c r="AG914" i="16" s="1"/>
  <c r="AA733" i="16"/>
  <c r="AG733" i="16" s="1"/>
  <c r="AA747" i="16"/>
  <c r="AG747" i="16" s="1"/>
  <c r="AA734" i="16"/>
  <c r="L734" i="21" s="1"/>
  <c r="O734" i="21" s="1"/>
  <c r="AA759" i="16"/>
  <c r="L759" i="21" s="1"/>
  <c r="O759" i="21" s="1"/>
  <c r="AA746" i="16"/>
  <c r="AG746" i="16" s="1"/>
  <c r="AA619" i="16"/>
  <c r="AG619" i="16" s="1"/>
  <c r="AA1147" i="16"/>
  <c r="AG1147" i="16" s="1"/>
  <c r="AA1146" i="16"/>
  <c r="AG1146" i="16" s="1"/>
  <c r="AA686" i="16"/>
  <c r="L686" i="21" s="1"/>
  <c r="O686" i="21" s="1"/>
  <c r="AA690" i="16"/>
  <c r="AG690" i="16" s="1"/>
  <c r="AA442" i="16"/>
  <c r="L442" i="21" s="1"/>
  <c r="O442" i="21" s="1"/>
  <c r="AA431" i="16"/>
  <c r="L431" i="21" s="1"/>
  <c r="O431" i="21" s="1"/>
  <c r="AA68" i="16"/>
  <c r="AG68" i="16" s="1"/>
  <c r="AA265" i="16"/>
  <c r="AG265" i="16" s="1"/>
  <c r="AA274" i="16"/>
  <c r="AG274" i="16" s="1"/>
  <c r="AA599" i="16"/>
  <c r="AG599" i="16" s="1"/>
  <c r="AA60" i="17"/>
  <c r="AA55" i="17"/>
  <c r="AA131" i="17"/>
  <c r="AA562" i="16"/>
  <c r="AG562" i="16" s="1"/>
  <c r="AA522" i="16"/>
  <c r="AG522" i="16" s="1"/>
  <c r="AA530" i="16"/>
  <c r="AG530" i="16" s="1"/>
  <c r="AA186" i="16"/>
  <c r="AG186" i="16" s="1"/>
  <c r="AA154" i="17"/>
  <c r="AA372" i="17"/>
  <c r="AA155" i="17"/>
  <c r="AA72" i="17"/>
  <c r="AA514" i="16"/>
  <c r="AG514" i="16" s="1"/>
  <c r="AA66" i="16"/>
  <c r="L66" i="21" s="1"/>
  <c r="O66" i="21" s="1"/>
  <c r="AA307" i="16"/>
  <c r="AG307" i="16" s="1"/>
  <c r="AA434" i="16"/>
  <c r="AG434" i="16" s="1"/>
  <c r="AA447" i="16"/>
  <c r="AG447" i="16" s="1"/>
  <c r="AA425" i="16"/>
  <c r="L425" i="21" s="1"/>
  <c r="O425" i="21" s="1"/>
  <c r="AA190" i="17"/>
  <c r="AA554" i="16"/>
  <c r="AG554" i="16" s="1"/>
  <c r="AA64" i="17"/>
  <c r="AA1142" i="16"/>
  <c r="AG1142" i="16" s="1"/>
  <c r="AA71" i="17"/>
  <c r="AA552" i="16"/>
  <c r="AG552" i="16" s="1"/>
  <c r="AA189" i="17"/>
  <c r="AA1140" i="16"/>
  <c r="AG1140" i="16" s="1"/>
  <c r="U5" i="29"/>
  <c r="U55" i="29" s="1"/>
  <c r="K9" i="31" s="1"/>
  <c r="M9" i="31" s="1"/>
  <c r="AA697" i="16"/>
  <c r="AG697" i="16" s="1"/>
  <c r="AA694" i="16"/>
  <c r="AG694" i="16" s="1"/>
  <c r="AA152" i="16"/>
  <c r="L152" i="21" s="1"/>
  <c r="O152" i="21" s="1"/>
  <c r="AA311" i="16"/>
  <c r="AG311" i="16" s="1"/>
  <c r="AA72" i="16"/>
  <c r="AG72" i="16" s="1"/>
  <c r="AA499" i="16"/>
  <c r="AG499" i="16" s="1"/>
  <c r="AA278" i="16"/>
  <c r="AG278" i="16" s="1"/>
  <c r="AA73" i="16"/>
  <c r="AG73" i="16" s="1"/>
  <c r="AA279" i="16"/>
  <c r="AG279" i="16" s="1"/>
  <c r="AA65" i="16"/>
  <c r="AG65" i="16" s="1"/>
  <c r="AA421" i="16"/>
  <c r="AG421" i="16" s="1"/>
  <c r="AA69" i="16"/>
  <c r="AG69" i="16" s="1"/>
  <c r="AA435" i="16"/>
  <c r="AG435" i="16" s="1"/>
  <c r="AA62" i="16"/>
  <c r="AG62" i="16" s="1"/>
  <c r="AA310" i="16"/>
  <c r="AG310" i="16" s="1"/>
  <c r="AA596" i="16"/>
  <c r="L596" i="21" s="1"/>
  <c r="O596" i="21" s="1"/>
  <c r="AA593" i="16"/>
  <c r="AG593" i="16" s="1"/>
  <c r="AA381" i="17"/>
  <c r="AA164" i="17"/>
  <c r="AA129" i="17"/>
  <c r="AA57" i="17"/>
  <c r="AA565" i="16"/>
  <c r="AG565" i="16" s="1"/>
  <c r="AA166" i="17"/>
  <c r="AA181" i="16"/>
  <c r="AG181" i="16" s="1"/>
  <c r="AA130" i="17"/>
  <c r="AA566" i="16"/>
  <c r="AG566" i="16" s="1"/>
  <c r="AA175" i="16"/>
  <c r="AG175" i="16" s="1"/>
  <c r="AA1032" i="16"/>
  <c r="AG1032" i="16" s="1"/>
  <c r="AA1019" i="16"/>
  <c r="AG1019" i="16" s="1"/>
  <c r="AA62" i="17"/>
  <c r="AA147" i="17"/>
  <c r="AA189" i="16"/>
  <c r="AG189" i="16" s="1"/>
  <c r="AA190" i="16"/>
  <c r="AG190" i="16" s="1"/>
  <c r="AA590" i="16"/>
  <c r="AG590" i="16" s="1"/>
  <c r="AA585" i="16"/>
  <c r="AG585" i="16" s="1"/>
  <c r="AA400" i="17"/>
  <c r="G24" i="22"/>
  <c r="I24" i="22" s="1"/>
  <c r="Y5" i="24"/>
  <c r="Y51" i="24" s="1"/>
  <c r="X51" i="24"/>
  <c r="AA71" i="16"/>
  <c r="AG71" i="16" s="1"/>
  <c r="AA450" i="16"/>
  <c r="AG450" i="16" s="1"/>
  <c r="AA166" i="16"/>
  <c r="AG166" i="16" s="1"/>
  <c r="AA515" i="16"/>
  <c r="AG515" i="16" s="1"/>
  <c r="AA314" i="16"/>
  <c r="AG314" i="16" s="1"/>
  <c r="AA429" i="16"/>
  <c r="AG429" i="16" s="1"/>
  <c r="AA419" i="16"/>
  <c r="AG419" i="16" s="1"/>
  <c r="AA158" i="16"/>
  <c r="AG158" i="16" s="1"/>
  <c r="AA446" i="16"/>
  <c r="AG446" i="16" s="1"/>
  <c r="AA257" i="16"/>
  <c r="AG257" i="16" s="1"/>
  <c r="AA504" i="16"/>
  <c r="L504" i="21" s="1"/>
  <c r="O504" i="21" s="1"/>
  <c r="AA146" i="16"/>
  <c r="AG146" i="16" s="1"/>
  <c r="AA449" i="16"/>
  <c r="AG449" i="16" s="1"/>
  <c r="AA380" i="17"/>
  <c r="AA1026" i="16"/>
  <c r="AG1026" i="16" s="1"/>
  <c r="AA521" i="16"/>
  <c r="AG521" i="16" s="1"/>
  <c r="AA1022" i="16"/>
  <c r="AG1022" i="16" s="1"/>
  <c r="AA184" i="17"/>
  <c r="AA549" i="16"/>
  <c r="AG549" i="16" s="1"/>
  <c r="AA584" i="16"/>
  <c r="AG584" i="16" s="1"/>
  <c r="AA185" i="17"/>
  <c r="AA187" i="16"/>
  <c r="AG187" i="16" s="1"/>
  <c r="AA397" i="17"/>
  <c r="AA399" i="17"/>
  <c r="G18" i="22"/>
  <c r="I18" i="22" s="1"/>
  <c r="AJ9" i="24"/>
  <c r="AA693" i="16"/>
  <c r="AG693" i="16" s="1"/>
  <c r="AA691" i="16"/>
  <c r="L691" i="21" s="1"/>
  <c r="O691" i="21" s="1"/>
  <c r="AA688" i="16"/>
  <c r="L688" i="21" s="1"/>
  <c r="O688" i="21" s="1"/>
  <c r="AA164" i="16"/>
  <c r="AG164" i="16" s="1"/>
  <c r="AA506" i="16"/>
  <c r="AG506" i="16" s="1"/>
  <c r="AA268" i="16"/>
  <c r="AG268" i="16" s="1"/>
  <c r="AA261" i="16"/>
  <c r="AG261" i="16" s="1"/>
  <c r="AA443" i="16"/>
  <c r="AG443" i="16" s="1"/>
  <c r="AA156" i="16"/>
  <c r="AG156" i="16" s="1"/>
  <c r="AA444" i="16"/>
  <c r="AG444" i="16" s="1"/>
  <c r="AA264" i="16"/>
  <c r="AG264" i="16" s="1"/>
  <c r="AA511" i="16"/>
  <c r="AG511" i="16" s="1"/>
  <c r="AA273" i="16"/>
  <c r="L273" i="21" s="1"/>
  <c r="O273" i="21" s="1"/>
  <c r="AA513" i="16"/>
  <c r="AG513" i="16" s="1"/>
  <c r="AA598" i="16"/>
  <c r="L598" i="21" s="1"/>
  <c r="O598" i="21" s="1"/>
  <c r="AA377" i="17"/>
  <c r="AA1025" i="16"/>
  <c r="AG1025" i="16" s="1"/>
  <c r="AA532" i="16"/>
  <c r="AG532" i="16" s="1"/>
  <c r="AA527" i="16"/>
  <c r="AG527" i="16" s="1"/>
  <c r="AA163" i="17"/>
  <c r="AA160" i="17"/>
  <c r="AA125" i="17"/>
  <c r="AA158" i="17"/>
  <c r="AA179" i="16"/>
  <c r="AG179" i="16" s="1"/>
  <c r="AA58" i="17"/>
  <c r="AA561" i="16"/>
  <c r="AG561" i="16" s="1"/>
  <c r="AA1020" i="16"/>
  <c r="AG1020" i="16" s="1"/>
  <c r="AA156" i="17"/>
  <c r="AA191" i="17"/>
  <c r="AA192" i="17"/>
  <c r="AA63" i="17"/>
  <c r="AA146" i="17"/>
  <c r="AA182" i="17"/>
  <c r="AA1141" i="16"/>
  <c r="AG1141" i="16" s="1"/>
  <c r="AA1145" i="16"/>
  <c r="AG1145" i="16" s="1"/>
  <c r="G34" i="22"/>
  <c r="I34" i="22" s="1"/>
  <c r="AA267" i="16"/>
  <c r="AG267" i="16" s="1"/>
  <c r="AA312" i="16"/>
  <c r="AG312" i="16" s="1"/>
  <c r="AA262" i="16"/>
  <c r="AG262" i="16" s="1"/>
  <c r="AA517" i="16"/>
  <c r="AG517" i="16" s="1"/>
  <c r="AA263" i="16"/>
  <c r="AG263" i="16" s="1"/>
  <c r="AA510" i="16"/>
  <c r="AG510" i="16" s="1"/>
  <c r="AA280" i="16"/>
  <c r="AG280" i="16" s="1"/>
  <c r="AA317" i="16"/>
  <c r="AG317" i="16" s="1"/>
  <c r="AA168" i="16"/>
  <c r="L182" i="21" s="1"/>
  <c r="O182" i="21" s="1"/>
  <c r="AA266" i="16"/>
  <c r="AG266" i="16" s="1"/>
  <c r="AA379" i="17"/>
  <c r="AA567" i="16"/>
  <c r="AG567" i="16" s="1"/>
  <c r="AA525" i="16"/>
  <c r="AG525" i="16" s="1"/>
  <c r="AA560" i="16"/>
  <c r="AG560" i="16" s="1"/>
  <c r="AA165" i="17"/>
  <c r="AA56" i="17"/>
  <c r="AA526" i="16"/>
  <c r="AG526" i="16" s="1"/>
  <c r="AA159" i="17"/>
  <c r="AA373" i="17"/>
  <c r="AA548" i="16"/>
  <c r="AG548" i="16" s="1"/>
  <c r="AA591" i="16"/>
  <c r="AG591" i="16" s="1"/>
  <c r="AA68" i="17"/>
  <c r="AA183" i="16"/>
  <c r="AG183" i="16" s="1"/>
  <c r="AA188" i="17"/>
  <c r="AA192" i="16"/>
  <c r="AG192" i="16" s="1"/>
  <c r="AA394" i="17"/>
  <c r="AA395" i="17"/>
  <c r="AA187" i="17"/>
  <c r="AA550" i="16"/>
  <c r="AG550" i="16" s="1"/>
  <c r="AA545" i="16"/>
  <c r="AG545" i="16" s="1"/>
  <c r="AA388" i="17"/>
  <c r="AA374" i="17"/>
  <c r="AA375" i="17"/>
  <c r="AA588" i="16"/>
  <c r="AG588" i="16" s="1"/>
  <c r="AA193" i="16"/>
  <c r="AG193" i="16" s="1"/>
  <c r="AA188" i="16"/>
  <c r="AG188" i="16" s="1"/>
  <c r="AA152" i="17"/>
  <c r="AA586" i="16"/>
  <c r="AG586" i="16" s="1"/>
  <c r="AA547" i="16"/>
  <c r="AG547" i="16" s="1"/>
  <c r="AA184" i="16"/>
  <c r="AG184" i="16" s="1"/>
  <c r="AA65" i="17"/>
  <c r="AA553" i="16"/>
  <c r="AG553" i="16" s="1"/>
  <c r="AA391" i="17"/>
  <c r="AA393" i="17"/>
  <c r="AA398" i="17"/>
  <c r="AA386" i="17"/>
  <c r="AA384" i="17"/>
  <c r="AA1021" i="16"/>
  <c r="AG1021" i="16" s="1"/>
  <c r="AA148" i="17"/>
  <c r="AA69" i="17"/>
  <c r="AA583" i="16"/>
  <c r="AG583" i="16" s="1"/>
  <c r="AA581" i="16"/>
  <c r="AG581" i="16" s="1"/>
  <c r="AA186" i="17"/>
  <c r="AA70" i="17"/>
  <c r="AA587" i="16"/>
  <c r="AG587" i="16" s="1"/>
  <c r="AA191" i="16"/>
  <c r="AG191" i="16" s="1"/>
  <c r="AA151" i="17"/>
  <c r="AA392" i="17"/>
  <c r="AA1144" i="16"/>
  <c r="AG1144" i="16" s="1"/>
  <c r="AA1134" i="16"/>
  <c r="AG1134" i="16" s="1"/>
  <c r="AA63" i="16"/>
  <c r="AG63" i="16" s="1"/>
  <c r="AA426" i="16"/>
  <c r="AG426" i="16" s="1"/>
  <c r="AA64" i="16"/>
  <c r="AG64" i="16" s="1"/>
  <c r="AA428" i="16"/>
  <c r="AG428" i="16" s="1"/>
  <c r="AA154" i="16"/>
  <c r="AG154" i="16" s="1"/>
  <c r="AA501" i="16"/>
  <c r="AG501" i="16" s="1"/>
  <c r="AA516" i="16"/>
  <c r="AG516" i="16" s="1"/>
  <c r="AA315" i="16"/>
  <c r="AG315" i="16" s="1"/>
  <c r="AA277" i="16"/>
  <c r="AG277" i="16" s="1"/>
  <c r="AA316" i="16"/>
  <c r="AG316" i="16" s="1"/>
  <c r="AA281" i="16"/>
  <c r="AG281" i="16" s="1"/>
  <c r="AA520" i="16"/>
  <c r="L547" i="21" s="1"/>
  <c r="AA162" i="16"/>
  <c r="AG162" i="16" s="1"/>
  <c r="AA437" i="16"/>
  <c r="L437" i="21" s="1"/>
  <c r="O437" i="21" s="1"/>
  <c r="AA1024" i="16"/>
  <c r="AG1024" i="16" s="1"/>
  <c r="AA1031" i="16"/>
  <c r="AG1031" i="16" s="1"/>
  <c r="AA1034" i="16"/>
  <c r="AG1034" i="16" s="1"/>
  <c r="AA376" i="17"/>
  <c r="AA183" i="17"/>
  <c r="AA153" i="17"/>
  <c r="AA66" i="17"/>
  <c r="AA150" i="17"/>
  <c r="AA193" i="17"/>
  <c r="AA157" i="17"/>
  <c r="AA546" i="16"/>
  <c r="AG546" i="16" s="1"/>
  <c r="AA582" i="16"/>
  <c r="AG582" i="16" s="1"/>
  <c r="AA185" i="16"/>
  <c r="AG185" i="16" s="1"/>
  <c r="AA1143" i="16"/>
  <c r="AG1143" i="16" s="1"/>
  <c r="AA396" i="17"/>
  <c r="AA1137" i="16"/>
  <c r="AG1137" i="16" s="1"/>
  <c r="AQ34" i="23"/>
  <c r="AG936" i="16"/>
  <c r="L1101" i="21"/>
  <c r="O1101" i="21" s="1"/>
  <c r="AG672" i="16"/>
  <c r="L672" i="21"/>
  <c r="O672" i="21" s="1"/>
  <c r="AG668" i="16"/>
  <c r="L668" i="21"/>
  <c r="O668" i="21" s="1"/>
  <c r="L714" i="21"/>
  <c r="O714" i="21" s="1"/>
  <c r="L956" i="21"/>
  <c r="O956" i="21" s="1"/>
  <c r="AG960" i="16"/>
  <c r="L960" i="21"/>
  <c r="O960" i="21" s="1"/>
  <c r="AG756" i="16"/>
  <c r="AG730" i="16"/>
  <c r="L730" i="21"/>
  <c r="O730" i="21" s="1"/>
  <c r="L1125" i="21"/>
  <c r="O1125" i="21" s="1"/>
  <c r="AG1055" i="16"/>
  <c r="AG1130" i="16"/>
  <c r="AG705" i="16"/>
  <c r="L705" i="21"/>
  <c r="O705" i="21" s="1"/>
  <c r="AG713" i="16"/>
  <c r="L713" i="21"/>
  <c r="O713" i="21" s="1"/>
  <c r="AG1131" i="16"/>
  <c r="L1088" i="21"/>
  <c r="O1088" i="21" s="1"/>
  <c r="AG706" i="16"/>
  <c r="L706" i="21"/>
  <c r="O706" i="21" s="1"/>
  <c r="AG665" i="16"/>
  <c r="L665" i="21"/>
  <c r="O665" i="21" s="1"/>
  <c r="AG669" i="16"/>
  <c r="L669" i="21"/>
  <c r="O669" i="21" s="1"/>
  <c r="AG711" i="16"/>
  <c r="L711" i="21"/>
  <c r="O711" i="21" s="1"/>
  <c r="AG1004" i="16"/>
  <c r="L1004" i="21"/>
  <c r="O1004" i="21" s="1"/>
  <c r="AG1008" i="16"/>
  <c r="L1008" i="21"/>
  <c r="O1008" i="21" s="1"/>
  <c r="AG1100" i="16"/>
  <c r="L1071" i="21"/>
  <c r="O1071" i="21" s="1"/>
  <c r="AG1096" i="16"/>
  <c r="AG710" i="16"/>
  <c r="L710" i="21"/>
  <c r="O710" i="21" s="1"/>
  <c r="L1089" i="21"/>
  <c r="O1089" i="21" s="1"/>
  <c r="AG681" i="16"/>
  <c r="L681" i="21"/>
  <c r="O681" i="21" s="1"/>
  <c r="AG707" i="16"/>
  <c r="L707" i="21"/>
  <c r="O707" i="21" s="1"/>
  <c r="AG719" i="16"/>
  <c r="L719" i="21"/>
  <c r="O719" i="21" s="1"/>
  <c r="AG955" i="16"/>
  <c r="L955" i="21"/>
  <c r="O955" i="21" s="1"/>
  <c r="AG1002" i="16"/>
  <c r="L1002" i="21"/>
  <c r="O1002" i="21" s="1"/>
  <c r="L737" i="21"/>
  <c r="O737" i="21" s="1"/>
  <c r="L1083" i="21"/>
  <c r="O1083" i="21" s="1"/>
  <c r="L1040" i="21"/>
  <c r="O1040" i="21" s="1"/>
  <c r="AG1076" i="16"/>
  <c r="L1076" i="21"/>
  <c r="O1076" i="21" s="1"/>
  <c r="L946" i="21"/>
  <c r="O946" i="21" s="1"/>
  <c r="AG666" i="16"/>
  <c r="L666" i="21"/>
  <c r="O666" i="21" s="1"/>
  <c r="AG677" i="16"/>
  <c r="L677" i="21"/>
  <c r="O677" i="21" s="1"/>
  <c r="AG663" i="16"/>
  <c r="L663" i="21"/>
  <c r="O663" i="21" s="1"/>
  <c r="AG674" i="16"/>
  <c r="L674" i="21"/>
  <c r="O674" i="21" s="1"/>
  <c r="AG662" i="16"/>
  <c r="L662" i="21"/>
  <c r="L229" i="21"/>
  <c r="O229" i="21" s="1"/>
  <c r="AG715" i="16"/>
  <c r="AG704" i="16"/>
  <c r="AG950" i="16"/>
  <c r="L950" i="21"/>
  <c r="O950" i="21" s="1"/>
  <c r="AG967" i="16"/>
  <c r="L967" i="21"/>
  <c r="O967" i="21" s="1"/>
  <c r="AG750" i="16"/>
  <c r="AG1091" i="16"/>
  <c r="AG1052" i="16"/>
  <c r="AG957" i="16"/>
  <c r="L957" i="21"/>
  <c r="O957" i="21" s="1"/>
  <c r="AG1115" i="16"/>
  <c r="AG708" i="16"/>
  <c r="L708" i="21"/>
  <c r="O708" i="21" s="1"/>
  <c r="AG712" i="16"/>
  <c r="L712" i="21"/>
  <c r="O712" i="21" s="1"/>
  <c r="AG1003" i="16"/>
  <c r="L1003" i="21"/>
  <c r="O1003" i="21" s="1"/>
  <c r="AG958" i="16"/>
  <c r="L1007" i="21"/>
  <c r="O1007" i="21" s="1"/>
  <c r="AG1093" i="16"/>
  <c r="L1099" i="21"/>
  <c r="O1099" i="21" s="1"/>
  <c r="L1060" i="21"/>
  <c r="O1060" i="21" s="1"/>
  <c r="L1124" i="21"/>
  <c r="O1124" i="21" s="1"/>
  <c r="AG1056" i="16"/>
  <c r="AG664" i="16"/>
  <c r="L664" i="21"/>
  <c r="O664" i="21" s="1"/>
  <c r="AG1001" i="16"/>
  <c r="AG1111" i="16"/>
  <c r="AG995" i="16"/>
  <c r="AG679" i="16"/>
  <c r="L679" i="21"/>
  <c r="O679" i="21" s="1"/>
  <c r="AG667" i="16"/>
  <c r="L667" i="21"/>
  <c r="O667" i="21" s="1"/>
  <c r="AG678" i="16"/>
  <c r="L678" i="21"/>
  <c r="O678" i="21" s="1"/>
  <c r="L716" i="21"/>
  <c r="O716" i="21" s="1"/>
  <c r="AG949" i="16"/>
  <c r="L949" i="21"/>
  <c r="O949" i="21" s="1"/>
  <c r="L1011" i="21"/>
  <c r="O1011" i="21" s="1"/>
  <c r="AG966" i="16"/>
  <c r="L966" i="21"/>
  <c r="O966" i="21" s="1"/>
  <c r="AG1015" i="16"/>
  <c r="L1015" i="21"/>
  <c r="O1015" i="21" s="1"/>
  <c r="AG1068" i="16"/>
  <c r="L1103" i="21"/>
  <c r="O1103" i="21" s="1"/>
  <c r="Y5" i="13"/>
  <c r="X51" i="13"/>
  <c r="Y5" i="12"/>
  <c r="X51" i="12"/>
  <c r="L680" i="21" l="1"/>
  <c r="O680" i="21" s="1"/>
  <c r="L948" i="21"/>
  <c r="O948" i="21" s="1"/>
  <c r="AG954" i="16"/>
  <c r="AG721" i="16"/>
  <c r="L1122" i="21"/>
  <c r="O1122" i="21" s="1"/>
  <c r="L964" i="21"/>
  <c r="O964" i="21" s="1"/>
  <c r="L675" i="21"/>
  <c r="O675" i="21" s="1"/>
  <c r="AG1037" i="16"/>
  <c r="L962" i="21"/>
  <c r="O962" i="21" s="1"/>
  <c r="L1143" i="21"/>
  <c r="L1136" i="21"/>
  <c r="AG676" i="16"/>
  <c r="AG959" i="16"/>
  <c r="L717" i="21"/>
  <c r="O717" i="21" s="1"/>
  <c r="AG627" i="16"/>
  <c r="AG621" i="16"/>
  <c r="L709" i="21"/>
  <c r="O709" i="21" s="1"/>
  <c r="AG289" i="16"/>
  <c r="L722" i="21"/>
  <c r="O722" i="21" s="1"/>
  <c r="L1092" i="21"/>
  <c r="O1092" i="21" s="1"/>
  <c r="L421" i="21"/>
  <c r="O421" i="21" s="1"/>
  <c r="AG1051" i="16"/>
  <c r="L1014" i="21"/>
  <c r="O1014" i="21" s="1"/>
  <c r="AC10" i="21"/>
  <c r="AG1114" i="16"/>
  <c r="L673" i="21"/>
  <c r="O673" i="21" s="1"/>
  <c r="L755" i="21"/>
  <c r="O755" i="21" s="1"/>
  <c r="AG1012" i="16"/>
  <c r="L1118" i="21"/>
  <c r="O1118" i="21" s="1"/>
  <c r="L1013" i="21"/>
  <c r="O1013" i="21" s="1"/>
  <c r="AG1041" i="16"/>
  <c r="L116" i="21"/>
  <c r="O116" i="21" s="1"/>
  <c r="AG130" i="16"/>
  <c r="L839" i="21"/>
  <c r="O839" i="21" s="1"/>
  <c r="AG1149" i="16"/>
  <c r="AG923" i="16"/>
  <c r="AG1046" i="16"/>
  <c r="L794" i="21"/>
  <c r="O794" i="21" s="1"/>
  <c r="L941" i="21"/>
  <c r="O941" i="21" s="1"/>
  <c r="L837" i="21"/>
  <c r="O837" i="21" s="1"/>
  <c r="AG1045" i="16"/>
  <c r="L1086" i="21"/>
  <c r="O1086" i="21" s="1"/>
  <c r="AG912" i="16"/>
  <c r="L68" i="21"/>
  <c r="O68" i="21" s="1"/>
  <c r="L1117" i="21"/>
  <c r="O1117" i="21" s="1"/>
  <c r="AG1082" i="16"/>
  <c r="L1072" i="21"/>
  <c r="O1072" i="21" s="1"/>
  <c r="AG215" i="16"/>
  <c r="L128" i="21"/>
  <c r="O128" i="21" s="1"/>
  <c r="L620" i="21"/>
  <c r="O620" i="21" s="1"/>
  <c r="L951" i="21"/>
  <c r="O951" i="21" s="1"/>
  <c r="L997" i="21"/>
  <c r="O997" i="21" s="1"/>
  <c r="L230" i="21"/>
  <c r="O230" i="21" s="1"/>
  <c r="L952" i="21"/>
  <c r="O952" i="21" s="1"/>
  <c r="L728" i="21"/>
  <c r="O728" i="21" s="1"/>
  <c r="L1054" i="21"/>
  <c r="O1054" i="21" s="1"/>
  <c r="L904" i="21"/>
  <c r="O904" i="21" s="1"/>
  <c r="L961" i="21"/>
  <c r="O961" i="21" s="1"/>
  <c r="AG1098" i="16"/>
  <c r="L1085" i="21"/>
  <c r="O1085" i="21" s="1"/>
  <c r="L963" i="21"/>
  <c r="O963" i="21" s="1"/>
  <c r="L622" i="21"/>
  <c r="O622" i="21" s="1"/>
  <c r="L618" i="21"/>
  <c r="O618" i="21" s="1"/>
  <c r="L953" i="21"/>
  <c r="O953" i="21" s="1"/>
  <c r="AG1065" i="16"/>
  <c r="AG211" i="16"/>
  <c r="L1090" i="21"/>
  <c r="O1090" i="21" s="1"/>
  <c r="L1105" i="21"/>
  <c r="O1105" i="21" s="1"/>
  <c r="L720" i="21"/>
  <c r="O720" i="21" s="1"/>
  <c r="L1128" i="21"/>
  <c r="O1128" i="21" s="1"/>
  <c r="AG223" i="16"/>
  <c r="L1116" i="21"/>
  <c r="O1116" i="21" s="1"/>
  <c r="L693" i="21"/>
  <c r="O693" i="21" s="1"/>
  <c r="L1140" i="21"/>
  <c r="O1140" i="21" s="1"/>
  <c r="L1134" i="21"/>
  <c r="L703" i="21"/>
  <c r="O703" i="21" s="1"/>
  <c r="L51" i="21"/>
  <c r="O51" i="21" s="1"/>
  <c r="L671" i="21"/>
  <c r="O671" i="21" s="1"/>
  <c r="L1133" i="21"/>
  <c r="O1133" i="21" s="1"/>
  <c r="L1142" i="21"/>
  <c r="O1142" i="21" s="1"/>
  <c r="L1138" i="21"/>
  <c r="O1138" i="21" s="1"/>
  <c r="L1137" i="21"/>
  <c r="O1137" i="21" s="1"/>
  <c r="AG906" i="16"/>
  <c r="L968" i="21"/>
  <c r="O968" i="21" s="1"/>
  <c r="AG220" i="16"/>
  <c r="L1141" i="21"/>
  <c r="O1141" i="21" s="1"/>
  <c r="L1145" i="21"/>
  <c r="O1145" i="21" s="1"/>
  <c r="L1144" i="21"/>
  <c r="O1144" i="21" s="1"/>
  <c r="AG1133" i="16"/>
  <c r="AG1069" i="16"/>
  <c r="L462" i="21"/>
  <c r="O462" i="21" s="1"/>
  <c r="AG472" i="16"/>
  <c r="L1006" i="21"/>
  <c r="O1006" i="21" s="1"/>
  <c r="L178" i="21"/>
  <c r="L752" i="21"/>
  <c r="O752" i="21" s="1"/>
  <c r="L594" i="21"/>
  <c r="O594" i="21" s="1"/>
  <c r="L1053" i="21"/>
  <c r="O1053" i="21" s="1"/>
  <c r="L1135" i="21"/>
  <c r="O1135" i="21" s="1"/>
  <c r="AG132" i="16"/>
  <c r="L1016" i="21"/>
  <c r="O1016" i="21" s="1"/>
  <c r="AG1016" i="16"/>
  <c r="AG688" i="16"/>
  <c r="L1066" i="21"/>
  <c r="O1066" i="21" s="1"/>
  <c r="L1036" i="21"/>
  <c r="O1036" i="21" s="1"/>
  <c r="AG272" i="16"/>
  <c r="L1058" i="21"/>
  <c r="O1058" i="21" s="1"/>
  <c r="AP7" i="16"/>
  <c r="AQ7" i="16" s="1"/>
  <c r="L670" i="21"/>
  <c r="O670" i="21" s="1"/>
  <c r="AG1120" i="16"/>
  <c r="L1029" i="21"/>
  <c r="L718" i="21"/>
  <c r="O718" i="21" s="1"/>
  <c r="L1061" i="21"/>
  <c r="O1061" i="21" s="1"/>
  <c r="L313" i="21"/>
  <c r="O313" i="21" s="1"/>
  <c r="L1005" i="21"/>
  <c r="O1005" i="21" s="1"/>
  <c r="AG290" i="16"/>
  <c r="AG624" i="16"/>
  <c r="L741" i="21"/>
  <c r="O741" i="21" s="1"/>
  <c r="L1032" i="21"/>
  <c r="AG225" i="16"/>
  <c r="AG739" i="16"/>
  <c r="L1119" i="21"/>
  <c r="O1119" i="21" s="1"/>
  <c r="L683" i="21"/>
  <c r="O683" i="21" s="1"/>
  <c r="L1127" i="21"/>
  <c r="O1127" i="21" s="1"/>
  <c r="L1078" i="21"/>
  <c r="O1078" i="21" s="1"/>
  <c r="L1035" i="21"/>
  <c r="O1035" i="21" s="1"/>
  <c r="L1010" i="21"/>
  <c r="O1010" i="21" s="1"/>
  <c r="L459" i="21"/>
  <c r="O459" i="21" s="1"/>
  <c r="AG50" i="16"/>
  <c r="L224" i="21"/>
  <c r="O224" i="21" s="1"/>
  <c r="L1074" i="21"/>
  <c r="O1074" i="21" s="1"/>
  <c r="L692" i="21"/>
  <c r="O692" i="21" s="1"/>
  <c r="L1033" i="21"/>
  <c r="O1033" i="21" s="1"/>
  <c r="AG926" i="16"/>
  <c r="L1070" i="21"/>
  <c r="O1070" i="21" s="1"/>
  <c r="L1079" i="21"/>
  <c r="O1079" i="21" s="1"/>
  <c r="L1031" i="21"/>
  <c r="O1031" i="21" s="1"/>
  <c r="L1084" i="21"/>
  <c r="O1084" i="21" s="1"/>
  <c r="L757" i="21"/>
  <c r="O757" i="21" s="1"/>
  <c r="L965" i="21"/>
  <c r="O965" i="21" s="1"/>
  <c r="L471" i="21"/>
  <c r="O471" i="21" s="1"/>
  <c r="L1030" i="21"/>
  <c r="O1030" i="21" s="1"/>
  <c r="L1081" i="21"/>
  <c r="O1081" i="21" s="1"/>
  <c r="AG603" i="16"/>
  <c r="O900" i="21"/>
  <c r="L158" i="21"/>
  <c r="O158" i="21" s="1"/>
  <c r="L505" i="21"/>
  <c r="O505" i="21" s="1"/>
  <c r="L455" i="21"/>
  <c r="O455" i="21" s="1"/>
  <c r="AG218" i="16"/>
  <c r="L264" i="21"/>
  <c r="O264" i="21" s="1"/>
  <c r="AG743" i="16"/>
  <c r="L927" i="21"/>
  <c r="O927" i="21" s="1"/>
  <c r="AG744" i="16"/>
  <c r="AG748" i="16"/>
  <c r="L696" i="21"/>
  <c r="O696" i="21" s="1"/>
  <c r="AG438" i="16"/>
  <c r="L694" i="21"/>
  <c r="O694" i="21" s="1"/>
  <c r="L1112" i="21"/>
  <c r="O1112" i="21" s="1"/>
  <c r="L918" i="21"/>
  <c r="O918" i="21" s="1"/>
  <c r="L284" i="21"/>
  <c r="O284" i="21" s="1"/>
  <c r="L166" i="21"/>
  <c r="O166" i="21" s="1"/>
  <c r="AG504" i="16"/>
  <c r="L929" i="21"/>
  <c r="O929" i="21" s="1"/>
  <c r="AG604" i="16"/>
  <c r="AG698" i="16"/>
  <c r="AG993" i="16"/>
  <c r="AG431" i="16"/>
  <c r="AG1073" i="16"/>
  <c r="L514" i="21"/>
  <c r="O514" i="21" s="1"/>
  <c r="L724" i="21"/>
  <c r="O724" i="21" s="1"/>
  <c r="L1104" i="21"/>
  <c r="O1104" i="21" s="1"/>
  <c r="L1044" i="21"/>
  <c r="O1044" i="21" s="1"/>
  <c r="AG292" i="16"/>
  <c r="L177" i="21"/>
  <c r="O177" i="21" s="1"/>
  <c r="L172" i="21"/>
  <c r="O172" i="21" s="1"/>
  <c r="AG919" i="16"/>
  <c r="L375" i="21"/>
  <c r="O375" i="21" s="1"/>
  <c r="L1154" i="21"/>
  <c r="O1154" i="21" s="1"/>
  <c r="AG911" i="16"/>
  <c r="AG458" i="16"/>
  <c r="AG1009" i="16"/>
  <c r="AG112" i="16"/>
  <c r="L271" i="21"/>
  <c r="O271" i="21" s="1"/>
  <c r="L175" i="21"/>
  <c r="O175" i="21" s="1"/>
  <c r="L180" i="21"/>
  <c r="O180" i="21" s="1"/>
  <c r="L1123" i="21"/>
  <c r="O1123" i="21" s="1"/>
  <c r="AG1153" i="16"/>
  <c r="L1109" i="21"/>
  <c r="O1109" i="21" s="1"/>
  <c r="L1156" i="21"/>
  <c r="O1156" i="21" s="1"/>
  <c r="L170" i="21"/>
  <c r="O170" i="21" s="1"/>
  <c r="AG759" i="16"/>
  <c r="AG731" i="16"/>
  <c r="L1094" i="21"/>
  <c r="O1094" i="21" s="1"/>
  <c r="L263" i="21"/>
  <c r="O263" i="21" s="1"/>
  <c r="L602" i="21"/>
  <c r="O602" i="21" s="1"/>
  <c r="L736" i="21"/>
  <c r="O736" i="21" s="1"/>
  <c r="L978" i="21"/>
  <c r="O978" i="21" s="1"/>
  <c r="AG1113" i="16"/>
  <c r="L625" i="21"/>
  <c r="O625" i="21" s="1"/>
  <c r="L173" i="21"/>
  <c r="O173" i="21" s="1"/>
  <c r="L922" i="21"/>
  <c r="O922" i="21" s="1"/>
  <c r="L509" i="21"/>
  <c r="O509" i="21" s="1"/>
  <c r="L1050" i="21"/>
  <c r="O1050" i="21" s="1"/>
  <c r="L981" i="21"/>
  <c r="O981" i="21" s="1"/>
  <c r="L156" i="21"/>
  <c r="O156" i="21" s="1"/>
  <c r="L1048" i="21"/>
  <c r="O1048" i="21" s="1"/>
  <c r="AG937" i="16"/>
  <c r="L519" i="21"/>
  <c r="O519" i="21" s="1"/>
  <c r="L1108" i="21"/>
  <c r="O1108" i="21" s="1"/>
  <c r="O1136" i="21"/>
  <c r="L742" i="21"/>
  <c r="O742" i="21" s="1"/>
  <c r="L171" i="21"/>
  <c r="O171" i="21" s="1"/>
  <c r="L176" i="21"/>
  <c r="O176" i="21" s="1"/>
  <c r="L293" i="21"/>
  <c r="O293" i="21" s="1"/>
  <c r="L181" i="21"/>
  <c r="O181" i="21" s="1"/>
  <c r="L65" i="21"/>
  <c r="O65" i="21" s="1"/>
  <c r="L132" i="21"/>
  <c r="O132" i="21" s="1"/>
  <c r="L174" i="21"/>
  <c r="O174" i="21" s="1"/>
  <c r="O547" i="21"/>
  <c r="AG502" i="16"/>
  <c r="AG432" i="16"/>
  <c r="L1121" i="21"/>
  <c r="O1121" i="21" s="1"/>
  <c r="L1102" i="21"/>
  <c r="O1102" i="21" s="1"/>
  <c r="L697" i="21"/>
  <c r="O697" i="21" s="1"/>
  <c r="AG943" i="16"/>
  <c r="O1134" i="21"/>
  <c r="AG440" i="16"/>
  <c r="L1087" i="21"/>
  <c r="O1087" i="21" s="1"/>
  <c r="L979" i="21"/>
  <c r="O979" i="21" s="1"/>
  <c r="AG1148" i="16"/>
  <c r="AG734" i="16"/>
  <c r="L525" i="21"/>
  <c r="O525" i="21" s="1"/>
  <c r="AG920" i="16"/>
  <c r="L364" i="21"/>
  <c r="O364" i="21" s="1"/>
  <c r="L560" i="21"/>
  <c r="O560" i="21" s="1"/>
  <c r="L1023" i="21"/>
  <c r="O1023" i="21" s="1"/>
  <c r="L567" i="21"/>
  <c r="O567" i="21" s="1"/>
  <c r="L913" i="21"/>
  <c r="O913" i="21" s="1"/>
  <c r="L1059" i="21"/>
  <c r="O1059" i="21" s="1"/>
  <c r="L1129" i="21"/>
  <c r="O1129" i="21" s="1"/>
  <c r="L1126" i="21"/>
  <c r="O1126" i="21" s="1"/>
  <c r="L1067" i="21"/>
  <c r="O1067" i="21" s="1"/>
  <c r="AG980" i="16"/>
  <c r="L784" i="21"/>
  <c r="O784" i="21" s="1"/>
  <c r="L858" i="21"/>
  <c r="O858" i="21" s="1"/>
  <c r="L373" i="21"/>
  <c r="O373" i="21" s="1"/>
  <c r="AG691" i="16"/>
  <c r="L685" i="21"/>
  <c r="O685" i="21" s="1"/>
  <c r="AG1110" i="16"/>
  <c r="L859" i="21"/>
  <c r="O859" i="21" s="1"/>
  <c r="L813" i="21"/>
  <c r="O813" i="21" s="1"/>
  <c r="AG425" i="16"/>
  <c r="L444" i="21"/>
  <c r="O444" i="21" s="1"/>
  <c r="AG56" i="16"/>
  <c r="AG1075" i="16"/>
  <c r="AG935" i="16"/>
  <c r="L777" i="21"/>
  <c r="O777" i="21" s="1"/>
  <c r="L773" i="21"/>
  <c r="O773" i="21" s="1"/>
  <c r="AG379" i="16"/>
  <c r="L985" i="21"/>
  <c r="O985" i="21" s="1"/>
  <c r="L945" i="21"/>
  <c r="O945" i="21" s="1"/>
  <c r="AG753" i="16"/>
  <c r="AG686" i="16"/>
  <c r="L1155" i="21"/>
  <c r="O1155" i="21" s="1"/>
  <c r="L818" i="21"/>
  <c r="O818" i="21" s="1"/>
  <c r="L796" i="21"/>
  <c r="O796" i="21" s="1"/>
  <c r="AG702" i="16"/>
  <c r="L989" i="21"/>
  <c r="O989" i="21" s="1"/>
  <c r="L1152" i="21"/>
  <c r="O1152" i="21" s="1"/>
  <c r="L1107" i="21"/>
  <c r="O1107" i="21" s="1"/>
  <c r="L266" i="21"/>
  <c r="O266" i="21" s="1"/>
  <c r="L1106" i="21"/>
  <c r="O1106" i="21" s="1"/>
  <c r="AG689" i="16"/>
  <c r="L746" i="21"/>
  <c r="O746" i="21" s="1"/>
  <c r="AG456" i="16"/>
  <c r="L779" i="21"/>
  <c r="O779" i="21" s="1"/>
  <c r="L860" i="21"/>
  <c r="O860" i="21" s="1"/>
  <c r="L212" i="21"/>
  <c r="O212" i="21" s="1"/>
  <c r="AG916" i="16"/>
  <c r="AG66" i="16"/>
  <c r="AG437" i="16"/>
  <c r="L843" i="21"/>
  <c r="O843" i="21" s="1"/>
  <c r="AG152" i="16"/>
  <c r="L738" i="21"/>
  <c r="O738" i="21" s="1"/>
  <c r="L473" i="21"/>
  <c r="O473" i="21" s="1"/>
  <c r="L518" i="21"/>
  <c r="O518" i="21" s="1"/>
  <c r="L287" i="21"/>
  <c r="O287" i="21" s="1"/>
  <c r="L291" i="21"/>
  <c r="O291" i="21" s="1"/>
  <c r="L501" i="21"/>
  <c r="O501" i="21" s="1"/>
  <c r="L312" i="21"/>
  <c r="O312" i="21" s="1"/>
  <c r="L749" i="21"/>
  <c r="O749" i="21" s="1"/>
  <c r="L207" i="21"/>
  <c r="O207" i="21" s="1"/>
  <c r="L278" i="21"/>
  <c r="O278" i="21" s="1"/>
  <c r="L310" i="21"/>
  <c r="O310" i="21" s="1"/>
  <c r="L931" i="21"/>
  <c r="O931" i="21" s="1"/>
  <c r="L947" i="21"/>
  <c r="O947" i="21" s="1"/>
  <c r="L366" i="21"/>
  <c r="O366" i="21" s="1"/>
  <c r="L513" i="21"/>
  <c r="O513" i="21" s="1"/>
  <c r="L699" i="21"/>
  <c r="O699" i="21" s="1"/>
  <c r="L268" i="21"/>
  <c r="O268" i="21" s="1"/>
  <c r="L275" i="21"/>
  <c r="O275" i="21" s="1"/>
  <c r="L372" i="21"/>
  <c r="O372" i="21" s="1"/>
  <c r="L908" i="21"/>
  <c r="O908" i="21" s="1"/>
  <c r="L282" i="21"/>
  <c r="O282" i="21" s="1"/>
  <c r="L67" i="21"/>
  <c r="O67" i="21" s="1"/>
  <c r="L930" i="21"/>
  <c r="O930" i="21" s="1"/>
  <c r="L733" i="21"/>
  <c r="O733" i="21" s="1"/>
  <c r="L468" i="21"/>
  <c r="O468" i="21" s="1"/>
  <c r="L617" i="21"/>
  <c r="O617" i="21" s="1"/>
  <c r="O178" i="21"/>
  <c r="L797" i="21"/>
  <c r="O797" i="21" s="1"/>
  <c r="L763" i="21"/>
  <c r="O763" i="21" s="1"/>
  <c r="L789" i="21"/>
  <c r="O789" i="21" s="1"/>
  <c r="L792" i="21"/>
  <c r="O792" i="21" s="1"/>
  <c r="L830" i="21"/>
  <c r="O830" i="21" s="1"/>
  <c r="L788" i="21"/>
  <c r="O788" i="21" s="1"/>
  <c r="L852" i="21"/>
  <c r="O852" i="21" s="1"/>
  <c r="L803" i="21"/>
  <c r="O803" i="21" s="1"/>
  <c r="L867" i="21"/>
  <c r="O867" i="21" s="1"/>
  <c r="L822" i="21"/>
  <c r="O822" i="21" s="1"/>
  <c r="L782" i="21"/>
  <c r="O782" i="21" s="1"/>
  <c r="L846" i="21"/>
  <c r="O846" i="21" s="1"/>
  <c r="L801" i="21"/>
  <c r="O801" i="21" s="1"/>
  <c r="L865" i="21"/>
  <c r="O865" i="21" s="1"/>
  <c r="L465" i="21"/>
  <c r="O465" i="21" s="1"/>
  <c r="L385" i="21"/>
  <c r="O385" i="21" s="1"/>
  <c r="L124" i="21"/>
  <c r="O124" i="21" s="1"/>
  <c r="L510" i="21"/>
  <c r="O510" i="21" s="1"/>
  <c r="L597" i="21"/>
  <c r="O597" i="21" s="1"/>
  <c r="L358" i="21"/>
  <c r="O358" i="21" s="1"/>
  <c r="L934" i="21"/>
  <c r="O934" i="21" s="1"/>
  <c r="L910" i="21"/>
  <c r="O910" i="21" s="1"/>
  <c r="L120" i="21"/>
  <c r="O120" i="21" s="1"/>
  <c r="L601" i="21"/>
  <c r="O601" i="21" s="1"/>
  <c r="L503" i="21"/>
  <c r="O503" i="21" s="1"/>
  <c r="L1063" i="21"/>
  <c r="O1063" i="21" s="1"/>
  <c r="L809" i="21"/>
  <c r="O809" i="21" s="1"/>
  <c r="L775" i="21"/>
  <c r="O775" i="21" s="1"/>
  <c r="L838" i="21"/>
  <c r="O838" i="21" s="1"/>
  <c r="L804" i="21"/>
  <c r="O804" i="21" s="1"/>
  <c r="L783" i="21"/>
  <c r="O783" i="21" s="1"/>
  <c r="L793" i="21"/>
  <c r="O793" i="21" s="1"/>
  <c r="L857" i="21"/>
  <c r="O857" i="21" s="1"/>
  <c r="L812" i="21"/>
  <c r="O812" i="21" s="1"/>
  <c r="L767" i="21"/>
  <c r="O767" i="21" s="1"/>
  <c r="L831" i="21"/>
  <c r="O831" i="21" s="1"/>
  <c r="L791" i="21"/>
  <c r="O791" i="21" s="1"/>
  <c r="L855" i="21"/>
  <c r="O855" i="21" s="1"/>
  <c r="L810" i="21"/>
  <c r="O810" i="21" s="1"/>
  <c r="AG851" i="16"/>
  <c r="L940" i="21"/>
  <c r="O940" i="21" s="1"/>
  <c r="L821" i="21"/>
  <c r="O821" i="21" s="1"/>
  <c r="L824" i="21"/>
  <c r="O824" i="21" s="1"/>
  <c r="L850" i="21"/>
  <c r="O850" i="21" s="1"/>
  <c r="L816" i="21"/>
  <c r="O816" i="21" s="1"/>
  <c r="L795" i="21"/>
  <c r="O795" i="21" s="1"/>
  <c r="L802" i="21"/>
  <c r="O802" i="21" s="1"/>
  <c r="L866" i="21"/>
  <c r="L817" i="21"/>
  <c r="O817" i="21" s="1"/>
  <c r="L776" i="21"/>
  <c r="O776" i="21" s="1"/>
  <c r="L840" i="21"/>
  <c r="O840" i="21" s="1"/>
  <c r="L800" i="21"/>
  <c r="O800" i="21" s="1"/>
  <c r="L864" i="21"/>
  <c r="O864" i="21" s="1"/>
  <c r="L819" i="21"/>
  <c r="O819" i="21" s="1"/>
  <c r="L70" i="21"/>
  <c r="O70" i="21" s="1"/>
  <c r="L1097" i="21"/>
  <c r="O1097" i="21" s="1"/>
  <c r="L360" i="21"/>
  <c r="O360" i="21" s="1"/>
  <c r="L761" i="21"/>
  <c r="O761" i="21" s="1"/>
  <c r="L774" i="21"/>
  <c r="O774" i="21" s="1"/>
  <c r="L836" i="21"/>
  <c r="O836" i="21" s="1"/>
  <c r="L862" i="21"/>
  <c r="O862" i="21" s="1"/>
  <c r="L829" i="21"/>
  <c r="O829" i="21" s="1"/>
  <c r="L807" i="21"/>
  <c r="O807" i="21" s="1"/>
  <c r="L811" i="21"/>
  <c r="O811" i="21" s="1"/>
  <c r="L762" i="21"/>
  <c r="O762" i="21" s="1"/>
  <c r="L826" i="21"/>
  <c r="O826" i="21" s="1"/>
  <c r="L781" i="21"/>
  <c r="O781" i="21" s="1"/>
  <c r="L845" i="21"/>
  <c r="O845" i="21" s="1"/>
  <c r="L805" i="21"/>
  <c r="O805" i="21" s="1"/>
  <c r="L764" i="21"/>
  <c r="O764" i="21" s="1"/>
  <c r="L828" i="21"/>
  <c r="O828" i="21" s="1"/>
  <c r="L841" i="21"/>
  <c r="O841" i="21" s="1"/>
  <c r="L460" i="21"/>
  <c r="O460" i="21" s="1"/>
  <c r="L786" i="21"/>
  <c r="O786" i="21" s="1"/>
  <c r="L848" i="21"/>
  <c r="O848" i="21" s="1"/>
  <c r="L766" i="21"/>
  <c r="O766" i="21" s="1"/>
  <c r="L856" i="21"/>
  <c r="O856" i="21" s="1"/>
  <c r="L820" i="21"/>
  <c r="O820" i="21" s="1"/>
  <c r="L771" i="21"/>
  <c r="O771" i="21" s="1"/>
  <c r="L835" i="21"/>
  <c r="O835" i="21" s="1"/>
  <c r="L790" i="21"/>
  <c r="O790" i="21" s="1"/>
  <c r="L854" i="21"/>
  <c r="O854" i="21" s="1"/>
  <c r="L814" i="21"/>
  <c r="O814" i="21" s="1"/>
  <c r="L769" i="21"/>
  <c r="O769" i="21" s="1"/>
  <c r="L833" i="21"/>
  <c r="O833" i="21" s="1"/>
  <c r="L146" i="21"/>
  <c r="O146" i="21" s="1"/>
  <c r="L154" i="21"/>
  <c r="O154" i="21" s="1"/>
  <c r="L682" i="21"/>
  <c r="O682" i="21" s="1"/>
  <c r="L986" i="21"/>
  <c r="O986" i="21" s="1"/>
  <c r="L1057" i="21"/>
  <c r="O1057" i="21" s="1"/>
  <c r="L754" i="21"/>
  <c r="O754" i="21" s="1"/>
  <c r="L515" i="21"/>
  <c r="O515" i="21" s="1"/>
  <c r="L363" i="21"/>
  <c r="O363" i="21" s="1"/>
  <c r="L798" i="21"/>
  <c r="O798" i="21" s="1"/>
  <c r="L861" i="21"/>
  <c r="O861" i="21" s="1"/>
  <c r="L815" i="21"/>
  <c r="O815" i="21" s="1"/>
  <c r="L853" i="21"/>
  <c r="O853" i="21" s="1"/>
  <c r="L868" i="21"/>
  <c r="O868" i="21" s="1"/>
  <c r="L825" i="21"/>
  <c r="O825" i="21" s="1"/>
  <c r="L780" i="21"/>
  <c r="O780" i="21" s="1"/>
  <c r="L844" i="21"/>
  <c r="O844" i="21" s="1"/>
  <c r="L799" i="21"/>
  <c r="O799" i="21" s="1"/>
  <c r="L863" i="21"/>
  <c r="O863" i="21" s="1"/>
  <c r="L823" i="21"/>
  <c r="O823" i="21" s="1"/>
  <c r="L778" i="21"/>
  <c r="O778" i="21" s="1"/>
  <c r="L842" i="21"/>
  <c r="O842" i="21" s="1"/>
  <c r="L772" i="21"/>
  <c r="O772" i="21" s="1"/>
  <c r="L847" i="21"/>
  <c r="O847" i="21" s="1"/>
  <c r="L765" i="21"/>
  <c r="O765" i="21" s="1"/>
  <c r="L827" i="21"/>
  <c r="O827" i="21" s="1"/>
  <c r="L806" i="21"/>
  <c r="O806" i="21" s="1"/>
  <c r="L770" i="21"/>
  <c r="O770" i="21" s="1"/>
  <c r="L834" i="21"/>
  <c r="O834" i="21" s="1"/>
  <c r="L785" i="21"/>
  <c r="O785" i="21" s="1"/>
  <c r="L849" i="21"/>
  <c r="O849" i="21" s="1"/>
  <c r="L808" i="21"/>
  <c r="O808" i="21" s="1"/>
  <c r="L768" i="21"/>
  <c r="O768" i="21" s="1"/>
  <c r="L832" i="21"/>
  <c r="O832" i="21" s="1"/>
  <c r="L787" i="21"/>
  <c r="O787" i="21" s="1"/>
  <c r="AG378" i="16"/>
  <c r="L1062" i="21"/>
  <c r="O1062" i="21" s="1"/>
  <c r="L1047" i="21"/>
  <c r="O1047" i="21" s="1"/>
  <c r="L217" i="21"/>
  <c r="O217" i="21" s="1"/>
  <c r="L162" i="21"/>
  <c r="O162" i="21" s="1"/>
  <c r="L382" i="21"/>
  <c r="O382" i="21" s="1"/>
  <c r="L1042" i="21"/>
  <c r="O1042" i="21" s="1"/>
  <c r="L1043" i="21"/>
  <c r="O1043" i="21" s="1"/>
  <c r="L583" i="21"/>
  <c r="O583" i="21" s="1"/>
  <c r="L894" i="21"/>
  <c r="O894" i="21" s="1"/>
  <c r="L114" i="21"/>
  <c r="O114" i="21" s="1"/>
  <c r="AG58" i="16"/>
  <c r="L1026" i="21"/>
  <c r="O1026" i="21" s="1"/>
  <c r="AG921" i="16"/>
  <c r="L559" i="21"/>
  <c r="O559" i="21" s="1"/>
  <c r="L558" i="21"/>
  <c r="O558" i="21" s="1"/>
  <c r="L531" i="21"/>
  <c r="O531" i="21" s="1"/>
  <c r="AG470" i="16"/>
  <c r="L998" i="21"/>
  <c r="O998" i="21" s="1"/>
  <c r="AG442" i="16"/>
  <c r="AG1049" i="16"/>
  <c r="L260" i="21"/>
  <c r="O260" i="21" s="1"/>
  <c r="L508" i="21"/>
  <c r="O508" i="21" s="1"/>
  <c r="L285" i="21"/>
  <c r="O285" i="21" s="1"/>
  <c r="AG626" i="16"/>
  <c r="L367" i="21"/>
  <c r="O367" i="21" s="1"/>
  <c r="L258" i="21"/>
  <c r="O258" i="21" s="1"/>
  <c r="L973" i="21"/>
  <c r="O973" i="21" s="1"/>
  <c r="L999" i="21"/>
  <c r="O999" i="21" s="1"/>
  <c r="L1024" i="21"/>
  <c r="O1024" i="21" s="1"/>
  <c r="L474" i="21"/>
  <c r="O474" i="21" s="1"/>
  <c r="L562" i="21"/>
  <c r="O562" i="21" s="1"/>
  <c r="L521" i="21"/>
  <c r="O521" i="21" s="1"/>
  <c r="L563" i="21"/>
  <c r="O563" i="21" s="1"/>
  <c r="L315" i="21"/>
  <c r="O315" i="21" s="1"/>
  <c r="L356" i="21"/>
  <c r="O356" i="21" s="1"/>
  <c r="L452" i="21"/>
  <c r="O452" i="21" s="1"/>
  <c r="L727" i="21"/>
  <c r="O727" i="21" s="1"/>
  <c r="L1000" i="21"/>
  <c r="O1000" i="21" s="1"/>
  <c r="L523" i="21"/>
  <c r="O523" i="21" s="1"/>
  <c r="L443" i="21"/>
  <c r="O443" i="21" s="1"/>
  <c r="L690" i="21"/>
  <c r="O690" i="21" s="1"/>
  <c r="L361" i="21"/>
  <c r="O361" i="21" s="1"/>
  <c r="L467" i="21"/>
  <c r="O467" i="21" s="1"/>
  <c r="L1095" i="21"/>
  <c r="O1095" i="21" s="1"/>
  <c r="L461" i="21"/>
  <c r="O461" i="21" s="1"/>
  <c r="L1025" i="21"/>
  <c r="O1025" i="21" s="1"/>
  <c r="L522" i="21"/>
  <c r="O522" i="21" s="1"/>
  <c r="L565" i="21"/>
  <c r="O565" i="21" s="1"/>
  <c r="L524" i="21"/>
  <c r="AG474" i="16"/>
  <c r="L760" i="21"/>
  <c r="O760" i="21" s="1"/>
  <c r="L593" i="21"/>
  <c r="O593" i="21" s="1"/>
  <c r="L1077" i="21"/>
  <c r="O1077" i="21" s="1"/>
  <c r="L208" i="21"/>
  <c r="O208" i="21" s="1"/>
  <c r="L566" i="21"/>
  <c r="O566" i="21" s="1"/>
  <c r="L1064" i="21"/>
  <c r="O1064" i="21" s="1"/>
  <c r="L1132" i="21"/>
  <c r="O1132" i="21" s="1"/>
  <c r="L1157" i="21"/>
  <c r="O1157" i="21" s="1"/>
  <c r="L257" i="21"/>
  <c r="O257" i="21" s="1"/>
  <c r="L450" i="21"/>
  <c r="O450" i="21" s="1"/>
  <c r="L1028" i="21"/>
  <c r="O1028" i="21" s="1"/>
  <c r="L628" i="21"/>
  <c r="O628" i="21" s="1"/>
  <c r="L971" i="21"/>
  <c r="O971" i="21" s="1"/>
  <c r="L528" i="21"/>
  <c r="O528" i="21" s="1"/>
  <c r="L568" i="21"/>
  <c r="O568" i="21" s="1"/>
  <c r="L527" i="21"/>
  <c r="O527" i="21" s="1"/>
  <c r="L384" i="21"/>
  <c r="O384" i="21" s="1"/>
  <c r="L1027" i="21"/>
  <c r="O1027" i="21" s="1"/>
  <c r="L532" i="21"/>
  <c r="O532" i="21" s="1"/>
  <c r="L526" i="21"/>
  <c r="O526" i="21" s="1"/>
  <c r="L561" i="21"/>
  <c r="O561" i="21" s="1"/>
  <c r="L269" i="21"/>
  <c r="O269" i="21" s="1"/>
  <c r="O179" i="21"/>
  <c r="L423" i="21"/>
  <c r="O423" i="21" s="1"/>
  <c r="L214" i="21"/>
  <c r="O214" i="21" s="1"/>
  <c r="L976" i="21"/>
  <c r="O976" i="21" s="1"/>
  <c r="AG596" i="16"/>
  <c r="L517" i="21"/>
  <c r="O517" i="21" s="1"/>
  <c r="L279" i="21"/>
  <c r="O279" i="21" s="1"/>
  <c r="L684" i="21"/>
  <c r="O684" i="21" s="1"/>
  <c r="L1080" i="21"/>
  <c r="O1080" i="21" s="1"/>
  <c r="L1038" i="21"/>
  <c r="O1038" i="21" s="1"/>
  <c r="L512" i="21"/>
  <c r="O512" i="21" s="1"/>
  <c r="L1039" i="21"/>
  <c r="O1039" i="21" s="1"/>
  <c r="L530" i="21"/>
  <c r="O530" i="21" s="1"/>
  <c r="L259" i="21"/>
  <c r="O259" i="21" s="1"/>
  <c r="L126" i="21"/>
  <c r="O126" i="21" s="1"/>
  <c r="L52" i="21"/>
  <c r="O52" i="21" s="1"/>
  <c r="L529" i="21"/>
  <c r="O529" i="21" s="1"/>
  <c r="L557" i="21"/>
  <c r="O557" i="21" s="1"/>
  <c r="L1151" i="21"/>
  <c r="O1151" i="21" s="1"/>
  <c r="L381" i="21"/>
  <c r="O381" i="21" s="1"/>
  <c r="L64" i="21"/>
  <c r="O64" i="21" s="1"/>
  <c r="L307" i="21"/>
  <c r="O307" i="21" s="1"/>
  <c r="L311" i="21"/>
  <c r="O311" i="21" s="1"/>
  <c r="L256" i="21"/>
  <c r="O256" i="21" s="1"/>
  <c r="L262" i="21"/>
  <c r="O262" i="21" s="1"/>
  <c r="AG377" i="16"/>
  <c r="L281" i="21"/>
  <c r="O281" i="21" s="1"/>
  <c r="L982" i="21"/>
  <c r="O982" i="21" s="1"/>
  <c r="L977" i="21"/>
  <c r="O977" i="21" s="1"/>
  <c r="L314" i="21"/>
  <c r="O314" i="21" s="1"/>
  <c r="L983" i="21"/>
  <c r="O983" i="21" s="1"/>
  <c r="L449" i="21"/>
  <c r="O449" i="21" s="1"/>
  <c r="L619" i="21"/>
  <c r="O619" i="21" s="1"/>
  <c r="L972" i="21"/>
  <c r="O972" i="21" s="1"/>
  <c r="L732" i="21"/>
  <c r="O732" i="21" s="1"/>
  <c r="O1029" i="21"/>
  <c r="L69" i="21"/>
  <c r="O69" i="21" s="1"/>
  <c r="L555" i="21"/>
  <c r="O555" i="21" s="1"/>
  <c r="L265" i="21"/>
  <c r="O265" i="21" s="1"/>
  <c r="L745" i="21"/>
  <c r="O745" i="21" s="1"/>
  <c r="L221" i="21"/>
  <c r="O221" i="21" s="1"/>
  <c r="L60" i="21"/>
  <c r="O60" i="21" s="1"/>
  <c r="O1032" i="21"/>
  <c r="L932" i="21"/>
  <c r="O932" i="21" s="1"/>
  <c r="L500" i="21"/>
  <c r="O500" i="21" s="1"/>
  <c r="L907" i="21"/>
  <c r="O907" i="21" s="1"/>
  <c r="AG227" i="16"/>
  <c r="O564" i="21"/>
  <c r="AG354" i="16"/>
  <c r="L110" i="21"/>
  <c r="O110" i="21" s="1"/>
  <c r="L457" i="21"/>
  <c r="O457" i="21" s="1"/>
  <c r="L700" i="21"/>
  <c r="O700" i="21" s="1"/>
  <c r="L54" i="21"/>
  <c r="O54" i="21" s="1"/>
  <c r="L57" i="21"/>
  <c r="O57" i="21" s="1"/>
  <c r="L280" i="21"/>
  <c r="O280" i="21" s="1"/>
  <c r="L148" i="21"/>
  <c r="O148" i="21" s="1"/>
  <c r="L453" i="21"/>
  <c r="O453" i="21" s="1"/>
  <c r="L231" i="21"/>
  <c r="O231" i="21" s="1"/>
  <c r="L309" i="21"/>
  <c r="O309" i="21" s="1"/>
  <c r="L582" i="21"/>
  <c r="O582" i="21" s="1"/>
  <c r="L463" i="21"/>
  <c r="O463" i="21" s="1"/>
  <c r="L909" i="21"/>
  <c r="O909" i="21" s="1"/>
  <c r="L226" i="21"/>
  <c r="O226" i="21" s="1"/>
  <c r="L520" i="21"/>
  <c r="O520" i="21" s="1"/>
  <c r="L585" i="21"/>
  <c r="O585" i="21" s="1"/>
  <c r="L546" i="21"/>
  <c r="O546" i="21" s="1"/>
  <c r="L587" i="21"/>
  <c r="O587" i="21" s="1"/>
  <c r="L869" i="21"/>
  <c r="O869" i="21" s="1"/>
  <c r="L283" i="21"/>
  <c r="O283" i="21" s="1"/>
  <c r="L589" i="21"/>
  <c r="O589" i="21" s="1"/>
  <c r="L549" i="21"/>
  <c r="O549" i="21" s="1"/>
  <c r="AG520" i="16"/>
  <c r="AG598" i="16"/>
  <c r="L308" i="21"/>
  <c r="O308" i="21" s="1"/>
  <c r="L261" i="21"/>
  <c r="O261" i="21" s="1"/>
  <c r="AG222" i="16"/>
  <c r="AG925" i="16"/>
  <c r="L975" i="21"/>
  <c r="O975" i="21" s="1"/>
  <c r="L71" i="21"/>
  <c r="O71" i="21" s="1"/>
  <c r="L970" i="21"/>
  <c r="O970" i="21" s="1"/>
  <c r="L210" i="21"/>
  <c r="O210" i="21" s="1"/>
  <c r="AG507" i="16"/>
  <c r="L586" i="21"/>
  <c r="O586" i="21" s="1"/>
  <c r="L591" i="21"/>
  <c r="O591" i="21" s="1"/>
  <c r="L552" i="21"/>
  <c r="O552" i="21" s="1"/>
  <c r="K11" i="31"/>
  <c r="M11" i="31" s="1"/>
  <c r="D46" i="22"/>
  <c r="AG740" i="16"/>
  <c r="AG974" i="16"/>
  <c r="L928" i="21"/>
  <c r="O928" i="21" s="1"/>
  <c r="L428" i="21"/>
  <c r="O428" i="21" s="1"/>
  <c r="L213" i="21"/>
  <c r="O213" i="21" s="1"/>
  <c r="L914" i="21"/>
  <c r="O914" i="21" s="1"/>
  <c r="L592" i="21"/>
  <c r="O592" i="21" s="1"/>
  <c r="L545" i="21"/>
  <c r="O545" i="21" s="1"/>
  <c r="L581" i="21"/>
  <c r="O581" i="21" s="1"/>
  <c r="K7" i="31"/>
  <c r="M7" i="31" s="1"/>
  <c r="M13" i="31" s="1"/>
  <c r="L588" i="21"/>
  <c r="O588" i="21" s="1"/>
  <c r="L219" i="21"/>
  <c r="O219" i="21" s="1"/>
  <c r="L288" i="21"/>
  <c r="O288" i="21" s="1"/>
  <c r="L623" i="21"/>
  <c r="O623" i="21" s="1"/>
  <c r="L996" i="21"/>
  <c r="O996" i="21" s="1"/>
  <c r="L160" i="21"/>
  <c r="O160" i="21" s="1"/>
  <c r="L695" i="21"/>
  <c r="O695" i="21" s="1"/>
  <c r="L747" i="21"/>
  <c r="O747" i="21" s="1"/>
  <c r="L550" i="21"/>
  <c r="O550" i="21" s="1"/>
  <c r="L548" i="21"/>
  <c r="O548" i="21" s="1"/>
  <c r="L584" i="21"/>
  <c r="O584" i="21" s="1"/>
  <c r="L735" i="21"/>
  <c r="O735" i="21" s="1"/>
  <c r="L118" i="21"/>
  <c r="O118" i="21" s="1"/>
  <c r="AG273" i="16"/>
  <c r="L73" i="21"/>
  <c r="O73" i="21" s="1"/>
  <c r="L990" i="21"/>
  <c r="O990" i="21" s="1"/>
  <c r="L370" i="21"/>
  <c r="O370" i="21" s="1"/>
  <c r="L994" i="21"/>
  <c r="O994" i="21" s="1"/>
  <c r="L150" i="21"/>
  <c r="O150" i="21" s="1"/>
  <c r="L270" i="21"/>
  <c r="O270" i="21" s="1"/>
  <c r="L687" i="21"/>
  <c r="O687" i="21" s="1"/>
  <c r="L446" i="21"/>
  <c r="O446" i="21" s="1"/>
  <c r="L553" i="21"/>
  <c r="O553" i="21" s="1"/>
  <c r="L551" i="21"/>
  <c r="O551" i="21" s="1"/>
  <c r="L590" i="21"/>
  <c r="O590" i="21" s="1"/>
  <c r="L987" i="21"/>
  <c r="O987" i="21" s="1"/>
  <c r="O1143" i="21"/>
  <c r="L209" i="21"/>
  <c r="O209" i="21" s="1"/>
  <c r="L556" i="21"/>
  <c r="O556" i="21" s="1"/>
  <c r="L554" i="21"/>
  <c r="O554" i="21" s="1"/>
  <c r="L902" i="21"/>
  <c r="O902" i="21" s="1"/>
  <c r="L942" i="21"/>
  <c r="O942" i="21" s="1"/>
  <c r="L435" i="21"/>
  <c r="O435" i="21" s="1"/>
  <c r="AG306" i="16"/>
  <c r="L991" i="21"/>
  <c r="O991" i="21" s="1"/>
  <c r="L915" i="21"/>
  <c r="O915" i="21" s="1"/>
  <c r="L228" i="21"/>
  <c r="O228" i="21" s="1"/>
  <c r="L984" i="21"/>
  <c r="O984" i="21" s="1"/>
  <c r="AG464" i="16"/>
  <c r="L893" i="21"/>
  <c r="O893" i="21" s="1"/>
  <c r="L892" i="21"/>
  <c r="O892" i="21" s="1"/>
  <c r="L875" i="21"/>
  <c r="O875" i="21" s="1"/>
  <c r="L877" i="21"/>
  <c r="O877" i="21" s="1"/>
  <c r="L899" i="21"/>
  <c r="O899" i="21" s="1"/>
  <c r="AG924" i="16"/>
  <c r="L701" i="21"/>
  <c r="O701" i="21" s="1"/>
  <c r="L276" i="21"/>
  <c r="O276" i="21" s="1"/>
  <c r="L369" i="21"/>
  <c r="O369" i="21" s="1"/>
  <c r="L944" i="21"/>
  <c r="O944" i="21" s="1"/>
  <c r="L890" i="21"/>
  <c r="O890" i="21" s="1"/>
  <c r="L872" i="21"/>
  <c r="O872" i="21" s="1"/>
  <c r="L879" i="21"/>
  <c r="O879" i="21" s="1"/>
  <c r="L881" i="21"/>
  <c r="O881" i="21" s="1"/>
  <c r="L903" i="21"/>
  <c r="O903" i="21" s="1"/>
  <c r="AG729" i="16"/>
  <c r="L62" i="21"/>
  <c r="O62" i="21" s="1"/>
  <c r="L933" i="21"/>
  <c r="O933" i="21" s="1"/>
  <c r="L53" i="21"/>
  <c r="O53" i="21" s="1"/>
  <c r="L599" i="21"/>
  <c r="O599" i="21" s="1"/>
  <c r="L466" i="21"/>
  <c r="O466" i="21" s="1"/>
  <c r="L905" i="21"/>
  <c r="O905" i="21" s="1"/>
  <c r="L454" i="21"/>
  <c r="O454" i="21" s="1"/>
  <c r="L600" i="21"/>
  <c r="O600" i="21" s="1"/>
  <c r="L723" i="21"/>
  <c r="O723" i="21" s="1"/>
  <c r="L876" i="21"/>
  <c r="O876" i="21" s="1"/>
  <c r="L883" i="21"/>
  <c r="O883" i="21" s="1"/>
  <c r="L885" i="21"/>
  <c r="O885" i="21" s="1"/>
  <c r="L897" i="21"/>
  <c r="O897" i="21" s="1"/>
  <c r="L874" i="21"/>
  <c r="O874" i="21" s="1"/>
  <c r="L873" i="21"/>
  <c r="O873" i="21" s="1"/>
  <c r="L988" i="21"/>
  <c r="O988" i="21" s="1"/>
  <c r="L59" i="21"/>
  <c r="O59" i="21" s="1"/>
  <c r="L758" i="21"/>
  <c r="O758" i="21" s="1"/>
  <c r="O1139" i="21"/>
  <c r="L886" i="21"/>
  <c r="O886" i="21" s="1"/>
  <c r="L880" i="21"/>
  <c r="O880" i="21" s="1"/>
  <c r="L887" i="21"/>
  <c r="O887" i="21" s="1"/>
  <c r="L889" i="21"/>
  <c r="O889" i="21" s="1"/>
  <c r="L901" i="21"/>
  <c r="O901" i="21" s="1"/>
  <c r="L870" i="21"/>
  <c r="O870" i="21" s="1"/>
  <c r="L871" i="21"/>
  <c r="O871" i="21" s="1"/>
  <c r="L895" i="21"/>
  <c r="O895" i="21" s="1"/>
  <c r="L917" i="21"/>
  <c r="O917" i="21" s="1"/>
  <c r="L189" i="21"/>
  <c r="O189" i="21" s="1"/>
  <c r="L938" i="21"/>
  <c r="O938" i="21" s="1"/>
  <c r="L751" i="21"/>
  <c r="O751" i="21" s="1"/>
  <c r="L469" i="21"/>
  <c r="O469" i="21" s="1"/>
  <c r="L1146" i="21"/>
  <c r="O1146" i="21" s="1"/>
  <c r="L882" i="21"/>
  <c r="O882" i="21" s="1"/>
  <c r="L884" i="21"/>
  <c r="O884" i="21" s="1"/>
  <c r="L891" i="21"/>
  <c r="O891" i="21" s="1"/>
  <c r="L896" i="21"/>
  <c r="O896" i="21" s="1"/>
  <c r="AG723" i="16"/>
  <c r="D47" i="22"/>
  <c r="L185" i="21"/>
  <c r="O185" i="21" s="1"/>
  <c r="O524" i="21"/>
  <c r="L725" i="21"/>
  <c r="O725" i="21" s="1"/>
  <c r="L878" i="21"/>
  <c r="O878" i="21" s="1"/>
  <c r="L888" i="21"/>
  <c r="O888" i="21" s="1"/>
  <c r="L898" i="21"/>
  <c r="O898" i="21" s="1"/>
  <c r="L317" i="21"/>
  <c r="O317" i="21" s="1"/>
  <c r="L1020" i="21"/>
  <c r="O1020" i="21" s="1"/>
  <c r="L434" i="21"/>
  <c r="O434" i="21" s="1"/>
  <c r="L72" i="21"/>
  <c r="O72" i="21" s="1"/>
  <c r="L429" i="21"/>
  <c r="O429" i="21" s="1"/>
  <c r="L1017" i="21"/>
  <c r="O1017" i="21" s="1"/>
  <c r="L1022" i="21"/>
  <c r="O1022" i="21" s="1"/>
  <c r="L939" i="21"/>
  <c r="O939" i="21" s="1"/>
  <c r="L274" i="21"/>
  <c r="O274" i="21" s="1"/>
  <c r="L498" i="21"/>
  <c r="O498" i="21" s="1"/>
  <c r="L61" i="21"/>
  <c r="O61" i="21" s="1"/>
  <c r="L286" i="21"/>
  <c r="O286" i="21" s="1"/>
  <c r="L969" i="21"/>
  <c r="O969" i="21" s="1"/>
  <c r="L992" i="21"/>
  <c r="O992" i="21" s="1"/>
  <c r="L55" i="21"/>
  <c r="O55" i="21" s="1"/>
  <c r="O866" i="21"/>
  <c r="L1147" i="21"/>
  <c r="O1147" i="21" s="1"/>
  <c r="L1018" i="21"/>
  <c r="O1018" i="21" s="1"/>
  <c r="L63" i="21"/>
  <c r="O63" i="21" s="1"/>
  <c r="L1021" i="21"/>
  <c r="O1021" i="21" s="1"/>
  <c r="L122" i="21"/>
  <c r="O122" i="21" s="1"/>
  <c r="L277" i="21"/>
  <c r="O277" i="21" s="1"/>
  <c r="L164" i="21"/>
  <c r="O164" i="21" s="1"/>
  <c r="L1150" i="21"/>
  <c r="O1150" i="21" s="1"/>
  <c r="O1034" i="21"/>
  <c r="L595" i="21"/>
  <c r="O595" i="21" s="1"/>
  <c r="L511" i="21"/>
  <c r="O511" i="21" s="1"/>
  <c r="L216" i="21"/>
  <c r="O216" i="21" s="1"/>
  <c r="L726" i="21"/>
  <c r="O726" i="21" s="1"/>
  <c r="L206" i="21"/>
  <c r="O206" i="21" s="1"/>
  <c r="L1019" i="21"/>
  <c r="O1019" i="21" s="1"/>
  <c r="AP9" i="16"/>
  <c r="AQ9" i="16" s="1"/>
  <c r="L192" i="21"/>
  <c r="O192" i="21" s="1"/>
  <c r="L188" i="21"/>
  <c r="O188" i="21" s="1"/>
  <c r="L419" i="21"/>
  <c r="O419" i="21" s="1"/>
  <c r="L184" i="21"/>
  <c r="O184" i="21" s="1"/>
  <c r="AG168" i="16"/>
  <c r="L426" i="21"/>
  <c r="O426" i="21" s="1"/>
  <c r="L506" i="21"/>
  <c r="O506" i="21" s="1"/>
  <c r="L316" i="21"/>
  <c r="O316" i="21" s="1"/>
  <c r="L187" i="21"/>
  <c r="O187" i="21" s="1"/>
  <c r="L447" i="21"/>
  <c r="O447" i="21" s="1"/>
  <c r="L190" i="21"/>
  <c r="O190" i="21" s="1"/>
  <c r="L499" i="21"/>
  <c r="O499" i="21" s="1"/>
  <c r="L168" i="21"/>
  <c r="O168" i="21" s="1"/>
  <c r="L193" i="21"/>
  <c r="O193" i="21" s="1"/>
  <c r="L267" i="21"/>
  <c r="O267" i="21" s="1"/>
  <c r="L183" i="21"/>
  <c r="O183" i="21" s="1"/>
  <c r="L191" i="21"/>
  <c r="O191" i="21" s="1"/>
  <c r="L186" i="21"/>
  <c r="O186" i="21" s="1"/>
  <c r="L516" i="21"/>
  <c r="O516" i="21" s="1"/>
  <c r="O50" i="21"/>
  <c r="AC12" i="21"/>
  <c r="O662" i="21"/>
  <c r="AC8" i="21"/>
  <c r="Y51" i="13"/>
  <c r="AB5" i="13"/>
  <c r="Y51" i="12"/>
  <c r="AB5" i="12"/>
  <c r="AB51" i="12" s="1"/>
  <c r="AP5" i="16" l="1"/>
  <c r="AQ5" i="16" s="1"/>
  <c r="AC9" i="21"/>
  <c r="W12" i="21"/>
  <c r="T12" i="21"/>
  <c r="W8" i="21"/>
  <c r="AP8" i="16"/>
  <c r="AQ8" i="16" s="1"/>
  <c r="AC11" i="21"/>
  <c r="K13" i="31"/>
  <c r="T8" i="21"/>
  <c r="AP6" i="16"/>
  <c r="AQ6" i="16" s="1"/>
  <c r="AP4" i="16"/>
  <c r="W10" i="21"/>
  <c r="T10" i="21"/>
  <c r="W9" i="21"/>
  <c r="W11" i="21"/>
  <c r="T11" i="21"/>
  <c r="AC7" i="21"/>
  <c r="T7" i="21"/>
  <c r="T9" i="21"/>
  <c r="W7" i="21"/>
  <c r="AB51" i="13"/>
  <c r="G8" i="22"/>
  <c r="I8" i="22" s="1"/>
  <c r="AJ5" i="24"/>
  <c r="AP10" i="16" l="1"/>
  <c r="AQ10" i="16" s="1"/>
  <c r="Z12" i="21"/>
  <c r="AH12" i="21" s="1"/>
  <c r="AP11" i="16"/>
  <c r="AQ11" i="16" s="1"/>
  <c r="Z8" i="21"/>
  <c r="AH8" i="21" s="1"/>
  <c r="Z10" i="21"/>
  <c r="AH10" i="21" s="1"/>
  <c r="Z9" i="21"/>
  <c r="AH9" i="21" s="1"/>
  <c r="Z11" i="21"/>
  <c r="AH11" i="21" s="1"/>
  <c r="AQ4" i="16"/>
  <c r="Z7" i="21"/>
  <c r="AH7" i="21" s="1"/>
  <c r="AP12" i="16" l="1"/>
  <c r="AQ12" i="16" s="1"/>
  <c r="AG853" i="25" l="1"/>
  <c r="AA853" i="25"/>
  <c r="N118" i="28"/>
  <c r="N46" i="28"/>
  <c r="AD173" i="17"/>
  <c r="Y173" i="17"/>
  <c r="AZ7" i="23"/>
  <c r="AX7" i="23"/>
  <c r="AF901" i="25"/>
  <c r="Z901" i="25"/>
  <c r="AG207" i="25"/>
  <c r="AA207" i="25"/>
  <c r="N705" i="21"/>
  <c r="K705" i="21"/>
  <c r="AM40" i="23"/>
  <c r="T40" i="23"/>
  <c r="N40" i="23"/>
  <c r="AG10" i="9"/>
  <c r="AE10" i="9"/>
  <c r="AO10" i="9"/>
  <c r="AE172" i="25"/>
  <c r="Y172" i="25"/>
  <c r="AG11" i="21"/>
  <c r="Y11" i="21"/>
  <c r="S11" i="21"/>
  <c r="AG108" i="28"/>
  <c r="AG36" i="28"/>
  <c r="AG455" i="25"/>
  <c r="AA455" i="25"/>
  <c r="AF57" i="23"/>
  <c r="AP57" i="23"/>
  <c r="AG14" i="9"/>
  <c r="AE14" i="9"/>
  <c r="AO14" i="9"/>
  <c r="AE231" i="17"/>
  <c r="Z231" i="17"/>
  <c r="AG550" i="25"/>
  <c r="AA550" i="25"/>
  <c r="AL65" i="8"/>
  <c r="AJ65" i="8"/>
  <c r="AF927" i="25"/>
  <c r="Z927" i="25"/>
  <c r="M188" i="21"/>
  <c r="J188" i="21"/>
  <c r="AG697" i="25"/>
  <c r="AA697" i="25"/>
  <c r="AM36" i="8"/>
  <c r="T36" i="8"/>
  <c r="N36" i="8"/>
  <c r="AL69" i="23"/>
  <c r="AJ69" i="23"/>
  <c r="AF266" i="25"/>
  <c r="Z266" i="25"/>
  <c r="AE5" i="25"/>
  <c r="Y5" i="25"/>
  <c r="N111" i="28"/>
  <c r="N39" i="28"/>
  <c r="AD145" i="17"/>
  <c r="Y145" i="17"/>
  <c r="AE281" i="17"/>
  <c r="Z281" i="17"/>
  <c r="N994" i="21"/>
  <c r="K994" i="21"/>
  <c r="AC120" i="28"/>
  <c r="AC48" i="28"/>
  <c r="AF48" i="8"/>
  <c r="AP48" i="8"/>
  <c r="AM56" i="9"/>
  <c r="T56" i="9"/>
  <c r="N56" i="9"/>
  <c r="AG793" i="25"/>
  <c r="AA793" i="25"/>
  <c r="AF354" i="25"/>
  <c r="Z354" i="25"/>
  <c r="AM29" i="8"/>
  <c r="T29" i="8"/>
  <c r="N29" i="8"/>
  <c r="AG8" i="23"/>
  <c r="AE8" i="23"/>
  <c r="AO8" i="23"/>
  <c r="AZ28" i="23"/>
  <c r="AX28" i="23"/>
  <c r="AG1100" i="25"/>
  <c r="AA1100" i="25"/>
  <c r="AF501" i="25"/>
  <c r="Z501" i="25"/>
  <c r="AD17" i="17"/>
  <c r="Y17" i="17"/>
  <c r="N123" i="21"/>
  <c r="K123" i="21"/>
  <c r="AF1127" i="16"/>
  <c r="AL25" i="23"/>
  <c r="AJ25" i="23"/>
  <c r="AG522" i="25"/>
  <c r="AA522" i="25"/>
  <c r="AG1008" i="25"/>
  <c r="AA1008" i="25"/>
  <c r="AF739" i="25"/>
  <c r="Z739" i="25"/>
  <c r="AE280" i="17"/>
  <c r="Z280" i="17"/>
  <c r="AF1110" i="25"/>
  <c r="Z1110" i="25"/>
  <c r="AF965" i="25"/>
  <c r="Z965" i="25"/>
  <c r="AF1077" i="25"/>
  <c r="Z1077" i="25"/>
  <c r="AF546" i="16"/>
  <c r="Z546" i="16"/>
  <c r="AG123" i="28"/>
  <c r="AG51" i="28"/>
  <c r="AO25" i="23"/>
  <c r="AE25" i="23"/>
  <c r="AG25" i="23"/>
  <c r="AF81" i="28"/>
  <c r="AF9" i="28"/>
  <c r="AE358" i="17"/>
  <c r="Z358" i="17"/>
  <c r="N712" i="21"/>
  <c r="K712" i="21"/>
  <c r="AE232" i="17"/>
  <c r="Z232" i="17"/>
  <c r="AF777" i="25"/>
  <c r="Z777" i="25"/>
  <c r="AF517" i="25"/>
  <c r="Z517" i="25"/>
  <c r="AM57" i="8"/>
  <c r="T57" i="8"/>
  <c r="N57" i="8"/>
  <c r="AL59" i="9"/>
  <c r="AJ59" i="9"/>
  <c r="N896" i="21"/>
  <c r="K896" i="21"/>
  <c r="AF2" i="25"/>
  <c r="Z2" i="25"/>
  <c r="AF52" i="16"/>
  <c r="AF1133" i="25"/>
  <c r="Z1133" i="25"/>
  <c r="AM43" i="9"/>
  <c r="T43" i="9"/>
  <c r="N43" i="9"/>
  <c r="AF27" i="25"/>
  <c r="Z27" i="25"/>
  <c r="AG9" i="23"/>
  <c r="AE9" i="23"/>
  <c r="AO9" i="23"/>
  <c r="AB123" i="28"/>
  <c r="AB51" i="28"/>
  <c r="AG1040" i="25"/>
  <c r="AA1040" i="25"/>
  <c r="M157" i="21"/>
  <c r="J157" i="21"/>
  <c r="AB42" i="24"/>
  <c r="AL42" i="24"/>
  <c r="AI42" i="24"/>
  <c r="AE391" i="25"/>
  <c r="Y391" i="25"/>
  <c r="AG129" i="28"/>
  <c r="AG57" i="28"/>
  <c r="AG70" i="8"/>
  <c r="AF681" i="25"/>
  <c r="Z681" i="25"/>
  <c r="AF802" i="16"/>
  <c r="Z802" i="16"/>
  <c r="AF1063" i="25"/>
  <c r="Z1063" i="25"/>
  <c r="AG802" i="25"/>
  <c r="AA802" i="25"/>
  <c r="AG1089" i="25"/>
  <c r="AA1089" i="25"/>
  <c r="AG23" i="23"/>
  <c r="AE23" i="23"/>
  <c r="AO23" i="23"/>
  <c r="AG674" i="25"/>
  <c r="AA674" i="25"/>
  <c r="AB132" i="28"/>
  <c r="AB60" i="28"/>
  <c r="AL15" i="23"/>
  <c r="AJ15" i="23"/>
  <c r="AE569" i="16"/>
  <c r="Y569" i="16"/>
  <c r="AB78" i="28"/>
  <c r="AB6" i="28"/>
  <c r="AE20" i="17"/>
  <c r="Z20" i="17"/>
  <c r="N140" i="28"/>
  <c r="N68" i="28"/>
  <c r="AD76" i="17"/>
  <c r="Y76" i="17"/>
  <c r="N1117" i="21"/>
  <c r="K1117" i="21"/>
  <c r="AF432" i="25"/>
  <c r="Z432" i="25"/>
  <c r="N685" i="21"/>
  <c r="K685" i="21"/>
  <c r="AG256" i="25"/>
  <c r="AA256" i="25"/>
  <c r="AF37" i="9"/>
  <c r="AP37" i="9"/>
  <c r="AB39" i="24"/>
  <c r="AL39" i="24"/>
  <c r="AI39" i="24"/>
  <c r="AG31" i="23"/>
  <c r="AE31" i="23"/>
  <c r="AO31" i="23"/>
  <c r="Z712" i="16"/>
  <c r="AF712" i="16"/>
  <c r="M650" i="21"/>
  <c r="J650" i="21"/>
  <c r="AF730" i="25"/>
  <c r="Z730" i="25"/>
  <c r="AF510" i="16"/>
  <c r="N558" i="21"/>
  <c r="K558" i="21"/>
  <c r="N38" i="9"/>
  <c r="T38" i="9"/>
  <c r="AM38" i="9"/>
  <c r="AF49" i="9"/>
  <c r="AP49" i="9"/>
  <c r="AF514" i="25"/>
  <c r="Z514" i="25"/>
  <c r="N265" i="21"/>
  <c r="K265" i="21"/>
  <c r="AZ19" i="23"/>
  <c r="AX19" i="23"/>
  <c r="AE23" i="17"/>
  <c r="Z23" i="17"/>
  <c r="N71" i="9"/>
  <c r="T71" i="9"/>
  <c r="AM71" i="9"/>
  <c r="AM47" i="23"/>
  <c r="T47" i="23"/>
  <c r="N47" i="23"/>
  <c r="N80" i="28"/>
  <c r="N8" i="28"/>
  <c r="AG57" i="23"/>
  <c r="AE57" i="23"/>
  <c r="AO57" i="23"/>
  <c r="M26" i="21"/>
  <c r="J26" i="21"/>
  <c r="M99" i="21"/>
  <c r="J99" i="21"/>
  <c r="AB89" i="28"/>
  <c r="AB17" i="28"/>
  <c r="AE188" i="17"/>
  <c r="Z188" i="17"/>
  <c r="AL61" i="8"/>
  <c r="AJ61" i="8"/>
  <c r="AE24" i="17"/>
  <c r="Z24" i="17"/>
  <c r="AF867" i="16"/>
  <c r="Z867" i="16"/>
  <c r="AF1145" i="25"/>
  <c r="Z1145" i="25"/>
  <c r="AM68" i="8"/>
  <c r="T68" i="8"/>
  <c r="N68" i="8"/>
  <c r="M45" i="21"/>
  <c r="J45" i="21"/>
  <c r="AM61" i="23"/>
  <c r="T61" i="23"/>
  <c r="N61" i="23"/>
  <c r="AG621" i="25"/>
  <c r="AA621" i="25"/>
  <c r="N102" i="28"/>
  <c r="N30" i="28"/>
  <c r="AG453" i="25"/>
  <c r="AA453" i="25"/>
  <c r="AM46" i="9"/>
  <c r="T46" i="9"/>
  <c r="N46" i="9"/>
  <c r="AF448" i="25"/>
  <c r="Z448" i="25"/>
  <c r="AG122" i="25"/>
  <c r="AA122" i="25"/>
  <c r="AG938" i="25"/>
  <c r="AA938" i="25"/>
  <c r="AE283" i="17"/>
  <c r="Z283" i="17"/>
  <c r="AG189" i="25"/>
  <c r="AA189" i="25"/>
  <c r="AB104" i="28"/>
  <c r="AB32" i="28"/>
  <c r="AG44" i="23"/>
  <c r="AE44" i="23"/>
  <c r="AO44" i="23"/>
  <c r="AG1013" i="25"/>
  <c r="AA1013" i="25"/>
  <c r="AC86" i="28"/>
  <c r="AC14" i="28"/>
  <c r="AF14" i="8"/>
  <c r="AP14" i="8"/>
  <c r="AF738" i="25"/>
  <c r="Z738" i="25"/>
  <c r="AE337" i="17"/>
  <c r="Z337" i="17"/>
  <c r="AE355" i="17"/>
  <c r="Z355" i="17"/>
  <c r="AG943" i="25"/>
  <c r="AA943" i="25"/>
  <c r="AG1024" i="25"/>
  <c r="AA1024" i="25"/>
  <c r="AE90" i="17"/>
  <c r="Z90" i="17"/>
  <c r="AF585" i="16"/>
  <c r="Z585" i="16"/>
  <c r="AG768" i="25"/>
  <c r="AA768" i="25"/>
  <c r="AF707" i="25"/>
  <c r="Z707" i="25"/>
  <c r="AP20" i="8"/>
  <c r="AF20" i="8"/>
  <c r="AC20" i="28"/>
  <c r="AC92" i="28"/>
  <c r="AZ14" i="23"/>
  <c r="AX14" i="23"/>
  <c r="N658" i="21"/>
  <c r="K658" i="21"/>
  <c r="AL22" i="23"/>
  <c r="AJ22" i="23"/>
  <c r="AF898" i="25"/>
  <c r="Z898" i="25"/>
  <c r="AL70" i="8"/>
  <c r="AJ70" i="8"/>
  <c r="AF586" i="25"/>
  <c r="Z586" i="25"/>
  <c r="AO70" i="8"/>
  <c r="AE70" i="8"/>
  <c r="AB70" i="28"/>
  <c r="AB142" i="28"/>
  <c r="AF117" i="25"/>
  <c r="Z117" i="25"/>
  <c r="N182" i="21"/>
  <c r="K182" i="21"/>
  <c r="AE298" i="17"/>
  <c r="Z298" i="17"/>
  <c r="AB101" i="28"/>
  <c r="AB29" i="28"/>
  <c r="AG759" i="25"/>
  <c r="AA759" i="25"/>
  <c r="AD141" i="17"/>
  <c r="Y141" i="17"/>
  <c r="N129" i="28"/>
  <c r="N57" i="28"/>
  <c r="AM49" i="8"/>
  <c r="T49" i="8"/>
  <c r="N49" i="8"/>
  <c r="AD138" i="17"/>
  <c r="Y138" i="17"/>
  <c r="N964" i="21"/>
  <c r="K964" i="21"/>
  <c r="AM8" i="9"/>
  <c r="T8" i="9"/>
  <c r="N8" i="9"/>
  <c r="AG829" i="25"/>
  <c r="AA829" i="25"/>
  <c r="AB120" i="28"/>
  <c r="AB48" i="28"/>
  <c r="AL22" i="9"/>
  <c r="AJ22" i="9"/>
  <c r="N933" i="21"/>
  <c r="K933" i="21"/>
  <c r="AE278" i="17"/>
  <c r="Z278" i="17"/>
  <c r="AK73" i="23"/>
  <c r="AG258" i="25"/>
  <c r="AA258" i="25"/>
  <c r="AG696" i="25"/>
  <c r="AA696" i="25"/>
  <c r="AG128" i="25"/>
  <c r="AA128" i="25"/>
  <c r="AF60" i="25"/>
  <c r="Z60" i="25"/>
  <c r="AF875" i="16"/>
  <c r="Z875" i="16"/>
  <c r="AF7" i="23"/>
  <c r="AP7" i="23"/>
  <c r="N450" i="21"/>
  <c r="K450" i="21"/>
  <c r="N137" i="28"/>
  <c r="N65" i="28"/>
  <c r="Z1127" i="16"/>
  <c r="K1127" i="21"/>
  <c r="N1127" i="21"/>
  <c r="AG69" i="25"/>
  <c r="AA69" i="25"/>
  <c r="AF58" i="9"/>
  <c r="AP58" i="9"/>
  <c r="AG761" i="25"/>
  <c r="AA761" i="25"/>
  <c r="AG916" i="25"/>
  <c r="AA916" i="25"/>
  <c r="AG87" i="28"/>
  <c r="AG15" i="28"/>
  <c r="AE202" i="17"/>
  <c r="Z202" i="17"/>
  <c r="AE336" i="25"/>
  <c r="Y336" i="25"/>
  <c r="AE123" i="17"/>
  <c r="Z123" i="17"/>
  <c r="AF562" i="25"/>
  <c r="Z562" i="25"/>
  <c r="AF1030" i="25"/>
  <c r="Z1030" i="25"/>
  <c r="AG28" i="9"/>
  <c r="AE28" i="9"/>
  <c r="AO28" i="9"/>
  <c r="M126" i="21"/>
  <c r="J126" i="21"/>
  <c r="AF976" i="25"/>
  <c r="Z976" i="25"/>
  <c r="AF772" i="16"/>
  <c r="Z772" i="16"/>
  <c r="AE49" i="17"/>
  <c r="Z49" i="17"/>
  <c r="AB129" i="28"/>
  <c r="AB57" i="28"/>
  <c r="AM6" i="9"/>
  <c r="T6" i="9"/>
  <c r="N6" i="9"/>
  <c r="AO17" i="8"/>
  <c r="AE17" i="8"/>
  <c r="AG17" i="8"/>
  <c r="AG603" i="25"/>
  <c r="AA603" i="25"/>
  <c r="N845" i="21"/>
  <c r="K845" i="21"/>
  <c r="AM25" i="9"/>
  <c r="T25" i="9"/>
  <c r="N25" i="9"/>
  <c r="AE201" i="25"/>
  <c r="Y201" i="25"/>
  <c r="AF1000" i="25"/>
  <c r="Z1000" i="25"/>
  <c r="AE492" i="25"/>
  <c r="Y492" i="25"/>
  <c r="AF796" i="25"/>
  <c r="Z796" i="25"/>
  <c r="Z1117" i="16"/>
  <c r="AF1117" i="16"/>
  <c r="AG311" i="25"/>
  <c r="AA311" i="25"/>
  <c r="AF30" i="9"/>
  <c r="AP30" i="9"/>
  <c r="N675" i="21"/>
  <c r="K675" i="21"/>
  <c r="AE197" i="25"/>
  <c r="Y197" i="25"/>
  <c r="AD12" i="17"/>
  <c r="Y12" i="17"/>
  <c r="N995" i="21"/>
  <c r="K995" i="21"/>
  <c r="Z685" i="16"/>
  <c r="AF685" i="16"/>
  <c r="AF982" i="25"/>
  <c r="Z982" i="25"/>
  <c r="AF1033" i="25"/>
  <c r="Z1033" i="25"/>
  <c r="AF1011" i="25"/>
  <c r="Z1011" i="25"/>
  <c r="AF523" i="25"/>
  <c r="Z523" i="25"/>
  <c r="N102" i="21"/>
  <c r="K102" i="21"/>
  <c r="AG848" i="25"/>
  <c r="AA848" i="25"/>
  <c r="AO32" i="8"/>
  <c r="AE32" i="8"/>
  <c r="AG32" i="8"/>
  <c r="AG358" i="25"/>
  <c r="AA358" i="25"/>
  <c r="AB11" i="24"/>
  <c r="AL11" i="24"/>
  <c r="AI11" i="24"/>
  <c r="N190" i="21"/>
  <c r="K190" i="21"/>
  <c r="N939" i="21"/>
  <c r="K939" i="21"/>
  <c r="AB138" i="28"/>
  <c r="AB66" i="28"/>
  <c r="AF1053" i="25"/>
  <c r="Z1053" i="25"/>
  <c r="AE268" i="17"/>
  <c r="Z268" i="17"/>
  <c r="AO21" i="9"/>
  <c r="AE21" i="9"/>
  <c r="AG21" i="9"/>
  <c r="AF875" i="25"/>
  <c r="Z875" i="25"/>
  <c r="AF726" i="25"/>
  <c r="Z726" i="25"/>
  <c r="AG1038" i="25"/>
  <c r="AA1038" i="25"/>
  <c r="AF963" i="25"/>
  <c r="Z963" i="25"/>
  <c r="E49" i="5"/>
  <c r="E48" i="5"/>
  <c r="AF651" i="25"/>
  <c r="Z651" i="25"/>
  <c r="AL5" i="16"/>
  <c r="AK5" i="16"/>
  <c r="AE346" i="17"/>
  <c r="Z346" i="17"/>
  <c r="AG92" i="28"/>
  <c r="AG20" i="28"/>
  <c r="AG675" i="25"/>
  <c r="AA675" i="25"/>
  <c r="AL62" i="8"/>
  <c r="AJ62" i="8"/>
  <c r="Z705" i="16"/>
  <c r="AF705" i="16"/>
  <c r="AG876" i="25"/>
  <c r="AA876" i="25"/>
  <c r="AF106" i="16"/>
  <c r="AE87" i="17"/>
  <c r="Z87" i="17"/>
  <c r="AE648" i="25"/>
  <c r="Y648" i="25"/>
  <c r="AE255" i="25"/>
  <c r="Y255" i="25"/>
  <c r="AE99" i="25"/>
  <c r="Y99" i="25"/>
  <c r="AF665" i="25"/>
  <c r="Z665" i="25"/>
  <c r="N58" i="8"/>
  <c r="T58" i="8"/>
  <c r="AM58" i="8"/>
  <c r="AV9" i="25"/>
  <c r="AU9" i="25"/>
  <c r="AG59" i="9"/>
  <c r="AE59" i="9"/>
  <c r="AO59" i="9"/>
  <c r="AG56" i="8"/>
  <c r="AE301" i="17"/>
  <c r="Z301" i="17"/>
  <c r="AC115" i="28"/>
  <c r="AC43" i="28"/>
  <c r="AF43" i="8"/>
  <c r="AP43" i="8"/>
  <c r="M108" i="21"/>
  <c r="J108" i="21"/>
  <c r="AF470" i="25"/>
  <c r="Z470" i="25"/>
  <c r="AD171" i="17"/>
  <c r="Y171" i="17"/>
  <c r="AE382" i="17"/>
  <c r="Z382" i="17"/>
  <c r="AG858" i="25"/>
  <c r="AA858" i="25"/>
  <c r="AG1088" i="25"/>
  <c r="AA1088" i="25"/>
  <c r="AO29" i="23"/>
  <c r="AE29" i="23"/>
  <c r="AG29" i="23"/>
  <c r="AJ8" i="17"/>
  <c r="AE228" i="17"/>
  <c r="Z228" i="17"/>
  <c r="AF70" i="23"/>
  <c r="AP70" i="23"/>
  <c r="AD178" i="17"/>
  <c r="Y178" i="17"/>
  <c r="AE415" i="16"/>
  <c r="AF437" i="25"/>
  <c r="Z437" i="25"/>
  <c r="AF1078" i="16"/>
  <c r="AL60" i="9"/>
  <c r="AJ60" i="9"/>
  <c r="AE104" i="25"/>
  <c r="Y104" i="25"/>
  <c r="AF155" i="25"/>
  <c r="Z155" i="25"/>
  <c r="AF19" i="25"/>
  <c r="Z19" i="25"/>
  <c r="AG1109" i="25"/>
  <c r="AA1109" i="25"/>
  <c r="AE294" i="25"/>
  <c r="Y294" i="25"/>
  <c r="AK13" i="8"/>
  <c r="AG13" i="28"/>
  <c r="AG85" i="28"/>
  <c r="AF65" i="25"/>
  <c r="Z65" i="25"/>
  <c r="AF847" i="25"/>
  <c r="Z847" i="25"/>
  <c r="AG1045" i="25"/>
  <c r="AA1045" i="25"/>
  <c r="AE57" i="25"/>
  <c r="Y57" i="25"/>
  <c r="AF67" i="23"/>
  <c r="AP67" i="23"/>
  <c r="AM68" i="9"/>
  <c r="T68" i="9"/>
  <c r="N68" i="9"/>
  <c r="AF122" i="25"/>
  <c r="Z122" i="25"/>
  <c r="AF691" i="25"/>
  <c r="Z691" i="25"/>
  <c r="AF19" i="9"/>
  <c r="AP19" i="9"/>
  <c r="AG705" i="25"/>
  <c r="AA705" i="25"/>
  <c r="AE252" i="25"/>
  <c r="Y252" i="25"/>
  <c r="AG617" i="25"/>
  <c r="AA617" i="25"/>
  <c r="AE400" i="17"/>
  <c r="Z400" i="17"/>
  <c r="AG901" i="25"/>
  <c r="AA901" i="25"/>
  <c r="AF996" i="25"/>
  <c r="Z996" i="25"/>
  <c r="G49" i="5"/>
  <c r="G48" i="5"/>
  <c r="AE414" i="25"/>
  <c r="Y414" i="25"/>
  <c r="N707" i="21"/>
  <c r="K707" i="21"/>
  <c r="AC140" i="28"/>
  <c r="AC68" i="28"/>
  <c r="AF68" i="8"/>
  <c r="AP68" i="8"/>
  <c r="AE572" i="25"/>
  <c r="Y572" i="25"/>
  <c r="AG18" i="8"/>
  <c r="AF101" i="28"/>
  <c r="AF29" i="28"/>
  <c r="AE264" i="17"/>
  <c r="Z264" i="17"/>
  <c r="AE121" i="25"/>
  <c r="Y121" i="25"/>
  <c r="AJ10" i="21"/>
  <c r="V10" i="21"/>
  <c r="N869" i="21"/>
  <c r="AL52" i="8"/>
  <c r="AJ52" i="8"/>
  <c r="AG998" i="25"/>
  <c r="AA998" i="25"/>
  <c r="AB133" i="28"/>
  <c r="AB61" i="28"/>
  <c r="AF90" i="25"/>
  <c r="Z90" i="25"/>
  <c r="AF21" i="9"/>
  <c r="AP21" i="9"/>
  <c r="AF1121" i="25"/>
  <c r="Z1121" i="25"/>
  <c r="AG62" i="9"/>
  <c r="AE62" i="9"/>
  <c r="AO62" i="9"/>
  <c r="Z106" i="16"/>
  <c r="K106" i="21"/>
  <c r="N106" i="21"/>
  <c r="N521" i="21"/>
  <c r="K521" i="21"/>
  <c r="AF677" i="25"/>
  <c r="Z677" i="25"/>
  <c r="AF957" i="25"/>
  <c r="Z957" i="25"/>
  <c r="AF902" i="25"/>
  <c r="Z902" i="25"/>
  <c r="AG81" i="28"/>
  <c r="AG9" i="28"/>
  <c r="M538" i="21"/>
  <c r="J538" i="21"/>
  <c r="AF764" i="16"/>
  <c r="Z764" i="16"/>
  <c r="AF123" i="28"/>
  <c r="AF51" i="28"/>
  <c r="AO57" i="8"/>
  <c r="AE57" i="8"/>
  <c r="AG57" i="8"/>
  <c r="AG113" i="28"/>
  <c r="AG41" i="28"/>
  <c r="AG964" i="25"/>
  <c r="AA964" i="25"/>
  <c r="AE147" i="17"/>
  <c r="Z147" i="17"/>
  <c r="Z707" i="16"/>
  <c r="AF707" i="16"/>
  <c r="Z675" i="16"/>
  <c r="AF675" i="16"/>
  <c r="AG1112" i="25"/>
  <c r="AA1112" i="25"/>
  <c r="AG899" i="25"/>
  <c r="AA899" i="25"/>
  <c r="AG1022" i="25"/>
  <c r="AA1022" i="25"/>
  <c r="AG307" i="25"/>
  <c r="AA307" i="25"/>
  <c r="AF849" i="25"/>
  <c r="Z849" i="25"/>
  <c r="M62" i="21"/>
  <c r="J62" i="21"/>
  <c r="AD213" i="17"/>
  <c r="Y213" i="17"/>
  <c r="AG590" i="25"/>
  <c r="AA590" i="25"/>
  <c r="AE93" i="17"/>
  <c r="Z93" i="17"/>
  <c r="N82" i="21"/>
  <c r="K82" i="21"/>
  <c r="AG120" i="28"/>
  <c r="AG48" i="28"/>
  <c r="AF102" i="28"/>
  <c r="AF30" i="28"/>
  <c r="AM68" i="23"/>
  <c r="T68" i="23"/>
  <c r="N68" i="23"/>
  <c r="AG780" i="25"/>
  <c r="AA780" i="25"/>
  <c r="AD209" i="17"/>
  <c r="Y209" i="17"/>
  <c r="AG805" i="25"/>
  <c r="AA805" i="25"/>
  <c r="AG1125" i="25"/>
  <c r="AA1125" i="25"/>
  <c r="AF422" i="25"/>
  <c r="Z422" i="25"/>
  <c r="AF868" i="16"/>
  <c r="Z868" i="16"/>
  <c r="AG53" i="23"/>
  <c r="AE53" i="23"/>
  <c r="AO53" i="23"/>
  <c r="AE4" i="25"/>
  <c r="Y4" i="25"/>
  <c r="AF382" i="25"/>
  <c r="Z382" i="25"/>
  <c r="N451" i="21"/>
  <c r="K451" i="21"/>
  <c r="AF46" i="9"/>
  <c r="AP46" i="9"/>
  <c r="AE287" i="17"/>
  <c r="Z287" i="17"/>
  <c r="N846" i="21"/>
  <c r="K846" i="21"/>
  <c r="AZ65" i="23"/>
  <c r="AX65" i="23"/>
  <c r="AM17" i="8"/>
  <c r="T17" i="8"/>
  <c r="N17" i="8"/>
  <c r="AE11" i="25"/>
  <c r="Y11" i="25"/>
  <c r="AL33" i="23"/>
  <c r="AJ33" i="23"/>
  <c r="AF774" i="25"/>
  <c r="Z774" i="25"/>
  <c r="AD80" i="17"/>
  <c r="Y80" i="17"/>
  <c r="AG138" i="28"/>
  <c r="AG66" i="28"/>
  <c r="AG968" i="25"/>
  <c r="AA968" i="25"/>
  <c r="AL7" i="23"/>
  <c r="AJ7" i="23"/>
  <c r="AD70" i="17"/>
  <c r="Y70" i="17"/>
  <c r="AG963" i="25"/>
  <c r="AA963" i="25"/>
  <c r="AF931" i="25"/>
  <c r="Z931" i="25"/>
  <c r="AF1147" i="25"/>
  <c r="Z1147" i="25"/>
  <c r="AL34" i="23"/>
  <c r="AJ34" i="23"/>
  <c r="AM20" i="8"/>
  <c r="T20" i="8"/>
  <c r="N20" i="8"/>
  <c r="AF54" i="9"/>
  <c r="AP54" i="9"/>
  <c r="AO29" i="8"/>
  <c r="AE29" i="8"/>
  <c r="AG29" i="8"/>
  <c r="AF1038" i="25"/>
  <c r="Z1038" i="25"/>
  <c r="Y415" i="16"/>
  <c r="J415" i="21"/>
  <c r="M415" i="21"/>
  <c r="N98" i="28"/>
  <c r="N26" i="28"/>
  <c r="AF65" i="23"/>
  <c r="AP65" i="23"/>
  <c r="AG34" i="9"/>
  <c r="AE34" i="9"/>
  <c r="AO34" i="9"/>
  <c r="AG1011" i="25"/>
  <c r="AA1011" i="25"/>
  <c r="AG915" i="25"/>
  <c r="AA915" i="25"/>
  <c r="AF859" i="25"/>
  <c r="Z859" i="25"/>
  <c r="AL38" i="23"/>
  <c r="AJ38" i="23"/>
  <c r="AM28" i="8"/>
  <c r="T28" i="8"/>
  <c r="N28" i="8"/>
  <c r="AE340" i="17"/>
  <c r="Z340" i="17"/>
  <c r="AG38" i="8"/>
  <c r="AG917" i="25"/>
  <c r="AA917" i="25"/>
  <c r="AE193" i="17"/>
  <c r="Z193" i="17"/>
  <c r="M571" i="21"/>
  <c r="J571" i="21"/>
  <c r="AG211" i="25"/>
  <c r="AA211" i="25"/>
  <c r="AF50" i="9"/>
  <c r="AP50" i="9"/>
  <c r="AG89" i="28"/>
  <c r="AG17" i="28"/>
  <c r="AD8" i="17"/>
  <c r="Y8" i="17"/>
  <c r="AE28" i="17"/>
  <c r="Z28" i="17"/>
  <c r="AG317" i="25"/>
  <c r="AA317" i="25"/>
  <c r="AL55" i="9"/>
  <c r="AJ55" i="9"/>
  <c r="AF765" i="16"/>
  <c r="Z765" i="16"/>
  <c r="AE32" i="17"/>
  <c r="Z32" i="17"/>
  <c r="AF637" i="25"/>
  <c r="Z637" i="25"/>
  <c r="AF271" i="25"/>
  <c r="Z271" i="25"/>
  <c r="AE85" i="25"/>
  <c r="Y85" i="25"/>
  <c r="AG516" i="25"/>
  <c r="AA516" i="25"/>
  <c r="Z102" i="16"/>
  <c r="AF102" i="16"/>
  <c r="AF809" i="25"/>
  <c r="Z809" i="25"/>
  <c r="AM33" i="23"/>
  <c r="T33" i="23"/>
  <c r="N33" i="23"/>
  <c r="AK57" i="8"/>
  <c r="AK57" i="9"/>
  <c r="AK57" i="6"/>
  <c r="AK57" i="7"/>
  <c r="AK57" i="23"/>
  <c r="Y26" i="16"/>
  <c r="AE26" i="16"/>
  <c r="AL40" i="23"/>
  <c r="AJ40" i="23"/>
  <c r="Z995" i="16"/>
  <c r="AF995" i="16"/>
  <c r="AG107" i="28"/>
  <c r="AG35" i="28"/>
  <c r="AF1066" i="16"/>
  <c r="AF126" i="28"/>
  <c r="AF54" i="28"/>
  <c r="AK35" i="9"/>
  <c r="AK35" i="8"/>
  <c r="AK35" i="7"/>
  <c r="AK35" i="23"/>
  <c r="AE302" i="17"/>
  <c r="Z302" i="17"/>
  <c r="AE257" i="17"/>
  <c r="Z257" i="17"/>
  <c r="AF173" i="16"/>
  <c r="Z173" i="16"/>
  <c r="AK17" i="9"/>
  <c r="AK17" i="23"/>
  <c r="AK17" i="6"/>
  <c r="AK17" i="7"/>
  <c r="AK17" i="8"/>
  <c r="AC99" i="28"/>
  <c r="AP27" i="8"/>
  <c r="AF27" i="8"/>
  <c r="AC27" i="28"/>
  <c r="AK31" i="9"/>
  <c r="AK31" i="23"/>
  <c r="AK31" i="8"/>
  <c r="N447" i="21"/>
  <c r="K447" i="21"/>
  <c r="Y99" i="16"/>
  <c r="AE99" i="16"/>
  <c r="AE321" i="17"/>
  <c r="Z321" i="17"/>
  <c r="AF657" i="25"/>
  <c r="Z657" i="25"/>
  <c r="AL11" i="23"/>
  <c r="AJ11" i="23"/>
  <c r="AE122" i="17"/>
  <c r="Z122" i="17"/>
  <c r="AG114" i="28"/>
  <c r="AG42" i="28"/>
  <c r="AF166" i="25"/>
  <c r="Z166" i="25"/>
  <c r="AO61" i="8"/>
  <c r="AE61" i="8"/>
  <c r="AG61" i="8"/>
  <c r="AE68" i="17"/>
  <c r="Z68" i="17"/>
  <c r="AG766" i="25"/>
  <c r="AA766" i="25"/>
  <c r="AK31" i="6"/>
  <c r="AK31" i="7"/>
  <c r="AG31" i="28"/>
  <c r="AG103" i="28"/>
  <c r="Z82" i="16"/>
  <c r="AF82" i="16"/>
  <c r="N903" i="21"/>
  <c r="K903" i="21"/>
  <c r="AG518" i="25"/>
  <c r="AA518" i="25"/>
  <c r="AE157" i="17"/>
  <c r="Z157" i="17"/>
  <c r="AM8" i="8"/>
  <c r="T8" i="8"/>
  <c r="N8" i="8"/>
  <c r="AM31" i="8"/>
  <c r="T31" i="8"/>
  <c r="N31" i="8"/>
  <c r="AF962" i="25"/>
  <c r="Z962" i="25"/>
  <c r="AG1074" i="25"/>
  <c r="AA1074" i="25"/>
  <c r="AB27" i="24"/>
  <c r="AL27" i="24"/>
  <c r="AI27" i="24"/>
  <c r="AG865" i="25"/>
  <c r="AA865" i="25"/>
  <c r="AG773" i="25"/>
  <c r="AA773" i="25"/>
  <c r="AC128" i="28"/>
  <c r="AP56" i="8"/>
  <c r="AF56" i="8"/>
  <c r="AC56" i="28"/>
  <c r="AO24" i="9"/>
  <c r="AE24" i="9"/>
  <c r="AG24" i="9"/>
  <c r="AF820" i="16"/>
  <c r="Z820" i="16"/>
  <c r="AE259" i="17"/>
  <c r="Z259" i="17"/>
  <c r="AM7" i="9"/>
  <c r="T7" i="9"/>
  <c r="N7" i="9"/>
  <c r="AK66" i="8"/>
  <c r="AK66" i="23"/>
  <c r="AK66" i="6"/>
  <c r="AK66" i="7"/>
  <c r="AK66" i="9"/>
  <c r="AG1017" i="25"/>
  <c r="AA1017" i="25"/>
  <c r="AE152" i="17"/>
  <c r="Z152" i="17"/>
  <c r="AM52" i="8"/>
  <c r="T52" i="8"/>
  <c r="N52" i="8"/>
  <c r="N563" i="21"/>
  <c r="K563" i="21"/>
  <c r="AO51" i="8"/>
  <c r="AE51" i="8"/>
  <c r="AG51" i="8"/>
  <c r="AD105" i="17"/>
  <c r="Y105" i="17"/>
  <c r="AF87" i="28"/>
  <c r="AF15" i="28"/>
  <c r="AF8" i="16"/>
  <c r="AG124" i="25"/>
  <c r="AA124" i="25"/>
  <c r="AE313" i="17"/>
  <c r="Z313" i="17"/>
  <c r="AF149" i="25"/>
  <c r="Z149" i="25"/>
  <c r="AE328" i="17"/>
  <c r="Z328" i="17"/>
  <c r="AF1061" i="25"/>
  <c r="Z1061" i="25"/>
  <c r="N37" i="9"/>
  <c r="T37" i="9"/>
  <c r="AM37" i="9"/>
  <c r="AG148" i="25"/>
  <c r="AA148" i="25"/>
  <c r="N1145" i="21"/>
  <c r="K1145" i="21"/>
  <c r="AG52" i="8"/>
  <c r="N10" i="9"/>
  <c r="T10" i="9"/>
  <c r="AM10" i="9"/>
  <c r="AG904" i="25"/>
  <c r="AA904" i="25"/>
  <c r="AV2" i="16"/>
  <c r="AF27" i="9"/>
  <c r="AP27" i="9"/>
  <c r="AF269" i="25"/>
  <c r="Z269" i="25"/>
  <c r="AF990" i="25"/>
  <c r="Z990" i="25"/>
  <c r="AF187" i="25"/>
  <c r="Z187" i="25"/>
  <c r="AK41" i="9"/>
  <c r="AK41" i="8"/>
  <c r="AK41" i="6"/>
  <c r="AK41" i="7"/>
  <c r="AK41" i="23"/>
  <c r="Z123" i="16"/>
  <c r="AF123" i="16"/>
  <c r="AD67" i="17"/>
  <c r="Y67" i="17"/>
  <c r="N551" i="21"/>
  <c r="K551" i="21"/>
  <c r="AF264" i="25"/>
  <c r="Z264" i="25"/>
  <c r="AF1108" i="25"/>
  <c r="Z1108" i="25"/>
  <c r="AG933" i="25"/>
  <c r="AA933" i="25"/>
  <c r="AG935" i="25"/>
  <c r="AA935" i="25"/>
  <c r="AO66" i="8"/>
  <c r="AE66" i="8"/>
  <c r="AG66" i="8"/>
  <c r="AF879" i="25"/>
  <c r="Z879" i="25"/>
  <c r="Z451" i="16"/>
  <c r="AF451" i="16"/>
  <c r="Z939" i="16"/>
  <c r="AF939" i="16"/>
  <c r="AL15" i="9"/>
  <c r="AJ15" i="9"/>
  <c r="AK49" i="8"/>
  <c r="AK49" i="9"/>
  <c r="AK49" i="23"/>
  <c r="AE575" i="16"/>
  <c r="Y575" i="16"/>
  <c r="AL51" i="8"/>
  <c r="AJ51" i="8"/>
  <c r="AF78" i="8"/>
  <c r="AM73" i="8"/>
  <c r="AE78" i="8"/>
  <c r="AE45" i="17"/>
  <c r="Z45" i="17"/>
  <c r="AZ10" i="23"/>
  <c r="AX10" i="23"/>
  <c r="AE255" i="17"/>
  <c r="Z255" i="17"/>
  <c r="AF310" i="25"/>
  <c r="Z310" i="25"/>
  <c r="AZ39" i="23"/>
  <c r="AX39" i="23"/>
  <c r="AE306" i="17"/>
  <c r="Z306" i="17"/>
  <c r="AG886" i="25"/>
  <c r="AA886" i="25"/>
  <c r="AF82" i="25"/>
  <c r="Z82" i="25"/>
  <c r="AF356" i="25"/>
  <c r="Z356" i="25"/>
  <c r="Z447" i="16"/>
  <c r="AF447" i="16"/>
  <c r="AK9" i="9"/>
  <c r="AK9" i="23"/>
  <c r="AK9" i="7"/>
  <c r="AK9" i="8"/>
  <c r="AE248" i="17"/>
  <c r="Z248" i="17"/>
  <c r="AO18" i="8"/>
  <c r="AE18" i="8"/>
  <c r="AB18" i="28"/>
  <c r="AB90" i="28"/>
  <c r="Y45" i="16"/>
  <c r="AE45" i="16"/>
  <c r="N864" i="21"/>
  <c r="K864" i="21"/>
  <c r="AE103" i="25"/>
  <c r="Y103" i="25"/>
  <c r="AM48" i="7"/>
  <c r="AX48" i="23"/>
  <c r="AZ48" i="23"/>
  <c r="Z994" i="16"/>
  <c r="AF994" i="16"/>
  <c r="AF221" i="25"/>
  <c r="Z221" i="25"/>
  <c r="AK42" i="8"/>
  <c r="AK42" i="9"/>
  <c r="AK42" i="6"/>
  <c r="AK42" i="7"/>
  <c r="AK42" i="23"/>
  <c r="AE40" i="25"/>
  <c r="Y40" i="25"/>
  <c r="AE238" i="17"/>
  <c r="Z238" i="17"/>
  <c r="N65" i="8"/>
  <c r="T65" i="8"/>
  <c r="AM65" i="8"/>
  <c r="AF113" i="28"/>
  <c r="AF41" i="28"/>
  <c r="AO35" i="23"/>
  <c r="AE35" i="23"/>
  <c r="AG35" i="23"/>
  <c r="AG1046" i="25"/>
  <c r="AA1046" i="25"/>
  <c r="Y62" i="16"/>
  <c r="AE62" i="16"/>
  <c r="AE482" i="25"/>
  <c r="Y482" i="25"/>
  <c r="AK49" i="6"/>
  <c r="AK49" i="7"/>
  <c r="AG49" i="28"/>
  <c r="AG121" i="28"/>
  <c r="Z1066" i="16"/>
  <c r="K1066" i="21"/>
  <c r="N1066" i="21"/>
  <c r="AK48" i="8"/>
  <c r="AK48" i="9"/>
  <c r="AK48" i="6"/>
  <c r="AK48" i="7"/>
  <c r="AK48" i="23"/>
  <c r="Z52" i="16"/>
  <c r="K52" i="21"/>
  <c r="N52" i="21"/>
  <c r="AG900" i="25"/>
  <c r="AA900" i="25"/>
  <c r="AG803" i="25"/>
  <c r="AA803" i="25"/>
  <c r="N47" i="8"/>
  <c r="T47" i="8"/>
  <c r="AM47" i="8"/>
  <c r="N67" i="8"/>
  <c r="T67" i="8"/>
  <c r="AM67" i="8"/>
  <c r="AK20" i="9"/>
  <c r="AK20" i="23"/>
  <c r="AK20" i="6"/>
  <c r="AK20" i="7"/>
  <c r="AK20" i="8"/>
  <c r="AK15" i="9"/>
  <c r="AK15" i="23"/>
  <c r="AK15" i="7"/>
  <c r="AK15" i="8"/>
  <c r="AF750" i="25"/>
  <c r="Z750" i="25"/>
  <c r="AO57" i="9"/>
  <c r="AE57" i="9"/>
  <c r="AG57" i="9"/>
  <c r="AE383" i="17"/>
  <c r="Z383" i="17"/>
  <c r="Y650" i="16"/>
  <c r="AE650" i="16"/>
  <c r="AK51" i="8"/>
  <c r="AK51" i="9"/>
  <c r="AK51" i="6"/>
  <c r="AK51" i="7"/>
  <c r="AK51" i="23"/>
  <c r="AG7" i="8"/>
  <c r="AE92" i="17"/>
  <c r="Z92" i="17"/>
  <c r="AF921" i="25"/>
  <c r="Z921" i="25"/>
  <c r="AG286" i="25"/>
  <c r="AA286" i="25"/>
  <c r="AF1020" i="16"/>
  <c r="Z1020" i="16"/>
  <c r="Z510" i="16"/>
  <c r="K510" i="21"/>
  <c r="N510" i="21"/>
  <c r="AO48" i="8"/>
  <c r="AE48" i="8"/>
  <c r="AG48" i="8"/>
  <c r="AF705" i="25"/>
  <c r="Z705" i="25"/>
  <c r="AK36" i="9"/>
  <c r="AK36" i="23"/>
  <c r="AK36" i="7"/>
  <c r="AK36" i="8"/>
  <c r="N45" i="9"/>
  <c r="T45" i="9"/>
  <c r="AM45" i="9"/>
  <c r="AF1124" i="25"/>
  <c r="Z1124" i="25"/>
  <c r="Z1078" i="16"/>
  <c r="K1078" i="21"/>
  <c r="N1078" i="21"/>
  <c r="Z8" i="16"/>
  <c r="K8" i="21"/>
  <c r="N8" i="21"/>
  <c r="N1071" i="21"/>
  <c r="K1071" i="21"/>
  <c r="AG713" i="25"/>
  <c r="AA713" i="25"/>
  <c r="AE124" i="17"/>
  <c r="Z124" i="17"/>
  <c r="AE80" i="25"/>
  <c r="Y80" i="25"/>
  <c r="Z265" i="16"/>
  <c r="AF265" i="16"/>
  <c r="AD65" i="17"/>
  <c r="Y65" i="17"/>
  <c r="N687" i="21"/>
  <c r="K687" i="21"/>
  <c r="AO52" i="8"/>
  <c r="AE52" i="8"/>
  <c r="AB52" i="28"/>
  <c r="AB124" i="28"/>
  <c r="AE118" i="25"/>
  <c r="Y118" i="25"/>
  <c r="Y126" i="16"/>
  <c r="AE126" i="16"/>
  <c r="AL50" i="23"/>
  <c r="AJ50" i="23"/>
  <c r="AF57" i="9"/>
  <c r="AP57" i="9"/>
  <c r="AL44" i="8"/>
  <c r="AJ44" i="8"/>
  <c r="N225" i="21"/>
  <c r="K225" i="21"/>
  <c r="AG738" i="25"/>
  <c r="AA738" i="25"/>
  <c r="AE399" i="17"/>
  <c r="Z399" i="17"/>
  <c r="AG882" i="25"/>
  <c r="AA882" i="25"/>
  <c r="AL36" i="9"/>
  <c r="AJ36" i="9"/>
  <c r="AF1047" i="25"/>
  <c r="Z1047" i="25"/>
  <c r="AG872" i="25"/>
  <c r="AA872" i="25"/>
  <c r="AE52" i="17"/>
  <c r="Z52" i="17"/>
  <c r="AG379" i="25"/>
  <c r="AA379" i="25"/>
  <c r="AF329" i="25"/>
  <c r="Z329" i="25"/>
  <c r="AO7" i="8"/>
  <c r="AE7" i="8"/>
  <c r="AB7" i="28"/>
  <c r="AB79" i="28"/>
  <c r="AF315" i="25"/>
  <c r="Z315" i="25"/>
  <c r="AF557" i="25"/>
  <c r="Z557" i="25"/>
  <c r="AL69" i="9"/>
  <c r="AJ69" i="9"/>
  <c r="AG722" i="25"/>
  <c r="AA722" i="25"/>
  <c r="AE350" i="17"/>
  <c r="Z350" i="17"/>
  <c r="AC111" i="28"/>
  <c r="AP39" i="8"/>
  <c r="AF39" i="8"/>
  <c r="AC39" i="28"/>
  <c r="AE290" i="17"/>
  <c r="Z290" i="17"/>
  <c r="AE188" i="25"/>
  <c r="Y188" i="25"/>
  <c r="AL19" i="8"/>
  <c r="AJ19" i="8"/>
  <c r="AF865" i="25"/>
  <c r="Z865" i="25"/>
  <c r="AO38" i="8"/>
  <c r="AE38" i="8"/>
  <c r="AB38" i="28"/>
  <c r="AB110" i="28"/>
  <c r="AG870" i="25"/>
  <c r="AA870" i="25"/>
  <c r="AM54" i="9"/>
  <c r="T54" i="9"/>
  <c r="N54" i="9"/>
  <c r="AF44" i="23"/>
  <c r="AP44" i="23"/>
  <c r="Y108" i="16"/>
  <c r="AE108" i="16"/>
  <c r="AF108" i="25"/>
  <c r="Z108" i="25"/>
  <c r="AL43" i="9"/>
  <c r="AJ43" i="9"/>
  <c r="AF127" i="25"/>
  <c r="Z127" i="25"/>
  <c r="AE226" i="17"/>
  <c r="Z226" i="17"/>
  <c r="AG930" i="25"/>
  <c r="AA930" i="25"/>
  <c r="AG278" i="25"/>
  <c r="AA278" i="25"/>
  <c r="AG124" i="28"/>
  <c r="AG52" i="28"/>
  <c r="AE329" i="17"/>
  <c r="Z329" i="17"/>
  <c r="AF928" i="25"/>
  <c r="Z928" i="25"/>
  <c r="AE384" i="17"/>
  <c r="Z384" i="17"/>
  <c r="AL29" i="8"/>
  <c r="AJ29" i="8"/>
  <c r="AF104" i="28"/>
  <c r="AF32" i="28"/>
  <c r="AE51" i="17"/>
  <c r="Z51" i="17"/>
  <c r="AG947" i="25"/>
  <c r="AA947" i="25"/>
  <c r="N60" i="23"/>
  <c r="T60" i="23"/>
  <c r="AM60" i="23"/>
  <c r="AE200" i="17"/>
  <c r="Z200" i="17"/>
  <c r="AL59" i="8"/>
  <c r="AJ59" i="8"/>
  <c r="AE279" i="17"/>
  <c r="Z279" i="17"/>
  <c r="AF766" i="25"/>
  <c r="Z766" i="25"/>
  <c r="AL25" i="9"/>
  <c r="AJ25" i="9"/>
  <c r="AF36" i="16"/>
  <c r="AF1029" i="16"/>
  <c r="Z1029" i="16"/>
  <c r="N814" i="21"/>
  <c r="K814" i="21"/>
  <c r="AL7" i="9"/>
  <c r="AJ7" i="9"/>
  <c r="AG888" i="25"/>
  <c r="AA888" i="25"/>
  <c r="AF892" i="25"/>
  <c r="Z892" i="25"/>
  <c r="Z36" i="16"/>
  <c r="K36" i="21"/>
  <c r="N36" i="21"/>
  <c r="AF139" i="28"/>
  <c r="AF67" i="28"/>
  <c r="AB118" i="28"/>
  <c r="AB46" i="28"/>
  <c r="AF923" i="25"/>
  <c r="Z923" i="25"/>
  <c r="AM35" i="9"/>
  <c r="T35" i="9"/>
  <c r="N35" i="9"/>
  <c r="AE70" i="17"/>
  <c r="Z70" i="17"/>
  <c r="AF1119" i="25"/>
  <c r="Z1119" i="25"/>
  <c r="AE270" i="17"/>
  <c r="Z270" i="17"/>
  <c r="AF982" i="16"/>
  <c r="AL71" i="9"/>
  <c r="AJ71" i="9"/>
  <c r="AF830" i="25"/>
  <c r="Z830" i="25"/>
  <c r="AF558" i="16"/>
  <c r="Z558" i="16"/>
  <c r="AF503" i="25"/>
  <c r="Z503" i="25"/>
  <c r="AG43" i="9"/>
  <c r="AE43" i="9"/>
  <c r="AO43" i="9"/>
  <c r="AG809" i="25"/>
  <c r="AA809" i="25"/>
  <c r="AF972" i="25"/>
  <c r="Z972" i="25"/>
  <c r="AD136" i="17"/>
  <c r="Y136" i="17"/>
  <c r="AE120" i="25"/>
  <c r="Y120" i="25"/>
  <c r="AE260" i="17"/>
  <c r="Z260" i="17"/>
  <c r="AF451" i="25"/>
  <c r="Z451" i="25"/>
  <c r="AF81" i="25"/>
  <c r="Z81" i="25"/>
  <c r="N808" i="21"/>
  <c r="K808" i="21"/>
  <c r="AG525" i="25"/>
  <c r="AA525" i="25"/>
  <c r="N917" i="21"/>
  <c r="K917" i="21"/>
  <c r="AF509" i="25"/>
  <c r="Z509" i="25"/>
  <c r="AZ35" i="23"/>
  <c r="AX35" i="23"/>
  <c r="AF228" i="25"/>
  <c r="Z228" i="25"/>
  <c r="AG902" i="25"/>
  <c r="AA902" i="25"/>
  <c r="N918" i="21"/>
  <c r="K918" i="21"/>
  <c r="AF796" i="16"/>
  <c r="Z796" i="16"/>
  <c r="AF111" i="28"/>
  <c r="AF39" i="28"/>
  <c r="Z964" i="16"/>
  <c r="AF964" i="16"/>
  <c r="N548" i="21"/>
  <c r="K548" i="21"/>
  <c r="AL54" i="8"/>
  <c r="AJ54" i="8"/>
  <c r="AP57" i="8"/>
  <c r="AF57" i="8"/>
  <c r="AC57" i="28"/>
  <c r="AC129" i="28"/>
  <c r="AL28" i="23"/>
  <c r="AJ28" i="23"/>
  <c r="Z658" i="16"/>
  <c r="AF658" i="16"/>
  <c r="I16" i="22"/>
  <c r="G16" i="22"/>
  <c r="AF826" i="25"/>
  <c r="Z826" i="25"/>
  <c r="M572" i="21"/>
  <c r="J572" i="21"/>
  <c r="Z933" i="16"/>
  <c r="AF933" i="16"/>
  <c r="AF627" i="16"/>
  <c r="AF109" i="28"/>
  <c r="AF37" i="28"/>
  <c r="AG115" i="28"/>
  <c r="AG43" i="28"/>
  <c r="Z225" i="16"/>
  <c r="AF225" i="16"/>
  <c r="N32" i="23"/>
  <c r="T32" i="23"/>
  <c r="AM32" i="23"/>
  <c r="N125" i="28"/>
  <c r="N53" i="28"/>
  <c r="AL45" i="9"/>
  <c r="AJ45" i="9"/>
  <c r="AE362" i="17"/>
  <c r="Z362" i="17"/>
  <c r="AG73" i="23"/>
  <c r="AE38" i="17"/>
  <c r="Z38" i="17"/>
  <c r="AL71" i="23"/>
  <c r="AJ71" i="23"/>
  <c r="AF846" i="25"/>
  <c r="Z846" i="25"/>
  <c r="AG846" i="25"/>
  <c r="AA846" i="25"/>
  <c r="AF33" i="23"/>
  <c r="AP33" i="23"/>
  <c r="AF5" i="23"/>
  <c r="AE64" i="25"/>
  <c r="Y64" i="25"/>
  <c r="AD142" i="17"/>
  <c r="Y142" i="17"/>
  <c r="AM41" i="9"/>
  <c r="T41" i="9"/>
  <c r="N41" i="9"/>
  <c r="N139" i="28"/>
  <c r="N67" i="28"/>
  <c r="AE490" i="25"/>
  <c r="Y490" i="25"/>
  <c r="AK10" i="8"/>
  <c r="AK10" i="9"/>
  <c r="AK10" i="23"/>
  <c r="AL65" i="23"/>
  <c r="AJ65" i="23"/>
  <c r="AM37" i="23"/>
  <c r="T37" i="23"/>
  <c r="N37" i="23"/>
  <c r="AF154" i="25"/>
  <c r="Z154" i="25"/>
  <c r="AG929" i="25"/>
  <c r="AA929" i="25"/>
  <c r="AG595" i="25"/>
  <c r="AA595" i="25"/>
  <c r="Z982" i="16"/>
  <c r="K982" i="21"/>
  <c r="N982" i="21"/>
  <c r="AE187" i="16"/>
  <c r="Y187" i="16"/>
  <c r="AF835" i="25"/>
  <c r="Z835" i="25"/>
  <c r="AF175" i="25"/>
  <c r="Z175" i="25"/>
  <c r="AF218" i="25"/>
  <c r="Z218" i="25"/>
  <c r="AG670" i="25"/>
  <c r="AA670" i="25"/>
  <c r="AF885" i="25"/>
  <c r="Z885" i="25"/>
  <c r="N743" i="21"/>
  <c r="K743" i="21"/>
  <c r="AC88" i="28"/>
  <c r="AC16" i="28"/>
  <c r="AF16" i="8"/>
  <c r="AP16" i="8"/>
  <c r="AF658" i="25"/>
  <c r="Z658" i="25"/>
  <c r="AF506" i="25"/>
  <c r="Z506" i="25"/>
  <c r="N1119" i="21"/>
  <c r="K1119" i="21"/>
  <c r="M574" i="21"/>
  <c r="J574" i="21"/>
  <c r="AL73" i="7"/>
  <c r="AL5" i="7"/>
  <c r="AE166" i="25"/>
  <c r="Y166" i="25"/>
  <c r="AZ62" i="23"/>
  <c r="AX62" i="23"/>
  <c r="AG1039" i="25"/>
  <c r="AA1039" i="25"/>
  <c r="AF10" i="16"/>
  <c r="AF1035" i="16"/>
  <c r="AG425" i="25"/>
  <c r="AA425" i="25"/>
  <c r="AF872" i="25"/>
  <c r="Z872" i="25"/>
  <c r="AE351" i="17"/>
  <c r="Z351" i="17"/>
  <c r="AE132" i="17"/>
  <c r="Z132" i="17"/>
  <c r="AF1004" i="25"/>
  <c r="Z1004" i="25"/>
  <c r="AF843" i="25"/>
  <c r="Z843" i="25"/>
  <c r="AG692" i="25"/>
  <c r="AA692" i="25"/>
  <c r="AG517" i="25"/>
  <c r="AA517" i="25"/>
  <c r="AE183" i="17"/>
  <c r="Z183" i="17"/>
  <c r="AO54" i="23"/>
  <c r="AE54" i="23"/>
  <c r="AG54" i="23"/>
  <c r="Z627" i="16"/>
  <c r="K627" i="21"/>
  <c r="N627" i="21"/>
  <c r="AF1065" i="25"/>
  <c r="Z1065" i="25"/>
  <c r="AG273" i="25"/>
  <c r="AA273" i="25"/>
  <c r="AG779" i="25"/>
  <c r="AA779" i="25"/>
  <c r="AG524" i="25"/>
  <c r="AA524" i="25"/>
  <c r="AL38" i="8"/>
  <c r="AJ38" i="8"/>
  <c r="AF1024" i="16"/>
  <c r="Z1024" i="16"/>
  <c r="AE393" i="17"/>
  <c r="Z393" i="17"/>
  <c r="AF960" i="25"/>
  <c r="Z960" i="25"/>
  <c r="AF132" i="28"/>
  <c r="AF60" i="28"/>
  <c r="AZ21" i="23"/>
  <c r="AX21" i="23"/>
  <c r="AF949" i="25"/>
  <c r="Z949" i="25"/>
  <c r="AK30" i="8"/>
  <c r="AK30" i="23"/>
  <c r="AK30" i="9"/>
  <c r="AO42" i="23"/>
  <c r="AE42" i="23"/>
  <c r="AG42" i="23"/>
  <c r="AD83" i="17"/>
  <c r="Y83" i="17"/>
  <c r="AG957" i="25"/>
  <c r="AA957" i="25"/>
  <c r="AL30" i="23"/>
  <c r="AJ30" i="23"/>
  <c r="AG1137" i="25"/>
  <c r="AA1137" i="25"/>
  <c r="AF23" i="9"/>
  <c r="AP23" i="9"/>
  <c r="AL13" i="8"/>
  <c r="AD7" i="17"/>
  <c r="Y7" i="17"/>
  <c r="AE247" i="25"/>
  <c r="Y247" i="25"/>
  <c r="AL56" i="8"/>
  <c r="AJ56" i="8"/>
  <c r="AP31" i="8"/>
  <c r="AF31" i="8"/>
  <c r="AC31" i="28"/>
  <c r="AC103" i="28"/>
  <c r="AK10" i="7"/>
  <c r="AG10" i="28"/>
  <c r="AG82" i="28"/>
  <c r="N524" i="21"/>
  <c r="K524" i="21"/>
  <c r="AO65" i="23"/>
  <c r="AE65" i="23"/>
  <c r="AG65" i="23"/>
  <c r="AJ13" i="8"/>
  <c r="AF13" i="28"/>
  <c r="AF85" i="28"/>
  <c r="N586" i="21"/>
  <c r="K586" i="21"/>
  <c r="AD106" i="17"/>
  <c r="Y106" i="17"/>
  <c r="AF878" i="25"/>
  <c r="Z878" i="25"/>
  <c r="AF1057" i="25"/>
  <c r="Z1057" i="25"/>
  <c r="AL44" i="9"/>
  <c r="AJ44" i="9"/>
  <c r="AO71" i="23"/>
  <c r="AE71" i="23"/>
  <c r="AG71" i="23"/>
  <c r="AB102" i="28"/>
  <c r="AB30" i="28"/>
  <c r="AD24" i="17"/>
  <c r="Y24" i="17"/>
  <c r="AF565" i="25"/>
  <c r="Z565" i="25"/>
  <c r="AG73" i="9"/>
  <c r="AE341" i="17"/>
  <c r="Z341" i="17"/>
  <c r="AF171" i="25"/>
  <c r="Z171" i="25"/>
  <c r="Z743" i="16"/>
  <c r="AF743" i="16"/>
  <c r="AE389" i="17"/>
  <c r="Z389" i="17"/>
  <c r="AM62" i="8"/>
  <c r="T62" i="8"/>
  <c r="N62" i="8"/>
  <c r="AE243" i="17"/>
  <c r="Z243" i="17"/>
  <c r="AF45" i="23"/>
  <c r="AP45" i="23"/>
  <c r="AF67" i="9"/>
  <c r="AP67" i="9"/>
  <c r="AP21" i="8"/>
  <c r="AF21" i="8"/>
  <c r="AC21" i="28"/>
  <c r="AC93" i="28"/>
  <c r="AG285" i="25"/>
  <c r="AA285" i="25"/>
  <c r="AP24" i="8"/>
  <c r="AF24" i="8"/>
  <c r="AC24" i="28"/>
  <c r="AC96" i="28"/>
  <c r="AF980" i="25"/>
  <c r="Z980" i="25"/>
  <c r="AD52" i="17"/>
  <c r="Y52" i="17"/>
  <c r="AF562" i="16"/>
  <c r="Z562" i="16"/>
  <c r="AG1001" i="25"/>
  <c r="AA1001" i="25"/>
  <c r="AE261" i="17"/>
  <c r="Z261" i="17"/>
  <c r="AE166" i="17"/>
  <c r="Z166" i="17"/>
  <c r="AE250" i="17"/>
  <c r="Z250" i="17"/>
  <c r="AF453" i="16"/>
  <c r="AL8" i="8"/>
  <c r="AJ8" i="8"/>
  <c r="N107" i="28"/>
  <c r="N35" i="28"/>
  <c r="AK30" i="6"/>
  <c r="AK30" i="7"/>
  <c r="AG30" i="28"/>
  <c r="AG102" i="28"/>
  <c r="AK52" i="8"/>
  <c r="AK52" i="9"/>
  <c r="AK52" i="6"/>
  <c r="AK52" i="7"/>
  <c r="AK52" i="23"/>
  <c r="AF729" i="25"/>
  <c r="Z729" i="25"/>
  <c r="AF993" i="25"/>
  <c r="Z993" i="25"/>
  <c r="M2" i="21"/>
  <c r="U4" i="21"/>
  <c r="AI4" i="21"/>
  <c r="AF316" i="16"/>
  <c r="AL26" i="23"/>
  <c r="AJ26" i="23"/>
  <c r="AE131" i="25"/>
  <c r="Y131" i="25"/>
  <c r="AV8" i="25"/>
  <c r="AU8" i="25"/>
  <c r="AP5" i="23"/>
  <c r="AP73" i="23"/>
  <c r="AP75" i="23"/>
  <c r="AF13" i="23"/>
  <c r="Z453" i="16"/>
  <c r="K453" i="21"/>
  <c r="N453" i="21"/>
  <c r="AG515" i="25"/>
  <c r="AA515" i="25"/>
  <c r="AP26" i="8"/>
  <c r="AF26" i="8"/>
  <c r="AC26" i="28"/>
  <c r="AC98" i="28"/>
  <c r="N871" i="21"/>
  <c r="K871" i="21"/>
  <c r="N100" i="28"/>
  <c r="N28" i="28"/>
  <c r="AE54" i="16"/>
  <c r="AG13" i="8"/>
  <c r="AG40" i="23"/>
  <c r="AE40" i="23"/>
  <c r="AO40" i="23"/>
  <c r="AF159" i="16"/>
  <c r="AF61" i="9"/>
  <c r="AP61" i="9"/>
  <c r="AM56" i="8"/>
  <c r="T56" i="8"/>
  <c r="N56" i="8"/>
  <c r="AF80" i="28"/>
  <c r="AF8" i="28"/>
  <c r="N525" i="21"/>
  <c r="K525" i="21"/>
  <c r="AF697" i="25"/>
  <c r="Z697" i="25"/>
  <c r="AL58" i="23"/>
  <c r="AJ58" i="23"/>
  <c r="AG958" i="25"/>
  <c r="AA958" i="25"/>
  <c r="N904" i="21"/>
  <c r="K904" i="21"/>
  <c r="AG1104" i="25"/>
  <c r="AA1104" i="25"/>
  <c r="AE409" i="16"/>
  <c r="AL27" i="8"/>
  <c r="AJ27" i="8"/>
  <c r="N564" i="21"/>
  <c r="K564" i="21"/>
  <c r="AP70" i="8"/>
  <c r="AF70" i="8"/>
  <c r="AC70" i="28"/>
  <c r="AC142" i="28"/>
  <c r="AE113" i="16"/>
  <c r="AG551" i="25"/>
  <c r="AA551" i="25"/>
  <c r="N16" i="23"/>
  <c r="T16" i="23"/>
  <c r="AM16" i="23"/>
  <c r="AF1152" i="16"/>
  <c r="Z450" i="16"/>
  <c r="AF450" i="16"/>
  <c r="AE182" i="25"/>
  <c r="Y182" i="25"/>
  <c r="AM23" i="8"/>
  <c r="T23" i="8"/>
  <c r="N23" i="8"/>
  <c r="N527" i="21"/>
  <c r="K527" i="21"/>
  <c r="AF143" i="28"/>
  <c r="AF71" i="28"/>
  <c r="AG1041" i="25"/>
  <c r="AA1041" i="25"/>
  <c r="AF180" i="16"/>
  <c r="Z180" i="16"/>
  <c r="AE149" i="17"/>
  <c r="Z149" i="17"/>
  <c r="AF15" i="9"/>
  <c r="AP15" i="9"/>
  <c r="AF847" i="16"/>
  <c r="Z847" i="16"/>
  <c r="AE302" i="25"/>
  <c r="Y302" i="25"/>
  <c r="AG99" i="28"/>
  <c r="AG27" i="28"/>
  <c r="AE66" i="25"/>
  <c r="Y66" i="25"/>
  <c r="AG8" i="9"/>
  <c r="AE8" i="9"/>
  <c r="AO8" i="9"/>
  <c r="AD181" i="17"/>
  <c r="Y181" i="17"/>
  <c r="N128" i="28"/>
  <c r="N56" i="28"/>
  <c r="AG769" i="25"/>
  <c r="AA769" i="25"/>
  <c r="AM12" i="8"/>
  <c r="T12" i="8"/>
  <c r="N12" i="8"/>
  <c r="N1148" i="21"/>
  <c r="K1148" i="21"/>
  <c r="AG140" i="28"/>
  <c r="AG68" i="28"/>
  <c r="AG885" i="25"/>
  <c r="AA885" i="25"/>
  <c r="AD53" i="17"/>
  <c r="Y53" i="17"/>
  <c r="AE348" i="17"/>
  <c r="Z348" i="17"/>
  <c r="N1098" i="21"/>
  <c r="K1098" i="21"/>
  <c r="AF1152" i="25"/>
  <c r="Z1152" i="25"/>
  <c r="AE570" i="25"/>
  <c r="Y570" i="25"/>
  <c r="AF96" i="28"/>
  <c r="AF24" i="28"/>
  <c r="AF902" i="16"/>
  <c r="Z902" i="16"/>
  <c r="Z316" i="16"/>
  <c r="K316" i="21"/>
  <c r="N316" i="21"/>
  <c r="AG783" i="25"/>
  <c r="AA783" i="25"/>
  <c r="AF754" i="25"/>
  <c r="Z754" i="25"/>
  <c r="N438" i="21"/>
  <c r="K438" i="21"/>
  <c r="AM31" i="23"/>
  <c r="T31" i="23"/>
  <c r="N31" i="23"/>
  <c r="AF17" i="9"/>
  <c r="AP17" i="9"/>
  <c r="AF1065" i="16"/>
  <c r="AE108" i="25"/>
  <c r="Y108" i="25"/>
  <c r="AE189" i="25"/>
  <c r="Y189" i="25"/>
  <c r="AF133" i="28"/>
  <c r="AF61" i="28"/>
  <c r="N115" i="28"/>
  <c r="N43" i="28"/>
  <c r="Y54" i="16"/>
  <c r="J54" i="21"/>
  <c r="M54" i="21"/>
  <c r="AF1049" i="25"/>
  <c r="Z1049" i="25"/>
  <c r="N65" i="9"/>
  <c r="T65" i="9"/>
  <c r="AM65" i="9"/>
  <c r="AP23" i="8"/>
  <c r="AF23" i="8"/>
  <c r="AC23" i="28"/>
  <c r="AC95" i="28"/>
  <c r="AG791" i="25"/>
  <c r="AA791" i="25"/>
  <c r="AG31" i="9"/>
  <c r="AE31" i="9"/>
  <c r="AO31" i="9"/>
  <c r="Z159" i="16"/>
  <c r="K159" i="21"/>
  <c r="N159" i="21"/>
  <c r="AF894" i="25"/>
  <c r="Z894" i="25"/>
  <c r="AK26" i="9"/>
  <c r="AK26" i="8"/>
  <c r="AK26" i="23"/>
  <c r="AK26" i="6"/>
  <c r="AK26" i="7"/>
  <c r="AG26" i="28"/>
  <c r="AG98" i="28"/>
  <c r="AG13" i="23"/>
  <c r="AE13" i="23"/>
  <c r="AO75" i="23"/>
  <c r="AO73" i="23"/>
  <c r="N35" i="21"/>
  <c r="K35" i="21"/>
  <c r="AO7" i="9"/>
  <c r="AE7" i="9"/>
  <c r="AG7" i="9"/>
  <c r="AD25" i="17"/>
  <c r="Y25" i="17"/>
  <c r="AO27" i="23"/>
  <c r="AE27" i="23"/>
  <c r="AG27" i="23"/>
  <c r="AF947" i="25"/>
  <c r="Z947" i="25"/>
  <c r="AF1029" i="25"/>
  <c r="Z1029" i="25"/>
  <c r="AO44" i="9"/>
  <c r="AE44" i="9"/>
  <c r="AG44" i="9"/>
  <c r="AO30" i="8"/>
  <c r="AE30" i="8"/>
  <c r="AG30" i="8"/>
  <c r="Y409" i="16"/>
  <c r="J409" i="21"/>
  <c r="M409" i="21"/>
  <c r="AF1101" i="25"/>
  <c r="Z1101" i="25"/>
  <c r="AG721" i="25"/>
  <c r="AA721" i="25"/>
  <c r="Y113" i="16"/>
  <c r="J113" i="21"/>
  <c r="M113" i="21"/>
  <c r="AF733" i="25"/>
  <c r="Z733" i="25"/>
  <c r="AG1129" i="25"/>
  <c r="AA1129" i="25"/>
  <c r="N215" i="21"/>
  <c r="K215" i="21"/>
  <c r="AF952" i="16"/>
  <c r="Z1152" i="16"/>
  <c r="K1152" i="21"/>
  <c r="N1152" i="21"/>
  <c r="AM27" i="23"/>
  <c r="T27" i="23"/>
  <c r="N27" i="23"/>
  <c r="AM16" i="8"/>
  <c r="T16" i="8"/>
  <c r="N16" i="8"/>
  <c r="AG1027" i="25"/>
  <c r="AA1027" i="25"/>
  <c r="AG72" i="25"/>
  <c r="AA72" i="25"/>
  <c r="AF76" i="25"/>
  <c r="Z76" i="25"/>
  <c r="AG555" i="25"/>
  <c r="AA555" i="25"/>
  <c r="AO56" i="8"/>
  <c r="AE56" i="8"/>
  <c r="AB56" i="28"/>
  <c r="AB128" i="28"/>
  <c r="Z687" i="16"/>
  <c r="AF687" i="16"/>
  <c r="AK73" i="7"/>
  <c r="AK78" i="7"/>
  <c r="AK13" i="23"/>
  <c r="AG871" i="25"/>
  <c r="AA871" i="25"/>
  <c r="AE543" i="16"/>
  <c r="Y543" i="16"/>
  <c r="AF788" i="25"/>
  <c r="Z788" i="25"/>
  <c r="AE186" i="16"/>
  <c r="Y186" i="16"/>
  <c r="M180" i="21"/>
  <c r="J180" i="21"/>
  <c r="AO69" i="23"/>
  <c r="AE69" i="23"/>
  <c r="AG69" i="23"/>
  <c r="AF144" i="25"/>
  <c r="Z144" i="25"/>
  <c r="AF1026" i="25"/>
  <c r="Z1026" i="25"/>
  <c r="N38" i="23"/>
  <c r="T38" i="23"/>
  <c r="AM38" i="23"/>
  <c r="AE63" i="17"/>
  <c r="Z63" i="17"/>
  <c r="Z918" i="16"/>
  <c r="AF918" i="16"/>
  <c r="AU2" i="16"/>
  <c r="AU10" i="16"/>
  <c r="AV10" i="16"/>
  <c r="AG1076" i="25"/>
  <c r="AA1076" i="25"/>
  <c r="AD22" i="17"/>
  <c r="Y22" i="17"/>
  <c r="AM55" i="23"/>
  <c r="T55" i="23"/>
  <c r="N55" i="23"/>
  <c r="Z1071" i="16"/>
  <c r="AF1071" i="16"/>
  <c r="N36" i="9"/>
  <c r="T36" i="9"/>
  <c r="AM36" i="9"/>
  <c r="AF56" i="9"/>
  <c r="AP56" i="9"/>
  <c r="AF961" i="16"/>
  <c r="AO26" i="9"/>
  <c r="AE26" i="9"/>
  <c r="AG26" i="9"/>
  <c r="Z1148" i="16"/>
  <c r="AF1148" i="16"/>
  <c r="AG1090" i="25"/>
  <c r="AA1090" i="25"/>
  <c r="AO64" i="23"/>
  <c r="AE64" i="23"/>
  <c r="AG64" i="23"/>
  <c r="Z1098" i="16"/>
  <c r="AF1098" i="16"/>
  <c r="AF634" i="25"/>
  <c r="Z634" i="25"/>
  <c r="AF527" i="16"/>
  <c r="Z527" i="16"/>
  <c r="AG261" i="25"/>
  <c r="AA261" i="25"/>
  <c r="AG989" i="25"/>
  <c r="AA989" i="25"/>
  <c r="N360" i="21"/>
  <c r="K360" i="21"/>
  <c r="Z438" i="16"/>
  <c r="AF438" i="16"/>
  <c r="AF837" i="16"/>
  <c r="Z837" i="16"/>
  <c r="AM7" i="8"/>
  <c r="T7" i="8"/>
  <c r="N7" i="8"/>
  <c r="AG664" i="25"/>
  <c r="AA664" i="25"/>
  <c r="AL51" i="9"/>
  <c r="AJ51" i="9"/>
  <c r="Z1065" i="16"/>
  <c r="K1065" i="21"/>
  <c r="N1065" i="21"/>
  <c r="AE577" i="16"/>
  <c r="Y577" i="16"/>
  <c r="N24" i="8"/>
  <c r="T24" i="8"/>
  <c r="AM24" i="8"/>
  <c r="AF917" i="25"/>
  <c r="Z917" i="25"/>
  <c r="N935" i="21"/>
  <c r="K935" i="21"/>
  <c r="I12" i="33"/>
  <c r="F11" i="33"/>
  <c r="F12" i="33"/>
  <c r="I11" i="33"/>
  <c r="AL49" i="23"/>
  <c r="AJ49" i="23"/>
  <c r="AF41" i="23"/>
  <c r="AP41" i="23"/>
  <c r="Z35" i="16"/>
  <c r="AF35" i="16"/>
  <c r="AE168" i="17"/>
  <c r="Z168" i="17"/>
  <c r="AF110" i="25"/>
  <c r="Z110" i="25"/>
  <c r="AG1010" i="25"/>
  <c r="AA1010" i="25"/>
  <c r="AD100" i="17"/>
  <c r="Y100" i="17"/>
  <c r="AG41" i="9"/>
  <c r="AE41" i="9"/>
  <c r="AO41" i="9"/>
  <c r="AG15" i="9"/>
  <c r="AE15" i="9"/>
  <c r="AO15" i="9"/>
  <c r="AE308" i="17"/>
  <c r="Z308" i="17"/>
  <c r="AF63" i="9"/>
  <c r="AP63" i="9"/>
  <c r="AZ22" i="23"/>
  <c r="AX22" i="23"/>
  <c r="Z215" i="16"/>
  <c r="AF215" i="16"/>
  <c r="AG461" i="25"/>
  <c r="AA461" i="25"/>
  <c r="N69" i="23"/>
  <c r="T69" i="23"/>
  <c r="AM69" i="23"/>
  <c r="AG1012" i="25"/>
  <c r="AA1012" i="25"/>
  <c r="AF512" i="16"/>
  <c r="AF216" i="25"/>
  <c r="Z216" i="25"/>
  <c r="AO29" i="9"/>
  <c r="AE29" i="9"/>
  <c r="AG29" i="9"/>
  <c r="AF1137" i="25"/>
  <c r="Z1137" i="25"/>
  <c r="N425" i="21"/>
  <c r="K425" i="21"/>
  <c r="AL47" i="9"/>
  <c r="AJ47" i="9"/>
  <c r="AE198" i="16"/>
  <c r="AG1105" i="25"/>
  <c r="AA1105" i="25"/>
  <c r="AG810" i="25"/>
  <c r="AA810" i="25"/>
  <c r="AL32" i="8"/>
  <c r="AJ32" i="8"/>
  <c r="AO66" i="9"/>
  <c r="AE66" i="9"/>
  <c r="AG66" i="9"/>
  <c r="AL22" i="8"/>
  <c r="AJ22" i="8"/>
  <c r="AL20" i="9"/>
  <c r="AJ20" i="9"/>
  <c r="AK73" i="9"/>
  <c r="AK5" i="9"/>
  <c r="Z961" i="16"/>
  <c r="K961" i="21"/>
  <c r="N961" i="21"/>
  <c r="AE191" i="25"/>
  <c r="Y191" i="25"/>
  <c r="AK43" i="23"/>
  <c r="AK43" i="9"/>
  <c r="AK43" i="6"/>
  <c r="AK43" i="7"/>
  <c r="AK43" i="8"/>
  <c r="AK68" i="23"/>
  <c r="AK68" i="9"/>
  <c r="AK68" i="6"/>
  <c r="AK68" i="7"/>
  <c r="AK68" i="8"/>
  <c r="AD55" i="17"/>
  <c r="Y55" i="17"/>
  <c r="AO60" i="8"/>
  <c r="AE60" i="8"/>
  <c r="AG60" i="8"/>
  <c r="AF713" i="25"/>
  <c r="Z713" i="25"/>
  <c r="Z952" i="16"/>
  <c r="K952" i="21"/>
  <c r="N952" i="21"/>
  <c r="AF20" i="23"/>
  <c r="AP20" i="23"/>
  <c r="AF293" i="25"/>
  <c r="Z293" i="25"/>
  <c r="AF667" i="25"/>
  <c r="Z667" i="25"/>
  <c r="N120" i="28"/>
  <c r="N48" i="28"/>
  <c r="AL56" i="9"/>
  <c r="AJ56" i="9"/>
  <c r="AE117" i="25"/>
  <c r="Y117" i="25"/>
  <c r="N523" i="21"/>
  <c r="K523" i="21"/>
  <c r="AG1110" i="25"/>
  <c r="AA1110" i="25"/>
  <c r="Z360" i="16"/>
  <c r="AF360" i="16"/>
  <c r="N64" i="9"/>
  <c r="T64" i="9"/>
  <c r="AM64" i="9"/>
  <c r="N30" i="23"/>
  <c r="T30" i="23"/>
  <c r="AM30" i="23"/>
  <c r="Y157" i="16"/>
  <c r="AE157" i="16"/>
  <c r="N59" i="9"/>
  <c r="T59" i="9"/>
  <c r="AM59" i="9"/>
  <c r="AO60" i="9"/>
  <c r="AE60" i="9"/>
  <c r="AG60" i="9"/>
  <c r="AF9" i="23"/>
  <c r="AP9" i="23"/>
  <c r="AF1027" i="25"/>
  <c r="Z1027" i="25"/>
  <c r="AG561" i="25"/>
  <c r="AA561" i="25"/>
  <c r="AF129" i="28"/>
  <c r="AF57" i="28"/>
  <c r="N134" i="28"/>
  <c r="N62" i="28"/>
  <c r="AF717" i="25"/>
  <c r="Z717" i="25"/>
  <c r="AL60" i="8"/>
  <c r="AJ60" i="8"/>
  <c r="AF597" i="25"/>
  <c r="Z597" i="25"/>
  <c r="AD44" i="17"/>
  <c r="Y44" i="17"/>
  <c r="Z935" i="16"/>
  <c r="AF935" i="16"/>
  <c r="AL16" i="8"/>
  <c r="AJ16" i="8"/>
  <c r="AG1149" i="25"/>
  <c r="AA1149" i="25"/>
  <c r="AO6" i="9"/>
  <c r="AE6" i="9"/>
  <c r="AG6" i="9"/>
  <c r="AF1144" i="16"/>
  <c r="Z1144" i="16"/>
  <c r="AE398" i="25"/>
  <c r="Y398" i="25"/>
  <c r="AF631" i="25"/>
  <c r="Z631" i="25"/>
  <c r="AF882" i="25"/>
  <c r="Z882" i="25"/>
  <c r="AF505" i="25"/>
  <c r="Z505" i="25"/>
  <c r="AG750" i="25"/>
  <c r="AA750" i="25"/>
  <c r="AG1054" i="25"/>
  <c r="AA1054" i="25"/>
  <c r="AF138" i="28"/>
  <c r="AF66" i="28"/>
  <c r="AF591" i="25"/>
  <c r="Z591" i="25"/>
  <c r="AG709" i="25"/>
  <c r="AA709" i="25"/>
  <c r="AF215" i="25"/>
  <c r="Z215" i="25"/>
  <c r="AG753" i="25"/>
  <c r="AA753" i="25"/>
  <c r="N63" i="9"/>
  <c r="T63" i="9"/>
  <c r="AM63" i="9"/>
  <c r="AF523" i="16"/>
  <c r="Z523" i="16"/>
  <c r="AE258" i="17"/>
  <c r="Z258" i="17"/>
  <c r="AG93" i="28"/>
  <c r="AG21" i="28"/>
  <c r="Z512" i="16"/>
  <c r="K512" i="21"/>
  <c r="N512" i="21"/>
  <c r="AO55" i="9"/>
  <c r="AE55" i="9"/>
  <c r="AG55" i="9"/>
  <c r="AG15" i="23"/>
  <c r="AE15" i="23"/>
  <c r="AO15" i="23"/>
  <c r="AG66" i="25"/>
  <c r="AA66" i="25"/>
  <c r="AG921" i="25"/>
  <c r="AA921" i="25"/>
  <c r="N86" i="28"/>
  <c r="N14" i="28"/>
  <c r="N31" i="9"/>
  <c r="T31" i="9"/>
  <c r="AM31" i="9"/>
  <c r="N25" i="8"/>
  <c r="T25" i="8"/>
  <c r="AM25" i="8"/>
  <c r="AO73" i="8"/>
  <c r="AO75" i="8"/>
  <c r="AE13" i="8"/>
  <c r="AB13" i="28"/>
  <c r="AB85" i="28"/>
  <c r="AK21" i="8"/>
  <c r="AK21" i="23"/>
  <c r="AK21" i="6"/>
  <c r="AK21" i="7"/>
  <c r="AK21" i="9"/>
  <c r="AM34" i="23"/>
  <c r="T34" i="23"/>
  <c r="N34" i="23"/>
  <c r="N916" i="21"/>
  <c r="K916" i="21"/>
  <c r="AB105" i="28"/>
  <c r="AB33" i="28"/>
  <c r="AG836" i="25"/>
  <c r="AA836" i="25"/>
  <c r="AG695" i="25"/>
  <c r="AA695" i="25"/>
  <c r="AE100" i="25"/>
  <c r="Y100" i="25"/>
  <c r="AF12" i="25"/>
  <c r="Z12" i="25"/>
  <c r="AF63" i="23"/>
  <c r="AP63" i="23"/>
  <c r="AG531" i="25"/>
  <c r="AA531" i="25"/>
  <c r="AE106" i="25"/>
  <c r="Y106" i="25"/>
  <c r="AL14" i="9"/>
  <c r="AJ14" i="9"/>
  <c r="AG48" i="23"/>
  <c r="AE48" i="23"/>
  <c r="AO48" i="23"/>
  <c r="N109" i="28"/>
  <c r="N37" i="28"/>
  <c r="AG125" i="28"/>
  <c r="AG53" i="28"/>
  <c r="N356" i="21"/>
  <c r="K356" i="21"/>
  <c r="M486" i="21"/>
  <c r="J486" i="21"/>
  <c r="AF977" i="25"/>
  <c r="Z977" i="25"/>
  <c r="AG587" i="25"/>
  <c r="AA587" i="25"/>
  <c r="AG42" i="9"/>
  <c r="AE42" i="9"/>
  <c r="AO42" i="9"/>
  <c r="AF15" i="23"/>
  <c r="AP15" i="23"/>
  <c r="AG498" i="25"/>
  <c r="AA498" i="25"/>
  <c r="N112" i="28"/>
  <c r="N40" i="28"/>
  <c r="AD179" i="17"/>
  <c r="Y179" i="17"/>
  <c r="N123" i="28"/>
  <c r="N51" i="28"/>
  <c r="AF14" i="25"/>
  <c r="Z14" i="25"/>
  <c r="AF855" i="25"/>
  <c r="Z855" i="25"/>
  <c r="AL14" i="23"/>
  <c r="AJ14" i="23"/>
  <c r="AG851" i="25"/>
  <c r="AA851" i="25"/>
  <c r="N847" i="21"/>
  <c r="K847" i="21"/>
  <c r="AE172" i="16"/>
  <c r="Y172" i="16"/>
  <c r="N460" i="21"/>
  <c r="K460" i="21"/>
  <c r="AD57" i="17"/>
  <c r="Y57" i="17"/>
  <c r="AF785" i="25"/>
  <c r="Z785" i="25"/>
  <c r="AF7" i="21"/>
  <c r="X7" i="21"/>
  <c r="R7" i="21"/>
  <c r="AG1091" i="25"/>
  <c r="AA1091" i="25"/>
  <c r="AG354" i="25"/>
  <c r="AA354" i="25"/>
  <c r="AF442" i="25"/>
  <c r="Z442" i="25"/>
  <c r="AM52" i="23"/>
  <c r="T52" i="23"/>
  <c r="N52" i="23"/>
  <c r="AG604" i="25"/>
  <c r="AA604" i="25"/>
  <c r="AF754" i="16"/>
  <c r="AE13" i="25"/>
  <c r="Y13" i="25"/>
  <c r="N813" i="21"/>
  <c r="K813" i="21"/>
  <c r="AG685" i="25"/>
  <c r="AA685" i="25"/>
  <c r="AG45" i="23"/>
  <c r="AE45" i="23"/>
  <c r="AO45" i="23"/>
  <c r="AD62" i="17"/>
  <c r="Y62" i="17"/>
  <c r="AZ58" i="23"/>
  <c r="AX58" i="23"/>
  <c r="AG1025" i="25"/>
  <c r="AA1025" i="25"/>
  <c r="AF763" i="25"/>
  <c r="Z763" i="25"/>
  <c r="AG216" i="25"/>
  <c r="AA216" i="25"/>
  <c r="N665" i="21"/>
  <c r="K665" i="21"/>
  <c r="AE31" i="17"/>
  <c r="Z31" i="17"/>
  <c r="AF1024" i="25"/>
  <c r="Z1024" i="25"/>
  <c r="AZ41" i="23"/>
  <c r="AX41" i="23"/>
  <c r="AG1037" i="25"/>
  <c r="AA1037" i="25"/>
  <c r="X13" i="30"/>
  <c r="X7" i="30"/>
  <c r="N899" i="21"/>
  <c r="K899" i="21"/>
  <c r="AE163" i="17"/>
  <c r="Z163" i="17"/>
  <c r="AL73" i="9"/>
  <c r="AL5" i="9"/>
  <c r="AM63" i="8"/>
  <c r="T63" i="8"/>
  <c r="N63" i="8"/>
  <c r="N760" i="21"/>
  <c r="K760" i="21"/>
  <c r="N72" i="21"/>
  <c r="K72" i="21"/>
  <c r="AL15" i="7"/>
  <c r="AG84" i="28"/>
  <c r="AG12" i="28"/>
  <c r="AF130" i="28"/>
  <c r="AF58" i="28"/>
  <c r="I22" i="33"/>
  <c r="AM22" i="7"/>
  <c r="F22" i="33"/>
  <c r="AF319" i="25"/>
  <c r="Z319" i="25"/>
  <c r="AE105" i="25"/>
  <c r="Y105" i="25"/>
  <c r="AE480" i="25"/>
  <c r="Y480" i="25"/>
  <c r="AO69" i="9"/>
  <c r="AE69" i="9"/>
  <c r="AG69" i="9"/>
  <c r="AF36" i="9"/>
  <c r="AP36" i="9"/>
  <c r="AF56" i="23"/>
  <c r="AP56" i="23"/>
  <c r="AG1150" i="25"/>
  <c r="AA1150" i="25"/>
  <c r="AO33" i="8"/>
  <c r="AE33" i="8"/>
  <c r="AG33" i="8"/>
  <c r="AO61" i="9"/>
  <c r="AE61" i="9"/>
  <c r="AG61" i="9"/>
  <c r="AG954" i="25"/>
  <c r="AA954" i="25"/>
  <c r="Q34" i="33"/>
  <c r="AM35" i="7"/>
  <c r="T34" i="33"/>
  <c r="AK27" i="8"/>
  <c r="AK27" i="23"/>
  <c r="AK27" i="6"/>
  <c r="AK27" i="7"/>
  <c r="AK27" i="9"/>
  <c r="AL46" i="8"/>
  <c r="AJ46" i="8"/>
  <c r="AF795" i="25"/>
  <c r="Z795" i="25"/>
  <c r="AG951" i="25"/>
  <c r="AA951" i="25"/>
  <c r="AE327" i="17"/>
  <c r="Z327" i="17"/>
  <c r="AE544" i="25"/>
  <c r="Y544" i="25"/>
  <c r="AF700" i="25"/>
  <c r="Z700" i="25"/>
  <c r="AG890" i="25"/>
  <c r="AA890" i="25"/>
  <c r="AM34" i="9"/>
  <c r="T34" i="9"/>
  <c r="N34" i="9"/>
  <c r="AF1030" i="16"/>
  <c r="Z1030" i="16"/>
  <c r="N1095" i="21"/>
  <c r="K1095" i="21"/>
  <c r="AE221" i="17"/>
  <c r="Z221" i="17"/>
  <c r="AE481" i="16"/>
  <c r="N848" i="21"/>
  <c r="K848" i="21"/>
  <c r="Y481" i="16"/>
  <c r="J481" i="21"/>
  <c r="M481" i="21"/>
  <c r="AE110" i="17"/>
  <c r="Z110" i="17"/>
  <c r="Z754" i="16"/>
  <c r="K754" i="21"/>
  <c r="N754" i="21"/>
  <c r="AF886" i="25"/>
  <c r="Z886" i="25"/>
  <c r="AG758" i="25"/>
  <c r="AA758" i="25"/>
  <c r="AF782" i="25"/>
  <c r="Z782" i="25"/>
  <c r="AO21" i="23"/>
  <c r="AE21" i="23"/>
  <c r="AG21" i="23"/>
  <c r="AF25" i="23"/>
  <c r="AP25" i="23"/>
  <c r="AG714" i="25"/>
  <c r="AA714" i="25"/>
  <c r="AF257" i="25"/>
  <c r="Z257" i="25"/>
  <c r="AF925" i="25"/>
  <c r="Z925" i="25"/>
  <c r="AM60" i="9"/>
  <c r="T60" i="9"/>
  <c r="N60" i="9"/>
  <c r="AF831" i="16"/>
  <c r="Z831" i="16"/>
  <c r="AE150" i="25"/>
  <c r="Y150" i="25"/>
  <c r="AE218" i="17"/>
  <c r="Z218" i="17"/>
  <c r="AE312" i="17"/>
  <c r="Z312" i="17"/>
  <c r="N222" i="21"/>
  <c r="K222" i="21"/>
  <c r="N890" i="21"/>
  <c r="K890" i="21"/>
  <c r="AF689" i="25"/>
  <c r="Z689" i="25"/>
  <c r="N823" i="21"/>
  <c r="K823" i="21"/>
  <c r="AE179" i="25"/>
  <c r="Y179" i="25"/>
  <c r="AM26" i="8"/>
  <c r="T26" i="8"/>
  <c r="N26" i="8"/>
  <c r="AG919" i="25"/>
  <c r="AA919" i="25"/>
  <c r="AG884" i="25"/>
  <c r="AA884" i="25"/>
  <c r="AF214" i="16"/>
  <c r="AG557" i="25"/>
  <c r="AA557" i="25"/>
  <c r="AF59" i="23"/>
  <c r="AP59" i="23"/>
  <c r="AG1113" i="25"/>
  <c r="AA1113" i="25"/>
  <c r="AD177" i="17"/>
  <c r="Y177" i="17"/>
  <c r="N61" i="21"/>
  <c r="K61" i="21"/>
  <c r="AM50" i="9"/>
  <c r="T50" i="9"/>
  <c r="N50" i="9"/>
  <c r="AF23" i="23"/>
  <c r="AP23" i="23"/>
  <c r="AE237" i="17"/>
  <c r="Z237" i="17"/>
  <c r="AM64" i="7"/>
  <c r="AX64" i="23"/>
  <c r="AZ64" i="23"/>
  <c r="AF778" i="16"/>
  <c r="Z778" i="16"/>
  <c r="AF772" i="25"/>
  <c r="Z772" i="25"/>
  <c r="AF768" i="25"/>
  <c r="Z768" i="25"/>
  <c r="N30" i="8"/>
  <c r="T30" i="8"/>
  <c r="AM30" i="8"/>
  <c r="AF369" i="25"/>
  <c r="Z369" i="25"/>
  <c r="AF661" i="25"/>
  <c r="Z661" i="25"/>
  <c r="AM62" i="9"/>
  <c r="T62" i="9"/>
  <c r="N62" i="9"/>
  <c r="AF284" i="25"/>
  <c r="Z284" i="25"/>
  <c r="AF11" i="9"/>
  <c r="AP11" i="9"/>
  <c r="Z1095" i="16"/>
  <c r="AF1095" i="16"/>
  <c r="AG63" i="9"/>
  <c r="AE63" i="9"/>
  <c r="AO63" i="9"/>
  <c r="AF100" i="28"/>
  <c r="AF28" i="28"/>
  <c r="AD59" i="17"/>
  <c r="Y59" i="17"/>
  <c r="AG560" i="25"/>
  <c r="AA560" i="25"/>
  <c r="AG1077" i="25"/>
  <c r="AA1077" i="25"/>
  <c r="AF118" i="25"/>
  <c r="Z118" i="25"/>
  <c r="AF14" i="23"/>
  <c r="AP14" i="23"/>
  <c r="AE337" i="25"/>
  <c r="Y337" i="25"/>
  <c r="AF915" i="25"/>
  <c r="Z915" i="25"/>
  <c r="AE196" i="16"/>
  <c r="AG1004" i="25"/>
  <c r="AA1004" i="25"/>
  <c r="AL64" i="8"/>
  <c r="AJ64" i="8"/>
  <c r="AF945" i="25"/>
  <c r="Z945" i="25"/>
  <c r="AZ31" i="23"/>
  <c r="AX31" i="23"/>
  <c r="AM31" i="7"/>
  <c r="Z222" i="16"/>
  <c r="AF222" i="16"/>
  <c r="AG973" i="25"/>
  <c r="AA973" i="25"/>
  <c r="AG913" i="25"/>
  <c r="AA913" i="25"/>
  <c r="AE7" i="16"/>
  <c r="AE52" i="16"/>
  <c r="AF1099" i="25"/>
  <c r="Z1099" i="25"/>
  <c r="AL21" i="9"/>
  <c r="AJ21" i="9"/>
  <c r="AF425" i="25"/>
  <c r="Z425" i="25"/>
  <c r="AG844" i="25"/>
  <c r="AA844" i="25"/>
  <c r="AF989" i="25"/>
  <c r="Z989" i="25"/>
  <c r="AG996" i="25"/>
  <c r="AA996" i="25"/>
  <c r="AF110" i="28"/>
  <c r="AF38" i="28"/>
  <c r="AG878" i="25"/>
  <c r="AA878" i="25"/>
  <c r="AG953" i="25"/>
  <c r="AA953" i="25"/>
  <c r="AL36" i="23"/>
  <c r="AJ36" i="23"/>
  <c r="N152" i="21"/>
  <c r="K152" i="21"/>
  <c r="AE243" i="25"/>
  <c r="Y243" i="25"/>
  <c r="AF70" i="25"/>
  <c r="Z70" i="25"/>
  <c r="AE223" i="17"/>
  <c r="Z223" i="17"/>
  <c r="AG1044" i="25"/>
  <c r="AA1044" i="25"/>
  <c r="AZ46" i="23"/>
  <c r="AX46" i="23"/>
  <c r="AG51" i="9"/>
  <c r="AE51" i="9"/>
  <c r="AO51" i="9"/>
  <c r="AB83" i="28"/>
  <c r="AB11" i="28"/>
  <c r="Z61" i="16"/>
  <c r="AF61" i="16"/>
  <c r="AL8" i="9"/>
  <c r="AJ8" i="9"/>
  <c r="M65" i="21"/>
  <c r="J65" i="21"/>
  <c r="AE114" i="17"/>
  <c r="Z114" i="17"/>
  <c r="AG765" i="25"/>
  <c r="AA765" i="25"/>
  <c r="AG11" i="9"/>
  <c r="AE11" i="9"/>
  <c r="AO11" i="9"/>
  <c r="AG471" i="25"/>
  <c r="AA471" i="25"/>
  <c r="Z1035" i="16"/>
  <c r="K1035" i="21"/>
  <c r="N1035" i="21"/>
  <c r="AE537" i="16"/>
  <c r="Y537" i="16"/>
  <c r="AO6" i="8"/>
  <c r="AE6" i="8"/>
  <c r="AG6" i="8"/>
  <c r="Z425" i="16"/>
  <c r="AF425" i="16"/>
  <c r="Y198" i="16"/>
  <c r="J198" i="21"/>
  <c r="M198" i="21"/>
  <c r="AE146" i="25"/>
  <c r="Y146" i="25"/>
  <c r="AF9" i="25"/>
  <c r="Z9" i="25"/>
  <c r="AG360" i="25"/>
  <c r="AA360" i="25"/>
  <c r="AE220" i="17"/>
  <c r="Z220" i="17"/>
  <c r="AF177" i="25"/>
  <c r="Z177" i="25"/>
  <c r="N624" i="21"/>
  <c r="K624" i="21"/>
  <c r="N62" i="23"/>
  <c r="T62" i="23"/>
  <c r="AM62" i="23"/>
  <c r="AE391" i="17"/>
  <c r="Z391" i="17"/>
  <c r="AE130" i="17"/>
  <c r="Z130" i="17"/>
  <c r="Y486" i="16"/>
  <c r="AE486" i="16"/>
  <c r="AF1001" i="25"/>
  <c r="Z1001" i="25"/>
  <c r="AF826" i="16"/>
  <c r="Z826" i="16"/>
  <c r="N89" i="28"/>
  <c r="N17" i="28"/>
  <c r="AF64" i="9"/>
  <c r="AP64" i="9"/>
  <c r="AB86" i="28"/>
  <c r="AB14" i="28"/>
  <c r="AF1144" i="25"/>
  <c r="Z1144" i="25"/>
  <c r="N93" i="28"/>
  <c r="N21" i="28"/>
  <c r="AG932" i="25"/>
  <c r="AA932" i="25"/>
  <c r="N32" i="8"/>
  <c r="T32" i="8"/>
  <c r="AM32" i="8"/>
  <c r="AE12" i="16"/>
  <c r="AF328" i="25"/>
  <c r="Z328" i="25"/>
  <c r="Z1146" i="25"/>
  <c r="AF1146" i="25"/>
  <c r="AK9" i="25"/>
  <c r="AL9" i="25"/>
  <c r="AG986" i="25"/>
  <c r="AA986" i="25"/>
  <c r="Y196" i="16"/>
  <c r="J196" i="21"/>
  <c r="M196" i="21"/>
  <c r="AG172" i="25"/>
  <c r="AA172" i="25"/>
  <c r="AF766" i="16"/>
  <c r="Z766" i="16"/>
  <c r="AM42" i="23"/>
  <c r="T42" i="23"/>
  <c r="N42" i="23"/>
  <c r="AF512" i="25"/>
  <c r="Z512" i="25"/>
  <c r="AG866" i="25"/>
  <c r="AA866" i="25"/>
  <c r="AF112" i="28"/>
  <c r="AF40" i="28"/>
  <c r="AP62" i="8"/>
  <c r="AF62" i="8"/>
  <c r="AC62" i="28"/>
  <c r="AC134" i="28"/>
  <c r="N93" i="21"/>
  <c r="K93" i="21"/>
  <c r="AD66" i="17"/>
  <c r="Y66" i="17"/>
  <c r="Y7" i="16"/>
  <c r="J7" i="21"/>
  <c r="M7" i="21"/>
  <c r="AG863" i="25"/>
  <c r="AA863" i="25"/>
  <c r="N141" i="28"/>
  <c r="N69" i="28"/>
  <c r="Y52" i="16"/>
  <c r="J52" i="21"/>
  <c r="M52" i="21"/>
  <c r="AE251" i="17"/>
  <c r="Z251" i="17"/>
  <c r="AF429" i="25"/>
  <c r="Z429" i="25"/>
  <c r="AF179" i="25"/>
  <c r="Z179" i="25"/>
  <c r="AF502" i="25"/>
  <c r="Z502" i="25"/>
  <c r="AG1067" i="25"/>
  <c r="AA1067" i="25"/>
  <c r="AM24" i="23"/>
  <c r="T24" i="23"/>
  <c r="N24" i="23"/>
  <c r="AZ44" i="23"/>
  <c r="AX44" i="23"/>
  <c r="AF769" i="16"/>
  <c r="Z769" i="16"/>
  <c r="N17" i="9"/>
  <c r="T17" i="9"/>
  <c r="AM17" i="9"/>
  <c r="AF749" i="25"/>
  <c r="Z749" i="25"/>
  <c r="AJ73" i="7"/>
  <c r="AJ78" i="7"/>
  <c r="AJ13" i="23"/>
  <c r="AL13" i="23"/>
  <c r="AE161" i="25"/>
  <c r="Y161" i="25"/>
  <c r="AF140" i="16"/>
  <c r="AG931" i="25"/>
  <c r="AA931" i="25"/>
  <c r="AE155" i="17"/>
  <c r="Z155" i="17"/>
  <c r="AF48" i="9"/>
  <c r="AP48" i="9"/>
  <c r="AF374" i="25"/>
  <c r="Z374" i="25"/>
  <c r="AG126" i="28"/>
  <c r="AG54" i="28"/>
  <c r="M487" i="21"/>
  <c r="J487" i="21"/>
  <c r="AE192" i="17"/>
  <c r="Z192" i="17"/>
  <c r="AG80" i="28"/>
  <c r="AG8" i="28"/>
  <c r="AG45" i="8"/>
  <c r="AE54" i="17"/>
  <c r="Z54" i="17"/>
  <c r="N852" i="21"/>
  <c r="K852" i="21"/>
  <c r="AG263" i="25"/>
  <c r="AA263" i="25"/>
  <c r="AF42" i="9"/>
  <c r="AP42" i="9"/>
  <c r="AG1155" i="25"/>
  <c r="AA1155" i="25"/>
  <c r="AF18" i="9"/>
  <c r="AP18" i="9"/>
  <c r="AG1058" i="25"/>
  <c r="AA1058" i="25"/>
  <c r="M156" i="21"/>
  <c r="J156" i="21"/>
  <c r="R13" i="30"/>
  <c r="R7" i="30"/>
  <c r="AF424" i="25"/>
  <c r="Z424" i="25"/>
  <c r="AG1060" i="25"/>
  <c r="AA1060" i="25"/>
  <c r="AG1096" i="25"/>
  <c r="AA1096" i="25"/>
  <c r="AF26" i="9"/>
  <c r="AP26" i="9"/>
  <c r="N851" i="21"/>
  <c r="K851" i="21"/>
  <c r="AF147" i="25"/>
  <c r="Z147" i="25"/>
  <c r="AG1086" i="25"/>
  <c r="AA1086" i="25"/>
  <c r="AD172" i="17"/>
  <c r="Y172" i="17"/>
  <c r="AF520" i="25"/>
  <c r="Z520" i="25"/>
  <c r="AO16" i="9"/>
  <c r="AE16" i="9"/>
  <c r="AG16" i="9"/>
  <c r="AO14" i="8"/>
  <c r="AE14" i="8"/>
  <c r="AG14" i="8"/>
  <c r="AF128" i="25"/>
  <c r="Z128" i="25"/>
  <c r="AG19" i="9"/>
  <c r="AE19" i="9"/>
  <c r="AO19" i="9"/>
  <c r="AE233" i="17"/>
  <c r="Z233" i="17"/>
  <c r="AG1003" i="25"/>
  <c r="AA1003" i="25"/>
  <c r="N43" i="23"/>
  <c r="T43" i="23"/>
  <c r="AM43" i="23"/>
  <c r="AE190" i="25"/>
  <c r="Y190" i="25"/>
  <c r="AF561" i="25"/>
  <c r="Z561" i="25"/>
  <c r="AF1104" i="25"/>
  <c r="Z1104" i="25"/>
  <c r="AF1134" i="25"/>
  <c r="Z1134" i="25"/>
  <c r="Y12" i="16"/>
  <c r="J12" i="21"/>
  <c r="M12" i="21"/>
  <c r="AF13" i="25"/>
  <c r="Z13" i="25"/>
  <c r="AL73" i="8"/>
  <c r="M540" i="21"/>
  <c r="J540" i="21"/>
  <c r="AF1010" i="25"/>
  <c r="Z1010" i="25"/>
  <c r="N105" i="28"/>
  <c r="N33" i="28"/>
  <c r="N14" i="8"/>
  <c r="T14" i="8"/>
  <c r="AM14" i="8"/>
  <c r="Z624" i="16"/>
  <c r="AF624" i="16"/>
  <c r="AK73" i="8"/>
  <c r="AD103" i="17"/>
  <c r="Y103" i="17"/>
  <c r="AF21" i="23"/>
  <c r="AP21" i="23"/>
  <c r="N1096" i="21"/>
  <c r="K1096" i="21"/>
  <c r="I23" i="33"/>
  <c r="F23" i="33"/>
  <c r="AF855" i="16"/>
  <c r="Z855" i="16"/>
  <c r="AG582" i="25"/>
  <c r="AA582" i="25"/>
  <c r="AG421" i="25"/>
  <c r="AA421" i="25"/>
  <c r="AM60" i="8"/>
  <c r="T60" i="8"/>
  <c r="N60" i="8"/>
  <c r="N142" i="28"/>
  <c r="N70" i="28"/>
  <c r="N6" i="21"/>
  <c r="K6" i="21"/>
  <c r="AE8" i="25"/>
  <c r="Y8" i="25"/>
  <c r="AG46" i="23"/>
  <c r="AE46" i="23"/>
  <c r="AO46" i="23"/>
  <c r="AG678" i="25"/>
  <c r="AA678" i="25"/>
  <c r="AF724" i="25"/>
  <c r="Z724" i="25"/>
  <c r="AF311" i="25"/>
  <c r="Z311" i="25"/>
  <c r="M105" i="21"/>
  <c r="J105" i="21"/>
  <c r="N135" i="28"/>
  <c r="N63" i="28"/>
  <c r="AF997" i="25"/>
  <c r="Z997" i="25"/>
  <c r="AZ36" i="23"/>
  <c r="AX36" i="23"/>
  <c r="N73" i="21"/>
  <c r="K73" i="21"/>
  <c r="AF1120" i="25"/>
  <c r="Z1120" i="25"/>
  <c r="AF60" i="9"/>
  <c r="AP60" i="9"/>
  <c r="AL46" i="23"/>
  <c r="AJ46" i="23"/>
  <c r="N762" i="21"/>
  <c r="K762" i="21"/>
  <c r="N861" i="21"/>
  <c r="K861" i="21"/>
  <c r="N836" i="21"/>
  <c r="K836" i="21"/>
  <c r="AE339" i="17"/>
  <c r="Z339" i="17"/>
  <c r="S33" i="33"/>
  <c r="AB49" i="24"/>
  <c r="AL49" i="24"/>
  <c r="AI49" i="24"/>
  <c r="AM58" i="23"/>
  <c r="T58" i="23"/>
  <c r="N58" i="23"/>
  <c r="N924" i="21"/>
  <c r="K924" i="21"/>
  <c r="AE133" i="17"/>
  <c r="Z133" i="17"/>
  <c r="AF324" i="25"/>
  <c r="Z324" i="25"/>
  <c r="AO27" i="9"/>
  <c r="AE27" i="9"/>
  <c r="AG27" i="9"/>
  <c r="AO46" i="8"/>
  <c r="AE46" i="8"/>
  <c r="AG46" i="8"/>
  <c r="N10" i="23"/>
  <c r="T10" i="23"/>
  <c r="AM10" i="23"/>
  <c r="AF1021" i="25"/>
  <c r="Z1021" i="25"/>
  <c r="AP12" i="8"/>
  <c r="AF12" i="8"/>
  <c r="AC12" i="28"/>
  <c r="AC84" i="28"/>
  <c r="AF136" i="28"/>
  <c r="AF64" i="28"/>
  <c r="AF629" i="25"/>
  <c r="Z629" i="25"/>
  <c r="AF1044" i="25"/>
  <c r="Z1044" i="25"/>
  <c r="AF718" i="25"/>
  <c r="Z718" i="25"/>
  <c r="AG552" i="25"/>
  <c r="AA552" i="25"/>
  <c r="Z917" i="16"/>
  <c r="AF917" i="16"/>
  <c r="AM12" i="7"/>
  <c r="AX12" i="23"/>
  <c r="AZ12" i="23"/>
  <c r="AF55" i="23"/>
  <c r="AP55" i="23"/>
  <c r="AE377" i="17"/>
  <c r="Z377" i="17"/>
  <c r="Y156" i="16"/>
  <c r="AE156" i="16"/>
  <c r="AB134" i="28"/>
  <c r="AB62" i="28"/>
  <c r="AL53" i="9"/>
  <c r="AJ53" i="9"/>
  <c r="N1049" i="21"/>
  <c r="K1049" i="21"/>
  <c r="AC114" i="28"/>
  <c r="AC42" i="28"/>
  <c r="AF42" i="8"/>
  <c r="AP42" i="8"/>
  <c r="AG701" i="25"/>
  <c r="AA701" i="25"/>
  <c r="AD18" i="17"/>
  <c r="Y18" i="17"/>
  <c r="AZ16" i="23"/>
  <c r="AX16" i="23"/>
  <c r="AF189" i="16"/>
  <c r="Z189" i="16"/>
  <c r="AG959" i="25"/>
  <c r="AA959" i="25"/>
  <c r="M537" i="21"/>
  <c r="J537" i="21"/>
  <c r="AF107" i="28"/>
  <c r="AF35" i="28"/>
  <c r="AE59" i="17"/>
  <c r="Z59" i="17"/>
  <c r="AZ30" i="23"/>
  <c r="AX30" i="23"/>
  <c r="N114" i="28"/>
  <c r="N42" i="28"/>
  <c r="AB126" i="28"/>
  <c r="AB54" i="28"/>
  <c r="AM51" i="8"/>
  <c r="T51" i="8"/>
  <c r="N51" i="8"/>
  <c r="AG812" i="25"/>
  <c r="AA812" i="25"/>
  <c r="N88" i="21"/>
  <c r="K88" i="21"/>
  <c r="AZ51" i="23"/>
  <c r="AX51" i="23"/>
  <c r="N179" i="21"/>
  <c r="K179" i="21"/>
  <c r="AE119" i="17"/>
  <c r="Z119" i="17"/>
  <c r="Z1119" i="16"/>
  <c r="AF1119" i="16"/>
  <c r="AK61" i="8"/>
  <c r="AK61" i="9"/>
  <c r="AK61" i="23"/>
  <c r="AE289" i="17"/>
  <c r="Z289" i="17"/>
  <c r="AL35" i="8"/>
  <c r="AJ35" i="8"/>
  <c r="AE60" i="17"/>
  <c r="Z60" i="17"/>
  <c r="AG690" i="25"/>
  <c r="AA690" i="25"/>
  <c r="Z1096" i="16"/>
  <c r="AF1096" i="16"/>
  <c r="AO47" i="23"/>
  <c r="AE47" i="23"/>
  <c r="AG47" i="23"/>
  <c r="AF468" i="25"/>
  <c r="Z468" i="25"/>
  <c r="AE3" i="25"/>
  <c r="Y3" i="25"/>
  <c r="AG708" i="25"/>
  <c r="AA708" i="25"/>
  <c r="AM23" i="7"/>
  <c r="AX23" i="23"/>
  <c r="AZ23" i="23"/>
  <c r="AG369" i="25"/>
  <c r="AA369" i="25"/>
  <c r="N984" i="21"/>
  <c r="K984" i="21"/>
  <c r="AE240" i="25"/>
  <c r="Y240" i="25"/>
  <c r="AF181" i="16"/>
  <c r="Z181" i="16"/>
  <c r="AF820" i="25"/>
  <c r="Z820" i="25"/>
  <c r="AG589" i="25"/>
  <c r="AA589" i="25"/>
  <c r="AG65" i="25"/>
  <c r="AA65" i="25"/>
  <c r="R17" i="33"/>
  <c r="U17" i="33"/>
  <c r="AF1112" i="25"/>
  <c r="Z1112" i="25"/>
  <c r="AE69" i="17"/>
  <c r="Z69" i="17"/>
  <c r="Y105" i="16"/>
  <c r="AE105" i="16"/>
  <c r="AE477" i="16"/>
  <c r="AG896" i="25"/>
  <c r="AA896" i="25"/>
  <c r="N69" i="9"/>
  <c r="T69" i="9"/>
  <c r="AM69" i="9"/>
  <c r="AF1078" i="25"/>
  <c r="Z1078" i="25"/>
  <c r="N13" i="21"/>
  <c r="K13" i="21"/>
  <c r="N1020" i="21"/>
  <c r="K1020" i="21"/>
  <c r="AG825" i="25"/>
  <c r="AA825" i="25"/>
  <c r="AG623" i="25"/>
  <c r="AA623" i="25"/>
  <c r="AM39" i="23"/>
  <c r="T39" i="23"/>
  <c r="N39" i="23"/>
  <c r="N1139" i="21"/>
  <c r="K1139" i="21"/>
  <c r="AM29" i="9"/>
  <c r="T29" i="9"/>
  <c r="N29" i="9"/>
  <c r="AZ6" i="23"/>
  <c r="AX6" i="23"/>
  <c r="AG361" i="25"/>
  <c r="AA361" i="25"/>
  <c r="AF273" i="25"/>
  <c r="Z273" i="25"/>
  <c r="AF804" i="25"/>
  <c r="Z804" i="25"/>
  <c r="AG1093" i="25"/>
  <c r="AA1093" i="25"/>
  <c r="AE240" i="17"/>
  <c r="Z240" i="17"/>
  <c r="AZ13" i="23"/>
  <c r="AX13" i="23"/>
  <c r="AF926" i="25"/>
  <c r="Z926" i="25"/>
  <c r="AF318" i="25"/>
  <c r="Z318" i="25"/>
  <c r="AG924" i="25"/>
  <c r="AA924" i="25"/>
  <c r="AF567" i="25"/>
  <c r="Z567" i="25"/>
  <c r="AM40" i="8"/>
  <c r="T40" i="8"/>
  <c r="N40" i="8"/>
  <c r="AE606" i="25"/>
  <c r="Y606" i="25"/>
  <c r="AF1075" i="16"/>
  <c r="N67" i="21"/>
  <c r="K67" i="21"/>
  <c r="AF75" i="25"/>
  <c r="Z75" i="25"/>
  <c r="AE614" i="25"/>
  <c r="Y614" i="25"/>
  <c r="AE649" i="25"/>
  <c r="Y649" i="25"/>
  <c r="AD206" i="17"/>
  <c r="Y206" i="17"/>
  <c r="AF686" i="25"/>
  <c r="Z686" i="25"/>
  <c r="AG23" i="8"/>
  <c r="AF1137" i="16"/>
  <c r="Z1137" i="16"/>
  <c r="AL31" i="23"/>
  <c r="AJ31" i="23"/>
  <c r="AF224" i="25"/>
  <c r="Z224" i="25"/>
  <c r="AF623" i="25"/>
  <c r="Z623" i="25"/>
  <c r="AO54" i="8"/>
  <c r="AE54" i="8"/>
  <c r="AG54" i="8"/>
  <c r="AE121" i="17"/>
  <c r="Z121" i="17"/>
  <c r="AF1095" i="25"/>
  <c r="Z1095" i="25"/>
  <c r="AE251" i="25"/>
  <c r="Y251" i="25"/>
  <c r="Z88" i="16"/>
  <c r="AF88" i="16"/>
  <c r="AE47" i="17"/>
  <c r="Z47" i="17"/>
  <c r="U13" i="33"/>
  <c r="AM51" i="7"/>
  <c r="R13" i="33"/>
  <c r="AK61" i="6"/>
  <c r="AK61" i="7"/>
  <c r="AG61" i="28"/>
  <c r="AG133" i="28"/>
  <c r="AF1032" i="16"/>
  <c r="Z1032" i="16"/>
  <c r="AF757" i="25"/>
  <c r="Z757" i="25"/>
  <c r="N901" i="21"/>
  <c r="K901" i="21"/>
  <c r="M107" i="21"/>
  <c r="J107" i="21"/>
  <c r="AL37" i="23"/>
  <c r="AJ37" i="23"/>
  <c r="AD19" i="17"/>
  <c r="Y19" i="17"/>
  <c r="Z93" i="16"/>
  <c r="AF93" i="16"/>
  <c r="AD74" i="17"/>
  <c r="Y74" i="17"/>
  <c r="AE249" i="25"/>
  <c r="Y249" i="25"/>
  <c r="AE334" i="25"/>
  <c r="Y334" i="25"/>
  <c r="AF566" i="25"/>
  <c r="Z566" i="25"/>
  <c r="AF808" i="25"/>
  <c r="Z808" i="25"/>
  <c r="AE272" i="17"/>
  <c r="Z272" i="17"/>
  <c r="Y477" i="16"/>
  <c r="J477" i="21"/>
  <c r="M477" i="21"/>
  <c r="AM69" i="8"/>
  <c r="N69" i="8"/>
  <c r="T69" i="8"/>
  <c r="AE71" i="17"/>
  <c r="Z71" i="17"/>
  <c r="AF131" i="28"/>
  <c r="AF59" i="28"/>
  <c r="AM25" i="23"/>
  <c r="T25" i="23"/>
  <c r="N25" i="23"/>
  <c r="AE67" i="25"/>
  <c r="Y67" i="25"/>
  <c r="AF1106" i="25"/>
  <c r="Z1106" i="25"/>
  <c r="AF588" i="16"/>
  <c r="Z588" i="16"/>
  <c r="AM58" i="9"/>
  <c r="T58" i="9"/>
  <c r="N58" i="9"/>
  <c r="AF898" i="16"/>
  <c r="Z898" i="16"/>
  <c r="AE156" i="17"/>
  <c r="Z156" i="17"/>
  <c r="AP66" i="8"/>
  <c r="AF66" i="8"/>
  <c r="AC66" i="28"/>
  <c r="AC138" i="28"/>
  <c r="AL9" i="23"/>
  <c r="AJ9" i="23"/>
  <c r="AF731" i="25"/>
  <c r="Z731" i="25"/>
  <c r="AM22" i="23"/>
  <c r="T22" i="23"/>
  <c r="N22" i="23"/>
  <c r="AE386" i="17"/>
  <c r="Z386" i="17"/>
  <c r="AG960" i="25"/>
  <c r="AA960" i="25"/>
  <c r="AF876" i="25"/>
  <c r="Z876" i="25"/>
  <c r="AM15" i="9"/>
  <c r="T15" i="9"/>
  <c r="N15" i="9"/>
  <c r="AE315" i="17"/>
  <c r="Z315" i="17"/>
  <c r="Z916" i="16"/>
  <c r="AF916" i="16"/>
  <c r="AL64" i="23"/>
  <c r="AJ64" i="23"/>
  <c r="AF1143" i="25"/>
  <c r="Z1143" i="25"/>
  <c r="Z10" i="16"/>
  <c r="K10" i="21"/>
  <c r="N10" i="21"/>
  <c r="R15" i="33"/>
  <c r="U15" i="33"/>
  <c r="U20" i="33"/>
  <c r="R25" i="33"/>
  <c r="R20" i="33"/>
  <c r="AM62" i="7"/>
  <c r="U25" i="33"/>
  <c r="AF831" i="25"/>
  <c r="Z831" i="25"/>
  <c r="AG527" i="25"/>
  <c r="AA527" i="25"/>
  <c r="AE310" i="17"/>
  <c r="Z310" i="17"/>
  <c r="AG1020" i="25"/>
  <c r="AA1020" i="25"/>
  <c r="AG1068" i="25"/>
  <c r="AA1068" i="25"/>
  <c r="AK53" i="23"/>
  <c r="AK53" i="8"/>
  <c r="AK53" i="6"/>
  <c r="AK53" i="7"/>
  <c r="AK53" i="9"/>
  <c r="Z356" i="16"/>
  <c r="AF356" i="16"/>
  <c r="AE16" i="17"/>
  <c r="Z16" i="17"/>
  <c r="AF118" i="28"/>
  <c r="AF46" i="28"/>
  <c r="Z1075" i="16"/>
  <c r="K1075" i="21"/>
  <c r="N1075" i="21"/>
  <c r="Z67" i="16"/>
  <c r="AF67" i="16"/>
  <c r="AL68" i="23"/>
  <c r="AJ68" i="23"/>
  <c r="AF877" i="16"/>
  <c r="Z877" i="16"/>
  <c r="Z1049" i="16"/>
  <c r="AF1049" i="16"/>
  <c r="AF889" i="25"/>
  <c r="Z889" i="25"/>
  <c r="AP40" i="8"/>
  <c r="AF40" i="8"/>
  <c r="AC40" i="28"/>
  <c r="AC112" i="28"/>
  <c r="AG970" i="25"/>
  <c r="AA970" i="25"/>
  <c r="AE409" i="25"/>
  <c r="Y409" i="25"/>
  <c r="AP55" i="8"/>
  <c r="AF55" i="8"/>
  <c r="AC55" i="28"/>
  <c r="AC127" i="28"/>
  <c r="AO23" i="8"/>
  <c r="AE23" i="8"/>
  <c r="AB23" i="28"/>
  <c r="AB95" i="28"/>
  <c r="AF767" i="25"/>
  <c r="Z767" i="25"/>
  <c r="Z460" i="16"/>
  <c r="AF460" i="16"/>
  <c r="AO62" i="8"/>
  <c r="AE62" i="8"/>
  <c r="AG62" i="8"/>
  <c r="AE398" i="17"/>
  <c r="Z398" i="17"/>
  <c r="N53" i="23"/>
  <c r="T53" i="23"/>
  <c r="AM53" i="23"/>
  <c r="AG1133" i="25"/>
  <c r="AA1133" i="25"/>
  <c r="AF682" i="25"/>
  <c r="Z682" i="25"/>
  <c r="AG596" i="25"/>
  <c r="AA596" i="25"/>
  <c r="AG788" i="25"/>
  <c r="AA788" i="25"/>
  <c r="AP35" i="8"/>
  <c r="AF35" i="8"/>
  <c r="AC35" i="28"/>
  <c r="AC107" i="28"/>
  <c r="AZ67" i="23"/>
  <c r="AX67" i="23"/>
  <c r="AE63" i="25"/>
  <c r="Y63" i="25"/>
  <c r="AL48" i="9"/>
  <c r="AJ48" i="9"/>
  <c r="N825" i="21"/>
  <c r="K825" i="21"/>
  <c r="AE170" i="25"/>
  <c r="Y170" i="25"/>
  <c r="Y107" i="16"/>
  <c r="AE107" i="16"/>
  <c r="AF1100" i="25"/>
  <c r="Z1100" i="25"/>
  <c r="AG744" i="25"/>
  <c r="AA744" i="25"/>
  <c r="AP30" i="8"/>
  <c r="AF30" i="8"/>
  <c r="AC30" i="28"/>
  <c r="AC102" i="28"/>
  <c r="AF830" i="16"/>
  <c r="Z830" i="16"/>
  <c r="AG1141" i="25"/>
  <c r="AA1141" i="25"/>
  <c r="AL12" i="23"/>
  <c r="AJ12" i="23"/>
  <c r="AF885" i="16"/>
  <c r="Z885" i="16"/>
  <c r="AE194" i="25"/>
  <c r="Y194" i="25"/>
  <c r="AF858" i="25"/>
  <c r="Z858" i="25"/>
  <c r="AL69" i="8"/>
  <c r="AJ69" i="8"/>
  <c r="AO58" i="9"/>
  <c r="AE58" i="9"/>
  <c r="AG58" i="9"/>
  <c r="AF1083" i="25"/>
  <c r="Z1083" i="25"/>
  <c r="U22" i="33"/>
  <c r="AM58" i="7"/>
  <c r="R22" i="33"/>
  <c r="I31" i="22"/>
  <c r="G31" i="22"/>
  <c r="AF115" i="28"/>
  <c r="AF43" i="28"/>
  <c r="Z6" i="16"/>
  <c r="AF6" i="16"/>
  <c r="AG771" i="25"/>
  <c r="AA771" i="25"/>
  <c r="Z214" i="16"/>
  <c r="K214" i="21"/>
  <c r="N214" i="21"/>
  <c r="AE128" i="17"/>
  <c r="Z128" i="17"/>
  <c r="N34" i="8"/>
  <c r="T34" i="8"/>
  <c r="AM34" i="8"/>
  <c r="Z665" i="16"/>
  <c r="AF665" i="16"/>
  <c r="AG79" i="28"/>
  <c r="AG7" i="28"/>
  <c r="T35" i="33"/>
  <c r="AM36" i="7"/>
  <c r="Q35" i="33"/>
  <c r="D7" i="30"/>
  <c r="D13" i="30"/>
  <c r="AF361" i="25"/>
  <c r="Z361" i="25"/>
  <c r="AJ5" i="9"/>
  <c r="AJ73" i="9"/>
  <c r="AF937" i="25"/>
  <c r="Z937" i="25"/>
  <c r="AF172" i="25"/>
  <c r="Z172" i="25"/>
  <c r="AF1022" i="16"/>
  <c r="Z1022" i="16"/>
  <c r="AO45" i="8"/>
  <c r="AE45" i="8"/>
  <c r="AB45" i="28"/>
  <c r="AB117" i="28"/>
  <c r="AF85" i="25"/>
  <c r="Z85" i="25"/>
  <c r="AD42" i="17"/>
  <c r="Y42" i="17"/>
  <c r="AE493" i="25"/>
  <c r="Y493" i="25"/>
  <c r="AG895" i="25"/>
  <c r="AA895" i="25"/>
  <c r="AF273" i="16"/>
  <c r="AG52" i="25"/>
  <c r="AA52" i="25"/>
  <c r="N208" i="21"/>
  <c r="K208" i="21"/>
  <c r="AL43" i="8"/>
  <c r="AJ43" i="8"/>
  <c r="AG128" i="28"/>
  <c r="AG56" i="28"/>
  <c r="AF668" i="25"/>
  <c r="Z668" i="25"/>
  <c r="AG680" i="25"/>
  <c r="AA680" i="25"/>
  <c r="Y487" i="16"/>
  <c r="AE487" i="16"/>
  <c r="AK7" i="23"/>
  <c r="AK7" i="9"/>
  <c r="AK7" i="7"/>
  <c r="AK7" i="8"/>
  <c r="N840" i="21"/>
  <c r="K840" i="21"/>
  <c r="AK56" i="23"/>
  <c r="AK56" i="9"/>
  <c r="AK56" i="6"/>
  <c r="AK56" i="7"/>
  <c r="AK56" i="8"/>
  <c r="N147" i="21"/>
  <c r="K147" i="21"/>
  <c r="AF225" i="25"/>
  <c r="Z225" i="25"/>
  <c r="AE381" i="17"/>
  <c r="Z381" i="17"/>
  <c r="AG800" i="25"/>
  <c r="AA800" i="25"/>
  <c r="Z140" i="16"/>
  <c r="K140" i="21"/>
  <c r="N140" i="21"/>
  <c r="AF1045" i="25"/>
  <c r="Z1045" i="25"/>
  <c r="AL30" i="9"/>
  <c r="AJ30" i="9"/>
  <c r="AG948" i="25"/>
  <c r="AA948" i="25"/>
  <c r="Z147" i="16"/>
  <c r="AF147" i="16"/>
  <c r="AF65" i="9"/>
  <c r="AP65" i="9"/>
  <c r="AE62" i="17"/>
  <c r="Z62" i="17"/>
  <c r="AG787" i="25"/>
  <c r="AA787" i="25"/>
  <c r="N528" i="21"/>
  <c r="K528" i="21"/>
  <c r="AD73" i="17"/>
  <c r="Y73" i="17"/>
  <c r="AE413" i="25"/>
  <c r="Y413" i="25"/>
  <c r="AL6" i="23"/>
  <c r="AJ6" i="23"/>
  <c r="AF189" i="25"/>
  <c r="Z189" i="25"/>
  <c r="AB81" i="28"/>
  <c r="AB9" i="28"/>
  <c r="AE650" i="25"/>
  <c r="Y650" i="25"/>
  <c r="N965" i="21"/>
  <c r="K965" i="21"/>
  <c r="AE54" i="25"/>
  <c r="Y54" i="25"/>
  <c r="Z924" i="16"/>
  <c r="AF924" i="16"/>
  <c r="AD11" i="17"/>
  <c r="Y11" i="17"/>
  <c r="N145" i="21"/>
  <c r="K145" i="21"/>
  <c r="AG792" i="25"/>
  <c r="AA792" i="25"/>
  <c r="AF79" i="25"/>
  <c r="Z79" i="25"/>
  <c r="N70" i="8"/>
  <c r="T70" i="8"/>
  <c r="AM70" i="8"/>
  <c r="AE123" i="25"/>
  <c r="Y123" i="25"/>
  <c r="AE542" i="16"/>
  <c r="Y542" i="16"/>
  <c r="AF1156" i="25"/>
  <c r="Z1156" i="25"/>
  <c r="AD20" i="17"/>
  <c r="Y20" i="17"/>
  <c r="AG38" i="9"/>
  <c r="AE38" i="9"/>
  <c r="AO38" i="9"/>
  <c r="AF5" i="21"/>
  <c r="X5" i="21"/>
  <c r="R5" i="21"/>
  <c r="AF652" i="25"/>
  <c r="Z652" i="25"/>
  <c r="M541" i="21"/>
  <c r="J541" i="21"/>
  <c r="AG1138" i="25"/>
  <c r="AA1138" i="25"/>
  <c r="AG1145" i="25"/>
  <c r="AA1145" i="25"/>
  <c r="AE158" i="17"/>
  <c r="Z158" i="17"/>
  <c r="AG1120" i="25"/>
  <c r="AA1120" i="25"/>
  <c r="AG65" i="9"/>
  <c r="AE65" i="9"/>
  <c r="AO65" i="9"/>
  <c r="AG1095" i="25"/>
  <c r="AA1095" i="25"/>
  <c r="AF1003" i="25"/>
  <c r="Z1003" i="25"/>
  <c r="AG356" i="25"/>
  <c r="AA356" i="25"/>
  <c r="N107" i="21"/>
  <c r="K107" i="21"/>
  <c r="AG437" i="25"/>
  <c r="AA437" i="25"/>
  <c r="AB99" i="28"/>
  <c r="AB27" i="28"/>
  <c r="AF827" i="25"/>
  <c r="Z827" i="25"/>
  <c r="N88" i="28"/>
  <c r="N16" i="28"/>
  <c r="AE120" i="17"/>
  <c r="Z120" i="17"/>
  <c r="AG158" i="25"/>
  <c r="AA158" i="25"/>
  <c r="AF991" i="25"/>
  <c r="Z991" i="25"/>
  <c r="N1084" i="21"/>
  <c r="K1084" i="21"/>
  <c r="AF160" i="25"/>
  <c r="Z160" i="25"/>
  <c r="AC124" i="28"/>
  <c r="AC52" i="28"/>
  <c r="AF52" i="8"/>
  <c r="AP52" i="8"/>
  <c r="AE201" i="17"/>
  <c r="Z201" i="17"/>
  <c r="AF316" i="25"/>
  <c r="Z316" i="25"/>
  <c r="N623" i="21"/>
  <c r="K623" i="21"/>
  <c r="AF17" i="23"/>
  <c r="AP17" i="23"/>
  <c r="AF797" i="25"/>
  <c r="Z797" i="25"/>
  <c r="AF364" i="25"/>
  <c r="Z364" i="25"/>
  <c r="AF715" i="25"/>
  <c r="Z715" i="25"/>
  <c r="AF256" i="16"/>
  <c r="N844" i="21"/>
  <c r="K844" i="21"/>
  <c r="AF911" i="25"/>
  <c r="Z911" i="25"/>
  <c r="AG28" i="23"/>
  <c r="AE28" i="23"/>
  <c r="AO28" i="23"/>
  <c r="M149" i="21"/>
  <c r="J149" i="21"/>
  <c r="AF26" i="16"/>
  <c r="AE187" i="25"/>
  <c r="Y187" i="25"/>
  <c r="AF824" i="25"/>
  <c r="Z824" i="25"/>
  <c r="AF1149" i="25"/>
  <c r="Z1149" i="25"/>
  <c r="AG1028" i="25"/>
  <c r="AA1028" i="25"/>
  <c r="AF709" i="25"/>
  <c r="Z709" i="25"/>
  <c r="AF1079" i="25"/>
  <c r="Z1079" i="25"/>
  <c r="AE33" i="17"/>
  <c r="Z33" i="17"/>
  <c r="AB103" i="28"/>
  <c r="AB31" i="28"/>
  <c r="AE252" i="17"/>
  <c r="Z252" i="17"/>
  <c r="AC116" i="28"/>
  <c r="AC44" i="28"/>
  <c r="AF44" i="8"/>
  <c r="AP44" i="8"/>
  <c r="AE30" i="25"/>
  <c r="Y30" i="25"/>
  <c r="AF108" i="28"/>
  <c r="AF36" i="28"/>
  <c r="AF62" i="23"/>
  <c r="AP62" i="23"/>
  <c r="AF136" i="25"/>
  <c r="Z136" i="25"/>
  <c r="AF838" i="25"/>
  <c r="Z838" i="25"/>
  <c r="AE305" i="17"/>
  <c r="Z305" i="17"/>
  <c r="AG1134" i="25"/>
  <c r="AA1134" i="25"/>
  <c r="AC90" i="28"/>
  <c r="AC18" i="28"/>
  <c r="AF18" i="8"/>
  <c r="AP18" i="8"/>
  <c r="AA4" i="21"/>
  <c r="AF834" i="25"/>
  <c r="Z834" i="25"/>
  <c r="N108" i="28"/>
  <c r="N36" i="28"/>
  <c r="AE174" i="16"/>
  <c r="Y174" i="16"/>
  <c r="AF73" i="25"/>
  <c r="Z73" i="25"/>
  <c r="N723" i="21"/>
  <c r="K723" i="21"/>
  <c r="Z107" i="16"/>
  <c r="AF107" i="16"/>
  <c r="AF34" i="23"/>
  <c r="AP34" i="23"/>
  <c r="AF764" i="25"/>
  <c r="Z764" i="25"/>
  <c r="AF1102" i="16"/>
  <c r="AZ9" i="23"/>
  <c r="AX9" i="23"/>
  <c r="AF547" i="16"/>
  <c r="Z547" i="16"/>
  <c r="AZ18" i="23"/>
  <c r="AX18" i="23"/>
  <c r="N866" i="21"/>
  <c r="K866" i="21"/>
  <c r="M330" i="21"/>
  <c r="J330" i="21"/>
  <c r="AE57" i="17"/>
  <c r="Z57" i="17"/>
  <c r="AG229" i="25"/>
  <c r="AA229" i="25"/>
  <c r="AK11" i="23"/>
  <c r="AK11" i="9"/>
  <c r="AK11" i="8"/>
  <c r="AF88" i="28"/>
  <c r="AF16" i="28"/>
  <c r="AG88" i="28"/>
  <c r="AG16" i="28"/>
  <c r="AF174" i="16"/>
  <c r="Z174" i="16"/>
  <c r="AL27" i="9"/>
  <c r="AJ27" i="9"/>
  <c r="AG977" i="25"/>
  <c r="AA977" i="25"/>
  <c r="Z256" i="16"/>
  <c r="K256" i="21"/>
  <c r="N256" i="21"/>
  <c r="N1094" i="21"/>
  <c r="K1094" i="21"/>
  <c r="AG860" i="25"/>
  <c r="AA860" i="25"/>
  <c r="N211" i="21"/>
  <c r="K211" i="21"/>
  <c r="AG1118" i="25"/>
  <c r="AA1118" i="25"/>
  <c r="Z26" i="16"/>
  <c r="K26" i="21"/>
  <c r="N26" i="21"/>
  <c r="AF793" i="25"/>
  <c r="Z793" i="25"/>
  <c r="N750" i="21"/>
  <c r="K750" i="21"/>
  <c r="AF423" i="16"/>
  <c r="AF920" i="25"/>
  <c r="Z920" i="25"/>
  <c r="AF80" i="16"/>
  <c r="N1032" i="21"/>
  <c r="K1032" i="21"/>
  <c r="AF1154" i="25"/>
  <c r="Z1154" i="25"/>
  <c r="AG185" i="25"/>
  <c r="AA185" i="25"/>
  <c r="AG827" i="25"/>
  <c r="AA827" i="25"/>
  <c r="AE182" i="17"/>
  <c r="Z182" i="17"/>
  <c r="AE184" i="25"/>
  <c r="Y184" i="25"/>
  <c r="AC130" i="28"/>
  <c r="AC58" i="28"/>
  <c r="AF58" i="8"/>
  <c r="AP58" i="8"/>
  <c r="AF40" i="23"/>
  <c r="AP40" i="23"/>
  <c r="I36" i="22"/>
  <c r="G36" i="22"/>
  <c r="N1142" i="21"/>
  <c r="K1142" i="21"/>
  <c r="AE256" i="17"/>
  <c r="Z256" i="17"/>
  <c r="AF852" i="16"/>
  <c r="Z852" i="16"/>
  <c r="AD47" i="17"/>
  <c r="Y47" i="17"/>
  <c r="N960" i="21"/>
  <c r="K960" i="21"/>
  <c r="AF992" i="25"/>
  <c r="Z992" i="25"/>
  <c r="N372" i="21"/>
  <c r="K372" i="21"/>
  <c r="AK8" i="9"/>
  <c r="AK8" i="8"/>
  <c r="AK8" i="6"/>
  <c r="AK8" i="7"/>
  <c r="AK8" i="23"/>
  <c r="AG63" i="23"/>
  <c r="AE63" i="23"/>
  <c r="AO63" i="23"/>
  <c r="AE309" i="17"/>
  <c r="Z309" i="17"/>
  <c r="AJ15" i="7"/>
  <c r="AJ15" i="8"/>
  <c r="AL15" i="8"/>
  <c r="AF1123" i="16"/>
  <c r="AF787" i="16"/>
  <c r="Z787" i="16"/>
  <c r="AL24" i="8"/>
  <c r="AJ24" i="8"/>
  <c r="AM54" i="7"/>
  <c r="AX54" i="23"/>
  <c r="AZ54" i="23"/>
  <c r="AF836" i="25"/>
  <c r="Z836" i="25"/>
  <c r="AE159" i="17"/>
  <c r="Z159" i="17"/>
  <c r="Z273" i="16"/>
  <c r="K273" i="21"/>
  <c r="N273" i="21"/>
  <c r="AI26" i="24"/>
  <c r="AL26" i="24"/>
  <c r="AB26" i="24"/>
  <c r="AG983" i="25"/>
  <c r="AA983" i="25"/>
  <c r="AG906" i="25"/>
  <c r="AA906" i="25"/>
  <c r="AF771" i="25"/>
  <c r="Z771" i="25"/>
  <c r="AE98" i="25"/>
  <c r="Y98" i="25"/>
  <c r="AF351" i="25"/>
  <c r="Z351" i="25"/>
  <c r="X11" i="30"/>
  <c r="D11" i="30"/>
  <c r="AF278" i="25"/>
  <c r="Z278" i="25"/>
  <c r="AL18" i="23"/>
  <c r="AJ18" i="23"/>
  <c r="AL10" i="9"/>
  <c r="AJ10" i="9"/>
  <c r="N686" i="21"/>
  <c r="K686" i="21"/>
  <c r="N1133" i="21"/>
  <c r="K1133" i="21"/>
  <c r="AD23" i="17"/>
  <c r="Y23" i="17"/>
  <c r="AF1092" i="25"/>
  <c r="Z1092" i="25"/>
  <c r="N61" i="8"/>
  <c r="T61" i="8"/>
  <c r="AM61" i="8"/>
  <c r="AF1153" i="16"/>
  <c r="AF454" i="25"/>
  <c r="Z454" i="25"/>
  <c r="AG112" i="28"/>
  <c r="AG40" i="28"/>
  <c r="AF452" i="25"/>
  <c r="Z452" i="25"/>
  <c r="AF527" i="25"/>
  <c r="Z527" i="25"/>
  <c r="AB140" i="28"/>
  <c r="AB68" i="28"/>
  <c r="AL9" i="8"/>
  <c r="AJ9" i="8"/>
  <c r="AF62" i="25"/>
  <c r="Z62" i="25"/>
  <c r="Z1102" i="16"/>
  <c r="K1102" i="21"/>
  <c r="N1102" i="21"/>
  <c r="AF753" i="25"/>
  <c r="Z753" i="25"/>
  <c r="AD212" i="17"/>
  <c r="Y212" i="17"/>
  <c r="AB93" i="28"/>
  <c r="AB21" i="28"/>
  <c r="N38" i="8"/>
  <c r="T38" i="8"/>
  <c r="AM38" i="8"/>
  <c r="Y330" i="16"/>
  <c r="AE330" i="16"/>
  <c r="AG378" i="25"/>
  <c r="AA378" i="25"/>
  <c r="AK11" i="6"/>
  <c r="AK11" i="7"/>
  <c r="AG11" i="28"/>
  <c r="AG83" i="28"/>
  <c r="N929" i="21"/>
  <c r="K929" i="21"/>
  <c r="AI25" i="24"/>
  <c r="AL25" i="24"/>
  <c r="AB25" i="24"/>
  <c r="AF231" i="25"/>
  <c r="Z231" i="25"/>
  <c r="AF1142" i="25"/>
  <c r="Z1142" i="25"/>
  <c r="AM7" i="23"/>
  <c r="T7" i="23"/>
  <c r="N7" i="23"/>
  <c r="AF909" i="25"/>
  <c r="Z909" i="25"/>
  <c r="Z1094" i="16"/>
  <c r="AF1094" i="16"/>
  <c r="AD58" i="17"/>
  <c r="Y58" i="17"/>
  <c r="N1044" i="21"/>
  <c r="K1044" i="21"/>
  <c r="N963" i="21"/>
  <c r="K963" i="21"/>
  <c r="N883" i="21"/>
  <c r="K883" i="21"/>
  <c r="AF307" i="25"/>
  <c r="Z307" i="25"/>
  <c r="Z750" i="16"/>
  <c r="AF750" i="16"/>
  <c r="AC82" i="28"/>
  <c r="AC10" i="28"/>
  <c r="AF10" i="8"/>
  <c r="AP10" i="8"/>
  <c r="AO53" i="9"/>
  <c r="AE53" i="9"/>
  <c r="AG53" i="9"/>
  <c r="AG381" i="25"/>
  <c r="AA381" i="25"/>
  <c r="N164" i="21"/>
  <c r="K164" i="21"/>
  <c r="AG1119" i="25"/>
  <c r="AA1119" i="25"/>
  <c r="N307" i="21"/>
  <c r="K307" i="21"/>
  <c r="AF670" i="16"/>
  <c r="AG814" i="25"/>
  <c r="AA814" i="25"/>
  <c r="AG1053" i="25"/>
  <c r="AA1053" i="25"/>
  <c r="AE307" i="17"/>
  <c r="Z307" i="17"/>
  <c r="M47" i="21"/>
  <c r="J47" i="21"/>
  <c r="N1070" i="21"/>
  <c r="K1070" i="21"/>
  <c r="N1014" i="21"/>
  <c r="K1014" i="21"/>
  <c r="AG100" i="28"/>
  <c r="AG28" i="28"/>
  <c r="AE317" i="17"/>
  <c r="Z317" i="17"/>
  <c r="AG693" i="25"/>
  <c r="AA693" i="25"/>
  <c r="AM19" i="8"/>
  <c r="T19" i="8"/>
  <c r="N19" i="8"/>
  <c r="AG562" i="25"/>
  <c r="AA562" i="25"/>
  <c r="AF115" i="25"/>
  <c r="Z115" i="25"/>
  <c r="AG739" i="25"/>
  <c r="AA739" i="25"/>
  <c r="AE19" i="17"/>
  <c r="Z19" i="17"/>
  <c r="N22" i="21"/>
  <c r="K22" i="21"/>
  <c r="AG36" i="23"/>
  <c r="AE36" i="23"/>
  <c r="AO36" i="23"/>
  <c r="Z760" i="16"/>
  <c r="AF760" i="16"/>
  <c r="AO11" i="8"/>
  <c r="AE11" i="8"/>
  <c r="AG11" i="8"/>
  <c r="AE376" i="17"/>
  <c r="Z376" i="17"/>
  <c r="Z372" i="16"/>
  <c r="AF372" i="16"/>
  <c r="N9" i="9"/>
  <c r="T9" i="9"/>
  <c r="AM9" i="9"/>
  <c r="AF674" i="16"/>
  <c r="AE40" i="17"/>
  <c r="Z40" i="17"/>
  <c r="AF556" i="16"/>
  <c r="Z556" i="16"/>
  <c r="AE267" i="17"/>
  <c r="Z267" i="17"/>
  <c r="AF1082" i="25"/>
  <c r="Z1082" i="25"/>
  <c r="AF321" i="16"/>
  <c r="AF918" i="25"/>
  <c r="Z918" i="25"/>
  <c r="AE162" i="17"/>
  <c r="Z162" i="17"/>
  <c r="AF741" i="25"/>
  <c r="Z741" i="25"/>
  <c r="AE158" i="25"/>
  <c r="Y158" i="25"/>
  <c r="Z686" i="16"/>
  <c r="AF686" i="16"/>
  <c r="AE239" i="17"/>
  <c r="Z239" i="17"/>
  <c r="AG1034" i="25"/>
  <c r="AA1034" i="25"/>
  <c r="AF183" i="25"/>
  <c r="Z183" i="25"/>
  <c r="AE330" i="17"/>
  <c r="Z330" i="17"/>
  <c r="N20" i="23"/>
  <c r="T20" i="23"/>
  <c r="AM20" i="23"/>
  <c r="AE73" i="23"/>
  <c r="AO5" i="23"/>
  <c r="AE5" i="23"/>
  <c r="AG5" i="23"/>
  <c r="AL2" i="16"/>
  <c r="Z1153" i="16"/>
  <c r="K1153" i="21"/>
  <c r="N1153" i="21"/>
  <c r="AF347" i="25"/>
  <c r="Z347" i="25"/>
  <c r="AG762" i="25"/>
  <c r="AA762" i="25"/>
  <c r="AE184" i="17"/>
  <c r="Z184" i="17"/>
  <c r="N99" i="28"/>
  <c r="N27" i="28"/>
  <c r="AO27" i="8"/>
  <c r="AE27" i="8"/>
  <c r="AG27" i="8"/>
  <c r="AE301" i="25"/>
  <c r="Y301" i="25"/>
  <c r="N1077" i="21"/>
  <c r="K1077" i="21"/>
  <c r="N881" i="21"/>
  <c r="K881" i="21"/>
  <c r="N8" i="23"/>
  <c r="T8" i="23"/>
  <c r="AM8" i="23"/>
  <c r="AE282" i="17"/>
  <c r="Z282" i="17"/>
  <c r="AF858" i="16"/>
  <c r="Z858" i="16"/>
  <c r="AF916" i="25"/>
  <c r="Z916" i="25"/>
  <c r="AF807" i="25"/>
  <c r="Z807" i="25"/>
  <c r="AO50" i="23"/>
  <c r="AE50" i="23"/>
  <c r="AG50" i="23"/>
  <c r="Z321" i="16"/>
  <c r="K321" i="21"/>
  <c r="N321" i="21"/>
  <c r="AG447" i="25"/>
  <c r="AA447" i="25"/>
  <c r="AG192" i="25"/>
  <c r="AA192" i="25"/>
  <c r="AE387" i="17"/>
  <c r="Z387" i="17"/>
  <c r="AD102" i="17"/>
  <c r="Y102" i="17"/>
  <c r="AG36" i="9"/>
  <c r="AE36" i="9"/>
  <c r="AO36" i="9"/>
  <c r="AF82" i="28"/>
  <c r="AF10" i="28"/>
  <c r="AE366" i="17"/>
  <c r="Z366" i="17"/>
  <c r="AE112" i="17"/>
  <c r="Z112" i="17"/>
  <c r="AG842" i="25"/>
  <c r="AA842" i="25"/>
  <c r="N987" i="21"/>
  <c r="K987" i="21"/>
  <c r="AE609" i="16"/>
  <c r="AF428" i="25"/>
  <c r="Z428" i="25"/>
  <c r="AF450" i="25"/>
  <c r="Z450" i="25"/>
  <c r="AF660" i="25"/>
  <c r="Z660" i="25"/>
  <c r="AF106" i="25"/>
  <c r="Z106" i="25"/>
  <c r="AF904" i="25"/>
  <c r="Z904" i="25"/>
  <c r="AE195" i="17"/>
  <c r="Z195" i="17"/>
  <c r="AF839" i="25"/>
  <c r="Z839" i="25"/>
  <c r="AB100" i="28"/>
  <c r="AB28" i="28"/>
  <c r="AE609" i="25"/>
  <c r="Y609" i="25"/>
  <c r="AG271" i="25"/>
  <c r="AA271" i="25"/>
  <c r="AF624" i="25"/>
  <c r="Z624" i="25"/>
  <c r="AE125" i="17"/>
  <c r="Z125" i="17"/>
  <c r="N90" i="28"/>
  <c r="N18" i="28"/>
  <c r="AG171" i="25"/>
  <c r="AA171" i="25"/>
  <c r="AF954" i="25"/>
  <c r="Z954" i="25"/>
  <c r="N44" i="23"/>
  <c r="T44" i="23"/>
  <c r="AM44" i="23"/>
  <c r="Z73" i="16"/>
  <c r="AF73" i="16"/>
  <c r="N45" i="8"/>
  <c r="T45" i="8"/>
  <c r="AM45" i="8"/>
  <c r="AF762" i="16"/>
  <c r="Z762" i="16"/>
  <c r="AF886" i="16"/>
  <c r="Z886" i="16"/>
  <c r="Z152" i="16"/>
  <c r="AF152" i="16"/>
  <c r="Z13" i="16"/>
  <c r="AF13" i="16"/>
  <c r="AF897" i="25"/>
  <c r="Z897" i="25"/>
  <c r="R10" i="33"/>
  <c r="AM46" i="7"/>
  <c r="U10" i="33"/>
  <c r="AF227" i="25"/>
  <c r="Z227" i="25"/>
  <c r="AE325" i="17"/>
  <c r="Z325" i="17"/>
  <c r="AK54" i="23"/>
  <c r="AK54" i="9"/>
  <c r="AK54" i="6"/>
  <c r="AK54" i="7"/>
  <c r="AK54" i="8"/>
  <c r="AG628" i="25"/>
  <c r="AA628" i="25"/>
  <c r="N1125" i="21"/>
  <c r="K1125" i="21"/>
  <c r="Y65" i="16"/>
  <c r="AE65" i="16"/>
  <c r="AG111" i="28"/>
  <c r="AG39" i="28"/>
  <c r="Z22" i="16"/>
  <c r="AF22" i="16"/>
  <c r="AG663" i="25"/>
  <c r="AA663" i="25"/>
  <c r="AF355" i="16"/>
  <c r="AE374" i="17"/>
  <c r="Z374" i="17"/>
  <c r="AF459" i="25"/>
  <c r="Z459" i="25"/>
  <c r="AG955" i="25"/>
  <c r="AA955" i="25"/>
  <c r="AD176" i="17"/>
  <c r="Y176" i="17"/>
  <c r="AF211" i="25"/>
  <c r="Z211" i="25"/>
  <c r="AF131" i="25"/>
  <c r="Z131" i="25"/>
  <c r="AE342" i="17"/>
  <c r="Z342" i="17"/>
  <c r="AG43" i="8"/>
  <c r="Z674" i="16"/>
  <c r="K674" i="21"/>
  <c r="N674" i="21"/>
  <c r="AF157" i="25"/>
  <c r="Z157" i="25"/>
  <c r="AE496" i="25"/>
  <c r="Y496" i="25"/>
  <c r="AF439" i="25"/>
  <c r="Z439" i="25"/>
  <c r="AF1074" i="16"/>
  <c r="AE388" i="17"/>
  <c r="Z388" i="17"/>
  <c r="AF1093" i="25"/>
  <c r="Z1093" i="25"/>
  <c r="AF619" i="25"/>
  <c r="Z619" i="25"/>
  <c r="AP64" i="8"/>
  <c r="AF64" i="8"/>
  <c r="AC64" i="28"/>
  <c r="AC136" i="28"/>
  <c r="AG669" i="25"/>
  <c r="AA669" i="25"/>
  <c r="AE62" i="25"/>
  <c r="Y62" i="25"/>
  <c r="AK16" i="9"/>
  <c r="AK16" i="8"/>
  <c r="AK16" i="6"/>
  <c r="AK16" i="7"/>
  <c r="AK16" i="23"/>
  <c r="N782" i="21"/>
  <c r="K782" i="21"/>
  <c r="AF433" i="16"/>
  <c r="AG834" i="25"/>
  <c r="AA834" i="25"/>
  <c r="AM41" i="23"/>
  <c r="T41" i="23"/>
  <c r="N41" i="23"/>
  <c r="AG923" i="25"/>
  <c r="AA923" i="25"/>
  <c r="AF214" i="25"/>
  <c r="Z214" i="25"/>
  <c r="AB112" i="28"/>
  <c r="AB40" i="28"/>
  <c r="AE297" i="25"/>
  <c r="Y297" i="25"/>
  <c r="AG139" i="28"/>
  <c r="AG67" i="28"/>
  <c r="AF103" i="25"/>
  <c r="Z103" i="25"/>
  <c r="AD45" i="17"/>
  <c r="Y45" i="17"/>
  <c r="AE18" i="17"/>
  <c r="Z18" i="17"/>
  <c r="AG1080" i="25"/>
  <c r="AA1080" i="25"/>
  <c r="N64" i="23"/>
  <c r="T64" i="23"/>
  <c r="AM64" i="23"/>
  <c r="AF787" i="25"/>
  <c r="Z787" i="25"/>
  <c r="AE305" i="16"/>
  <c r="N455" i="21"/>
  <c r="K455" i="21"/>
  <c r="AF44" i="9"/>
  <c r="AP44" i="9"/>
  <c r="N79" i="28"/>
  <c r="N7" i="28"/>
  <c r="AF134" i="28"/>
  <c r="AF62" i="28"/>
  <c r="AF207" i="25"/>
  <c r="Z207" i="25"/>
  <c r="AG71" i="25"/>
  <c r="AA71" i="25"/>
  <c r="N755" i="21"/>
  <c r="K755" i="21"/>
  <c r="AF582" i="25"/>
  <c r="Z582" i="25"/>
  <c r="Z1084" i="16"/>
  <c r="AF1084" i="16"/>
  <c r="N51" i="9"/>
  <c r="T51" i="9"/>
  <c r="AM51" i="9"/>
  <c r="AE324" i="17"/>
  <c r="Z324" i="17"/>
  <c r="AL47" i="23"/>
  <c r="AJ47" i="23"/>
  <c r="AO18" i="23"/>
  <c r="AE18" i="23"/>
  <c r="AG18" i="23"/>
  <c r="Z433" i="16"/>
  <c r="K433" i="21"/>
  <c r="N433" i="21"/>
  <c r="AF1103" i="25"/>
  <c r="Z1103" i="25"/>
  <c r="N57" i="21"/>
  <c r="K57" i="21"/>
  <c r="M300" i="21"/>
  <c r="J300" i="21"/>
  <c r="AC101" i="28"/>
  <c r="AC29" i="28"/>
  <c r="AF29" i="8"/>
  <c r="AP29" i="8"/>
  <c r="AE43" i="17"/>
  <c r="Z43" i="17"/>
  <c r="Y609" i="16"/>
  <c r="J609" i="21"/>
  <c r="M609" i="21"/>
  <c r="AF1066" i="25"/>
  <c r="Z1066" i="25"/>
  <c r="AE275" i="17"/>
  <c r="Z275" i="17"/>
  <c r="Z211" i="16"/>
  <c r="AF211" i="16"/>
  <c r="AP69" i="8"/>
  <c r="AF69" i="8"/>
  <c r="AC69" i="28"/>
  <c r="AC141" i="28"/>
  <c r="AF1083" i="16"/>
  <c r="AE53" i="17"/>
  <c r="Z53" i="17"/>
  <c r="N116" i="28"/>
  <c r="N44" i="28"/>
  <c r="AO28" i="8"/>
  <c r="AE28" i="8"/>
  <c r="AG28" i="8"/>
  <c r="AF745" i="25"/>
  <c r="Z745" i="25"/>
  <c r="AL50" i="8"/>
  <c r="AJ50" i="8"/>
  <c r="AG698" i="25"/>
  <c r="AA698" i="25"/>
  <c r="Z164" i="16"/>
  <c r="AF164" i="16"/>
  <c r="AF20" i="9"/>
  <c r="AP20" i="9"/>
  <c r="AG726" i="25"/>
  <c r="AA726" i="25"/>
  <c r="AF40" i="9"/>
  <c r="AP40" i="9"/>
  <c r="AG688" i="25"/>
  <c r="AA688" i="25"/>
  <c r="AE244" i="17"/>
  <c r="Z244" i="17"/>
  <c r="AF734" i="25"/>
  <c r="Z734" i="25"/>
  <c r="Z355" i="16"/>
  <c r="K355" i="21"/>
  <c r="N355" i="21"/>
  <c r="Z208" i="16"/>
  <c r="AF208" i="16"/>
  <c r="AO43" i="8"/>
  <c r="AE43" i="8"/>
  <c r="AB43" i="28"/>
  <c r="AB115" i="28"/>
  <c r="AK40" i="23"/>
  <c r="AK40" i="9"/>
  <c r="AK40" i="6"/>
  <c r="AK40" i="7"/>
  <c r="AK40" i="8"/>
  <c r="AF1097" i="16"/>
  <c r="Z1074" i="16"/>
  <c r="K1074" i="21"/>
  <c r="N1074" i="21"/>
  <c r="AF712" i="25"/>
  <c r="Z712" i="25"/>
  <c r="AG840" i="25"/>
  <c r="AA840" i="25"/>
  <c r="AE244" i="25"/>
  <c r="Y244" i="25"/>
  <c r="AG217" i="25"/>
  <c r="AA217" i="25"/>
  <c r="AG12" i="23"/>
  <c r="AE12" i="23"/>
  <c r="AO12" i="23"/>
  <c r="AF868" i="25"/>
  <c r="Z868" i="25"/>
  <c r="N765" i="21"/>
  <c r="K765" i="21"/>
  <c r="M577" i="21"/>
  <c r="J577" i="21"/>
  <c r="AF28" i="23"/>
  <c r="AP28" i="23"/>
  <c r="M299" i="21"/>
  <c r="J299" i="21"/>
  <c r="AG46" i="9"/>
  <c r="AE46" i="9"/>
  <c r="AO46" i="9"/>
  <c r="N746" i="21"/>
  <c r="K746" i="21"/>
  <c r="AG49" i="23"/>
  <c r="AE49" i="23"/>
  <c r="AO49" i="23"/>
  <c r="M334" i="21"/>
  <c r="J334" i="21"/>
  <c r="AE349" i="17"/>
  <c r="Z349" i="17"/>
  <c r="AF69" i="23"/>
  <c r="AP69" i="23"/>
  <c r="AG468" i="25"/>
  <c r="AA468" i="25"/>
  <c r="AB122" i="28"/>
  <c r="AB50" i="28"/>
  <c r="AG446" i="25"/>
  <c r="AA446" i="25"/>
  <c r="AE344" i="17"/>
  <c r="Z344" i="17"/>
  <c r="AE576" i="25"/>
  <c r="Y576" i="25"/>
  <c r="AF92" i="25"/>
  <c r="Z92" i="25"/>
  <c r="Y305" i="16"/>
  <c r="J305" i="21"/>
  <c r="M305" i="21"/>
  <c r="AO26" i="23"/>
  <c r="AE26" i="23"/>
  <c r="AG26" i="23"/>
  <c r="I21" i="22"/>
  <c r="G21" i="22"/>
  <c r="Z455" i="16"/>
  <c r="AF455" i="16"/>
  <c r="AO32" i="23"/>
  <c r="AE32" i="23"/>
  <c r="AG32" i="23"/>
  <c r="AG1157" i="25"/>
  <c r="AA1157" i="25"/>
  <c r="AF639" i="25"/>
  <c r="Z639" i="25"/>
  <c r="Z929" i="16"/>
  <c r="AF929" i="16"/>
  <c r="AE61" i="25"/>
  <c r="Y61" i="25"/>
  <c r="AP28" i="8"/>
  <c r="AF28" i="8"/>
  <c r="AC28" i="28"/>
  <c r="AC100" i="28"/>
  <c r="AE111" i="17"/>
  <c r="Z111" i="17"/>
  <c r="N776" i="21"/>
  <c r="K776" i="21"/>
  <c r="AG828" i="25"/>
  <c r="AA828" i="25"/>
  <c r="N188" i="21"/>
  <c r="K188" i="21"/>
  <c r="AF944" i="25"/>
  <c r="Z944" i="25"/>
  <c r="AO21" i="8"/>
  <c r="AE21" i="8"/>
  <c r="AG21" i="8"/>
  <c r="N70" i="9"/>
  <c r="T70" i="9"/>
  <c r="AM70" i="9"/>
  <c r="AL11" i="9"/>
  <c r="AJ11" i="9"/>
  <c r="AG711" i="25"/>
  <c r="AA711" i="25"/>
  <c r="G48" i="22"/>
  <c r="D48" i="22"/>
  <c r="F48" i="22"/>
  <c r="AF854" i="25"/>
  <c r="Z854" i="25"/>
  <c r="AZ49" i="23"/>
  <c r="AX49" i="23"/>
  <c r="AM49" i="7"/>
  <c r="N783" i="21"/>
  <c r="K783" i="21"/>
  <c r="Z57" i="16"/>
  <c r="AF57" i="16"/>
  <c r="AG56" i="25"/>
  <c r="AA56" i="25"/>
  <c r="Y300" i="16"/>
  <c r="AE300" i="16"/>
  <c r="AF964" i="25"/>
  <c r="Z964" i="25"/>
  <c r="F50" i="22"/>
  <c r="D50" i="22"/>
  <c r="G50" i="22"/>
  <c r="N22" i="9"/>
  <c r="T22" i="9"/>
  <c r="AM22" i="9"/>
  <c r="N942" i="21"/>
  <c r="K942" i="21"/>
  <c r="N1060" i="21"/>
  <c r="K1060" i="21"/>
  <c r="AG505" i="25"/>
  <c r="AA505" i="25"/>
  <c r="AL34" i="9"/>
  <c r="AJ34" i="9"/>
  <c r="N440" i="21"/>
  <c r="K440" i="21"/>
  <c r="AG16" i="8"/>
  <c r="AG373" i="25"/>
  <c r="AA373" i="25"/>
  <c r="Z1083" i="16"/>
  <c r="K1083" i="21"/>
  <c r="N1083" i="21"/>
  <c r="Z963" i="16"/>
  <c r="AF963" i="16"/>
  <c r="AF508" i="16"/>
  <c r="Y47" i="16"/>
  <c r="AE47" i="16"/>
  <c r="AF34" i="25"/>
  <c r="Z34" i="25"/>
  <c r="AM33" i="8"/>
  <c r="T33" i="8"/>
  <c r="N33" i="8"/>
  <c r="AZ71" i="23"/>
  <c r="AX71" i="23"/>
  <c r="AE167" i="25"/>
  <c r="Y167" i="25"/>
  <c r="AM35" i="8"/>
  <c r="T35" i="8"/>
  <c r="N35" i="8"/>
  <c r="AL11" i="8"/>
  <c r="AJ11" i="8"/>
  <c r="AE254" i="25"/>
  <c r="Y254" i="25"/>
  <c r="AE235" i="17"/>
  <c r="Z235" i="17"/>
  <c r="AF357" i="25"/>
  <c r="Z357" i="25"/>
  <c r="AG101" i="28"/>
  <c r="AG29" i="28"/>
  <c r="AG984" i="25"/>
  <c r="AA984" i="25"/>
  <c r="AE367" i="17"/>
  <c r="Z367" i="17"/>
  <c r="AG559" i="25"/>
  <c r="AA559" i="25"/>
  <c r="N16" i="9"/>
  <c r="T16" i="9"/>
  <c r="AM16" i="9"/>
  <c r="AG1059" i="25"/>
  <c r="AA1059" i="25"/>
  <c r="Z1097" i="16"/>
  <c r="K1097" i="21"/>
  <c r="N1097" i="21"/>
  <c r="AE216" i="17"/>
  <c r="Z216" i="17"/>
  <c r="AF949" i="16"/>
  <c r="AF776" i="25"/>
  <c r="Z776" i="25"/>
  <c r="AF12" i="23"/>
  <c r="AP12" i="23"/>
  <c r="AE410" i="25"/>
  <c r="Y410" i="25"/>
  <c r="AF508" i="25"/>
  <c r="Z508" i="25"/>
  <c r="AF755" i="25"/>
  <c r="Z755" i="25"/>
  <c r="AF719" i="25"/>
  <c r="Z719" i="25"/>
  <c r="AF979" i="25"/>
  <c r="Z979" i="25"/>
  <c r="AF1076" i="25"/>
  <c r="Z1076" i="25"/>
  <c r="AM21" i="23"/>
  <c r="T21" i="23"/>
  <c r="N21" i="23"/>
  <c r="T73" i="9"/>
  <c r="T5" i="9"/>
  <c r="AM5" i="9"/>
  <c r="AE577" i="25"/>
  <c r="Y577" i="25"/>
  <c r="Y299" i="16"/>
  <c r="AE299" i="16"/>
  <c r="Y334" i="16"/>
  <c r="AE334" i="16"/>
  <c r="AF632" i="25"/>
  <c r="Z632" i="25"/>
  <c r="AL49" i="8"/>
  <c r="AJ49" i="8"/>
  <c r="AG683" i="25"/>
  <c r="AA683" i="25"/>
  <c r="AG1130" i="25"/>
  <c r="AA1130" i="25"/>
  <c r="AG1019" i="25"/>
  <c r="AA1019" i="25"/>
  <c r="M408" i="21"/>
  <c r="J408" i="21"/>
  <c r="AF819" i="16"/>
  <c r="Z819" i="16"/>
  <c r="AO40" i="8"/>
  <c r="AE40" i="8"/>
  <c r="AG40" i="8"/>
  <c r="AF716" i="25"/>
  <c r="Z716" i="25"/>
  <c r="AE247" i="16"/>
  <c r="AG257" i="25"/>
  <c r="AA257" i="25"/>
  <c r="AM26" i="23"/>
  <c r="T26" i="23"/>
  <c r="N26" i="23"/>
  <c r="AG1127" i="25"/>
  <c r="AA1127" i="25"/>
  <c r="AJ8" i="21"/>
  <c r="V8" i="21"/>
  <c r="N593" i="21"/>
  <c r="AE64" i="17"/>
  <c r="Z64" i="17"/>
  <c r="AG992" i="25"/>
  <c r="AA992" i="25"/>
  <c r="AK39" i="23"/>
  <c r="AK39" i="9"/>
  <c r="AK39" i="6"/>
  <c r="AK39" i="7"/>
  <c r="AK39" i="8"/>
  <c r="AF548" i="16"/>
  <c r="Z548" i="16"/>
  <c r="AE41" i="25"/>
  <c r="Y41" i="25"/>
  <c r="AG987" i="25"/>
  <c r="AA987" i="25"/>
  <c r="AD63" i="17"/>
  <c r="Y63" i="17"/>
  <c r="Z1077" i="16"/>
  <c r="AF1077" i="16"/>
  <c r="AO45" i="9"/>
  <c r="AE45" i="9"/>
  <c r="AG45" i="9"/>
  <c r="AG1081" i="25"/>
  <c r="AA1081" i="25"/>
  <c r="AG918" i="25"/>
  <c r="AA918" i="25"/>
  <c r="N30" i="9"/>
  <c r="T30" i="9"/>
  <c r="AM30" i="9"/>
  <c r="AE29" i="17"/>
  <c r="Z29" i="17"/>
  <c r="Z1060" i="16"/>
  <c r="AF1060" i="16"/>
  <c r="Z440" i="16"/>
  <c r="AF440" i="16"/>
  <c r="AL24" i="23"/>
  <c r="AJ24" i="23"/>
  <c r="Z942" i="16"/>
  <c r="AF942" i="16"/>
  <c r="AE483" i="25"/>
  <c r="Y483" i="25"/>
  <c r="AE544" i="16"/>
  <c r="Y544" i="16"/>
  <c r="AE190" i="16"/>
  <c r="Y190" i="16"/>
  <c r="AL38" i="7"/>
  <c r="I22" i="22"/>
  <c r="G22" i="22"/>
  <c r="AE9" i="21"/>
  <c r="AE227" i="17"/>
  <c r="Z227" i="17"/>
  <c r="AO16" i="8"/>
  <c r="AE16" i="8"/>
  <c r="AB16" i="28"/>
  <c r="AB88" i="28"/>
  <c r="AF912" i="16"/>
  <c r="AF314" i="16"/>
  <c r="Z508" i="16"/>
  <c r="K508" i="21"/>
  <c r="N508" i="21"/>
  <c r="AG856" i="25"/>
  <c r="AA856" i="25"/>
  <c r="AG12" i="9"/>
  <c r="AE12" i="9"/>
  <c r="AO12" i="9"/>
  <c r="AF801" i="16"/>
  <c r="Z801" i="16"/>
  <c r="M616" i="21"/>
  <c r="J616" i="21"/>
  <c r="M392" i="21"/>
  <c r="J392" i="21"/>
  <c r="M29" i="21"/>
  <c r="J29" i="21"/>
  <c r="AE51" i="16"/>
  <c r="N1140" i="21"/>
  <c r="K1140" i="21"/>
  <c r="AF375" i="25"/>
  <c r="Z375" i="25"/>
  <c r="N621" i="21"/>
  <c r="K621" i="21"/>
  <c r="N679" i="21"/>
  <c r="K679" i="21"/>
  <c r="AE65" i="17"/>
  <c r="Z65" i="17"/>
  <c r="AF280" i="25"/>
  <c r="Z280" i="25"/>
  <c r="Z1123" i="16"/>
  <c r="K1123" i="21"/>
  <c r="N1123" i="21"/>
  <c r="Z1125" i="16"/>
  <c r="AF1125" i="16"/>
  <c r="N15" i="23"/>
  <c r="T15" i="23"/>
  <c r="AM15" i="23"/>
  <c r="Z949" i="16"/>
  <c r="K949" i="21"/>
  <c r="N949" i="21"/>
  <c r="Z72" i="16"/>
  <c r="AF72" i="16"/>
  <c r="AO50" i="8"/>
  <c r="AE50" i="8"/>
  <c r="AG50" i="8"/>
  <c r="N9" i="23"/>
  <c r="T9" i="23"/>
  <c r="AM9" i="23"/>
  <c r="AO9" i="8"/>
  <c r="AE9" i="8"/>
  <c r="AG9" i="8"/>
  <c r="Z965" i="16"/>
  <c r="AF965" i="16"/>
  <c r="AM47" i="7"/>
  <c r="AX47" i="23"/>
  <c r="AZ47" i="23"/>
  <c r="AF794" i="16"/>
  <c r="Z794" i="16"/>
  <c r="AF555" i="25"/>
  <c r="Z555" i="25"/>
  <c r="Z145" i="16"/>
  <c r="AF145" i="16"/>
  <c r="N46" i="23"/>
  <c r="T46" i="23"/>
  <c r="AM46" i="23"/>
  <c r="AF103" i="28"/>
  <c r="AF31" i="28"/>
  <c r="Y408" i="16"/>
  <c r="AE408" i="16"/>
  <c r="AF881" i="25"/>
  <c r="Z881" i="25"/>
  <c r="AF1126" i="25"/>
  <c r="Z1126" i="25"/>
  <c r="AK67" i="9"/>
  <c r="AK67" i="23"/>
  <c r="AK67" i="6"/>
  <c r="AK67" i="7"/>
  <c r="AK67" i="8"/>
  <c r="N5" i="9"/>
  <c r="N73" i="9"/>
  <c r="AF545" i="16"/>
  <c r="Z545" i="16"/>
  <c r="N124" i="28"/>
  <c r="N52" i="28"/>
  <c r="AK12" i="23"/>
  <c r="AK12" i="8"/>
  <c r="AK12" i="6"/>
  <c r="AK12" i="7"/>
  <c r="AK12" i="9"/>
  <c r="AE2" i="16"/>
  <c r="AK2" i="16"/>
  <c r="AK10" i="16"/>
  <c r="AL10" i="16"/>
  <c r="Y247" i="16"/>
  <c r="J247" i="21"/>
  <c r="M247" i="21"/>
  <c r="Z746" i="16"/>
  <c r="AF746" i="16"/>
  <c r="AG703" i="25"/>
  <c r="AA703" i="25"/>
  <c r="AL23" i="23"/>
  <c r="AJ23" i="23"/>
  <c r="AF970" i="25"/>
  <c r="Z970" i="25"/>
  <c r="AF881" i="16"/>
  <c r="Z881" i="16"/>
  <c r="AG997" i="25"/>
  <c r="AA997" i="25"/>
  <c r="N136" i="28"/>
  <c r="N64" i="28"/>
  <c r="AF50" i="23"/>
  <c r="AP50" i="23"/>
  <c r="AG912" i="25"/>
  <c r="AA912" i="25"/>
  <c r="AE146" i="17"/>
  <c r="Z146" i="17"/>
  <c r="AG961" i="25"/>
  <c r="AA961" i="25"/>
  <c r="AF348" i="25"/>
  <c r="Z348" i="25"/>
  <c r="AG1097" i="25"/>
  <c r="AA1097" i="25"/>
  <c r="AO68" i="8"/>
  <c r="AE68" i="8"/>
  <c r="AG68" i="8"/>
  <c r="AE536" i="25"/>
  <c r="Y536" i="25"/>
  <c r="AZ42" i="23"/>
  <c r="AX42" i="23"/>
  <c r="AF984" i="25"/>
  <c r="Z984" i="25"/>
  <c r="AD211" i="17"/>
  <c r="Y211" i="17"/>
  <c r="Z755" i="16"/>
  <c r="AF755" i="16"/>
  <c r="AL20" i="23"/>
  <c r="AJ20" i="23"/>
  <c r="AF367" i="25"/>
  <c r="Z367" i="25"/>
  <c r="AF441" i="25"/>
  <c r="Z441" i="25"/>
  <c r="AF699" i="25"/>
  <c r="Z699" i="25"/>
  <c r="N44" i="9"/>
  <c r="T44" i="9"/>
  <c r="AM44" i="9"/>
  <c r="Z623" i="16"/>
  <c r="AF623" i="16"/>
  <c r="N552" i="21"/>
  <c r="K552" i="21"/>
  <c r="AF222" i="25"/>
  <c r="Z222" i="25"/>
  <c r="AF326" i="25"/>
  <c r="Z326" i="25"/>
  <c r="AF862" i="16"/>
  <c r="Z862" i="16"/>
  <c r="AG1084" i="25"/>
  <c r="AA1084" i="25"/>
  <c r="Z423" i="16"/>
  <c r="K423" i="21"/>
  <c r="N423" i="21"/>
  <c r="Z80" i="16"/>
  <c r="K80" i="21"/>
  <c r="N80" i="21"/>
  <c r="AF1020" i="25"/>
  <c r="Z1020" i="25"/>
  <c r="AF1021" i="16"/>
  <c r="Z1021" i="16"/>
  <c r="AF474" i="25"/>
  <c r="Z474" i="25"/>
  <c r="AJ38" i="7"/>
  <c r="AJ38" i="9"/>
  <c r="AL38" i="9"/>
  <c r="Z670" i="16"/>
  <c r="K670" i="21"/>
  <c r="N670" i="21"/>
  <c r="AF61" i="25"/>
  <c r="Z61" i="25"/>
  <c r="AE331" i="17"/>
  <c r="Z331" i="17"/>
  <c r="AF801" i="25"/>
  <c r="Z801" i="25"/>
  <c r="Z912" i="16"/>
  <c r="K912" i="21"/>
  <c r="N912" i="21"/>
  <c r="Z314" i="16"/>
  <c r="K314" i="21"/>
  <c r="N314" i="21"/>
  <c r="N92" i="28"/>
  <c r="N20" i="28"/>
  <c r="AF930" i="25"/>
  <c r="Z930" i="25"/>
  <c r="AV4" i="25"/>
  <c r="AU4" i="25"/>
  <c r="Z307" i="16"/>
  <c r="AF307" i="16"/>
  <c r="I27" i="22"/>
  <c r="G27" i="22"/>
  <c r="AF696" i="25"/>
  <c r="Z696" i="25"/>
  <c r="AF798" i="16"/>
  <c r="Z798" i="16"/>
  <c r="N1055" i="21"/>
  <c r="K1055" i="21"/>
  <c r="N138" i="28"/>
  <c r="N66" i="28"/>
  <c r="AF892" i="16"/>
  <c r="Z892" i="16"/>
  <c r="AE121" i="16"/>
  <c r="N14" i="21"/>
  <c r="K14" i="21"/>
  <c r="R8" i="33"/>
  <c r="U8" i="33"/>
  <c r="AE416" i="25"/>
  <c r="Y416" i="25"/>
  <c r="AE405" i="25"/>
  <c r="Y405" i="25"/>
  <c r="AF1008" i="25"/>
  <c r="Z1008" i="25"/>
  <c r="AB113" i="28"/>
  <c r="AB41" i="28"/>
  <c r="AD175" i="17"/>
  <c r="Y175" i="17"/>
  <c r="AF887" i="16"/>
  <c r="Z887" i="16"/>
  <c r="N1108" i="21"/>
  <c r="K1108" i="21"/>
  <c r="AF1018" i="16"/>
  <c r="Z1018" i="16"/>
  <c r="AF748" i="16"/>
  <c r="N1156" i="21"/>
  <c r="K1156" i="21"/>
  <c r="AF49" i="23"/>
  <c r="AP49" i="23"/>
  <c r="AG681" i="25"/>
  <c r="AA681" i="25"/>
  <c r="AE115" i="25"/>
  <c r="Y115" i="25"/>
  <c r="AG142" i="28"/>
  <c r="AG70" i="28"/>
  <c r="AF26" i="25"/>
  <c r="Z26" i="25"/>
  <c r="AG1121" i="25"/>
  <c r="AA1121" i="25"/>
  <c r="M169" i="21"/>
  <c r="J169" i="21"/>
  <c r="AF1157" i="25"/>
  <c r="Z1157" i="25"/>
  <c r="M178" i="21"/>
  <c r="J178" i="21"/>
  <c r="AG822" i="25"/>
  <c r="AA822" i="25"/>
  <c r="AG1136" i="25"/>
  <c r="AA1136" i="25"/>
  <c r="AF120" i="28"/>
  <c r="AF48" i="28"/>
  <c r="AF822" i="16"/>
  <c r="Z822" i="16"/>
  <c r="AQ9" i="25"/>
  <c r="AP9" i="25"/>
  <c r="AG1146" i="25"/>
  <c r="AA1146" i="25"/>
  <c r="AF177" i="16"/>
  <c r="Z177" i="16"/>
  <c r="AE239" i="25"/>
  <c r="Y239" i="25"/>
  <c r="AM13" i="9"/>
  <c r="AG13" i="9"/>
  <c r="AE13" i="9"/>
  <c r="AO75" i="9"/>
  <c r="AO73" i="9"/>
  <c r="AF437" i="16"/>
  <c r="AG1103" i="25"/>
  <c r="AA1103" i="25"/>
  <c r="AZ11" i="23"/>
  <c r="AX11" i="23"/>
  <c r="AE262" i="17"/>
  <c r="Z262" i="17"/>
  <c r="AL57" i="9"/>
  <c r="AJ57" i="9"/>
  <c r="AF58" i="23"/>
  <c r="AP58" i="23"/>
  <c r="AE127" i="25"/>
  <c r="Y127" i="25"/>
  <c r="N926" i="21"/>
  <c r="K926" i="21"/>
  <c r="AG991" i="25"/>
  <c r="AA991" i="25"/>
  <c r="R33" i="33"/>
  <c r="AM71" i="7"/>
  <c r="U33" i="33"/>
  <c r="AO31" i="8"/>
  <c r="AE31" i="8"/>
  <c r="AG31" i="8"/>
  <c r="AL31" i="9"/>
  <c r="AJ31" i="9"/>
  <c r="AF563" i="16"/>
  <c r="Z563" i="16"/>
  <c r="AF706" i="25"/>
  <c r="Z706" i="25"/>
  <c r="AG1002" i="25"/>
  <c r="AA1002" i="25"/>
  <c r="AG798" i="25"/>
  <c r="AA798" i="25"/>
  <c r="AG529" i="25"/>
  <c r="AA529" i="25"/>
  <c r="AE277" i="17"/>
  <c r="Z277" i="17"/>
  <c r="AG990" i="25"/>
  <c r="AA990" i="25"/>
  <c r="AF13" i="9"/>
  <c r="AP75" i="9"/>
  <c r="AP73" i="9"/>
  <c r="AM11" i="9"/>
  <c r="T11" i="9"/>
  <c r="N11" i="9"/>
  <c r="AG1147" i="25"/>
  <c r="AA1147" i="25"/>
  <c r="Y29" i="16"/>
  <c r="AE29" i="16"/>
  <c r="AF262" i="16"/>
  <c r="AF20" i="16"/>
  <c r="N779" i="21"/>
  <c r="K779" i="21"/>
  <c r="AG1021" i="25"/>
  <c r="AA1021" i="25"/>
  <c r="AF462" i="25"/>
  <c r="Z462" i="25"/>
  <c r="AG854" i="25"/>
  <c r="AA854" i="25"/>
  <c r="N978" i="21"/>
  <c r="K978" i="21"/>
  <c r="AE191" i="17"/>
  <c r="Z191" i="17"/>
  <c r="AO20" i="23"/>
  <c r="AE20" i="23"/>
  <c r="AG20" i="23"/>
  <c r="AE61" i="17"/>
  <c r="Z61" i="17"/>
  <c r="AZ70" i="23"/>
  <c r="AX70" i="23"/>
  <c r="AP38" i="8"/>
  <c r="AF38" i="8"/>
  <c r="AC38" i="28"/>
  <c r="AC110" i="28"/>
  <c r="AG813" i="25"/>
  <c r="AA813" i="25"/>
  <c r="N352" i="21"/>
  <c r="K352" i="21"/>
  <c r="M535" i="21"/>
  <c r="J535" i="21"/>
  <c r="Y50" i="25"/>
  <c r="AE50" i="25"/>
  <c r="AK4" i="25"/>
  <c r="AL4" i="25"/>
  <c r="N21" i="9"/>
  <c r="T21" i="9"/>
  <c r="AM21" i="9"/>
  <c r="N555" i="21"/>
  <c r="K555" i="21"/>
  <c r="Y121" i="16"/>
  <c r="J121" i="21"/>
  <c r="M121" i="21"/>
  <c r="I26" i="22"/>
  <c r="G26" i="22"/>
  <c r="AM45" i="7"/>
  <c r="AX45" i="23"/>
  <c r="AZ45" i="23"/>
  <c r="AE397" i="25"/>
  <c r="Y397" i="25"/>
  <c r="AE345" i="17"/>
  <c r="Z345" i="17"/>
  <c r="AG838" i="25"/>
  <c r="AA838" i="25"/>
  <c r="AF126" i="16"/>
  <c r="AM48" i="23"/>
  <c r="T48" i="23"/>
  <c r="N48" i="23"/>
  <c r="AF114" i="25"/>
  <c r="Z114" i="25"/>
  <c r="AG782" i="25"/>
  <c r="AA782" i="25"/>
  <c r="N1018" i="21"/>
  <c r="K1018" i="21"/>
  <c r="AZ52" i="23"/>
  <c r="AX52" i="23"/>
  <c r="AF784" i="25"/>
  <c r="Z784" i="25"/>
  <c r="Z126" i="16"/>
  <c r="K126" i="21"/>
  <c r="N126" i="21"/>
  <c r="Z748" i="16"/>
  <c r="K748" i="21"/>
  <c r="N748" i="21"/>
  <c r="AG602" i="25"/>
  <c r="AA602" i="25"/>
  <c r="AK44" i="9"/>
  <c r="AK44" i="23"/>
  <c r="AK44" i="8"/>
  <c r="AF685" i="25"/>
  <c r="Z685" i="25"/>
  <c r="N25" i="28"/>
  <c r="N97" i="28"/>
  <c r="AG1098" i="25"/>
  <c r="AA1098" i="25"/>
  <c r="AF848" i="16"/>
  <c r="Z848" i="16"/>
  <c r="AL32" i="9"/>
  <c r="AJ32" i="9"/>
  <c r="N876" i="21"/>
  <c r="K876" i="21"/>
  <c r="N1033" i="21"/>
  <c r="K1033" i="21"/>
  <c r="N143" i="28"/>
  <c r="N71" i="28"/>
  <c r="AC121" i="28"/>
  <c r="AC49" i="28"/>
  <c r="AF49" i="8"/>
  <c r="AP49" i="8"/>
  <c r="AF71" i="23"/>
  <c r="AP71" i="23"/>
  <c r="AG131" i="28"/>
  <c r="AG59" i="28"/>
  <c r="AL37" i="9"/>
  <c r="AJ37" i="9"/>
  <c r="AZ56" i="23"/>
  <c r="AX56" i="23"/>
  <c r="AE380" i="17"/>
  <c r="Z380" i="17"/>
  <c r="AF312" i="25"/>
  <c r="Z312" i="25"/>
  <c r="AF873" i="25"/>
  <c r="Z873" i="25"/>
  <c r="AG59" i="8"/>
  <c r="AF897" i="16"/>
  <c r="Z897" i="16"/>
  <c r="AF419" i="25"/>
  <c r="Z419" i="25"/>
  <c r="Z437" i="16"/>
  <c r="K437" i="21"/>
  <c r="N437" i="21"/>
  <c r="N81" i="28"/>
  <c r="N9" i="28"/>
  <c r="N1000" i="21"/>
  <c r="K1000" i="21"/>
  <c r="AE333" i="16"/>
  <c r="AF955" i="25"/>
  <c r="Z955" i="25"/>
  <c r="AF552" i="16"/>
  <c r="Z552" i="16"/>
  <c r="AF186" i="25"/>
  <c r="Z186" i="25"/>
  <c r="AG30" i="9"/>
  <c r="AE30" i="9"/>
  <c r="AO30" i="9"/>
  <c r="AG804" i="25"/>
  <c r="AA804" i="25"/>
  <c r="AG1116" i="25"/>
  <c r="AA1116" i="25"/>
  <c r="AF840" i="16"/>
  <c r="Z840" i="16"/>
  <c r="AF896" i="25"/>
  <c r="Z896" i="25"/>
  <c r="AO35" i="9"/>
  <c r="AE35" i="9"/>
  <c r="AG35" i="9"/>
  <c r="AG120" i="25"/>
  <c r="AA120" i="25"/>
  <c r="N773" i="21"/>
  <c r="K773" i="21"/>
  <c r="AF78" i="25"/>
  <c r="Z78" i="25"/>
  <c r="Z262" i="16"/>
  <c r="K262" i="21"/>
  <c r="N262" i="21"/>
  <c r="Z20" i="16"/>
  <c r="K20" i="21"/>
  <c r="N20" i="21"/>
  <c r="AC139" i="28"/>
  <c r="AC67" i="28"/>
  <c r="AF67" i="8"/>
  <c r="AP67" i="8"/>
  <c r="AF92" i="16"/>
  <c r="AG384" i="25"/>
  <c r="AA384" i="25"/>
  <c r="AF62" i="9"/>
  <c r="AP62" i="9"/>
  <c r="Z352" i="16"/>
  <c r="AF352" i="16"/>
  <c r="N849" i="21"/>
  <c r="K849" i="21"/>
  <c r="N84" i="28"/>
  <c r="N12" i="28"/>
  <c r="AF373" i="25"/>
  <c r="Z373" i="25"/>
  <c r="AF47" i="9"/>
  <c r="AP47" i="9"/>
  <c r="M104" i="21"/>
  <c r="J104" i="21"/>
  <c r="AE160" i="16"/>
  <c r="AF26" i="23"/>
  <c r="AP26" i="23"/>
  <c r="AD101" i="17"/>
  <c r="Y101" i="17"/>
  <c r="AE89" i="17"/>
  <c r="Z89" i="17"/>
  <c r="AE10" i="21"/>
  <c r="AE335" i="17"/>
  <c r="Z335" i="17"/>
  <c r="AF29" i="9"/>
  <c r="AP29" i="9"/>
  <c r="AE96" i="17"/>
  <c r="Z96" i="17"/>
  <c r="AK44" i="6"/>
  <c r="AK44" i="7"/>
  <c r="AG44" i="28"/>
  <c r="AG116" i="28"/>
  <c r="AF358" i="25"/>
  <c r="Z358" i="25"/>
  <c r="AE296" i="17"/>
  <c r="Z296" i="17"/>
  <c r="AE12" i="25"/>
  <c r="Y12" i="25"/>
  <c r="U24" i="33"/>
  <c r="R24" i="33"/>
  <c r="AG37" i="9"/>
  <c r="AE37" i="9"/>
  <c r="AO37" i="9"/>
  <c r="AG745" i="25"/>
  <c r="AA745" i="25"/>
  <c r="N568" i="21"/>
  <c r="K568" i="21"/>
  <c r="AE405" i="16"/>
  <c r="N280" i="21"/>
  <c r="K280" i="21"/>
  <c r="AL46" i="7"/>
  <c r="AF735" i="25"/>
  <c r="Z735" i="25"/>
  <c r="AF449" i="16"/>
  <c r="AF148" i="25"/>
  <c r="Z148" i="25"/>
  <c r="N522" i="21"/>
  <c r="K522" i="21"/>
  <c r="AE406" i="25"/>
  <c r="Y406" i="25"/>
  <c r="AG962" i="25"/>
  <c r="AA962" i="25"/>
  <c r="AG1078" i="25"/>
  <c r="AA1078" i="25"/>
  <c r="AF1070" i="25"/>
  <c r="Z1070" i="25"/>
  <c r="M199" i="21"/>
  <c r="J199" i="21"/>
  <c r="AF1056" i="25"/>
  <c r="Z1056" i="25"/>
  <c r="AK46" i="23"/>
  <c r="AK46" i="9"/>
  <c r="AK46" i="8"/>
  <c r="N26" i="9"/>
  <c r="T26" i="9"/>
  <c r="AM26" i="9"/>
  <c r="AO16" i="23"/>
  <c r="AE16" i="23"/>
  <c r="AG16" i="23"/>
  <c r="AE177" i="16"/>
  <c r="Y177" i="16"/>
  <c r="AG729" i="25"/>
  <c r="AA729" i="25"/>
  <c r="N431" i="21"/>
  <c r="K431" i="21"/>
  <c r="AL44" i="23"/>
  <c r="AJ44" i="23"/>
  <c r="N1124" i="21"/>
  <c r="K1124" i="21"/>
  <c r="AO52" i="9"/>
  <c r="AE52" i="9"/>
  <c r="AG52" i="9"/>
  <c r="AG892" i="25"/>
  <c r="AA892" i="25"/>
  <c r="AG227" i="25"/>
  <c r="AA227" i="25"/>
  <c r="N1041" i="21"/>
  <c r="K1041" i="21"/>
  <c r="AL45" i="23"/>
  <c r="AJ45" i="23"/>
  <c r="AM60" i="7"/>
  <c r="AX60" i="23"/>
  <c r="AZ60" i="23"/>
  <c r="M130" i="21"/>
  <c r="J130" i="21"/>
  <c r="AF698" i="25"/>
  <c r="Z698" i="25"/>
  <c r="AE86" i="17"/>
  <c r="Z86" i="17"/>
  <c r="AG1117" i="25"/>
  <c r="AA1117" i="25"/>
  <c r="Y616" i="16"/>
  <c r="AE616" i="16"/>
  <c r="AE133" i="25"/>
  <c r="Y133" i="25"/>
  <c r="M184" i="21"/>
  <c r="J184" i="21"/>
  <c r="AB116" i="28"/>
  <c r="AB44" i="28"/>
  <c r="AE129" i="17"/>
  <c r="Z129" i="17"/>
  <c r="Z1044" i="16"/>
  <c r="AF1044" i="16"/>
  <c r="I25" i="33"/>
  <c r="I26" i="33"/>
  <c r="F25" i="33"/>
  <c r="F26" i="33"/>
  <c r="Z1014" i="16"/>
  <c r="AF1014" i="16"/>
  <c r="AG747" i="25"/>
  <c r="AA747" i="25"/>
  <c r="AF806" i="16"/>
  <c r="Z806" i="16"/>
  <c r="AG67" i="23"/>
  <c r="AE67" i="23"/>
  <c r="AO67" i="23"/>
  <c r="AG9" i="9"/>
  <c r="AE9" i="9"/>
  <c r="AO9" i="9"/>
  <c r="AM67" i="9"/>
  <c r="T67" i="9"/>
  <c r="N67" i="9"/>
  <c r="Z92" i="16"/>
  <c r="K92" i="21"/>
  <c r="N92" i="21"/>
  <c r="AF383" i="25"/>
  <c r="Z383" i="25"/>
  <c r="AE120" i="16"/>
  <c r="M476" i="21"/>
  <c r="J476" i="21"/>
  <c r="N809" i="21"/>
  <c r="K809" i="21"/>
  <c r="AF655" i="25"/>
  <c r="Z655" i="25"/>
  <c r="N884" i="21"/>
  <c r="K884" i="21"/>
  <c r="AE265" i="17"/>
  <c r="Z265" i="17"/>
  <c r="AG974" i="25"/>
  <c r="AA974" i="25"/>
  <c r="AP33" i="8"/>
  <c r="AF33" i="8"/>
  <c r="AC33" i="28"/>
  <c r="AC105" i="28"/>
  <c r="N66" i="9"/>
  <c r="T66" i="9"/>
  <c r="AM66" i="9"/>
  <c r="AL67" i="8"/>
  <c r="AJ67" i="8"/>
  <c r="AF1136" i="25"/>
  <c r="Z1136" i="25"/>
  <c r="AG432" i="25"/>
  <c r="AA432" i="25"/>
  <c r="AF880" i="25"/>
  <c r="Z880" i="25"/>
  <c r="AF83" i="28"/>
  <c r="AF11" i="28"/>
  <c r="AF599" i="25"/>
  <c r="Z599" i="25"/>
  <c r="AF128" i="28"/>
  <c r="AF56" i="28"/>
  <c r="AG777" i="25"/>
  <c r="AA777" i="25"/>
  <c r="AG364" i="25"/>
  <c r="AA364" i="25"/>
  <c r="AF465" i="25"/>
  <c r="Z465" i="25"/>
  <c r="AE193" i="25"/>
  <c r="Y193" i="25"/>
  <c r="AF679" i="25"/>
  <c r="Z679" i="25"/>
  <c r="AF929" i="25"/>
  <c r="Z929" i="25"/>
  <c r="AF809" i="16"/>
  <c r="Z809" i="16"/>
  <c r="AD79" i="17"/>
  <c r="Y79" i="17"/>
  <c r="AD10" i="17"/>
  <c r="Y10" i="17"/>
  <c r="M416" i="21"/>
  <c r="J416" i="21"/>
  <c r="AF430" i="16"/>
  <c r="AF593" i="25"/>
  <c r="Z593" i="25"/>
  <c r="N172" i="21"/>
  <c r="K172" i="21"/>
  <c r="AF1081" i="25"/>
  <c r="Z1081" i="25"/>
  <c r="N474" i="21"/>
  <c r="K474" i="21"/>
  <c r="U14" i="33"/>
  <c r="AM52" i="7"/>
  <c r="R14" i="33"/>
  <c r="AC126" i="28"/>
  <c r="AC54" i="28"/>
  <c r="AF54" i="8"/>
  <c r="AP54" i="8"/>
  <c r="N892" i="21"/>
  <c r="K892" i="21"/>
  <c r="AF1105" i="25"/>
  <c r="Z1105" i="25"/>
  <c r="AM26" i="7"/>
  <c r="AX26" i="23"/>
  <c r="AZ26" i="23"/>
  <c r="AG512" i="25"/>
  <c r="AA512" i="25"/>
  <c r="Y405" i="16"/>
  <c r="J405" i="21"/>
  <c r="M405" i="21"/>
  <c r="AP17" i="8"/>
  <c r="AF17" i="8"/>
  <c r="AC17" i="28"/>
  <c r="AC89" i="28"/>
  <c r="AJ46" i="7"/>
  <c r="AJ46" i="9"/>
  <c r="AL46" i="9"/>
  <c r="Z431" i="16"/>
  <c r="AF431" i="16"/>
  <c r="AF36" i="25"/>
  <c r="Z36" i="25"/>
  <c r="AG56" i="23"/>
  <c r="AE56" i="23"/>
  <c r="AO56" i="23"/>
  <c r="AE158" i="16"/>
  <c r="AE171" i="25"/>
  <c r="Y171" i="25"/>
  <c r="AG880" i="25"/>
  <c r="AA880" i="25"/>
  <c r="F49" i="22"/>
  <c r="D49" i="22"/>
  <c r="G49" i="22"/>
  <c r="AK46" i="6"/>
  <c r="AK46" i="7"/>
  <c r="AG46" i="28"/>
  <c r="AG118" i="28"/>
  <c r="Z280" i="16"/>
  <c r="AF280" i="16"/>
  <c r="AF948" i="25"/>
  <c r="Z948" i="25"/>
  <c r="AZ43" i="23"/>
  <c r="AX43" i="23"/>
  <c r="AE641" i="25"/>
  <c r="Y641" i="25"/>
  <c r="AE316" i="17"/>
  <c r="Z316" i="17"/>
  <c r="AE46" i="17"/>
  <c r="Z46" i="17"/>
  <c r="AM65" i="23"/>
  <c r="T65" i="23"/>
  <c r="N65" i="23"/>
  <c r="N804" i="21"/>
  <c r="K804" i="21"/>
  <c r="AE347" i="17"/>
  <c r="Z347" i="17"/>
  <c r="AF591" i="16"/>
  <c r="Z591" i="16"/>
  <c r="AF1135" i="25"/>
  <c r="Z1135" i="25"/>
  <c r="AE400" i="25"/>
  <c r="Y400" i="25"/>
  <c r="AC78" i="28"/>
  <c r="AC6" i="28"/>
  <c r="AF6" i="8"/>
  <c r="AP6" i="8"/>
  <c r="AF654" i="25"/>
  <c r="Z654" i="25"/>
  <c r="AE323" i="17"/>
  <c r="Z323" i="17"/>
  <c r="AG818" i="25"/>
  <c r="AA818" i="25"/>
  <c r="Y120" i="16"/>
  <c r="J120" i="21"/>
  <c r="M120" i="21"/>
  <c r="S7" i="21"/>
  <c r="Y7" i="21"/>
  <c r="AG7" i="21"/>
  <c r="AG1057" i="25"/>
  <c r="AA1057" i="25"/>
  <c r="AD144" i="17"/>
  <c r="Y144" i="17"/>
  <c r="AG563" i="25"/>
  <c r="AA563" i="25"/>
  <c r="AG225" i="25"/>
  <c r="AA225" i="25"/>
  <c r="AF751" i="25"/>
  <c r="Z751" i="25"/>
  <c r="AE274" i="17"/>
  <c r="Z274" i="17"/>
  <c r="AP73" i="8"/>
  <c r="AP75" i="8"/>
  <c r="AF13" i="8"/>
  <c r="AC13" i="28"/>
  <c r="AC85" i="28"/>
  <c r="N27" i="8"/>
  <c r="T27" i="8"/>
  <c r="AM27" i="8"/>
  <c r="AK28" i="9"/>
  <c r="AK28" i="8"/>
  <c r="AK28" i="7"/>
  <c r="AK28" i="23"/>
  <c r="Y476" i="16"/>
  <c r="AE476" i="16"/>
  <c r="AL63" i="23"/>
  <c r="AJ63" i="23"/>
  <c r="AE359" i="17"/>
  <c r="Z359" i="17"/>
  <c r="AP5" i="9"/>
  <c r="AF5" i="9"/>
  <c r="AP28" i="9"/>
  <c r="AF28" i="9"/>
  <c r="AL66" i="9"/>
  <c r="AJ66" i="9"/>
  <c r="M573" i="21"/>
  <c r="J573" i="21"/>
  <c r="AF1006" i="16"/>
  <c r="AF317" i="16"/>
  <c r="M204" i="21"/>
  <c r="J204" i="21"/>
  <c r="AE10" i="25"/>
  <c r="Y10" i="25"/>
  <c r="AF1055" i="25"/>
  <c r="Z1055" i="25"/>
  <c r="AB14" i="24"/>
  <c r="AL14" i="24"/>
  <c r="AI14" i="24"/>
  <c r="AC131" i="28"/>
  <c r="AC59" i="28"/>
  <c r="AF59" i="8"/>
  <c r="AP59" i="8"/>
  <c r="Z430" i="16"/>
  <c r="K430" i="21"/>
  <c r="N430" i="21"/>
  <c r="AF651" i="16"/>
  <c r="N673" i="21"/>
  <c r="K673" i="21"/>
  <c r="Y104" i="16"/>
  <c r="AE104" i="16"/>
  <c r="AE32" i="25"/>
  <c r="Y32" i="25"/>
  <c r="AG313" i="25"/>
  <c r="AA313" i="25"/>
  <c r="AG1079" i="25"/>
  <c r="AA1079" i="25"/>
  <c r="AE326" i="17"/>
  <c r="Z326" i="17"/>
  <c r="AG279" i="25"/>
  <c r="AA279" i="25"/>
  <c r="N38" i="28"/>
  <c r="N110" i="28"/>
  <c r="AG839" i="25"/>
  <c r="AA839" i="25"/>
  <c r="AF27" i="16"/>
  <c r="AG1107" i="25"/>
  <c r="AA1107" i="25"/>
  <c r="AG181" i="25"/>
  <c r="AA181" i="25"/>
  <c r="AE322" i="17"/>
  <c r="Z322" i="17"/>
  <c r="AG1023" i="25"/>
  <c r="AA1023" i="25"/>
  <c r="M194" i="21"/>
  <c r="J194" i="21"/>
  <c r="N272" i="21"/>
  <c r="K272" i="21"/>
  <c r="N62" i="6"/>
  <c r="N62" i="7"/>
  <c r="T62" i="7"/>
  <c r="AO62" i="23"/>
  <c r="AE62" i="23"/>
  <c r="AG62" i="23"/>
  <c r="AE236" i="25"/>
  <c r="Y236" i="25"/>
  <c r="Y158" i="16"/>
  <c r="J158" i="21"/>
  <c r="M158" i="21"/>
  <c r="AF71" i="9"/>
  <c r="AP71" i="9"/>
  <c r="AF4" i="16"/>
  <c r="N17" i="23"/>
  <c r="T17" i="23"/>
  <c r="AM17" i="23"/>
  <c r="AF317" i="25"/>
  <c r="Z317" i="25"/>
  <c r="AL58" i="8"/>
  <c r="AJ58" i="8"/>
  <c r="AG507" i="25"/>
  <c r="AA507" i="25"/>
  <c r="AF857" i="16"/>
  <c r="Z857" i="16"/>
  <c r="AD77" i="17"/>
  <c r="Y77" i="17"/>
  <c r="N139" i="21"/>
  <c r="K139" i="21"/>
  <c r="AF597" i="16"/>
  <c r="AK38" i="9"/>
  <c r="AK38" i="23"/>
  <c r="AK38" i="8"/>
  <c r="AF430" i="25"/>
  <c r="Z430" i="25"/>
  <c r="AG969" i="25"/>
  <c r="AA969" i="25"/>
  <c r="AF589" i="25"/>
  <c r="Z589" i="25"/>
  <c r="AF551" i="25"/>
  <c r="Z551" i="25"/>
  <c r="AM57" i="23"/>
  <c r="T57" i="23"/>
  <c r="N57" i="23"/>
  <c r="AD108" i="17"/>
  <c r="Y108" i="17"/>
  <c r="N24" i="9"/>
  <c r="T24" i="9"/>
  <c r="AM24" i="9"/>
  <c r="AL49" i="9"/>
  <c r="AJ49" i="9"/>
  <c r="Z1006" i="16"/>
  <c r="K1006" i="21"/>
  <c r="N1006" i="21"/>
  <c r="AE388" i="25"/>
  <c r="Y388" i="25"/>
  <c r="M176" i="21"/>
  <c r="J176" i="21"/>
  <c r="N938" i="21"/>
  <c r="K938" i="21"/>
  <c r="AG1014" i="25"/>
  <c r="AA1014" i="25"/>
  <c r="Z317" i="16"/>
  <c r="K317" i="21"/>
  <c r="N317" i="21"/>
  <c r="AE39" i="17"/>
  <c r="Z39" i="17"/>
  <c r="Y204" i="16"/>
  <c r="AE204" i="16"/>
  <c r="AE535" i="16"/>
  <c r="Y535" i="16"/>
  <c r="AF1109" i="25"/>
  <c r="Z1109" i="25"/>
  <c r="AF366" i="16"/>
  <c r="AD21" i="17"/>
  <c r="Y21" i="17"/>
  <c r="N676" i="21"/>
  <c r="K676" i="21"/>
  <c r="AE643" i="25"/>
  <c r="Y643" i="25"/>
  <c r="AE610" i="25"/>
  <c r="Y610" i="25"/>
  <c r="AF825" i="25"/>
  <c r="Z825" i="25"/>
  <c r="Z987" i="16"/>
  <c r="AF987" i="16"/>
  <c r="AF463" i="25"/>
  <c r="Z463" i="25"/>
  <c r="AL64" i="7"/>
  <c r="AF97" i="28"/>
  <c r="AF25" i="28"/>
  <c r="Z27" i="16"/>
  <c r="K27" i="21"/>
  <c r="N27" i="21"/>
  <c r="AG980" i="25"/>
  <c r="AA980" i="25"/>
  <c r="AF752" i="25"/>
  <c r="Z752" i="25"/>
  <c r="AG1015" i="25"/>
  <c r="AA1015" i="25"/>
  <c r="Z272" i="16"/>
  <c r="AF272" i="16"/>
  <c r="AG710" i="25"/>
  <c r="AA710" i="25"/>
  <c r="AF230" i="25"/>
  <c r="Z230" i="25"/>
  <c r="AO17" i="23"/>
  <c r="AE17" i="23"/>
  <c r="AG17" i="23"/>
  <c r="AF924" i="25"/>
  <c r="Z924" i="25"/>
  <c r="AG86" i="28"/>
  <c r="AG14" i="28"/>
  <c r="AF1114" i="25"/>
  <c r="Z1114" i="25"/>
  <c r="AE363" i="17"/>
  <c r="Z363" i="17"/>
  <c r="Z4" i="16"/>
  <c r="K4" i="21"/>
  <c r="N4" i="21"/>
  <c r="AF155" i="16"/>
  <c r="AF604" i="25"/>
  <c r="Z604" i="25"/>
  <c r="AF620" i="25"/>
  <c r="Z620" i="25"/>
  <c r="AM6" i="8"/>
  <c r="T6" i="8"/>
  <c r="N6" i="8"/>
  <c r="AG434" i="25"/>
  <c r="AA434" i="25"/>
  <c r="AL48" i="23"/>
  <c r="AJ48" i="23"/>
  <c r="L91" i="6"/>
  <c r="AM49" i="9"/>
  <c r="T49" i="9"/>
  <c r="N49" i="9"/>
  <c r="N944" i="21"/>
  <c r="K944" i="21"/>
  <c r="AB82" i="28"/>
  <c r="AB10" i="28"/>
  <c r="AK38" i="6"/>
  <c r="AK38" i="7"/>
  <c r="AG38" i="28"/>
  <c r="AG110" i="28"/>
  <c r="AE236" i="17"/>
  <c r="Z236" i="17"/>
  <c r="AF1041" i="25"/>
  <c r="Z1041" i="25"/>
  <c r="AC91" i="28"/>
  <c r="AC19" i="28"/>
  <c r="AF19" i="8"/>
  <c r="AP19" i="8"/>
  <c r="N590" i="21"/>
  <c r="K590" i="21"/>
  <c r="AE115" i="17"/>
  <c r="Z115" i="17"/>
  <c r="N326" i="21"/>
  <c r="K326" i="21"/>
  <c r="AL28" i="8"/>
  <c r="AJ28" i="8"/>
  <c r="AL69" i="7"/>
  <c r="AF526" i="25"/>
  <c r="Z526" i="25"/>
  <c r="AF955" i="16"/>
  <c r="Z1055" i="16"/>
  <c r="AF1055" i="16"/>
  <c r="AK34" i="23"/>
  <c r="AK34" i="9"/>
  <c r="AK34" i="8"/>
  <c r="Y392" i="16"/>
  <c r="AE392" i="16"/>
  <c r="N839" i="21"/>
  <c r="K839" i="21"/>
  <c r="AF913" i="25"/>
  <c r="Z913" i="25"/>
  <c r="AF1118" i="25"/>
  <c r="Z1118" i="25"/>
  <c r="Z938" i="16"/>
  <c r="AF938" i="16"/>
  <c r="Z978" i="16"/>
  <c r="AF978" i="16"/>
  <c r="AG442" i="25"/>
  <c r="AA442" i="25"/>
  <c r="AF1039" i="16"/>
  <c r="AG1128" i="25"/>
  <c r="AA1128" i="25"/>
  <c r="AF138" i="25"/>
  <c r="Z138" i="25"/>
  <c r="R19" i="33"/>
  <c r="AM56" i="7"/>
  <c r="U19" i="33"/>
  <c r="AG532" i="25"/>
  <c r="AA532" i="25"/>
  <c r="AL20" i="8"/>
  <c r="AJ20" i="8"/>
  <c r="AE537" i="25"/>
  <c r="Y537" i="25"/>
  <c r="E10" i="33"/>
  <c r="H12" i="33"/>
  <c r="H10" i="33"/>
  <c r="E12" i="33"/>
  <c r="Z960" i="16"/>
  <c r="AF960" i="16"/>
  <c r="AE30" i="17"/>
  <c r="Z30" i="17"/>
  <c r="AG887" i="25"/>
  <c r="AA887" i="25"/>
  <c r="AF1069" i="25"/>
  <c r="Z1069" i="25"/>
  <c r="AO40" i="9"/>
  <c r="AE40" i="9"/>
  <c r="AG40" i="9"/>
  <c r="AE176" i="25"/>
  <c r="Y176" i="25"/>
  <c r="AE36" i="17"/>
  <c r="Z36" i="17"/>
  <c r="Z679" i="16"/>
  <c r="AF679" i="16"/>
  <c r="AK69" i="9"/>
  <c r="AK69" i="8"/>
  <c r="AK69" i="23"/>
  <c r="F49" i="5"/>
  <c r="AM73" i="9"/>
  <c r="F48" i="5"/>
  <c r="N117" i="28"/>
  <c r="N45" i="28"/>
  <c r="AF22" i="25"/>
  <c r="Z22" i="25"/>
  <c r="N1126" i="21"/>
  <c r="K1126" i="21"/>
  <c r="AF834" i="16"/>
  <c r="Z834" i="16"/>
  <c r="AF714" i="25"/>
  <c r="Z714" i="25"/>
  <c r="AF12" i="9"/>
  <c r="AP12" i="9"/>
  <c r="AF813" i="25"/>
  <c r="Z813" i="25"/>
  <c r="AF53" i="9"/>
  <c r="AP53" i="9"/>
  <c r="AG949" i="25"/>
  <c r="AA949" i="25"/>
  <c r="AG879" i="25"/>
  <c r="AA879" i="25"/>
  <c r="Y149" i="16"/>
  <c r="AE149" i="16"/>
  <c r="AF182" i="25"/>
  <c r="Z182" i="25"/>
  <c r="AF173" i="25"/>
  <c r="Z173" i="25"/>
  <c r="AJ64" i="7"/>
  <c r="AJ64" i="9"/>
  <c r="AL64" i="9"/>
  <c r="AG1151" i="25"/>
  <c r="AA1151" i="25"/>
  <c r="AF799" i="25"/>
  <c r="Z799" i="25"/>
  <c r="N354" i="21"/>
  <c r="K354" i="21"/>
  <c r="AG937" i="25"/>
  <c r="AA937" i="25"/>
  <c r="AG967" i="25"/>
  <c r="AA967" i="25"/>
  <c r="T73" i="7"/>
  <c r="AE238" i="16"/>
  <c r="AF938" i="25"/>
  <c r="Z938" i="25"/>
  <c r="AE129" i="25"/>
  <c r="Y129" i="25"/>
  <c r="AM47" i="9"/>
  <c r="T47" i="9"/>
  <c r="N47" i="9"/>
  <c r="AE73" i="8"/>
  <c r="AG5" i="8"/>
  <c r="Z905" i="25"/>
  <c r="AF905" i="25"/>
  <c r="AK8" i="25"/>
  <c r="AL8" i="25"/>
  <c r="AF783" i="25"/>
  <c r="Z783" i="25"/>
  <c r="AG291" i="25"/>
  <c r="AA291" i="25"/>
  <c r="AL5" i="8"/>
  <c r="AJ5" i="8"/>
  <c r="AJ73" i="8"/>
  <c r="AE204" i="25"/>
  <c r="Y204" i="25"/>
  <c r="AF896" i="16"/>
  <c r="Z896" i="16"/>
  <c r="N780" i="21"/>
  <c r="K780" i="21"/>
  <c r="Y194" i="16"/>
  <c r="AE194" i="16"/>
  <c r="AE41" i="17"/>
  <c r="Z41" i="17"/>
  <c r="N94" i="21"/>
  <c r="K94" i="21"/>
  <c r="AL56" i="23"/>
  <c r="AJ56" i="23"/>
  <c r="N21" i="8"/>
  <c r="T21" i="8"/>
  <c r="AM21" i="8"/>
  <c r="AG976" i="25"/>
  <c r="AA976" i="25"/>
  <c r="N725" i="21"/>
  <c r="K725" i="21"/>
  <c r="AF974" i="16"/>
  <c r="Z326" i="16"/>
  <c r="AF326" i="16"/>
  <c r="AJ69" i="7"/>
  <c r="AF69" i="28"/>
  <c r="AF141" i="28"/>
  <c r="AG592" i="25"/>
  <c r="AA592" i="25"/>
  <c r="Y51" i="16"/>
  <c r="J51" i="21"/>
  <c r="M51" i="21"/>
  <c r="AF1138" i="16"/>
  <c r="Z1138" i="16"/>
  <c r="N1021" i="21"/>
  <c r="K1021" i="21"/>
  <c r="Z955" i="16"/>
  <c r="K955" i="21"/>
  <c r="N955" i="21"/>
  <c r="AK34" i="6"/>
  <c r="AK34" i="7"/>
  <c r="AG34" i="28"/>
  <c r="AG106" i="28"/>
  <c r="AE181" i="25"/>
  <c r="Y181" i="25"/>
  <c r="AG941" i="25"/>
  <c r="AA941" i="25"/>
  <c r="Z1039" i="16"/>
  <c r="K1039" i="21"/>
  <c r="N1039" i="21"/>
  <c r="AE401" i="25"/>
  <c r="Y401" i="25"/>
  <c r="AJ11" i="7"/>
  <c r="AL11" i="7"/>
  <c r="Y416" i="16"/>
  <c r="AE416" i="16"/>
  <c r="AE578" i="16"/>
  <c r="Y578" i="16"/>
  <c r="AL39" i="23"/>
  <c r="AJ39" i="23"/>
  <c r="AO44" i="8"/>
  <c r="AE44" i="8"/>
  <c r="AG44" i="8"/>
  <c r="M36" i="21"/>
  <c r="J36" i="21"/>
  <c r="AD99" i="17"/>
  <c r="Y99" i="17"/>
  <c r="AM10" i="7"/>
  <c r="G11" i="22"/>
  <c r="I11" i="22"/>
  <c r="AF1091" i="25"/>
  <c r="Z1091" i="25"/>
  <c r="AF701" i="25"/>
  <c r="Z701" i="25"/>
  <c r="AF873" i="16"/>
  <c r="Z873" i="16"/>
  <c r="AD40" i="17"/>
  <c r="Y40" i="17"/>
  <c r="AF1085" i="25"/>
  <c r="Z1085" i="25"/>
  <c r="AF903" i="16"/>
  <c r="Z903" i="16"/>
  <c r="AG841" i="25"/>
  <c r="AA841" i="25"/>
  <c r="AF256" i="25"/>
  <c r="Z256" i="25"/>
  <c r="AF152" i="25"/>
  <c r="Z152" i="25"/>
  <c r="Z621" i="16"/>
  <c r="AF621" i="16"/>
  <c r="AE397" i="17"/>
  <c r="Z397" i="17"/>
  <c r="AK29" i="23"/>
  <c r="AK29" i="8"/>
  <c r="AK29" i="6"/>
  <c r="AK29" i="7"/>
  <c r="AK29" i="9"/>
  <c r="AL52" i="23"/>
  <c r="AJ52" i="23"/>
  <c r="AF780" i="16"/>
  <c r="Z780" i="16"/>
  <c r="AF627" i="25"/>
  <c r="Z627" i="25"/>
  <c r="AG501" i="25"/>
  <c r="AA501" i="25"/>
  <c r="Z14" i="16"/>
  <c r="AF14" i="16"/>
  <c r="AF988" i="25"/>
  <c r="Z988" i="25"/>
  <c r="AK69" i="6"/>
  <c r="AK69" i="7"/>
  <c r="AG69" i="28"/>
  <c r="AG141" i="28"/>
  <c r="AE580" i="25"/>
  <c r="Y580" i="25"/>
  <c r="AV5" i="25"/>
  <c r="AU5" i="25"/>
  <c r="AZ40" i="23"/>
  <c r="AX40" i="23"/>
  <c r="AG545" i="25"/>
  <c r="AA545" i="25"/>
  <c r="Z1126" i="16"/>
  <c r="AF1126" i="16"/>
  <c r="Z1070" i="16"/>
  <c r="AF1070" i="16"/>
  <c r="AV8" i="16"/>
  <c r="AU8" i="16"/>
  <c r="AF566" i="16"/>
  <c r="Z566" i="16"/>
  <c r="AO41" i="8"/>
  <c r="AE41" i="8"/>
  <c r="AG41" i="8"/>
  <c r="AZ27" i="23"/>
  <c r="AX27" i="23"/>
  <c r="AF723" i="25"/>
  <c r="Z723" i="25"/>
  <c r="AF1052" i="25"/>
  <c r="Z1052" i="25"/>
  <c r="AF119" i="16"/>
  <c r="AE118" i="17"/>
  <c r="Z118" i="17"/>
  <c r="AE332" i="25"/>
  <c r="Y332" i="25"/>
  <c r="S14" i="30"/>
  <c r="S9" i="30"/>
  <c r="S15" i="30"/>
  <c r="Z1156" i="16"/>
  <c r="AF1156" i="16"/>
  <c r="AF936" i="25"/>
  <c r="Z936" i="25"/>
  <c r="Z449" i="16"/>
  <c r="K449" i="21"/>
  <c r="N449" i="21"/>
  <c r="AG682" i="25"/>
  <c r="AA682" i="25"/>
  <c r="AE148" i="25"/>
  <c r="Y148" i="25"/>
  <c r="AE303" i="17"/>
  <c r="Z303" i="17"/>
  <c r="AE292" i="17"/>
  <c r="Z292" i="17"/>
  <c r="AF321" i="25"/>
  <c r="Z321" i="25"/>
  <c r="Y238" i="16"/>
  <c r="J238" i="21"/>
  <c r="M238" i="21"/>
  <c r="N818" i="21"/>
  <c r="K818" i="21"/>
  <c r="AE125" i="25"/>
  <c r="Y125" i="25"/>
  <c r="N57" i="9"/>
  <c r="T57" i="9"/>
  <c r="AM57" i="9"/>
  <c r="Z354" i="16"/>
  <c r="AF354" i="16"/>
  <c r="AK70" i="9"/>
  <c r="AK70" i="8"/>
  <c r="AK70" i="6"/>
  <c r="AK70" i="7"/>
  <c r="AK70" i="23"/>
  <c r="Y169" i="16"/>
  <c r="AE169" i="16"/>
  <c r="Z155" i="16"/>
  <c r="K155" i="21"/>
  <c r="N155" i="21"/>
  <c r="AO59" i="8"/>
  <c r="AE59" i="8"/>
  <c r="AB59" i="28"/>
  <c r="AB131" i="28"/>
  <c r="AE73" i="9"/>
  <c r="AG5" i="9"/>
  <c r="AO5" i="9"/>
  <c r="AE5" i="9"/>
  <c r="AF928" i="16"/>
  <c r="AF78" i="23"/>
  <c r="AM73" i="23"/>
  <c r="AE78" i="23"/>
  <c r="N1034" i="21"/>
  <c r="K1034" i="21"/>
  <c r="E9" i="33"/>
  <c r="H11" i="33"/>
  <c r="H9" i="33"/>
  <c r="E11" i="33"/>
  <c r="AF526" i="16"/>
  <c r="Z526" i="16"/>
  <c r="AF819" i="25"/>
  <c r="Z819" i="25"/>
  <c r="AL14" i="8"/>
  <c r="AJ14" i="8"/>
  <c r="AF142" i="28"/>
  <c r="AF70" i="28"/>
  <c r="Z1108" i="16"/>
  <c r="AF1108" i="16"/>
  <c r="N1137" i="21"/>
  <c r="K1137" i="21"/>
  <c r="AF798" i="25"/>
  <c r="Z798" i="25"/>
  <c r="AF971" i="25"/>
  <c r="Z971" i="25"/>
  <c r="AG306" i="25"/>
  <c r="AA306" i="25"/>
  <c r="Z119" i="16"/>
  <c r="K119" i="21"/>
  <c r="N119" i="21"/>
  <c r="F10" i="33"/>
  <c r="F9" i="33"/>
  <c r="I10" i="33"/>
  <c r="I9" i="33"/>
  <c r="AF51" i="25"/>
  <c r="Z51" i="25"/>
  <c r="AF436" i="25"/>
  <c r="Z436" i="25"/>
  <c r="AG68" i="25"/>
  <c r="AA68" i="25"/>
  <c r="Z974" i="16"/>
  <c r="K974" i="21"/>
  <c r="N974" i="21"/>
  <c r="AK32" i="9"/>
  <c r="AK32" i="23"/>
  <c r="AK32" i="8"/>
  <c r="AF386" i="25"/>
  <c r="Z386" i="25"/>
  <c r="M613" i="21"/>
  <c r="J613" i="21"/>
  <c r="AO58" i="23"/>
  <c r="AE58" i="23"/>
  <c r="AG58" i="23"/>
  <c r="AM11" i="7"/>
  <c r="G12" i="22"/>
  <c r="I12" i="22"/>
  <c r="AF32" i="23"/>
  <c r="AP32" i="23"/>
  <c r="AF1090" i="25"/>
  <c r="Z1090" i="25"/>
  <c r="AL70" i="23"/>
  <c r="AJ70" i="23"/>
  <c r="AJ56" i="7"/>
  <c r="AL56" i="7"/>
  <c r="N37" i="8"/>
  <c r="T37" i="8"/>
  <c r="AM37" i="8"/>
  <c r="AG864" i="25"/>
  <c r="AA864" i="25"/>
  <c r="AG824" i="25"/>
  <c r="AA824" i="25"/>
  <c r="Y333" i="16"/>
  <c r="J333" i="21"/>
  <c r="M333" i="21"/>
  <c r="AF906" i="25"/>
  <c r="Z906" i="25"/>
  <c r="AO52" i="23"/>
  <c r="AE52" i="23"/>
  <c r="AG52" i="23"/>
  <c r="AF79" i="28"/>
  <c r="AF7" i="28"/>
  <c r="AG910" i="25"/>
  <c r="AA910" i="25"/>
  <c r="Z366" i="16"/>
  <c r="K366" i="21"/>
  <c r="N366" i="21"/>
  <c r="Z651" i="16"/>
  <c r="K651" i="21"/>
  <c r="N651" i="21"/>
  <c r="AF908" i="25"/>
  <c r="Z908" i="25"/>
  <c r="Z725" i="16"/>
  <c r="AF725" i="16"/>
  <c r="N581" i="21"/>
  <c r="K581" i="21"/>
  <c r="Z928" i="16"/>
  <c r="K928" i="21"/>
  <c r="N928" i="21"/>
  <c r="AF891" i="25"/>
  <c r="Z891" i="25"/>
  <c r="N931" i="21"/>
  <c r="K931" i="21"/>
  <c r="AF888" i="16"/>
  <c r="Z888" i="16"/>
  <c r="AC113" i="28"/>
  <c r="AC41" i="28"/>
  <c r="AF41" i="8"/>
  <c r="AP41" i="8"/>
  <c r="N101" i="28"/>
  <c r="N29" i="28"/>
  <c r="AF688" i="25"/>
  <c r="Z688" i="25"/>
  <c r="AJ5" i="17"/>
  <c r="AD50" i="17"/>
  <c r="Y50" i="17"/>
  <c r="Y199" i="16"/>
  <c r="AE199" i="16"/>
  <c r="AE497" i="25"/>
  <c r="Y497" i="25"/>
  <c r="AM27" i="9"/>
  <c r="T27" i="9"/>
  <c r="N27" i="9"/>
  <c r="AG37" i="23"/>
  <c r="AE37" i="23"/>
  <c r="AO37" i="23"/>
  <c r="AG511" i="25"/>
  <c r="AA511" i="25"/>
  <c r="AG826" i="25"/>
  <c r="AA826" i="25"/>
  <c r="AE331" i="25"/>
  <c r="Y331" i="25"/>
  <c r="AG43" i="23"/>
  <c r="AE43" i="23"/>
  <c r="AO43" i="23"/>
  <c r="AG146" i="25"/>
  <c r="AA146" i="25"/>
  <c r="AG6" i="23"/>
  <c r="AE6" i="23"/>
  <c r="AO6" i="23"/>
  <c r="N1138" i="21"/>
  <c r="K1138" i="21"/>
  <c r="AG1052" i="25"/>
  <c r="AA1052" i="25"/>
  <c r="AG375" i="25"/>
  <c r="AA375" i="25"/>
  <c r="N689" i="21"/>
  <c r="K689" i="21"/>
  <c r="M127" i="21"/>
  <c r="J127" i="21"/>
  <c r="AG1126" i="25"/>
  <c r="AA1126" i="25"/>
  <c r="AE311" i="17"/>
  <c r="Z311" i="17"/>
  <c r="N362" i="21"/>
  <c r="K362" i="21"/>
  <c r="AF953" i="25"/>
  <c r="Z953" i="25"/>
  <c r="M70" i="21"/>
  <c r="J70" i="21"/>
  <c r="AE196" i="17"/>
  <c r="Z196" i="17"/>
  <c r="AC135" i="28"/>
  <c r="AC63" i="28"/>
  <c r="AF63" i="8"/>
  <c r="AP63" i="8"/>
  <c r="AG775" i="25"/>
  <c r="AA775" i="25"/>
  <c r="AF821" i="25"/>
  <c r="Z821" i="25"/>
  <c r="AE116" i="25"/>
  <c r="Y116" i="25"/>
  <c r="AE408" i="25"/>
  <c r="Y408" i="25"/>
  <c r="AE83" i="25"/>
  <c r="Y83" i="25"/>
  <c r="I17" i="22"/>
  <c r="G17" i="22"/>
  <c r="N625" i="21"/>
  <c r="K625" i="21"/>
  <c r="AG528" i="25"/>
  <c r="AA528" i="25"/>
  <c r="AF43" i="9"/>
  <c r="AP43" i="9"/>
  <c r="AF95" i="28"/>
  <c r="AF23" i="28"/>
  <c r="AE390" i="25"/>
  <c r="Y390" i="25"/>
  <c r="AF805" i="25"/>
  <c r="Z805" i="25"/>
  <c r="AG110" i="25"/>
  <c r="AA110" i="25"/>
  <c r="AF314" i="25"/>
  <c r="Z314" i="25"/>
  <c r="AF893" i="16"/>
  <c r="Z893" i="16"/>
  <c r="N790" i="21"/>
  <c r="K790" i="21"/>
  <c r="AF856" i="16"/>
  <c r="Z856" i="16"/>
  <c r="AE247" i="17"/>
  <c r="Z247" i="17"/>
  <c r="AE109" i="25"/>
  <c r="Y109" i="25"/>
  <c r="AE242" i="17"/>
  <c r="Z242" i="17"/>
  <c r="AF932" i="25"/>
  <c r="Z932" i="25"/>
  <c r="AL42" i="8"/>
  <c r="AJ42" i="8"/>
  <c r="N784" i="21"/>
  <c r="K784" i="21"/>
  <c r="I6" i="22"/>
  <c r="G6" i="22"/>
  <c r="AL67" i="9"/>
  <c r="AJ67" i="9"/>
  <c r="AF703" i="16"/>
  <c r="AF63" i="16"/>
  <c r="N683" i="21"/>
  <c r="K683" i="21"/>
  <c r="AL14" i="7"/>
  <c r="AC106" i="28"/>
  <c r="AC34" i="28"/>
  <c r="AF34" i="8"/>
  <c r="AP34" i="8"/>
  <c r="AF12" i="16"/>
  <c r="AG1018" i="25"/>
  <c r="AA1018" i="25"/>
  <c r="AE173" i="25"/>
  <c r="Y173" i="25"/>
  <c r="AF656" i="25"/>
  <c r="Z656" i="25"/>
  <c r="AG1115" i="25"/>
  <c r="AA1115" i="25"/>
  <c r="AE15" i="17"/>
  <c r="Z15" i="17"/>
  <c r="N1040" i="21"/>
  <c r="K1040" i="21"/>
  <c r="AE478" i="25"/>
  <c r="Y478" i="25"/>
  <c r="AF1122" i="16"/>
  <c r="AG187" i="25"/>
  <c r="AA187" i="25"/>
  <c r="AE571" i="25"/>
  <c r="Y571" i="25"/>
  <c r="AF1093" i="16"/>
  <c r="AG730" i="25"/>
  <c r="AA730" i="25"/>
  <c r="AF73" i="9"/>
  <c r="AL9" i="7"/>
  <c r="AL25" i="7"/>
  <c r="N57" i="6"/>
  <c r="N57" i="7"/>
  <c r="T57" i="7"/>
  <c r="AM57" i="7"/>
  <c r="AX57" i="23"/>
  <c r="AZ57" i="23"/>
  <c r="AF125" i="16"/>
  <c r="AM20" i="9"/>
  <c r="T20" i="9"/>
  <c r="N20" i="9"/>
  <c r="AF581" i="16"/>
  <c r="Z581" i="16"/>
  <c r="N717" i="21"/>
  <c r="K717" i="21"/>
  <c r="AF282" i="25"/>
  <c r="Z282" i="25"/>
  <c r="AG583" i="25"/>
  <c r="AA583" i="25"/>
  <c r="AF181" i="25"/>
  <c r="Z181" i="25"/>
  <c r="AF950" i="25"/>
  <c r="Z950" i="25"/>
  <c r="AG67" i="25"/>
  <c r="AA67" i="25"/>
  <c r="AE234" i="25"/>
  <c r="Y234" i="25"/>
  <c r="AF551" i="16"/>
  <c r="Z551" i="16"/>
  <c r="M497" i="21"/>
  <c r="J497" i="21"/>
  <c r="AP9" i="8"/>
  <c r="AF9" i="8"/>
  <c r="AC9" i="28"/>
  <c r="AC81" i="28"/>
  <c r="AG382" i="25"/>
  <c r="AA382" i="25"/>
  <c r="AF510" i="25"/>
  <c r="Z510" i="25"/>
  <c r="AF1073" i="25"/>
  <c r="Z1073" i="25"/>
  <c r="AF148" i="16"/>
  <c r="AF380" i="25"/>
  <c r="Z380" i="25"/>
  <c r="AE46" i="25"/>
  <c r="Y46" i="25"/>
  <c r="AE94" i="17"/>
  <c r="Z94" i="17"/>
  <c r="AF212" i="16"/>
  <c r="AB107" i="28"/>
  <c r="AB35" i="28"/>
  <c r="N120" i="21"/>
  <c r="K120" i="21"/>
  <c r="AM28" i="9"/>
  <c r="T28" i="9"/>
  <c r="N28" i="9"/>
  <c r="AF170" i="16"/>
  <c r="Z170" i="16"/>
  <c r="AG999" i="25"/>
  <c r="AA999" i="25"/>
  <c r="N730" i="21"/>
  <c r="K730" i="21"/>
  <c r="AM50" i="8"/>
  <c r="T50" i="8"/>
  <c r="N50" i="8"/>
  <c r="AF69" i="9"/>
  <c r="AP69" i="9"/>
  <c r="AF823" i="16"/>
  <c r="Z823" i="16"/>
  <c r="AG34" i="23"/>
  <c r="AE34" i="23"/>
  <c r="AO34" i="23"/>
  <c r="AB94" i="28"/>
  <c r="AB22" i="28"/>
  <c r="AG799" i="25"/>
  <c r="AA799" i="25"/>
  <c r="AE76" i="25"/>
  <c r="Y76" i="25"/>
  <c r="AE533" i="25"/>
  <c r="Y533" i="25"/>
  <c r="AF7" i="9"/>
  <c r="AP7" i="9"/>
  <c r="AF585" i="25"/>
  <c r="Z585" i="25"/>
  <c r="AG889" i="25"/>
  <c r="AA889" i="25"/>
  <c r="AE72" i="17"/>
  <c r="Z72" i="17"/>
  <c r="Z1041" i="16"/>
  <c r="AF1041" i="16"/>
  <c r="Z94" i="16"/>
  <c r="AF94" i="16"/>
  <c r="AE31" i="25"/>
  <c r="Y31" i="25"/>
  <c r="M58" i="21"/>
  <c r="J58" i="21"/>
  <c r="AM67" i="23"/>
  <c r="T67" i="23"/>
  <c r="N67" i="23"/>
  <c r="AG859" i="25"/>
  <c r="AA859" i="25"/>
  <c r="AF1107" i="25"/>
  <c r="Z1107" i="25"/>
  <c r="M534" i="21"/>
  <c r="J534" i="21"/>
  <c r="N31" i="28"/>
  <c r="N103" i="28"/>
  <c r="AG665" i="25"/>
  <c r="AA665" i="25"/>
  <c r="Y160" i="16"/>
  <c r="J160" i="21"/>
  <c r="M160" i="21"/>
  <c r="AG548" i="25"/>
  <c r="AA548" i="25"/>
  <c r="AE232" i="25"/>
  <c r="Y232" i="25"/>
  <c r="Z63" i="16"/>
  <c r="K63" i="21"/>
  <c r="N63" i="21"/>
  <c r="AG429" i="25"/>
  <c r="AA429" i="25"/>
  <c r="AJ14" i="7"/>
  <c r="AF14" i="28"/>
  <c r="AF86" i="28"/>
  <c r="AF530" i="25"/>
  <c r="Z530" i="25"/>
  <c r="Z12" i="16"/>
  <c r="K12" i="21"/>
  <c r="N12" i="21"/>
  <c r="AF28" i="25"/>
  <c r="Z28" i="25"/>
  <c r="AF759" i="25"/>
  <c r="Z759" i="25"/>
  <c r="AE26" i="17"/>
  <c r="Z26" i="17"/>
  <c r="AG287" i="25"/>
  <c r="AA287" i="25"/>
  <c r="Z1040" i="16"/>
  <c r="AF1040" i="16"/>
  <c r="AF697" i="16"/>
  <c r="AF420" i="16"/>
  <c r="AF350" i="16"/>
  <c r="AE50" i="17"/>
  <c r="Z50" i="17"/>
  <c r="AE112" i="16"/>
  <c r="Z139" i="16"/>
  <c r="AF139" i="16"/>
  <c r="AE101" i="25"/>
  <c r="Y101" i="25"/>
  <c r="N946" i="21"/>
  <c r="K946" i="21"/>
  <c r="AJ9" i="7"/>
  <c r="AJ9" i="9"/>
  <c r="AL9" i="9"/>
  <c r="AJ25" i="7"/>
  <c r="AJ25" i="8"/>
  <c r="AL25" i="8"/>
  <c r="N424" i="21"/>
  <c r="K424" i="21"/>
  <c r="Z125" i="16"/>
  <c r="K125" i="21"/>
  <c r="N125" i="21"/>
  <c r="AP45" i="8"/>
  <c r="AF45" i="8"/>
  <c r="AC45" i="28"/>
  <c r="AC117" i="28"/>
  <c r="AF11" i="23"/>
  <c r="AP11" i="23"/>
  <c r="AE288" i="17"/>
  <c r="Z288" i="17"/>
  <c r="AF223" i="16"/>
  <c r="AG1035" i="25"/>
  <c r="AA1035" i="25"/>
  <c r="AF737" i="25"/>
  <c r="Z737" i="25"/>
  <c r="N531" i="21"/>
  <c r="K531" i="21"/>
  <c r="Z676" i="16"/>
  <c r="AF676" i="16"/>
  <c r="AF1019" i="25"/>
  <c r="Z1019" i="25"/>
  <c r="AK64" i="9"/>
  <c r="AK64" i="23"/>
  <c r="AK64" i="8"/>
  <c r="AL51" i="7"/>
  <c r="AF1141" i="25"/>
  <c r="Z1141" i="25"/>
  <c r="Z689" i="16"/>
  <c r="AF689" i="16"/>
  <c r="AF53" i="25"/>
  <c r="Z53" i="25"/>
  <c r="N63" i="23"/>
  <c r="T63" i="23"/>
  <c r="AM63" i="23"/>
  <c r="AE611" i="16"/>
  <c r="AE205" i="16"/>
  <c r="AF323" i="16"/>
  <c r="AG1153" i="25"/>
  <c r="AA1153" i="25"/>
  <c r="N1149" i="21"/>
  <c r="K1149" i="21"/>
  <c r="AE573" i="16"/>
  <c r="Y573" i="16"/>
  <c r="AF420" i="25"/>
  <c r="Z420" i="25"/>
  <c r="AZ29" i="23"/>
  <c r="AX29" i="23"/>
  <c r="N258" i="21"/>
  <c r="K258" i="21"/>
  <c r="N375" i="21"/>
  <c r="K375" i="21"/>
  <c r="AL39" i="7"/>
  <c r="AG452" i="25"/>
  <c r="AA452" i="25"/>
  <c r="Z212" i="16"/>
  <c r="K212" i="21"/>
  <c r="N212" i="21"/>
  <c r="AF978" i="25"/>
  <c r="Z978" i="25"/>
  <c r="AF792" i="25"/>
  <c r="Z792" i="25"/>
  <c r="AG757" i="25"/>
  <c r="AA757" i="25"/>
  <c r="AD107" i="17"/>
  <c r="Y107" i="17"/>
  <c r="AF271" i="16"/>
  <c r="AG1131" i="25"/>
  <c r="AA1131" i="25"/>
  <c r="AJ12" i="21"/>
  <c r="V12" i="21"/>
  <c r="N1146" i="21"/>
  <c r="AF1051" i="25"/>
  <c r="Z1051" i="25"/>
  <c r="AM51" i="23"/>
  <c r="T51" i="23"/>
  <c r="N51" i="23"/>
  <c r="AF829" i="25"/>
  <c r="Z829" i="25"/>
  <c r="AF625" i="25"/>
  <c r="Z625" i="25"/>
  <c r="M241" i="21"/>
  <c r="J241" i="21"/>
  <c r="AG219" i="25"/>
  <c r="AA219" i="25"/>
  <c r="AG849" i="25"/>
  <c r="AA849" i="25"/>
  <c r="M42" i="21"/>
  <c r="J42" i="21"/>
  <c r="AG47" i="9"/>
  <c r="AE47" i="9"/>
  <c r="AO47" i="9"/>
  <c r="AE27" i="25"/>
  <c r="Y27" i="25"/>
  <c r="AF999" i="25"/>
  <c r="Z999" i="25"/>
  <c r="N106" i="28"/>
  <c r="N34" i="28"/>
  <c r="N18" i="23"/>
  <c r="T18" i="23"/>
  <c r="AM18" i="23"/>
  <c r="N739" i="21"/>
  <c r="K739" i="21"/>
  <c r="Z597" i="16"/>
  <c r="K597" i="21"/>
  <c r="N597" i="21"/>
  <c r="AE55" i="16"/>
  <c r="AF329" i="16"/>
  <c r="AF815" i="16"/>
  <c r="Z815" i="16"/>
  <c r="AF6" i="9"/>
  <c r="AP6" i="9"/>
  <c r="AG1064" i="25"/>
  <c r="AA1064" i="25"/>
  <c r="AF423" i="25"/>
  <c r="Z423" i="25"/>
  <c r="AJ39" i="9"/>
  <c r="AL39" i="9"/>
  <c r="Y58" i="16"/>
  <c r="AE58" i="16"/>
  <c r="AZ61" i="23"/>
  <c r="AX61" i="23"/>
  <c r="AM61" i="7"/>
  <c r="N1068" i="21"/>
  <c r="K1068" i="21"/>
  <c r="F28" i="33"/>
  <c r="F27" i="33"/>
  <c r="I27" i="33"/>
  <c r="AM27" i="7"/>
  <c r="I28" i="33"/>
  <c r="AF125" i="25"/>
  <c r="Z125" i="25"/>
  <c r="AF784" i="16"/>
  <c r="Z784" i="16"/>
  <c r="AL30" i="7"/>
  <c r="AL41" i="9"/>
  <c r="AJ41" i="9"/>
  <c r="AD84" i="17"/>
  <c r="Y84" i="17"/>
  <c r="Z697" i="16"/>
  <c r="K697" i="21"/>
  <c r="N697" i="21"/>
  <c r="AE569" i="25"/>
  <c r="Y569" i="25"/>
  <c r="AE540" i="25"/>
  <c r="Y540" i="25"/>
  <c r="N713" i="21"/>
  <c r="K713" i="21"/>
  <c r="Y112" i="16"/>
  <c r="J112" i="21"/>
  <c r="M112" i="21"/>
  <c r="N532" i="21"/>
  <c r="K532" i="21"/>
  <c r="AL2" i="25"/>
  <c r="AF10" i="25"/>
  <c r="Z10" i="25"/>
  <c r="AL47" i="8"/>
  <c r="AJ47" i="8"/>
  <c r="M418" i="21"/>
  <c r="J418" i="21"/>
  <c r="M393" i="21"/>
  <c r="J393" i="21"/>
  <c r="AL12" i="9"/>
  <c r="AJ12" i="9"/>
  <c r="AZ38" i="23"/>
  <c r="AX38" i="23"/>
  <c r="AF1017" i="16"/>
  <c r="Z1017" i="16"/>
  <c r="N88" i="6"/>
  <c r="Z223" i="16"/>
  <c r="K223" i="21"/>
  <c r="N223" i="21"/>
  <c r="AF180" i="25"/>
  <c r="Z180" i="25"/>
  <c r="AM44" i="8"/>
  <c r="T44" i="8"/>
  <c r="N44" i="8"/>
  <c r="AP53" i="8"/>
  <c r="AF53" i="8"/>
  <c r="AC53" i="28"/>
  <c r="AC125" i="28"/>
  <c r="AF1134" i="16"/>
  <c r="Z1134" i="16"/>
  <c r="AK64" i="6"/>
  <c r="AK64" i="7"/>
  <c r="AG64" i="28"/>
  <c r="AG136" i="28"/>
  <c r="AJ51" i="7"/>
  <c r="AJ51" i="23"/>
  <c r="AL51" i="23"/>
  <c r="U18" i="33"/>
  <c r="R18" i="33"/>
  <c r="Y611" i="16"/>
  <c r="J611" i="21"/>
  <c r="M611" i="21"/>
  <c r="Y205" i="16"/>
  <c r="J205" i="21"/>
  <c r="M205" i="21"/>
  <c r="Z323" i="16"/>
  <c r="K323" i="21"/>
  <c r="N323" i="21"/>
  <c r="N656" i="21"/>
  <c r="K656" i="21"/>
  <c r="AF51" i="9"/>
  <c r="AP51" i="9"/>
  <c r="I35" i="22"/>
  <c r="G35" i="22"/>
  <c r="N1129" i="21"/>
  <c r="K1129" i="21"/>
  <c r="AE489" i="16"/>
  <c r="N1063" i="21"/>
  <c r="K1063" i="21"/>
  <c r="AG24" i="23"/>
  <c r="AE24" i="23"/>
  <c r="AO24" i="23"/>
  <c r="AF899" i="16"/>
  <c r="Z899" i="16"/>
  <c r="AG71" i="8"/>
  <c r="AE199" i="17"/>
  <c r="Z199" i="17"/>
  <c r="AE298" i="25"/>
  <c r="Y298" i="25"/>
  <c r="AL6" i="8"/>
  <c r="AJ6" i="8"/>
  <c r="AF1140" i="16"/>
  <c r="Z1140" i="16"/>
  <c r="AF812" i="25"/>
  <c r="Z812" i="25"/>
  <c r="AE192" i="25"/>
  <c r="Y192" i="25"/>
  <c r="N661" i="21"/>
  <c r="K661" i="21"/>
  <c r="AF817" i="25"/>
  <c r="Z817" i="25"/>
  <c r="AF586" i="16"/>
  <c r="Z586" i="16"/>
  <c r="AG982" i="25"/>
  <c r="AA982" i="25"/>
  <c r="AE332" i="17"/>
  <c r="Z332" i="17"/>
  <c r="AF914" i="25"/>
  <c r="Z914" i="25"/>
  <c r="AF449" i="25"/>
  <c r="Z449" i="25"/>
  <c r="AF25" i="16"/>
  <c r="G9" i="33"/>
  <c r="AB7" i="24"/>
  <c r="AL7" i="24"/>
  <c r="AI7" i="24"/>
  <c r="AF39" i="9"/>
  <c r="AP39" i="9"/>
  <c r="AO10" i="8"/>
  <c r="AE10" i="8"/>
  <c r="AG10" i="8"/>
  <c r="AF61" i="23"/>
  <c r="AP61" i="23"/>
  <c r="Y55" i="16"/>
  <c r="J55" i="21"/>
  <c r="M55" i="21"/>
  <c r="AF889" i="16"/>
  <c r="Z889" i="16"/>
  <c r="Z329" i="16"/>
  <c r="K329" i="21"/>
  <c r="N329" i="21"/>
  <c r="AE392" i="25"/>
  <c r="Y392" i="25"/>
  <c r="AZ15" i="23"/>
  <c r="AX15" i="23"/>
  <c r="AF1127" i="25"/>
  <c r="Z1127" i="25"/>
  <c r="AF105" i="28"/>
  <c r="AF33" i="28"/>
  <c r="AF45" i="9"/>
  <c r="T45" i="7"/>
  <c r="AP45" i="9"/>
  <c r="N104" i="28"/>
  <c r="N32" i="28"/>
  <c r="AG177" i="25"/>
  <c r="AA177" i="25"/>
  <c r="AF844" i="16"/>
  <c r="Z844" i="16"/>
  <c r="AF823" i="25"/>
  <c r="Z823" i="25"/>
  <c r="AF59" i="9"/>
  <c r="AP59" i="9"/>
  <c r="AG262" i="25"/>
  <c r="AA262" i="25"/>
  <c r="AG746" i="25"/>
  <c r="AA746" i="25"/>
  <c r="AG1030" i="25"/>
  <c r="AA1030" i="25"/>
  <c r="AF553" i="25"/>
  <c r="Z553" i="25"/>
  <c r="N509" i="21"/>
  <c r="K509" i="21"/>
  <c r="AF803" i="16"/>
  <c r="Z803" i="16"/>
  <c r="T73" i="8"/>
  <c r="AM5" i="8"/>
  <c r="T5" i="8"/>
  <c r="N5" i="8"/>
  <c r="AF88" i="25"/>
  <c r="Z88" i="25"/>
  <c r="Z424" i="16"/>
  <c r="AF424" i="16"/>
  <c r="N55" i="9"/>
  <c r="T55" i="9"/>
  <c r="AM55" i="9"/>
  <c r="R11" i="30"/>
  <c r="Y613" i="16"/>
  <c r="AE613" i="16"/>
  <c r="AJ30" i="7"/>
  <c r="AJ30" i="8"/>
  <c r="AL30" i="8"/>
  <c r="AF353" i="25"/>
  <c r="Z353" i="25"/>
  <c r="S22" i="33"/>
  <c r="AI36" i="24"/>
  <c r="AL36" i="24"/>
  <c r="AB36" i="24"/>
  <c r="AF652" i="16"/>
  <c r="AG426" i="25"/>
  <c r="AA426" i="25"/>
  <c r="AF143" i="25"/>
  <c r="Z143" i="25"/>
  <c r="AF861" i="25"/>
  <c r="Z861" i="25"/>
  <c r="N842" i="21"/>
  <c r="K842" i="21"/>
  <c r="AB106" i="28"/>
  <c r="AB34" i="28"/>
  <c r="AE543" i="25"/>
  <c r="Y543" i="25"/>
  <c r="AO67" i="9"/>
  <c r="AE67" i="9"/>
  <c r="AG67" i="9"/>
  <c r="N45" i="6"/>
  <c r="N45" i="7"/>
  <c r="N45" i="23"/>
  <c r="T45" i="23"/>
  <c r="AM45" i="23"/>
  <c r="AF141" i="25"/>
  <c r="Z141" i="25"/>
  <c r="AG699" i="25"/>
  <c r="AA699" i="25"/>
  <c r="Y393" i="16"/>
  <c r="AE393" i="16"/>
  <c r="AE149" i="25"/>
  <c r="Y149" i="25"/>
  <c r="AD180" i="17"/>
  <c r="Y180" i="17"/>
  <c r="Z375" i="16"/>
  <c r="AF375" i="16"/>
  <c r="N1106" i="21"/>
  <c r="K1106" i="21"/>
  <c r="AF753" i="16"/>
  <c r="AF102" i="25"/>
  <c r="Z102" i="25"/>
  <c r="AZ53" i="23"/>
  <c r="AX53" i="23"/>
  <c r="AF71" i="25"/>
  <c r="Z71" i="25"/>
  <c r="AE95" i="17"/>
  <c r="Z95" i="17"/>
  <c r="AF1118" i="16"/>
  <c r="N891" i="21"/>
  <c r="K891" i="21"/>
  <c r="AF123" i="25"/>
  <c r="Z123" i="25"/>
  <c r="N589" i="21"/>
  <c r="K589" i="21"/>
  <c r="AF472" i="25"/>
  <c r="Z472" i="25"/>
  <c r="AM55" i="7"/>
  <c r="AX55" i="23"/>
  <c r="AZ55" i="23"/>
  <c r="AL32" i="7"/>
  <c r="AE640" i="16"/>
  <c r="N207" i="21"/>
  <c r="K207" i="21"/>
  <c r="AE82" i="25"/>
  <c r="Y82" i="25"/>
  <c r="AG73" i="25"/>
  <c r="AA73" i="25"/>
  <c r="AL57" i="8"/>
  <c r="AJ57" i="8"/>
  <c r="AE164" i="25"/>
  <c r="Y164" i="25"/>
  <c r="AF93" i="25"/>
  <c r="Z93" i="25"/>
  <c r="N1017" i="21"/>
  <c r="K1017" i="21"/>
  <c r="Z656" i="16"/>
  <c r="AF656" i="16"/>
  <c r="Y489" i="16"/>
  <c r="J489" i="21"/>
  <c r="M489" i="21"/>
  <c r="Z1063" i="16"/>
  <c r="AF1063" i="16"/>
  <c r="N639" i="21"/>
  <c r="K639" i="21"/>
  <c r="AE75" i="25"/>
  <c r="Y75" i="25"/>
  <c r="AF39" i="23"/>
  <c r="AP39" i="23"/>
  <c r="AL26" i="9"/>
  <c r="AJ26" i="9"/>
  <c r="AO71" i="8"/>
  <c r="AE71" i="8"/>
  <c r="AB71" i="28"/>
  <c r="AB143" i="28"/>
  <c r="AF670" i="25"/>
  <c r="Z670" i="25"/>
  <c r="N631" i="21"/>
  <c r="K631" i="21"/>
  <c r="AD214" i="17"/>
  <c r="Y214" i="17"/>
  <c r="AE331" i="16"/>
  <c r="N716" i="21"/>
  <c r="K716" i="21"/>
  <c r="AF35" i="25"/>
  <c r="Z35" i="25"/>
  <c r="N785" i="21"/>
  <c r="K785" i="21"/>
  <c r="AF518" i="25"/>
  <c r="Z518" i="25"/>
  <c r="AG567" i="25"/>
  <c r="AA567" i="25"/>
  <c r="AE295" i="25"/>
  <c r="Y295" i="25"/>
  <c r="AQ5" i="25"/>
  <c r="AP5" i="25"/>
  <c r="AG593" i="25"/>
  <c r="AA593" i="25"/>
  <c r="AF1085" i="16"/>
  <c r="AE25" i="17"/>
  <c r="Z25" i="17"/>
  <c r="AE10" i="16"/>
  <c r="AL70" i="9"/>
  <c r="AJ70" i="9"/>
  <c r="AF842" i="16"/>
  <c r="Z842" i="16"/>
  <c r="Z703" i="16"/>
  <c r="K703" i="21"/>
  <c r="N703" i="21"/>
  <c r="Y36" i="16"/>
  <c r="AE36" i="16"/>
  <c r="Y130" i="16"/>
  <c r="AE130" i="16"/>
  <c r="N39" i="8"/>
  <c r="T39" i="8"/>
  <c r="AM39" i="8"/>
  <c r="Z509" i="16"/>
  <c r="AF509" i="16"/>
  <c r="Y418" i="16"/>
  <c r="AE418" i="16"/>
  <c r="N73" i="8"/>
  <c r="AG63" i="25"/>
  <c r="AA63" i="25"/>
  <c r="Z1122" i="16"/>
  <c r="K1122" i="21"/>
  <c r="N1122" i="21"/>
  <c r="AL27" i="23"/>
  <c r="AJ27" i="23"/>
  <c r="AG130" i="25"/>
  <c r="AA130" i="25"/>
  <c r="R15" i="30"/>
  <c r="AO5" i="8"/>
  <c r="AE5" i="8"/>
  <c r="AB5" i="28"/>
  <c r="AB77" i="28"/>
  <c r="R9" i="30"/>
  <c r="R14" i="30"/>
  <c r="AG208" i="25"/>
  <c r="AA208" i="25"/>
  <c r="Z350" i="16"/>
  <c r="K350" i="21"/>
  <c r="N350" i="21"/>
  <c r="AF1054" i="25"/>
  <c r="Z1054" i="25"/>
  <c r="Z652" i="16"/>
  <c r="K652" i="21"/>
  <c r="N652" i="21"/>
  <c r="AK2" i="25"/>
  <c r="AK10" i="25"/>
  <c r="AL10" i="25"/>
  <c r="Z1093" i="16"/>
  <c r="K1093" i="21"/>
  <c r="N1093" i="21"/>
  <c r="AG1070" i="25"/>
  <c r="AA1070" i="25"/>
  <c r="AO34" i="8"/>
  <c r="AE34" i="8"/>
  <c r="AG34" i="8"/>
  <c r="AE37" i="17"/>
  <c r="Z37" i="17"/>
  <c r="AG18" i="9"/>
  <c r="AE18" i="9"/>
  <c r="AO18" i="9"/>
  <c r="S25" i="33"/>
  <c r="S20" i="33"/>
  <c r="AI40" i="24"/>
  <c r="AL40" i="24"/>
  <c r="AB40" i="24"/>
  <c r="S15" i="33"/>
  <c r="AD61" i="17"/>
  <c r="Y61" i="17"/>
  <c r="AE195" i="25"/>
  <c r="Y195" i="25"/>
  <c r="AE304" i="25"/>
  <c r="Y304" i="25"/>
  <c r="N821" i="21"/>
  <c r="K821" i="21"/>
  <c r="Z1124" i="16"/>
  <c r="AF1124" i="16"/>
  <c r="Z1106" i="16"/>
  <c r="AF1106" i="16"/>
  <c r="N61" i="9"/>
  <c r="T61" i="9"/>
  <c r="AM61" i="9"/>
  <c r="Z753" i="16"/>
  <c r="K753" i="21"/>
  <c r="N753" i="21"/>
  <c r="AZ66" i="23"/>
  <c r="AX66" i="23"/>
  <c r="AF43" i="23"/>
  <c r="AP43" i="23"/>
  <c r="AO22" i="8"/>
  <c r="AE22" i="8"/>
  <c r="AG22" i="8"/>
  <c r="Z1068" i="16"/>
  <c r="AF1068" i="16"/>
  <c r="N181" i="21"/>
  <c r="K181" i="21"/>
  <c r="Z673" i="16"/>
  <c r="AF673" i="16"/>
  <c r="N1026" i="21"/>
  <c r="K1026" i="21"/>
  <c r="AF785" i="16"/>
  <c r="Z785" i="16"/>
  <c r="AG720" i="25"/>
  <c r="AA720" i="25"/>
  <c r="Z946" i="16"/>
  <c r="AF946" i="16"/>
  <c r="N23" i="9"/>
  <c r="T23" i="9"/>
  <c r="AM23" i="9"/>
  <c r="Z1118" i="16"/>
  <c r="K1118" i="21"/>
  <c r="N1118" i="21"/>
  <c r="M8" i="21"/>
  <c r="J8" i="21"/>
  <c r="AJ32" i="7"/>
  <c r="AJ32" i="23"/>
  <c r="AL32" i="23"/>
  <c r="Y640" i="16"/>
  <c r="J640" i="21"/>
  <c r="M640" i="21"/>
  <c r="AD54" i="17"/>
  <c r="Y54" i="17"/>
  <c r="N701" i="21"/>
  <c r="K701" i="21"/>
  <c r="Z1149" i="16"/>
  <c r="AF1149" i="16"/>
  <c r="AF828" i="25"/>
  <c r="Z828" i="25"/>
  <c r="AG39" i="8"/>
  <c r="AZ33" i="23"/>
  <c r="AM33" i="7"/>
  <c r="AX33" i="23"/>
  <c r="N263" i="21"/>
  <c r="K263" i="21"/>
  <c r="AE482" i="16"/>
  <c r="AE100" i="16"/>
  <c r="AG881" i="25"/>
  <c r="AA881" i="25"/>
  <c r="AM28" i="23"/>
  <c r="T28" i="23"/>
  <c r="N28" i="23"/>
  <c r="AE248" i="25"/>
  <c r="Y248" i="25"/>
  <c r="AG599" i="25"/>
  <c r="AA599" i="25"/>
  <c r="AU3" i="25"/>
  <c r="Y38" i="25"/>
  <c r="AE38" i="25"/>
  <c r="AK3" i="25"/>
  <c r="Z120" i="16"/>
  <c r="AF120" i="16"/>
  <c r="AF947" i="16"/>
  <c r="AF21" i="16"/>
  <c r="AG513" i="25"/>
  <c r="AA513" i="25"/>
  <c r="AF100" i="25"/>
  <c r="Z100" i="25"/>
  <c r="AF77" i="25"/>
  <c r="Z77" i="25"/>
  <c r="N473" i="21"/>
  <c r="K473" i="21"/>
  <c r="N421" i="21"/>
  <c r="K421" i="21"/>
  <c r="AF289" i="25"/>
  <c r="Z289" i="25"/>
  <c r="AF1075" i="25"/>
  <c r="Z1075" i="25"/>
  <c r="AF845" i="25"/>
  <c r="Z845" i="25"/>
  <c r="M9" i="21"/>
  <c r="J9" i="21"/>
  <c r="AW5" i="23"/>
  <c r="AW7" i="23"/>
  <c r="AW6" i="23"/>
  <c r="G40" i="22"/>
  <c r="AW8" i="23"/>
  <c r="AE341" i="25"/>
  <c r="Y341" i="25"/>
  <c r="Z713" i="16"/>
  <c r="AF713" i="16"/>
  <c r="AG867" i="25"/>
  <c r="AA867" i="25"/>
  <c r="AL12" i="8"/>
  <c r="AJ12" i="8"/>
  <c r="Z717" i="16"/>
  <c r="AF717" i="16"/>
  <c r="AF811" i="25"/>
  <c r="Z811" i="25"/>
  <c r="AG1135" i="25"/>
  <c r="AA1135" i="25"/>
  <c r="AG689" i="25"/>
  <c r="AA689" i="25"/>
  <c r="AE204" i="17"/>
  <c r="Z204" i="17"/>
  <c r="M643" i="21"/>
  <c r="J643" i="21"/>
  <c r="N56" i="23"/>
  <c r="T56" i="23"/>
  <c r="AM56" i="23"/>
  <c r="AL48" i="7"/>
  <c r="AF278" i="16"/>
  <c r="AG819" i="25"/>
  <c r="AA819" i="25"/>
  <c r="AF876" i="16"/>
  <c r="Z876" i="16"/>
  <c r="AF29" i="16"/>
  <c r="M578" i="21"/>
  <c r="J578" i="21"/>
  <c r="AF522" i="25"/>
  <c r="Z522" i="25"/>
  <c r="N875" i="21"/>
  <c r="K875" i="21"/>
  <c r="AF981" i="25"/>
  <c r="Z981" i="25"/>
  <c r="Z739" i="16"/>
  <c r="AF739" i="16"/>
  <c r="AD143" i="17"/>
  <c r="Y143" i="17"/>
  <c r="AF1046" i="25"/>
  <c r="Z1046" i="25"/>
  <c r="L83" i="6"/>
  <c r="N428" i="21"/>
  <c r="K428" i="21"/>
  <c r="AF274" i="25"/>
  <c r="Z274" i="25"/>
  <c r="AG266" i="25"/>
  <c r="AA266" i="25"/>
  <c r="N1135" i="21"/>
  <c r="K1135" i="21"/>
  <c r="AF1034" i="16"/>
  <c r="Z1034" i="16"/>
  <c r="N439" i="21"/>
  <c r="K439" i="21"/>
  <c r="AF52" i="23"/>
  <c r="AP52" i="23"/>
  <c r="Y482" i="16"/>
  <c r="J482" i="21"/>
  <c r="M482" i="21"/>
  <c r="Y100" i="16"/>
  <c r="J100" i="21"/>
  <c r="M100" i="21"/>
  <c r="M245" i="21"/>
  <c r="J245" i="21"/>
  <c r="AG272" i="25"/>
  <c r="AA272" i="25"/>
  <c r="N268" i="21"/>
  <c r="K268" i="21"/>
  <c r="N116" i="21"/>
  <c r="K116" i="21"/>
  <c r="AL68" i="9"/>
  <c r="AJ68" i="9"/>
  <c r="AF191" i="25"/>
  <c r="Z191" i="25"/>
  <c r="AD9" i="17"/>
  <c r="Y9" i="17"/>
  <c r="N1141" i="21"/>
  <c r="K1141" i="21"/>
  <c r="AL66" i="23"/>
  <c r="AJ66" i="23"/>
  <c r="AQ12" i="25"/>
  <c r="AP12" i="25"/>
  <c r="AF870" i="25"/>
  <c r="Z870" i="25"/>
  <c r="AE320" i="17"/>
  <c r="Z320" i="17"/>
  <c r="AD69" i="17"/>
  <c r="Y69" i="17"/>
  <c r="AG981" i="25"/>
  <c r="AA981" i="25"/>
  <c r="Y8" i="16"/>
  <c r="AE8" i="16"/>
  <c r="AE74" i="25"/>
  <c r="Y74" i="25"/>
  <c r="AG310" i="25"/>
  <c r="AA310" i="25"/>
  <c r="AL54" i="9"/>
  <c r="AJ54" i="9"/>
  <c r="Z926" i="16"/>
  <c r="AF926" i="16"/>
  <c r="Z931" i="16"/>
  <c r="AF931" i="16"/>
  <c r="AE191" i="16"/>
  <c r="Y191" i="16"/>
  <c r="AK32" i="6"/>
  <c r="AK32" i="7"/>
  <c r="AG32" i="28"/>
  <c r="AG104" i="28"/>
  <c r="AF669" i="25"/>
  <c r="Z669" i="25"/>
  <c r="AD3" i="17"/>
  <c r="Y3" i="17"/>
  <c r="Z420" i="16"/>
  <c r="K420" i="21"/>
  <c r="N420" i="21"/>
  <c r="AF1048" i="25"/>
  <c r="Z1048" i="25"/>
  <c r="AG1082" i="25"/>
  <c r="AA1082" i="25"/>
  <c r="N12" i="23"/>
  <c r="T12" i="23"/>
  <c r="AM12" i="23"/>
  <c r="AF986" i="25"/>
  <c r="Z986" i="25"/>
  <c r="AG224" i="25"/>
  <c r="AA224" i="25"/>
  <c r="AK59" i="8"/>
  <c r="AK59" i="23"/>
  <c r="AK59" i="6"/>
  <c r="AK59" i="7"/>
  <c r="AK59" i="9"/>
  <c r="AF683" i="25"/>
  <c r="Z683" i="25"/>
  <c r="AK14" i="9"/>
  <c r="AK14" i="8"/>
  <c r="AK14" i="7"/>
  <c r="AK14" i="23"/>
  <c r="Y643" i="16"/>
  <c r="AE643" i="16"/>
  <c r="AF6" i="25"/>
  <c r="Z6" i="25"/>
  <c r="N60" i="28"/>
  <c r="N132" i="28"/>
  <c r="AJ48" i="7"/>
  <c r="AJ48" i="8"/>
  <c r="AL48" i="8"/>
  <c r="Z278" i="16"/>
  <c r="K278" i="21"/>
  <c r="N278" i="21"/>
  <c r="AF531" i="25"/>
  <c r="Z531" i="25"/>
  <c r="AE154" i="17"/>
  <c r="Z154" i="17"/>
  <c r="AG186" i="25"/>
  <c r="AA186" i="25"/>
  <c r="AG556" i="25"/>
  <c r="AA556" i="25"/>
  <c r="AF167" i="25"/>
  <c r="Z167" i="25"/>
  <c r="AG1144" i="25"/>
  <c r="AA1144" i="25"/>
  <c r="Z29" i="16"/>
  <c r="K29" i="21"/>
  <c r="N29" i="21"/>
  <c r="AG1154" i="25"/>
  <c r="AA1154" i="25"/>
  <c r="AD5" i="17"/>
  <c r="Y5" i="17"/>
  <c r="AM63" i="7"/>
  <c r="AX63" i="23"/>
  <c r="AZ63" i="23"/>
  <c r="Z683" i="16"/>
  <c r="AF683" i="16"/>
  <c r="AF119" i="25"/>
  <c r="Z119" i="25"/>
  <c r="AF24" i="9"/>
  <c r="AP24" i="9"/>
  <c r="AO22" i="23"/>
  <c r="AE22" i="23"/>
  <c r="AG22" i="23"/>
  <c r="Z148" i="16"/>
  <c r="K148" i="21"/>
  <c r="N148" i="21"/>
  <c r="Y70" i="16"/>
  <c r="AE70" i="16"/>
  <c r="Z944" i="16"/>
  <c r="AF944" i="16"/>
  <c r="Z625" i="16"/>
  <c r="AF625" i="16"/>
  <c r="AE574" i="25"/>
  <c r="Y574" i="25"/>
  <c r="AF363" i="25"/>
  <c r="Z363" i="25"/>
  <c r="AB91" i="28"/>
  <c r="AB19" i="28"/>
  <c r="N73" i="23"/>
  <c r="AF1129" i="25"/>
  <c r="Z1129" i="25"/>
  <c r="AG33" i="23"/>
  <c r="AE33" i="23"/>
  <c r="AO33" i="23"/>
  <c r="Y331" i="16"/>
  <c r="J331" i="21"/>
  <c r="M331" i="21"/>
  <c r="AG260" i="25"/>
  <c r="AA260" i="25"/>
  <c r="AF1115" i="25"/>
  <c r="Z1115" i="25"/>
  <c r="AG778" i="25"/>
  <c r="AA778" i="25"/>
  <c r="N1043" i="21"/>
  <c r="K1043" i="21"/>
  <c r="AG1031" i="25"/>
  <c r="AA1031" i="25"/>
  <c r="M234" i="21"/>
  <c r="J234" i="21"/>
  <c r="AG193" i="25"/>
  <c r="AA193" i="25"/>
  <c r="AC137" i="28"/>
  <c r="AC65" i="28"/>
  <c r="AF65" i="8"/>
  <c r="AP65" i="8"/>
  <c r="AF812" i="16"/>
  <c r="Z812" i="16"/>
  <c r="AF259" i="16"/>
  <c r="AF674" i="25"/>
  <c r="Z674" i="25"/>
  <c r="N124" i="21"/>
  <c r="K124" i="21"/>
  <c r="AG1142" i="25"/>
  <c r="AA1142" i="25"/>
  <c r="AF545" i="25"/>
  <c r="Z545" i="25"/>
  <c r="M411" i="21"/>
  <c r="J411" i="21"/>
  <c r="N630" i="21"/>
  <c r="K630" i="21"/>
  <c r="AF37" i="23"/>
  <c r="AP37" i="23"/>
  <c r="Z1129" i="16"/>
  <c r="AF1129" i="16"/>
  <c r="AG17" i="9"/>
  <c r="AE17" i="9"/>
  <c r="AO17" i="9"/>
  <c r="Z701" i="16"/>
  <c r="AF701" i="16"/>
  <c r="N831" i="21"/>
  <c r="K831" i="21"/>
  <c r="AF973" i="25"/>
  <c r="Z973" i="25"/>
  <c r="Z428" i="16"/>
  <c r="AF428" i="16"/>
  <c r="AB97" i="28"/>
  <c r="AB25" i="28"/>
  <c r="AE42" i="17"/>
  <c r="Z42" i="17"/>
  <c r="AE361" i="17"/>
  <c r="Z361" i="17"/>
  <c r="AF124" i="25"/>
  <c r="Z124" i="25"/>
  <c r="AG122" i="28"/>
  <c r="AG50" i="28"/>
  <c r="AG1063" i="25"/>
  <c r="AA1063" i="25"/>
  <c r="AG908" i="25"/>
  <c r="AA908" i="25"/>
  <c r="AF259" i="25"/>
  <c r="Z259" i="25"/>
  <c r="AG444" i="25"/>
  <c r="AA444" i="25"/>
  <c r="AO19" i="8"/>
  <c r="AE19" i="8"/>
  <c r="AG19" i="8"/>
  <c r="AG39" i="9"/>
  <c r="AE39" i="9"/>
  <c r="AO39" i="9"/>
  <c r="AE78" i="25"/>
  <c r="Y78" i="25"/>
  <c r="AE9" i="25"/>
  <c r="Y9" i="25"/>
  <c r="M235" i="21"/>
  <c r="J235" i="21"/>
  <c r="AE319" i="17"/>
  <c r="Z319" i="17"/>
  <c r="AE127" i="17"/>
  <c r="Z127" i="17"/>
  <c r="Z362" i="16"/>
  <c r="AF362" i="16"/>
  <c r="AE68" i="25"/>
  <c r="Y68" i="25"/>
  <c r="AF621" i="25"/>
  <c r="Z621" i="25"/>
  <c r="AG816" i="25"/>
  <c r="AA816" i="25"/>
  <c r="AG972" i="25"/>
  <c r="AA972" i="25"/>
  <c r="N604" i="21"/>
  <c r="K604" i="21"/>
  <c r="AE229" i="17"/>
  <c r="Z229" i="17"/>
  <c r="AE379" i="17"/>
  <c r="Z379" i="17"/>
  <c r="Y127" i="16"/>
  <c r="AE127" i="16"/>
  <c r="AG820" i="25"/>
  <c r="AA820" i="25"/>
  <c r="AG60" i="25"/>
  <c r="AA60" i="25"/>
  <c r="AF864" i="25"/>
  <c r="Z864" i="25"/>
  <c r="AG218" i="25"/>
  <c r="AA218" i="25"/>
  <c r="M116" i="21"/>
  <c r="J116" i="21"/>
  <c r="AZ69" i="23"/>
  <c r="AX69" i="23"/>
  <c r="N972" i="21"/>
  <c r="K972" i="21"/>
  <c r="AF104" i="25"/>
  <c r="Z104" i="25"/>
  <c r="AG283" i="25"/>
  <c r="AA283" i="25"/>
  <c r="AG914" i="25"/>
  <c r="AA914" i="25"/>
  <c r="N448" i="21"/>
  <c r="K448" i="21"/>
  <c r="AF118" i="16"/>
  <c r="AF381" i="25"/>
  <c r="Z381" i="25"/>
  <c r="N841" i="21"/>
  <c r="K841" i="21"/>
  <c r="N788" i="21"/>
  <c r="K788" i="21"/>
  <c r="AG14" i="23"/>
  <c r="AE14" i="23"/>
  <c r="AO14" i="23"/>
  <c r="N811" i="21"/>
  <c r="K811" i="21"/>
  <c r="AL59" i="23"/>
  <c r="AJ59" i="23"/>
  <c r="AG811" i="25"/>
  <c r="AA811" i="25"/>
  <c r="AG50" i="9"/>
  <c r="AE50" i="9"/>
  <c r="AO50" i="9"/>
  <c r="AF996" i="16"/>
  <c r="N895" i="21"/>
  <c r="K895" i="21"/>
  <c r="AG473" i="25"/>
  <c r="AA473" i="25"/>
  <c r="AF66" i="23"/>
  <c r="AP66" i="23"/>
  <c r="AF55" i="9"/>
  <c r="AP55" i="9"/>
  <c r="N1036" i="21"/>
  <c r="K1036" i="21"/>
  <c r="AF219" i="25"/>
  <c r="Z219" i="25"/>
  <c r="AF976" i="16"/>
  <c r="AB87" i="28"/>
  <c r="AB15" i="28"/>
  <c r="AG277" i="25"/>
  <c r="AA277" i="25"/>
  <c r="AF622" i="25"/>
  <c r="Z622" i="25"/>
  <c r="N163" i="21"/>
  <c r="K163" i="21"/>
  <c r="N1030" i="21"/>
  <c r="K1030" i="21"/>
  <c r="AL61" i="9"/>
  <c r="AJ61" i="9"/>
  <c r="N180" i="21"/>
  <c r="K180" i="21"/>
  <c r="N826" i="21"/>
  <c r="K826" i="21"/>
  <c r="Z604" i="16"/>
  <c r="AF604" i="16"/>
  <c r="Z1043" i="16"/>
  <c r="AF1043" i="16"/>
  <c r="AF1148" i="25"/>
  <c r="Z1148" i="25"/>
  <c r="AD78" i="17"/>
  <c r="Y78" i="17"/>
  <c r="AF950" i="16"/>
  <c r="AF1042" i="25"/>
  <c r="Z1042" i="25"/>
  <c r="AE185" i="25"/>
  <c r="Y185" i="25"/>
  <c r="AL19" i="9"/>
  <c r="AJ19" i="9"/>
  <c r="N66" i="8"/>
  <c r="T66" i="8"/>
  <c r="AM66" i="8"/>
  <c r="AG748" i="25"/>
  <c r="AA748" i="25"/>
  <c r="Y116" i="16"/>
  <c r="AE116" i="16"/>
  <c r="Z950" i="16"/>
  <c r="K950" i="21"/>
  <c r="N950" i="21"/>
  <c r="Z972" i="16"/>
  <c r="AF972" i="16"/>
  <c r="AI33" i="24"/>
  <c r="AL33" i="24"/>
  <c r="AB33" i="24"/>
  <c r="S18" i="33"/>
  <c r="AZ50" i="23"/>
  <c r="AX50" i="23"/>
  <c r="AE486" i="25"/>
  <c r="Y486" i="25"/>
  <c r="Z259" i="16"/>
  <c r="K259" i="21"/>
  <c r="N259" i="21"/>
  <c r="Z118" i="16"/>
  <c r="K118" i="21"/>
  <c r="N118" i="21"/>
  <c r="AE476" i="25"/>
  <c r="Y476" i="25"/>
  <c r="AE375" i="17"/>
  <c r="Z375" i="17"/>
  <c r="AF276" i="25"/>
  <c r="Z276" i="25"/>
  <c r="AG794" i="25"/>
  <c r="AA794" i="25"/>
  <c r="Z996" i="16"/>
  <c r="K996" i="21"/>
  <c r="N996" i="21"/>
  <c r="AG1061" i="25"/>
  <c r="AA1061" i="25"/>
  <c r="AF1014" i="25"/>
  <c r="Z1014" i="25"/>
  <c r="AD51" i="17"/>
  <c r="Y51" i="17"/>
  <c r="AE47" i="25"/>
  <c r="Y47" i="25"/>
  <c r="AF38" i="9"/>
  <c r="AP38" i="9"/>
  <c r="M606" i="21"/>
  <c r="J606" i="21"/>
  <c r="AB125" i="28"/>
  <c r="AB53" i="28"/>
  <c r="AF261" i="16"/>
  <c r="N32" i="21"/>
  <c r="K32" i="21"/>
  <c r="AF35" i="9"/>
  <c r="AP35" i="9"/>
  <c r="N529" i="21"/>
  <c r="K529" i="21"/>
  <c r="N747" i="21"/>
  <c r="K747" i="21"/>
  <c r="N422" i="21"/>
  <c r="K422" i="21"/>
  <c r="AG679" i="25"/>
  <c r="AA679" i="25"/>
  <c r="AG774" i="25"/>
  <c r="AA774" i="25"/>
  <c r="AE21" i="17"/>
  <c r="Z21" i="17"/>
  <c r="F42" i="22"/>
  <c r="N166" i="21"/>
  <c r="K166" i="21"/>
  <c r="AG179" i="25"/>
  <c r="AA179" i="25"/>
  <c r="AF117" i="28"/>
  <c r="AF45" i="28"/>
  <c r="AF283" i="25"/>
  <c r="Z283" i="25"/>
  <c r="AB121" i="28"/>
  <c r="AB49" i="28"/>
  <c r="N909" i="21"/>
  <c r="K909" i="21"/>
  <c r="AE151" i="17"/>
  <c r="Z151" i="17"/>
  <c r="AE403" i="25"/>
  <c r="Y403" i="25"/>
  <c r="AF672" i="16"/>
  <c r="AL29" i="23"/>
  <c r="AJ29" i="23"/>
  <c r="AG796" i="25"/>
  <c r="AA796" i="25"/>
  <c r="M27" i="21"/>
  <c r="J27" i="21"/>
  <c r="AF145" i="25"/>
  <c r="Z145" i="25"/>
  <c r="M11" i="21"/>
  <c r="J11" i="21"/>
  <c r="AG130" i="28"/>
  <c r="AG58" i="28"/>
  <c r="AF760" i="25"/>
  <c r="Z760" i="25"/>
  <c r="M189" i="21"/>
  <c r="J189" i="21"/>
  <c r="N1082" i="21"/>
  <c r="K1082" i="21"/>
  <c r="AZ68" i="23"/>
  <c r="AX68" i="23"/>
  <c r="AG1071" i="25"/>
  <c r="AA1071" i="25"/>
  <c r="N27" i="6"/>
  <c r="N27" i="7"/>
  <c r="T27" i="7"/>
  <c r="AP27" i="23"/>
  <c r="AF27" i="23"/>
  <c r="AK7" i="25"/>
  <c r="AL7" i="25"/>
  <c r="Z116" i="16"/>
  <c r="AF116" i="16"/>
  <c r="AE187" i="17"/>
  <c r="Z187" i="17"/>
  <c r="AF671" i="25"/>
  <c r="Z671" i="25"/>
  <c r="Z639" i="16"/>
  <c r="AF639" i="16"/>
  <c r="AG704" i="25"/>
  <c r="AA704" i="25"/>
  <c r="AO61" i="23"/>
  <c r="AE61" i="23"/>
  <c r="AG61" i="23"/>
  <c r="AP7" i="8"/>
  <c r="AF7" i="8"/>
  <c r="AC7" i="28"/>
  <c r="AC79" i="28"/>
  <c r="N948" i="21"/>
  <c r="K948" i="21"/>
  <c r="N584" i="21"/>
  <c r="K584" i="21"/>
  <c r="AF961" i="25"/>
  <c r="Z961" i="25"/>
  <c r="AF722" i="16"/>
  <c r="AF702" i="25"/>
  <c r="Z702" i="25"/>
  <c r="AF1064" i="25"/>
  <c r="Z1064" i="25"/>
  <c r="Z421" i="16"/>
  <c r="AF421" i="16"/>
  <c r="AG966" i="25"/>
  <c r="AA966" i="25"/>
  <c r="AG117" i="28"/>
  <c r="AG45" i="28"/>
  <c r="AD5" i="21"/>
  <c r="Y2" i="17"/>
  <c r="AD2" i="17"/>
  <c r="AJ3" i="17"/>
  <c r="AF900" i="25"/>
  <c r="Z900" i="25"/>
  <c r="AE412" i="25"/>
  <c r="Y412" i="25"/>
  <c r="AF770" i="25"/>
  <c r="Z770" i="25"/>
  <c r="AD64" i="17"/>
  <c r="Y64" i="17"/>
  <c r="AF1100" i="16"/>
  <c r="AF584" i="25"/>
  <c r="Z584" i="25"/>
  <c r="AG209" i="25"/>
  <c r="AA209" i="25"/>
  <c r="N1008" i="21"/>
  <c r="K1008" i="21"/>
  <c r="AF78" i="28"/>
  <c r="AF6" i="28"/>
  <c r="AL33" i="7"/>
  <c r="M404" i="21"/>
  <c r="J404" i="21"/>
  <c r="AG67" i="8"/>
  <c r="AF163" i="25"/>
  <c r="Z163" i="25"/>
  <c r="M544" i="21"/>
  <c r="J544" i="21"/>
  <c r="AK25" i="23"/>
  <c r="AK25" i="8"/>
  <c r="AK25" i="9"/>
  <c r="N192" i="21"/>
  <c r="K192" i="21"/>
  <c r="N454" i="21"/>
  <c r="K454" i="21"/>
  <c r="Y234" i="16"/>
  <c r="AE234" i="16"/>
  <c r="AE294" i="17"/>
  <c r="Z294" i="17"/>
  <c r="N800" i="21"/>
  <c r="K800" i="21"/>
  <c r="AF161" i="16"/>
  <c r="AF714" i="16"/>
  <c r="AG1108" i="25"/>
  <c r="AA1108" i="25"/>
  <c r="M340" i="21"/>
  <c r="J340" i="21"/>
  <c r="N284" i="21"/>
  <c r="K284" i="21"/>
  <c r="Z473" i="16"/>
  <c r="AF473" i="16"/>
  <c r="N752" i="21"/>
  <c r="K752" i="21"/>
  <c r="AE242" i="16"/>
  <c r="AE66" i="17"/>
  <c r="Z66" i="17"/>
  <c r="AG96" i="28"/>
  <c r="AG24" i="28"/>
  <c r="N100" i="21"/>
  <c r="K100" i="21"/>
  <c r="Z25" i="16"/>
  <c r="K25" i="21"/>
  <c r="N25" i="21"/>
  <c r="AG1073" i="25"/>
  <c r="AA1073" i="25"/>
  <c r="AE480" i="16"/>
  <c r="Y411" i="16"/>
  <c r="AE411" i="16"/>
  <c r="AI6" i="24"/>
  <c r="AL6" i="24"/>
  <c r="AB6" i="24"/>
  <c r="G6" i="33"/>
  <c r="N1052" i="21"/>
  <c r="K1052" i="21"/>
  <c r="AE385" i="17"/>
  <c r="Z385" i="17"/>
  <c r="AF1005" i="25"/>
  <c r="Z1005" i="25"/>
  <c r="AE395" i="17"/>
  <c r="Z395" i="17"/>
  <c r="AF1139" i="16"/>
  <c r="Z1139" i="16"/>
  <c r="AF443" i="25"/>
  <c r="Z443" i="25"/>
  <c r="AE575" i="25"/>
  <c r="Y575" i="25"/>
  <c r="N288" i="21"/>
  <c r="K288" i="21"/>
  <c r="AG454" i="25"/>
  <c r="AA454" i="25"/>
  <c r="N997" i="21"/>
  <c r="K997" i="21"/>
  <c r="AB80" i="28"/>
  <c r="AB8" i="28"/>
  <c r="AF584" i="16"/>
  <c r="Z584" i="16"/>
  <c r="N287" i="21"/>
  <c r="K287" i="21"/>
  <c r="AZ37" i="23"/>
  <c r="AX37" i="23"/>
  <c r="AE360" i="17"/>
  <c r="Z360" i="17"/>
  <c r="AG91" i="28"/>
  <c r="AG19" i="28"/>
  <c r="AB92" i="28"/>
  <c r="AB20" i="28"/>
  <c r="AL22" i="7"/>
  <c r="Z207" i="16"/>
  <c r="AF207" i="16"/>
  <c r="T73" i="23"/>
  <c r="N5" i="23"/>
  <c r="T5" i="23"/>
  <c r="AM5" i="23"/>
  <c r="AL19" i="23"/>
  <c r="AJ19" i="23"/>
  <c r="AF188" i="25"/>
  <c r="Z188" i="25"/>
  <c r="AE170" i="16"/>
  <c r="Y170" i="16"/>
  <c r="AF1009" i="25"/>
  <c r="Z1009" i="25"/>
  <c r="AL54" i="23"/>
  <c r="AJ54" i="23"/>
  <c r="AO39" i="8"/>
  <c r="AE39" i="8"/>
  <c r="AB39" i="28"/>
  <c r="AB111" i="28"/>
  <c r="N82" i="28"/>
  <c r="N10" i="28"/>
  <c r="AG1114" i="25"/>
  <c r="AA1114" i="25"/>
  <c r="Z263" i="16"/>
  <c r="AF263" i="16"/>
  <c r="AF565" i="16"/>
  <c r="Z565" i="16"/>
  <c r="AG897" i="25"/>
  <c r="AA897" i="25"/>
  <c r="AF344" i="25"/>
  <c r="Z344" i="25"/>
  <c r="N173" i="21"/>
  <c r="K173" i="21"/>
  <c r="AP14" i="9"/>
  <c r="AF14" i="9"/>
  <c r="Z948" i="16"/>
  <c r="AF948" i="16"/>
  <c r="AF693" i="25"/>
  <c r="Z693" i="25"/>
  <c r="AF974" i="25"/>
  <c r="Z974" i="25"/>
  <c r="AD48" i="17"/>
  <c r="Y48" i="17"/>
  <c r="AO35" i="8"/>
  <c r="AE35" i="8"/>
  <c r="AG35" i="8"/>
  <c r="N696" i="21"/>
  <c r="K696" i="21"/>
  <c r="AL16" i="23"/>
  <c r="AJ16" i="23"/>
  <c r="AF1153" i="25"/>
  <c r="Z1153" i="25"/>
  <c r="D14" i="30"/>
  <c r="D15" i="30"/>
  <c r="AF1062" i="25"/>
  <c r="Z1062" i="25"/>
  <c r="AG372" i="25"/>
  <c r="AA372" i="25"/>
  <c r="AG1069" i="25"/>
  <c r="AA1069" i="25"/>
  <c r="AE615" i="25"/>
  <c r="Y615" i="25"/>
  <c r="AE250" i="25"/>
  <c r="Y250" i="25"/>
  <c r="AF899" i="25"/>
  <c r="Z899" i="25"/>
  <c r="Z21" i="16"/>
  <c r="K21" i="21"/>
  <c r="N21" i="21"/>
  <c r="AF601" i="25"/>
  <c r="Z601" i="25"/>
  <c r="Z1100" i="16"/>
  <c r="K1100" i="21"/>
  <c r="N1100" i="21"/>
  <c r="AK45" i="9"/>
  <c r="AK45" i="23"/>
  <c r="AK45" i="6"/>
  <c r="AK45" i="7"/>
  <c r="AK45" i="8"/>
  <c r="Z947" i="16"/>
  <c r="K947" i="21"/>
  <c r="N947" i="21"/>
  <c r="Z730" i="16"/>
  <c r="AF730" i="16"/>
  <c r="AE73" i="17"/>
  <c r="Z73" i="17"/>
  <c r="AF124" i="28"/>
  <c r="AF52" i="28"/>
  <c r="AF64" i="23"/>
  <c r="AP64" i="23"/>
  <c r="Z1008" i="16"/>
  <c r="AF1008" i="16"/>
  <c r="AJ33" i="8"/>
  <c r="AL33" i="8"/>
  <c r="Y404" i="16"/>
  <c r="AE404" i="16"/>
  <c r="Y340" i="16"/>
  <c r="AE340" i="16"/>
  <c r="AF956" i="25"/>
  <c r="Z956" i="25"/>
  <c r="Z752" i="16"/>
  <c r="AF752" i="16"/>
  <c r="AG1132" i="25"/>
  <c r="AA1132" i="25"/>
  <c r="AG126" i="25"/>
  <c r="AA126" i="25"/>
  <c r="Z454" i="16"/>
  <c r="AF454" i="16"/>
  <c r="N384" i="21"/>
  <c r="K384" i="21"/>
  <c r="AE224" i="17"/>
  <c r="Z224" i="17"/>
  <c r="AE126" i="17"/>
  <c r="Z126" i="17"/>
  <c r="N927" i="21"/>
  <c r="K927" i="21"/>
  <c r="AD75" i="17"/>
  <c r="Y75" i="17"/>
  <c r="Z714" i="16"/>
  <c r="K714" i="21"/>
  <c r="N714" i="21"/>
  <c r="AF220" i="16"/>
  <c r="AF1026" i="16"/>
  <c r="Z1026" i="16"/>
  <c r="AG785" i="25"/>
  <c r="AA785" i="25"/>
  <c r="AF554" i="25"/>
  <c r="Z554" i="25"/>
  <c r="N36" i="23"/>
  <c r="T36" i="23"/>
  <c r="AM36" i="23"/>
  <c r="AF1113" i="16"/>
  <c r="Y42" i="16"/>
  <c r="AE42" i="16"/>
  <c r="AF795" i="16"/>
  <c r="Z795" i="16"/>
  <c r="AF666" i="25"/>
  <c r="Z666" i="25"/>
  <c r="R30" i="33"/>
  <c r="AM69" i="7"/>
  <c r="U30" i="33"/>
  <c r="AG751" i="25"/>
  <c r="AA751" i="25"/>
  <c r="AF617" i="16"/>
  <c r="N42" i="9"/>
  <c r="T42" i="9"/>
  <c r="AM42" i="9"/>
  <c r="AF19" i="23"/>
  <c r="AP19" i="23"/>
  <c r="N867" i="21"/>
  <c r="K867" i="21"/>
  <c r="AG564" i="25"/>
  <c r="AA564" i="25"/>
  <c r="AF38" i="23"/>
  <c r="AP38" i="23"/>
  <c r="Y480" i="16"/>
  <c r="J480" i="21"/>
  <c r="M480" i="21"/>
  <c r="AG625" i="25"/>
  <c r="AA625" i="25"/>
  <c r="AM14" i="23"/>
  <c r="T14" i="23"/>
  <c r="N14" i="23"/>
  <c r="N191" i="21"/>
  <c r="K191" i="21"/>
  <c r="M67" i="21"/>
  <c r="J67" i="21"/>
  <c r="AG137" i="28"/>
  <c r="AG65" i="28"/>
  <c r="N289" i="21"/>
  <c r="K289" i="21"/>
  <c r="AD109" i="17"/>
  <c r="Y109" i="17"/>
  <c r="AF883" i="16"/>
  <c r="Z883" i="16"/>
  <c r="M153" i="21"/>
  <c r="J153" i="21"/>
  <c r="N1111" i="21"/>
  <c r="K1111" i="21"/>
  <c r="N77" i="21"/>
  <c r="K77" i="21"/>
  <c r="AF878" i="16"/>
  <c r="Z878" i="16"/>
  <c r="N154" i="21"/>
  <c r="K154" i="21"/>
  <c r="AF1154" i="16"/>
  <c r="AG176" i="25"/>
  <c r="AA176" i="25"/>
  <c r="AF58" i="16"/>
  <c r="AG190" i="25"/>
  <c r="AA190" i="25"/>
  <c r="AG801" i="25"/>
  <c r="AA801" i="25"/>
  <c r="AF1116" i="25"/>
  <c r="Z1116" i="25"/>
  <c r="AF106" i="28"/>
  <c r="AF34" i="28"/>
  <c r="AE39" i="25"/>
  <c r="Y39" i="25"/>
  <c r="AE271" i="17"/>
  <c r="Z271" i="17"/>
  <c r="AF811" i="16"/>
  <c r="Z811" i="16"/>
  <c r="N131" i="21"/>
  <c r="K131" i="21"/>
  <c r="Z927" i="16"/>
  <c r="AF927" i="16"/>
  <c r="AF371" i="16"/>
  <c r="Z1085" i="16"/>
  <c r="K1085" i="21"/>
  <c r="N1085" i="21"/>
  <c r="AE273" i="17"/>
  <c r="Z273" i="17"/>
  <c r="AE27" i="17"/>
  <c r="Z27" i="17"/>
  <c r="AF472" i="16"/>
  <c r="AM11" i="23"/>
  <c r="T11" i="23"/>
  <c r="N11" i="23"/>
  <c r="M71" i="21"/>
  <c r="J71" i="21"/>
  <c r="AK25" i="7"/>
  <c r="AG25" i="28"/>
  <c r="AG97" i="28"/>
  <c r="Z220" i="16"/>
  <c r="K220" i="21"/>
  <c r="N220" i="21"/>
  <c r="Y10" i="16"/>
  <c r="J10" i="21"/>
  <c r="M10" i="21"/>
  <c r="AE291" i="17"/>
  <c r="Z291" i="17"/>
  <c r="Z617" i="16"/>
  <c r="K617" i="21"/>
  <c r="N617" i="21"/>
  <c r="AE111" i="16"/>
  <c r="M336" i="21"/>
  <c r="J336" i="21"/>
  <c r="AE335" i="25"/>
  <c r="Y335" i="25"/>
  <c r="AE242" i="25"/>
  <c r="Y242" i="25"/>
  <c r="AE128" i="16"/>
  <c r="AF285" i="25"/>
  <c r="Z285" i="25"/>
  <c r="AF1023" i="25"/>
  <c r="Z1023" i="25"/>
  <c r="N69" i="21"/>
  <c r="K69" i="21"/>
  <c r="AD71" i="17"/>
  <c r="Y71" i="17"/>
  <c r="AL8" i="23"/>
  <c r="AJ8" i="23"/>
  <c r="M154" i="21"/>
  <c r="J154" i="21"/>
  <c r="AF66" i="9"/>
  <c r="AP66" i="9"/>
  <c r="Y134" i="17"/>
  <c r="AD134" i="17"/>
  <c r="AJ6" i="17"/>
  <c r="N878" i="21"/>
  <c r="K878" i="21"/>
  <c r="Z258" i="16"/>
  <c r="AF258" i="16"/>
  <c r="AP22" i="8"/>
  <c r="AF22" i="8"/>
  <c r="AC22" i="28"/>
  <c r="AC94" i="28"/>
  <c r="AM34" i="7"/>
  <c r="AX34" i="23"/>
  <c r="AZ34" i="23"/>
  <c r="AF959" i="25"/>
  <c r="Z959" i="25"/>
  <c r="AJ39" i="7"/>
  <c r="AJ39" i="8"/>
  <c r="AL39" i="8"/>
  <c r="AE131" i="17"/>
  <c r="Z131" i="17"/>
  <c r="AF228" i="16"/>
  <c r="Z722" i="16"/>
  <c r="K722" i="21"/>
  <c r="N722" i="21"/>
  <c r="AP15" i="8"/>
  <c r="AF15" i="8"/>
  <c r="AC15" i="28"/>
  <c r="AC87" i="28"/>
  <c r="AO25" i="8"/>
  <c r="AE25" i="8"/>
  <c r="AG25" i="8"/>
  <c r="AF16" i="9"/>
  <c r="AP16" i="9"/>
  <c r="AG920" i="25"/>
  <c r="AA920" i="25"/>
  <c r="AK50" i="23"/>
  <c r="AK50" i="9"/>
  <c r="AK50" i="6"/>
  <c r="AK50" i="7"/>
  <c r="AK50" i="8"/>
  <c r="Y245" i="16"/>
  <c r="AE245" i="16"/>
  <c r="AE161" i="17"/>
  <c r="Z161" i="17"/>
  <c r="Z271" i="16"/>
  <c r="K271" i="21"/>
  <c r="N271" i="21"/>
  <c r="Z228" i="16"/>
  <c r="K228" i="21"/>
  <c r="N228" i="21"/>
  <c r="Z439" i="16"/>
  <c r="AF439" i="16"/>
  <c r="Z631" i="16"/>
  <c r="AF631" i="16"/>
  <c r="N827" i="21"/>
  <c r="K827" i="21"/>
  <c r="AG134" i="28"/>
  <c r="AG62" i="28"/>
  <c r="AE484" i="16"/>
  <c r="Z716" i="16"/>
  <c r="AF716" i="16"/>
  <c r="AP11" i="25"/>
  <c r="AQ11" i="25"/>
  <c r="AF67" i="25"/>
  <c r="Z67" i="25"/>
  <c r="Y235" i="16"/>
  <c r="AE235" i="16"/>
  <c r="AK62" i="23"/>
  <c r="AK62" i="9"/>
  <c r="AK62" i="6"/>
  <c r="AK62" i="7"/>
  <c r="AK62" i="8"/>
  <c r="Z268" i="16"/>
  <c r="AF268" i="16"/>
  <c r="AF135" i="28"/>
  <c r="AF63" i="28"/>
  <c r="AO67" i="8"/>
  <c r="AE67" i="8"/>
  <c r="AB67" i="28"/>
  <c r="AB139" i="28"/>
  <c r="AZ20" i="23"/>
  <c r="AX20" i="23"/>
  <c r="N78" i="28"/>
  <c r="N6" i="28"/>
  <c r="Z661" i="16"/>
  <c r="AF661" i="16"/>
  <c r="AE389" i="25"/>
  <c r="Y389" i="25"/>
  <c r="AE72" i="25"/>
  <c r="Y72" i="25"/>
  <c r="N791" i="21"/>
  <c r="K791" i="21"/>
  <c r="Z131" i="16"/>
  <c r="AF131" i="16"/>
  <c r="Z1113" i="16"/>
  <c r="K1113" i="21"/>
  <c r="N1113" i="21"/>
  <c r="N797" i="21"/>
  <c r="K797" i="21"/>
  <c r="AE276" i="17"/>
  <c r="Z276" i="17"/>
  <c r="AF547" i="25"/>
  <c r="Z547" i="25"/>
  <c r="X14" i="30"/>
  <c r="N5" i="28"/>
  <c r="N77" i="28"/>
  <c r="D9" i="30"/>
  <c r="X9" i="30"/>
  <c r="X15" i="30"/>
  <c r="Y242" i="16"/>
  <c r="J242" i="21"/>
  <c r="M242" i="21"/>
  <c r="AL42" i="23"/>
  <c r="AJ42" i="23"/>
  <c r="AG1000" i="25"/>
  <c r="AA1000" i="25"/>
  <c r="AF832" i="25"/>
  <c r="Z832" i="25"/>
  <c r="Z448" i="16"/>
  <c r="AF448" i="16"/>
  <c r="AG472" i="25"/>
  <c r="AA472" i="25"/>
  <c r="Z371" i="16"/>
  <c r="K371" i="21"/>
  <c r="N371" i="21"/>
  <c r="AF1017" i="25"/>
  <c r="Z1017" i="25"/>
  <c r="Z472" i="16"/>
  <c r="K472" i="21"/>
  <c r="N472" i="21"/>
  <c r="R12" i="33"/>
  <c r="AM50" i="7"/>
  <c r="U12" i="33"/>
  <c r="AF893" i="25"/>
  <c r="Z893" i="25"/>
  <c r="AJ59" i="7"/>
  <c r="AL59" i="7"/>
  <c r="AD137" i="17"/>
  <c r="Y137" i="17"/>
  <c r="AO60" i="23"/>
  <c r="AE60" i="23"/>
  <c r="AG60" i="23"/>
  <c r="AF883" i="25"/>
  <c r="Z883" i="25"/>
  <c r="AF471" i="25"/>
  <c r="Z471" i="25"/>
  <c r="AG591" i="25"/>
  <c r="AA591" i="25"/>
  <c r="Y71" i="16"/>
  <c r="AE71" i="16"/>
  <c r="AF810" i="16"/>
  <c r="Z810" i="16"/>
  <c r="AF84" i="28"/>
  <c r="AF12" i="28"/>
  <c r="AF666" i="16"/>
  <c r="AF871" i="25"/>
  <c r="Z871" i="25"/>
  <c r="AF910" i="16"/>
  <c r="Z384" i="16"/>
  <c r="AF384" i="16"/>
  <c r="AF634" i="16"/>
  <c r="AG32" i="9"/>
  <c r="AE32" i="9"/>
  <c r="AO32" i="9"/>
  <c r="AF555" i="16"/>
  <c r="Z555" i="16"/>
  <c r="N434" i="21"/>
  <c r="K434" i="21"/>
  <c r="AG1075" i="25"/>
  <c r="AA1075" i="25"/>
  <c r="N702" i="21"/>
  <c r="K702" i="21"/>
  <c r="M240" i="21"/>
  <c r="J240" i="21"/>
  <c r="AF688" i="16"/>
  <c r="AF836" i="16"/>
  <c r="Z836" i="16"/>
  <c r="AJ73" i="23"/>
  <c r="AL5" i="23"/>
  <c r="AJ5" i="23"/>
  <c r="AE475" i="25"/>
  <c r="Y475" i="25"/>
  <c r="AG907" i="25"/>
  <c r="AA907" i="25"/>
  <c r="Y67" i="16"/>
  <c r="AE67" i="16"/>
  <c r="AO53" i="8"/>
  <c r="AE53" i="8"/>
  <c r="AG53" i="8"/>
  <c r="Z289" i="16"/>
  <c r="AF289" i="16"/>
  <c r="AF213" i="16"/>
  <c r="AF561" i="16"/>
  <c r="Z561" i="16"/>
  <c r="Y128" i="16"/>
  <c r="J128" i="21"/>
  <c r="M128" i="21"/>
  <c r="AG735" i="25"/>
  <c r="AA735" i="25"/>
  <c r="AO41" i="23"/>
  <c r="AE41" i="23"/>
  <c r="AG41" i="23"/>
  <c r="Z976" i="16"/>
  <c r="K976" i="21"/>
  <c r="N976" i="21"/>
  <c r="Z1111" i="16"/>
  <c r="AF1111" i="16"/>
  <c r="Y484" i="16"/>
  <c r="J484" i="21"/>
  <c r="M484" i="21"/>
  <c r="AG677" i="25"/>
  <c r="AA677" i="25"/>
  <c r="AG1085" i="25"/>
  <c r="AA1085" i="25"/>
  <c r="Z910" i="16"/>
  <c r="K910" i="21"/>
  <c r="N910" i="21"/>
  <c r="N519" i="21"/>
  <c r="K519" i="21"/>
  <c r="AE333" i="25"/>
  <c r="Y333" i="25"/>
  <c r="AE198" i="25"/>
  <c r="Y198" i="25"/>
  <c r="AF587" i="16"/>
  <c r="Z587" i="16"/>
  <c r="AE269" i="17"/>
  <c r="Z269" i="17"/>
  <c r="AF803" i="25"/>
  <c r="Z803" i="25"/>
  <c r="AL68" i="8"/>
  <c r="AJ68" i="8"/>
  <c r="N312" i="21"/>
  <c r="K312" i="21"/>
  <c r="AO15" i="8"/>
  <c r="AE15" i="8"/>
  <c r="AG15" i="8"/>
  <c r="AF1002" i="25"/>
  <c r="Z1002" i="25"/>
  <c r="AF940" i="25"/>
  <c r="Z940" i="25"/>
  <c r="AF848" i="25"/>
  <c r="Z848" i="25"/>
  <c r="Z1154" i="16"/>
  <c r="K1154" i="21"/>
  <c r="N1154" i="21"/>
  <c r="Z58" i="16"/>
  <c r="K58" i="21"/>
  <c r="N58" i="21"/>
  <c r="N185" i="21"/>
  <c r="K185" i="21"/>
  <c r="AE118" i="16"/>
  <c r="AG752" i="25"/>
  <c r="AA752" i="25"/>
  <c r="AF320" i="25"/>
  <c r="Z320" i="25"/>
  <c r="AF83" i="25"/>
  <c r="Z83" i="25"/>
  <c r="AF659" i="25"/>
  <c r="Z659" i="25"/>
  <c r="M74" i="21"/>
  <c r="J74" i="21"/>
  <c r="N70" i="21"/>
  <c r="K70" i="21"/>
  <c r="AO11" i="23"/>
  <c r="AE11" i="23"/>
  <c r="AG11" i="23"/>
  <c r="AG70" i="9"/>
  <c r="AE70" i="9"/>
  <c r="AO70" i="9"/>
  <c r="AF959" i="16"/>
  <c r="AF1019" i="16"/>
  <c r="Z1019" i="16"/>
  <c r="AE646" i="25"/>
  <c r="Y646" i="25"/>
  <c r="AF268" i="25"/>
  <c r="Z268" i="25"/>
  <c r="AG588" i="25"/>
  <c r="AA588" i="25"/>
  <c r="AG584" i="25"/>
  <c r="AA584" i="25"/>
  <c r="AF172" i="16"/>
  <c r="Z172" i="16"/>
  <c r="AF602" i="25"/>
  <c r="Z602" i="25"/>
  <c r="AG928" i="25"/>
  <c r="AA928" i="25"/>
  <c r="Z166" i="16"/>
  <c r="AF166" i="16"/>
  <c r="Z702" i="16"/>
  <c r="AF702" i="16"/>
  <c r="N43" i="8"/>
  <c r="T43" i="8"/>
  <c r="AM43" i="8"/>
  <c r="N162" i="21"/>
  <c r="K162" i="21"/>
  <c r="Y240" i="16"/>
  <c r="AE240" i="16"/>
  <c r="N562" i="21"/>
  <c r="K562" i="21"/>
  <c r="AG466" i="25"/>
  <c r="AA466" i="25"/>
  <c r="N880" i="21"/>
  <c r="K880" i="21"/>
  <c r="AG152" i="25"/>
  <c r="AA152" i="25"/>
  <c r="AE304" i="17"/>
  <c r="Z304" i="17"/>
  <c r="AF498" i="25"/>
  <c r="Z498" i="25"/>
  <c r="AG1152" i="25"/>
  <c r="AA1152" i="25"/>
  <c r="AE481" i="25"/>
  <c r="Y481" i="25"/>
  <c r="AF786" i="16"/>
  <c r="Z786" i="16"/>
  <c r="AG61" i="25"/>
  <c r="AA61" i="25"/>
  <c r="M410" i="21"/>
  <c r="J410" i="21"/>
  <c r="N710" i="21"/>
  <c r="K710" i="21"/>
  <c r="AF1111" i="25"/>
  <c r="Z1111" i="25"/>
  <c r="Z124" i="16"/>
  <c r="AF124" i="16"/>
  <c r="AF59" i="25"/>
  <c r="Z59" i="25"/>
  <c r="Z100" i="16"/>
  <c r="AF100" i="16"/>
  <c r="AF362" i="25"/>
  <c r="Z362" i="25"/>
  <c r="M79" i="21"/>
  <c r="J79" i="21"/>
  <c r="AG988" i="25"/>
  <c r="AA988" i="25"/>
  <c r="AL43" i="7"/>
  <c r="AG1007" i="25"/>
  <c r="AA1007" i="25"/>
  <c r="Z909" i="16"/>
  <c r="AF909" i="16"/>
  <c r="AF127" i="28"/>
  <c r="AF55" i="28"/>
  <c r="N291" i="21"/>
  <c r="K291" i="21"/>
  <c r="Z519" i="16"/>
  <c r="AF519" i="16"/>
  <c r="AF568" i="16"/>
  <c r="Z568" i="16"/>
  <c r="AD85" i="17"/>
  <c r="Y85" i="17"/>
  <c r="AF426" i="16"/>
  <c r="AG308" i="25"/>
  <c r="AA308" i="25"/>
  <c r="AE246" i="25"/>
  <c r="Y246" i="25"/>
  <c r="AF42" i="23"/>
  <c r="AP42" i="23"/>
  <c r="AF95" i="25"/>
  <c r="Z95" i="25"/>
  <c r="M570" i="21"/>
  <c r="J570" i="21"/>
  <c r="AF433" i="25"/>
  <c r="Z433" i="25"/>
  <c r="AF877" i="25"/>
  <c r="Z877" i="25"/>
  <c r="M496" i="21"/>
  <c r="J496" i="21"/>
  <c r="Z32" i="16"/>
  <c r="AF32" i="16"/>
  <c r="N193" i="21"/>
  <c r="K193" i="21"/>
  <c r="AF193" i="16"/>
  <c r="Z193" i="16"/>
  <c r="AG894" i="25"/>
  <c r="AA894" i="25"/>
  <c r="AF554" i="16"/>
  <c r="Z554" i="16"/>
  <c r="AF438" i="25"/>
  <c r="Z438" i="25"/>
  <c r="AK3" i="16"/>
  <c r="AU3" i="16"/>
  <c r="AE38" i="16"/>
  <c r="AA5" i="21"/>
  <c r="AK18" i="9"/>
  <c r="AK18" i="23"/>
  <c r="AK18" i="8"/>
  <c r="N1029" i="21"/>
  <c r="K1029" i="21"/>
  <c r="N515" i="21"/>
  <c r="K515" i="21"/>
  <c r="AF810" i="25"/>
  <c r="Z810" i="25"/>
  <c r="Y241" i="16"/>
  <c r="AE241" i="16"/>
  <c r="AF1150" i="16"/>
  <c r="N309" i="21"/>
  <c r="K309" i="21"/>
  <c r="AF515" i="25"/>
  <c r="Z515" i="25"/>
  <c r="AG1099" i="25"/>
  <c r="AA1099" i="25"/>
  <c r="AD56" i="17"/>
  <c r="Y56" i="17"/>
  <c r="AF710" i="25"/>
  <c r="Z710" i="25"/>
  <c r="AF989" i="16"/>
  <c r="AO59" i="23"/>
  <c r="AE59" i="23"/>
  <c r="AG59" i="23"/>
  <c r="AF174" i="25"/>
  <c r="Z174" i="25"/>
  <c r="N966" i="21"/>
  <c r="K966" i="21"/>
  <c r="AF677" i="16"/>
  <c r="AE130" i="25"/>
  <c r="Y130" i="25"/>
  <c r="V13" i="30"/>
  <c r="V7" i="30"/>
  <c r="AG188" i="25"/>
  <c r="AA188" i="25"/>
  <c r="AF777" i="16"/>
  <c r="Z777" i="16"/>
  <c r="AF678" i="25"/>
  <c r="Z678" i="25"/>
  <c r="AV6" i="16"/>
  <c r="AF907" i="25"/>
  <c r="Z907" i="25"/>
  <c r="AF1022" i="25"/>
  <c r="Z1022" i="25"/>
  <c r="N583" i="21"/>
  <c r="K583" i="21"/>
  <c r="AF156" i="25"/>
  <c r="Z156" i="25"/>
  <c r="AE649" i="16"/>
  <c r="AG843" i="25"/>
  <c r="AA843" i="25"/>
  <c r="AE184" i="16"/>
  <c r="Y184" i="16"/>
  <c r="AG1065" i="25"/>
  <c r="AA1065" i="25"/>
  <c r="AG934" i="25"/>
  <c r="AA934" i="25"/>
  <c r="N731" i="21"/>
  <c r="K731" i="21"/>
  <c r="AG1062" i="25"/>
  <c r="AA1062" i="25"/>
  <c r="AE70" i="25"/>
  <c r="Y70" i="25"/>
  <c r="M168" i="21"/>
  <c r="J168" i="21"/>
  <c r="AM59" i="23"/>
  <c r="T59" i="23"/>
  <c r="N59" i="23"/>
  <c r="AG806" i="25"/>
  <c r="AA806" i="25"/>
  <c r="AF901" i="16"/>
  <c r="Z901" i="16"/>
  <c r="N308" i="21"/>
  <c r="K308" i="21"/>
  <c r="N206" i="21"/>
  <c r="K206" i="21"/>
  <c r="N19" i="21"/>
  <c r="K19" i="21"/>
  <c r="Z688" i="16"/>
  <c r="K688" i="21"/>
  <c r="N688" i="21"/>
  <c r="AV11" i="16"/>
  <c r="N275" i="21"/>
  <c r="K275" i="21"/>
  <c r="N99" i="21"/>
  <c r="K99" i="21"/>
  <c r="AG553" i="25"/>
  <c r="AA553" i="25"/>
  <c r="N632" i="21"/>
  <c r="K632" i="21"/>
  <c r="N768" i="21"/>
  <c r="K768" i="21"/>
  <c r="AF458" i="25"/>
  <c r="Z458" i="25"/>
  <c r="AK24" i="23"/>
  <c r="AK24" i="9"/>
  <c r="AK24" i="7"/>
  <c r="AK24" i="8"/>
  <c r="AE298" i="16"/>
  <c r="Y79" i="16"/>
  <c r="AE79" i="16"/>
  <c r="N894" i="21"/>
  <c r="K894" i="21"/>
  <c r="AJ43" i="7"/>
  <c r="AJ43" i="23"/>
  <c r="AL43" i="23"/>
  <c r="AF720" i="25"/>
  <c r="Z720" i="25"/>
  <c r="T50" i="7"/>
  <c r="AP50" i="8"/>
  <c r="AF50" i="8"/>
  <c r="AC50" i="28"/>
  <c r="AC122" i="28"/>
  <c r="AE185" i="16"/>
  <c r="Y185" i="16"/>
  <c r="AF511" i="25"/>
  <c r="Z511" i="25"/>
  <c r="M179" i="21"/>
  <c r="J179" i="21"/>
  <c r="AF969" i="25"/>
  <c r="Z969" i="25"/>
  <c r="AO38" i="23"/>
  <c r="AE38" i="23"/>
  <c r="AG38" i="23"/>
  <c r="AG922" i="25"/>
  <c r="AA922" i="25"/>
  <c r="AF839" i="16"/>
  <c r="Z839" i="16"/>
  <c r="AE541" i="25"/>
  <c r="Y541" i="25"/>
  <c r="Z1052" i="16"/>
  <c r="AF1052" i="16"/>
  <c r="Z291" i="16"/>
  <c r="AF291" i="16"/>
  <c r="M177" i="21"/>
  <c r="J177" i="21"/>
  <c r="AE164" i="17"/>
  <c r="Z164" i="17"/>
  <c r="AF977" i="16"/>
  <c r="Z426" i="16"/>
  <c r="K426" i="21"/>
  <c r="N426" i="21"/>
  <c r="AF461" i="16"/>
  <c r="Y496" i="16"/>
  <c r="AE496" i="16"/>
  <c r="AE98" i="16"/>
  <c r="AF84" i="16"/>
  <c r="AG861" i="25"/>
  <c r="AA861" i="25"/>
  <c r="AE611" i="25"/>
  <c r="Y611" i="25"/>
  <c r="Y298" i="16"/>
  <c r="J298" i="21"/>
  <c r="M298" i="21"/>
  <c r="AE475" i="16"/>
  <c r="Z284" i="16"/>
  <c r="AF284" i="16"/>
  <c r="Z69" i="16"/>
  <c r="AF69" i="16"/>
  <c r="AL36" i="7"/>
  <c r="Z515" i="16"/>
  <c r="AF515" i="16"/>
  <c r="AB51" i="24"/>
  <c r="G5" i="33"/>
  <c r="G44" i="22"/>
  <c r="AI5" i="24"/>
  <c r="AL5" i="24"/>
  <c r="AB5" i="24"/>
  <c r="AD170" i="17"/>
  <c r="Y170" i="17"/>
  <c r="AF994" i="25"/>
  <c r="Z994" i="25"/>
  <c r="N547" i="21"/>
  <c r="K547" i="21"/>
  <c r="N908" i="21"/>
  <c r="K908" i="21"/>
  <c r="V11" i="30"/>
  <c r="AL21" i="23"/>
  <c r="AJ21" i="23"/>
  <c r="AG530" i="25"/>
  <c r="AA530" i="25"/>
  <c r="AE364" i="17"/>
  <c r="Z364" i="17"/>
  <c r="N877" i="21"/>
  <c r="K877" i="21"/>
  <c r="H49" i="5"/>
  <c r="H48" i="5"/>
  <c r="AF849" i="16"/>
  <c r="Z849" i="16"/>
  <c r="AG226" i="25"/>
  <c r="AA226" i="25"/>
  <c r="AF722" i="25"/>
  <c r="Z722" i="25"/>
  <c r="AF54" i="23"/>
  <c r="AP54" i="23"/>
  <c r="AG741" i="25"/>
  <c r="AA741" i="25"/>
  <c r="AG428" i="25"/>
  <c r="AA428" i="25"/>
  <c r="AF209" i="25"/>
  <c r="Z209" i="25"/>
  <c r="M61" i="21"/>
  <c r="J61" i="21"/>
  <c r="AM22" i="8"/>
  <c r="T22" i="8"/>
  <c r="N22" i="8"/>
  <c r="AE148" i="17"/>
  <c r="Z148" i="17"/>
  <c r="N664" i="21"/>
  <c r="K664" i="21"/>
  <c r="AE534" i="25"/>
  <c r="Y534" i="25"/>
  <c r="AB119" i="28"/>
  <c r="AB47" i="28"/>
  <c r="Z84" i="16"/>
  <c r="K84" i="21"/>
  <c r="N84" i="21"/>
  <c r="AF350" i="25"/>
  <c r="Z350" i="25"/>
  <c r="AE180" i="25"/>
  <c r="Y180" i="25"/>
  <c r="N274" i="21"/>
  <c r="K274" i="21"/>
  <c r="AG749" i="25"/>
  <c r="AA749" i="25"/>
  <c r="AE284" i="17"/>
  <c r="Z284" i="17"/>
  <c r="AE393" i="25"/>
  <c r="Y393" i="25"/>
  <c r="N17" i="21"/>
  <c r="K17" i="21"/>
  <c r="N1059" i="21"/>
  <c r="K1059" i="21"/>
  <c r="AF18" i="25"/>
  <c r="Z18" i="25"/>
  <c r="N465" i="21"/>
  <c r="K465" i="21"/>
  <c r="M32" i="21"/>
  <c r="J32" i="21"/>
  <c r="AF797" i="16"/>
  <c r="Z797" i="16"/>
  <c r="AF355" i="25"/>
  <c r="Z355" i="25"/>
  <c r="AE578" i="25"/>
  <c r="Y578" i="25"/>
  <c r="AF703" i="25"/>
  <c r="Z703" i="25"/>
  <c r="N46" i="8"/>
  <c r="T46" i="8"/>
  <c r="AM46" i="8"/>
  <c r="AL67" i="7"/>
  <c r="AF87" i="25"/>
  <c r="Z87" i="25"/>
  <c r="AF1015" i="25"/>
  <c r="Z1015" i="25"/>
  <c r="M203" i="21"/>
  <c r="J203" i="21"/>
  <c r="AD60" i="17"/>
  <c r="Y60" i="17"/>
  <c r="AF434" i="25"/>
  <c r="Z434" i="25"/>
  <c r="Z672" i="16"/>
  <c r="K672" i="21"/>
  <c r="N672" i="21"/>
  <c r="AF987" i="25"/>
  <c r="Z987" i="25"/>
  <c r="AF844" i="25"/>
  <c r="Z844" i="25"/>
  <c r="AO68" i="9"/>
  <c r="AE68" i="9"/>
  <c r="AG68" i="9"/>
  <c r="AF675" i="25"/>
  <c r="Z675" i="25"/>
  <c r="Y336" i="16"/>
  <c r="AE336" i="16"/>
  <c r="Z977" i="16"/>
  <c r="K977" i="21"/>
  <c r="N977" i="21"/>
  <c r="AK65" i="8"/>
  <c r="AK65" i="23"/>
  <c r="AK65" i="6"/>
  <c r="AK65" i="7"/>
  <c r="AK65" i="9"/>
  <c r="AJ12" i="7"/>
  <c r="AL12" i="7"/>
  <c r="AJ70" i="7"/>
  <c r="AL70" i="7"/>
  <c r="AP8" i="8"/>
  <c r="AF8" i="8"/>
  <c r="AC8" i="28"/>
  <c r="AC80" i="28"/>
  <c r="Z461" i="16"/>
  <c r="K461" i="21"/>
  <c r="N461" i="21"/>
  <c r="Y606" i="16"/>
  <c r="AE606" i="16"/>
  <c r="AF192" i="25"/>
  <c r="Z192" i="25"/>
  <c r="AF946" i="25"/>
  <c r="Z946" i="25"/>
  <c r="Y153" i="16"/>
  <c r="AE153" i="16"/>
  <c r="N786" i="21"/>
  <c r="K786" i="21"/>
  <c r="AE390" i="17"/>
  <c r="Z390" i="17"/>
  <c r="AG504" i="25"/>
  <c r="AA504" i="25"/>
  <c r="AF30" i="23"/>
  <c r="AP30" i="23"/>
  <c r="AE186" i="25"/>
  <c r="Y186" i="25"/>
  <c r="Z1036" i="16"/>
  <c r="AF1036" i="16"/>
  <c r="AE58" i="17"/>
  <c r="Z58" i="17"/>
  <c r="Y98" i="16"/>
  <c r="J98" i="21"/>
  <c r="M98" i="21"/>
  <c r="Z634" i="16"/>
  <c r="K634" i="21"/>
  <c r="N634" i="21"/>
  <c r="AF176" i="25"/>
  <c r="Z176" i="25"/>
  <c r="AF1016" i="25"/>
  <c r="Z1016" i="25"/>
  <c r="Y475" i="16"/>
  <c r="J475" i="21"/>
  <c r="M475" i="21"/>
  <c r="Y118" i="16"/>
  <c r="J118" i="21"/>
  <c r="M118" i="21"/>
  <c r="Z989" i="16"/>
  <c r="K989" i="21"/>
  <c r="N989" i="21"/>
  <c r="AA662" i="25"/>
  <c r="AG662" i="25"/>
  <c r="AP6" i="25"/>
  <c r="AQ6" i="25"/>
  <c r="AJ36" i="7"/>
  <c r="AJ36" i="8"/>
  <c r="AL36" i="8"/>
  <c r="AK58" i="23"/>
  <c r="AK58" i="8"/>
  <c r="AK58" i="6"/>
  <c r="AK58" i="7"/>
  <c r="AK58" i="9"/>
  <c r="Z908" i="16"/>
  <c r="AF908" i="16"/>
  <c r="N1076" i="21"/>
  <c r="K1076" i="21"/>
  <c r="N546" i="21"/>
  <c r="K546" i="21"/>
  <c r="Z747" i="16"/>
  <c r="AF747" i="16"/>
  <c r="AD81" i="17"/>
  <c r="Y81" i="17"/>
  <c r="AG281" i="25"/>
  <c r="AA281" i="25"/>
  <c r="AV12" i="25"/>
  <c r="AU12" i="25"/>
  <c r="H55" i="5"/>
  <c r="AE56" i="17"/>
  <c r="Z56" i="17"/>
  <c r="F51" i="22"/>
  <c r="D51" i="22"/>
  <c r="G51" i="22"/>
  <c r="AF431" i="25"/>
  <c r="Z431" i="25"/>
  <c r="AG1049" i="25"/>
  <c r="AA1049" i="25"/>
  <c r="N1110" i="21"/>
  <c r="K1110" i="21"/>
  <c r="N874" i="21"/>
  <c r="K874" i="21"/>
  <c r="AF618" i="16"/>
  <c r="Z312" i="16"/>
  <c r="AF312" i="16"/>
  <c r="AF1087" i="25"/>
  <c r="Z1087" i="25"/>
  <c r="AF467" i="16"/>
  <c r="AE539" i="16"/>
  <c r="Y539" i="16"/>
  <c r="AG25" i="9"/>
  <c r="AE25" i="9"/>
  <c r="AO25" i="9"/>
  <c r="M148" i="21"/>
  <c r="J148" i="21"/>
  <c r="AE372" i="17"/>
  <c r="Z372" i="17"/>
  <c r="N1104" i="21"/>
  <c r="K1104" i="21"/>
  <c r="AF1130" i="25"/>
  <c r="Z1130" i="25"/>
  <c r="AE112" i="25"/>
  <c r="Y112" i="25"/>
  <c r="AF212" i="25"/>
  <c r="Z212" i="25"/>
  <c r="AF22" i="23"/>
  <c r="AP22" i="23"/>
  <c r="AE343" i="17"/>
  <c r="Z343" i="17"/>
  <c r="AF912" i="25"/>
  <c r="Z912" i="25"/>
  <c r="AO64" i="9"/>
  <c r="AE64" i="9"/>
  <c r="AG64" i="9"/>
  <c r="AF694" i="16"/>
  <c r="Y32" i="16"/>
  <c r="AE32" i="16"/>
  <c r="AF529" i="16"/>
  <c r="Z529" i="16"/>
  <c r="AF1068" i="25"/>
  <c r="Z1068" i="25"/>
  <c r="AF122" i="28"/>
  <c r="AF50" i="28"/>
  <c r="T52" i="7"/>
  <c r="AP52" i="9"/>
  <c r="AF52" i="9"/>
  <c r="AJ67" i="7"/>
  <c r="AJ67" i="23"/>
  <c r="AL67" i="23"/>
  <c r="AF121" i="25"/>
  <c r="Z121" i="25"/>
  <c r="N61" i="28"/>
  <c r="N133" i="28"/>
  <c r="AG315" i="25"/>
  <c r="AA315" i="25"/>
  <c r="AF98" i="28"/>
  <c r="AF26" i="28"/>
  <c r="N86" i="21"/>
  <c r="K86" i="21"/>
  <c r="K50" i="21"/>
  <c r="N50" i="21"/>
  <c r="V7" i="21"/>
  <c r="AJ7" i="21"/>
  <c r="AE241" i="25"/>
  <c r="Y241" i="25"/>
  <c r="AM71" i="8"/>
  <c r="T71" i="8"/>
  <c r="N71" i="8"/>
  <c r="N514" i="21"/>
  <c r="K514" i="21"/>
  <c r="AE56" i="25"/>
  <c r="Y56" i="25"/>
  <c r="AF1113" i="25"/>
  <c r="Z1113" i="25"/>
  <c r="AF505" i="16"/>
  <c r="AG926" i="25"/>
  <c r="AA926" i="25"/>
  <c r="AF941" i="25"/>
  <c r="Z941" i="25"/>
  <c r="N122" i="21"/>
  <c r="K122" i="21"/>
  <c r="AE66" i="16"/>
  <c r="AG1122" i="25"/>
  <c r="AA1122" i="25"/>
  <c r="AF594" i="25"/>
  <c r="Z594" i="25"/>
  <c r="N885" i="21"/>
  <c r="K885" i="21"/>
  <c r="N429" i="21"/>
  <c r="K429" i="21"/>
  <c r="Z467" i="16"/>
  <c r="K467" i="21"/>
  <c r="N467" i="21"/>
  <c r="N744" i="21"/>
  <c r="K744" i="21"/>
  <c r="AF73" i="23"/>
  <c r="M645" i="21"/>
  <c r="J645" i="21"/>
  <c r="N320" i="21"/>
  <c r="K320" i="21"/>
  <c r="N787" i="21"/>
  <c r="K787" i="21"/>
  <c r="Z1082" i="16"/>
  <c r="AF1082" i="16"/>
  <c r="AG288" i="25"/>
  <c r="AA288" i="25"/>
  <c r="N1005" i="21"/>
  <c r="K1005" i="21"/>
  <c r="AF135" i="25"/>
  <c r="Z135" i="25"/>
  <c r="AP53" i="23"/>
  <c r="AF53" i="23"/>
  <c r="AF1039" i="25"/>
  <c r="Z1039" i="25"/>
  <c r="AL50" i="9"/>
  <c r="AJ50" i="9"/>
  <c r="N51" i="21"/>
  <c r="K51" i="21"/>
  <c r="Z694" i="16"/>
  <c r="K694" i="21"/>
  <c r="N694" i="21"/>
  <c r="AF698" i="16"/>
  <c r="AG950" i="25"/>
  <c r="AA950" i="25"/>
  <c r="N741" i="21"/>
  <c r="K741" i="21"/>
  <c r="AG469" i="25"/>
  <c r="AA469" i="25"/>
  <c r="AG456" i="25"/>
  <c r="AA456" i="25"/>
  <c r="AG520" i="25"/>
  <c r="AA520" i="25"/>
  <c r="AE59" i="16"/>
  <c r="AE7" i="21"/>
  <c r="AE14" i="17"/>
  <c r="Z14" i="17"/>
  <c r="AF10" i="9"/>
  <c r="AP10" i="9"/>
  <c r="AE193" i="16"/>
  <c r="Y193" i="16"/>
  <c r="AG754" i="25"/>
  <c r="AA754" i="25"/>
  <c r="AJ33" i="7"/>
  <c r="AJ33" i="9"/>
  <c r="AL33" i="9"/>
  <c r="Z161" i="16"/>
  <c r="K161" i="21"/>
  <c r="N161" i="21"/>
  <c r="Z630" i="16"/>
  <c r="AF630" i="16"/>
  <c r="Z213" i="16"/>
  <c r="K213" i="21"/>
  <c r="N213" i="21"/>
  <c r="AF290" i="25"/>
  <c r="Z290" i="25"/>
  <c r="AF288" i="25"/>
  <c r="Z288" i="25"/>
  <c r="Y9" i="16"/>
  <c r="AE9" i="16"/>
  <c r="F44" i="22"/>
  <c r="F47" i="22"/>
  <c r="F45" i="22"/>
  <c r="F46" i="22"/>
  <c r="Z869" i="25"/>
  <c r="AF869" i="25"/>
  <c r="AU7" i="25"/>
  <c r="AV7" i="25"/>
  <c r="AG903" i="25"/>
  <c r="AA903" i="25"/>
  <c r="Z696" i="16"/>
  <c r="AF696" i="16"/>
  <c r="Z261" i="16"/>
  <c r="K261" i="21"/>
  <c r="N261" i="21"/>
  <c r="AJ54" i="7"/>
  <c r="AL54" i="7"/>
  <c r="Z666" i="16"/>
  <c r="K666" i="21"/>
  <c r="N666" i="21"/>
  <c r="Y27" i="16"/>
  <c r="AE27" i="16"/>
  <c r="AF32" i="9"/>
  <c r="AP32" i="9"/>
  <c r="Z997" i="16"/>
  <c r="AF997" i="16"/>
  <c r="N11" i="8"/>
  <c r="T11" i="8"/>
  <c r="AM11" i="8"/>
  <c r="AF8" i="9"/>
  <c r="AP8" i="9"/>
  <c r="AF281" i="25"/>
  <c r="Z281" i="25"/>
  <c r="AF590" i="25"/>
  <c r="Z590" i="25"/>
  <c r="AV9" i="16"/>
  <c r="AU9" i="16"/>
  <c r="AF461" i="25"/>
  <c r="Z461" i="25"/>
  <c r="AF874" i="25"/>
  <c r="Z874" i="25"/>
  <c r="AD98" i="17"/>
  <c r="Y98" i="17"/>
  <c r="AG265" i="25"/>
  <c r="AA265" i="25"/>
  <c r="Y111" i="16"/>
  <c r="J111" i="21"/>
  <c r="M111" i="21"/>
  <c r="AF132" i="25"/>
  <c r="Z132" i="25"/>
  <c r="Z288" i="16"/>
  <c r="AF288" i="16"/>
  <c r="Z77" i="16"/>
  <c r="AF77" i="16"/>
  <c r="AO8" i="8"/>
  <c r="AE8" i="8"/>
  <c r="AG8" i="8"/>
  <c r="Z154" i="16"/>
  <c r="AF154" i="16"/>
  <c r="Y11" i="16"/>
  <c r="AE11" i="16"/>
  <c r="AG191" i="25"/>
  <c r="AA191" i="25"/>
  <c r="AG985" i="25"/>
  <c r="AA985" i="25"/>
  <c r="N187" i="21"/>
  <c r="K187" i="21"/>
  <c r="AF800" i="25"/>
  <c r="Z800" i="25"/>
  <c r="AG676" i="25"/>
  <c r="AA676" i="25"/>
  <c r="AE241" i="17"/>
  <c r="Z241" i="17"/>
  <c r="Y148" i="16"/>
  <c r="AE148" i="16"/>
  <c r="AC108" i="28"/>
  <c r="AP36" i="8"/>
  <c r="AF36" i="8"/>
  <c r="AC36" i="28"/>
  <c r="Z86" i="16"/>
  <c r="AF86" i="16"/>
  <c r="AF835" i="16"/>
  <c r="Z835" i="16"/>
  <c r="AG64" i="8"/>
  <c r="AF111" i="16"/>
  <c r="Z514" i="16"/>
  <c r="AF514" i="16"/>
  <c r="AV6" i="25"/>
  <c r="AF110" i="16"/>
  <c r="AF790" i="25"/>
  <c r="Z790" i="25"/>
  <c r="Z505" i="16"/>
  <c r="K505" i="21"/>
  <c r="N505" i="21"/>
  <c r="M146" i="21"/>
  <c r="J146" i="21"/>
  <c r="N64" i="21"/>
  <c r="K64" i="21"/>
  <c r="AG508" i="25"/>
  <c r="AA508" i="25"/>
  <c r="AG737" i="25"/>
  <c r="AA737" i="25"/>
  <c r="AE128" i="25"/>
  <c r="Y128" i="25"/>
  <c r="Y66" i="16"/>
  <c r="J66" i="21"/>
  <c r="M66" i="21"/>
  <c r="AF525" i="25"/>
  <c r="Z525" i="25"/>
  <c r="AO55" i="23"/>
  <c r="AE55" i="23"/>
  <c r="AG55" i="23"/>
  <c r="AF37" i="25"/>
  <c r="Z37" i="25"/>
  <c r="AF8" i="25"/>
  <c r="Z8" i="25"/>
  <c r="AG756" i="25"/>
  <c r="AA756" i="25"/>
  <c r="AF1050" i="25"/>
  <c r="Z1050" i="25"/>
  <c r="AF596" i="25"/>
  <c r="Z596" i="25"/>
  <c r="M190" i="21"/>
  <c r="J190" i="21"/>
  <c r="AF1013" i="25"/>
  <c r="Z1013" i="25"/>
  <c r="N103" i="21"/>
  <c r="K103" i="21"/>
  <c r="AF272" i="25"/>
  <c r="Z272" i="25"/>
  <c r="N888" i="21"/>
  <c r="K888" i="21"/>
  <c r="AF788" i="16"/>
  <c r="Z788" i="16"/>
  <c r="AD49" i="17"/>
  <c r="Y49" i="17"/>
  <c r="AV12" i="16"/>
  <c r="AE192" i="16"/>
  <c r="Y192" i="16"/>
  <c r="AF770" i="16"/>
  <c r="Z770" i="16"/>
  <c r="AJ9" i="21"/>
  <c r="V9" i="21"/>
  <c r="N662" i="21"/>
  <c r="AF51" i="23"/>
  <c r="AP51" i="23"/>
  <c r="AF150" i="25"/>
  <c r="Z150" i="25"/>
  <c r="N351" i="21"/>
  <c r="K351" i="21"/>
  <c r="AG506" i="25"/>
  <c r="AA506" i="25"/>
  <c r="AF50" i="25"/>
  <c r="Z50" i="25"/>
  <c r="AF35" i="23"/>
  <c r="T35" i="7"/>
  <c r="AP35" i="23"/>
  <c r="AE647" i="16"/>
  <c r="AB130" i="28"/>
  <c r="AB58" i="28"/>
  <c r="AF383" i="16"/>
  <c r="Z698" i="16"/>
  <c r="K698" i="21"/>
  <c r="N698" i="21"/>
  <c r="AF185" i="16"/>
  <c r="Z185" i="16"/>
  <c r="N1046" i="21"/>
  <c r="K1046" i="21"/>
  <c r="AF1092" i="16"/>
  <c r="AG742" i="25"/>
  <c r="AA742" i="25"/>
  <c r="Z1076" i="16"/>
  <c r="AF1076" i="16"/>
  <c r="AG457" i="25"/>
  <c r="AA457" i="25"/>
  <c r="N327" i="21"/>
  <c r="K327" i="21"/>
  <c r="AL52" i="7"/>
  <c r="N3" i="21"/>
  <c r="K3" i="21"/>
  <c r="Z677" i="16"/>
  <c r="K677" i="21"/>
  <c r="N677" i="21"/>
  <c r="AF867" i="25"/>
  <c r="Z867" i="25"/>
  <c r="Z99" i="16"/>
  <c r="AF99" i="16"/>
  <c r="AL42" i="9"/>
  <c r="AJ42" i="9"/>
  <c r="AD210" i="17"/>
  <c r="Y210" i="17"/>
  <c r="AW27" i="23"/>
  <c r="AW30" i="23"/>
  <c r="AW25" i="23"/>
  <c r="AW26" i="23"/>
  <c r="AW34" i="23"/>
  <c r="AW29" i="23"/>
  <c r="AW28" i="23"/>
  <c r="AW33" i="23"/>
  <c r="AW32" i="23"/>
  <c r="AW31" i="23"/>
  <c r="G43" i="22"/>
  <c r="AW24" i="23"/>
  <c r="AF769" i="25"/>
  <c r="Z769" i="25"/>
  <c r="T64" i="7"/>
  <c r="AO64" i="8"/>
  <c r="AE64" i="8"/>
  <c r="AB64" i="28"/>
  <c r="AB136" i="28"/>
  <c r="Z111" i="16"/>
  <c r="K111" i="21"/>
  <c r="N111" i="21"/>
  <c r="AD16" i="17"/>
  <c r="Y16" i="17"/>
  <c r="AF564" i="16"/>
  <c r="Z564" i="16"/>
  <c r="Y146" i="16"/>
  <c r="AE146" i="16"/>
  <c r="Y74" i="16"/>
  <c r="AE74" i="16"/>
  <c r="Z64" i="16"/>
  <c r="AF64" i="16"/>
  <c r="N224" i="21"/>
  <c r="K224" i="21"/>
  <c r="AZ8" i="23"/>
  <c r="AX8" i="23"/>
  <c r="AD41" i="17"/>
  <c r="Y41" i="17"/>
  <c r="AF833" i="25"/>
  <c r="Z833" i="25"/>
  <c r="AE399" i="25"/>
  <c r="Y399" i="25"/>
  <c r="AF851" i="25"/>
  <c r="Z851" i="25"/>
  <c r="AF595" i="25"/>
  <c r="Z595" i="25"/>
  <c r="Z959" i="16"/>
  <c r="K959" i="21"/>
  <c r="N959" i="21"/>
  <c r="AF582" i="16"/>
  <c r="Z582" i="16"/>
  <c r="Z274" i="16"/>
  <c r="AF274" i="16"/>
  <c r="V14" i="30"/>
  <c r="AJ5" i="7"/>
  <c r="AF5" i="28"/>
  <c r="AF77" i="28"/>
  <c r="V9" i="30"/>
  <c r="V15" i="30"/>
  <c r="AE40" i="16"/>
  <c r="AE541" i="16"/>
  <c r="Y541" i="16"/>
  <c r="AM32" i="9"/>
  <c r="T32" i="9"/>
  <c r="N32" i="9"/>
  <c r="AG847" i="25"/>
  <c r="AA847" i="25"/>
  <c r="AK60" i="8"/>
  <c r="AK60" i="23"/>
  <c r="AK60" i="9"/>
  <c r="AJ9" i="17"/>
  <c r="H57" i="5"/>
  <c r="M6" i="21"/>
  <c r="J6" i="21"/>
  <c r="AE613" i="25"/>
  <c r="Y613" i="25"/>
  <c r="AG687" i="25"/>
  <c r="AA687" i="25"/>
  <c r="N770" i="21"/>
  <c r="K770" i="21"/>
  <c r="AF134" i="25"/>
  <c r="Z134" i="25"/>
  <c r="AF890" i="25"/>
  <c r="Z890" i="25"/>
  <c r="Z162" i="16"/>
  <c r="AF162" i="16"/>
  <c r="AE296" i="16"/>
  <c r="AG712" i="25"/>
  <c r="AA712" i="25"/>
  <c r="AF55" i="25"/>
  <c r="Z55" i="25"/>
  <c r="AF151" i="25"/>
  <c r="Z151" i="25"/>
  <c r="N456" i="21"/>
  <c r="K456" i="21"/>
  <c r="Z1092" i="16"/>
  <c r="K1092" i="21"/>
  <c r="N1092" i="21"/>
  <c r="N1002" i="21"/>
  <c r="K1002" i="21"/>
  <c r="AG620" i="25"/>
  <c r="AA620" i="25"/>
  <c r="AE296" i="25"/>
  <c r="Y296" i="25"/>
  <c r="AG975" i="25"/>
  <c r="AA975" i="25"/>
  <c r="M495" i="21"/>
  <c r="J495" i="21"/>
  <c r="AG73" i="8"/>
  <c r="AF379" i="25"/>
  <c r="Z379" i="25"/>
  <c r="N1130" i="21"/>
  <c r="K1130" i="21"/>
  <c r="AE570" i="16"/>
  <c r="Y570" i="16"/>
  <c r="AE34" i="25"/>
  <c r="Y34" i="25"/>
  <c r="AF1040" i="25"/>
  <c r="Z1040" i="25"/>
  <c r="AF874" i="16"/>
  <c r="Z874" i="16"/>
  <c r="AF504" i="25"/>
  <c r="Z504" i="25"/>
  <c r="AF846" i="16"/>
  <c r="Z846" i="16"/>
  <c r="N500" i="21"/>
  <c r="K500" i="21"/>
  <c r="AM53" i="8"/>
  <c r="T53" i="8"/>
  <c r="N53" i="8"/>
  <c r="N441" i="21"/>
  <c r="K441" i="21"/>
  <c r="AF728" i="16"/>
  <c r="AF55" i="16"/>
  <c r="L86" i="6"/>
  <c r="AG1156" i="25"/>
  <c r="AA1156" i="25"/>
  <c r="AG1140" i="25"/>
  <c r="AA1140" i="25"/>
  <c r="AF1058" i="25"/>
  <c r="Z1058" i="25"/>
  <c r="AF182" i="16"/>
  <c r="Z182" i="16"/>
  <c r="Z51" i="16"/>
  <c r="AF51" i="16"/>
  <c r="AF1018" i="25"/>
  <c r="Z1018" i="25"/>
  <c r="AF1007" i="16"/>
  <c r="AO66" i="23"/>
  <c r="AE66" i="23"/>
  <c r="AG66" i="23"/>
  <c r="AK18" i="7"/>
  <c r="AG18" i="28"/>
  <c r="AG90" i="28"/>
  <c r="N660" i="21"/>
  <c r="K660" i="21"/>
  <c r="AJ22" i="7"/>
  <c r="AF22" i="28"/>
  <c r="AF94" i="28"/>
  <c r="AF15" i="25"/>
  <c r="Z15" i="25"/>
  <c r="Z206" i="16"/>
  <c r="AF206" i="16"/>
  <c r="AK71" i="23"/>
  <c r="AK71" i="8"/>
  <c r="AK71" i="9"/>
  <c r="AL55" i="7"/>
  <c r="AF589" i="16"/>
  <c r="Z589" i="16"/>
  <c r="AF328" i="16"/>
  <c r="AE356" i="17"/>
  <c r="Z356" i="17"/>
  <c r="Z1150" i="16"/>
  <c r="K1150" i="21"/>
  <c r="N1150" i="21"/>
  <c r="AE243" i="16"/>
  <c r="AF633" i="16"/>
  <c r="AF814" i="16"/>
  <c r="Z814" i="16"/>
  <c r="M129" i="21"/>
  <c r="J129" i="21"/>
  <c r="Z618" i="16"/>
  <c r="K618" i="21"/>
  <c r="N618" i="21"/>
  <c r="AF275" i="25"/>
  <c r="Z275" i="25"/>
  <c r="N435" i="21"/>
  <c r="K435" i="21"/>
  <c r="AF86" i="25"/>
  <c r="Z86" i="25"/>
  <c r="AF1036" i="25"/>
  <c r="Z1036" i="25"/>
  <c r="AM40" i="9"/>
  <c r="T40" i="9"/>
  <c r="N40" i="9"/>
  <c r="AE396" i="17"/>
  <c r="Z396" i="17"/>
  <c r="AJ52" i="7"/>
  <c r="AJ52" i="9"/>
  <c r="AL52" i="9"/>
  <c r="N859" i="21"/>
  <c r="K859" i="21"/>
  <c r="M612" i="21"/>
  <c r="J612" i="21"/>
  <c r="AJ55" i="8"/>
  <c r="AL55" i="8"/>
  <c r="N30" i="21"/>
  <c r="K30" i="21"/>
  <c r="N806" i="21"/>
  <c r="K806" i="21"/>
  <c r="N992" i="21"/>
  <c r="K992" i="21"/>
  <c r="AF94" i="25"/>
  <c r="Z94" i="25"/>
  <c r="AF860" i="16"/>
  <c r="Z860" i="16"/>
  <c r="Z1005" i="16"/>
  <c r="AF1005" i="16"/>
  <c r="AL34" i="8"/>
  <c r="AJ34" i="8"/>
  <c r="AF52" i="25"/>
  <c r="Z52" i="25"/>
  <c r="Z110" i="16"/>
  <c r="K110" i="21"/>
  <c r="N110" i="21"/>
  <c r="G25" i="22"/>
  <c r="I25" i="22"/>
  <c r="D43" i="22"/>
  <c r="F43" i="22"/>
  <c r="Z287" i="16"/>
  <c r="AF287" i="16"/>
  <c r="AG1124" i="25"/>
  <c r="AA1124" i="25"/>
  <c r="AJ8" i="7"/>
  <c r="AL8" i="7"/>
  <c r="AG715" i="25"/>
  <c r="AA715" i="25"/>
  <c r="Z122" i="16"/>
  <c r="AF122" i="16"/>
  <c r="Z224" i="16"/>
  <c r="AF224" i="16"/>
  <c r="AF531" i="16"/>
  <c r="Z531" i="16"/>
  <c r="AG314" i="25"/>
  <c r="AA314" i="25"/>
  <c r="AF802" i="25"/>
  <c r="Z802" i="25"/>
  <c r="AG833" i="25"/>
  <c r="AA833" i="25"/>
  <c r="Y61" i="16"/>
  <c r="AE61" i="16"/>
  <c r="AG116" i="25"/>
  <c r="AA116" i="25"/>
  <c r="Z320" i="16"/>
  <c r="AF320" i="16"/>
  <c r="Y649" i="16"/>
  <c r="J649" i="21"/>
  <c r="M649" i="21"/>
  <c r="AF183" i="16"/>
  <c r="Z183" i="16"/>
  <c r="AG547" i="25"/>
  <c r="AA547" i="25"/>
  <c r="Z664" i="16"/>
  <c r="AF664" i="16"/>
  <c r="AG626" i="25"/>
  <c r="AA626" i="25"/>
  <c r="AF426" i="25"/>
  <c r="Z426" i="25"/>
  <c r="Z744" i="16"/>
  <c r="AF744" i="16"/>
  <c r="AO47" i="8"/>
  <c r="AE47" i="8"/>
  <c r="AG47" i="8"/>
  <c r="N792" i="21"/>
  <c r="K792" i="21"/>
  <c r="AZ59" i="23"/>
  <c r="AX59" i="23"/>
  <c r="Z103" i="16"/>
  <c r="AF103" i="16"/>
  <c r="AG691" i="25"/>
  <c r="AA691" i="25"/>
  <c r="AF69" i="25"/>
  <c r="Z69" i="25"/>
  <c r="AF816" i="25"/>
  <c r="Z816" i="25"/>
  <c r="AF1142" i="16"/>
  <c r="Z1142" i="16"/>
  <c r="AF162" i="25"/>
  <c r="Z162" i="25"/>
  <c r="AG514" i="25"/>
  <c r="AA514" i="25"/>
  <c r="Y154" i="16"/>
  <c r="AE154" i="16"/>
  <c r="AA869" i="25"/>
  <c r="AG869" i="25"/>
  <c r="AP7" i="25"/>
  <c r="AQ7" i="25"/>
  <c r="N566" i="21"/>
  <c r="K566" i="21"/>
  <c r="Z728" i="16"/>
  <c r="K728" i="21"/>
  <c r="N728" i="21"/>
  <c r="M569" i="21"/>
  <c r="J569" i="21"/>
  <c r="Z55" i="16"/>
  <c r="K55" i="21"/>
  <c r="N55" i="21"/>
  <c r="AF444" i="16"/>
  <c r="N24" i="28"/>
  <c r="N96" i="28"/>
  <c r="AF133" i="25"/>
  <c r="Z133" i="25"/>
  <c r="AF725" i="25"/>
  <c r="Z725" i="25"/>
  <c r="AF262" i="25"/>
  <c r="Z262" i="25"/>
  <c r="Z1007" i="16"/>
  <c r="K1007" i="21"/>
  <c r="N1007" i="21"/>
  <c r="AF185" i="25"/>
  <c r="Z185" i="25"/>
  <c r="Z660" i="16"/>
  <c r="AF660" i="16"/>
  <c r="AG519" i="25"/>
  <c r="AA519" i="25"/>
  <c r="AP9" i="9"/>
  <c r="AF9" i="9"/>
  <c r="AE203" i="17"/>
  <c r="Z203" i="17"/>
  <c r="AF524" i="16"/>
  <c r="Z524" i="16"/>
  <c r="AF513" i="25"/>
  <c r="Z513" i="25"/>
  <c r="AF279" i="25"/>
  <c r="Z279" i="25"/>
  <c r="AG59" i="25"/>
  <c r="AA59" i="25"/>
  <c r="AK71" i="6"/>
  <c r="AK71" i="7"/>
  <c r="AG71" i="28"/>
  <c r="AG143" i="28"/>
  <c r="AF365" i="25"/>
  <c r="Z365" i="25"/>
  <c r="AJ55" i="7"/>
  <c r="AJ55" i="23"/>
  <c r="AL55" i="23"/>
  <c r="AD140" i="17"/>
  <c r="Y140" i="17"/>
  <c r="N819" i="21"/>
  <c r="K819" i="21"/>
  <c r="AG458" i="25"/>
  <c r="AA458" i="25"/>
  <c r="AE152" i="25"/>
  <c r="Y152" i="25"/>
  <c r="Z328" i="16"/>
  <c r="K328" i="21"/>
  <c r="N328" i="21"/>
  <c r="AF671" i="16"/>
  <c r="Y243" i="16"/>
  <c r="J243" i="21"/>
  <c r="M243" i="21"/>
  <c r="Z633" i="16"/>
  <c r="K633" i="21"/>
  <c r="N633" i="21"/>
  <c r="AF522" i="16"/>
  <c r="Z522" i="16"/>
  <c r="Y129" i="16"/>
  <c r="AE129" i="16"/>
  <c r="AF821" i="16"/>
  <c r="Z821" i="16"/>
  <c r="AF277" i="16"/>
  <c r="AE197" i="17"/>
  <c r="Z197" i="17"/>
  <c r="M494" i="21"/>
  <c r="J494" i="21"/>
  <c r="AE225" i="17"/>
  <c r="Z225" i="17"/>
  <c r="Z435" i="16"/>
  <c r="AF435" i="16"/>
  <c r="AE357" i="17"/>
  <c r="Z357" i="17"/>
  <c r="AF568" i="25"/>
  <c r="Z568" i="25"/>
  <c r="AF1143" i="16"/>
  <c r="Z1143" i="16"/>
  <c r="AE536" i="16"/>
  <c r="Y536" i="16"/>
  <c r="M60" i="21"/>
  <c r="J60" i="21"/>
  <c r="AE147" i="25"/>
  <c r="Y147" i="25"/>
  <c r="AE234" i="17"/>
  <c r="Z234" i="17"/>
  <c r="AF768" i="16"/>
  <c r="Z768" i="16"/>
  <c r="M43" i="21"/>
  <c r="J43" i="21"/>
  <c r="AF371" i="25"/>
  <c r="Z371" i="25"/>
  <c r="AB98" i="28"/>
  <c r="AB26" i="28"/>
  <c r="AL66" i="8"/>
  <c r="AJ66" i="8"/>
  <c r="AE538" i="25"/>
  <c r="Y538" i="25"/>
  <c r="N857" i="21"/>
  <c r="K857" i="21"/>
  <c r="AO19" i="23"/>
  <c r="AE19" i="23"/>
  <c r="AG19" i="23"/>
  <c r="N801" i="21"/>
  <c r="K801" i="21"/>
  <c r="AE71" i="25"/>
  <c r="Y71" i="25"/>
  <c r="N923" i="21"/>
  <c r="K923" i="21"/>
  <c r="AG212" i="25"/>
  <c r="AA212" i="25"/>
  <c r="AE43" i="25"/>
  <c r="Y43" i="25"/>
  <c r="AF342" i="25"/>
  <c r="Z342" i="25"/>
  <c r="AF286" i="25"/>
  <c r="Z286" i="25"/>
  <c r="AF89" i="25"/>
  <c r="Z89" i="25"/>
  <c r="AF7" i="25"/>
  <c r="Z7" i="25"/>
  <c r="AF1122" i="25"/>
  <c r="Z1122" i="25"/>
  <c r="Y645" i="16"/>
  <c r="AE645" i="16"/>
  <c r="AE169" i="25"/>
  <c r="Y169" i="25"/>
  <c r="AF385" i="25"/>
  <c r="Z385" i="25"/>
  <c r="Z351" i="16"/>
  <c r="AF351" i="16"/>
  <c r="Y647" i="16"/>
  <c r="J647" i="21"/>
  <c r="M647" i="21"/>
  <c r="Z444" i="16"/>
  <c r="K444" i="21"/>
  <c r="N444" i="21"/>
  <c r="Z422" i="16"/>
  <c r="AF422" i="16"/>
  <c r="AL18" i="8"/>
  <c r="AJ18" i="8"/>
  <c r="AD38" i="17"/>
  <c r="Y38" i="17"/>
  <c r="AG55" i="25"/>
  <c r="AA55" i="25"/>
  <c r="M191" i="21"/>
  <c r="J191" i="21"/>
  <c r="AE65" i="25"/>
  <c r="Y65" i="25"/>
  <c r="T58" i="7"/>
  <c r="AO58" i="8"/>
  <c r="AE58" i="8"/>
  <c r="AG58" i="8"/>
  <c r="Z308" i="16"/>
  <c r="AF308" i="16"/>
  <c r="AG293" i="25"/>
  <c r="AA293" i="25"/>
  <c r="AL35" i="23"/>
  <c r="AJ35" i="23"/>
  <c r="N126" i="28"/>
  <c r="N54" i="28"/>
  <c r="AD13" i="17"/>
  <c r="Y13" i="17"/>
  <c r="AM41" i="8"/>
  <c r="T41" i="8"/>
  <c r="N41" i="8"/>
  <c r="AE352" i="17"/>
  <c r="Z352" i="17"/>
  <c r="H27" i="33"/>
  <c r="E25" i="33"/>
  <c r="E27" i="33"/>
  <c r="H25" i="33"/>
  <c r="AL45" i="7"/>
  <c r="AF53" i="16"/>
  <c r="Z671" i="16"/>
  <c r="K671" i="21"/>
  <c r="N671" i="21"/>
  <c r="AF743" i="25"/>
  <c r="Z743" i="25"/>
  <c r="Z1046" i="16"/>
  <c r="AF1046" i="16"/>
  <c r="AE189" i="16"/>
  <c r="Y189" i="16"/>
  <c r="AI34" i="24"/>
  <c r="AL34" i="24"/>
  <c r="AB34" i="24"/>
  <c r="S19" i="33"/>
  <c r="AE333" i="17"/>
  <c r="Z333" i="17"/>
  <c r="F41" i="22"/>
  <c r="AE286" i="17"/>
  <c r="Z286" i="17"/>
  <c r="Z3" i="16"/>
  <c r="AF3" i="16"/>
  <c r="Y494" i="16"/>
  <c r="AE494" i="16"/>
  <c r="AF56" i="25"/>
  <c r="Z56" i="25"/>
  <c r="N365" i="21"/>
  <c r="K365" i="21"/>
  <c r="AF935" i="25"/>
  <c r="Z935" i="25"/>
  <c r="AE78" i="16"/>
  <c r="M294" i="21"/>
  <c r="J294" i="21"/>
  <c r="AF684" i="25"/>
  <c r="Z684" i="25"/>
  <c r="AE403" i="16"/>
  <c r="Y495" i="16"/>
  <c r="AE495" i="16"/>
  <c r="AG64" i="25"/>
  <c r="AA64" i="25"/>
  <c r="AG221" i="25"/>
  <c r="AA221" i="25"/>
  <c r="M48" i="21"/>
  <c r="J48" i="21"/>
  <c r="Y60" i="16"/>
  <c r="AE60" i="16"/>
  <c r="L92" i="6"/>
  <c r="Y410" i="16"/>
  <c r="AE410" i="16"/>
  <c r="AE490" i="16"/>
  <c r="AF378" i="25"/>
  <c r="Z378" i="25"/>
  <c r="N719" i="21"/>
  <c r="K719" i="21"/>
  <c r="AF1025" i="16"/>
  <c r="Z1025" i="16"/>
  <c r="AF187" i="16"/>
  <c r="Z187" i="16"/>
  <c r="M397" i="21"/>
  <c r="J397" i="21"/>
  <c r="AG624" i="25"/>
  <c r="AA624" i="25"/>
  <c r="AF217" i="25"/>
  <c r="Z217" i="25"/>
  <c r="AF999" i="16"/>
  <c r="AG672" i="25"/>
  <c r="AA672" i="25"/>
  <c r="AL40" i="9"/>
  <c r="AJ40" i="9"/>
  <c r="N764" i="21"/>
  <c r="K764" i="21"/>
  <c r="AG815" i="25"/>
  <c r="AA815" i="25"/>
  <c r="AE253" i="17"/>
  <c r="Z253" i="17"/>
  <c r="AG282" i="25"/>
  <c r="AA282" i="25"/>
  <c r="N22" i="28"/>
  <c r="N94" i="28"/>
  <c r="AF159" i="25"/>
  <c r="Z159" i="25"/>
  <c r="AL61" i="23"/>
  <c r="AJ61" i="23"/>
  <c r="N778" i="21"/>
  <c r="K778" i="21"/>
  <c r="AM24" i="7"/>
  <c r="AX24" i="23"/>
  <c r="AZ24" i="23"/>
  <c r="N865" i="21"/>
  <c r="K865" i="21"/>
  <c r="AG808" i="25"/>
  <c r="AA808" i="25"/>
  <c r="AJ45" i="6"/>
  <c r="AJ45" i="7"/>
  <c r="AJ45" i="8"/>
  <c r="AL45" i="8"/>
  <c r="Z53" i="16"/>
  <c r="K53" i="21"/>
  <c r="N53" i="21"/>
  <c r="AF137" i="16"/>
  <c r="AF558" i="25"/>
  <c r="Z558" i="25"/>
  <c r="M133" i="21"/>
  <c r="J133" i="21"/>
  <c r="M183" i="21"/>
  <c r="J183" i="21"/>
  <c r="AG114" i="25"/>
  <c r="AA114" i="25"/>
  <c r="M5" i="21"/>
  <c r="J5" i="21"/>
  <c r="AG48" i="9"/>
  <c r="AE48" i="9"/>
  <c r="AO48" i="9"/>
  <c r="AF968" i="25"/>
  <c r="Z968" i="25"/>
  <c r="AE110" i="25"/>
  <c r="Y110" i="25"/>
  <c r="AE297" i="16"/>
  <c r="N1028" i="21"/>
  <c r="K1028" i="21"/>
  <c r="Y78" i="16"/>
  <c r="J78" i="21"/>
  <c r="M78" i="21"/>
  <c r="AE68" i="16"/>
  <c r="M543" i="21"/>
  <c r="J543" i="21"/>
  <c r="AE205" i="25"/>
  <c r="Y205" i="25"/>
  <c r="AG70" i="25"/>
  <c r="AA70" i="25"/>
  <c r="M406" i="21"/>
  <c r="J406" i="21"/>
  <c r="AF142" i="25"/>
  <c r="Z142" i="25"/>
  <c r="Y490" i="16"/>
  <c r="J490" i="21"/>
  <c r="M490" i="21"/>
  <c r="AK5" i="8"/>
  <c r="AK5" i="23"/>
  <c r="N805" i="21"/>
  <c r="K805" i="21"/>
  <c r="N168" i="21"/>
  <c r="K168" i="21"/>
  <c r="AF653" i="16"/>
  <c r="N311" i="21"/>
  <c r="K311" i="21"/>
  <c r="AF854" i="16"/>
  <c r="Z854" i="16"/>
  <c r="M152" i="21"/>
  <c r="J152" i="21"/>
  <c r="Z966" i="16"/>
  <c r="AF966" i="16"/>
  <c r="Z434" i="16"/>
  <c r="AF434" i="16"/>
  <c r="AL10" i="8"/>
  <c r="AJ10" i="8"/>
  <c r="AP8" i="23"/>
  <c r="AF8" i="23"/>
  <c r="N376" i="21"/>
  <c r="K376" i="21"/>
  <c r="Y40" i="16"/>
  <c r="J40" i="21"/>
  <c r="M40" i="21"/>
  <c r="Z70" i="16"/>
  <c r="AF70" i="16"/>
  <c r="AG568" i="25"/>
  <c r="AA568" i="25"/>
  <c r="AF894" i="16"/>
  <c r="Z894" i="16"/>
  <c r="AF863" i="16"/>
  <c r="Z863" i="16"/>
  <c r="Z1110" i="16"/>
  <c r="AF1110" i="16"/>
  <c r="Z163" i="16"/>
  <c r="AF163" i="16"/>
  <c r="Z376" i="16"/>
  <c r="AF376" i="16"/>
  <c r="AF1097" i="25"/>
  <c r="Z1097" i="25"/>
  <c r="AF559" i="16"/>
  <c r="Z559" i="16"/>
  <c r="AW14" i="23"/>
  <c r="AW18" i="23"/>
  <c r="AW22" i="23"/>
  <c r="AW19" i="23"/>
  <c r="AW21" i="23"/>
  <c r="AW16" i="23"/>
  <c r="AW23" i="23"/>
  <c r="AW15" i="23"/>
  <c r="AW20" i="23"/>
  <c r="G15" i="22"/>
  <c r="I15" i="22"/>
  <c r="D42" i="22"/>
  <c r="G42" i="22"/>
  <c r="AW17" i="23"/>
  <c r="AV7" i="16"/>
  <c r="AU7" i="16"/>
  <c r="F8" i="33"/>
  <c r="F7" i="33"/>
  <c r="I7" i="33"/>
  <c r="AJ8" i="6"/>
  <c r="N8" i="6"/>
  <c r="N8" i="7"/>
  <c r="T8" i="7"/>
  <c r="AM8" i="7"/>
  <c r="I8" i="33"/>
  <c r="AF1086" i="25"/>
  <c r="Z1086" i="25"/>
  <c r="AF384" i="25"/>
  <c r="Z384" i="25"/>
  <c r="AO20" i="8"/>
  <c r="AE20" i="8"/>
  <c r="AG20" i="8"/>
  <c r="AE29" i="25"/>
  <c r="Y29" i="25"/>
  <c r="AF126" i="25"/>
  <c r="Z126" i="25"/>
  <c r="AD15" i="17"/>
  <c r="Y15" i="17"/>
  <c r="AE44" i="25"/>
  <c r="Y44" i="25"/>
  <c r="AK19" i="23"/>
  <c r="AK19" i="8"/>
  <c r="AK19" i="7"/>
  <c r="AK19" i="9"/>
  <c r="AE338" i="17"/>
  <c r="Z338" i="17"/>
  <c r="M182" i="21"/>
  <c r="J182" i="21"/>
  <c r="AK60" i="6"/>
  <c r="AK60" i="7"/>
  <c r="AG60" i="28"/>
  <c r="AG132" i="28"/>
  <c r="AF306" i="25"/>
  <c r="Z306" i="25"/>
  <c r="Z429" i="16"/>
  <c r="AF429" i="16"/>
  <c r="AF1025" i="25"/>
  <c r="Z1025" i="25"/>
  <c r="AF372" i="25"/>
  <c r="Z372" i="25"/>
  <c r="Z1104" i="16"/>
  <c r="AF1104" i="16"/>
  <c r="Y6" i="16"/>
  <c r="AE6" i="16"/>
  <c r="AG220" i="25"/>
  <c r="AA220" i="25"/>
  <c r="AF552" i="25"/>
  <c r="Z552" i="25"/>
  <c r="Z731" i="16"/>
  <c r="AF731" i="16"/>
  <c r="R23" i="33"/>
  <c r="T59" i="7"/>
  <c r="AM59" i="7"/>
  <c r="U23" i="33"/>
  <c r="Z923" i="16"/>
  <c r="AF923" i="16"/>
  <c r="AD174" i="17"/>
  <c r="Y174" i="17"/>
  <c r="Z17" i="16"/>
  <c r="AF17" i="16"/>
  <c r="AF519" i="25"/>
  <c r="Z519" i="25"/>
  <c r="I7" i="22"/>
  <c r="G7" i="22"/>
  <c r="N176" i="21"/>
  <c r="K176" i="21"/>
  <c r="Z1059" i="16"/>
  <c r="AF1059" i="16"/>
  <c r="Y296" i="16"/>
  <c r="J296" i="21"/>
  <c r="M296" i="21"/>
  <c r="AG450" i="25"/>
  <c r="AA450" i="25"/>
  <c r="Z465" i="16"/>
  <c r="AF465" i="16"/>
  <c r="AG210" i="25"/>
  <c r="AA210" i="25"/>
  <c r="AG1036" i="25"/>
  <c r="AA1036" i="25"/>
  <c r="Z383" i="16"/>
  <c r="K383" i="21"/>
  <c r="N383" i="21"/>
  <c r="Y605" i="25"/>
  <c r="AE605" i="25"/>
  <c r="AK5" i="25"/>
  <c r="AL5" i="25"/>
  <c r="Z999" i="16"/>
  <c r="K999" i="21"/>
  <c r="N999" i="21"/>
  <c r="Y59" i="16"/>
  <c r="J59" i="21"/>
  <c r="M59" i="21"/>
  <c r="Z456" i="16"/>
  <c r="AF456" i="16"/>
  <c r="Z19" i="16"/>
  <c r="AF19" i="16"/>
  <c r="Z741" i="16"/>
  <c r="AF741" i="16"/>
  <c r="AJ61" i="7"/>
  <c r="AL61" i="7"/>
  <c r="AF70" i="9"/>
  <c r="AP70" i="9"/>
  <c r="Z1002" i="16"/>
  <c r="AF1002" i="16"/>
  <c r="Z275" i="16"/>
  <c r="AF275" i="16"/>
  <c r="AF546" i="25"/>
  <c r="Z546" i="25"/>
  <c r="Z137" i="16"/>
  <c r="K137" i="21"/>
  <c r="N137" i="21"/>
  <c r="AJ50" i="7"/>
  <c r="AL50" i="7"/>
  <c r="AF779" i="25"/>
  <c r="Z779" i="25"/>
  <c r="Y297" i="16"/>
  <c r="J297" i="21"/>
  <c r="M297" i="21"/>
  <c r="AP46" i="8"/>
  <c r="AF46" i="8"/>
  <c r="AC46" i="28"/>
  <c r="AC118" i="28"/>
  <c r="AG893" i="25"/>
  <c r="AA893" i="25"/>
  <c r="AE373" i="17"/>
  <c r="Z373" i="17"/>
  <c r="AF736" i="25"/>
  <c r="Z736" i="25"/>
  <c r="AG971" i="25"/>
  <c r="AA971" i="25"/>
  <c r="Y612" i="16"/>
  <c r="AE612" i="16"/>
  <c r="AG119" i="28"/>
  <c r="AG47" i="28"/>
  <c r="AG438" i="25"/>
  <c r="AA438" i="25"/>
  <c r="AF1028" i="25"/>
  <c r="Z1028" i="25"/>
  <c r="AF346" i="25"/>
  <c r="Z346" i="25"/>
  <c r="N925" i="21"/>
  <c r="K925" i="21"/>
  <c r="Z632" i="16"/>
  <c r="AF632" i="16"/>
  <c r="AE299" i="25"/>
  <c r="Y299" i="25"/>
  <c r="AF446" i="25"/>
  <c r="Z446" i="25"/>
  <c r="AC83" i="28"/>
  <c r="AC11" i="28"/>
  <c r="T11" i="7"/>
  <c r="AP11" i="8"/>
  <c r="AF11" i="8"/>
  <c r="AD6" i="17"/>
  <c r="Y6" i="17"/>
  <c r="Y43" i="16"/>
  <c r="AE43" i="16"/>
  <c r="AB109" i="28"/>
  <c r="AB37" i="28"/>
  <c r="AE249" i="16"/>
  <c r="AU6" i="25"/>
  <c r="AU11" i="25"/>
  <c r="AV11" i="25"/>
  <c r="AF1089" i="25"/>
  <c r="Z1089" i="25"/>
  <c r="AC109" i="28"/>
  <c r="AC37" i="28"/>
  <c r="AF37" i="8"/>
  <c r="AP37" i="8"/>
  <c r="N367" i="21"/>
  <c r="K367" i="21"/>
  <c r="AF525" i="16"/>
  <c r="Z525" i="16"/>
  <c r="AE533" i="16"/>
  <c r="Y533" i="16"/>
  <c r="AE56" i="16"/>
  <c r="AE266" i="17"/>
  <c r="Z266" i="17"/>
  <c r="AF1034" i="25"/>
  <c r="Z1034" i="25"/>
  <c r="Z710" i="16"/>
  <c r="AF710" i="16"/>
  <c r="Y249" i="16"/>
  <c r="J249" i="21"/>
  <c r="M249" i="21"/>
  <c r="AE45" i="25"/>
  <c r="Y45" i="25"/>
  <c r="N920" i="21"/>
  <c r="K920" i="21"/>
  <c r="N550" i="21"/>
  <c r="K550" i="21"/>
  <c r="AM18" i="8"/>
  <c r="T18" i="8"/>
  <c r="N18" i="8"/>
  <c r="AF36" i="23"/>
  <c r="AP36" i="23"/>
  <c r="AF630" i="25"/>
  <c r="Z630" i="25"/>
  <c r="AF737" i="16"/>
  <c r="AF85" i="16"/>
  <c r="AF663" i="25"/>
  <c r="Z663" i="25"/>
  <c r="AF1109" i="16"/>
  <c r="N171" i="21"/>
  <c r="K171" i="21"/>
  <c r="N990" i="21"/>
  <c r="K990" i="21"/>
  <c r="N144" i="21"/>
  <c r="K144" i="21"/>
  <c r="AB141" i="28"/>
  <c r="AB69" i="28"/>
  <c r="N832" i="21"/>
  <c r="K832" i="21"/>
  <c r="N1024" i="21"/>
  <c r="K1024" i="21"/>
  <c r="AF1125" i="25"/>
  <c r="Z1125" i="25"/>
  <c r="AF943" i="25"/>
  <c r="Z943" i="25"/>
  <c r="AF1007" i="25"/>
  <c r="Z1007" i="25"/>
  <c r="N279" i="21"/>
  <c r="K279" i="21"/>
  <c r="M401" i="21"/>
  <c r="J401" i="21"/>
  <c r="AF31" i="9"/>
  <c r="AP31" i="9"/>
  <c r="AF217" i="16"/>
  <c r="AF884" i="25"/>
  <c r="Z884" i="25"/>
  <c r="N119" i="28"/>
  <c r="N47" i="28"/>
  <c r="N902" i="21"/>
  <c r="K902" i="21"/>
  <c r="N820" i="21"/>
  <c r="K820" i="21"/>
  <c r="AG503" i="25"/>
  <c r="AA503" i="25"/>
  <c r="AG725" i="25"/>
  <c r="AA725" i="25"/>
  <c r="AE119" i="25"/>
  <c r="Y119" i="25"/>
  <c r="AF91" i="25"/>
  <c r="Z91" i="25"/>
  <c r="AE169" i="17"/>
  <c r="Z169" i="17"/>
  <c r="AF734" i="16"/>
  <c r="AL16" i="9"/>
  <c r="AJ16" i="9"/>
  <c r="AG1102" i="25"/>
  <c r="AA1102" i="25"/>
  <c r="AM33" i="9"/>
  <c r="T33" i="9"/>
  <c r="N33" i="9"/>
  <c r="D49" i="5"/>
  <c r="D48" i="5"/>
  <c r="AF789" i="16"/>
  <c r="Z789" i="16"/>
  <c r="AF756" i="16"/>
  <c r="N1048" i="21"/>
  <c r="K1048" i="21"/>
  <c r="AG942" i="25"/>
  <c r="AA942" i="25"/>
  <c r="AC123" i="28"/>
  <c r="AC51" i="28"/>
  <c r="AF51" i="8"/>
  <c r="AP51" i="8"/>
  <c r="N718" i="21"/>
  <c r="K718" i="21"/>
  <c r="AM55" i="8"/>
  <c r="T55" i="8"/>
  <c r="N55" i="8"/>
  <c r="AL37" i="7"/>
  <c r="Z277" i="16"/>
  <c r="K277" i="21"/>
  <c r="N277" i="21"/>
  <c r="AF54" i="25"/>
  <c r="Z54" i="25"/>
  <c r="AF952" i="25"/>
  <c r="Z952" i="25"/>
  <c r="W15" i="30"/>
  <c r="W9" i="30"/>
  <c r="W14" i="30"/>
  <c r="M192" i="21"/>
  <c r="J192" i="21"/>
  <c r="N122" i="28"/>
  <c r="N50" i="28"/>
  <c r="AF550" i="16"/>
  <c r="Z550" i="16"/>
  <c r="AL26" i="8"/>
  <c r="AJ26" i="8"/>
  <c r="AG707" i="25"/>
  <c r="AA707" i="25"/>
  <c r="Z737" i="16"/>
  <c r="K737" i="21"/>
  <c r="N737" i="21"/>
  <c r="N49" i="23"/>
  <c r="T49" i="23"/>
  <c r="AM49" i="23"/>
  <c r="Z85" i="16"/>
  <c r="K85" i="21"/>
  <c r="N85" i="21"/>
  <c r="AE190" i="17"/>
  <c r="Z190" i="17"/>
  <c r="N659" i="21"/>
  <c r="K659" i="21"/>
  <c r="AG54" i="9"/>
  <c r="AE54" i="9"/>
  <c r="T54" i="7"/>
  <c r="AO54" i="9"/>
  <c r="Z1109" i="16"/>
  <c r="K1109" i="21"/>
  <c r="N1109" i="21"/>
  <c r="AF781" i="25"/>
  <c r="Z781" i="25"/>
  <c r="AF370" i="25"/>
  <c r="Z370" i="25"/>
  <c r="N138" i="21"/>
  <c r="K138" i="21"/>
  <c r="Z719" i="16"/>
  <c r="AF719" i="16"/>
  <c r="AF985" i="16"/>
  <c r="AG223" i="25"/>
  <c r="AA223" i="25"/>
  <c r="AM48" i="8"/>
  <c r="T48" i="8"/>
  <c r="N48" i="8"/>
  <c r="N227" i="21"/>
  <c r="K227" i="21"/>
  <c r="N71" i="23"/>
  <c r="T71" i="23"/>
  <c r="AM71" i="23"/>
  <c r="Z217" i="16"/>
  <c r="K217" i="21"/>
  <c r="N217" i="21"/>
  <c r="AE572" i="16"/>
  <c r="Y572" i="16"/>
  <c r="AG732" i="25"/>
  <c r="AA732" i="25"/>
  <c r="AF66" i="25"/>
  <c r="Z66" i="25"/>
  <c r="Y397" i="16"/>
  <c r="AE397" i="16"/>
  <c r="AG42" i="8"/>
  <c r="AD139" i="17"/>
  <c r="Y139" i="17"/>
  <c r="N767" i="21"/>
  <c r="K767" i="21"/>
  <c r="AG862" i="25"/>
  <c r="AA862" i="25"/>
  <c r="Z734" i="16"/>
  <c r="K734" i="21"/>
  <c r="N734" i="21"/>
  <c r="N16" i="21"/>
  <c r="K16" i="21"/>
  <c r="AF742" i="16"/>
  <c r="N1147" i="21"/>
  <c r="K1147" i="21"/>
  <c r="N1115" i="21"/>
  <c r="K1115" i="21"/>
  <c r="N463" i="21"/>
  <c r="K463" i="21"/>
  <c r="AE84" i="16"/>
  <c r="AG1029" i="25"/>
  <c r="AA1029" i="25"/>
  <c r="Z756" i="16"/>
  <c r="K756" i="21"/>
  <c r="N756" i="21"/>
  <c r="AF860" i="25"/>
  <c r="Z860" i="25"/>
  <c r="AE395" i="25"/>
  <c r="Y395" i="25"/>
  <c r="AF521" i="25"/>
  <c r="Z521" i="25"/>
  <c r="AF99" i="25"/>
  <c r="Z99" i="25"/>
  <c r="N727" i="21"/>
  <c r="K727" i="21"/>
  <c r="AG95" i="28"/>
  <c r="AG23" i="28"/>
  <c r="F52" i="22"/>
  <c r="AW13" i="23"/>
  <c r="AW9" i="23"/>
  <c r="AW11" i="23"/>
  <c r="AW12" i="23"/>
  <c r="T9" i="7"/>
  <c r="AM9" i="7"/>
  <c r="G10" i="22"/>
  <c r="I10" i="22"/>
  <c r="D41" i="22"/>
  <c r="G41" i="22"/>
  <c r="AW10" i="23"/>
  <c r="Z441" i="16"/>
  <c r="AF441" i="16"/>
  <c r="AO49" i="8"/>
  <c r="AE49" i="8"/>
  <c r="AG49" i="8"/>
  <c r="Z985" i="16"/>
  <c r="K985" i="21"/>
  <c r="N985" i="21"/>
  <c r="AF265" i="25"/>
  <c r="Z265" i="25"/>
  <c r="AF176" i="16"/>
  <c r="Z176" i="16"/>
  <c r="AL63" i="9"/>
  <c r="AJ63" i="9"/>
  <c r="N269" i="21"/>
  <c r="K269" i="21"/>
  <c r="AG1056" i="25"/>
  <c r="AA1056" i="25"/>
  <c r="AG423" i="25"/>
  <c r="AA423" i="25"/>
  <c r="Y133" i="16"/>
  <c r="AE133" i="16"/>
  <c r="N520" i="21"/>
  <c r="K520" i="21"/>
  <c r="Z992" i="16"/>
  <c r="AF992" i="16"/>
  <c r="Z925" i="16"/>
  <c r="AF925" i="16"/>
  <c r="M605" i="21"/>
  <c r="U8" i="21"/>
  <c r="AI8" i="21"/>
  <c r="AF111" i="25"/>
  <c r="Z111" i="25"/>
  <c r="AE219" i="17"/>
  <c r="Z219" i="17"/>
  <c r="AG789" i="25"/>
  <c r="AA789" i="25"/>
  <c r="AG184" i="25"/>
  <c r="AA184" i="25"/>
  <c r="AE60" i="25"/>
  <c r="Y60" i="25"/>
  <c r="AO37" i="8"/>
  <c r="AE37" i="8"/>
  <c r="AG37" i="8"/>
  <c r="AG164" i="25"/>
  <c r="AA164" i="25"/>
  <c r="AF499" i="25"/>
  <c r="Z499" i="25"/>
  <c r="Z138" i="16"/>
  <c r="AF138" i="16"/>
  <c r="AF192" i="16"/>
  <c r="Z192" i="16"/>
  <c r="Z659" i="16"/>
  <c r="AF659" i="16"/>
  <c r="AF348" i="16"/>
  <c r="AE538" i="16"/>
  <c r="Y538" i="16"/>
  <c r="AP33" i="9"/>
  <c r="AF33" i="9"/>
  <c r="AF80" i="25"/>
  <c r="Z80" i="25"/>
  <c r="AE489" i="25"/>
  <c r="Y489" i="25"/>
  <c r="AE487" i="25"/>
  <c r="Y487" i="25"/>
  <c r="N33" i="7"/>
  <c r="T33" i="7"/>
  <c r="AO33" i="9"/>
  <c r="AE33" i="9"/>
  <c r="AG33" i="9"/>
  <c r="AF773" i="25"/>
  <c r="Z773" i="25"/>
  <c r="N969" i="21"/>
  <c r="K969" i="21"/>
  <c r="AD207" i="17"/>
  <c r="Y207" i="17"/>
  <c r="AG24" i="8"/>
  <c r="N276" i="21"/>
  <c r="K276" i="21"/>
  <c r="N803" i="21"/>
  <c r="K803" i="21"/>
  <c r="AO42" i="8"/>
  <c r="AE42" i="8"/>
  <c r="AB42" i="28"/>
  <c r="AB114" i="28"/>
  <c r="AE178" i="16"/>
  <c r="Y178" i="16"/>
  <c r="AF524" i="25"/>
  <c r="Z524" i="25"/>
  <c r="AF833" i="16"/>
  <c r="Z833" i="16"/>
  <c r="AF1128" i="16"/>
  <c r="Z742" i="16"/>
  <c r="K742" i="21"/>
  <c r="N742" i="21"/>
  <c r="AG965" i="25"/>
  <c r="AA965" i="25"/>
  <c r="AL35" i="9"/>
  <c r="AJ35" i="9"/>
  <c r="AF219" i="16"/>
  <c r="N1101" i="21"/>
  <c r="K1101" i="21"/>
  <c r="M167" i="21"/>
  <c r="J167" i="21"/>
  <c r="AF763" i="16"/>
  <c r="Z763" i="16"/>
  <c r="AL62" i="9"/>
  <c r="AJ62" i="9"/>
  <c r="AL17" i="8"/>
  <c r="AJ17" i="8"/>
  <c r="AG290" i="25"/>
  <c r="AA290" i="25"/>
  <c r="Y406" i="16"/>
  <c r="AE406" i="16"/>
  <c r="AE607" i="25"/>
  <c r="Y607" i="25"/>
  <c r="AF958" i="25"/>
  <c r="Z958" i="25"/>
  <c r="AE173" i="16"/>
  <c r="Y173" i="16"/>
  <c r="Z348" i="16"/>
  <c r="K348" i="21"/>
  <c r="N348" i="21"/>
  <c r="AF789" i="25"/>
  <c r="Z789" i="25"/>
  <c r="AG109" i="28"/>
  <c r="AG37" i="28"/>
  <c r="Z1130" i="16"/>
  <c r="AF1130" i="16"/>
  <c r="AG431" i="25"/>
  <c r="AA431" i="25"/>
  <c r="N39" i="9"/>
  <c r="T39" i="9"/>
  <c r="AM39" i="9"/>
  <c r="AF842" i="25"/>
  <c r="Z842" i="25"/>
  <c r="AG946" i="25"/>
  <c r="AA946" i="25"/>
  <c r="AG760" i="25"/>
  <c r="AA760" i="25"/>
  <c r="AQ8" i="25"/>
  <c r="AA905" i="25"/>
  <c r="AG905" i="25"/>
  <c r="AP8" i="25"/>
  <c r="Z969" i="16"/>
  <c r="AF969" i="16"/>
  <c r="AF440" i="25"/>
  <c r="Z440" i="25"/>
  <c r="AF167" i="16"/>
  <c r="AF109" i="25"/>
  <c r="Z109" i="25"/>
  <c r="N33" i="21"/>
  <c r="K33" i="21"/>
  <c r="AG585" i="25"/>
  <c r="AA585" i="25"/>
  <c r="M44" i="21"/>
  <c r="J44" i="21"/>
  <c r="N812" i="21"/>
  <c r="K812" i="21"/>
  <c r="AE245" i="17"/>
  <c r="Z245" i="17"/>
  <c r="Z227" i="16"/>
  <c r="AF227" i="16"/>
  <c r="N837" i="21"/>
  <c r="K837" i="21"/>
  <c r="AF922" i="25"/>
  <c r="Z922" i="25"/>
  <c r="AF6" i="23"/>
  <c r="AP6" i="23"/>
  <c r="AG7" i="23"/>
  <c r="AE7" i="23"/>
  <c r="AO7" i="23"/>
  <c r="AE55" i="25"/>
  <c r="Y55" i="25"/>
  <c r="AE116" i="17"/>
  <c r="Z116" i="17"/>
  <c r="AE111" i="25"/>
  <c r="Y111" i="25"/>
  <c r="AF618" i="25"/>
  <c r="Z618" i="25"/>
  <c r="AG118" i="25"/>
  <c r="AA118" i="25"/>
  <c r="N165" i="21"/>
  <c r="K165" i="21"/>
  <c r="N1025" i="21"/>
  <c r="K1025" i="21"/>
  <c r="AE114" i="25"/>
  <c r="Y114" i="25"/>
  <c r="AA8" i="21"/>
  <c r="N945" i="21"/>
  <c r="K945" i="21"/>
  <c r="AF933" i="25"/>
  <c r="Z933" i="25"/>
  <c r="AF708" i="25"/>
  <c r="Z708" i="25"/>
  <c r="AJ34" i="7"/>
  <c r="AL34" i="7"/>
  <c r="AE394" i="25"/>
  <c r="Y394" i="25"/>
  <c r="Z167" i="16"/>
  <c r="K167" i="21"/>
  <c r="N167" i="21"/>
  <c r="AG230" i="25"/>
  <c r="AA230" i="25"/>
  <c r="AL57" i="23"/>
  <c r="AJ57" i="23"/>
  <c r="AF1155" i="25"/>
  <c r="Z1155" i="25"/>
  <c r="N882" i="21"/>
  <c r="K882" i="21"/>
  <c r="M170" i="21"/>
  <c r="J170" i="21"/>
  <c r="Z327" i="16"/>
  <c r="AF327" i="16"/>
  <c r="AE642" i="16"/>
  <c r="Y152" i="16"/>
  <c r="AE152" i="16"/>
  <c r="AF852" i="25"/>
  <c r="Z852" i="25"/>
  <c r="AF907" i="16"/>
  <c r="N66" i="21"/>
  <c r="K66" i="21"/>
  <c r="AF887" i="25"/>
  <c r="Z887" i="25"/>
  <c r="N691" i="21"/>
  <c r="K691" i="21"/>
  <c r="N286" i="21"/>
  <c r="K286" i="21"/>
  <c r="N565" i="21"/>
  <c r="K565" i="21"/>
  <c r="AF1031" i="25"/>
  <c r="Z1031" i="25"/>
  <c r="AM48" i="9"/>
  <c r="T48" i="9"/>
  <c r="N48" i="9"/>
  <c r="AF804" i="16"/>
  <c r="Z804" i="16"/>
  <c r="AE3" i="16"/>
  <c r="N781" i="21"/>
  <c r="K781" i="21"/>
  <c r="N282" i="21"/>
  <c r="K282" i="21"/>
  <c r="AG228" i="25"/>
  <c r="AA228" i="25"/>
  <c r="AG706" i="25"/>
  <c r="AA706" i="25"/>
  <c r="AG673" i="25"/>
  <c r="AA673" i="25"/>
  <c r="M81" i="21"/>
  <c r="J81" i="21"/>
  <c r="AF113" i="25"/>
  <c r="Z113" i="25"/>
  <c r="AG772" i="25"/>
  <c r="AA772" i="25"/>
  <c r="AL73" i="23"/>
  <c r="Y403" i="16"/>
  <c r="J403" i="21"/>
  <c r="M403" i="21"/>
  <c r="AF1027" i="16"/>
  <c r="Z1027" i="16"/>
  <c r="AG668" i="25"/>
  <c r="AA668" i="25"/>
  <c r="AF1032" i="25"/>
  <c r="Z1032" i="25"/>
  <c r="N96" i="21"/>
  <c r="K96" i="21"/>
  <c r="AF456" i="25"/>
  <c r="Z456" i="25"/>
  <c r="AF72" i="25"/>
  <c r="Z72" i="25"/>
  <c r="AF747" i="25"/>
  <c r="Z747" i="25"/>
  <c r="AF188" i="16"/>
  <c r="Z188" i="16"/>
  <c r="AE76" i="16"/>
  <c r="AL4" i="16"/>
  <c r="AK4" i="16"/>
  <c r="AJ34" i="6"/>
  <c r="N34" i="6"/>
  <c r="N34" i="7"/>
  <c r="T34" i="7"/>
  <c r="AP34" i="9"/>
  <c r="AF34" i="9"/>
  <c r="AF343" i="16"/>
  <c r="AF168" i="25"/>
  <c r="Z168" i="25"/>
  <c r="AF518" i="16"/>
  <c r="AF557" i="16"/>
  <c r="Z557" i="16"/>
  <c r="N226" i="21"/>
  <c r="K226" i="21"/>
  <c r="AK47" i="9"/>
  <c r="AK47" i="23"/>
  <c r="AK47" i="6"/>
  <c r="AK47" i="7"/>
  <c r="AK47" i="8"/>
  <c r="N561" i="21"/>
  <c r="K561" i="21"/>
  <c r="Z311" i="16"/>
  <c r="AF311" i="16"/>
  <c r="N186" i="21"/>
  <c r="K186" i="21"/>
  <c r="Z653" i="16"/>
  <c r="K653" i="21"/>
  <c r="N653" i="21"/>
  <c r="AE254" i="17"/>
  <c r="Z254" i="17"/>
  <c r="Z500" i="16"/>
  <c r="AF500" i="16"/>
  <c r="AO20" i="9"/>
  <c r="AE20" i="9"/>
  <c r="AG20" i="9"/>
  <c r="Z309" i="16"/>
  <c r="AF309" i="16"/>
  <c r="AD7" i="21"/>
  <c r="Y14" i="17"/>
  <c r="AD14" i="17"/>
  <c r="AJ2" i="17"/>
  <c r="AP71" i="8"/>
  <c r="AF71" i="8"/>
  <c r="AC71" i="28"/>
  <c r="AC143" i="28"/>
  <c r="N868" i="21"/>
  <c r="K868" i="21"/>
  <c r="N932" i="21"/>
  <c r="K932" i="21"/>
  <c r="AF292" i="25"/>
  <c r="Z292" i="25"/>
  <c r="AF507" i="25"/>
  <c r="Z507" i="25"/>
  <c r="AF343" i="25"/>
  <c r="Z343" i="25"/>
  <c r="AF806" i="25"/>
  <c r="Z806" i="25"/>
  <c r="AE612" i="25"/>
  <c r="Y612" i="25"/>
  <c r="N922" i="21"/>
  <c r="K922" i="21"/>
  <c r="AL40" i="8"/>
  <c r="AJ40" i="8"/>
  <c r="Z33" i="16"/>
  <c r="AF33" i="16"/>
  <c r="AE574" i="16"/>
  <c r="Y574" i="16"/>
  <c r="AG284" i="25"/>
  <c r="AA284" i="25"/>
  <c r="AF458" i="16"/>
  <c r="AE336" i="17"/>
  <c r="Z336" i="17"/>
  <c r="M332" i="21"/>
  <c r="J332" i="21"/>
  <c r="S30" i="33"/>
  <c r="AB47" i="24"/>
  <c r="AL47" i="24"/>
  <c r="AI47" i="24"/>
  <c r="AE161" i="16"/>
  <c r="AF37" i="16"/>
  <c r="M236" i="21"/>
  <c r="J236" i="21"/>
  <c r="AF68" i="9"/>
  <c r="AP68" i="9"/>
  <c r="AF374" i="16"/>
  <c r="Y56" i="16"/>
  <c r="J56" i="21"/>
  <c r="M56" i="21"/>
  <c r="AF137" i="28"/>
  <c r="AF65" i="28"/>
  <c r="AU6" i="16"/>
  <c r="AU11" i="16"/>
  <c r="AU12" i="16"/>
  <c r="H54" i="5"/>
  <c r="H56" i="5"/>
  <c r="H58" i="5"/>
  <c r="N15" i="8"/>
  <c r="T15" i="8"/>
  <c r="AM15" i="8"/>
  <c r="N530" i="21"/>
  <c r="K530" i="21"/>
  <c r="K1146" i="21"/>
  <c r="S12" i="21"/>
  <c r="Y12" i="21"/>
  <c r="AG12" i="21"/>
  <c r="Y5" i="16"/>
  <c r="AE5" i="16"/>
  <c r="N863" i="21"/>
  <c r="K863" i="21"/>
  <c r="Y68" i="16"/>
  <c r="J68" i="21"/>
  <c r="M68" i="21"/>
  <c r="AF325" i="25"/>
  <c r="Z325" i="25"/>
  <c r="Y294" i="16"/>
  <c r="AE294" i="16"/>
  <c r="AK37" i="9"/>
  <c r="AK37" i="8"/>
  <c r="AK37" i="6"/>
  <c r="AK37" i="7"/>
  <c r="AK37" i="23"/>
  <c r="J605" i="21"/>
  <c r="R8" i="21"/>
  <c r="X8" i="21"/>
  <c r="AF8" i="21"/>
  <c r="Z269" i="16"/>
  <c r="AF269" i="16"/>
  <c r="AF427" i="25"/>
  <c r="Z427" i="25"/>
  <c r="Z365" i="16"/>
  <c r="AF365" i="16"/>
  <c r="AF380" i="16"/>
  <c r="N70" i="23"/>
  <c r="T70" i="23"/>
  <c r="AM70" i="23"/>
  <c r="AF366" i="25"/>
  <c r="Z366" i="25"/>
  <c r="Y76" i="16"/>
  <c r="J76" i="21"/>
  <c r="M76" i="21"/>
  <c r="AD43" i="17"/>
  <c r="Y43" i="17"/>
  <c r="N856" i="21"/>
  <c r="K856" i="21"/>
  <c r="AE151" i="25"/>
  <c r="Y151" i="25"/>
  <c r="Z343" i="16"/>
  <c r="K343" i="21"/>
  <c r="N343" i="21"/>
  <c r="AE579" i="16"/>
  <c r="Y579" i="16"/>
  <c r="AF445" i="25"/>
  <c r="Z445" i="25"/>
  <c r="Z518" i="16"/>
  <c r="K518" i="21"/>
  <c r="N518" i="21"/>
  <c r="Z380" i="16"/>
  <c r="K380" i="21"/>
  <c r="N380" i="21"/>
  <c r="AL21" i="8"/>
  <c r="AJ21" i="8"/>
  <c r="N850" i="21"/>
  <c r="K850" i="21"/>
  <c r="Z920" i="16"/>
  <c r="AF920" i="16"/>
  <c r="N829" i="21"/>
  <c r="K829" i="21"/>
  <c r="AE102" i="25"/>
  <c r="Y102" i="25"/>
  <c r="Z990" i="16"/>
  <c r="AF990" i="16"/>
  <c r="Z144" i="16"/>
  <c r="AF144" i="16"/>
  <c r="AJ69" i="6"/>
  <c r="N69" i="6"/>
  <c r="N69" i="7"/>
  <c r="T69" i="7"/>
  <c r="AO69" i="8"/>
  <c r="AE69" i="8"/>
  <c r="AG69" i="8"/>
  <c r="Z226" i="16"/>
  <c r="AF226" i="16"/>
  <c r="AG1005" i="25"/>
  <c r="AA1005" i="25"/>
  <c r="M542" i="21"/>
  <c r="J542" i="21"/>
  <c r="AO22" i="9"/>
  <c r="AE22" i="9"/>
  <c r="AG22" i="9"/>
  <c r="AF592" i="16"/>
  <c r="Z592" i="16"/>
  <c r="Z932" i="16"/>
  <c r="AF932" i="16"/>
  <c r="AF141" i="16"/>
  <c r="N134" i="21"/>
  <c r="K134" i="21"/>
  <c r="AE186" i="17"/>
  <c r="Z186" i="17"/>
  <c r="AJ16" i="7"/>
  <c r="AL16" i="7"/>
  <c r="Z367" i="16"/>
  <c r="AF367" i="16"/>
  <c r="AF521" i="16"/>
  <c r="Z521" i="16"/>
  <c r="N121" i="28"/>
  <c r="N49" i="28"/>
  <c r="AG909" i="25"/>
  <c r="AA909" i="25"/>
  <c r="AZ25" i="23"/>
  <c r="AX25" i="23"/>
  <c r="N958" i="21"/>
  <c r="K958" i="21"/>
  <c r="N1057" i="21"/>
  <c r="K1057" i="21"/>
  <c r="N129" i="21"/>
  <c r="K129" i="21"/>
  <c r="AF352" i="25"/>
  <c r="Z352" i="25"/>
  <c r="AE163" i="25"/>
  <c r="Y163" i="25"/>
  <c r="AE580" i="16"/>
  <c r="Y580" i="16"/>
  <c r="M13" i="21"/>
  <c r="J13" i="21"/>
  <c r="AE304" i="16"/>
  <c r="AG178" i="25"/>
  <c r="AA178" i="25"/>
  <c r="AE339" i="25"/>
  <c r="Y339" i="25"/>
  <c r="N1143" i="21"/>
  <c r="K1143" i="21"/>
  <c r="AF31" i="25"/>
  <c r="Z31" i="25"/>
  <c r="AF28" i="16"/>
  <c r="Y642" i="16"/>
  <c r="J642" i="21"/>
  <c r="M642" i="21"/>
  <c r="Z96" i="16"/>
  <c r="AF96" i="16"/>
  <c r="M109" i="21"/>
  <c r="J109" i="21"/>
  <c r="Z66" i="16"/>
  <c r="AF66" i="16"/>
  <c r="N795" i="21"/>
  <c r="K795" i="21"/>
  <c r="AG877" i="25"/>
  <c r="AA877" i="25"/>
  <c r="AF443" i="16"/>
  <c r="Z16" i="16"/>
  <c r="AF16" i="16"/>
  <c r="Z458" i="16"/>
  <c r="K458" i="21"/>
  <c r="N458" i="21"/>
  <c r="AE492" i="16"/>
  <c r="Z219" i="16"/>
  <c r="K219" i="21"/>
  <c r="N219" i="21"/>
  <c r="AF903" i="25"/>
  <c r="Z903" i="25"/>
  <c r="AE48" i="17"/>
  <c r="Z48" i="17"/>
  <c r="Y332" i="16"/>
  <c r="AE332" i="16"/>
  <c r="AE37" i="25"/>
  <c r="Y37" i="25"/>
  <c r="N54" i="21"/>
  <c r="K54" i="21"/>
  <c r="Y167" i="16"/>
  <c r="AE167" i="16"/>
  <c r="N636" i="21"/>
  <c r="K636" i="21"/>
  <c r="AF170" i="25"/>
  <c r="Z170" i="25"/>
  <c r="N10" i="8"/>
  <c r="T10" i="8"/>
  <c r="AM10" i="8"/>
  <c r="AF1072" i="16"/>
  <c r="AF1043" i="25"/>
  <c r="Z1043" i="25"/>
  <c r="AF467" i="25"/>
  <c r="Z467" i="25"/>
  <c r="AE157" i="25"/>
  <c r="Y157" i="25"/>
  <c r="AE295" i="17"/>
  <c r="Z295" i="17"/>
  <c r="AF895" i="25"/>
  <c r="Z895" i="25"/>
  <c r="AG723" i="25"/>
  <c r="AA723" i="25"/>
  <c r="AE340" i="25"/>
  <c r="Y340" i="25"/>
  <c r="Y161" i="16"/>
  <c r="J161" i="21"/>
  <c r="M161" i="21"/>
  <c r="AG206" i="25"/>
  <c r="AA206" i="25"/>
  <c r="Z37" i="16"/>
  <c r="K37" i="21"/>
  <c r="N37" i="21"/>
  <c r="N619" i="21"/>
  <c r="K619" i="21"/>
  <c r="N900" i="21"/>
  <c r="K900" i="21"/>
  <c r="AE178" i="25"/>
  <c r="Y178" i="25"/>
  <c r="AF583" i="25"/>
  <c r="Z583" i="25"/>
  <c r="Z1115" i="16"/>
  <c r="AF1115" i="16"/>
  <c r="AL63" i="7"/>
  <c r="N386" i="21"/>
  <c r="K386" i="21"/>
  <c r="N594" i="21"/>
  <c r="K594" i="21"/>
  <c r="AE177" i="25"/>
  <c r="Y177" i="25"/>
  <c r="N591" i="21"/>
  <c r="K591" i="21"/>
  <c r="AF998" i="16"/>
  <c r="AE81" i="25"/>
  <c r="Y81" i="25"/>
  <c r="M248" i="21"/>
  <c r="J248" i="21"/>
  <c r="AG132" i="25"/>
  <c r="AA132" i="25"/>
  <c r="N1134" i="21"/>
  <c r="K1134" i="21"/>
  <c r="N1136" i="21"/>
  <c r="K1136" i="21"/>
  <c r="AD68" i="17"/>
  <c r="Y68" i="17"/>
  <c r="Z1128" i="16"/>
  <c r="K1128" i="21"/>
  <c r="N1128" i="21"/>
  <c r="Y44" i="16"/>
  <c r="AE44" i="16"/>
  <c r="AE174" i="25"/>
  <c r="Y174" i="25"/>
  <c r="AF130" i="25"/>
  <c r="Z130" i="25"/>
  <c r="Y401" i="16"/>
  <c r="AE401" i="16"/>
  <c r="AJ40" i="7"/>
  <c r="AL40" i="7"/>
  <c r="AF761" i="16"/>
  <c r="Z28" i="16"/>
  <c r="K28" i="21"/>
  <c r="N28" i="21"/>
  <c r="M493" i="21"/>
  <c r="J493" i="21"/>
  <c r="AF636" i="25"/>
  <c r="Z636" i="25"/>
  <c r="AF549" i="25"/>
  <c r="Z549" i="25"/>
  <c r="AF943" i="16"/>
  <c r="AE132" i="25"/>
  <c r="Y132" i="25"/>
  <c r="AF91" i="16"/>
  <c r="M536" i="21"/>
  <c r="J536" i="21"/>
  <c r="AE196" i="25"/>
  <c r="Y196" i="25"/>
  <c r="AF1023" i="16"/>
  <c r="Z1023" i="16"/>
  <c r="Z443" i="16"/>
  <c r="K443" i="21"/>
  <c r="N443" i="21"/>
  <c r="AL53" i="8"/>
  <c r="AJ53" i="8"/>
  <c r="AG873" i="25"/>
  <c r="AA873" i="25"/>
  <c r="Y492" i="16"/>
  <c r="J492" i="21"/>
  <c r="M492" i="21"/>
  <c r="AK33" i="9"/>
  <c r="AK33" i="23"/>
  <c r="AK33" i="8"/>
  <c r="AF774" i="16"/>
  <c r="Z774" i="16"/>
  <c r="N853" i="21"/>
  <c r="K853" i="21"/>
  <c r="AF457" i="25"/>
  <c r="Z457" i="25"/>
  <c r="AE614" i="16"/>
  <c r="Z1072" i="16"/>
  <c r="K1072" i="21"/>
  <c r="N1072" i="21"/>
  <c r="AE370" i="17"/>
  <c r="Z370" i="17"/>
  <c r="N559" i="21"/>
  <c r="K559" i="21"/>
  <c r="AE183" i="16"/>
  <c r="Y183" i="16"/>
  <c r="N498" i="21"/>
  <c r="K498" i="21"/>
  <c r="AE402" i="25"/>
  <c r="Y402" i="25"/>
  <c r="Z619" i="16"/>
  <c r="AF619" i="16"/>
  <c r="AL44" i="7"/>
  <c r="AG312" i="25"/>
  <c r="AA312" i="25"/>
  <c r="AF1107" i="16"/>
  <c r="N58" i="6"/>
  <c r="N58" i="7"/>
  <c r="N58" i="28"/>
  <c r="N130" i="28"/>
  <c r="AE164" i="16"/>
  <c r="AF735" i="16"/>
  <c r="Z1147" i="16"/>
  <c r="AF1147" i="16"/>
  <c r="AF980" i="16"/>
  <c r="AJ63" i="7"/>
  <c r="AJ63" i="8"/>
  <c r="AL63" i="8"/>
  <c r="N1157" i="21"/>
  <c r="K1157" i="21"/>
  <c r="AF998" i="25"/>
  <c r="Z998" i="25"/>
  <c r="AF29" i="25"/>
  <c r="Z29" i="25"/>
  <c r="AG781" i="25"/>
  <c r="AA781" i="25"/>
  <c r="Z636" i="16"/>
  <c r="AF636" i="16"/>
  <c r="AG686" i="25"/>
  <c r="AA686" i="25"/>
  <c r="AE159" i="16"/>
  <c r="AE394" i="16"/>
  <c r="N169" i="21"/>
  <c r="K169" i="21"/>
  <c r="AL28" i="9"/>
  <c r="AJ28" i="9"/>
  <c r="Z761" i="16"/>
  <c r="K761" i="21"/>
  <c r="N761" i="21"/>
  <c r="AJ26" i="7"/>
  <c r="AL26" i="7"/>
  <c r="Z907" i="16"/>
  <c r="K907" i="21"/>
  <c r="N907" i="21"/>
  <c r="N229" i="21"/>
  <c r="K229" i="21"/>
  <c r="Z943" i="16"/>
  <c r="K943" i="21"/>
  <c r="N943" i="21"/>
  <c r="AJ26" i="6"/>
  <c r="N26" i="6"/>
  <c r="N26" i="7"/>
  <c r="T26" i="7"/>
  <c r="AO26" i="8"/>
  <c r="AE26" i="8"/>
  <c r="AG26" i="8"/>
  <c r="AJ66" i="7"/>
  <c r="AL66" i="7"/>
  <c r="Z91" i="16"/>
  <c r="K91" i="21"/>
  <c r="N91" i="21"/>
  <c r="AG275" i="25"/>
  <c r="AA275" i="25"/>
  <c r="K593" i="21"/>
  <c r="S8" i="21"/>
  <c r="Y8" i="21"/>
  <c r="AG8" i="21"/>
  <c r="AF1072" i="25"/>
  <c r="Z1072" i="25"/>
  <c r="AF738" i="16"/>
  <c r="AF125" i="28"/>
  <c r="AF53" i="28"/>
  <c r="AG956" i="25"/>
  <c r="AA956" i="25"/>
  <c r="AE300" i="25"/>
  <c r="Y300" i="25"/>
  <c r="AJ35" i="7"/>
  <c r="AL35" i="7"/>
  <c r="Z229" i="16"/>
  <c r="AF229" i="16"/>
  <c r="AK33" i="7"/>
  <c r="AG33" i="28"/>
  <c r="AG105" i="28"/>
  <c r="AF24" i="25"/>
  <c r="Z24" i="25"/>
  <c r="AG911" i="25"/>
  <c r="AA911" i="25"/>
  <c r="AG215" i="25"/>
  <c r="AA215" i="25"/>
  <c r="M644" i="21"/>
  <c r="J644" i="21"/>
  <c r="AF291" i="25"/>
  <c r="Z291" i="25"/>
  <c r="Y614" i="16"/>
  <c r="J614" i="21"/>
  <c r="M614" i="21"/>
  <c r="AG790" i="25"/>
  <c r="AA790" i="25"/>
  <c r="N626" i="21"/>
  <c r="K626" i="21"/>
  <c r="AF360" i="25"/>
  <c r="Z360" i="25"/>
  <c r="Z54" i="16"/>
  <c r="AF54" i="16"/>
  <c r="AF983" i="25"/>
  <c r="Z983" i="25"/>
  <c r="AF359" i="25"/>
  <c r="Z359" i="25"/>
  <c r="AG127" i="28"/>
  <c r="AG55" i="28"/>
  <c r="AJ44" i="7"/>
  <c r="AF44" i="28"/>
  <c r="AF116" i="28"/>
  <c r="Z30" i="16"/>
  <c r="AF30" i="16"/>
  <c r="Z1107" i="16"/>
  <c r="K1107" i="21"/>
  <c r="N1107" i="21"/>
  <c r="AF884" i="16"/>
  <c r="Z884" i="16"/>
  <c r="Y164" i="16"/>
  <c r="J164" i="21"/>
  <c r="M164" i="21"/>
  <c r="AG850" i="25"/>
  <c r="AA850" i="25"/>
  <c r="M123" i="21"/>
  <c r="J123" i="21"/>
  <c r="N993" i="21"/>
  <c r="K993" i="21"/>
  <c r="AE162" i="16"/>
  <c r="AJ56" i="6"/>
  <c r="N56" i="6"/>
  <c r="N56" i="7"/>
  <c r="T56" i="7"/>
  <c r="AO56" i="9"/>
  <c r="AE56" i="9"/>
  <c r="AG56" i="9"/>
  <c r="AF20" i="25"/>
  <c r="Z20" i="25"/>
  <c r="AF178" i="25"/>
  <c r="Z178" i="25"/>
  <c r="AL6" i="7"/>
  <c r="AF114" i="28"/>
  <c r="AF42" i="28"/>
  <c r="Y109" i="16"/>
  <c r="AE109" i="16"/>
  <c r="AF951" i="25"/>
  <c r="Z951" i="25"/>
  <c r="AF588" i="25"/>
  <c r="Z588" i="25"/>
  <c r="M301" i="21"/>
  <c r="J301" i="21"/>
  <c r="AF101" i="25"/>
  <c r="Z101" i="25"/>
  <c r="AF695" i="25"/>
  <c r="Z695" i="25"/>
  <c r="AE7" i="25"/>
  <c r="Y7" i="25"/>
  <c r="AG160" i="25"/>
  <c r="AA160" i="25"/>
  <c r="AZ5" i="23"/>
  <c r="AX5" i="23"/>
  <c r="Y644" i="16"/>
  <c r="AE644" i="16"/>
  <c r="N175" i="21"/>
  <c r="K175" i="21"/>
  <c r="AF120" i="25"/>
  <c r="Z120" i="25"/>
  <c r="AG830" i="25"/>
  <c r="AA830" i="25"/>
  <c r="AF112" i="25"/>
  <c r="Z112" i="25"/>
  <c r="AG276" i="25"/>
  <c r="AA276" i="25"/>
  <c r="AG1101" i="25"/>
  <c r="AA1101" i="25"/>
  <c r="AF1031" i="16"/>
  <c r="Z1031" i="16"/>
  <c r="AF1136" i="16"/>
  <c r="Z1136" i="16"/>
  <c r="Z735" i="16"/>
  <c r="K735" i="21"/>
  <c r="N735" i="21"/>
  <c r="AF1128" i="25"/>
  <c r="Z1128" i="25"/>
  <c r="AF74" i="25"/>
  <c r="Z74" i="25"/>
  <c r="AG1047" i="25"/>
  <c r="AA1047" i="25"/>
  <c r="M254" i="21"/>
  <c r="J254" i="21"/>
  <c r="AF15" i="16"/>
  <c r="N911" i="21"/>
  <c r="K911" i="21"/>
  <c r="AE641" i="16"/>
  <c r="AF129" i="25"/>
  <c r="Z129" i="25"/>
  <c r="M387" i="21"/>
  <c r="J387" i="21"/>
  <c r="AF936" i="16"/>
  <c r="AE122" i="25"/>
  <c r="Y122" i="25"/>
  <c r="M117" i="21"/>
  <c r="J117" i="21"/>
  <c r="AF357" i="16"/>
  <c r="AG1092" i="25"/>
  <c r="AA1092" i="25"/>
  <c r="AF1069" i="16"/>
  <c r="AG936" i="25"/>
  <c r="AA936" i="25"/>
  <c r="AF29" i="23"/>
  <c r="AP29" i="23"/>
  <c r="N954" i="21"/>
  <c r="K954" i="21"/>
  <c r="AM35" i="23"/>
  <c r="N35" i="7"/>
  <c r="N35" i="23"/>
  <c r="T35" i="23"/>
  <c r="AE84" i="25"/>
  <c r="Y84" i="25"/>
  <c r="AF792" i="16"/>
  <c r="Z792" i="16"/>
  <c r="N771" i="21"/>
  <c r="K771" i="21"/>
  <c r="AP41" i="9"/>
  <c r="AF41" i="9"/>
  <c r="AF829" i="16"/>
  <c r="Z829" i="16"/>
  <c r="AE34" i="17"/>
  <c r="Z34" i="17"/>
  <c r="AE488" i="25"/>
  <c r="Y488" i="25"/>
  <c r="Y641" i="16"/>
  <c r="J641" i="21"/>
  <c r="M641" i="21"/>
  <c r="Y236" i="16"/>
  <c r="AE236" i="16"/>
  <c r="M488" i="21"/>
  <c r="J488" i="21"/>
  <c r="Y387" i="16"/>
  <c r="AE387" i="16"/>
  <c r="Y254" i="16"/>
  <c r="AE254" i="16"/>
  <c r="M195" i="21"/>
  <c r="J195" i="21"/>
  <c r="M485" i="21"/>
  <c r="J485" i="21"/>
  <c r="N824" i="21"/>
  <c r="K824" i="21"/>
  <c r="AF353" i="16"/>
  <c r="AF872" i="16"/>
  <c r="Z872" i="16"/>
  <c r="N373" i="21"/>
  <c r="K373" i="21"/>
  <c r="AG566" i="25"/>
  <c r="AA566" i="25"/>
  <c r="AF732" i="25"/>
  <c r="Z732" i="25"/>
  <c r="N870" i="21"/>
  <c r="K870" i="21"/>
  <c r="N595" i="21"/>
  <c r="K595" i="21"/>
  <c r="AG755" i="25"/>
  <c r="AA755" i="25"/>
  <c r="N810" i="21"/>
  <c r="K810" i="21"/>
  <c r="N983" i="21"/>
  <c r="K983" i="21"/>
  <c r="AJ57" i="6"/>
  <c r="AJ57" i="7"/>
  <c r="AL57" i="7"/>
  <c r="AO24" i="8"/>
  <c r="AE24" i="8"/>
  <c r="AB24" i="28"/>
  <c r="AB96" i="28"/>
  <c r="AF548" i="25"/>
  <c r="Z548" i="25"/>
  <c r="Y493" i="16"/>
  <c r="AE493" i="16"/>
  <c r="Z134" i="16"/>
  <c r="AF134" i="16"/>
  <c r="Y203" i="16"/>
  <c r="AE203" i="16"/>
  <c r="Z276" i="16"/>
  <c r="AF276" i="16"/>
  <c r="AG764" i="25"/>
  <c r="AA764" i="25"/>
  <c r="N131" i="28"/>
  <c r="N59" i="28"/>
  <c r="Y38" i="16"/>
  <c r="J38" i="21"/>
  <c r="M38" i="21"/>
  <c r="U5" i="21"/>
  <c r="AI5" i="21"/>
  <c r="AF267" i="16"/>
  <c r="Z922" i="16"/>
  <c r="AF922" i="16"/>
  <c r="AF704" i="16"/>
  <c r="AE251" i="16"/>
  <c r="AF153" i="16"/>
  <c r="Z141" i="16"/>
  <c r="K141" i="21"/>
  <c r="N141" i="21"/>
  <c r="N285" i="21"/>
  <c r="K285" i="21"/>
  <c r="AG807" i="25"/>
  <c r="AA807" i="25"/>
  <c r="AE330" i="25"/>
  <c r="Y330" i="25"/>
  <c r="AC97" i="28"/>
  <c r="AP25" i="8"/>
  <c r="AF25" i="8"/>
  <c r="AC25" i="28"/>
  <c r="AC132" i="28"/>
  <c r="AP60" i="8"/>
  <c r="AF60" i="8"/>
  <c r="AC60" i="28"/>
  <c r="AP18" i="23"/>
  <c r="AF18" i="23"/>
  <c r="Y84" i="16"/>
  <c r="J84" i="21"/>
  <c r="M84" i="21"/>
  <c r="AF1037" i="25"/>
  <c r="Z1037" i="25"/>
  <c r="AF193" i="25"/>
  <c r="Z193" i="25"/>
  <c r="AF967" i="25"/>
  <c r="Z967" i="25"/>
  <c r="AG509" i="25"/>
  <c r="AA509" i="25"/>
  <c r="AG1139" i="25"/>
  <c r="AA1139" i="25"/>
  <c r="AF313" i="16"/>
  <c r="M187" i="21"/>
  <c r="J187" i="21"/>
  <c r="AL53" i="7"/>
  <c r="Y251" i="16"/>
  <c r="J251" i="21"/>
  <c r="M251" i="21"/>
  <c r="Z1057" i="16"/>
  <c r="AF1057" i="16"/>
  <c r="Z129" i="16"/>
  <c r="AF129" i="16"/>
  <c r="N1120" i="21"/>
  <c r="K1120" i="21"/>
  <c r="AG1016" i="25"/>
  <c r="AA1016" i="25"/>
  <c r="AF33" i="25"/>
  <c r="Z33" i="25"/>
  <c r="AF853" i="25"/>
  <c r="Z853" i="25"/>
  <c r="AJ48" i="6"/>
  <c r="N48" i="6"/>
  <c r="N48" i="7"/>
  <c r="T48" i="7"/>
  <c r="AP48" i="23"/>
  <c r="AF48" i="23"/>
  <c r="Y13" i="16"/>
  <c r="AE13" i="16"/>
  <c r="AE477" i="25"/>
  <c r="Y477" i="25"/>
  <c r="AF758" i="25"/>
  <c r="Z758" i="25"/>
  <c r="AF140" i="25"/>
  <c r="Z140" i="25"/>
  <c r="AF617" i="25"/>
  <c r="Z617" i="25"/>
  <c r="N711" i="21"/>
  <c r="K711" i="21"/>
  <c r="AF382" i="16"/>
  <c r="AF446" i="16"/>
  <c r="Y304" i="16"/>
  <c r="J304" i="21"/>
  <c r="M304" i="21"/>
  <c r="N816" i="21"/>
  <c r="K816" i="21"/>
  <c r="AF1084" i="25"/>
  <c r="Z1084" i="25"/>
  <c r="AF733" i="16"/>
  <c r="AE390" i="16"/>
  <c r="N60" i="21"/>
  <c r="K60" i="21"/>
  <c r="AF517" i="16"/>
  <c r="Z993" i="16"/>
  <c r="AF993" i="16"/>
  <c r="AE48" i="25"/>
  <c r="Y48" i="25"/>
  <c r="Z386" i="16"/>
  <c r="AF386" i="16"/>
  <c r="Z1157" i="16"/>
  <c r="AF1157" i="16"/>
  <c r="M49" i="21"/>
  <c r="J49" i="21"/>
  <c r="AF1117" i="25"/>
  <c r="Z1117" i="25"/>
  <c r="N1079" i="21"/>
  <c r="K1079" i="21"/>
  <c r="AG526" i="25"/>
  <c r="AA526" i="25"/>
  <c r="N1011" i="21"/>
  <c r="K1011" i="21"/>
  <c r="AF762" i="25"/>
  <c r="Z762" i="25"/>
  <c r="Y195" i="16"/>
  <c r="AE195" i="16"/>
  <c r="AF1059" i="25"/>
  <c r="Z1059" i="25"/>
  <c r="Y485" i="16"/>
  <c r="AE485" i="16"/>
  <c r="N264" i="21"/>
  <c r="K264" i="21"/>
  <c r="M181" i="21"/>
  <c r="J181" i="21"/>
  <c r="AF160" i="16"/>
  <c r="AG1042" i="25"/>
  <c r="AA1042" i="25"/>
  <c r="AF1094" i="25"/>
  <c r="Z1094" i="25"/>
  <c r="AF813" i="16"/>
  <c r="Z813" i="16"/>
  <c r="AG776" i="25"/>
  <c r="AA776" i="25"/>
  <c r="AE79" i="25"/>
  <c r="Y79" i="25"/>
  <c r="AF1132" i="25"/>
  <c r="Z1132" i="25"/>
  <c r="AG270" i="25"/>
  <c r="AA270" i="25"/>
  <c r="AG619" i="25"/>
  <c r="AA619" i="25"/>
  <c r="Z279" i="16"/>
  <c r="AF279" i="16"/>
  <c r="Z267" i="16"/>
  <c r="K267" i="21"/>
  <c r="N267" i="21"/>
  <c r="Z704" i="16"/>
  <c r="K704" i="21"/>
  <c r="N704" i="21"/>
  <c r="AL41" i="8"/>
  <c r="AJ41" i="8"/>
  <c r="Z153" i="16"/>
  <c r="K153" i="21"/>
  <c r="N153" i="21"/>
  <c r="AE608" i="25"/>
  <c r="Y608" i="25"/>
  <c r="AF882" i="16"/>
  <c r="Z882" i="16"/>
  <c r="I32" i="22"/>
  <c r="G32" i="22"/>
  <c r="N1016" i="21"/>
  <c r="K1016" i="21"/>
  <c r="Z285" i="16"/>
  <c r="AF285" i="16"/>
  <c r="AF261" i="25"/>
  <c r="Z261" i="25"/>
  <c r="AG667" i="25"/>
  <c r="AA667" i="25"/>
  <c r="AG795" i="25"/>
  <c r="AA795" i="25"/>
  <c r="M185" i="21"/>
  <c r="J185" i="21"/>
  <c r="AF25" i="25"/>
  <c r="Z25" i="25"/>
  <c r="AF782" i="16"/>
  <c r="Z782" i="16"/>
  <c r="N23" i="23"/>
  <c r="T23" i="23"/>
  <c r="AM23" i="23"/>
  <c r="N549" i="21"/>
  <c r="K549" i="21"/>
  <c r="Z282" i="16"/>
  <c r="AF282" i="16"/>
  <c r="AF78" i="7"/>
  <c r="AM73" i="7"/>
  <c r="AE78" i="7"/>
  <c r="M575" i="21"/>
  <c r="J575" i="21"/>
  <c r="AF1138" i="25"/>
  <c r="Z1138" i="25"/>
  <c r="Z691" i="16"/>
  <c r="AF691" i="16"/>
  <c r="E26" i="33"/>
  <c r="E28" i="33"/>
  <c r="H28" i="33"/>
  <c r="AM25" i="7"/>
  <c r="H26" i="33"/>
  <c r="Z313" i="16"/>
  <c r="K313" i="21"/>
  <c r="N313" i="21"/>
  <c r="AF1090" i="16"/>
  <c r="AE33" i="25"/>
  <c r="Y33" i="25"/>
  <c r="AJ53" i="7"/>
  <c r="AJ53" i="23"/>
  <c r="AL53" i="23"/>
  <c r="AF146" i="25"/>
  <c r="Z146" i="25"/>
  <c r="Z1120" i="16"/>
  <c r="AF1120" i="16"/>
  <c r="AF767" i="16"/>
  <c r="Z767" i="16"/>
  <c r="AG875" i="25"/>
  <c r="AA875" i="25"/>
  <c r="AE162" i="25"/>
  <c r="Y162" i="25"/>
  <c r="Z958" i="16"/>
  <c r="AF958" i="16"/>
  <c r="AF529" i="25"/>
  <c r="Z529" i="25"/>
  <c r="AE181" i="16"/>
  <c r="Y181" i="16"/>
  <c r="Z1101" i="16"/>
  <c r="AF1101" i="16"/>
  <c r="AE26" i="25"/>
  <c r="Y26" i="25"/>
  <c r="Z711" i="16"/>
  <c r="AF711" i="16"/>
  <c r="Z382" i="16"/>
  <c r="K382" i="21"/>
  <c r="N382" i="21"/>
  <c r="AF680" i="25"/>
  <c r="Z680" i="25"/>
  <c r="Z446" i="16"/>
  <c r="K446" i="21"/>
  <c r="N446" i="21"/>
  <c r="M119" i="21"/>
  <c r="J119" i="21"/>
  <c r="AF749" i="16"/>
  <c r="AF791" i="25"/>
  <c r="Z791" i="25"/>
  <c r="Z733" i="16"/>
  <c r="K733" i="21"/>
  <c r="N733" i="21"/>
  <c r="Y390" i="16"/>
  <c r="J390" i="21"/>
  <c r="M390" i="21"/>
  <c r="Z60" i="16"/>
  <c r="AF60" i="16"/>
  <c r="Z517" i="16"/>
  <c r="K517" i="21"/>
  <c r="N517" i="21"/>
  <c r="AF1010" i="16"/>
  <c r="Z626" i="16"/>
  <c r="AF626" i="16"/>
  <c r="Z727" i="16"/>
  <c r="AF727" i="16"/>
  <c r="Y81" i="16"/>
  <c r="AE81" i="16"/>
  <c r="N872" i="21"/>
  <c r="K872" i="21"/>
  <c r="AE198" i="17"/>
  <c r="Z198" i="17"/>
  <c r="AK23" i="9"/>
  <c r="AK23" i="23"/>
  <c r="AK23" i="6"/>
  <c r="AK23" i="7"/>
  <c r="AK23" i="8"/>
  <c r="AB84" i="28"/>
  <c r="AB12" i="28"/>
  <c r="AF140" i="28"/>
  <c r="AF68" i="28"/>
  <c r="AE22" i="17"/>
  <c r="Z22" i="17"/>
  <c r="AF270" i="25"/>
  <c r="Z270" i="25"/>
  <c r="AG214" i="25"/>
  <c r="AA214" i="25"/>
  <c r="M69" i="21"/>
  <c r="J69" i="21"/>
  <c r="AF687" i="25"/>
  <c r="Z687" i="25"/>
  <c r="AF1050" i="16"/>
  <c r="AL29" i="7"/>
  <c r="N290" i="21"/>
  <c r="K290" i="21"/>
  <c r="AF171" i="16"/>
  <c r="Z171" i="16"/>
  <c r="AF1028" i="16"/>
  <c r="Z1028" i="16"/>
  <c r="AF73" i="8"/>
  <c r="Y49" i="16"/>
  <c r="AE49" i="16"/>
  <c r="AF560" i="16"/>
  <c r="Z560" i="16"/>
  <c r="AE249" i="17"/>
  <c r="Z249" i="17"/>
  <c r="AG627" i="25"/>
  <c r="AA627" i="25"/>
  <c r="Z1079" i="16"/>
  <c r="AF1079" i="16"/>
  <c r="Z286" i="16"/>
  <c r="AF286" i="16"/>
  <c r="Z718" i="16"/>
  <c r="AF718" i="16"/>
  <c r="Y488" i="16"/>
  <c r="AE488" i="16"/>
  <c r="AE156" i="25"/>
  <c r="Y156" i="25"/>
  <c r="Z945" i="16"/>
  <c r="AF945" i="16"/>
  <c r="M4" i="21"/>
  <c r="J4" i="21"/>
  <c r="Z357" i="16"/>
  <c r="K357" i="21"/>
  <c r="N357" i="21"/>
  <c r="AE222" i="17"/>
  <c r="Z222" i="17"/>
  <c r="AF133" i="16"/>
  <c r="AE396" i="16"/>
  <c r="AG831" i="25"/>
  <c r="AA831" i="25"/>
  <c r="AF934" i="25"/>
  <c r="Z934" i="25"/>
  <c r="N114" i="21"/>
  <c r="K114" i="21"/>
  <c r="Z1010" i="16"/>
  <c r="K1010" i="21"/>
  <c r="N1010" i="21"/>
  <c r="AF690" i="16"/>
  <c r="AG9" i="21"/>
  <c r="Y9" i="21"/>
  <c r="K662" i="21"/>
  <c r="S9" i="21"/>
  <c r="AJ51" i="6"/>
  <c r="N51" i="6"/>
  <c r="N51" i="7"/>
  <c r="T51" i="7"/>
  <c r="AO51" i="23"/>
  <c r="AE51" i="23"/>
  <c r="AG51" i="23"/>
  <c r="AG995" i="25"/>
  <c r="AA995" i="25"/>
  <c r="AF1151" i="25"/>
  <c r="Z1151" i="25"/>
  <c r="AF97" i="25"/>
  <c r="Z97" i="25"/>
  <c r="AF21" i="25"/>
  <c r="Z21" i="25"/>
  <c r="N363" i="21"/>
  <c r="K363" i="21"/>
  <c r="AG1094" i="25"/>
  <c r="AA1094" i="25"/>
  <c r="AL62" i="23"/>
  <c r="AJ62" i="23"/>
  <c r="Y3" i="16"/>
  <c r="J3" i="21"/>
  <c r="M3" i="21"/>
  <c r="AF791" i="16"/>
  <c r="Z791" i="16"/>
  <c r="AG786" i="25"/>
  <c r="AA786" i="25"/>
  <c r="N817" i="21"/>
  <c r="K817" i="21"/>
  <c r="AE646" i="16"/>
  <c r="M253" i="21"/>
  <c r="J253" i="21"/>
  <c r="Y159" i="16"/>
  <c r="J159" i="21"/>
  <c r="M159" i="21"/>
  <c r="Y394" i="16"/>
  <c r="J394" i="21"/>
  <c r="M394" i="21"/>
  <c r="AE293" i="17"/>
  <c r="Z293" i="17"/>
  <c r="N807" i="21"/>
  <c r="K807" i="21"/>
  <c r="AE35" i="17"/>
  <c r="Z35" i="17"/>
  <c r="S13" i="30"/>
  <c r="S7" i="30"/>
  <c r="AE233" i="25"/>
  <c r="Y233" i="25"/>
  <c r="N432" i="21"/>
  <c r="K432" i="21"/>
  <c r="N1151" i="21"/>
  <c r="K1151" i="21"/>
  <c r="Y4" i="16"/>
  <c r="AE4" i="16"/>
  <c r="AF190" i="25"/>
  <c r="Z190" i="25"/>
  <c r="AE479" i="25"/>
  <c r="Y479" i="25"/>
  <c r="AG927" i="25"/>
  <c r="AA927" i="25"/>
  <c r="Y48" i="16"/>
  <c r="AE48" i="16"/>
  <c r="Z133" i="16"/>
  <c r="K133" i="21"/>
  <c r="N133" i="21"/>
  <c r="Y396" i="16"/>
  <c r="J396" i="21"/>
  <c r="M396" i="21"/>
  <c r="Z463" i="16"/>
  <c r="AF463" i="16"/>
  <c r="Z690" i="16"/>
  <c r="K690" i="21"/>
  <c r="N690" i="21"/>
  <c r="Z114" i="16"/>
  <c r="AF114" i="16"/>
  <c r="N599" i="21"/>
  <c r="K599" i="21"/>
  <c r="Z353" i="16"/>
  <c r="K353" i="21"/>
  <c r="N353" i="21"/>
  <c r="N1086" i="21"/>
  <c r="K1086" i="21"/>
  <c r="AF1145" i="16"/>
  <c r="Z1145" i="16"/>
  <c r="AE579" i="25"/>
  <c r="Y579" i="25"/>
  <c r="AE31" i="16"/>
  <c r="AF84" i="25"/>
  <c r="Z84" i="25"/>
  <c r="AG510" i="25"/>
  <c r="AA510" i="25"/>
  <c r="AG440" i="25"/>
  <c r="AA440" i="25"/>
  <c r="AF107" i="25"/>
  <c r="Z107" i="25"/>
  <c r="AP16" i="23"/>
  <c r="AF16" i="23"/>
  <c r="AF47" i="23"/>
  <c r="AP47" i="23"/>
  <c r="Z954" i="16"/>
  <c r="AF954" i="16"/>
  <c r="AF95" i="16"/>
  <c r="AG1026" i="25"/>
  <c r="AA1026" i="25"/>
  <c r="AG53" i="25"/>
  <c r="AA53" i="25"/>
  <c r="AZ32" i="23"/>
  <c r="AX32" i="23"/>
  <c r="AM32" i="7"/>
  <c r="AF164" i="25"/>
  <c r="Z164" i="25"/>
  <c r="AE539" i="25"/>
  <c r="Y539" i="25"/>
  <c r="AF721" i="25"/>
  <c r="Z721" i="25"/>
  <c r="AE35" i="16"/>
  <c r="AG898" i="25"/>
  <c r="AA898" i="25"/>
  <c r="AF4" i="25"/>
  <c r="Z4" i="25"/>
  <c r="AF870" i="16"/>
  <c r="Z870" i="16"/>
  <c r="AF5" i="25"/>
  <c r="Z5" i="25"/>
  <c r="S10" i="33"/>
  <c r="AB24" i="24"/>
  <c r="AL24" i="24"/>
  <c r="AI24" i="24"/>
  <c r="N798" i="21"/>
  <c r="K798" i="21"/>
  <c r="AE369" i="17"/>
  <c r="Z369" i="17"/>
  <c r="S4" i="21"/>
  <c r="Y4" i="21"/>
  <c r="AG4" i="21"/>
  <c r="AE378" i="17"/>
  <c r="Z378" i="17"/>
  <c r="AF30" i="25"/>
  <c r="Z30" i="25"/>
  <c r="M83" i="21"/>
  <c r="J83" i="21"/>
  <c r="AG835" i="25"/>
  <c r="AA835" i="25"/>
  <c r="AE246" i="17"/>
  <c r="Z246" i="17"/>
  <c r="AG694" i="25"/>
  <c r="AA694" i="25"/>
  <c r="Z594" i="16"/>
  <c r="AF594" i="16"/>
  <c r="AE35" i="25"/>
  <c r="Y35" i="25"/>
  <c r="Y31" i="16"/>
  <c r="J31" i="21"/>
  <c r="M31" i="21"/>
  <c r="AE33" i="16"/>
  <c r="AF740" i="25"/>
  <c r="Z740" i="25"/>
  <c r="AG821" i="25"/>
  <c r="AA821" i="25"/>
  <c r="Z95" i="16"/>
  <c r="K95" i="21"/>
  <c r="N95" i="21"/>
  <c r="AF1074" i="25"/>
  <c r="Z1074" i="25"/>
  <c r="AG1111" i="25"/>
  <c r="AA1111" i="25"/>
  <c r="AG170" i="25"/>
  <c r="AA170" i="25"/>
  <c r="AG925" i="25"/>
  <c r="AA925" i="25"/>
  <c r="N504" i="21"/>
  <c r="K504" i="21"/>
  <c r="Y35" i="16"/>
  <c r="J35" i="21"/>
  <c r="M35" i="21"/>
  <c r="AF724" i="16"/>
  <c r="N41" i="28"/>
  <c r="N113" i="28"/>
  <c r="AF385" i="16"/>
  <c r="N655" i="21"/>
  <c r="K655" i="21"/>
  <c r="AF906" i="16"/>
  <c r="M166" i="21"/>
  <c r="J166" i="21"/>
  <c r="AF501" i="16"/>
  <c r="AF158" i="16"/>
  <c r="N1001" i="21"/>
  <c r="K1001" i="21"/>
  <c r="AE303" i="25"/>
  <c r="Y303" i="25"/>
  <c r="AE230" i="17"/>
  <c r="Z230" i="17"/>
  <c r="AJ59" i="6"/>
  <c r="N59" i="6"/>
  <c r="N59" i="7"/>
  <c r="N59" i="8"/>
  <c r="T59" i="8"/>
  <c r="AM59" i="8"/>
  <c r="AF7" i="16"/>
  <c r="AE167" i="17"/>
  <c r="Z167" i="17"/>
  <c r="N854" i="21"/>
  <c r="K854" i="21"/>
  <c r="M131" i="21"/>
  <c r="J131" i="21"/>
  <c r="AF930" i="16"/>
  <c r="AF951" i="16"/>
  <c r="AD46" i="17"/>
  <c r="Y46" i="17"/>
  <c r="AF5" i="16"/>
  <c r="AG717" i="25"/>
  <c r="AA717" i="25"/>
  <c r="AF598" i="16"/>
  <c r="AG855" i="25"/>
  <c r="AA855" i="25"/>
  <c r="AF971" i="16"/>
  <c r="AL60" i="7"/>
  <c r="N507" i="21"/>
  <c r="K507" i="21"/>
  <c r="AF915" i="16"/>
  <c r="Z906" i="16"/>
  <c r="K906" i="21"/>
  <c r="N906" i="21"/>
  <c r="AE391" i="16"/>
  <c r="AG586" i="25"/>
  <c r="AA586" i="25"/>
  <c r="AE237" i="25"/>
  <c r="Y237" i="25"/>
  <c r="AE42" i="25"/>
  <c r="Y42" i="25"/>
  <c r="AL58" i="7"/>
  <c r="AF864" i="16"/>
  <c r="Z864" i="16"/>
  <c r="AG767" i="25"/>
  <c r="AA767" i="25"/>
  <c r="AD104" i="17"/>
  <c r="Y104" i="17"/>
  <c r="Y605" i="16"/>
  <c r="AE605" i="16"/>
  <c r="AU5" i="16"/>
  <c r="AV5" i="16"/>
  <c r="N31" i="21"/>
  <c r="K31" i="21"/>
  <c r="AE200" i="25"/>
  <c r="Y200" i="25"/>
  <c r="Y123" i="16"/>
  <c r="AE123" i="16"/>
  <c r="AG154" i="25"/>
  <c r="AA154" i="25"/>
  <c r="Z980" i="16"/>
  <c r="K980" i="21"/>
  <c r="N980" i="21"/>
  <c r="Z165" i="16"/>
  <c r="AF165" i="16"/>
  <c r="T12" i="7"/>
  <c r="AO12" i="8"/>
  <c r="AE12" i="8"/>
  <c r="AG12" i="8"/>
  <c r="Z936" i="16"/>
  <c r="K936" i="21"/>
  <c r="N936" i="21"/>
  <c r="Z1011" i="16"/>
  <c r="AF1011" i="16"/>
  <c r="AJ68" i="7"/>
  <c r="AL68" i="7"/>
  <c r="Y162" i="16"/>
  <c r="J162" i="21"/>
  <c r="M162" i="21"/>
  <c r="M539" i="21"/>
  <c r="J539" i="21"/>
  <c r="Y33" i="16"/>
  <c r="J33" i="21"/>
  <c r="M33" i="21"/>
  <c r="Z738" i="16"/>
  <c r="K738" i="21"/>
  <c r="N738" i="21"/>
  <c r="Z264" i="16"/>
  <c r="AF264" i="16"/>
  <c r="Z15" i="16"/>
  <c r="K15" i="21"/>
  <c r="N15" i="21"/>
  <c r="AJ42" i="7"/>
  <c r="AL42" i="7"/>
  <c r="Y69" i="16"/>
  <c r="AE69" i="16"/>
  <c r="AG978" i="25"/>
  <c r="AA978" i="25"/>
  <c r="N526" i="21"/>
  <c r="K526" i="21"/>
  <c r="Y253" i="16"/>
  <c r="AE253" i="16"/>
  <c r="Z374" i="16"/>
  <c r="K374" i="21"/>
  <c r="N374" i="21"/>
  <c r="Z160" i="16"/>
  <c r="K160" i="21"/>
  <c r="N160" i="21"/>
  <c r="N545" i="21"/>
  <c r="K545" i="21"/>
  <c r="AE263" i="17"/>
  <c r="Z263" i="17"/>
  <c r="Z1090" i="16"/>
  <c r="K1090" i="21"/>
  <c r="N1090" i="21"/>
  <c r="M252" i="21"/>
  <c r="J252" i="21"/>
  <c r="AG734" i="25"/>
  <c r="AA734" i="25"/>
  <c r="AG462" i="25"/>
  <c r="AA462" i="25"/>
  <c r="AF349" i="25"/>
  <c r="Z349" i="25"/>
  <c r="N379" i="21"/>
  <c r="K379" i="21"/>
  <c r="Y248" i="16"/>
  <c r="AE248" i="16"/>
  <c r="Z930" i="16"/>
  <c r="K930" i="21"/>
  <c r="N930" i="21"/>
  <c r="AE124" i="25"/>
  <c r="Y124" i="25"/>
  <c r="Z5" i="16"/>
  <c r="K5" i="21"/>
  <c r="N5" i="21"/>
  <c r="Z598" i="16"/>
  <c r="K598" i="21"/>
  <c r="N598" i="21"/>
  <c r="Z971" i="16"/>
  <c r="K971" i="21"/>
  <c r="N971" i="21"/>
  <c r="AF258" i="25"/>
  <c r="Z258" i="25"/>
  <c r="AJ60" i="7"/>
  <c r="AJ60" i="23"/>
  <c r="AL60" i="23"/>
  <c r="N794" i="21"/>
  <c r="K794" i="21"/>
  <c r="AI32" i="24"/>
  <c r="AL32" i="24"/>
  <c r="AB32" i="24"/>
  <c r="S17" i="33"/>
  <c r="AF68" i="23"/>
  <c r="AP68" i="23"/>
  <c r="AF1080" i="25"/>
  <c r="Z1080" i="25"/>
  <c r="AF98" i="16"/>
  <c r="AG502" i="25"/>
  <c r="AA502" i="25"/>
  <c r="Z507" i="16"/>
  <c r="AF507" i="16"/>
  <c r="AM19" i="9"/>
  <c r="T19" i="9"/>
  <c r="N19" i="9"/>
  <c r="AF1105" i="16"/>
  <c r="AF891" i="16"/>
  <c r="Z891" i="16"/>
  <c r="N830" i="21"/>
  <c r="K830" i="21"/>
  <c r="AJ58" i="6"/>
  <c r="AJ58" i="7"/>
  <c r="AJ58" i="9"/>
  <c r="AL58" i="9"/>
  <c r="AL7" i="16"/>
  <c r="AK7" i="16"/>
  <c r="AF1135" i="16"/>
  <c r="Z1135" i="16"/>
  <c r="AE314" i="17"/>
  <c r="Z314" i="17"/>
  <c r="AB11" i="21"/>
  <c r="AE147" i="16"/>
  <c r="N766" i="21"/>
  <c r="K766" i="21"/>
  <c r="AE122" i="16"/>
  <c r="AE368" i="17"/>
  <c r="Z368" i="17"/>
  <c r="N83" i="21"/>
  <c r="K83" i="21"/>
  <c r="N117" i="21"/>
  <c r="K117" i="21"/>
  <c r="N506" i="21"/>
  <c r="K506" i="21"/>
  <c r="N759" i="21"/>
  <c r="K759" i="21"/>
  <c r="AF435" i="25"/>
  <c r="Z435" i="25"/>
  <c r="AL71" i="7"/>
  <c r="N962" i="21"/>
  <c r="K962" i="21"/>
  <c r="N585" i="21"/>
  <c r="K585" i="21"/>
  <c r="Y117" i="16"/>
  <c r="AE117" i="16"/>
  <c r="AF528" i="16"/>
  <c r="Z528" i="16"/>
  <c r="N898" i="21"/>
  <c r="K898" i="21"/>
  <c r="AJ6" i="7"/>
  <c r="AJ6" i="9"/>
  <c r="AL6" i="9"/>
  <c r="N775" i="21"/>
  <c r="K775" i="21"/>
  <c r="AG1050" i="25"/>
  <c r="AA1050" i="25"/>
  <c r="N370" i="21"/>
  <c r="K370" i="21"/>
  <c r="AG618" i="25"/>
  <c r="AA618" i="25"/>
  <c r="AJ62" i="6"/>
  <c r="AJ62" i="7"/>
  <c r="AL62" i="7"/>
  <c r="AF1067" i="25"/>
  <c r="Z1067" i="25"/>
  <c r="Z7" i="16"/>
  <c r="K7" i="21"/>
  <c r="N7" i="21"/>
  <c r="AE188" i="16"/>
  <c r="Y188" i="16"/>
  <c r="Z998" i="16"/>
  <c r="K998" i="21"/>
  <c r="N998" i="21"/>
  <c r="Z373" i="16"/>
  <c r="AF373" i="16"/>
  <c r="AE203" i="25"/>
  <c r="Y203" i="25"/>
  <c r="N19" i="23"/>
  <c r="T19" i="23"/>
  <c r="AM19" i="23"/>
  <c r="AJ37" i="7"/>
  <c r="AJ37" i="8"/>
  <c r="AL37" i="8"/>
  <c r="AF165" i="25"/>
  <c r="Z165" i="25"/>
  <c r="N293" i="21"/>
  <c r="K293" i="21"/>
  <c r="AF1102" i="25"/>
  <c r="Z1102" i="25"/>
  <c r="Z1069" i="16"/>
  <c r="K1069" i="21"/>
  <c r="N1069" i="21"/>
  <c r="AF783" i="16"/>
  <c r="Z783" i="16"/>
  <c r="AE69" i="25"/>
  <c r="Y69" i="25"/>
  <c r="N1089" i="21"/>
  <c r="K1089" i="21"/>
  <c r="Z1050" i="16"/>
  <c r="K1050" i="21"/>
  <c r="N1050" i="21"/>
  <c r="M186" i="21"/>
  <c r="J186" i="21"/>
  <c r="M491" i="21"/>
  <c r="J491" i="21"/>
  <c r="Z504" i="16"/>
  <c r="AF504" i="16"/>
  <c r="AJ29" i="7"/>
  <c r="AJ29" i="9"/>
  <c r="AL29" i="9"/>
  <c r="AF863" i="25"/>
  <c r="Z863" i="25"/>
  <c r="N1019" i="21"/>
  <c r="K1019" i="21"/>
  <c r="AF223" i="25"/>
  <c r="Z223" i="25"/>
  <c r="AF139" i="25"/>
  <c r="Z139" i="25"/>
  <c r="AE418" i="25"/>
  <c r="Y418" i="25"/>
  <c r="AE647" i="25"/>
  <c r="Y647" i="25"/>
  <c r="AG952" i="25"/>
  <c r="AA952" i="25"/>
  <c r="AF799" i="16"/>
  <c r="Z799" i="16"/>
  <c r="AF1103" i="16"/>
  <c r="AF968" i="16"/>
  <c r="AF628" i="16"/>
  <c r="AL11" i="25"/>
  <c r="AF699" i="16"/>
  <c r="AF721" i="16"/>
  <c r="AF814" i="25"/>
  <c r="Z814" i="25"/>
  <c r="AB9" i="21"/>
  <c r="AM64" i="8"/>
  <c r="AJ64" i="6"/>
  <c r="N64" i="6"/>
  <c r="N64" i="7"/>
  <c r="N64" i="8"/>
  <c r="T64" i="8"/>
  <c r="Z915" i="16"/>
  <c r="K915" i="21"/>
  <c r="N915" i="21"/>
  <c r="AF530" i="16"/>
  <c r="Z530" i="16"/>
  <c r="AE233" i="16"/>
  <c r="AD208" i="17"/>
  <c r="Y208" i="17"/>
  <c r="Y391" i="16"/>
  <c r="J391" i="21"/>
  <c r="M391" i="21"/>
  <c r="M412" i="21"/>
  <c r="J412" i="21"/>
  <c r="S24" i="33"/>
  <c r="AI38" i="24"/>
  <c r="AL38" i="24"/>
  <c r="AB38" i="24"/>
  <c r="Z1103" i="16"/>
  <c r="K1103" i="21"/>
  <c r="N1103" i="21"/>
  <c r="N975" i="21"/>
  <c r="K975" i="21"/>
  <c r="Z1105" i="16"/>
  <c r="K1105" i="21"/>
  <c r="N1105" i="21"/>
  <c r="Z968" i="16"/>
  <c r="K968" i="21"/>
  <c r="N968" i="21"/>
  <c r="AF633" i="25"/>
  <c r="Z633" i="25"/>
  <c r="Z158" i="16"/>
  <c r="K158" i="21"/>
  <c r="N158" i="21"/>
  <c r="Z628" i="16"/>
  <c r="K628" i="21"/>
  <c r="N628" i="21"/>
  <c r="N600" i="21"/>
  <c r="K600" i="21"/>
  <c r="AI23" i="24"/>
  <c r="AL23" i="24"/>
  <c r="AB23" i="24"/>
  <c r="S8" i="33"/>
  <c r="AK11" i="25"/>
  <c r="AK12" i="25"/>
  <c r="AL12" i="25"/>
  <c r="N292" i="21"/>
  <c r="K292" i="21"/>
  <c r="AG280" i="25"/>
  <c r="AA280" i="25"/>
  <c r="Z98" i="16"/>
  <c r="K98" i="21"/>
  <c r="N98" i="21"/>
  <c r="AG150" i="25"/>
  <c r="AA150" i="25"/>
  <c r="N620" i="21"/>
  <c r="K620" i="21"/>
  <c r="N940" i="21"/>
  <c r="K940" i="21"/>
  <c r="Z699" i="16"/>
  <c r="K699" i="21"/>
  <c r="N699" i="21"/>
  <c r="AF751" i="16"/>
  <c r="N221" i="21"/>
  <c r="K221" i="21"/>
  <c r="Z721" i="16"/>
  <c r="K721" i="21"/>
  <c r="N721" i="21"/>
  <c r="AG166" i="25"/>
  <c r="AA166" i="25"/>
  <c r="AE180" i="16"/>
  <c r="Y180" i="16"/>
  <c r="N71" i="6"/>
  <c r="N71" i="7"/>
  <c r="T71" i="7"/>
  <c r="AO71" i="9"/>
  <c r="AE71" i="9"/>
  <c r="AG71" i="9"/>
  <c r="AE34" i="16"/>
  <c r="AF587" i="25"/>
  <c r="Z587" i="25"/>
  <c r="N516" i="21"/>
  <c r="K516" i="21"/>
  <c r="N359" i="21"/>
  <c r="K359" i="21"/>
  <c r="N720" i="21"/>
  <c r="K720" i="21"/>
  <c r="Z385" i="16"/>
  <c r="K385" i="21"/>
  <c r="N385" i="21"/>
  <c r="Z655" i="16"/>
  <c r="AF655" i="16"/>
  <c r="N833" i="21"/>
  <c r="K833" i="21"/>
  <c r="Z31" i="16"/>
  <c r="AF31" i="16"/>
  <c r="Y233" i="16"/>
  <c r="J233" i="21"/>
  <c r="M233" i="21"/>
  <c r="AP5" i="8"/>
  <c r="AF5" i="8"/>
  <c r="AC5" i="28"/>
  <c r="AC77" i="28"/>
  <c r="S11" i="30"/>
  <c r="Y119" i="16"/>
  <c r="AE119" i="16"/>
  <c r="Y412" i="16"/>
  <c r="AE412" i="16"/>
  <c r="AF116" i="25"/>
  <c r="Z116" i="25"/>
  <c r="AG600" i="25"/>
  <c r="AA600" i="25"/>
  <c r="N860" i="21"/>
  <c r="K860" i="21"/>
  <c r="N81" i="21"/>
  <c r="K81" i="21"/>
  <c r="AE571" i="16"/>
  <c r="Y571" i="16"/>
  <c r="AF306" i="16"/>
  <c r="Z498" i="16"/>
  <c r="AF498" i="16"/>
  <c r="AF146" i="16"/>
  <c r="N637" i="21"/>
  <c r="K637" i="21"/>
  <c r="AF179" i="16"/>
  <c r="Z179" i="16"/>
  <c r="AE542" i="25"/>
  <c r="Y542" i="25"/>
  <c r="AF1061" i="16"/>
  <c r="Z600" i="16"/>
  <c r="AF600" i="16"/>
  <c r="N511" i="21"/>
  <c r="K511" i="21"/>
  <c r="N588" i="21"/>
  <c r="K588" i="21"/>
  <c r="AE534" i="16"/>
  <c r="Y534" i="16"/>
  <c r="Z363" i="16"/>
  <c r="AF363" i="16"/>
  <c r="Z751" i="16"/>
  <c r="K751" i="21"/>
  <c r="N751" i="21"/>
  <c r="AG49" i="9"/>
  <c r="AE49" i="9"/>
  <c r="N49" i="6"/>
  <c r="N49" i="7"/>
  <c r="T49" i="7"/>
  <c r="AO49" i="9"/>
  <c r="AG883" i="25"/>
  <c r="AA883" i="25"/>
  <c r="Y34" i="16"/>
  <c r="J34" i="21"/>
  <c r="M34" i="21"/>
  <c r="N216" i="21"/>
  <c r="K216" i="21"/>
  <c r="N815" i="21"/>
  <c r="K815" i="21"/>
  <c r="AG443" i="25"/>
  <c r="AA443" i="25"/>
  <c r="AE155" i="25"/>
  <c r="Y155" i="25"/>
  <c r="AF600" i="25"/>
  <c r="Z600" i="25"/>
  <c r="AG51" i="25"/>
  <c r="AA51" i="25"/>
  <c r="Z306" i="16"/>
  <c r="K306" i="21"/>
  <c r="N306" i="21"/>
  <c r="AE58" i="25"/>
  <c r="Y58" i="25"/>
  <c r="N893" i="21"/>
  <c r="K893" i="21"/>
  <c r="AE103" i="16"/>
  <c r="Z146" i="16"/>
  <c r="K146" i="21"/>
  <c r="N146" i="21"/>
  <c r="AF966" i="25"/>
  <c r="Z966" i="25"/>
  <c r="AF700" i="16"/>
  <c r="AF866" i="16"/>
  <c r="Z866" i="16"/>
  <c r="Z1061" i="16"/>
  <c r="K1061" i="21"/>
  <c r="N1061" i="21"/>
  <c r="N793" i="21"/>
  <c r="K793" i="21"/>
  <c r="Z1001" i="16"/>
  <c r="AF1001" i="16"/>
  <c r="AF581" i="25"/>
  <c r="Z581" i="25"/>
  <c r="AG259" i="25"/>
  <c r="AA259" i="25"/>
  <c r="N799" i="21"/>
  <c r="K799" i="21"/>
  <c r="N1047" i="21"/>
  <c r="K1047" i="21"/>
  <c r="AF780" i="25"/>
  <c r="Z780" i="25"/>
  <c r="N1067" i="21"/>
  <c r="K1067" i="21"/>
  <c r="AG724" i="25"/>
  <c r="AA724" i="25"/>
  <c r="AF1058" i="16"/>
  <c r="AE573" i="25"/>
  <c r="Y573" i="25"/>
  <c r="N358" i="21"/>
  <c r="K358" i="21"/>
  <c r="AF92" i="28"/>
  <c r="AF20" i="28"/>
  <c r="N1056" i="21"/>
  <c r="K1056" i="21"/>
  <c r="N1116" i="21"/>
  <c r="K1116" i="21"/>
  <c r="AL21" i="7"/>
  <c r="M114" i="21"/>
  <c r="J114" i="21"/>
  <c r="AF260" i="16"/>
  <c r="AF1051" i="16"/>
  <c r="AF895" i="16"/>
  <c r="Z895" i="16"/>
  <c r="AF914" i="16"/>
  <c r="Z501" i="16"/>
  <c r="K501" i="21"/>
  <c r="N501" i="21"/>
  <c r="N76" i="21"/>
  <c r="K76" i="21"/>
  <c r="AE238" i="25"/>
  <c r="Y238" i="25"/>
  <c r="AF368" i="16"/>
  <c r="AF657" i="16"/>
  <c r="Y103" i="16"/>
  <c r="J103" i="21"/>
  <c r="M103" i="21"/>
  <c r="Z1048" i="16"/>
  <c r="AF1048" i="16"/>
  <c r="Z700" i="16"/>
  <c r="K700" i="21"/>
  <c r="N700" i="21"/>
  <c r="AE126" i="25"/>
  <c r="Y126" i="25"/>
  <c r="Z117" i="16"/>
  <c r="AF117" i="16"/>
  <c r="AF445" i="16"/>
  <c r="M64" i="21"/>
  <c r="J64" i="21"/>
  <c r="AF213" i="25"/>
  <c r="Z213" i="25"/>
  <c r="Z1058" i="16"/>
  <c r="K1058" i="21"/>
  <c r="N1058" i="21"/>
  <c r="N709" i="21"/>
  <c r="K709" i="21"/>
  <c r="N693" i="21"/>
  <c r="K693" i="21"/>
  <c r="AG316" i="25"/>
  <c r="AA316" i="25"/>
  <c r="AJ21" i="7"/>
  <c r="AF21" i="28"/>
  <c r="AF93" i="28"/>
  <c r="N769" i="21"/>
  <c r="K769" i="21"/>
  <c r="M399" i="21"/>
  <c r="J399" i="21"/>
  <c r="M102" i="21"/>
  <c r="J102" i="21"/>
  <c r="N210" i="21"/>
  <c r="K210" i="21"/>
  <c r="AE88" i="17"/>
  <c r="Z88" i="17"/>
  <c r="N101" i="21"/>
  <c r="K101" i="21"/>
  <c r="AF653" i="25"/>
  <c r="Z653" i="25"/>
  <c r="Z370" i="16"/>
  <c r="AF370" i="16"/>
  <c r="Z293" i="16"/>
  <c r="AF293" i="16"/>
  <c r="Z599" i="16"/>
  <c r="AF599" i="16"/>
  <c r="I30" i="22"/>
  <c r="G30" i="22"/>
  <c r="AG817" i="25"/>
  <c r="AA817" i="25"/>
  <c r="Z1086" i="16"/>
  <c r="AF1086" i="16"/>
  <c r="Z1089" i="16"/>
  <c r="AF1089" i="16"/>
  <c r="Z595" i="16"/>
  <c r="AF595" i="16"/>
  <c r="Z379" i="16"/>
  <c r="AF379" i="16"/>
  <c r="Y131" i="16"/>
  <c r="AE131" i="16"/>
  <c r="AE491" i="25"/>
  <c r="Y491" i="25"/>
  <c r="Y491" i="16"/>
  <c r="AE491" i="16"/>
  <c r="Y301" i="16"/>
  <c r="AE301" i="16"/>
  <c r="AO70" i="23"/>
  <c r="AE70" i="23"/>
  <c r="AG70" i="23"/>
  <c r="AE535" i="25"/>
  <c r="Y535" i="25"/>
  <c r="Y646" i="16"/>
  <c r="J646" i="21"/>
  <c r="M646" i="21"/>
  <c r="Z749" i="16"/>
  <c r="K749" i="21"/>
  <c r="N749" i="21"/>
  <c r="N879" i="21"/>
  <c r="K879" i="21"/>
  <c r="Z290" i="16"/>
  <c r="AF290" i="16"/>
  <c r="AK55" i="9"/>
  <c r="AK55" i="23"/>
  <c r="AK55" i="6"/>
  <c r="AK55" i="7"/>
  <c r="AK55" i="8"/>
  <c r="AG845" i="25"/>
  <c r="AA845" i="25"/>
  <c r="AF460" i="25"/>
  <c r="Z460" i="25"/>
  <c r="AG1087" i="25"/>
  <c r="AA1087" i="25"/>
  <c r="AF841" i="25"/>
  <c r="Z841" i="25"/>
  <c r="AF850" i="25"/>
  <c r="Z850" i="25"/>
  <c r="AF287" i="25"/>
  <c r="Z287" i="25"/>
  <c r="N23" i="28"/>
  <c r="N95" i="28"/>
  <c r="Z169" i="16"/>
  <c r="AF169" i="16"/>
  <c r="AF324" i="16"/>
  <c r="AE168" i="25"/>
  <c r="Y168" i="25"/>
  <c r="N858" i="21"/>
  <c r="K858" i="21"/>
  <c r="AF888" i="25"/>
  <c r="Z888" i="25"/>
  <c r="AF905" i="16"/>
  <c r="AK8" i="16"/>
  <c r="AL8" i="16"/>
  <c r="Y147" i="16"/>
  <c r="J147" i="21"/>
  <c r="M147" i="21"/>
  <c r="N567" i="21"/>
  <c r="K567" i="21"/>
  <c r="Z1056" i="16"/>
  <c r="AF1056" i="16"/>
  <c r="AE115" i="16"/>
  <c r="AE494" i="25"/>
  <c r="Y494" i="25"/>
  <c r="N231" i="21"/>
  <c r="K231" i="21"/>
  <c r="N789" i="21"/>
  <c r="K789" i="21"/>
  <c r="Z368" i="16"/>
  <c r="K368" i="21"/>
  <c r="N368" i="21"/>
  <c r="Z657" i="16"/>
  <c r="K657" i="21"/>
  <c r="N657" i="21"/>
  <c r="AF1037" i="16"/>
  <c r="N834" i="21"/>
  <c r="K834" i="21"/>
  <c r="AF550" i="25"/>
  <c r="Z550" i="25"/>
  <c r="AF369" i="16"/>
  <c r="AF112" i="16"/>
  <c r="AO68" i="23"/>
  <c r="AE68" i="23"/>
  <c r="AG68" i="23"/>
  <c r="AF322" i="25"/>
  <c r="Z322" i="25"/>
  <c r="AG581" i="25"/>
  <c r="AA581" i="25"/>
  <c r="AF309" i="25"/>
  <c r="Z309" i="25"/>
  <c r="AG939" i="25"/>
  <c r="AA939" i="25"/>
  <c r="AF680" i="16"/>
  <c r="AF32" i="25"/>
  <c r="Z32" i="25"/>
  <c r="AG891" i="25"/>
  <c r="AA891" i="25"/>
  <c r="AF130" i="16"/>
  <c r="AF3" i="25"/>
  <c r="Z3" i="25"/>
  <c r="AG979" i="25"/>
  <c r="AA979" i="25"/>
  <c r="M337" i="21"/>
  <c r="J337" i="21"/>
  <c r="AF553" i="16"/>
  <c r="Z553" i="16"/>
  <c r="AF119" i="28"/>
  <c r="AF47" i="28"/>
  <c r="AE202" i="25"/>
  <c r="Y202" i="25"/>
  <c r="L90" i="6"/>
  <c r="AG94" i="28"/>
  <c r="AG22" i="28"/>
  <c r="N1131" i="21"/>
  <c r="K1131" i="21"/>
  <c r="AF64" i="25"/>
  <c r="Z64" i="25"/>
  <c r="AE153" i="17"/>
  <c r="Z153" i="17"/>
  <c r="Z324" i="16"/>
  <c r="K324" i="21"/>
  <c r="N324" i="21"/>
  <c r="Y122" i="16"/>
  <c r="J122" i="21"/>
  <c r="M122" i="21"/>
  <c r="AG736" i="25"/>
  <c r="AA736" i="25"/>
  <c r="AF528" i="25"/>
  <c r="Z528" i="25"/>
  <c r="Z662" i="25"/>
  <c r="AF662" i="25"/>
  <c r="AK6" i="25"/>
  <c r="AL6" i="25"/>
  <c r="Z637" i="16"/>
  <c r="AF637" i="16"/>
  <c r="Y166" i="16"/>
  <c r="AE166" i="16"/>
  <c r="Z914" i="16"/>
  <c r="K914" i="21"/>
  <c r="N914" i="21"/>
  <c r="AF859" i="16"/>
  <c r="Z859" i="16"/>
  <c r="Y115" i="16"/>
  <c r="J115" i="21"/>
  <c r="M115" i="21"/>
  <c r="Z1067" i="16"/>
  <c r="AF1067" i="16"/>
  <c r="N15" i="28"/>
  <c r="N87" i="28"/>
  <c r="AJ28" i="7"/>
  <c r="AL28" i="7"/>
  <c r="Z292" i="16"/>
  <c r="AF292" i="16"/>
  <c r="Z1037" i="16"/>
  <c r="K1037" i="21"/>
  <c r="N1037" i="21"/>
  <c r="Z83" i="16"/>
  <c r="AF83" i="16"/>
  <c r="Z369" i="16"/>
  <c r="K369" i="21"/>
  <c r="N369" i="21"/>
  <c r="N183" i="21"/>
  <c r="K183" i="21"/>
  <c r="N54" i="8"/>
  <c r="T54" i="8"/>
  <c r="AM54" i="8"/>
  <c r="Z112" i="16"/>
  <c r="K112" i="21"/>
  <c r="N112" i="21"/>
  <c r="Z506" i="16"/>
  <c r="AF506" i="16"/>
  <c r="Z983" i="16"/>
  <c r="AF983" i="16"/>
  <c r="AL23" i="9"/>
  <c r="AJ23" i="9"/>
  <c r="Z680" i="16"/>
  <c r="K680" i="21"/>
  <c r="N680" i="21"/>
  <c r="M608" i="21"/>
  <c r="J608" i="21"/>
  <c r="M28" i="21"/>
  <c r="J28" i="21"/>
  <c r="AG837" i="25"/>
  <c r="AA837" i="25"/>
  <c r="Z130" i="16"/>
  <c r="K130" i="21"/>
  <c r="N130" i="21"/>
  <c r="AG546" i="25"/>
  <c r="AA546" i="25"/>
  <c r="Z511" i="16"/>
  <c r="AF511" i="16"/>
  <c r="M250" i="21"/>
  <c r="J250" i="21"/>
  <c r="AF327" i="25"/>
  <c r="Z327" i="25"/>
  <c r="E13" i="33"/>
  <c r="Z962" i="16"/>
  <c r="AF962" i="16"/>
  <c r="M175" i="21"/>
  <c r="J175" i="21"/>
  <c r="M295" i="21"/>
  <c r="J295" i="21"/>
  <c r="AE113" i="25"/>
  <c r="Y113" i="25"/>
  <c r="AG558" i="25"/>
  <c r="AA558" i="25"/>
  <c r="AE30" i="16"/>
  <c r="AF313" i="25"/>
  <c r="Z313" i="25"/>
  <c r="Y205" i="17"/>
  <c r="AD205" i="17"/>
  <c r="AD8" i="21"/>
  <c r="N1023" i="21"/>
  <c r="K1023" i="21"/>
  <c r="AE53" i="25"/>
  <c r="Y53" i="25"/>
  <c r="AF121" i="16"/>
  <c r="AG770" i="25"/>
  <c r="AA770" i="25"/>
  <c r="AE176" i="16"/>
  <c r="Y176" i="16"/>
  <c r="N9" i="8"/>
  <c r="T9" i="8"/>
  <c r="AM9" i="8"/>
  <c r="AF975" i="25"/>
  <c r="Z975" i="25"/>
  <c r="AF663" i="16"/>
  <c r="Z445" i="16"/>
  <c r="K445" i="21"/>
  <c r="N445" i="21"/>
  <c r="AJ71" i="6"/>
  <c r="AJ71" i="7"/>
  <c r="AJ71" i="8"/>
  <c r="AL71" i="8"/>
  <c r="AF1038" i="16"/>
  <c r="AE53" i="16"/>
  <c r="AG474" i="25"/>
  <c r="AA474" i="25"/>
  <c r="AF563" i="25"/>
  <c r="Z563" i="25"/>
  <c r="N729" i="21"/>
  <c r="K729" i="21"/>
  <c r="AF825" i="16"/>
  <c r="Z825" i="16"/>
  <c r="Z724" i="16"/>
  <c r="K724" i="21"/>
  <c r="N724" i="21"/>
  <c r="AF781" i="16"/>
  <c r="Z781" i="16"/>
  <c r="AE202" i="16"/>
  <c r="AF704" i="25"/>
  <c r="Z704" i="25"/>
  <c r="AG993" i="25"/>
  <c r="AA993" i="25"/>
  <c r="AA7" i="21"/>
  <c r="AE576" i="16"/>
  <c r="Y576" i="16"/>
  <c r="AG857" i="25"/>
  <c r="AA857" i="25"/>
  <c r="Z260" i="16"/>
  <c r="K260" i="21"/>
  <c r="N260" i="21"/>
  <c r="AF828" i="16"/>
  <c r="Z828" i="16"/>
  <c r="AE285" i="17"/>
  <c r="Z285" i="17"/>
  <c r="N90" i="21"/>
  <c r="K90" i="21"/>
  <c r="Z1051" i="16"/>
  <c r="K1051" i="21"/>
  <c r="N1051" i="21"/>
  <c r="AE354" i="17"/>
  <c r="Z354" i="17"/>
  <c r="M155" i="21"/>
  <c r="J155" i="21"/>
  <c r="Z76" i="16"/>
  <c r="AF76" i="16"/>
  <c r="N466" i="21"/>
  <c r="K466" i="21"/>
  <c r="AF690" i="25"/>
  <c r="Z690" i="25"/>
  <c r="AF793" i="16"/>
  <c r="Z793" i="16"/>
  <c r="AG944" i="25"/>
  <c r="AA944" i="25"/>
  <c r="AF910" i="25"/>
  <c r="Z910" i="25"/>
  <c r="AF208" i="25"/>
  <c r="Z208" i="25"/>
  <c r="AE640" i="25"/>
  <c r="Y640" i="25"/>
  <c r="AL7" i="8"/>
  <c r="AJ7" i="8"/>
  <c r="N1009" i="21"/>
  <c r="K1009" i="21"/>
  <c r="N706" i="21"/>
  <c r="K706" i="21"/>
  <c r="AF121" i="28"/>
  <c r="AF49" i="28"/>
  <c r="N115" i="21"/>
  <c r="K115" i="21"/>
  <c r="K2" i="21"/>
  <c r="N2" i="21"/>
  <c r="V4" i="21"/>
  <c r="AJ4" i="21"/>
  <c r="Z663" i="16"/>
  <c r="K663" i="21"/>
  <c r="N663" i="21"/>
  <c r="AG1072" i="25"/>
  <c r="AA1072" i="25"/>
  <c r="M388" i="21"/>
  <c r="J388" i="21"/>
  <c r="AF1132" i="16"/>
  <c r="AI35" i="24"/>
  <c r="AL35" i="24"/>
  <c r="AB35" i="24"/>
  <c r="Z1038" i="16"/>
  <c r="K1038" i="21"/>
  <c r="N1038" i="21"/>
  <c r="AF98" i="25"/>
  <c r="Z98" i="25"/>
  <c r="AF1088" i="25"/>
  <c r="Z1088" i="25"/>
  <c r="N24" i="7"/>
  <c r="T24" i="7"/>
  <c r="AP24" i="23"/>
  <c r="AF24" i="23"/>
  <c r="AF746" i="25"/>
  <c r="Z746" i="25"/>
  <c r="AF96" i="25"/>
  <c r="Z96" i="25"/>
  <c r="N668" i="21"/>
  <c r="K668" i="21"/>
  <c r="AE235" i="25"/>
  <c r="Y235" i="25"/>
  <c r="AF841" i="16"/>
  <c r="Z841" i="16"/>
  <c r="AF186" i="16"/>
  <c r="Z186" i="16"/>
  <c r="AD39" i="17"/>
  <c r="Y39" i="17"/>
  <c r="Z90" i="16"/>
  <c r="AF90" i="16"/>
  <c r="AF1087" i="16"/>
  <c r="AG554" i="25"/>
  <c r="AA554" i="25"/>
  <c r="AG823" i="25"/>
  <c r="AA823" i="25"/>
  <c r="AE50" i="16"/>
  <c r="AU4" i="16"/>
  <c r="AV4" i="16"/>
  <c r="AG940" i="25"/>
  <c r="AA940" i="25"/>
  <c r="AF71" i="16"/>
  <c r="AF1064" i="16"/>
  <c r="AJ50" i="6"/>
  <c r="N50" i="6"/>
  <c r="N50" i="7"/>
  <c r="N50" i="23"/>
  <c r="T50" i="23"/>
  <c r="AM50" i="23"/>
  <c r="AF672" i="25"/>
  <c r="Z672" i="25"/>
  <c r="AF270" i="16"/>
  <c r="AG213" i="25"/>
  <c r="AA213" i="25"/>
  <c r="AF226" i="25"/>
  <c r="Z226" i="25"/>
  <c r="N601" i="21"/>
  <c r="K601" i="21"/>
  <c r="AG222" i="25"/>
  <c r="AA222" i="25"/>
  <c r="M77" i="21"/>
  <c r="J77" i="21"/>
  <c r="AG54" i="25"/>
  <c r="AA54" i="25"/>
  <c r="AF635" i="25"/>
  <c r="Z635" i="25"/>
  <c r="AE245" i="25"/>
  <c r="Y245" i="25"/>
  <c r="AF775" i="25"/>
  <c r="Z775" i="25"/>
  <c r="N79" i="21"/>
  <c r="K79" i="21"/>
  <c r="AG57" i="25"/>
  <c r="AA57" i="25"/>
  <c r="AD215" i="17"/>
  <c r="Y215" i="17"/>
  <c r="AE63" i="16"/>
  <c r="Z194" i="17"/>
  <c r="AE194" i="17"/>
  <c r="AE8" i="21"/>
  <c r="AG292" i="25"/>
  <c r="AA292" i="25"/>
  <c r="Z709" i="16"/>
  <c r="AF709" i="16"/>
  <c r="Z759" i="16"/>
  <c r="AF759" i="16"/>
  <c r="Y388" i="16"/>
  <c r="AE388" i="16"/>
  <c r="Z1132" i="16"/>
  <c r="K1132" i="21"/>
  <c r="N1132" i="21"/>
  <c r="Z358" i="16"/>
  <c r="AF358" i="16"/>
  <c r="Y250" i="16"/>
  <c r="AE250" i="16"/>
  <c r="Z693" i="16"/>
  <c r="AF693" i="16"/>
  <c r="Y83" i="16"/>
  <c r="AE83" i="16"/>
  <c r="AG385" i="25"/>
  <c r="AA385" i="25"/>
  <c r="AI45" i="24"/>
  <c r="AL45" i="24"/>
  <c r="AB45" i="24"/>
  <c r="S29" i="33"/>
  <c r="Z121" i="16"/>
  <c r="K121" i="21"/>
  <c r="N121" i="21"/>
  <c r="Y202" i="16"/>
  <c r="J202" i="21"/>
  <c r="M202" i="21"/>
  <c r="AE67" i="17"/>
  <c r="Z67" i="17"/>
  <c r="Z668" i="16"/>
  <c r="AF668" i="16"/>
  <c r="Y337" i="16"/>
  <c r="AE337" i="16"/>
  <c r="N55" i="28"/>
  <c r="N127" i="28"/>
  <c r="Z1087" i="16"/>
  <c r="K1087" i="21"/>
  <c r="N1087" i="21"/>
  <c r="AE616" i="25"/>
  <c r="Y616" i="25"/>
  <c r="AF818" i="25"/>
  <c r="Z818" i="25"/>
  <c r="AF1096" i="25"/>
  <c r="Z1096" i="25"/>
  <c r="AJ47" i="7"/>
  <c r="AL47" i="7"/>
  <c r="Y114" i="16"/>
  <c r="AE114" i="16"/>
  <c r="N886" i="21"/>
  <c r="K886" i="21"/>
  <c r="AF664" i="25"/>
  <c r="Z664" i="25"/>
  <c r="AG565" i="25"/>
  <c r="AA565" i="25"/>
  <c r="Z71" i="16"/>
  <c r="K71" i="21"/>
  <c r="N71" i="21"/>
  <c r="AF638" i="25"/>
  <c r="Z638" i="25"/>
  <c r="Z1064" i="16"/>
  <c r="K1064" i="21"/>
  <c r="N1064" i="21"/>
  <c r="AG156" i="25"/>
  <c r="AA156" i="25"/>
  <c r="M171" i="21"/>
  <c r="J171" i="21"/>
  <c r="AF89" i="28"/>
  <c r="AF17" i="28"/>
  <c r="Z216" i="16"/>
  <c r="AF216" i="16"/>
  <c r="Z270" i="16"/>
  <c r="K270" i="21"/>
  <c r="N270" i="21"/>
  <c r="AE339" i="16"/>
  <c r="N347" i="21"/>
  <c r="K347" i="21"/>
  <c r="AG464" i="25"/>
  <c r="AA464" i="25"/>
  <c r="AL65" i="7"/>
  <c r="AF1140" i="25"/>
  <c r="Z1140" i="25"/>
  <c r="AF184" i="16"/>
  <c r="Z184" i="16"/>
  <c r="S14" i="33"/>
  <c r="AI30" i="24"/>
  <c r="AL30" i="24"/>
  <c r="AB30" i="24"/>
  <c r="AG852" i="25"/>
  <c r="AA852" i="25"/>
  <c r="M41" i="21"/>
  <c r="J41" i="21"/>
  <c r="M110" i="21"/>
  <c r="J110" i="21"/>
  <c r="AE237" i="16"/>
  <c r="H8" i="33"/>
  <c r="H6" i="33"/>
  <c r="E8" i="33"/>
  <c r="E6" i="33"/>
  <c r="N1099" i="21"/>
  <c r="K1099" i="21"/>
  <c r="AG622" i="25"/>
  <c r="AA622" i="25"/>
  <c r="AE97" i="17"/>
  <c r="Z97" i="17"/>
  <c r="AG733" i="25"/>
  <c r="AA733" i="25"/>
  <c r="Y399" i="16"/>
  <c r="AE399" i="16"/>
  <c r="Y102" i="16"/>
  <c r="AE102" i="16"/>
  <c r="AE387" i="25"/>
  <c r="Y387" i="25"/>
  <c r="AF104" i="16"/>
  <c r="Z210" i="16"/>
  <c r="AF210" i="16"/>
  <c r="AE644" i="25"/>
  <c r="Y644" i="25"/>
  <c r="AE175" i="25"/>
  <c r="Y175" i="25"/>
  <c r="AF178" i="16"/>
  <c r="Z178" i="16"/>
  <c r="AB7" i="21"/>
  <c r="Z50" i="16"/>
  <c r="AF50" i="16"/>
  <c r="N802" i="21"/>
  <c r="K802" i="21"/>
  <c r="AF827" i="16"/>
  <c r="Z827" i="16"/>
  <c r="AF564" i="25"/>
  <c r="Z564" i="25"/>
  <c r="N128" i="21"/>
  <c r="K128" i="21"/>
  <c r="AF229" i="25"/>
  <c r="Z229" i="25"/>
  <c r="N170" i="21"/>
  <c r="K170" i="21"/>
  <c r="AG743" i="25"/>
  <c r="AA743" i="25"/>
  <c r="AF16" i="25"/>
  <c r="Z16" i="25"/>
  <c r="AE648" i="16"/>
  <c r="M239" i="21"/>
  <c r="J239" i="21"/>
  <c r="AE85" i="16"/>
  <c r="AF880" i="16"/>
  <c r="Z880" i="16"/>
  <c r="AG597" i="25"/>
  <c r="AA597" i="25"/>
  <c r="N344" i="21"/>
  <c r="K344" i="21"/>
  <c r="AB12" i="21"/>
  <c r="M201" i="21"/>
  <c r="J201" i="21"/>
  <c r="AF473" i="25"/>
  <c r="Z473" i="25"/>
  <c r="M400" i="21"/>
  <c r="J400" i="21"/>
  <c r="AF230" i="16"/>
  <c r="AF942" i="25"/>
  <c r="Z942" i="25"/>
  <c r="M57" i="21"/>
  <c r="J57" i="21"/>
  <c r="N513" i="21"/>
  <c r="K513" i="21"/>
  <c r="AG274" i="25"/>
  <c r="AA274" i="25"/>
  <c r="M39" i="21"/>
  <c r="J39" i="21"/>
  <c r="AM42" i="8"/>
  <c r="T42" i="8"/>
  <c r="N42" i="8"/>
  <c r="AF158" i="25"/>
  <c r="Z158" i="25"/>
  <c r="Z940" i="16"/>
  <c r="AF940" i="16"/>
  <c r="Y252" i="16"/>
  <c r="AE252" i="16"/>
  <c r="AE55" i="17"/>
  <c r="Z55" i="17"/>
  <c r="AG728" i="25"/>
  <c r="AA728" i="25"/>
  <c r="AV2" i="25"/>
  <c r="AF453" i="25"/>
  <c r="Z453" i="25"/>
  <c r="AF1133" i="16"/>
  <c r="AF937" i="16"/>
  <c r="AE36" i="25"/>
  <c r="Y36" i="25"/>
  <c r="AF857" i="25"/>
  <c r="Z857" i="25"/>
  <c r="N178" i="21"/>
  <c r="K178" i="21"/>
  <c r="AE171" i="16"/>
  <c r="Y171" i="16"/>
  <c r="Z951" i="16"/>
  <c r="K951" i="21"/>
  <c r="N951" i="21"/>
  <c r="AM29" i="23"/>
  <c r="N29" i="23"/>
  <c r="T29" i="23"/>
  <c r="N13" i="23"/>
  <c r="T13" i="23"/>
  <c r="AM13" i="23"/>
  <c r="Y49" i="25"/>
  <c r="AE49" i="25"/>
  <c r="AG39" i="23"/>
  <c r="AO39" i="23"/>
  <c r="AE39" i="23"/>
  <c r="AG1083" i="25"/>
  <c r="AA1083" i="25"/>
  <c r="N592" i="21"/>
  <c r="K592" i="21"/>
  <c r="AF715" i="16"/>
  <c r="AF837" i="25"/>
  <c r="Z837" i="25"/>
  <c r="AE17" i="17"/>
  <c r="Z17" i="17"/>
  <c r="AF549" i="16"/>
  <c r="Z549" i="16"/>
  <c r="N471" i="21"/>
  <c r="K471" i="21"/>
  <c r="AF748" i="25"/>
  <c r="Z748" i="25"/>
  <c r="AF218" i="16"/>
  <c r="AF1088" i="16"/>
  <c r="AF913" i="16"/>
  <c r="Y30" i="16"/>
  <c r="J30" i="21"/>
  <c r="M30" i="21"/>
  <c r="AL11" i="16"/>
  <c r="AG868" i="25"/>
  <c r="AI22" i="24"/>
  <c r="AL22" i="24"/>
  <c r="AB22" i="24"/>
  <c r="AA868" i="25"/>
  <c r="AF556" i="25"/>
  <c r="Z556" i="25"/>
  <c r="Z1146" i="16"/>
  <c r="AF1146" i="16"/>
  <c r="AK9" i="16"/>
  <c r="AL9" i="16"/>
  <c r="AF22" i="9"/>
  <c r="N22" i="6"/>
  <c r="N22" i="7"/>
  <c r="T22" i="7"/>
  <c r="AP22" i="9"/>
  <c r="Y201" i="16"/>
  <c r="AE201" i="16"/>
  <c r="N459" i="21"/>
  <c r="K459" i="21"/>
  <c r="N973" i="21"/>
  <c r="K973" i="21"/>
  <c r="AF220" i="25"/>
  <c r="Z220" i="25"/>
  <c r="AF1013" i="16"/>
  <c r="AE300" i="17"/>
  <c r="Z300" i="17"/>
  <c r="AF773" i="16"/>
  <c r="Z773" i="16"/>
  <c r="AF1150" i="25"/>
  <c r="Z1150" i="25"/>
  <c r="N503" i="21"/>
  <c r="K503" i="21"/>
  <c r="N142" i="21"/>
  <c r="K142" i="21"/>
  <c r="AG78" i="28"/>
  <c r="AG6" i="28"/>
  <c r="AG23" i="9"/>
  <c r="N23" i="6"/>
  <c r="N23" i="7"/>
  <c r="T23" i="7"/>
  <c r="AO23" i="9"/>
  <c r="AE23" i="9"/>
  <c r="S16" i="33"/>
  <c r="S26" i="33"/>
  <c r="S21" i="33"/>
  <c r="AG1143" i="25"/>
  <c r="AA1143" i="25"/>
  <c r="AF346" i="16"/>
  <c r="Z869" i="16"/>
  <c r="AF869" i="16"/>
  <c r="AB10" i="21"/>
  <c r="N9" i="7"/>
  <c r="L84" i="6"/>
  <c r="AG1106" i="25"/>
  <c r="AA1106" i="25"/>
  <c r="AG366" i="25"/>
  <c r="AA366" i="25"/>
  <c r="Y2" i="25"/>
  <c r="AE2" i="25"/>
  <c r="AU2" i="25"/>
  <c r="AU10" i="25"/>
  <c r="AV10" i="25"/>
  <c r="Y53" i="16"/>
  <c r="J53" i="21"/>
  <c r="M53" i="21"/>
  <c r="Z1133" i="16"/>
  <c r="K1144" i="21"/>
  <c r="N1144" i="21"/>
  <c r="Z937" i="16"/>
  <c r="K937" i="21"/>
  <c r="N937" i="21"/>
  <c r="Z1151" i="16"/>
  <c r="AF1151" i="16"/>
  <c r="AJ20" i="7"/>
  <c r="AL20" i="7"/>
  <c r="Z221" i="16"/>
  <c r="AF221" i="16"/>
  <c r="AF184" i="25"/>
  <c r="Z184" i="25"/>
  <c r="Z1116" i="16"/>
  <c r="AF1116" i="16"/>
  <c r="N774" i="21"/>
  <c r="K774" i="21"/>
  <c r="N132" i="21"/>
  <c r="K132" i="21"/>
  <c r="Z715" i="16"/>
  <c r="K715" i="21"/>
  <c r="N715" i="21"/>
  <c r="AG459" i="25"/>
  <c r="AA459" i="25"/>
  <c r="AF818" i="16"/>
  <c r="Z818" i="16"/>
  <c r="Z729" i="16"/>
  <c r="AF729" i="16"/>
  <c r="AE51" i="25"/>
  <c r="Y51" i="25"/>
  <c r="Z911" i="16"/>
  <c r="AF911" i="16"/>
  <c r="AE318" i="17"/>
  <c r="Z318" i="17"/>
  <c r="Z218" i="16"/>
  <c r="K218" i="21"/>
  <c r="N218" i="21"/>
  <c r="N582" i="21"/>
  <c r="K582" i="21"/>
  <c r="Z1088" i="16"/>
  <c r="K1088" i="21"/>
  <c r="N1088" i="21"/>
  <c r="Z913" i="16"/>
  <c r="K913" i="21"/>
  <c r="N913" i="21"/>
  <c r="AD82" i="17"/>
  <c r="Y82" i="17"/>
  <c r="AI20" i="24"/>
  <c r="AL20" i="24"/>
  <c r="AB20" i="24"/>
  <c r="AA797" i="25"/>
  <c r="AG797" i="25"/>
  <c r="AK11" i="16"/>
  <c r="AK12" i="16"/>
  <c r="AL12" i="16"/>
  <c r="AE645" i="25"/>
  <c r="Y645" i="25"/>
  <c r="Y64" i="16"/>
  <c r="AE64" i="16"/>
  <c r="M615" i="21"/>
  <c r="J615" i="21"/>
  <c r="M232" i="21"/>
  <c r="J232" i="21"/>
  <c r="AF444" i="25"/>
  <c r="Z444" i="25"/>
  <c r="Y615" i="16"/>
  <c r="AE615" i="16"/>
  <c r="N136" i="21"/>
  <c r="K136" i="21"/>
  <c r="AG1033" i="25"/>
  <c r="AA1033" i="25"/>
  <c r="N1073" i="21"/>
  <c r="K1073" i="21"/>
  <c r="AE394" i="17"/>
  <c r="Z394" i="17"/>
  <c r="AF1071" i="25"/>
  <c r="Z1071" i="25"/>
  <c r="AF638" i="16"/>
  <c r="AF626" i="25"/>
  <c r="Z626" i="25"/>
  <c r="AF758" i="16"/>
  <c r="AB4" i="21"/>
  <c r="Z2" i="16"/>
  <c r="AF2" i="16"/>
  <c r="AL17" i="7"/>
  <c r="AF808" i="16"/>
  <c r="Z808" i="16"/>
  <c r="M610" i="21"/>
  <c r="J610" i="21"/>
  <c r="Y295" i="16"/>
  <c r="AE295" i="16"/>
  <c r="Z104" i="16"/>
  <c r="K104" i="21"/>
  <c r="N104" i="21"/>
  <c r="Y339" i="16"/>
  <c r="J339" i="21"/>
  <c r="M339" i="21"/>
  <c r="Y155" i="16"/>
  <c r="AE155" i="16"/>
  <c r="Z230" i="16"/>
  <c r="K230" i="21"/>
  <c r="N230" i="21"/>
  <c r="AG499" i="25"/>
  <c r="AA499" i="25"/>
  <c r="AJ17" i="23"/>
  <c r="AL17" i="23"/>
  <c r="Y400" i="16"/>
  <c r="AE400" i="16"/>
  <c r="Z231" i="16"/>
  <c r="AF231" i="16"/>
  <c r="Z466" i="16"/>
  <c r="AF466" i="16"/>
  <c r="M255" i="21"/>
  <c r="J255" i="21"/>
  <c r="Z101" i="16"/>
  <c r="AF101" i="16"/>
  <c r="Y57" i="16"/>
  <c r="AE57" i="16"/>
  <c r="AG1048" i="25"/>
  <c r="AA1048" i="25"/>
  <c r="Z503" i="16"/>
  <c r="AF503" i="16"/>
  <c r="AJ47" i="6"/>
  <c r="N47" i="6"/>
  <c r="N47" i="7"/>
  <c r="T47" i="7"/>
  <c r="AP47" i="8"/>
  <c r="AF47" i="8"/>
  <c r="AC47" i="28"/>
  <c r="AC119" i="28"/>
  <c r="AG463" i="25"/>
  <c r="AA463" i="25"/>
  <c r="Z142" i="16"/>
  <c r="AF142" i="16"/>
  <c r="Z638" i="16"/>
  <c r="K638" i="21"/>
  <c r="N638" i="21"/>
  <c r="Y237" i="16"/>
  <c r="J237" i="21"/>
  <c r="M237" i="21"/>
  <c r="AK6" i="23"/>
  <c r="AK6" i="8"/>
  <c r="AK6" i="7"/>
  <c r="AK6" i="9"/>
  <c r="Y648" i="16"/>
  <c r="J648" i="21"/>
  <c r="M648" i="21"/>
  <c r="AE77" i="25"/>
  <c r="Y77" i="25"/>
  <c r="AI21" i="24"/>
  <c r="AL21" i="24"/>
  <c r="AB21" i="24"/>
  <c r="AA832" i="25"/>
  <c r="AG832" i="25"/>
  <c r="AF817" i="16"/>
  <c r="Z817" i="16"/>
  <c r="AE392" i="17"/>
  <c r="Z392" i="17"/>
  <c r="N157" i="21"/>
  <c r="K157" i="21"/>
  <c r="AF209" i="16"/>
  <c r="AE179" i="16"/>
  <c r="Y179" i="16"/>
  <c r="N59" i="21"/>
  <c r="K59" i="21"/>
  <c r="AB108" i="28"/>
  <c r="AB36" i="28"/>
  <c r="N257" i="21"/>
  <c r="K257" i="21"/>
  <c r="AJ11" i="21"/>
  <c r="V11" i="21"/>
  <c r="Z905" i="16"/>
  <c r="K905" i="21"/>
  <c r="N905" i="21"/>
  <c r="M389" i="21"/>
  <c r="J389" i="21"/>
  <c r="AF368" i="25"/>
  <c r="Z368" i="25"/>
  <c r="AE483" i="16"/>
  <c r="AG377" i="25"/>
  <c r="AA377" i="25"/>
  <c r="N556" i="21"/>
  <c r="K556" i="21"/>
  <c r="M80" i="21"/>
  <c r="J80" i="21"/>
  <c r="AE124" i="16"/>
  <c r="AE182" i="16"/>
  <c r="Y182" i="16"/>
  <c r="AM52" i="9"/>
  <c r="T52" i="9"/>
  <c r="AJ52" i="6"/>
  <c r="N52" i="6"/>
  <c r="N52" i="7"/>
  <c r="N52" i="9"/>
  <c r="AE478" i="16"/>
  <c r="N23" i="21"/>
  <c r="K23" i="21"/>
  <c r="AF1012" i="16"/>
  <c r="Z432" i="16"/>
  <c r="AF432" i="16"/>
  <c r="Y483" i="16"/>
  <c r="J483" i="21"/>
  <c r="M483" i="21"/>
  <c r="AD4" i="17"/>
  <c r="Y4" i="17"/>
  <c r="AE44" i="17"/>
  <c r="Z44" i="17"/>
  <c r="AG467" i="25"/>
  <c r="AA467" i="25"/>
  <c r="N452" i="21"/>
  <c r="K452" i="21"/>
  <c r="Z459" i="16"/>
  <c r="AF459" i="16"/>
  <c r="AB135" i="28"/>
  <c r="AB63" i="28"/>
  <c r="Y608" i="16"/>
  <c r="AE608" i="16"/>
  <c r="AE253" i="25"/>
  <c r="Y253" i="25"/>
  <c r="Y77" i="16"/>
  <c r="AE77" i="16"/>
  <c r="N560" i="21"/>
  <c r="K560" i="21"/>
  <c r="N281" i="21"/>
  <c r="K281" i="21"/>
  <c r="AF34" i="16"/>
  <c r="AG182" i="25"/>
  <c r="AA182" i="25"/>
  <c r="AF308" i="25"/>
  <c r="Z308" i="25"/>
  <c r="Z601" i="16"/>
  <c r="AF601" i="16"/>
  <c r="AF673" i="25"/>
  <c r="Z673" i="25"/>
  <c r="N822" i="21"/>
  <c r="K822" i="21"/>
  <c r="AG784" i="25"/>
  <c r="AA784" i="25"/>
  <c r="AG267" i="25"/>
  <c r="AA267" i="25"/>
  <c r="AF1053" i="16"/>
  <c r="AI31" i="24"/>
  <c r="AL31" i="24"/>
  <c r="AB31" i="24"/>
  <c r="AA874" i="25"/>
  <c r="AG874" i="25"/>
  <c r="AF744" i="25"/>
  <c r="Z744" i="25"/>
  <c r="AF89" i="16"/>
  <c r="AE395" i="16"/>
  <c r="M576" i="21"/>
  <c r="J576" i="21"/>
  <c r="Z359" i="16"/>
  <c r="AF359" i="16"/>
  <c r="M150" i="21"/>
  <c r="J150" i="21"/>
  <c r="AF853" i="16"/>
  <c r="Z853" i="16"/>
  <c r="AD135" i="17"/>
  <c r="Y135" i="17"/>
  <c r="AF832" i="16"/>
  <c r="Z832" i="16"/>
  <c r="Z1012" i="16"/>
  <c r="K1012" i="21"/>
  <c r="N1012" i="21"/>
  <c r="N873" i="21"/>
  <c r="K873" i="21"/>
  <c r="AF1042" i="16"/>
  <c r="AG30" i="23"/>
  <c r="AO30" i="23"/>
  <c r="AE30" i="23"/>
  <c r="N1121" i="21"/>
  <c r="K1121" i="21"/>
  <c r="N692" i="21"/>
  <c r="K692" i="21"/>
  <c r="AG1148" i="25"/>
  <c r="AA1148" i="25"/>
  <c r="N457" i="21"/>
  <c r="K457" i="21"/>
  <c r="AG994" i="25"/>
  <c r="AA994" i="25"/>
  <c r="AG58" i="25"/>
  <c r="AA58" i="25"/>
  <c r="AF17" i="25"/>
  <c r="Z17" i="25"/>
  <c r="N13" i="28"/>
  <c r="N85" i="28"/>
  <c r="Z34" i="16"/>
  <c r="K34" i="21"/>
  <c r="N34" i="21"/>
  <c r="AF756" i="25"/>
  <c r="Z756" i="25"/>
  <c r="M407" i="21"/>
  <c r="J407" i="21"/>
  <c r="AE151" i="16"/>
  <c r="AG521" i="25"/>
  <c r="AA521" i="25"/>
  <c r="Z452" i="16"/>
  <c r="AF452" i="16"/>
  <c r="AF941" i="16"/>
  <c r="AE414" i="16"/>
  <c r="AF4" i="21"/>
  <c r="X4" i="21"/>
  <c r="Y2" i="16"/>
  <c r="J2" i="21"/>
  <c r="R4" i="21"/>
  <c r="N469" i="21"/>
  <c r="K469" i="21"/>
  <c r="Z89" i="16"/>
  <c r="K89" i="21"/>
  <c r="N89" i="21"/>
  <c r="N635" i="21"/>
  <c r="K635" i="21"/>
  <c r="Y395" i="16"/>
  <c r="J395" i="21"/>
  <c r="M395" i="21"/>
  <c r="Z1009" i="16"/>
  <c r="AF1009" i="16"/>
  <c r="N654" i="21"/>
  <c r="K654" i="21"/>
  <c r="AL23" i="8"/>
  <c r="AJ23" i="8"/>
  <c r="AF361" i="16"/>
  <c r="N177" i="21"/>
  <c r="K177" i="21"/>
  <c r="AF1141" i="16"/>
  <c r="Z1141" i="16"/>
  <c r="AF377" i="25"/>
  <c r="Z377" i="25"/>
  <c r="AG523" i="25"/>
  <c r="AA523" i="25"/>
  <c r="Z1042" i="16"/>
  <c r="K1042" i="21"/>
  <c r="N1042" i="21"/>
  <c r="AE338" i="16"/>
  <c r="AF1003" i="16"/>
  <c r="AG727" i="25"/>
  <c r="AA727" i="25"/>
  <c r="AG1009" i="25"/>
  <c r="AA1009" i="25"/>
  <c r="AJ12" i="6"/>
  <c r="N12" i="6"/>
  <c r="N12" i="7"/>
  <c r="N12" i="9"/>
  <c r="T12" i="9"/>
  <c r="AM12" i="9"/>
  <c r="Z620" i="16"/>
  <c r="AF620" i="16"/>
  <c r="N174" i="21"/>
  <c r="K174" i="21"/>
  <c r="Z347" i="16"/>
  <c r="AF347" i="16"/>
  <c r="Z1013" i="16"/>
  <c r="K1013" i="21"/>
  <c r="N1013" i="21"/>
  <c r="AF499" i="16"/>
  <c r="Z1073" i="16"/>
  <c r="AF1073" i="16"/>
  <c r="R32" i="33"/>
  <c r="U32" i="33"/>
  <c r="Z662" i="16"/>
  <c r="AF662" i="16"/>
  <c r="AK6" i="16"/>
  <c r="AL6" i="16"/>
  <c r="G10" i="33"/>
  <c r="AB8" i="24"/>
  <c r="G45" i="22"/>
  <c r="AI8" i="24"/>
  <c r="AL8" i="24"/>
  <c r="AF68" i="25"/>
  <c r="Z68" i="25"/>
  <c r="AF175" i="16"/>
  <c r="Z175" i="16"/>
  <c r="AE303" i="16"/>
  <c r="Z513" i="16"/>
  <c r="AF513" i="16"/>
  <c r="AF861" i="16"/>
  <c r="Z861" i="16"/>
  <c r="AL18" i="9"/>
  <c r="AJ18" i="9"/>
  <c r="AF447" i="25"/>
  <c r="Z447" i="25"/>
  <c r="AG598" i="25"/>
  <c r="AA598" i="25"/>
  <c r="Z941" i="16"/>
  <c r="K941" i="21"/>
  <c r="N941" i="21"/>
  <c r="M172" i="21"/>
  <c r="J172" i="21"/>
  <c r="Y414" i="16"/>
  <c r="J414" i="21"/>
  <c r="M414" i="21"/>
  <c r="AG1066" i="25"/>
  <c r="AA1066" i="25"/>
  <c r="Z469" i="16"/>
  <c r="AF469" i="16"/>
  <c r="AF60" i="23"/>
  <c r="AJ60" i="6"/>
  <c r="N60" i="6"/>
  <c r="N60" i="7"/>
  <c r="T60" i="7"/>
  <c r="AP60" i="23"/>
  <c r="N84" i="6"/>
  <c r="AJ11" i="6"/>
  <c r="N11" i="6"/>
  <c r="N11" i="7"/>
  <c r="N11" i="28"/>
  <c r="N83" i="28"/>
  <c r="AF464" i="16"/>
  <c r="AF63" i="25"/>
  <c r="Z63" i="25"/>
  <c r="AF776" i="16"/>
  <c r="Z776" i="16"/>
  <c r="N682" i="21"/>
  <c r="K682" i="21"/>
  <c r="M101" i="21"/>
  <c r="J101" i="21"/>
  <c r="Z79" i="16"/>
  <c r="AF79" i="16"/>
  <c r="AG470" i="25"/>
  <c r="AA470" i="25"/>
  <c r="M341" i="21"/>
  <c r="J341" i="21"/>
  <c r="AF342" i="16"/>
  <c r="AF105" i="25"/>
  <c r="Z105" i="25"/>
  <c r="N151" i="21"/>
  <c r="K151" i="21"/>
  <c r="N1091" i="21"/>
  <c r="K1091" i="21"/>
  <c r="AF135" i="16"/>
  <c r="AF99" i="28"/>
  <c r="AF27" i="28"/>
  <c r="AF532" i="16"/>
  <c r="Z532" i="16"/>
  <c r="AG180" i="25"/>
  <c r="AA180" i="25"/>
  <c r="N967" i="21"/>
  <c r="K967" i="21"/>
  <c r="AF206" i="25"/>
  <c r="Z206" i="25"/>
  <c r="Y303" i="16"/>
  <c r="J303" i="21"/>
  <c r="M303" i="21"/>
  <c r="AF323" i="25"/>
  <c r="Z323" i="25"/>
  <c r="AF953" i="16"/>
  <c r="Y28" i="16"/>
  <c r="AE28" i="16"/>
  <c r="N381" i="21"/>
  <c r="K381" i="21"/>
  <c r="AF590" i="16"/>
  <c r="Z590" i="16"/>
  <c r="Z682" i="16"/>
  <c r="AF682" i="16"/>
  <c r="AE185" i="17"/>
  <c r="Z185" i="17"/>
  <c r="Z720" i="16"/>
  <c r="AF720" i="16"/>
  <c r="AF786" i="25"/>
  <c r="Z786" i="25"/>
  <c r="N322" i="21"/>
  <c r="K322" i="21"/>
  <c r="AC104" i="28"/>
  <c r="AJ32" i="6"/>
  <c r="N32" i="6"/>
  <c r="N32" i="7"/>
  <c r="T32" i="7"/>
  <c r="AP32" i="8"/>
  <c r="AF32" i="8"/>
  <c r="AC32" i="28"/>
  <c r="AF74" i="16"/>
  <c r="E24" i="33"/>
  <c r="H24" i="33"/>
  <c r="AE113" i="17"/>
  <c r="Z113" i="17"/>
  <c r="AF105" i="16"/>
  <c r="AE217" i="17"/>
  <c r="Z217" i="17"/>
  <c r="AG183" i="25"/>
  <c r="AA183" i="25"/>
  <c r="N602" i="21"/>
  <c r="K602" i="21"/>
  <c r="AG173" i="25"/>
  <c r="AA173" i="25"/>
  <c r="Z342" i="16"/>
  <c r="K342" i="21"/>
  <c r="N342" i="21"/>
  <c r="M73" i="21"/>
  <c r="J73" i="21"/>
  <c r="AF168" i="16"/>
  <c r="N988" i="21"/>
  <c r="K988" i="21"/>
  <c r="AM54" i="23"/>
  <c r="AJ54" i="6"/>
  <c r="N54" i="6"/>
  <c r="N54" i="7"/>
  <c r="N54" i="23"/>
  <c r="T54" i="23"/>
  <c r="AF466" i="25"/>
  <c r="Z466" i="25"/>
  <c r="AG419" i="25"/>
  <c r="AA419" i="25"/>
  <c r="N1045" i="21"/>
  <c r="K1045" i="21"/>
  <c r="AG718" i="25"/>
  <c r="AA718" i="25"/>
  <c r="AF900" i="16"/>
  <c r="Z900" i="16"/>
  <c r="AJ65" i="7"/>
  <c r="AJ65" i="9"/>
  <c r="AL65" i="9"/>
  <c r="M132" i="21"/>
  <c r="J132" i="21"/>
  <c r="Z516" i="16"/>
  <c r="AF516" i="16"/>
  <c r="Z136" i="16"/>
  <c r="AF136" i="16"/>
  <c r="Z128" i="16"/>
  <c r="AF128" i="16"/>
  <c r="Z975" i="16"/>
  <c r="AF975" i="16"/>
  <c r="Z1131" i="16"/>
  <c r="AF1131" i="16"/>
  <c r="AI41" i="24"/>
  <c r="AL41" i="24"/>
  <c r="AB41" i="24"/>
  <c r="Y255" i="16"/>
  <c r="AE255" i="16"/>
  <c r="AG1006" i="25"/>
  <c r="AA1006" i="25"/>
  <c r="Y41" i="16"/>
  <c r="AE41" i="16"/>
  <c r="Z135" i="16"/>
  <c r="K135" i="21"/>
  <c r="N135" i="21"/>
  <c r="Z967" i="16"/>
  <c r="AF967" i="16"/>
  <c r="AF345" i="25"/>
  <c r="Z345" i="25"/>
  <c r="AF109" i="16"/>
  <c r="Y110" i="16"/>
  <c r="AE110" i="16"/>
  <c r="Y39" i="16"/>
  <c r="AE39" i="16"/>
  <c r="Z953" i="16"/>
  <c r="K953" i="21"/>
  <c r="N953" i="21"/>
  <c r="N757" i="21"/>
  <c r="K757" i="21"/>
  <c r="AF845" i="16"/>
  <c r="Z845" i="16"/>
  <c r="Z381" i="16"/>
  <c r="AF381" i="16"/>
  <c r="AJ7" i="7"/>
  <c r="AL7" i="7"/>
  <c r="N777" i="21"/>
  <c r="K777" i="21"/>
  <c r="Z758" i="16"/>
  <c r="K758" i="21"/>
  <c r="N758" i="21"/>
  <c r="Z109" i="16"/>
  <c r="K109" i="21"/>
  <c r="N109" i="21"/>
  <c r="AF843" i="16"/>
  <c r="Z843" i="16"/>
  <c r="Z74" i="16"/>
  <c r="K74" i="21"/>
  <c r="N74" i="21"/>
  <c r="AF904" i="16"/>
  <c r="Z904" i="16"/>
  <c r="Z706" i="16"/>
  <c r="AF706" i="16"/>
  <c r="Z105" i="16"/>
  <c r="K105" i="21"/>
  <c r="N105" i="21"/>
  <c r="AF815" i="25"/>
  <c r="Z815" i="25"/>
  <c r="Y407" i="16"/>
  <c r="AE407" i="16"/>
  <c r="N319" i="21"/>
  <c r="K319" i="21"/>
  <c r="Z1099" i="16"/>
  <c r="AF1099" i="16"/>
  <c r="AF277" i="25"/>
  <c r="Z277" i="25"/>
  <c r="Z115" i="16"/>
  <c r="AF115" i="16"/>
  <c r="AF840" i="25"/>
  <c r="Z840" i="25"/>
  <c r="N283" i="21"/>
  <c r="K283" i="21"/>
  <c r="AL10" i="23"/>
  <c r="AJ10" i="23"/>
  <c r="AF628" i="25"/>
  <c r="Z628" i="25"/>
  <c r="AF58" i="25"/>
  <c r="Z58" i="25"/>
  <c r="N1155" i="21"/>
  <c r="K1155" i="21"/>
  <c r="AE485" i="25"/>
  <c r="Y485" i="25"/>
  <c r="AG135" i="28"/>
  <c r="AG63" i="28"/>
  <c r="Z319" i="16"/>
  <c r="AF319" i="16"/>
  <c r="AF502" i="16"/>
  <c r="AK22" i="9"/>
  <c r="AK22" i="8"/>
  <c r="AJ22" i="6"/>
  <c r="AK22" i="6"/>
  <c r="AK22" i="7"/>
  <c r="AK22" i="23"/>
  <c r="AJ17" i="7"/>
  <c r="AJ17" i="9"/>
  <c r="AL17" i="9"/>
  <c r="Y199" i="25"/>
  <c r="AE199" i="25"/>
  <c r="N887" i="21"/>
  <c r="K887" i="21"/>
  <c r="Y85" i="16"/>
  <c r="J85" i="21"/>
  <c r="M85" i="21"/>
  <c r="Z757" i="16"/>
  <c r="AF757" i="16"/>
  <c r="Z1047" i="16"/>
  <c r="AF1047" i="16"/>
  <c r="T6" i="7"/>
  <c r="AM6" i="7"/>
  <c r="Y6" i="25"/>
  <c r="AE6" i="25"/>
  <c r="AK63" i="23"/>
  <c r="AK63" i="8"/>
  <c r="AK63" i="6"/>
  <c r="AK63" i="7"/>
  <c r="AK63" i="9"/>
  <c r="AG731" i="25"/>
  <c r="AA731" i="25"/>
  <c r="M579" i="21"/>
  <c r="J579" i="21"/>
  <c r="Z602" i="16"/>
  <c r="AF602" i="16"/>
  <c r="AF263" i="25"/>
  <c r="Z263" i="25"/>
  <c r="AJ10" i="7"/>
  <c r="AL10" i="7"/>
  <c r="AE160" i="25"/>
  <c r="Y160" i="25"/>
  <c r="AE91" i="17"/>
  <c r="Z91" i="17"/>
  <c r="AE107" i="25"/>
  <c r="Y107" i="25"/>
  <c r="Z81" i="16"/>
  <c r="AF81" i="16"/>
  <c r="AF1123" i="25"/>
  <c r="Z1123" i="25"/>
  <c r="K184" i="21"/>
  <c r="N184" i="21"/>
  <c r="Z1091" i="16"/>
  <c r="AF1091" i="16"/>
  <c r="Z346" i="16"/>
  <c r="K346" i="21"/>
  <c r="N346" i="21"/>
  <c r="AF57" i="25"/>
  <c r="Z57" i="25"/>
  <c r="AF871" i="16"/>
  <c r="Z871" i="16"/>
  <c r="AF919" i="25"/>
  <c r="Z919" i="25"/>
  <c r="AF9" i="16"/>
  <c r="N622" i="21"/>
  <c r="K622" i="21"/>
  <c r="N981" i="21"/>
  <c r="K981" i="21"/>
  <c r="N603" i="21"/>
  <c r="K603" i="21"/>
  <c r="AG500" i="25"/>
  <c r="AA500" i="25"/>
  <c r="N740" i="21"/>
  <c r="K740" i="21"/>
  <c r="N36" i="7"/>
  <c r="T36" i="7"/>
  <c r="AO36" i="8"/>
  <c r="AE36" i="8"/>
  <c r="AG36" i="8"/>
  <c r="AF315" i="16"/>
  <c r="AF745" i="16"/>
  <c r="Z502" i="16"/>
  <c r="K502" i="21"/>
  <c r="N502" i="21"/>
  <c r="Z1045" i="16"/>
  <c r="AF1045" i="16"/>
  <c r="Y478" i="16"/>
  <c r="J478" i="21"/>
  <c r="M478" i="21"/>
  <c r="AF559" i="25"/>
  <c r="Z559" i="25"/>
  <c r="AF1004" i="16"/>
  <c r="AL24" i="7"/>
  <c r="Z9" i="16"/>
  <c r="K9" i="21"/>
  <c r="N9" i="21"/>
  <c r="AF1033" i="16"/>
  <c r="Z1033" i="16"/>
  <c r="AG162" i="25"/>
  <c r="AA162" i="25"/>
  <c r="AG112" i="25"/>
  <c r="AA112" i="25"/>
  <c r="N979" i="21"/>
  <c r="K979" i="21"/>
  <c r="AE365" i="17"/>
  <c r="Z365" i="17"/>
  <c r="AE132" i="16"/>
  <c r="AE200" i="16"/>
  <c r="N345" i="21"/>
  <c r="K345" i="21"/>
  <c r="AE244" i="16"/>
  <c r="AF794" i="25"/>
  <c r="Z794" i="25"/>
  <c r="AE59" i="25"/>
  <c r="Y59" i="25"/>
  <c r="S11" i="33"/>
  <c r="AF865" i="16"/>
  <c r="Z865" i="16"/>
  <c r="AF1035" i="25"/>
  <c r="Z1035" i="25"/>
  <c r="AE415" i="25"/>
  <c r="Y415" i="25"/>
  <c r="S13" i="33"/>
  <c r="AB29" i="24"/>
  <c r="AL29" i="24"/>
  <c r="AI29" i="24"/>
  <c r="AF532" i="25"/>
  <c r="Z532" i="25"/>
  <c r="AJ23" i="6"/>
  <c r="AJ23" i="7"/>
  <c r="AL23" i="7"/>
  <c r="AI12" i="24"/>
  <c r="AL12" i="24"/>
  <c r="AB12" i="24"/>
  <c r="G25" i="33"/>
  <c r="Z59" i="16"/>
  <c r="AF59" i="16"/>
  <c r="Z499" i="16"/>
  <c r="K499" i="21"/>
  <c r="N499" i="21"/>
  <c r="M302" i="21"/>
  <c r="J302" i="21"/>
  <c r="J173" i="21"/>
  <c r="M173" i="21"/>
  <c r="Y101" i="16"/>
  <c r="AE101" i="16"/>
  <c r="AF790" i="16"/>
  <c r="Z790" i="16"/>
  <c r="AF62" i="16"/>
  <c r="AF596" i="16"/>
  <c r="Y63" i="16"/>
  <c r="J63" i="21"/>
  <c r="M63" i="21"/>
  <c r="Y302" i="16"/>
  <c r="AE302" i="16"/>
  <c r="AF771" i="16"/>
  <c r="Z771" i="16"/>
  <c r="AF378" i="16"/>
  <c r="AF108" i="16"/>
  <c r="N763" i="21"/>
  <c r="K763" i="21"/>
  <c r="W11" i="30"/>
  <c r="AE398" i="16"/>
  <c r="Y124" i="16"/>
  <c r="J124" i="21"/>
  <c r="M124" i="21"/>
  <c r="Z1003" i="16"/>
  <c r="K1003" i="21"/>
  <c r="N1003" i="21"/>
  <c r="AF921" i="16"/>
  <c r="M75" i="21"/>
  <c r="J75" i="21"/>
  <c r="AJ24" i="7"/>
  <c r="AJ24" i="9"/>
  <c r="AL24" i="9"/>
  <c r="AF684" i="16"/>
  <c r="AJ46" i="6"/>
  <c r="N46" i="6"/>
  <c r="N46" i="7"/>
  <c r="T46" i="7"/>
  <c r="AP46" i="23"/>
  <c r="AF46" i="23"/>
  <c r="AE297" i="17"/>
  <c r="Z297" i="17"/>
  <c r="Y132" i="16"/>
  <c r="J174" i="21"/>
  <c r="M174" i="21"/>
  <c r="N65" i="21"/>
  <c r="K65" i="21"/>
  <c r="AG1032" i="25"/>
  <c r="AA1032" i="25"/>
  <c r="AG460" i="25"/>
  <c r="AA460" i="25"/>
  <c r="AE154" i="25"/>
  <c r="Y154" i="25"/>
  <c r="AF984" i="16"/>
  <c r="AG594" i="25"/>
  <c r="AA594" i="25"/>
  <c r="Z62" i="16"/>
  <c r="K62" i="21"/>
  <c r="N62" i="21"/>
  <c r="AE540" i="16"/>
  <c r="Y540" i="16"/>
  <c r="AF603" i="25"/>
  <c r="Z603" i="25"/>
  <c r="Z596" i="16"/>
  <c r="K596" i="21"/>
  <c r="N596" i="21"/>
  <c r="Z283" i="16"/>
  <c r="AF283" i="16"/>
  <c r="AG671" i="25"/>
  <c r="AA671" i="25"/>
  <c r="AF726" i="16"/>
  <c r="Z378" i="16"/>
  <c r="K378" i="21"/>
  <c r="N378" i="21"/>
  <c r="AK7" i="6"/>
  <c r="AK75" i="6"/>
  <c r="AK80" i="6"/>
  <c r="AK5" i="7"/>
  <c r="AG5" i="28"/>
  <c r="AG77" i="28"/>
  <c r="W7" i="30"/>
  <c r="W13" i="30"/>
  <c r="Y398" i="16"/>
  <c r="J398" i="21"/>
  <c r="M398" i="21"/>
  <c r="AQ4" i="25"/>
  <c r="AE106" i="16"/>
  <c r="K869" i="21"/>
  <c r="S10" i="21"/>
  <c r="Y10" i="21"/>
  <c r="AG10" i="21"/>
  <c r="AJ63" i="6"/>
  <c r="N63" i="6"/>
  <c r="N63" i="7"/>
  <c r="T63" i="7"/>
  <c r="AO63" i="8"/>
  <c r="AE63" i="8"/>
  <c r="AG63" i="8"/>
  <c r="M125" i="21"/>
  <c r="J125" i="21"/>
  <c r="AE484" i="25"/>
  <c r="Y484" i="25"/>
  <c r="AF761" i="25"/>
  <c r="Z761" i="25"/>
  <c r="AG10" i="23"/>
  <c r="AE10" i="23"/>
  <c r="AO10" i="23"/>
  <c r="AF824" i="16"/>
  <c r="Z824" i="16"/>
  <c r="Z603" i="16"/>
  <c r="AF603" i="16"/>
  <c r="AF267" i="25"/>
  <c r="Z267" i="25"/>
  <c r="AE72" i="16"/>
  <c r="M479" i="21"/>
  <c r="J479" i="21"/>
  <c r="AE159" i="25"/>
  <c r="Y159" i="25"/>
  <c r="N149" i="21"/>
  <c r="K149" i="21"/>
  <c r="N732" i="21"/>
  <c r="K732" i="21"/>
  <c r="AL31" i="8"/>
  <c r="AJ31" i="8"/>
  <c r="N838" i="21"/>
  <c r="K838" i="21"/>
  <c r="AE197" i="16"/>
  <c r="Y200" i="16"/>
  <c r="J200" i="21"/>
  <c r="M200" i="21"/>
  <c r="AF838" i="16"/>
  <c r="Z838" i="16"/>
  <c r="AE189" i="17"/>
  <c r="Z189" i="17"/>
  <c r="Z209" i="16"/>
  <c r="K209" i="21"/>
  <c r="N209" i="21"/>
  <c r="AG465" i="25"/>
  <c r="AA465" i="25"/>
  <c r="Z464" i="16"/>
  <c r="K464" i="21"/>
  <c r="N464" i="21"/>
  <c r="Z635" i="16"/>
  <c r="AF635" i="16"/>
  <c r="AJ49" i="6"/>
  <c r="AJ49" i="7"/>
  <c r="AL49" i="7"/>
  <c r="Y151" i="16"/>
  <c r="J151" i="21"/>
  <c r="M151" i="21"/>
  <c r="AJ61" i="6"/>
  <c r="N61" i="6"/>
  <c r="N61" i="7"/>
  <c r="T61" i="7"/>
  <c r="AP61" i="8"/>
  <c r="AF61" i="8"/>
  <c r="AC61" i="28"/>
  <c r="AC133" i="28"/>
  <c r="Y610" i="16"/>
  <c r="AE610" i="16"/>
  <c r="AG174" i="25"/>
  <c r="AA174" i="25"/>
  <c r="AI37" i="24"/>
  <c r="AL37" i="24"/>
  <c r="AB37" i="24"/>
  <c r="S23" i="33"/>
  <c r="Z168" i="16"/>
  <c r="K189" i="21"/>
  <c r="N189" i="21"/>
  <c r="Z361" i="16"/>
  <c r="K361" i="21"/>
  <c r="N361" i="21"/>
  <c r="Z1053" i="16"/>
  <c r="K1053" i="21"/>
  <c r="N1053" i="21"/>
  <c r="AF1060" i="25"/>
  <c r="Z1060" i="25"/>
  <c r="AE175" i="16"/>
  <c r="Y175" i="16"/>
  <c r="AF325" i="16"/>
  <c r="AF667" i="16"/>
  <c r="M163" i="21"/>
  <c r="J163" i="21"/>
  <c r="AE413" i="16"/>
  <c r="AF18" i="16"/>
  <c r="Z281" i="16"/>
  <c r="AF281" i="16"/>
  <c r="AF592" i="25"/>
  <c r="Z592" i="25"/>
  <c r="Z726" i="16"/>
  <c r="K726" i="21"/>
  <c r="N726" i="21"/>
  <c r="N1015" i="21"/>
  <c r="K1015" i="21"/>
  <c r="AG231" i="25"/>
  <c r="AA231" i="25"/>
  <c r="AF583" i="16"/>
  <c r="Z583" i="16"/>
  <c r="AE165" i="25"/>
  <c r="Y165" i="25"/>
  <c r="AF708" i="16"/>
  <c r="N772" i="21"/>
  <c r="K772" i="21"/>
  <c r="Y106" i="16"/>
  <c r="J106" i="21"/>
  <c r="M106" i="21"/>
  <c r="AF11" i="16"/>
  <c r="N91" i="28"/>
  <c r="N19" i="28"/>
  <c r="AF210" i="25"/>
  <c r="Z210" i="25"/>
  <c r="Y150" i="16"/>
  <c r="AE150" i="16"/>
  <c r="Y72" i="16"/>
  <c r="J72" i="21"/>
  <c r="M72" i="21"/>
  <c r="AG702" i="25"/>
  <c r="AA702" i="25"/>
  <c r="AL19" i="7"/>
  <c r="AF970" i="16"/>
  <c r="AE497" i="16"/>
  <c r="AF862" i="25"/>
  <c r="Z862" i="25"/>
  <c r="AG65" i="8"/>
  <c r="J533" i="21"/>
  <c r="M533" i="21"/>
  <c r="AE335" i="16"/>
  <c r="AB127" i="28"/>
  <c r="AB55" i="28"/>
  <c r="T18" i="7"/>
  <c r="AM18" i="7"/>
  <c r="Y197" i="16"/>
  <c r="J197" i="21"/>
  <c r="M197" i="21"/>
  <c r="AE150" i="17"/>
  <c r="Z150" i="17"/>
  <c r="AG1123" i="25"/>
  <c r="AA1123" i="25"/>
  <c r="N587" i="21"/>
  <c r="K587" i="21"/>
  <c r="AE417" i="25"/>
  <c r="Y417" i="25"/>
  <c r="Y341" i="16"/>
  <c r="AE341" i="16"/>
  <c r="AG716" i="25"/>
  <c r="AA716" i="25"/>
  <c r="Z471" i="16"/>
  <c r="AF471" i="16"/>
  <c r="Y389" i="16"/>
  <c r="AE389" i="16"/>
  <c r="Z1015" i="16"/>
  <c r="AF1015" i="16"/>
  <c r="Z132" i="16"/>
  <c r="AF132" i="16"/>
  <c r="Z108" i="16"/>
  <c r="K108" i="21"/>
  <c r="N108" i="21"/>
  <c r="Z325" i="16"/>
  <c r="K325" i="21"/>
  <c r="N325" i="21"/>
  <c r="Z667" i="16"/>
  <c r="K667" i="21"/>
  <c r="N667" i="21"/>
  <c r="Y163" i="16"/>
  <c r="AE163" i="16"/>
  <c r="AF800" i="16"/>
  <c r="Z800" i="16"/>
  <c r="Y413" i="16"/>
  <c r="J413" i="21"/>
  <c r="M413" i="21"/>
  <c r="Z18" i="16"/>
  <c r="K18" i="21"/>
  <c r="N18" i="21"/>
  <c r="N889" i="21"/>
  <c r="K889" i="21"/>
  <c r="Z151" i="16"/>
  <c r="AF151" i="16"/>
  <c r="Z23" i="16"/>
  <c r="AF23" i="16"/>
  <c r="AF11" i="25"/>
  <c r="Z11" i="25"/>
  <c r="Z988" i="16"/>
  <c r="AF988" i="16"/>
  <c r="Y80" i="16"/>
  <c r="AE80" i="16"/>
  <c r="AG363" i="25"/>
  <c r="AA363" i="25"/>
  <c r="AF191" i="16"/>
  <c r="Z191" i="16"/>
  <c r="N266" i="21"/>
  <c r="K266" i="21"/>
  <c r="Z708" i="16"/>
  <c r="K708" i="21"/>
  <c r="N708" i="21"/>
  <c r="Y73" i="16"/>
  <c r="AE73" i="16"/>
  <c r="Z1121" i="16"/>
  <c r="AF1121" i="16"/>
  <c r="N25" i="7"/>
  <c r="T25" i="7"/>
  <c r="AP25" i="9"/>
  <c r="AF25" i="9"/>
  <c r="N1027" i="21"/>
  <c r="K1027" i="21"/>
  <c r="AE396" i="25"/>
  <c r="Y396" i="25"/>
  <c r="AI28" i="24"/>
  <c r="AL28" i="24"/>
  <c r="AB28" i="24"/>
  <c r="S12" i="33"/>
  <c r="N991" i="21"/>
  <c r="K991" i="21"/>
  <c r="AG309" i="25"/>
  <c r="AA309" i="25"/>
  <c r="Y239" i="16"/>
  <c r="AE239" i="16"/>
  <c r="AF934" i="16"/>
  <c r="AE642" i="25"/>
  <c r="Y642" i="25"/>
  <c r="AE607" i="16"/>
  <c r="AE338" i="25"/>
  <c r="Y338" i="25"/>
  <c r="Y497" i="16"/>
  <c r="J580" i="21"/>
  <c r="M580" i="21"/>
  <c r="AF850" i="16"/>
  <c r="Z850" i="16"/>
  <c r="AF260" i="25"/>
  <c r="Z260" i="25"/>
  <c r="AF442" i="16"/>
  <c r="AE11" i="21"/>
  <c r="AE371" i="17"/>
  <c r="Z371" i="17"/>
  <c r="Z934" i="16"/>
  <c r="K934" i="21"/>
  <c r="N934" i="21"/>
  <c r="N669" i="21"/>
  <c r="K669" i="21"/>
  <c r="N629" i="21"/>
  <c r="K629" i="21"/>
  <c r="AF727" i="25"/>
  <c r="Z727" i="25"/>
  <c r="AZ17" i="23"/>
  <c r="AX17" i="23"/>
  <c r="Y232" i="16"/>
  <c r="AE232" i="16"/>
  <c r="AF520" i="16"/>
  <c r="Z442" i="16"/>
  <c r="K442" i="21"/>
  <c r="N442" i="21"/>
  <c r="AG370" i="25"/>
  <c r="AA370" i="25"/>
  <c r="Y338" i="16"/>
  <c r="J338" i="21"/>
  <c r="M338" i="21"/>
  <c r="AJ70" i="6"/>
  <c r="N70" i="6"/>
  <c r="N70" i="7"/>
  <c r="T70" i="7"/>
  <c r="AM70" i="7"/>
  <c r="Z1155" i="16"/>
  <c r="AF1155" i="16"/>
  <c r="Z266" i="16"/>
  <c r="AF266" i="16"/>
  <c r="AA50" i="25"/>
  <c r="AG50" i="25"/>
  <c r="AP4" i="25"/>
  <c r="AP10" i="25"/>
  <c r="AQ10" i="25"/>
  <c r="Z921" i="16"/>
  <c r="K921" i="21"/>
  <c r="N921" i="21"/>
  <c r="Y75" i="16"/>
  <c r="AE75" i="16"/>
  <c r="AF349" i="16"/>
  <c r="Z11" i="16"/>
  <c r="K11" i="21"/>
  <c r="N11" i="21"/>
  <c r="Z684" i="16"/>
  <c r="K684" i="21"/>
  <c r="N684" i="21"/>
  <c r="AG700" i="25"/>
  <c r="AA700" i="25"/>
  <c r="AF469" i="25"/>
  <c r="Z469" i="25"/>
  <c r="K553" i="21"/>
  <c r="N553" i="21"/>
  <c r="I20" i="22"/>
  <c r="G20" i="22"/>
  <c r="AF1139" i="25"/>
  <c r="Z1139" i="25"/>
  <c r="AF956" i="16"/>
  <c r="AF1131" i="25"/>
  <c r="Z1131" i="25"/>
  <c r="AF169" i="25"/>
  <c r="Z169" i="25"/>
  <c r="AF364" i="16"/>
  <c r="Z157" i="16"/>
  <c r="AF157" i="16"/>
  <c r="Z629" i="16"/>
  <c r="AF629" i="16"/>
  <c r="AF822" i="25"/>
  <c r="Z822" i="25"/>
  <c r="N28" i="7"/>
  <c r="T28" i="7"/>
  <c r="AM28" i="7"/>
  <c r="Y607" i="16"/>
  <c r="J607" i="21"/>
  <c r="M607" i="21"/>
  <c r="N97" i="21"/>
  <c r="K97" i="21"/>
  <c r="Z970" i="16"/>
  <c r="K970" i="21"/>
  <c r="N970" i="21"/>
  <c r="AI19" i="24"/>
  <c r="AL19" i="24"/>
  <c r="AB19" i="24"/>
  <c r="AA763" i="25"/>
  <c r="AG763" i="25"/>
  <c r="AE153" i="25"/>
  <c r="Y153" i="25"/>
  <c r="AF742" i="25"/>
  <c r="Z742" i="25"/>
  <c r="AO65" i="8"/>
  <c r="AE65" i="8"/>
  <c r="AB65" i="28"/>
  <c r="AB137" i="28"/>
  <c r="AG719" i="25"/>
  <c r="AA719" i="25"/>
  <c r="Z745" i="16"/>
  <c r="K745" i="21"/>
  <c r="N745" i="21"/>
  <c r="M165" i="21"/>
  <c r="J165" i="21"/>
  <c r="AG268" i="25"/>
  <c r="AA268" i="25"/>
  <c r="AE37" i="16"/>
  <c r="Z520" i="16"/>
  <c r="K554" i="21"/>
  <c r="N554" i="21"/>
  <c r="AE117" i="17"/>
  <c r="Z117" i="17"/>
  <c r="AG269" i="25"/>
  <c r="AA269" i="25"/>
  <c r="AF1081" i="16"/>
  <c r="AE495" i="25"/>
  <c r="Y495" i="25"/>
  <c r="AF377" i="16"/>
  <c r="N957" i="21"/>
  <c r="K957" i="21"/>
  <c r="U28" i="33"/>
  <c r="R28" i="33"/>
  <c r="S7" i="33"/>
  <c r="AF986" i="16"/>
  <c r="AG175" i="25"/>
  <c r="AA175" i="25"/>
  <c r="N56" i="21"/>
  <c r="K56" i="21"/>
  <c r="N855" i="21"/>
  <c r="K855" i="21"/>
  <c r="N75" i="21"/>
  <c r="K75" i="21"/>
  <c r="AG684" i="25"/>
  <c r="AA684" i="25"/>
  <c r="AE407" i="25"/>
  <c r="Y407" i="25"/>
  <c r="N419" i="21"/>
  <c r="K419" i="21"/>
  <c r="Z1004" i="16"/>
  <c r="K1004" i="21"/>
  <c r="N1004" i="21"/>
  <c r="Z995" i="25"/>
  <c r="AF995" i="25"/>
  <c r="Z984" i="16"/>
  <c r="K1022" i="21"/>
  <c r="N1022" i="21"/>
  <c r="M82" i="21"/>
  <c r="J82" i="21"/>
  <c r="Z349" i="16"/>
  <c r="K349" i="21"/>
  <c r="N349" i="21"/>
  <c r="Z939" i="25"/>
  <c r="AF939" i="25"/>
  <c r="Z1000" i="16"/>
  <c r="AF1000" i="16"/>
  <c r="Y125" i="16"/>
  <c r="AE125" i="16"/>
  <c r="U27" i="33"/>
  <c r="R27" i="33"/>
  <c r="Z991" i="16"/>
  <c r="AF991" i="16"/>
  <c r="AF678" i="16"/>
  <c r="AJ27" i="6"/>
  <c r="AJ27" i="7"/>
  <c r="AL27" i="7"/>
  <c r="Z956" i="16"/>
  <c r="K956" i="21"/>
  <c r="N956" i="21"/>
  <c r="Z257" i="16"/>
  <c r="AF257" i="16"/>
  <c r="R29" i="33"/>
  <c r="U29" i="33"/>
  <c r="N828" i="21"/>
  <c r="K828" i="21"/>
  <c r="AF464" i="25"/>
  <c r="Z464" i="25"/>
  <c r="Z654" i="16"/>
  <c r="AF654" i="16"/>
  <c r="AF1112" i="16"/>
  <c r="N1054" i="21"/>
  <c r="K1054" i="21"/>
  <c r="Y165" i="16"/>
  <c r="AE165" i="16"/>
  <c r="AG289" i="25"/>
  <c r="AA289" i="25"/>
  <c r="AF856" i="25"/>
  <c r="Z856" i="25"/>
  <c r="AF765" i="25"/>
  <c r="Z765" i="25"/>
  <c r="Z973" i="16"/>
  <c r="AF973" i="16"/>
  <c r="AG435" i="25"/>
  <c r="AA435" i="25"/>
  <c r="AL41" i="7"/>
  <c r="AF462" i="16"/>
  <c r="AF919" i="16"/>
  <c r="N31" i="6"/>
  <c r="N31" i="7"/>
  <c r="T31" i="7"/>
  <c r="AP31" i="23"/>
  <c r="AF31" i="23"/>
  <c r="Y37" i="16"/>
  <c r="J37" i="21"/>
  <c r="M37" i="21"/>
  <c r="N24" i="21"/>
  <c r="K24" i="21"/>
  <c r="Z1081" i="16"/>
  <c r="K1081" i="21"/>
  <c r="N1081" i="21"/>
  <c r="AF676" i="25"/>
  <c r="Z676" i="25"/>
  <c r="Z377" i="16"/>
  <c r="K377" i="21"/>
  <c r="N377" i="21"/>
  <c r="AE46" i="16"/>
  <c r="Z678" i="16"/>
  <c r="K678" i="21"/>
  <c r="N678" i="21"/>
  <c r="Z985" i="25"/>
  <c r="AF985" i="25"/>
  <c r="AI17" i="24"/>
  <c r="AL17" i="24"/>
  <c r="AB17" i="24"/>
  <c r="AA666" i="25"/>
  <c r="AG666" i="25"/>
  <c r="N835" i="21"/>
  <c r="K835" i="21"/>
  <c r="AF728" i="25"/>
  <c r="Z728" i="25"/>
  <c r="Z1006" i="25"/>
  <c r="AF1006" i="25"/>
  <c r="AW59" i="23"/>
  <c r="AW64" i="23"/>
  <c r="AW38" i="23"/>
  <c r="AW68" i="23"/>
  <c r="AW53" i="23"/>
  <c r="AW35" i="23"/>
  <c r="AW60" i="23"/>
  <c r="AW57" i="23"/>
  <c r="AW56" i="23"/>
  <c r="AW47" i="23"/>
  <c r="AW61" i="23"/>
  <c r="AW48" i="23"/>
  <c r="AW67" i="23"/>
  <c r="AW54" i="23"/>
  <c r="AW50" i="23"/>
  <c r="AW40" i="23"/>
  <c r="AW51" i="23"/>
  <c r="AW70" i="23"/>
  <c r="AW49" i="23"/>
  <c r="AW43" i="23"/>
  <c r="AW36" i="23"/>
  <c r="AW69" i="23"/>
  <c r="AW52" i="23"/>
  <c r="AW42" i="23"/>
  <c r="AW58" i="23"/>
  <c r="AW63" i="23"/>
  <c r="AW66" i="23"/>
  <c r="AW41" i="23"/>
  <c r="AW39" i="23"/>
  <c r="AW44" i="23"/>
  <c r="AW62" i="23"/>
  <c r="AW37" i="23"/>
  <c r="AW65" i="23"/>
  <c r="AW45" i="23"/>
  <c r="AW55" i="23"/>
  <c r="AW71" i="23"/>
  <c r="AW46" i="23"/>
  <c r="T66" i="7"/>
  <c r="AM66" i="7"/>
  <c r="Z986" i="16"/>
  <c r="K986" i="21"/>
  <c r="N986" i="21"/>
  <c r="AF427" i="16"/>
  <c r="AF723" i="16"/>
  <c r="AF310" i="16"/>
  <c r="AF695" i="16"/>
  <c r="AF681" i="16"/>
  <c r="AF78" i="16"/>
  <c r="G26" i="33"/>
  <c r="Z419" i="16"/>
  <c r="AF419" i="16"/>
  <c r="AE73" i="25"/>
  <c r="Y73" i="25"/>
  <c r="AE404" i="25"/>
  <c r="Y404" i="25"/>
  <c r="Y82" i="16"/>
  <c r="AE82" i="16"/>
  <c r="Z97" i="16"/>
  <c r="AF97" i="16"/>
  <c r="AI43" i="24"/>
  <c r="AL43" i="24"/>
  <c r="AB43" i="24"/>
  <c r="S27" i="33"/>
  <c r="Z979" i="16"/>
  <c r="AF979" i="16"/>
  <c r="AI15" i="24"/>
  <c r="AL15" i="24"/>
  <c r="AB15" i="24"/>
  <c r="S5" i="33"/>
  <c r="Z1112" i="16"/>
  <c r="K1112" i="21"/>
  <c r="N1112" i="21"/>
  <c r="AE411" i="25"/>
  <c r="Y411" i="25"/>
  <c r="Z345" i="16"/>
  <c r="AF345" i="16"/>
  <c r="N862" i="21"/>
  <c r="K862" i="21"/>
  <c r="AF778" i="25"/>
  <c r="Z778" i="25"/>
  <c r="AJ29" i="6"/>
  <c r="N29" i="6"/>
  <c r="N29" i="7"/>
  <c r="T29" i="7"/>
  <c r="AM29" i="7"/>
  <c r="Z622" i="16"/>
  <c r="AF622" i="16"/>
  <c r="Z740" i="16"/>
  <c r="AF740" i="16"/>
  <c r="Y335" i="16"/>
  <c r="J335" i="21"/>
  <c r="M335" i="21"/>
  <c r="AI48" i="24"/>
  <c r="AL48" i="24"/>
  <c r="AB48" i="24"/>
  <c r="S32" i="33"/>
  <c r="Z65" i="16"/>
  <c r="AF65" i="16"/>
  <c r="N53" i="9"/>
  <c r="T53" i="9"/>
  <c r="AM53" i="9"/>
  <c r="AJ41" i="7"/>
  <c r="AJ41" i="23"/>
  <c r="AL41" i="23"/>
  <c r="AF421" i="25"/>
  <c r="Z421" i="25"/>
  <c r="AF500" i="25"/>
  <c r="Z500" i="25"/>
  <c r="Z462" i="16"/>
  <c r="K462" i="21"/>
  <c r="N462" i="21"/>
  <c r="AF1098" i="25"/>
  <c r="Z1098" i="25"/>
  <c r="Z919" i="16"/>
  <c r="K919" i="21"/>
  <c r="N919" i="21"/>
  <c r="N10" i="7"/>
  <c r="T10" i="7"/>
  <c r="AP10" i="23"/>
  <c r="AF10" i="23"/>
  <c r="AE402" i="16"/>
  <c r="E15" i="33"/>
  <c r="E17" i="33"/>
  <c r="H15" i="33"/>
  <c r="H17" i="33"/>
  <c r="AF866" i="25"/>
  <c r="Z866" i="25"/>
  <c r="AG62" i="25"/>
  <c r="AA62" i="25"/>
  <c r="AF1114" i="16"/>
  <c r="AF692" i="25"/>
  <c r="Z692" i="25"/>
  <c r="H5" i="33"/>
  <c r="H7" i="33"/>
  <c r="E5" i="33"/>
  <c r="E7" i="33"/>
  <c r="L85" i="6"/>
  <c r="N73" i="7"/>
  <c r="N78" i="7"/>
  <c r="N13" i="8"/>
  <c r="T13" i="8"/>
  <c r="AM13" i="8"/>
  <c r="Y46" i="16"/>
  <c r="J46" i="21"/>
  <c r="M46" i="21"/>
  <c r="AF474" i="16"/>
  <c r="AF127" i="16"/>
  <c r="AF1016" i="16"/>
  <c r="U6" i="33"/>
  <c r="R6" i="33"/>
  <c r="AF468" i="16"/>
  <c r="N6" i="7"/>
  <c r="N6" i="23"/>
  <c r="T6" i="23"/>
  <c r="AM6" i="23"/>
  <c r="Z427" i="16"/>
  <c r="K427" i="21"/>
  <c r="N427" i="21"/>
  <c r="Z723" i="16"/>
  <c r="K897" i="21"/>
  <c r="N897" i="21"/>
  <c r="Z310" i="16"/>
  <c r="K310" i="21"/>
  <c r="N310" i="21"/>
  <c r="Z695" i="16"/>
  <c r="K695" i="21"/>
  <c r="N695" i="21"/>
  <c r="AF455" i="25"/>
  <c r="Z455" i="25"/>
  <c r="Z681" i="16"/>
  <c r="K681" i="21"/>
  <c r="N681" i="21"/>
  <c r="Z78" i="16"/>
  <c r="K78" i="21"/>
  <c r="N78" i="21"/>
  <c r="AE160" i="17"/>
  <c r="Z160" i="17"/>
  <c r="G47" i="22"/>
  <c r="AI13" i="24"/>
  <c r="AL13" i="24"/>
  <c r="AB13" i="24"/>
  <c r="AA601" i="25"/>
  <c r="AG601" i="25"/>
  <c r="AF560" i="25"/>
  <c r="Z560" i="25"/>
  <c r="Z24" i="16"/>
  <c r="AF24" i="16"/>
  <c r="AE246" i="16"/>
  <c r="AE417" i="16"/>
  <c r="AF775" i="16"/>
  <c r="Z775" i="16"/>
  <c r="Y402" i="16"/>
  <c r="J402" i="21"/>
  <c r="M402" i="21"/>
  <c r="Y52" i="25"/>
  <c r="AE52" i="25"/>
  <c r="AL18" i="7"/>
  <c r="Z1114" i="16"/>
  <c r="K1114" i="21"/>
  <c r="N1114" i="21"/>
  <c r="Y28" i="25"/>
  <c r="AE28" i="25"/>
  <c r="Z474" i="16"/>
  <c r="K557" i="21"/>
  <c r="N557" i="21"/>
  <c r="Z127" i="16"/>
  <c r="K127" i="21"/>
  <c r="N127" i="21"/>
  <c r="Z1016" i="16"/>
  <c r="K1031" i="21"/>
  <c r="N1031" i="21"/>
  <c r="Z694" i="25"/>
  <c r="AF694" i="25"/>
  <c r="N143" i="21"/>
  <c r="K143" i="21"/>
  <c r="AG1055" i="25"/>
  <c r="AA1055" i="25"/>
  <c r="Z468" i="16"/>
  <c r="K468" i="21"/>
  <c r="N468" i="21"/>
  <c r="AF190" i="16"/>
  <c r="Z190" i="16"/>
  <c r="S9" i="33"/>
  <c r="AF1062" i="16"/>
  <c r="U5" i="33"/>
  <c r="R5" i="33"/>
  <c r="AF1080" i="16"/>
  <c r="H14" i="33"/>
  <c r="H16" i="33"/>
  <c r="E14" i="33"/>
  <c r="E16" i="33"/>
  <c r="AF113" i="16"/>
  <c r="AF436" i="16"/>
  <c r="AF318" i="16"/>
  <c r="N18" i="7"/>
  <c r="N18" i="9"/>
  <c r="T18" i="9"/>
  <c r="AM18" i="9"/>
  <c r="AF516" i="25"/>
  <c r="Z516" i="25"/>
  <c r="AJ19" i="7"/>
  <c r="AF19" i="28"/>
  <c r="AF91" i="28"/>
  <c r="Z364" i="16"/>
  <c r="K364" i="21"/>
  <c r="N364" i="21"/>
  <c r="Y244" i="16"/>
  <c r="J244" i="21"/>
  <c r="M244" i="21"/>
  <c r="AE168" i="16"/>
  <c r="AF736" i="16"/>
  <c r="Z315" i="16"/>
  <c r="K315" i="21"/>
  <c r="N315" i="21"/>
  <c r="AG1043" i="25"/>
  <c r="AA1043" i="25"/>
  <c r="Y246" i="16"/>
  <c r="J246" i="21"/>
  <c r="M246" i="21"/>
  <c r="AG168" i="25"/>
  <c r="AA168" i="25"/>
  <c r="Y417" i="16"/>
  <c r="J417" i="21"/>
  <c r="M417" i="21"/>
  <c r="U11" i="33"/>
  <c r="R11" i="33"/>
  <c r="AJ55" i="6"/>
  <c r="N55" i="6"/>
  <c r="N55" i="7"/>
  <c r="T55" i="7"/>
  <c r="AO55" i="8"/>
  <c r="AE55" i="8"/>
  <c r="AG55" i="8"/>
  <c r="AF879" i="16"/>
  <c r="Z879" i="16"/>
  <c r="AJ75" i="6"/>
  <c r="AJ80" i="6"/>
  <c r="AJ18" i="7"/>
  <c r="AF18" i="28"/>
  <c r="AF90" i="28"/>
  <c r="AG449" i="25"/>
  <c r="AA449" i="25"/>
  <c r="Z322" i="16"/>
  <c r="AF322" i="16"/>
  <c r="Z736" i="16"/>
  <c r="K736" i="21"/>
  <c r="N736" i="21"/>
  <c r="N14" i="9"/>
  <c r="T14" i="9"/>
  <c r="AM14" i="9"/>
  <c r="AF161" i="25"/>
  <c r="Z161" i="25"/>
  <c r="AF470" i="16"/>
  <c r="F6" i="33"/>
  <c r="I5" i="33"/>
  <c r="F5" i="33"/>
  <c r="I6" i="33"/>
  <c r="S28" i="33"/>
  <c r="AF156" i="16"/>
  <c r="AE305" i="25"/>
  <c r="Y305" i="25"/>
  <c r="AI18" i="24"/>
  <c r="AL18" i="24"/>
  <c r="AB18" i="24"/>
  <c r="AA740" i="25"/>
  <c r="AG740" i="25"/>
  <c r="Z1062" i="16"/>
  <c r="K1062" i="21"/>
  <c r="N1062" i="21"/>
  <c r="T37" i="7"/>
  <c r="AM37" i="7"/>
  <c r="Z711" i="25"/>
  <c r="AF711" i="25"/>
  <c r="Z1080" i="16"/>
  <c r="K1080" i="21"/>
  <c r="N1080" i="21"/>
  <c r="Y183" i="25"/>
  <c r="AE183" i="25"/>
  <c r="Z113" i="16"/>
  <c r="K113" i="21"/>
  <c r="N113" i="21"/>
  <c r="Z436" i="16"/>
  <c r="K436" i="21"/>
  <c r="N436" i="21"/>
  <c r="N68" i="21"/>
  <c r="K68" i="21"/>
  <c r="AF816" i="16"/>
  <c r="Z816" i="16"/>
  <c r="Z318" i="16"/>
  <c r="K318" i="21"/>
  <c r="N318" i="21"/>
  <c r="AJ67" i="6"/>
  <c r="N67" i="6"/>
  <c r="N67" i="7"/>
  <c r="T67" i="7"/>
  <c r="AM67" i="7"/>
  <c r="Z981" i="16"/>
  <c r="AF981" i="16"/>
  <c r="AJ38" i="6"/>
  <c r="N38" i="6"/>
  <c r="N38" i="7"/>
  <c r="T38" i="7"/>
  <c r="AM38" i="7"/>
  <c r="Z692" i="16"/>
  <c r="AF692" i="16"/>
  <c r="Z56" i="16"/>
  <c r="AF56" i="16"/>
  <c r="U7" i="33"/>
  <c r="R7" i="33"/>
  <c r="Z1012" i="25"/>
  <c r="AF1012" i="25"/>
  <c r="AJ65" i="6"/>
  <c r="N65" i="6"/>
  <c r="N65" i="7"/>
  <c r="T65" i="7"/>
  <c r="AM65" i="7"/>
  <c r="Z957" i="16"/>
  <c r="AF957" i="16"/>
  <c r="Z1054" i="16"/>
  <c r="AF1054" i="16"/>
  <c r="AG264" i="25"/>
  <c r="AA264" i="25"/>
  <c r="AE334" i="17"/>
  <c r="Z334" i="17"/>
  <c r="Z68" i="16"/>
  <c r="AF68" i="16"/>
  <c r="Y72" i="17"/>
  <c r="AD72" i="17"/>
  <c r="AI16" i="24"/>
  <c r="AL16" i="24"/>
  <c r="AB16" i="24"/>
  <c r="S6" i="33"/>
  <c r="N15" i="7"/>
  <c r="T15" i="7"/>
  <c r="AM15" i="7"/>
  <c r="Y50" i="16"/>
  <c r="J50" i="21"/>
  <c r="M50" i="21"/>
  <c r="U7" i="21"/>
  <c r="AI7" i="21"/>
  <c r="F14" i="33"/>
  <c r="I15" i="33"/>
  <c r="I14" i="33"/>
  <c r="F15" i="33"/>
  <c r="Y479" i="16"/>
  <c r="AE479" i="16"/>
  <c r="N14" i="7"/>
  <c r="T14" i="7"/>
  <c r="AM14" i="7"/>
  <c r="Y168" i="16"/>
  <c r="J193" i="21"/>
  <c r="M193" i="21"/>
  <c r="AF376" i="25"/>
  <c r="Z376" i="25"/>
  <c r="N796" i="21"/>
  <c r="K796" i="21"/>
  <c r="AJ39" i="6"/>
  <c r="N39" i="6"/>
  <c r="N39" i="7"/>
  <c r="T39" i="7"/>
  <c r="AM39" i="7"/>
  <c r="Z669" i="16"/>
  <c r="AF669" i="16"/>
  <c r="AE299" i="17"/>
  <c r="AJ43" i="6"/>
  <c r="N43" i="6"/>
  <c r="N43" i="7"/>
  <c r="T43" i="7"/>
  <c r="AM43" i="7"/>
  <c r="Z299" i="17"/>
  <c r="U9" i="33"/>
  <c r="R9" i="33"/>
  <c r="F17" i="33"/>
  <c r="I17" i="33"/>
  <c r="F16" i="33"/>
  <c r="AJ17" i="6"/>
  <c r="N17" i="6"/>
  <c r="N17" i="7"/>
  <c r="T17" i="7"/>
  <c r="AM17" i="7"/>
  <c r="I16" i="33"/>
  <c r="Z149" i="16"/>
  <c r="AF149" i="16"/>
  <c r="Z75" i="16"/>
  <c r="AF75" i="16"/>
  <c r="R31" i="33"/>
  <c r="AJ68" i="6"/>
  <c r="N68" i="6"/>
  <c r="N68" i="7"/>
  <c r="T68" i="7"/>
  <c r="AM68" i="7"/>
  <c r="U31" i="33"/>
  <c r="Z732" i="16"/>
  <c r="AF732" i="16"/>
  <c r="Z137" i="25"/>
  <c r="AF137" i="25"/>
  <c r="AE165" i="17"/>
  <c r="Z165" i="17"/>
  <c r="AJ41" i="6"/>
  <c r="N41" i="6"/>
  <c r="N41" i="7"/>
  <c r="T41" i="7"/>
  <c r="AM41" i="7"/>
  <c r="Z779" i="16"/>
  <c r="AF779" i="16"/>
  <c r="Z143" i="16"/>
  <c r="AF143" i="16"/>
  <c r="E21" i="33"/>
  <c r="H21" i="33"/>
  <c r="E18" i="33"/>
  <c r="N19" i="7"/>
  <c r="T19" i="7"/>
  <c r="AM19" i="7"/>
  <c r="H18" i="33"/>
  <c r="AJ31" i="6"/>
  <c r="AJ31" i="7"/>
  <c r="AL31" i="7"/>
  <c r="I19" i="33"/>
  <c r="F19" i="33"/>
  <c r="AJ20" i="6"/>
  <c r="N20" i="6"/>
  <c r="N20" i="7"/>
  <c r="T20" i="7"/>
  <c r="AM20" i="7"/>
  <c r="Z344" i="16"/>
  <c r="AF344" i="16"/>
  <c r="N843" i="21"/>
  <c r="K843" i="21"/>
  <c r="AJ44" i="6"/>
  <c r="N44" i="6"/>
  <c r="N44" i="7"/>
  <c r="T44" i="7"/>
  <c r="AM44" i="7"/>
  <c r="Z851" i="16"/>
  <c r="AF851" i="16"/>
  <c r="AJ66" i="6"/>
  <c r="N66" i="6"/>
  <c r="N66" i="7"/>
  <c r="N66" i="23"/>
  <c r="T66" i="23"/>
  <c r="AM66" i="23"/>
  <c r="Z153" i="25"/>
  <c r="AF153" i="25"/>
  <c r="Z470" i="16"/>
  <c r="K470" i="21"/>
  <c r="N470" i="21"/>
  <c r="N7" i="7"/>
  <c r="T7" i="7"/>
  <c r="AM7" i="7"/>
  <c r="Z23" i="25"/>
  <c r="AF23" i="25"/>
  <c r="AF890" i="16"/>
  <c r="Z890" i="16"/>
  <c r="AI44" i="24"/>
  <c r="AL44" i="24"/>
  <c r="AB44" i="24"/>
  <c r="AA945" i="25"/>
  <c r="AG945" i="25"/>
  <c r="AF567" i="16"/>
  <c r="Z567" i="16"/>
  <c r="Z156" i="16"/>
  <c r="K156" i="21"/>
  <c r="N156" i="21"/>
  <c r="AF807" i="16"/>
  <c r="Z807" i="16"/>
  <c r="Z457" i="16"/>
  <c r="AF457" i="16"/>
  <c r="I20" i="33"/>
  <c r="AJ21" i="6"/>
  <c r="N21" i="6"/>
  <c r="N21" i="7"/>
  <c r="T21" i="7"/>
  <c r="AM21" i="7"/>
  <c r="F20" i="33"/>
  <c r="G20" i="33"/>
  <c r="G15" i="33"/>
  <c r="R26" i="33"/>
  <c r="R21" i="33"/>
  <c r="U26" i="33"/>
  <c r="R16" i="33"/>
  <c r="U16" i="33"/>
  <c r="U21" i="33"/>
  <c r="AF87" i="16"/>
  <c r="G19" i="33"/>
  <c r="G14" i="33"/>
  <c r="S31" i="33"/>
  <c r="AF150" i="16"/>
  <c r="Z593" i="16"/>
  <c r="AF593" i="16"/>
  <c r="AB8" i="21"/>
  <c r="N86" i="6"/>
  <c r="AJ30" i="6"/>
  <c r="N30" i="6"/>
  <c r="N30" i="7"/>
  <c r="T30" i="7"/>
  <c r="AM30" i="7"/>
  <c r="Z598" i="25"/>
  <c r="AF598" i="25"/>
  <c r="AI10" i="24"/>
  <c r="AL10" i="24"/>
  <c r="AB10" i="24"/>
  <c r="AA367" i="25"/>
  <c r="AG367" i="25"/>
  <c r="AJ53" i="6"/>
  <c r="N53" i="6"/>
  <c r="N53" i="7"/>
  <c r="T53" i="7"/>
  <c r="AM53" i="7"/>
  <c r="Z353" i="17"/>
  <c r="AE353" i="17"/>
  <c r="Z87" i="16"/>
  <c r="K87" i="21"/>
  <c r="N87" i="21"/>
  <c r="AJ42" i="6"/>
  <c r="N42" i="6"/>
  <c r="N42" i="7"/>
  <c r="T42" i="7"/>
  <c r="AM42" i="7"/>
  <c r="Z805" i="16"/>
  <c r="AF805" i="16"/>
  <c r="N83" i="6"/>
  <c r="AJ7" i="6"/>
  <c r="N7" i="6"/>
  <c r="N75" i="6"/>
  <c r="N80" i="6"/>
  <c r="N5" i="7"/>
  <c r="T5" i="7"/>
  <c r="AM5" i="7"/>
  <c r="G5" i="22"/>
  <c r="I5" i="22"/>
  <c r="D40" i="22"/>
  <c r="F40" i="22"/>
  <c r="G46" i="22"/>
  <c r="AI9" i="24"/>
  <c r="AL9" i="24"/>
  <c r="AB9" i="24"/>
  <c r="AA549" i="25"/>
  <c r="AG549" i="25"/>
  <c r="AJ40" i="6"/>
  <c r="N40" i="6"/>
  <c r="N40" i="7"/>
  <c r="T40" i="7"/>
  <c r="AM40" i="7"/>
  <c r="D52" i="22"/>
  <c r="G52" i="22"/>
  <c r="AI46" i="24"/>
  <c r="AL46" i="24"/>
  <c r="AB46" i="24"/>
  <c r="AA1051" i="25"/>
  <c r="AG1051" i="25"/>
  <c r="N87" i="6"/>
  <c r="AJ37" i="6"/>
  <c r="N37" i="6"/>
  <c r="N37" i="7"/>
  <c r="L89" i="6"/>
  <c r="L87" i="6"/>
  <c r="L93" i="6"/>
  <c r="N85" i="6"/>
  <c r="AJ16" i="6"/>
  <c r="N16" i="6"/>
  <c r="N16" i="7"/>
  <c r="T16" i="7"/>
  <c r="AM16" i="7"/>
  <c r="Z150" i="16"/>
  <c r="K150" i="21"/>
  <c r="N150" i="2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5149B1E-83BF-4272-8CEA-339AE8B12C8B}" name="Conexão" type="7" refreshedVersion="8" background="1" saveData="1"/>
  <connection id="2" xr16:uid="{9CC24448-9950-4BF9-9650-04D67CC5BB52}" name="Conexão1" type="7" refreshedVersion="8" background="1" saveData="1"/>
  <connection id="3" xr16:uid="{0BE97CE0-F840-4D0E-A570-CD9C23BEAAD7}" name="Conexão2" type="7" refreshedVersion="8" background="1" saveData="1"/>
</connections>
</file>

<file path=xl/sharedStrings.xml><?xml version="1.0" encoding="utf-8"?>
<sst xmlns="http://schemas.openxmlformats.org/spreadsheetml/2006/main" count="57613" uniqueCount="1526">
  <si>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</si>
  <si>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</si>
  <si>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</si>
  <si>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</si>
  <si>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</si>
  <si>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</si>
  <si>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</si>
  <si>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</si>
  <si>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</si>
  <si>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</si>
  <si>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</si>
  <si>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</si>
  <si>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</si>
  <si>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</si>
  <si>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</si>
  <si>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</si>
  <si>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</si>
  <si>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</si>
  <si>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</si>
  <si>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</si>
  <si>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</si>
  <si>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</si>
  <si>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</si>
  <si>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</si>
  <si>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</si>
  <si>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</si>
  <si>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</si>
  <si>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</si>
  <si>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</si>
  <si>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</si>
  <si>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</si>
  <si>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</si>
  <si>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</si>
  <si>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Branca</t>
  </si>
  <si>
    <t>Ponta</t>
  </si>
  <si>
    <t>Fora ponta</t>
  </si>
  <si>
    <t>Intermediário</t>
  </si>
  <si>
    <t>B3</t>
  </si>
  <si>
    <t>Industrial</t>
  </si>
  <si>
    <t>A4</t>
  </si>
  <si>
    <t>Azul</t>
  </si>
  <si>
    <t>Verde</t>
  </si>
  <si>
    <t>Comercial</t>
  </si>
  <si>
    <t>AS</t>
  </si>
  <si>
    <t>B2</t>
  </si>
  <si>
    <t>Rural</t>
  </si>
  <si>
    <t>Poder público</t>
  </si>
  <si>
    <t>B4</t>
  </si>
  <si>
    <t>Iluminação pública</t>
  </si>
  <si>
    <t>Iluminação pública – B4a</t>
  </si>
  <si>
    <t>Serviço público</t>
  </si>
  <si>
    <t>Água, esgoto e saneamento</t>
  </si>
  <si>
    <t>Consumo próprio</t>
  </si>
  <si>
    <t>PROJETADO</t>
  </si>
  <si>
    <t>A2</t>
  </si>
  <si>
    <t>LIVRE</t>
  </si>
  <si>
    <t>Fonte incentivada</t>
  </si>
  <si>
    <t>Geração</t>
  </si>
  <si>
    <t>PCH ANTAS 1</t>
  </si>
  <si>
    <t>GERAÇÃO</t>
  </si>
  <si>
    <t>A3</t>
  </si>
  <si>
    <t>PCH PADRE CARLOS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</si>
  <si>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</si>
  <si>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</si>
  <si>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</si>
  <si>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</si>
  <si>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</si>
  <si>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</si>
  <si>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</si>
  <si>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</si>
  <si>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</si>
  <si>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</si>
  <si>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</si>
  <si>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</si>
  <si>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</si>
  <si>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</si>
  <si>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</si>
  <si>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Energia horária</t>
  </si>
  <si>
    <t>MWh</t>
  </si>
  <si>
    <t>EP</t>
  </si>
  <si>
    <t>EFP</t>
  </si>
  <si>
    <t>kW</t>
  </si>
  <si>
    <t>DP</t>
  </si>
  <si>
    <t>DFP</t>
  </si>
  <si>
    <t>E</t>
  </si>
  <si>
    <t>APE</t>
  </si>
  <si>
    <t>Energia convencional</t>
  </si>
  <si>
    <t>B</t>
  </si>
  <si>
    <t>TIPO 01</t>
  </si>
  <si>
    <t>TIPO 02</t>
  </si>
  <si>
    <t>EINT</t>
  </si>
  <si>
    <t>Energia convencional pré-pagamento</t>
  </si>
  <si>
    <t>Convencional pré-pagamento</t>
  </si>
  <si>
    <t>Cooperativa de eletrificação rural</t>
  </si>
  <si>
    <t>Serviço público de irrigação rural</t>
  </si>
  <si>
    <t>Iluminação pública – B4b</t>
  </si>
  <si>
    <t>CHAVE TUSD</t>
  </si>
  <si>
    <t>44501A2AzulNão se aplicaNão se aplicaNão se aplicaNão se aplicaFora ponta</t>
  </si>
  <si>
    <t>44531A2AzulNão se aplicaNão se aplicaNão se aplicaNão se aplicaFora ponta</t>
  </si>
  <si>
    <t>44562A2AzulNão se aplicaNão se aplicaNão se aplicaNão se aplicaFora ponta</t>
  </si>
  <si>
    <t>44593A2AzulNão se aplicaNão se aplicaNão se aplicaNão se aplicaFora ponta</t>
  </si>
  <si>
    <t>44621A2AzulNão se aplicaNão se aplicaNão se aplicaNão se aplicaFora ponta</t>
  </si>
  <si>
    <t>44652A2AzulNão se aplicaNão se aplicaNão se aplicaNão se aplicaFora ponta</t>
  </si>
  <si>
    <t>44682A2AzulNão se aplicaNão se aplicaNão se aplicaNão se aplicaFora ponta</t>
  </si>
  <si>
    <t>44713A2AzulNão se aplicaNão se aplicaNão se aplicaNão se aplicaFora ponta</t>
  </si>
  <si>
    <t>44743A2AzulNão se aplicaNão se aplicaNão se aplicaNão se aplicaFora ponta</t>
  </si>
  <si>
    <t>44774A2AzulNão se aplicaNão se aplicaNão se aplicaNão se aplicaFora ponta</t>
  </si>
  <si>
    <t>44805A2AzulNão se aplicaNão se aplicaNão se aplicaNão se aplicaFora ponta</t>
  </si>
  <si>
    <t>44835A2AzulNão se aplicaNão se aplicaNão se aplicaNão se aplicaFora ponta</t>
  </si>
  <si>
    <t>44501A2AzulNão se aplicaNão se aplicaNão se aplicaNão se aplicaNão se aplica</t>
  </si>
  <si>
    <t>44531A2AzulNão se aplicaNão se aplicaNão se aplicaNão se aplicaNão se aplica</t>
  </si>
  <si>
    <t>44562A2AzulNão se aplicaNão se aplicaNão se aplicaNão se aplicaNão se aplica</t>
  </si>
  <si>
    <t>44593A2AzulNão se aplicaNão se aplicaNão se aplicaNão se aplicaNão se aplica</t>
  </si>
  <si>
    <t>44621A2AzulNão se aplicaNão se aplicaNão se aplicaNão se aplicaNão se aplica</t>
  </si>
  <si>
    <t>44652A2AzulNão se aplicaNão se aplicaNão se aplicaNão se aplicaNão se aplica</t>
  </si>
  <si>
    <t>44682A2AzulNão se aplicaNão se aplicaNão se aplicaNão se aplicaNão se aplica</t>
  </si>
  <si>
    <t>44713A2AzulNão se aplicaNão se aplicaNão se aplicaNão se aplicaNão se aplica</t>
  </si>
  <si>
    <t>44743A2AzulNão se aplicaNão se aplicaNão se aplicaNão se aplicaNão se aplica</t>
  </si>
  <si>
    <t>44774A2AzulNão se aplicaNão se aplicaNão se aplicaNão se aplicaNão se aplica</t>
  </si>
  <si>
    <t>44805A2AzulNão se aplicaNão se aplicaNão se aplicaNão se aplicaNão se aplica</t>
  </si>
  <si>
    <t>44835A2AzulNão se aplicaNão se aplicaNão se aplicaNão se aplicaNão se aplica</t>
  </si>
  <si>
    <t>44501A2AzulNão se aplicaNão se aplicaNão se aplicaNão se aplicaPonta</t>
  </si>
  <si>
    <t>44531A2AzulNão se aplicaNão se aplicaNão se aplicaNão se aplicaPonta</t>
  </si>
  <si>
    <t>44562A2AzulNão se aplicaNão se aplicaNão se aplicaNão se aplicaPonta</t>
  </si>
  <si>
    <t>44593A2AzulNão se aplicaNão se aplicaNão se aplicaNão se aplicaPonta</t>
  </si>
  <si>
    <t>44621A2AzulNão se aplicaNão se aplicaNão se aplicaNão se aplicaPonta</t>
  </si>
  <si>
    <t>44652A2AzulNão se aplicaNão se aplicaNão se aplicaNão se aplicaPonta</t>
  </si>
  <si>
    <t>44682A2AzulNão se aplicaNão se aplicaNão se aplicaNão se aplicaPonta</t>
  </si>
  <si>
    <t>44713A2AzulNão se aplicaNão se aplicaNão se aplicaNão se aplicaPonta</t>
  </si>
  <si>
    <t>44743A2AzulNão se aplicaNão se aplicaNão se aplicaNão se aplicaPonta</t>
  </si>
  <si>
    <t>44774A2AzulNão se aplicaNão se aplicaNão se aplicaNão se aplicaPonta</t>
  </si>
  <si>
    <t>44805A2AzulNão se aplicaNão se aplicaNão se aplicaNão se aplicaPonta</t>
  </si>
  <si>
    <t>44835A2AzulNão se aplicaNão se aplicaNão se aplicaNão se aplicaPonta</t>
  </si>
  <si>
    <t>44501A3GeraçãoNão se aplicaNão se aplicaNão se aplicaNão se aplicaNão se aplica</t>
  </si>
  <si>
    <t>44531A3GeraçãoNão se aplicaNão se aplicaNão se aplicaNão se aplicaNão se aplica</t>
  </si>
  <si>
    <t>44562A3GeraçãoNão se aplicaNão se aplicaNão se aplicaNão se aplicaNão se aplica</t>
  </si>
  <si>
    <t>44593A3GeraçãoNão se aplicaNão se aplicaNão se aplicaNão se aplicaNão se aplica</t>
  </si>
  <si>
    <t>44621A3GeraçãoNão se aplicaNão se aplicaNão se aplicaNão se aplicaNão se aplica</t>
  </si>
  <si>
    <t>44652A3GeraçãoNão se aplicaNão se aplicaNão se aplicaNão se aplicaNão se aplica</t>
  </si>
  <si>
    <t>44682A3GeraçãoNão se aplicaNão se aplicaNão se aplicaNão se aplicaNão se aplica</t>
  </si>
  <si>
    <t>44713A3GeraçãoNão se aplicaNão se aplicaNão se aplicaNão se aplicaNão se aplica</t>
  </si>
  <si>
    <t>44743A3GeraçãoNão se aplicaNão se aplicaNão se aplicaNão se aplicaNão se aplica</t>
  </si>
  <si>
    <t>44774A3GeraçãoNão se aplicaNão se aplicaNão se aplicaNão se aplicaNão se aplica</t>
  </si>
  <si>
    <t>44805A3GeraçãoNão se aplicaNão se aplicaNão se aplicaNão se aplicaNão se aplica</t>
  </si>
  <si>
    <t>44835A3GeraçãoNão se aplicaNão se aplicaNão se aplicaNão se aplicaNão se aplica</t>
  </si>
  <si>
    <t>44501A4AzulNão se aplicaNão se aplicaNão se aplicaNão se aplicaFora ponta</t>
  </si>
  <si>
    <t>44531A4AzulNão se aplicaNão se aplicaNão se aplicaNão se aplicaFora ponta</t>
  </si>
  <si>
    <t>44562A4AzulNão se aplicaNão se aplicaNão se aplicaNão se aplicaFora ponta</t>
  </si>
  <si>
    <t>44593A4AzulNão se aplicaNão se aplicaNão se aplicaNão se aplicaFora ponta</t>
  </si>
  <si>
    <t>44621A4AzulNão se aplicaNão se aplicaNão se aplicaNão se aplicaFora ponta</t>
  </si>
  <si>
    <t>44652A4AzulNão se aplicaNão se aplicaNão se aplicaNão se aplicaFora ponta</t>
  </si>
  <si>
    <t>44682A4AzulNão se aplicaNão se aplicaNão se aplicaNão se aplicaFora ponta</t>
  </si>
  <si>
    <t>44713A4AzulNão se aplicaNão se aplicaNão se aplicaNão se aplicaFora ponta</t>
  </si>
  <si>
    <t>44743A4AzulNão se aplicaNão se aplicaNão se aplicaNão se aplicaFora ponta</t>
  </si>
  <si>
    <t>44774A4AzulNão se aplicaNão se aplicaNão se aplicaNão se aplicaFora ponta</t>
  </si>
  <si>
    <t>44805A4AzulNão se aplicaNão se aplicaNão se aplicaNão se aplicaFora ponta</t>
  </si>
  <si>
    <t>44835A4AzulNão se aplicaNão se aplicaNão se aplicaNão se aplicaFora ponta</t>
  </si>
  <si>
    <t>44501A4AzulNão se aplicaNão se aplicaNão se aplicaNão se aplicaPonta</t>
  </si>
  <si>
    <t>44531A4AzulNão se aplicaNão se aplicaNão se aplicaNão se aplicaPonta</t>
  </si>
  <si>
    <t>44562A4AzulNão se aplicaNão se aplicaNão se aplicaNão se aplicaPonta</t>
  </si>
  <si>
    <t>44593A4AzulNão se aplicaNão se aplicaNão se aplicaNão se aplicaPonta</t>
  </si>
  <si>
    <t>44621A4AzulNão se aplicaNão se aplicaNão se aplicaNão se aplicaPonta</t>
  </si>
  <si>
    <t>44652A4AzulNão se aplicaNão se aplicaNão se aplicaNão se aplicaPonta</t>
  </si>
  <si>
    <t>44682A4AzulNão se aplicaNão se aplicaNão se aplicaNão se aplicaPonta</t>
  </si>
  <si>
    <t>44713A4AzulNão se aplicaNão se aplicaNão se aplicaNão se aplicaPonta</t>
  </si>
  <si>
    <t>44743A4AzulNão se aplicaNão se aplicaNão se aplicaNão se aplicaPonta</t>
  </si>
  <si>
    <t>44774A4AzulNão se aplicaNão se aplicaNão se aplicaNão se aplicaPonta</t>
  </si>
  <si>
    <t>44805A4AzulNão se aplicaNão se aplicaNão se aplicaNão se aplicaPonta</t>
  </si>
  <si>
    <t>44835A4AzulNão se aplicaNão se aplicaNão se aplicaNão se aplicaPonta</t>
  </si>
  <si>
    <t>44501A4AzulNão se aplicaNão se aplicaNão se aplicaNão se aplicaNão se aplica</t>
  </si>
  <si>
    <t>44531A4AzulNão se aplicaNão se aplicaNão se aplicaNão se aplicaNão se aplica</t>
  </si>
  <si>
    <t>44562A4AzulNão se aplicaNão se aplicaNão se aplicaNão se aplicaNão se aplica</t>
  </si>
  <si>
    <t>44593A4AzulNão se aplicaNão se aplicaNão se aplicaNão se aplicaNão se aplica</t>
  </si>
  <si>
    <t>44621A4AzulNão se aplicaNão se aplicaNão se aplicaNão se aplicaNão se aplica</t>
  </si>
  <si>
    <t>44652A4AzulNão se aplicaNão se aplicaNão se aplicaNão se aplicaNão se aplica</t>
  </si>
  <si>
    <t>44682A4AzulNão se aplicaNão se aplicaNão se aplicaNão se aplicaNão se aplica</t>
  </si>
  <si>
    <t>44713A4AzulNão se aplicaNão se aplicaNão se aplicaNão se aplicaNão se aplica</t>
  </si>
  <si>
    <t>44743A4AzulNão se aplicaNão se aplicaNão se aplicaNão se aplicaNão se aplica</t>
  </si>
  <si>
    <t>44774A4AzulNão se aplicaNão se aplicaNão se aplicaNão se aplicaNão se aplica</t>
  </si>
  <si>
    <t>44805A4AzulNão se aplicaNão se aplicaNão se aplicaNão se aplicaNão se aplica</t>
  </si>
  <si>
    <t>44835A4AzulNão se aplicaNão se aplicaNão se aplicaNão se aplicaNão se aplica</t>
  </si>
  <si>
    <t>44501A4GeraçãoNão se aplicaNão se aplicaNão se aplicaNão se aplicaNão se aplica</t>
  </si>
  <si>
    <t>44531A4GeraçãoNão se aplicaNão se aplicaNão se aplicaNão se aplicaNão se aplica</t>
  </si>
  <si>
    <t>44562A4GeraçãoNão se aplicaNão se aplicaNão se aplicaNão se aplicaNão se aplica</t>
  </si>
  <si>
    <t>44593A4GeraçãoNão se aplicaNão se aplicaNão se aplicaNão se aplicaNão se aplica</t>
  </si>
  <si>
    <t>44621A4GeraçãoNão se aplicaNão se aplicaNão se aplicaNão se aplicaNão se aplica</t>
  </si>
  <si>
    <t>44652A4GeraçãoNão se aplicaNão se aplicaNão se aplicaNão se aplicaNão se aplica</t>
  </si>
  <si>
    <t>44682A4GeraçãoNão se aplicaNão se aplicaNão se aplicaNão se aplicaNão se aplica</t>
  </si>
  <si>
    <t>44713A4GeraçãoNão se aplicaNão se aplicaNão se aplicaNão se aplicaNão se aplica</t>
  </si>
  <si>
    <t>44743A4GeraçãoNão se aplicaNão se aplicaNão se aplicaNão se aplicaNão se aplica</t>
  </si>
  <si>
    <t>44774A4GeraçãoNão se aplicaNão se aplicaNão se aplicaNão se aplicaNão se aplica</t>
  </si>
  <si>
    <t>44805A4GeraçãoNão se aplicaNão se aplicaNão se aplicaNão se aplicaNão se aplica</t>
  </si>
  <si>
    <t>44835A4GeraçãoNão se aplicaNão se aplicaNão se aplicaNão se aplicaNão se aplica</t>
  </si>
  <si>
    <t>44501A4VerdeNão se aplicaNão se aplicaNão se aplicaNão se aplicaFora 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</si>
  <si>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</si>
  <si>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</si>
  <si>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</si>
  <si>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</si>
  <si>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44652A4VerdeNão se aplicaNão se aplicaNão se aplicaNão se aplicaFora ponta</t>
  </si>
  <si>
    <t>44682A4VerdeNão se aplicaNão se aplicaNão se aplicaNão se aplicaFora ponta</t>
  </si>
  <si>
    <t>44713A4VerdeNão se aplicaNão se aplicaNão se aplicaNão se aplicaFora ponta</t>
  </si>
  <si>
    <t>44743A4VerdeNão se aplicaNão se aplicaNão se aplicaNão se aplicaFora ponta</t>
  </si>
  <si>
    <t>44774A4VerdeNão se aplicaNão se aplicaNão se aplicaNão se aplicaFora ponta</t>
  </si>
  <si>
    <t>44805A4VerdeNão se aplicaNão se aplicaNão se aplicaNão se aplicaFora ponta</t>
  </si>
  <si>
    <t>44835A4VerdeNão se aplicaNão se aplicaNão se aplicaNão se aplicaFora ponta</t>
  </si>
  <si>
    <t>44501A4VerdeNão se aplicaNão se aplicaNão se aplicaNão se aplicaNão se aplica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</si>
  <si>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</si>
  <si>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</si>
  <si>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</si>
  <si>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</si>
  <si>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44652A4VerdeNão se aplicaNão se aplicaNão se aplicaNão se aplicaNão se aplica</t>
  </si>
  <si>
    <t>44682A4VerdeNão se aplicaNão se aplicaNão se aplicaNão se aplicaNão se aplica</t>
  </si>
  <si>
    <t>44713A4VerdeNão se aplicaNão se aplicaNão se aplicaNão se aplicaNão se aplica</t>
  </si>
  <si>
    <t>44743A4VerdeNão se aplicaNão se aplicaNão se aplicaNão se aplicaNão se aplica</t>
  </si>
  <si>
    <t>44774A4VerdeNão se aplicaNão se aplicaNão se aplicaNão se aplicaNão se aplica</t>
  </si>
  <si>
    <t>44805A4VerdeNão se aplicaNão se aplicaNão se aplicaNão se aplicaNão se aplica</t>
  </si>
  <si>
    <t>44835A4VerdeNão se aplicaNão se aplicaNão se aplicaNão se aplicaNão se aplica</t>
  </si>
  <si>
    <t>44501A4VerdeNão se aplicaNão se aplicaNão se aplicaNão se aplicaPonta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</si>
  <si>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</si>
  <si>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</si>
  <si>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</si>
  <si>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</si>
  <si>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44652A4VerdeNão se aplicaNão se aplicaNão se aplicaNão se aplicaPonta</t>
  </si>
  <si>
    <t>44682A4VerdeNão se aplicaNão se aplicaNão se aplicaNão se aplicaPonta</t>
  </si>
  <si>
    <t>44713A4VerdeNão se aplicaNão se aplicaNão se aplicaNão se aplicaPonta</t>
  </si>
  <si>
    <t>44743A4VerdeNão se aplicaNão se aplicaNão se aplicaNão se aplicaPonta</t>
  </si>
  <si>
    <t>44774A4VerdeNão se aplicaNão se aplicaNão se aplicaNão se aplicaPonta</t>
  </si>
  <si>
    <t>44805A4VerdeNão se aplicaNão se aplicaNão se aplicaNão se aplicaPonta</t>
  </si>
  <si>
    <t>44835A4VerdeNão se aplicaNão se aplicaNão se aplicaNão se aplicaPonta</t>
  </si>
  <si>
    <t>44501ASVerdeNão se aplicaNão se aplicaNão se aplicaNão se aplicaFora ponta</t>
  </si>
  <si>
    <t>44531ASVerdeNão se aplicaNão se aplicaNão se aplicaNão se aplicaFora ponta</t>
  </si>
  <si>
    <t>44562ASVerdeNão se aplicaNão se aplicaNão se aplicaNão se aplicaFora ponta</t>
  </si>
  <si>
    <t>44593ASVerdeNão se aplicaNão se aplicaNão se aplicaNão se aplicaFora ponta</t>
  </si>
  <si>
    <t>44621ASVerdeNão se aplicaNão se aplicaNão se aplicaNão se aplicaFora ponta</t>
  </si>
  <si>
    <t>44652ASVerdeNão se aplicaNão se aplicaNão se aplicaNão se aplicaFora ponta</t>
  </si>
  <si>
    <t>44682ASVerdeNão se aplicaNão se aplicaNão se aplicaNão se aplicaFora ponta</t>
  </si>
  <si>
    <t>44713ASVerdeNão se aplicaNão se aplicaNão se aplicaNão se aplicaFora ponta</t>
  </si>
  <si>
    <t>44743ASVerdeNão se aplicaNão se aplicaNão se aplicaNão se aplicaFora ponta</t>
  </si>
  <si>
    <t>44774ASVerdeNão se aplicaNão se aplicaNão se aplicaNão se aplicaFora ponta</t>
  </si>
  <si>
    <t>44805ASVerdeNão se aplicaNão se aplicaNão se aplicaNão se aplicaFora ponta</t>
  </si>
  <si>
    <t>44835ASVerdeNão se aplicaNão se aplicaNão se aplicaNão se aplicaFora ponta</t>
  </si>
  <si>
    <t>44501ASVerdeNão se aplicaNão se aplicaNão se aplicaNão se aplicaNão se aplica</t>
  </si>
  <si>
    <t>44531ASVerdeNão se aplicaNão se aplicaNão se aplicaNão se aplicaNão se aplica</t>
  </si>
  <si>
    <t>44562ASVerdeNão se aplicaNão se aplicaNão se aplicaNão se aplicaNão se aplica</t>
  </si>
  <si>
    <t>44593ASVerdeNão se aplicaNão se aplicaNão se aplicaNão se aplicaNão se aplica</t>
  </si>
  <si>
    <t>44621ASVerdeNão se aplicaNão se aplicaNão se aplicaNão se aplicaNão se aplica</t>
  </si>
  <si>
    <t>44652ASVerdeNão se aplicaNão se aplicaNão se aplicaNão se aplicaNão se aplica</t>
  </si>
  <si>
    <t>44682ASVerdeNão se aplicaNão se aplicaNão se aplicaNão se aplicaNão se aplica</t>
  </si>
  <si>
    <t>44713ASVerdeNão se aplicaNão se aplicaNão se aplicaNão se aplicaNão se aplica</t>
  </si>
  <si>
    <t>44743ASVerdeNão se aplicaNão se aplicaNão se aplicaNão se aplicaNão se aplica</t>
  </si>
  <si>
    <t>44774ASVerdeNão se aplicaNão se aplicaNão se aplicaNão se aplicaNão se aplica</t>
  </si>
  <si>
    <t>44805ASVerdeNão se aplicaNão se aplicaNão se aplicaNão se aplicaNão se aplica</t>
  </si>
  <si>
    <t>44835ASVerdeNão se aplicaNão se aplicaNão se aplicaNão se aplicaNão se aplica</t>
  </si>
  <si>
    <t>44501ASVerdeNão se aplicaNão se aplicaNão se aplicaNão se aplicaPonta</t>
  </si>
  <si>
    <t>44531ASVerdeNão se aplicaNão se aplicaNão se aplicaNão se aplicaPonta</t>
  </si>
  <si>
    <t>44562ASVerdeNão se aplicaNão se aplicaNão se aplicaNão se aplicaPonta</t>
  </si>
  <si>
    <t>44593ASVerdeNão se aplicaNão se aplicaNão se aplicaNão se aplicaPonta</t>
  </si>
  <si>
    <t>44621ASVerdeNão se aplicaNão se aplicaNão se aplicaNão se aplicaPonta</t>
  </si>
  <si>
    <t>44652ASVerdeNão se aplicaNão se aplicaNão se aplicaNão se aplicaPonta</t>
  </si>
  <si>
    <t>44682ASVerdeNão se aplicaNão se aplicaNão se aplicaNão se aplicaPonta</t>
  </si>
  <si>
    <t>44713ASVerdeNão se aplicaNão se aplicaNão se aplicaNão se aplicaPonta</t>
  </si>
  <si>
    <t>44743ASVerdeNão se aplicaNão se aplicaNão se aplicaNão se aplicaPonta</t>
  </si>
  <si>
    <t>44774ASVerdeNão se aplicaNão se aplicaNão se aplicaNão se aplicaPonta</t>
  </si>
  <si>
    <t>44805ASVerdeNão se aplicaNão se aplicaNão se aplicaNão se aplicaPonta</t>
  </si>
  <si>
    <t>44835ASVerdeNão se aplicaNão se aplicaNão se aplicaNão se aplicaPonta</t>
  </si>
  <si>
    <t>44501B1BrancaResidencialResidencialNão se aplicaNão se aplicaFora ponta</t>
  </si>
  <si>
    <t>44531B1BrancaResidencialResidencialNão se aplicaNão se aplicaFora ponta</t>
  </si>
  <si>
    <t>44562B1BrancaResidencialResidencialNão se aplicaNão se aplicaFora ponta</t>
  </si>
  <si>
    <t>44593B1BrancaResidencialResidencialNão se aplicaNão se aplicaFora ponta</t>
  </si>
  <si>
    <t>44621B1BrancaResidencialResidencialNão se aplicaNão se aplicaFora ponta</t>
  </si>
  <si>
    <t>44652B1BrancaResidencialResidencialNão se aplicaNão se aplicaFora ponta</t>
  </si>
  <si>
    <t>44682B1BrancaResidencialResidencialNão se aplicaNão se aplicaFora ponta</t>
  </si>
  <si>
    <t>44713B1BrancaResidencialResidencialNão se aplicaNão se aplicaFora ponta</t>
  </si>
  <si>
    <t>44743B1BrancaResidencialResidencialNão se aplicaNão se aplicaFora ponta</t>
  </si>
  <si>
    <t>44774B1BrancaResidencialResidencialNão se aplicaNão se aplicaFora ponta</t>
  </si>
  <si>
    <t>44805B1BrancaResidencialResidencialNão se aplicaNão se aplicaFora ponta</t>
  </si>
  <si>
    <t>44835B1BrancaResidencialResidencialNão se aplicaNão se aplicaFora ponta</t>
  </si>
  <si>
    <t>44501B1BrancaResidencialResidencialNão se aplicaNão se aplicaIntermediário</t>
  </si>
  <si>
    <t>44531B1BrancaResidencialResidencialNão se aplicaNão se aplicaIntermediário</t>
  </si>
  <si>
    <t>44562B1BrancaResidencialResidencialNão se aplicaNão se aplicaIntermediário</t>
  </si>
  <si>
    <t>44593B1BrancaResidencialResidencialNão se aplicaNão se aplicaIntermediário</t>
  </si>
  <si>
    <t>44621B1BrancaResidencialResidencialNão se aplicaNão se aplicaIntermediário</t>
  </si>
  <si>
    <t>44652B1BrancaResidencialResidencialNão se aplicaNão se aplicaIntermediário</t>
  </si>
  <si>
    <t>44682B1BrancaResidencialResidencialNão se aplicaNão se aplicaIntermediário</t>
  </si>
  <si>
    <t>44713B1BrancaResidencialResidencialNão se aplicaNão se aplicaIntermediário</t>
  </si>
  <si>
    <t>44743B1BrancaResidencialResidencialNão se aplicaNão se aplicaIntermediário</t>
  </si>
  <si>
    <t>44774B1BrancaResidencialResidencialNão se aplicaNão se aplicaIntermediário</t>
  </si>
  <si>
    <t>44805B1BrancaResidencialResidencialNão se aplicaNão se aplicaIntermediário</t>
  </si>
  <si>
    <t>44835B1BrancaResidencialResidencialNão se aplicaNão se aplicaIntermediário</t>
  </si>
  <si>
    <t>44501B1BrancaResidencialResidencialNão se aplicaNão se aplicaPonta</t>
  </si>
  <si>
    <t>44531B1BrancaResidencialResidencialNão se aplicaNão se aplicaPonta</t>
  </si>
  <si>
    <t>44562B1BrancaResidencialResidencialNão se aplicaNão se aplicaPonta</t>
  </si>
  <si>
    <t>44593B1BrancaResidencialResidencialNão se aplicaNão se aplicaPonta</t>
  </si>
  <si>
    <t>44621B1BrancaResidencialResidencialNão se aplicaNão se aplicaPonta</t>
  </si>
  <si>
    <t>44652B1BrancaResidencialResidencialNão se aplicaNão se aplicaPonta</t>
  </si>
  <si>
    <t>44682B1BrancaResidencialResidencialNão se aplicaNão se aplicaPonta</t>
  </si>
  <si>
    <t>44713B1BrancaResidencialResidencialNão se aplicaNão se aplicaPonta</t>
  </si>
  <si>
    <t>44743B1BrancaResidencialResidencialNão se aplicaNão se aplicaPonta</t>
  </si>
  <si>
    <t>44774B1BrancaResidencialResidencialNão se aplicaNão se aplicaPonta</t>
  </si>
  <si>
    <t>44805B1BrancaResidencialResidencialNão se aplicaNão se aplicaPonta</t>
  </si>
  <si>
    <t>44835B1BrancaResidencialResidencialNão se aplicaNão se aplicaPonta</t>
  </si>
  <si>
    <t>44501B1ConvencionalResidencialResidencialNão se aplicaNão se aplicaNão se aplica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</si>
  <si>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</si>
  <si>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</si>
  <si>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</si>
  <si>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</si>
  <si>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44652B1ConvencionalResidencialResidencialNão se aplicaNão se aplicaNão se aplica</t>
  </si>
  <si>
    <t>44682B1ConvencionalResidencialResidencialNão se aplicaNão se aplicaNão se aplica</t>
  </si>
  <si>
    <t>44713B1ConvencionalResidencialResidencialNão se aplicaNão se aplicaNão se aplica</t>
  </si>
  <si>
    <t>44743B1ConvencionalResidencialResidencialNão se aplicaNão se aplicaNão se aplica</t>
  </si>
  <si>
    <t>44774B1ConvencionalResidencialResidencialNão se aplicaNão se aplicaNão se aplica</t>
  </si>
  <si>
    <t>44805B1ConvencionalResidencialResidencialNão se aplicaNão se aplicaNão se aplica</t>
  </si>
  <si>
    <t>44835B1ConvencionalResidencialResidencialNão se aplicaNão se aplicaNão se aplica</t>
  </si>
  <si>
    <t>44501B1ConvencionalResidencialResidencial baixa renda – faixa 01Não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</si>
  <si>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</si>
  <si>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</si>
  <si>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</si>
  <si>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</si>
  <si>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44652B1ConvencionalResidencialResidencial baixa renda – faixa 01Não se aplicaNão se aplicaNão se aplica</t>
  </si>
  <si>
    <t>44682B1ConvencionalResidencialResidencial baixa renda – faixa 01Não se aplicaNão se aplicaNão se aplica</t>
  </si>
  <si>
    <t>44713B1ConvencionalResidencialResidencial baixa renda – faixa 01Não se aplicaNão se aplicaNão se aplica</t>
  </si>
  <si>
    <t>44743B1ConvencionalResidencialResidencial baixa renda – faixa 01Não se aplicaNão se aplicaNão se aplica</t>
  </si>
  <si>
    <t>44774B1ConvencionalResidencialResidencial baixa renda – faixa 01Não se aplicaNão se aplicaNão se aplica</t>
  </si>
  <si>
    <t>44805B1ConvencionalResidencialResidencial baixa renda – faixa 01Não se aplicaNão se aplicaNão se aplica</t>
  </si>
  <si>
    <t>44835B1ConvencionalResidencialResidencial baixa renda – faixa 01Não se aplicaNão se aplicaNão se aplica</t>
  </si>
  <si>
    <t>44501B1ConvencionalResidencialResidencial baixa renda – faixa 02Não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</si>
  <si>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</si>
  <si>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</si>
  <si>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</si>
  <si>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</si>
  <si>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44652B1ConvencionalResidencialResidencial baixa renda – faixa 02Não se aplicaNão se aplicaNão se aplica</t>
  </si>
  <si>
    <t>44682B1ConvencionalResidencialResidencial baixa renda – faixa 02Não se aplicaNão se aplicaNão se aplica</t>
  </si>
  <si>
    <t>44713B1ConvencionalResidencialResidencial baixa renda – faixa 02Não se aplicaNão se aplicaNão se aplica</t>
  </si>
  <si>
    <t>44743B1ConvencionalResidencialResidencial baixa renda – faixa 02Não se aplicaNão se aplicaNão se aplica</t>
  </si>
  <si>
    <t>44774B1ConvencionalResidencialResidencial baixa renda – faixa 02Não se aplicaNão se aplicaNão se aplica</t>
  </si>
  <si>
    <t>44805B1ConvencionalResidencialResidencial baixa renda – faixa 02Não se aplicaNão se aplicaNão se aplica</t>
  </si>
  <si>
    <t>44835B1ConvencionalResidencialResidencial baixa renda – faixa 02Não se aplicaNão se aplicaNão se aplica</t>
  </si>
  <si>
    <t>44501B1ConvencionalResidencialResidencial baixa renda – faixa 03Não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</si>
  <si>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</si>
  <si>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</si>
  <si>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</si>
  <si>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</si>
  <si>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44652B1ConvencionalResidencialResidencial baixa renda – faixa 03Não se aplicaNão se aplicaNão se aplica</t>
  </si>
  <si>
    <t>44682B1ConvencionalResidencialResidencial baixa renda – faixa 03Não se aplicaNão se aplicaNão se aplica</t>
  </si>
  <si>
    <t>44713B1ConvencionalResidencialResidencial baixa renda – faixa 03Não se aplicaNão se aplicaNão se aplica</t>
  </si>
  <si>
    <t>44743B1ConvencionalResidencialResidencial baixa renda – faixa 03Não se aplicaNão se aplicaNão se aplica</t>
  </si>
  <si>
    <t>44774B1ConvencionalResidencialResidencial baixa renda – faixa 03Não se aplicaNão se aplicaNão se aplica</t>
  </si>
  <si>
    <t>44805B1ConvencionalResidencialResidencial baixa renda – faixa 03Não se aplicaNão se aplicaNão se aplica</t>
  </si>
  <si>
    <t>44835B1ConvencionalResidencialResidencial baixa renda – faixa 03Não se aplicaNão se aplicaNão se aplica</t>
  </si>
  <si>
    <t>44501B1ConvencionalResidencialResidencial baixa renda – faixa 04Não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</si>
  <si>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</si>
  <si>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</si>
  <si>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44593B1ConvencionalResidencialResidencial baixa renda – faixa 04Não se aplicaNão se aplicaNão se aplica</t>
  </si>
  <si>
    <t>44621B1ConvencionalResidencialResidencial baixa renda – faixa 04Não se aplicaNão se aplicaNão se aplica</t>
  </si>
  <si>
    <t>44652B1ConvencionalResidencialResidencial baixa renda – faixa 04Não se aplicaNão se aplicaNão se aplica</t>
  </si>
  <si>
    <t>44682B1ConvencionalResidencialResidencial baixa renda – faixa 04Não se aplicaNão se aplicaNão se aplica</t>
  </si>
  <si>
    <t>44713B1ConvencionalResidencialResidencial baixa renda – faixa 04Não se aplicaNão se aplicaNão se aplica</t>
  </si>
  <si>
    <t>44743B1ConvencionalResidencialResidencial baixa renda – faixa 04Não se aplicaNão se aplicaNão se aplica</t>
  </si>
  <si>
    <t>44774B1ConvencionalResidencialResidencial baixa renda – faixa 04Não se aplicaNão se aplicaNão se aplica</t>
  </si>
  <si>
    <t>44805B1ConvencionalResidencialResidencial baixa renda – faixa 04Não se aplicaNão se aplicaNão se aplica</t>
  </si>
  <si>
    <t>44835B1ConvencionalResidencialResidencial baixa renda – faixa 04Não se aplicaNão se aplicaNão se aplica</t>
  </si>
  <si>
    <t>44501B2ConvencionalRuralNão se aplicaNão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</si>
  <si>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</si>
  <si>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</si>
  <si>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</si>
  <si>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</si>
  <si>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44652B2ConvencionalRuralNão se aplicaNão se aplicaNão se aplicaNão se aplica</t>
  </si>
  <si>
    <t>44682B2ConvencionalRuralNão se aplicaNão se aplicaNão se aplicaNão se aplica</t>
  </si>
  <si>
    <t>44713B2ConvencionalRuralNão se aplicaNão se aplicaNão se aplicaNão se aplica</t>
  </si>
  <si>
    <t>44743B2ConvencionalRuralNão se aplicaNão se aplicaNão se aplicaNão se aplica</t>
  </si>
  <si>
    <t>44774B2ConvencionalRuralNão se aplicaNão se aplicaNão se aplicaNão se aplica</t>
  </si>
  <si>
    <t>44805B2ConvencionalRuralNão se aplicaNão se aplicaNão se aplicaNão se aplica</t>
  </si>
  <si>
    <t>44835B2ConvencionalRuralNão se aplicaNão se aplicaNão se aplicaNão se aplica</t>
  </si>
  <si>
    <t>44501B3BrancaNão se aplicaNão se aplicaNão se aplicaNão se aplicaFora ponta</t>
  </si>
  <si>
    <t>44531B3BrancaNão se aplicaNão se aplicaNão se aplicaNão se aplicaFora ponta</t>
  </si>
  <si>
    <t>44562B3BrancaNão se aplicaNão se aplicaNão se aplicaNão se aplicaFora ponta</t>
  </si>
  <si>
    <t>44593B3BrancaNão se aplicaNão se aplicaNão se aplicaNão se aplicaFora ponta</t>
  </si>
  <si>
    <t>44621B3BrancaNão se aplicaNão se aplicaNão se aplicaNão se aplicaFora ponta</t>
  </si>
  <si>
    <t>44652B3BrancaNão se aplicaNão se aplicaNão se aplicaNão se aplicaFora ponta</t>
  </si>
  <si>
    <t>44682B3BrancaNão se aplicaNão se aplicaNão se aplicaNão se aplicaFora ponta</t>
  </si>
  <si>
    <t>44713B3BrancaNão se aplicaNão se aplicaNão se aplicaNão se aplicaFora ponta</t>
  </si>
  <si>
    <t>44743B3BrancaNão se aplicaNão se aplicaNão se aplicaNão se aplicaFora ponta</t>
  </si>
  <si>
    <t>44774B3BrancaNão se aplicaNão se aplicaNão se aplicaNão se aplicaFora ponta</t>
  </si>
  <si>
    <t>44805B3BrancaNão se aplicaNão se aplicaNão se aplicaNão se aplicaFora ponta</t>
  </si>
  <si>
    <t>44835B3BrancaNão se aplicaNão se aplicaNão se aplicaNão se aplicaFora ponta</t>
  </si>
  <si>
    <t>44501B3BrancaNão se aplicaNão se aplicaNão se aplicaNão se aplicaIntermediário</t>
  </si>
  <si>
    <t>44531B3BrancaNão se aplicaNão se aplicaNão se aplicaNão se aplicaIntermediário</t>
  </si>
  <si>
    <t>44562B3BrancaNão se aplicaNão se aplicaNão se aplicaNão se aplicaIntermediário</t>
  </si>
  <si>
    <t>44593B3BrancaNão se aplicaNão se aplicaNão se aplicaNão se aplicaIntermediário</t>
  </si>
  <si>
    <t>44621B3BrancaNão se aplicaNão se aplicaNão se aplicaNão se aplicaIntermediário</t>
  </si>
  <si>
    <t>44652B3BrancaNão se aplicaNão se aplicaNão se aplicaNão se aplicaIntermediário</t>
  </si>
  <si>
    <t>44682B3BrancaNão se aplicaNão se aplicaNão se aplicaNão se aplicaIntermediário</t>
  </si>
  <si>
    <t>44713B3BrancaNão se aplicaNão se aplicaNão se aplicaNão se aplicaIntermediário</t>
  </si>
  <si>
    <t>44743B3BrancaNão se aplicaNão se aplicaNão se aplicaNão se aplicaIntermediário</t>
  </si>
  <si>
    <t>44774B3BrancaNão se aplicaNão se aplicaNão se aplicaNão se aplicaIntermediário</t>
  </si>
  <si>
    <t>44805B3BrancaNão se aplicaNão se aplicaNão se aplicaNão se aplicaIntermediário</t>
  </si>
  <si>
    <t>44835B3BrancaNão se aplicaNão se aplicaNão se aplicaNão se aplicaIntermediário</t>
  </si>
  <si>
    <t>44501B3BrancaNão se aplicaNão se aplicaNão se aplicaNão se aplicaPonta</t>
  </si>
  <si>
    <t>44531B3BrancaNão se aplicaNão se aplicaNão se aplicaNão se aplicaPonta</t>
  </si>
  <si>
    <t>44562B3BrancaNão se aplicaNão se aplicaNão se aplicaNão se aplicaPonta</t>
  </si>
  <si>
    <t>44593B3BrancaNão se aplicaNão se aplicaNão se aplicaNão se aplicaPonta</t>
  </si>
  <si>
    <t>44621B3BrancaNão se aplicaNão se aplicaNão se aplicaNão se aplicaPonta</t>
  </si>
  <si>
    <t>44652B3BrancaNão se aplicaNão se aplicaNão se aplicaNão se aplicaPonta</t>
  </si>
  <si>
    <t>44682B3BrancaNão se aplicaNão se aplicaNão se aplicaNão se aplicaPonta</t>
  </si>
  <si>
    <t>44713B3BrancaNão se aplicaNão se aplicaNão se aplicaNão se aplicaPonta</t>
  </si>
  <si>
    <t>44743B3BrancaNão se aplicaNão se aplicaNão se aplicaNão se aplicaPonta</t>
  </si>
  <si>
    <t>44774B3BrancaNão se aplicaNão se aplicaNão se aplicaNão se aplicaPonta</t>
  </si>
  <si>
    <t>44805B3BrancaNão se aplicaNão se aplicaNão se aplicaNão se aplicaPonta</t>
  </si>
  <si>
    <t>44835B3BrancaNão se aplicaNão se aplicaNão se aplicaNão se aplicaPonta</t>
  </si>
  <si>
    <t>44501B3ConvencionalNão se aplicaNão se aplicaNão se aplicaNão se aplicaNão se aplica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</si>
  <si>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</si>
  <si>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</si>
  <si>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</si>
  <si>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</si>
  <si>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44652B3ConvencionalNão se aplicaNão se aplicaNão se aplicaNão se aplicaNão se aplica</t>
  </si>
  <si>
    <t>44682B3ConvencionalNão se aplicaNão se aplicaNão se aplicaNão se aplicaNão se aplica</t>
  </si>
  <si>
    <t>44713B3ConvencionalNão se aplicaNão se aplicaNão se aplicaNão se aplicaNão se aplica</t>
  </si>
  <si>
    <t>44743B3ConvencionalNão se aplicaNão se aplicaNão se aplicaNão se aplicaNão se aplica</t>
  </si>
  <si>
    <t>44774B3ConvencionalNão se aplicaNão se aplicaNão se aplicaNão se aplicaNão se aplica</t>
  </si>
  <si>
    <t>44805B3ConvencionalNão se aplicaNão se aplicaNão se aplicaNão se aplicaNão se aplica</t>
  </si>
  <si>
    <t>44835B3ConvencionalNão se aplicaNão se aplicaNão se aplicaNão se aplicaNão se aplica</t>
  </si>
  <si>
    <t>44501B4ConvencionalIluminação públicaIluminação pública – B4aNão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</si>
  <si>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</si>
  <si>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</si>
  <si>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44593B4ConvencionalIluminação públicaIluminação pública – B4aNão se aplicaNão se aplicaNão se aplica</t>
  </si>
  <si>
    <t>44621B4ConvencionalIluminação públicaIluminação pública – B4aNão se aplicaNão se aplicaNão se aplica</t>
  </si>
  <si>
    <t>44652B4ConvencionalIluminação públicaIluminação pública – B4aNão se aplicaNão se aplicaNão se aplica</t>
  </si>
  <si>
    <t>44682B4ConvencionalIluminação públicaIluminação pública – B4aNão se aplicaNão se aplicaNão se aplica</t>
  </si>
  <si>
    <t>44713B4ConvencionalIluminação públicaIluminação pública – B4aNão se aplicaNão se aplicaNão se aplica</t>
  </si>
  <si>
    <t>44743B4ConvencionalIluminação públicaIluminação pública – B4aNão se aplicaNão se aplicaNão se aplica</t>
  </si>
  <si>
    <t>44774B4ConvencionalIluminação públicaIluminação pública – B4aNão se aplicaNão se aplicaNão se aplica</t>
  </si>
  <si>
    <t>44805B4ConvencionalIluminação públicaIluminação pública – B4aNão se aplicaNão se aplicaNão se aplica</t>
  </si>
  <si>
    <t>44835B4ConvencionalIluminação públicaIluminação pública – B4aNão se aplicaNão se aplicaNão se aplica</t>
  </si>
  <si>
    <t>CHAVE TE</t>
  </si>
  <si>
    <t>44501A4Energia horáriaNão se aplicaNão se aplicaNão se aplicaNão se aplicaFora 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</si>
  <si>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</si>
  <si>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</si>
  <si>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</si>
  <si>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</si>
  <si>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44652A4Energia horáriaNão se aplicaNão se aplicaNão se aplicaNão se aplicaFora ponta</t>
  </si>
  <si>
    <t>44682A4Energia horáriaNão se aplicaNão se aplicaNão se aplicaNão se aplicaFora ponta</t>
  </si>
  <si>
    <t>44713A4Energia horáriaNão se aplicaNão se aplicaNão se aplicaNão se aplicaFora ponta</t>
  </si>
  <si>
    <t>44743A4Energia horáriaNão se aplicaNão se aplicaNão se aplicaNão se aplicaFora ponta</t>
  </si>
  <si>
    <t>44774A4Energia horáriaNão se aplicaNão se aplicaNão se aplicaNão se aplicaFora ponta</t>
  </si>
  <si>
    <t>44805A4Energia horáriaNão se aplicaNão se aplicaNão se aplicaNão se aplicaFora ponta</t>
  </si>
  <si>
    <t>44835A4Energia horáriaNão se aplicaNão se aplicaNão se aplicaNão se aplicaFora ponta</t>
  </si>
  <si>
    <t>44501A4Energia horáriaNão se aplicaNão se aplicaNão se aplicaNão se aplicaPonta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</si>
  <si>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</si>
  <si>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</si>
  <si>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</si>
  <si>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</si>
  <si>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44652A4Energia horáriaNão se aplicaNão se aplicaNão se aplicaNão se aplicaPonta</t>
  </si>
  <si>
    <t>44682A4Energia horáriaNão se aplicaNão se aplicaNão se aplicaNão se aplicaPonta</t>
  </si>
  <si>
    <t>44713A4Energia horáriaNão se aplicaNão se aplicaNão se aplicaNão se aplicaPonta</t>
  </si>
  <si>
    <t>44743A4Energia horáriaNão se aplicaNão se aplicaNão se aplicaNão se aplicaPonta</t>
  </si>
  <si>
    <t>44774A4Energia horáriaNão se aplicaNão se aplicaNão se aplicaNão se aplicaPonta</t>
  </si>
  <si>
    <t>44805A4Energia horáriaNão se aplicaNão se aplicaNão se aplicaNão se aplicaPonta</t>
  </si>
  <si>
    <t>44835A4Energia horáriaNão se aplicaNão se aplicaNão se aplicaNão se aplicaPonta</t>
  </si>
  <si>
    <t>CUIDADO</t>
  </si>
  <si>
    <t>Desculpe, mas não foi encontrado posto Não se aplica, modalidade Energia horária, subgrupo A4 no banco de regras.</t>
  </si>
  <si>
    <t>Mercado_Receita</t>
  </si>
  <si>
    <t>S</t>
  </si>
  <si>
    <t>44501ASEnergia horáriaNão se aplicaNão se aplicaNão se aplicaNão se aplicaFora ponta</t>
  </si>
  <si>
    <t>44531ASEnergia horáriaNão se aplicaNão se aplicaNão se aplicaNão se aplicaFora ponta</t>
  </si>
  <si>
    <t>44562ASEnergia horáriaNão se aplicaNão se aplicaNão se aplicaNão se aplicaFora ponta</t>
  </si>
  <si>
    <t>44593ASEnergia horáriaNão se aplicaNão se aplicaNão se aplicaNão se aplicaFora ponta</t>
  </si>
  <si>
    <t>44621ASEnergia horáriaNão se aplicaNão se aplicaNão se aplicaNão se aplicaFora ponta</t>
  </si>
  <si>
    <t>44652ASEnergia horáriaNão se aplicaNão se aplicaNão se aplicaNão se aplicaFora ponta</t>
  </si>
  <si>
    <t>44682ASEnergia horáriaNão se aplicaNão se aplicaNão se aplicaNão se aplicaFora ponta</t>
  </si>
  <si>
    <t>44713ASEnergia horáriaNão se aplicaNão se aplicaNão se aplicaNão se aplicaFora ponta</t>
  </si>
  <si>
    <t>44743ASEnergia horáriaNão se aplicaNão se aplicaNão se aplicaNão se aplicaFora ponta</t>
  </si>
  <si>
    <t>44774ASEnergia horáriaNão se aplicaNão se aplicaNão se aplicaNão se aplicaFora ponta</t>
  </si>
  <si>
    <t>44805ASEnergia horáriaNão se aplicaNão se aplicaNão se aplicaNão se aplicaFora ponta</t>
  </si>
  <si>
    <t>44835ASEnergia horáriaNão se aplicaNão se aplicaNão se aplicaNão se aplicaFora ponta</t>
  </si>
  <si>
    <t>Desculpe, mas não foi encontrado posto Não se aplica, modalidade Energia horária, subgrupo AS no banco de regras.</t>
  </si>
  <si>
    <t>44501ASEnergia horáriaNão se aplicaNão se aplicaNão se aplicaNão se aplicaPonta</t>
  </si>
  <si>
    <t>44531ASEnergia horáriaNão se aplicaNão se aplicaNão se aplicaNão se aplicaPonta</t>
  </si>
  <si>
    <t>44562ASEnergia horáriaNão se aplicaNão se aplicaNão se aplicaNão se aplicaPonta</t>
  </si>
  <si>
    <t>44593ASEnergia horáriaNão se aplicaNão se aplicaNão se aplicaNão se aplicaPonta</t>
  </si>
  <si>
    <t>44621ASEnergia horáriaNão se aplicaNão se aplicaNão se aplicaNão se aplicaPonta</t>
  </si>
  <si>
    <t>44652ASEnergia horáriaNão se aplicaNão se aplicaNão se aplicaNão se aplicaPonta</t>
  </si>
  <si>
    <t>44682ASEnergia horáriaNão se aplicaNão se aplicaNão se aplicaNão se aplicaPonta</t>
  </si>
  <si>
    <t>44713ASEnergia horáriaNão se aplicaNão se aplicaNão se aplicaNão se aplicaPonta</t>
  </si>
  <si>
    <t>44743ASEnergia horáriaNão se aplicaNão se aplicaNão se aplicaNão se aplicaPonta</t>
  </si>
  <si>
    <t>44774ASEnergia horáriaNão se aplicaNão se aplicaNão se aplicaNão se aplicaPonta</t>
  </si>
  <si>
    <t>44805ASEnergia horáriaNão se aplicaNão se aplicaNão se aplicaNão se aplicaPonta</t>
  </si>
  <si>
    <t>44835ASEnergia horáriaNão se aplicaNão se aplicaNão se aplicaNão se aplicaPonta</t>
  </si>
  <si>
    <t>44501B1Energia horáriaResidencialResidencialNão se aplicaNão se aplicaFora ponta</t>
  </si>
  <si>
    <t>44531B1Energia horáriaResidencialResidencialNão se aplicaNão se aplicaFora ponta</t>
  </si>
  <si>
    <t>44562B1Energia horáriaResidencialResidencialNão se aplicaNão se aplicaFora ponta</t>
  </si>
  <si>
    <t>44593B1Energia horáriaResidencialResidencialNão se aplicaNão se aplicaFora ponta</t>
  </si>
  <si>
    <t>44621B1Energia horáriaResidencialResidencialNão se aplicaNão se aplicaFora ponta</t>
  </si>
  <si>
    <t>44652B1Energia horáriaResidencialResidencialNão se aplicaNão se aplicaFora ponta</t>
  </si>
  <si>
    <t>44682B1Energia horáriaResidencialResidencialNão se aplicaNão se aplicaFora ponta</t>
  </si>
  <si>
    <t>44713B1Energia horáriaResidencialResidencialNão se aplicaNão se aplicaFora ponta</t>
  </si>
  <si>
    <t>44743B1Energia horáriaResidencialResidencialNão se aplicaNão se aplicaFora ponta</t>
  </si>
  <si>
    <t>44774B1Energia horáriaResidencialResidencialNão se aplicaNão se aplicaFora ponta</t>
  </si>
  <si>
    <t>44805B1Energia horáriaResidencialResidencialNão se aplicaNão se aplicaFora ponta</t>
  </si>
  <si>
    <t>44835B1Energia horáriaResidencialResidencialNão se aplicaNão se aplicaFora ponta</t>
  </si>
  <si>
    <t>44501B1Energia horáriaResidencialResidencialNão se aplicaNão se aplicaIntermediário</t>
  </si>
  <si>
    <t>44531B1Energia horáriaResidencialResidencialNão se aplicaNão se aplicaIntermediário</t>
  </si>
  <si>
    <t>44562B1Energia horáriaResidencialResidencialNão se aplicaNão se aplicaIntermediário</t>
  </si>
  <si>
    <t>44593B1Energia horáriaResidencialResidencialNão se aplicaNão se aplicaIntermediário</t>
  </si>
  <si>
    <t>44621B1Energia horáriaResidencialResidencialNão se aplicaNão se aplicaIntermediário</t>
  </si>
  <si>
    <t>44652B1Energia horáriaResidencialResidencialNão se aplicaNão se aplicaIntermediário</t>
  </si>
  <si>
    <t>44682B1Energia horáriaResidencialResidencialNão se aplicaNão se aplicaIntermediário</t>
  </si>
  <si>
    <t>44713B1Energia horáriaResidencialResidencialNão se aplicaNão se aplicaIntermediário</t>
  </si>
  <si>
    <t>44743B1Energia horáriaResidencialResidencialNão se aplicaNão se aplicaIntermediário</t>
  </si>
  <si>
    <t>44774B1Energia horáriaResidencialResidencialNão se aplicaNão se aplicaIntermediário</t>
  </si>
  <si>
    <t>44805B1Energia horáriaResidencialResidencialNão se aplicaNão se aplicaIntermediário</t>
  </si>
  <si>
    <t>44835B1Energia horáriaResidencialResidencialNão se aplicaNão se aplicaIntermediário</t>
  </si>
  <si>
    <t>44501B1Energia horáriaResidencialResidencialNão se aplicaNão se aplicaPonta</t>
  </si>
  <si>
    <t>44531B1Energia horáriaResidencialResidencialNão se aplicaNão se aplicaPonta</t>
  </si>
  <si>
    <t>44562B1Energia horáriaResidencialResidencialNão se aplicaNão se aplicaPonta</t>
  </si>
  <si>
    <t>44593B1Energia horáriaResidencialResidencialNão se aplicaNão se aplicaPonta</t>
  </si>
  <si>
    <t>44621B1Energia horáriaResidencialResidencialNão se aplicaNão se aplicaPonta</t>
  </si>
  <si>
    <t>44652B1Energia horáriaResidencialResidencialNão se aplicaNão se aplicaPonta</t>
  </si>
  <si>
    <t>44682B1Energia horáriaResidencialResidencialNão se aplicaNão se aplicaPonta</t>
  </si>
  <si>
    <t>44713B1Energia horáriaResidencialResidencialNão se aplicaNão se aplicaPonta</t>
  </si>
  <si>
    <t>44743B1Energia horáriaResidencialResidencialNão se aplicaNão se aplicaPonta</t>
  </si>
  <si>
    <t>44774B1Energia horáriaResidencialResidencialNão se aplicaNão se aplicaPonta</t>
  </si>
  <si>
    <t>44805B1Energia horáriaResidencialResidencialNão se aplicaNão se aplicaPonta</t>
  </si>
  <si>
    <t>44835B1Energia horáriaResidencialResidencialNão se aplicaNão se aplicaPonta</t>
  </si>
  <si>
    <t>44501B1Energia convencionalResidencialResidencialNão se aplicaNão se aplicaNão se aplica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</si>
  <si>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</si>
  <si>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</si>
  <si>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</si>
  <si>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</si>
  <si>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44652B1Energia convencionalResidencialResidencialNão se aplicaNão se aplicaNão se aplica</t>
  </si>
  <si>
    <t>44682B1Energia convencionalResidencialResidencialNão se aplicaNão se aplicaNão se aplica</t>
  </si>
  <si>
    <t>44713B1Energia convencionalResidencialResidencialNão se aplicaNão se aplicaNão se aplica</t>
  </si>
  <si>
    <t>44743B1Energia convencionalResidencialResidencialNão se aplicaNão se aplicaNão se aplica</t>
  </si>
  <si>
    <t>44774B1Energia convencionalResidencialResidencialNão se aplicaNão se aplicaNão se aplica</t>
  </si>
  <si>
    <t>44805B1Energia convencionalResidencialResidencialNão se aplicaNão se aplicaNão se aplica</t>
  </si>
  <si>
    <t>44835B1Energia convencionalResidencialResidencialNão se aplicaNão se aplicaNão se aplica</t>
  </si>
  <si>
    <t>44501B1Energia convencionalResidencialResidencial baixa renda – faixa 01Não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</si>
  <si>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</si>
  <si>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</si>
  <si>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</si>
  <si>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</si>
  <si>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44652B1Energia convencionalResidencialResidencial baixa renda – faixa 01Não se aplicaNão se aplicaNão se aplica</t>
  </si>
  <si>
    <t>44682B1Energia convencionalResidencialResidencial baixa renda – faixa 01Não se aplicaNão se aplicaNão se aplica</t>
  </si>
  <si>
    <t>44713B1Energia convencionalResidencialResidencial baixa renda – faixa 01Não se aplicaNão se aplicaNão se aplica</t>
  </si>
  <si>
    <t>44743B1Energia convencionalResidencialResidencial baixa renda – faixa 01Não se aplicaNão se aplicaNão se aplica</t>
  </si>
  <si>
    <t>44774B1Energia convencionalResidencialResidencial baixa renda – faixa 01Não se aplicaNão se aplicaNão se aplica</t>
  </si>
  <si>
    <t>44805B1Energia convencionalResidencialResidencial baixa renda – faixa 01Não se aplicaNão se aplicaNão se aplica</t>
  </si>
  <si>
    <t>44835B1Energia convencionalResidencialResidencial baixa renda – faixa 01Não se aplicaNão se aplicaNão se aplica</t>
  </si>
  <si>
    <t>44501B1Energia convencionalResidencialResidencial baixa renda – faixa 02Não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</si>
  <si>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</si>
  <si>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</si>
  <si>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</si>
  <si>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</si>
  <si>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44652B1Energia convencionalResidencialResidencial baixa renda – faixa 02Não se aplicaNão se aplicaNão se aplica</t>
  </si>
  <si>
    <t>44682B1Energia convencionalResidencialResidencial baixa renda – faixa 02Não se aplicaNão se aplicaNão se aplica</t>
  </si>
  <si>
    <t>44713B1Energia convencionalResidencialResidencial baixa renda – faixa 02Não se aplicaNão se aplicaNão se aplica</t>
  </si>
  <si>
    <t>44743B1Energia convencionalResidencialResidencial baixa renda – faixa 02Não se aplicaNão se aplicaNão se aplica</t>
  </si>
  <si>
    <t>44774B1Energia convencionalResidencialResidencial baixa renda – faixa 02Não se aplicaNão se aplicaNão se aplica</t>
  </si>
  <si>
    <t>44805B1Energia convencionalResidencialResidencial baixa renda – faixa 02Não se aplicaNão se aplicaNão se aplica</t>
  </si>
  <si>
    <t>44835B1Energia convencionalResidencialResidencial baixa renda – faixa 02Não se aplicaNão se aplicaNão se aplica</t>
  </si>
  <si>
    <t>44501B1Energia convencionalResidencialResidencial baixa renda – faixa 03Não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</si>
  <si>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</si>
  <si>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</si>
  <si>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</si>
  <si>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</si>
  <si>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44652B1Energia convencionalResidencialResidencial baixa renda – faixa 03Não se aplicaNão se aplicaNão se aplica</t>
  </si>
  <si>
    <t>44682B1Energia convencionalResidencialResidencial baixa renda – faixa 03Não se aplicaNão se aplicaNão se aplica</t>
  </si>
  <si>
    <t>44713B1Energia convencionalResidencialResidencial baixa renda – faixa 03Não se aplicaNão se aplicaNão se aplica</t>
  </si>
  <si>
    <t>44743B1Energia convencionalResidencialResidencial baixa renda – faixa 03Não se aplicaNão se aplicaNão se aplica</t>
  </si>
  <si>
    <t>44774B1Energia convencionalResidencialResidencial baixa renda – faixa 03Não se aplicaNão se aplicaNão se aplica</t>
  </si>
  <si>
    <t>44805B1Energia convencionalResidencialResidencial baixa renda – faixa 03Não se aplicaNão se aplicaNão se aplica</t>
  </si>
  <si>
    <t>44835B1Energia convencionalResidencialResidencial baixa renda – faixa 03Não se aplicaNão se aplicaNão se aplica</t>
  </si>
  <si>
    <t>44501B1Energia convencionalResidencialResidencial baixa renda – faixa 04Não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</si>
  <si>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</si>
  <si>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</si>
  <si>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44593B1Energia convencionalResidencialResidencial baixa renda – faixa 04Não se aplicaNão se aplicaNão se aplica</t>
  </si>
  <si>
    <t>44621B1Energia convencionalResidencialResidencial baixa renda – faixa 04Não se aplicaNão se aplicaNão se aplica</t>
  </si>
  <si>
    <t>44652B1Energia convencionalResidencialResidencial baixa renda – faixa 04Não se aplicaNão se aplicaNão se aplica</t>
  </si>
  <si>
    <t>44682B1Energia convencionalResidencialResidencial baixa renda – faixa 04Não se aplicaNão se aplicaNão se aplica</t>
  </si>
  <si>
    <t>44713B1Energia convencionalResidencialResidencial baixa renda – faixa 04Não se aplicaNão se aplicaNão se aplica</t>
  </si>
  <si>
    <t>44743B1Energia convencionalResidencialResidencial baixa renda – faixa 04Não se aplicaNão se aplicaNão se aplica</t>
  </si>
  <si>
    <t>44774B1Energia convencionalResidencialResidencial baixa renda – faixa 04Não se aplicaNão se aplicaNão se aplica</t>
  </si>
  <si>
    <t>44805B1Energia convencionalResidencialResidencial baixa renda – faixa 04Não se aplicaNão se aplicaNão se aplica</t>
  </si>
  <si>
    <t>44835B1Energia convencionalResidencialResidencial baixa renda – faixa 04Não se aplicaNão se aplicaNão se aplica</t>
  </si>
  <si>
    <t>44501B2Energia convencionalRuralNão se aplicaNão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</si>
  <si>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</si>
  <si>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</si>
  <si>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</si>
  <si>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</si>
  <si>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44652B2Energia convencionalRuralNão se aplicaNão se aplicaNão se aplicaNão se aplica</t>
  </si>
  <si>
    <t>44682B2Energia convencionalRuralNão se aplicaNão se aplicaNão se aplicaNão se aplica</t>
  </si>
  <si>
    <t>44713B2Energia convencionalRuralNão se aplicaNão se aplicaNão se aplicaNão se aplica</t>
  </si>
  <si>
    <t>44743B2Energia convencionalRuralNão se aplicaNão se aplicaNão se aplicaNão se aplica</t>
  </si>
  <si>
    <t>44774B2Energia convencionalRuralNão se aplicaNão se aplicaNão se aplicaNão se aplica</t>
  </si>
  <si>
    <t>44805B2Energia convencionalRuralNão se aplicaNão se aplicaNão se aplicaNão se aplica</t>
  </si>
  <si>
    <t>44835B2Energia convencionalRuralNão se aplicaNão se aplicaNão se aplicaNão se aplica</t>
  </si>
  <si>
    <t>44501B3Energia horáriaNão se aplicaNão se aplicaNão se aplicaNão se aplicaFora ponta</t>
  </si>
  <si>
    <t>44531B3Energia horáriaNão se aplicaNão se aplicaNão se aplicaNão se aplicaFora ponta</t>
  </si>
  <si>
    <t>44562B3Energia horáriaNão se aplicaNão se aplicaNão se aplicaNão se aplicaFora ponta</t>
  </si>
  <si>
    <t>44593B3Energia horáriaNão se aplicaNão se aplicaNão se aplicaNão se aplicaFora ponta</t>
  </si>
  <si>
    <t>44621B3Energia horáriaNão se aplicaNão se aplicaNão se aplicaNão se aplicaFora ponta</t>
  </si>
  <si>
    <t>44652B3Energia horáriaNão se aplicaNão se aplicaNão se aplicaNão se aplicaFora ponta</t>
  </si>
  <si>
    <t>44682B3Energia horáriaNão se aplicaNão se aplicaNão se aplicaNão se aplicaFora ponta</t>
  </si>
  <si>
    <t>44713B3Energia horáriaNão se aplicaNão se aplicaNão se aplicaNão se aplicaFora ponta</t>
  </si>
  <si>
    <t>44743B3Energia horáriaNão se aplicaNão se aplicaNão se aplicaNão se aplicaFora ponta</t>
  </si>
  <si>
    <t>44774B3Energia horáriaNão se aplicaNão se aplicaNão se aplicaNão se aplicaFora ponta</t>
  </si>
  <si>
    <t>44805B3Energia horáriaNão se aplicaNão se aplicaNão se aplicaNão se aplicaFora ponta</t>
  </si>
  <si>
    <t>44835B3Energia horáriaNão se aplicaNão se aplicaNão se aplicaNão se aplicaFora ponta</t>
  </si>
  <si>
    <t>44501B3Energia horáriaNão se aplicaNão se aplicaNão se aplicaNão se aplicaIntermediário</t>
  </si>
  <si>
    <t>44531B3Energia horáriaNão se aplicaNão se aplicaNão se aplicaNão se aplicaIntermediário</t>
  </si>
  <si>
    <t>44562B3Energia horáriaNão se aplicaNão se aplicaNão se aplicaNão se aplicaIntermediário</t>
  </si>
  <si>
    <t>44593B3Energia horáriaNão se aplicaNão se aplicaNão se aplicaNão se aplicaIntermediário</t>
  </si>
  <si>
    <t>44621B3Energia horáriaNão se aplicaNão se aplicaNão se aplicaNão se aplicaIntermediário</t>
  </si>
  <si>
    <t>44652B3Energia horáriaNão se aplicaNão se aplicaNão se aplicaNão se aplicaIntermediário</t>
  </si>
  <si>
    <t>44682B3Energia horáriaNão se aplicaNão se aplicaNão se aplicaNão se aplicaIntermediário</t>
  </si>
  <si>
    <t>44713B3Energia horáriaNão se aplicaNão se aplicaNão se aplicaNão se aplicaIntermediário</t>
  </si>
  <si>
    <t>44743B3Energia horáriaNão se aplicaNão se aplicaNão se aplicaNão se aplicaIntermediário</t>
  </si>
  <si>
    <t>44774B3Energia horáriaNão se aplicaNão se aplicaNão se aplicaNão se aplicaIntermediário</t>
  </si>
  <si>
    <t>44805B3Energia horáriaNão se aplicaNão se aplicaNão se aplicaNão se aplicaIntermediário</t>
  </si>
  <si>
    <t>44835B3Energia horáriaNão se aplicaNão se aplicaNão se aplicaNão se aplicaIntermediário</t>
  </si>
  <si>
    <t>44501B3Energia horáriaNão se aplicaNão se aplicaNão se aplicaNão se aplicaPonta</t>
  </si>
  <si>
    <t>44531B3Energia horáriaNão se aplicaNão se aplicaNão se aplicaNão se aplicaPonta</t>
  </si>
  <si>
    <t>44562B3Energia horáriaNão se aplicaNão se aplicaNão se aplicaNão se aplicaPonta</t>
  </si>
  <si>
    <t>44593B3Energia horáriaNão se aplicaNão se aplicaNão se aplicaNão se aplicaPonta</t>
  </si>
  <si>
    <t>44621B3Energia horáriaNão se aplicaNão se aplicaNão se aplicaNão se aplicaPonta</t>
  </si>
  <si>
    <t>44652B3Energia horáriaNão se aplicaNão se aplicaNão se aplicaNão se aplicaPonta</t>
  </si>
  <si>
    <t>44682B3Energia horáriaNão se aplicaNão se aplicaNão se aplicaNão se aplicaPonta</t>
  </si>
  <si>
    <t>44713B3Energia horáriaNão se aplicaNão se aplicaNão se aplicaNão se aplicaPonta</t>
  </si>
  <si>
    <t>44743B3Energia horáriaNão se aplicaNão se aplicaNão se aplicaNão se aplicaPonta</t>
  </si>
  <si>
    <t>44774B3Energia horáriaNão se aplicaNão se aplicaNão se aplicaNão se aplicaPonta</t>
  </si>
  <si>
    <t>44805B3Energia horáriaNão se aplicaNão se aplicaNão se aplicaNão se aplicaPonta</t>
  </si>
  <si>
    <t>44835B3Energia horáriaNão se aplicaNão se aplicaNão se aplicaNão se aplicaPonta</t>
  </si>
  <si>
    <t>44501B3Energia convencionalNão se aplicaNão se aplicaNão se aplicaNão se aplicaNão se aplica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</si>
  <si>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</si>
  <si>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</si>
  <si>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</si>
  <si>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</si>
  <si>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44652B3Energia convencionalNão se aplicaNão se aplicaNão se aplicaNão se aplicaNão se aplica</t>
  </si>
  <si>
    <t>44682B3Energia convencionalNão se aplicaNão se aplicaNão se aplicaNão se aplicaNão se aplica</t>
  </si>
  <si>
    <t>44713B3Energia convencionalNão se aplicaNão se aplicaNão se aplicaNão se aplicaNão se aplica</t>
  </si>
  <si>
    <t>44743B3Energia convencionalNão se aplicaNão se aplicaNão se aplicaNão se aplicaNão se aplica</t>
  </si>
  <si>
    <t>44774B3Energia convencionalNão se aplicaNão se aplicaNão se aplicaNão se aplicaNão se aplica</t>
  </si>
  <si>
    <t>44805B3Energia convencionalNão se aplicaNão se aplicaNão se aplicaNão se aplicaNão se aplica</t>
  </si>
  <si>
    <t>44835B3Energia convencionalNão se aplicaNão se aplicaNão se aplicaNão se aplicaNão se aplica</t>
  </si>
  <si>
    <t>44501B4Energia convencionalIluminação públicaIluminação pública – B4aNão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</si>
  <si>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</si>
  <si>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</si>
  <si>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44593B4Energia convencionalIluminação públicaIluminação pública – B4aNão se aplicaNão se aplicaNão se aplica</t>
  </si>
  <si>
    <t>44621B4Energia convencionalIluminação públicaIluminação pública – B4aNão se aplicaNão se aplicaNão se aplica</t>
  </si>
  <si>
    <t>44652B4Energia convencionalIluminação públicaIluminação pública – B4aNão se aplicaNão se aplicaNão se aplica</t>
  </si>
  <si>
    <t>44682B4Energia convencionalIluminação públicaIluminação pública – B4aNão se aplicaNão se aplicaNão se aplica</t>
  </si>
  <si>
    <t>44713B4Energia convencionalIluminação públicaIluminação pública – B4aNão se aplicaNão se aplicaNão se aplica</t>
  </si>
  <si>
    <t>44743B4Energia convencionalIluminação públicaIluminação pública – B4aNão se aplicaNão se aplicaNão se aplica</t>
  </si>
  <si>
    <t>44774B4Energia convencionalIluminação públicaIluminação pública – B4aNão se aplicaNão se aplicaNão se aplica</t>
  </si>
  <si>
    <t>44805B4Energia convencionalIluminação públicaIluminação pública – B4aNão se aplicaNão se aplicaNão se aplica</t>
  </si>
  <si>
    <t>44835B4Energia convencionalIluminação públicaIluminação pública – B4aNão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</si>
  <si>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</si>
  <si>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</si>
  <si>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</si>
  <si>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</si>
  <si>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</si>
  <si>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</si>
  <si>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</si>
  <si>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</si>
  <si>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</si>
  <si>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</si>
  <si>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</si>
  <si>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</si>
  <si>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</si>
  <si>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</si>
  <si>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</si>
  <si>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</si>
  <si>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</si>
  <si>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</si>
  <si>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</si>
  <si>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</si>
  <si>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</si>
  <si>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</si>
  <si>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</si>
  <si>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</si>
  <si>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</si>
  <si>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</si>
  <si>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</si>
  <si>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</si>
  <si>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</si>
  <si>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</si>
  <si>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</si>
  <si>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</si>
  <si>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CDE ELET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</si>
  <si>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</si>
  <si>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</si>
  <si>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</si>
  <si>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</si>
  <si>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</si>
  <si>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</si>
  <si>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</si>
  <si>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</si>
  <si>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</si>
  <si>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</si>
  <si>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</si>
  <si>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</si>
  <si>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</si>
  <si>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</si>
  <si>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</si>
  <si>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</si>
  <si>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</si>
  <si>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</si>
  <si>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</si>
  <si>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</si>
  <si>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</si>
  <si>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</si>
  <si>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</si>
  <si>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</si>
  <si>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</si>
  <si>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</si>
  <si>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</si>
  <si>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</si>
  <si>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</si>
  <si>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</si>
  <si>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</si>
  <si>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</si>
  <si>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</si>
  <si>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</si>
  <si>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</si>
  <si>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</si>
  <si>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</si>
  <si>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</si>
  <si>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</si>
  <si>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</si>
  <si>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</si>
  <si>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</si>
  <si>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</si>
  <si>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</si>
  <si>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</si>
  <si>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</si>
  <si>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</si>
  <si>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</si>
  <si>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</si>
  <si>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</si>
  <si>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</si>
  <si>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</si>
  <si>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</si>
  <si>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</si>
  <si>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</si>
  <si>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</si>
  <si>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</si>
  <si>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</si>
  <si>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</si>
  <si>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</si>
  <si>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</si>
  <si>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</si>
  <si>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</si>
  <si>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</si>
  <si>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</si>
  <si>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</si>
  <si>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</si>
  <si>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</si>
  <si>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2.971, DE 16 DE NOVEMBRO DE 2021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</si>
  <si>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</si>
  <si>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</si>
  <si>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</si>
  <si>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</si>
  <si>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</si>
  <si>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</si>
  <si>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</si>
  <si>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</si>
  <si>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</si>
  <si>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</si>
  <si>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</si>
  <si>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(SUB)GRUPO</t>
  </si>
  <si>
    <t>TUSD (R$)</t>
  </si>
  <si>
    <t>TUSD (MWh)</t>
  </si>
  <si>
    <t>PNT (R$/MWh)</t>
  </si>
  <si>
    <t>VAR. AX01</t>
  </si>
  <si>
    <t>VAR. AX02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</si>
  <si>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</si>
  <si>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</si>
  <si>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</si>
  <si>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</si>
  <si>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</si>
  <si>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</si>
  <si>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</si>
  <si>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</si>
  <si>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</si>
  <si>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</si>
  <si>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</si>
  <si>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</si>
  <si>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TOTAL ABAS</t>
  </si>
  <si>
    <t>AVALIAÇÃO</t>
  </si>
  <si>
    <t>Coeficientes de transição</t>
  </si>
  <si>
    <t>A3a</t>
  </si>
  <si>
    <t>Carga</t>
  </si>
  <si>
    <t>Ajustado para o passo 4 da transição. Não altere.</t>
  </si>
  <si>
    <t>TipoTarifa</t>
  </si>
  <si>
    <t>UP</t>
  </si>
  <si>
    <t>US</t>
  </si>
  <si>
    <t>UT</t>
  </si>
  <si>
    <t>AnoRef</t>
  </si>
  <si>
    <t>Evento</t>
  </si>
  <si>
    <t>Energia</t>
  </si>
  <si>
    <t>Ativa</t>
  </si>
  <si>
    <t>Potência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</si>
  <si>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</si>
  <si>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</si>
  <si>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</si>
  <si>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</si>
  <si>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</si>
  <si>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</si>
  <si>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</si>
  <si>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</si>
  <si>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</si>
  <si>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</si>
  <si>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</si>
  <si>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</si>
  <si>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</si>
  <si>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</si>
  <si>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</si>
  <si>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</si>
  <si>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</si>
  <si>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</si>
  <si>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</si>
  <si>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</si>
  <si>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</si>
  <si>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</si>
  <si>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</si>
  <si>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</si>
  <si>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</si>
  <si>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</si>
  <si>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</si>
  <si>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</si>
  <si>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</si>
  <si>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</si>
  <si>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</si>
  <si>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</si>
  <si>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</si>
  <si>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</si>
  <si>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</si>
  <si>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</si>
  <si>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</si>
  <si>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</si>
  <si>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</si>
  <si>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</si>
  <si>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</si>
  <si>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</si>
  <si>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</si>
  <si>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</si>
  <si>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</si>
  <si>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</si>
  <si>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</si>
  <si>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</si>
  <si>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</si>
  <si>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GERAÇÃO FONTE INCENTIVADA</t>
  </si>
  <si>
    <t>SUBSIDIO CARGA FONTE INCENTIVADA</t>
  </si>
  <si>
    <t>SUBSIDIO ÁGUA, ESGOTO E SANEAMENTO</t>
  </si>
  <si>
    <t>SUBSIDIO RURAL</t>
  </si>
  <si>
    <t>SUBSIDIO BAIXA RENDA</t>
  </si>
  <si>
    <t>R$ (TV)</t>
  </si>
  <si>
    <t>R$ (TN)</t>
  </si>
  <si>
    <t>SUBSIDIO DISTRIBUIÇÃO</t>
  </si>
  <si>
    <t>SUBSIDIO IRRIGANTE/AQUICULTOR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</si>
  <si>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</si>
  <si>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</si>
  <si>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</si>
  <si>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</si>
  <si>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</si>
  <si>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</si>
  <si>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</si>
  <si>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Azul1Serviço públicoÁgua, esgoto e saneamentoPlanilha CUSTOA4</t>
  </si>
  <si>
    <t>2021</t>
  </si>
  <si>
    <t>Planilha CUSTO</t>
  </si>
  <si>
    <t>Verde1Serviço públicoÁgua, esgoto e saneamentoPlanilha CUSTOA4</t>
  </si>
  <si>
    <t>Convencional 1Serviço públicoÁgua, esgoto e saneamentoPlanilha CUSTOA4</t>
  </si>
  <si>
    <t xml:space="preserve">Convencional </t>
  </si>
  <si>
    <t>Convencional1Serviço públicoÁgua, esgoto e saneamentoPlanilha CUSTOB3</t>
  </si>
  <si>
    <t>Branca1Serviço públicoÁgua, esgoto e saneamentoPlanilha CUSTOB3</t>
  </si>
  <si>
    <t>Convencional1RuralCooperativa de eletrificação ruralPlanilha CUSTOB2</t>
  </si>
  <si>
    <t>Branca 1RuralCooperativa de eletrificação ruralPlanilha CUSTOB2</t>
  </si>
  <si>
    <t xml:space="preserve">Branca </t>
  </si>
  <si>
    <t>Azul1RuralNão se aplicaPlanilha CustoA4</t>
  </si>
  <si>
    <t>Planilha Custo</t>
  </si>
  <si>
    <t>Verde1RuralNão se aplicaPlanilha CustoA4</t>
  </si>
  <si>
    <t>Convencional1RuralNão se aplicaPlanilha CustoA4</t>
  </si>
  <si>
    <t>Convencional1RuralNão se aplicaRuralB2</t>
  </si>
  <si>
    <t>Branca1RuralNão se aplicaRuralB2</t>
  </si>
  <si>
    <t>Convencional1RuralServiço público de irrigação ruralPlanilha CUSTOB2</t>
  </si>
  <si>
    <t>Branca 1RuralServiço público de irrigação ruralPlanilha CUSTOB2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</si>
  <si>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</si>
  <si>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</si>
  <si>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</si>
  <si>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</si>
  <si>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</si>
  <si>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</si>
  <si>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</si>
  <si>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</si>
  <si>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</si>
  <si>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</si>
  <si>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</si>
  <si>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</si>
  <si>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</si>
  <si>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</si>
  <si>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</si>
  <si>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</si>
  <si>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</si>
  <si>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</si>
  <si>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</si>
  <si>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</si>
  <si>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</si>
  <si>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</si>
  <si>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</si>
  <si>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</si>
  <si>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</si>
  <si>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</si>
  <si>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</si>
  <si>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</si>
  <si>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</si>
  <si>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</si>
  <si>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</si>
  <si>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</si>
  <si>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</si>
  <si>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</si>
  <si>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</si>
  <si>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</si>
  <si>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</si>
  <si>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</si>
  <si>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</si>
  <si>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</si>
  <si>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</si>
  <si>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</si>
  <si>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</si>
  <si>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</si>
  <si>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IdAgente</t>
  </si>
  <si>
    <t>Ano</t>
  </si>
  <si>
    <t>MERCADO DMED</t>
  </si>
  <si>
    <t>TARIFAS DMED</t>
  </si>
  <si>
    <t>TARIFAS Adjacente (Cemig-D)</t>
  </si>
  <si>
    <t>RECEITA DMED</t>
  </si>
  <si>
    <t>RECEITA Adjacente (Cemig-D)</t>
  </si>
  <si>
    <t>Dp</t>
  </si>
  <si>
    <t>Dfp</t>
  </si>
  <si>
    <t>TE P</t>
  </si>
  <si>
    <t>TE FP</t>
  </si>
  <si>
    <t>TUSD_E P</t>
  </si>
  <si>
    <t>TUSD_E FP</t>
  </si>
  <si>
    <t>ORIGINAL</t>
  </si>
  <si>
    <t>ADJACENTE</t>
  </si>
  <si>
    <t>DECISÃO</t>
  </si>
  <si>
    <t>CONTROLE</t>
  </si>
  <si>
    <t>TARIFAS TUSD</t>
  </si>
  <si>
    <t>TARIFAS TE</t>
  </si>
  <si>
    <t>TARIFAS TOTAIS</t>
  </si>
  <si>
    <t>TARIFA B1 Resid.</t>
  </si>
  <si>
    <t>B1 Convenc.</t>
  </si>
  <si>
    <t>Aplica Lei?</t>
  </si>
  <si>
    <t>Var. Controle TUSD</t>
  </si>
  <si>
    <t>Tarifa Distribuidora</t>
  </si>
  <si>
    <t>Tarifa Adjacente</t>
  </si>
  <si>
    <t>Nova Componente</t>
  </si>
  <si>
    <t>CodTar</t>
  </si>
  <si>
    <t>2030201001010000000000000004022025</t>
  </si>
  <si>
    <t>2030201001010000000000000002022025</t>
  </si>
  <si>
    <t>2030201001010000000000000001032035</t>
  </si>
  <si>
    <t>2030201001020000000000000001032035</t>
  </si>
  <si>
    <t>2040201001010000000000000004022025</t>
  </si>
  <si>
    <t>2040201001010000000000000002022025</t>
  </si>
  <si>
    <t>2040201001010000000000000001032035</t>
  </si>
  <si>
    <t>2040201001020000000000000001032035</t>
  </si>
  <si>
    <t>2040601001010000000000000001022025</t>
  </si>
  <si>
    <t>2060201001010000000000000004022025</t>
  </si>
  <si>
    <t>2060201001010000000000000002022025</t>
  </si>
  <si>
    <t>2060201001010000000000000001032035</t>
  </si>
  <si>
    <t>2060201001020000000000000001032035</t>
  </si>
  <si>
    <t>2060601001010000000000000001022025</t>
  </si>
  <si>
    <t>2060301001010000000000000001022025</t>
  </si>
  <si>
    <t>2060301001010000000000000004032035</t>
  </si>
  <si>
    <t>2060301001010000000000000002032035</t>
  </si>
  <si>
    <t>2060301001020000000000000004032035</t>
  </si>
  <si>
    <t>2060301001020000000000000002032035</t>
  </si>
  <si>
    <t>2070201001010000000000000004022025</t>
  </si>
  <si>
    <t>2070201001010000000000000002022025</t>
  </si>
  <si>
    <t>2070201001010000000000000001032035</t>
  </si>
  <si>
    <t>2070201001020000000000000001032035</t>
  </si>
  <si>
    <t>2070301001010000000000000001022025</t>
  </si>
  <si>
    <t>2070301001010000000000000004032035</t>
  </si>
  <si>
    <t>2070301001010000000000000002032035</t>
  </si>
  <si>
    <t>2070301001020000000000000004032035</t>
  </si>
  <si>
    <t>2070301001020000000000000002032035</t>
  </si>
  <si>
    <t>2070401001010000000000000001022025</t>
  </si>
  <si>
    <t>2070401001010000000000000001032035</t>
  </si>
  <si>
    <t>2130601001120000000000000001022025</t>
  </si>
  <si>
    <t>2130601001130000000000000001022025</t>
  </si>
  <si>
    <t>2080702002010000000000000004032035</t>
  </si>
  <si>
    <t>2080702002010000000000000003032035</t>
  </si>
  <si>
    <t>2080702002010000000000000002032035</t>
  </si>
  <si>
    <t>2080402002010000000000000001032035</t>
  </si>
  <si>
    <t>2080402006010000000000000001032035</t>
  </si>
  <si>
    <t>2081302002010000000000000001032035</t>
  </si>
  <si>
    <t>2081302006010000000000000001032035</t>
  </si>
  <si>
    <t>2090705001010000000000000004032035</t>
  </si>
  <si>
    <t>2090705001010000000000000003032035</t>
  </si>
  <si>
    <t>2090705001010000000000000002032035</t>
  </si>
  <si>
    <t>2100701001010000000000000004032035</t>
  </si>
  <si>
    <t>2100701001010000000000000003032035</t>
  </si>
  <si>
    <t>2100701001010000000000000002032035</t>
  </si>
  <si>
    <t>2100401001010000000000000001032035</t>
  </si>
  <si>
    <t>2101301001010000000000000001032035</t>
  </si>
  <si>
    <t>2110407041010000000000000001032035</t>
  </si>
  <si>
    <t>2110407042010000000000000001032035</t>
  </si>
  <si>
    <t>Var. Controle TE</t>
  </si>
  <si>
    <t>3030801001010000000000000004032035</t>
  </si>
  <si>
    <t>3030801001010000000000000002032035</t>
  </si>
  <si>
    <t>3040801001010000000000000004032035</t>
  </si>
  <si>
    <t>3040801001010000000000000002032035</t>
  </si>
  <si>
    <t>3060801001010000000000000004032035</t>
  </si>
  <si>
    <t>3060801001010000000000000002032035</t>
  </si>
  <si>
    <t>3060901001010000000000000001032035</t>
  </si>
  <si>
    <t>3070801001010000000000000004032035</t>
  </si>
  <si>
    <t>3070801001010000000000000002032035</t>
  </si>
  <si>
    <t>3070901001010000000000000001032035</t>
  </si>
  <si>
    <t>3080802002010000000000000004032035</t>
  </si>
  <si>
    <t>3080802002010000000000000003032035</t>
  </si>
  <si>
    <t>3080802002010000000000000002032035</t>
  </si>
  <si>
    <t>3080902002010000000000000001032035</t>
  </si>
  <si>
    <t>3080902006010000000000000001032035</t>
  </si>
  <si>
    <t>3081402002010000000000000001032035</t>
  </si>
  <si>
    <t>3081402006010000000000000001032035</t>
  </si>
  <si>
    <t>3090805001010000000000000004032035</t>
  </si>
  <si>
    <t>3090805001010000000000000003032035</t>
  </si>
  <si>
    <t>3090805001010000000000000002032035</t>
  </si>
  <si>
    <t>3100801001010000000000000004032035</t>
  </si>
  <si>
    <t>3100801001010000000000000003032035</t>
  </si>
  <si>
    <t>3100801001010000000000000002032035</t>
  </si>
  <si>
    <t>3100901001010000000000000001032035</t>
  </si>
  <si>
    <t>3101401001010000000000000001032035</t>
  </si>
  <si>
    <t>3110907041010000000000000001032035</t>
  </si>
  <si>
    <t>3110907042010000000000000001032035</t>
  </si>
  <si>
    <t>SUBSIDIO LEI 14.299/22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</si>
  <si>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</si>
  <si>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</si>
  <si>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</si>
  <si>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</si>
  <si>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</si>
  <si>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</si>
  <si>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</si>
  <si>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Azul APE</t>
  </si>
  <si>
    <t>NA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</si>
  <si>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</si>
  <si>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</si>
  <si>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</si>
  <si>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</si>
  <si>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</si>
  <si>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</si>
  <si>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</si>
  <si>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</si>
  <si>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</si>
  <si>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</si>
  <si>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</si>
  <si>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</si>
  <si>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</si>
  <si>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</si>
  <si>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</si>
  <si>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TUSD BASE FINANCEIRA NOVA</t>
  </si>
  <si>
    <t>TUSD BASE FINANCEIRA VIGENTE</t>
  </si>
  <si>
    <t>A2Azul</t>
  </si>
  <si>
    <t>A2AzulNão se aplica</t>
  </si>
  <si>
    <t>A2AzulNão se aplicaNão se aplica</t>
  </si>
  <si>
    <t>A2AzulNão se aplicaNão se aplicaNão se aplica</t>
  </si>
  <si>
    <t>A2AzulNão se aplicaNão se aplicaNão se aplicaNão se aplica</t>
  </si>
  <si>
    <t>A2AzulNão se aplicaNão se aplicaNão se aplicaNão se aplicaDP</t>
  </si>
  <si>
    <t>A2AzulNão se aplicaNão se aplicaNão se aplicaNão se aplicaDFP</t>
  </si>
  <si>
    <t>A2AzulNão se aplicaNão se aplicaNão se aplicaNão se aplicaE</t>
  </si>
  <si>
    <t>A2AzulNão se aplicaNão se aplicaAPE</t>
  </si>
  <si>
    <t>A2AzulNão se aplicaNão se aplicaAPENão se aplica</t>
  </si>
  <si>
    <t>A2AzulNão se aplicaNão se aplicaAPENão se aplicaE</t>
  </si>
  <si>
    <t>A3Azul</t>
  </si>
  <si>
    <t>A3AzulNão se aplica</t>
  </si>
  <si>
    <t>A3AzulNão se aplicaNão se aplica</t>
  </si>
  <si>
    <t>A3AzulNão se aplicaNão se aplicaNão se aplica</t>
  </si>
  <si>
    <t>A3AzulNão se aplicaNão se aplicaNão se aplicaNão se aplica</t>
  </si>
  <si>
    <t>A3AzulNão se aplicaNão se aplicaNão se aplicaNão se aplicaDP</t>
  </si>
  <si>
    <t>A3AzulNão se aplicaNão se aplicaNão se aplicaNão se aplicaDFP</t>
  </si>
  <si>
    <t>A3AzulNão se aplicaNão se aplicaNão se aplicaNão se aplicaE</t>
  </si>
  <si>
    <t>A3AzulNão se aplicaNão se aplicaAPE</t>
  </si>
  <si>
    <t>A3AzulNão se aplicaNão se aplicaAPENão se aplica</t>
  </si>
  <si>
    <t>A3AzulNão se aplicaNão se aplicaAPENão se aplicaE</t>
  </si>
  <si>
    <t>A3Geração</t>
  </si>
  <si>
    <t>A3GeraçãoNão se aplica</t>
  </si>
  <si>
    <t>A3GeraçãoNão se aplicaNão se aplica</t>
  </si>
  <si>
    <t>A3GeraçãoNão se aplicaNão se aplicaNão se aplica</t>
  </si>
  <si>
    <t>A3GeraçãoNão se aplicaNão se aplicaNão se aplicaNão se aplica</t>
  </si>
  <si>
    <t>A3GeraçãoNão se aplicaNão se aplicaNão se aplicaNão se aplicaD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</si>
  <si>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</si>
  <si>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</si>
  <si>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</si>
  <si>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</si>
  <si>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</si>
  <si>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</si>
  <si>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</si>
  <si>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</si>
  <si>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</si>
  <si>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</si>
  <si>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</si>
  <si>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</si>
  <si>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</si>
  <si>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</si>
  <si>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</si>
  <si>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</si>
  <si>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</si>
  <si>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</si>
  <si>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</si>
  <si>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</si>
  <si>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</si>
  <si>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</si>
  <si>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</si>
  <si>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</si>
  <si>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</si>
  <si>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</si>
  <si>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</si>
  <si>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</si>
  <si>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</si>
  <si>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ASAzul</t>
  </si>
  <si>
    <t>ASAzulNão se aplica</t>
  </si>
  <si>
    <t>ASAzulNão se aplicaNão se aplica</t>
  </si>
  <si>
    <t>ASAzulNão se aplicaNão se aplicaNão se aplica</t>
  </si>
  <si>
    <t>ASAzulNão se aplicaNão se aplicaNão se aplicaNão se aplica</t>
  </si>
  <si>
    <t>ASAzulNão se aplicaNão se aplicaNão se aplicaNão se aplicaDP</t>
  </si>
  <si>
    <t>ASAzulNão se aplicaNão se aplicaNão se aplicaNão se aplicaDFP</t>
  </si>
  <si>
    <t>ASAzulNão se aplicaNão se aplicaNão se aplicaNão se aplicaE</t>
  </si>
  <si>
    <t>ASAzulNão se aplicaNão se aplicaAPE</t>
  </si>
  <si>
    <t>ASAzulNão se aplicaNão se aplicaAPENão se aplica</t>
  </si>
  <si>
    <t>ASAzulNão se aplicaNão se aplicaAPENão se aplicaE</t>
  </si>
  <si>
    <t>ASVerde</t>
  </si>
  <si>
    <t>ASVerdeNão se aplica</t>
  </si>
  <si>
    <t>ASVerdeNão se aplicaNão se aplica</t>
  </si>
  <si>
    <t>ASVerdeNão se aplicaNão se aplicaNão se aplica</t>
  </si>
  <si>
    <t>ASVerdeNão se aplicaNão se aplicaNão se aplicaNão se aplica</t>
  </si>
  <si>
    <t>ASVerdeNão se aplicaNão se aplicaNão se aplicaNão se aplicaD</t>
  </si>
  <si>
    <t>ASVerdeNão se aplicaNão se aplicaNão se aplicaNão se aplicaEP</t>
  </si>
  <si>
    <t>ASVerdeNão se aplicaNão se aplicaNão se aplicaNão se aplicaEFP</t>
  </si>
  <si>
    <t>ASVerdeNão se aplicaNão se aplicaAPE</t>
  </si>
  <si>
    <t>ASVerdeNão se aplicaNão se aplicaAPENão se aplica</t>
  </si>
  <si>
    <t>ASVerdeNão se aplicaNão se aplicaAPENão se aplicaEP</t>
  </si>
  <si>
    <t>ASVerdeNão se aplicaNão se aplicaAPENão se aplicaEFP</t>
  </si>
  <si>
    <t>ASConvencional</t>
  </si>
  <si>
    <t>ASConvencionalNão se aplica</t>
  </si>
  <si>
    <t>ASConvencionalNão se aplicaNão se aplica</t>
  </si>
  <si>
    <t>ASConvencionalNão se aplicaNão se aplicaNão se aplica</t>
  </si>
  <si>
    <t>ASConvencionalNão se aplicaNão se aplicaNão se aplicaNão se aplica</t>
  </si>
  <si>
    <t>ASConvencionalNão se aplicaNão se aplicaNão se aplicaNão se aplicaD</t>
  </si>
  <si>
    <t>ASConvencionalNão se aplicaNão se aplicaNão se aplicaNão se aplicaE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</si>
  <si>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</si>
  <si>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</si>
  <si>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</si>
  <si>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</si>
  <si>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</si>
  <si>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</si>
  <si>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</si>
  <si>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</si>
  <si>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</si>
  <si>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</si>
  <si>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</si>
  <si>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</si>
  <si>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</si>
  <si>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</si>
  <si>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</si>
  <si>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</si>
  <si>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</si>
  <si>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</si>
  <si>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</si>
  <si>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</si>
  <si>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</si>
  <si>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</si>
  <si>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</si>
  <si>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</si>
  <si>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</si>
  <si>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</si>
  <si>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</si>
  <si>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</si>
  <si>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</si>
  <si>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</si>
  <si>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</si>
  <si>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</si>
  <si>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</si>
  <si>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</si>
  <si>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</si>
  <si>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</si>
  <si>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</si>
  <si>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</si>
  <si>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</si>
  <si>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</si>
  <si>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</si>
  <si>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</si>
  <si>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</si>
  <si>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</si>
  <si>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</si>
  <si>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</si>
  <si>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</si>
  <si>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</si>
  <si>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</si>
  <si>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</si>
  <si>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</si>
  <si>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</si>
  <si>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</si>
  <si>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</si>
  <si>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</si>
  <si>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</si>
  <si>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</si>
  <si>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</si>
  <si>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</si>
  <si>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</si>
  <si>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</si>
  <si>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</si>
  <si>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</si>
  <si>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</si>
  <si>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</si>
  <si>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</si>
  <si>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</si>
  <si>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</si>
  <si>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</si>
  <si>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</si>
  <si>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</si>
  <si>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</si>
  <si>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</si>
  <si>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</si>
  <si>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</si>
  <si>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</si>
  <si>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</si>
  <si>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</si>
  <si>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</si>
  <si>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</si>
  <si>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</si>
  <si>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</si>
  <si>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</si>
  <si>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</si>
  <si>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</si>
  <si>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</si>
  <si>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</si>
  <si>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</si>
  <si>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</si>
  <si>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</si>
  <si>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</si>
  <si>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</si>
  <si>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</si>
  <si>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</si>
  <si>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</si>
  <si>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</si>
  <si>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</si>
  <si>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</si>
  <si>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</si>
  <si>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</si>
  <si>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</si>
  <si>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</si>
  <si>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</si>
  <si>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</si>
  <si>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</si>
  <si>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</si>
  <si>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</si>
  <si>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</si>
  <si>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</si>
  <si>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</si>
  <si>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</si>
  <si>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</si>
  <si>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</si>
  <si>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</si>
  <si>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</si>
  <si>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</si>
  <si>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</si>
  <si>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</si>
  <si>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</si>
  <si>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</si>
  <si>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</si>
  <si>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</si>
  <si>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</si>
  <si>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</si>
  <si>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</si>
  <si>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</si>
  <si>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</si>
  <si>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</si>
  <si>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</si>
  <si>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</si>
  <si>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</si>
  <si>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</si>
  <si>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</si>
  <si>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</si>
  <si>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</si>
  <si>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</si>
  <si>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</si>
  <si>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</si>
  <si>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</si>
  <si>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</si>
  <si>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</si>
  <si>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A2Energia horária</t>
  </si>
  <si>
    <t>A2Energia horáriaNão se aplica</t>
  </si>
  <si>
    <t>A2Energia horáriaNão se aplicaNão se aplica</t>
  </si>
  <si>
    <t>A2Energia horáriaNão se aplicaNão se aplicaNão se aplica</t>
  </si>
  <si>
    <t>A2Energia horáriaNão se aplicaNão se aplicaNão se aplicaNão se aplica</t>
  </si>
  <si>
    <t>A2Energia horáriaNão se aplicaNão se aplicaNão se aplicaNão se aplicaEP</t>
  </si>
  <si>
    <t>A2Energia horáriaNão se aplicaNão se aplicaNão se aplicaNão se aplicaEFP</t>
  </si>
  <si>
    <t>A3Energia horária</t>
  </si>
  <si>
    <t>A3Energia horáriaNão se aplica</t>
  </si>
  <si>
    <t>A3Energia horáriaNão se aplicaNão se aplica</t>
  </si>
  <si>
    <t>A3Energia horáriaNão se aplicaNão se aplicaNão se aplica</t>
  </si>
  <si>
    <t>A3Energia horáriaNão se aplicaNão se aplicaNão se aplicaNão se aplica</t>
  </si>
  <si>
    <t>A3Energia horáriaNão se aplicaNão se aplicaNão se aplicaNão se aplicaEP</t>
  </si>
  <si>
    <t>A3Energia horáriaNão se aplicaNão se aplicaNão se aplicaNão se aplicaEFP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</si>
  <si>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</si>
  <si>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</si>
  <si>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</si>
  <si>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</si>
  <si>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</si>
  <si>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</si>
  <si>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</si>
  <si>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A4Energia convencional</t>
  </si>
  <si>
    <t>A4Energia convencionalNão se aplica</t>
  </si>
  <si>
    <t>A4Energia convencionalNão se aplicaNão se aplica</t>
  </si>
  <si>
    <t>A4Energia convencionalNão se aplicaNão se aplicaNão se aplica</t>
  </si>
  <si>
    <t>A4Energia convencionalNão se aplicaNão se aplicaNão se aplicaNão se aplica</t>
  </si>
  <si>
    <t>A4Energia convencionalNão se aplicaNão se aplicaNão se aplicaNão se aplicaE</t>
  </si>
  <si>
    <t>ASEnergia horária</t>
  </si>
  <si>
    <t>ASEnergia horáriaNão se aplica</t>
  </si>
  <si>
    <t>ASEnergia horáriaNão se aplicaNão se aplica</t>
  </si>
  <si>
    <t>ASEnergia horáriaNão se aplicaNão se aplicaNão se aplica</t>
  </si>
  <si>
    <t>ASEnergia horáriaNão se aplicaNão se aplicaNão se aplicaNão se aplica</t>
  </si>
  <si>
    <t>ASEnergia horáriaNão se aplicaNão se aplicaNão se aplicaNão se aplicaEP</t>
  </si>
  <si>
    <t>ASEnergia horáriaNão se aplicaNão se aplicaNão se aplicaNão se aplicaEFP</t>
  </si>
  <si>
    <t>ASEnergia convencional</t>
  </si>
  <si>
    <t>ASEnergia convencionalNão se aplica</t>
  </si>
  <si>
    <t>ASEnergia convencionalNão se aplicaNão se aplica</t>
  </si>
  <si>
    <t>ASEnergia convencionalNão se aplicaNão se aplicaNão se aplica</t>
  </si>
  <si>
    <t>ASEnergia convencionalNão se aplicaNão se aplicaNão se aplicaNão se aplica</t>
  </si>
  <si>
    <t>ASEnergia convencionalNão se aplicaNão se aplicaNão se aplicaNão se aplicaE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</si>
  <si>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</si>
  <si>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</si>
  <si>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</si>
  <si>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</si>
  <si>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</si>
  <si>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</si>
  <si>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</si>
  <si>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</si>
  <si>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</si>
  <si>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</si>
  <si>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</si>
  <si>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</si>
  <si>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</si>
  <si>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</si>
  <si>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</si>
  <si>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</si>
  <si>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</si>
  <si>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</si>
  <si>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</si>
  <si>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</si>
  <si>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</si>
  <si>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</si>
  <si>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</si>
  <si>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</si>
  <si>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</si>
  <si>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</si>
  <si>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</si>
  <si>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</si>
  <si>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</si>
  <si>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</si>
  <si>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</si>
  <si>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</si>
  <si>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</si>
  <si>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</si>
  <si>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</si>
  <si>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</si>
  <si>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</si>
  <si>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</si>
  <si>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</si>
  <si>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</si>
  <si>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</si>
  <si>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</si>
  <si>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</si>
  <si>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</si>
  <si>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</si>
  <si>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</si>
  <si>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</si>
  <si>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</si>
  <si>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</si>
  <si>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</si>
  <si>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</si>
  <si>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</si>
  <si>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</si>
  <si>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</si>
  <si>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</si>
  <si>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</si>
  <si>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</si>
  <si>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</si>
  <si>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</si>
  <si>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</si>
  <si>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</si>
  <si>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</si>
  <si>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</si>
  <si>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</si>
  <si>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</si>
  <si>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</si>
  <si>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</si>
  <si>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</si>
  <si>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</si>
  <si>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</si>
  <si>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</si>
  <si>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</si>
  <si>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</si>
  <si>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</si>
  <si>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</si>
  <si>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</si>
  <si>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</si>
  <si>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</si>
  <si>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</si>
  <si>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</si>
  <si>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</si>
  <si>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</si>
  <si>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</si>
  <si>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</si>
  <si>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</si>
  <si>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</si>
  <si>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</si>
  <si>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</si>
  <si>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</si>
  <si>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</si>
  <si>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</si>
  <si>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</si>
  <si>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</si>
  <si>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</si>
  <si>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</si>
  <si>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</si>
  <si>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</si>
  <si>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</si>
  <si>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</si>
  <si>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</si>
  <si>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</si>
  <si>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</si>
  <si>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</si>
  <si>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</si>
  <si>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</si>
  <si>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</si>
  <si>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</si>
  <si>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</si>
  <si>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</si>
  <si>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</si>
  <si>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</si>
  <si>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</si>
  <si>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</si>
  <si>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</si>
  <si>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</si>
  <si>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</si>
  <si>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</si>
  <si>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</si>
  <si>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</si>
  <si>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</si>
  <si>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</si>
  <si>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</si>
  <si>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</si>
  <si>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</si>
  <si>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</si>
  <si>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</si>
  <si>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</si>
  <si>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</si>
  <si>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</si>
  <si>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</si>
  <si>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</si>
  <si>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</si>
  <si>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</si>
  <si>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</si>
  <si>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</si>
  <si>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</si>
  <si>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</si>
  <si>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</si>
  <si>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</si>
  <si>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</si>
  <si>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</si>
  <si>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</si>
  <si>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</si>
  <si>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</si>
  <si>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</si>
  <si>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</si>
  <si>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</si>
  <si>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</si>
  <si>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</si>
  <si>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</si>
  <si>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</si>
  <si>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</si>
  <si>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</si>
  <si>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</si>
  <si>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</si>
  <si>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</si>
  <si>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</si>
  <si>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</si>
  <si>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</si>
  <si>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</si>
  <si>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</si>
  <si>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</si>
  <si>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</si>
  <si>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</si>
  <si>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</si>
  <si>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</si>
  <si>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</si>
  <si>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</si>
  <si>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</si>
  <si>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</si>
  <si>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</si>
  <si>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</si>
  <si>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</si>
  <si>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</si>
  <si>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</si>
  <si>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BENEFICIO_L14299</t>
  </si>
  <si>
    <t>TUSD Outros</t>
  </si>
  <si>
    <t>TUSD_PT</t>
  </si>
  <si>
    <t>TUSD_Per_RB_D</t>
  </si>
  <si>
    <t>TUSD_PNT</t>
  </si>
  <si>
    <t>TUSD_RI</t>
  </si>
  <si>
    <t>TE_CDE_COVID</t>
  </si>
  <si>
    <t>TE_CDE_ELET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</si>
  <si>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</si>
  <si>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</si>
  <si>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</si>
  <si>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</si>
  <si>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</si>
  <si>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</si>
  <si>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</si>
  <si>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</si>
  <si>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 BENEFICIO_L14299</t>
  </si>
  <si>
    <t>TE_Per_RB</t>
  </si>
  <si>
    <t>Baixa Renda</t>
  </si>
  <si>
    <t>Perdas</t>
  </si>
  <si>
    <t xml:space="preserve">TUSD </t>
  </si>
  <si>
    <t xml:space="preserve">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</si>
</sst>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.00_);_(* \(#,##0.00\);_(* &quot;-&quot;??_);_(@_)"/>
    <numFmt numFmtId="165" formatCode="#,##0.00%_);[Red]\(#,##0.00%\)"/>
    <numFmt numFmtId="166" formatCode="#0.00%;[Red]#0.00%"/>
    <numFmt numFmtId="167" formatCode="0.00%_);[Red]\(0.00%\)"/>
    <numFmt numFmtId="168" formatCode="#,##0.00_ ;[Red]\-#,##0.00\ "/>
    <numFmt numFmtId="169" formatCode="#,##0.00;[Red]#,##0.00"/>
  </numFmts>
  <fonts count="14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11"/>
      <color theme="1"/>
      <name val="Calibri"/>
      <family val="2"/>
      <scheme val="minor"/>
    </font>
    <font>
      <b/>
      <sz val="8"/>
      <color theme="8" tint="-0.499984740745262"/>
      <name val="Arial"/>
      <family val="2"/>
    </font>
    <font>
      <sz val="11"/>
      <color theme="8" tint="-0.499984740745262"/>
      <name val="Calibri"/>
      <family val="2"/>
      <scheme val="minor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 style="thin">
        <color indexed="64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7" fillId="0" borderId="0" applyFont="0" applyFill="0" applyBorder="0" applyAlignment="0" applyProtection="0"/>
  </cellStyleXfs>
  <cellXfs count="165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0" fontId="3" fillId="0" borderId="1" xfId="0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40" fontId="3" fillId="0" borderId="8" xfId="0" applyNumberFormat="1" applyFont="1" applyBorder="1" applyAlignment="1">
      <alignment vertical="center"/>
    </xf>
    <xf numFmtId="40" fontId="4" fillId="0" borderId="8" xfId="0" applyNumberFormat="1" applyFont="1" applyBorder="1" applyAlignment="1">
      <alignment horizontal="center" vertical="center"/>
    </xf>
    <xf numFmtId="40" fontId="3" fillId="0" borderId="9" xfId="0" applyNumberFormat="1" applyFont="1" applyBorder="1" applyAlignment="1">
      <alignment vertical="center"/>
    </xf>
    <xf numFmtId="40" fontId="4" fillId="0" borderId="9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left" vertical="center"/>
    </xf>
    <xf numFmtId="40" fontId="3" fillId="0" borderId="13" xfId="0" applyNumberFormat="1" applyFont="1" applyBorder="1" applyAlignment="1">
      <alignment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40" fontId="3" fillId="0" borderId="13" xfId="0" applyNumberFormat="1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40" fontId="4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10" xfId="0" applyBorder="1"/>
    <xf numFmtId="0" fontId="0" fillId="0" borderId="13" xfId="0" applyBorder="1"/>
    <xf numFmtId="0" fontId="2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40" fontId="1" fillId="0" borderId="13" xfId="0" applyNumberFormat="1" applyFont="1" applyBorder="1" applyAlignment="1">
      <alignment horizontal="center" vertical="center"/>
    </xf>
    <xf numFmtId="166" fontId="1" fillId="0" borderId="13" xfId="0" applyNumberFormat="1" applyFont="1" applyBorder="1" applyAlignment="1">
      <alignment horizontal="center" vertical="center"/>
    </xf>
    <xf numFmtId="0" fontId="3" fillId="0" borderId="0" xfId="0" pivotButton="1" applyFont="1"/>
    <xf numFmtId="40" fontId="3" fillId="0" borderId="0" xfId="0" applyNumberFormat="1" applyFont="1"/>
    <xf numFmtId="167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0" fontId="3" fillId="0" borderId="13" xfId="0" applyFont="1" applyBorder="1"/>
    <xf numFmtId="0" fontId="4" fillId="0" borderId="13" xfId="0" applyFont="1" applyBorder="1"/>
    <xf numFmtId="40" fontId="6" fillId="2" borderId="0" xfId="0" applyNumberFormat="1" applyFont="1" applyFill="1" applyAlignment="1">
      <alignment horizontal="center" vertical="center"/>
    </xf>
    <xf numFmtId="40" fontId="1" fillId="2" borderId="0" xfId="0" applyNumberFormat="1" applyFont="1" applyFill="1" applyAlignment="1">
      <alignment horizontal="center" vertical="center"/>
    </xf>
    <xf numFmtId="14" fontId="2" fillId="0" borderId="13" xfId="0" applyNumberFormat="1" applyFont="1" applyBorder="1" applyAlignment="1">
      <alignment horizontal="center" vertical="center"/>
    </xf>
    <xf numFmtId="14" fontId="1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/>
    <xf numFmtId="40" fontId="2" fillId="0" borderId="13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vertical="center"/>
    </xf>
    <xf numFmtId="0" fontId="5" fillId="0" borderId="0" xfId="0" applyFont="1"/>
    <xf numFmtId="40" fontId="0" fillId="0" borderId="0" xfId="0" applyNumberFormat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2" xfId="0" applyBorder="1"/>
    <xf numFmtId="0" fontId="0" fillId="0" borderId="23" xfId="0" applyBorder="1"/>
    <xf numFmtId="164" fontId="0" fillId="0" borderId="18" xfId="1" applyFont="1" applyBorder="1"/>
    <xf numFmtId="164" fontId="0" fillId="0" borderId="22" xfId="1" applyFont="1" applyBorder="1"/>
    <xf numFmtId="164" fontId="0" fillId="0" borderId="13" xfId="1" applyFont="1" applyBorder="1"/>
    <xf numFmtId="164" fontId="0" fillId="0" borderId="23" xfId="1" applyFont="1" applyBorder="1"/>
    <xf numFmtId="164" fontId="0" fillId="0" borderId="20" xfId="1" applyFont="1" applyBorder="1"/>
    <xf numFmtId="164" fontId="0" fillId="0" borderId="24" xfId="1" applyFont="1" applyBorder="1"/>
    <xf numFmtId="164" fontId="0" fillId="0" borderId="10" xfId="1" applyFont="1" applyBorder="1"/>
    <xf numFmtId="164" fontId="0" fillId="0" borderId="25" xfId="1" applyFont="1" applyBorder="1"/>
    <xf numFmtId="0" fontId="0" fillId="0" borderId="25" xfId="0" applyBorder="1"/>
    <xf numFmtId="0" fontId="0" fillId="0" borderId="21" xfId="0" applyBorder="1"/>
    <xf numFmtId="0" fontId="0" fillId="0" borderId="26" xfId="0" applyBorder="1"/>
    <xf numFmtId="0" fontId="0" fillId="0" borderId="27" xfId="0" applyBorder="1"/>
    <xf numFmtId="164" fontId="0" fillId="0" borderId="26" xfId="1" applyFont="1" applyBorder="1"/>
    <xf numFmtId="0" fontId="3" fillId="0" borderId="13" xfId="0" quotePrefix="1" applyFont="1" applyBorder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  <xf numFmtId="0" fontId="0" fillId="0" borderId="0" xfId="0" applyAlignment="1">
      <alignment horizontal="left" indent="5"/>
    </xf>
    <xf numFmtId="0" fontId="0" fillId="0" borderId="0" xfId="0" applyAlignment="1">
      <alignment horizontal="left" indent="6"/>
    </xf>
    <xf numFmtId="0" fontId="0" fillId="0" borderId="0" xfId="0" applyAlignment="1">
      <alignment horizontal="left" indent="7"/>
    </xf>
    <xf numFmtId="14" fontId="0" fillId="0" borderId="0" xfId="0" applyNumberFormat="1" applyAlignment="1">
      <alignment horizontal="left" indent="8"/>
    </xf>
    <xf numFmtId="167" fontId="0" fillId="0" borderId="0" xfId="0" applyNumberFormat="1"/>
    <xf numFmtId="165" fontId="3" fillId="0" borderId="0" xfId="0" applyNumberFormat="1" applyFont="1"/>
    <xf numFmtId="165" fontId="3" fillId="0" borderId="13" xfId="0" applyNumberFormat="1" applyFont="1" applyBorder="1" applyAlignment="1">
      <alignment vertical="center"/>
    </xf>
    <xf numFmtId="40" fontId="3" fillId="0" borderId="13" xfId="0" applyNumberFormat="1" applyFont="1" applyBorder="1" applyAlignment="1">
      <alignment horizontal="left" vertical="center" indent="1"/>
    </xf>
    <xf numFmtId="40" fontId="3" fillId="0" borderId="13" xfId="0" quotePrefix="1" applyNumberFormat="1" applyFont="1" applyBorder="1" applyAlignment="1">
      <alignment horizontal="left" vertical="center" indent="1"/>
    </xf>
    <xf numFmtId="168" fontId="3" fillId="0" borderId="0" xfId="0" applyNumberFormat="1" applyFont="1"/>
    <xf numFmtId="10" fontId="3" fillId="0" borderId="0" xfId="0" applyNumberFormat="1" applyFont="1"/>
    <xf numFmtId="2" fontId="10" fillId="3" borderId="29" xfId="0" applyNumberFormat="1" applyFont="1" applyFill="1" applyBorder="1" applyAlignment="1">
      <alignment horizontal="center" vertical="center"/>
    </xf>
    <xf numFmtId="0" fontId="10" fillId="3" borderId="29" xfId="0" applyFont="1" applyFill="1" applyBorder="1" applyAlignment="1">
      <alignment horizontal="left" vertical="center" indent="1"/>
    </xf>
    <xf numFmtId="4" fontId="10" fillId="4" borderId="0" xfId="0" applyNumberFormat="1" applyFont="1" applyFill="1" applyAlignment="1">
      <alignment vertical="center"/>
    </xf>
    <xf numFmtId="0" fontId="10" fillId="4" borderId="0" xfId="0" applyFont="1" applyFill="1" applyAlignment="1">
      <alignment horizontal="left" vertical="center" indent="1"/>
    </xf>
    <xf numFmtId="10" fontId="10" fillId="3" borderId="0" xfId="0" applyNumberFormat="1" applyFont="1" applyFill="1" applyAlignment="1">
      <alignment vertical="center"/>
    </xf>
    <xf numFmtId="0" fontId="10" fillId="3" borderId="0" xfId="0" applyFont="1" applyFill="1" applyAlignment="1">
      <alignment horizontal="left" vertical="center" indent="1"/>
    </xf>
    <xf numFmtId="10" fontId="10" fillId="4" borderId="0" xfId="0" applyNumberFormat="1" applyFont="1" applyFill="1" applyAlignment="1">
      <alignment vertical="center"/>
    </xf>
    <xf numFmtId="0" fontId="11" fillId="5" borderId="30" xfId="0" applyFont="1" applyFill="1" applyBorder="1" applyAlignment="1">
      <alignment horizontal="center" vertical="center"/>
    </xf>
    <xf numFmtId="40" fontId="10" fillId="3" borderId="29" xfId="0" applyNumberFormat="1" applyFont="1" applyFill="1" applyBorder="1" applyAlignment="1">
      <alignment horizontal="center" vertical="center"/>
    </xf>
    <xf numFmtId="169" fontId="10" fillId="4" borderId="0" xfId="0" applyNumberFormat="1" applyFont="1" applyFill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3" fillId="0" borderId="13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28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40" fontId="3" fillId="0" borderId="8" xfId="0" applyNumberFormat="1" applyFont="1" applyBorder="1" applyAlignment="1">
      <alignment horizontal="left" vertical="center"/>
    </xf>
    <xf numFmtId="0" fontId="3" fillId="0" borderId="1" xfId="0" applyFont="1" applyBorder="1" applyAlignment="1">
      <alignment vertical="center"/>
    </xf>
    <xf numFmtId="40" fontId="4" fillId="0" borderId="10" xfId="0" applyNumberFormat="1" applyFont="1" applyBorder="1" applyAlignment="1">
      <alignment horizontal="center" vertical="center"/>
    </xf>
    <xf numFmtId="40" fontId="5" fillId="0" borderId="11" xfId="0" applyNumberFormat="1" applyFont="1" applyBorder="1" applyAlignment="1">
      <alignment horizontal="center" vertical="center"/>
    </xf>
    <xf numFmtId="40" fontId="5" fillId="0" borderId="12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left" vertical="center"/>
    </xf>
    <xf numFmtId="0" fontId="4" fillId="0" borderId="13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0" fillId="0" borderId="13" xfId="0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14" xfId="0" applyFont="1" applyBorder="1" applyAlignment="1">
      <alignment vertical="center"/>
    </xf>
    <xf numFmtId="0" fontId="0" fillId="0" borderId="14" xfId="0" applyBorder="1" applyAlignment="1">
      <alignment vertical="center"/>
    </xf>
    <xf numFmtId="4" fontId="13" fillId="6" borderId="32" xfId="0" applyNumberFormat="1" applyFont="1" applyFill="1" applyBorder="1"/>
    <xf numFmtId="4" fontId="13" fillId="6" borderId="12" xfId="0" applyNumberFormat="1" applyFont="1" applyFill="1" applyBorder="1"/>
    <xf numFmtId="4" fontId="13" fillId="6" borderId="33" xfId="0" applyNumberFormat="1" applyFont="1" applyFill="1" applyBorder="1"/>
    <xf numFmtId="4" fontId="13" fillId="6" borderId="6" xfId="0" applyNumberFormat="1" applyFont="1" applyFill="1" applyBorder="1"/>
    <xf numFmtId="4" fontId="13" fillId="6" borderId="13" xfId="0" applyNumberFormat="1" applyFont="1" applyFill="1" applyBorder="1"/>
    <xf numFmtId="4" fontId="13" fillId="6" borderId="5" xfId="0" applyNumberFormat="1" applyFont="1" applyFill="1" applyBorder="1"/>
    <xf numFmtId="4" fontId="13" fillId="6" borderId="34" xfId="0" applyNumberFormat="1" applyFont="1" applyFill="1" applyBorder="1"/>
    <xf numFmtId="4" fontId="13" fillId="6" borderId="10" xfId="0" applyNumberFormat="1" applyFont="1" applyFill="1" applyBorder="1"/>
    <xf numFmtId="4" fontId="13" fillId="6" borderId="31" xfId="0" applyNumberFormat="1" applyFont="1" applyFill="1" applyBorder="1"/>
    <xf numFmtId="4" fontId="13" fillId="6" borderId="13" xfId="0" applyNumberFormat="1" applyFont="1" applyFill="1" applyBorder="1" applyAlignment="1">
      <alignment horizontal="center"/>
    </xf>
    <xf numFmtId="4" fontId="13" fillId="6" borderId="5" xfId="0" applyNumberFormat="1" applyFont="1" applyFill="1" applyBorder="1" applyAlignment="1">
      <alignment horizontal="center"/>
    </xf>
    <xf numFmtId="4" fontId="13" fillId="6" borderId="12" xfId="0" applyNumberFormat="1" applyFont="1" applyFill="1" applyBorder="1" applyAlignment="1">
      <alignment horizontal="center"/>
    </xf>
    <xf numFmtId="4" fontId="13" fillId="6" borderId="33" xfId="0" applyNumberFormat="1" applyFont="1" applyFill="1" applyBorder="1" applyAlignment="1">
      <alignment horizontal="center"/>
    </xf>
    <xf numFmtId="4" fontId="13" fillId="6" borderId="33" xfId="0" applyNumberFormat="1" applyFont="1" applyFill="1" applyBorder="1" applyAlignment="1">
      <alignment horizontal="center"/>
    </xf>
    <xf numFmtId="4" fontId="13" fillId="6" borderId="12" xfId="0" applyNumberFormat="1" applyFont="1" applyFill="1" applyBorder="1" applyAlignment="1">
      <alignment horizontal="center"/>
    </xf>
  </cellXfs>
  <cellStyles count="2">
    <cellStyle name="Normal" xfId="0" builtinId="0"/>
    <cellStyle name="Vírgula" xfId="1" builtinId="3"/>
  </cellStyles>
  <dxfs count="1338"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numFmt numFmtId="167" formatCode="0.00%_);[Red]\(0.00%\)"/>
    </dxf>
    <dxf>
      <numFmt numFmtId="167" formatCode="0.00%_);[Red]\(0.00%\)"/>
    </dxf>
    <dxf>
      <numFmt numFmtId="170" formatCode="#,##0.00_);[Red]\(#,##0.00\)"/>
    </dxf>
    <dxf>
      <numFmt numFmtId="170" formatCode="#,##0.00_);[Red]\(#,##0.00\)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70" formatCode="#,##0.00_);[Red]\(#,##0.00\)"/>
    </dxf>
    <dxf>
      <numFmt numFmtId="170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7" formatCode="0.00%_);[Red]\(0.00%\)"/>
    </dxf>
    <dxf>
      <numFmt numFmtId="167" formatCode="0.00%_);[Red]\(0.00%\)"/>
    </dxf>
    <dxf>
      <numFmt numFmtId="170" formatCode="#,##0.00_);[Red]\(#,##0.00\)"/>
    </dxf>
    <dxf>
      <numFmt numFmtId="170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2.xml"/><Relationship Id="rId40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General</c:formatCode>
                <c:ptCount val="22"/>
                <c:pt idx="0">
                  <c:v>-1.16771726838849E-3</c:v>
                </c:pt>
                <c:pt idx="1">
                  <c:v>3.9428482859399166E-4</c:v>
                </c:pt>
                <c:pt idx="2">
                  <c:v>2.1347386150711483E-3</c:v>
                </c:pt>
                <c:pt idx="3">
                  <c:v>0</c:v>
                </c:pt>
                <c:pt idx="4">
                  <c:v>0</c:v>
                </c:pt>
                <c:pt idx="5">
                  <c:v>0.20327522993304301</c:v>
                </c:pt>
                <c:pt idx="6">
                  <c:v>4.1393301310542287E-2</c:v>
                </c:pt>
                <c:pt idx="7">
                  <c:v>0</c:v>
                </c:pt>
                <c:pt idx="8">
                  <c:v>1.9562227821649254E-2</c:v>
                </c:pt>
                <c:pt idx="9">
                  <c:v>-4.0874111113562654E-3</c:v>
                </c:pt>
                <c:pt idx="10">
                  <c:v>3.0150724263605425E-3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6.9115751617170665E-2</c:v>
                </c:pt>
                <c:pt idx="16">
                  <c:v>0</c:v>
                </c:pt>
                <c:pt idx="17">
                  <c:v>0</c:v>
                </c:pt>
                <c:pt idx="18">
                  <c:v>9.7033506807989011E-3</c:v>
                </c:pt>
                <c:pt idx="19">
                  <c:v>1.355996394571322E-5</c:v>
                </c:pt>
                <c:pt idx="20">
                  <c:v>8.6225547753973327E-4</c:v>
                </c:pt>
                <c:pt idx="21">
                  <c:v>-6.1145075127220429E-5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CC-4319-89E5-5545ED4B9294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General</c:formatCode>
                <c:ptCount val="22"/>
                <c:pt idx="0">
                  <c:v>-5.2443757164161017E-3</c:v>
                </c:pt>
                <c:pt idx="1">
                  <c:v>3.9531629947811239E-5</c:v>
                </c:pt>
                <c:pt idx="2">
                  <c:v>1.3046257710843385E-4</c:v>
                </c:pt>
                <c:pt idx="3">
                  <c:v>0</c:v>
                </c:pt>
                <c:pt idx="4">
                  <c:v>0</c:v>
                </c:pt>
                <c:pt idx="5">
                  <c:v>0.37879266048073174</c:v>
                </c:pt>
                <c:pt idx="6">
                  <c:v>0.11239462735455247</c:v>
                </c:pt>
                <c:pt idx="7">
                  <c:v>0</c:v>
                </c:pt>
                <c:pt idx="8">
                  <c:v>3.057463144526492E-2</c:v>
                </c:pt>
                <c:pt idx="9">
                  <c:v>-6.6260914081920147E-3</c:v>
                </c:pt>
                <c:pt idx="10">
                  <c:v>4.6505813319637638E-3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1.3111438555742889E-2</c:v>
                </c:pt>
                <c:pt idx="16">
                  <c:v>0</c:v>
                </c:pt>
                <c:pt idx="17">
                  <c:v>0</c:v>
                </c:pt>
                <c:pt idx="18">
                  <c:v>1.2038455154080892E-4</c:v>
                </c:pt>
                <c:pt idx="19">
                  <c:v>1.5646079526566687E-7</c:v>
                </c:pt>
                <c:pt idx="20">
                  <c:v>1.2434220638768883E-3</c:v>
                </c:pt>
                <c:pt idx="21">
                  <c:v>-1.6397393368529447E-5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CC-4319-89E5-5545ED4B9294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General</c:formatCode>
                <c:ptCount val="22"/>
                <c:pt idx="0">
                  <c:v>-5.2443757164161017E-3</c:v>
                </c:pt>
                <c:pt idx="1">
                  <c:v>3.9531629947811239E-5</c:v>
                </c:pt>
                <c:pt idx="2">
                  <c:v>1.3046257710843385E-4</c:v>
                </c:pt>
                <c:pt idx="3">
                  <c:v>0</c:v>
                </c:pt>
                <c:pt idx="4">
                  <c:v>0</c:v>
                </c:pt>
                <c:pt idx="5">
                  <c:v>0.37879266048073174</c:v>
                </c:pt>
                <c:pt idx="6">
                  <c:v>0.11239462735455247</c:v>
                </c:pt>
                <c:pt idx="7">
                  <c:v>0</c:v>
                </c:pt>
                <c:pt idx="8">
                  <c:v>3.057463144526492E-2</c:v>
                </c:pt>
                <c:pt idx="9">
                  <c:v>-6.6260914081920147E-3</c:v>
                </c:pt>
                <c:pt idx="10">
                  <c:v>4.6505813319637638E-3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1.3111438555742889E-2</c:v>
                </c:pt>
                <c:pt idx="16">
                  <c:v>0</c:v>
                </c:pt>
                <c:pt idx="17">
                  <c:v>0</c:v>
                </c:pt>
                <c:pt idx="18">
                  <c:v>1.2038455154080892E-4</c:v>
                </c:pt>
                <c:pt idx="19">
                  <c:v>1.5646079526566687E-7</c:v>
                </c:pt>
                <c:pt idx="20">
                  <c:v>1.2434220638768883E-3</c:v>
                </c:pt>
                <c:pt idx="21">
                  <c:v>-1.6397393368529447E-5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CC-4319-89E5-5545ED4B9294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15CC-4319-89E5-5545ED4B9294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15CC-4319-89E5-5545ED4B9294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15CC-4319-89E5-5545ED4B9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995696"/>
        <c:axId val="264001936"/>
      </c:radarChart>
      <c:catAx>
        <c:axId val="26399569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64001936"/>
        <c:crosses val="autoZero"/>
        <c:auto val="1"/>
        <c:lblAlgn val="ctr"/>
        <c:lblOffset val="100"/>
        <c:noMultiLvlLbl val="0"/>
      </c:catAx>
      <c:valAx>
        <c:axId val="264001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3995696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TE'!$B$13:$L$13</c:f>
              <c:numCache>
                <c:formatCode>General</c:formatCode>
                <c:ptCount val="11"/>
                <c:pt idx="0">
                  <c:v>4.4956152177260186E-4</c:v>
                </c:pt>
                <c:pt idx="1">
                  <c:v>2.7918976473706506E-2</c:v>
                </c:pt>
                <c:pt idx="2">
                  <c:v>2.1591403917960955E-3</c:v>
                </c:pt>
                <c:pt idx="3">
                  <c:v>4.8660294448205375E-2</c:v>
                </c:pt>
                <c:pt idx="4">
                  <c:v>-6.8093337629037506E-2</c:v>
                </c:pt>
                <c:pt idx="5">
                  <c:v>0.12260161218975021</c:v>
                </c:pt>
                <c:pt idx="6">
                  <c:v>1.0823565356252757E-5</c:v>
                </c:pt>
                <c:pt idx="7">
                  <c:v>-3.7542109891524488E-3</c:v>
                </c:pt>
                <c:pt idx="8">
                  <c:v>0</c:v>
                </c:pt>
                <c:pt idx="9">
                  <c:v>0</c:v>
                </c:pt>
                <c:pt idx="10">
                  <c:v>-3.378383263213003E-4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C9-4E5A-B16A-DA566B90BEF3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TE'!$B$14:$L$14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C9-4E5A-B16A-DA566B90BEF3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TE'!$B$15:$L$15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C9-4E5A-B16A-DA566B90BEF3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36C9-4E5A-B16A-DA566B90BEF3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36C9-4E5A-B16A-DA566B90BEF3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36C9-4E5A-B16A-DA566B90B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446416"/>
        <c:axId val="754441840"/>
      </c:radarChart>
      <c:catAx>
        <c:axId val="75444641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754441840"/>
        <c:crosses val="autoZero"/>
        <c:auto val="1"/>
        <c:lblAlgn val="ctr"/>
        <c:lblOffset val="100"/>
        <c:noMultiLvlLbl val="0"/>
      </c:catAx>
      <c:valAx>
        <c:axId val="754441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54446416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474346</xdr:colOff>
      <xdr:row>17</xdr:row>
      <xdr:rowOff>83820</xdr:rowOff>
    </xdr:from>
    <xdr:to>
      <xdr:col>13</xdr:col>
      <xdr:colOff>228601</xdr:colOff>
      <xdr:row>49</xdr:row>
      <xdr:rowOff>110490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3485CAA-1D15-AD5D-AE26-7F685DF37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588646</xdr:colOff>
      <xdr:row>17</xdr:row>
      <xdr:rowOff>83820</xdr:rowOff>
    </xdr:from>
    <xdr:to>
      <xdr:col>13</xdr:col>
      <xdr:colOff>137161</xdr:colOff>
      <xdr:row>49</xdr:row>
      <xdr:rowOff>110490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D3CC5F6-3E8D-AA15-9CF4-7A6C5D2D7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865.666883101854" createdVersion="5" refreshedVersion="8" minRefreshableVersion="3" recordCount="1156" xr:uid="{582DFFFF-A8F2-4628-87CF-C56211F31915}">
  <cacheSource type="worksheet">
    <worksheetSource name="Efeito"/>
  </cacheSource>
  <cacheFields count="36">
    <cacheField name="TipoMercado" numFmtId="0">
      <sharedItems/>
    </cacheField>
    <cacheField name="Subgrupo" numFmtId="0">
      <sharedItems count="8">
        <s v="A2"/>
        <s v="A3"/>
        <s v="A4"/>
        <s v="AS"/>
        <s v="B1"/>
        <s v="B2"/>
        <s v="B3"/>
        <s v="B4"/>
      </sharedItems>
    </cacheField>
    <cacheField name="Modalidade" numFmtId="0">
      <sharedItems count="5">
        <s v="Azul"/>
        <s v="Geração"/>
        <s v="Verde"/>
        <s v="Branca"/>
        <s v="Convencional"/>
      </sharedItems>
    </cacheField>
    <cacheField name="Classe" numFmtId="0">
      <sharedItems count="9">
        <s v="Industrial"/>
        <s v="Não se aplica"/>
        <s v="Comercial"/>
        <s v="Serviço público"/>
        <s v="Consumo próprio"/>
        <s v="Poder público"/>
        <s v="Rural"/>
        <s v="Residencial"/>
        <s v="Iluminação pública"/>
      </sharedItems>
    </cacheField>
    <cacheField name="Subclasse" numFmtId="0">
      <sharedItems count="8">
        <s v="Não se aplic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Iluminação pública – B4a"/>
      </sharedItems>
    </cacheField>
    <cacheField name="Detalhe" numFmtId="0">
      <sharedItems count="2">
        <s v="Não se aplica"/>
        <s v="Fonte incentivada"/>
      </sharedItems>
    </cacheField>
    <cacheField name="Agente" numFmtId="0">
      <sharedItems count="3">
        <s v="Não se aplica"/>
        <s v="PCH PADRE CARLOS"/>
        <s v="PCH ANTAS 1"/>
      </sharedItems>
    </cacheField>
    <cacheField name="Posto" numFmtId="0">
      <sharedItems count="4">
        <s v="Fora ponta"/>
        <s v="Não se aplica"/>
        <s v="Ponta"/>
        <s v="Intermediário"/>
      </sharedItems>
    </cacheField>
    <cacheField name="AnoMes" numFmtId="14">
      <sharedItems containsSemiMixedTypes="0" containsNonDate="0" containsDate="1" containsString="0" minDate="2021-11-01T00:00:00" maxDate="2022-10-02T00:00:00" count="12"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</sharedItems>
    </cacheField>
    <cacheField name="D" numFmtId="40">
      <sharedItems containsSemiMixedTypes="0" containsString="0" containsNumber="1" containsInteger="1" minValue="-9" maxValue="20000"/>
    </cacheField>
    <cacheField name="Daj" numFmtId="40">
      <sharedItems containsSemiMixedTypes="0" containsString="0" containsNumber="1" minValue="-9" maxValue="20000"/>
    </cacheField>
    <cacheField name="TUSD_E" numFmtId="40">
      <sharedItems containsSemiMixedTypes="0" containsString="0" containsNumber="1" minValue="-22.873999999999999" maxValue="11077.602999999999"/>
    </cacheField>
    <cacheField name="TUSD_Eaj" numFmtId="40">
      <sharedItems containsSemiMixedTypes="0" containsString="0" containsNumber="1" minValue="-22.873999999999999" maxValue="11077.602999999999"/>
    </cacheField>
    <cacheField name="TE_E" numFmtId="40">
      <sharedItems containsSemiMixedTypes="0" containsString="0" containsNumber="1" minValue="-22.873999999999999" maxValue="11077.602999999999"/>
    </cacheField>
    <cacheField name="TE_Eaj" numFmtId="40">
      <sharedItems containsSemiMixedTypes="0" containsString="0" containsNumber="1" minValue="-22.873999999999999" maxValue="11077.602999999999"/>
    </cacheField>
    <cacheField name="UC" numFmtId="40">
      <sharedItems containsSemiMixedTypes="0" containsString="0" containsNumber="1" containsInteger="1" minValue="0" maxValue="69330"/>
    </cacheField>
    <cacheField name="OPÇÃO" numFmtId="0">
      <sharedItems count="3">
        <s v="LIVRE"/>
        <s v="GERAÇÃO"/>
        <s v="CATIVO"/>
      </sharedItems>
    </cacheField>
    <cacheField name="CóD. AUX." numFmtId="0">
      <sharedItems containsSemiMixedTypes="0" containsString="0" containsNumber="1" containsInteger="1" minValue="0" maxValue="27870"/>
    </cacheField>
    <cacheField name="CóD. AUX. TUSD R$/kW" numFmtId="40">
      <sharedItems containsSemiMixedTypes="0" containsString="0" containsNumber="1" containsInteger="1" minValue="0" maxValue="22"/>
    </cacheField>
    <cacheField name="CóD. AUX. TUSD R$/MWh" numFmtId="40">
      <sharedItems containsSemiMixedTypes="0" containsString="0" containsNumber="1" containsInteger="1" minValue="0" maxValue="88"/>
    </cacheField>
    <cacheField name="CóD. AUX. TE R$/MWh" numFmtId="40">
      <sharedItems containsSemiMixedTypes="0" containsString="0" containsNumber="1" containsInteger="1" minValue="0" maxValue="111"/>
    </cacheField>
    <cacheField name="TUSD (R$/kW)" numFmtId="40">
      <sharedItems containsSemiMixedTypes="0" containsString="0" containsNumber="1" minValue="0" maxValue="35.76"/>
    </cacheField>
    <cacheField name="TUSD (R$/MWh)" numFmtId="40">
      <sharedItems containsSemiMixedTypes="0" containsString="0" containsNumber="1" minValue="0" maxValue="1604.46"/>
    </cacheField>
    <cacheField name="TE (R$/MWh)" numFmtId="40">
      <sharedItems containsSemiMixedTypes="0" containsString="0" containsNumber="1" minValue="0" maxValue="442.86"/>
    </cacheField>
    <cacheField name="TUSD (R$/kW) NOVA" numFmtId="40">
      <sharedItems containsString="0" containsBlank="1" containsNumber="1" minValue="3.7327912974361288" maxValue="40.761307833720963"/>
    </cacheField>
    <cacheField name="TUSD (R$/MWh) NOVA" numFmtId="40">
      <sharedItems containsString="0" containsBlank="1" containsNumber="1" minValue="87.609211999145103" maxValue="1874.5731973315721"/>
    </cacheField>
    <cacheField name="TE (R$/MWh) NOVA" numFmtId="40">
      <sharedItems containsString="0" containsBlank="1" containsNumber="1" minValue="108.8353425860564" maxValue="476.88775168498375"/>
    </cacheField>
    <cacheField name="RA0 ou RV - TUSD (kW)" numFmtId="40">
      <sharedItems containsSemiMixedTypes="0" containsString="0" containsNumber="1" minValue="-126" maxValue="450003.83999999997"/>
    </cacheField>
    <cacheField name="RA0 ou RV - TUSD (MWh)" numFmtId="40">
      <sharedItems containsSemiMixedTypes="0" containsString="0" containsNumber="1" minValue="-9044.115310000001" maxValue="3326604.1809"/>
    </cacheField>
    <cacheField name="RA0 ou RV - TE (MWh)" numFmtId="40">
      <sharedItems containsSemiMixedTypes="0" containsString="0" containsNumber="1" minValue="-6687.4426400000002" maxValue="3238648.0130799999"/>
    </cacheField>
    <cacheField name="RA1 ou RRD - TUSD (kW)" numFmtId="40">
      <sharedItems containsSemiMixedTypes="0" containsString="0" containsNumber="1" minValue="-143.33208769088714" maxValue="512940.29777954461"/>
    </cacheField>
    <cacheField name="RA1 ou RRD - TUSD (MWh)" numFmtId="40">
      <sharedItems containsSemiMixedTypes="0" containsString="0" containsNumber="1" minValue="-10659.156563007857" maxValue="4272804.9311705446"/>
    </cacheField>
    <cacheField name="RA1 ou RRD - TE (MWh)" numFmtId="40">
      <sharedItems containsSemiMixedTypes="0" containsString="0" containsNumber="1" minValue="-7112.8560751812975" maxValue="3444670.6215352174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865.667107175927" createdVersion="5" refreshedVersion="8" minRefreshableVersion="3" recordCount="399" xr:uid="{4501F642-48DC-446D-A94B-93D32AB3ECD9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6">
        <s v="A3"/>
        <s v="A4"/>
        <s v="AS"/>
        <s v="B1"/>
        <s v="B2"/>
        <s v="B3"/>
      </sharedItems>
    </cacheField>
    <cacheField name="Modalidade" numFmtId="0">
      <sharedItems count="5">
        <s v="Geração"/>
        <s v="Azul"/>
        <s v="Verde"/>
        <s v="Convencional"/>
        <s v="Branca"/>
      </sharedItems>
    </cacheField>
    <cacheField name="Classe" numFmtId="0">
      <sharedItems count="5">
        <s v="Não se aplica"/>
        <s v="Industrial"/>
        <s v="Serviço público"/>
        <s v="Rural"/>
        <s v="Residencial"/>
      </sharedItems>
    </cacheField>
    <cacheField name="Subclasse" numFmtId="0">
      <sharedItems count="7">
        <s v="Não se aplic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</sharedItems>
    </cacheField>
    <cacheField name="Detalhe" numFmtId="0">
      <sharedItems count="2">
        <s v="Não se aplica"/>
        <s v="Fonte incentivada"/>
      </sharedItems>
    </cacheField>
    <cacheField name="Agente" numFmtId="0">
      <sharedItems count="3">
        <s v="PCH PADRE CARLOS"/>
        <s v="Não se aplica"/>
        <s v="PCH ANTAS 1"/>
      </sharedItems>
    </cacheField>
    <cacheField name="Posto" numFmtId="0">
      <sharedItems count="4">
        <s v="Não se aplica"/>
        <s v="Fora ponta"/>
        <s v="Ponta"/>
        <s v="Intermediário"/>
      </sharedItems>
    </cacheField>
    <cacheField name="AnoMes" numFmtId="14">
      <sharedItems containsSemiMixedTypes="0" containsNonDate="0" containsDate="1" containsString="0" minDate="2021-11-01T00:00:00" maxDate="2022-10-02T00:00:00" count="12"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</sharedItems>
    </cacheField>
    <cacheField name="D" numFmtId="40">
      <sharedItems containsSemiMixedTypes="0" containsString="0" containsNumber="1" containsInteger="1" minValue="0" maxValue="16455"/>
    </cacheField>
    <cacheField name="Daj" numFmtId="40">
      <sharedItems containsSemiMixedTypes="0" containsString="0" containsNumber="1" minValue="0" maxValue="10594.502877200001"/>
    </cacheField>
    <cacheField name="TUSD_E" numFmtId="40">
      <sharedItems containsSemiMixedTypes="0" containsString="0" containsNumber="1" minValue="-2.8610000000000002" maxValue="10420.1"/>
    </cacheField>
    <cacheField name="TUSD_Eaj" numFmtId="40">
      <sharedItems containsSemiMixedTypes="0" containsString="0" containsNumber="1" minValue="-2.8610000000000002" maxValue="10420.1"/>
    </cacheField>
    <cacheField name="TE_E" numFmtId="40">
      <sharedItems containsSemiMixedTypes="0" containsString="0" containsNumber="1" minValue="-2.8610000000000002" maxValue="10420.1"/>
    </cacheField>
    <cacheField name="TE_Eaj" numFmtId="40">
      <sharedItems containsSemiMixedTypes="0" containsString="0" containsNumber="1" minValue="-2.8610000000000002" maxValue="10420.1"/>
    </cacheField>
    <cacheField name="UC" numFmtId="40">
      <sharedItems containsSemiMixedTypes="0" containsString="0" containsNumber="1" containsInteger="1" minValue="0" maxValue="68790"/>
    </cacheField>
    <cacheField name="OPÇÃO" numFmtId="0">
      <sharedItems/>
    </cacheField>
    <cacheField name="CóD. AUX." numFmtId="0">
      <sharedItems containsSemiMixedTypes="0" containsString="0" containsNumber="1" containsInteger="1" minValue="0" maxValue="27870"/>
    </cacheField>
    <cacheField name="CóD. AUX. TUSD R$/kW" numFmtId="0">
      <sharedItems containsSemiMixedTypes="0" containsString="0" containsNumber="1" containsInteger="1" minValue="0" maxValue="22"/>
    </cacheField>
    <cacheField name="CóD. AUX. TUSD R$/MWh" numFmtId="0">
      <sharedItems containsSemiMixedTypes="0" containsString="0" containsNumber="1" containsInteger="1" minValue="0" maxValue="83"/>
    </cacheField>
    <cacheField name="CóD. AUX. TE R$/MWh" numFmtId="0">
      <sharedItems containsSemiMixedTypes="0" containsString="0" containsNumber="1" containsInteger="1" minValue="0" maxValue="111"/>
    </cacheField>
    <cacheField name="TUSD (R$/kW)" numFmtId="40">
      <sharedItems containsSemiMixedTypes="0" containsString="0" containsNumber="1" minValue="0" maxValue="35.76"/>
    </cacheField>
    <cacheField name="TUSD (R$/MWh)" numFmtId="40">
      <sharedItems containsSemiMixedTypes="0" containsString="0" containsNumber="1" minValue="0" maxValue="1604.46"/>
    </cacheField>
    <cacheField name="TE (R$/MWh)" numFmtId="40">
      <sharedItems containsSemiMixedTypes="0" containsString="0" containsNumber="1" minValue="0" maxValue="442.86"/>
    </cacheField>
    <cacheField name="TUSD (R$/kW) NOVA" numFmtId="40">
      <sharedItems containsString="0" containsBlank="1" containsNumber="1" minValue="3.7327912974361288" maxValue="40.761307833720963"/>
    </cacheField>
    <cacheField name="TUSD (R$/MWh) NOVA" numFmtId="40">
      <sharedItems containsString="0" containsBlank="1" containsNumber="1" minValue="89.38817278528839" maxValue="1874.5731973315721"/>
    </cacheField>
    <cacheField name="TE (R$/MWh) NOVA" numFmtId="40">
      <sharedItems containsString="0" containsBlank="1" containsNumber="1" minValue="108.8353425860564" maxValue="476.88775168498375"/>
    </cacheField>
    <cacheField name="SUBSIDIO kW - TV" numFmtId="40">
      <sharedItems containsSemiMixedTypes="0" containsString="0" containsNumber="1" minValue="0" maxValue="277062.20773497841"/>
    </cacheField>
    <cacheField name="SUBSIDIO MWh - TV" numFmtId="40">
      <sharedItems containsSemiMixedTypes="0" containsString="0" containsNumber="1" minValue="-203.50293000000033" maxValue="97100.496018953796"/>
    </cacheField>
    <cacheField name="SUBSIDIO kW - TN" numFmtId="40">
      <sharedItems containsSemiMixedTypes="0" containsString="0" containsNumber="1" minValue="0" maxValue="315811.46360670583"/>
    </cacheField>
    <cacheField name="SUBSIDIO MWh - TN" numFmtId="40">
      <sharedItems containsSemiMixedTypes="0" containsString="0" containsNumber="1" minValue="-119.59102103383496" maxValue="114440.09214116816"/>
    </cacheField>
    <cacheField name="TIPO" numFmtId="0">
      <sharedItems containsBlank="1" count="6">
        <s v="SUBSIDIO GERAÇÃO FONTE INCENTIVADA"/>
        <s v="SUBSIDIO CARGA FONTE INCENTIVADA"/>
        <s v="SUBSIDIO ÁGUA, ESGOTO E SANEAMENTO"/>
        <s v="SUBSIDIO RURAL"/>
        <m/>
        <s v="SUBSIDIO BAIXA RENDA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865.668734027779" createdVersion="8" refreshedVersion="8" minRefreshableVersion="3" recordCount="1156" xr:uid="{2C182D78-64E0-41C4-B00E-99CE7EBDBA67}">
  <cacheSource type="worksheet">
    <worksheetSource name="Efeito4"/>
  </cacheSource>
  <cacheFields count="36">
    <cacheField name="TipoMercado" numFmtId="0">
      <sharedItems/>
    </cacheField>
    <cacheField name="Subgrupo" numFmtId="0">
      <sharedItems count="8">
        <s v="A2"/>
        <s v="A3"/>
        <s v="A4"/>
        <s v="AS"/>
        <s v="B1"/>
        <s v="B2"/>
        <s v="B3"/>
        <s v="B4"/>
      </sharedItems>
    </cacheField>
    <cacheField name="Modalidade" numFmtId="0">
      <sharedItems count="5">
        <s v="Azul"/>
        <s v="Geração"/>
        <s v="Verde"/>
        <s v="Branca"/>
        <s v="Convencional"/>
      </sharedItems>
    </cacheField>
    <cacheField name="Classe" numFmtId="0">
      <sharedItems count="9">
        <s v="Industrial"/>
        <s v="Não se aplica"/>
        <s v="Comercial"/>
        <s v="Serviço público"/>
        <s v="Consumo próprio"/>
        <s v="Poder público"/>
        <s v="Rural"/>
        <s v="Residencial"/>
        <s v="Iluminação pública"/>
      </sharedItems>
    </cacheField>
    <cacheField name="Subclasse" numFmtId="0">
      <sharedItems count="8">
        <s v="Não se aplic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Iluminação pública – B4a"/>
      </sharedItems>
    </cacheField>
    <cacheField name="Detalhe" numFmtId="0">
      <sharedItems count="2">
        <s v="Não se aplica"/>
        <s v="Fonte incentivada"/>
      </sharedItems>
    </cacheField>
    <cacheField name="Agente" numFmtId="0">
      <sharedItems count="3">
        <s v="Não se aplica"/>
        <s v="PCH PADRE CARLOS"/>
        <s v="PCH ANTAS 1"/>
      </sharedItems>
    </cacheField>
    <cacheField name="Posto" numFmtId="0">
      <sharedItems count="4">
        <s v="Fora ponta"/>
        <s v="Não se aplica"/>
        <s v="Ponta"/>
        <s v="Intermediário"/>
      </sharedItems>
    </cacheField>
    <cacheField name="AnoMes" numFmtId="14">
      <sharedItems containsSemiMixedTypes="0" containsNonDate="0" containsDate="1" containsString="0" minDate="2021-11-01T00:00:00" maxDate="2022-10-02T00:00:00" count="12"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</sharedItems>
    </cacheField>
    <cacheField name="D" numFmtId="40">
      <sharedItems containsSemiMixedTypes="0" containsString="0" containsNumber="1" containsInteger="1" minValue="-9" maxValue="20000"/>
    </cacheField>
    <cacheField name="Daj" numFmtId="40">
      <sharedItems containsSemiMixedTypes="0" containsString="0" containsNumber="1" minValue="-9" maxValue="20000"/>
    </cacheField>
    <cacheField name="TUSD_E" numFmtId="40">
      <sharedItems containsSemiMixedTypes="0" containsString="0" containsNumber="1" minValue="-22.873999999999999" maxValue="11077.602999999999"/>
    </cacheField>
    <cacheField name="TUSD_Eaj" numFmtId="40">
      <sharedItems containsSemiMixedTypes="0" containsString="0" containsNumber="1" minValue="-22.873999999999999" maxValue="11077.602999999999"/>
    </cacheField>
    <cacheField name="TE_E" numFmtId="40">
      <sharedItems containsSemiMixedTypes="0" containsString="0" containsNumber="1" minValue="-22.873999999999999" maxValue="11077.602999999999"/>
    </cacheField>
    <cacheField name="TE_Eaj" numFmtId="40">
      <sharedItems containsSemiMixedTypes="0" containsString="0" containsNumber="1" minValue="-22.873999999999999" maxValue="11077.602999999999"/>
    </cacheField>
    <cacheField name="UC" numFmtId="40">
      <sharedItems containsSemiMixedTypes="0" containsString="0" containsNumber="1" containsInteger="1" minValue="0" maxValue="69330"/>
    </cacheField>
    <cacheField name="OPÇÃO" numFmtId="0">
      <sharedItems count="3">
        <s v="LIVRE"/>
        <s v="GERAÇÃO"/>
        <s v="CATIVO"/>
      </sharedItems>
    </cacheField>
    <cacheField name="CóD. AUX." numFmtId="0">
      <sharedItems containsSemiMixedTypes="0" containsString="0" containsNumber="1" containsInteger="1" minValue="0" maxValue="27870"/>
    </cacheField>
    <cacheField name="CóD. AUX. TUSD R$/kW" numFmtId="40">
      <sharedItems containsSemiMixedTypes="0" containsString="0" containsNumber="1" containsInteger="1" minValue="0" maxValue="22"/>
    </cacheField>
    <cacheField name="CóD. AUX. TUSD R$/MWh" numFmtId="40">
      <sharedItems containsSemiMixedTypes="0" containsString="0" containsNumber="1" containsInteger="1" minValue="0" maxValue="88"/>
    </cacheField>
    <cacheField name="CóD. AUX. TE R$/MWh" numFmtId="40">
      <sharedItems containsSemiMixedTypes="0" containsString="0" containsNumber="1" containsInteger="1" minValue="0" maxValue="111"/>
    </cacheField>
    <cacheField name="TUSD (R$/kW)" numFmtId="40">
      <sharedItems containsSemiMixedTypes="0" containsString="0" containsNumber="1" minValue="0" maxValue="35.76"/>
    </cacheField>
    <cacheField name="TUSD (R$/MWh)" numFmtId="40">
      <sharedItems containsSemiMixedTypes="0" containsString="0" containsNumber="1" minValue="0" maxValue="1604.46"/>
    </cacheField>
    <cacheField name="TE (R$/MWh)" numFmtId="40">
      <sharedItems containsSemiMixedTypes="0" containsString="0" containsNumber="1" minValue="0" maxValue="442.86"/>
    </cacheField>
    <cacheField name="TUSD (R$/kW) NOVA" numFmtId="40">
      <sharedItems containsString="0" containsBlank="1" containsNumber="1" minValue="3.7327912974361288" maxValue="40.761307833720963"/>
    </cacheField>
    <cacheField name="TUSD (R$/MWh) NOVA" numFmtId="40">
      <sharedItems containsString="0" containsBlank="1" containsNumber="1" minValue="87.609211999145103" maxValue="1874.5731973315721"/>
    </cacheField>
    <cacheField name="TE (R$/MWh) NOVA" numFmtId="40">
      <sharedItems containsString="0" containsBlank="1" containsNumber="1" minValue="108.8353425860564" maxValue="476.88775168498375"/>
    </cacheField>
    <cacheField name="RA0 ou RV - TUSD (kW)" numFmtId="40">
      <sharedItems containsSemiMixedTypes="0" containsString="0" containsNumber="1" minValue="-126" maxValue="450003.83999999997"/>
    </cacheField>
    <cacheField name="RA0 ou RV - TUSD (MWh)" numFmtId="40">
      <sharedItems containsSemiMixedTypes="0" containsString="0" containsNumber="1" minValue="-9044.115310000001" maxValue="3326604.1809"/>
    </cacheField>
    <cacheField name="RA0 ou RV - TE (MWh)" numFmtId="40">
      <sharedItems containsSemiMixedTypes="0" containsString="0" containsNumber="1" minValue="-6687.4426400000002" maxValue="3238648.0130799999"/>
    </cacheField>
    <cacheField name="RA1 ou RRD - TUSD (kW)" numFmtId="40">
      <sharedItems containsSemiMixedTypes="0" containsString="0" containsNumber="1" minValue="-143.33208769088714" maxValue="512940.29777954461"/>
    </cacheField>
    <cacheField name="RA1 ou RRD - TUSD (MWh)" numFmtId="40">
      <sharedItems containsSemiMixedTypes="0" containsString="0" containsNumber="1" minValue="-10659.156563007857" maxValue="4272804.9311705446"/>
    </cacheField>
    <cacheField name="RA1 ou RRD - TE (MWh)" numFmtId="40">
      <sharedItems containsSemiMixedTypes="0" containsString="0" containsNumber="1" minValue="-7112.8560751812975" maxValue="3444670.6215352174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6">
  <r>
    <s v="Regular"/>
    <x v="0"/>
    <x v="0"/>
    <x v="0"/>
    <x v="0"/>
    <x v="0"/>
    <x v="0"/>
    <x v="0"/>
    <x v="0"/>
    <n v="20000"/>
    <n v="20000"/>
    <n v="0"/>
    <n v="0"/>
    <n v="0"/>
    <n v="0"/>
    <n v="0"/>
    <x v="0"/>
    <n v="0"/>
    <n v="19"/>
    <n v="0"/>
    <n v="0"/>
    <n v="6.93"/>
    <n v="0"/>
    <n v="0"/>
    <n v="7.8487309701282237"/>
    <n v="87.609211999145103"/>
    <m/>
    <n v="138600"/>
    <n v="0"/>
    <n v="0"/>
    <n v="156974.61940256448"/>
    <n v="0"/>
    <n v="0"/>
  </r>
  <r>
    <s v="Regular"/>
    <x v="0"/>
    <x v="0"/>
    <x v="0"/>
    <x v="0"/>
    <x v="0"/>
    <x v="0"/>
    <x v="0"/>
    <x v="1"/>
    <n v="20000"/>
    <n v="20000"/>
    <n v="0"/>
    <n v="0"/>
    <n v="0"/>
    <n v="0"/>
    <n v="0"/>
    <x v="0"/>
    <n v="0"/>
    <n v="19"/>
    <n v="0"/>
    <n v="0"/>
    <n v="6.93"/>
    <n v="0"/>
    <n v="0"/>
    <n v="7.8487309701282237"/>
    <n v="87.609211999145103"/>
    <m/>
    <n v="138600"/>
    <n v="0"/>
    <n v="0"/>
    <n v="156974.61940256448"/>
    <n v="0"/>
    <n v="0"/>
  </r>
  <r>
    <s v="Regular"/>
    <x v="0"/>
    <x v="0"/>
    <x v="0"/>
    <x v="0"/>
    <x v="0"/>
    <x v="0"/>
    <x v="0"/>
    <x v="2"/>
    <n v="20000"/>
    <n v="20000"/>
    <n v="0"/>
    <n v="0"/>
    <n v="0"/>
    <n v="0"/>
    <n v="0"/>
    <x v="0"/>
    <n v="0"/>
    <n v="19"/>
    <n v="0"/>
    <n v="0"/>
    <n v="6.93"/>
    <n v="0"/>
    <n v="0"/>
    <n v="7.8487309701282237"/>
    <n v="87.609211999145103"/>
    <m/>
    <n v="138600"/>
    <n v="0"/>
    <n v="0"/>
    <n v="156974.61940256448"/>
    <n v="0"/>
    <n v="0"/>
  </r>
  <r>
    <s v="Regular"/>
    <x v="0"/>
    <x v="0"/>
    <x v="0"/>
    <x v="0"/>
    <x v="0"/>
    <x v="0"/>
    <x v="0"/>
    <x v="3"/>
    <n v="20000"/>
    <n v="20000"/>
    <n v="0"/>
    <n v="0"/>
    <n v="0"/>
    <n v="0"/>
    <n v="0"/>
    <x v="0"/>
    <n v="0"/>
    <n v="19"/>
    <n v="0"/>
    <n v="0"/>
    <n v="6.93"/>
    <n v="0"/>
    <n v="0"/>
    <n v="7.8487309701282237"/>
    <n v="87.609211999145103"/>
    <m/>
    <n v="138600"/>
    <n v="0"/>
    <n v="0"/>
    <n v="156974.61940256448"/>
    <n v="0"/>
    <n v="0"/>
  </r>
  <r>
    <s v="Regular"/>
    <x v="0"/>
    <x v="0"/>
    <x v="0"/>
    <x v="0"/>
    <x v="0"/>
    <x v="0"/>
    <x v="0"/>
    <x v="4"/>
    <n v="20000"/>
    <n v="20000"/>
    <n v="0"/>
    <n v="0"/>
    <n v="0"/>
    <n v="0"/>
    <n v="0"/>
    <x v="0"/>
    <n v="0"/>
    <n v="19"/>
    <n v="0"/>
    <n v="0"/>
    <n v="6.93"/>
    <n v="0"/>
    <n v="0"/>
    <n v="7.8487309701282237"/>
    <n v="87.609211999145103"/>
    <m/>
    <n v="138600"/>
    <n v="0"/>
    <n v="0"/>
    <n v="156974.61940256448"/>
    <n v="0"/>
    <n v="0"/>
  </r>
  <r>
    <s v="Regular"/>
    <x v="0"/>
    <x v="0"/>
    <x v="0"/>
    <x v="0"/>
    <x v="0"/>
    <x v="0"/>
    <x v="0"/>
    <x v="5"/>
    <n v="20000"/>
    <n v="20000"/>
    <n v="0"/>
    <n v="0"/>
    <n v="0"/>
    <n v="0"/>
    <n v="0"/>
    <x v="0"/>
    <n v="0"/>
    <n v="19"/>
    <n v="0"/>
    <n v="0"/>
    <n v="6.93"/>
    <n v="0"/>
    <n v="0"/>
    <n v="7.8487309701282237"/>
    <n v="87.609211999145103"/>
    <m/>
    <n v="138600"/>
    <n v="0"/>
    <n v="0"/>
    <n v="156974.61940256448"/>
    <n v="0"/>
    <n v="0"/>
  </r>
  <r>
    <s v="Regular"/>
    <x v="0"/>
    <x v="0"/>
    <x v="0"/>
    <x v="0"/>
    <x v="0"/>
    <x v="0"/>
    <x v="0"/>
    <x v="6"/>
    <n v="20000"/>
    <n v="20000"/>
    <n v="0"/>
    <n v="0"/>
    <n v="0"/>
    <n v="0"/>
    <n v="0"/>
    <x v="0"/>
    <n v="0"/>
    <n v="19"/>
    <n v="0"/>
    <n v="0"/>
    <n v="6.93"/>
    <n v="0"/>
    <n v="0"/>
    <n v="7.8487309701282237"/>
    <n v="87.609211999145103"/>
    <m/>
    <n v="138600"/>
    <n v="0"/>
    <n v="0"/>
    <n v="156974.61940256448"/>
    <n v="0"/>
    <n v="0"/>
  </r>
  <r>
    <s v="Regular"/>
    <x v="0"/>
    <x v="0"/>
    <x v="0"/>
    <x v="0"/>
    <x v="0"/>
    <x v="0"/>
    <x v="0"/>
    <x v="7"/>
    <n v="20000"/>
    <n v="20000"/>
    <n v="0"/>
    <n v="0"/>
    <n v="0"/>
    <n v="0"/>
    <n v="0"/>
    <x v="0"/>
    <n v="0"/>
    <n v="19"/>
    <n v="0"/>
    <n v="0"/>
    <n v="6.93"/>
    <n v="0"/>
    <n v="0"/>
    <n v="7.8487309701282237"/>
    <n v="87.609211999145103"/>
    <m/>
    <n v="138600"/>
    <n v="0"/>
    <n v="0"/>
    <n v="156974.61940256448"/>
    <n v="0"/>
    <n v="0"/>
  </r>
  <r>
    <s v="Regular"/>
    <x v="0"/>
    <x v="0"/>
    <x v="0"/>
    <x v="0"/>
    <x v="0"/>
    <x v="0"/>
    <x v="0"/>
    <x v="8"/>
    <n v="20000"/>
    <n v="20000"/>
    <n v="0"/>
    <n v="0"/>
    <n v="0"/>
    <n v="0"/>
    <n v="0"/>
    <x v="0"/>
    <n v="0"/>
    <n v="19"/>
    <n v="0"/>
    <n v="0"/>
    <n v="6.93"/>
    <n v="0"/>
    <n v="0"/>
    <n v="7.8487309701282237"/>
    <n v="87.609211999145103"/>
    <m/>
    <n v="138600"/>
    <n v="0"/>
    <n v="0"/>
    <n v="156974.61940256448"/>
    <n v="0"/>
    <n v="0"/>
  </r>
  <r>
    <s v="Regular"/>
    <x v="0"/>
    <x v="0"/>
    <x v="0"/>
    <x v="0"/>
    <x v="0"/>
    <x v="0"/>
    <x v="0"/>
    <x v="9"/>
    <n v="20000"/>
    <n v="20000"/>
    <n v="0"/>
    <n v="0"/>
    <n v="0"/>
    <n v="0"/>
    <n v="0"/>
    <x v="0"/>
    <n v="0"/>
    <n v="19"/>
    <n v="0"/>
    <n v="0"/>
    <n v="6.93"/>
    <n v="0"/>
    <n v="0"/>
    <n v="7.8487309701282237"/>
    <n v="87.609211999145103"/>
    <m/>
    <n v="138600"/>
    <n v="0"/>
    <n v="0"/>
    <n v="156974.61940256448"/>
    <n v="0"/>
    <n v="0"/>
  </r>
  <r>
    <s v="Regular"/>
    <x v="0"/>
    <x v="0"/>
    <x v="0"/>
    <x v="0"/>
    <x v="0"/>
    <x v="0"/>
    <x v="0"/>
    <x v="10"/>
    <n v="20000"/>
    <n v="20000"/>
    <n v="0"/>
    <n v="0"/>
    <n v="0"/>
    <n v="0"/>
    <n v="0"/>
    <x v="0"/>
    <n v="0"/>
    <n v="19"/>
    <n v="0"/>
    <n v="0"/>
    <n v="6.93"/>
    <n v="0"/>
    <n v="0"/>
    <n v="7.8487309701282237"/>
    <n v="87.609211999145103"/>
    <m/>
    <n v="138600"/>
    <n v="0"/>
    <n v="0"/>
    <n v="156974.61940256448"/>
    <n v="0"/>
    <n v="0"/>
  </r>
  <r>
    <s v="PROJETADO"/>
    <x v="0"/>
    <x v="0"/>
    <x v="0"/>
    <x v="0"/>
    <x v="0"/>
    <x v="0"/>
    <x v="0"/>
    <x v="11"/>
    <n v="20000"/>
    <n v="20000"/>
    <n v="0"/>
    <n v="0"/>
    <n v="0"/>
    <n v="0"/>
    <n v="0"/>
    <x v="0"/>
    <n v="0"/>
    <n v="19"/>
    <n v="0"/>
    <n v="0"/>
    <n v="6.93"/>
    <n v="0"/>
    <n v="0"/>
    <n v="7.8487309701282237"/>
    <n v="87.609211999145103"/>
    <m/>
    <n v="138600"/>
    <n v="0"/>
    <n v="0"/>
    <n v="156974.61940256448"/>
    <n v="0"/>
    <n v="0"/>
  </r>
  <r>
    <s v="Regular"/>
    <x v="0"/>
    <x v="0"/>
    <x v="0"/>
    <x v="0"/>
    <x v="0"/>
    <x v="0"/>
    <x v="1"/>
    <x v="0"/>
    <n v="0"/>
    <n v="0"/>
    <n v="10131.893"/>
    <n v="10131.893"/>
    <n v="0"/>
    <n v="0"/>
    <n v="2"/>
    <x v="0"/>
    <n v="0"/>
    <n v="0"/>
    <n v="5"/>
    <n v="0"/>
    <n v="0"/>
    <n v="53.89"/>
    <n v="0"/>
    <m/>
    <n v="87.609211999145103"/>
    <m/>
    <n v="0"/>
    <n v="546007.71377000003"/>
    <n v="0"/>
    <n v="0"/>
    <n v="887647.16178965429"/>
    <n v="0"/>
  </r>
  <r>
    <s v="Regular"/>
    <x v="0"/>
    <x v="0"/>
    <x v="0"/>
    <x v="0"/>
    <x v="0"/>
    <x v="0"/>
    <x v="1"/>
    <x v="1"/>
    <n v="0"/>
    <n v="0"/>
    <n v="10632.441000000001"/>
    <n v="10632.441000000001"/>
    <n v="0"/>
    <n v="0"/>
    <n v="2"/>
    <x v="0"/>
    <n v="0"/>
    <n v="0"/>
    <n v="5"/>
    <n v="0"/>
    <n v="0"/>
    <n v="53.89"/>
    <n v="0"/>
    <m/>
    <n v="87.609211999145103"/>
    <m/>
    <n v="0"/>
    <n v="572982.24549"/>
    <n v="0"/>
    <n v="0"/>
    <n v="931499.77763740241"/>
    <n v="0"/>
  </r>
  <r>
    <s v="Regular"/>
    <x v="0"/>
    <x v="0"/>
    <x v="0"/>
    <x v="0"/>
    <x v="0"/>
    <x v="0"/>
    <x v="1"/>
    <x v="2"/>
    <n v="0"/>
    <n v="0"/>
    <n v="9972.9570000000003"/>
    <n v="9972.9570000000003"/>
    <n v="0"/>
    <n v="0"/>
    <n v="2"/>
    <x v="0"/>
    <n v="0"/>
    <n v="0"/>
    <n v="5"/>
    <n v="0"/>
    <n v="0"/>
    <n v="53.89"/>
    <n v="0"/>
    <m/>
    <n v="87.609211999145103"/>
    <m/>
    <n v="0"/>
    <n v="537442.65272999997"/>
    <n v="0"/>
    <n v="0"/>
    <n v="873722.90407135815"/>
    <n v="0"/>
  </r>
  <r>
    <s v="Regular"/>
    <x v="0"/>
    <x v="0"/>
    <x v="0"/>
    <x v="0"/>
    <x v="0"/>
    <x v="0"/>
    <x v="1"/>
    <x v="3"/>
    <n v="0"/>
    <n v="0"/>
    <n v="9123.6839999999993"/>
    <n v="9123.6839999999993"/>
    <n v="0"/>
    <n v="0"/>
    <n v="2"/>
    <x v="0"/>
    <n v="0"/>
    <n v="0"/>
    <n v="5"/>
    <n v="0"/>
    <n v="0"/>
    <n v="53.89"/>
    <n v="0"/>
    <m/>
    <n v="87.609211999145103"/>
    <m/>
    <n v="0"/>
    <n v="491675.33075999998"/>
    <n v="0"/>
    <n v="0"/>
    <n v="799318.76576920808"/>
    <n v="0"/>
  </r>
  <r>
    <s v="Regular"/>
    <x v="0"/>
    <x v="0"/>
    <x v="0"/>
    <x v="0"/>
    <x v="0"/>
    <x v="0"/>
    <x v="1"/>
    <x v="4"/>
    <n v="0"/>
    <n v="0"/>
    <n v="9503.9590000000007"/>
    <n v="9503.9590000000007"/>
    <n v="0"/>
    <n v="0"/>
    <n v="2"/>
    <x v="0"/>
    <n v="0"/>
    <n v="0"/>
    <n v="5"/>
    <n v="0"/>
    <n v="0"/>
    <n v="53.89"/>
    <n v="0"/>
    <m/>
    <n v="87.609211999145103"/>
    <m/>
    <n v="0"/>
    <n v="512168.35051000002"/>
    <n v="0"/>
    <n v="0"/>
    <n v="832634.35886218317"/>
    <n v="0"/>
  </r>
  <r>
    <s v="Regular"/>
    <x v="0"/>
    <x v="0"/>
    <x v="0"/>
    <x v="0"/>
    <x v="0"/>
    <x v="0"/>
    <x v="1"/>
    <x v="5"/>
    <n v="0"/>
    <n v="0"/>
    <n v="10428.375"/>
    <n v="10428.375"/>
    <n v="0"/>
    <n v="0"/>
    <n v="2"/>
    <x v="0"/>
    <n v="0"/>
    <n v="0"/>
    <n v="5"/>
    <n v="0"/>
    <n v="0"/>
    <n v="53.89"/>
    <n v="0"/>
    <m/>
    <n v="87.609211999145103"/>
    <m/>
    <n v="0"/>
    <n v="561985.12875000003"/>
    <n v="0"/>
    <n v="0"/>
    <n v="913621.71618158487"/>
    <n v="0"/>
  </r>
  <r>
    <s v="Regular"/>
    <x v="0"/>
    <x v="0"/>
    <x v="0"/>
    <x v="0"/>
    <x v="0"/>
    <x v="0"/>
    <x v="1"/>
    <x v="6"/>
    <n v="0"/>
    <n v="0"/>
    <n v="10358.606"/>
    <n v="10358.606"/>
    <n v="0"/>
    <n v="0"/>
    <n v="2"/>
    <x v="0"/>
    <n v="0"/>
    <n v="0"/>
    <n v="5"/>
    <n v="0"/>
    <n v="0"/>
    <n v="53.89"/>
    <n v="0"/>
    <m/>
    <n v="87.609211999145103"/>
    <m/>
    <n v="0"/>
    <n v="558225.27734000003"/>
    <n v="0"/>
    <n v="0"/>
    <n v="907509.30906961649"/>
    <n v="0"/>
  </r>
  <r>
    <s v="Regular"/>
    <x v="0"/>
    <x v="0"/>
    <x v="0"/>
    <x v="0"/>
    <x v="0"/>
    <x v="0"/>
    <x v="1"/>
    <x v="7"/>
    <n v="0"/>
    <n v="0"/>
    <n v="8996.8760000000002"/>
    <n v="8996.8760000000002"/>
    <n v="0"/>
    <n v="0"/>
    <n v="2"/>
    <x v="0"/>
    <n v="0"/>
    <n v="0"/>
    <n v="5"/>
    <n v="0"/>
    <n v="0"/>
    <n v="53.89"/>
    <n v="0"/>
    <m/>
    <n v="87.609211999145103"/>
    <m/>
    <n v="0"/>
    <n v="484841.64764000004"/>
    <n v="0"/>
    <n v="0"/>
    <n v="788209.21681402065"/>
    <n v="0"/>
  </r>
  <r>
    <s v="Regular"/>
    <x v="0"/>
    <x v="0"/>
    <x v="0"/>
    <x v="0"/>
    <x v="0"/>
    <x v="0"/>
    <x v="1"/>
    <x v="8"/>
    <n v="0"/>
    <n v="0"/>
    <n v="8481.1679999999997"/>
    <n v="8481.1679999999997"/>
    <n v="0"/>
    <n v="0"/>
    <n v="2"/>
    <x v="0"/>
    <n v="0"/>
    <n v="0"/>
    <n v="5"/>
    <n v="0"/>
    <n v="0"/>
    <n v="53.89"/>
    <n v="0"/>
    <m/>
    <n v="87.609211999145103"/>
    <m/>
    <n v="0"/>
    <n v="457050.14351999998"/>
    <n v="0"/>
    <n v="0"/>
    <n v="743028.44531236542"/>
    <n v="0"/>
  </r>
  <r>
    <s v="Regular"/>
    <x v="0"/>
    <x v="0"/>
    <x v="0"/>
    <x v="0"/>
    <x v="0"/>
    <x v="0"/>
    <x v="1"/>
    <x v="9"/>
    <n v="0"/>
    <n v="0"/>
    <n v="9729.9449999999997"/>
    <n v="9729.9449999999997"/>
    <n v="0"/>
    <n v="0"/>
    <n v="2"/>
    <x v="0"/>
    <n v="0"/>
    <n v="0"/>
    <n v="5"/>
    <n v="0"/>
    <n v="0"/>
    <n v="53.89"/>
    <n v="0"/>
    <m/>
    <n v="87.609211999145103"/>
    <m/>
    <n v="0"/>
    <n v="524346.73604999995"/>
    <n v="0"/>
    <n v="0"/>
    <n v="852432.8142450219"/>
    <n v="0"/>
  </r>
  <r>
    <s v="Regular"/>
    <x v="0"/>
    <x v="0"/>
    <x v="0"/>
    <x v="0"/>
    <x v="0"/>
    <x v="0"/>
    <x v="1"/>
    <x v="10"/>
    <n v="0"/>
    <n v="0"/>
    <n v="10177.634"/>
    <n v="10177.634"/>
    <n v="0"/>
    <n v="0"/>
    <n v="2"/>
    <x v="0"/>
    <n v="0"/>
    <n v="0"/>
    <n v="5"/>
    <n v="0"/>
    <n v="0"/>
    <n v="53.89"/>
    <n v="0"/>
    <m/>
    <n v="87.609211999145103"/>
    <m/>
    <n v="0"/>
    <n v="548472.69626"/>
    <n v="0"/>
    <n v="0"/>
    <n v="891654.49475570722"/>
    <n v="0"/>
  </r>
  <r>
    <s v="PROJETADO"/>
    <x v="0"/>
    <x v="0"/>
    <x v="0"/>
    <x v="0"/>
    <x v="0"/>
    <x v="0"/>
    <x v="1"/>
    <x v="11"/>
    <n v="0"/>
    <n v="0"/>
    <n v="10177.634"/>
    <n v="10177.634"/>
    <n v="0"/>
    <n v="0"/>
    <n v="2"/>
    <x v="0"/>
    <n v="0"/>
    <n v="0"/>
    <n v="5"/>
    <n v="0"/>
    <n v="0"/>
    <n v="53.89"/>
    <n v="0"/>
    <m/>
    <n v="87.609211999145103"/>
    <m/>
    <n v="0"/>
    <n v="548472.69626"/>
    <n v="0"/>
    <n v="0"/>
    <n v="891654.49475570722"/>
    <n v="0"/>
  </r>
  <r>
    <s v="Regular"/>
    <x v="0"/>
    <x v="0"/>
    <x v="0"/>
    <x v="0"/>
    <x v="0"/>
    <x v="0"/>
    <x v="2"/>
    <x v="0"/>
    <n v="3738"/>
    <n v="3738"/>
    <n v="0"/>
    <n v="0"/>
    <n v="0"/>
    <n v="0"/>
    <n v="0"/>
    <x v="0"/>
    <n v="0"/>
    <n v="16"/>
    <n v="0"/>
    <n v="0"/>
    <n v="18.52"/>
    <n v="0"/>
    <n v="0"/>
    <n v="21.062137082578289"/>
    <n v="87.609211999145103"/>
    <m/>
    <n v="69227.759999999995"/>
    <n v="0"/>
    <n v="0"/>
    <n v="78730.268414677645"/>
    <n v="0"/>
    <n v="0"/>
  </r>
  <r>
    <s v="Regular"/>
    <x v="0"/>
    <x v="0"/>
    <x v="0"/>
    <x v="0"/>
    <x v="0"/>
    <x v="0"/>
    <x v="2"/>
    <x v="1"/>
    <n v="3883"/>
    <n v="3883"/>
    <n v="0"/>
    <n v="0"/>
    <n v="0"/>
    <n v="0"/>
    <n v="0"/>
    <x v="0"/>
    <n v="0"/>
    <n v="16"/>
    <n v="0"/>
    <n v="0"/>
    <n v="18.52"/>
    <n v="0"/>
    <n v="0"/>
    <n v="21.062137082578289"/>
    <n v="87.609211999145103"/>
    <m/>
    <n v="71913.16"/>
    <n v="0"/>
    <n v="0"/>
    <n v="81784.278291651499"/>
    <n v="0"/>
    <n v="0"/>
  </r>
  <r>
    <s v="Regular"/>
    <x v="0"/>
    <x v="0"/>
    <x v="0"/>
    <x v="0"/>
    <x v="0"/>
    <x v="0"/>
    <x v="2"/>
    <x v="2"/>
    <n v="3945"/>
    <n v="3945"/>
    <n v="0"/>
    <n v="0"/>
    <n v="0"/>
    <n v="0"/>
    <n v="0"/>
    <x v="0"/>
    <n v="0"/>
    <n v="16"/>
    <n v="0"/>
    <n v="0"/>
    <n v="18.52"/>
    <n v="0"/>
    <n v="0"/>
    <n v="21.062137082578289"/>
    <n v="87.609211999145103"/>
    <m/>
    <n v="73061.399999999994"/>
    <n v="0"/>
    <n v="0"/>
    <n v="83090.130790771349"/>
    <n v="0"/>
    <n v="0"/>
  </r>
  <r>
    <s v="Regular"/>
    <x v="0"/>
    <x v="0"/>
    <x v="0"/>
    <x v="0"/>
    <x v="0"/>
    <x v="0"/>
    <x v="2"/>
    <x v="3"/>
    <n v="3794"/>
    <n v="3794"/>
    <n v="0"/>
    <n v="0"/>
    <n v="0"/>
    <n v="0"/>
    <n v="0"/>
    <x v="0"/>
    <n v="0"/>
    <n v="16"/>
    <n v="0"/>
    <n v="0"/>
    <n v="18.52"/>
    <n v="0"/>
    <n v="0"/>
    <n v="21.062137082578289"/>
    <n v="87.609211999145103"/>
    <m/>
    <n v="70264.88"/>
    <n v="0"/>
    <n v="0"/>
    <n v="79909.748091302026"/>
    <n v="0"/>
    <n v="0"/>
  </r>
  <r>
    <s v="Regular"/>
    <x v="0"/>
    <x v="0"/>
    <x v="0"/>
    <x v="0"/>
    <x v="0"/>
    <x v="0"/>
    <x v="2"/>
    <x v="4"/>
    <n v="3700"/>
    <n v="3700"/>
    <n v="0"/>
    <n v="0"/>
    <n v="0"/>
    <n v="0"/>
    <n v="0"/>
    <x v="0"/>
    <n v="0"/>
    <n v="16"/>
    <n v="0"/>
    <n v="0"/>
    <n v="18.52"/>
    <n v="0"/>
    <n v="0"/>
    <n v="21.062137082578289"/>
    <n v="87.609211999145103"/>
    <m/>
    <n v="68524"/>
    <n v="0"/>
    <n v="0"/>
    <n v="77929.907205539668"/>
    <n v="0"/>
    <n v="0"/>
  </r>
  <r>
    <s v="Regular"/>
    <x v="0"/>
    <x v="0"/>
    <x v="0"/>
    <x v="0"/>
    <x v="0"/>
    <x v="0"/>
    <x v="2"/>
    <x v="5"/>
    <n v="3700"/>
    <n v="3700"/>
    <n v="0"/>
    <n v="0"/>
    <n v="0"/>
    <n v="0"/>
    <n v="0"/>
    <x v="0"/>
    <n v="0"/>
    <n v="16"/>
    <n v="0"/>
    <n v="0"/>
    <n v="18.52"/>
    <n v="0"/>
    <n v="0"/>
    <n v="21.062137082578289"/>
    <n v="87.609211999145103"/>
    <m/>
    <n v="68524"/>
    <n v="0"/>
    <n v="0"/>
    <n v="77929.907205539668"/>
    <n v="0"/>
    <n v="0"/>
  </r>
  <r>
    <s v="Regular"/>
    <x v="0"/>
    <x v="0"/>
    <x v="0"/>
    <x v="0"/>
    <x v="0"/>
    <x v="0"/>
    <x v="2"/>
    <x v="6"/>
    <n v="3700"/>
    <n v="3700"/>
    <n v="0"/>
    <n v="0"/>
    <n v="0"/>
    <n v="0"/>
    <n v="0"/>
    <x v="0"/>
    <n v="0"/>
    <n v="16"/>
    <n v="0"/>
    <n v="0"/>
    <n v="18.52"/>
    <n v="0"/>
    <n v="0"/>
    <n v="21.062137082578289"/>
    <n v="87.609211999145103"/>
    <m/>
    <n v="68524"/>
    <n v="0"/>
    <n v="0"/>
    <n v="77929.907205539668"/>
    <n v="0"/>
    <n v="0"/>
  </r>
  <r>
    <s v="Regular"/>
    <x v="0"/>
    <x v="0"/>
    <x v="0"/>
    <x v="0"/>
    <x v="0"/>
    <x v="0"/>
    <x v="2"/>
    <x v="7"/>
    <n v="3717"/>
    <n v="3717"/>
    <n v="0"/>
    <n v="0"/>
    <n v="0"/>
    <n v="0"/>
    <n v="0"/>
    <x v="0"/>
    <n v="0"/>
    <n v="16"/>
    <n v="0"/>
    <n v="0"/>
    <n v="18.52"/>
    <n v="0"/>
    <n v="0"/>
    <n v="21.062137082578289"/>
    <n v="87.609211999145103"/>
    <m/>
    <n v="68838.84"/>
    <n v="0"/>
    <n v="0"/>
    <n v="78287.963535943505"/>
    <n v="0"/>
    <n v="0"/>
  </r>
  <r>
    <s v="Regular"/>
    <x v="0"/>
    <x v="0"/>
    <x v="0"/>
    <x v="0"/>
    <x v="0"/>
    <x v="0"/>
    <x v="2"/>
    <x v="8"/>
    <n v="3706"/>
    <n v="3706"/>
    <n v="0"/>
    <n v="0"/>
    <n v="0"/>
    <n v="0"/>
    <n v="0"/>
    <x v="0"/>
    <n v="0"/>
    <n v="16"/>
    <n v="0"/>
    <n v="0"/>
    <n v="18.52"/>
    <n v="0"/>
    <n v="0"/>
    <n v="21.062137082578289"/>
    <n v="87.609211999145103"/>
    <m/>
    <n v="68635.12"/>
    <n v="0"/>
    <n v="0"/>
    <n v="78056.280028035137"/>
    <n v="0"/>
    <n v="0"/>
  </r>
  <r>
    <s v="Regular"/>
    <x v="0"/>
    <x v="0"/>
    <x v="0"/>
    <x v="0"/>
    <x v="0"/>
    <x v="0"/>
    <x v="2"/>
    <x v="9"/>
    <n v="3741"/>
    <n v="3741"/>
    <n v="0"/>
    <n v="0"/>
    <n v="0"/>
    <n v="0"/>
    <n v="0"/>
    <x v="0"/>
    <n v="0"/>
    <n v="16"/>
    <n v="0"/>
    <n v="0"/>
    <n v="18.52"/>
    <n v="0"/>
    <n v="0"/>
    <n v="21.062137082578289"/>
    <n v="87.609211999145103"/>
    <m/>
    <n v="69283.319999999992"/>
    <n v="0"/>
    <n v="0"/>
    <n v="78793.454825925379"/>
    <n v="0"/>
    <n v="0"/>
  </r>
  <r>
    <s v="Regular"/>
    <x v="0"/>
    <x v="0"/>
    <x v="0"/>
    <x v="0"/>
    <x v="0"/>
    <x v="0"/>
    <x v="2"/>
    <x v="10"/>
    <n v="3792"/>
    <n v="3792"/>
    <n v="0"/>
    <n v="0"/>
    <n v="0"/>
    <n v="0"/>
    <n v="0"/>
    <x v="0"/>
    <n v="0"/>
    <n v="16"/>
    <n v="0"/>
    <n v="0"/>
    <n v="18.52"/>
    <n v="0"/>
    <n v="0"/>
    <n v="21.062137082578289"/>
    <n v="87.609211999145103"/>
    <m/>
    <n v="70227.839999999997"/>
    <n v="0"/>
    <n v="0"/>
    <n v="79867.623817136875"/>
    <n v="0"/>
    <n v="0"/>
  </r>
  <r>
    <s v="PROJETADO"/>
    <x v="0"/>
    <x v="0"/>
    <x v="0"/>
    <x v="0"/>
    <x v="0"/>
    <x v="0"/>
    <x v="2"/>
    <x v="11"/>
    <n v="3792"/>
    <n v="3792"/>
    <n v="0"/>
    <n v="0"/>
    <n v="0"/>
    <n v="0"/>
    <n v="0"/>
    <x v="0"/>
    <n v="0"/>
    <n v="16"/>
    <n v="0"/>
    <n v="0"/>
    <n v="18.52"/>
    <n v="0"/>
    <n v="0"/>
    <n v="21.062137082578289"/>
    <n v="87.609211999145103"/>
    <m/>
    <n v="70227.839999999997"/>
    <n v="0"/>
    <n v="0"/>
    <n v="79867.623817136875"/>
    <n v="0"/>
    <n v="0"/>
  </r>
  <r>
    <s v="Regular"/>
    <x v="1"/>
    <x v="1"/>
    <x v="1"/>
    <x v="0"/>
    <x v="0"/>
    <x v="1"/>
    <x v="1"/>
    <x v="0"/>
    <n v="7800"/>
    <n v="0"/>
    <n v="0"/>
    <n v="0"/>
    <n v="0"/>
    <n v="0"/>
    <n v="0"/>
    <x v="1"/>
    <n v="27870"/>
    <n v="21"/>
    <n v="0"/>
    <n v="0"/>
    <n v="11.03"/>
    <n v="0"/>
    <n v="0"/>
    <n v="11.568547059369964"/>
    <m/>
    <m/>
    <n v="0"/>
    <n v="0"/>
    <n v="0"/>
    <n v="0"/>
    <n v="0"/>
    <n v="0"/>
  </r>
  <r>
    <s v="Regular"/>
    <x v="1"/>
    <x v="1"/>
    <x v="1"/>
    <x v="0"/>
    <x v="0"/>
    <x v="1"/>
    <x v="1"/>
    <x v="1"/>
    <n v="7800"/>
    <n v="0"/>
    <n v="0"/>
    <n v="0"/>
    <n v="0"/>
    <n v="0"/>
    <n v="0"/>
    <x v="1"/>
    <n v="27870"/>
    <n v="21"/>
    <n v="0"/>
    <n v="0"/>
    <n v="11.03"/>
    <n v="0"/>
    <n v="0"/>
    <n v="11.568547059369964"/>
    <m/>
    <m/>
    <n v="0"/>
    <n v="0"/>
    <n v="0"/>
    <n v="0"/>
    <n v="0"/>
    <n v="0"/>
  </r>
  <r>
    <s v="Regular"/>
    <x v="1"/>
    <x v="1"/>
    <x v="1"/>
    <x v="0"/>
    <x v="0"/>
    <x v="1"/>
    <x v="1"/>
    <x v="2"/>
    <n v="7800"/>
    <n v="0"/>
    <n v="0"/>
    <n v="0"/>
    <n v="0"/>
    <n v="0"/>
    <n v="0"/>
    <x v="1"/>
    <n v="27870"/>
    <n v="21"/>
    <n v="0"/>
    <n v="0"/>
    <n v="11.03"/>
    <n v="0"/>
    <n v="0"/>
    <n v="11.568547059369964"/>
    <m/>
    <m/>
    <n v="0"/>
    <n v="0"/>
    <n v="0"/>
    <n v="0"/>
    <n v="0"/>
    <n v="0"/>
  </r>
  <r>
    <s v="Regular"/>
    <x v="1"/>
    <x v="1"/>
    <x v="1"/>
    <x v="0"/>
    <x v="0"/>
    <x v="1"/>
    <x v="1"/>
    <x v="3"/>
    <n v="7800"/>
    <n v="0"/>
    <n v="0"/>
    <n v="0"/>
    <n v="0"/>
    <n v="0"/>
    <n v="0"/>
    <x v="1"/>
    <n v="27870"/>
    <n v="21"/>
    <n v="0"/>
    <n v="0"/>
    <n v="11.03"/>
    <n v="0"/>
    <n v="0"/>
    <n v="11.568547059369964"/>
    <m/>
    <m/>
    <n v="0"/>
    <n v="0"/>
    <n v="0"/>
    <n v="0"/>
    <n v="0"/>
    <n v="0"/>
  </r>
  <r>
    <s v="Regular"/>
    <x v="1"/>
    <x v="1"/>
    <x v="1"/>
    <x v="0"/>
    <x v="0"/>
    <x v="1"/>
    <x v="1"/>
    <x v="4"/>
    <n v="7800"/>
    <n v="0"/>
    <n v="0"/>
    <n v="0"/>
    <n v="0"/>
    <n v="0"/>
    <n v="0"/>
    <x v="1"/>
    <n v="27870"/>
    <n v="21"/>
    <n v="0"/>
    <n v="0"/>
    <n v="11.03"/>
    <n v="0"/>
    <n v="0"/>
    <n v="11.568547059369964"/>
    <m/>
    <m/>
    <n v="0"/>
    <n v="0"/>
    <n v="0"/>
    <n v="0"/>
    <n v="0"/>
    <n v="0"/>
  </r>
  <r>
    <s v="Regular"/>
    <x v="1"/>
    <x v="1"/>
    <x v="1"/>
    <x v="0"/>
    <x v="0"/>
    <x v="1"/>
    <x v="1"/>
    <x v="5"/>
    <n v="7800"/>
    <n v="0"/>
    <n v="0"/>
    <n v="0"/>
    <n v="0"/>
    <n v="0"/>
    <n v="0"/>
    <x v="1"/>
    <n v="27870"/>
    <n v="21"/>
    <n v="0"/>
    <n v="0"/>
    <n v="11.03"/>
    <n v="0"/>
    <n v="0"/>
    <n v="11.568547059369964"/>
    <m/>
    <m/>
    <n v="0"/>
    <n v="0"/>
    <n v="0"/>
    <n v="0"/>
    <n v="0"/>
    <n v="0"/>
  </r>
  <r>
    <s v="Regular"/>
    <x v="1"/>
    <x v="1"/>
    <x v="1"/>
    <x v="0"/>
    <x v="0"/>
    <x v="1"/>
    <x v="1"/>
    <x v="6"/>
    <n v="7800"/>
    <n v="0"/>
    <n v="0"/>
    <n v="0"/>
    <n v="0"/>
    <n v="0"/>
    <n v="0"/>
    <x v="1"/>
    <n v="27870"/>
    <n v="21"/>
    <n v="0"/>
    <n v="0"/>
    <n v="11.03"/>
    <n v="0"/>
    <n v="0"/>
    <n v="11.568547059369964"/>
    <m/>
    <m/>
    <n v="0"/>
    <n v="0"/>
    <n v="0"/>
    <n v="0"/>
    <n v="0"/>
    <n v="0"/>
  </r>
  <r>
    <s v="Regular"/>
    <x v="1"/>
    <x v="1"/>
    <x v="1"/>
    <x v="0"/>
    <x v="0"/>
    <x v="1"/>
    <x v="1"/>
    <x v="7"/>
    <n v="7800"/>
    <n v="0"/>
    <n v="0"/>
    <n v="0"/>
    <n v="0"/>
    <n v="0"/>
    <n v="0"/>
    <x v="1"/>
    <n v="27870"/>
    <n v="21"/>
    <n v="0"/>
    <n v="0"/>
    <n v="11.03"/>
    <n v="0"/>
    <n v="0"/>
    <n v="11.568547059369964"/>
    <m/>
    <m/>
    <n v="0"/>
    <n v="0"/>
    <n v="0"/>
    <n v="0"/>
    <n v="0"/>
    <n v="0"/>
  </r>
  <r>
    <s v="Regular"/>
    <x v="1"/>
    <x v="1"/>
    <x v="1"/>
    <x v="0"/>
    <x v="0"/>
    <x v="1"/>
    <x v="1"/>
    <x v="8"/>
    <n v="7800"/>
    <n v="0"/>
    <n v="0"/>
    <n v="0"/>
    <n v="0"/>
    <n v="0"/>
    <n v="0"/>
    <x v="1"/>
    <n v="27870"/>
    <n v="21"/>
    <n v="0"/>
    <n v="0"/>
    <n v="11.03"/>
    <n v="0"/>
    <n v="0"/>
    <n v="11.568547059369964"/>
    <m/>
    <m/>
    <n v="0"/>
    <n v="0"/>
    <n v="0"/>
    <n v="0"/>
    <n v="0"/>
    <n v="0"/>
  </r>
  <r>
    <s v="Regular"/>
    <x v="1"/>
    <x v="1"/>
    <x v="1"/>
    <x v="0"/>
    <x v="0"/>
    <x v="1"/>
    <x v="1"/>
    <x v="9"/>
    <n v="7800"/>
    <n v="0"/>
    <n v="0"/>
    <n v="0"/>
    <n v="0"/>
    <n v="0"/>
    <n v="0"/>
    <x v="1"/>
    <n v="27870"/>
    <n v="21"/>
    <n v="0"/>
    <n v="0"/>
    <n v="11.03"/>
    <n v="0"/>
    <n v="0"/>
    <n v="11.568547059369964"/>
    <m/>
    <m/>
    <n v="0"/>
    <n v="0"/>
    <n v="0"/>
    <n v="0"/>
    <n v="0"/>
    <n v="0"/>
  </r>
  <r>
    <s v="Regular"/>
    <x v="1"/>
    <x v="1"/>
    <x v="1"/>
    <x v="0"/>
    <x v="0"/>
    <x v="1"/>
    <x v="1"/>
    <x v="10"/>
    <n v="7800"/>
    <n v="0"/>
    <n v="0"/>
    <n v="0"/>
    <n v="0"/>
    <n v="0"/>
    <n v="0"/>
    <x v="1"/>
    <n v="27870"/>
    <n v="21"/>
    <n v="0"/>
    <n v="0"/>
    <n v="11.03"/>
    <n v="0"/>
    <n v="0"/>
    <n v="11.568547059369964"/>
    <m/>
    <m/>
    <n v="0"/>
    <n v="0"/>
    <n v="0"/>
    <n v="0"/>
    <n v="0"/>
    <n v="0"/>
  </r>
  <r>
    <s v="PROJETADO"/>
    <x v="1"/>
    <x v="1"/>
    <x v="1"/>
    <x v="0"/>
    <x v="0"/>
    <x v="1"/>
    <x v="1"/>
    <x v="11"/>
    <n v="7800"/>
    <n v="0"/>
    <n v="0"/>
    <n v="0"/>
    <n v="0"/>
    <n v="0"/>
    <n v="0"/>
    <x v="1"/>
    <n v="27870"/>
    <n v="21"/>
    <n v="0"/>
    <n v="0"/>
    <n v="11.03"/>
    <n v="0"/>
    <n v="0"/>
    <n v="11.568547059369964"/>
    <m/>
    <m/>
    <n v="0"/>
    <n v="0"/>
    <n v="0"/>
    <n v="0"/>
    <n v="0"/>
    <n v="0"/>
  </r>
  <r>
    <s v="Regular"/>
    <x v="2"/>
    <x v="0"/>
    <x v="2"/>
    <x v="0"/>
    <x v="0"/>
    <x v="0"/>
    <x v="0"/>
    <x v="0"/>
    <n v="1977"/>
    <n v="1977"/>
    <n v="639.19299999999998"/>
    <n v="639.19299999999998"/>
    <n v="639.19299999999998"/>
    <n v="639.19299999999998"/>
    <n v="0"/>
    <x v="2"/>
    <n v="0"/>
    <n v="22"/>
    <n v="12"/>
    <n v="61"/>
    <n v="14"/>
    <n v="72.150000000000006"/>
    <n v="278.67"/>
    <n v="15.925787521209683"/>
    <n v="117.70169496208672"/>
    <n v="295.87360985530717"/>
    <n v="27678"/>
    <n v="46117.774949999999"/>
    <n v="178123.91331"/>
    <n v="31485.281929431545"/>
    <n v="75234.09950790109"/>
    <n v="189120.34030424335"/>
  </r>
  <r>
    <s v="Regular"/>
    <x v="2"/>
    <x v="0"/>
    <x v="2"/>
    <x v="0"/>
    <x v="0"/>
    <x v="0"/>
    <x v="0"/>
    <x v="1"/>
    <n v="1979"/>
    <n v="1979"/>
    <n v="638.04600000000005"/>
    <n v="638.04600000000005"/>
    <n v="638.04600000000005"/>
    <n v="638.04600000000005"/>
    <n v="0"/>
    <x v="2"/>
    <n v="0"/>
    <n v="22"/>
    <n v="12"/>
    <n v="61"/>
    <n v="14"/>
    <n v="72.150000000000006"/>
    <n v="278.67"/>
    <n v="15.925787521209683"/>
    <n v="117.70169496208672"/>
    <n v="295.87360985530717"/>
    <n v="27706"/>
    <n v="46035.01890000001"/>
    <n v="177804.27882000004"/>
    <n v="31517.133504473964"/>
    <n v="75099.09566377959"/>
    <n v="188780.97327373934"/>
  </r>
  <r>
    <s v="Regular"/>
    <x v="2"/>
    <x v="0"/>
    <x v="2"/>
    <x v="0"/>
    <x v="0"/>
    <x v="0"/>
    <x v="0"/>
    <x v="2"/>
    <n v="1989"/>
    <n v="1989"/>
    <n v="642.05899999999997"/>
    <n v="642.05899999999997"/>
    <n v="642.05899999999997"/>
    <n v="642.05899999999997"/>
    <n v="0"/>
    <x v="2"/>
    <n v="0"/>
    <n v="22"/>
    <n v="12"/>
    <n v="61"/>
    <n v="14"/>
    <n v="72.150000000000006"/>
    <n v="278.67"/>
    <n v="15.925787521209683"/>
    <n v="117.70169496208672"/>
    <n v="295.87360985530717"/>
    <n v="27846"/>
    <n v="46324.556850000001"/>
    <n v="178922.58153"/>
    <n v="31676.391379686058"/>
    <n v="75571.432565662428"/>
    <n v="189968.31407008864"/>
  </r>
  <r>
    <s v="Regular"/>
    <x v="2"/>
    <x v="0"/>
    <x v="2"/>
    <x v="0"/>
    <x v="0"/>
    <x v="0"/>
    <x v="0"/>
    <x v="3"/>
    <n v="1968"/>
    <n v="1968"/>
    <n v="643.41999999999996"/>
    <n v="643.41999999999996"/>
    <n v="643.41999999999996"/>
    <n v="643.41999999999996"/>
    <n v="0"/>
    <x v="2"/>
    <n v="0"/>
    <n v="22"/>
    <n v="12"/>
    <n v="61"/>
    <n v="14"/>
    <n v="72.150000000000006"/>
    <n v="278.67"/>
    <n v="15.925787521209683"/>
    <n v="117.70169496208672"/>
    <n v="295.87360985530717"/>
    <n v="27552"/>
    <n v="46422.753000000004"/>
    <n v="179301.85139999999"/>
    <n v="31341.949841740658"/>
    <n v="75731.624572505825"/>
    <n v="190370.99805310174"/>
  </r>
  <r>
    <s v="Regular"/>
    <x v="2"/>
    <x v="0"/>
    <x v="2"/>
    <x v="0"/>
    <x v="0"/>
    <x v="0"/>
    <x v="0"/>
    <x v="4"/>
    <n v="1991"/>
    <n v="1991"/>
    <n v="601.35699999999997"/>
    <n v="601.35699999999997"/>
    <n v="601.35699999999997"/>
    <n v="601.35699999999997"/>
    <n v="0"/>
    <x v="2"/>
    <n v="0"/>
    <n v="22"/>
    <n v="12"/>
    <n v="61"/>
    <n v="14"/>
    <n v="72.150000000000006"/>
    <n v="278.67"/>
    <n v="15.925787521209683"/>
    <n v="117.70169496208672"/>
    <n v="295.87360985530717"/>
    <n v="27874"/>
    <n v="43387.907550000004"/>
    <n v="167580.15518999999"/>
    <n v="31708.242954728477"/>
    <n v="70780.738177315579"/>
    <n v="177925.66640175795"/>
  </r>
  <r>
    <s v="Regular"/>
    <x v="2"/>
    <x v="0"/>
    <x v="2"/>
    <x v="0"/>
    <x v="0"/>
    <x v="0"/>
    <x v="0"/>
    <x v="5"/>
    <n v="2006"/>
    <n v="2006"/>
    <n v="688.48900000000003"/>
    <n v="688.48900000000003"/>
    <n v="688.48900000000003"/>
    <n v="688.48900000000003"/>
    <n v="0"/>
    <x v="2"/>
    <n v="0"/>
    <n v="22"/>
    <n v="12"/>
    <n v="61"/>
    <n v="14"/>
    <n v="72.150000000000006"/>
    <n v="278.67"/>
    <n v="15.925787521209683"/>
    <n v="117.70169496208672"/>
    <n v="295.87360985530717"/>
    <n v="28084"/>
    <n v="49674.481350000009"/>
    <n v="191861.22963000002"/>
    <n v="31947.129767546623"/>
    <n v="81036.322262752132"/>
    <n v="203705.72577567058"/>
  </r>
  <r>
    <s v="Regular"/>
    <x v="2"/>
    <x v="0"/>
    <x v="2"/>
    <x v="0"/>
    <x v="0"/>
    <x v="0"/>
    <x v="0"/>
    <x v="6"/>
    <n v="1992"/>
    <n v="1992"/>
    <n v="635.53399999999999"/>
    <n v="635.53399999999999"/>
    <n v="635.53399999999999"/>
    <n v="635.53399999999999"/>
    <n v="0"/>
    <x v="2"/>
    <n v="0"/>
    <n v="22"/>
    <n v="12"/>
    <n v="61"/>
    <n v="14"/>
    <n v="72.150000000000006"/>
    <n v="278.67"/>
    <n v="15.925787521209683"/>
    <n v="117.70169496208672"/>
    <n v="295.87360985530717"/>
    <n v="27888"/>
    <n v="45853.778100000003"/>
    <n v="177104.25978000002"/>
    <n v="31724.168742249687"/>
    <n v="74803.429006034814"/>
    <n v="188037.73876578279"/>
  </r>
  <r>
    <s v="Regular"/>
    <x v="2"/>
    <x v="0"/>
    <x v="2"/>
    <x v="0"/>
    <x v="0"/>
    <x v="0"/>
    <x v="0"/>
    <x v="7"/>
    <n v="1976"/>
    <n v="1976"/>
    <n v="608.31899999999996"/>
    <n v="608.31899999999996"/>
    <n v="608.31899999999996"/>
    <n v="608.31899999999996"/>
    <n v="0"/>
    <x v="2"/>
    <n v="0"/>
    <n v="22"/>
    <n v="12"/>
    <n v="61"/>
    <n v="14"/>
    <n v="72.150000000000006"/>
    <n v="278.67"/>
    <n v="15.925787521209683"/>
    <n v="117.70169496208672"/>
    <n v="295.87360985530717"/>
    <n v="27664"/>
    <n v="43890.215850000001"/>
    <n v="169520.25573"/>
    <n v="31469.356141910335"/>
    <n v="71600.177377641623"/>
    <n v="179985.53847357057"/>
  </r>
  <r>
    <s v="Regular"/>
    <x v="2"/>
    <x v="0"/>
    <x v="2"/>
    <x v="0"/>
    <x v="0"/>
    <x v="0"/>
    <x v="0"/>
    <x v="8"/>
    <n v="1962"/>
    <n v="1962"/>
    <n v="582.47299999999996"/>
    <n v="582.47299999999996"/>
    <n v="582.47299999999996"/>
    <n v="582.47299999999996"/>
    <n v="0"/>
    <x v="2"/>
    <n v="0"/>
    <n v="22"/>
    <n v="12"/>
    <n v="61"/>
    <n v="14"/>
    <n v="72.150000000000006"/>
    <n v="278.67"/>
    <n v="15.925787521209683"/>
    <n v="117.70169496208672"/>
    <n v="295.87360985530717"/>
    <n v="27468"/>
    <n v="42025.426950000001"/>
    <n v="162317.75091"/>
    <n v="31246.395116613399"/>
    <n v="68558.059369651528"/>
    <n v="172338.38915325032"/>
  </r>
  <r>
    <s v="Regular"/>
    <x v="2"/>
    <x v="0"/>
    <x v="2"/>
    <x v="0"/>
    <x v="0"/>
    <x v="0"/>
    <x v="0"/>
    <x v="9"/>
    <n v="1958"/>
    <n v="1958"/>
    <n v="615.88"/>
    <n v="615.88"/>
    <n v="615.88"/>
    <n v="615.88"/>
    <n v="0"/>
    <x v="2"/>
    <n v="0"/>
    <n v="22"/>
    <n v="12"/>
    <n v="61"/>
    <n v="14"/>
    <n v="72.150000000000006"/>
    <n v="278.67"/>
    <n v="15.925787521209683"/>
    <n v="117.70169496208672"/>
    <n v="295.87360985530717"/>
    <n v="27412"/>
    <n v="44435.742000000006"/>
    <n v="171627.27960000001"/>
    <n v="31182.69196652856"/>
    <n v="72490.119893249968"/>
    <n v="182222.63883768657"/>
  </r>
  <r>
    <s v="Regular"/>
    <x v="2"/>
    <x v="0"/>
    <x v="2"/>
    <x v="0"/>
    <x v="0"/>
    <x v="0"/>
    <x v="0"/>
    <x v="10"/>
    <n v="1971"/>
    <n v="1971"/>
    <n v="597.37"/>
    <n v="597.37"/>
    <n v="597.37"/>
    <n v="597.37"/>
    <n v="0"/>
    <x v="2"/>
    <n v="0"/>
    <n v="22"/>
    <n v="12"/>
    <n v="61"/>
    <n v="14"/>
    <n v="72.150000000000006"/>
    <n v="278.67"/>
    <n v="15.925787521209683"/>
    <n v="117.70169496208672"/>
    <n v="295.87360985530717"/>
    <n v="27594"/>
    <n v="43100.245500000005"/>
    <n v="166469.09790000002"/>
    <n v="31389.727204304287"/>
    <n v="70311.46151950174"/>
    <n v="176746.01831926484"/>
  </r>
  <r>
    <s v="PROJETADO"/>
    <x v="2"/>
    <x v="0"/>
    <x v="2"/>
    <x v="0"/>
    <x v="0"/>
    <x v="0"/>
    <x v="0"/>
    <x v="11"/>
    <n v="1971"/>
    <n v="1971"/>
    <n v="597.37"/>
    <n v="597.37"/>
    <n v="597.37"/>
    <n v="597.37"/>
    <n v="0"/>
    <x v="2"/>
    <n v="0"/>
    <n v="22"/>
    <n v="12"/>
    <n v="61"/>
    <n v="14"/>
    <n v="72.150000000000006"/>
    <n v="278.67"/>
    <n v="15.925787521209683"/>
    <n v="117.70169496208672"/>
    <n v="295.87360985530717"/>
    <n v="27594"/>
    <n v="43100.245500000005"/>
    <n v="166469.09790000002"/>
    <n v="31389.727204304287"/>
    <n v="70311.46151950174"/>
    <n v="176746.01831926484"/>
  </r>
  <r>
    <s v="Regular"/>
    <x v="2"/>
    <x v="0"/>
    <x v="2"/>
    <x v="0"/>
    <x v="0"/>
    <x v="0"/>
    <x v="2"/>
    <x v="0"/>
    <n v="1903"/>
    <n v="1903"/>
    <n v="65.144999999999996"/>
    <n v="65.144999999999996"/>
    <n v="65.144999999999996"/>
    <n v="65.144999999999996"/>
    <n v="0"/>
    <x v="2"/>
    <n v="0"/>
    <n v="9"/>
    <n v="12"/>
    <n v="38"/>
    <n v="35.76"/>
    <n v="72.150000000000006"/>
    <n v="442.86"/>
    <n v="40.761307833720963"/>
    <n v="117.70169496208672"/>
    <n v="476.88775168498375"/>
    <n v="68051.28"/>
    <n v="4700.2117500000004"/>
    <n v="28850.114699999998"/>
    <n v="77568.768807570988"/>
    <n v="7667.6769183051392"/>
    <n v="31066.852583518266"/>
  </r>
  <r>
    <s v="Regular"/>
    <x v="2"/>
    <x v="0"/>
    <x v="2"/>
    <x v="0"/>
    <x v="0"/>
    <x v="0"/>
    <x v="2"/>
    <x v="1"/>
    <n v="1921"/>
    <n v="1921"/>
    <n v="68.108999999999995"/>
    <n v="68.108999999999995"/>
    <n v="68.108999999999995"/>
    <n v="68.108999999999995"/>
    <n v="0"/>
    <x v="2"/>
    <n v="0"/>
    <n v="9"/>
    <n v="12"/>
    <n v="38"/>
    <n v="35.76"/>
    <n v="72.150000000000006"/>
    <n v="442.86"/>
    <n v="40.761307833720963"/>
    <n v="117.70169496208672"/>
    <n v="476.88775168498375"/>
    <n v="68694.959999999992"/>
    <n v="4914.0643499999996"/>
    <n v="30162.75174"/>
    <n v="78302.472348577969"/>
    <n v="8016.544742172764"/>
    <n v="32480.347879512556"/>
  </r>
  <r>
    <s v="Regular"/>
    <x v="2"/>
    <x v="0"/>
    <x v="2"/>
    <x v="0"/>
    <x v="0"/>
    <x v="0"/>
    <x v="2"/>
    <x v="2"/>
    <n v="1924"/>
    <n v="1924"/>
    <n v="74.656000000000006"/>
    <n v="74.656000000000006"/>
    <n v="74.656000000000006"/>
    <n v="74.656000000000006"/>
    <n v="0"/>
    <x v="2"/>
    <n v="0"/>
    <n v="9"/>
    <n v="12"/>
    <n v="38"/>
    <n v="35.76"/>
    <n v="72.150000000000006"/>
    <n v="442.86"/>
    <n v="40.761307833720963"/>
    <n v="117.70169496208672"/>
    <n v="476.88775168498375"/>
    <n v="68802.239999999991"/>
    <n v="5386.4304000000011"/>
    <n v="33062.156160000006"/>
    <n v="78424.756272079132"/>
    <n v="8787.1377390895468"/>
    <n v="35602.531989794152"/>
  </r>
  <r>
    <s v="Regular"/>
    <x v="2"/>
    <x v="0"/>
    <x v="2"/>
    <x v="0"/>
    <x v="0"/>
    <x v="0"/>
    <x v="2"/>
    <x v="3"/>
    <n v="1913"/>
    <n v="1913"/>
    <n v="69.715000000000003"/>
    <n v="69.715000000000003"/>
    <n v="69.715000000000003"/>
    <n v="69.715000000000003"/>
    <n v="0"/>
    <x v="2"/>
    <n v="0"/>
    <n v="9"/>
    <n v="12"/>
    <n v="38"/>
    <n v="35.76"/>
    <n v="72.150000000000006"/>
    <n v="442.86"/>
    <n v="40.761307833720963"/>
    <n v="117.70169496208672"/>
    <n v="476.88775168498375"/>
    <n v="68408.87999999999"/>
    <n v="5029.9372500000009"/>
    <n v="30873.984900000003"/>
    <n v="77976.381885908195"/>
    <n v="8205.5736642818756"/>
    <n v="33246.229608718641"/>
  </r>
  <r>
    <s v="Regular"/>
    <x v="2"/>
    <x v="0"/>
    <x v="2"/>
    <x v="0"/>
    <x v="0"/>
    <x v="0"/>
    <x v="2"/>
    <x v="4"/>
    <n v="1917"/>
    <n v="1917"/>
    <n v="68.382999999999996"/>
    <n v="68.382999999999996"/>
    <n v="68.382999999999996"/>
    <n v="68.382999999999996"/>
    <n v="0"/>
    <x v="2"/>
    <n v="0"/>
    <n v="9"/>
    <n v="12"/>
    <n v="38"/>
    <n v="35.76"/>
    <n v="72.150000000000006"/>
    <n v="442.86"/>
    <n v="40.761307833720963"/>
    <n v="117.70169496208672"/>
    <n v="476.88775168498375"/>
    <n v="68551.92"/>
    <n v="4933.8334500000001"/>
    <n v="30284.095379999999"/>
    <n v="78139.427117243089"/>
    <n v="8048.795006592376"/>
    <n v="32611.015123474241"/>
  </r>
  <r>
    <s v="Regular"/>
    <x v="2"/>
    <x v="0"/>
    <x v="2"/>
    <x v="0"/>
    <x v="0"/>
    <x v="0"/>
    <x v="2"/>
    <x v="5"/>
    <n v="1936"/>
    <n v="1936"/>
    <n v="79.56"/>
    <n v="79.56"/>
    <n v="79.56"/>
    <n v="79.56"/>
    <n v="0"/>
    <x v="2"/>
    <n v="0"/>
    <n v="9"/>
    <n v="12"/>
    <n v="38"/>
    <n v="35.76"/>
    <n v="72.150000000000006"/>
    <n v="442.86"/>
    <n v="40.761307833720963"/>
    <n v="117.70169496208672"/>
    <n v="476.88775168498375"/>
    <n v="69231.360000000001"/>
    <n v="5740.2540000000008"/>
    <n v="35233.941600000006"/>
    <n v="78913.891966083786"/>
    <n v="9364.3468511836199"/>
    <n v="37941.189524057307"/>
  </r>
  <r>
    <s v="Regular"/>
    <x v="2"/>
    <x v="0"/>
    <x v="2"/>
    <x v="0"/>
    <x v="0"/>
    <x v="0"/>
    <x v="2"/>
    <x v="6"/>
    <n v="1931"/>
    <n v="1931"/>
    <n v="67.19"/>
    <n v="67.19"/>
    <n v="67.19"/>
    <n v="67.19"/>
    <n v="0"/>
    <x v="2"/>
    <n v="0"/>
    <n v="9"/>
    <n v="12"/>
    <n v="38"/>
    <n v="35.76"/>
    <n v="72.150000000000006"/>
    <n v="442.86"/>
    <n v="40.761307833720963"/>
    <n v="117.70169496208672"/>
    <n v="476.88775168498375"/>
    <n v="69052.56"/>
    <n v="4847.7584999999999"/>
    <n v="29755.7634"/>
    <n v="78710.085426915175"/>
    <n v="7908.3768845026061"/>
    <n v="32042.088035714056"/>
  </r>
  <r>
    <s v="Regular"/>
    <x v="2"/>
    <x v="0"/>
    <x v="2"/>
    <x v="0"/>
    <x v="0"/>
    <x v="0"/>
    <x v="2"/>
    <x v="7"/>
    <n v="1920"/>
    <n v="1920"/>
    <n v="70.957999999999998"/>
    <n v="70.957999999999998"/>
    <n v="70.957999999999998"/>
    <n v="70.957999999999998"/>
    <n v="0"/>
    <x v="2"/>
    <n v="0"/>
    <n v="9"/>
    <n v="12"/>
    <n v="38"/>
    <n v="35.76"/>
    <n v="72.150000000000006"/>
    <n v="442.86"/>
    <n v="40.761307833720963"/>
    <n v="117.70169496208672"/>
    <n v="476.88775168498375"/>
    <n v="68659.199999999997"/>
    <n v="5119.6197000000002"/>
    <n v="31424.459879999999"/>
    <n v="78261.711040744252"/>
    <n v="8351.8768711197499"/>
    <n v="33839.001084063078"/>
  </r>
  <r>
    <s v="Regular"/>
    <x v="2"/>
    <x v="0"/>
    <x v="2"/>
    <x v="0"/>
    <x v="0"/>
    <x v="0"/>
    <x v="2"/>
    <x v="8"/>
    <n v="1910"/>
    <n v="1910"/>
    <n v="68.605999999999995"/>
    <n v="68.605999999999995"/>
    <n v="68.605999999999995"/>
    <n v="68.605999999999995"/>
    <n v="0"/>
    <x v="2"/>
    <n v="0"/>
    <n v="9"/>
    <n v="12"/>
    <n v="38"/>
    <n v="35.76"/>
    <n v="72.150000000000006"/>
    <n v="442.86"/>
    <n v="40.761307833720963"/>
    <n v="117.70169496208672"/>
    <n v="476.88775168498375"/>
    <n v="68301.599999999991"/>
    <n v="4949.9228999999996"/>
    <n v="30382.853159999999"/>
    <n v="77854.097962407046"/>
    <n v="8075.0424845689213"/>
    <n v="32717.361092099993"/>
  </r>
  <r>
    <s v="Regular"/>
    <x v="2"/>
    <x v="0"/>
    <x v="2"/>
    <x v="0"/>
    <x v="0"/>
    <x v="0"/>
    <x v="2"/>
    <x v="9"/>
    <n v="1895"/>
    <n v="1895"/>
    <n v="66.989999999999995"/>
    <n v="66.989999999999995"/>
    <n v="66.989999999999995"/>
    <n v="66.989999999999995"/>
    <n v="0"/>
    <x v="2"/>
    <n v="0"/>
    <n v="9"/>
    <n v="12"/>
    <n v="38"/>
    <n v="35.76"/>
    <n v="72.150000000000006"/>
    <n v="442.86"/>
    <n v="40.761307833720963"/>
    <n v="117.70169496208672"/>
    <n v="476.88775168498375"/>
    <n v="67765.2"/>
    <n v="4833.3284999999996"/>
    <n v="29667.1914"/>
    <n v="77242.678344901229"/>
    <n v="7884.8365455101884"/>
    <n v="31946.710485377058"/>
  </r>
  <r>
    <s v="Regular"/>
    <x v="2"/>
    <x v="0"/>
    <x v="2"/>
    <x v="0"/>
    <x v="0"/>
    <x v="0"/>
    <x v="2"/>
    <x v="10"/>
    <n v="1905"/>
    <n v="1905"/>
    <n v="70.778999999999996"/>
    <n v="70.778999999999996"/>
    <n v="70.778999999999996"/>
    <n v="70.778999999999996"/>
    <n v="0"/>
    <x v="2"/>
    <n v="0"/>
    <n v="9"/>
    <n v="12"/>
    <n v="38"/>
    <n v="35.76"/>
    <n v="72.150000000000006"/>
    <n v="442.86"/>
    <n v="40.761307833720963"/>
    <n v="117.70169496208672"/>
    <n v="476.88775168498375"/>
    <n v="68122.8"/>
    <n v="5106.7048500000001"/>
    <n v="31345.18794"/>
    <n v="77650.291423238436"/>
    <n v="8330.8082677215352"/>
    <n v="33753.638176511464"/>
  </r>
  <r>
    <s v="PROJETADO"/>
    <x v="2"/>
    <x v="0"/>
    <x v="2"/>
    <x v="0"/>
    <x v="0"/>
    <x v="0"/>
    <x v="2"/>
    <x v="11"/>
    <n v="1905"/>
    <n v="1905"/>
    <n v="70.778999999999996"/>
    <n v="70.778999999999996"/>
    <n v="70.778999999999996"/>
    <n v="70.778999999999996"/>
    <n v="0"/>
    <x v="2"/>
    <n v="0"/>
    <n v="9"/>
    <n v="12"/>
    <n v="38"/>
    <n v="35.76"/>
    <n v="72.150000000000006"/>
    <n v="442.86"/>
    <n v="40.761307833720963"/>
    <n v="117.70169496208672"/>
    <n v="476.88775168498375"/>
    <n v="68122.8"/>
    <n v="5106.7048500000001"/>
    <n v="31345.18794"/>
    <n v="77650.291423238436"/>
    <n v="8330.8082677215352"/>
    <n v="33753.638176511464"/>
  </r>
  <r>
    <s v="Regular"/>
    <x v="2"/>
    <x v="0"/>
    <x v="0"/>
    <x v="0"/>
    <x v="1"/>
    <x v="0"/>
    <x v="0"/>
    <x v="0"/>
    <n v="16301"/>
    <n v="10335.36166337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44695.06328718"/>
    <n v="0"/>
    <n v="0"/>
    <n v="164598.77380568691"/>
    <n v="0"/>
    <n v="0"/>
  </r>
  <r>
    <s v="Regular"/>
    <x v="2"/>
    <x v="0"/>
    <x v="0"/>
    <x v="0"/>
    <x v="1"/>
    <x v="0"/>
    <x v="0"/>
    <x v="1"/>
    <n v="16297"/>
    <n v="10474.71161608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46645.96262512001"/>
    <n v="0"/>
    <n v="0"/>
    <n v="166818.03154363699"/>
    <n v="0"/>
    <n v="0"/>
  </r>
  <r>
    <s v="Regular"/>
    <x v="2"/>
    <x v="0"/>
    <x v="0"/>
    <x v="0"/>
    <x v="1"/>
    <x v="0"/>
    <x v="0"/>
    <x v="2"/>
    <n v="16147"/>
    <n v="9214.2392081100006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28999.34891354002"/>
    <n v="0"/>
    <n v="0"/>
    <n v="146744.01579795923"/>
    <n v="0"/>
    <n v="0"/>
  </r>
  <r>
    <s v="Regular"/>
    <x v="2"/>
    <x v="0"/>
    <x v="0"/>
    <x v="0"/>
    <x v="1"/>
    <x v="0"/>
    <x v="0"/>
    <x v="3"/>
    <n v="16220"/>
    <n v="9574.3093222000007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34040.33051080001"/>
    <n v="0"/>
    <n v="0"/>
    <n v="152478.4159276943"/>
    <n v="0"/>
    <n v="0"/>
  </r>
  <r>
    <s v="Regular"/>
    <x v="2"/>
    <x v="0"/>
    <x v="0"/>
    <x v="0"/>
    <x v="1"/>
    <x v="0"/>
    <x v="0"/>
    <x v="4"/>
    <n v="16455"/>
    <n v="8810.7828532500007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23350.95994550001"/>
    <n v="0"/>
    <n v="0"/>
    <n v="140318.6556163771"/>
    <n v="0"/>
    <n v="0"/>
  </r>
  <r>
    <s v="Regular"/>
    <x v="2"/>
    <x v="0"/>
    <x v="0"/>
    <x v="0"/>
    <x v="1"/>
    <x v="0"/>
    <x v="0"/>
    <x v="5"/>
    <n v="16206"/>
    <n v="8001.9643412400001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12027.50077735999"/>
    <n v="0"/>
    <n v="0"/>
    <n v="127437.58385088485"/>
    <n v="0"/>
    <n v="0"/>
  </r>
  <r>
    <s v="Regular"/>
    <x v="2"/>
    <x v="0"/>
    <x v="0"/>
    <x v="0"/>
    <x v="1"/>
    <x v="0"/>
    <x v="0"/>
    <x v="6"/>
    <n v="16280"/>
    <n v="10594.502877200001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48323.04028080002"/>
    <n v="0"/>
    <n v="0"/>
    <n v="168725.80171513185"/>
    <n v="0"/>
    <n v="0"/>
  </r>
  <r>
    <s v="Regular"/>
    <x v="2"/>
    <x v="0"/>
    <x v="0"/>
    <x v="0"/>
    <x v="1"/>
    <x v="0"/>
    <x v="0"/>
    <x v="7"/>
    <n v="16089"/>
    <n v="9780.4807362899992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36926.73030805998"/>
    <n v="0"/>
    <n v="0"/>
    <n v="155761.85806143895"/>
    <n v="0"/>
    <n v="0"/>
  </r>
  <r>
    <s v="Regular"/>
    <x v="2"/>
    <x v="0"/>
    <x v="0"/>
    <x v="0"/>
    <x v="1"/>
    <x v="0"/>
    <x v="0"/>
    <x v="8"/>
    <n v="16156"/>
    <n v="8011.3249957999997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12158.54994119999"/>
    <n v="0"/>
    <n v="0"/>
    <n v="127586.65964646685"/>
    <n v="0"/>
    <n v="0"/>
  </r>
  <r>
    <s v="Regular"/>
    <x v="2"/>
    <x v="0"/>
    <x v="0"/>
    <x v="0"/>
    <x v="1"/>
    <x v="0"/>
    <x v="0"/>
    <x v="9"/>
    <n v="16086"/>
    <n v="8491.9107151200005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18886.75001168001"/>
    <n v="0"/>
    <n v="0"/>
    <n v="135240.3656980849"/>
    <n v="0"/>
    <n v="0"/>
  </r>
  <r>
    <s v="Regular"/>
    <x v="2"/>
    <x v="0"/>
    <x v="0"/>
    <x v="0"/>
    <x v="1"/>
    <x v="0"/>
    <x v="0"/>
    <x v="10"/>
    <n v="16063"/>
    <n v="9042.6228011599997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26596.71921623999"/>
    <n v="0"/>
    <n v="0"/>
    <n v="144010.88936572007"/>
    <n v="0"/>
    <n v="0"/>
  </r>
  <r>
    <s v="PROJETADO"/>
    <x v="2"/>
    <x v="0"/>
    <x v="0"/>
    <x v="0"/>
    <x v="1"/>
    <x v="0"/>
    <x v="0"/>
    <x v="11"/>
    <n v="16063"/>
    <n v="9042.6228011599997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26596.71921623999"/>
    <n v="0"/>
    <n v="0"/>
    <n v="144010.88936572007"/>
    <n v="0"/>
    <n v="0"/>
  </r>
  <r>
    <s v="Regular"/>
    <x v="2"/>
    <x v="0"/>
    <x v="0"/>
    <x v="0"/>
    <x v="1"/>
    <x v="0"/>
    <x v="1"/>
    <x v="0"/>
    <n v="0"/>
    <n v="0"/>
    <n v="7888.02"/>
    <n v="7888.02"/>
    <n v="0"/>
    <n v="0"/>
    <n v="10"/>
    <x v="0"/>
    <n v="0"/>
    <n v="0"/>
    <n v="12"/>
    <n v="0"/>
    <n v="0"/>
    <n v="72.150000000000006"/>
    <n v="0"/>
    <m/>
    <n v="117.70169496208672"/>
    <m/>
    <n v="0"/>
    <n v="569120.64300000004"/>
    <n v="0"/>
    <n v="0"/>
    <n v="928433.32389483938"/>
    <n v="0"/>
  </r>
  <r>
    <s v="Regular"/>
    <x v="2"/>
    <x v="0"/>
    <x v="0"/>
    <x v="0"/>
    <x v="1"/>
    <x v="0"/>
    <x v="1"/>
    <x v="1"/>
    <n v="0"/>
    <n v="0"/>
    <n v="7651.0950000000003"/>
    <n v="7651.0950000000003"/>
    <n v="0"/>
    <n v="0"/>
    <n v="10"/>
    <x v="0"/>
    <n v="0"/>
    <n v="0"/>
    <n v="12"/>
    <n v="0"/>
    <n v="0"/>
    <n v="72.150000000000006"/>
    <n v="0"/>
    <m/>
    <n v="117.70169496208672"/>
    <m/>
    <n v="0"/>
    <n v="552026.50425000011"/>
    <n v="0"/>
    <n v="0"/>
    <n v="900546.84981594689"/>
    <n v="0"/>
  </r>
  <r>
    <s v="Regular"/>
    <x v="2"/>
    <x v="0"/>
    <x v="0"/>
    <x v="0"/>
    <x v="1"/>
    <x v="0"/>
    <x v="1"/>
    <x v="2"/>
    <n v="0"/>
    <n v="0"/>
    <n v="7155.4250000000002"/>
    <n v="7155.4250000000002"/>
    <n v="0"/>
    <n v="0"/>
    <n v="10"/>
    <x v="0"/>
    <n v="0"/>
    <n v="0"/>
    <n v="12"/>
    <n v="0"/>
    <n v="0"/>
    <n v="72.150000000000006"/>
    <n v="0"/>
    <m/>
    <n v="117.70169496208672"/>
    <m/>
    <n v="0"/>
    <n v="516263.91375000007"/>
    <n v="0"/>
    <n v="0"/>
    <n v="842205.65067408944"/>
    <n v="0"/>
  </r>
  <r>
    <s v="Regular"/>
    <x v="2"/>
    <x v="0"/>
    <x v="0"/>
    <x v="0"/>
    <x v="1"/>
    <x v="0"/>
    <x v="1"/>
    <x v="3"/>
    <n v="0"/>
    <n v="0"/>
    <n v="7542.44"/>
    <n v="7542.44"/>
    <n v="0"/>
    <n v="0"/>
    <n v="10"/>
    <x v="0"/>
    <n v="0"/>
    <n v="0"/>
    <n v="12"/>
    <n v="0"/>
    <n v="0"/>
    <n v="72.150000000000006"/>
    <n v="0"/>
    <m/>
    <n v="117.70169496208672"/>
    <m/>
    <n v="0"/>
    <n v="544187.04599999997"/>
    <n v="0"/>
    <n v="0"/>
    <n v="887757.97214984125"/>
    <n v="0"/>
  </r>
  <r>
    <s v="Regular"/>
    <x v="2"/>
    <x v="0"/>
    <x v="0"/>
    <x v="0"/>
    <x v="1"/>
    <x v="0"/>
    <x v="1"/>
    <x v="4"/>
    <n v="0"/>
    <n v="0"/>
    <n v="7411.6469999999999"/>
    <n v="7411.6469999999999"/>
    <n v="0"/>
    <n v="0"/>
    <n v="10"/>
    <x v="0"/>
    <n v="0"/>
    <n v="0"/>
    <n v="12"/>
    <n v="0"/>
    <n v="0"/>
    <n v="72.150000000000006"/>
    <n v="0"/>
    <m/>
    <n v="117.70169496208672"/>
    <m/>
    <n v="0"/>
    <n v="534750.33105000004"/>
    <n v="0"/>
    <n v="0"/>
    <n v="872363.41436066513"/>
    <n v="0"/>
  </r>
  <r>
    <s v="Regular"/>
    <x v="2"/>
    <x v="0"/>
    <x v="0"/>
    <x v="0"/>
    <x v="1"/>
    <x v="0"/>
    <x v="1"/>
    <x v="5"/>
    <n v="0"/>
    <n v="0"/>
    <n v="7972.3119999999999"/>
    <n v="7972.3119999999999"/>
    <n v="0"/>
    <n v="0"/>
    <n v="10"/>
    <x v="0"/>
    <n v="0"/>
    <n v="0"/>
    <n v="12"/>
    <n v="0"/>
    <n v="0"/>
    <n v="72.150000000000006"/>
    <n v="0"/>
    <m/>
    <n v="117.70169496208672"/>
    <m/>
    <n v="0"/>
    <n v="575202.31080000009"/>
    <n v="0"/>
    <n v="0"/>
    <n v="938354.63516658347"/>
    <n v="0"/>
  </r>
  <r>
    <s v="Regular"/>
    <x v="2"/>
    <x v="0"/>
    <x v="0"/>
    <x v="0"/>
    <x v="1"/>
    <x v="0"/>
    <x v="1"/>
    <x v="6"/>
    <n v="0"/>
    <n v="0"/>
    <n v="7239.27"/>
    <n v="7239.27"/>
    <n v="0"/>
    <n v="0"/>
    <n v="10"/>
    <x v="0"/>
    <n v="0"/>
    <n v="0"/>
    <n v="12"/>
    <n v="0"/>
    <n v="0"/>
    <n v="72.150000000000006"/>
    <n v="0"/>
    <m/>
    <n v="117.70169496208672"/>
    <m/>
    <n v="0"/>
    <n v="522313.3305000001"/>
    <n v="0"/>
    <n v="0"/>
    <n v="852074.34928818559"/>
    <n v="0"/>
  </r>
  <r>
    <s v="Regular"/>
    <x v="2"/>
    <x v="0"/>
    <x v="0"/>
    <x v="0"/>
    <x v="1"/>
    <x v="0"/>
    <x v="1"/>
    <x v="7"/>
    <n v="0"/>
    <n v="0"/>
    <n v="7397.8249999999998"/>
    <n v="7397.8249999999998"/>
    <n v="0"/>
    <n v="0"/>
    <n v="10"/>
    <x v="0"/>
    <n v="0"/>
    <n v="0"/>
    <n v="12"/>
    <n v="0"/>
    <n v="0"/>
    <n v="72.150000000000006"/>
    <n v="0"/>
    <m/>
    <n v="117.70169496208672"/>
    <m/>
    <n v="0"/>
    <n v="533753.07374999998"/>
    <n v="0"/>
    <n v="0"/>
    <n v="870736.54153289914"/>
    <n v="0"/>
  </r>
  <r>
    <s v="Regular"/>
    <x v="2"/>
    <x v="0"/>
    <x v="0"/>
    <x v="0"/>
    <x v="1"/>
    <x v="0"/>
    <x v="1"/>
    <x v="8"/>
    <n v="0"/>
    <n v="0"/>
    <n v="7032.8630000000003"/>
    <n v="7032.8630000000003"/>
    <n v="0"/>
    <n v="0"/>
    <n v="10"/>
    <x v="0"/>
    <n v="0"/>
    <n v="0"/>
    <n v="12"/>
    <n v="0"/>
    <n v="0"/>
    <n v="72.150000000000006"/>
    <n v="0"/>
    <m/>
    <n v="117.70169496208672"/>
    <m/>
    <n v="0"/>
    <n v="507421.06545000005"/>
    <n v="0"/>
    <n v="0"/>
    <n v="827779.89553614613"/>
    <n v="0"/>
  </r>
  <r>
    <s v="Regular"/>
    <x v="2"/>
    <x v="0"/>
    <x v="0"/>
    <x v="0"/>
    <x v="1"/>
    <x v="0"/>
    <x v="1"/>
    <x v="9"/>
    <n v="0"/>
    <n v="0"/>
    <n v="7387.9709999999995"/>
    <n v="7387.9709999999995"/>
    <n v="0"/>
    <n v="0"/>
    <n v="10"/>
    <x v="0"/>
    <n v="0"/>
    <n v="0"/>
    <n v="12"/>
    <n v="0"/>
    <n v="0"/>
    <n v="72.150000000000006"/>
    <n v="0"/>
    <m/>
    <n v="117.70169496208672"/>
    <m/>
    <n v="0"/>
    <n v="533042.10765000002"/>
    <n v="0"/>
    <n v="0"/>
    <n v="869576.70903074276"/>
    <n v="0"/>
  </r>
  <r>
    <s v="Regular"/>
    <x v="2"/>
    <x v="0"/>
    <x v="0"/>
    <x v="0"/>
    <x v="1"/>
    <x v="0"/>
    <x v="1"/>
    <x v="10"/>
    <n v="0"/>
    <n v="0"/>
    <n v="7595.0789999999997"/>
    <n v="7595.0789999999997"/>
    <n v="0"/>
    <n v="0"/>
    <n v="10"/>
    <x v="0"/>
    <n v="0"/>
    <n v="0"/>
    <n v="12"/>
    <n v="0"/>
    <n v="0"/>
    <n v="72.150000000000006"/>
    <n v="0"/>
    <m/>
    <n v="117.70169496208672"/>
    <m/>
    <n v="0"/>
    <n v="547984.94984999998"/>
    <n v="0"/>
    <n v="0"/>
    <n v="893953.6716709506"/>
    <n v="0"/>
  </r>
  <r>
    <s v="PROJETADO"/>
    <x v="2"/>
    <x v="0"/>
    <x v="0"/>
    <x v="0"/>
    <x v="1"/>
    <x v="0"/>
    <x v="1"/>
    <x v="11"/>
    <n v="0"/>
    <n v="0"/>
    <n v="7595.0789999999997"/>
    <n v="7595.0789999999997"/>
    <n v="0"/>
    <n v="0"/>
    <n v="10"/>
    <x v="0"/>
    <n v="0"/>
    <n v="0"/>
    <n v="12"/>
    <n v="0"/>
    <n v="0"/>
    <n v="72.150000000000006"/>
    <n v="0"/>
    <m/>
    <n v="117.70169496208672"/>
    <m/>
    <n v="0"/>
    <n v="547984.94984999998"/>
    <n v="0"/>
    <n v="0"/>
    <n v="893953.6716709506"/>
    <n v="0"/>
  </r>
  <r>
    <s v="Regular"/>
    <x v="2"/>
    <x v="0"/>
    <x v="0"/>
    <x v="0"/>
    <x v="1"/>
    <x v="0"/>
    <x v="2"/>
    <x v="0"/>
    <n v="15209"/>
    <n v="9741.9908066200005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348373.59124473121"/>
    <n v="0"/>
    <n v="0"/>
    <n v="397096.28618191741"/>
    <n v="0"/>
    <n v="0"/>
  </r>
  <r>
    <s v="Regular"/>
    <x v="2"/>
    <x v="0"/>
    <x v="0"/>
    <x v="0"/>
    <x v="1"/>
    <x v="0"/>
    <x v="2"/>
    <x v="1"/>
    <n v="15104"/>
    <n v="9762.3642188800004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349102.14446714881"/>
    <n v="0"/>
    <n v="0"/>
    <n v="397926.73311067058"/>
    <n v="0"/>
    <n v="0"/>
  </r>
  <r>
    <s v="Regular"/>
    <x v="2"/>
    <x v="0"/>
    <x v="0"/>
    <x v="0"/>
    <x v="1"/>
    <x v="0"/>
    <x v="2"/>
    <x v="2"/>
    <n v="15151"/>
    <n v="8719.4845880499997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311808.76886866795"/>
    <n v="0"/>
    <n v="0"/>
    <n v="355417.59544489166"/>
    <n v="0"/>
    <n v="0"/>
  </r>
  <r>
    <s v="Regular"/>
    <x v="2"/>
    <x v="0"/>
    <x v="0"/>
    <x v="0"/>
    <x v="1"/>
    <x v="0"/>
    <x v="2"/>
    <x v="3"/>
    <n v="15170"/>
    <n v="9036.5050420000007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323145.42030191998"/>
    <n v="0"/>
    <n v="0"/>
    <n v="368339.76375793363"/>
    <n v="0"/>
    <n v="0"/>
  </r>
  <r>
    <s v="Regular"/>
    <x v="2"/>
    <x v="0"/>
    <x v="0"/>
    <x v="0"/>
    <x v="1"/>
    <x v="0"/>
    <x v="2"/>
    <x v="4"/>
    <n v="15437"/>
    <n v="8333.5986883799997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298009.48909646878"/>
    <n v="0"/>
    <n v="0"/>
    <n v="339688.38149975042"/>
    <n v="0"/>
    <n v="0"/>
  </r>
  <r>
    <s v="Regular"/>
    <x v="2"/>
    <x v="0"/>
    <x v="0"/>
    <x v="0"/>
    <x v="1"/>
    <x v="0"/>
    <x v="2"/>
    <x v="5"/>
    <n v="15298"/>
    <n v="7554.5100672400004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270149.28000450239"/>
    <n v="0"/>
    <n v="0"/>
    <n v="307931.71038371371"/>
    <n v="0"/>
    <n v="0"/>
  </r>
  <r>
    <s v="Regular"/>
    <x v="2"/>
    <x v="0"/>
    <x v="0"/>
    <x v="0"/>
    <x v="1"/>
    <x v="0"/>
    <x v="2"/>
    <x v="6"/>
    <n v="15512"/>
    <n v="10036.9224844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358920.34804214397"/>
    <n v="0"/>
    <n v="0"/>
    <n v="409118.08708982379"/>
    <n v="0"/>
    <n v="0"/>
  </r>
  <r>
    <s v="Regular"/>
    <x v="2"/>
    <x v="0"/>
    <x v="0"/>
    <x v="0"/>
    <x v="1"/>
    <x v="0"/>
    <x v="2"/>
    <x v="7"/>
    <n v="15447"/>
    <n v="9418.8297213299993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336817.35083476076"/>
    <n v="0"/>
    <n v="0"/>
    <n v="383923.81770453235"/>
    <n v="0"/>
    <n v="0"/>
  </r>
  <r>
    <s v="Regular"/>
    <x v="2"/>
    <x v="0"/>
    <x v="0"/>
    <x v="0"/>
    <x v="1"/>
    <x v="0"/>
    <x v="2"/>
    <x v="8"/>
    <n v="15443"/>
    <n v="7695.1753989099998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275179.47226502158"/>
    <n v="0"/>
    <n v="0"/>
    <n v="313665.41326944699"/>
    <n v="0"/>
    <n v="0"/>
  </r>
  <r>
    <s v="Regular"/>
    <x v="2"/>
    <x v="0"/>
    <x v="0"/>
    <x v="0"/>
    <x v="1"/>
    <x v="0"/>
    <x v="2"/>
    <x v="9"/>
    <n v="15437"/>
    <n v="8181.5836027300002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292573.42963362479"/>
    <n v="0"/>
    <n v="0"/>
    <n v="333492.04779820133"/>
    <n v="0"/>
    <n v="0"/>
  </r>
  <r>
    <s v="Regular"/>
    <x v="2"/>
    <x v="0"/>
    <x v="0"/>
    <x v="0"/>
    <x v="1"/>
    <x v="0"/>
    <x v="2"/>
    <x v="10"/>
    <n v="15410"/>
    <n v="8717.6713861000007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311743.92876693601"/>
    <n v="0"/>
    <n v="0"/>
    <n v="355343.68696204305"/>
    <n v="0"/>
    <n v="0"/>
  </r>
  <r>
    <s v="PROJETADO"/>
    <x v="2"/>
    <x v="0"/>
    <x v="0"/>
    <x v="0"/>
    <x v="1"/>
    <x v="0"/>
    <x v="2"/>
    <x v="11"/>
    <n v="15410"/>
    <n v="8717.6713861000007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311743.92876693601"/>
    <n v="0"/>
    <n v="0"/>
    <n v="355343.68696204305"/>
    <n v="0"/>
    <n v="0"/>
  </r>
  <r>
    <s v="Regular"/>
    <x v="2"/>
    <x v="0"/>
    <x v="0"/>
    <x v="0"/>
    <x v="0"/>
    <x v="0"/>
    <x v="0"/>
    <x v="0"/>
    <n v="655"/>
    <n v="655"/>
    <n v="245.398"/>
    <n v="245.398"/>
    <n v="245.398"/>
    <n v="245.398"/>
    <n v="0"/>
    <x v="2"/>
    <n v="0"/>
    <n v="22"/>
    <n v="12"/>
    <n v="61"/>
    <n v="14"/>
    <n v="72.150000000000006"/>
    <n v="278.67"/>
    <n v="15.925787521209683"/>
    <n v="117.70169496208672"/>
    <n v="295.87360985530717"/>
    <n v="9170"/>
    <n v="17705.465700000001"/>
    <n v="68385.060660000003"/>
    <n v="10431.390826392342"/>
    <n v="28883.760540306157"/>
    <n v="72606.792111272662"/>
  </r>
  <r>
    <s v="Regular"/>
    <x v="2"/>
    <x v="0"/>
    <x v="0"/>
    <x v="0"/>
    <x v="0"/>
    <x v="0"/>
    <x v="0"/>
    <x v="0"/>
    <n v="12919"/>
    <n v="12919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80866"/>
    <n v="0"/>
    <n v="0"/>
    <n v="205745.24898650788"/>
    <n v="0"/>
    <n v="0"/>
  </r>
  <r>
    <s v="Regular"/>
    <x v="2"/>
    <x v="0"/>
    <x v="0"/>
    <x v="0"/>
    <x v="0"/>
    <x v="0"/>
    <x v="0"/>
    <x v="1"/>
    <n v="644"/>
    <n v="644"/>
    <n v="196.267"/>
    <n v="196.267"/>
    <n v="196.267"/>
    <n v="196.267"/>
    <n v="0"/>
    <x v="2"/>
    <n v="0"/>
    <n v="22"/>
    <n v="12"/>
    <n v="61"/>
    <n v="14"/>
    <n v="72.150000000000006"/>
    <n v="278.67"/>
    <n v="15.925787521209683"/>
    <n v="117.70169496208672"/>
    <n v="295.87360985530717"/>
    <n v="9016"/>
    <n v="14160.664050000001"/>
    <n v="54693.724890000005"/>
    <n v="10256.207163659035"/>
    <n v="23100.958565123874"/>
    <n v="58070.225785471572"/>
  </r>
  <r>
    <s v="Regular"/>
    <x v="2"/>
    <x v="0"/>
    <x v="0"/>
    <x v="0"/>
    <x v="0"/>
    <x v="0"/>
    <x v="0"/>
    <x v="1"/>
    <n v="12908"/>
    <n v="12908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80712"/>
    <n v="0"/>
    <n v="0"/>
    <n v="205570.06532377459"/>
    <n v="0"/>
    <n v="0"/>
  </r>
  <r>
    <s v="Regular"/>
    <x v="2"/>
    <x v="0"/>
    <x v="0"/>
    <x v="0"/>
    <x v="0"/>
    <x v="0"/>
    <x v="0"/>
    <x v="2"/>
    <n v="673"/>
    <n v="673"/>
    <n v="252.768"/>
    <n v="252.768"/>
    <n v="252.768"/>
    <n v="252.768"/>
    <n v="0"/>
    <x v="2"/>
    <n v="0"/>
    <n v="22"/>
    <n v="12"/>
    <n v="61"/>
    <n v="14"/>
    <n v="72.150000000000006"/>
    <n v="278.67"/>
    <n v="15.925787521209683"/>
    <n v="117.70169496208672"/>
    <n v="295.87360985530717"/>
    <n v="9422"/>
    <n v="18237.211200000002"/>
    <n v="70438.858560000008"/>
    <n v="10718.055001774117"/>
    <n v="29751.222032176735"/>
    <n v="74787.380615906281"/>
  </r>
  <r>
    <s v="Regular"/>
    <x v="2"/>
    <x v="0"/>
    <x v="0"/>
    <x v="0"/>
    <x v="0"/>
    <x v="0"/>
    <x v="0"/>
    <x v="2"/>
    <n v="13049"/>
    <n v="13049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82686"/>
    <n v="0"/>
    <n v="0"/>
    <n v="207815.60136426517"/>
    <n v="0"/>
    <n v="0"/>
  </r>
  <r>
    <s v="Regular"/>
    <x v="2"/>
    <x v="0"/>
    <x v="0"/>
    <x v="0"/>
    <x v="0"/>
    <x v="0"/>
    <x v="0"/>
    <x v="3"/>
    <n v="715"/>
    <n v="715"/>
    <n v="304.98899999999998"/>
    <n v="304.98899999999998"/>
    <n v="304.98899999999998"/>
    <n v="304.98899999999998"/>
    <n v="0"/>
    <x v="2"/>
    <n v="0"/>
    <n v="22"/>
    <n v="12"/>
    <n v="61"/>
    <n v="14"/>
    <n v="72.150000000000006"/>
    <n v="278.67"/>
    <n v="15.925787521209683"/>
    <n v="117.70169496208672"/>
    <n v="295.87360985530717"/>
    <n v="10010"/>
    <n v="22004.95635"/>
    <n v="84991.284629999995"/>
    <n v="11386.938077664923"/>
    <n v="35897.722244791861"/>
    <n v="90238.196396160274"/>
  </r>
  <r>
    <s v="Regular"/>
    <x v="2"/>
    <x v="0"/>
    <x v="0"/>
    <x v="0"/>
    <x v="0"/>
    <x v="0"/>
    <x v="0"/>
    <x v="3"/>
    <n v="13010"/>
    <n v="13010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82140"/>
    <n v="0"/>
    <n v="0"/>
    <n v="207194.49565093798"/>
    <n v="0"/>
    <n v="0"/>
  </r>
  <r>
    <s v="Regular"/>
    <x v="2"/>
    <x v="0"/>
    <x v="0"/>
    <x v="0"/>
    <x v="0"/>
    <x v="0"/>
    <x v="0"/>
    <x v="4"/>
    <n v="667"/>
    <n v="667"/>
    <n v="235.69800000000001"/>
    <n v="235.69800000000001"/>
    <n v="235.69800000000001"/>
    <n v="235.69800000000001"/>
    <n v="0"/>
    <x v="2"/>
    <n v="0"/>
    <n v="22"/>
    <n v="12"/>
    <n v="61"/>
    <n v="14"/>
    <n v="72.150000000000006"/>
    <n v="278.67"/>
    <n v="15.925787521209683"/>
    <n v="117.70169496208672"/>
    <n v="295.87360985530717"/>
    <n v="9338"/>
    <n v="17005.610700000001"/>
    <n v="65681.961660000001"/>
    <n v="10622.500276646859"/>
    <n v="27742.054099173918"/>
    <n v="69736.818095676193"/>
  </r>
  <r>
    <s v="Regular"/>
    <x v="2"/>
    <x v="0"/>
    <x v="0"/>
    <x v="0"/>
    <x v="0"/>
    <x v="0"/>
    <x v="0"/>
    <x v="4"/>
    <n v="10852"/>
    <n v="10852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51928"/>
    <n v="0"/>
    <n v="0"/>
    <n v="172826.64618016747"/>
    <n v="0"/>
    <n v="0"/>
  </r>
  <r>
    <s v="Regular"/>
    <x v="2"/>
    <x v="0"/>
    <x v="0"/>
    <x v="0"/>
    <x v="0"/>
    <x v="0"/>
    <x v="0"/>
    <x v="5"/>
    <n v="694"/>
    <n v="694"/>
    <n v="315.24099999999999"/>
    <n v="315.24099999999999"/>
    <n v="315.24099999999999"/>
    <n v="315.24099999999999"/>
    <n v="0"/>
    <x v="2"/>
    <n v="0"/>
    <n v="22"/>
    <n v="12"/>
    <n v="61"/>
    <n v="14"/>
    <n v="72.150000000000006"/>
    <n v="278.67"/>
    <n v="15.925787521209683"/>
    <n v="117.70169496208672"/>
    <n v="295.87360985530717"/>
    <n v="9716"/>
    <n v="22744.638150000002"/>
    <n v="87848.209470000002"/>
    <n v="11052.496539719519"/>
    <n v="37104.400021543181"/>
    <n v="93271.492644396887"/>
  </r>
  <r>
    <s v="Regular"/>
    <x v="2"/>
    <x v="0"/>
    <x v="0"/>
    <x v="0"/>
    <x v="0"/>
    <x v="0"/>
    <x v="0"/>
    <x v="5"/>
    <n v="10265"/>
    <n v="10265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43710"/>
    <n v="0"/>
    <n v="0"/>
    <n v="163478.20890521738"/>
    <n v="0"/>
    <n v="0"/>
  </r>
  <r>
    <s v="Regular"/>
    <x v="2"/>
    <x v="0"/>
    <x v="0"/>
    <x v="0"/>
    <x v="0"/>
    <x v="0"/>
    <x v="0"/>
    <x v="6"/>
    <n v="689"/>
    <n v="689"/>
    <n v="262.39299999999997"/>
    <n v="262.39299999999997"/>
    <n v="262.39299999999997"/>
    <n v="262.39299999999997"/>
    <n v="0"/>
    <x v="2"/>
    <n v="0"/>
    <n v="22"/>
    <n v="12"/>
    <n v="61"/>
    <n v="14"/>
    <n v="72.150000000000006"/>
    <n v="278.67"/>
    <n v="15.925787521209683"/>
    <n v="117.70169496208672"/>
    <n v="295.87360985530717"/>
    <n v="9646"/>
    <n v="18931.65495"/>
    <n v="73121.057309999989"/>
    <n v="10972.867602113472"/>
    <n v="30884.100846186819"/>
    <n v="77635.16411076361"/>
  </r>
  <r>
    <s v="Regular"/>
    <x v="2"/>
    <x v="0"/>
    <x v="0"/>
    <x v="0"/>
    <x v="0"/>
    <x v="0"/>
    <x v="0"/>
    <x v="6"/>
    <n v="11423"/>
    <n v="11423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59922"/>
    <n v="0"/>
    <n v="0"/>
    <n v="181920.27085477821"/>
    <n v="0"/>
    <n v="0"/>
  </r>
  <r>
    <s v="Regular"/>
    <x v="2"/>
    <x v="0"/>
    <x v="0"/>
    <x v="0"/>
    <x v="0"/>
    <x v="0"/>
    <x v="0"/>
    <x v="7"/>
    <n v="703"/>
    <n v="703"/>
    <n v="305.15199999999999"/>
    <n v="305.15199999999999"/>
    <n v="305.15199999999999"/>
    <n v="305.15199999999999"/>
    <n v="0"/>
    <x v="2"/>
    <n v="0"/>
    <n v="22"/>
    <n v="12"/>
    <n v="61"/>
    <n v="14"/>
    <n v="72.150000000000006"/>
    <n v="278.67"/>
    <n v="15.925787521209683"/>
    <n v="117.70169496208672"/>
    <n v="295.87360985530717"/>
    <n v="9842"/>
    <n v="22016.716800000002"/>
    <n v="85036.707840000003"/>
    <n v="11195.828627410407"/>
    <n v="35916.907621070684"/>
    <n v="90286.423794566683"/>
  </r>
  <r>
    <s v="Regular"/>
    <x v="2"/>
    <x v="0"/>
    <x v="0"/>
    <x v="0"/>
    <x v="0"/>
    <x v="0"/>
    <x v="0"/>
    <x v="7"/>
    <n v="11194"/>
    <n v="11194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56716"/>
    <n v="0"/>
    <n v="0"/>
    <n v="178273.2655124212"/>
    <n v="0"/>
    <n v="0"/>
  </r>
  <r>
    <s v="Regular"/>
    <x v="2"/>
    <x v="0"/>
    <x v="0"/>
    <x v="0"/>
    <x v="0"/>
    <x v="0"/>
    <x v="0"/>
    <x v="8"/>
    <n v="690"/>
    <n v="690"/>
    <n v="149.71"/>
    <n v="149.71"/>
    <n v="149.71"/>
    <n v="149.71"/>
    <n v="0"/>
    <x v="2"/>
    <n v="0"/>
    <n v="22"/>
    <n v="12"/>
    <n v="61"/>
    <n v="14"/>
    <n v="72.150000000000006"/>
    <n v="278.67"/>
    <n v="15.925787521209683"/>
    <n v="117.70169496208672"/>
    <n v="295.87360985530717"/>
    <n v="9660"/>
    <n v="10801.576500000001"/>
    <n v="41719.685700000002"/>
    <n v="10988.793389634682"/>
    <n v="17621.120752774004"/>
    <n v="44295.23813143804"/>
  </r>
  <r>
    <s v="Regular"/>
    <x v="2"/>
    <x v="0"/>
    <x v="0"/>
    <x v="0"/>
    <x v="0"/>
    <x v="0"/>
    <x v="0"/>
    <x v="8"/>
    <n v="11262"/>
    <n v="11262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57668"/>
    <n v="0"/>
    <n v="0"/>
    <n v="179356.21906386345"/>
    <n v="0"/>
    <n v="0"/>
  </r>
  <r>
    <s v="Regular"/>
    <x v="2"/>
    <x v="0"/>
    <x v="0"/>
    <x v="0"/>
    <x v="0"/>
    <x v="0"/>
    <x v="0"/>
    <x v="9"/>
    <n v="684"/>
    <n v="684"/>
    <n v="295.78199999999998"/>
    <n v="295.78199999999998"/>
    <n v="295.78199999999998"/>
    <n v="295.78199999999998"/>
    <n v="0"/>
    <x v="2"/>
    <n v="0"/>
    <n v="22"/>
    <n v="12"/>
    <n v="61"/>
    <n v="14"/>
    <n v="72.150000000000006"/>
    <n v="278.67"/>
    <n v="15.925787521209683"/>
    <n v="117.70169496208672"/>
    <n v="295.87360985530717"/>
    <n v="9576"/>
    <n v="21340.671300000002"/>
    <n v="82425.569940000001"/>
    <n v="10893.238664507424"/>
    <n v="34814.04273927593"/>
    <n v="87514.088070222453"/>
  </r>
  <r>
    <s v="Regular"/>
    <x v="2"/>
    <x v="0"/>
    <x v="0"/>
    <x v="0"/>
    <x v="0"/>
    <x v="0"/>
    <x v="0"/>
    <x v="9"/>
    <n v="11014"/>
    <n v="11014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54196"/>
    <n v="0"/>
    <n v="0"/>
    <n v="175406.62375860344"/>
    <n v="0"/>
    <n v="0"/>
  </r>
  <r>
    <s v="Regular"/>
    <x v="2"/>
    <x v="0"/>
    <x v="0"/>
    <x v="0"/>
    <x v="0"/>
    <x v="0"/>
    <x v="0"/>
    <x v="10"/>
    <n v="718"/>
    <n v="718"/>
    <n v="289.19900000000001"/>
    <n v="289.19900000000001"/>
    <n v="289.19900000000001"/>
    <n v="289.19900000000001"/>
    <n v="0"/>
    <x v="2"/>
    <n v="0"/>
    <n v="22"/>
    <n v="12"/>
    <n v="61"/>
    <n v="14"/>
    <n v="72.150000000000006"/>
    <n v="278.67"/>
    <n v="15.925787521209683"/>
    <n v="117.70169496208672"/>
    <n v="295.87360985530717"/>
    <n v="10052"/>
    <n v="20865.707850000003"/>
    <n v="80591.085330000002"/>
    <n v="11434.715440228552"/>
    <n v="34039.212481340517"/>
    <n v="85566.352096544986"/>
  </r>
  <r>
    <s v="Regular"/>
    <x v="2"/>
    <x v="0"/>
    <x v="0"/>
    <x v="0"/>
    <x v="0"/>
    <x v="0"/>
    <x v="0"/>
    <x v="10"/>
    <n v="12172"/>
    <n v="12172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70408"/>
    <n v="0"/>
    <n v="0"/>
    <n v="193848.68570816427"/>
    <n v="0"/>
    <n v="0"/>
  </r>
  <r>
    <s v="PROJETADO"/>
    <x v="2"/>
    <x v="0"/>
    <x v="0"/>
    <x v="0"/>
    <x v="0"/>
    <x v="0"/>
    <x v="0"/>
    <x v="11"/>
    <n v="718"/>
    <n v="718"/>
    <n v="289.19900000000001"/>
    <n v="289.19900000000001"/>
    <n v="289.19900000000001"/>
    <n v="289.19900000000001"/>
    <n v="0"/>
    <x v="2"/>
    <n v="0"/>
    <n v="22"/>
    <n v="12"/>
    <n v="61"/>
    <n v="14"/>
    <n v="72.150000000000006"/>
    <n v="278.67"/>
    <n v="15.925787521209683"/>
    <n v="117.70169496208672"/>
    <n v="295.87360985530717"/>
    <n v="10052"/>
    <n v="20865.707850000003"/>
    <n v="80591.085330000002"/>
    <n v="11434.715440228552"/>
    <n v="34039.212481340517"/>
    <n v="85566.352096544986"/>
  </r>
  <r>
    <s v="PROJETADO"/>
    <x v="2"/>
    <x v="0"/>
    <x v="0"/>
    <x v="0"/>
    <x v="0"/>
    <x v="0"/>
    <x v="0"/>
    <x v="11"/>
    <n v="12172"/>
    <n v="12172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70408"/>
    <n v="0"/>
    <n v="0"/>
    <n v="193848.68570816427"/>
    <n v="0"/>
    <n v="0"/>
  </r>
  <r>
    <s v="Regular"/>
    <x v="2"/>
    <x v="0"/>
    <x v="0"/>
    <x v="0"/>
    <x v="0"/>
    <x v="0"/>
    <x v="1"/>
    <x v="0"/>
    <n v="0"/>
    <n v="0"/>
    <n v="7162.64"/>
    <n v="7162.64"/>
    <n v="0"/>
    <n v="0"/>
    <n v="2"/>
    <x v="0"/>
    <n v="0"/>
    <n v="0"/>
    <n v="12"/>
    <n v="0"/>
    <n v="0"/>
    <n v="72.150000000000006"/>
    <n v="0"/>
    <m/>
    <n v="117.70169496208672"/>
    <m/>
    <n v="0"/>
    <n v="516784.47600000008"/>
    <n v="0"/>
    <n v="0"/>
    <n v="843054.86840324081"/>
    <n v="0"/>
  </r>
  <r>
    <s v="Regular"/>
    <x v="2"/>
    <x v="0"/>
    <x v="0"/>
    <x v="0"/>
    <x v="0"/>
    <x v="0"/>
    <x v="1"/>
    <x v="1"/>
    <n v="0"/>
    <n v="0"/>
    <n v="5818.6549999999997"/>
    <n v="5818.6549999999997"/>
    <n v="0"/>
    <n v="0"/>
    <n v="2"/>
    <x v="0"/>
    <n v="0"/>
    <n v="0"/>
    <n v="12"/>
    <n v="0"/>
    <n v="0"/>
    <n v="72.150000000000006"/>
    <n v="0"/>
    <m/>
    <n v="117.70169496208672"/>
    <m/>
    <n v="0"/>
    <n v="419815.95825000003"/>
    <n v="0"/>
    <n v="0"/>
    <n v="684865.55589962064"/>
    <n v="0"/>
  </r>
  <r>
    <s v="Regular"/>
    <x v="2"/>
    <x v="0"/>
    <x v="0"/>
    <x v="0"/>
    <x v="0"/>
    <x v="0"/>
    <x v="1"/>
    <x v="2"/>
    <n v="0"/>
    <n v="0"/>
    <n v="6211.3980000000001"/>
    <n v="6211.3980000000001"/>
    <n v="0"/>
    <n v="0"/>
    <n v="2"/>
    <x v="0"/>
    <n v="0"/>
    <n v="0"/>
    <n v="12"/>
    <n v="0"/>
    <n v="0"/>
    <n v="72.150000000000006"/>
    <n v="0"/>
    <m/>
    <n v="117.70169496208672"/>
    <m/>
    <n v="0"/>
    <n v="448152.36570000002"/>
    <n v="0"/>
    <n v="0"/>
    <n v="731092.0726841155"/>
    <n v="0"/>
  </r>
  <r>
    <s v="Regular"/>
    <x v="2"/>
    <x v="0"/>
    <x v="0"/>
    <x v="0"/>
    <x v="0"/>
    <x v="0"/>
    <x v="1"/>
    <x v="3"/>
    <n v="0"/>
    <n v="0"/>
    <n v="5905.0879999999997"/>
    <n v="5905.0879999999997"/>
    <n v="0"/>
    <n v="0"/>
    <n v="2"/>
    <x v="0"/>
    <n v="0"/>
    <n v="0"/>
    <n v="12"/>
    <n v="0"/>
    <n v="0"/>
    <n v="72.150000000000006"/>
    <n v="0"/>
    <m/>
    <n v="117.70169496208672"/>
    <m/>
    <n v="0"/>
    <n v="426052.0992"/>
    <n v="0"/>
    <n v="0"/>
    <n v="695038.8665002787"/>
    <n v="0"/>
  </r>
  <r>
    <s v="Regular"/>
    <x v="2"/>
    <x v="0"/>
    <x v="0"/>
    <x v="0"/>
    <x v="0"/>
    <x v="0"/>
    <x v="1"/>
    <x v="4"/>
    <n v="0"/>
    <n v="0"/>
    <n v="5358.7650000000003"/>
    <n v="5358.7650000000003"/>
    <n v="0"/>
    <n v="0"/>
    <n v="2"/>
    <x v="0"/>
    <n v="0"/>
    <n v="0"/>
    <n v="12"/>
    <n v="0"/>
    <n v="0"/>
    <n v="72.150000000000006"/>
    <n v="0"/>
    <m/>
    <n v="117.70169496208672"/>
    <m/>
    <n v="0"/>
    <n v="386634.89475000004"/>
    <n v="0"/>
    <n v="0"/>
    <n v="630735.72340350668"/>
    <n v="0"/>
  </r>
  <r>
    <s v="Regular"/>
    <x v="2"/>
    <x v="0"/>
    <x v="0"/>
    <x v="0"/>
    <x v="0"/>
    <x v="0"/>
    <x v="1"/>
    <x v="5"/>
    <n v="0"/>
    <n v="0"/>
    <n v="5838.027"/>
    <n v="5838.027"/>
    <n v="0"/>
    <n v="0"/>
    <n v="2"/>
    <x v="0"/>
    <n v="0"/>
    <n v="0"/>
    <n v="12"/>
    <n v="0"/>
    <n v="0"/>
    <n v="72.150000000000006"/>
    <n v="0"/>
    <m/>
    <n v="117.70169496208672"/>
    <m/>
    <n v="0"/>
    <n v="421213.64805000002"/>
    <n v="0"/>
    <n v="0"/>
    <n v="687145.67313442624"/>
    <n v="0"/>
  </r>
  <r>
    <s v="Regular"/>
    <x v="2"/>
    <x v="0"/>
    <x v="0"/>
    <x v="0"/>
    <x v="0"/>
    <x v="0"/>
    <x v="1"/>
    <x v="6"/>
    <n v="0"/>
    <n v="0"/>
    <n v="6169.2280000000001"/>
    <n v="6169.2280000000001"/>
    <n v="0"/>
    <n v="0"/>
    <n v="2"/>
    <x v="0"/>
    <n v="0"/>
    <n v="0"/>
    <n v="12"/>
    <n v="0"/>
    <n v="0"/>
    <n v="72.150000000000006"/>
    <n v="0"/>
    <m/>
    <n v="117.70169496208672"/>
    <m/>
    <n v="0"/>
    <n v="445109.80020000006"/>
    <n v="0"/>
    <n v="0"/>
    <n v="726128.59220756439"/>
    <n v="0"/>
  </r>
  <r>
    <s v="Regular"/>
    <x v="2"/>
    <x v="0"/>
    <x v="0"/>
    <x v="0"/>
    <x v="0"/>
    <x v="0"/>
    <x v="1"/>
    <x v="7"/>
    <n v="0"/>
    <n v="0"/>
    <n v="6457.0630000000001"/>
    <n v="6457.0630000000001"/>
    <n v="0"/>
    <n v="0"/>
    <n v="2"/>
    <x v="0"/>
    <n v="0"/>
    <n v="0"/>
    <n v="12"/>
    <n v="0"/>
    <n v="0"/>
    <n v="72.150000000000006"/>
    <n v="0"/>
    <m/>
    <n v="117.70169496208672"/>
    <m/>
    <n v="0"/>
    <n v="465877.09545000002"/>
    <n v="0"/>
    <n v="0"/>
    <n v="760007.25957697653"/>
    <n v="0"/>
  </r>
  <r>
    <s v="Regular"/>
    <x v="2"/>
    <x v="0"/>
    <x v="0"/>
    <x v="0"/>
    <x v="0"/>
    <x v="0"/>
    <x v="1"/>
    <x v="8"/>
    <n v="0"/>
    <n v="0"/>
    <n v="6208.5990000000002"/>
    <n v="6208.5990000000002"/>
    <n v="0"/>
    <n v="0"/>
    <n v="2"/>
    <x v="0"/>
    <n v="0"/>
    <n v="0"/>
    <n v="12"/>
    <n v="0"/>
    <n v="0"/>
    <n v="72.150000000000006"/>
    <n v="0"/>
    <m/>
    <n v="117.70169496208672"/>
    <m/>
    <n v="0"/>
    <n v="447950.41785000003"/>
    <n v="0"/>
    <n v="0"/>
    <n v="730762.62563991663"/>
    <n v="0"/>
  </r>
  <r>
    <s v="Regular"/>
    <x v="2"/>
    <x v="0"/>
    <x v="0"/>
    <x v="0"/>
    <x v="0"/>
    <x v="0"/>
    <x v="1"/>
    <x v="9"/>
    <n v="0"/>
    <n v="0"/>
    <n v="6185.0529999999999"/>
    <n v="6185.0529999999999"/>
    <n v="0"/>
    <n v="0"/>
    <n v="2"/>
    <x v="0"/>
    <n v="0"/>
    <n v="0"/>
    <n v="12"/>
    <n v="0"/>
    <n v="0"/>
    <n v="72.150000000000006"/>
    <n v="0"/>
    <m/>
    <n v="117.70169496208672"/>
    <m/>
    <n v="0"/>
    <n v="446251.57395000005"/>
    <n v="0"/>
    <n v="0"/>
    <n v="727991.22153033933"/>
    <n v="0"/>
  </r>
  <r>
    <s v="Regular"/>
    <x v="2"/>
    <x v="0"/>
    <x v="0"/>
    <x v="0"/>
    <x v="0"/>
    <x v="0"/>
    <x v="1"/>
    <x v="10"/>
    <n v="0"/>
    <n v="0"/>
    <n v="5556.5559999999996"/>
    <n v="5556.5559999999996"/>
    <n v="0"/>
    <n v="0"/>
    <n v="2"/>
    <x v="0"/>
    <n v="0"/>
    <n v="0"/>
    <n v="12"/>
    <n v="0"/>
    <n v="0"/>
    <n v="72.150000000000006"/>
    <n v="0"/>
    <m/>
    <n v="117.70169496208672"/>
    <m/>
    <n v="0"/>
    <n v="400905.51539999997"/>
    <n v="0"/>
    <n v="0"/>
    <n v="654016.05935175263"/>
    <n v="0"/>
  </r>
  <r>
    <s v="PROJETADO"/>
    <x v="2"/>
    <x v="0"/>
    <x v="0"/>
    <x v="0"/>
    <x v="0"/>
    <x v="0"/>
    <x v="1"/>
    <x v="11"/>
    <n v="0"/>
    <n v="0"/>
    <n v="5556.5559999999996"/>
    <n v="5556.5559999999996"/>
    <n v="0"/>
    <n v="0"/>
    <n v="2"/>
    <x v="0"/>
    <n v="0"/>
    <n v="0"/>
    <n v="12"/>
    <n v="0"/>
    <n v="0"/>
    <n v="72.150000000000006"/>
    <n v="0"/>
    <m/>
    <n v="117.70169496208672"/>
    <m/>
    <n v="0"/>
    <n v="400905.51539999997"/>
    <n v="0"/>
    <n v="0"/>
    <n v="654016.05935175263"/>
    <n v="0"/>
  </r>
  <r>
    <s v="Regular"/>
    <x v="2"/>
    <x v="0"/>
    <x v="0"/>
    <x v="0"/>
    <x v="0"/>
    <x v="0"/>
    <x v="2"/>
    <x v="0"/>
    <n v="609"/>
    <n v="609"/>
    <n v="23.344999999999999"/>
    <n v="23.344999999999999"/>
    <n v="23.344999999999999"/>
    <n v="23.344999999999999"/>
    <n v="0"/>
    <x v="2"/>
    <n v="0"/>
    <n v="9"/>
    <n v="12"/>
    <n v="38"/>
    <n v="35.76"/>
    <n v="72.150000000000006"/>
    <n v="442.86"/>
    <n v="40.761307833720963"/>
    <n v="117.70169496208672"/>
    <n v="476.88775168498375"/>
    <n v="21777.84"/>
    <n v="1684.34175"/>
    <n v="10338.566699999999"/>
    <n v="24823.636470736066"/>
    <n v="2747.7460688899141"/>
    <n v="11132.944563085945"/>
  </r>
  <r>
    <s v="Regular"/>
    <x v="2"/>
    <x v="0"/>
    <x v="0"/>
    <x v="0"/>
    <x v="0"/>
    <x v="0"/>
    <x v="2"/>
    <x v="0"/>
    <n v="12435"/>
    <n v="12435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444675.6"/>
    <n v="0"/>
    <n v="0"/>
    <n v="506866.86291232018"/>
    <n v="0"/>
    <n v="0"/>
  </r>
  <r>
    <s v="Regular"/>
    <x v="2"/>
    <x v="0"/>
    <x v="0"/>
    <x v="0"/>
    <x v="0"/>
    <x v="0"/>
    <x v="2"/>
    <x v="1"/>
    <n v="606"/>
    <n v="606"/>
    <n v="19.64"/>
    <n v="19.64"/>
    <n v="19.64"/>
    <n v="19.64"/>
    <n v="0"/>
    <x v="2"/>
    <n v="0"/>
    <n v="9"/>
    <n v="12"/>
    <n v="38"/>
    <n v="35.76"/>
    <n v="72.150000000000006"/>
    <n v="442.86"/>
    <n v="40.761307833720963"/>
    <n v="117.70169496208672"/>
    <n v="476.88775168498375"/>
    <n v="21670.559999999998"/>
    <n v="1417.0260000000001"/>
    <n v="8697.7704000000012"/>
    <n v="24701.352547234903"/>
    <n v="2311.6612890553833"/>
    <n v="9366.075443093081"/>
  </r>
  <r>
    <s v="Regular"/>
    <x v="2"/>
    <x v="0"/>
    <x v="0"/>
    <x v="0"/>
    <x v="0"/>
    <x v="0"/>
    <x v="2"/>
    <x v="1"/>
    <n v="12404"/>
    <n v="12404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443567.04"/>
    <n v="0"/>
    <n v="0"/>
    <n v="505603.2623694748"/>
    <n v="0"/>
    <n v="0"/>
  </r>
  <r>
    <s v="Regular"/>
    <x v="2"/>
    <x v="0"/>
    <x v="0"/>
    <x v="0"/>
    <x v="0"/>
    <x v="0"/>
    <x v="2"/>
    <x v="2"/>
    <n v="603"/>
    <n v="603"/>
    <n v="25.567"/>
    <n v="25.567"/>
    <n v="25.567"/>
    <n v="25.567"/>
    <n v="0"/>
    <x v="2"/>
    <n v="0"/>
    <n v="9"/>
    <n v="12"/>
    <n v="38"/>
    <n v="35.76"/>
    <n v="72.150000000000006"/>
    <n v="442.86"/>
    <n v="40.761307833720963"/>
    <n v="117.70169496208672"/>
    <n v="476.88775168498375"/>
    <n v="21563.279999999999"/>
    <n v="1844.6590500000002"/>
    <n v="11322.601620000001"/>
    <n v="24579.06862373374"/>
    <n v="3009.2792350956711"/>
    <n v="12192.58914732998"/>
  </r>
  <r>
    <s v="Regular"/>
    <x v="2"/>
    <x v="0"/>
    <x v="0"/>
    <x v="0"/>
    <x v="0"/>
    <x v="0"/>
    <x v="2"/>
    <x v="2"/>
    <n v="12551"/>
    <n v="12551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448823.75999999995"/>
    <n v="0"/>
    <n v="0"/>
    <n v="511595.17462103179"/>
    <n v="0"/>
    <n v="0"/>
  </r>
  <r>
    <s v="Regular"/>
    <x v="2"/>
    <x v="0"/>
    <x v="0"/>
    <x v="0"/>
    <x v="0"/>
    <x v="0"/>
    <x v="2"/>
    <x v="3"/>
    <n v="689"/>
    <n v="689"/>
    <n v="30.913"/>
    <n v="30.913"/>
    <n v="30.913"/>
    <n v="30.913"/>
    <n v="0"/>
    <x v="2"/>
    <n v="0"/>
    <n v="9"/>
    <n v="12"/>
    <n v="38"/>
    <n v="35.76"/>
    <n v="72.150000000000006"/>
    <n v="442.86"/>
    <n v="40.761307833720963"/>
    <n v="117.70169496208672"/>
    <n v="476.88775168498375"/>
    <n v="24638.639999999999"/>
    <n v="2230.3729500000004"/>
    <n v="13690.13118"/>
    <n v="28084.541097433743"/>
    <n v="3638.5124963629869"/>
    <n v="14742.031067837903"/>
  </r>
  <r>
    <s v="Regular"/>
    <x v="2"/>
    <x v="0"/>
    <x v="0"/>
    <x v="0"/>
    <x v="0"/>
    <x v="0"/>
    <x v="2"/>
    <x v="3"/>
    <n v="12584"/>
    <n v="12584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450003.83999999997"/>
    <n v="0"/>
    <n v="0"/>
    <n v="512940.29777954461"/>
    <n v="0"/>
    <n v="0"/>
  </r>
  <r>
    <s v="Regular"/>
    <x v="2"/>
    <x v="0"/>
    <x v="0"/>
    <x v="0"/>
    <x v="0"/>
    <x v="0"/>
    <x v="2"/>
    <x v="4"/>
    <n v="619"/>
    <n v="619"/>
    <n v="23.544"/>
    <n v="23.544"/>
    <n v="23.544"/>
    <n v="23.544"/>
    <n v="0"/>
    <x v="2"/>
    <n v="0"/>
    <n v="9"/>
    <n v="12"/>
    <n v="38"/>
    <n v="35.76"/>
    <n v="72.150000000000006"/>
    <n v="442.86"/>
    <n v="40.761307833720963"/>
    <n v="117.70169496208672"/>
    <n v="476.88775168498375"/>
    <n v="22135.439999999999"/>
    <n v="1698.6996000000001"/>
    <n v="10426.69584"/>
    <n v="25231.249549073276"/>
    <n v="2771.1687061873699"/>
    <n v="11227.845225671257"/>
  </r>
  <r>
    <s v="Regular"/>
    <x v="2"/>
    <x v="0"/>
    <x v="0"/>
    <x v="0"/>
    <x v="0"/>
    <x v="0"/>
    <x v="2"/>
    <x v="4"/>
    <n v="10384"/>
    <n v="10384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371331.83999999997"/>
    <n v="0"/>
    <n v="0"/>
    <n v="423265.4205453585"/>
    <n v="0"/>
    <n v="0"/>
  </r>
  <r>
    <s v="Regular"/>
    <x v="2"/>
    <x v="0"/>
    <x v="0"/>
    <x v="0"/>
    <x v="0"/>
    <x v="0"/>
    <x v="2"/>
    <x v="5"/>
    <n v="648"/>
    <n v="648"/>
    <n v="32.863999999999997"/>
    <n v="32.863999999999997"/>
    <n v="32.863999999999997"/>
    <n v="32.863999999999997"/>
    <n v="0"/>
    <x v="2"/>
    <n v="0"/>
    <n v="9"/>
    <n v="12"/>
    <n v="38"/>
    <n v="35.76"/>
    <n v="72.150000000000006"/>
    <n v="442.86"/>
    <n v="40.761307833720963"/>
    <n v="117.70169496208672"/>
    <n v="476.88775168498375"/>
    <n v="23172.48"/>
    <n v="2371.1376"/>
    <n v="14554.151039999999"/>
    <n v="26413.327476251183"/>
    <n v="3868.1485032340174"/>
    <n v="15672.439071375306"/>
  </r>
  <r>
    <s v="Regular"/>
    <x v="2"/>
    <x v="0"/>
    <x v="0"/>
    <x v="0"/>
    <x v="0"/>
    <x v="0"/>
    <x v="2"/>
    <x v="5"/>
    <n v="10358"/>
    <n v="10358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370402.07999999996"/>
    <n v="0"/>
    <n v="0"/>
    <n v="422205.62654168176"/>
    <n v="0"/>
    <n v="0"/>
  </r>
  <r>
    <s v="Regular"/>
    <x v="2"/>
    <x v="0"/>
    <x v="0"/>
    <x v="0"/>
    <x v="0"/>
    <x v="0"/>
    <x v="2"/>
    <x v="6"/>
    <n v="653"/>
    <n v="653"/>
    <n v="24.268999999999998"/>
    <n v="24.268999999999998"/>
    <n v="24.268999999999998"/>
    <n v="24.268999999999998"/>
    <n v="0"/>
    <x v="2"/>
    <n v="0"/>
    <n v="9"/>
    <n v="12"/>
    <n v="38"/>
    <n v="35.76"/>
    <n v="72.150000000000006"/>
    <n v="442.86"/>
    <n v="40.761307833720963"/>
    <n v="117.70169496208672"/>
    <n v="476.88775168498375"/>
    <n v="23351.279999999999"/>
    <n v="1751.0083500000001"/>
    <n v="10747.769339999999"/>
    <n v="26617.13401541979"/>
    <n v="2856.5024350348822"/>
    <n v="11573.588845642869"/>
  </r>
  <r>
    <s v="Regular"/>
    <x v="2"/>
    <x v="0"/>
    <x v="0"/>
    <x v="0"/>
    <x v="0"/>
    <x v="0"/>
    <x v="2"/>
    <x v="6"/>
    <n v="11220"/>
    <n v="11220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401227.19999999995"/>
    <n v="0"/>
    <n v="0"/>
    <n v="457341.87389434921"/>
    <n v="0"/>
    <n v="0"/>
  </r>
  <r>
    <s v="Regular"/>
    <x v="2"/>
    <x v="0"/>
    <x v="0"/>
    <x v="0"/>
    <x v="0"/>
    <x v="0"/>
    <x v="2"/>
    <x v="7"/>
    <n v="677"/>
    <n v="677"/>
    <n v="32.128"/>
    <n v="32.128"/>
    <n v="32.128"/>
    <n v="32.128"/>
    <n v="0"/>
    <x v="2"/>
    <n v="0"/>
    <n v="9"/>
    <n v="12"/>
    <n v="38"/>
    <n v="35.76"/>
    <n v="72.150000000000006"/>
    <n v="442.86"/>
    <n v="40.761307833720963"/>
    <n v="117.70169496208672"/>
    <n v="476.88775168498375"/>
    <n v="24209.52"/>
    <n v="2318.0352000000003"/>
    <n v="14228.20608"/>
    <n v="27595.405403429093"/>
    <n v="3781.5200557419221"/>
    <n v="15321.449686135158"/>
  </r>
  <r>
    <s v="Regular"/>
    <x v="2"/>
    <x v="0"/>
    <x v="0"/>
    <x v="0"/>
    <x v="0"/>
    <x v="0"/>
    <x v="2"/>
    <x v="7"/>
    <n v="10990"/>
    <n v="10990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393002.39999999997"/>
    <n v="0"/>
    <n v="0"/>
    <n v="447966.77309259336"/>
    <n v="0"/>
    <n v="0"/>
  </r>
  <r>
    <s v="Regular"/>
    <x v="2"/>
    <x v="0"/>
    <x v="0"/>
    <x v="0"/>
    <x v="0"/>
    <x v="0"/>
    <x v="2"/>
    <x v="8"/>
    <n v="654"/>
    <n v="654"/>
    <n v="17.777000000000001"/>
    <n v="17.777000000000001"/>
    <n v="17.777000000000001"/>
    <n v="17.777000000000001"/>
    <n v="0"/>
    <x v="2"/>
    <n v="0"/>
    <n v="9"/>
    <n v="12"/>
    <n v="38"/>
    <n v="35.76"/>
    <n v="72.150000000000006"/>
    <n v="442.86"/>
    <n v="40.761307833720963"/>
    <n v="117.70169496208672"/>
    <n v="476.88775168498375"/>
    <n v="23387.039999999997"/>
    <n v="1282.6105500000001"/>
    <n v="7872.7222200000006"/>
    <n v="26657.89532325351"/>
    <n v="2092.3830313410158"/>
    <n v="8477.6335617039567"/>
  </r>
  <r>
    <s v="Regular"/>
    <x v="2"/>
    <x v="0"/>
    <x v="0"/>
    <x v="0"/>
    <x v="0"/>
    <x v="0"/>
    <x v="2"/>
    <x v="8"/>
    <n v="11005"/>
    <n v="11005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393538.8"/>
    <n v="0"/>
    <n v="0"/>
    <n v="448578.19271009922"/>
    <n v="0"/>
    <n v="0"/>
  </r>
  <r>
    <s v="Regular"/>
    <x v="2"/>
    <x v="0"/>
    <x v="0"/>
    <x v="0"/>
    <x v="0"/>
    <x v="0"/>
    <x v="2"/>
    <x v="9"/>
    <n v="650"/>
    <n v="650"/>
    <n v="30.539000000000001"/>
    <n v="30.539000000000001"/>
    <n v="30.539000000000001"/>
    <n v="30.539000000000001"/>
    <n v="0"/>
    <x v="2"/>
    <n v="0"/>
    <n v="9"/>
    <n v="12"/>
    <n v="38"/>
    <n v="35.76"/>
    <n v="72.150000000000006"/>
    <n v="442.86"/>
    <n v="40.761307833720963"/>
    <n v="117.70169496208672"/>
    <n v="476.88775168498375"/>
    <n v="23244"/>
    <n v="2203.3888500000003"/>
    <n v="13524.501540000001"/>
    <n v="26494.850091918626"/>
    <n v="3594.4920624471665"/>
    <n v="14563.675048707719"/>
  </r>
  <r>
    <s v="Regular"/>
    <x v="2"/>
    <x v="0"/>
    <x v="0"/>
    <x v="0"/>
    <x v="0"/>
    <x v="0"/>
    <x v="2"/>
    <x v="9"/>
    <n v="10478"/>
    <n v="10478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374693.27999999997"/>
    <n v="0"/>
    <n v="0"/>
    <n v="427096.98348172824"/>
    <n v="0"/>
    <n v="0"/>
  </r>
  <r>
    <s v="Regular"/>
    <x v="2"/>
    <x v="0"/>
    <x v="0"/>
    <x v="0"/>
    <x v="0"/>
    <x v="0"/>
    <x v="2"/>
    <x v="10"/>
    <n v="658"/>
    <n v="658"/>
    <n v="33.716999999999999"/>
    <n v="33.716999999999999"/>
    <n v="33.716999999999999"/>
    <n v="33.716999999999999"/>
    <n v="0"/>
    <x v="2"/>
    <n v="0"/>
    <n v="9"/>
    <n v="12"/>
    <n v="38"/>
    <n v="35.76"/>
    <n v="72.150000000000006"/>
    <n v="442.86"/>
    <n v="40.761307833720963"/>
    <n v="117.70169496208672"/>
    <n v="476.88775168498375"/>
    <n v="23530.079999999998"/>
    <n v="2432.6815500000002"/>
    <n v="14931.910620000001"/>
    <n v="26820.940554588393"/>
    <n v="3968.5480490366776"/>
    <n v="16079.224323562597"/>
  </r>
  <r>
    <s v="Regular"/>
    <x v="2"/>
    <x v="0"/>
    <x v="0"/>
    <x v="0"/>
    <x v="0"/>
    <x v="0"/>
    <x v="2"/>
    <x v="10"/>
    <n v="11864"/>
    <n v="11864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424256.63999999996"/>
    <n v="0"/>
    <n v="0"/>
    <n v="483592.15613926551"/>
    <n v="0"/>
    <n v="0"/>
  </r>
  <r>
    <s v="PROJETADO"/>
    <x v="2"/>
    <x v="0"/>
    <x v="0"/>
    <x v="0"/>
    <x v="0"/>
    <x v="0"/>
    <x v="2"/>
    <x v="11"/>
    <n v="658"/>
    <n v="658"/>
    <n v="33.716999999999999"/>
    <n v="33.716999999999999"/>
    <n v="33.716999999999999"/>
    <n v="33.716999999999999"/>
    <n v="0"/>
    <x v="2"/>
    <n v="0"/>
    <n v="9"/>
    <n v="12"/>
    <n v="38"/>
    <n v="35.76"/>
    <n v="72.150000000000006"/>
    <n v="442.86"/>
    <n v="40.761307833720963"/>
    <n v="117.70169496208672"/>
    <n v="476.88775168498375"/>
    <n v="23530.079999999998"/>
    <n v="2432.6815500000002"/>
    <n v="14931.910620000001"/>
    <n v="26820.940554588393"/>
    <n v="3968.5480490366776"/>
    <n v="16079.224323562597"/>
  </r>
  <r>
    <s v="PROJETADO"/>
    <x v="2"/>
    <x v="0"/>
    <x v="0"/>
    <x v="0"/>
    <x v="0"/>
    <x v="0"/>
    <x v="2"/>
    <x v="11"/>
    <n v="11864"/>
    <n v="11864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424256.63999999996"/>
    <n v="0"/>
    <n v="0"/>
    <n v="483592.15613926551"/>
    <n v="0"/>
    <n v="0"/>
  </r>
  <r>
    <s v="Regular"/>
    <x v="2"/>
    <x v="0"/>
    <x v="3"/>
    <x v="1"/>
    <x v="0"/>
    <x v="0"/>
    <x v="0"/>
    <x v="0"/>
    <n v="210"/>
    <n v="178.5"/>
    <n v="97.087000000000003"/>
    <n v="91.261780000000002"/>
    <n v="97.087000000000003"/>
    <n v="91.261780000000002"/>
    <n v="0"/>
    <x v="2"/>
    <n v="0"/>
    <n v="22"/>
    <n v="12"/>
    <n v="61"/>
    <n v="14"/>
    <n v="72.150000000000006"/>
    <n v="278.67"/>
    <n v="15.925787521209683"/>
    <n v="117.70169496208672"/>
    <n v="295.87360985530717"/>
    <n v="2499"/>
    <n v="6584.5374270000002"/>
    <n v="25431.920232600001"/>
    <n v="2842.7530725359284"/>
    <n v="10741.666191257067"/>
    <n v="27001.952290420875"/>
  </r>
  <r>
    <s v="Regular"/>
    <x v="2"/>
    <x v="0"/>
    <x v="3"/>
    <x v="1"/>
    <x v="0"/>
    <x v="0"/>
    <x v="0"/>
    <x v="1"/>
    <n v="210"/>
    <n v="178.5"/>
    <n v="93.664000000000001"/>
    <n v="88.044159999999991"/>
    <n v="93.664000000000001"/>
    <n v="88.044159999999991"/>
    <n v="0"/>
    <x v="2"/>
    <n v="0"/>
    <n v="22"/>
    <n v="12"/>
    <n v="61"/>
    <n v="14"/>
    <n v="72.150000000000006"/>
    <n v="278.67"/>
    <n v="15.925787521209683"/>
    <n v="117.70169496208672"/>
    <n v="295.87360985530717"/>
    <n v="2499"/>
    <n v="6352.3861440000001"/>
    <n v="24535.266067199998"/>
    <n v="2842.7530725359284"/>
    <n v="10362.946863513156"/>
    <n v="26049.943445878238"/>
  </r>
  <r>
    <s v="Regular"/>
    <x v="2"/>
    <x v="0"/>
    <x v="3"/>
    <x v="1"/>
    <x v="0"/>
    <x v="0"/>
    <x v="0"/>
    <x v="2"/>
    <n v="210"/>
    <n v="178.5"/>
    <n v="106.041"/>
    <n v="99.678539999999998"/>
    <n v="106.041"/>
    <n v="99.678539999999998"/>
    <n v="0"/>
    <x v="2"/>
    <n v="0"/>
    <n v="22"/>
    <n v="12"/>
    <n v="61"/>
    <n v="14"/>
    <n v="72.150000000000006"/>
    <n v="278.67"/>
    <n v="15.925787521209683"/>
    <n v="117.70169496208672"/>
    <n v="295.87360985530717"/>
    <n v="2499"/>
    <n v="7191.8066610000005"/>
    <n v="27777.4187418"/>
    <n v="2842.7530725359284"/>
    <n v="11732.33310934616"/>
    <n v="29492.249454906629"/>
  </r>
  <r>
    <s v="Regular"/>
    <x v="2"/>
    <x v="0"/>
    <x v="3"/>
    <x v="1"/>
    <x v="0"/>
    <x v="0"/>
    <x v="0"/>
    <x v="3"/>
    <n v="210"/>
    <n v="178.5"/>
    <n v="103.517"/>
    <n v="97.305980000000005"/>
    <n v="103.517"/>
    <n v="97.305980000000005"/>
    <n v="0"/>
    <x v="2"/>
    <n v="0"/>
    <n v="22"/>
    <n v="12"/>
    <n v="61"/>
    <n v="14"/>
    <n v="72.150000000000006"/>
    <n v="278.67"/>
    <n v="15.925787521209683"/>
    <n v="117.70169496208672"/>
    <n v="295.87360985530717"/>
    <n v="2499"/>
    <n v="7020.6264570000012"/>
    <n v="27116.257446600004"/>
    <n v="2842.7530725359284"/>
    <n v="11453.078775946911"/>
    <n v="28790.271563108323"/>
  </r>
  <r>
    <s v="Regular"/>
    <x v="2"/>
    <x v="0"/>
    <x v="3"/>
    <x v="1"/>
    <x v="0"/>
    <x v="0"/>
    <x v="0"/>
    <x v="4"/>
    <n v="210"/>
    <n v="178.5"/>
    <n v="91.92"/>
    <n v="86.404799999999994"/>
    <n v="91.92"/>
    <n v="86.404799999999994"/>
    <n v="0"/>
    <x v="2"/>
    <n v="0"/>
    <n v="22"/>
    <n v="12"/>
    <n v="61"/>
    <n v="14"/>
    <n v="72.150000000000006"/>
    <n v="278.67"/>
    <n v="15.925787521209683"/>
    <n v="117.70169496208672"/>
    <n v="295.87360985530717"/>
    <n v="2499"/>
    <n v="6234.1063199999999"/>
    <n v="24078.425616"/>
    <n v="2842.7530725359284"/>
    <n v="10169.99141286011"/>
    <n v="25564.900084825844"/>
  </r>
  <r>
    <s v="Regular"/>
    <x v="2"/>
    <x v="0"/>
    <x v="3"/>
    <x v="1"/>
    <x v="0"/>
    <x v="0"/>
    <x v="0"/>
    <x v="5"/>
    <n v="210"/>
    <n v="178.5"/>
    <n v="99.093999999999994"/>
    <n v="93.148359999999997"/>
    <n v="99.093999999999994"/>
    <n v="93.148359999999997"/>
    <n v="0"/>
    <x v="2"/>
    <n v="0"/>
    <n v="22"/>
    <n v="12"/>
    <n v="61"/>
    <n v="14"/>
    <n v="72.150000000000006"/>
    <n v="278.67"/>
    <n v="15.925787521209683"/>
    <n v="117.70169496208672"/>
    <n v="295.87360985530717"/>
    <n v="2499"/>
    <n v="6720.6541740000002"/>
    <n v="25957.653481199999"/>
    <n v="2842.7530725359284"/>
    <n v="10963.719854938639"/>
    <n v="27560.1415253017"/>
  </r>
  <r>
    <s v="Regular"/>
    <x v="2"/>
    <x v="0"/>
    <x v="3"/>
    <x v="1"/>
    <x v="0"/>
    <x v="0"/>
    <x v="0"/>
    <x v="6"/>
    <n v="210"/>
    <n v="178.5"/>
    <n v="100.63"/>
    <n v="94.592200000000005"/>
    <n v="100.63"/>
    <n v="94.592200000000005"/>
    <n v="0"/>
    <x v="2"/>
    <n v="0"/>
    <n v="22"/>
    <n v="12"/>
    <n v="61"/>
    <n v="14"/>
    <n v="72.150000000000006"/>
    <n v="278.67"/>
    <n v="15.925787521209683"/>
    <n v="117.70169496208672"/>
    <n v="295.87360985530717"/>
    <n v="2499"/>
    <n v="6824.8272300000008"/>
    <n v="26360.008374000005"/>
    <n v="2842.7530725359284"/>
    <n v="11133.662270192701"/>
    <n v="27987.335678155188"/>
  </r>
  <r>
    <s v="Regular"/>
    <x v="2"/>
    <x v="0"/>
    <x v="3"/>
    <x v="1"/>
    <x v="0"/>
    <x v="0"/>
    <x v="0"/>
    <x v="7"/>
    <n v="210"/>
    <n v="178.5"/>
    <n v="98.918999999999997"/>
    <n v="92.983860000000007"/>
    <n v="98.918999999999997"/>
    <n v="92.983860000000007"/>
    <n v="0"/>
    <x v="2"/>
    <n v="0"/>
    <n v="22"/>
    <n v="12"/>
    <n v="61"/>
    <n v="14"/>
    <n v="72.150000000000006"/>
    <n v="278.67"/>
    <n v="15.925787521209683"/>
    <n v="117.70169496208672"/>
    <n v="295.87360985530717"/>
    <n v="2499"/>
    <n v="6708.7854990000014"/>
    <n v="25911.812266200002"/>
    <n v="2842.7530725359284"/>
    <n v="10944.357926117378"/>
    <n v="27511.470316480503"/>
  </r>
  <r>
    <s v="Regular"/>
    <x v="2"/>
    <x v="0"/>
    <x v="3"/>
    <x v="1"/>
    <x v="0"/>
    <x v="0"/>
    <x v="0"/>
    <x v="8"/>
    <n v="210"/>
    <n v="178.5"/>
    <n v="93.923000000000002"/>
    <n v="88.287620000000004"/>
    <n v="93.923000000000002"/>
    <n v="88.287620000000004"/>
    <n v="0"/>
    <x v="2"/>
    <n v="0"/>
    <n v="22"/>
    <n v="12"/>
    <n v="61"/>
    <n v="14"/>
    <n v="72.150000000000006"/>
    <n v="278.67"/>
    <n v="15.925787521209683"/>
    <n v="117.70169496208672"/>
    <n v="295.87360985530717"/>
    <n v="2499"/>
    <n v="6369.9517830000004"/>
    <n v="24603.111065400004"/>
    <n v="2842.7530725359284"/>
    <n v="10391.602518168627"/>
    <n v="26121.976834933615"/>
  </r>
  <r>
    <s v="Regular"/>
    <x v="2"/>
    <x v="0"/>
    <x v="3"/>
    <x v="1"/>
    <x v="0"/>
    <x v="0"/>
    <x v="0"/>
    <x v="9"/>
    <n v="210"/>
    <n v="178.5"/>
    <n v="98.531999999999996"/>
    <n v="92.620080000000002"/>
    <n v="98.531999999999996"/>
    <n v="92.620080000000002"/>
    <n v="0"/>
    <x v="2"/>
    <n v="0"/>
    <n v="22"/>
    <n v="12"/>
    <n v="61"/>
    <n v="14"/>
    <n v="72.150000000000006"/>
    <n v="278.67"/>
    <n v="15.925787521209683"/>
    <n v="117.70169496208672"/>
    <n v="295.87360985530717"/>
    <n v="2499"/>
    <n v="6682.5387720000008"/>
    <n v="25810.437693600001"/>
    <n v="2842.7530725359284"/>
    <n v="10901.54040352407"/>
    <n v="27403.837414687339"/>
  </r>
  <r>
    <s v="Regular"/>
    <x v="2"/>
    <x v="0"/>
    <x v="3"/>
    <x v="1"/>
    <x v="0"/>
    <x v="0"/>
    <x v="0"/>
    <x v="10"/>
    <n v="210"/>
    <n v="178.5"/>
    <n v="97.796999999999997"/>
    <n v="91.929180000000002"/>
    <n v="97.796999999999997"/>
    <n v="91.929180000000002"/>
    <n v="0"/>
    <x v="2"/>
    <n v="0"/>
    <n v="22"/>
    <n v="12"/>
    <n v="61"/>
    <n v="14"/>
    <n v="72.150000000000006"/>
    <n v="278.67"/>
    <n v="15.925787521209683"/>
    <n v="117.70169496208672"/>
    <n v="295.87360985530717"/>
    <n v="2499"/>
    <n v="6632.6903370000009"/>
    <n v="25617.904590600003"/>
    <n v="2842.7530725359284"/>
    <n v="10820.220302474763"/>
    <n v="27199.418337638308"/>
  </r>
  <r>
    <s v="PROJETADO"/>
    <x v="2"/>
    <x v="0"/>
    <x v="3"/>
    <x v="1"/>
    <x v="0"/>
    <x v="0"/>
    <x v="0"/>
    <x v="11"/>
    <n v="210"/>
    <n v="178.5"/>
    <n v="97.796999999999997"/>
    <n v="91.929180000000002"/>
    <n v="97.796999999999997"/>
    <n v="91.929180000000002"/>
    <n v="0"/>
    <x v="2"/>
    <n v="0"/>
    <n v="22"/>
    <n v="12"/>
    <n v="61"/>
    <n v="14"/>
    <n v="72.150000000000006"/>
    <n v="278.67"/>
    <n v="15.925787521209683"/>
    <n v="117.70169496208672"/>
    <n v="295.87360985530717"/>
    <n v="2499"/>
    <n v="6632.6903370000009"/>
    <n v="25617.904590600003"/>
    <n v="2842.7530725359284"/>
    <n v="10820.220302474763"/>
    <n v="27199.418337638308"/>
  </r>
  <r>
    <s v="Regular"/>
    <x v="2"/>
    <x v="0"/>
    <x v="3"/>
    <x v="1"/>
    <x v="0"/>
    <x v="0"/>
    <x v="2"/>
    <x v="0"/>
    <n v="210"/>
    <n v="178.5"/>
    <n v="8.58"/>
    <n v="8.065199999999999"/>
    <n v="8.58"/>
    <n v="8.065199999999999"/>
    <n v="0"/>
    <x v="2"/>
    <n v="0"/>
    <n v="9"/>
    <n v="12"/>
    <n v="38"/>
    <n v="35.76"/>
    <n v="72.150000000000006"/>
    <n v="442.86"/>
    <n v="40.761307833720963"/>
    <n v="117.70169496208672"/>
    <n v="476.88775168498375"/>
    <n v="6383.16"/>
    <n v="581.90418"/>
    <n v="3571.7544719999996"/>
    <n v="7275.8934483191915"/>
    <n v="949.28771020822171"/>
    <n v="3846.1950948897306"/>
  </r>
  <r>
    <s v="Regular"/>
    <x v="2"/>
    <x v="0"/>
    <x v="3"/>
    <x v="1"/>
    <x v="0"/>
    <x v="0"/>
    <x v="2"/>
    <x v="1"/>
    <n v="210"/>
    <n v="178.5"/>
    <n v="8.7170000000000005"/>
    <n v="8.1939799999999998"/>
    <n v="8.7170000000000005"/>
    <n v="8.1939799999999998"/>
    <n v="0"/>
    <x v="2"/>
    <n v="0"/>
    <n v="9"/>
    <n v="12"/>
    <n v="38"/>
    <n v="35.76"/>
    <n v="72.150000000000006"/>
    <n v="442.86"/>
    <n v="40.761307833720963"/>
    <n v="117.70169496208672"/>
    <n v="476.88775168498375"/>
    <n v="6383.16"/>
    <n v="591.19565699999998"/>
    <n v="3628.7859828000001"/>
    <n v="7275.8934483191915"/>
    <n v="964.44533448543928"/>
    <n v="3907.608699551723"/>
  </r>
  <r>
    <s v="Regular"/>
    <x v="2"/>
    <x v="0"/>
    <x v="3"/>
    <x v="1"/>
    <x v="0"/>
    <x v="0"/>
    <x v="2"/>
    <x v="2"/>
    <n v="210"/>
    <n v="178.5"/>
    <n v="11.147"/>
    <n v="10.47818"/>
    <n v="11.147"/>
    <n v="10.47818"/>
    <n v="0"/>
    <x v="2"/>
    <n v="0"/>
    <n v="9"/>
    <n v="12"/>
    <n v="38"/>
    <n v="35.76"/>
    <n v="72.150000000000006"/>
    <n v="442.86"/>
    <n v="40.761307833720963"/>
    <n v="117.70169496208672"/>
    <n v="476.88775168498375"/>
    <n v="6383.16"/>
    <n v="756.00068700000008"/>
    <n v="4640.3667948000002"/>
    <n v="7275.8934483191915"/>
    <n v="1233.2995461178377"/>
    <n v="4996.9157019505628"/>
  </r>
  <r>
    <s v="Regular"/>
    <x v="2"/>
    <x v="0"/>
    <x v="3"/>
    <x v="1"/>
    <x v="0"/>
    <x v="0"/>
    <x v="2"/>
    <x v="3"/>
    <n v="210"/>
    <n v="178.5"/>
    <n v="9.7609999999999992"/>
    <n v="9.1753400000000003"/>
    <n v="9.7609999999999992"/>
    <n v="9.1753400000000003"/>
    <n v="0"/>
    <x v="2"/>
    <n v="0"/>
    <n v="9"/>
    <n v="12"/>
    <n v="38"/>
    <n v="35.76"/>
    <n v="72.150000000000006"/>
    <n v="442.86"/>
    <n v="40.761307833720963"/>
    <n v="117.70169496208672"/>
    <n v="476.88775168498375"/>
    <n v="6383.16"/>
    <n v="662.00078100000007"/>
    <n v="4063.3910724000002"/>
    <n v="7275.8934483191915"/>
    <n v="1079.9530698534327"/>
    <n v="4375.6072635452992"/>
  </r>
  <r>
    <s v="Regular"/>
    <x v="2"/>
    <x v="0"/>
    <x v="3"/>
    <x v="1"/>
    <x v="0"/>
    <x v="0"/>
    <x v="2"/>
    <x v="4"/>
    <n v="210"/>
    <n v="178.5"/>
    <n v="10.478999999999999"/>
    <n v="9.8502600000000005"/>
    <n v="10.478999999999999"/>
    <n v="9.8502600000000005"/>
    <n v="0"/>
    <x v="2"/>
    <n v="0"/>
    <n v="9"/>
    <n v="12"/>
    <n v="38"/>
    <n v="35.76"/>
    <n v="72.150000000000006"/>
    <n v="442.86"/>
    <n v="40.761307833720963"/>
    <n v="117.70169496208672"/>
    <n v="476.88775168498375"/>
    <n v="6383.16"/>
    <n v="710.69625900000005"/>
    <n v="4362.2861436000003"/>
    <n v="7275.8934483191915"/>
    <n v="1159.3922978172443"/>
    <n v="4697.4683449125287"/>
  </r>
  <r>
    <s v="Regular"/>
    <x v="2"/>
    <x v="0"/>
    <x v="3"/>
    <x v="1"/>
    <x v="0"/>
    <x v="0"/>
    <x v="2"/>
    <x v="5"/>
    <n v="210"/>
    <n v="178.5"/>
    <n v="9.7949999999999999"/>
    <n v="9.2073"/>
    <n v="9.7949999999999999"/>
    <n v="9.2073"/>
    <n v="0"/>
    <x v="2"/>
    <n v="0"/>
    <n v="9"/>
    <n v="12"/>
    <n v="38"/>
    <n v="35.76"/>
    <n v="72.150000000000006"/>
    <n v="442.86"/>
    <n v="40.761307833720963"/>
    <n v="117.70169496208672"/>
    <n v="476.88775168498375"/>
    <n v="6383.16"/>
    <n v="664.3066950000001"/>
    <n v="4077.5448780000002"/>
    <n v="7275.8934483191915"/>
    <n v="1083.714816024421"/>
    <n v="4390.8485960891512"/>
  </r>
  <r>
    <s v="Regular"/>
    <x v="2"/>
    <x v="0"/>
    <x v="3"/>
    <x v="1"/>
    <x v="0"/>
    <x v="0"/>
    <x v="2"/>
    <x v="6"/>
    <n v="210"/>
    <n v="178.5"/>
    <n v="10.18"/>
    <n v="9.5692000000000004"/>
    <n v="10.18"/>
    <n v="9.5692000000000004"/>
    <n v="0"/>
    <x v="2"/>
    <n v="0"/>
    <n v="9"/>
    <n v="12"/>
    <n v="38"/>
    <n v="35.76"/>
    <n v="72.150000000000006"/>
    <n v="442.86"/>
    <n v="40.761307833720963"/>
    <n v="117.70169496208672"/>
    <n v="476.88775168498375"/>
    <n v="6383.16"/>
    <n v="690.41778000000011"/>
    <n v="4237.815912"/>
    <n v="7275.8934483191915"/>
    <n v="1126.3110594312002"/>
    <n v="4563.4342734239472"/>
  </r>
  <r>
    <s v="Regular"/>
    <x v="2"/>
    <x v="0"/>
    <x v="3"/>
    <x v="1"/>
    <x v="0"/>
    <x v="0"/>
    <x v="2"/>
    <x v="7"/>
    <n v="210"/>
    <n v="178.5"/>
    <n v="10.914"/>
    <n v="10.25916"/>
    <n v="10.914"/>
    <n v="10.25916"/>
    <n v="0"/>
    <x v="2"/>
    <n v="0"/>
    <n v="9"/>
    <n v="12"/>
    <n v="38"/>
    <n v="35.76"/>
    <n v="72.150000000000006"/>
    <n v="442.86"/>
    <n v="40.761307833720963"/>
    <n v="117.70169496208672"/>
    <n v="476.88775168498375"/>
    <n v="6383.16"/>
    <n v="740.19839400000001"/>
    <n v="4543.3715976000003"/>
    <n v="7275.8934483191915"/>
    <n v="1207.5205208872414"/>
    <n v="4892.467746576518"/>
  </r>
  <r>
    <s v="Regular"/>
    <x v="2"/>
    <x v="0"/>
    <x v="3"/>
    <x v="1"/>
    <x v="0"/>
    <x v="0"/>
    <x v="2"/>
    <x v="8"/>
    <n v="210"/>
    <n v="178.5"/>
    <n v="10.762"/>
    <n v="10.11628"/>
    <n v="10.762"/>
    <n v="10.11628"/>
    <n v="0"/>
    <x v="2"/>
    <n v="0"/>
    <n v="9"/>
    <n v="12"/>
    <n v="38"/>
    <n v="35.76"/>
    <n v="72.150000000000006"/>
    <n v="442.86"/>
    <n v="40.761307833720963"/>
    <n v="117.70169496208672"/>
    <n v="476.88775168498375"/>
    <n v="6383.16"/>
    <n v="729.88960200000008"/>
    <n v="4480.0957607999999"/>
    <n v="7275.8934483191915"/>
    <n v="1190.7033027110585"/>
    <n v="4824.3300246157669"/>
  </r>
  <r>
    <s v="Regular"/>
    <x v="2"/>
    <x v="0"/>
    <x v="3"/>
    <x v="1"/>
    <x v="0"/>
    <x v="0"/>
    <x v="2"/>
    <x v="9"/>
    <n v="210"/>
    <n v="178.5"/>
    <n v="10.159000000000001"/>
    <n v="9.5494599999999998"/>
    <n v="10.159000000000001"/>
    <n v="9.5494599999999998"/>
    <n v="0"/>
    <x v="2"/>
    <n v="0"/>
    <n v="9"/>
    <n v="12"/>
    <n v="38"/>
    <n v="35.76"/>
    <n v="72.150000000000006"/>
    <n v="442.86"/>
    <n v="40.761307833720963"/>
    <n v="117.70169496208672"/>
    <n v="476.88775168498375"/>
    <n v="6383.16"/>
    <n v="688.99353900000006"/>
    <n v="4229.0738555999997"/>
    <n v="7275.8934483191915"/>
    <n v="1123.9876279726486"/>
    <n v="4554.0205092056849"/>
  </r>
  <r>
    <s v="Regular"/>
    <x v="2"/>
    <x v="0"/>
    <x v="3"/>
    <x v="1"/>
    <x v="0"/>
    <x v="0"/>
    <x v="2"/>
    <x v="10"/>
    <n v="210"/>
    <n v="178.5"/>
    <n v="10.811999999999999"/>
    <n v="10.16328"/>
    <n v="10.811999999999999"/>
    <n v="10.16328"/>
    <n v="0"/>
    <x v="2"/>
    <n v="0"/>
    <n v="9"/>
    <n v="12"/>
    <n v="38"/>
    <n v="35.76"/>
    <n v="72.150000000000006"/>
    <n v="442.86"/>
    <n v="40.761307833720963"/>
    <n v="117.70169496208672"/>
    <n v="476.88775168498375"/>
    <n v="6383.16"/>
    <n v="733.28065200000003"/>
    <n v="4500.9101808000005"/>
    <n v="7275.8934483191915"/>
    <n v="1196.2352823742767"/>
    <n v="4846.7437489449621"/>
  </r>
  <r>
    <s v="PROJETADO"/>
    <x v="2"/>
    <x v="0"/>
    <x v="3"/>
    <x v="1"/>
    <x v="0"/>
    <x v="0"/>
    <x v="2"/>
    <x v="11"/>
    <n v="210"/>
    <n v="178.5"/>
    <n v="10.811999999999999"/>
    <n v="10.16328"/>
    <n v="10.811999999999999"/>
    <n v="10.16328"/>
    <n v="0"/>
    <x v="2"/>
    <n v="0"/>
    <n v="9"/>
    <n v="12"/>
    <n v="38"/>
    <n v="35.76"/>
    <n v="72.150000000000006"/>
    <n v="442.86"/>
    <n v="40.761307833720963"/>
    <n v="117.70169496208672"/>
    <n v="476.88775168498375"/>
    <n v="6383.16"/>
    <n v="733.28065200000003"/>
    <n v="4500.9101808000005"/>
    <n v="7275.8934483191915"/>
    <n v="1196.2352823742767"/>
    <n v="4846.7437489449621"/>
  </r>
  <r>
    <s v="Regular"/>
    <x v="2"/>
    <x v="1"/>
    <x v="1"/>
    <x v="0"/>
    <x v="0"/>
    <x v="2"/>
    <x v="1"/>
    <x v="0"/>
    <n v="8780"/>
    <n v="8780"/>
    <n v="0"/>
    <n v="0"/>
    <n v="0"/>
    <n v="0"/>
    <n v="0"/>
    <x v="1"/>
    <n v="109"/>
    <n v="17"/>
    <n v="0"/>
    <n v="0"/>
    <n v="3.27"/>
    <n v="0"/>
    <n v="0"/>
    <n v="3.7327912974361288"/>
    <m/>
    <m/>
    <n v="28710.6"/>
    <n v="0"/>
    <n v="0"/>
    <n v="32773.907591489209"/>
    <n v="0"/>
    <n v="0"/>
  </r>
  <r>
    <s v="Regular"/>
    <x v="2"/>
    <x v="1"/>
    <x v="1"/>
    <x v="0"/>
    <x v="0"/>
    <x v="2"/>
    <x v="1"/>
    <x v="1"/>
    <n v="8780"/>
    <n v="8780"/>
    <n v="0"/>
    <n v="0"/>
    <n v="0"/>
    <n v="0"/>
    <n v="0"/>
    <x v="1"/>
    <n v="109"/>
    <n v="17"/>
    <n v="0"/>
    <n v="0"/>
    <n v="3.27"/>
    <n v="0"/>
    <n v="0"/>
    <n v="3.7327912974361288"/>
    <m/>
    <m/>
    <n v="28710.6"/>
    <n v="0"/>
    <n v="0"/>
    <n v="32773.907591489209"/>
    <n v="0"/>
    <n v="0"/>
  </r>
  <r>
    <s v="Regular"/>
    <x v="2"/>
    <x v="1"/>
    <x v="1"/>
    <x v="0"/>
    <x v="0"/>
    <x v="2"/>
    <x v="1"/>
    <x v="2"/>
    <n v="8780"/>
    <n v="8780"/>
    <n v="0"/>
    <n v="0"/>
    <n v="0"/>
    <n v="0"/>
    <n v="0"/>
    <x v="1"/>
    <n v="109"/>
    <n v="17"/>
    <n v="0"/>
    <n v="0"/>
    <n v="3.27"/>
    <n v="0"/>
    <n v="0"/>
    <n v="3.7327912974361288"/>
    <m/>
    <m/>
    <n v="28710.6"/>
    <n v="0"/>
    <n v="0"/>
    <n v="32773.907591489209"/>
    <n v="0"/>
    <n v="0"/>
  </r>
  <r>
    <s v="Regular"/>
    <x v="2"/>
    <x v="1"/>
    <x v="1"/>
    <x v="0"/>
    <x v="0"/>
    <x v="2"/>
    <x v="1"/>
    <x v="3"/>
    <n v="8780"/>
    <n v="8780"/>
    <n v="0"/>
    <n v="0"/>
    <n v="0"/>
    <n v="0"/>
    <n v="0"/>
    <x v="1"/>
    <n v="109"/>
    <n v="17"/>
    <n v="0"/>
    <n v="0"/>
    <n v="3.27"/>
    <n v="0"/>
    <n v="0"/>
    <n v="3.7327912974361288"/>
    <m/>
    <m/>
    <n v="28710.6"/>
    <n v="0"/>
    <n v="0"/>
    <n v="32773.907591489209"/>
    <n v="0"/>
    <n v="0"/>
  </r>
  <r>
    <s v="Regular"/>
    <x v="2"/>
    <x v="1"/>
    <x v="1"/>
    <x v="0"/>
    <x v="0"/>
    <x v="2"/>
    <x v="1"/>
    <x v="4"/>
    <n v="8780"/>
    <n v="8780"/>
    <n v="0"/>
    <n v="0"/>
    <n v="0"/>
    <n v="0"/>
    <n v="0"/>
    <x v="1"/>
    <n v="109"/>
    <n v="17"/>
    <n v="0"/>
    <n v="0"/>
    <n v="3.27"/>
    <n v="0"/>
    <n v="0"/>
    <n v="3.7327912974361288"/>
    <m/>
    <m/>
    <n v="28710.6"/>
    <n v="0"/>
    <n v="0"/>
    <n v="32773.907591489209"/>
    <n v="0"/>
    <n v="0"/>
  </r>
  <r>
    <s v="Regular"/>
    <x v="2"/>
    <x v="1"/>
    <x v="1"/>
    <x v="0"/>
    <x v="0"/>
    <x v="2"/>
    <x v="1"/>
    <x v="5"/>
    <n v="8780"/>
    <n v="8780"/>
    <n v="0"/>
    <n v="0"/>
    <n v="0"/>
    <n v="0"/>
    <n v="0"/>
    <x v="1"/>
    <n v="109"/>
    <n v="17"/>
    <n v="0"/>
    <n v="0"/>
    <n v="3.27"/>
    <n v="0"/>
    <n v="0"/>
    <n v="3.7327912974361288"/>
    <m/>
    <m/>
    <n v="28710.6"/>
    <n v="0"/>
    <n v="0"/>
    <n v="32773.907591489209"/>
    <n v="0"/>
    <n v="0"/>
  </r>
  <r>
    <s v="Regular"/>
    <x v="2"/>
    <x v="1"/>
    <x v="1"/>
    <x v="0"/>
    <x v="0"/>
    <x v="2"/>
    <x v="1"/>
    <x v="6"/>
    <n v="8780"/>
    <n v="8780"/>
    <n v="0"/>
    <n v="0"/>
    <n v="0"/>
    <n v="0"/>
    <n v="0"/>
    <x v="1"/>
    <n v="109"/>
    <n v="17"/>
    <n v="0"/>
    <n v="0"/>
    <n v="3.27"/>
    <n v="0"/>
    <n v="0"/>
    <n v="3.7327912974361288"/>
    <m/>
    <m/>
    <n v="28710.6"/>
    <n v="0"/>
    <n v="0"/>
    <n v="32773.907591489209"/>
    <n v="0"/>
    <n v="0"/>
  </r>
  <r>
    <s v="Regular"/>
    <x v="2"/>
    <x v="1"/>
    <x v="1"/>
    <x v="0"/>
    <x v="0"/>
    <x v="2"/>
    <x v="1"/>
    <x v="7"/>
    <n v="8780"/>
    <n v="8780"/>
    <n v="0"/>
    <n v="0"/>
    <n v="0"/>
    <n v="0"/>
    <n v="0"/>
    <x v="1"/>
    <n v="109"/>
    <n v="17"/>
    <n v="0"/>
    <n v="0"/>
    <n v="3.27"/>
    <n v="0"/>
    <n v="0"/>
    <n v="3.7327912974361288"/>
    <m/>
    <m/>
    <n v="28710.6"/>
    <n v="0"/>
    <n v="0"/>
    <n v="32773.907591489209"/>
    <n v="0"/>
    <n v="0"/>
  </r>
  <r>
    <s v="Regular"/>
    <x v="2"/>
    <x v="1"/>
    <x v="1"/>
    <x v="0"/>
    <x v="0"/>
    <x v="2"/>
    <x v="1"/>
    <x v="8"/>
    <n v="8780"/>
    <n v="8780"/>
    <n v="0"/>
    <n v="0"/>
    <n v="0"/>
    <n v="0"/>
    <n v="0"/>
    <x v="1"/>
    <n v="109"/>
    <n v="17"/>
    <n v="0"/>
    <n v="0"/>
    <n v="3.27"/>
    <n v="0"/>
    <n v="0"/>
    <n v="3.7327912974361288"/>
    <m/>
    <m/>
    <n v="28710.6"/>
    <n v="0"/>
    <n v="0"/>
    <n v="32773.907591489209"/>
    <n v="0"/>
    <n v="0"/>
  </r>
  <r>
    <s v="Regular"/>
    <x v="2"/>
    <x v="1"/>
    <x v="1"/>
    <x v="0"/>
    <x v="0"/>
    <x v="2"/>
    <x v="1"/>
    <x v="9"/>
    <n v="8780"/>
    <n v="8780"/>
    <n v="0"/>
    <n v="0"/>
    <n v="0"/>
    <n v="0"/>
    <n v="0"/>
    <x v="1"/>
    <n v="109"/>
    <n v="17"/>
    <n v="0"/>
    <n v="0"/>
    <n v="3.27"/>
    <n v="0"/>
    <n v="0"/>
    <n v="3.7327912974361288"/>
    <m/>
    <m/>
    <n v="28710.6"/>
    <n v="0"/>
    <n v="0"/>
    <n v="32773.907591489209"/>
    <n v="0"/>
    <n v="0"/>
  </r>
  <r>
    <s v="Regular"/>
    <x v="2"/>
    <x v="1"/>
    <x v="1"/>
    <x v="0"/>
    <x v="0"/>
    <x v="2"/>
    <x v="1"/>
    <x v="10"/>
    <n v="8780"/>
    <n v="8780"/>
    <n v="0"/>
    <n v="0"/>
    <n v="0"/>
    <n v="0"/>
    <n v="0"/>
    <x v="1"/>
    <n v="109"/>
    <n v="17"/>
    <n v="0"/>
    <n v="0"/>
    <n v="3.27"/>
    <n v="0"/>
    <n v="0"/>
    <n v="3.7327912974361288"/>
    <m/>
    <m/>
    <n v="28710.6"/>
    <n v="0"/>
    <n v="0"/>
    <n v="32773.907591489209"/>
    <n v="0"/>
    <n v="0"/>
  </r>
  <r>
    <s v="PROJETADO"/>
    <x v="2"/>
    <x v="1"/>
    <x v="1"/>
    <x v="0"/>
    <x v="0"/>
    <x v="2"/>
    <x v="1"/>
    <x v="11"/>
    <n v="8780"/>
    <n v="8780"/>
    <n v="0"/>
    <n v="0"/>
    <n v="0"/>
    <n v="0"/>
    <n v="0"/>
    <x v="1"/>
    <n v="109"/>
    <n v="17"/>
    <n v="0"/>
    <n v="0"/>
    <n v="3.27"/>
    <n v="0"/>
    <n v="0"/>
    <n v="3.7327912974361288"/>
    <m/>
    <m/>
    <n v="28710.6"/>
    <n v="0"/>
    <n v="0"/>
    <n v="32773.907591489209"/>
    <n v="0"/>
    <n v="0"/>
  </r>
  <r>
    <s v="Regular"/>
    <x v="2"/>
    <x v="2"/>
    <x v="2"/>
    <x v="0"/>
    <x v="0"/>
    <x v="0"/>
    <x v="0"/>
    <x v="0"/>
    <n v="0"/>
    <n v="0"/>
    <n v="1435.654"/>
    <n v="1435.654"/>
    <n v="1435.654"/>
    <n v="1435.654"/>
    <n v="0"/>
    <x v="2"/>
    <n v="0"/>
    <n v="0"/>
    <n v="6"/>
    <n v="61"/>
    <n v="0"/>
    <n v="72.150000000000006"/>
    <n v="278.67"/>
    <m/>
    <n v="117.70169496208672"/>
    <n v="295.87360985530717"/>
    <n v="0"/>
    <n v="103582.43610000001"/>
    <n v="400073.70018000004"/>
    <n v="0"/>
    <n v="168978.90917909966"/>
    <n v="424772.13148321112"/>
  </r>
  <r>
    <s v="Sistema de Compensação"/>
    <x v="2"/>
    <x v="2"/>
    <x v="2"/>
    <x v="0"/>
    <x v="0"/>
    <x v="0"/>
    <x v="0"/>
    <x v="0"/>
    <n v="0"/>
    <n v="0"/>
    <n v="13.231999999999999"/>
    <n v="13.231999999999999"/>
    <n v="13.231999999999999"/>
    <n v="13.231999999999999"/>
    <n v="0"/>
    <x v="2"/>
    <n v="0"/>
    <n v="0"/>
    <n v="6"/>
    <n v="61"/>
    <n v="0"/>
    <n v="72.150000000000006"/>
    <n v="278.67"/>
    <m/>
    <n v="117.70169496208672"/>
    <n v="295.87360985530717"/>
    <n v="0"/>
    <n v="954.68880000000001"/>
    <n v="3687.3614400000001"/>
    <n v="0"/>
    <n v="1557.4288277383314"/>
    <n v="3914.9996056054242"/>
  </r>
  <r>
    <s v="Regular"/>
    <x v="2"/>
    <x v="2"/>
    <x v="2"/>
    <x v="0"/>
    <x v="0"/>
    <x v="0"/>
    <x v="0"/>
    <x v="1"/>
    <n v="0"/>
    <n v="0"/>
    <n v="1438.761"/>
    <n v="1438.761"/>
    <n v="1438.761"/>
    <n v="1438.761"/>
    <n v="0"/>
    <x v="2"/>
    <n v="0"/>
    <n v="0"/>
    <n v="6"/>
    <n v="61"/>
    <n v="0"/>
    <n v="72.150000000000006"/>
    <n v="278.67"/>
    <m/>
    <n v="117.70169496208672"/>
    <n v="295.87360985530717"/>
    <n v="0"/>
    <n v="103806.60615000001"/>
    <n v="400939.52786999999"/>
    <n v="0"/>
    <n v="169344.60834534685"/>
    <n v="425691.41078903159"/>
  </r>
  <r>
    <s v="Sistema de Compensação"/>
    <x v="2"/>
    <x v="2"/>
    <x v="2"/>
    <x v="0"/>
    <x v="0"/>
    <x v="0"/>
    <x v="0"/>
    <x v="1"/>
    <n v="0"/>
    <n v="0"/>
    <n v="9.1479999999999997"/>
    <n v="9.1479999999999997"/>
    <n v="9.1479999999999997"/>
    <n v="9.1479999999999997"/>
    <n v="0"/>
    <x v="2"/>
    <n v="0"/>
    <n v="0"/>
    <n v="6"/>
    <n v="61"/>
    <n v="0"/>
    <n v="72.150000000000006"/>
    <n v="278.67"/>
    <m/>
    <n v="117.70169496208672"/>
    <n v="295.87360985530717"/>
    <n v="0"/>
    <n v="660.02820000000008"/>
    <n v="2549.2731600000002"/>
    <n v="0"/>
    <n v="1076.7351055131692"/>
    <n v="2706.65178295635"/>
  </r>
  <r>
    <s v="Regular"/>
    <x v="2"/>
    <x v="2"/>
    <x v="2"/>
    <x v="0"/>
    <x v="0"/>
    <x v="0"/>
    <x v="0"/>
    <x v="2"/>
    <n v="0"/>
    <n v="0"/>
    <n v="1416.777"/>
    <n v="1416.777"/>
    <n v="1416.777"/>
    <n v="1416.777"/>
    <n v="0"/>
    <x v="2"/>
    <n v="0"/>
    <n v="0"/>
    <n v="6"/>
    <n v="61"/>
    <n v="0"/>
    <n v="72.150000000000006"/>
    <n v="278.67"/>
    <m/>
    <n v="117.70169496208672"/>
    <n v="295.87360985530717"/>
    <n v="0"/>
    <n v="102220.46055000002"/>
    <n v="394813.24659000005"/>
    <n v="0"/>
    <n v="166757.05428330033"/>
    <n v="419186.92534997256"/>
  </r>
  <r>
    <s v="Sistema de Compensação"/>
    <x v="2"/>
    <x v="2"/>
    <x v="2"/>
    <x v="0"/>
    <x v="0"/>
    <x v="0"/>
    <x v="0"/>
    <x v="2"/>
    <n v="0"/>
    <n v="0"/>
    <n v="11.494999999999999"/>
    <n v="11.494999999999999"/>
    <n v="11.494999999999999"/>
    <n v="11.494999999999999"/>
    <n v="0"/>
    <x v="2"/>
    <n v="0"/>
    <n v="0"/>
    <n v="6"/>
    <n v="61"/>
    <n v="0"/>
    <n v="72.150000000000006"/>
    <n v="278.67"/>
    <m/>
    <n v="117.70169496208672"/>
    <n v="295.87360985530717"/>
    <n v="0"/>
    <n v="829.36424999999997"/>
    <n v="3203.3116500000001"/>
    <n v="0"/>
    <n v="1352.9809835891867"/>
    <n v="3401.0671452867555"/>
  </r>
  <r>
    <s v="Regular"/>
    <x v="2"/>
    <x v="2"/>
    <x v="2"/>
    <x v="0"/>
    <x v="0"/>
    <x v="0"/>
    <x v="0"/>
    <x v="3"/>
    <n v="0"/>
    <n v="0"/>
    <n v="1439.9069999999999"/>
    <n v="1439.9069999999999"/>
    <n v="1439.9069999999999"/>
    <n v="1439.9069999999999"/>
    <n v="0"/>
    <x v="2"/>
    <n v="0"/>
    <n v="0"/>
    <n v="6"/>
    <n v="61"/>
    <n v="0"/>
    <n v="72.150000000000006"/>
    <n v="278.67"/>
    <m/>
    <n v="117.70169496208672"/>
    <n v="295.87360985530717"/>
    <n v="0"/>
    <n v="103889.29005"/>
    <n v="401258.88368999999"/>
    <n v="0"/>
    <n v="169479.49448777339"/>
    <n v="426030.48194592574"/>
  </r>
  <r>
    <s v="Refaturamento - Regular"/>
    <x v="2"/>
    <x v="2"/>
    <x v="2"/>
    <x v="0"/>
    <x v="0"/>
    <x v="0"/>
    <x v="0"/>
    <x v="3"/>
    <n v="0"/>
    <n v="0"/>
    <n v="-8.548"/>
    <n v="-8.548"/>
    <n v="-8.548"/>
    <n v="-8.548"/>
    <n v="0"/>
    <x v="2"/>
    <n v="0"/>
    <n v="0"/>
    <n v="6"/>
    <n v="61"/>
    <n v="0"/>
    <n v="72.150000000000006"/>
    <n v="278.67"/>
    <m/>
    <n v="117.70169496208672"/>
    <n v="295.87360985530717"/>
    <n v="0"/>
    <n v="-616.73820000000001"/>
    <n v="-2382.07116"/>
    <n v="0"/>
    <n v="-1006.1140885359173"/>
    <n v="-2529.1276170431656"/>
  </r>
  <r>
    <s v="Sistema de Compensação"/>
    <x v="2"/>
    <x v="2"/>
    <x v="2"/>
    <x v="0"/>
    <x v="0"/>
    <x v="0"/>
    <x v="0"/>
    <x v="3"/>
    <n v="0"/>
    <n v="0"/>
    <n v="13.712"/>
    <n v="13.712"/>
    <n v="13.712"/>
    <n v="13.712"/>
    <n v="0"/>
    <x v="2"/>
    <n v="0"/>
    <n v="0"/>
    <n v="6"/>
    <n v="61"/>
    <n v="0"/>
    <n v="72.150000000000006"/>
    <n v="278.67"/>
    <m/>
    <n v="117.70169496208672"/>
    <n v="295.87360985530717"/>
    <n v="0"/>
    <n v="989.32080000000008"/>
    <n v="3821.1230399999999"/>
    <n v="0"/>
    <n v="1613.9256413201331"/>
    <n v="4057.0189383359716"/>
  </r>
  <r>
    <s v="Regular"/>
    <x v="2"/>
    <x v="2"/>
    <x v="2"/>
    <x v="0"/>
    <x v="0"/>
    <x v="0"/>
    <x v="0"/>
    <x v="4"/>
    <n v="0"/>
    <n v="0"/>
    <n v="1239.104"/>
    <n v="1239.104"/>
    <n v="1239.104"/>
    <n v="1239.104"/>
    <n v="0"/>
    <x v="2"/>
    <n v="0"/>
    <n v="0"/>
    <n v="6"/>
    <n v="61"/>
    <n v="0"/>
    <n v="72.150000000000006"/>
    <n v="278.67"/>
    <m/>
    <n v="117.70169496208672"/>
    <n v="295.87360985530717"/>
    <n v="0"/>
    <n v="89401.353600000017"/>
    <n v="345301.11168000003"/>
    <n v="0"/>
    <n v="145844.64103430152"/>
    <n v="366618.17346615053"/>
  </r>
  <r>
    <s v="Sistema de Compensação"/>
    <x v="2"/>
    <x v="2"/>
    <x v="2"/>
    <x v="0"/>
    <x v="0"/>
    <x v="0"/>
    <x v="0"/>
    <x v="4"/>
    <n v="0"/>
    <n v="0"/>
    <n v="10.787000000000001"/>
    <n v="10.787000000000001"/>
    <n v="10.787000000000001"/>
    <n v="10.787000000000001"/>
    <n v="0"/>
    <x v="2"/>
    <n v="0"/>
    <n v="0"/>
    <n v="6"/>
    <n v="61"/>
    <n v="0"/>
    <n v="72.150000000000006"/>
    <n v="278.67"/>
    <m/>
    <n v="117.70169496208672"/>
    <n v="295.87360985530717"/>
    <n v="0"/>
    <n v="778.28205000000014"/>
    <n v="3006.0132900000003"/>
    <n v="0"/>
    <n v="1269.6481835560296"/>
    <n v="3191.5886295091987"/>
  </r>
  <r>
    <s v="Regular"/>
    <x v="2"/>
    <x v="2"/>
    <x v="2"/>
    <x v="0"/>
    <x v="0"/>
    <x v="0"/>
    <x v="0"/>
    <x v="5"/>
    <n v="0"/>
    <n v="0"/>
    <n v="1221.414"/>
    <n v="1221.414"/>
    <n v="1221.414"/>
    <n v="1221.414"/>
    <n v="0"/>
    <x v="2"/>
    <n v="0"/>
    <n v="0"/>
    <n v="6"/>
    <n v="61"/>
    <n v="0"/>
    <n v="72.150000000000006"/>
    <n v="278.67"/>
    <m/>
    <n v="117.70169496208672"/>
    <n v="295.87360985530717"/>
    <n v="0"/>
    <n v="88125.020100000009"/>
    <n v="340371.43938"/>
    <n v="0"/>
    <n v="143762.49805042217"/>
    <n v="361384.16930781014"/>
  </r>
  <r>
    <s v="Sistema de Compensação"/>
    <x v="2"/>
    <x v="2"/>
    <x v="2"/>
    <x v="0"/>
    <x v="0"/>
    <x v="0"/>
    <x v="0"/>
    <x v="5"/>
    <n v="0"/>
    <n v="0"/>
    <n v="11.592000000000001"/>
    <n v="11.592000000000001"/>
    <n v="11.592000000000001"/>
    <n v="11.592000000000001"/>
    <n v="0"/>
    <x v="2"/>
    <n v="0"/>
    <n v="0"/>
    <n v="6"/>
    <n v="61"/>
    <n v="0"/>
    <n v="72.150000000000006"/>
    <n v="278.67"/>
    <m/>
    <n v="117.70169496208672"/>
    <n v="295.87360985530717"/>
    <n v="0"/>
    <n v="836.36280000000011"/>
    <n v="3230.3426400000003"/>
    <n v="0"/>
    <n v="1364.3980480005093"/>
    <n v="3429.7668854427206"/>
  </r>
  <r>
    <s v="Regular"/>
    <x v="2"/>
    <x v="2"/>
    <x v="2"/>
    <x v="0"/>
    <x v="0"/>
    <x v="0"/>
    <x v="0"/>
    <x v="6"/>
    <n v="0"/>
    <n v="0"/>
    <n v="1104.9069999999999"/>
    <n v="1104.9069999999999"/>
    <n v="1104.9069999999999"/>
    <n v="1104.9069999999999"/>
    <n v="0"/>
    <x v="2"/>
    <n v="0"/>
    <n v="0"/>
    <n v="6"/>
    <n v="61"/>
    <n v="0"/>
    <n v="72.150000000000006"/>
    <n v="278.67"/>
    <m/>
    <n v="117.70169496208672"/>
    <n v="295.87360985530717"/>
    <n v="0"/>
    <n v="79719.040049999996"/>
    <n v="307904.43368999998"/>
    <n v="0"/>
    <n v="130049.42667547434"/>
    <n v="326912.82264439785"/>
  </r>
  <r>
    <s v="Sistema de Compensação"/>
    <x v="2"/>
    <x v="2"/>
    <x v="2"/>
    <x v="0"/>
    <x v="0"/>
    <x v="0"/>
    <x v="0"/>
    <x v="6"/>
    <n v="0"/>
    <n v="0"/>
    <n v="10.664999999999999"/>
    <n v="10.664999999999999"/>
    <n v="10.664999999999999"/>
    <n v="10.664999999999999"/>
    <n v="0"/>
    <x v="2"/>
    <n v="0"/>
    <n v="0"/>
    <n v="6"/>
    <n v="61"/>
    <n v="0"/>
    <n v="72.150000000000006"/>
    <n v="278.67"/>
    <m/>
    <n v="117.70169496208672"/>
    <n v="295.87360985530717"/>
    <n v="0"/>
    <n v="769.47974999999997"/>
    <n v="2972.0155500000001"/>
    <n v="0"/>
    <n v="1255.2885767706548"/>
    <n v="3155.4920491068506"/>
  </r>
  <r>
    <s v="Regular"/>
    <x v="2"/>
    <x v="2"/>
    <x v="2"/>
    <x v="0"/>
    <x v="0"/>
    <x v="0"/>
    <x v="0"/>
    <x v="7"/>
    <n v="0"/>
    <n v="0"/>
    <n v="1036.903"/>
    <n v="1036.903"/>
    <n v="1036.903"/>
    <n v="1036.903"/>
    <n v="0"/>
    <x v="2"/>
    <n v="0"/>
    <n v="0"/>
    <n v="6"/>
    <n v="61"/>
    <n v="0"/>
    <n v="72.150000000000006"/>
    <n v="278.67"/>
    <m/>
    <n v="117.70169496208672"/>
    <n v="295.87360985530717"/>
    <n v="0"/>
    <n v="74812.551450000014"/>
    <n v="288953.75901000004"/>
    <n v="0"/>
    <n v="122045.2406112726"/>
    <n v="306792.23367979756"/>
  </r>
  <r>
    <s v="Sistema de Compensação"/>
    <x v="2"/>
    <x v="2"/>
    <x v="2"/>
    <x v="0"/>
    <x v="0"/>
    <x v="0"/>
    <x v="0"/>
    <x v="7"/>
    <n v="0"/>
    <n v="0"/>
    <n v="11.119"/>
    <n v="11.119"/>
    <n v="11.119"/>
    <n v="11.119"/>
    <n v="0"/>
    <x v="2"/>
    <n v="0"/>
    <n v="0"/>
    <n v="6"/>
    <n v="61"/>
    <n v="0"/>
    <n v="72.150000000000006"/>
    <n v="278.67"/>
    <m/>
    <n v="117.70169496208672"/>
    <n v="295.87360985530717"/>
    <n v="0"/>
    <n v="802.23585000000003"/>
    <n v="3098.5317300000002"/>
    <n v="0"/>
    <n v="1308.7251462834422"/>
    <n v="3289.8186679811602"/>
  </r>
  <r>
    <s v="Regular"/>
    <x v="2"/>
    <x v="2"/>
    <x v="2"/>
    <x v="0"/>
    <x v="0"/>
    <x v="0"/>
    <x v="0"/>
    <x v="8"/>
    <n v="0"/>
    <n v="0"/>
    <n v="970.10500000000002"/>
    <n v="970.10500000000002"/>
    <n v="970.10500000000002"/>
    <n v="970.10500000000002"/>
    <n v="0"/>
    <x v="2"/>
    <n v="0"/>
    <n v="0"/>
    <n v="6"/>
    <n v="61"/>
    <n v="0"/>
    <n v="72.150000000000006"/>
    <n v="278.67"/>
    <m/>
    <n v="117.70169496208672"/>
    <n v="295.87360985530717"/>
    <n v="0"/>
    <n v="69993.075750000004"/>
    <n v="270339.16035000002"/>
    <n v="0"/>
    <n v="114183.00279119513"/>
    <n v="287028.46828868275"/>
  </r>
  <r>
    <s v="Regular"/>
    <x v="2"/>
    <x v="2"/>
    <x v="2"/>
    <x v="0"/>
    <x v="0"/>
    <x v="0"/>
    <x v="0"/>
    <x v="9"/>
    <n v="0"/>
    <n v="0"/>
    <n v="1034.615"/>
    <n v="1034.615"/>
    <n v="1034.615"/>
    <n v="1034.615"/>
    <n v="0"/>
    <x v="2"/>
    <n v="0"/>
    <n v="0"/>
    <n v="6"/>
    <n v="61"/>
    <n v="0"/>
    <n v="72.150000000000006"/>
    <n v="278.67"/>
    <m/>
    <n v="117.70169496208672"/>
    <n v="295.87360985530717"/>
    <n v="0"/>
    <n v="74647.472250000006"/>
    <n v="288316.16205000004"/>
    <n v="0"/>
    <n v="121775.93913319935"/>
    <n v="306115.27486044861"/>
  </r>
  <r>
    <s v="Sistema de Compensação"/>
    <x v="2"/>
    <x v="2"/>
    <x v="2"/>
    <x v="0"/>
    <x v="0"/>
    <x v="0"/>
    <x v="0"/>
    <x v="9"/>
    <n v="0"/>
    <n v="0"/>
    <n v="13.989000000000001"/>
    <n v="13.989000000000001"/>
    <n v="13.989000000000001"/>
    <n v="13.989000000000001"/>
    <n v="0"/>
    <x v="2"/>
    <n v="0"/>
    <n v="0"/>
    <n v="6"/>
    <n v="61"/>
    <n v="0"/>
    <n v="72.150000000000006"/>
    <n v="278.67"/>
    <m/>
    <n v="117.70169496208672"/>
    <n v="295.87360985530717"/>
    <n v="0"/>
    <n v="1009.3063500000002"/>
    <n v="3898.3146300000003"/>
    <n v="0"/>
    <n v="1646.5290108246313"/>
    <n v="4138.9759282658924"/>
  </r>
  <r>
    <s v="Regular"/>
    <x v="2"/>
    <x v="2"/>
    <x v="2"/>
    <x v="0"/>
    <x v="0"/>
    <x v="0"/>
    <x v="0"/>
    <x v="10"/>
    <n v="0"/>
    <n v="0"/>
    <n v="1028.8389999999999"/>
    <n v="1028.8389999999999"/>
    <n v="1028.8389999999999"/>
    <n v="1028.8389999999999"/>
    <n v="0"/>
    <x v="2"/>
    <n v="0"/>
    <n v="0"/>
    <n v="6"/>
    <n v="61"/>
    <n v="0"/>
    <n v="72.150000000000006"/>
    <n v="278.67"/>
    <m/>
    <n v="117.70169496208672"/>
    <n v="295.87360985530717"/>
    <n v="0"/>
    <n v="74230.733850000004"/>
    <n v="286706.56413000001"/>
    <n v="0"/>
    <n v="121096.09414309834"/>
    <n v="304406.30888992437"/>
  </r>
  <r>
    <s v="Refaturamento - Regular"/>
    <x v="2"/>
    <x v="2"/>
    <x v="2"/>
    <x v="0"/>
    <x v="0"/>
    <x v="0"/>
    <x v="0"/>
    <x v="10"/>
    <n v="0"/>
    <n v="0"/>
    <n v="-2.077"/>
    <n v="-2.077"/>
    <n v="-2.077"/>
    <n v="-2.077"/>
    <n v="0"/>
    <x v="2"/>
    <n v="0"/>
    <n v="0"/>
    <n v="6"/>
    <n v="61"/>
    <n v="0"/>
    <n v="72.150000000000006"/>
    <n v="278.67"/>
    <m/>
    <n v="117.70169496208672"/>
    <n v="295.87360985530717"/>
    <n v="0"/>
    <n v="-149.85555000000002"/>
    <n v="-578.79759000000001"/>
    <n v="0"/>
    <n v="-244.46642043625411"/>
    <n v="-614.52948766947293"/>
  </r>
  <r>
    <s v="Sistema de Compensação"/>
    <x v="2"/>
    <x v="2"/>
    <x v="2"/>
    <x v="0"/>
    <x v="0"/>
    <x v="0"/>
    <x v="0"/>
    <x v="10"/>
    <n v="0"/>
    <n v="0"/>
    <n v="14.489000000000001"/>
    <n v="14.489000000000001"/>
    <n v="14.489000000000001"/>
    <n v="14.489000000000001"/>
    <n v="0"/>
    <x v="2"/>
    <n v="0"/>
    <n v="0"/>
    <n v="6"/>
    <n v="61"/>
    <n v="0"/>
    <n v="72.150000000000006"/>
    <n v="278.67"/>
    <m/>
    <n v="117.70169496208672"/>
    <n v="295.87360985530717"/>
    <n v="0"/>
    <n v="1045.3813500000001"/>
    <n v="4037.6496300000003"/>
    <n v="0"/>
    <n v="1705.3798583056746"/>
    <n v="4286.912733193546"/>
  </r>
  <r>
    <s v="PROJETADO"/>
    <x v="2"/>
    <x v="2"/>
    <x v="2"/>
    <x v="0"/>
    <x v="0"/>
    <x v="0"/>
    <x v="0"/>
    <x v="11"/>
    <n v="0"/>
    <n v="0"/>
    <n v="1028.8389999999999"/>
    <n v="1028.8389999999999"/>
    <n v="1028.8389999999999"/>
    <n v="1028.8389999999999"/>
    <n v="0"/>
    <x v="2"/>
    <n v="0"/>
    <n v="0"/>
    <n v="6"/>
    <n v="61"/>
    <n v="0"/>
    <n v="72.150000000000006"/>
    <n v="278.67"/>
    <m/>
    <n v="117.70169496208672"/>
    <n v="295.87360985530717"/>
    <n v="0"/>
    <n v="74230.733850000004"/>
    <n v="286706.56413000001"/>
    <n v="0"/>
    <n v="121096.09414309834"/>
    <n v="304406.30888992437"/>
  </r>
  <r>
    <s v="PROJETADO"/>
    <x v="2"/>
    <x v="2"/>
    <x v="2"/>
    <x v="0"/>
    <x v="0"/>
    <x v="0"/>
    <x v="0"/>
    <x v="11"/>
    <n v="0"/>
    <n v="0"/>
    <n v="-2.077"/>
    <n v="-2.077"/>
    <n v="-2.077"/>
    <n v="-2.077"/>
    <n v="0"/>
    <x v="2"/>
    <n v="0"/>
    <n v="0"/>
    <n v="6"/>
    <n v="61"/>
    <n v="0"/>
    <n v="72.150000000000006"/>
    <n v="278.67"/>
    <m/>
    <n v="117.70169496208672"/>
    <n v="295.87360985530717"/>
    <n v="0"/>
    <n v="-149.85555000000002"/>
    <n v="-578.79759000000001"/>
    <n v="0"/>
    <n v="-244.46642043625411"/>
    <n v="-614.52948766947293"/>
  </r>
  <r>
    <s v="PROJETADO"/>
    <x v="2"/>
    <x v="2"/>
    <x v="2"/>
    <x v="0"/>
    <x v="0"/>
    <x v="0"/>
    <x v="0"/>
    <x v="11"/>
    <n v="0"/>
    <n v="0"/>
    <n v="14.489000000000001"/>
    <n v="14.489000000000001"/>
    <n v="14.489000000000001"/>
    <n v="14.489000000000001"/>
    <n v="0"/>
    <x v="2"/>
    <n v="0"/>
    <n v="0"/>
    <n v="6"/>
    <n v="61"/>
    <n v="0"/>
    <n v="72.150000000000006"/>
    <n v="278.67"/>
    <m/>
    <n v="117.70169496208672"/>
    <n v="295.87360985530717"/>
    <n v="0"/>
    <n v="1045.3813500000001"/>
    <n v="4037.6496300000003"/>
    <n v="0"/>
    <n v="1705.3798583056746"/>
    <n v="4286.912733193546"/>
  </r>
  <r>
    <s v="Regular"/>
    <x v="2"/>
    <x v="2"/>
    <x v="2"/>
    <x v="0"/>
    <x v="0"/>
    <x v="0"/>
    <x v="1"/>
    <x v="0"/>
    <n v="7387"/>
    <n v="7387"/>
    <n v="0"/>
    <n v="0"/>
    <n v="0"/>
    <n v="0"/>
    <n v="64"/>
    <x v="2"/>
    <n v="0"/>
    <n v="20"/>
    <n v="0"/>
    <n v="0"/>
    <n v="14"/>
    <n v="0"/>
    <n v="0"/>
    <n v="15.925787521209683"/>
    <m/>
    <m/>
    <n v="103418"/>
    <n v="0"/>
    <n v="0"/>
    <n v="117643.79241917592"/>
    <n v="0"/>
    <n v="0"/>
  </r>
  <r>
    <s v="Sistema de Compensação"/>
    <x v="2"/>
    <x v="2"/>
    <x v="2"/>
    <x v="0"/>
    <x v="0"/>
    <x v="0"/>
    <x v="1"/>
    <x v="0"/>
    <n v="135"/>
    <n v="135"/>
    <n v="0"/>
    <n v="0"/>
    <n v="0"/>
    <n v="0"/>
    <n v="2"/>
    <x v="2"/>
    <n v="0"/>
    <n v="20"/>
    <n v="0"/>
    <n v="0"/>
    <n v="14"/>
    <n v="0"/>
    <n v="0"/>
    <n v="15.925787521209683"/>
    <m/>
    <m/>
    <n v="1890"/>
    <n v="0"/>
    <n v="0"/>
    <n v="2149.9813153633072"/>
    <n v="0"/>
    <n v="0"/>
  </r>
  <r>
    <s v="Regular"/>
    <x v="2"/>
    <x v="2"/>
    <x v="2"/>
    <x v="0"/>
    <x v="0"/>
    <x v="0"/>
    <x v="1"/>
    <x v="1"/>
    <n v="7520"/>
    <n v="7520"/>
    <n v="0"/>
    <n v="0"/>
    <n v="0"/>
    <n v="0"/>
    <n v="64"/>
    <x v="2"/>
    <n v="0"/>
    <n v="20"/>
    <n v="0"/>
    <n v="0"/>
    <n v="14"/>
    <n v="0"/>
    <n v="0"/>
    <n v="15.925787521209683"/>
    <m/>
    <m/>
    <n v="105280"/>
    <n v="0"/>
    <n v="0"/>
    <n v="119761.92215949681"/>
    <n v="0"/>
    <n v="0"/>
  </r>
  <r>
    <s v="Sistema de Compensação"/>
    <x v="2"/>
    <x v="2"/>
    <x v="2"/>
    <x v="0"/>
    <x v="0"/>
    <x v="0"/>
    <x v="1"/>
    <x v="1"/>
    <n v="135"/>
    <n v="135"/>
    <n v="0"/>
    <n v="0"/>
    <n v="0"/>
    <n v="0"/>
    <n v="2"/>
    <x v="2"/>
    <n v="0"/>
    <n v="20"/>
    <n v="0"/>
    <n v="0"/>
    <n v="14"/>
    <n v="0"/>
    <n v="0"/>
    <n v="15.925787521209683"/>
    <m/>
    <m/>
    <n v="1890"/>
    <n v="0"/>
    <n v="0"/>
    <n v="2149.9813153633072"/>
    <n v="0"/>
    <n v="0"/>
  </r>
  <r>
    <s v="Regular"/>
    <x v="2"/>
    <x v="2"/>
    <x v="2"/>
    <x v="0"/>
    <x v="0"/>
    <x v="0"/>
    <x v="1"/>
    <x v="2"/>
    <n v="7146"/>
    <n v="7146"/>
    <n v="0"/>
    <n v="0"/>
    <n v="0"/>
    <n v="0"/>
    <n v="62"/>
    <x v="2"/>
    <n v="0"/>
    <n v="20"/>
    <n v="0"/>
    <n v="0"/>
    <n v="14"/>
    <n v="0"/>
    <n v="0"/>
    <n v="15.925787521209683"/>
    <m/>
    <m/>
    <n v="100044"/>
    <n v="0"/>
    <n v="0"/>
    <n v="113805.6776265644"/>
    <n v="0"/>
    <n v="0"/>
  </r>
  <r>
    <s v="Sistema de Compensação"/>
    <x v="2"/>
    <x v="2"/>
    <x v="2"/>
    <x v="0"/>
    <x v="0"/>
    <x v="0"/>
    <x v="1"/>
    <x v="2"/>
    <n v="135"/>
    <n v="135"/>
    <n v="0"/>
    <n v="0"/>
    <n v="0"/>
    <n v="0"/>
    <n v="2"/>
    <x v="2"/>
    <n v="0"/>
    <n v="20"/>
    <n v="0"/>
    <n v="0"/>
    <n v="14"/>
    <n v="0"/>
    <n v="0"/>
    <n v="15.925787521209683"/>
    <m/>
    <m/>
    <n v="1890"/>
    <n v="0"/>
    <n v="0"/>
    <n v="2149.9813153633072"/>
    <n v="0"/>
    <n v="0"/>
  </r>
  <r>
    <s v="Regular"/>
    <x v="2"/>
    <x v="2"/>
    <x v="2"/>
    <x v="0"/>
    <x v="0"/>
    <x v="0"/>
    <x v="1"/>
    <x v="3"/>
    <n v="7182"/>
    <n v="7182"/>
    <n v="0"/>
    <n v="0"/>
    <n v="0"/>
    <n v="0"/>
    <n v="62"/>
    <x v="2"/>
    <n v="0"/>
    <n v="20"/>
    <n v="0"/>
    <n v="0"/>
    <n v="14"/>
    <n v="0"/>
    <n v="0"/>
    <n v="15.925787521209683"/>
    <m/>
    <m/>
    <n v="100548"/>
    <n v="0"/>
    <n v="0"/>
    <n v="114379.00597732795"/>
    <n v="0"/>
    <n v="0"/>
  </r>
  <r>
    <s v="Refaturamento - Regular"/>
    <x v="2"/>
    <x v="2"/>
    <x v="2"/>
    <x v="0"/>
    <x v="0"/>
    <x v="0"/>
    <x v="1"/>
    <x v="3"/>
    <n v="-9"/>
    <n v="-9"/>
    <n v="0"/>
    <n v="0"/>
    <n v="0"/>
    <n v="0"/>
    <n v="0"/>
    <x v="2"/>
    <n v="0"/>
    <n v="20"/>
    <n v="0"/>
    <n v="0"/>
    <n v="14"/>
    <n v="0"/>
    <n v="0"/>
    <n v="15.925787521209683"/>
    <m/>
    <m/>
    <n v="-126"/>
    <n v="0"/>
    <n v="0"/>
    <n v="-143.33208769088714"/>
    <n v="0"/>
    <n v="0"/>
  </r>
  <r>
    <s v="Sistema de Compensação"/>
    <x v="2"/>
    <x v="2"/>
    <x v="2"/>
    <x v="0"/>
    <x v="0"/>
    <x v="0"/>
    <x v="1"/>
    <x v="3"/>
    <n v="135"/>
    <n v="135"/>
    <n v="0"/>
    <n v="0"/>
    <n v="0"/>
    <n v="0"/>
    <n v="2"/>
    <x v="2"/>
    <n v="0"/>
    <n v="20"/>
    <n v="0"/>
    <n v="0"/>
    <n v="14"/>
    <n v="0"/>
    <n v="0"/>
    <n v="15.925787521209683"/>
    <m/>
    <m/>
    <n v="1890"/>
    <n v="0"/>
    <n v="0"/>
    <n v="2149.9813153633072"/>
    <n v="0"/>
    <n v="0"/>
  </r>
  <r>
    <s v="Regular"/>
    <x v="2"/>
    <x v="2"/>
    <x v="2"/>
    <x v="0"/>
    <x v="0"/>
    <x v="0"/>
    <x v="1"/>
    <x v="4"/>
    <n v="7102"/>
    <n v="7102"/>
    <n v="0"/>
    <n v="0"/>
    <n v="0"/>
    <n v="0"/>
    <n v="62"/>
    <x v="2"/>
    <n v="0"/>
    <n v="20"/>
    <n v="0"/>
    <n v="0"/>
    <n v="14"/>
    <n v="0"/>
    <n v="0"/>
    <n v="15.925787521209683"/>
    <m/>
    <m/>
    <n v="99428"/>
    <n v="0"/>
    <n v="0"/>
    <n v="113104.94297563117"/>
    <n v="0"/>
    <n v="0"/>
  </r>
  <r>
    <s v="Sistema de Compensação"/>
    <x v="2"/>
    <x v="2"/>
    <x v="2"/>
    <x v="0"/>
    <x v="0"/>
    <x v="0"/>
    <x v="1"/>
    <x v="4"/>
    <n v="135"/>
    <n v="135"/>
    <n v="0"/>
    <n v="0"/>
    <n v="0"/>
    <n v="0"/>
    <n v="2"/>
    <x v="2"/>
    <n v="0"/>
    <n v="20"/>
    <n v="0"/>
    <n v="0"/>
    <n v="14"/>
    <n v="0"/>
    <n v="0"/>
    <n v="15.925787521209683"/>
    <m/>
    <m/>
    <n v="1890"/>
    <n v="0"/>
    <n v="0"/>
    <n v="2149.9813153633072"/>
    <n v="0"/>
    <n v="0"/>
  </r>
  <r>
    <s v="Regular"/>
    <x v="2"/>
    <x v="2"/>
    <x v="2"/>
    <x v="0"/>
    <x v="0"/>
    <x v="0"/>
    <x v="1"/>
    <x v="5"/>
    <n v="6776"/>
    <n v="6776"/>
    <n v="0"/>
    <n v="0"/>
    <n v="0"/>
    <n v="0"/>
    <n v="60"/>
    <x v="2"/>
    <n v="0"/>
    <n v="20"/>
    <n v="0"/>
    <n v="0"/>
    <n v="14"/>
    <n v="0"/>
    <n v="0"/>
    <n v="15.925787521209683"/>
    <m/>
    <m/>
    <n v="94864"/>
    <n v="0"/>
    <n v="0"/>
    <n v="107913.13624371681"/>
    <n v="0"/>
    <n v="0"/>
  </r>
  <r>
    <s v="Sistema de Compensação"/>
    <x v="2"/>
    <x v="2"/>
    <x v="2"/>
    <x v="0"/>
    <x v="0"/>
    <x v="0"/>
    <x v="1"/>
    <x v="5"/>
    <n v="135"/>
    <n v="135"/>
    <n v="0"/>
    <n v="0"/>
    <n v="0"/>
    <n v="0"/>
    <n v="2"/>
    <x v="2"/>
    <n v="0"/>
    <n v="20"/>
    <n v="0"/>
    <n v="0"/>
    <n v="14"/>
    <n v="0"/>
    <n v="0"/>
    <n v="15.925787521209683"/>
    <m/>
    <m/>
    <n v="1890"/>
    <n v="0"/>
    <n v="0"/>
    <n v="2149.9813153633072"/>
    <n v="0"/>
    <n v="0"/>
  </r>
  <r>
    <s v="Regular"/>
    <x v="2"/>
    <x v="2"/>
    <x v="2"/>
    <x v="0"/>
    <x v="0"/>
    <x v="0"/>
    <x v="1"/>
    <x v="6"/>
    <n v="6662"/>
    <n v="6662"/>
    <n v="0"/>
    <n v="0"/>
    <n v="0"/>
    <n v="0"/>
    <n v="60"/>
    <x v="2"/>
    <n v="0"/>
    <n v="20"/>
    <n v="0"/>
    <n v="0"/>
    <n v="14"/>
    <n v="0"/>
    <n v="0"/>
    <n v="15.925787521209683"/>
    <m/>
    <m/>
    <n v="93268"/>
    <n v="0"/>
    <n v="0"/>
    <n v="106097.59646629891"/>
    <n v="0"/>
    <n v="0"/>
  </r>
  <r>
    <s v="Sistema de Compensação"/>
    <x v="2"/>
    <x v="2"/>
    <x v="2"/>
    <x v="0"/>
    <x v="0"/>
    <x v="0"/>
    <x v="1"/>
    <x v="6"/>
    <n v="195"/>
    <n v="195"/>
    <n v="0"/>
    <n v="0"/>
    <n v="0"/>
    <n v="0"/>
    <n v="3"/>
    <x v="2"/>
    <n v="0"/>
    <n v="20"/>
    <n v="0"/>
    <n v="0"/>
    <n v="14"/>
    <n v="0"/>
    <n v="0"/>
    <n v="15.925787521209683"/>
    <m/>
    <m/>
    <n v="2730"/>
    <n v="0"/>
    <n v="0"/>
    <n v="3105.5285666358882"/>
    <n v="0"/>
    <n v="0"/>
  </r>
  <r>
    <s v="Regular"/>
    <x v="2"/>
    <x v="2"/>
    <x v="2"/>
    <x v="0"/>
    <x v="0"/>
    <x v="0"/>
    <x v="1"/>
    <x v="7"/>
    <n v="6581"/>
    <n v="6581"/>
    <n v="0"/>
    <n v="0"/>
    <n v="0"/>
    <n v="0"/>
    <n v="59"/>
    <x v="2"/>
    <n v="0"/>
    <n v="20"/>
    <n v="0"/>
    <n v="0"/>
    <n v="14"/>
    <n v="0"/>
    <n v="0"/>
    <n v="15.925787521209683"/>
    <m/>
    <m/>
    <n v="92134"/>
    <n v="0"/>
    <n v="0"/>
    <n v="104807.60767708093"/>
    <n v="0"/>
    <n v="0"/>
  </r>
  <r>
    <s v="Sistema de Compensação"/>
    <x v="2"/>
    <x v="2"/>
    <x v="2"/>
    <x v="0"/>
    <x v="0"/>
    <x v="0"/>
    <x v="1"/>
    <x v="7"/>
    <n v="225"/>
    <n v="225"/>
    <n v="0"/>
    <n v="0"/>
    <n v="0"/>
    <n v="0"/>
    <n v="4"/>
    <x v="2"/>
    <n v="0"/>
    <n v="20"/>
    <n v="0"/>
    <n v="0"/>
    <n v="14"/>
    <n v="0"/>
    <n v="0"/>
    <n v="15.925787521209683"/>
    <m/>
    <m/>
    <n v="3150"/>
    <n v="0"/>
    <n v="0"/>
    <n v="3583.3021922721787"/>
    <n v="0"/>
    <n v="0"/>
  </r>
  <r>
    <s v="Regular"/>
    <x v="2"/>
    <x v="2"/>
    <x v="2"/>
    <x v="0"/>
    <x v="0"/>
    <x v="0"/>
    <x v="1"/>
    <x v="8"/>
    <n v="6430"/>
    <n v="6430"/>
    <n v="0"/>
    <n v="0"/>
    <n v="0"/>
    <n v="0"/>
    <n v="59"/>
    <x v="2"/>
    <n v="0"/>
    <n v="20"/>
    <n v="0"/>
    <n v="0"/>
    <n v="14"/>
    <n v="0"/>
    <n v="0"/>
    <n v="15.925787521209683"/>
    <m/>
    <m/>
    <n v="90020"/>
    <n v="0"/>
    <n v="0"/>
    <n v="102402.81376137826"/>
    <n v="0"/>
    <n v="0"/>
  </r>
  <r>
    <s v="Regular"/>
    <x v="2"/>
    <x v="2"/>
    <x v="2"/>
    <x v="0"/>
    <x v="0"/>
    <x v="0"/>
    <x v="1"/>
    <x v="9"/>
    <n v="6420"/>
    <n v="6420"/>
    <n v="0"/>
    <n v="0"/>
    <n v="0"/>
    <n v="0"/>
    <n v="58"/>
    <x v="2"/>
    <n v="0"/>
    <n v="20"/>
    <n v="0"/>
    <n v="0"/>
    <n v="14"/>
    <n v="0"/>
    <n v="0"/>
    <n v="15.925787521209683"/>
    <m/>
    <m/>
    <n v="89880"/>
    <n v="0"/>
    <n v="0"/>
    <n v="102243.55588616617"/>
    <n v="0"/>
    <n v="0"/>
  </r>
  <r>
    <s v="Sistema de Compensação"/>
    <x v="2"/>
    <x v="2"/>
    <x v="2"/>
    <x v="0"/>
    <x v="0"/>
    <x v="0"/>
    <x v="1"/>
    <x v="9"/>
    <n v="472"/>
    <n v="472"/>
    <n v="0"/>
    <n v="0"/>
    <n v="0"/>
    <n v="0"/>
    <n v="5"/>
    <x v="2"/>
    <n v="0"/>
    <n v="20"/>
    <n v="0"/>
    <n v="0"/>
    <n v="14"/>
    <n v="0"/>
    <n v="0"/>
    <n v="15.925787521209683"/>
    <m/>
    <m/>
    <n v="6608"/>
    <n v="0"/>
    <n v="0"/>
    <n v="7516.9717100109701"/>
    <n v="0"/>
    <n v="0"/>
  </r>
  <r>
    <s v="Regular"/>
    <x v="2"/>
    <x v="2"/>
    <x v="2"/>
    <x v="0"/>
    <x v="0"/>
    <x v="0"/>
    <x v="1"/>
    <x v="10"/>
    <n v="6420"/>
    <n v="6420"/>
    <n v="0"/>
    <n v="0"/>
    <n v="0"/>
    <n v="0"/>
    <n v="59"/>
    <x v="2"/>
    <n v="0"/>
    <n v="20"/>
    <n v="0"/>
    <n v="0"/>
    <n v="14"/>
    <n v="0"/>
    <n v="0"/>
    <n v="15.925787521209683"/>
    <m/>
    <m/>
    <n v="89880"/>
    <n v="0"/>
    <n v="0"/>
    <n v="102243.55588616617"/>
    <n v="0"/>
    <n v="0"/>
  </r>
  <r>
    <s v="Sistema de Compensação"/>
    <x v="2"/>
    <x v="2"/>
    <x v="2"/>
    <x v="0"/>
    <x v="0"/>
    <x v="0"/>
    <x v="1"/>
    <x v="10"/>
    <n v="472"/>
    <n v="472"/>
    <n v="0"/>
    <n v="0"/>
    <n v="0"/>
    <n v="0"/>
    <n v="5"/>
    <x v="2"/>
    <n v="0"/>
    <n v="20"/>
    <n v="0"/>
    <n v="0"/>
    <n v="14"/>
    <n v="0"/>
    <n v="0"/>
    <n v="15.925787521209683"/>
    <m/>
    <m/>
    <n v="6608"/>
    <n v="0"/>
    <n v="0"/>
    <n v="7516.9717100109701"/>
    <n v="0"/>
    <n v="0"/>
  </r>
  <r>
    <s v="PROJETADO"/>
    <x v="2"/>
    <x v="2"/>
    <x v="2"/>
    <x v="0"/>
    <x v="0"/>
    <x v="0"/>
    <x v="1"/>
    <x v="11"/>
    <n v="6420"/>
    <n v="6420"/>
    <n v="0"/>
    <n v="0"/>
    <n v="0"/>
    <n v="0"/>
    <n v="59"/>
    <x v="2"/>
    <n v="0"/>
    <n v="20"/>
    <n v="0"/>
    <n v="0"/>
    <n v="14"/>
    <n v="0"/>
    <n v="0"/>
    <n v="15.925787521209683"/>
    <m/>
    <m/>
    <n v="89880"/>
    <n v="0"/>
    <n v="0"/>
    <n v="102243.55588616617"/>
    <n v="0"/>
    <n v="0"/>
  </r>
  <r>
    <s v="PROJETADO"/>
    <x v="2"/>
    <x v="2"/>
    <x v="2"/>
    <x v="0"/>
    <x v="0"/>
    <x v="0"/>
    <x v="1"/>
    <x v="11"/>
    <n v="472"/>
    <n v="472"/>
    <n v="0"/>
    <n v="0"/>
    <n v="0"/>
    <n v="0"/>
    <n v="5"/>
    <x v="2"/>
    <n v="0"/>
    <n v="20"/>
    <n v="0"/>
    <n v="0"/>
    <n v="14"/>
    <n v="0"/>
    <n v="0"/>
    <n v="15.925787521209683"/>
    <m/>
    <m/>
    <n v="6608"/>
    <n v="0"/>
    <n v="0"/>
    <n v="7516.9717100109701"/>
    <n v="0"/>
    <n v="0"/>
  </r>
  <r>
    <s v="Regular"/>
    <x v="2"/>
    <x v="2"/>
    <x v="2"/>
    <x v="0"/>
    <x v="0"/>
    <x v="0"/>
    <x v="2"/>
    <x v="0"/>
    <n v="0"/>
    <n v="0"/>
    <n v="111.202"/>
    <n v="111.202"/>
    <n v="111.202"/>
    <n v="111.202"/>
    <n v="0"/>
    <x v="2"/>
    <n v="0"/>
    <n v="0"/>
    <n v="8"/>
    <n v="38"/>
    <n v="0"/>
    <n v="940.43"/>
    <n v="442.86"/>
    <m/>
    <n v="1108.3660770518723"/>
    <n v="476.88775168498375"/>
    <n v="0"/>
    <n v="104577.69686"/>
    <n v="49246.917719999998"/>
    <n v="0"/>
    <n v="123252.5245003223"/>
    <n v="53030.871762873561"/>
  </r>
  <r>
    <s v="Sistema de Compensação"/>
    <x v="2"/>
    <x v="2"/>
    <x v="2"/>
    <x v="0"/>
    <x v="0"/>
    <x v="0"/>
    <x v="2"/>
    <x v="0"/>
    <n v="0"/>
    <n v="0"/>
    <n v="2.8340000000000001"/>
    <n v="2.8340000000000001"/>
    <n v="2.8340000000000001"/>
    <n v="2.8340000000000001"/>
    <n v="0"/>
    <x v="2"/>
    <n v="0"/>
    <n v="0"/>
    <n v="8"/>
    <n v="38"/>
    <n v="0"/>
    <n v="940.43"/>
    <n v="442.86"/>
    <m/>
    <n v="1108.3660770518723"/>
    <n v="476.88775168498375"/>
    <n v="0"/>
    <n v="2665.1786200000001"/>
    <n v="1255.0652400000001"/>
    <n v="0"/>
    <n v="3141.109462365006"/>
    <n v="1351.4998882752441"/>
  </r>
  <r>
    <s v="Regular"/>
    <x v="2"/>
    <x v="2"/>
    <x v="2"/>
    <x v="0"/>
    <x v="0"/>
    <x v="0"/>
    <x v="2"/>
    <x v="1"/>
    <n v="0"/>
    <n v="0"/>
    <n v="127.17"/>
    <n v="127.17"/>
    <n v="127.17"/>
    <n v="127.17"/>
    <n v="0"/>
    <x v="2"/>
    <n v="0"/>
    <n v="0"/>
    <n v="8"/>
    <n v="38"/>
    <n v="0"/>
    <n v="940.43"/>
    <n v="442.86"/>
    <m/>
    <n v="1108.3660770518723"/>
    <n v="476.88775168498375"/>
    <n v="0"/>
    <n v="119594.4831"/>
    <n v="56318.506200000003"/>
    <n v="0"/>
    <n v="140950.9140186866"/>
    <n v="60645.815381779386"/>
  </r>
  <r>
    <s v="Sistema de Compensação"/>
    <x v="2"/>
    <x v="2"/>
    <x v="2"/>
    <x v="0"/>
    <x v="0"/>
    <x v="0"/>
    <x v="2"/>
    <x v="1"/>
    <n v="0"/>
    <n v="0"/>
    <n v="2.5609999999999999"/>
    <n v="2.5609999999999999"/>
    <n v="2.5609999999999999"/>
    <n v="2.5609999999999999"/>
    <n v="0"/>
    <x v="2"/>
    <n v="0"/>
    <n v="0"/>
    <n v="8"/>
    <n v="38"/>
    <n v="0"/>
    <n v="940.43"/>
    <n v="442.86"/>
    <m/>
    <n v="1108.3660770518723"/>
    <n v="476.88775168498375"/>
    <n v="0"/>
    <n v="2408.4412299999999"/>
    <n v="1134.16446"/>
    <n v="0"/>
    <n v="2838.5255233298449"/>
    <n v="1221.3095320652433"/>
  </r>
  <r>
    <s v="Regular"/>
    <x v="2"/>
    <x v="2"/>
    <x v="2"/>
    <x v="0"/>
    <x v="0"/>
    <x v="0"/>
    <x v="2"/>
    <x v="2"/>
    <n v="0"/>
    <n v="0"/>
    <n v="131.60499999999999"/>
    <n v="131.60499999999999"/>
    <n v="131.60499999999999"/>
    <n v="131.60499999999999"/>
    <n v="0"/>
    <x v="2"/>
    <n v="0"/>
    <n v="0"/>
    <n v="8"/>
    <n v="38"/>
    <n v="0"/>
    <n v="940.43"/>
    <n v="442.86"/>
    <m/>
    <n v="1108.3660770518723"/>
    <n v="476.88775168498375"/>
    <n v="0"/>
    <n v="123765.29014999999"/>
    <n v="58282.590299999996"/>
    <n v="0"/>
    <n v="145866.51757041164"/>
    <n v="62760.81256050228"/>
  </r>
  <r>
    <s v="Sistema de Compensação"/>
    <x v="2"/>
    <x v="2"/>
    <x v="2"/>
    <x v="0"/>
    <x v="0"/>
    <x v="0"/>
    <x v="2"/>
    <x v="2"/>
    <n v="0"/>
    <n v="0"/>
    <n v="3.1579999999999999"/>
    <n v="3.1579999999999999"/>
    <n v="3.1579999999999999"/>
    <n v="3.1579999999999999"/>
    <n v="0"/>
    <x v="2"/>
    <n v="0"/>
    <n v="0"/>
    <n v="8"/>
    <n v="38"/>
    <n v="0"/>
    <n v="940.43"/>
    <n v="442.86"/>
    <m/>
    <n v="1108.3660770518723"/>
    <n v="476.88775168498375"/>
    <n v="0"/>
    <n v="2969.8779399999999"/>
    <n v="1398.55188"/>
    <n v="0"/>
    <n v="3500.2200713298125"/>
    <n v="1506.0115198211786"/>
  </r>
  <r>
    <s v="Regular"/>
    <x v="2"/>
    <x v="2"/>
    <x v="2"/>
    <x v="0"/>
    <x v="0"/>
    <x v="0"/>
    <x v="2"/>
    <x v="3"/>
    <n v="0"/>
    <n v="0"/>
    <n v="125.58199999999999"/>
    <n v="125.58199999999999"/>
    <n v="125.58199999999999"/>
    <n v="125.58199999999999"/>
    <n v="0"/>
    <x v="2"/>
    <n v="0"/>
    <n v="0"/>
    <n v="8"/>
    <n v="38"/>
    <n v="0"/>
    <n v="940.43"/>
    <n v="442.86"/>
    <m/>
    <n v="1108.3660770518723"/>
    <n v="476.88775168498375"/>
    <n v="0"/>
    <n v="118101.08025999999"/>
    <n v="55615.24452"/>
    <n v="0"/>
    <n v="139190.82868832821"/>
    <n v="59888.517632103627"/>
  </r>
  <r>
    <s v="Refaturamento - Regular"/>
    <x v="2"/>
    <x v="2"/>
    <x v="2"/>
    <x v="0"/>
    <x v="0"/>
    <x v="0"/>
    <x v="2"/>
    <x v="3"/>
    <n v="0"/>
    <n v="0"/>
    <n v="-0.183"/>
    <n v="-0.183"/>
    <n v="-0.183"/>
    <n v="-0.183"/>
    <n v="0"/>
    <x v="2"/>
    <n v="0"/>
    <n v="0"/>
    <n v="8"/>
    <n v="38"/>
    <n v="0"/>
    <n v="940.43"/>
    <n v="442.86"/>
    <m/>
    <n v="1108.3660770518723"/>
    <n v="476.88775168498375"/>
    <n v="0"/>
    <n v="-172.09868999999998"/>
    <n v="-81.043379999999999"/>
    <n v="0"/>
    <n v="-202.83099210049261"/>
    <n v="-87.270458558352018"/>
  </r>
  <r>
    <s v="Sistema de Compensação"/>
    <x v="2"/>
    <x v="2"/>
    <x v="2"/>
    <x v="0"/>
    <x v="0"/>
    <x v="0"/>
    <x v="2"/>
    <x v="3"/>
    <n v="0"/>
    <n v="0"/>
    <n v="2.9790000000000001"/>
    <n v="2.9790000000000001"/>
    <n v="2.9790000000000001"/>
    <n v="2.9790000000000001"/>
    <n v="0"/>
    <x v="2"/>
    <n v="0"/>
    <n v="0"/>
    <n v="8"/>
    <n v="38"/>
    <n v="0"/>
    <n v="940.43"/>
    <n v="442.86"/>
    <m/>
    <n v="1108.3660770518723"/>
    <n v="476.88775168498375"/>
    <n v="0"/>
    <n v="2801.54097"/>
    <n v="1319.2799400000001"/>
    <n v="0"/>
    <n v="3301.8225435375275"/>
    <n v="1420.6486122695667"/>
  </r>
  <r>
    <s v="Regular"/>
    <x v="2"/>
    <x v="2"/>
    <x v="2"/>
    <x v="0"/>
    <x v="0"/>
    <x v="0"/>
    <x v="2"/>
    <x v="4"/>
    <n v="0"/>
    <n v="0"/>
    <n v="104.45"/>
    <n v="104.45"/>
    <n v="104.45"/>
    <n v="104.45"/>
    <n v="0"/>
    <x v="2"/>
    <n v="0"/>
    <n v="0"/>
    <n v="8"/>
    <n v="38"/>
    <n v="0"/>
    <n v="940.43"/>
    <n v="442.86"/>
    <m/>
    <n v="1108.3660770518723"/>
    <n v="476.88775168498375"/>
    <n v="0"/>
    <n v="98227.913499999995"/>
    <n v="46256.727000000006"/>
    <n v="0"/>
    <n v="115768.83674806806"/>
    <n v="49810.925663496557"/>
  </r>
  <r>
    <s v="Sistema de Compensação"/>
    <x v="2"/>
    <x v="2"/>
    <x v="2"/>
    <x v="0"/>
    <x v="0"/>
    <x v="0"/>
    <x v="2"/>
    <x v="4"/>
    <n v="0"/>
    <n v="0"/>
    <n v="2.8170000000000002"/>
    <n v="2.8170000000000002"/>
    <n v="2.8170000000000002"/>
    <n v="2.8170000000000002"/>
    <n v="0"/>
    <x v="2"/>
    <n v="0"/>
    <n v="0"/>
    <n v="8"/>
    <n v="38"/>
    <n v="0"/>
    <n v="940.43"/>
    <n v="442.86"/>
    <m/>
    <n v="1108.3660770518723"/>
    <n v="476.88775168498375"/>
    <n v="0"/>
    <n v="2649.1913100000002"/>
    <n v="1247.5366200000001"/>
    <n v="0"/>
    <n v="3122.2672390551243"/>
    <n v="1343.3927964965994"/>
  </r>
  <r>
    <s v="Regular"/>
    <x v="2"/>
    <x v="2"/>
    <x v="2"/>
    <x v="0"/>
    <x v="0"/>
    <x v="0"/>
    <x v="2"/>
    <x v="5"/>
    <n v="0"/>
    <n v="0"/>
    <n v="95.438999999999993"/>
    <n v="95.438999999999993"/>
    <n v="95.438999999999993"/>
    <n v="95.438999999999993"/>
    <n v="0"/>
    <x v="2"/>
    <n v="0"/>
    <n v="0"/>
    <n v="8"/>
    <n v="38"/>
    <n v="0"/>
    <n v="940.43"/>
    <n v="442.86"/>
    <m/>
    <n v="1108.3660770518723"/>
    <n v="476.88775168498375"/>
    <n v="0"/>
    <n v="89753.698769999988"/>
    <n v="42266.115539999999"/>
    <n v="0"/>
    <n v="105781.35002775362"/>
    <n v="45513.690133063159"/>
  </r>
  <r>
    <s v="Sistema de Compensação"/>
    <x v="2"/>
    <x v="2"/>
    <x v="2"/>
    <x v="0"/>
    <x v="0"/>
    <x v="0"/>
    <x v="2"/>
    <x v="5"/>
    <n v="0"/>
    <n v="0"/>
    <n v="3.2559999999999998"/>
    <n v="3.2559999999999998"/>
    <n v="3.2559999999999998"/>
    <n v="3.2559999999999998"/>
    <n v="0"/>
    <x v="2"/>
    <n v="0"/>
    <n v="0"/>
    <n v="8"/>
    <n v="38"/>
    <n v="0"/>
    <n v="940.43"/>
    <n v="442.86"/>
    <m/>
    <n v="1108.3660770518723"/>
    <n v="476.88775168498375"/>
    <n v="0"/>
    <n v="3062.0400799999998"/>
    <n v="1441.95216"/>
    <n v="0"/>
    <n v="3608.8399468808957"/>
    <n v="1552.7465194863071"/>
  </r>
  <r>
    <s v="Regular"/>
    <x v="2"/>
    <x v="2"/>
    <x v="2"/>
    <x v="0"/>
    <x v="0"/>
    <x v="0"/>
    <x v="2"/>
    <x v="6"/>
    <n v="0"/>
    <n v="0"/>
    <n v="81.887"/>
    <n v="81.887"/>
    <n v="81.887"/>
    <n v="81.887"/>
    <n v="0"/>
    <x v="2"/>
    <n v="0"/>
    <n v="0"/>
    <n v="8"/>
    <n v="38"/>
    <n v="0"/>
    <n v="940.43"/>
    <n v="442.86"/>
    <m/>
    <n v="1108.3660770518723"/>
    <n v="476.88775168498375"/>
    <n v="0"/>
    <n v="77008.991410000002"/>
    <n v="36264.476820000003"/>
    <n v="0"/>
    <n v="90760.772951546664"/>
    <n v="39050.907322228268"/>
  </r>
  <r>
    <s v="Sistema de Compensação"/>
    <x v="2"/>
    <x v="2"/>
    <x v="2"/>
    <x v="0"/>
    <x v="0"/>
    <x v="0"/>
    <x v="2"/>
    <x v="6"/>
    <n v="0"/>
    <n v="0"/>
    <n v="2.8359999999999999"/>
    <n v="2.8359999999999999"/>
    <n v="2.8359999999999999"/>
    <n v="2.8359999999999999"/>
    <n v="0"/>
    <x v="2"/>
    <n v="0"/>
    <n v="0"/>
    <n v="8"/>
    <n v="38"/>
    <n v="0"/>
    <n v="940.43"/>
    <n v="442.86"/>
    <m/>
    <n v="1108.3660770518723"/>
    <n v="476.88775168498375"/>
    <n v="0"/>
    <n v="2667.0594799999999"/>
    <n v="1255.9509599999999"/>
    <n v="0"/>
    <n v="3143.3261945191093"/>
    <n v="1352.4536637786139"/>
  </r>
  <r>
    <s v="Regular"/>
    <x v="2"/>
    <x v="2"/>
    <x v="2"/>
    <x v="0"/>
    <x v="0"/>
    <x v="0"/>
    <x v="2"/>
    <x v="7"/>
    <n v="0"/>
    <n v="0"/>
    <n v="85.778999999999996"/>
    <n v="85.778999999999996"/>
    <n v="85.778999999999996"/>
    <n v="85.778999999999996"/>
    <n v="0"/>
    <x v="2"/>
    <n v="0"/>
    <n v="0"/>
    <n v="8"/>
    <n v="38"/>
    <n v="0"/>
    <n v="940.43"/>
    <n v="442.86"/>
    <m/>
    <n v="1108.3660770518723"/>
    <n v="476.88775168498375"/>
    <n v="0"/>
    <n v="80669.144969999994"/>
    <n v="37988.087939999998"/>
    <n v="0"/>
    <n v="95074.533723432542"/>
    <n v="40906.954451786223"/>
  </r>
  <r>
    <s v="Sistema de Compensação"/>
    <x v="2"/>
    <x v="2"/>
    <x v="2"/>
    <x v="0"/>
    <x v="0"/>
    <x v="0"/>
    <x v="2"/>
    <x v="7"/>
    <n v="0"/>
    <n v="0"/>
    <n v="2.7690000000000001"/>
    <n v="2.7690000000000001"/>
    <n v="2.7690000000000001"/>
    <n v="2.7690000000000001"/>
    <n v="0"/>
    <x v="2"/>
    <n v="0"/>
    <n v="0"/>
    <n v="8"/>
    <n v="38"/>
    <n v="0"/>
    <n v="940.43"/>
    <n v="442.86"/>
    <m/>
    <n v="1108.3660770518723"/>
    <n v="476.88775168498375"/>
    <n v="0"/>
    <n v="2604.0506700000001"/>
    <n v="1226.27934"/>
    <n v="0"/>
    <n v="3069.0656673566345"/>
    <n v="1320.50218441572"/>
  </r>
  <r>
    <s v="Regular"/>
    <x v="2"/>
    <x v="2"/>
    <x v="2"/>
    <x v="0"/>
    <x v="0"/>
    <x v="0"/>
    <x v="2"/>
    <x v="8"/>
    <n v="0"/>
    <n v="0"/>
    <n v="81.951999999999998"/>
    <n v="81.951999999999998"/>
    <n v="81.951999999999998"/>
    <n v="81.951999999999998"/>
    <n v="0"/>
    <x v="2"/>
    <n v="0"/>
    <n v="0"/>
    <n v="8"/>
    <n v="38"/>
    <n v="0"/>
    <n v="940.43"/>
    <n v="442.86"/>
    <m/>
    <n v="1108.3660770518723"/>
    <n v="476.88775168498375"/>
    <n v="0"/>
    <n v="77070.119359999997"/>
    <n v="36293.262719999999"/>
    <n v="0"/>
    <n v="90832.816746555036"/>
    <n v="39081.905026087785"/>
  </r>
  <r>
    <s v="Regular"/>
    <x v="2"/>
    <x v="2"/>
    <x v="2"/>
    <x v="0"/>
    <x v="0"/>
    <x v="0"/>
    <x v="2"/>
    <x v="9"/>
    <n v="0"/>
    <n v="0"/>
    <n v="84.757999999999996"/>
    <n v="84.757999999999996"/>
    <n v="84.757999999999996"/>
    <n v="84.757999999999996"/>
    <n v="0"/>
    <x v="2"/>
    <n v="0"/>
    <n v="0"/>
    <n v="8"/>
    <n v="38"/>
    <n v="0"/>
    <n v="940.43"/>
    <n v="442.86"/>
    <m/>
    <n v="1108.3660770518723"/>
    <n v="476.88775168498375"/>
    <n v="0"/>
    <n v="79708.965939999995"/>
    <n v="37535.927879999996"/>
    <n v="0"/>
    <n v="93942.891958762586"/>
    <n v="40420.05205731585"/>
  </r>
  <r>
    <s v="Sistema de Compensação"/>
    <x v="2"/>
    <x v="2"/>
    <x v="2"/>
    <x v="0"/>
    <x v="0"/>
    <x v="0"/>
    <x v="2"/>
    <x v="9"/>
    <n v="0"/>
    <n v="0"/>
    <n v="2.94"/>
    <n v="2.94"/>
    <n v="2.94"/>
    <n v="2.94"/>
    <n v="0"/>
    <x v="2"/>
    <n v="0"/>
    <n v="0"/>
    <n v="8"/>
    <n v="38"/>
    <n v="0"/>
    <n v="940.43"/>
    <n v="442.86"/>
    <m/>
    <n v="1108.3660770518723"/>
    <n v="476.88775168498375"/>
    <n v="0"/>
    <n v="2764.8642"/>
    <n v="1302.0083999999999"/>
    <n v="0"/>
    <n v="3258.5962665325042"/>
    <n v="1402.0499899538522"/>
  </r>
  <r>
    <s v="Regular"/>
    <x v="2"/>
    <x v="2"/>
    <x v="2"/>
    <x v="0"/>
    <x v="0"/>
    <x v="0"/>
    <x v="2"/>
    <x v="10"/>
    <n v="0"/>
    <n v="0"/>
    <n v="83.126999999999995"/>
    <n v="83.126999999999995"/>
    <n v="83.126999999999995"/>
    <n v="83.126999999999995"/>
    <n v="0"/>
    <x v="2"/>
    <n v="0"/>
    <n v="0"/>
    <n v="8"/>
    <n v="38"/>
    <n v="0"/>
    <n v="940.43"/>
    <n v="442.86"/>
    <m/>
    <n v="1108.3660770518723"/>
    <n v="476.88775168498375"/>
    <n v="0"/>
    <n v="78175.124609999984"/>
    <n v="36813.623220000001"/>
    <n v="0"/>
    <n v="92135.146887090974"/>
    <n v="39642.248134317641"/>
  </r>
  <r>
    <s v="Refaturamento - Regular"/>
    <x v="2"/>
    <x v="2"/>
    <x v="2"/>
    <x v="0"/>
    <x v="0"/>
    <x v="0"/>
    <x v="2"/>
    <x v="10"/>
    <n v="0"/>
    <n v="0"/>
    <n v="-0.36899999999999999"/>
    <n v="-0.36899999999999999"/>
    <n v="-0.36899999999999999"/>
    <n v="-0.36899999999999999"/>
    <n v="0"/>
    <x v="2"/>
    <n v="0"/>
    <n v="0"/>
    <n v="8"/>
    <n v="38"/>
    <n v="0"/>
    <n v="940.43"/>
    <n v="442.86"/>
    <m/>
    <n v="1108.3660770518723"/>
    <n v="476.88775168498375"/>
    <n v="0"/>
    <n v="-347.01866999999999"/>
    <n v="-163.41534000000001"/>
    <n v="0"/>
    <n v="-408.98708243214088"/>
    <n v="-175.97158037175899"/>
  </r>
  <r>
    <s v="Sistema de Compensação"/>
    <x v="2"/>
    <x v="2"/>
    <x v="2"/>
    <x v="0"/>
    <x v="0"/>
    <x v="0"/>
    <x v="2"/>
    <x v="10"/>
    <n v="0"/>
    <n v="0"/>
    <n v="3.1859999999999999"/>
    <n v="3.1859999999999999"/>
    <n v="3.1859999999999999"/>
    <n v="3.1859999999999999"/>
    <n v="0"/>
    <x v="2"/>
    <n v="0"/>
    <n v="0"/>
    <n v="8"/>
    <n v="38"/>
    <n v="0"/>
    <n v="940.43"/>
    <n v="442.86"/>
    <m/>
    <n v="1108.3660770518723"/>
    <n v="476.88775168498375"/>
    <n v="0"/>
    <n v="2996.2099799999996"/>
    <n v="1410.9519600000001"/>
    <n v="0"/>
    <n v="3531.2543214872649"/>
    <n v="1519.3643768683582"/>
  </r>
  <r>
    <s v="PROJETADO"/>
    <x v="2"/>
    <x v="2"/>
    <x v="2"/>
    <x v="0"/>
    <x v="0"/>
    <x v="0"/>
    <x v="2"/>
    <x v="11"/>
    <n v="0"/>
    <n v="0"/>
    <n v="83.126999999999995"/>
    <n v="83.126999999999995"/>
    <n v="83.126999999999995"/>
    <n v="83.126999999999995"/>
    <n v="0"/>
    <x v="2"/>
    <n v="0"/>
    <n v="0"/>
    <n v="8"/>
    <n v="38"/>
    <n v="0"/>
    <n v="940.43"/>
    <n v="442.86"/>
    <m/>
    <n v="1108.3660770518723"/>
    <n v="476.88775168498375"/>
    <n v="0"/>
    <n v="78175.124609999984"/>
    <n v="36813.623220000001"/>
    <n v="0"/>
    <n v="92135.146887090974"/>
    <n v="39642.248134317641"/>
  </r>
  <r>
    <s v="PROJETADO"/>
    <x v="2"/>
    <x v="2"/>
    <x v="2"/>
    <x v="0"/>
    <x v="0"/>
    <x v="0"/>
    <x v="2"/>
    <x v="11"/>
    <n v="0"/>
    <n v="0"/>
    <n v="-0.36899999999999999"/>
    <n v="-0.36899999999999999"/>
    <n v="-0.36899999999999999"/>
    <n v="-0.36899999999999999"/>
    <n v="0"/>
    <x v="2"/>
    <n v="0"/>
    <n v="0"/>
    <n v="8"/>
    <n v="38"/>
    <n v="0"/>
    <n v="940.43"/>
    <n v="442.86"/>
    <m/>
    <n v="1108.3660770518723"/>
    <n v="476.88775168498375"/>
    <n v="0"/>
    <n v="-347.01866999999999"/>
    <n v="-163.41534000000001"/>
    <n v="0"/>
    <n v="-408.98708243214088"/>
    <n v="-175.97158037175899"/>
  </r>
  <r>
    <s v="PROJETADO"/>
    <x v="2"/>
    <x v="2"/>
    <x v="2"/>
    <x v="0"/>
    <x v="0"/>
    <x v="0"/>
    <x v="2"/>
    <x v="11"/>
    <n v="0"/>
    <n v="0"/>
    <n v="3.1859999999999999"/>
    <n v="3.1859999999999999"/>
    <n v="3.1859999999999999"/>
    <n v="3.1859999999999999"/>
    <n v="0"/>
    <x v="2"/>
    <n v="0"/>
    <n v="0"/>
    <n v="8"/>
    <n v="38"/>
    <n v="0"/>
    <n v="940.43"/>
    <n v="442.86"/>
    <m/>
    <n v="1108.3660770518723"/>
    <n v="476.88775168498375"/>
    <n v="0"/>
    <n v="2996.2099799999996"/>
    <n v="1410.9519600000001"/>
    <n v="0"/>
    <n v="3531.2543214872649"/>
    <n v="1519.3643768683582"/>
  </r>
  <r>
    <s v="Regular"/>
    <x v="2"/>
    <x v="2"/>
    <x v="4"/>
    <x v="0"/>
    <x v="0"/>
    <x v="0"/>
    <x v="0"/>
    <x v="0"/>
    <n v="0"/>
    <n v="0"/>
    <n v="44.383000000000003"/>
    <n v="44.383000000000003"/>
    <n v="44.383000000000003"/>
    <n v="44.383000000000003"/>
    <n v="0"/>
    <x v="2"/>
    <n v="0"/>
    <n v="0"/>
    <n v="6"/>
    <n v="61"/>
    <n v="0"/>
    <n v="72.150000000000006"/>
    <n v="278.67"/>
    <m/>
    <n v="117.70169496208672"/>
    <n v="295.87360985530717"/>
    <n v="0"/>
    <n v="3202.2334500000006"/>
    <n v="12368.210610000002"/>
    <n v="0"/>
    <n v="5223.9543275022952"/>
    <n v="13131.758426208098"/>
  </r>
  <r>
    <s v="Regular"/>
    <x v="2"/>
    <x v="2"/>
    <x v="4"/>
    <x v="0"/>
    <x v="0"/>
    <x v="0"/>
    <x v="0"/>
    <x v="1"/>
    <n v="0"/>
    <n v="0"/>
    <n v="41.969000000000001"/>
    <n v="41.969000000000001"/>
    <n v="41.969000000000001"/>
    <n v="41.969000000000001"/>
    <n v="0"/>
    <x v="2"/>
    <n v="0"/>
    <n v="0"/>
    <n v="6"/>
    <n v="61"/>
    <n v="0"/>
    <n v="72.150000000000006"/>
    <n v="278.67"/>
    <m/>
    <n v="117.70169496208672"/>
    <n v="295.87360985530717"/>
    <n v="0"/>
    <n v="3028.0633500000004"/>
    <n v="11695.501230000002"/>
    <n v="0"/>
    <n v="4939.8224358638181"/>
    <n v="12417.519532017386"/>
  </r>
  <r>
    <s v="Regular"/>
    <x v="2"/>
    <x v="2"/>
    <x v="4"/>
    <x v="0"/>
    <x v="0"/>
    <x v="0"/>
    <x v="0"/>
    <x v="2"/>
    <n v="0"/>
    <n v="0"/>
    <n v="46.014000000000003"/>
    <n v="46.014000000000003"/>
    <n v="46.014000000000003"/>
    <n v="46.014000000000003"/>
    <n v="0"/>
    <x v="2"/>
    <n v="0"/>
    <n v="0"/>
    <n v="6"/>
    <n v="61"/>
    <n v="0"/>
    <n v="72.150000000000006"/>
    <n v="278.67"/>
    <m/>
    <n v="117.70169496208672"/>
    <n v="295.87360985530717"/>
    <n v="0"/>
    <n v="3319.9101000000005"/>
    <n v="12822.721380000001"/>
    <n v="0"/>
    <n v="5415.925791985459"/>
    <n v="13614.328283882105"/>
  </r>
  <r>
    <s v="Regular"/>
    <x v="2"/>
    <x v="2"/>
    <x v="4"/>
    <x v="0"/>
    <x v="0"/>
    <x v="0"/>
    <x v="0"/>
    <x v="3"/>
    <n v="0"/>
    <n v="0"/>
    <n v="46.798999999999999"/>
    <n v="46.798999999999999"/>
    <n v="46.798999999999999"/>
    <n v="46.798999999999999"/>
    <n v="0"/>
    <x v="2"/>
    <n v="0"/>
    <n v="0"/>
    <n v="6"/>
    <n v="61"/>
    <n v="0"/>
    <n v="72.150000000000006"/>
    <n v="278.67"/>
    <m/>
    <n v="117.70169496208672"/>
    <n v="295.87360985530717"/>
    <n v="0"/>
    <n v="3376.5478500000004"/>
    <n v="13041.47733"/>
    <n v="0"/>
    <n v="5508.321622530696"/>
    <n v="13846.589067618519"/>
  </r>
  <r>
    <s v="Regular"/>
    <x v="2"/>
    <x v="2"/>
    <x v="4"/>
    <x v="0"/>
    <x v="0"/>
    <x v="0"/>
    <x v="0"/>
    <x v="4"/>
    <n v="0"/>
    <n v="0"/>
    <n v="41.585000000000001"/>
    <n v="41.585000000000001"/>
    <n v="41.585000000000001"/>
    <n v="41.585000000000001"/>
    <n v="0"/>
    <x v="2"/>
    <n v="0"/>
    <n v="0"/>
    <n v="6"/>
    <n v="61"/>
    <n v="0"/>
    <n v="72.150000000000006"/>
    <n v="278.67"/>
    <m/>
    <n v="117.70169496208672"/>
    <n v="295.87360985530717"/>
    <n v="0"/>
    <n v="3000.3577500000001"/>
    <n v="11588.491950000001"/>
    <n v="0"/>
    <n v="4894.624984998376"/>
    <n v="12303.904065832949"/>
  </r>
  <r>
    <s v="Regular"/>
    <x v="2"/>
    <x v="2"/>
    <x v="4"/>
    <x v="0"/>
    <x v="0"/>
    <x v="0"/>
    <x v="0"/>
    <x v="5"/>
    <n v="0"/>
    <n v="0"/>
    <n v="47.45"/>
    <n v="47.45"/>
    <n v="47.45"/>
    <n v="47.45"/>
    <n v="0"/>
    <x v="2"/>
    <n v="0"/>
    <n v="0"/>
    <n v="6"/>
    <n v="61"/>
    <n v="0"/>
    <n v="72.150000000000006"/>
    <n v="278.67"/>
    <m/>
    <n v="117.70169496208672"/>
    <n v="295.87360985530717"/>
    <n v="0"/>
    <n v="3423.5175000000004"/>
    <n v="13222.891500000002"/>
    <n v="0"/>
    <n v="5584.9454259510148"/>
    <n v="14039.202787634325"/>
  </r>
  <r>
    <s v="Regular"/>
    <x v="2"/>
    <x v="2"/>
    <x v="4"/>
    <x v="0"/>
    <x v="0"/>
    <x v="0"/>
    <x v="0"/>
    <x v="6"/>
    <n v="0"/>
    <n v="0"/>
    <n v="46.521000000000001"/>
    <n v="46.521000000000001"/>
    <n v="46.521000000000001"/>
    <n v="46.521000000000001"/>
    <n v="0"/>
    <x v="2"/>
    <n v="0"/>
    <n v="0"/>
    <n v="6"/>
    <n v="61"/>
    <n v="0"/>
    <n v="72.150000000000006"/>
    <n v="278.67"/>
    <m/>
    <n v="117.70169496208672"/>
    <n v="295.87360985530717"/>
    <n v="0"/>
    <n v="3356.4901500000005"/>
    <n v="12964.007070000001"/>
    <n v="0"/>
    <n v="5475.6005513312366"/>
    <n v="13764.336204078745"/>
  </r>
  <r>
    <s v="Regular"/>
    <x v="2"/>
    <x v="2"/>
    <x v="4"/>
    <x v="0"/>
    <x v="0"/>
    <x v="0"/>
    <x v="0"/>
    <x v="7"/>
    <n v="0"/>
    <n v="0"/>
    <n v="45.906999999999996"/>
    <n v="45.906999999999996"/>
    <n v="45.906999999999996"/>
    <n v="45.906999999999996"/>
    <n v="0"/>
    <x v="2"/>
    <n v="0"/>
    <n v="0"/>
    <n v="6"/>
    <n v="61"/>
    <n v="0"/>
    <n v="72.150000000000006"/>
    <n v="278.67"/>
    <m/>
    <n v="117.70169496208672"/>
    <n v="295.87360985530717"/>
    <n v="0"/>
    <n v="3312.1900500000002"/>
    <n v="12792.903689999999"/>
    <n v="0"/>
    <n v="5403.3317106245149"/>
    <n v="13582.669807627584"/>
  </r>
  <r>
    <s v="Regular"/>
    <x v="2"/>
    <x v="2"/>
    <x v="4"/>
    <x v="0"/>
    <x v="0"/>
    <x v="0"/>
    <x v="0"/>
    <x v="8"/>
    <n v="0"/>
    <n v="0"/>
    <n v="42.271999999999998"/>
    <n v="42.271999999999998"/>
    <n v="42.271999999999998"/>
    <n v="42.271999999999998"/>
    <n v="0"/>
    <x v="2"/>
    <n v="0"/>
    <n v="0"/>
    <n v="6"/>
    <n v="61"/>
    <n v="0"/>
    <n v="72.150000000000006"/>
    <n v="278.67"/>
    <m/>
    <n v="117.70169496208672"/>
    <n v="295.87360985530717"/>
    <n v="0"/>
    <n v="3049.9248000000002"/>
    <n v="11779.938239999999"/>
    <n v="0"/>
    <n v="4975.4860494373297"/>
    <n v="12507.169235803543"/>
  </r>
  <r>
    <s v="Regular"/>
    <x v="2"/>
    <x v="2"/>
    <x v="4"/>
    <x v="0"/>
    <x v="0"/>
    <x v="0"/>
    <x v="0"/>
    <x v="9"/>
    <n v="0"/>
    <n v="0"/>
    <n v="47.389000000000003"/>
    <n v="47.389000000000003"/>
    <n v="47.389000000000003"/>
    <n v="47.389000000000003"/>
    <n v="0"/>
    <x v="2"/>
    <n v="0"/>
    <n v="0"/>
    <n v="6"/>
    <n v="61"/>
    <n v="0"/>
    <n v="72.150000000000006"/>
    <n v="278.67"/>
    <m/>
    <n v="117.70169496208672"/>
    <n v="295.87360985530717"/>
    <n v="0"/>
    <n v="3419.1163500000007"/>
    <n v="13205.892630000002"/>
    <n v="0"/>
    <n v="5577.7656225583278"/>
    <n v="14021.154497433152"/>
  </r>
  <r>
    <s v="Regular"/>
    <x v="2"/>
    <x v="2"/>
    <x v="4"/>
    <x v="0"/>
    <x v="0"/>
    <x v="0"/>
    <x v="0"/>
    <x v="10"/>
    <n v="0"/>
    <n v="0"/>
    <n v="46.94"/>
    <n v="46.94"/>
    <n v="46.94"/>
    <n v="46.94"/>
    <n v="0"/>
    <x v="2"/>
    <n v="0"/>
    <n v="0"/>
    <n v="6"/>
    <n v="61"/>
    <n v="0"/>
    <n v="72.150000000000006"/>
    <n v="278.67"/>
    <m/>
    <n v="117.70169496208672"/>
    <n v="295.87360985530717"/>
    <n v="0"/>
    <n v="3386.721"/>
    <n v="13080.7698"/>
    <n v="0"/>
    <n v="5524.9175615203503"/>
    <n v="13888.307246608118"/>
  </r>
  <r>
    <s v="PROJETADO"/>
    <x v="2"/>
    <x v="2"/>
    <x v="4"/>
    <x v="0"/>
    <x v="0"/>
    <x v="0"/>
    <x v="0"/>
    <x v="11"/>
    <n v="0"/>
    <n v="0"/>
    <n v="46.94"/>
    <n v="46.94"/>
    <n v="46.94"/>
    <n v="46.94"/>
    <n v="0"/>
    <x v="2"/>
    <n v="0"/>
    <n v="0"/>
    <n v="6"/>
    <n v="61"/>
    <n v="0"/>
    <n v="72.150000000000006"/>
    <n v="278.67"/>
    <m/>
    <n v="117.70169496208672"/>
    <n v="295.87360985530717"/>
    <n v="0"/>
    <n v="3386.721"/>
    <n v="13080.7698"/>
    <n v="0"/>
    <n v="5524.9175615203503"/>
    <n v="13888.307246608118"/>
  </r>
  <r>
    <s v="Regular"/>
    <x v="2"/>
    <x v="2"/>
    <x v="4"/>
    <x v="0"/>
    <x v="0"/>
    <x v="0"/>
    <x v="1"/>
    <x v="0"/>
    <n v="257"/>
    <n v="257"/>
    <n v="0"/>
    <n v="0"/>
    <n v="0"/>
    <n v="0"/>
    <n v="7"/>
    <x v="2"/>
    <n v="0"/>
    <n v="20"/>
    <n v="0"/>
    <n v="0"/>
    <n v="14"/>
    <n v="0"/>
    <n v="0"/>
    <n v="15.925787521209683"/>
    <m/>
    <m/>
    <n v="3598"/>
    <n v="0"/>
    <n v="0"/>
    <n v="4092.9273929508886"/>
    <n v="0"/>
    <n v="0"/>
  </r>
  <r>
    <s v="Regular"/>
    <x v="2"/>
    <x v="2"/>
    <x v="4"/>
    <x v="0"/>
    <x v="0"/>
    <x v="0"/>
    <x v="1"/>
    <x v="1"/>
    <n v="263"/>
    <n v="263"/>
    <n v="0"/>
    <n v="0"/>
    <n v="0"/>
    <n v="0"/>
    <n v="7"/>
    <x v="2"/>
    <n v="0"/>
    <n v="20"/>
    <n v="0"/>
    <n v="0"/>
    <n v="14"/>
    <n v="0"/>
    <n v="0"/>
    <n v="15.925787521209683"/>
    <m/>
    <m/>
    <n v="3682"/>
    <n v="0"/>
    <n v="0"/>
    <n v="4188.4821180781464"/>
    <n v="0"/>
    <n v="0"/>
  </r>
  <r>
    <s v="Regular"/>
    <x v="2"/>
    <x v="2"/>
    <x v="4"/>
    <x v="0"/>
    <x v="0"/>
    <x v="0"/>
    <x v="1"/>
    <x v="2"/>
    <n v="256"/>
    <n v="256"/>
    <n v="0"/>
    <n v="0"/>
    <n v="0"/>
    <n v="0"/>
    <n v="7"/>
    <x v="2"/>
    <n v="0"/>
    <n v="20"/>
    <n v="0"/>
    <n v="0"/>
    <n v="14"/>
    <n v="0"/>
    <n v="0"/>
    <n v="15.925787521209683"/>
    <m/>
    <m/>
    <n v="3584"/>
    <n v="0"/>
    <n v="0"/>
    <n v="4077.0016054296789"/>
    <n v="0"/>
    <n v="0"/>
  </r>
  <r>
    <s v="Regular"/>
    <x v="2"/>
    <x v="2"/>
    <x v="4"/>
    <x v="0"/>
    <x v="0"/>
    <x v="0"/>
    <x v="1"/>
    <x v="3"/>
    <n v="260"/>
    <n v="260"/>
    <n v="0"/>
    <n v="0"/>
    <n v="0"/>
    <n v="0"/>
    <n v="7"/>
    <x v="2"/>
    <n v="0"/>
    <n v="20"/>
    <n v="0"/>
    <n v="0"/>
    <n v="14"/>
    <n v="0"/>
    <n v="0"/>
    <n v="15.925787521209683"/>
    <m/>
    <m/>
    <n v="3640"/>
    <n v="0"/>
    <n v="0"/>
    <n v="4140.7047555145173"/>
    <n v="0"/>
    <n v="0"/>
  </r>
  <r>
    <s v="Regular"/>
    <x v="2"/>
    <x v="2"/>
    <x v="4"/>
    <x v="0"/>
    <x v="0"/>
    <x v="0"/>
    <x v="1"/>
    <x v="4"/>
    <n v="258"/>
    <n v="258"/>
    <n v="0"/>
    <n v="0"/>
    <n v="0"/>
    <n v="0"/>
    <n v="7"/>
    <x v="2"/>
    <n v="0"/>
    <n v="20"/>
    <n v="0"/>
    <n v="0"/>
    <n v="14"/>
    <n v="0"/>
    <n v="0"/>
    <n v="15.925787521209683"/>
    <m/>
    <m/>
    <n v="3612"/>
    <n v="0"/>
    <n v="0"/>
    <n v="4108.8531804720978"/>
    <n v="0"/>
    <n v="0"/>
  </r>
  <r>
    <s v="Regular"/>
    <x v="2"/>
    <x v="2"/>
    <x v="4"/>
    <x v="0"/>
    <x v="0"/>
    <x v="0"/>
    <x v="1"/>
    <x v="5"/>
    <n v="253"/>
    <n v="253"/>
    <n v="0"/>
    <n v="0"/>
    <n v="0"/>
    <n v="0"/>
    <n v="7"/>
    <x v="2"/>
    <n v="0"/>
    <n v="20"/>
    <n v="0"/>
    <n v="0"/>
    <n v="14"/>
    <n v="0"/>
    <n v="0"/>
    <n v="15.925787521209683"/>
    <m/>
    <m/>
    <n v="3542"/>
    <n v="0"/>
    <n v="0"/>
    <n v="4029.2242428660497"/>
    <n v="0"/>
    <n v="0"/>
  </r>
  <r>
    <s v="Regular"/>
    <x v="2"/>
    <x v="2"/>
    <x v="4"/>
    <x v="0"/>
    <x v="0"/>
    <x v="0"/>
    <x v="1"/>
    <x v="6"/>
    <n v="249"/>
    <n v="249"/>
    <n v="0"/>
    <n v="0"/>
    <n v="0"/>
    <n v="0"/>
    <n v="7"/>
    <x v="2"/>
    <n v="0"/>
    <n v="20"/>
    <n v="0"/>
    <n v="0"/>
    <n v="14"/>
    <n v="0"/>
    <n v="0"/>
    <n v="15.925787521209683"/>
    <m/>
    <m/>
    <n v="3486"/>
    <n v="0"/>
    <n v="0"/>
    <n v="3965.5210927812109"/>
    <n v="0"/>
    <n v="0"/>
  </r>
  <r>
    <s v="Regular"/>
    <x v="2"/>
    <x v="2"/>
    <x v="4"/>
    <x v="0"/>
    <x v="0"/>
    <x v="0"/>
    <x v="1"/>
    <x v="7"/>
    <n v="249"/>
    <n v="249"/>
    <n v="0"/>
    <n v="0"/>
    <n v="0"/>
    <n v="0"/>
    <n v="7"/>
    <x v="2"/>
    <n v="0"/>
    <n v="20"/>
    <n v="0"/>
    <n v="0"/>
    <n v="14"/>
    <n v="0"/>
    <n v="0"/>
    <n v="15.925787521209683"/>
    <m/>
    <m/>
    <n v="3486"/>
    <n v="0"/>
    <n v="0"/>
    <n v="3965.5210927812109"/>
    <n v="0"/>
    <n v="0"/>
  </r>
  <r>
    <s v="Regular"/>
    <x v="2"/>
    <x v="2"/>
    <x v="4"/>
    <x v="0"/>
    <x v="0"/>
    <x v="0"/>
    <x v="1"/>
    <x v="8"/>
    <n v="254"/>
    <n v="254"/>
    <n v="0"/>
    <n v="0"/>
    <n v="0"/>
    <n v="0"/>
    <n v="7"/>
    <x v="2"/>
    <n v="0"/>
    <n v="20"/>
    <n v="0"/>
    <n v="0"/>
    <n v="14"/>
    <n v="0"/>
    <n v="0"/>
    <n v="15.925787521209683"/>
    <m/>
    <m/>
    <n v="3556"/>
    <n v="0"/>
    <n v="0"/>
    <n v="4045.1500303872594"/>
    <n v="0"/>
    <n v="0"/>
  </r>
  <r>
    <s v="Regular"/>
    <x v="2"/>
    <x v="2"/>
    <x v="4"/>
    <x v="0"/>
    <x v="0"/>
    <x v="0"/>
    <x v="1"/>
    <x v="9"/>
    <n v="285"/>
    <n v="285"/>
    <n v="0"/>
    <n v="0"/>
    <n v="0"/>
    <n v="0"/>
    <n v="7"/>
    <x v="2"/>
    <n v="0"/>
    <n v="20"/>
    <n v="0"/>
    <n v="0"/>
    <n v="14"/>
    <n v="0"/>
    <n v="0"/>
    <n v="15.925787521209683"/>
    <m/>
    <m/>
    <n v="3990"/>
    <n v="0"/>
    <n v="0"/>
    <n v="4538.8494435447601"/>
    <n v="0"/>
    <n v="0"/>
  </r>
  <r>
    <s v="Regular"/>
    <x v="2"/>
    <x v="2"/>
    <x v="4"/>
    <x v="0"/>
    <x v="0"/>
    <x v="0"/>
    <x v="1"/>
    <x v="10"/>
    <n v="253"/>
    <n v="253"/>
    <n v="0"/>
    <n v="0"/>
    <n v="0"/>
    <n v="0"/>
    <n v="7"/>
    <x v="2"/>
    <n v="0"/>
    <n v="20"/>
    <n v="0"/>
    <n v="0"/>
    <n v="14"/>
    <n v="0"/>
    <n v="0"/>
    <n v="15.925787521209683"/>
    <m/>
    <m/>
    <n v="3542"/>
    <n v="0"/>
    <n v="0"/>
    <n v="4029.2242428660497"/>
    <n v="0"/>
    <n v="0"/>
  </r>
  <r>
    <s v="PROJETADO"/>
    <x v="2"/>
    <x v="2"/>
    <x v="4"/>
    <x v="0"/>
    <x v="0"/>
    <x v="0"/>
    <x v="1"/>
    <x v="11"/>
    <n v="253"/>
    <n v="253"/>
    <n v="0"/>
    <n v="0"/>
    <n v="0"/>
    <n v="0"/>
    <n v="7"/>
    <x v="2"/>
    <n v="0"/>
    <n v="20"/>
    <n v="0"/>
    <n v="0"/>
    <n v="14"/>
    <n v="0"/>
    <n v="0"/>
    <n v="15.925787521209683"/>
    <m/>
    <m/>
    <n v="3542"/>
    <n v="0"/>
    <n v="0"/>
    <n v="4029.2242428660497"/>
    <n v="0"/>
    <n v="0"/>
  </r>
  <r>
    <s v="Regular"/>
    <x v="2"/>
    <x v="2"/>
    <x v="4"/>
    <x v="0"/>
    <x v="0"/>
    <x v="0"/>
    <x v="2"/>
    <x v="0"/>
    <n v="0"/>
    <n v="0"/>
    <n v="4.4749999999999996"/>
    <n v="4.4749999999999996"/>
    <n v="4.4749999999999996"/>
    <n v="4.4749999999999996"/>
    <n v="0"/>
    <x v="2"/>
    <n v="0"/>
    <n v="0"/>
    <n v="8"/>
    <n v="38"/>
    <n v="0"/>
    <n v="940.43"/>
    <n v="442.86"/>
    <m/>
    <n v="1108.3660770518723"/>
    <n v="476.88775168498375"/>
    <n v="0"/>
    <n v="4208.4242499999991"/>
    <n v="1981.7984999999999"/>
    <n v="0"/>
    <n v="4959.9381948071277"/>
    <n v="2134.072688790302"/>
  </r>
  <r>
    <s v="Regular"/>
    <x v="2"/>
    <x v="2"/>
    <x v="4"/>
    <x v="0"/>
    <x v="0"/>
    <x v="0"/>
    <x v="2"/>
    <x v="1"/>
    <n v="0"/>
    <n v="0"/>
    <n v="4.2549999999999999"/>
    <n v="4.2549999999999999"/>
    <n v="4.2549999999999999"/>
    <n v="4.2549999999999999"/>
    <n v="0"/>
    <x v="2"/>
    <n v="0"/>
    <n v="0"/>
    <n v="8"/>
    <n v="38"/>
    <n v="0"/>
    <n v="940.43"/>
    <n v="442.86"/>
    <m/>
    <n v="1108.3660770518723"/>
    <n v="476.88775168498375"/>
    <n v="0"/>
    <n v="4001.5296499999995"/>
    <n v="1884.3693000000001"/>
    <n v="0"/>
    <n v="4716.0976578557165"/>
    <n v="2029.1573834196058"/>
  </r>
  <r>
    <s v="Regular"/>
    <x v="2"/>
    <x v="2"/>
    <x v="4"/>
    <x v="0"/>
    <x v="0"/>
    <x v="0"/>
    <x v="2"/>
    <x v="2"/>
    <n v="0"/>
    <n v="0"/>
    <n v="5.1749999999999998"/>
    <n v="5.1749999999999998"/>
    <n v="5.1749999999999998"/>
    <n v="5.1749999999999998"/>
    <n v="0"/>
    <x v="2"/>
    <n v="0"/>
    <n v="0"/>
    <n v="8"/>
    <n v="38"/>
    <n v="0"/>
    <n v="940.43"/>
    <n v="442.86"/>
    <m/>
    <n v="1108.3660770518723"/>
    <n v="476.88775168498375"/>
    <n v="0"/>
    <n v="4866.7252499999995"/>
    <n v="2291.8004999999998"/>
    <n v="0"/>
    <n v="5735.7944487434388"/>
    <n v="2467.8941149697907"/>
  </r>
  <r>
    <s v="Regular"/>
    <x v="2"/>
    <x v="2"/>
    <x v="4"/>
    <x v="0"/>
    <x v="0"/>
    <x v="0"/>
    <x v="2"/>
    <x v="3"/>
    <n v="0"/>
    <n v="0"/>
    <n v="4.7939999999999996"/>
    <n v="4.7939999999999996"/>
    <n v="4.7939999999999996"/>
    <n v="4.7939999999999996"/>
    <n v="0"/>
    <x v="2"/>
    <n v="0"/>
    <n v="0"/>
    <n v="8"/>
    <n v="38"/>
    <n v="0"/>
    <n v="940.43"/>
    <n v="442.86"/>
    <m/>
    <n v="1108.3660770518723"/>
    <n v="476.88775168498375"/>
    <n v="0"/>
    <n v="4508.4214199999997"/>
    <n v="2123.0708399999999"/>
    <n v="0"/>
    <n v="5313.5069733866749"/>
    <n v="2286.199881577812"/>
  </r>
  <r>
    <s v="Regular"/>
    <x v="2"/>
    <x v="2"/>
    <x v="4"/>
    <x v="0"/>
    <x v="0"/>
    <x v="0"/>
    <x v="2"/>
    <x v="4"/>
    <n v="0"/>
    <n v="0"/>
    <n v="4.569"/>
    <n v="4.569"/>
    <n v="4.569"/>
    <n v="4.569"/>
    <n v="0"/>
    <x v="2"/>
    <n v="0"/>
    <n v="0"/>
    <n v="8"/>
    <n v="38"/>
    <n v="0"/>
    <n v="940.43"/>
    <n v="442.86"/>
    <m/>
    <n v="1108.3660770518723"/>
    <n v="476.88775168498375"/>
    <n v="0"/>
    <n v="4296.82467"/>
    <n v="2023.42734"/>
    <n v="0"/>
    <n v="5064.1246060500043"/>
    <n v="2178.9001374486907"/>
  </r>
  <r>
    <s v="Regular"/>
    <x v="2"/>
    <x v="2"/>
    <x v="4"/>
    <x v="0"/>
    <x v="0"/>
    <x v="0"/>
    <x v="2"/>
    <x v="5"/>
    <n v="0"/>
    <n v="0"/>
    <n v="5.274"/>
    <n v="5.274"/>
    <n v="5.274"/>
    <n v="5.274"/>
    <n v="0"/>
    <x v="2"/>
    <n v="0"/>
    <n v="0"/>
    <n v="8"/>
    <n v="38"/>
    <n v="0"/>
    <n v="940.43"/>
    <n v="442.86"/>
    <m/>
    <n v="1108.3660770518723"/>
    <n v="476.88775168498375"/>
    <n v="0"/>
    <n v="4959.8278199999995"/>
    <n v="2335.6436400000002"/>
    <n v="0"/>
    <n v="5845.5226903715738"/>
    <n v="2515.1060023866044"/>
  </r>
  <r>
    <s v="Regular"/>
    <x v="2"/>
    <x v="2"/>
    <x v="4"/>
    <x v="0"/>
    <x v="0"/>
    <x v="0"/>
    <x v="2"/>
    <x v="6"/>
    <n v="0"/>
    <n v="0"/>
    <n v="4.6159999999999997"/>
    <n v="4.6159999999999997"/>
    <n v="4.6159999999999997"/>
    <n v="4.6159999999999997"/>
    <n v="0"/>
    <x v="2"/>
    <n v="0"/>
    <n v="0"/>
    <n v="8"/>
    <n v="38"/>
    <n v="0"/>
    <n v="940.43"/>
    <n v="442.86"/>
    <m/>
    <n v="1108.3660770518723"/>
    <n v="476.88775168498375"/>
    <n v="0"/>
    <n v="4341.024879999999"/>
    <n v="2044.2417599999999"/>
    <n v="0"/>
    <n v="5116.2178116714422"/>
    <n v="2201.313861777885"/>
  </r>
  <r>
    <s v="Regular"/>
    <x v="2"/>
    <x v="2"/>
    <x v="4"/>
    <x v="0"/>
    <x v="0"/>
    <x v="0"/>
    <x v="2"/>
    <x v="7"/>
    <n v="0"/>
    <n v="0"/>
    <n v="5.0890000000000004"/>
    <n v="5.0890000000000004"/>
    <n v="5.0890000000000004"/>
    <n v="5.0890000000000004"/>
    <n v="0"/>
    <x v="2"/>
    <n v="0"/>
    <n v="0"/>
    <n v="8"/>
    <n v="38"/>
    <n v="0"/>
    <n v="940.43"/>
    <n v="442.86"/>
    <m/>
    <n v="1108.3660770518723"/>
    <n v="476.88775168498375"/>
    <n v="0"/>
    <n v="4785.8482700000004"/>
    <n v="2253.7145400000004"/>
    <n v="0"/>
    <n v="5640.4749661169781"/>
    <n v="2426.8817683248826"/>
  </r>
  <r>
    <s v="Regular"/>
    <x v="2"/>
    <x v="2"/>
    <x v="4"/>
    <x v="0"/>
    <x v="0"/>
    <x v="0"/>
    <x v="2"/>
    <x v="8"/>
    <n v="0"/>
    <n v="0"/>
    <n v="4.7629999999999999"/>
    <n v="4.7629999999999999"/>
    <n v="4.7629999999999999"/>
    <n v="4.7629999999999999"/>
    <n v="0"/>
    <x v="2"/>
    <n v="0"/>
    <n v="0"/>
    <n v="8"/>
    <n v="38"/>
    <n v="0"/>
    <n v="940.43"/>
    <n v="442.86"/>
    <m/>
    <n v="1108.3660770518723"/>
    <n v="476.88775168498375"/>
    <n v="0"/>
    <n v="4479.2680899999996"/>
    <n v="2109.3421800000001"/>
    <n v="0"/>
    <n v="5279.1476249980678"/>
    <n v="2271.4163612755774"/>
  </r>
  <r>
    <s v="Regular"/>
    <x v="2"/>
    <x v="2"/>
    <x v="4"/>
    <x v="0"/>
    <x v="0"/>
    <x v="0"/>
    <x v="2"/>
    <x v="9"/>
    <n v="0"/>
    <n v="0"/>
    <n v="4.9459999999999997"/>
    <n v="4.9459999999999997"/>
    <n v="4.9459999999999997"/>
    <n v="4.9459999999999997"/>
    <n v="0"/>
    <x v="2"/>
    <n v="0"/>
    <n v="0"/>
    <n v="8"/>
    <n v="38"/>
    <n v="0"/>
    <n v="940.43"/>
    <n v="442.86"/>
    <m/>
    <n v="1108.3660770518723"/>
    <n v="476.88775168498375"/>
    <n v="0"/>
    <n v="4651.3667799999994"/>
    <n v="2190.3855600000002"/>
    <n v="0"/>
    <n v="5481.9786170985599"/>
    <n v="2358.6868198339293"/>
  </r>
  <r>
    <s v="Regular"/>
    <x v="2"/>
    <x v="2"/>
    <x v="4"/>
    <x v="0"/>
    <x v="0"/>
    <x v="0"/>
    <x v="2"/>
    <x v="10"/>
    <n v="0"/>
    <n v="0"/>
    <n v="5.39"/>
    <n v="5.39"/>
    <n v="5.39"/>
    <n v="5.39"/>
    <n v="0"/>
    <x v="2"/>
    <n v="0"/>
    <n v="0"/>
    <n v="8"/>
    <n v="38"/>
    <n v="0"/>
    <n v="940.43"/>
    <n v="442.86"/>
    <m/>
    <n v="1108.3660770518723"/>
    <n v="476.88775168498375"/>
    <n v="0"/>
    <n v="5068.9176999999991"/>
    <n v="2387.0153999999998"/>
    <n v="0"/>
    <n v="5974.0931553095907"/>
    <n v="2570.4249815820622"/>
  </r>
  <r>
    <s v="PROJETADO"/>
    <x v="2"/>
    <x v="2"/>
    <x v="4"/>
    <x v="0"/>
    <x v="0"/>
    <x v="0"/>
    <x v="2"/>
    <x v="11"/>
    <n v="0"/>
    <n v="0"/>
    <n v="5.39"/>
    <n v="5.39"/>
    <n v="5.39"/>
    <n v="5.39"/>
    <n v="0"/>
    <x v="2"/>
    <n v="0"/>
    <n v="0"/>
    <n v="8"/>
    <n v="38"/>
    <n v="0"/>
    <n v="940.43"/>
    <n v="442.86"/>
    <m/>
    <n v="1108.3660770518723"/>
    <n v="476.88775168498375"/>
    <n v="0"/>
    <n v="5068.9176999999991"/>
    <n v="2387.0153999999998"/>
    <n v="0"/>
    <n v="5974.0931553095907"/>
    <n v="2570.4249815820622"/>
  </r>
  <r>
    <s v="Regular"/>
    <x v="2"/>
    <x v="2"/>
    <x v="0"/>
    <x v="0"/>
    <x v="1"/>
    <x v="0"/>
    <x v="0"/>
    <x v="0"/>
    <n v="0"/>
    <n v="0"/>
    <n v="1753.7190000000001"/>
    <n v="1753.7190000000001"/>
    <n v="0"/>
    <n v="0"/>
    <n v="0"/>
    <x v="0"/>
    <n v="0"/>
    <n v="0"/>
    <n v="6"/>
    <n v="0"/>
    <n v="0"/>
    <n v="72.150000000000006"/>
    <n v="0"/>
    <m/>
    <n v="117.70169496208672"/>
    <m/>
    <n v="0"/>
    <n v="126530.82585000001"/>
    <n v="0"/>
    <n v="0"/>
    <n v="206415.69878721578"/>
    <n v="0"/>
  </r>
  <r>
    <s v="Regular"/>
    <x v="2"/>
    <x v="2"/>
    <x v="0"/>
    <x v="0"/>
    <x v="1"/>
    <x v="0"/>
    <x v="0"/>
    <x v="1"/>
    <n v="0"/>
    <n v="0"/>
    <n v="1678.8050000000001"/>
    <n v="1678.8050000000001"/>
    <n v="0"/>
    <n v="0"/>
    <n v="0"/>
    <x v="0"/>
    <n v="0"/>
    <n v="0"/>
    <n v="6"/>
    <n v="0"/>
    <n v="0"/>
    <n v="72.150000000000006"/>
    <n v="0"/>
    <m/>
    <n v="117.70169496208672"/>
    <m/>
    <n v="0"/>
    <n v="121125.78075000002"/>
    <n v="0"/>
    <n v="0"/>
    <n v="197598.194010826"/>
    <n v="0"/>
  </r>
  <r>
    <s v="Regular"/>
    <x v="2"/>
    <x v="2"/>
    <x v="0"/>
    <x v="0"/>
    <x v="1"/>
    <x v="0"/>
    <x v="0"/>
    <x v="2"/>
    <n v="0"/>
    <n v="0"/>
    <n v="1693.835"/>
    <n v="1693.835"/>
    <n v="0"/>
    <n v="0"/>
    <n v="0"/>
    <x v="0"/>
    <n v="0"/>
    <n v="0"/>
    <n v="6"/>
    <n v="0"/>
    <n v="0"/>
    <n v="72.150000000000006"/>
    <n v="0"/>
    <m/>
    <n v="117.70169496208672"/>
    <m/>
    <n v="0"/>
    <n v="122210.19525000002"/>
    <n v="0"/>
    <n v="0"/>
    <n v="199367.25048610618"/>
    <n v="0"/>
  </r>
  <r>
    <s v="Regular"/>
    <x v="2"/>
    <x v="2"/>
    <x v="0"/>
    <x v="0"/>
    <x v="1"/>
    <x v="0"/>
    <x v="0"/>
    <x v="3"/>
    <n v="0"/>
    <n v="0"/>
    <n v="1820.998"/>
    <n v="1820.998"/>
    <n v="0"/>
    <n v="0"/>
    <n v="0"/>
    <x v="0"/>
    <n v="0"/>
    <n v="0"/>
    <n v="6"/>
    <n v="0"/>
    <n v="0"/>
    <n v="72.150000000000006"/>
    <n v="0"/>
    <m/>
    <n v="117.70169496208672"/>
    <m/>
    <n v="0"/>
    <n v="131385.00570000001"/>
    <n v="0"/>
    <n v="0"/>
    <n v="214334.55112257"/>
    <n v="0"/>
  </r>
  <r>
    <s v="Regular"/>
    <x v="2"/>
    <x v="2"/>
    <x v="0"/>
    <x v="0"/>
    <x v="1"/>
    <x v="0"/>
    <x v="0"/>
    <x v="4"/>
    <n v="0"/>
    <n v="0"/>
    <n v="1778.502"/>
    <n v="1778.502"/>
    <n v="0"/>
    <n v="0"/>
    <n v="0"/>
    <x v="0"/>
    <n v="0"/>
    <n v="0"/>
    <n v="6"/>
    <n v="0"/>
    <n v="0"/>
    <n v="72.150000000000006"/>
    <n v="0"/>
    <m/>
    <n v="117.70169496208672"/>
    <m/>
    <n v="0"/>
    <n v="128318.91930000001"/>
    <n v="0"/>
    <n v="0"/>
    <n v="209332.69989346116"/>
    <n v="0"/>
  </r>
  <r>
    <s v="Regular"/>
    <x v="2"/>
    <x v="2"/>
    <x v="0"/>
    <x v="0"/>
    <x v="1"/>
    <x v="0"/>
    <x v="0"/>
    <x v="5"/>
    <n v="0"/>
    <n v="0"/>
    <n v="2134.7739999999999"/>
    <n v="2134.7739999999999"/>
    <n v="0"/>
    <n v="0"/>
    <n v="0"/>
    <x v="0"/>
    <n v="0"/>
    <n v="0"/>
    <n v="6"/>
    <n v="0"/>
    <n v="0"/>
    <n v="72.150000000000006"/>
    <n v="0"/>
    <m/>
    <n v="117.70169496208672"/>
    <m/>
    <n v="0"/>
    <n v="154023.94409999999"/>
    <n v="0"/>
    <n v="0"/>
    <n v="251266.5181609937"/>
    <n v="0"/>
  </r>
  <r>
    <s v="Regular"/>
    <x v="2"/>
    <x v="2"/>
    <x v="0"/>
    <x v="0"/>
    <x v="1"/>
    <x v="0"/>
    <x v="0"/>
    <x v="6"/>
    <n v="0"/>
    <n v="0"/>
    <n v="1901.9580000000001"/>
    <n v="1901.9580000000001"/>
    <n v="0"/>
    <n v="0"/>
    <n v="0"/>
    <x v="0"/>
    <n v="0"/>
    <n v="0"/>
    <n v="6"/>
    <n v="0"/>
    <n v="0"/>
    <n v="72.150000000000006"/>
    <n v="0"/>
    <m/>
    <n v="117.70169496208672"/>
    <m/>
    <n v="0"/>
    <n v="137226.2697"/>
    <n v="0"/>
    <n v="0"/>
    <n v="223863.68034670054"/>
    <n v="0"/>
  </r>
  <r>
    <s v="Regular"/>
    <x v="2"/>
    <x v="2"/>
    <x v="0"/>
    <x v="0"/>
    <x v="1"/>
    <x v="0"/>
    <x v="0"/>
    <x v="7"/>
    <n v="0"/>
    <n v="0"/>
    <n v="1849.085"/>
    <n v="1849.085"/>
    <n v="0"/>
    <n v="0"/>
    <n v="0"/>
    <x v="0"/>
    <n v="0"/>
    <n v="0"/>
    <n v="6"/>
    <n v="0"/>
    <n v="0"/>
    <n v="72.150000000000006"/>
    <n v="0"/>
    <m/>
    <n v="117.70169496208672"/>
    <m/>
    <n v="0"/>
    <n v="133411.48275000002"/>
    <n v="0"/>
    <n v="0"/>
    <n v="217640.43862897012"/>
    <n v="0"/>
  </r>
  <r>
    <s v="Regular"/>
    <x v="2"/>
    <x v="2"/>
    <x v="0"/>
    <x v="0"/>
    <x v="1"/>
    <x v="0"/>
    <x v="0"/>
    <x v="8"/>
    <n v="0"/>
    <n v="0"/>
    <n v="1817.01"/>
    <n v="1817.01"/>
    <n v="0"/>
    <n v="0"/>
    <n v="0"/>
    <x v="0"/>
    <n v="0"/>
    <n v="0"/>
    <n v="6"/>
    <n v="0"/>
    <n v="0"/>
    <n v="72.150000000000006"/>
    <n v="0"/>
    <m/>
    <n v="117.70169496208672"/>
    <m/>
    <n v="0"/>
    <n v="131097.2715"/>
    <n v="0"/>
    <n v="0"/>
    <n v="213865.15676306118"/>
    <n v="0"/>
  </r>
  <r>
    <s v="Regular"/>
    <x v="2"/>
    <x v="2"/>
    <x v="0"/>
    <x v="0"/>
    <x v="1"/>
    <x v="0"/>
    <x v="0"/>
    <x v="9"/>
    <n v="0"/>
    <n v="0"/>
    <n v="1863.682"/>
    <n v="1863.682"/>
    <n v="0"/>
    <n v="0"/>
    <n v="0"/>
    <x v="0"/>
    <n v="0"/>
    <n v="0"/>
    <n v="6"/>
    <n v="0"/>
    <n v="0"/>
    <n v="72.150000000000006"/>
    <n v="0"/>
    <m/>
    <n v="117.70169496208672"/>
    <m/>
    <n v="0"/>
    <n v="134464.6563"/>
    <n v="0"/>
    <n v="0"/>
    <n v="219358.53027033171"/>
    <n v="0"/>
  </r>
  <r>
    <s v="Regular"/>
    <x v="2"/>
    <x v="2"/>
    <x v="0"/>
    <x v="0"/>
    <x v="1"/>
    <x v="0"/>
    <x v="0"/>
    <x v="10"/>
    <n v="0"/>
    <n v="0"/>
    <n v="1955.509"/>
    <n v="1955.509"/>
    <n v="0"/>
    <n v="0"/>
    <n v="0"/>
    <x v="0"/>
    <n v="0"/>
    <n v="0"/>
    <n v="6"/>
    <n v="0"/>
    <n v="0"/>
    <n v="72.150000000000006"/>
    <n v="0"/>
    <m/>
    <n v="117.70169496208672"/>
    <m/>
    <n v="0"/>
    <n v="141089.97435"/>
    <n v="0"/>
    <n v="0"/>
    <n v="230166.72381361524"/>
    <n v="0"/>
  </r>
  <r>
    <s v="PROJETADO"/>
    <x v="2"/>
    <x v="2"/>
    <x v="0"/>
    <x v="0"/>
    <x v="1"/>
    <x v="0"/>
    <x v="0"/>
    <x v="11"/>
    <n v="0"/>
    <n v="0"/>
    <n v="1955.509"/>
    <n v="1955.509"/>
    <n v="0"/>
    <n v="0"/>
    <n v="0"/>
    <x v="0"/>
    <n v="0"/>
    <n v="0"/>
    <n v="6"/>
    <n v="0"/>
    <n v="0"/>
    <n v="72.150000000000006"/>
    <n v="0"/>
    <m/>
    <n v="117.70169496208672"/>
    <m/>
    <n v="0"/>
    <n v="141089.97435"/>
    <n v="0"/>
    <n v="0"/>
    <n v="230166.72381361524"/>
    <n v="0"/>
  </r>
  <r>
    <s v="Regular"/>
    <x v="2"/>
    <x v="2"/>
    <x v="0"/>
    <x v="0"/>
    <x v="1"/>
    <x v="0"/>
    <x v="1"/>
    <x v="0"/>
    <n v="5385"/>
    <n v="4382.6265147000004"/>
    <n v="0"/>
    <n v="0"/>
    <n v="0"/>
    <n v="0"/>
    <n v="9"/>
    <x v="0"/>
    <n v="0"/>
    <n v="20"/>
    <n v="0"/>
    <n v="0"/>
    <n v="14"/>
    <n v="0"/>
    <n v="0"/>
    <n v="15.925787521209683"/>
    <m/>
    <m/>
    <n v="61356.771205800003"/>
    <n v="0"/>
    <n v="0"/>
    <n v="69796.778657931951"/>
    <n v="0"/>
    <n v="0"/>
  </r>
  <r>
    <s v="Regular"/>
    <x v="2"/>
    <x v="2"/>
    <x v="0"/>
    <x v="0"/>
    <x v="1"/>
    <x v="0"/>
    <x v="1"/>
    <x v="1"/>
    <n v="5464"/>
    <n v="2639.6861571200002"/>
    <n v="0"/>
    <n v="0"/>
    <n v="0"/>
    <n v="0"/>
    <n v="9"/>
    <x v="0"/>
    <n v="0"/>
    <n v="20"/>
    <n v="0"/>
    <n v="0"/>
    <n v="14"/>
    <n v="0"/>
    <n v="0"/>
    <n v="15.925787521209683"/>
    <m/>
    <m/>
    <n v="36955.606199680005"/>
    <n v="0"/>
    <n v="0"/>
    <n v="42039.080860971641"/>
    <n v="0"/>
    <n v="0"/>
  </r>
  <r>
    <s v="Regular"/>
    <x v="2"/>
    <x v="2"/>
    <x v="0"/>
    <x v="0"/>
    <x v="1"/>
    <x v="0"/>
    <x v="1"/>
    <x v="2"/>
    <n v="5699"/>
    <n v="1816.6392844300001"/>
    <n v="0"/>
    <n v="0"/>
    <n v="0"/>
    <n v="0"/>
    <n v="11"/>
    <x v="0"/>
    <n v="0"/>
    <n v="20"/>
    <n v="0"/>
    <n v="0"/>
    <n v="14"/>
    <n v="0"/>
    <n v="0"/>
    <n v="15.925787521209683"/>
    <m/>
    <m/>
    <n v="25432.94998202"/>
    <n v="0"/>
    <n v="0"/>
    <n v="28931.411246514584"/>
    <n v="0"/>
    <n v="0"/>
  </r>
  <r>
    <s v="Regular"/>
    <x v="2"/>
    <x v="2"/>
    <x v="0"/>
    <x v="0"/>
    <x v="1"/>
    <x v="0"/>
    <x v="1"/>
    <x v="3"/>
    <n v="6247"/>
    <n v="3020.874284"/>
    <n v="0"/>
    <n v="0"/>
    <n v="0"/>
    <n v="0"/>
    <n v="12"/>
    <x v="0"/>
    <n v="0"/>
    <n v="20"/>
    <n v="0"/>
    <n v="0"/>
    <n v="14"/>
    <n v="0"/>
    <n v="0"/>
    <n v="15.925787521209683"/>
    <m/>
    <m/>
    <n v="42292.239975999997"/>
    <n v="0"/>
    <n v="0"/>
    <n v="48109.801975270435"/>
    <n v="0"/>
    <n v="0"/>
  </r>
  <r>
    <s v="Regular"/>
    <x v="2"/>
    <x v="2"/>
    <x v="0"/>
    <x v="0"/>
    <x v="1"/>
    <x v="0"/>
    <x v="1"/>
    <x v="4"/>
    <n v="6434"/>
    <n v="3202.3385868400001"/>
    <n v="0"/>
    <n v="0"/>
    <n v="0"/>
    <n v="0"/>
    <n v="13"/>
    <x v="0"/>
    <n v="0"/>
    <n v="20"/>
    <n v="0"/>
    <n v="0"/>
    <n v="14"/>
    <n v="0"/>
    <n v="0"/>
    <n v="15.925787521209683"/>
    <m/>
    <m/>
    <n v="44832.740215760001"/>
    <n v="0"/>
    <n v="0"/>
    <n v="50999.763904984728"/>
    <n v="0"/>
    <n v="0"/>
  </r>
  <r>
    <s v="Regular"/>
    <x v="2"/>
    <x v="2"/>
    <x v="0"/>
    <x v="0"/>
    <x v="1"/>
    <x v="0"/>
    <x v="1"/>
    <x v="5"/>
    <n v="6719"/>
    <n v="3187.2271244600001"/>
    <n v="0"/>
    <n v="0"/>
    <n v="0"/>
    <n v="0"/>
    <n v="15"/>
    <x v="0"/>
    <n v="0"/>
    <n v="20"/>
    <n v="0"/>
    <n v="0"/>
    <n v="14"/>
    <n v="0"/>
    <n v="0"/>
    <n v="15.925787521209683"/>
    <m/>
    <m/>
    <n v="44621.179742439999"/>
    <n v="0"/>
    <n v="0"/>
    <n v="50759.10196598609"/>
    <n v="0"/>
    <n v="0"/>
  </r>
  <r>
    <s v="Regular"/>
    <x v="2"/>
    <x v="2"/>
    <x v="0"/>
    <x v="0"/>
    <x v="1"/>
    <x v="0"/>
    <x v="1"/>
    <x v="6"/>
    <n v="6697"/>
    <n v="3460.6249912899998"/>
    <n v="0"/>
    <n v="0"/>
    <n v="0"/>
    <n v="0"/>
    <n v="15"/>
    <x v="0"/>
    <n v="0"/>
    <n v="20"/>
    <n v="0"/>
    <n v="0"/>
    <n v="14"/>
    <n v="0"/>
    <n v="0"/>
    <n v="15.925787521209683"/>
    <m/>
    <m/>
    <n v="48448.74987806"/>
    <n v="0"/>
    <n v="0"/>
    <n v="55113.178301872649"/>
    <n v="0"/>
    <n v="0"/>
  </r>
  <r>
    <s v="Regular"/>
    <x v="2"/>
    <x v="2"/>
    <x v="0"/>
    <x v="0"/>
    <x v="1"/>
    <x v="0"/>
    <x v="1"/>
    <x v="7"/>
    <n v="7006"/>
    <n v="3237.26858528"/>
    <n v="0"/>
    <n v="0"/>
    <n v="0"/>
    <n v="0"/>
    <n v="16"/>
    <x v="0"/>
    <n v="0"/>
    <n v="20"/>
    <n v="0"/>
    <n v="0"/>
    <n v="14"/>
    <n v="0"/>
    <n v="0"/>
    <n v="15.925787521209683"/>
    <m/>
    <m/>
    <n v="45321.760193920003"/>
    <n v="0"/>
    <n v="0"/>
    <n v="51556.051638256351"/>
    <n v="0"/>
    <n v="0"/>
  </r>
  <r>
    <s v="Regular"/>
    <x v="2"/>
    <x v="2"/>
    <x v="0"/>
    <x v="0"/>
    <x v="1"/>
    <x v="0"/>
    <x v="1"/>
    <x v="8"/>
    <n v="7138"/>
    <n v="3276.37140856"/>
    <n v="0"/>
    <n v="0"/>
    <n v="0"/>
    <n v="0"/>
    <n v="16"/>
    <x v="0"/>
    <n v="0"/>
    <n v="20"/>
    <n v="0"/>
    <n v="0"/>
    <n v="14"/>
    <n v="0"/>
    <n v="0"/>
    <n v="15.925787521209683"/>
    <m/>
    <m/>
    <n v="45869.199719839999"/>
    <n v="0"/>
    <n v="0"/>
    <n v="52178.794893293038"/>
    <n v="0"/>
    <n v="0"/>
  </r>
  <r>
    <s v="Regular"/>
    <x v="2"/>
    <x v="2"/>
    <x v="0"/>
    <x v="0"/>
    <x v="1"/>
    <x v="0"/>
    <x v="1"/>
    <x v="9"/>
    <n v="7158"/>
    <n v="3383.4035699400001"/>
    <n v="0"/>
    <n v="0"/>
    <n v="0"/>
    <n v="0"/>
    <n v="16"/>
    <x v="0"/>
    <n v="0"/>
    <n v="20"/>
    <n v="0"/>
    <n v="0"/>
    <n v="14"/>
    <n v="0"/>
    <n v="0"/>
    <n v="15.925787521209683"/>
    <m/>
    <m/>
    <n v="47367.64997916"/>
    <n v="0"/>
    <n v="0"/>
    <n v="53883.36635336675"/>
    <n v="0"/>
    <n v="0"/>
  </r>
  <r>
    <s v="Regular"/>
    <x v="2"/>
    <x v="2"/>
    <x v="0"/>
    <x v="0"/>
    <x v="1"/>
    <x v="0"/>
    <x v="1"/>
    <x v="10"/>
    <n v="7177"/>
    <n v="3390.3400156600001"/>
    <n v="0"/>
    <n v="0"/>
    <n v="0"/>
    <n v="0"/>
    <n v="16"/>
    <x v="0"/>
    <n v="0"/>
    <n v="20"/>
    <n v="0"/>
    <n v="0"/>
    <n v="14"/>
    <n v="0"/>
    <n v="0"/>
    <n v="15.925787521209683"/>
    <m/>
    <m/>
    <n v="47464.760219240001"/>
    <n v="0"/>
    <n v="0"/>
    <n v="53993.834714055869"/>
    <n v="0"/>
    <n v="0"/>
  </r>
  <r>
    <s v="PROJETADO"/>
    <x v="2"/>
    <x v="2"/>
    <x v="0"/>
    <x v="0"/>
    <x v="1"/>
    <x v="0"/>
    <x v="1"/>
    <x v="11"/>
    <n v="7177"/>
    <n v="3390.3400156600001"/>
    <n v="0"/>
    <n v="0"/>
    <n v="0"/>
    <n v="0"/>
    <n v="16"/>
    <x v="0"/>
    <n v="0"/>
    <n v="20"/>
    <n v="0"/>
    <n v="0"/>
    <n v="14"/>
    <n v="0"/>
    <n v="0"/>
    <n v="15.925787521209683"/>
    <m/>
    <m/>
    <n v="47464.760219240001"/>
    <n v="0"/>
    <n v="0"/>
    <n v="53993.834714055869"/>
    <n v="0"/>
    <n v="0"/>
  </r>
  <r>
    <s v="Regular"/>
    <x v="2"/>
    <x v="2"/>
    <x v="0"/>
    <x v="0"/>
    <x v="1"/>
    <x v="0"/>
    <x v="2"/>
    <x v="0"/>
    <n v="0"/>
    <n v="0"/>
    <n v="121.318"/>
    <n v="108.06427661278001"/>
    <n v="0"/>
    <n v="0"/>
    <n v="0"/>
    <x v="0"/>
    <n v="0"/>
    <n v="0"/>
    <n v="8"/>
    <n v="0"/>
    <n v="0"/>
    <n v="940.43"/>
    <n v="0"/>
    <m/>
    <n v="1108.3660770518723"/>
    <m/>
    <n v="0"/>
    <n v="101626.88765495669"/>
    <n v="0"/>
    <n v="0"/>
    <n v="119774.77833875536"/>
    <n v="0"/>
  </r>
  <r>
    <s v="Regular"/>
    <x v="2"/>
    <x v="2"/>
    <x v="0"/>
    <x v="0"/>
    <x v="1"/>
    <x v="0"/>
    <x v="2"/>
    <x v="1"/>
    <n v="0"/>
    <n v="0"/>
    <n v="138.202"/>
    <n v="73.546681935999999"/>
    <n v="0"/>
    <n v="0"/>
    <n v="0"/>
    <x v="0"/>
    <n v="0"/>
    <n v="0"/>
    <n v="8"/>
    <n v="0"/>
    <n v="0"/>
    <n v="940.43"/>
    <n v="0"/>
    <m/>
    <n v="1108.3660770518723"/>
    <m/>
    <n v="0"/>
    <n v="69165.506093072472"/>
    <n v="0"/>
    <n v="0"/>
    <n v="81516.64733758611"/>
    <n v="0"/>
  </r>
  <r>
    <s v="Regular"/>
    <x v="2"/>
    <x v="2"/>
    <x v="0"/>
    <x v="0"/>
    <x v="1"/>
    <x v="0"/>
    <x v="2"/>
    <x v="2"/>
    <n v="0"/>
    <n v="0"/>
    <n v="183.863"/>
    <n v="82.91051747457"/>
    <n v="0"/>
    <n v="0"/>
    <n v="0"/>
    <x v="0"/>
    <n v="0"/>
    <n v="0"/>
    <n v="8"/>
    <n v="0"/>
    <n v="0"/>
    <n v="940.43"/>
    <n v="0"/>
    <m/>
    <n v="1108.3660770518723"/>
    <m/>
    <n v="0"/>
    <n v="77971.537948609854"/>
    <n v="0"/>
    <n v="0"/>
    <n v="91895.204999629859"/>
    <n v="0"/>
  </r>
  <r>
    <s v="Regular"/>
    <x v="2"/>
    <x v="2"/>
    <x v="0"/>
    <x v="0"/>
    <x v="1"/>
    <x v="0"/>
    <x v="2"/>
    <x v="3"/>
    <n v="0"/>
    <n v="0"/>
    <n v="176.209"/>
    <n v="94.779071372480004"/>
    <n v="0"/>
    <n v="0"/>
    <n v="0"/>
    <x v="0"/>
    <n v="0"/>
    <n v="0"/>
    <n v="8"/>
    <n v="0"/>
    <n v="0"/>
    <n v="940.43"/>
    <n v="0"/>
    <m/>
    <n v="1108.3660770518723"/>
    <m/>
    <n v="0"/>
    <n v="89133.082090821365"/>
    <n v="0"/>
    <n v="0"/>
    <n v="105049.90752373508"/>
    <n v="0"/>
  </r>
  <r>
    <s v="Regular"/>
    <x v="2"/>
    <x v="2"/>
    <x v="0"/>
    <x v="0"/>
    <x v="1"/>
    <x v="0"/>
    <x v="2"/>
    <x v="4"/>
    <n v="0"/>
    <n v="0"/>
    <n v="182.48099999999999"/>
    <n v="98.261492971199999"/>
    <n v="0"/>
    <n v="0"/>
    <n v="0"/>
    <x v="0"/>
    <n v="0"/>
    <n v="0"/>
    <n v="8"/>
    <n v="0"/>
    <n v="0"/>
    <n v="940.43"/>
    <n v="0"/>
    <m/>
    <n v="1108.3660770518723"/>
    <m/>
    <n v="0"/>
    <n v="92408.055834905608"/>
    <n v="0"/>
    <n v="0"/>
    <n v="108909.70548974906"/>
    <n v="0"/>
  </r>
  <r>
    <s v="Regular"/>
    <x v="2"/>
    <x v="2"/>
    <x v="0"/>
    <x v="0"/>
    <x v="1"/>
    <x v="0"/>
    <x v="2"/>
    <x v="5"/>
    <n v="0"/>
    <n v="0"/>
    <n v="216.84899999999999"/>
    <n v="113.59783189716001"/>
    <n v="0"/>
    <n v="0"/>
    <n v="0"/>
    <x v="0"/>
    <n v="0"/>
    <n v="0"/>
    <n v="8"/>
    <n v="0"/>
    <n v="0"/>
    <n v="940.43"/>
    <n v="0"/>
    <m/>
    <n v="1108.3660770518723"/>
    <m/>
    <n v="0"/>
    <n v="106830.80905104618"/>
    <n v="0"/>
    <n v="0"/>
    <n v="125907.98330145328"/>
    <n v="0"/>
  </r>
  <r>
    <s v="Regular"/>
    <x v="2"/>
    <x v="2"/>
    <x v="0"/>
    <x v="0"/>
    <x v="1"/>
    <x v="0"/>
    <x v="2"/>
    <x v="6"/>
    <n v="0"/>
    <n v="0"/>
    <n v="175.78700000000001"/>
    <n v="98.715021550540001"/>
    <n v="0"/>
    <n v="0"/>
    <n v="0"/>
    <x v="0"/>
    <n v="0"/>
    <n v="0"/>
    <n v="8"/>
    <n v="0"/>
    <n v="0"/>
    <n v="940.43"/>
    <n v="0"/>
    <m/>
    <n v="1108.3660770518723"/>
    <m/>
    <n v="0"/>
    <n v="92834.567716774327"/>
    <n v="0"/>
    <n v="0"/>
    <n v="109412.38118206305"/>
    <n v="0"/>
  </r>
  <r>
    <s v="Regular"/>
    <x v="2"/>
    <x v="2"/>
    <x v="0"/>
    <x v="0"/>
    <x v="1"/>
    <x v="0"/>
    <x v="2"/>
    <x v="7"/>
    <n v="0"/>
    <n v="0"/>
    <n v="188.727"/>
    <n v="100.25089915764001"/>
    <n v="0"/>
    <n v="0"/>
    <n v="0"/>
    <x v="0"/>
    <n v="0"/>
    <n v="0"/>
    <n v="8"/>
    <n v="0"/>
    <n v="0"/>
    <n v="940.43"/>
    <n v="0"/>
    <m/>
    <n v="1108.3660770518723"/>
    <m/>
    <n v="0"/>
    <n v="94278.953094819386"/>
    <n v="0"/>
    <n v="0"/>
    <n v="111114.69582027631"/>
    <n v="0"/>
  </r>
  <r>
    <s v="Regular"/>
    <x v="2"/>
    <x v="2"/>
    <x v="0"/>
    <x v="0"/>
    <x v="1"/>
    <x v="0"/>
    <x v="2"/>
    <x v="8"/>
    <n v="0"/>
    <n v="0"/>
    <n v="179.56100000000001"/>
    <n v="92.625512965469994"/>
    <n v="0"/>
    <n v="0"/>
    <n v="0"/>
    <x v="0"/>
    <n v="0"/>
    <n v="0"/>
    <n v="8"/>
    <n v="0"/>
    <n v="0"/>
    <n v="940.43"/>
    <n v="0"/>
    <m/>
    <n v="1108.3660770518723"/>
    <m/>
    <n v="0"/>
    <n v="87107.811158116936"/>
    <n v="0"/>
    <n v="0"/>
    <n v="102662.97644045531"/>
    <n v="0"/>
  </r>
  <r>
    <s v="Regular"/>
    <x v="2"/>
    <x v="2"/>
    <x v="0"/>
    <x v="0"/>
    <x v="1"/>
    <x v="0"/>
    <x v="2"/>
    <x v="9"/>
    <n v="0"/>
    <n v="0"/>
    <n v="167.62700000000001"/>
    <n v="88.032715173019994"/>
    <n v="0"/>
    <n v="0"/>
    <n v="0"/>
    <x v="0"/>
    <n v="0"/>
    <n v="0"/>
    <n v="8"/>
    <n v="0"/>
    <n v="0"/>
    <n v="940.43"/>
    <n v="0"/>
    <m/>
    <n v="1108.3660770518723"/>
    <m/>
    <n v="0"/>
    <n v="82788.606330163195"/>
    <n v="0"/>
    <n v="0"/>
    <n v="97572.475168545003"/>
    <n v="0"/>
  </r>
  <r>
    <s v="Regular"/>
    <x v="2"/>
    <x v="2"/>
    <x v="0"/>
    <x v="0"/>
    <x v="1"/>
    <x v="0"/>
    <x v="2"/>
    <x v="10"/>
    <n v="0"/>
    <n v="0"/>
    <n v="201.63499999999999"/>
    <n v="106.0584009527"/>
    <n v="0"/>
    <n v="0"/>
    <n v="0"/>
    <x v="0"/>
    <n v="0"/>
    <n v="0"/>
    <n v="8"/>
    <n v="0"/>
    <n v="0"/>
    <n v="940.43"/>
    <n v="0"/>
    <m/>
    <n v="1108.3660770518723"/>
    <m/>
    <n v="0"/>
    <n v="99740.502007947653"/>
    <n v="0"/>
    <n v="0"/>
    <n v="117551.53380233864"/>
    <n v="0"/>
  </r>
  <r>
    <s v="PROJETADO"/>
    <x v="2"/>
    <x v="2"/>
    <x v="0"/>
    <x v="0"/>
    <x v="1"/>
    <x v="0"/>
    <x v="2"/>
    <x v="11"/>
    <n v="0"/>
    <n v="0"/>
    <n v="201.63499999999999"/>
    <n v="106.0584009527"/>
    <n v="0"/>
    <n v="0"/>
    <n v="0"/>
    <x v="0"/>
    <n v="0"/>
    <n v="0"/>
    <n v="8"/>
    <n v="0"/>
    <n v="0"/>
    <n v="940.43"/>
    <n v="0"/>
    <m/>
    <n v="1108.3660770518723"/>
    <m/>
    <n v="0"/>
    <n v="99740.502007947653"/>
    <n v="0"/>
    <n v="0"/>
    <n v="117551.53380233864"/>
    <n v="0"/>
  </r>
  <r>
    <s v="Regular"/>
    <x v="2"/>
    <x v="2"/>
    <x v="0"/>
    <x v="0"/>
    <x v="0"/>
    <x v="0"/>
    <x v="0"/>
    <x v="0"/>
    <n v="0"/>
    <n v="0"/>
    <n v="1978.3230000000001"/>
    <n v="1978.3230000000001"/>
    <n v="1978.3230000000001"/>
    <n v="1978.3230000000001"/>
    <n v="0"/>
    <x v="2"/>
    <n v="0"/>
    <n v="0"/>
    <n v="6"/>
    <n v="61"/>
    <n v="0"/>
    <n v="72.150000000000006"/>
    <n v="278.67"/>
    <m/>
    <n v="117.70169496208672"/>
    <n v="295.87360985530717"/>
    <n v="0"/>
    <n v="142736.00445000001"/>
    <n v="551299.27041000011"/>
    <n v="0"/>
    <n v="232851.9702824803"/>
    <n v="585333.56746978092"/>
  </r>
  <r>
    <s v="Regular"/>
    <x v="2"/>
    <x v="2"/>
    <x v="0"/>
    <x v="0"/>
    <x v="0"/>
    <x v="0"/>
    <x v="0"/>
    <x v="0"/>
    <n v="0"/>
    <n v="0"/>
    <n v="685.279"/>
    <n v="685.279"/>
    <n v="0"/>
    <n v="0"/>
    <n v="0"/>
    <x v="0"/>
    <n v="0"/>
    <n v="0"/>
    <n v="6"/>
    <n v="0"/>
    <n v="0"/>
    <n v="72.150000000000006"/>
    <n v="0"/>
    <m/>
    <n v="117.70169496208672"/>
    <m/>
    <n v="0"/>
    <n v="49442.879850000005"/>
    <n v="0"/>
    <n v="0"/>
    <n v="80658.499821923819"/>
    <n v="0"/>
  </r>
  <r>
    <s v="Regular"/>
    <x v="2"/>
    <x v="2"/>
    <x v="0"/>
    <x v="0"/>
    <x v="0"/>
    <x v="0"/>
    <x v="0"/>
    <x v="1"/>
    <n v="0"/>
    <n v="0"/>
    <n v="1941.5260000000001"/>
    <n v="1941.5260000000001"/>
    <n v="1941.5260000000001"/>
    <n v="1941.5260000000001"/>
    <n v="0"/>
    <x v="2"/>
    <n v="0"/>
    <n v="0"/>
    <n v="6"/>
    <n v="61"/>
    <n v="0"/>
    <n v="72.150000000000006"/>
    <n v="278.67"/>
    <m/>
    <n v="117.70169496208672"/>
    <n v="295.87360985530717"/>
    <n v="0"/>
    <n v="140081.10090000002"/>
    <n v="541045.0504200001"/>
    <n v="0"/>
    <n v="228520.90101296038"/>
    <n v="574446.30624793516"/>
  </r>
  <r>
    <s v="Regular"/>
    <x v="2"/>
    <x v="2"/>
    <x v="0"/>
    <x v="0"/>
    <x v="0"/>
    <x v="0"/>
    <x v="0"/>
    <x v="1"/>
    <n v="0"/>
    <n v="0"/>
    <n v="693.53800000000001"/>
    <n v="693.53800000000001"/>
    <n v="0"/>
    <n v="0"/>
    <n v="0"/>
    <x v="0"/>
    <n v="0"/>
    <n v="0"/>
    <n v="6"/>
    <n v="0"/>
    <n v="0"/>
    <n v="72.150000000000006"/>
    <n v="0"/>
    <m/>
    <n v="117.70169496208672"/>
    <m/>
    <n v="0"/>
    <n v="50038.766700000007"/>
    <n v="0"/>
    <n v="0"/>
    <n v="81630.598120615701"/>
    <n v="0"/>
  </r>
  <r>
    <s v="Regular"/>
    <x v="2"/>
    <x v="2"/>
    <x v="0"/>
    <x v="0"/>
    <x v="0"/>
    <x v="0"/>
    <x v="0"/>
    <x v="2"/>
    <n v="0"/>
    <n v="0"/>
    <n v="1775.636"/>
    <n v="1775.636"/>
    <n v="1775.636"/>
    <n v="1775.636"/>
    <n v="0"/>
    <x v="2"/>
    <n v="0"/>
    <n v="0"/>
    <n v="6"/>
    <n v="61"/>
    <n v="0"/>
    <n v="72.150000000000006"/>
    <n v="278.67"/>
    <m/>
    <n v="117.70169496208672"/>
    <n v="295.87360985530717"/>
    <n v="0"/>
    <n v="128112.13740000001"/>
    <n v="494816.48412000004"/>
    <n v="0"/>
    <n v="208995.36683569982"/>
    <n v="525363.83310903818"/>
  </r>
  <r>
    <s v="Regular"/>
    <x v="2"/>
    <x v="2"/>
    <x v="0"/>
    <x v="0"/>
    <x v="0"/>
    <x v="0"/>
    <x v="0"/>
    <x v="2"/>
    <n v="0"/>
    <n v="0"/>
    <n v="545.86"/>
    <n v="545.86"/>
    <n v="0"/>
    <n v="0"/>
    <n v="0"/>
    <x v="0"/>
    <n v="0"/>
    <n v="0"/>
    <n v="6"/>
    <n v="0"/>
    <n v="0"/>
    <n v="72.150000000000006"/>
    <n v="0"/>
    <m/>
    <n v="117.70169496208672"/>
    <m/>
    <n v="0"/>
    <n v="39383.799000000006"/>
    <n v="0"/>
    <n v="0"/>
    <n v="64248.64721200466"/>
    <n v="0"/>
  </r>
  <r>
    <s v="Regular"/>
    <x v="2"/>
    <x v="2"/>
    <x v="0"/>
    <x v="0"/>
    <x v="0"/>
    <x v="0"/>
    <x v="0"/>
    <x v="3"/>
    <n v="0"/>
    <n v="0"/>
    <n v="1727.298"/>
    <n v="1727.298"/>
    <n v="1727.298"/>
    <n v="1727.298"/>
    <n v="0"/>
    <x v="2"/>
    <n v="0"/>
    <n v="0"/>
    <n v="6"/>
    <n v="61"/>
    <n v="0"/>
    <n v="72.150000000000006"/>
    <n v="278.67"/>
    <m/>
    <n v="117.70169496208672"/>
    <n v="295.87360985530717"/>
    <n v="0"/>
    <n v="124624.55070000001"/>
    <n v="481346.13366000005"/>
    <n v="0"/>
    <n v="203305.90230462246"/>
    <n v="511061.89455585234"/>
  </r>
  <r>
    <s v="Sistema de Compensação"/>
    <x v="2"/>
    <x v="2"/>
    <x v="0"/>
    <x v="0"/>
    <x v="0"/>
    <x v="0"/>
    <x v="0"/>
    <x v="3"/>
    <n v="0"/>
    <n v="0"/>
    <n v="20.742999999999999"/>
    <n v="20.742999999999999"/>
    <n v="20.742999999999999"/>
    <n v="20.742999999999999"/>
    <n v="0"/>
    <x v="2"/>
    <n v="0"/>
    <n v="0"/>
    <n v="6"/>
    <n v="61"/>
    <n v="0"/>
    <n v="72.150000000000006"/>
    <n v="278.67"/>
    <m/>
    <n v="117.70169496208672"/>
    <n v="295.87360985530717"/>
    <n v="0"/>
    <n v="1496.60745"/>
    <n v="5780.4518099999996"/>
    <n v="0"/>
    <n v="2441.4862585985647"/>
    <n v="6137.3062892286362"/>
  </r>
  <r>
    <s v="Regular"/>
    <x v="2"/>
    <x v="2"/>
    <x v="0"/>
    <x v="0"/>
    <x v="0"/>
    <x v="0"/>
    <x v="0"/>
    <x v="3"/>
    <n v="0"/>
    <n v="0"/>
    <n v="651.76800000000003"/>
    <n v="651.76800000000003"/>
    <n v="0"/>
    <n v="0"/>
    <n v="0"/>
    <x v="0"/>
    <n v="0"/>
    <n v="0"/>
    <n v="6"/>
    <n v="0"/>
    <n v="0"/>
    <n v="72.150000000000006"/>
    <n v="0"/>
    <m/>
    <n v="117.70169496208672"/>
    <m/>
    <n v="0"/>
    <n v="47025.061200000004"/>
    <n v="0"/>
    <n v="0"/>
    <n v="76714.198322049342"/>
    <n v="0"/>
  </r>
  <r>
    <s v="Regular"/>
    <x v="2"/>
    <x v="2"/>
    <x v="0"/>
    <x v="0"/>
    <x v="0"/>
    <x v="0"/>
    <x v="0"/>
    <x v="4"/>
    <n v="0"/>
    <n v="0"/>
    <n v="1756.01"/>
    <n v="1756.01"/>
    <n v="1756.01"/>
    <n v="1756.01"/>
    <n v="0"/>
    <x v="2"/>
    <n v="0"/>
    <n v="0"/>
    <n v="6"/>
    <n v="61"/>
    <n v="0"/>
    <n v="72.150000000000006"/>
    <n v="278.67"/>
    <m/>
    <n v="117.70169496208672"/>
    <n v="295.87360985530717"/>
    <n v="0"/>
    <n v="126696.12150000001"/>
    <n v="489347.30670000002"/>
    <n v="0"/>
    <n v="206685.35337037389"/>
    <n v="519557.01764201792"/>
  </r>
  <r>
    <s v="Sistema de Compensação"/>
    <x v="2"/>
    <x v="2"/>
    <x v="0"/>
    <x v="0"/>
    <x v="0"/>
    <x v="0"/>
    <x v="0"/>
    <x v="4"/>
    <n v="0"/>
    <n v="0"/>
    <n v="10.256"/>
    <n v="10.256"/>
    <n v="10.256"/>
    <n v="10.256"/>
    <n v="0"/>
    <x v="2"/>
    <n v="0"/>
    <n v="0"/>
    <n v="6"/>
    <n v="61"/>
    <n v="0"/>
    <n v="72.150000000000006"/>
    <n v="278.67"/>
    <m/>
    <n v="117.70169496208672"/>
    <n v="295.87360985530717"/>
    <n v="0"/>
    <n v="739.97040000000004"/>
    <n v="2858.0395200000003"/>
    <n v="0"/>
    <n v="1207.1485835311614"/>
    <n v="3034.4797426760306"/>
  </r>
  <r>
    <s v="Regular"/>
    <x v="2"/>
    <x v="2"/>
    <x v="0"/>
    <x v="0"/>
    <x v="0"/>
    <x v="0"/>
    <x v="0"/>
    <x v="4"/>
    <n v="0"/>
    <n v="0"/>
    <n v="652.69399999999996"/>
    <n v="652.69399999999996"/>
    <n v="0"/>
    <n v="0"/>
    <n v="0"/>
    <x v="0"/>
    <n v="0"/>
    <n v="0"/>
    <n v="6"/>
    <n v="0"/>
    <n v="0"/>
    <n v="72.150000000000006"/>
    <n v="0"/>
    <m/>
    <n v="117.70169496208672"/>
    <m/>
    <n v="0"/>
    <n v="47091.872100000001"/>
    <n v="0"/>
    <n v="0"/>
    <n v="76823.190091584227"/>
    <n v="0"/>
  </r>
  <r>
    <s v="Regular"/>
    <x v="2"/>
    <x v="2"/>
    <x v="0"/>
    <x v="0"/>
    <x v="0"/>
    <x v="0"/>
    <x v="0"/>
    <x v="5"/>
    <n v="0"/>
    <n v="0"/>
    <n v="1979.059"/>
    <n v="1979.059"/>
    <n v="1979.059"/>
    <n v="1979.059"/>
    <n v="0"/>
    <x v="2"/>
    <n v="0"/>
    <n v="0"/>
    <n v="6"/>
    <n v="61"/>
    <n v="0"/>
    <n v="72.150000000000006"/>
    <n v="278.67"/>
    <m/>
    <n v="117.70169496208672"/>
    <n v="295.87360985530717"/>
    <n v="0"/>
    <n v="142789.10685000001"/>
    <n v="551504.37153"/>
    <n v="0"/>
    <n v="232938.59872997238"/>
    <n v="585551.33044663433"/>
  </r>
  <r>
    <s v="Sistema de Compensação"/>
    <x v="2"/>
    <x v="2"/>
    <x v="0"/>
    <x v="0"/>
    <x v="0"/>
    <x v="0"/>
    <x v="0"/>
    <x v="5"/>
    <n v="0"/>
    <n v="0"/>
    <n v="9.3640000000000008"/>
    <n v="9.3640000000000008"/>
    <n v="9.3640000000000008"/>
    <n v="9.3640000000000008"/>
    <n v="0"/>
    <x v="2"/>
    <n v="0"/>
    <n v="0"/>
    <n v="6"/>
    <n v="61"/>
    <n v="0"/>
    <n v="72.150000000000006"/>
    <n v="278.67"/>
    <m/>
    <n v="117.70169496208672"/>
    <n v="295.87360985530717"/>
    <n v="0"/>
    <n v="675.61260000000016"/>
    <n v="2609.4658800000002"/>
    <n v="0"/>
    <n v="1102.1586716249801"/>
    <n v="2770.5604826850963"/>
  </r>
  <r>
    <s v="Regular"/>
    <x v="2"/>
    <x v="2"/>
    <x v="0"/>
    <x v="0"/>
    <x v="0"/>
    <x v="0"/>
    <x v="0"/>
    <x v="5"/>
    <n v="0"/>
    <n v="0"/>
    <n v="755.45600000000002"/>
    <n v="755.45600000000002"/>
    <n v="0"/>
    <n v="0"/>
    <n v="0"/>
    <x v="0"/>
    <n v="0"/>
    <n v="0"/>
    <n v="6"/>
    <n v="0"/>
    <n v="0"/>
    <n v="72.150000000000006"/>
    <n v="0"/>
    <m/>
    <n v="117.70169496208672"/>
    <m/>
    <n v="0"/>
    <n v="54506.150400000006"/>
    <n v="0"/>
    <n v="0"/>
    <n v="88918.451669278191"/>
    <n v="0"/>
  </r>
  <r>
    <s v="Regular"/>
    <x v="2"/>
    <x v="2"/>
    <x v="0"/>
    <x v="0"/>
    <x v="0"/>
    <x v="0"/>
    <x v="0"/>
    <x v="6"/>
    <n v="0"/>
    <n v="0"/>
    <n v="1812.2260000000001"/>
    <n v="1812.2260000000001"/>
    <n v="1812.2260000000001"/>
    <n v="1812.2260000000001"/>
    <n v="0"/>
    <x v="2"/>
    <n v="0"/>
    <n v="0"/>
    <n v="6"/>
    <n v="61"/>
    <n v="0"/>
    <n v="72.150000000000006"/>
    <n v="278.67"/>
    <m/>
    <n v="117.70169496208672"/>
    <n v="295.87360985530717"/>
    <n v="0"/>
    <n v="130752.10590000002"/>
    <n v="505013.01942000008"/>
    <n v="0"/>
    <n v="213302.07185436258"/>
    <n v="536189.84849364392"/>
  </r>
  <r>
    <s v="Sistema de Compensação"/>
    <x v="2"/>
    <x v="2"/>
    <x v="0"/>
    <x v="0"/>
    <x v="0"/>
    <x v="0"/>
    <x v="0"/>
    <x v="6"/>
    <n v="0"/>
    <n v="0"/>
    <n v="4.0359999999999996"/>
    <n v="4.0359999999999996"/>
    <n v="4.0359999999999996"/>
    <n v="4.0359999999999996"/>
    <n v="0"/>
    <x v="2"/>
    <n v="0"/>
    <n v="0"/>
    <n v="6"/>
    <n v="61"/>
    <n v="0"/>
    <n v="72.150000000000006"/>
    <n v="278.67"/>
    <m/>
    <n v="117.70169496208672"/>
    <n v="295.87360985530717"/>
    <n v="0"/>
    <n v="291.19740000000002"/>
    <n v="1124.7121199999999"/>
    <n v="0"/>
    <n v="475.04404086698196"/>
    <n v="1194.1458893760196"/>
  </r>
  <r>
    <s v="Regular"/>
    <x v="2"/>
    <x v="2"/>
    <x v="0"/>
    <x v="0"/>
    <x v="0"/>
    <x v="0"/>
    <x v="0"/>
    <x v="6"/>
    <n v="0"/>
    <n v="0"/>
    <n v="676.995"/>
    <n v="676.995"/>
    <n v="0"/>
    <n v="0"/>
    <n v="0"/>
    <x v="0"/>
    <n v="0"/>
    <n v="0"/>
    <n v="6"/>
    <n v="0"/>
    <n v="0"/>
    <n v="72.150000000000006"/>
    <n v="0"/>
    <m/>
    <n v="117.70169496208672"/>
    <m/>
    <n v="0"/>
    <n v="48845.189250000003"/>
    <n v="0"/>
    <n v="0"/>
    <n v="79683.458980857904"/>
    <n v="0"/>
  </r>
  <r>
    <s v="Regular"/>
    <x v="2"/>
    <x v="2"/>
    <x v="0"/>
    <x v="0"/>
    <x v="0"/>
    <x v="0"/>
    <x v="0"/>
    <x v="7"/>
    <n v="0"/>
    <n v="0"/>
    <n v="1918.991"/>
    <n v="1918.991"/>
    <n v="1918.991"/>
    <n v="1918.991"/>
    <n v="0"/>
    <x v="2"/>
    <n v="0"/>
    <n v="0"/>
    <n v="6"/>
    <n v="61"/>
    <n v="0"/>
    <n v="72.150000000000006"/>
    <n v="278.67"/>
    <m/>
    <n v="117.70169496208672"/>
    <n v="295.87360985530717"/>
    <n v="0"/>
    <n v="138455.20065000001"/>
    <n v="534765.22197000007"/>
    <n v="0"/>
    <n v="225868.49331698974"/>
    <n v="567778.79444984579"/>
  </r>
  <r>
    <s v="Sistema de Compensação"/>
    <x v="2"/>
    <x v="2"/>
    <x v="0"/>
    <x v="0"/>
    <x v="0"/>
    <x v="0"/>
    <x v="0"/>
    <x v="7"/>
    <n v="0"/>
    <n v="0"/>
    <n v="11.496"/>
    <n v="11.496"/>
    <n v="11.496"/>
    <n v="11.496"/>
    <n v="0"/>
    <x v="2"/>
    <n v="0"/>
    <n v="0"/>
    <n v="6"/>
    <n v="61"/>
    <n v="0"/>
    <n v="72.150000000000006"/>
    <n v="278.67"/>
    <m/>
    <n v="117.70169496208672"/>
    <n v="295.87360985530717"/>
    <n v="0"/>
    <n v="829.43640000000005"/>
    <n v="3203.5903200000002"/>
    <n v="0"/>
    <n v="1353.098685284149"/>
    <n v="3401.3630188966113"/>
  </r>
  <r>
    <s v="Regular"/>
    <x v="2"/>
    <x v="2"/>
    <x v="0"/>
    <x v="0"/>
    <x v="0"/>
    <x v="0"/>
    <x v="0"/>
    <x v="7"/>
    <n v="0"/>
    <n v="0"/>
    <n v="693.12900000000002"/>
    <n v="693.12900000000002"/>
    <n v="0"/>
    <n v="0"/>
    <n v="0"/>
    <x v="0"/>
    <n v="0"/>
    <n v="0"/>
    <n v="6"/>
    <n v="0"/>
    <n v="0"/>
    <n v="72.150000000000006"/>
    <n v="0"/>
    <m/>
    <n v="117.70169496208672"/>
    <m/>
    <n v="0"/>
    <n v="50009.257350000007"/>
    <n v="0"/>
    <n v="0"/>
    <n v="81582.458127376201"/>
    <n v="0"/>
  </r>
  <r>
    <s v="Regular"/>
    <x v="2"/>
    <x v="2"/>
    <x v="0"/>
    <x v="0"/>
    <x v="0"/>
    <x v="0"/>
    <x v="0"/>
    <x v="8"/>
    <n v="0"/>
    <n v="0"/>
    <n v="1802.39"/>
    <n v="1802.39"/>
    <n v="1802.39"/>
    <n v="1802.39"/>
    <n v="0"/>
    <x v="2"/>
    <n v="0"/>
    <n v="0"/>
    <n v="6"/>
    <n v="61"/>
    <n v="0"/>
    <n v="72.150000000000006"/>
    <n v="278.67"/>
    <m/>
    <n v="117.70169496208672"/>
    <n v="295.87360985530717"/>
    <n v="0"/>
    <n v="130042.43850000002"/>
    <n v="502272.02130000008"/>
    <n v="0"/>
    <n v="212144.3579827155"/>
    <n v="533279.63566710707"/>
  </r>
  <r>
    <s v="Regular"/>
    <x v="2"/>
    <x v="2"/>
    <x v="0"/>
    <x v="0"/>
    <x v="0"/>
    <x v="0"/>
    <x v="0"/>
    <x v="8"/>
    <n v="0"/>
    <n v="0"/>
    <n v="454.67399999999998"/>
    <n v="454.67399999999998"/>
    <n v="0"/>
    <n v="0"/>
    <n v="0"/>
    <x v="0"/>
    <n v="0"/>
    <n v="0"/>
    <n v="6"/>
    <n v="0"/>
    <n v="0"/>
    <n v="72.150000000000006"/>
    <n v="0"/>
    <m/>
    <n v="117.70169496208672"/>
    <m/>
    <n v="0"/>
    <n v="32804.729100000004"/>
    <n v="0"/>
    <n v="0"/>
    <n v="53515.900455191811"/>
    <n v="0"/>
  </r>
  <r>
    <s v="Regular"/>
    <x v="2"/>
    <x v="2"/>
    <x v="0"/>
    <x v="0"/>
    <x v="0"/>
    <x v="0"/>
    <x v="0"/>
    <x v="9"/>
    <n v="0"/>
    <n v="0"/>
    <n v="1938.971"/>
    <n v="1938.971"/>
    <n v="1938.971"/>
    <n v="1938.971"/>
    <n v="0"/>
    <x v="2"/>
    <n v="0"/>
    <n v="0"/>
    <n v="6"/>
    <n v="61"/>
    <n v="0"/>
    <n v="72.150000000000006"/>
    <n v="278.67"/>
    <m/>
    <n v="117.70169496208672"/>
    <n v="295.87360985530717"/>
    <n v="0"/>
    <n v="139896.75765000001"/>
    <n v="540333.04856999998"/>
    <n v="0"/>
    <n v="228220.17318233225"/>
    <n v="573690.34917475481"/>
  </r>
  <r>
    <s v="Refaturamento - Regular"/>
    <x v="2"/>
    <x v="2"/>
    <x v="0"/>
    <x v="0"/>
    <x v="0"/>
    <x v="0"/>
    <x v="0"/>
    <x v="9"/>
    <n v="0"/>
    <n v="0"/>
    <n v="9.6170000000000009"/>
    <n v="9.6170000000000009"/>
    <n v="9.6170000000000009"/>
    <n v="9.6170000000000009"/>
    <n v="0"/>
    <x v="2"/>
    <n v="0"/>
    <n v="0"/>
    <n v="6"/>
    <n v="61"/>
    <n v="0"/>
    <n v="72.150000000000006"/>
    <n v="278.67"/>
    <m/>
    <n v="117.70169496208672"/>
    <n v="295.87360985530717"/>
    <n v="0"/>
    <n v="693.86655000000007"/>
    <n v="2679.9693900000002"/>
    <n v="0"/>
    <n v="1131.937200450388"/>
    <n v="2845.4165059784891"/>
  </r>
  <r>
    <s v="Sistema de Compensação"/>
    <x v="2"/>
    <x v="2"/>
    <x v="0"/>
    <x v="0"/>
    <x v="0"/>
    <x v="0"/>
    <x v="0"/>
    <x v="9"/>
    <n v="0"/>
    <n v="0"/>
    <n v="16.373999999999999"/>
    <n v="16.373999999999999"/>
    <n v="16.373999999999999"/>
    <n v="16.373999999999999"/>
    <n v="0"/>
    <x v="2"/>
    <n v="0"/>
    <n v="0"/>
    <n v="6"/>
    <n v="61"/>
    <n v="0"/>
    <n v="72.150000000000006"/>
    <n v="278.67"/>
    <m/>
    <n v="117.70169496208672"/>
    <n v="295.87360985530717"/>
    <n v="0"/>
    <n v="1181.3841"/>
    <n v="4562.9425799999999"/>
    <n v="0"/>
    <n v="1927.2475533092079"/>
    <n v="4844.6344877707988"/>
  </r>
  <r>
    <s v="Regular"/>
    <x v="2"/>
    <x v="2"/>
    <x v="0"/>
    <x v="0"/>
    <x v="0"/>
    <x v="0"/>
    <x v="0"/>
    <x v="9"/>
    <n v="0"/>
    <n v="0"/>
    <n v="660.92499999999995"/>
    <n v="660.92499999999995"/>
    <n v="0"/>
    <n v="0"/>
    <n v="0"/>
    <x v="0"/>
    <n v="0"/>
    <n v="0"/>
    <n v="6"/>
    <n v="0"/>
    <n v="0"/>
    <n v="72.150000000000006"/>
    <n v="0"/>
    <m/>
    <n v="117.70169496208672"/>
    <m/>
    <n v="0"/>
    <n v="47685.738750000004"/>
    <n v="0"/>
    <n v="0"/>
    <n v="77791.992742817165"/>
    <n v="0"/>
  </r>
  <r>
    <s v="Regular"/>
    <x v="2"/>
    <x v="2"/>
    <x v="0"/>
    <x v="0"/>
    <x v="0"/>
    <x v="0"/>
    <x v="0"/>
    <x v="10"/>
    <n v="0"/>
    <n v="0"/>
    <n v="2059.8589999999999"/>
    <n v="2059.8589999999999"/>
    <n v="2059.8589999999999"/>
    <n v="2059.8589999999999"/>
    <n v="0"/>
    <x v="2"/>
    <n v="0"/>
    <n v="0"/>
    <n v="6"/>
    <n v="61"/>
    <n v="0"/>
    <n v="72.150000000000006"/>
    <n v="278.67"/>
    <m/>
    <n v="117.70169496208672"/>
    <n v="295.87360985530717"/>
    <n v="0"/>
    <n v="148618.82685000001"/>
    <n v="574020.90752999997"/>
    <n v="0"/>
    <n v="242448.89568290897"/>
    <n v="609457.91812294314"/>
  </r>
  <r>
    <s v="Sistema de Compensação"/>
    <x v="2"/>
    <x v="2"/>
    <x v="0"/>
    <x v="0"/>
    <x v="0"/>
    <x v="0"/>
    <x v="0"/>
    <x v="10"/>
    <n v="0"/>
    <n v="0"/>
    <n v="15.010999999999999"/>
    <n v="15.010999999999999"/>
    <n v="15.010999999999999"/>
    <n v="15.010999999999999"/>
    <n v="0"/>
    <x v="2"/>
    <n v="0"/>
    <n v="0"/>
    <n v="6"/>
    <n v="61"/>
    <n v="0"/>
    <n v="72.150000000000006"/>
    <n v="278.67"/>
    <m/>
    <n v="117.70169496208672"/>
    <n v="295.87360985530717"/>
    <n v="0"/>
    <n v="1083.0436500000001"/>
    <n v="4183.1153700000004"/>
    <n v="0"/>
    <n v="1766.8201430758836"/>
    <n v="4441.3587575380152"/>
  </r>
  <r>
    <s v="Regular"/>
    <x v="2"/>
    <x v="2"/>
    <x v="0"/>
    <x v="0"/>
    <x v="0"/>
    <x v="0"/>
    <x v="0"/>
    <x v="10"/>
    <n v="0"/>
    <n v="0"/>
    <n v="669.56600000000003"/>
    <n v="669.56600000000003"/>
    <n v="0"/>
    <n v="0"/>
    <n v="0"/>
    <x v="0"/>
    <n v="0"/>
    <n v="0"/>
    <n v="6"/>
    <n v="0"/>
    <n v="0"/>
    <n v="72.150000000000006"/>
    <n v="0"/>
    <m/>
    <n v="117.70169496208672"/>
    <m/>
    <n v="0"/>
    <n v="48309.186900000008"/>
    <n v="0"/>
    <n v="0"/>
    <n v="78809.053088984554"/>
    <n v="0"/>
  </r>
  <r>
    <s v="PROJETADO"/>
    <x v="2"/>
    <x v="2"/>
    <x v="0"/>
    <x v="0"/>
    <x v="0"/>
    <x v="0"/>
    <x v="0"/>
    <x v="11"/>
    <n v="0"/>
    <n v="0"/>
    <n v="2059.8589999999999"/>
    <n v="2059.8589999999999"/>
    <n v="2059.8589999999999"/>
    <n v="2059.8589999999999"/>
    <n v="0"/>
    <x v="2"/>
    <n v="0"/>
    <n v="0"/>
    <n v="6"/>
    <n v="61"/>
    <n v="0"/>
    <n v="72.150000000000006"/>
    <n v="278.67"/>
    <m/>
    <n v="117.70169496208672"/>
    <n v="295.87360985530717"/>
    <n v="0"/>
    <n v="148618.82685000001"/>
    <n v="574020.90752999997"/>
    <n v="0"/>
    <n v="242448.89568290897"/>
    <n v="609457.91812294314"/>
  </r>
  <r>
    <s v="PROJETADO"/>
    <x v="2"/>
    <x v="2"/>
    <x v="0"/>
    <x v="0"/>
    <x v="0"/>
    <x v="0"/>
    <x v="0"/>
    <x v="11"/>
    <n v="0"/>
    <n v="0"/>
    <n v="15.010999999999999"/>
    <n v="15.010999999999999"/>
    <n v="15.010999999999999"/>
    <n v="15.010999999999999"/>
    <n v="0"/>
    <x v="2"/>
    <n v="0"/>
    <n v="0"/>
    <n v="6"/>
    <n v="61"/>
    <n v="0"/>
    <n v="72.150000000000006"/>
    <n v="278.67"/>
    <m/>
    <n v="117.70169496208672"/>
    <n v="295.87360985530717"/>
    <n v="0"/>
    <n v="1083.0436500000001"/>
    <n v="4183.1153700000004"/>
    <n v="0"/>
    <n v="1766.8201430758836"/>
    <n v="4441.3587575380152"/>
  </r>
  <r>
    <s v="PROJETADO"/>
    <x v="2"/>
    <x v="2"/>
    <x v="0"/>
    <x v="0"/>
    <x v="0"/>
    <x v="0"/>
    <x v="0"/>
    <x v="11"/>
    <n v="0"/>
    <n v="0"/>
    <n v="669.56600000000003"/>
    <n v="669.56600000000003"/>
    <n v="0"/>
    <n v="0"/>
    <n v="0"/>
    <x v="0"/>
    <n v="0"/>
    <n v="0"/>
    <n v="6"/>
    <n v="0"/>
    <n v="0"/>
    <n v="72.150000000000006"/>
    <n v="0"/>
    <m/>
    <n v="117.70169496208672"/>
    <m/>
    <n v="0"/>
    <n v="48309.186900000008"/>
    <n v="0"/>
    <n v="0"/>
    <n v="78809.053088984554"/>
    <n v="0"/>
  </r>
  <r>
    <s v="Regular"/>
    <x v="2"/>
    <x v="2"/>
    <x v="0"/>
    <x v="0"/>
    <x v="0"/>
    <x v="0"/>
    <x v="1"/>
    <x v="0"/>
    <n v="9109"/>
    <n v="9109"/>
    <n v="0"/>
    <n v="0"/>
    <n v="0"/>
    <n v="0"/>
    <n v="39"/>
    <x v="2"/>
    <n v="0"/>
    <n v="20"/>
    <n v="0"/>
    <n v="0"/>
    <n v="14"/>
    <n v="0"/>
    <n v="0"/>
    <n v="15.925787521209683"/>
    <m/>
    <m/>
    <n v="127526"/>
    <n v="0"/>
    <n v="0"/>
    <n v="145067.998530699"/>
    <n v="0"/>
    <n v="0"/>
  </r>
  <r>
    <s v="Regular"/>
    <x v="2"/>
    <x v="2"/>
    <x v="0"/>
    <x v="0"/>
    <x v="0"/>
    <x v="0"/>
    <x v="1"/>
    <x v="0"/>
    <n v="2000"/>
    <n v="2000"/>
    <n v="0"/>
    <n v="0"/>
    <n v="0"/>
    <n v="0"/>
    <n v="1"/>
    <x v="0"/>
    <n v="0"/>
    <n v="20"/>
    <n v="0"/>
    <n v="0"/>
    <n v="14"/>
    <n v="0"/>
    <n v="0"/>
    <n v="15.925787521209683"/>
    <m/>
    <m/>
    <n v="28000"/>
    <n v="0"/>
    <n v="0"/>
    <n v="31851.575042419365"/>
    <n v="0"/>
    <n v="0"/>
  </r>
  <r>
    <s v="Regular"/>
    <x v="2"/>
    <x v="2"/>
    <x v="0"/>
    <x v="0"/>
    <x v="0"/>
    <x v="0"/>
    <x v="1"/>
    <x v="1"/>
    <n v="9064"/>
    <n v="9064"/>
    <n v="0"/>
    <n v="0"/>
    <n v="0"/>
    <n v="0"/>
    <n v="39"/>
    <x v="2"/>
    <n v="0"/>
    <n v="20"/>
    <n v="0"/>
    <n v="0"/>
    <n v="14"/>
    <n v="0"/>
    <n v="0"/>
    <n v="15.925787521209683"/>
    <m/>
    <m/>
    <n v="126896"/>
    <n v="0"/>
    <n v="0"/>
    <n v="144351.33809224458"/>
    <n v="0"/>
    <n v="0"/>
  </r>
  <r>
    <s v="Regular"/>
    <x v="2"/>
    <x v="2"/>
    <x v="0"/>
    <x v="0"/>
    <x v="0"/>
    <x v="0"/>
    <x v="1"/>
    <x v="1"/>
    <n v="2000"/>
    <n v="2000"/>
    <n v="0"/>
    <n v="0"/>
    <n v="0"/>
    <n v="0"/>
    <n v="1"/>
    <x v="0"/>
    <n v="0"/>
    <n v="20"/>
    <n v="0"/>
    <n v="0"/>
    <n v="14"/>
    <n v="0"/>
    <n v="0"/>
    <n v="15.925787521209683"/>
    <m/>
    <m/>
    <n v="28000"/>
    <n v="0"/>
    <n v="0"/>
    <n v="31851.575042419365"/>
    <n v="0"/>
    <n v="0"/>
  </r>
  <r>
    <s v="Regular"/>
    <x v="2"/>
    <x v="2"/>
    <x v="0"/>
    <x v="0"/>
    <x v="0"/>
    <x v="0"/>
    <x v="1"/>
    <x v="2"/>
    <n v="8998"/>
    <n v="8998"/>
    <n v="0"/>
    <n v="0"/>
    <n v="0"/>
    <n v="0"/>
    <n v="39"/>
    <x v="2"/>
    <n v="0"/>
    <n v="20"/>
    <n v="0"/>
    <n v="0"/>
    <n v="14"/>
    <n v="0"/>
    <n v="0"/>
    <n v="15.925787521209683"/>
    <m/>
    <m/>
    <n v="125972"/>
    <n v="0"/>
    <n v="0"/>
    <n v="143300.23611584472"/>
    <n v="0"/>
    <n v="0"/>
  </r>
  <r>
    <s v="Regular"/>
    <x v="2"/>
    <x v="2"/>
    <x v="0"/>
    <x v="0"/>
    <x v="0"/>
    <x v="0"/>
    <x v="1"/>
    <x v="2"/>
    <n v="2000"/>
    <n v="2000"/>
    <n v="0"/>
    <n v="0"/>
    <n v="0"/>
    <n v="0"/>
    <n v="1"/>
    <x v="0"/>
    <n v="0"/>
    <n v="20"/>
    <n v="0"/>
    <n v="0"/>
    <n v="14"/>
    <n v="0"/>
    <n v="0"/>
    <n v="15.925787521209683"/>
    <m/>
    <m/>
    <n v="28000"/>
    <n v="0"/>
    <n v="0"/>
    <n v="31851.575042419365"/>
    <n v="0"/>
    <n v="0"/>
  </r>
  <r>
    <s v="Regular"/>
    <x v="2"/>
    <x v="2"/>
    <x v="0"/>
    <x v="0"/>
    <x v="0"/>
    <x v="0"/>
    <x v="1"/>
    <x v="3"/>
    <n v="8411"/>
    <n v="8411"/>
    <n v="0"/>
    <n v="0"/>
    <n v="0"/>
    <n v="0"/>
    <n v="37"/>
    <x v="2"/>
    <n v="0"/>
    <n v="20"/>
    <n v="0"/>
    <n v="0"/>
    <n v="14"/>
    <n v="0"/>
    <n v="0"/>
    <n v="15.925787521209683"/>
    <m/>
    <m/>
    <n v="117754"/>
    <n v="0"/>
    <n v="0"/>
    <n v="133951.79884089465"/>
    <n v="0"/>
    <n v="0"/>
  </r>
  <r>
    <s v="Sistema de Compensação"/>
    <x v="2"/>
    <x v="2"/>
    <x v="0"/>
    <x v="0"/>
    <x v="0"/>
    <x v="0"/>
    <x v="1"/>
    <x v="3"/>
    <n v="162"/>
    <n v="162"/>
    <n v="0"/>
    <n v="0"/>
    <n v="0"/>
    <n v="0"/>
    <n v="1"/>
    <x v="2"/>
    <n v="0"/>
    <n v="20"/>
    <n v="0"/>
    <n v="0"/>
    <n v="14"/>
    <n v="0"/>
    <n v="0"/>
    <n v="15.925787521209683"/>
    <m/>
    <m/>
    <n v="2268"/>
    <n v="0"/>
    <n v="0"/>
    <n v="2579.9775784359686"/>
    <n v="0"/>
    <n v="0"/>
  </r>
  <r>
    <s v="Regular"/>
    <x v="2"/>
    <x v="2"/>
    <x v="0"/>
    <x v="0"/>
    <x v="0"/>
    <x v="0"/>
    <x v="1"/>
    <x v="3"/>
    <n v="2000"/>
    <n v="2000"/>
    <n v="0"/>
    <n v="0"/>
    <n v="0"/>
    <n v="0"/>
    <n v="1"/>
    <x v="0"/>
    <n v="0"/>
    <n v="20"/>
    <n v="0"/>
    <n v="0"/>
    <n v="14"/>
    <n v="0"/>
    <n v="0"/>
    <n v="15.925787521209683"/>
    <m/>
    <m/>
    <n v="28000"/>
    <n v="0"/>
    <n v="0"/>
    <n v="31851.575042419365"/>
    <n v="0"/>
    <n v="0"/>
  </r>
  <r>
    <s v="Regular"/>
    <x v="2"/>
    <x v="2"/>
    <x v="0"/>
    <x v="0"/>
    <x v="0"/>
    <x v="0"/>
    <x v="1"/>
    <x v="4"/>
    <n v="8139"/>
    <n v="8139"/>
    <n v="0"/>
    <n v="0"/>
    <n v="0"/>
    <n v="0"/>
    <n v="35"/>
    <x v="2"/>
    <n v="0"/>
    <n v="20"/>
    <n v="0"/>
    <n v="0"/>
    <n v="14"/>
    <n v="0"/>
    <n v="0"/>
    <n v="15.925787521209683"/>
    <m/>
    <m/>
    <n v="113946"/>
    <n v="0"/>
    <n v="0"/>
    <n v="129619.98463512561"/>
    <n v="0"/>
    <n v="0"/>
  </r>
  <r>
    <s v="Sistema de Compensação"/>
    <x v="2"/>
    <x v="2"/>
    <x v="0"/>
    <x v="0"/>
    <x v="0"/>
    <x v="0"/>
    <x v="1"/>
    <x v="4"/>
    <n v="328"/>
    <n v="328"/>
    <n v="0"/>
    <n v="0"/>
    <n v="0"/>
    <n v="0"/>
    <n v="2"/>
    <x v="2"/>
    <n v="0"/>
    <n v="20"/>
    <n v="0"/>
    <n v="0"/>
    <n v="14"/>
    <n v="0"/>
    <n v="0"/>
    <n v="15.925787521209683"/>
    <m/>
    <m/>
    <n v="4592"/>
    <n v="0"/>
    <n v="0"/>
    <n v="5223.658306956776"/>
    <n v="0"/>
    <n v="0"/>
  </r>
  <r>
    <s v="Regular"/>
    <x v="2"/>
    <x v="2"/>
    <x v="0"/>
    <x v="0"/>
    <x v="0"/>
    <x v="0"/>
    <x v="1"/>
    <x v="4"/>
    <n v="2000"/>
    <n v="2000"/>
    <n v="0"/>
    <n v="0"/>
    <n v="0"/>
    <n v="0"/>
    <n v="1"/>
    <x v="0"/>
    <n v="0"/>
    <n v="20"/>
    <n v="0"/>
    <n v="0"/>
    <n v="14"/>
    <n v="0"/>
    <n v="0"/>
    <n v="15.925787521209683"/>
    <m/>
    <m/>
    <n v="28000"/>
    <n v="0"/>
    <n v="0"/>
    <n v="31851.575042419365"/>
    <n v="0"/>
    <n v="0"/>
  </r>
  <r>
    <s v="Regular"/>
    <x v="2"/>
    <x v="2"/>
    <x v="0"/>
    <x v="0"/>
    <x v="0"/>
    <x v="0"/>
    <x v="1"/>
    <x v="5"/>
    <n v="8033"/>
    <n v="8033"/>
    <n v="0"/>
    <n v="0"/>
    <n v="0"/>
    <n v="0"/>
    <n v="34"/>
    <x v="2"/>
    <n v="0"/>
    <n v="20"/>
    <n v="0"/>
    <n v="0"/>
    <n v="14"/>
    <n v="0"/>
    <n v="0"/>
    <n v="15.925787521209683"/>
    <m/>
    <m/>
    <n v="112462"/>
    <n v="0"/>
    <n v="0"/>
    <n v="127931.85115787739"/>
    <n v="0"/>
    <n v="0"/>
  </r>
  <r>
    <s v="Sistema de Compensação"/>
    <x v="2"/>
    <x v="2"/>
    <x v="0"/>
    <x v="0"/>
    <x v="0"/>
    <x v="0"/>
    <x v="1"/>
    <x v="5"/>
    <n v="460"/>
    <n v="460"/>
    <n v="0"/>
    <n v="0"/>
    <n v="0"/>
    <n v="0"/>
    <n v="3"/>
    <x v="2"/>
    <n v="0"/>
    <n v="20"/>
    <n v="0"/>
    <n v="0"/>
    <n v="14"/>
    <n v="0"/>
    <n v="0"/>
    <n v="15.925787521209683"/>
    <m/>
    <m/>
    <n v="6440"/>
    <n v="0"/>
    <n v="0"/>
    <n v="7325.8622597564545"/>
    <n v="0"/>
    <n v="0"/>
  </r>
  <r>
    <s v="Regular"/>
    <x v="2"/>
    <x v="2"/>
    <x v="0"/>
    <x v="0"/>
    <x v="0"/>
    <x v="0"/>
    <x v="1"/>
    <x v="5"/>
    <n v="2230"/>
    <n v="2230"/>
    <n v="0"/>
    <n v="0"/>
    <n v="0"/>
    <n v="0"/>
    <n v="2"/>
    <x v="0"/>
    <n v="0"/>
    <n v="20"/>
    <n v="0"/>
    <n v="0"/>
    <n v="14"/>
    <n v="0"/>
    <n v="0"/>
    <n v="15.925787521209683"/>
    <m/>
    <m/>
    <n v="31220"/>
    <n v="0"/>
    <n v="0"/>
    <n v="35514.506172297595"/>
    <n v="0"/>
    <n v="0"/>
  </r>
  <r>
    <s v="Regular"/>
    <x v="2"/>
    <x v="2"/>
    <x v="0"/>
    <x v="0"/>
    <x v="0"/>
    <x v="0"/>
    <x v="1"/>
    <x v="6"/>
    <n v="8014"/>
    <n v="8014"/>
    <n v="0"/>
    <n v="0"/>
    <n v="0"/>
    <n v="0"/>
    <n v="33"/>
    <x v="2"/>
    <n v="0"/>
    <n v="20"/>
    <n v="0"/>
    <n v="0"/>
    <n v="14"/>
    <n v="0"/>
    <n v="0"/>
    <n v="15.925787521209683"/>
    <m/>
    <m/>
    <n v="112196"/>
    <n v="0"/>
    <n v="0"/>
    <n v="127629.2611949744"/>
    <n v="0"/>
    <n v="0"/>
  </r>
  <r>
    <s v="Sistema de Compensação"/>
    <x v="2"/>
    <x v="2"/>
    <x v="0"/>
    <x v="0"/>
    <x v="0"/>
    <x v="0"/>
    <x v="1"/>
    <x v="6"/>
    <n v="460"/>
    <n v="460"/>
    <n v="0"/>
    <n v="0"/>
    <n v="0"/>
    <n v="0"/>
    <n v="3"/>
    <x v="2"/>
    <n v="0"/>
    <n v="20"/>
    <n v="0"/>
    <n v="0"/>
    <n v="14"/>
    <n v="0"/>
    <n v="0"/>
    <n v="15.925787521209683"/>
    <m/>
    <m/>
    <n v="6440"/>
    <n v="0"/>
    <n v="0"/>
    <n v="7325.8622597564545"/>
    <n v="0"/>
    <n v="0"/>
  </r>
  <r>
    <s v="Regular"/>
    <x v="2"/>
    <x v="2"/>
    <x v="0"/>
    <x v="0"/>
    <x v="0"/>
    <x v="0"/>
    <x v="1"/>
    <x v="6"/>
    <n v="2230"/>
    <n v="2230"/>
    <n v="0"/>
    <n v="0"/>
    <n v="0"/>
    <n v="0"/>
    <n v="2"/>
    <x v="0"/>
    <n v="0"/>
    <n v="20"/>
    <n v="0"/>
    <n v="0"/>
    <n v="14"/>
    <n v="0"/>
    <n v="0"/>
    <n v="15.925787521209683"/>
    <m/>
    <m/>
    <n v="31220"/>
    <n v="0"/>
    <n v="0"/>
    <n v="35514.506172297595"/>
    <n v="0"/>
    <n v="0"/>
  </r>
  <r>
    <s v="Regular"/>
    <x v="2"/>
    <x v="2"/>
    <x v="0"/>
    <x v="0"/>
    <x v="0"/>
    <x v="0"/>
    <x v="1"/>
    <x v="7"/>
    <n v="7994"/>
    <n v="7994"/>
    <n v="0"/>
    <n v="0"/>
    <n v="0"/>
    <n v="0"/>
    <n v="33"/>
    <x v="2"/>
    <n v="0"/>
    <n v="20"/>
    <n v="0"/>
    <n v="0"/>
    <n v="14"/>
    <n v="0"/>
    <n v="0"/>
    <n v="15.925787521209683"/>
    <m/>
    <m/>
    <n v="111916"/>
    <n v="0"/>
    <n v="0"/>
    <n v="127310.74544455021"/>
    <n v="0"/>
    <n v="0"/>
  </r>
  <r>
    <s v="Sistema de Compensação"/>
    <x v="2"/>
    <x v="2"/>
    <x v="0"/>
    <x v="0"/>
    <x v="0"/>
    <x v="0"/>
    <x v="1"/>
    <x v="7"/>
    <n v="460"/>
    <n v="460"/>
    <n v="0"/>
    <n v="0"/>
    <n v="0"/>
    <n v="0"/>
    <n v="3"/>
    <x v="2"/>
    <n v="0"/>
    <n v="20"/>
    <n v="0"/>
    <n v="0"/>
    <n v="14"/>
    <n v="0"/>
    <n v="0"/>
    <n v="15.925787521209683"/>
    <m/>
    <m/>
    <n v="6440"/>
    <n v="0"/>
    <n v="0"/>
    <n v="7325.8622597564545"/>
    <n v="0"/>
    <n v="0"/>
  </r>
  <r>
    <s v="Regular"/>
    <x v="2"/>
    <x v="2"/>
    <x v="0"/>
    <x v="0"/>
    <x v="0"/>
    <x v="0"/>
    <x v="1"/>
    <x v="7"/>
    <n v="2000"/>
    <n v="2000"/>
    <n v="0"/>
    <n v="0"/>
    <n v="0"/>
    <n v="0"/>
    <n v="1"/>
    <x v="0"/>
    <n v="0"/>
    <n v="20"/>
    <n v="0"/>
    <n v="0"/>
    <n v="14"/>
    <n v="0"/>
    <n v="0"/>
    <n v="15.925787521209683"/>
    <m/>
    <m/>
    <n v="28000"/>
    <n v="0"/>
    <n v="0"/>
    <n v="31851.575042419365"/>
    <n v="0"/>
    <n v="0"/>
  </r>
  <r>
    <s v="Regular"/>
    <x v="2"/>
    <x v="2"/>
    <x v="0"/>
    <x v="0"/>
    <x v="0"/>
    <x v="0"/>
    <x v="1"/>
    <x v="8"/>
    <n v="8102"/>
    <n v="8102"/>
    <n v="0"/>
    <n v="0"/>
    <n v="0"/>
    <n v="0"/>
    <n v="34"/>
    <x v="2"/>
    <n v="0"/>
    <n v="20"/>
    <n v="0"/>
    <n v="0"/>
    <n v="14"/>
    <n v="0"/>
    <n v="0"/>
    <n v="15.925787521209683"/>
    <m/>
    <m/>
    <n v="113428"/>
    <n v="0"/>
    <n v="0"/>
    <n v="129030.73049684086"/>
    <n v="0"/>
    <n v="0"/>
  </r>
  <r>
    <s v="Regular"/>
    <x v="2"/>
    <x v="2"/>
    <x v="0"/>
    <x v="0"/>
    <x v="0"/>
    <x v="0"/>
    <x v="1"/>
    <x v="8"/>
    <n v="2000"/>
    <n v="2000"/>
    <n v="0"/>
    <n v="0"/>
    <n v="0"/>
    <n v="0"/>
    <n v="1"/>
    <x v="0"/>
    <n v="0"/>
    <n v="20"/>
    <n v="0"/>
    <n v="0"/>
    <n v="14"/>
    <n v="0"/>
    <n v="0"/>
    <n v="15.925787521209683"/>
    <m/>
    <m/>
    <n v="28000"/>
    <n v="0"/>
    <n v="0"/>
    <n v="31851.575042419365"/>
    <n v="0"/>
    <n v="0"/>
  </r>
  <r>
    <s v="Regular"/>
    <x v="2"/>
    <x v="2"/>
    <x v="0"/>
    <x v="0"/>
    <x v="0"/>
    <x v="0"/>
    <x v="1"/>
    <x v="9"/>
    <n v="8075"/>
    <n v="8075"/>
    <n v="0"/>
    <n v="0"/>
    <n v="0"/>
    <n v="0"/>
    <n v="33"/>
    <x v="2"/>
    <n v="0"/>
    <n v="20"/>
    <n v="0"/>
    <n v="0"/>
    <n v="14"/>
    <n v="0"/>
    <n v="0"/>
    <n v="15.925787521209683"/>
    <m/>
    <m/>
    <n v="113050"/>
    <n v="0"/>
    <n v="0"/>
    <n v="128600.73423376819"/>
    <n v="0"/>
    <n v="0"/>
  </r>
  <r>
    <s v="Sistema de Compensação"/>
    <x v="2"/>
    <x v="2"/>
    <x v="0"/>
    <x v="0"/>
    <x v="0"/>
    <x v="0"/>
    <x v="1"/>
    <x v="9"/>
    <n v="483"/>
    <n v="483"/>
    <n v="0"/>
    <n v="0"/>
    <n v="0"/>
    <n v="0"/>
    <n v="3"/>
    <x v="2"/>
    <n v="0"/>
    <n v="20"/>
    <n v="0"/>
    <n v="0"/>
    <n v="14"/>
    <n v="0"/>
    <n v="0"/>
    <n v="15.925787521209683"/>
    <m/>
    <m/>
    <n v="6762"/>
    <n v="0"/>
    <n v="0"/>
    <n v="7692.155372744277"/>
    <n v="0"/>
    <n v="0"/>
  </r>
  <r>
    <s v="Regular"/>
    <x v="2"/>
    <x v="2"/>
    <x v="0"/>
    <x v="0"/>
    <x v="0"/>
    <x v="0"/>
    <x v="1"/>
    <x v="9"/>
    <n v="2000"/>
    <n v="2000"/>
    <n v="0"/>
    <n v="0"/>
    <n v="0"/>
    <n v="0"/>
    <n v="1"/>
    <x v="0"/>
    <n v="0"/>
    <n v="20"/>
    <n v="0"/>
    <n v="0"/>
    <n v="14"/>
    <n v="0"/>
    <n v="0"/>
    <n v="15.925787521209683"/>
    <m/>
    <m/>
    <n v="28000"/>
    <n v="0"/>
    <n v="0"/>
    <n v="31851.575042419365"/>
    <n v="0"/>
    <n v="0"/>
  </r>
  <r>
    <s v="Regular"/>
    <x v="2"/>
    <x v="2"/>
    <x v="0"/>
    <x v="0"/>
    <x v="0"/>
    <x v="0"/>
    <x v="1"/>
    <x v="10"/>
    <n v="8140"/>
    <n v="8140"/>
    <n v="0"/>
    <n v="0"/>
    <n v="0"/>
    <n v="0"/>
    <n v="33"/>
    <x v="2"/>
    <n v="0"/>
    <n v="20"/>
    <n v="0"/>
    <n v="0"/>
    <n v="14"/>
    <n v="0"/>
    <n v="0"/>
    <n v="15.925787521209683"/>
    <m/>
    <m/>
    <n v="113960"/>
    <n v="0"/>
    <n v="0"/>
    <n v="129635.91042264682"/>
    <n v="0"/>
    <n v="0"/>
  </r>
  <r>
    <s v="Sistema de Compensação"/>
    <x v="2"/>
    <x v="2"/>
    <x v="0"/>
    <x v="0"/>
    <x v="0"/>
    <x v="0"/>
    <x v="1"/>
    <x v="10"/>
    <n v="420"/>
    <n v="420"/>
    <n v="0"/>
    <n v="0"/>
    <n v="0"/>
    <n v="0"/>
    <n v="2"/>
    <x v="2"/>
    <n v="0"/>
    <n v="20"/>
    <n v="0"/>
    <n v="0"/>
    <n v="14"/>
    <n v="0"/>
    <n v="0"/>
    <n v="15.925787521209683"/>
    <m/>
    <m/>
    <n v="5880"/>
    <n v="0"/>
    <n v="0"/>
    <n v="6688.8307589080669"/>
    <n v="0"/>
    <n v="0"/>
  </r>
  <r>
    <s v="Regular"/>
    <x v="2"/>
    <x v="2"/>
    <x v="0"/>
    <x v="0"/>
    <x v="0"/>
    <x v="0"/>
    <x v="1"/>
    <x v="10"/>
    <n v="2000"/>
    <n v="2000"/>
    <n v="0"/>
    <n v="0"/>
    <n v="0"/>
    <n v="0"/>
    <n v="1"/>
    <x v="0"/>
    <n v="0"/>
    <n v="20"/>
    <n v="0"/>
    <n v="0"/>
    <n v="14"/>
    <n v="0"/>
    <n v="0"/>
    <n v="15.925787521209683"/>
    <m/>
    <m/>
    <n v="28000"/>
    <n v="0"/>
    <n v="0"/>
    <n v="31851.575042419365"/>
    <n v="0"/>
    <n v="0"/>
  </r>
  <r>
    <s v="PROJETADO"/>
    <x v="2"/>
    <x v="2"/>
    <x v="0"/>
    <x v="0"/>
    <x v="0"/>
    <x v="0"/>
    <x v="1"/>
    <x v="11"/>
    <n v="8140"/>
    <n v="8140"/>
    <n v="0"/>
    <n v="0"/>
    <n v="0"/>
    <n v="0"/>
    <n v="33"/>
    <x v="2"/>
    <n v="0"/>
    <n v="20"/>
    <n v="0"/>
    <n v="0"/>
    <n v="14"/>
    <n v="0"/>
    <n v="0"/>
    <n v="15.925787521209683"/>
    <m/>
    <m/>
    <n v="113960"/>
    <n v="0"/>
    <n v="0"/>
    <n v="129635.91042264682"/>
    <n v="0"/>
    <n v="0"/>
  </r>
  <r>
    <s v="PROJETADO"/>
    <x v="2"/>
    <x v="2"/>
    <x v="0"/>
    <x v="0"/>
    <x v="0"/>
    <x v="0"/>
    <x v="1"/>
    <x v="11"/>
    <n v="420"/>
    <n v="420"/>
    <n v="0"/>
    <n v="0"/>
    <n v="0"/>
    <n v="0"/>
    <n v="2"/>
    <x v="2"/>
    <n v="0"/>
    <n v="20"/>
    <n v="0"/>
    <n v="0"/>
    <n v="14"/>
    <n v="0"/>
    <n v="0"/>
    <n v="15.925787521209683"/>
    <m/>
    <m/>
    <n v="5880"/>
    <n v="0"/>
    <n v="0"/>
    <n v="6688.8307589080669"/>
    <n v="0"/>
    <n v="0"/>
  </r>
  <r>
    <s v="PROJETADO"/>
    <x v="2"/>
    <x v="2"/>
    <x v="0"/>
    <x v="0"/>
    <x v="0"/>
    <x v="0"/>
    <x v="1"/>
    <x v="11"/>
    <n v="2000"/>
    <n v="2000"/>
    <n v="0"/>
    <n v="0"/>
    <n v="0"/>
    <n v="0"/>
    <n v="1"/>
    <x v="0"/>
    <n v="0"/>
    <n v="20"/>
    <n v="0"/>
    <n v="0"/>
    <n v="14"/>
    <n v="0"/>
    <n v="0"/>
    <n v="15.925787521209683"/>
    <m/>
    <m/>
    <n v="28000"/>
    <n v="0"/>
    <n v="0"/>
    <n v="31851.575042419365"/>
    <n v="0"/>
    <n v="0"/>
  </r>
  <r>
    <s v="Regular"/>
    <x v="2"/>
    <x v="2"/>
    <x v="0"/>
    <x v="0"/>
    <x v="0"/>
    <x v="0"/>
    <x v="2"/>
    <x v="0"/>
    <n v="0"/>
    <n v="0"/>
    <n v="155.779"/>
    <n v="155.779"/>
    <n v="155.779"/>
    <n v="155.779"/>
    <n v="0"/>
    <x v="2"/>
    <n v="0"/>
    <n v="0"/>
    <n v="8"/>
    <n v="38"/>
    <n v="0"/>
    <n v="940.43"/>
    <n v="442.86"/>
    <m/>
    <n v="1108.3660770518723"/>
    <n v="476.88775168498375"/>
    <n v="0"/>
    <n v="146499.24497"/>
    <n v="68988.287939999995"/>
    <n v="0"/>
    <n v="172660.15911706359"/>
    <n v="74289.097069735086"/>
  </r>
  <r>
    <s v="Regular"/>
    <x v="2"/>
    <x v="2"/>
    <x v="0"/>
    <x v="0"/>
    <x v="0"/>
    <x v="0"/>
    <x v="2"/>
    <x v="0"/>
    <n v="0"/>
    <n v="0"/>
    <n v="87.932000000000002"/>
    <n v="87.932000000000002"/>
    <n v="0"/>
    <n v="0"/>
    <n v="0"/>
    <x v="0"/>
    <n v="0"/>
    <n v="0"/>
    <n v="8"/>
    <n v="0"/>
    <n v="0"/>
    <n v="940.43"/>
    <n v="0"/>
    <m/>
    <n v="1108.3660770518723"/>
    <m/>
    <n v="0"/>
    <n v="82693.890759999995"/>
    <n v="0"/>
    <n v="0"/>
    <n v="97460.845887325238"/>
    <n v="0"/>
  </r>
  <r>
    <s v="Regular"/>
    <x v="2"/>
    <x v="2"/>
    <x v="0"/>
    <x v="0"/>
    <x v="0"/>
    <x v="0"/>
    <x v="2"/>
    <x v="1"/>
    <n v="0"/>
    <n v="0"/>
    <n v="164.52199999999999"/>
    <n v="164.52199999999999"/>
    <n v="164.52199999999999"/>
    <n v="164.52199999999999"/>
    <n v="0"/>
    <x v="2"/>
    <n v="0"/>
    <n v="0"/>
    <n v="8"/>
    <n v="38"/>
    <n v="0"/>
    <n v="940.43"/>
    <n v="442.86"/>
    <m/>
    <n v="1108.3660770518723"/>
    <n v="476.88775168498375"/>
    <n v="0"/>
    <n v="154721.42445999998"/>
    <n v="72860.212920000005"/>
    <n v="0"/>
    <n v="182350.60372872811"/>
    <n v="78458.526682716896"/>
  </r>
  <r>
    <s v="Regular"/>
    <x v="2"/>
    <x v="2"/>
    <x v="0"/>
    <x v="0"/>
    <x v="0"/>
    <x v="0"/>
    <x v="2"/>
    <x v="1"/>
    <n v="0"/>
    <n v="0"/>
    <n v="78.861000000000004"/>
    <n v="78.861000000000004"/>
    <n v="0"/>
    <n v="0"/>
    <n v="0"/>
    <x v="0"/>
    <n v="0"/>
    <n v="0"/>
    <n v="8"/>
    <n v="0"/>
    <n v="0"/>
    <n v="940.43"/>
    <n v="0"/>
    <m/>
    <n v="1108.3660770518723"/>
    <m/>
    <n v="0"/>
    <n v="74163.250230000005"/>
    <n v="0"/>
    <n v="0"/>
    <n v="87406.857202387706"/>
    <n v="0"/>
  </r>
  <r>
    <s v="Regular"/>
    <x v="2"/>
    <x v="2"/>
    <x v="0"/>
    <x v="0"/>
    <x v="0"/>
    <x v="0"/>
    <x v="2"/>
    <x v="2"/>
    <n v="0"/>
    <n v="0"/>
    <n v="155.499"/>
    <n v="155.499"/>
    <n v="155.499"/>
    <n v="155.499"/>
    <n v="0"/>
    <x v="2"/>
    <n v="0"/>
    <n v="0"/>
    <n v="8"/>
    <n v="38"/>
    <n v="0"/>
    <n v="940.43"/>
    <n v="442.86"/>
    <m/>
    <n v="1108.3660770518723"/>
    <n v="476.88775168498375"/>
    <n v="0"/>
    <n v="146235.92456999997"/>
    <n v="68864.28714"/>
    <n v="0"/>
    <n v="172349.81661548908"/>
    <n v="74155.568499263289"/>
  </r>
  <r>
    <s v="Regular"/>
    <x v="2"/>
    <x v="2"/>
    <x v="0"/>
    <x v="0"/>
    <x v="0"/>
    <x v="0"/>
    <x v="2"/>
    <x v="2"/>
    <n v="0"/>
    <n v="0"/>
    <n v="67.552999999999997"/>
    <n v="67.552999999999997"/>
    <n v="0"/>
    <n v="0"/>
    <n v="0"/>
    <x v="0"/>
    <n v="0"/>
    <n v="0"/>
    <n v="8"/>
    <n v="0"/>
    <n v="0"/>
    <n v="940.43"/>
    <n v="0"/>
    <m/>
    <n v="1108.3660770518723"/>
    <m/>
    <n v="0"/>
    <n v="63528.867789999997"/>
    <n v="0"/>
    <n v="0"/>
    <n v="74873.45360308513"/>
    <n v="0"/>
  </r>
  <r>
    <s v="Regular"/>
    <x v="2"/>
    <x v="2"/>
    <x v="0"/>
    <x v="0"/>
    <x v="0"/>
    <x v="0"/>
    <x v="2"/>
    <x v="3"/>
    <n v="0"/>
    <n v="0"/>
    <n v="148.649"/>
    <n v="148.649"/>
    <n v="148.649"/>
    <n v="148.649"/>
    <n v="0"/>
    <x v="2"/>
    <n v="0"/>
    <n v="0"/>
    <n v="8"/>
    <n v="38"/>
    <n v="0"/>
    <n v="940.43"/>
    <n v="442.86"/>
    <m/>
    <n v="1108.3660770518723"/>
    <n v="476.88775168498375"/>
    <n v="0"/>
    <n v="139793.97907"/>
    <n v="65830.69614"/>
    <n v="0"/>
    <n v="164757.50898768377"/>
    <n v="70888.887400221152"/>
  </r>
  <r>
    <s v="Sistema de Compensação"/>
    <x v="2"/>
    <x v="2"/>
    <x v="0"/>
    <x v="0"/>
    <x v="0"/>
    <x v="0"/>
    <x v="2"/>
    <x v="3"/>
    <n v="0"/>
    <n v="0"/>
    <n v="3.7490000000000001"/>
    <n v="3.7490000000000001"/>
    <n v="3.7490000000000001"/>
    <n v="3.7490000000000001"/>
    <n v="0"/>
    <x v="2"/>
    <n v="0"/>
    <n v="0"/>
    <n v="8"/>
    <n v="38"/>
    <n v="0"/>
    <n v="940.43"/>
    <n v="442.86"/>
    <m/>
    <n v="1108.3660770518723"/>
    <n v="476.88775168498375"/>
    <n v="0"/>
    <n v="3525.6720700000001"/>
    <n v="1660.28214"/>
    <n v="0"/>
    <n v="4155.264422867469"/>
    <n v="1787.852181067004"/>
  </r>
  <r>
    <s v="Regular"/>
    <x v="2"/>
    <x v="2"/>
    <x v="0"/>
    <x v="0"/>
    <x v="0"/>
    <x v="0"/>
    <x v="2"/>
    <x v="3"/>
    <n v="0"/>
    <n v="0"/>
    <n v="84.46"/>
    <n v="84.46"/>
    <n v="0"/>
    <n v="0"/>
    <n v="0"/>
    <x v="0"/>
    <n v="0"/>
    <n v="0"/>
    <n v="8"/>
    <n v="0"/>
    <n v="0"/>
    <n v="940.43"/>
    <n v="0"/>
    <m/>
    <n v="1108.3660770518723"/>
    <m/>
    <n v="0"/>
    <n v="79428.717799999984"/>
    <n v="0"/>
    <n v="0"/>
    <n v="93612.59886780112"/>
    <n v="0"/>
  </r>
  <r>
    <s v="Regular"/>
    <x v="2"/>
    <x v="2"/>
    <x v="0"/>
    <x v="0"/>
    <x v="0"/>
    <x v="0"/>
    <x v="2"/>
    <x v="4"/>
    <n v="0"/>
    <n v="0"/>
    <n v="162.43"/>
    <n v="162.43"/>
    <n v="162.43"/>
    <n v="162.43"/>
    <n v="0"/>
    <x v="2"/>
    <n v="0"/>
    <n v="0"/>
    <n v="8"/>
    <n v="38"/>
    <n v="0"/>
    <n v="940.43"/>
    <n v="442.86"/>
    <m/>
    <n v="1108.3660770518723"/>
    <n v="476.88775168498375"/>
    <n v="0"/>
    <n v="152754.04490000001"/>
    <n v="71933.749800000005"/>
    <n v="0"/>
    <n v="180031.90189553562"/>
    <n v="77460.877506191915"/>
  </r>
  <r>
    <s v="Sistema de Compensação"/>
    <x v="2"/>
    <x v="2"/>
    <x v="0"/>
    <x v="0"/>
    <x v="0"/>
    <x v="0"/>
    <x v="2"/>
    <x v="4"/>
    <n v="0"/>
    <n v="0"/>
    <n v="3.5339999999999998"/>
    <n v="3.5339999999999998"/>
    <n v="3.5339999999999998"/>
    <n v="3.5339999999999998"/>
    <n v="0"/>
    <x v="2"/>
    <n v="0"/>
    <n v="0"/>
    <n v="8"/>
    <n v="38"/>
    <n v="0"/>
    <n v="940.43"/>
    <n v="442.86"/>
    <m/>
    <n v="1108.3660770518723"/>
    <n v="476.88775168498375"/>
    <n v="0"/>
    <n v="3323.4796199999996"/>
    <n v="1565.0672399999999"/>
    <n v="0"/>
    <n v="3916.9657163013162"/>
    <n v="1685.3213144547326"/>
  </r>
  <r>
    <s v="Regular"/>
    <x v="2"/>
    <x v="2"/>
    <x v="0"/>
    <x v="0"/>
    <x v="0"/>
    <x v="0"/>
    <x v="2"/>
    <x v="4"/>
    <n v="0"/>
    <n v="0"/>
    <n v="83.861000000000004"/>
    <n v="83.861000000000004"/>
    <n v="0"/>
    <n v="0"/>
    <n v="0"/>
    <x v="0"/>
    <n v="0"/>
    <n v="0"/>
    <n v="8"/>
    <n v="0"/>
    <n v="0"/>
    <n v="940.43"/>
    <n v="0"/>
    <m/>
    <n v="1108.3660770518723"/>
    <m/>
    <n v="0"/>
    <n v="78865.400229999999"/>
    <n v="0"/>
    <n v="0"/>
    <n v="92948.687587647059"/>
    <n v="0"/>
  </r>
  <r>
    <s v="Regular"/>
    <x v="2"/>
    <x v="2"/>
    <x v="0"/>
    <x v="0"/>
    <x v="0"/>
    <x v="0"/>
    <x v="2"/>
    <x v="5"/>
    <n v="0"/>
    <n v="0"/>
    <n v="183.04300000000001"/>
    <n v="183.04300000000001"/>
    <n v="183.04300000000001"/>
    <n v="183.04300000000001"/>
    <n v="0"/>
    <x v="2"/>
    <n v="0"/>
    <n v="0"/>
    <n v="8"/>
    <n v="38"/>
    <n v="0"/>
    <n v="940.43"/>
    <n v="442.86"/>
    <m/>
    <n v="1108.3660770518723"/>
    <n v="476.88775168498375"/>
    <n v="0"/>
    <n v="172139.12849"/>
    <n v="81062.422980000003"/>
    <n v="0"/>
    <n v="202878.65184180587"/>
    <n v="87290.964731674481"/>
  </r>
  <r>
    <s v="Sistema de Compensação"/>
    <x v="2"/>
    <x v="2"/>
    <x v="0"/>
    <x v="0"/>
    <x v="0"/>
    <x v="0"/>
    <x v="2"/>
    <x v="5"/>
    <n v="0"/>
    <n v="0"/>
    <n v="4.609"/>
    <n v="4.609"/>
    <n v="4.609"/>
    <n v="4.609"/>
    <n v="0"/>
    <x v="2"/>
    <n v="0"/>
    <n v="0"/>
    <n v="8"/>
    <n v="38"/>
    <n v="0"/>
    <n v="940.43"/>
    <n v="442.86"/>
    <m/>
    <n v="1108.3660770518723"/>
    <n v="476.88775168498375"/>
    <n v="0"/>
    <n v="4334.4418699999997"/>
    <n v="2041.14174"/>
    <n v="0"/>
    <n v="5108.4592491320791"/>
    <n v="2197.9756475160902"/>
  </r>
  <r>
    <s v="Regular"/>
    <x v="2"/>
    <x v="2"/>
    <x v="0"/>
    <x v="0"/>
    <x v="0"/>
    <x v="0"/>
    <x v="2"/>
    <x v="5"/>
    <n v="0"/>
    <n v="0"/>
    <n v="90.254999999999995"/>
    <n v="90.254999999999995"/>
    <n v="0"/>
    <n v="0"/>
    <n v="0"/>
    <x v="0"/>
    <n v="0"/>
    <n v="0"/>
    <n v="8"/>
    <n v="0"/>
    <n v="0"/>
    <n v="940.43"/>
    <n v="0"/>
    <m/>
    <n v="1108.3660770518723"/>
    <m/>
    <n v="0"/>
    <n v="84878.509649999993"/>
    <n v="0"/>
    <n v="0"/>
    <n v="100035.58028431672"/>
    <n v="0"/>
  </r>
  <r>
    <s v="Regular"/>
    <x v="2"/>
    <x v="2"/>
    <x v="0"/>
    <x v="0"/>
    <x v="0"/>
    <x v="0"/>
    <x v="2"/>
    <x v="6"/>
    <n v="0"/>
    <n v="0"/>
    <n v="153.35499999999999"/>
    <n v="153.35499999999999"/>
    <n v="153.35499999999999"/>
    <n v="153.35499999999999"/>
    <n v="0"/>
    <x v="2"/>
    <n v="0"/>
    <n v="0"/>
    <n v="8"/>
    <n v="38"/>
    <n v="0"/>
    <n v="940.43"/>
    <n v="442.86"/>
    <m/>
    <n v="1108.3660770518723"/>
    <n v="476.88775168498375"/>
    <n v="0"/>
    <n v="144219.64264999999"/>
    <n v="67914.795299999998"/>
    <n v="0"/>
    <n v="169973.47974628987"/>
    <n v="73133.121159650676"/>
  </r>
  <r>
    <s v="Sistema de Compensação"/>
    <x v="2"/>
    <x v="2"/>
    <x v="0"/>
    <x v="0"/>
    <x v="0"/>
    <x v="0"/>
    <x v="2"/>
    <x v="6"/>
    <n v="0"/>
    <n v="0"/>
    <n v="4.7350000000000003"/>
    <n v="4.7350000000000003"/>
    <n v="4.7350000000000003"/>
    <n v="4.7350000000000003"/>
    <n v="0"/>
    <x v="2"/>
    <n v="0"/>
    <n v="0"/>
    <n v="8"/>
    <n v="38"/>
    <n v="0"/>
    <n v="940.43"/>
    <n v="442.86"/>
    <m/>
    <n v="1108.3660770518723"/>
    <n v="476.88775168498375"/>
    <n v="0"/>
    <n v="4452.9360500000003"/>
    <n v="2096.9421000000002"/>
    <n v="0"/>
    <n v="5248.1133748406155"/>
    <n v="2258.0635042283984"/>
  </r>
  <r>
    <s v="Regular"/>
    <x v="2"/>
    <x v="2"/>
    <x v="0"/>
    <x v="0"/>
    <x v="0"/>
    <x v="0"/>
    <x v="2"/>
    <x v="6"/>
    <n v="0"/>
    <n v="0"/>
    <n v="80.528000000000006"/>
    <n v="80.528000000000006"/>
    <n v="0"/>
    <n v="0"/>
    <n v="0"/>
    <x v="0"/>
    <n v="0"/>
    <n v="0"/>
    <n v="8"/>
    <n v="0"/>
    <n v="0"/>
    <n v="940.43"/>
    <n v="0"/>
    <m/>
    <n v="1108.3660770518723"/>
    <m/>
    <n v="0"/>
    <n v="75730.947039999999"/>
    <n v="0"/>
    <n v="0"/>
    <n v="89254.503452833174"/>
    <n v="0"/>
  </r>
  <r>
    <s v="Regular"/>
    <x v="2"/>
    <x v="2"/>
    <x v="0"/>
    <x v="0"/>
    <x v="0"/>
    <x v="0"/>
    <x v="2"/>
    <x v="7"/>
    <n v="0"/>
    <n v="0"/>
    <n v="176.46600000000001"/>
    <n v="176.46600000000001"/>
    <n v="176.46600000000001"/>
    <n v="176.46600000000001"/>
    <n v="0"/>
    <x v="2"/>
    <n v="0"/>
    <n v="0"/>
    <n v="8"/>
    <n v="38"/>
    <n v="0"/>
    <n v="940.43"/>
    <n v="442.86"/>
    <m/>
    <n v="1108.3660770518723"/>
    <n v="476.88775168498375"/>
    <n v="0"/>
    <n v="165953.92038"/>
    <n v="78149.732759999999"/>
    <n v="0"/>
    <n v="195588.9281530357"/>
    <n v="84154.47398884235"/>
  </r>
  <r>
    <s v="Sistema de Compensação"/>
    <x v="2"/>
    <x v="2"/>
    <x v="0"/>
    <x v="0"/>
    <x v="0"/>
    <x v="0"/>
    <x v="2"/>
    <x v="7"/>
    <n v="0"/>
    <n v="0"/>
    <n v="5.508"/>
    <n v="5.508"/>
    <n v="5.508"/>
    <n v="5.508"/>
    <n v="0"/>
    <x v="2"/>
    <n v="0"/>
    <n v="0"/>
    <n v="8"/>
    <n v="38"/>
    <n v="0"/>
    <n v="940.43"/>
    <n v="442.86"/>
    <m/>
    <n v="1108.3660770518723"/>
    <n v="476.88775168498375"/>
    <n v="0"/>
    <n v="5179.8884399999997"/>
    <n v="2439.27288"/>
    <n v="0"/>
    <n v="6104.8803524017121"/>
    <n v="2626.6977362808907"/>
  </r>
  <r>
    <s v="Regular"/>
    <x v="2"/>
    <x v="2"/>
    <x v="0"/>
    <x v="0"/>
    <x v="0"/>
    <x v="0"/>
    <x v="2"/>
    <x v="7"/>
    <n v="0"/>
    <n v="0"/>
    <n v="89.091999999999999"/>
    <n v="89.091999999999999"/>
    <n v="0"/>
    <n v="0"/>
    <n v="0"/>
    <x v="0"/>
    <n v="0"/>
    <n v="0"/>
    <n v="8"/>
    <n v="0"/>
    <n v="0"/>
    <n v="940.43"/>
    <n v="0"/>
    <m/>
    <n v="1108.3660770518723"/>
    <m/>
    <n v="0"/>
    <n v="83784.78955999999"/>
    <n v="0"/>
    <n v="0"/>
    <n v="98746.550536705399"/>
    <n v="0"/>
  </r>
  <r>
    <s v="Regular"/>
    <x v="2"/>
    <x v="2"/>
    <x v="0"/>
    <x v="0"/>
    <x v="0"/>
    <x v="0"/>
    <x v="2"/>
    <x v="8"/>
    <n v="0"/>
    <n v="0"/>
    <n v="181.10499999999999"/>
    <n v="181.10499999999999"/>
    <n v="181.10499999999999"/>
    <n v="181.10499999999999"/>
    <n v="0"/>
    <x v="2"/>
    <n v="0"/>
    <n v="0"/>
    <n v="8"/>
    <n v="38"/>
    <n v="0"/>
    <n v="940.43"/>
    <n v="442.86"/>
    <m/>
    <n v="1108.3660770518723"/>
    <n v="476.88775168498375"/>
    <n v="0"/>
    <n v="170316.57514999999"/>
    <n v="80204.160300000003"/>
    <n v="0"/>
    <n v="200730.6383844793"/>
    <n v="86366.756268908983"/>
  </r>
  <r>
    <s v="Regular"/>
    <x v="2"/>
    <x v="2"/>
    <x v="0"/>
    <x v="0"/>
    <x v="0"/>
    <x v="0"/>
    <x v="2"/>
    <x v="8"/>
    <n v="0"/>
    <n v="0"/>
    <n v="54.564"/>
    <n v="54.564"/>
    <n v="0"/>
    <n v="0"/>
    <n v="0"/>
    <x v="0"/>
    <n v="0"/>
    <n v="0"/>
    <n v="8"/>
    <n v="0"/>
    <n v="0"/>
    <n v="940.43"/>
    <n v="0"/>
    <m/>
    <n v="1108.3660770518723"/>
    <m/>
    <n v="0"/>
    <n v="51313.622519999997"/>
    <n v="0"/>
    <n v="0"/>
    <n v="60476.886628258355"/>
    <n v="0"/>
  </r>
  <r>
    <s v="Regular"/>
    <x v="2"/>
    <x v="2"/>
    <x v="0"/>
    <x v="0"/>
    <x v="0"/>
    <x v="0"/>
    <x v="2"/>
    <x v="9"/>
    <n v="0"/>
    <n v="0"/>
    <n v="178.84399999999999"/>
    <n v="178.84399999999999"/>
    <n v="178.84399999999999"/>
    <n v="178.84399999999999"/>
    <n v="0"/>
    <x v="2"/>
    <n v="0"/>
    <n v="0"/>
    <n v="8"/>
    <n v="38"/>
    <n v="0"/>
    <n v="940.43"/>
    <n v="442.86"/>
    <m/>
    <n v="1108.3660770518723"/>
    <n v="476.88775168498375"/>
    <n v="0"/>
    <n v="168190.26291999998"/>
    <n v="79202.853839999996"/>
    <n v="0"/>
    <n v="198224.62268426502"/>
    <n v="85288.51306234923"/>
  </r>
  <r>
    <s v="Refaturamento - Regular"/>
    <x v="2"/>
    <x v="2"/>
    <x v="0"/>
    <x v="0"/>
    <x v="0"/>
    <x v="0"/>
    <x v="2"/>
    <x v="9"/>
    <n v="0"/>
    <n v="0"/>
    <n v="-9.6170000000000009"/>
    <n v="-9.6170000000000009"/>
    <n v="-9.6170000000000009"/>
    <n v="-9.6170000000000009"/>
    <n v="0"/>
    <x v="2"/>
    <n v="0"/>
    <n v="0"/>
    <n v="8"/>
    <n v="38"/>
    <n v="0"/>
    <n v="940.43"/>
    <n v="442.86"/>
    <m/>
    <n v="1108.3660770518723"/>
    <n v="476.88775168498375"/>
    <n v="0"/>
    <n v="-9044.115310000001"/>
    <n v="-4258.9846200000002"/>
    <n v="0"/>
    <n v="-10659.156563007857"/>
    <n v="-4586.2295079544892"/>
  </r>
  <r>
    <s v="Sistema de Compensação"/>
    <x v="2"/>
    <x v="2"/>
    <x v="0"/>
    <x v="0"/>
    <x v="0"/>
    <x v="0"/>
    <x v="2"/>
    <x v="9"/>
    <n v="0"/>
    <n v="0"/>
    <n v="5.7839999999999998"/>
    <n v="5.7839999999999998"/>
    <n v="5.7839999999999998"/>
    <n v="5.7839999999999998"/>
    <n v="0"/>
    <x v="2"/>
    <n v="0"/>
    <n v="0"/>
    <n v="8"/>
    <n v="38"/>
    <n v="0"/>
    <n v="940.43"/>
    <n v="442.86"/>
    <m/>
    <n v="1108.3660770518723"/>
    <n v="476.88775168498375"/>
    <n v="0"/>
    <n v="5439.4471199999998"/>
    <n v="2561.5022399999998"/>
    <n v="0"/>
    <n v="6410.7893896680289"/>
    <n v="2758.318755745946"/>
  </r>
  <r>
    <s v="Regular"/>
    <x v="2"/>
    <x v="2"/>
    <x v="0"/>
    <x v="0"/>
    <x v="0"/>
    <x v="0"/>
    <x v="2"/>
    <x v="9"/>
    <n v="0"/>
    <n v="0"/>
    <n v="80.736999999999995"/>
    <n v="80.736999999999995"/>
    <n v="0"/>
    <n v="0"/>
    <n v="0"/>
    <x v="0"/>
    <n v="0"/>
    <n v="0"/>
    <n v="8"/>
    <n v="0"/>
    <n v="0"/>
    <n v="940.43"/>
    <n v="0"/>
    <m/>
    <n v="1108.3660770518723"/>
    <m/>
    <n v="0"/>
    <n v="75927.496909999987"/>
    <n v="0"/>
    <n v="0"/>
    <n v="89486.151962937001"/>
    <n v="0"/>
  </r>
  <r>
    <s v="Regular"/>
    <x v="2"/>
    <x v="2"/>
    <x v="0"/>
    <x v="0"/>
    <x v="0"/>
    <x v="0"/>
    <x v="2"/>
    <x v="10"/>
    <n v="0"/>
    <n v="0"/>
    <n v="196.90899999999999"/>
    <n v="196.90899999999999"/>
    <n v="196.90899999999999"/>
    <n v="196.90899999999999"/>
    <n v="0"/>
    <x v="2"/>
    <n v="0"/>
    <n v="0"/>
    <n v="8"/>
    <n v="38"/>
    <n v="0"/>
    <n v="940.43"/>
    <n v="442.86"/>
    <m/>
    <n v="1108.3660770518723"/>
    <n v="476.88775168498375"/>
    <n v="0"/>
    <n v="185179.13086999999"/>
    <n v="87203.119739999995"/>
    <n v="0"/>
    <n v="218247.2558662071"/>
    <n v="93903.490296538468"/>
  </r>
  <r>
    <s v="Sistema de Compensação"/>
    <x v="2"/>
    <x v="2"/>
    <x v="0"/>
    <x v="0"/>
    <x v="0"/>
    <x v="0"/>
    <x v="2"/>
    <x v="10"/>
    <n v="0"/>
    <n v="0"/>
    <n v="4.5129999999999999"/>
    <n v="4.5129999999999999"/>
    <n v="4.5129999999999999"/>
    <n v="4.5129999999999999"/>
    <n v="0"/>
    <x v="2"/>
    <n v="0"/>
    <n v="0"/>
    <n v="8"/>
    <n v="38"/>
    <n v="0"/>
    <n v="940.43"/>
    <n v="442.86"/>
    <m/>
    <n v="1108.3660770518723"/>
    <n v="476.88775168498375"/>
    <n v="0"/>
    <n v="4244.1605899999995"/>
    <n v="1998.62718"/>
    <n v="0"/>
    <n v="5002.0561057350997"/>
    <n v="2152.1944233543318"/>
  </r>
  <r>
    <s v="Regular"/>
    <x v="2"/>
    <x v="2"/>
    <x v="0"/>
    <x v="0"/>
    <x v="0"/>
    <x v="0"/>
    <x v="2"/>
    <x v="10"/>
    <n v="0"/>
    <n v="0"/>
    <n v="88.828000000000003"/>
    <n v="88.828000000000003"/>
    <n v="0"/>
    <n v="0"/>
    <n v="0"/>
    <x v="0"/>
    <n v="0"/>
    <n v="0"/>
    <n v="8"/>
    <n v="0"/>
    <n v="0"/>
    <n v="940.43"/>
    <n v="0"/>
    <m/>
    <n v="1108.3660770518723"/>
    <m/>
    <n v="0"/>
    <n v="83536.516040000002"/>
    <n v="0"/>
    <n v="0"/>
    <n v="98453.941892363713"/>
    <n v="0"/>
  </r>
  <r>
    <s v="PROJETADO"/>
    <x v="2"/>
    <x v="2"/>
    <x v="0"/>
    <x v="0"/>
    <x v="0"/>
    <x v="0"/>
    <x v="2"/>
    <x v="11"/>
    <n v="0"/>
    <n v="0"/>
    <n v="196.90899999999999"/>
    <n v="196.90899999999999"/>
    <n v="196.90899999999999"/>
    <n v="196.90899999999999"/>
    <n v="0"/>
    <x v="2"/>
    <n v="0"/>
    <n v="0"/>
    <n v="8"/>
    <n v="38"/>
    <n v="0"/>
    <n v="940.43"/>
    <n v="442.86"/>
    <m/>
    <n v="1108.3660770518723"/>
    <n v="476.88775168498375"/>
    <n v="0"/>
    <n v="185179.13086999999"/>
    <n v="87203.119739999995"/>
    <n v="0"/>
    <n v="218247.2558662071"/>
    <n v="93903.490296538468"/>
  </r>
  <r>
    <s v="PROJETADO"/>
    <x v="2"/>
    <x v="2"/>
    <x v="0"/>
    <x v="0"/>
    <x v="0"/>
    <x v="0"/>
    <x v="2"/>
    <x v="11"/>
    <n v="0"/>
    <n v="0"/>
    <n v="4.5129999999999999"/>
    <n v="4.5129999999999999"/>
    <n v="4.5129999999999999"/>
    <n v="4.5129999999999999"/>
    <n v="0"/>
    <x v="2"/>
    <n v="0"/>
    <n v="0"/>
    <n v="8"/>
    <n v="38"/>
    <n v="0"/>
    <n v="940.43"/>
    <n v="442.86"/>
    <m/>
    <n v="1108.3660770518723"/>
    <n v="476.88775168498375"/>
    <n v="0"/>
    <n v="4244.1605899999995"/>
    <n v="1998.62718"/>
    <n v="0"/>
    <n v="5002.0561057350997"/>
    <n v="2152.1944233543318"/>
  </r>
  <r>
    <s v="PROJETADO"/>
    <x v="2"/>
    <x v="2"/>
    <x v="0"/>
    <x v="0"/>
    <x v="0"/>
    <x v="0"/>
    <x v="2"/>
    <x v="11"/>
    <n v="0"/>
    <n v="0"/>
    <n v="88.828000000000003"/>
    <n v="88.828000000000003"/>
    <n v="0"/>
    <n v="0"/>
    <n v="0"/>
    <x v="0"/>
    <n v="0"/>
    <n v="0"/>
    <n v="8"/>
    <n v="0"/>
    <n v="0"/>
    <n v="940.43"/>
    <n v="0"/>
    <m/>
    <n v="1108.3660770518723"/>
    <m/>
    <n v="0"/>
    <n v="83536.516040000002"/>
    <n v="0"/>
    <n v="0"/>
    <n v="98453.941892363713"/>
    <n v="0"/>
  </r>
  <r>
    <s v="Regular"/>
    <x v="2"/>
    <x v="2"/>
    <x v="5"/>
    <x v="0"/>
    <x v="0"/>
    <x v="0"/>
    <x v="0"/>
    <x v="0"/>
    <n v="0"/>
    <n v="0"/>
    <n v="42.69"/>
    <n v="42.69"/>
    <n v="42.69"/>
    <n v="42.69"/>
    <n v="0"/>
    <x v="2"/>
    <n v="0"/>
    <n v="0"/>
    <n v="6"/>
    <n v="61"/>
    <n v="0"/>
    <n v="72.150000000000006"/>
    <n v="278.67"/>
    <m/>
    <n v="117.70169496208672"/>
    <n v="295.87360985530717"/>
    <n v="0"/>
    <n v="3080.0835000000002"/>
    <n v="11896.4223"/>
    <n v="0"/>
    <n v="5024.685357931482"/>
    <n v="12630.844404723062"/>
  </r>
  <r>
    <s v="Sistema de Compensação"/>
    <x v="2"/>
    <x v="2"/>
    <x v="5"/>
    <x v="0"/>
    <x v="0"/>
    <x v="0"/>
    <x v="0"/>
    <x v="0"/>
    <n v="0"/>
    <n v="0"/>
    <n v="6.8730000000000002"/>
    <n v="6.8730000000000002"/>
    <n v="6.8730000000000002"/>
    <n v="6.8730000000000002"/>
    <n v="0"/>
    <x v="2"/>
    <n v="0"/>
    <n v="0"/>
    <n v="6"/>
    <n v="61"/>
    <n v="0"/>
    <n v="72.150000000000006"/>
    <n v="278.67"/>
    <m/>
    <n v="117.70169496208672"/>
    <n v="295.87360985530717"/>
    <n v="0"/>
    <n v="495.88695000000007"/>
    <n v="1915.2989100000002"/>
    <n v="0"/>
    <n v="808.963749474422"/>
    <n v="2033.5393205355263"/>
  </r>
  <r>
    <s v="Regular"/>
    <x v="2"/>
    <x v="2"/>
    <x v="5"/>
    <x v="0"/>
    <x v="0"/>
    <x v="0"/>
    <x v="0"/>
    <x v="1"/>
    <n v="0"/>
    <n v="0"/>
    <n v="43.225999999999999"/>
    <n v="43.225999999999999"/>
    <n v="43.225999999999999"/>
    <n v="43.225999999999999"/>
    <n v="0"/>
    <x v="2"/>
    <n v="0"/>
    <n v="0"/>
    <n v="6"/>
    <n v="61"/>
    <n v="0"/>
    <n v="72.150000000000006"/>
    <n v="278.67"/>
    <m/>
    <n v="117.70169496208672"/>
    <n v="295.87360985530717"/>
    <n v="0"/>
    <n v="3118.7559000000001"/>
    <n v="12045.789420000001"/>
    <n v="0"/>
    <n v="5087.7734664311602"/>
    <n v="12789.432659605507"/>
  </r>
  <r>
    <s v="Sistema de Compensação"/>
    <x v="2"/>
    <x v="2"/>
    <x v="5"/>
    <x v="0"/>
    <x v="0"/>
    <x v="0"/>
    <x v="0"/>
    <x v="1"/>
    <n v="0"/>
    <n v="0"/>
    <n v="5.0629999999999997"/>
    <n v="5.0629999999999997"/>
    <n v="5.0629999999999997"/>
    <n v="5.0629999999999997"/>
    <n v="0"/>
    <x v="2"/>
    <n v="0"/>
    <n v="0"/>
    <n v="6"/>
    <n v="61"/>
    <n v="0"/>
    <n v="72.150000000000006"/>
    <n v="278.67"/>
    <m/>
    <n v="117.70169496208672"/>
    <n v="295.87360985530717"/>
    <n v="0"/>
    <n v="365.29545000000002"/>
    <n v="1410.9062100000001"/>
    <n v="0"/>
    <n v="595.92368159304499"/>
    <n v="1498.0080866974201"/>
  </r>
  <r>
    <s v="Regular"/>
    <x v="2"/>
    <x v="2"/>
    <x v="5"/>
    <x v="0"/>
    <x v="0"/>
    <x v="0"/>
    <x v="0"/>
    <x v="2"/>
    <n v="0"/>
    <n v="0"/>
    <n v="41.533000000000001"/>
    <n v="41.533000000000001"/>
    <n v="41.533000000000001"/>
    <n v="41.533000000000001"/>
    <n v="0"/>
    <x v="2"/>
    <n v="0"/>
    <n v="0"/>
    <n v="6"/>
    <n v="61"/>
    <n v="0"/>
    <n v="72.150000000000006"/>
    <n v="278.67"/>
    <m/>
    <n v="117.70169496208672"/>
    <n v="295.87360985530717"/>
    <n v="0"/>
    <n v="2996.6059500000001"/>
    <n v="11574.001110000001"/>
    <n v="0"/>
    <n v="4888.5044968603479"/>
    <n v="12288.518638120473"/>
  </r>
  <r>
    <s v="Sistema de Compensação"/>
    <x v="2"/>
    <x v="2"/>
    <x v="5"/>
    <x v="0"/>
    <x v="0"/>
    <x v="0"/>
    <x v="0"/>
    <x v="2"/>
    <n v="0"/>
    <n v="0"/>
    <n v="5.0999999999999996"/>
    <n v="5.0999999999999996"/>
    <n v="5.0999999999999996"/>
    <n v="5.0999999999999996"/>
    <n v="0"/>
    <x v="2"/>
    <n v="0"/>
    <n v="0"/>
    <n v="6"/>
    <n v="61"/>
    <n v="0"/>
    <n v="72.150000000000006"/>
    <n v="278.67"/>
    <m/>
    <n v="117.70169496208672"/>
    <n v="295.87360985530717"/>
    <n v="0"/>
    <n v="367.96499999999997"/>
    <n v="1421.2169999999999"/>
    <n v="0"/>
    <n v="600.27864430664226"/>
    <n v="1508.9554102620664"/>
  </r>
  <r>
    <s v="Regular"/>
    <x v="2"/>
    <x v="2"/>
    <x v="5"/>
    <x v="0"/>
    <x v="0"/>
    <x v="0"/>
    <x v="0"/>
    <x v="3"/>
    <n v="0"/>
    <n v="0"/>
    <n v="40.228999999999999"/>
    <n v="40.228999999999999"/>
    <n v="40.228999999999999"/>
    <n v="40.228999999999999"/>
    <n v="0"/>
    <x v="2"/>
    <n v="0"/>
    <n v="0"/>
    <n v="6"/>
    <n v="61"/>
    <n v="0"/>
    <n v="72.150000000000006"/>
    <n v="278.67"/>
    <m/>
    <n v="117.70169496208672"/>
    <n v="295.87360985530717"/>
    <n v="0"/>
    <n v="2902.5223500000002"/>
    <n v="11210.61543"/>
    <n v="0"/>
    <n v="4735.0214866297865"/>
    <n v="11902.699450869151"/>
  </r>
  <r>
    <s v="Sistema de Compensação"/>
    <x v="2"/>
    <x v="2"/>
    <x v="5"/>
    <x v="0"/>
    <x v="0"/>
    <x v="0"/>
    <x v="0"/>
    <x v="3"/>
    <n v="0"/>
    <n v="0"/>
    <n v="5.3650000000000002"/>
    <n v="5.3650000000000002"/>
    <n v="5.3650000000000002"/>
    <n v="5.3650000000000002"/>
    <n v="0"/>
    <x v="2"/>
    <n v="0"/>
    <n v="0"/>
    <n v="6"/>
    <n v="61"/>
    <n v="0"/>
    <n v="72.150000000000006"/>
    <n v="278.67"/>
    <m/>
    <n v="117.70169496208672"/>
    <n v="295.87360985530717"/>
    <n v="0"/>
    <n v="387.08475000000004"/>
    <n v="1495.0645500000001"/>
    <n v="0"/>
    <n v="631.46959347159532"/>
    <n v="1587.361916873723"/>
  </r>
  <r>
    <s v="Regular"/>
    <x v="2"/>
    <x v="2"/>
    <x v="5"/>
    <x v="0"/>
    <x v="0"/>
    <x v="0"/>
    <x v="0"/>
    <x v="4"/>
    <n v="0"/>
    <n v="0"/>
    <n v="41.337000000000003"/>
    <n v="41.337000000000003"/>
    <n v="41.337000000000003"/>
    <n v="41.337000000000003"/>
    <n v="0"/>
    <x v="2"/>
    <n v="0"/>
    <n v="0"/>
    <n v="6"/>
    <n v="61"/>
    <n v="0"/>
    <n v="72.150000000000006"/>
    <n v="278.67"/>
    <m/>
    <n v="117.70169496208672"/>
    <n v="295.87360985530717"/>
    <n v="0"/>
    <n v="2982.4645500000006"/>
    <n v="11519.381790000001"/>
    <n v="0"/>
    <n v="4865.4349646477795"/>
    <n v="12230.527410588833"/>
  </r>
  <r>
    <s v="Sistema de Compensação"/>
    <x v="2"/>
    <x v="2"/>
    <x v="5"/>
    <x v="0"/>
    <x v="0"/>
    <x v="0"/>
    <x v="0"/>
    <x v="4"/>
    <n v="0"/>
    <n v="0"/>
    <n v="4.3250000000000002"/>
    <n v="4.3250000000000002"/>
    <n v="4.3250000000000002"/>
    <n v="4.3250000000000002"/>
    <n v="0"/>
    <x v="2"/>
    <n v="0"/>
    <n v="0"/>
    <n v="6"/>
    <n v="61"/>
    <n v="0"/>
    <n v="72.150000000000006"/>
    <n v="278.67"/>
    <m/>
    <n v="117.70169496208672"/>
    <n v="295.87360985530717"/>
    <n v="0"/>
    <n v="312.04875000000004"/>
    <n v="1205.2477500000002"/>
    <n v="0"/>
    <n v="509.05983071102509"/>
    <n v="1279.6533626242035"/>
  </r>
  <r>
    <s v="Regular"/>
    <x v="2"/>
    <x v="2"/>
    <x v="5"/>
    <x v="0"/>
    <x v="0"/>
    <x v="0"/>
    <x v="0"/>
    <x v="5"/>
    <n v="0"/>
    <n v="0"/>
    <n v="50.235999999999997"/>
    <n v="50.235999999999997"/>
    <n v="50.235999999999997"/>
    <n v="50.235999999999997"/>
    <n v="0"/>
    <x v="2"/>
    <n v="0"/>
    <n v="0"/>
    <n v="6"/>
    <n v="61"/>
    <n v="0"/>
    <n v="72.150000000000006"/>
    <n v="278.67"/>
    <m/>
    <n v="117.70169496208672"/>
    <n v="295.87360985530717"/>
    <n v="0"/>
    <n v="3624.5273999999999"/>
    <n v="13999.26612"/>
    <n v="0"/>
    <n v="5912.8623481153882"/>
    <n v="14863.506664691209"/>
  </r>
  <r>
    <s v="Sistema de Compensação"/>
    <x v="2"/>
    <x v="2"/>
    <x v="5"/>
    <x v="0"/>
    <x v="0"/>
    <x v="0"/>
    <x v="0"/>
    <x v="5"/>
    <n v="0"/>
    <n v="0"/>
    <n v="6.0019999999999998"/>
    <n v="6.0019999999999998"/>
    <n v="6.0019999999999998"/>
    <n v="6.0019999999999998"/>
    <n v="0"/>
    <x v="2"/>
    <n v="0"/>
    <n v="0"/>
    <n v="6"/>
    <n v="61"/>
    <n v="0"/>
    <n v="72.150000000000006"/>
    <n v="278.67"/>
    <m/>
    <n v="117.70169496208672"/>
    <n v="295.87360985530717"/>
    <n v="0"/>
    <n v="433.04430000000002"/>
    <n v="1672.57734"/>
    <n v="0"/>
    <n v="706.44557316244448"/>
    <n v="1775.8334063515535"/>
  </r>
  <r>
    <s v="Regular"/>
    <x v="2"/>
    <x v="2"/>
    <x v="5"/>
    <x v="0"/>
    <x v="0"/>
    <x v="0"/>
    <x v="0"/>
    <x v="6"/>
    <n v="0"/>
    <n v="0"/>
    <n v="45.79"/>
    <n v="45.79"/>
    <n v="45.79"/>
    <n v="45.79"/>
    <n v="0"/>
    <x v="2"/>
    <n v="0"/>
    <n v="0"/>
    <n v="6"/>
    <n v="61"/>
    <n v="0"/>
    <n v="72.150000000000006"/>
    <n v="278.67"/>
    <m/>
    <n v="117.70169496208672"/>
    <n v="295.87360985530717"/>
    <n v="0"/>
    <n v="3303.7485000000001"/>
    <n v="12760.299300000001"/>
    <n v="0"/>
    <n v="5389.5606123139505"/>
    <n v="13548.052595274516"/>
  </r>
  <r>
    <s v="Sistema de Compensação"/>
    <x v="2"/>
    <x v="2"/>
    <x v="5"/>
    <x v="0"/>
    <x v="0"/>
    <x v="0"/>
    <x v="0"/>
    <x v="6"/>
    <n v="0"/>
    <n v="0"/>
    <n v="5.968"/>
    <n v="5.968"/>
    <n v="5.968"/>
    <n v="5.968"/>
    <n v="0"/>
    <x v="2"/>
    <n v="0"/>
    <n v="0"/>
    <n v="6"/>
    <n v="61"/>
    <n v="0"/>
    <n v="72.150000000000006"/>
    <n v="278.67"/>
    <m/>
    <n v="117.70169496208672"/>
    <n v="295.87360985530717"/>
    <n v="0"/>
    <n v="430.59120000000001"/>
    <n v="1663.10256"/>
    <n v="0"/>
    <n v="702.44371553373355"/>
    <n v="1765.7737036164731"/>
  </r>
  <r>
    <s v="Regular"/>
    <x v="2"/>
    <x v="2"/>
    <x v="5"/>
    <x v="0"/>
    <x v="0"/>
    <x v="0"/>
    <x v="0"/>
    <x v="7"/>
    <n v="0"/>
    <n v="0"/>
    <n v="47.131999999999998"/>
    <n v="47.131999999999998"/>
    <n v="47.131999999999998"/>
    <n v="47.131999999999998"/>
    <n v="0"/>
    <x v="2"/>
    <n v="0"/>
    <n v="0"/>
    <n v="6"/>
    <n v="61"/>
    <n v="0"/>
    <n v="72.150000000000006"/>
    <n v="278.67"/>
    <m/>
    <n v="117.70169496208672"/>
    <n v="295.87360985530717"/>
    <n v="0"/>
    <n v="3400.5738000000001"/>
    <n v="13134.274440000001"/>
    <n v="0"/>
    <n v="5547.5162869530714"/>
    <n v="13945.114979700336"/>
  </r>
  <r>
    <s v="Sistema de Compensação"/>
    <x v="2"/>
    <x v="2"/>
    <x v="5"/>
    <x v="0"/>
    <x v="0"/>
    <x v="0"/>
    <x v="0"/>
    <x v="7"/>
    <n v="0"/>
    <n v="0"/>
    <n v="7.9249999999999998"/>
    <n v="7.9249999999999998"/>
    <n v="7.9249999999999998"/>
    <n v="7.9249999999999998"/>
    <n v="0"/>
    <x v="2"/>
    <n v="0"/>
    <n v="0"/>
    <n v="6"/>
    <n v="61"/>
    <n v="0"/>
    <n v="72.150000000000006"/>
    <n v="278.67"/>
    <m/>
    <n v="117.70169496208672"/>
    <n v="295.87360985530717"/>
    <n v="0"/>
    <n v="571.78875000000005"/>
    <n v="2208.45975"/>
    <n v="0"/>
    <n v="932.78593257453724"/>
    <n v="2344.7983581033091"/>
  </r>
  <r>
    <s v="Regular"/>
    <x v="2"/>
    <x v="2"/>
    <x v="5"/>
    <x v="0"/>
    <x v="0"/>
    <x v="0"/>
    <x v="0"/>
    <x v="8"/>
    <n v="0"/>
    <n v="0"/>
    <n v="46.232999999999997"/>
    <n v="46.232999999999997"/>
    <n v="46.232999999999997"/>
    <n v="46.232999999999997"/>
    <n v="0"/>
    <x v="2"/>
    <n v="0"/>
    <n v="0"/>
    <n v="6"/>
    <n v="61"/>
    <n v="0"/>
    <n v="72.150000000000006"/>
    <n v="278.67"/>
    <m/>
    <n v="117.70169496208672"/>
    <n v="295.87360985530717"/>
    <n v="0"/>
    <n v="3335.7109500000001"/>
    <n v="12883.750109999999"/>
    <n v="0"/>
    <n v="5441.702463182155"/>
    <n v="13679.124604440416"/>
  </r>
  <r>
    <s v="Regular"/>
    <x v="2"/>
    <x v="2"/>
    <x v="5"/>
    <x v="0"/>
    <x v="0"/>
    <x v="0"/>
    <x v="0"/>
    <x v="9"/>
    <n v="0"/>
    <n v="0"/>
    <n v="46.384"/>
    <n v="46.384"/>
    <n v="46.384"/>
    <n v="46.384"/>
    <n v="0"/>
    <x v="2"/>
    <n v="0"/>
    <n v="0"/>
    <n v="6"/>
    <n v="61"/>
    <n v="0"/>
    <n v="72.150000000000006"/>
    <n v="278.67"/>
    <m/>
    <n v="117.70169496208672"/>
    <n v="295.87360985530717"/>
    <n v="0"/>
    <n v="3346.6056000000003"/>
    <n v="12925.82928"/>
    <n v="0"/>
    <n v="5459.4754191214306"/>
    <n v="13723.801519528568"/>
  </r>
  <r>
    <s v="Sistema de Compensação"/>
    <x v="2"/>
    <x v="2"/>
    <x v="5"/>
    <x v="0"/>
    <x v="0"/>
    <x v="0"/>
    <x v="0"/>
    <x v="9"/>
    <n v="0"/>
    <n v="0"/>
    <n v="12.36"/>
    <n v="12.36"/>
    <n v="12.36"/>
    <n v="12.36"/>
    <n v="0"/>
    <x v="2"/>
    <n v="0"/>
    <n v="0"/>
    <n v="6"/>
    <n v="61"/>
    <n v="0"/>
    <n v="72.150000000000006"/>
    <n v="278.67"/>
    <m/>
    <n v="117.70169496208672"/>
    <n v="295.87360985530717"/>
    <n v="0"/>
    <n v="891.774"/>
    <n v="3444.3611999999998"/>
    <n v="0"/>
    <n v="1454.7929497313917"/>
    <n v="3656.9978178115962"/>
  </r>
  <r>
    <s v="Regular"/>
    <x v="2"/>
    <x v="2"/>
    <x v="5"/>
    <x v="0"/>
    <x v="0"/>
    <x v="0"/>
    <x v="0"/>
    <x v="10"/>
    <n v="0"/>
    <n v="0"/>
    <n v="47.414000000000001"/>
    <n v="47.414000000000001"/>
    <n v="47.414000000000001"/>
    <n v="47.414000000000001"/>
    <n v="0"/>
    <x v="2"/>
    <n v="0"/>
    <n v="0"/>
    <n v="6"/>
    <n v="61"/>
    <n v="0"/>
    <n v="72.150000000000006"/>
    <n v="278.67"/>
    <m/>
    <n v="117.70169496208672"/>
    <n v="295.87360985530717"/>
    <n v="0"/>
    <n v="3420.9201000000003"/>
    <n v="13212.859380000002"/>
    <n v="0"/>
    <n v="5580.70816493238"/>
    <n v="14028.551337679535"/>
  </r>
  <r>
    <s v="Sistema de Compensação"/>
    <x v="2"/>
    <x v="2"/>
    <x v="5"/>
    <x v="0"/>
    <x v="0"/>
    <x v="0"/>
    <x v="0"/>
    <x v="10"/>
    <n v="0"/>
    <n v="0"/>
    <n v="13.048999999999999"/>
    <n v="13.048999999999999"/>
    <n v="13.048999999999999"/>
    <n v="13.048999999999999"/>
    <n v="0"/>
    <x v="2"/>
    <n v="0"/>
    <n v="0"/>
    <n v="6"/>
    <n v="61"/>
    <n v="0"/>
    <n v="72.150000000000006"/>
    <n v="278.67"/>
    <m/>
    <n v="117.70169496208672"/>
    <n v="295.87360985530717"/>
    <n v="0"/>
    <n v="941.48535000000004"/>
    <n v="3636.36483"/>
    <n v="0"/>
    <n v="1535.8894175602695"/>
    <n v="3860.854735001903"/>
  </r>
  <r>
    <s v="PROJETADO"/>
    <x v="2"/>
    <x v="2"/>
    <x v="5"/>
    <x v="0"/>
    <x v="0"/>
    <x v="0"/>
    <x v="0"/>
    <x v="11"/>
    <n v="0"/>
    <n v="0"/>
    <n v="47.414000000000001"/>
    <n v="47.414000000000001"/>
    <n v="47.414000000000001"/>
    <n v="47.414000000000001"/>
    <n v="0"/>
    <x v="2"/>
    <n v="0"/>
    <n v="0"/>
    <n v="6"/>
    <n v="61"/>
    <n v="0"/>
    <n v="72.150000000000006"/>
    <n v="278.67"/>
    <m/>
    <n v="117.70169496208672"/>
    <n v="295.87360985530717"/>
    <n v="0"/>
    <n v="3420.9201000000003"/>
    <n v="13212.859380000002"/>
    <n v="0"/>
    <n v="5580.70816493238"/>
    <n v="14028.551337679535"/>
  </r>
  <r>
    <s v="PROJETADO"/>
    <x v="2"/>
    <x v="2"/>
    <x v="5"/>
    <x v="0"/>
    <x v="0"/>
    <x v="0"/>
    <x v="0"/>
    <x v="11"/>
    <n v="0"/>
    <n v="0"/>
    <n v="13.048999999999999"/>
    <n v="13.048999999999999"/>
    <n v="13.048999999999999"/>
    <n v="13.048999999999999"/>
    <n v="0"/>
    <x v="2"/>
    <n v="0"/>
    <n v="0"/>
    <n v="6"/>
    <n v="61"/>
    <n v="0"/>
    <n v="72.150000000000006"/>
    <n v="278.67"/>
    <m/>
    <n v="117.70169496208672"/>
    <n v="295.87360985530717"/>
    <n v="0"/>
    <n v="941.48535000000004"/>
    <n v="3636.36483"/>
    <n v="0"/>
    <n v="1535.8894175602695"/>
    <n v="3860.854735001903"/>
  </r>
  <r>
    <s v="Regular"/>
    <x v="2"/>
    <x v="2"/>
    <x v="5"/>
    <x v="0"/>
    <x v="0"/>
    <x v="0"/>
    <x v="1"/>
    <x v="0"/>
    <n v="559"/>
    <n v="559"/>
    <n v="0"/>
    <n v="0"/>
    <n v="0"/>
    <n v="0"/>
    <n v="12"/>
    <x v="2"/>
    <n v="0"/>
    <n v="20"/>
    <n v="0"/>
    <n v="0"/>
    <n v="14"/>
    <n v="0"/>
    <n v="0"/>
    <n v="15.925787521209683"/>
    <m/>
    <m/>
    <n v="7826"/>
    <n v="0"/>
    <n v="0"/>
    <n v="8902.5152243562134"/>
    <n v="0"/>
    <n v="0"/>
  </r>
  <r>
    <s v="Sistema de Compensação"/>
    <x v="2"/>
    <x v="2"/>
    <x v="5"/>
    <x v="0"/>
    <x v="0"/>
    <x v="0"/>
    <x v="1"/>
    <x v="0"/>
    <n v="240"/>
    <n v="240"/>
    <n v="0"/>
    <n v="0"/>
    <n v="0"/>
    <n v="0"/>
    <n v="2"/>
    <x v="2"/>
    <n v="0"/>
    <n v="20"/>
    <n v="0"/>
    <n v="0"/>
    <n v="14"/>
    <n v="0"/>
    <n v="0"/>
    <n v="15.925787521209683"/>
    <m/>
    <m/>
    <n v="3360"/>
    <n v="0"/>
    <n v="0"/>
    <n v="3822.1890050903239"/>
    <n v="0"/>
    <n v="0"/>
  </r>
  <r>
    <s v="Regular"/>
    <x v="2"/>
    <x v="2"/>
    <x v="5"/>
    <x v="0"/>
    <x v="0"/>
    <x v="0"/>
    <x v="1"/>
    <x v="1"/>
    <n v="559"/>
    <n v="559"/>
    <n v="0"/>
    <n v="0"/>
    <n v="0"/>
    <n v="0"/>
    <n v="12"/>
    <x v="2"/>
    <n v="0"/>
    <n v="20"/>
    <n v="0"/>
    <n v="0"/>
    <n v="14"/>
    <n v="0"/>
    <n v="0"/>
    <n v="15.925787521209683"/>
    <m/>
    <m/>
    <n v="7826"/>
    <n v="0"/>
    <n v="0"/>
    <n v="8902.5152243562134"/>
    <n v="0"/>
    <n v="0"/>
  </r>
  <r>
    <s v="Sistema de Compensação"/>
    <x v="2"/>
    <x v="2"/>
    <x v="5"/>
    <x v="0"/>
    <x v="0"/>
    <x v="0"/>
    <x v="1"/>
    <x v="1"/>
    <n v="240"/>
    <n v="240"/>
    <n v="0"/>
    <n v="0"/>
    <n v="0"/>
    <n v="0"/>
    <n v="2"/>
    <x v="2"/>
    <n v="0"/>
    <n v="20"/>
    <n v="0"/>
    <n v="0"/>
    <n v="14"/>
    <n v="0"/>
    <n v="0"/>
    <n v="15.925787521209683"/>
    <m/>
    <m/>
    <n v="3360"/>
    <n v="0"/>
    <n v="0"/>
    <n v="3822.1890050903239"/>
    <n v="0"/>
    <n v="0"/>
  </r>
  <r>
    <s v="Regular"/>
    <x v="2"/>
    <x v="2"/>
    <x v="5"/>
    <x v="0"/>
    <x v="0"/>
    <x v="0"/>
    <x v="1"/>
    <x v="2"/>
    <n v="559"/>
    <n v="559"/>
    <n v="0"/>
    <n v="0"/>
    <n v="0"/>
    <n v="0"/>
    <n v="12"/>
    <x v="2"/>
    <n v="0"/>
    <n v="20"/>
    <n v="0"/>
    <n v="0"/>
    <n v="14"/>
    <n v="0"/>
    <n v="0"/>
    <n v="15.925787521209683"/>
    <m/>
    <m/>
    <n v="7826"/>
    <n v="0"/>
    <n v="0"/>
    <n v="8902.5152243562134"/>
    <n v="0"/>
    <n v="0"/>
  </r>
  <r>
    <s v="Sistema de Compensação"/>
    <x v="2"/>
    <x v="2"/>
    <x v="5"/>
    <x v="0"/>
    <x v="0"/>
    <x v="0"/>
    <x v="1"/>
    <x v="2"/>
    <n v="240"/>
    <n v="240"/>
    <n v="0"/>
    <n v="0"/>
    <n v="0"/>
    <n v="0"/>
    <n v="2"/>
    <x v="2"/>
    <n v="0"/>
    <n v="20"/>
    <n v="0"/>
    <n v="0"/>
    <n v="14"/>
    <n v="0"/>
    <n v="0"/>
    <n v="15.925787521209683"/>
    <m/>
    <m/>
    <n v="3360"/>
    <n v="0"/>
    <n v="0"/>
    <n v="3822.1890050903239"/>
    <n v="0"/>
    <n v="0"/>
  </r>
  <r>
    <s v="Regular"/>
    <x v="2"/>
    <x v="2"/>
    <x v="5"/>
    <x v="0"/>
    <x v="0"/>
    <x v="0"/>
    <x v="1"/>
    <x v="3"/>
    <n v="562"/>
    <n v="562"/>
    <n v="0"/>
    <n v="0"/>
    <n v="0"/>
    <n v="0"/>
    <n v="12"/>
    <x v="2"/>
    <n v="0"/>
    <n v="20"/>
    <n v="0"/>
    <n v="0"/>
    <n v="14"/>
    <n v="0"/>
    <n v="0"/>
    <n v="15.925787521209683"/>
    <m/>
    <m/>
    <n v="7868"/>
    <n v="0"/>
    <n v="0"/>
    <n v="8950.2925869198425"/>
    <n v="0"/>
    <n v="0"/>
  </r>
  <r>
    <s v="Sistema de Compensação"/>
    <x v="2"/>
    <x v="2"/>
    <x v="5"/>
    <x v="0"/>
    <x v="0"/>
    <x v="0"/>
    <x v="1"/>
    <x v="3"/>
    <n v="290"/>
    <n v="290"/>
    <n v="0"/>
    <n v="0"/>
    <n v="0"/>
    <n v="0"/>
    <n v="2"/>
    <x v="2"/>
    <n v="0"/>
    <n v="20"/>
    <n v="0"/>
    <n v="0"/>
    <n v="14"/>
    <n v="0"/>
    <n v="0"/>
    <n v="15.925787521209683"/>
    <m/>
    <m/>
    <n v="4060"/>
    <n v="0"/>
    <n v="0"/>
    <n v="4618.4783811508078"/>
    <n v="0"/>
    <n v="0"/>
  </r>
  <r>
    <s v="Regular"/>
    <x v="2"/>
    <x v="2"/>
    <x v="5"/>
    <x v="0"/>
    <x v="0"/>
    <x v="0"/>
    <x v="1"/>
    <x v="4"/>
    <n v="561"/>
    <n v="561"/>
    <n v="0"/>
    <n v="0"/>
    <n v="0"/>
    <n v="0"/>
    <n v="12"/>
    <x v="2"/>
    <n v="0"/>
    <n v="20"/>
    <n v="0"/>
    <n v="0"/>
    <n v="14"/>
    <n v="0"/>
    <n v="0"/>
    <n v="15.925787521209683"/>
    <m/>
    <m/>
    <n v="7854"/>
    <n v="0"/>
    <n v="0"/>
    <n v="8934.3667993986328"/>
    <n v="0"/>
    <n v="0"/>
  </r>
  <r>
    <s v="Sistema de Compensação"/>
    <x v="2"/>
    <x v="2"/>
    <x v="5"/>
    <x v="0"/>
    <x v="0"/>
    <x v="0"/>
    <x v="1"/>
    <x v="4"/>
    <n v="290"/>
    <n v="290"/>
    <n v="0"/>
    <n v="0"/>
    <n v="0"/>
    <n v="0"/>
    <n v="2"/>
    <x v="2"/>
    <n v="0"/>
    <n v="20"/>
    <n v="0"/>
    <n v="0"/>
    <n v="14"/>
    <n v="0"/>
    <n v="0"/>
    <n v="15.925787521209683"/>
    <m/>
    <m/>
    <n v="4060"/>
    <n v="0"/>
    <n v="0"/>
    <n v="4618.4783811508078"/>
    <n v="0"/>
    <n v="0"/>
  </r>
  <r>
    <s v="Regular"/>
    <x v="2"/>
    <x v="2"/>
    <x v="5"/>
    <x v="0"/>
    <x v="0"/>
    <x v="0"/>
    <x v="1"/>
    <x v="5"/>
    <n v="568"/>
    <n v="568"/>
    <n v="0"/>
    <n v="0"/>
    <n v="0"/>
    <n v="0"/>
    <n v="12"/>
    <x v="2"/>
    <n v="0"/>
    <n v="20"/>
    <n v="0"/>
    <n v="0"/>
    <n v="14"/>
    <n v="0"/>
    <n v="0"/>
    <n v="15.925787521209683"/>
    <m/>
    <m/>
    <n v="7952"/>
    <n v="0"/>
    <n v="0"/>
    <n v="9045.8473120471008"/>
    <n v="0"/>
    <n v="0"/>
  </r>
  <r>
    <s v="Sistema de Compensação"/>
    <x v="2"/>
    <x v="2"/>
    <x v="5"/>
    <x v="0"/>
    <x v="0"/>
    <x v="0"/>
    <x v="1"/>
    <x v="5"/>
    <n v="290"/>
    <n v="290"/>
    <n v="0"/>
    <n v="0"/>
    <n v="0"/>
    <n v="0"/>
    <n v="2"/>
    <x v="2"/>
    <n v="0"/>
    <n v="20"/>
    <n v="0"/>
    <n v="0"/>
    <n v="14"/>
    <n v="0"/>
    <n v="0"/>
    <n v="15.925787521209683"/>
    <m/>
    <m/>
    <n v="4060"/>
    <n v="0"/>
    <n v="0"/>
    <n v="4618.4783811508078"/>
    <n v="0"/>
    <n v="0"/>
  </r>
  <r>
    <s v="Regular"/>
    <x v="2"/>
    <x v="2"/>
    <x v="5"/>
    <x v="0"/>
    <x v="0"/>
    <x v="0"/>
    <x v="1"/>
    <x v="6"/>
    <n v="565"/>
    <n v="565"/>
    <n v="0"/>
    <n v="0"/>
    <n v="0"/>
    <n v="0"/>
    <n v="12"/>
    <x v="2"/>
    <n v="0"/>
    <n v="20"/>
    <n v="0"/>
    <n v="0"/>
    <n v="14"/>
    <n v="0"/>
    <n v="0"/>
    <n v="15.925787521209683"/>
    <m/>
    <m/>
    <n v="7910"/>
    <n v="0"/>
    <n v="0"/>
    <n v="8998.0699494834716"/>
    <n v="0"/>
    <n v="0"/>
  </r>
  <r>
    <s v="Sistema de Compensação"/>
    <x v="2"/>
    <x v="2"/>
    <x v="5"/>
    <x v="0"/>
    <x v="0"/>
    <x v="0"/>
    <x v="1"/>
    <x v="6"/>
    <n v="290"/>
    <n v="290"/>
    <n v="0"/>
    <n v="0"/>
    <n v="0"/>
    <n v="0"/>
    <n v="2"/>
    <x v="2"/>
    <n v="0"/>
    <n v="20"/>
    <n v="0"/>
    <n v="0"/>
    <n v="14"/>
    <n v="0"/>
    <n v="0"/>
    <n v="15.925787521209683"/>
    <m/>
    <m/>
    <n v="4060"/>
    <n v="0"/>
    <n v="0"/>
    <n v="4618.4783811508078"/>
    <n v="0"/>
    <n v="0"/>
  </r>
  <r>
    <s v="Regular"/>
    <x v="2"/>
    <x v="2"/>
    <x v="5"/>
    <x v="0"/>
    <x v="0"/>
    <x v="0"/>
    <x v="1"/>
    <x v="7"/>
    <n v="564"/>
    <n v="564"/>
    <n v="0"/>
    <n v="0"/>
    <n v="0"/>
    <n v="0"/>
    <n v="12"/>
    <x v="2"/>
    <n v="0"/>
    <n v="20"/>
    <n v="0"/>
    <n v="0"/>
    <n v="14"/>
    <n v="0"/>
    <n v="0"/>
    <n v="15.925787521209683"/>
    <m/>
    <m/>
    <n v="7896"/>
    <n v="0"/>
    <n v="0"/>
    <n v="8982.1441619622619"/>
    <n v="0"/>
    <n v="0"/>
  </r>
  <r>
    <s v="Sistema de Compensação"/>
    <x v="2"/>
    <x v="2"/>
    <x v="5"/>
    <x v="0"/>
    <x v="0"/>
    <x v="0"/>
    <x v="1"/>
    <x v="7"/>
    <n v="290"/>
    <n v="290"/>
    <n v="0"/>
    <n v="0"/>
    <n v="0"/>
    <n v="0"/>
    <n v="2"/>
    <x v="2"/>
    <n v="0"/>
    <n v="20"/>
    <n v="0"/>
    <n v="0"/>
    <n v="14"/>
    <n v="0"/>
    <n v="0"/>
    <n v="15.925787521209683"/>
    <m/>
    <m/>
    <n v="4060"/>
    <n v="0"/>
    <n v="0"/>
    <n v="4618.4783811508078"/>
    <n v="0"/>
    <n v="0"/>
  </r>
  <r>
    <s v="Regular"/>
    <x v="2"/>
    <x v="2"/>
    <x v="5"/>
    <x v="0"/>
    <x v="0"/>
    <x v="0"/>
    <x v="1"/>
    <x v="8"/>
    <n v="559"/>
    <n v="559"/>
    <n v="0"/>
    <n v="0"/>
    <n v="0"/>
    <n v="0"/>
    <n v="12"/>
    <x v="2"/>
    <n v="0"/>
    <n v="20"/>
    <n v="0"/>
    <n v="0"/>
    <n v="14"/>
    <n v="0"/>
    <n v="0"/>
    <n v="15.925787521209683"/>
    <m/>
    <m/>
    <n v="7826"/>
    <n v="0"/>
    <n v="0"/>
    <n v="8902.5152243562134"/>
    <n v="0"/>
    <n v="0"/>
  </r>
  <r>
    <s v="Regular"/>
    <x v="2"/>
    <x v="2"/>
    <x v="5"/>
    <x v="0"/>
    <x v="0"/>
    <x v="0"/>
    <x v="1"/>
    <x v="9"/>
    <n v="559"/>
    <n v="559"/>
    <n v="0"/>
    <n v="0"/>
    <n v="0"/>
    <n v="0"/>
    <n v="12"/>
    <x v="2"/>
    <n v="0"/>
    <n v="20"/>
    <n v="0"/>
    <n v="0"/>
    <n v="14"/>
    <n v="0"/>
    <n v="0"/>
    <n v="15.925787521209683"/>
    <m/>
    <m/>
    <n v="7826"/>
    <n v="0"/>
    <n v="0"/>
    <n v="8902.5152243562134"/>
    <n v="0"/>
    <n v="0"/>
  </r>
  <r>
    <s v="Sistema de Compensação"/>
    <x v="2"/>
    <x v="2"/>
    <x v="5"/>
    <x v="0"/>
    <x v="0"/>
    <x v="0"/>
    <x v="1"/>
    <x v="9"/>
    <n v="290"/>
    <n v="290"/>
    <n v="0"/>
    <n v="0"/>
    <n v="0"/>
    <n v="0"/>
    <n v="2"/>
    <x v="2"/>
    <n v="0"/>
    <n v="20"/>
    <n v="0"/>
    <n v="0"/>
    <n v="14"/>
    <n v="0"/>
    <n v="0"/>
    <n v="15.925787521209683"/>
    <m/>
    <m/>
    <n v="4060"/>
    <n v="0"/>
    <n v="0"/>
    <n v="4618.4783811508078"/>
    <n v="0"/>
    <n v="0"/>
  </r>
  <r>
    <s v="Regular"/>
    <x v="2"/>
    <x v="2"/>
    <x v="5"/>
    <x v="0"/>
    <x v="0"/>
    <x v="0"/>
    <x v="1"/>
    <x v="10"/>
    <n v="559"/>
    <n v="559"/>
    <n v="0"/>
    <n v="0"/>
    <n v="0"/>
    <n v="0"/>
    <n v="12"/>
    <x v="2"/>
    <n v="0"/>
    <n v="20"/>
    <n v="0"/>
    <n v="0"/>
    <n v="14"/>
    <n v="0"/>
    <n v="0"/>
    <n v="15.925787521209683"/>
    <m/>
    <m/>
    <n v="7826"/>
    <n v="0"/>
    <n v="0"/>
    <n v="8902.5152243562134"/>
    <n v="0"/>
    <n v="0"/>
  </r>
  <r>
    <s v="Sistema de Compensação"/>
    <x v="2"/>
    <x v="2"/>
    <x v="5"/>
    <x v="0"/>
    <x v="0"/>
    <x v="0"/>
    <x v="1"/>
    <x v="10"/>
    <n v="290"/>
    <n v="290"/>
    <n v="0"/>
    <n v="0"/>
    <n v="0"/>
    <n v="0"/>
    <n v="2"/>
    <x v="2"/>
    <n v="0"/>
    <n v="20"/>
    <n v="0"/>
    <n v="0"/>
    <n v="14"/>
    <n v="0"/>
    <n v="0"/>
    <n v="15.925787521209683"/>
    <m/>
    <m/>
    <n v="4060"/>
    <n v="0"/>
    <n v="0"/>
    <n v="4618.4783811508078"/>
    <n v="0"/>
    <n v="0"/>
  </r>
  <r>
    <s v="PROJETADO"/>
    <x v="2"/>
    <x v="2"/>
    <x v="5"/>
    <x v="0"/>
    <x v="0"/>
    <x v="0"/>
    <x v="1"/>
    <x v="11"/>
    <n v="559"/>
    <n v="559"/>
    <n v="0"/>
    <n v="0"/>
    <n v="0"/>
    <n v="0"/>
    <n v="12"/>
    <x v="2"/>
    <n v="0"/>
    <n v="20"/>
    <n v="0"/>
    <n v="0"/>
    <n v="14"/>
    <n v="0"/>
    <n v="0"/>
    <n v="15.925787521209683"/>
    <m/>
    <m/>
    <n v="7826"/>
    <n v="0"/>
    <n v="0"/>
    <n v="8902.5152243562134"/>
    <n v="0"/>
    <n v="0"/>
  </r>
  <r>
    <s v="PROJETADO"/>
    <x v="2"/>
    <x v="2"/>
    <x v="5"/>
    <x v="0"/>
    <x v="0"/>
    <x v="0"/>
    <x v="1"/>
    <x v="11"/>
    <n v="290"/>
    <n v="290"/>
    <n v="0"/>
    <n v="0"/>
    <n v="0"/>
    <n v="0"/>
    <n v="2"/>
    <x v="2"/>
    <n v="0"/>
    <n v="20"/>
    <n v="0"/>
    <n v="0"/>
    <n v="14"/>
    <n v="0"/>
    <n v="0"/>
    <n v="15.925787521209683"/>
    <m/>
    <m/>
    <n v="4060"/>
    <n v="0"/>
    <n v="0"/>
    <n v="4618.4783811508078"/>
    <n v="0"/>
    <n v="0"/>
  </r>
  <r>
    <s v="Regular"/>
    <x v="2"/>
    <x v="2"/>
    <x v="5"/>
    <x v="0"/>
    <x v="0"/>
    <x v="0"/>
    <x v="2"/>
    <x v="0"/>
    <n v="0"/>
    <n v="0"/>
    <n v="4.0469999999999997"/>
    <n v="4.0469999999999997"/>
    <n v="4.0469999999999997"/>
    <n v="4.0469999999999997"/>
    <n v="0"/>
    <x v="2"/>
    <n v="0"/>
    <n v="0"/>
    <n v="8"/>
    <n v="38"/>
    <n v="0"/>
    <n v="940.43"/>
    <n v="442.86"/>
    <m/>
    <n v="1108.3660770518723"/>
    <n v="476.88775168498375"/>
    <n v="0"/>
    <n v="3805.9202099999993"/>
    <n v="1792.25442"/>
    <n v="0"/>
    <n v="4485.5575138289269"/>
    <n v="1929.9647310691291"/>
  </r>
  <r>
    <s v="Sistema de Compensação"/>
    <x v="2"/>
    <x v="2"/>
    <x v="5"/>
    <x v="0"/>
    <x v="0"/>
    <x v="0"/>
    <x v="2"/>
    <x v="0"/>
    <n v="0"/>
    <n v="0"/>
    <n v="1.3049999999999999"/>
    <n v="1.3049999999999999"/>
    <n v="1.3049999999999999"/>
    <n v="1.3049999999999999"/>
    <n v="0"/>
    <x v="2"/>
    <n v="0"/>
    <n v="0"/>
    <n v="8"/>
    <n v="38"/>
    <n v="0"/>
    <n v="940.43"/>
    <n v="442.86"/>
    <m/>
    <n v="1108.3660770518723"/>
    <n v="476.88775168498375"/>
    <n v="0"/>
    <n v="1227.2611499999998"/>
    <n v="577.93229999999994"/>
    <n v="0"/>
    <n v="1446.4177305526932"/>
    <n v="622.33851594890382"/>
  </r>
  <r>
    <s v="Regular"/>
    <x v="2"/>
    <x v="2"/>
    <x v="5"/>
    <x v="0"/>
    <x v="0"/>
    <x v="0"/>
    <x v="2"/>
    <x v="1"/>
    <n v="0"/>
    <n v="0"/>
    <n v="3.786"/>
    <n v="3.786"/>
    <n v="3.786"/>
    <n v="3.786"/>
    <n v="0"/>
    <x v="2"/>
    <n v="0"/>
    <n v="0"/>
    <n v="8"/>
    <n v="38"/>
    <n v="0"/>
    <n v="940.43"/>
    <n v="442.86"/>
    <m/>
    <n v="1108.3660770518723"/>
    <n v="476.88775168498375"/>
    <n v="0"/>
    <n v="3560.4679799999999"/>
    <n v="1676.66796"/>
    <n v="0"/>
    <n v="4196.2739677183881"/>
    <n v="1805.4970278793485"/>
  </r>
  <r>
    <s v="Sistema de Compensação"/>
    <x v="2"/>
    <x v="2"/>
    <x v="5"/>
    <x v="0"/>
    <x v="0"/>
    <x v="0"/>
    <x v="2"/>
    <x v="1"/>
    <n v="0"/>
    <n v="0"/>
    <n v="1.1319999999999999"/>
    <n v="1.1319999999999999"/>
    <n v="1.1319999999999999"/>
    <n v="1.1319999999999999"/>
    <n v="0"/>
    <x v="2"/>
    <n v="0"/>
    <n v="0"/>
    <n v="8"/>
    <n v="38"/>
    <n v="0"/>
    <n v="940.43"/>
    <n v="442.86"/>
    <m/>
    <n v="1108.3660770518723"/>
    <n v="476.88775168498375"/>
    <n v="0"/>
    <n v="1064.5667599999999"/>
    <n v="501.31751999999994"/>
    <n v="0"/>
    <n v="1254.6703992227192"/>
    <n v="539.83693490740154"/>
  </r>
  <r>
    <s v="Regular"/>
    <x v="2"/>
    <x v="2"/>
    <x v="5"/>
    <x v="0"/>
    <x v="0"/>
    <x v="0"/>
    <x v="2"/>
    <x v="2"/>
    <n v="0"/>
    <n v="0"/>
    <n v="3.9630000000000001"/>
    <n v="3.9630000000000001"/>
    <n v="3.9630000000000001"/>
    <n v="3.9630000000000001"/>
    <n v="0"/>
    <x v="2"/>
    <n v="0"/>
    <n v="0"/>
    <n v="8"/>
    <n v="38"/>
    <n v="0"/>
    <n v="940.43"/>
    <n v="442.86"/>
    <m/>
    <n v="1108.3660770518723"/>
    <n v="476.88775168498375"/>
    <n v="0"/>
    <n v="3726.92409"/>
    <n v="1755.0541800000001"/>
    <n v="0"/>
    <n v="4392.4547633565699"/>
    <n v="1889.9061599275906"/>
  </r>
  <r>
    <s v="Sistema de Compensação"/>
    <x v="2"/>
    <x v="2"/>
    <x v="5"/>
    <x v="0"/>
    <x v="0"/>
    <x v="0"/>
    <x v="2"/>
    <x v="2"/>
    <n v="0"/>
    <n v="0"/>
    <n v="0.89100000000000001"/>
    <n v="0.89100000000000001"/>
    <n v="0.89100000000000001"/>
    <n v="0.89100000000000001"/>
    <n v="0"/>
    <x v="2"/>
    <n v="0"/>
    <n v="0"/>
    <n v="8"/>
    <n v="38"/>
    <n v="0"/>
    <n v="940.43"/>
    <n v="442.86"/>
    <m/>
    <n v="1108.3660770518723"/>
    <n v="476.88775168498375"/>
    <n v="0"/>
    <n v="837.92313000000001"/>
    <n v="394.58825999999999"/>
    <n v="0"/>
    <n v="987.55417465321818"/>
    <n v="424.90698675132052"/>
  </r>
  <r>
    <s v="Regular"/>
    <x v="2"/>
    <x v="2"/>
    <x v="5"/>
    <x v="0"/>
    <x v="0"/>
    <x v="0"/>
    <x v="2"/>
    <x v="3"/>
    <n v="0"/>
    <n v="0"/>
    <n v="3.8090000000000002"/>
    <n v="3.8090000000000002"/>
    <n v="3.8090000000000002"/>
    <n v="3.8090000000000002"/>
    <n v="0"/>
    <x v="2"/>
    <n v="0"/>
    <n v="0"/>
    <n v="8"/>
    <n v="38"/>
    <n v="0"/>
    <n v="940.43"/>
    <n v="442.86"/>
    <m/>
    <n v="1108.3660770518723"/>
    <n v="476.88775168498375"/>
    <n v="0"/>
    <n v="3582.0978700000001"/>
    <n v="1686.85374"/>
    <n v="0"/>
    <n v="4221.766387490582"/>
    <n v="1816.4654461681032"/>
  </r>
  <r>
    <s v="Sistema de Compensação"/>
    <x v="2"/>
    <x v="2"/>
    <x v="5"/>
    <x v="0"/>
    <x v="0"/>
    <x v="0"/>
    <x v="2"/>
    <x v="3"/>
    <n v="0"/>
    <n v="0"/>
    <n v="0.66700000000000004"/>
    <n v="0.66700000000000004"/>
    <n v="0.66700000000000004"/>
    <n v="0.66700000000000004"/>
    <n v="0"/>
    <x v="2"/>
    <n v="0"/>
    <n v="0"/>
    <n v="8"/>
    <n v="38"/>
    <n v="0"/>
    <n v="940.43"/>
    <n v="442.86"/>
    <m/>
    <n v="1108.3660770518723"/>
    <n v="476.88775168498375"/>
    <n v="0"/>
    <n v="627.26680999999996"/>
    <n v="295.38762000000003"/>
    <n v="0"/>
    <n v="739.28017339359883"/>
    <n v="318.08413037388419"/>
  </r>
  <r>
    <s v="Regular"/>
    <x v="2"/>
    <x v="2"/>
    <x v="5"/>
    <x v="0"/>
    <x v="0"/>
    <x v="0"/>
    <x v="2"/>
    <x v="4"/>
    <n v="0"/>
    <n v="0"/>
    <n v="4.0229999999999997"/>
    <n v="4.0229999999999997"/>
    <n v="4.0229999999999997"/>
    <n v="4.0229999999999997"/>
    <n v="0"/>
    <x v="2"/>
    <n v="0"/>
    <n v="0"/>
    <n v="8"/>
    <n v="38"/>
    <n v="0"/>
    <n v="940.43"/>
    <n v="442.86"/>
    <m/>
    <n v="1108.3660770518723"/>
    <n v="476.88775168498375"/>
    <n v="0"/>
    <n v="3783.3498899999995"/>
    <n v="1781.6257799999998"/>
    <n v="0"/>
    <n v="4458.956727979682"/>
    <n v="1918.5194250286895"/>
  </r>
  <r>
    <s v="Sistema de Compensação"/>
    <x v="2"/>
    <x v="2"/>
    <x v="5"/>
    <x v="0"/>
    <x v="0"/>
    <x v="0"/>
    <x v="2"/>
    <x v="4"/>
    <n v="0"/>
    <n v="0"/>
    <n v="1.0129999999999999"/>
    <n v="1.0129999999999999"/>
    <n v="1.0129999999999999"/>
    <n v="1.0129999999999999"/>
    <n v="0"/>
    <x v="2"/>
    <n v="0"/>
    <n v="0"/>
    <n v="8"/>
    <n v="38"/>
    <n v="0"/>
    <n v="940.43"/>
    <n v="442.86"/>
    <m/>
    <n v="1108.3660770518723"/>
    <n v="476.88775168498375"/>
    <n v="0"/>
    <n v="952.65558999999985"/>
    <n v="448.61717999999996"/>
    <n v="0"/>
    <n v="1122.7748360535466"/>
    <n v="483.08729245688852"/>
  </r>
  <r>
    <s v="Regular"/>
    <x v="2"/>
    <x v="2"/>
    <x v="5"/>
    <x v="0"/>
    <x v="0"/>
    <x v="0"/>
    <x v="2"/>
    <x v="5"/>
    <n v="0"/>
    <n v="0"/>
    <n v="4.7590000000000003"/>
    <n v="4.7590000000000003"/>
    <n v="4.7590000000000003"/>
    <n v="4.7590000000000003"/>
    <n v="0"/>
    <x v="2"/>
    <n v="0"/>
    <n v="0"/>
    <n v="8"/>
    <n v="38"/>
    <n v="0"/>
    <n v="940.43"/>
    <n v="442.86"/>
    <m/>
    <n v="1108.3660770518723"/>
    <n v="476.88775168498375"/>
    <n v="0"/>
    <n v="4475.5063700000001"/>
    <n v="2107.5707400000001"/>
    <n v="0"/>
    <n v="5274.7141606898604"/>
    <n v="2269.5088102688378"/>
  </r>
  <r>
    <s v="Sistema de Compensação"/>
    <x v="2"/>
    <x v="2"/>
    <x v="5"/>
    <x v="0"/>
    <x v="0"/>
    <x v="0"/>
    <x v="2"/>
    <x v="5"/>
    <n v="0"/>
    <n v="0"/>
    <n v="1.726"/>
    <n v="1.726"/>
    <n v="1.726"/>
    <n v="1.726"/>
    <n v="0"/>
    <x v="2"/>
    <n v="0"/>
    <n v="0"/>
    <n v="8"/>
    <n v="38"/>
    <n v="0"/>
    <n v="940.43"/>
    <n v="442.86"/>
    <m/>
    <n v="1108.3660770518723"/>
    <n v="476.88775168498375"/>
    <n v="0"/>
    <n v="1623.1821799999998"/>
    <n v="764.37635999999998"/>
    <n v="0"/>
    <n v="1913.0398489915315"/>
    <n v="823.10825940828192"/>
  </r>
  <r>
    <s v="Regular"/>
    <x v="2"/>
    <x v="2"/>
    <x v="5"/>
    <x v="0"/>
    <x v="0"/>
    <x v="0"/>
    <x v="2"/>
    <x v="6"/>
    <n v="0"/>
    <n v="0"/>
    <n v="4.3949999999999996"/>
    <n v="4.3949999999999996"/>
    <n v="4.3949999999999996"/>
    <n v="4.3949999999999996"/>
    <n v="0"/>
    <x v="2"/>
    <n v="0"/>
    <n v="0"/>
    <n v="8"/>
    <n v="38"/>
    <n v="0"/>
    <n v="940.43"/>
    <n v="442.86"/>
    <m/>
    <n v="1108.3660770518723"/>
    <n v="476.88775168498375"/>
    <n v="0"/>
    <n v="4133.1898499999998"/>
    <n v="1946.3697"/>
    <n v="0"/>
    <n v="4871.2689086429782"/>
    <n v="2095.9216686555033"/>
  </r>
  <r>
    <s v="Sistema de Compensação"/>
    <x v="2"/>
    <x v="2"/>
    <x v="5"/>
    <x v="0"/>
    <x v="0"/>
    <x v="0"/>
    <x v="2"/>
    <x v="6"/>
    <n v="0"/>
    <n v="0"/>
    <n v="1.68"/>
    <n v="1.68"/>
    <n v="1.68"/>
    <n v="1.68"/>
    <n v="0"/>
    <x v="2"/>
    <n v="0"/>
    <n v="0"/>
    <n v="8"/>
    <n v="38"/>
    <n v="0"/>
    <n v="940.43"/>
    <n v="442.86"/>
    <m/>
    <n v="1108.3660770518723"/>
    <n v="476.88775168498375"/>
    <n v="0"/>
    <n v="1579.9223999999999"/>
    <n v="744.00480000000005"/>
    <n v="0"/>
    <n v="1862.0550094471453"/>
    <n v="801.17142283077271"/>
  </r>
  <r>
    <s v="Regular"/>
    <x v="2"/>
    <x v="2"/>
    <x v="5"/>
    <x v="0"/>
    <x v="0"/>
    <x v="0"/>
    <x v="2"/>
    <x v="7"/>
    <n v="0"/>
    <n v="0"/>
    <n v="4.6749999999999998"/>
    <n v="4.6749999999999998"/>
    <n v="4.6749999999999998"/>
    <n v="4.6749999999999998"/>
    <n v="0"/>
    <x v="2"/>
    <n v="0"/>
    <n v="0"/>
    <n v="8"/>
    <n v="38"/>
    <n v="0"/>
    <n v="940.43"/>
    <n v="442.86"/>
    <m/>
    <n v="1108.3660770518723"/>
    <n v="476.88775168498375"/>
    <n v="0"/>
    <n v="4396.5102499999994"/>
    <n v="2070.3705"/>
    <n v="0"/>
    <n v="5181.6114102175025"/>
    <n v="2229.450239127299"/>
  </r>
  <r>
    <s v="Sistema de Compensação"/>
    <x v="2"/>
    <x v="2"/>
    <x v="5"/>
    <x v="0"/>
    <x v="0"/>
    <x v="0"/>
    <x v="2"/>
    <x v="7"/>
    <n v="0"/>
    <n v="0"/>
    <n v="2.4609999999999999"/>
    <n v="2.4609999999999999"/>
    <n v="2.4609999999999999"/>
    <n v="2.4609999999999999"/>
    <n v="0"/>
    <x v="2"/>
    <n v="0"/>
    <n v="0"/>
    <n v="8"/>
    <n v="38"/>
    <n v="0"/>
    <n v="940.43"/>
    <n v="442.86"/>
    <m/>
    <n v="1108.3660770518723"/>
    <n v="476.88775168498375"/>
    <n v="0"/>
    <n v="2314.3982299999998"/>
    <n v="1089.8784599999999"/>
    <n v="0"/>
    <n v="2727.6889156246575"/>
    <n v="1173.620756896745"/>
  </r>
  <r>
    <s v="Regular"/>
    <x v="2"/>
    <x v="2"/>
    <x v="5"/>
    <x v="0"/>
    <x v="0"/>
    <x v="0"/>
    <x v="2"/>
    <x v="8"/>
    <n v="0"/>
    <n v="0"/>
    <n v="4.4320000000000004"/>
    <n v="4.4320000000000004"/>
    <n v="4.4320000000000004"/>
    <n v="4.4320000000000004"/>
    <n v="0"/>
    <x v="2"/>
    <n v="0"/>
    <n v="0"/>
    <n v="8"/>
    <n v="38"/>
    <n v="0"/>
    <n v="940.43"/>
    <n v="442.86"/>
    <m/>
    <n v="1108.3660770518723"/>
    <n v="476.88775168498375"/>
    <n v="0"/>
    <n v="4167.9857600000005"/>
    <n v="1962.7555200000002"/>
    <n v="0"/>
    <n v="4912.2784534938983"/>
    <n v="2113.5665154678481"/>
  </r>
  <r>
    <s v="Regular"/>
    <x v="2"/>
    <x v="2"/>
    <x v="5"/>
    <x v="0"/>
    <x v="0"/>
    <x v="0"/>
    <x v="2"/>
    <x v="9"/>
    <n v="0"/>
    <n v="0"/>
    <n v="4.1310000000000002"/>
    <n v="4.1310000000000002"/>
    <n v="4.1310000000000002"/>
    <n v="4.1310000000000002"/>
    <n v="0"/>
    <x v="2"/>
    <n v="0"/>
    <n v="0"/>
    <n v="8"/>
    <n v="38"/>
    <n v="0"/>
    <n v="940.43"/>
    <n v="442.86"/>
    <m/>
    <n v="1108.3660770518723"/>
    <n v="476.88775168498375"/>
    <n v="0"/>
    <n v="3884.91633"/>
    <n v="1829.4546600000001"/>
    <n v="0"/>
    <n v="4578.6602643012848"/>
    <n v="1970.0233022106679"/>
  </r>
  <r>
    <s v="Sistema de Compensação"/>
    <x v="2"/>
    <x v="2"/>
    <x v="5"/>
    <x v="0"/>
    <x v="0"/>
    <x v="0"/>
    <x v="2"/>
    <x v="9"/>
    <n v="0"/>
    <n v="0"/>
    <n v="3.6379999999999999"/>
    <n v="3.6379999999999999"/>
    <n v="3.6379999999999999"/>
    <n v="3.6379999999999999"/>
    <n v="0"/>
    <x v="2"/>
    <n v="0"/>
    <n v="0"/>
    <n v="8"/>
    <n v="38"/>
    <n v="0"/>
    <n v="940.43"/>
    <n v="442.86"/>
    <m/>
    <n v="1108.3660770518723"/>
    <n v="476.88775168498375"/>
    <n v="0"/>
    <n v="3421.2843399999997"/>
    <n v="1611.1246799999999"/>
    <n v="0"/>
    <n v="4032.235788314711"/>
    <n v="1734.9176406299709"/>
  </r>
  <r>
    <s v="Regular"/>
    <x v="2"/>
    <x v="2"/>
    <x v="5"/>
    <x v="0"/>
    <x v="0"/>
    <x v="0"/>
    <x v="2"/>
    <x v="10"/>
    <n v="0"/>
    <n v="0"/>
    <n v="4.6980000000000004"/>
    <n v="4.6980000000000004"/>
    <n v="4.6980000000000004"/>
    <n v="4.6980000000000004"/>
    <n v="0"/>
    <x v="2"/>
    <n v="0"/>
    <n v="0"/>
    <n v="8"/>
    <n v="38"/>
    <n v="0"/>
    <n v="940.43"/>
    <n v="442.86"/>
    <m/>
    <n v="1108.3660770518723"/>
    <n v="476.88775168498375"/>
    <n v="0"/>
    <n v="4418.1401400000004"/>
    <n v="2080.5562800000002"/>
    <n v="0"/>
    <n v="5207.1038299896964"/>
    <n v="2240.418657416054"/>
  </r>
  <r>
    <s v="Sistema de Compensação"/>
    <x v="2"/>
    <x v="2"/>
    <x v="5"/>
    <x v="0"/>
    <x v="0"/>
    <x v="0"/>
    <x v="2"/>
    <x v="10"/>
    <n v="0"/>
    <n v="0"/>
    <n v="3.6280000000000001"/>
    <n v="3.6280000000000001"/>
    <n v="3.6280000000000001"/>
    <n v="3.6280000000000001"/>
    <n v="0"/>
    <x v="2"/>
    <n v="0"/>
    <n v="0"/>
    <n v="8"/>
    <n v="38"/>
    <n v="0"/>
    <n v="940.43"/>
    <n v="442.86"/>
    <m/>
    <n v="1108.3660770518723"/>
    <n v="476.88775168498375"/>
    <n v="0"/>
    <n v="3411.88004"/>
    <n v="1606.6960800000002"/>
    <n v="0"/>
    <n v="4021.1521275441928"/>
    <n v="1730.148763113121"/>
  </r>
  <r>
    <s v="PROJETADO"/>
    <x v="2"/>
    <x v="2"/>
    <x v="5"/>
    <x v="0"/>
    <x v="0"/>
    <x v="0"/>
    <x v="2"/>
    <x v="11"/>
    <n v="0"/>
    <n v="0"/>
    <n v="4.6980000000000004"/>
    <n v="4.6980000000000004"/>
    <n v="4.6980000000000004"/>
    <n v="4.6980000000000004"/>
    <n v="0"/>
    <x v="2"/>
    <n v="0"/>
    <n v="0"/>
    <n v="8"/>
    <n v="38"/>
    <n v="0"/>
    <n v="940.43"/>
    <n v="442.86"/>
    <m/>
    <n v="1108.3660770518723"/>
    <n v="476.88775168498375"/>
    <n v="0"/>
    <n v="4418.1401400000004"/>
    <n v="2080.5562800000002"/>
    <n v="0"/>
    <n v="5207.1038299896964"/>
    <n v="2240.418657416054"/>
  </r>
  <r>
    <s v="PROJETADO"/>
    <x v="2"/>
    <x v="2"/>
    <x v="5"/>
    <x v="0"/>
    <x v="0"/>
    <x v="0"/>
    <x v="2"/>
    <x v="11"/>
    <n v="0"/>
    <n v="0"/>
    <n v="3.6280000000000001"/>
    <n v="3.6280000000000001"/>
    <n v="3.6280000000000001"/>
    <n v="3.6280000000000001"/>
    <n v="0"/>
    <x v="2"/>
    <n v="0"/>
    <n v="0"/>
    <n v="8"/>
    <n v="38"/>
    <n v="0"/>
    <n v="940.43"/>
    <n v="442.86"/>
    <m/>
    <n v="1108.3660770518723"/>
    <n v="476.88775168498375"/>
    <n v="0"/>
    <n v="3411.88004"/>
    <n v="1606.6960800000002"/>
    <n v="0"/>
    <n v="4021.1521275441928"/>
    <n v="1730.148763113121"/>
  </r>
  <r>
    <s v="Regular"/>
    <x v="2"/>
    <x v="2"/>
    <x v="6"/>
    <x v="0"/>
    <x v="0"/>
    <x v="0"/>
    <x v="0"/>
    <x v="0"/>
    <n v="0"/>
    <n v="0"/>
    <n v="113.935"/>
    <n v="109.3776"/>
    <n v="113.935"/>
    <n v="109.3776"/>
    <n v="0"/>
    <x v="2"/>
    <n v="0"/>
    <n v="0"/>
    <n v="6"/>
    <n v="61"/>
    <n v="0"/>
    <n v="72.150000000000006"/>
    <n v="278.67"/>
    <m/>
    <n v="117.70169496208672"/>
    <n v="295.87360985530717"/>
    <n v="0"/>
    <n v="7891.5938400000005"/>
    <n v="30480.255792000004"/>
    <n v="0"/>
    <n v="12873.928910885137"/>
    <n v="32361.945349309844"/>
  </r>
  <r>
    <s v="Regular"/>
    <x v="2"/>
    <x v="2"/>
    <x v="6"/>
    <x v="0"/>
    <x v="0"/>
    <x v="0"/>
    <x v="0"/>
    <x v="1"/>
    <n v="0"/>
    <n v="0"/>
    <n v="110.267"/>
    <n v="105.85632"/>
    <n v="110.267"/>
    <n v="105.85632"/>
    <n v="0"/>
    <x v="2"/>
    <n v="0"/>
    <n v="0"/>
    <n v="6"/>
    <n v="61"/>
    <n v="0"/>
    <n v="72.150000000000006"/>
    <n v="278.67"/>
    <m/>
    <n v="117.70169496208672"/>
    <n v="295.87360985530717"/>
    <n v="0"/>
    <n v="7637.533488"/>
    <n v="29498.980694400001"/>
    <n v="0"/>
    <n v="12459.468286449039"/>
    <n v="31320.091524398547"/>
  </r>
  <r>
    <s v="Regular"/>
    <x v="2"/>
    <x v="2"/>
    <x v="6"/>
    <x v="0"/>
    <x v="0"/>
    <x v="0"/>
    <x v="0"/>
    <x v="2"/>
    <n v="0"/>
    <n v="0"/>
    <n v="111.45"/>
    <n v="106.992"/>
    <n v="111.45"/>
    <n v="106.992"/>
    <n v="0"/>
    <x v="2"/>
    <n v="0"/>
    <n v="0"/>
    <n v="6"/>
    <n v="61"/>
    <n v="0"/>
    <n v="72.150000000000006"/>
    <n v="278.67"/>
    <m/>
    <n v="117.70169496208672"/>
    <n v="295.87360985530717"/>
    <n v="0"/>
    <n v="7719.4728000000014"/>
    <n v="29815.460640000001"/>
    <n v="0"/>
    <n v="12593.139747383582"/>
    <n v="31656.109265639025"/>
  </r>
  <r>
    <s v="Regular"/>
    <x v="2"/>
    <x v="2"/>
    <x v="6"/>
    <x v="0"/>
    <x v="0"/>
    <x v="0"/>
    <x v="0"/>
    <x v="3"/>
    <n v="0"/>
    <n v="0"/>
    <n v="107.66800000000001"/>
    <n v="103.36127999999999"/>
    <n v="107.66800000000001"/>
    <n v="103.36127999999999"/>
    <n v="0"/>
    <x v="2"/>
    <n v="0"/>
    <n v="0"/>
    <n v="6"/>
    <n v="61"/>
    <n v="0"/>
    <n v="72.150000000000006"/>
    <n v="278.67"/>
    <m/>
    <n v="117.70169496208672"/>
    <n v="295.87360985530717"/>
    <n v="0"/>
    <n v="7457.5163520000006"/>
    <n v="28803.687897600001"/>
    <n v="0"/>
    <n v="12165.797849450833"/>
    <n v="30581.875032865162"/>
  </r>
  <r>
    <s v="Regular"/>
    <x v="2"/>
    <x v="2"/>
    <x v="6"/>
    <x v="0"/>
    <x v="0"/>
    <x v="0"/>
    <x v="0"/>
    <x v="4"/>
    <n v="0"/>
    <n v="0"/>
    <n v="93.82"/>
    <n v="90.0672"/>
    <n v="93.82"/>
    <n v="90.0672"/>
    <n v="0"/>
    <x v="2"/>
    <n v="0"/>
    <n v="0"/>
    <n v="6"/>
    <n v="61"/>
    <n v="0"/>
    <n v="72.150000000000006"/>
    <n v="278.67"/>
    <m/>
    <n v="117.70169496208672"/>
    <n v="295.87360985530717"/>
    <n v="0"/>
    <n v="6498.3484800000006"/>
    <n v="25099.026624000002"/>
    <n v="0"/>
    <n v="10601.062100489256"/>
    <n v="26648.50759355992"/>
  </r>
  <r>
    <s v="Regular"/>
    <x v="2"/>
    <x v="2"/>
    <x v="6"/>
    <x v="0"/>
    <x v="0"/>
    <x v="0"/>
    <x v="0"/>
    <x v="5"/>
    <n v="0"/>
    <n v="0"/>
    <n v="106.645"/>
    <n v="102.3792"/>
    <n v="106.645"/>
    <n v="102.3792"/>
    <n v="0"/>
    <x v="2"/>
    <n v="0"/>
    <n v="0"/>
    <n v="6"/>
    <n v="61"/>
    <n v="0"/>
    <n v="72.150000000000006"/>
    <n v="278.67"/>
    <m/>
    <n v="117.70169496208672"/>
    <n v="295.87360985530717"/>
    <n v="0"/>
    <n v="7386.6592800000008"/>
    <n v="28530.011664000001"/>
    <n v="0"/>
    <n v="12050.205368862469"/>
    <n v="30291.303478098464"/>
  </r>
  <r>
    <s v="Regular"/>
    <x v="2"/>
    <x v="2"/>
    <x v="6"/>
    <x v="0"/>
    <x v="0"/>
    <x v="0"/>
    <x v="0"/>
    <x v="6"/>
    <n v="0"/>
    <n v="0"/>
    <n v="103.27500000000001"/>
    <n v="99.144000000000005"/>
    <n v="103.27500000000001"/>
    <n v="99.144000000000005"/>
    <n v="0"/>
    <x v="2"/>
    <n v="0"/>
    <n v="0"/>
    <n v="6"/>
    <n v="61"/>
    <n v="0"/>
    <n v="72.150000000000006"/>
    <n v="278.67"/>
    <m/>
    <n v="117.70169496208672"/>
    <n v="295.87360985530717"/>
    <n v="0"/>
    <n v="7153.2396000000008"/>
    <n v="27628.458480000005"/>
    <n v="0"/>
    <n v="11669.416845321126"/>
    <n v="29334.093175494574"/>
  </r>
  <r>
    <s v="Regular"/>
    <x v="2"/>
    <x v="2"/>
    <x v="6"/>
    <x v="0"/>
    <x v="0"/>
    <x v="0"/>
    <x v="0"/>
    <x v="7"/>
    <n v="0"/>
    <n v="0"/>
    <n v="100.271"/>
    <n v="96.260159999999999"/>
    <n v="100.271"/>
    <n v="96.260159999999999"/>
    <n v="0"/>
    <x v="2"/>
    <n v="0"/>
    <n v="0"/>
    <n v="6"/>
    <n v="61"/>
    <n v="0"/>
    <n v="72.150000000000006"/>
    <n v="278.67"/>
    <m/>
    <n v="117.70169496208672"/>
    <n v="295.87360985530717"/>
    <n v="0"/>
    <n v="6945.1705440000005"/>
    <n v="26824.818787200002"/>
    <n v="0"/>
    <n v="11329.983989321661"/>
    <n v="28480.841024449444"/>
  </r>
  <r>
    <s v="Regular"/>
    <x v="2"/>
    <x v="2"/>
    <x v="6"/>
    <x v="0"/>
    <x v="0"/>
    <x v="0"/>
    <x v="0"/>
    <x v="8"/>
    <n v="0"/>
    <n v="0"/>
    <n v="107.95699999999999"/>
    <n v="103.63872000000001"/>
    <n v="107.95699999999999"/>
    <n v="103.63872000000001"/>
    <n v="0"/>
    <x v="2"/>
    <n v="0"/>
    <n v="0"/>
    <n v="6"/>
    <n v="61"/>
    <n v="0"/>
    <n v="72.150000000000006"/>
    <n v="278.67"/>
    <m/>
    <n v="117.70169496208672"/>
    <n v="295.87360985530717"/>
    <n v="0"/>
    <n v="7477.5336480000014"/>
    <n v="28881.002102400005"/>
    <n v="0"/>
    <n v="12198.453007701117"/>
    <n v="30663.96220718342"/>
  </r>
  <r>
    <s v="Regular"/>
    <x v="2"/>
    <x v="2"/>
    <x v="6"/>
    <x v="0"/>
    <x v="0"/>
    <x v="0"/>
    <x v="0"/>
    <x v="9"/>
    <n v="0"/>
    <n v="0"/>
    <n v="102.619"/>
    <n v="98.514240000000001"/>
    <n v="102.619"/>
    <n v="98.514240000000001"/>
    <n v="0"/>
    <x v="2"/>
    <n v="0"/>
    <n v="0"/>
    <n v="6"/>
    <n v="61"/>
    <n v="0"/>
    <n v="72.150000000000006"/>
    <n v="278.67"/>
    <m/>
    <n v="117.70169496208672"/>
    <n v="295.87360985530717"/>
    <n v="0"/>
    <n v="7107.8024160000004"/>
    <n v="27452.963260800003"/>
    <n v="0"/>
    <n v="11595.293025901801"/>
    <n v="29147.763810952096"/>
  </r>
  <r>
    <s v="Regular"/>
    <x v="2"/>
    <x v="2"/>
    <x v="6"/>
    <x v="0"/>
    <x v="0"/>
    <x v="0"/>
    <x v="0"/>
    <x v="10"/>
    <n v="0"/>
    <n v="0"/>
    <n v="160.94"/>
    <n v="154.50239999999999"/>
    <n v="160.94"/>
    <n v="154.50239999999999"/>
    <n v="0"/>
    <x v="2"/>
    <n v="0"/>
    <n v="0"/>
    <n v="6"/>
    <n v="61"/>
    <n v="0"/>
    <n v="72.150000000000006"/>
    <n v="278.67"/>
    <m/>
    <n v="117.70169496208672"/>
    <n v="295.87360985530717"/>
    <n v="0"/>
    <n v="11147.348160000001"/>
    <n v="43055.183808000002"/>
    <n v="0"/>
    <n v="18185.194355710308"/>
    <n v="45713.182819308611"/>
  </r>
  <r>
    <s v="PROJETADO"/>
    <x v="2"/>
    <x v="2"/>
    <x v="6"/>
    <x v="0"/>
    <x v="0"/>
    <x v="0"/>
    <x v="0"/>
    <x v="11"/>
    <n v="0"/>
    <n v="0"/>
    <n v="160.94"/>
    <n v="154.50239999999999"/>
    <n v="160.94"/>
    <n v="154.50239999999999"/>
    <n v="0"/>
    <x v="2"/>
    <n v="0"/>
    <n v="0"/>
    <n v="6"/>
    <n v="61"/>
    <n v="0"/>
    <n v="72.150000000000006"/>
    <n v="278.67"/>
    <m/>
    <n v="117.70169496208672"/>
    <n v="295.87360985530717"/>
    <n v="0"/>
    <n v="11147.348160000001"/>
    <n v="43055.183808000002"/>
    <n v="0"/>
    <n v="18185.194355710308"/>
    <n v="45713.182819308611"/>
  </r>
  <r>
    <s v="Regular"/>
    <x v="2"/>
    <x v="2"/>
    <x v="6"/>
    <x v="0"/>
    <x v="0"/>
    <x v="0"/>
    <x v="1"/>
    <x v="0"/>
    <n v="517"/>
    <n v="496.32"/>
    <n v="0"/>
    <n v="0"/>
    <n v="0"/>
    <n v="0"/>
    <n v="5"/>
    <x v="2"/>
    <n v="0"/>
    <n v="20"/>
    <n v="0"/>
    <n v="0"/>
    <n v="14"/>
    <n v="0"/>
    <n v="0"/>
    <n v="15.925787521209683"/>
    <m/>
    <m/>
    <n v="6948.48"/>
    <n v="0"/>
    <n v="0"/>
    <n v="7904.2868625267902"/>
    <n v="0"/>
    <n v="0"/>
  </r>
  <r>
    <s v="Regular"/>
    <x v="2"/>
    <x v="2"/>
    <x v="6"/>
    <x v="0"/>
    <x v="0"/>
    <x v="0"/>
    <x v="1"/>
    <x v="1"/>
    <n v="376"/>
    <n v="360.96"/>
    <n v="0"/>
    <n v="0"/>
    <n v="0"/>
    <n v="0"/>
    <n v="5"/>
    <x v="2"/>
    <n v="0"/>
    <n v="20"/>
    <n v="0"/>
    <n v="0"/>
    <n v="14"/>
    <n v="0"/>
    <n v="0"/>
    <n v="15.925787521209683"/>
    <m/>
    <m/>
    <n v="5053.4399999999996"/>
    <n v="0"/>
    <n v="0"/>
    <n v="5748.5722636558467"/>
    <n v="0"/>
    <n v="0"/>
  </r>
  <r>
    <s v="Regular"/>
    <x v="2"/>
    <x v="2"/>
    <x v="6"/>
    <x v="0"/>
    <x v="0"/>
    <x v="0"/>
    <x v="1"/>
    <x v="2"/>
    <n v="401"/>
    <n v="384.96"/>
    <n v="0"/>
    <n v="0"/>
    <n v="0"/>
    <n v="0"/>
    <n v="5"/>
    <x v="2"/>
    <n v="0"/>
    <n v="20"/>
    <n v="0"/>
    <n v="0"/>
    <n v="14"/>
    <n v="0"/>
    <n v="0"/>
    <n v="15.925787521209683"/>
    <m/>
    <m/>
    <n v="5389.44"/>
    <n v="0"/>
    <n v="0"/>
    <n v="6130.7911641648789"/>
    <n v="0"/>
    <n v="0"/>
  </r>
  <r>
    <s v="Regular"/>
    <x v="2"/>
    <x v="2"/>
    <x v="6"/>
    <x v="0"/>
    <x v="0"/>
    <x v="0"/>
    <x v="1"/>
    <x v="3"/>
    <n v="395"/>
    <n v="379.2"/>
    <n v="0"/>
    <n v="0"/>
    <n v="0"/>
    <n v="0"/>
    <n v="5"/>
    <x v="2"/>
    <n v="0"/>
    <n v="20"/>
    <n v="0"/>
    <n v="0"/>
    <n v="14"/>
    <n v="0"/>
    <n v="0"/>
    <n v="15.925787521209683"/>
    <m/>
    <m/>
    <n v="5308.8"/>
    <n v="0"/>
    <n v="0"/>
    <n v="6039.0586280427115"/>
    <n v="0"/>
    <n v="0"/>
  </r>
  <r>
    <s v="Regular"/>
    <x v="2"/>
    <x v="2"/>
    <x v="6"/>
    <x v="0"/>
    <x v="0"/>
    <x v="0"/>
    <x v="1"/>
    <x v="4"/>
    <n v="365"/>
    <n v="350.4"/>
    <n v="0"/>
    <n v="0"/>
    <n v="0"/>
    <n v="0"/>
    <n v="5"/>
    <x v="2"/>
    <n v="0"/>
    <n v="20"/>
    <n v="0"/>
    <n v="0"/>
    <n v="14"/>
    <n v="0"/>
    <n v="0"/>
    <n v="15.925787521209683"/>
    <m/>
    <m/>
    <n v="4905.5999999999995"/>
    <n v="0"/>
    <n v="0"/>
    <n v="5580.3959474318726"/>
    <n v="0"/>
    <n v="0"/>
  </r>
  <r>
    <s v="Regular"/>
    <x v="2"/>
    <x v="2"/>
    <x v="6"/>
    <x v="0"/>
    <x v="0"/>
    <x v="0"/>
    <x v="1"/>
    <x v="5"/>
    <n v="422"/>
    <n v="405.12"/>
    <n v="0"/>
    <n v="0"/>
    <n v="0"/>
    <n v="0"/>
    <n v="5"/>
    <x v="2"/>
    <n v="0"/>
    <n v="20"/>
    <n v="0"/>
    <n v="0"/>
    <n v="14"/>
    <n v="0"/>
    <n v="0"/>
    <n v="15.925787521209683"/>
    <m/>
    <m/>
    <n v="5671.68"/>
    <n v="0"/>
    <n v="0"/>
    <n v="6451.855040592467"/>
    <n v="0"/>
    <n v="0"/>
  </r>
  <r>
    <s v="Regular"/>
    <x v="2"/>
    <x v="2"/>
    <x v="6"/>
    <x v="0"/>
    <x v="0"/>
    <x v="0"/>
    <x v="1"/>
    <x v="6"/>
    <n v="403"/>
    <n v="386.88"/>
    <n v="0"/>
    <n v="0"/>
    <n v="0"/>
    <n v="0"/>
    <n v="5"/>
    <x v="2"/>
    <n v="0"/>
    <n v="20"/>
    <n v="0"/>
    <n v="0"/>
    <n v="14"/>
    <n v="0"/>
    <n v="0"/>
    <n v="15.925787521209683"/>
    <m/>
    <m/>
    <n v="5416.32"/>
    <n v="0"/>
    <n v="0"/>
    <n v="6161.3686762056022"/>
    <n v="0"/>
    <n v="0"/>
  </r>
  <r>
    <s v="Regular"/>
    <x v="2"/>
    <x v="2"/>
    <x v="6"/>
    <x v="0"/>
    <x v="0"/>
    <x v="0"/>
    <x v="1"/>
    <x v="7"/>
    <n v="365"/>
    <n v="350.4"/>
    <n v="0"/>
    <n v="0"/>
    <n v="0"/>
    <n v="0"/>
    <n v="5"/>
    <x v="2"/>
    <n v="0"/>
    <n v="20"/>
    <n v="0"/>
    <n v="0"/>
    <n v="14"/>
    <n v="0"/>
    <n v="0"/>
    <n v="15.925787521209683"/>
    <m/>
    <m/>
    <n v="4905.5999999999995"/>
    <n v="0"/>
    <n v="0"/>
    <n v="5580.3959474318726"/>
    <n v="0"/>
    <n v="0"/>
  </r>
  <r>
    <s v="Regular"/>
    <x v="2"/>
    <x v="2"/>
    <x v="6"/>
    <x v="0"/>
    <x v="0"/>
    <x v="0"/>
    <x v="1"/>
    <x v="8"/>
    <n v="416"/>
    <n v="399.36"/>
    <n v="0"/>
    <n v="0"/>
    <n v="0"/>
    <n v="0"/>
    <n v="4"/>
    <x v="2"/>
    <n v="0"/>
    <n v="20"/>
    <n v="0"/>
    <n v="0"/>
    <n v="14"/>
    <n v="0"/>
    <n v="0"/>
    <n v="15.925787521209683"/>
    <m/>
    <m/>
    <n v="5591.04"/>
    <n v="0"/>
    <n v="0"/>
    <n v="6360.1225044702996"/>
    <n v="0"/>
    <n v="0"/>
  </r>
  <r>
    <s v="Regular"/>
    <x v="2"/>
    <x v="2"/>
    <x v="6"/>
    <x v="0"/>
    <x v="0"/>
    <x v="0"/>
    <x v="1"/>
    <x v="9"/>
    <n v="366"/>
    <n v="351.36"/>
    <n v="0"/>
    <n v="0"/>
    <n v="0"/>
    <n v="0"/>
    <n v="5"/>
    <x v="2"/>
    <n v="0"/>
    <n v="20"/>
    <n v="0"/>
    <n v="0"/>
    <n v="14"/>
    <n v="0"/>
    <n v="0"/>
    <n v="15.925787521209683"/>
    <m/>
    <m/>
    <n v="4919.04"/>
    <n v="0"/>
    <n v="0"/>
    <n v="5595.6847034522343"/>
    <n v="0"/>
    <n v="0"/>
  </r>
  <r>
    <s v="Regular"/>
    <x v="2"/>
    <x v="2"/>
    <x v="6"/>
    <x v="0"/>
    <x v="0"/>
    <x v="0"/>
    <x v="1"/>
    <x v="10"/>
    <n v="838"/>
    <n v="804.48"/>
    <n v="0"/>
    <n v="0"/>
    <n v="0"/>
    <n v="0"/>
    <n v="6"/>
    <x v="2"/>
    <n v="0"/>
    <n v="20"/>
    <n v="0"/>
    <n v="0"/>
    <n v="14"/>
    <n v="0"/>
    <n v="0"/>
    <n v="15.925787521209683"/>
    <m/>
    <m/>
    <n v="11262.720000000001"/>
    <n v="0"/>
    <n v="0"/>
    <n v="12811.977545062766"/>
    <n v="0"/>
    <n v="0"/>
  </r>
  <r>
    <s v="PROJETADO"/>
    <x v="2"/>
    <x v="2"/>
    <x v="6"/>
    <x v="0"/>
    <x v="0"/>
    <x v="0"/>
    <x v="1"/>
    <x v="11"/>
    <n v="838"/>
    <n v="804.48"/>
    <n v="0"/>
    <n v="0"/>
    <n v="0"/>
    <n v="0"/>
    <n v="6"/>
    <x v="2"/>
    <n v="0"/>
    <n v="20"/>
    <n v="0"/>
    <n v="0"/>
    <n v="14"/>
    <n v="0"/>
    <n v="0"/>
    <n v="15.925787521209683"/>
    <m/>
    <m/>
    <n v="11262.720000000001"/>
    <n v="0"/>
    <n v="0"/>
    <n v="12811.977545062766"/>
    <n v="0"/>
    <n v="0"/>
  </r>
  <r>
    <s v="Regular"/>
    <x v="2"/>
    <x v="2"/>
    <x v="6"/>
    <x v="0"/>
    <x v="0"/>
    <x v="0"/>
    <x v="2"/>
    <x v="0"/>
    <n v="0"/>
    <n v="0"/>
    <n v="9.2420000000000009"/>
    <n v="8.8723200000000002"/>
    <n v="9.2420000000000009"/>
    <n v="8.8723200000000002"/>
    <n v="0"/>
    <x v="2"/>
    <n v="0"/>
    <n v="0"/>
    <n v="8"/>
    <n v="38"/>
    <n v="0"/>
    <n v="940.43"/>
    <n v="442.86"/>
    <m/>
    <n v="1108.3660770518723"/>
    <n v="476.88775168498375"/>
    <n v="0"/>
    <n v="8343.7958975999991"/>
    <n v="3929.1956352000002"/>
    <n v="0"/>
    <n v="9833.7785127488678"/>
    <n v="4231.1007370297148"/>
  </r>
  <r>
    <s v="Regular"/>
    <x v="2"/>
    <x v="2"/>
    <x v="6"/>
    <x v="0"/>
    <x v="0"/>
    <x v="0"/>
    <x v="2"/>
    <x v="1"/>
    <n v="0"/>
    <n v="0"/>
    <n v="9.8689999999999998"/>
    <n v="9.47424"/>
    <n v="9.8689999999999998"/>
    <n v="9.47424"/>
    <n v="0"/>
    <x v="2"/>
    <n v="0"/>
    <n v="0"/>
    <n v="8"/>
    <n v="38"/>
    <n v="0"/>
    <n v="940.43"/>
    <n v="442.86"/>
    <m/>
    <n v="1108.3660770518723"/>
    <n v="476.88775168498375"/>
    <n v="0"/>
    <n v="8909.8595231999989"/>
    <n v="4195.7619264000004"/>
    <n v="0"/>
    <n v="10500.926221847931"/>
    <n v="4518.1490125239407"/>
  </r>
  <r>
    <s v="Regular"/>
    <x v="2"/>
    <x v="2"/>
    <x v="6"/>
    <x v="0"/>
    <x v="0"/>
    <x v="0"/>
    <x v="2"/>
    <x v="2"/>
    <n v="0"/>
    <n v="0"/>
    <n v="11.326000000000001"/>
    <n v="10.872960000000001"/>
    <n v="11.326000000000001"/>
    <n v="10.872960000000001"/>
    <n v="0"/>
    <x v="2"/>
    <n v="0"/>
    <n v="0"/>
    <n v="8"/>
    <n v="38"/>
    <n v="0"/>
    <n v="940.43"/>
    <n v="442.86"/>
    <m/>
    <n v="1108.3660770518723"/>
    <n v="476.88775168498375"/>
    <n v="0"/>
    <n v="10225.2577728"/>
    <n v="4815.1990656000007"/>
    <n v="0"/>
    <n v="12051.220021141926"/>
    <n v="5185.1814485607611"/>
  </r>
  <r>
    <s v="Regular"/>
    <x v="2"/>
    <x v="2"/>
    <x v="6"/>
    <x v="0"/>
    <x v="0"/>
    <x v="0"/>
    <x v="2"/>
    <x v="3"/>
    <n v="0"/>
    <n v="0"/>
    <n v="10.323"/>
    <n v="9.9100800000000007"/>
    <n v="10.323"/>
    <n v="9.9100800000000007"/>
    <n v="0"/>
    <x v="2"/>
    <n v="0"/>
    <n v="0"/>
    <n v="8"/>
    <n v="38"/>
    <n v="0"/>
    <n v="940.43"/>
    <n v="442.86"/>
    <m/>
    <n v="1108.3660770518723"/>
    <n v="476.88775168498375"/>
    <n v="0"/>
    <n v="9319.7365344000009"/>
    <n v="4388.7780288000004"/>
    <n v="0"/>
    <n v="10983.996492870219"/>
    <n v="4725.9957702183237"/>
  </r>
  <r>
    <s v="Regular"/>
    <x v="2"/>
    <x v="2"/>
    <x v="6"/>
    <x v="0"/>
    <x v="0"/>
    <x v="0"/>
    <x v="2"/>
    <x v="4"/>
    <n v="0"/>
    <n v="0"/>
    <n v="9.7509999999999994"/>
    <n v="9.3609600000000004"/>
    <n v="9.7509999999999994"/>
    <n v="9.3609600000000004"/>
    <n v="0"/>
    <x v="2"/>
    <n v="0"/>
    <n v="0"/>
    <n v="8"/>
    <n v="38"/>
    <n v="0"/>
    <n v="940.43"/>
    <n v="442.86"/>
    <m/>
    <n v="1108.3660770518723"/>
    <n v="476.88775168498375"/>
    <n v="0"/>
    <n v="8803.3276127999998"/>
    <n v="4145.5947456000004"/>
    <n v="0"/>
    <n v="10375.370512639494"/>
    <n v="4464.1271680130658"/>
  </r>
  <r>
    <s v="Regular"/>
    <x v="2"/>
    <x v="2"/>
    <x v="6"/>
    <x v="0"/>
    <x v="0"/>
    <x v="0"/>
    <x v="2"/>
    <x v="5"/>
    <n v="0"/>
    <n v="0"/>
    <n v="10.827999999999999"/>
    <n v="10.394880000000001"/>
    <n v="10.827999999999999"/>
    <n v="10.394880000000001"/>
    <n v="0"/>
    <x v="2"/>
    <n v="0"/>
    <n v="0"/>
    <n v="8"/>
    <n v="38"/>
    <n v="0"/>
    <n v="940.43"/>
    <n v="442.86"/>
    <m/>
    <n v="1108.3660770518723"/>
    <n v="476.88775168498375"/>
    <n v="0"/>
    <n v="9775.6569983999998"/>
    <n v="4603.4765568000003"/>
    <n v="0"/>
    <n v="11521.332367024967"/>
    <n v="4957.1909522352043"/>
  </r>
  <r>
    <s v="Regular"/>
    <x v="2"/>
    <x v="2"/>
    <x v="6"/>
    <x v="0"/>
    <x v="0"/>
    <x v="0"/>
    <x v="2"/>
    <x v="6"/>
    <n v="0"/>
    <n v="0"/>
    <n v="9.1790000000000003"/>
    <n v="8.8118400000000001"/>
    <n v="9.1790000000000003"/>
    <n v="8.8118400000000001"/>
    <n v="0"/>
    <x v="2"/>
    <n v="0"/>
    <n v="0"/>
    <n v="8"/>
    <n v="38"/>
    <n v="0"/>
    <n v="940.43"/>
    <n v="442.86"/>
    <m/>
    <n v="1108.3660770518723"/>
    <n v="476.88775168498375"/>
    <n v="0"/>
    <n v="8286.9186912000005"/>
    <n v="3902.4114624000003"/>
    <n v="0"/>
    <n v="9766.7445324087694"/>
    <n v="4202.2585658078069"/>
  </r>
  <r>
    <s v="Regular"/>
    <x v="2"/>
    <x v="2"/>
    <x v="6"/>
    <x v="0"/>
    <x v="0"/>
    <x v="0"/>
    <x v="2"/>
    <x v="7"/>
    <n v="0"/>
    <n v="0"/>
    <n v="10.166"/>
    <n v="9.7593599999999991"/>
    <n v="10.166"/>
    <n v="9.7593599999999991"/>
    <n v="0"/>
    <x v="2"/>
    <n v="0"/>
    <n v="0"/>
    <n v="8"/>
    <n v="38"/>
    <n v="0"/>
    <n v="940.43"/>
    <n v="442.86"/>
    <m/>
    <n v="1108.3660770518723"/>
    <n v="476.88775168498375"/>
    <n v="0"/>
    <n v="9177.9949247999994"/>
    <n v="4322.0301695999997"/>
    <n v="0"/>
    <n v="10816.943557736959"/>
    <n v="4654.1192482843626"/>
  </r>
  <r>
    <s v="Regular"/>
    <x v="2"/>
    <x v="2"/>
    <x v="6"/>
    <x v="0"/>
    <x v="0"/>
    <x v="0"/>
    <x v="2"/>
    <x v="8"/>
    <n v="0"/>
    <n v="0"/>
    <n v="11.698"/>
    <n v="11.230079999999999"/>
    <n v="11.698"/>
    <n v="11.230079999999999"/>
    <n v="0"/>
    <x v="2"/>
    <n v="0"/>
    <n v="0"/>
    <n v="8"/>
    <n v="38"/>
    <n v="0"/>
    <n v="940.43"/>
    <n v="442.86"/>
    <m/>
    <n v="1108.3660770518723"/>
    <n v="476.88775168498375"/>
    <n v="0"/>
    <n v="10561.104134399999"/>
    <n v="4973.3532287999997"/>
    <n v="0"/>
    <n v="12447.039714578688"/>
    <n v="5355.4876024425021"/>
  </r>
  <r>
    <s v="Regular"/>
    <x v="2"/>
    <x v="2"/>
    <x v="6"/>
    <x v="0"/>
    <x v="0"/>
    <x v="0"/>
    <x v="2"/>
    <x v="9"/>
    <n v="0"/>
    <n v="0"/>
    <n v="11.590999999999999"/>
    <n v="11.127359999999999"/>
    <n v="11.590999999999999"/>
    <n v="11.127359999999999"/>
    <n v="0"/>
    <x v="2"/>
    <n v="0"/>
    <n v="0"/>
    <n v="8"/>
    <n v="38"/>
    <n v="0"/>
    <n v="940.43"/>
    <n v="442.86"/>
    <m/>
    <n v="1108.3660770518723"/>
    <n v="476.88775168498375"/>
    <n v="0"/>
    <n v="10464.503164799999"/>
    <n v="4927.8626495999997"/>
    <n v="0"/>
    <n v="12333.188351143921"/>
    <n v="5306.5016925894206"/>
  </r>
  <r>
    <s v="Regular"/>
    <x v="2"/>
    <x v="2"/>
    <x v="6"/>
    <x v="0"/>
    <x v="0"/>
    <x v="0"/>
    <x v="2"/>
    <x v="10"/>
    <n v="0"/>
    <n v="0"/>
    <n v="13.89"/>
    <n v="13.3344"/>
    <n v="13.89"/>
    <n v="13.3344"/>
    <n v="0"/>
    <x v="2"/>
    <n v="0"/>
    <n v="0"/>
    <n v="8"/>
    <n v="38"/>
    <n v="0"/>
    <n v="940.43"/>
    <n v="442.86"/>
    <m/>
    <n v="1108.3660770518723"/>
    <n v="476.88775168498375"/>
    <n v="0"/>
    <n v="12540.069792"/>
    <n v="5905.2723840000008"/>
    <n v="0"/>
    <n v="14779.396617840486"/>
    <n v="6359.0120360682477"/>
  </r>
  <r>
    <s v="PROJETADO"/>
    <x v="2"/>
    <x v="2"/>
    <x v="6"/>
    <x v="0"/>
    <x v="0"/>
    <x v="0"/>
    <x v="2"/>
    <x v="11"/>
    <n v="0"/>
    <n v="0"/>
    <n v="13.89"/>
    <n v="13.3344"/>
    <n v="13.89"/>
    <n v="13.3344"/>
    <n v="0"/>
    <x v="2"/>
    <n v="0"/>
    <n v="0"/>
    <n v="8"/>
    <n v="38"/>
    <n v="0"/>
    <n v="940.43"/>
    <n v="442.86"/>
    <m/>
    <n v="1108.3660770518723"/>
    <n v="476.88775168498375"/>
    <n v="0"/>
    <n v="12540.069792"/>
    <n v="5905.2723840000008"/>
    <n v="0"/>
    <n v="14779.396617840486"/>
    <n v="6359.0120360682477"/>
  </r>
  <r>
    <s v="Regular"/>
    <x v="2"/>
    <x v="2"/>
    <x v="3"/>
    <x v="1"/>
    <x v="0"/>
    <x v="0"/>
    <x v="0"/>
    <x v="0"/>
    <n v="0"/>
    <n v="0"/>
    <n v="938.82899999999995"/>
    <n v="882.49925999999994"/>
    <n v="938.82899999999995"/>
    <n v="882.49925999999994"/>
    <n v="0"/>
    <x v="2"/>
    <n v="0"/>
    <n v="0"/>
    <n v="6"/>
    <n v="61"/>
    <n v="0"/>
    <n v="72.150000000000006"/>
    <n v="278.67"/>
    <m/>
    <n v="117.70169496208672"/>
    <n v="295.87360985530717"/>
    <n v="0"/>
    <n v="63672.321608999999"/>
    <n v="245926.0687842"/>
    <n v="0"/>
    <n v="103871.65870478725"/>
    <n v="261108.24175083727"/>
  </r>
  <r>
    <s v="Regular"/>
    <x v="2"/>
    <x v="2"/>
    <x v="3"/>
    <x v="1"/>
    <x v="0"/>
    <x v="0"/>
    <x v="0"/>
    <x v="1"/>
    <n v="0"/>
    <n v="0"/>
    <n v="892.47500000000002"/>
    <n v="838.92649999999992"/>
    <n v="892.47500000000002"/>
    <n v="838.92649999999992"/>
    <n v="0"/>
    <x v="2"/>
    <n v="0"/>
    <n v="0"/>
    <n v="6"/>
    <n v="61"/>
    <n v="0"/>
    <n v="72.150000000000006"/>
    <n v="278.67"/>
    <m/>
    <n v="117.70169496208672"/>
    <n v="295.87360985530717"/>
    <n v="0"/>
    <n v="60528.546974999997"/>
    <n v="233783.64775499998"/>
    <n v="0"/>
    <n v="98743.070998611031"/>
    <n v="248216.21195827832"/>
  </r>
  <r>
    <s v="Regular"/>
    <x v="2"/>
    <x v="2"/>
    <x v="3"/>
    <x v="1"/>
    <x v="0"/>
    <x v="0"/>
    <x v="0"/>
    <x v="2"/>
    <n v="0"/>
    <n v="0"/>
    <n v="895.87800000000004"/>
    <n v="842.12531999999999"/>
    <n v="895.87800000000004"/>
    <n v="842.12531999999999"/>
    <n v="0"/>
    <x v="2"/>
    <n v="0"/>
    <n v="0"/>
    <n v="6"/>
    <n v="61"/>
    <n v="0"/>
    <n v="72.150000000000006"/>
    <n v="278.67"/>
    <m/>
    <n v="117.70169496208672"/>
    <n v="295.87360985530717"/>
    <n v="0"/>
    <n v="60759.341838"/>
    <n v="234675.0629244"/>
    <n v="0"/>
    <n v="99119.577534489668"/>
    <n v="249162.6583789557"/>
  </r>
  <r>
    <s v="Regular"/>
    <x v="2"/>
    <x v="2"/>
    <x v="3"/>
    <x v="1"/>
    <x v="0"/>
    <x v="0"/>
    <x v="0"/>
    <x v="3"/>
    <n v="0"/>
    <n v="0"/>
    <n v="890.16"/>
    <n v="836.75040000000001"/>
    <n v="890.16"/>
    <n v="836.75040000000001"/>
    <n v="0"/>
    <x v="2"/>
    <n v="0"/>
    <n v="0"/>
    <n v="6"/>
    <n v="61"/>
    <n v="0"/>
    <n v="72.150000000000006"/>
    <n v="278.67"/>
    <m/>
    <n v="117.70169496208672"/>
    <n v="295.87360985530717"/>
    <n v="0"/>
    <n v="60371.541360000003"/>
    <n v="233177.23396800002"/>
    <n v="0"/>
    <n v="98486.940340204048"/>
    <n v="247572.36139587223"/>
  </r>
  <r>
    <s v="Regular"/>
    <x v="2"/>
    <x v="2"/>
    <x v="3"/>
    <x v="1"/>
    <x v="0"/>
    <x v="0"/>
    <x v="0"/>
    <x v="4"/>
    <n v="0"/>
    <n v="0"/>
    <n v="841.64800000000002"/>
    <n v="791.14912000000004"/>
    <n v="841.64800000000002"/>
    <n v="791.14912000000004"/>
    <n v="0"/>
    <x v="2"/>
    <n v="0"/>
    <n v="0"/>
    <n v="6"/>
    <n v="61"/>
    <n v="0"/>
    <n v="72.150000000000006"/>
    <n v="278.67"/>
    <m/>
    <n v="117.70169496208672"/>
    <n v="295.87360985530717"/>
    <n v="0"/>
    <n v="57081.40900800001"/>
    <n v="220469.52527040002"/>
    <n v="0"/>
    <n v="93119.592391763348"/>
    <n v="234080.1460682496"/>
  </r>
  <r>
    <s v="Regular"/>
    <x v="2"/>
    <x v="2"/>
    <x v="3"/>
    <x v="1"/>
    <x v="0"/>
    <x v="0"/>
    <x v="0"/>
    <x v="5"/>
    <n v="0"/>
    <n v="0"/>
    <n v="936.846"/>
    <n v="880.63523999999995"/>
    <n v="936.846"/>
    <n v="880.63523999999995"/>
    <n v="0"/>
    <x v="2"/>
    <n v="0"/>
    <n v="0"/>
    <n v="6"/>
    <n v="61"/>
    <n v="0"/>
    <n v="72.150000000000006"/>
    <n v="278.67"/>
    <m/>
    <n v="117.70169496208672"/>
    <n v="295.87360985530717"/>
    <n v="0"/>
    <n v="63537.832566000005"/>
    <n v="245406.62233079999"/>
    <n v="0"/>
    <n v="103652.26039134403"/>
    <n v="260556.72742459478"/>
  </r>
  <r>
    <s v="Regular"/>
    <x v="2"/>
    <x v="2"/>
    <x v="3"/>
    <x v="1"/>
    <x v="0"/>
    <x v="0"/>
    <x v="0"/>
    <x v="6"/>
    <n v="0"/>
    <n v="0"/>
    <n v="896.63499999999999"/>
    <n v="842.83690000000001"/>
    <n v="896.63499999999999"/>
    <n v="842.83690000000001"/>
    <n v="0"/>
    <x v="2"/>
    <n v="0"/>
    <n v="0"/>
    <n v="6"/>
    <n v="61"/>
    <n v="0"/>
    <n v="72.150000000000006"/>
    <n v="278.67"/>
    <m/>
    <n v="117.70169496208672"/>
    <n v="295.87360985530717"/>
    <n v="0"/>
    <n v="60810.682335000005"/>
    <n v="234873.35892300002"/>
    <n v="0"/>
    <n v="99203.33170659079"/>
    <n v="249373.19612225654"/>
  </r>
  <r>
    <s v="Regular"/>
    <x v="2"/>
    <x v="2"/>
    <x v="3"/>
    <x v="1"/>
    <x v="0"/>
    <x v="0"/>
    <x v="0"/>
    <x v="7"/>
    <n v="0"/>
    <n v="0"/>
    <n v="902.27800000000002"/>
    <n v="848.14131999999995"/>
    <n v="902.27800000000002"/>
    <n v="848.14131999999995"/>
    <n v="0"/>
    <x v="2"/>
    <n v="0"/>
    <n v="0"/>
    <n v="6"/>
    <n v="61"/>
    <n v="0"/>
    <n v="72.150000000000006"/>
    <n v="278.67"/>
    <m/>
    <n v="117.70169496208672"/>
    <n v="295.87360985530717"/>
    <n v="0"/>
    <n v="61193.396238000001"/>
    <n v="236351.54164439999"/>
    <n v="0"/>
    <n v="99827.670931381581"/>
    <n v="250942.63401584522"/>
  </r>
  <r>
    <s v="Regular"/>
    <x v="2"/>
    <x v="2"/>
    <x v="3"/>
    <x v="1"/>
    <x v="0"/>
    <x v="0"/>
    <x v="0"/>
    <x v="8"/>
    <n v="0"/>
    <n v="0"/>
    <n v="879.01599999999996"/>
    <n v="826.27503999999999"/>
    <n v="879.01599999999996"/>
    <n v="826.27503999999999"/>
    <n v="0"/>
    <x v="2"/>
    <n v="0"/>
    <n v="0"/>
    <n v="6"/>
    <n v="61"/>
    <n v="0"/>
    <n v="72.150000000000006"/>
    <n v="278.67"/>
    <m/>
    <n v="117.70169496208672"/>
    <n v="295.87360985530717"/>
    <n v="0"/>
    <n v="59615.744136000001"/>
    <n v="230258.0653968"/>
    <n v="0"/>
    <n v="97253.972712866002"/>
    <n v="244472.97881813833"/>
  </r>
  <r>
    <s v="Regular"/>
    <x v="2"/>
    <x v="2"/>
    <x v="3"/>
    <x v="1"/>
    <x v="0"/>
    <x v="0"/>
    <x v="0"/>
    <x v="9"/>
    <n v="0"/>
    <n v="0"/>
    <n v="926.07299999999998"/>
    <n v="870.50861999999995"/>
    <n v="926.07299999999998"/>
    <n v="870.50861999999995"/>
    <n v="0"/>
    <x v="2"/>
    <n v="0"/>
    <n v="0"/>
    <n v="6"/>
    <n v="61"/>
    <n v="0"/>
    <n v="72.150000000000006"/>
    <n v="278.67"/>
    <m/>
    <n v="117.70169496208672"/>
    <n v="295.87360985530717"/>
    <n v="0"/>
    <n v="62807.196932999999"/>
    <n v="242584.6371354"/>
    <n v="0"/>
    <n v="102460.34005310705"/>
    <n v="257560.52780956181"/>
  </r>
  <r>
    <s v="Regular"/>
    <x v="2"/>
    <x v="2"/>
    <x v="3"/>
    <x v="1"/>
    <x v="0"/>
    <x v="0"/>
    <x v="0"/>
    <x v="10"/>
    <n v="0"/>
    <n v="0"/>
    <n v="928.22900000000004"/>
    <n v="872.53525999999999"/>
    <n v="928.22900000000004"/>
    <n v="872.53525999999999"/>
    <n v="0"/>
    <x v="2"/>
    <n v="0"/>
    <n v="0"/>
    <n v="6"/>
    <n v="61"/>
    <n v="0"/>
    <n v="72.150000000000006"/>
    <n v="278.67"/>
    <m/>
    <n v="117.70169496208672"/>
    <n v="295.87360985530717"/>
    <n v="0"/>
    <n v="62953.419009000005"/>
    <n v="243149.40090420001"/>
    <n v="0"/>
    <n v="102698.87901618502"/>
    <n v="258160.157102239"/>
  </r>
  <r>
    <s v="PROJETADO"/>
    <x v="2"/>
    <x v="2"/>
    <x v="3"/>
    <x v="1"/>
    <x v="0"/>
    <x v="0"/>
    <x v="0"/>
    <x v="11"/>
    <n v="0"/>
    <n v="0"/>
    <n v="928.22900000000004"/>
    <n v="872.53525999999999"/>
    <n v="928.22900000000004"/>
    <n v="872.53525999999999"/>
    <n v="0"/>
    <x v="2"/>
    <n v="0"/>
    <n v="0"/>
    <n v="6"/>
    <n v="61"/>
    <n v="0"/>
    <n v="72.150000000000006"/>
    <n v="278.67"/>
    <m/>
    <n v="117.70169496208672"/>
    <n v="295.87360985530717"/>
    <n v="0"/>
    <n v="62953.419009000005"/>
    <n v="243149.40090420001"/>
    <n v="0"/>
    <n v="102698.87901618502"/>
    <n v="258160.157102239"/>
  </r>
  <r>
    <s v="Regular"/>
    <x v="2"/>
    <x v="2"/>
    <x v="3"/>
    <x v="1"/>
    <x v="0"/>
    <x v="0"/>
    <x v="1"/>
    <x v="0"/>
    <n v="2053"/>
    <n v="1745.05"/>
    <n v="0"/>
    <n v="0"/>
    <n v="0"/>
    <n v="0"/>
    <n v="15"/>
    <x v="2"/>
    <n v="0"/>
    <n v="20"/>
    <n v="0"/>
    <n v="0"/>
    <n v="14"/>
    <n v="0"/>
    <n v="0"/>
    <n v="15.925787521209683"/>
    <m/>
    <m/>
    <n v="24430.7"/>
    <n v="0"/>
    <n v="0"/>
    <n v="27791.295513886958"/>
    <n v="0"/>
    <n v="0"/>
  </r>
  <r>
    <s v="Regular"/>
    <x v="2"/>
    <x v="2"/>
    <x v="3"/>
    <x v="1"/>
    <x v="0"/>
    <x v="0"/>
    <x v="1"/>
    <x v="1"/>
    <n v="2047"/>
    <n v="1739.95"/>
    <n v="0"/>
    <n v="0"/>
    <n v="0"/>
    <n v="0"/>
    <n v="15"/>
    <x v="2"/>
    <n v="0"/>
    <n v="20"/>
    <n v="0"/>
    <n v="0"/>
    <n v="14"/>
    <n v="0"/>
    <n v="0"/>
    <n v="15.925787521209683"/>
    <m/>
    <m/>
    <n v="24359.3"/>
    <n v="0"/>
    <n v="0"/>
    <n v="27710.073997528791"/>
    <n v="0"/>
    <n v="0"/>
  </r>
  <r>
    <s v="Regular"/>
    <x v="2"/>
    <x v="2"/>
    <x v="3"/>
    <x v="1"/>
    <x v="0"/>
    <x v="0"/>
    <x v="1"/>
    <x v="2"/>
    <n v="2026"/>
    <n v="1722.1"/>
    <n v="0"/>
    <n v="0"/>
    <n v="0"/>
    <n v="0"/>
    <n v="14"/>
    <x v="2"/>
    <n v="0"/>
    <n v="20"/>
    <n v="0"/>
    <n v="0"/>
    <n v="14"/>
    <n v="0"/>
    <n v="0"/>
    <n v="15.925787521209683"/>
    <m/>
    <m/>
    <n v="24109.399999999998"/>
    <n v="0"/>
    <n v="0"/>
    <n v="27425.798690275195"/>
    <n v="0"/>
    <n v="0"/>
  </r>
  <r>
    <s v="Regular"/>
    <x v="2"/>
    <x v="2"/>
    <x v="3"/>
    <x v="1"/>
    <x v="0"/>
    <x v="0"/>
    <x v="1"/>
    <x v="3"/>
    <n v="2048"/>
    <n v="1740.8"/>
    <n v="0"/>
    <n v="0"/>
    <n v="0"/>
    <n v="0"/>
    <n v="14"/>
    <x v="2"/>
    <n v="0"/>
    <n v="20"/>
    <n v="0"/>
    <n v="0"/>
    <n v="14"/>
    <n v="0"/>
    <n v="0"/>
    <n v="15.925787521209683"/>
    <m/>
    <m/>
    <n v="24371.200000000001"/>
    <n v="0"/>
    <n v="0"/>
    <n v="27723.610916921814"/>
    <n v="0"/>
    <n v="0"/>
  </r>
  <r>
    <s v="Regular"/>
    <x v="2"/>
    <x v="2"/>
    <x v="3"/>
    <x v="1"/>
    <x v="0"/>
    <x v="0"/>
    <x v="1"/>
    <x v="4"/>
    <n v="2056"/>
    <n v="1747.6"/>
    <n v="0"/>
    <n v="0"/>
    <n v="0"/>
    <n v="0"/>
    <n v="14"/>
    <x v="2"/>
    <n v="0"/>
    <n v="20"/>
    <n v="0"/>
    <n v="0"/>
    <n v="14"/>
    <n v="0"/>
    <n v="0"/>
    <n v="15.925787521209683"/>
    <m/>
    <m/>
    <n v="24466.399999999998"/>
    <n v="0"/>
    <n v="0"/>
    <n v="27831.90627206604"/>
    <n v="0"/>
    <n v="0"/>
  </r>
  <r>
    <s v="Regular"/>
    <x v="2"/>
    <x v="2"/>
    <x v="3"/>
    <x v="1"/>
    <x v="0"/>
    <x v="0"/>
    <x v="1"/>
    <x v="5"/>
    <n v="2050"/>
    <n v="1742.5"/>
    <n v="0"/>
    <n v="0"/>
    <n v="0"/>
    <n v="0"/>
    <n v="14"/>
    <x v="2"/>
    <n v="0"/>
    <n v="20"/>
    <n v="0"/>
    <n v="0"/>
    <n v="14"/>
    <n v="0"/>
    <n v="0"/>
    <n v="15.925787521209683"/>
    <m/>
    <m/>
    <n v="24395"/>
    <n v="0"/>
    <n v="0"/>
    <n v="27750.684755707873"/>
    <n v="0"/>
    <n v="0"/>
  </r>
  <r>
    <s v="Regular"/>
    <x v="2"/>
    <x v="2"/>
    <x v="3"/>
    <x v="1"/>
    <x v="0"/>
    <x v="0"/>
    <x v="1"/>
    <x v="6"/>
    <n v="2072"/>
    <n v="1761.2"/>
    <n v="0"/>
    <n v="0"/>
    <n v="0"/>
    <n v="0"/>
    <n v="14"/>
    <x v="2"/>
    <n v="0"/>
    <n v="20"/>
    <n v="0"/>
    <n v="0"/>
    <n v="14"/>
    <n v="0"/>
    <n v="0"/>
    <n v="15.925787521209683"/>
    <m/>
    <m/>
    <n v="24656.799999999999"/>
    <n v="0"/>
    <n v="0"/>
    <n v="28048.496982354496"/>
    <n v="0"/>
    <n v="0"/>
  </r>
  <r>
    <s v="Regular"/>
    <x v="2"/>
    <x v="2"/>
    <x v="3"/>
    <x v="1"/>
    <x v="0"/>
    <x v="0"/>
    <x v="1"/>
    <x v="7"/>
    <n v="2061"/>
    <n v="1751.85"/>
    <n v="0"/>
    <n v="0"/>
    <n v="0"/>
    <n v="0"/>
    <n v="14"/>
    <x v="2"/>
    <n v="0"/>
    <n v="20"/>
    <n v="0"/>
    <n v="0"/>
    <n v="14"/>
    <n v="0"/>
    <n v="0"/>
    <n v="15.925787521209683"/>
    <m/>
    <m/>
    <n v="24525.899999999998"/>
    <n v="0"/>
    <n v="0"/>
    <n v="27899.590869031181"/>
    <n v="0"/>
    <n v="0"/>
  </r>
  <r>
    <s v="Regular"/>
    <x v="2"/>
    <x v="2"/>
    <x v="3"/>
    <x v="1"/>
    <x v="0"/>
    <x v="0"/>
    <x v="1"/>
    <x v="8"/>
    <n v="2081"/>
    <n v="1768.85"/>
    <n v="0"/>
    <n v="0"/>
    <n v="0"/>
    <n v="0"/>
    <n v="14"/>
    <x v="2"/>
    <n v="0"/>
    <n v="20"/>
    <n v="0"/>
    <n v="0"/>
    <n v="14"/>
    <n v="0"/>
    <n v="0"/>
    <n v="15.925787521209683"/>
    <m/>
    <m/>
    <n v="24763.899999999998"/>
    <n v="0"/>
    <n v="0"/>
    <n v="28170.329256891746"/>
    <n v="0"/>
    <n v="0"/>
  </r>
  <r>
    <s v="Regular"/>
    <x v="2"/>
    <x v="2"/>
    <x v="3"/>
    <x v="1"/>
    <x v="0"/>
    <x v="0"/>
    <x v="1"/>
    <x v="9"/>
    <n v="2090"/>
    <n v="1776.5"/>
    <n v="0"/>
    <n v="0"/>
    <n v="0"/>
    <n v="0"/>
    <n v="14"/>
    <x v="2"/>
    <n v="0"/>
    <n v="20"/>
    <n v="0"/>
    <n v="0"/>
    <n v="14"/>
    <n v="0"/>
    <n v="0"/>
    <n v="15.925787521209683"/>
    <m/>
    <m/>
    <n v="24871"/>
    <n v="0"/>
    <n v="0"/>
    <n v="28292.161531429003"/>
    <n v="0"/>
    <n v="0"/>
  </r>
  <r>
    <s v="Regular"/>
    <x v="2"/>
    <x v="2"/>
    <x v="3"/>
    <x v="1"/>
    <x v="0"/>
    <x v="0"/>
    <x v="1"/>
    <x v="10"/>
    <n v="2091"/>
    <n v="1777.35"/>
    <n v="0"/>
    <n v="0"/>
    <n v="0"/>
    <n v="0"/>
    <n v="14"/>
    <x v="2"/>
    <n v="0"/>
    <n v="20"/>
    <n v="0"/>
    <n v="0"/>
    <n v="14"/>
    <n v="0"/>
    <n v="0"/>
    <n v="15.925787521209683"/>
    <m/>
    <m/>
    <n v="24882.899999999998"/>
    <n v="0"/>
    <n v="0"/>
    <n v="28305.69845082203"/>
    <n v="0"/>
    <n v="0"/>
  </r>
  <r>
    <s v="PROJETADO"/>
    <x v="2"/>
    <x v="2"/>
    <x v="3"/>
    <x v="1"/>
    <x v="0"/>
    <x v="0"/>
    <x v="1"/>
    <x v="11"/>
    <n v="2091"/>
    <n v="1777.35"/>
    <n v="0"/>
    <n v="0"/>
    <n v="0"/>
    <n v="0"/>
    <n v="14"/>
    <x v="2"/>
    <n v="0"/>
    <n v="20"/>
    <n v="0"/>
    <n v="0"/>
    <n v="14"/>
    <n v="0"/>
    <n v="0"/>
    <n v="15.925787521209683"/>
    <m/>
    <m/>
    <n v="24882.899999999998"/>
    <n v="0"/>
    <n v="0"/>
    <n v="28305.69845082203"/>
    <n v="0"/>
    <n v="0"/>
  </r>
  <r>
    <s v="Regular"/>
    <x v="2"/>
    <x v="2"/>
    <x v="3"/>
    <x v="1"/>
    <x v="0"/>
    <x v="0"/>
    <x v="2"/>
    <x v="0"/>
    <n v="0"/>
    <n v="0"/>
    <n v="49.845999999999997"/>
    <n v="46.855239999999995"/>
    <n v="49.845999999999997"/>
    <n v="46.855239999999995"/>
    <n v="0"/>
    <x v="2"/>
    <n v="0"/>
    <n v="0"/>
    <n v="8"/>
    <n v="38"/>
    <n v="0"/>
    <n v="940.43"/>
    <n v="442.86"/>
    <m/>
    <n v="1108.3660770518723"/>
    <n v="476.88775168498375"/>
    <n v="0"/>
    <n v="44064.073353199994"/>
    <n v="20750.311586399999"/>
    <n v="0"/>
    <n v="51932.758548123958"/>
    <n v="22344.690058260316"/>
  </r>
  <r>
    <s v="Regular"/>
    <x v="2"/>
    <x v="2"/>
    <x v="3"/>
    <x v="1"/>
    <x v="0"/>
    <x v="0"/>
    <x v="2"/>
    <x v="1"/>
    <n v="0"/>
    <n v="0"/>
    <n v="41.014000000000003"/>
    <n v="38.553159999999998"/>
    <n v="41.014000000000003"/>
    <n v="38.553159999999998"/>
    <n v="0"/>
    <x v="2"/>
    <n v="0"/>
    <n v="0"/>
    <n v="8"/>
    <n v="38"/>
    <n v="0"/>
    <n v="940.43"/>
    <n v="442.86"/>
    <m/>
    <n v="1108.3660770518723"/>
    <n v="476.88775168498375"/>
    <n v="0"/>
    <n v="36256.548258799994"/>
    <n v="17073.652437600002"/>
    <n v="0"/>
    <n v="42731.014707153161"/>
    <n v="18385.529792751448"/>
  </r>
  <r>
    <s v="Regular"/>
    <x v="2"/>
    <x v="2"/>
    <x v="3"/>
    <x v="1"/>
    <x v="0"/>
    <x v="0"/>
    <x v="2"/>
    <x v="2"/>
    <n v="0"/>
    <n v="0"/>
    <n v="50.685000000000002"/>
    <n v="47.643900000000002"/>
    <n v="50.685000000000002"/>
    <n v="47.643900000000002"/>
    <n v="0"/>
    <x v="2"/>
    <n v="0"/>
    <n v="0"/>
    <n v="8"/>
    <n v="38"/>
    <n v="0"/>
    <n v="940.43"/>
    <n v="442.86"/>
    <m/>
    <n v="1108.3660770518723"/>
    <n v="476.88775168498375"/>
    <n v="0"/>
    <n v="44805.752876999999"/>
    <n v="21099.577554000003"/>
    <n v="0"/>
    <n v="52806.882538451697"/>
    <n v="22720.792352504199"/>
  </r>
  <r>
    <s v="Regular"/>
    <x v="2"/>
    <x v="2"/>
    <x v="3"/>
    <x v="1"/>
    <x v="0"/>
    <x v="0"/>
    <x v="2"/>
    <x v="3"/>
    <n v="0"/>
    <n v="0"/>
    <n v="43.015000000000001"/>
    <n v="40.434100000000001"/>
    <n v="43.015000000000001"/>
    <n v="40.434100000000001"/>
    <n v="0"/>
    <x v="2"/>
    <n v="0"/>
    <n v="0"/>
    <n v="8"/>
    <n v="38"/>
    <n v="0"/>
    <n v="940.43"/>
    <n v="442.86"/>
    <m/>
    <n v="1108.3660770518723"/>
    <n v="476.88775168498375"/>
    <n v="0"/>
    <n v="38025.440663000001"/>
    <n v="17906.645526"/>
    <n v="0"/>
    <n v="44815.784796123109"/>
    <n v="19282.527040405803"/>
  </r>
  <r>
    <s v="Regular"/>
    <x v="2"/>
    <x v="2"/>
    <x v="3"/>
    <x v="1"/>
    <x v="0"/>
    <x v="0"/>
    <x v="2"/>
    <x v="4"/>
    <n v="0"/>
    <n v="0"/>
    <n v="38.561"/>
    <n v="36.247340000000001"/>
    <n v="38.561"/>
    <n v="36.247340000000001"/>
    <n v="0"/>
    <x v="2"/>
    <n v="0"/>
    <n v="0"/>
    <n v="8"/>
    <n v="38"/>
    <n v="0"/>
    <n v="940.43"/>
    <n v="442.86"/>
    <m/>
    <n v="1108.3660770518723"/>
    <n v="476.88775168498375"/>
    <n v="0"/>
    <n v="34088.085956199997"/>
    <n v="16052.496992400002"/>
    <n v="0"/>
    <n v="40175.322039365412"/>
    <n v="17285.912477161179"/>
  </r>
  <r>
    <s v="Regular"/>
    <x v="2"/>
    <x v="2"/>
    <x v="3"/>
    <x v="1"/>
    <x v="0"/>
    <x v="0"/>
    <x v="2"/>
    <x v="5"/>
    <n v="0"/>
    <n v="0"/>
    <n v="44.167000000000002"/>
    <n v="41.516979999999997"/>
    <n v="44.167000000000002"/>
    <n v="41.516979999999997"/>
    <n v="0"/>
    <x v="2"/>
    <n v="0"/>
    <n v="0"/>
    <n v="8"/>
    <n v="38"/>
    <n v="0"/>
    <n v="940.43"/>
    <n v="442.86"/>
    <m/>
    <n v="1108.3660770518723"/>
    <n v="476.88775168498375"/>
    <n v="0"/>
    <n v="39043.813501399993"/>
    <n v="18386.209762799997"/>
    <n v="0"/>
    <n v="46016.012253641034"/>
    <n v="19798.939248950435"/>
  </r>
  <r>
    <s v="Regular"/>
    <x v="2"/>
    <x v="2"/>
    <x v="3"/>
    <x v="1"/>
    <x v="0"/>
    <x v="0"/>
    <x v="2"/>
    <x v="6"/>
    <n v="0"/>
    <n v="0"/>
    <n v="38.438000000000002"/>
    <n v="36.131720000000001"/>
    <n v="38.438000000000002"/>
    <n v="36.131720000000001"/>
    <n v="0"/>
    <x v="2"/>
    <n v="0"/>
    <n v="0"/>
    <n v="8"/>
    <n v="38"/>
    <n v="0"/>
    <n v="940.43"/>
    <n v="442.86"/>
    <m/>
    <n v="1108.3660770518723"/>
    <n v="476.88775168498375"/>
    <n v="0"/>
    <n v="33979.353439599996"/>
    <n v="16001.2935192"/>
    <n v="0"/>
    <n v="40047.172753536674"/>
    <n v="17230.774715311363"/>
  </r>
  <r>
    <s v="Regular"/>
    <x v="2"/>
    <x v="2"/>
    <x v="3"/>
    <x v="1"/>
    <x v="0"/>
    <x v="0"/>
    <x v="2"/>
    <x v="7"/>
    <n v="0"/>
    <n v="0"/>
    <n v="42.649000000000001"/>
    <n v="40.090060000000001"/>
    <n v="42.649000000000001"/>
    <n v="40.090060000000001"/>
    <n v="0"/>
    <x v="2"/>
    <n v="0"/>
    <n v="0"/>
    <n v="8"/>
    <n v="38"/>
    <n v="0"/>
    <n v="940.43"/>
    <n v="442.86"/>
    <m/>
    <n v="1108.3660770518723"/>
    <n v="476.88775168498375"/>
    <n v="0"/>
    <n v="37701.895125800002"/>
    <n v="17754.283971600002"/>
    <n v="0"/>
    <n v="44434.462530974182"/>
    <n v="19118.458578316102"/>
  </r>
  <r>
    <s v="Regular"/>
    <x v="2"/>
    <x v="2"/>
    <x v="3"/>
    <x v="1"/>
    <x v="0"/>
    <x v="0"/>
    <x v="2"/>
    <x v="8"/>
    <n v="0"/>
    <n v="0"/>
    <n v="38.14"/>
    <n v="35.851599999999998"/>
    <n v="38.14"/>
    <n v="35.851599999999998"/>
    <n v="0"/>
    <x v="2"/>
    <n v="0"/>
    <n v="0"/>
    <n v="8"/>
    <n v="38"/>
    <n v="0"/>
    <n v="940.43"/>
    <n v="442.86"/>
    <m/>
    <n v="1108.3660770518723"/>
    <n v="476.88775168498375"/>
    <n v="0"/>
    <n v="33715.920187999996"/>
    <n v="15877.239576"/>
    <n v="0"/>
    <n v="39736.697248032899"/>
    <n v="17097.188918309363"/>
  </r>
  <r>
    <s v="Regular"/>
    <x v="2"/>
    <x v="2"/>
    <x v="3"/>
    <x v="1"/>
    <x v="0"/>
    <x v="0"/>
    <x v="2"/>
    <x v="9"/>
    <n v="0"/>
    <n v="0"/>
    <n v="42.067"/>
    <n v="39.54298"/>
    <n v="42.067"/>
    <n v="39.54298"/>
    <n v="0"/>
    <x v="2"/>
    <n v="0"/>
    <n v="0"/>
    <n v="8"/>
    <n v="38"/>
    <n v="0"/>
    <n v="940.43"/>
    <n v="442.86"/>
    <m/>
    <n v="1108.3660770518723"/>
    <n v="476.88775168498375"/>
    <n v="0"/>
    <n v="37187.404681399996"/>
    <n v="17512.004122800001"/>
    <n v="0"/>
    <n v="43828.097617540647"/>
    <n v="18857.562827124279"/>
  </r>
  <r>
    <s v="Regular"/>
    <x v="2"/>
    <x v="2"/>
    <x v="3"/>
    <x v="1"/>
    <x v="0"/>
    <x v="0"/>
    <x v="2"/>
    <x v="10"/>
    <n v="0"/>
    <n v="0"/>
    <n v="40.218000000000004"/>
    <n v="37.804920000000003"/>
    <n v="40.218000000000004"/>
    <n v="37.804920000000003"/>
    <n v="0"/>
    <x v="2"/>
    <n v="0"/>
    <n v="0"/>
    <n v="8"/>
    <n v="38"/>
    <n v="0"/>
    <n v="940.43"/>
    <n v="442.86"/>
    <m/>
    <n v="1108.3660770518723"/>
    <n v="476.88775168498375"/>
    <n v="0"/>
    <n v="35552.880915599999"/>
    <n v="16742.286871200002"/>
    <n v="0"/>
    <n v="41901.690873659871"/>
    <n v="18028.703301430676"/>
  </r>
  <r>
    <s v="PROJETADO"/>
    <x v="2"/>
    <x v="2"/>
    <x v="3"/>
    <x v="1"/>
    <x v="0"/>
    <x v="0"/>
    <x v="2"/>
    <x v="11"/>
    <n v="0"/>
    <n v="0"/>
    <n v="40.218000000000004"/>
    <n v="37.804920000000003"/>
    <n v="40.218000000000004"/>
    <n v="37.804920000000003"/>
    <n v="0"/>
    <x v="2"/>
    <n v="0"/>
    <n v="0"/>
    <n v="8"/>
    <n v="38"/>
    <n v="0"/>
    <n v="940.43"/>
    <n v="442.86"/>
    <m/>
    <n v="1108.3660770518723"/>
    <n v="476.88775168498375"/>
    <n v="0"/>
    <n v="35552.880915599999"/>
    <n v="16742.286871200002"/>
    <n v="0"/>
    <n v="41901.690873659871"/>
    <n v="18028.703301430676"/>
  </r>
  <r>
    <s v="Regular"/>
    <x v="3"/>
    <x v="2"/>
    <x v="2"/>
    <x v="0"/>
    <x v="0"/>
    <x v="0"/>
    <x v="0"/>
    <x v="0"/>
    <n v="0"/>
    <n v="0"/>
    <n v="48.823999999999998"/>
    <n v="48.823999999999998"/>
    <n v="48.823999999999998"/>
    <n v="48.823999999999998"/>
    <n v="0"/>
    <x v="2"/>
    <n v="0"/>
    <n v="0"/>
    <n v="45"/>
    <n v="70"/>
    <n v="0"/>
    <n v="105.73"/>
    <n v="278.67"/>
    <m/>
    <n v="163.4630843198542"/>
    <n v="295.87360985530717"/>
    <n v="0"/>
    <n v="5162.1615199999997"/>
    <n v="13605.784079999999"/>
    <n v="0"/>
    <n v="7980.9216288325615"/>
    <n v="14445.733127575517"/>
  </r>
  <r>
    <s v="Regular"/>
    <x v="3"/>
    <x v="2"/>
    <x v="2"/>
    <x v="0"/>
    <x v="0"/>
    <x v="0"/>
    <x v="0"/>
    <x v="1"/>
    <n v="0"/>
    <n v="0"/>
    <n v="21.030999999999999"/>
    <n v="21.030999999999999"/>
    <n v="21.030999999999999"/>
    <n v="21.030999999999999"/>
    <n v="0"/>
    <x v="2"/>
    <n v="0"/>
    <n v="0"/>
    <n v="45"/>
    <n v="70"/>
    <n v="0"/>
    <n v="105.73"/>
    <n v="278.67"/>
    <m/>
    <n v="163.4630843198542"/>
    <n v="295.87360985530717"/>
    <n v="0"/>
    <n v="2223.60763"/>
    <n v="5860.7087700000002"/>
    <n v="0"/>
    <n v="3437.7921263308535"/>
    <n v="6222.5178888669643"/>
  </r>
  <r>
    <s v="Regular"/>
    <x v="3"/>
    <x v="2"/>
    <x v="2"/>
    <x v="0"/>
    <x v="0"/>
    <x v="0"/>
    <x v="0"/>
    <x v="2"/>
    <n v="0"/>
    <n v="0"/>
    <n v="21.280999999999999"/>
    <n v="21.280999999999999"/>
    <n v="21.280999999999999"/>
    <n v="21.280999999999999"/>
    <n v="0"/>
    <x v="2"/>
    <n v="0"/>
    <n v="0"/>
    <n v="45"/>
    <n v="70"/>
    <n v="0"/>
    <n v="105.73"/>
    <n v="278.67"/>
    <m/>
    <n v="163.4630843198542"/>
    <n v="295.87360985530717"/>
    <n v="0"/>
    <n v="2250.0401299999999"/>
    <n v="5930.3762699999997"/>
    <n v="0"/>
    <n v="3478.657897410817"/>
    <n v="6296.4862913307916"/>
  </r>
  <r>
    <s v="Regular"/>
    <x v="3"/>
    <x v="2"/>
    <x v="2"/>
    <x v="0"/>
    <x v="0"/>
    <x v="0"/>
    <x v="0"/>
    <x v="3"/>
    <n v="0"/>
    <n v="0"/>
    <n v="21.846"/>
    <n v="21.846"/>
    <n v="21.846"/>
    <n v="21.846"/>
    <n v="0"/>
    <x v="2"/>
    <n v="0"/>
    <n v="0"/>
    <n v="45"/>
    <n v="70"/>
    <n v="0"/>
    <n v="105.73"/>
    <n v="278.67"/>
    <m/>
    <n v="163.4630843198542"/>
    <n v="295.87360985530717"/>
    <n v="0"/>
    <n v="2309.7775799999999"/>
    <n v="6087.8248200000007"/>
    <n v="0"/>
    <n v="3571.0145400515348"/>
    <n v="6463.6548808990401"/>
  </r>
  <r>
    <s v="Regular"/>
    <x v="3"/>
    <x v="2"/>
    <x v="2"/>
    <x v="0"/>
    <x v="0"/>
    <x v="0"/>
    <x v="0"/>
    <x v="4"/>
    <n v="0"/>
    <n v="0"/>
    <n v="18.599"/>
    <n v="18.599"/>
    <n v="18.599"/>
    <n v="18.599"/>
    <n v="0"/>
    <x v="2"/>
    <n v="0"/>
    <n v="0"/>
    <n v="45"/>
    <n v="70"/>
    <n v="0"/>
    <n v="105.73"/>
    <n v="278.67"/>
    <m/>
    <n v="163.4630843198542"/>
    <n v="295.87360985530717"/>
    <n v="0"/>
    <n v="1966.4722700000002"/>
    <n v="5182.98333"/>
    <n v="0"/>
    <n v="3040.2499052649682"/>
    <n v="5502.9532696988581"/>
  </r>
  <r>
    <s v="Regular"/>
    <x v="3"/>
    <x v="2"/>
    <x v="2"/>
    <x v="0"/>
    <x v="0"/>
    <x v="0"/>
    <x v="0"/>
    <x v="5"/>
    <n v="0"/>
    <n v="0"/>
    <n v="23.963999999999999"/>
    <n v="23.963999999999999"/>
    <n v="23.963999999999999"/>
    <n v="23.963999999999999"/>
    <n v="0"/>
    <x v="2"/>
    <n v="0"/>
    <n v="0"/>
    <n v="45"/>
    <n v="70"/>
    <n v="0"/>
    <n v="105.73"/>
    <n v="278.67"/>
    <m/>
    <n v="163.4630843198542"/>
    <n v="295.87360985530717"/>
    <n v="0"/>
    <n v="2533.7137199999997"/>
    <n v="6678.0478800000001"/>
    <n v="0"/>
    <n v="3917.2293526409858"/>
    <n v="7090.3151865725804"/>
  </r>
  <r>
    <s v="Regular"/>
    <x v="3"/>
    <x v="2"/>
    <x v="2"/>
    <x v="0"/>
    <x v="0"/>
    <x v="0"/>
    <x v="0"/>
    <x v="6"/>
    <n v="0"/>
    <n v="0"/>
    <n v="20.87"/>
    <n v="20.87"/>
    <n v="20.87"/>
    <n v="20.87"/>
    <n v="0"/>
    <x v="2"/>
    <n v="0"/>
    <n v="0"/>
    <n v="45"/>
    <n v="70"/>
    <n v="0"/>
    <n v="105.73"/>
    <n v="278.67"/>
    <m/>
    <n v="163.4630843198542"/>
    <n v="295.87360985530717"/>
    <n v="0"/>
    <n v="2206.5851000000002"/>
    <n v="5815.8429000000006"/>
    <n v="0"/>
    <n v="3411.4745697553576"/>
    <n v="6174.8822376802609"/>
  </r>
  <r>
    <s v="Regular"/>
    <x v="3"/>
    <x v="2"/>
    <x v="2"/>
    <x v="0"/>
    <x v="0"/>
    <x v="0"/>
    <x v="0"/>
    <x v="7"/>
    <n v="0"/>
    <n v="0"/>
    <n v="14.413"/>
    <n v="14.413"/>
    <n v="14.413"/>
    <n v="14.413"/>
    <n v="0"/>
    <x v="2"/>
    <n v="0"/>
    <n v="0"/>
    <n v="45"/>
    <n v="70"/>
    <n v="0"/>
    <n v="105.73"/>
    <n v="278.67"/>
    <m/>
    <n v="163.4630843198542"/>
    <n v="295.87360985530717"/>
    <n v="0"/>
    <n v="1523.8864900000001"/>
    <n v="4016.4707100000005"/>
    <n v="0"/>
    <n v="2355.9934343020586"/>
    <n v="4264.4263388445424"/>
  </r>
  <r>
    <s v="Regular"/>
    <x v="3"/>
    <x v="2"/>
    <x v="2"/>
    <x v="0"/>
    <x v="0"/>
    <x v="0"/>
    <x v="0"/>
    <x v="8"/>
    <n v="0"/>
    <n v="0"/>
    <n v="13.066000000000001"/>
    <n v="13.066000000000001"/>
    <n v="13.066000000000001"/>
    <n v="13.066000000000001"/>
    <n v="0"/>
    <x v="2"/>
    <n v="0"/>
    <n v="0"/>
    <n v="45"/>
    <n v="70"/>
    <n v="0"/>
    <n v="105.73"/>
    <n v="278.67"/>
    <m/>
    <n v="163.4630843198542"/>
    <n v="295.87360985530717"/>
    <n v="0"/>
    <n v="1381.4681800000001"/>
    <n v="3641.1022200000002"/>
    <n v="0"/>
    <n v="2135.808659723215"/>
    <n v="3865.8845863694437"/>
  </r>
  <r>
    <s v="Regular"/>
    <x v="3"/>
    <x v="2"/>
    <x v="2"/>
    <x v="0"/>
    <x v="0"/>
    <x v="0"/>
    <x v="0"/>
    <x v="9"/>
    <n v="0"/>
    <n v="0"/>
    <n v="13.843"/>
    <n v="13.843"/>
    <n v="13.843"/>
    <n v="13.843"/>
    <n v="0"/>
    <x v="2"/>
    <n v="0"/>
    <n v="0"/>
    <n v="45"/>
    <n v="70"/>
    <n v="0"/>
    <n v="105.73"/>
    <n v="278.67"/>
    <m/>
    <n v="163.4630843198542"/>
    <n v="295.87360985530717"/>
    <n v="0"/>
    <n v="1463.62039"/>
    <n v="3857.6288100000002"/>
    <n v="0"/>
    <n v="2262.8194762397416"/>
    <n v="4095.7783812270172"/>
  </r>
  <r>
    <s v="Regular"/>
    <x v="3"/>
    <x v="2"/>
    <x v="2"/>
    <x v="0"/>
    <x v="0"/>
    <x v="0"/>
    <x v="0"/>
    <x v="10"/>
    <n v="0"/>
    <n v="0"/>
    <n v="14.516"/>
    <n v="14.516"/>
    <n v="14.516"/>
    <n v="14.516"/>
    <n v="0"/>
    <x v="2"/>
    <n v="0"/>
    <n v="0"/>
    <n v="45"/>
    <n v="70"/>
    <n v="0"/>
    <n v="105.73"/>
    <n v="278.67"/>
    <m/>
    <n v="163.4630843198542"/>
    <n v="295.87360985530717"/>
    <n v="0"/>
    <n v="1534.7766800000002"/>
    <n v="4045.1737200000002"/>
    <n v="0"/>
    <n v="2372.8301319870038"/>
    <n v="4294.9013206596392"/>
  </r>
  <r>
    <s v="PROJETADO"/>
    <x v="3"/>
    <x v="2"/>
    <x v="2"/>
    <x v="0"/>
    <x v="0"/>
    <x v="0"/>
    <x v="0"/>
    <x v="11"/>
    <n v="0"/>
    <n v="0"/>
    <n v="14.516"/>
    <n v="14.516"/>
    <n v="14.516"/>
    <n v="14.516"/>
    <n v="0"/>
    <x v="2"/>
    <n v="0"/>
    <n v="0"/>
    <n v="45"/>
    <n v="70"/>
    <n v="0"/>
    <n v="105.73"/>
    <n v="278.67"/>
    <m/>
    <n v="163.4630843198542"/>
    <n v="295.87360985530717"/>
    <n v="0"/>
    <n v="1534.7766800000002"/>
    <n v="4045.1737200000002"/>
    <n v="0"/>
    <n v="2372.8301319870038"/>
    <n v="4294.9013206596392"/>
  </r>
  <r>
    <s v="Regular"/>
    <x v="3"/>
    <x v="2"/>
    <x v="2"/>
    <x v="0"/>
    <x v="0"/>
    <x v="0"/>
    <x v="1"/>
    <x v="0"/>
    <n v="241"/>
    <n v="241"/>
    <n v="0"/>
    <n v="0"/>
    <n v="0"/>
    <n v="0"/>
    <n v="3"/>
    <x v="2"/>
    <n v="0"/>
    <n v="13"/>
    <n v="0"/>
    <n v="0"/>
    <n v="11.74"/>
    <n v="0"/>
    <n v="0"/>
    <n v="13.331960206679717"/>
    <m/>
    <m/>
    <n v="2829.34"/>
    <n v="0"/>
    <n v="0"/>
    <n v="3213.002409809812"/>
    <n v="0"/>
    <n v="0"/>
  </r>
  <r>
    <s v="Regular"/>
    <x v="3"/>
    <x v="2"/>
    <x v="2"/>
    <x v="0"/>
    <x v="0"/>
    <x v="0"/>
    <x v="1"/>
    <x v="1"/>
    <n v="140"/>
    <n v="140"/>
    <n v="0"/>
    <n v="0"/>
    <n v="0"/>
    <n v="0"/>
    <n v="2"/>
    <x v="2"/>
    <n v="0"/>
    <n v="13"/>
    <n v="0"/>
    <n v="0"/>
    <n v="11.74"/>
    <n v="0"/>
    <n v="0"/>
    <n v="13.331960206679717"/>
    <m/>
    <m/>
    <n v="1643.6000000000001"/>
    <n v="0"/>
    <n v="0"/>
    <n v="1866.4744289351604"/>
    <n v="0"/>
    <n v="0"/>
  </r>
  <r>
    <s v="Regular"/>
    <x v="3"/>
    <x v="2"/>
    <x v="2"/>
    <x v="0"/>
    <x v="0"/>
    <x v="0"/>
    <x v="1"/>
    <x v="2"/>
    <n v="140"/>
    <n v="140"/>
    <n v="0"/>
    <n v="0"/>
    <n v="0"/>
    <n v="0"/>
    <n v="2"/>
    <x v="2"/>
    <n v="0"/>
    <n v="13"/>
    <n v="0"/>
    <n v="0"/>
    <n v="11.74"/>
    <n v="0"/>
    <n v="0"/>
    <n v="13.331960206679717"/>
    <m/>
    <m/>
    <n v="1643.6000000000001"/>
    <n v="0"/>
    <n v="0"/>
    <n v="1866.4744289351604"/>
    <n v="0"/>
    <n v="0"/>
  </r>
  <r>
    <s v="Regular"/>
    <x v="3"/>
    <x v="2"/>
    <x v="2"/>
    <x v="0"/>
    <x v="0"/>
    <x v="0"/>
    <x v="1"/>
    <x v="3"/>
    <n v="140"/>
    <n v="140"/>
    <n v="0"/>
    <n v="0"/>
    <n v="0"/>
    <n v="0"/>
    <n v="2"/>
    <x v="2"/>
    <n v="0"/>
    <n v="13"/>
    <n v="0"/>
    <n v="0"/>
    <n v="11.74"/>
    <n v="0"/>
    <n v="0"/>
    <n v="13.331960206679717"/>
    <m/>
    <m/>
    <n v="1643.6000000000001"/>
    <n v="0"/>
    <n v="0"/>
    <n v="1866.4744289351604"/>
    <n v="0"/>
    <n v="0"/>
  </r>
  <r>
    <s v="Regular"/>
    <x v="3"/>
    <x v="2"/>
    <x v="2"/>
    <x v="0"/>
    <x v="0"/>
    <x v="0"/>
    <x v="1"/>
    <x v="4"/>
    <n v="140"/>
    <n v="140"/>
    <n v="0"/>
    <n v="0"/>
    <n v="0"/>
    <n v="0"/>
    <n v="2"/>
    <x v="2"/>
    <n v="0"/>
    <n v="13"/>
    <n v="0"/>
    <n v="0"/>
    <n v="11.74"/>
    <n v="0"/>
    <n v="0"/>
    <n v="13.331960206679717"/>
    <m/>
    <m/>
    <n v="1643.6000000000001"/>
    <n v="0"/>
    <n v="0"/>
    <n v="1866.4744289351604"/>
    <n v="0"/>
    <n v="0"/>
  </r>
  <r>
    <s v="Regular"/>
    <x v="3"/>
    <x v="2"/>
    <x v="2"/>
    <x v="0"/>
    <x v="0"/>
    <x v="0"/>
    <x v="1"/>
    <x v="5"/>
    <n v="140"/>
    <n v="140"/>
    <n v="0"/>
    <n v="0"/>
    <n v="0"/>
    <n v="0"/>
    <n v="2"/>
    <x v="2"/>
    <n v="0"/>
    <n v="13"/>
    <n v="0"/>
    <n v="0"/>
    <n v="11.74"/>
    <n v="0"/>
    <n v="0"/>
    <n v="13.331960206679717"/>
    <m/>
    <m/>
    <n v="1643.6000000000001"/>
    <n v="0"/>
    <n v="0"/>
    <n v="1866.4744289351604"/>
    <n v="0"/>
    <n v="0"/>
  </r>
  <r>
    <s v="Regular"/>
    <x v="3"/>
    <x v="2"/>
    <x v="2"/>
    <x v="0"/>
    <x v="0"/>
    <x v="0"/>
    <x v="1"/>
    <x v="6"/>
    <n v="140"/>
    <n v="140"/>
    <n v="0"/>
    <n v="0"/>
    <n v="0"/>
    <n v="0"/>
    <n v="2"/>
    <x v="2"/>
    <n v="0"/>
    <n v="13"/>
    <n v="0"/>
    <n v="0"/>
    <n v="11.74"/>
    <n v="0"/>
    <n v="0"/>
    <n v="13.331960206679717"/>
    <m/>
    <m/>
    <n v="1643.6000000000001"/>
    <n v="0"/>
    <n v="0"/>
    <n v="1866.4744289351604"/>
    <n v="0"/>
    <n v="0"/>
  </r>
  <r>
    <s v="Regular"/>
    <x v="3"/>
    <x v="2"/>
    <x v="2"/>
    <x v="0"/>
    <x v="0"/>
    <x v="0"/>
    <x v="1"/>
    <x v="7"/>
    <n v="140"/>
    <n v="140"/>
    <n v="0"/>
    <n v="0"/>
    <n v="0"/>
    <n v="0"/>
    <n v="2"/>
    <x v="2"/>
    <n v="0"/>
    <n v="13"/>
    <n v="0"/>
    <n v="0"/>
    <n v="11.74"/>
    <n v="0"/>
    <n v="0"/>
    <n v="13.331960206679717"/>
    <m/>
    <m/>
    <n v="1643.6000000000001"/>
    <n v="0"/>
    <n v="0"/>
    <n v="1866.4744289351604"/>
    <n v="0"/>
    <n v="0"/>
  </r>
  <r>
    <s v="Regular"/>
    <x v="3"/>
    <x v="2"/>
    <x v="2"/>
    <x v="0"/>
    <x v="0"/>
    <x v="0"/>
    <x v="1"/>
    <x v="8"/>
    <n v="140"/>
    <n v="140"/>
    <n v="0"/>
    <n v="0"/>
    <n v="0"/>
    <n v="0"/>
    <n v="2"/>
    <x v="2"/>
    <n v="0"/>
    <n v="13"/>
    <n v="0"/>
    <n v="0"/>
    <n v="11.74"/>
    <n v="0"/>
    <n v="0"/>
    <n v="13.331960206679717"/>
    <m/>
    <m/>
    <n v="1643.6000000000001"/>
    <n v="0"/>
    <n v="0"/>
    <n v="1866.4744289351604"/>
    <n v="0"/>
    <n v="0"/>
  </r>
  <r>
    <s v="Regular"/>
    <x v="3"/>
    <x v="2"/>
    <x v="2"/>
    <x v="0"/>
    <x v="0"/>
    <x v="0"/>
    <x v="1"/>
    <x v="9"/>
    <n v="140"/>
    <n v="140"/>
    <n v="0"/>
    <n v="0"/>
    <n v="0"/>
    <n v="0"/>
    <n v="2"/>
    <x v="2"/>
    <n v="0"/>
    <n v="13"/>
    <n v="0"/>
    <n v="0"/>
    <n v="11.74"/>
    <n v="0"/>
    <n v="0"/>
    <n v="13.331960206679717"/>
    <m/>
    <m/>
    <n v="1643.6000000000001"/>
    <n v="0"/>
    <n v="0"/>
    <n v="1866.4744289351604"/>
    <n v="0"/>
    <n v="0"/>
  </r>
  <r>
    <s v="Regular"/>
    <x v="3"/>
    <x v="2"/>
    <x v="2"/>
    <x v="0"/>
    <x v="0"/>
    <x v="0"/>
    <x v="1"/>
    <x v="10"/>
    <n v="140"/>
    <n v="140"/>
    <n v="0"/>
    <n v="0"/>
    <n v="0"/>
    <n v="0"/>
    <n v="2"/>
    <x v="2"/>
    <n v="0"/>
    <n v="13"/>
    <n v="0"/>
    <n v="0"/>
    <n v="11.74"/>
    <n v="0"/>
    <n v="0"/>
    <n v="13.331960206679717"/>
    <m/>
    <m/>
    <n v="1643.6000000000001"/>
    <n v="0"/>
    <n v="0"/>
    <n v="1866.4744289351604"/>
    <n v="0"/>
    <n v="0"/>
  </r>
  <r>
    <s v="PROJETADO"/>
    <x v="3"/>
    <x v="2"/>
    <x v="2"/>
    <x v="0"/>
    <x v="0"/>
    <x v="0"/>
    <x v="1"/>
    <x v="11"/>
    <n v="140"/>
    <n v="140"/>
    <n v="0"/>
    <n v="0"/>
    <n v="0"/>
    <n v="0"/>
    <n v="2"/>
    <x v="2"/>
    <n v="0"/>
    <n v="13"/>
    <n v="0"/>
    <n v="0"/>
    <n v="11.74"/>
    <n v="0"/>
    <n v="0"/>
    <n v="13.331960206679717"/>
    <m/>
    <m/>
    <n v="1643.6000000000001"/>
    <n v="0"/>
    <n v="0"/>
    <n v="1866.4744289351604"/>
    <n v="0"/>
    <n v="0"/>
  </r>
  <r>
    <s v="Regular"/>
    <x v="3"/>
    <x v="2"/>
    <x v="2"/>
    <x v="0"/>
    <x v="0"/>
    <x v="0"/>
    <x v="2"/>
    <x v="0"/>
    <n v="0"/>
    <n v="0"/>
    <n v="4.8680000000000003"/>
    <n v="4.8680000000000003"/>
    <n v="4.8680000000000003"/>
    <n v="4.8680000000000003"/>
    <n v="0"/>
    <x v="2"/>
    <n v="0"/>
    <n v="0"/>
    <n v="32"/>
    <n v="92"/>
    <n v="0"/>
    <n v="1604.46"/>
    <n v="442.86"/>
    <m/>
    <n v="1874.5731973315721"/>
    <n v="476.88775168498375"/>
    <n v="0"/>
    <n v="7810.5112800000006"/>
    <n v="2155.8424800000003"/>
    <n v="0"/>
    <n v="9125.4223246100937"/>
    <n v="2321.4895752025009"/>
  </r>
  <r>
    <s v="Regular"/>
    <x v="3"/>
    <x v="2"/>
    <x v="2"/>
    <x v="0"/>
    <x v="0"/>
    <x v="0"/>
    <x v="2"/>
    <x v="1"/>
    <n v="0"/>
    <n v="0"/>
    <n v="1.2549999999999999"/>
    <n v="1.2549999999999999"/>
    <n v="1.2549999999999999"/>
    <n v="1.2549999999999999"/>
    <n v="0"/>
    <x v="2"/>
    <n v="0"/>
    <n v="0"/>
    <n v="32"/>
    <n v="92"/>
    <n v="0"/>
    <n v="1604.46"/>
    <n v="442.86"/>
    <m/>
    <n v="1874.5731973315721"/>
    <n v="476.88775168498375"/>
    <n v="0"/>
    <n v="2013.5972999999999"/>
    <n v="555.78930000000003"/>
    <n v="0"/>
    <n v="2352.5893626511229"/>
    <n v="598.49412836465456"/>
  </r>
  <r>
    <s v="Regular"/>
    <x v="3"/>
    <x v="2"/>
    <x v="2"/>
    <x v="0"/>
    <x v="0"/>
    <x v="0"/>
    <x v="2"/>
    <x v="2"/>
    <n v="0"/>
    <n v="0"/>
    <n v="1.3480000000000001"/>
    <n v="1.3480000000000001"/>
    <n v="1.3480000000000001"/>
    <n v="1.3480000000000001"/>
    <n v="0"/>
    <x v="2"/>
    <n v="0"/>
    <n v="0"/>
    <n v="32"/>
    <n v="92"/>
    <n v="0"/>
    <n v="1604.46"/>
    <n v="442.86"/>
    <m/>
    <n v="1874.5731973315721"/>
    <n v="476.88775168498375"/>
    <n v="0"/>
    <n v="2162.8120800000002"/>
    <n v="596.97528000000011"/>
    <n v="0"/>
    <n v="2526.9246700029594"/>
    <n v="642.84468927135811"/>
  </r>
  <r>
    <s v="Regular"/>
    <x v="3"/>
    <x v="2"/>
    <x v="2"/>
    <x v="0"/>
    <x v="0"/>
    <x v="0"/>
    <x v="2"/>
    <x v="3"/>
    <n v="0"/>
    <n v="0"/>
    <n v="1.35"/>
    <n v="1.35"/>
    <n v="1.35"/>
    <n v="1.35"/>
    <n v="0"/>
    <x v="2"/>
    <n v="0"/>
    <n v="0"/>
    <n v="32"/>
    <n v="92"/>
    <n v="0"/>
    <n v="1604.46"/>
    <n v="442.86"/>
    <m/>
    <n v="1874.5731973315721"/>
    <n v="476.88775168498375"/>
    <n v="0"/>
    <n v="2166.0210000000002"/>
    <n v="597.8610000000001"/>
    <n v="0"/>
    <n v="2530.6738163976224"/>
    <n v="643.79846477472813"/>
  </r>
  <r>
    <s v="Regular"/>
    <x v="3"/>
    <x v="2"/>
    <x v="2"/>
    <x v="0"/>
    <x v="0"/>
    <x v="0"/>
    <x v="2"/>
    <x v="4"/>
    <n v="0"/>
    <n v="0"/>
    <n v="1.1910000000000001"/>
    <n v="1.1910000000000001"/>
    <n v="1.1910000000000001"/>
    <n v="1.1910000000000001"/>
    <n v="0"/>
    <x v="2"/>
    <n v="0"/>
    <n v="0"/>
    <n v="32"/>
    <n v="92"/>
    <n v="0"/>
    <n v="1604.46"/>
    <n v="442.86"/>
    <m/>
    <n v="1874.5731973315721"/>
    <n v="476.88775168498375"/>
    <n v="0"/>
    <n v="1910.9118600000002"/>
    <n v="527.44626000000005"/>
    <n v="0"/>
    <n v="2232.6166780219023"/>
    <n v="567.97331225681569"/>
  </r>
  <r>
    <s v="Regular"/>
    <x v="3"/>
    <x v="2"/>
    <x v="2"/>
    <x v="0"/>
    <x v="0"/>
    <x v="0"/>
    <x v="2"/>
    <x v="5"/>
    <n v="0"/>
    <n v="0"/>
    <n v="1.3779999999999999"/>
    <n v="1.3779999999999999"/>
    <n v="1.3779999999999999"/>
    <n v="1.3779999999999999"/>
    <n v="0"/>
    <x v="2"/>
    <n v="0"/>
    <n v="0"/>
    <n v="32"/>
    <n v="92"/>
    <n v="0"/>
    <n v="1604.46"/>
    <n v="442.86"/>
    <m/>
    <n v="1874.5731973315721"/>
    <n v="476.88775168498375"/>
    <n v="0"/>
    <n v="2210.9458799999998"/>
    <n v="610.26107999999999"/>
    <n v="0"/>
    <n v="2583.1618659229061"/>
    <n v="657.15132182190757"/>
  </r>
  <r>
    <s v="Regular"/>
    <x v="3"/>
    <x v="2"/>
    <x v="2"/>
    <x v="0"/>
    <x v="0"/>
    <x v="0"/>
    <x v="2"/>
    <x v="6"/>
    <n v="0"/>
    <n v="0"/>
    <n v="1.228"/>
    <n v="1.228"/>
    <n v="1.228"/>
    <n v="1.228"/>
    <n v="0"/>
    <x v="2"/>
    <n v="0"/>
    <n v="0"/>
    <n v="32"/>
    <n v="92"/>
    <n v="0"/>
    <n v="1604.46"/>
    <n v="442.86"/>
    <m/>
    <n v="1874.5731973315721"/>
    <n v="476.88775168498375"/>
    <n v="0"/>
    <n v="1970.2768800000001"/>
    <n v="543.83208000000002"/>
    <n v="0"/>
    <n v="2301.9758863231705"/>
    <n v="585.61815906916001"/>
  </r>
  <r>
    <s v="Regular"/>
    <x v="3"/>
    <x v="2"/>
    <x v="2"/>
    <x v="0"/>
    <x v="0"/>
    <x v="0"/>
    <x v="2"/>
    <x v="7"/>
    <n v="0"/>
    <n v="0"/>
    <n v="1.1259999999999999"/>
    <n v="1.1259999999999999"/>
    <n v="1.1259999999999999"/>
    <n v="1.1259999999999999"/>
    <n v="0"/>
    <x v="2"/>
    <n v="0"/>
    <n v="0"/>
    <n v="32"/>
    <n v="92"/>
    <n v="0"/>
    <n v="1604.46"/>
    <n v="442.86"/>
    <m/>
    <n v="1874.5731973315721"/>
    <n v="476.88775168498375"/>
    <n v="0"/>
    <n v="1806.6219599999999"/>
    <n v="498.66035999999997"/>
    <n v="0"/>
    <n v="2110.76942019535"/>
    <n v="536.97560839729169"/>
  </r>
  <r>
    <s v="Regular"/>
    <x v="3"/>
    <x v="2"/>
    <x v="2"/>
    <x v="0"/>
    <x v="0"/>
    <x v="0"/>
    <x v="2"/>
    <x v="8"/>
    <n v="0"/>
    <n v="0"/>
    <n v="0.96099999999999997"/>
    <n v="0.96099999999999997"/>
    <n v="0.96099999999999997"/>
    <n v="0.96099999999999997"/>
    <n v="0"/>
    <x v="2"/>
    <n v="0"/>
    <n v="0"/>
    <n v="32"/>
    <n v="92"/>
    <n v="0"/>
    <n v="1604.46"/>
    <n v="442.86"/>
    <m/>
    <n v="1874.5731973315721"/>
    <n v="476.88775168498375"/>
    <n v="0"/>
    <n v="1541.88606"/>
    <n v="425.58846"/>
    <n v="0"/>
    <n v="1801.4648426356407"/>
    <n v="458.28912936926935"/>
  </r>
  <r>
    <s v="Regular"/>
    <x v="3"/>
    <x v="2"/>
    <x v="2"/>
    <x v="0"/>
    <x v="0"/>
    <x v="0"/>
    <x v="2"/>
    <x v="9"/>
    <n v="0"/>
    <n v="0"/>
    <n v="1.034"/>
    <n v="1.034"/>
    <n v="1.034"/>
    <n v="1.034"/>
    <n v="0"/>
    <x v="2"/>
    <n v="0"/>
    <n v="0"/>
    <n v="32"/>
    <n v="92"/>
    <n v="0"/>
    <n v="1604.46"/>
    <n v="442.86"/>
    <m/>
    <n v="1874.5731973315721"/>
    <n v="476.88775168498375"/>
    <n v="0"/>
    <n v="1659.0116400000002"/>
    <n v="457.91724000000005"/>
    <n v="0"/>
    <n v="1938.3086860408457"/>
    <n v="493.10193524227321"/>
  </r>
  <r>
    <s v="Regular"/>
    <x v="3"/>
    <x v="2"/>
    <x v="2"/>
    <x v="0"/>
    <x v="0"/>
    <x v="0"/>
    <x v="2"/>
    <x v="10"/>
    <n v="0"/>
    <n v="0"/>
    <n v="1.216"/>
    <n v="1.216"/>
    <n v="1.216"/>
    <n v="1.216"/>
    <n v="0"/>
    <x v="2"/>
    <n v="0"/>
    <n v="0"/>
    <n v="32"/>
    <n v="92"/>
    <n v="0"/>
    <n v="1604.46"/>
    <n v="442.86"/>
    <m/>
    <n v="1874.5731973315721"/>
    <n v="476.88775168498375"/>
    <n v="0"/>
    <n v="1951.0233599999999"/>
    <n v="538.51775999999995"/>
    <n v="0"/>
    <n v="2279.4810079551917"/>
    <n v="579.89550604894021"/>
  </r>
  <r>
    <s v="PROJETADO"/>
    <x v="3"/>
    <x v="2"/>
    <x v="2"/>
    <x v="0"/>
    <x v="0"/>
    <x v="0"/>
    <x v="2"/>
    <x v="11"/>
    <n v="0"/>
    <n v="0"/>
    <n v="1.216"/>
    <n v="1.216"/>
    <n v="1.216"/>
    <n v="1.216"/>
    <n v="0"/>
    <x v="2"/>
    <n v="0"/>
    <n v="0"/>
    <n v="32"/>
    <n v="92"/>
    <n v="0"/>
    <n v="1604.46"/>
    <n v="442.86"/>
    <m/>
    <n v="1874.5731973315721"/>
    <n v="476.88775168498375"/>
    <n v="0"/>
    <n v="1951.0233599999999"/>
    <n v="538.51775999999995"/>
    <n v="0"/>
    <n v="2279.4810079551917"/>
    <n v="579.89550604894021"/>
  </r>
  <r>
    <s v="Regular"/>
    <x v="3"/>
    <x v="2"/>
    <x v="0"/>
    <x v="0"/>
    <x v="1"/>
    <x v="0"/>
    <x v="0"/>
    <x v="1"/>
    <n v="0"/>
    <n v="0"/>
    <n v="27.018000000000001"/>
    <n v="27.018000000000001"/>
    <n v="0"/>
    <n v="0"/>
    <n v="0"/>
    <x v="0"/>
    <n v="0"/>
    <n v="0"/>
    <n v="45"/>
    <n v="0"/>
    <n v="0"/>
    <n v="105.73"/>
    <n v="0"/>
    <m/>
    <n v="163.4630843198542"/>
    <m/>
    <n v="0"/>
    <n v="2856.6131400000004"/>
    <n v="0"/>
    <n v="0"/>
    <n v="4416.4456121538205"/>
    <n v="0"/>
  </r>
  <r>
    <s v="Regular"/>
    <x v="3"/>
    <x v="2"/>
    <x v="0"/>
    <x v="0"/>
    <x v="1"/>
    <x v="0"/>
    <x v="0"/>
    <x v="2"/>
    <n v="0"/>
    <n v="0"/>
    <n v="27.103999999999999"/>
    <n v="27.103999999999999"/>
    <n v="0"/>
    <n v="0"/>
    <n v="0"/>
    <x v="0"/>
    <n v="0"/>
    <n v="0"/>
    <n v="45"/>
    <n v="0"/>
    <n v="0"/>
    <n v="105.73"/>
    <n v="0"/>
    <m/>
    <n v="163.4630843198542"/>
    <m/>
    <n v="0"/>
    <n v="2865.7059199999999"/>
    <n v="0"/>
    <n v="0"/>
    <n v="4430.5034374053284"/>
    <n v="0"/>
  </r>
  <r>
    <s v="Regular"/>
    <x v="3"/>
    <x v="2"/>
    <x v="0"/>
    <x v="0"/>
    <x v="1"/>
    <x v="0"/>
    <x v="0"/>
    <x v="3"/>
    <n v="0"/>
    <n v="0"/>
    <n v="26.242000000000001"/>
    <n v="26.242000000000001"/>
    <n v="0"/>
    <n v="0"/>
    <n v="0"/>
    <x v="0"/>
    <n v="0"/>
    <n v="0"/>
    <n v="45"/>
    <n v="0"/>
    <n v="0"/>
    <n v="105.73"/>
    <n v="0"/>
    <m/>
    <n v="163.4630843198542"/>
    <m/>
    <n v="0"/>
    <n v="2774.5666600000004"/>
    <n v="0"/>
    <n v="0"/>
    <n v="4289.598258721614"/>
    <n v="0"/>
  </r>
  <r>
    <s v="Regular"/>
    <x v="3"/>
    <x v="2"/>
    <x v="0"/>
    <x v="0"/>
    <x v="1"/>
    <x v="0"/>
    <x v="0"/>
    <x v="4"/>
    <n v="0"/>
    <n v="0"/>
    <n v="24.724"/>
    <n v="24.724"/>
    <n v="0"/>
    <n v="0"/>
    <n v="0"/>
    <x v="0"/>
    <n v="0"/>
    <n v="0"/>
    <n v="45"/>
    <n v="0"/>
    <n v="0"/>
    <n v="105.73"/>
    <n v="0"/>
    <m/>
    <n v="163.4630843198542"/>
    <m/>
    <n v="0"/>
    <n v="2614.0685200000003"/>
    <n v="0"/>
    <n v="0"/>
    <n v="4041.4612967240755"/>
    <n v="0"/>
  </r>
  <r>
    <s v="Regular"/>
    <x v="3"/>
    <x v="2"/>
    <x v="0"/>
    <x v="0"/>
    <x v="1"/>
    <x v="0"/>
    <x v="0"/>
    <x v="5"/>
    <n v="0"/>
    <n v="0"/>
    <n v="28.736000000000001"/>
    <n v="28.736000000000001"/>
    <n v="0"/>
    <n v="0"/>
    <n v="0"/>
    <x v="0"/>
    <n v="0"/>
    <n v="0"/>
    <n v="45"/>
    <n v="0"/>
    <n v="0"/>
    <n v="105.73"/>
    <n v="0"/>
    <m/>
    <n v="163.4630843198542"/>
    <m/>
    <n v="0"/>
    <n v="3038.2572800000003"/>
    <n v="0"/>
    <n v="0"/>
    <n v="4697.2751910153302"/>
    <n v="0"/>
  </r>
  <r>
    <s v="Regular"/>
    <x v="3"/>
    <x v="2"/>
    <x v="0"/>
    <x v="0"/>
    <x v="1"/>
    <x v="0"/>
    <x v="0"/>
    <x v="6"/>
    <n v="0"/>
    <n v="0"/>
    <n v="25.777999999999999"/>
    <n v="25.777999999999999"/>
    <n v="0"/>
    <n v="0"/>
    <n v="0"/>
    <x v="0"/>
    <n v="0"/>
    <n v="0"/>
    <n v="45"/>
    <n v="0"/>
    <n v="0"/>
    <n v="105.73"/>
    <n v="0"/>
    <m/>
    <n v="163.4630843198542"/>
    <m/>
    <n v="0"/>
    <n v="2725.50794"/>
    <n v="0"/>
    <n v="0"/>
    <n v="4213.7513875972018"/>
    <n v="0"/>
  </r>
  <r>
    <s v="Regular"/>
    <x v="3"/>
    <x v="2"/>
    <x v="0"/>
    <x v="0"/>
    <x v="1"/>
    <x v="0"/>
    <x v="0"/>
    <x v="7"/>
    <n v="0"/>
    <n v="0"/>
    <n v="18.988"/>
    <n v="18.988"/>
    <n v="0"/>
    <n v="0"/>
    <n v="0"/>
    <x v="0"/>
    <n v="0"/>
    <n v="0"/>
    <n v="45"/>
    <n v="0"/>
    <n v="0"/>
    <n v="105.73"/>
    <n v="0"/>
    <m/>
    <n v="163.4630843198542"/>
    <m/>
    <n v="0"/>
    <n v="2007.60124"/>
    <n v="0"/>
    <n v="0"/>
    <n v="3103.8370450653915"/>
    <n v="0"/>
  </r>
  <r>
    <s v="Regular"/>
    <x v="3"/>
    <x v="2"/>
    <x v="0"/>
    <x v="0"/>
    <x v="1"/>
    <x v="0"/>
    <x v="0"/>
    <x v="8"/>
    <n v="0"/>
    <n v="0"/>
    <n v="17.864999999999998"/>
    <n v="17.864999999999998"/>
    <n v="0"/>
    <n v="0"/>
    <n v="0"/>
    <x v="0"/>
    <n v="0"/>
    <n v="0"/>
    <n v="45"/>
    <n v="0"/>
    <n v="0"/>
    <n v="105.73"/>
    <n v="0"/>
    <m/>
    <n v="163.4630843198542"/>
    <m/>
    <n v="0"/>
    <n v="1888.86645"/>
    <n v="0"/>
    <n v="0"/>
    <n v="2920.2680013741951"/>
    <n v="0"/>
  </r>
  <r>
    <s v="Regular"/>
    <x v="3"/>
    <x v="2"/>
    <x v="0"/>
    <x v="0"/>
    <x v="1"/>
    <x v="0"/>
    <x v="0"/>
    <x v="9"/>
    <n v="0"/>
    <n v="0"/>
    <n v="20.734000000000002"/>
    <n v="20.734000000000002"/>
    <n v="0"/>
    <n v="0"/>
    <n v="0"/>
    <x v="0"/>
    <n v="0"/>
    <n v="0"/>
    <n v="45"/>
    <n v="0"/>
    <n v="0"/>
    <n v="105.73"/>
    <n v="0"/>
    <m/>
    <n v="163.4630843198542"/>
    <m/>
    <n v="0"/>
    <n v="2192.2058200000001"/>
    <n v="0"/>
    <n v="0"/>
    <n v="3389.2435902878574"/>
    <n v="0"/>
  </r>
  <r>
    <s v="Regular"/>
    <x v="3"/>
    <x v="2"/>
    <x v="0"/>
    <x v="0"/>
    <x v="1"/>
    <x v="0"/>
    <x v="0"/>
    <x v="10"/>
    <n v="0"/>
    <n v="0"/>
    <n v="22.969000000000001"/>
    <n v="22.969000000000001"/>
    <n v="0"/>
    <n v="0"/>
    <n v="0"/>
    <x v="0"/>
    <n v="0"/>
    <n v="0"/>
    <n v="45"/>
    <n v="0"/>
    <n v="0"/>
    <n v="105.73"/>
    <n v="0"/>
    <m/>
    <n v="163.4630843198542"/>
    <m/>
    <n v="0"/>
    <n v="2428.5123700000004"/>
    <n v="0"/>
    <n v="0"/>
    <n v="3754.5835837427312"/>
    <n v="0"/>
  </r>
  <r>
    <s v="PROJETADO"/>
    <x v="3"/>
    <x v="2"/>
    <x v="0"/>
    <x v="0"/>
    <x v="1"/>
    <x v="0"/>
    <x v="0"/>
    <x v="11"/>
    <n v="0"/>
    <n v="0"/>
    <n v="22.969000000000001"/>
    <n v="22.969000000000001"/>
    <n v="0"/>
    <n v="0"/>
    <n v="0"/>
    <x v="0"/>
    <n v="0"/>
    <n v="0"/>
    <n v="45"/>
    <n v="0"/>
    <n v="0"/>
    <n v="105.73"/>
    <n v="0"/>
    <m/>
    <n v="163.4630843198542"/>
    <m/>
    <n v="0"/>
    <n v="2428.5123700000004"/>
    <n v="0"/>
    <n v="0"/>
    <n v="3754.5835837427312"/>
    <n v="0"/>
  </r>
  <r>
    <s v="Regular"/>
    <x v="3"/>
    <x v="2"/>
    <x v="0"/>
    <x v="0"/>
    <x v="1"/>
    <x v="0"/>
    <x v="1"/>
    <x v="1"/>
    <n v="101"/>
    <n v="50.5"/>
    <n v="0"/>
    <n v="0"/>
    <n v="0"/>
    <n v="0"/>
    <n v="1"/>
    <x v="0"/>
    <n v="0"/>
    <n v="13"/>
    <n v="0"/>
    <n v="0"/>
    <n v="11.74"/>
    <n v="0"/>
    <n v="0"/>
    <n v="13.331960206679717"/>
    <m/>
    <m/>
    <n v="592.87"/>
    <n v="0"/>
    <n v="0"/>
    <n v="673.26399043732567"/>
    <n v="0"/>
    <n v="0"/>
  </r>
  <r>
    <s v="Regular"/>
    <x v="3"/>
    <x v="2"/>
    <x v="0"/>
    <x v="0"/>
    <x v="1"/>
    <x v="0"/>
    <x v="1"/>
    <x v="2"/>
    <n v="101"/>
    <n v="50.5"/>
    <n v="0"/>
    <n v="0"/>
    <n v="0"/>
    <n v="0"/>
    <n v="1"/>
    <x v="0"/>
    <n v="0"/>
    <n v="13"/>
    <n v="0"/>
    <n v="0"/>
    <n v="11.74"/>
    <n v="0"/>
    <n v="0"/>
    <n v="13.331960206679717"/>
    <m/>
    <m/>
    <n v="592.87"/>
    <n v="0"/>
    <n v="0"/>
    <n v="673.26399043732567"/>
    <n v="0"/>
    <n v="0"/>
  </r>
  <r>
    <s v="Regular"/>
    <x v="3"/>
    <x v="2"/>
    <x v="0"/>
    <x v="0"/>
    <x v="1"/>
    <x v="0"/>
    <x v="1"/>
    <x v="3"/>
    <n v="101"/>
    <n v="50.614991529999998"/>
    <n v="0"/>
    <n v="0"/>
    <n v="0"/>
    <n v="0"/>
    <n v="1"/>
    <x v="0"/>
    <n v="0"/>
    <n v="13"/>
    <n v="0"/>
    <n v="0"/>
    <n v="11.74"/>
    <n v="0"/>
    <n v="0"/>
    <n v="13.331960206679717"/>
    <m/>
    <m/>
    <n v="594.22000056219997"/>
    <n v="0"/>
    <n v="0"/>
    <n v="674.79705293939094"/>
    <n v="0"/>
    <n v="0"/>
  </r>
  <r>
    <s v="Regular"/>
    <x v="3"/>
    <x v="2"/>
    <x v="0"/>
    <x v="0"/>
    <x v="1"/>
    <x v="0"/>
    <x v="1"/>
    <x v="4"/>
    <n v="101"/>
    <n v="50.574105719999999"/>
    <n v="0"/>
    <n v="0"/>
    <n v="0"/>
    <n v="0"/>
    <n v="1"/>
    <x v="0"/>
    <n v="0"/>
    <n v="13"/>
    <n v="0"/>
    <n v="0"/>
    <n v="11.74"/>
    <n v="0"/>
    <n v="0"/>
    <n v="13.331960206679717"/>
    <m/>
    <m/>
    <n v="593.74000115280001"/>
    <n v="0"/>
    <n v="0"/>
    <n v="674.25196494745308"/>
    <n v="0"/>
    <n v="0"/>
  </r>
  <r>
    <s v="Regular"/>
    <x v="3"/>
    <x v="2"/>
    <x v="0"/>
    <x v="0"/>
    <x v="1"/>
    <x v="0"/>
    <x v="1"/>
    <x v="5"/>
    <n v="101"/>
    <n v="50.563032079999999"/>
    <n v="0"/>
    <n v="0"/>
    <n v="0"/>
    <n v="0"/>
    <n v="1"/>
    <x v="0"/>
    <n v="0"/>
    <n v="13"/>
    <n v="0"/>
    <n v="0"/>
    <n v="11.74"/>
    <n v="0"/>
    <n v="0"/>
    <n v="13.331960206679717"/>
    <m/>
    <m/>
    <n v="593.60999661920005"/>
    <n v="0"/>
    <n v="0"/>
    <n v="674.10433161962999"/>
    <n v="0"/>
    <n v="0"/>
  </r>
  <r>
    <s v="Regular"/>
    <x v="3"/>
    <x v="2"/>
    <x v="0"/>
    <x v="0"/>
    <x v="1"/>
    <x v="0"/>
    <x v="1"/>
    <x v="6"/>
    <n v="101"/>
    <n v="50.617546830000002"/>
    <n v="0"/>
    <n v="0"/>
    <n v="0"/>
    <n v="0"/>
    <n v="1"/>
    <x v="0"/>
    <n v="0"/>
    <n v="13"/>
    <n v="0"/>
    <n v="0"/>
    <n v="11.74"/>
    <n v="0"/>
    <n v="0"/>
    <n v="13.331960206679717"/>
    <m/>
    <m/>
    <n v="594.24999978419999"/>
    <n v="0"/>
    <n v="0"/>
    <n v="674.83112009730712"/>
    <n v="0"/>
    <n v="0"/>
  </r>
  <r>
    <s v="Regular"/>
    <x v="3"/>
    <x v="2"/>
    <x v="0"/>
    <x v="0"/>
    <x v="1"/>
    <x v="0"/>
    <x v="1"/>
    <x v="7"/>
    <n v="101"/>
    <n v="56.66269175"/>
    <n v="0"/>
    <n v="0"/>
    <n v="0"/>
    <n v="0"/>
    <n v="1"/>
    <x v="0"/>
    <n v="0"/>
    <n v="13"/>
    <n v="0"/>
    <n v="0"/>
    <n v="11.74"/>
    <n v="0"/>
    <n v="0"/>
    <n v="13.331960206679717"/>
    <m/>
    <m/>
    <n v="665.22000114499997"/>
    <n v="0"/>
    <n v="0"/>
    <n v="755.42475161435914"/>
    <n v="0"/>
    <n v="0"/>
  </r>
  <r>
    <s v="Regular"/>
    <x v="3"/>
    <x v="2"/>
    <x v="0"/>
    <x v="0"/>
    <x v="1"/>
    <x v="0"/>
    <x v="1"/>
    <x v="8"/>
    <n v="101"/>
    <n v="50.520443409999999"/>
    <n v="0"/>
    <n v="0"/>
    <n v="0"/>
    <n v="0"/>
    <n v="1"/>
    <x v="0"/>
    <n v="0"/>
    <n v="13"/>
    <n v="0"/>
    <n v="0"/>
    <n v="11.74"/>
    <n v="0"/>
    <n v="0"/>
    <n v="13.331960206679717"/>
    <m/>
    <m/>
    <n v="593.11000563339996"/>
    <n v="0"/>
    <n v="0"/>
    <n v="673.53654116593452"/>
    <n v="0"/>
    <n v="0"/>
  </r>
  <r>
    <s v="Regular"/>
    <x v="3"/>
    <x v="2"/>
    <x v="0"/>
    <x v="0"/>
    <x v="1"/>
    <x v="0"/>
    <x v="1"/>
    <x v="9"/>
    <n v="101"/>
    <n v="47.413117810000003"/>
    <n v="0"/>
    <n v="0"/>
    <n v="0"/>
    <n v="0"/>
    <n v="1"/>
    <x v="0"/>
    <n v="0"/>
    <n v="13"/>
    <n v="0"/>
    <n v="0"/>
    <n v="11.74"/>
    <n v="0"/>
    <n v="0"/>
    <n v="13.331960206679717"/>
    <m/>
    <m/>
    <n v="556.63000308940002"/>
    <n v="0"/>
    <n v="0"/>
    <n v="632.10979991753743"/>
    <n v="0"/>
    <n v="0"/>
  </r>
  <r>
    <s v="Regular"/>
    <x v="3"/>
    <x v="2"/>
    <x v="0"/>
    <x v="0"/>
    <x v="1"/>
    <x v="0"/>
    <x v="1"/>
    <x v="10"/>
    <n v="101"/>
    <n v="50.495740830000003"/>
    <n v="0"/>
    <n v="0"/>
    <n v="0"/>
    <n v="0"/>
    <n v="1"/>
    <x v="0"/>
    <n v="0"/>
    <n v="13"/>
    <n v="0"/>
    <n v="0"/>
    <n v="11.74"/>
    <n v="0"/>
    <n v="0"/>
    <n v="13.331960206679717"/>
    <m/>
    <m/>
    <n v="592.81999734420003"/>
    <n v="0"/>
    <n v="0"/>
    <n v="673.20720735237228"/>
    <n v="0"/>
    <n v="0"/>
  </r>
  <r>
    <s v="PROJETADO"/>
    <x v="3"/>
    <x v="2"/>
    <x v="0"/>
    <x v="0"/>
    <x v="1"/>
    <x v="0"/>
    <x v="1"/>
    <x v="11"/>
    <n v="101"/>
    <n v="50.495740830000003"/>
    <n v="0"/>
    <n v="0"/>
    <n v="0"/>
    <n v="0"/>
    <n v="1"/>
    <x v="0"/>
    <n v="0"/>
    <n v="13"/>
    <n v="0"/>
    <n v="0"/>
    <n v="11.74"/>
    <n v="0"/>
    <n v="0"/>
    <n v="13.331960206679717"/>
    <m/>
    <m/>
    <n v="592.81999734420003"/>
    <n v="0"/>
    <n v="0"/>
    <n v="673.20720735237228"/>
    <n v="0"/>
    <n v="0"/>
  </r>
  <r>
    <s v="Regular"/>
    <x v="3"/>
    <x v="2"/>
    <x v="0"/>
    <x v="0"/>
    <x v="1"/>
    <x v="0"/>
    <x v="2"/>
    <x v="1"/>
    <n v="0"/>
    <n v="0"/>
    <n v="3.5529999999999999"/>
    <n v="1.8846817795299999"/>
    <n v="0"/>
    <n v="0"/>
    <n v="0"/>
    <x v="0"/>
    <n v="0"/>
    <n v="0"/>
    <n v="32"/>
    <n v="0"/>
    <n v="0"/>
    <n v="1604.46"/>
    <n v="0"/>
    <m/>
    <n v="1874.5731973315721"/>
    <m/>
    <n v="0"/>
    <n v="3023.8965279847039"/>
    <n v="0"/>
    <n v="0"/>
    <n v="3532.9739494061091"/>
    <n v="0"/>
  </r>
  <r>
    <s v="Regular"/>
    <x v="3"/>
    <x v="2"/>
    <x v="0"/>
    <x v="0"/>
    <x v="1"/>
    <x v="0"/>
    <x v="2"/>
    <x v="2"/>
    <n v="0"/>
    <n v="0"/>
    <n v="4.0090000000000003"/>
    <n v="2.13658183697"/>
    <n v="0"/>
    <n v="0"/>
    <n v="0"/>
    <x v="0"/>
    <n v="0"/>
    <n v="0"/>
    <n v="32"/>
    <n v="0"/>
    <n v="0"/>
    <n v="1604.46"/>
    <n v="0"/>
    <m/>
    <n v="1874.5731973315721"/>
    <m/>
    <n v="0"/>
    <n v="3428.0600941448865"/>
    <n v="0"/>
    <n v="0"/>
    <n v="4005.1790454894167"/>
    <n v="0"/>
  </r>
  <r>
    <s v="Regular"/>
    <x v="3"/>
    <x v="2"/>
    <x v="0"/>
    <x v="0"/>
    <x v="1"/>
    <x v="0"/>
    <x v="2"/>
    <x v="3"/>
    <n v="0"/>
    <n v="0"/>
    <n v="3.74"/>
    <n v="1.997052101"/>
    <n v="0"/>
    <n v="0"/>
    <n v="0"/>
    <x v="0"/>
    <n v="0"/>
    <n v="0"/>
    <n v="32"/>
    <n v="0"/>
    <n v="0"/>
    <n v="1604.46"/>
    <n v="0"/>
    <m/>
    <n v="1874.5731973315721"/>
    <m/>
    <n v="0"/>
    <n v="3204.1902139704598"/>
    <n v="0"/>
    <n v="0"/>
    <n v="3743.6203422093035"/>
    <n v="0"/>
  </r>
  <r>
    <s v="Regular"/>
    <x v="3"/>
    <x v="2"/>
    <x v="0"/>
    <x v="0"/>
    <x v="1"/>
    <x v="0"/>
    <x v="2"/>
    <x v="4"/>
    <n v="0"/>
    <n v="0"/>
    <n v="3.448"/>
    <n v="1.84013581184"/>
    <n v="0"/>
    <n v="0"/>
    <n v="0"/>
    <x v="0"/>
    <n v="0"/>
    <n v="0"/>
    <n v="32"/>
    <n v="0"/>
    <n v="0"/>
    <n v="1604.46"/>
    <n v="0"/>
    <m/>
    <n v="1874.5731973315721"/>
    <m/>
    <n v="0"/>
    <n v="2952.4243046648066"/>
    <n v="0"/>
    <n v="0"/>
    <n v="3449.4692723252369"/>
    <n v="0"/>
  </r>
  <r>
    <s v="Regular"/>
    <x v="3"/>
    <x v="2"/>
    <x v="0"/>
    <x v="0"/>
    <x v="1"/>
    <x v="0"/>
    <x v="2"/>
    <x v="5"/>
    <n v="0"/>
    <n v="0"/>
    <n v="4.17"/>
    <n v="2.2247637216"/>
    <n v="0"/>
    <n v="0"/>
    <n v="0"/>
    <x v="0"/>
    <n v="0"/>
    <n v="0"/>
    <n v="32"/>
    <n v="0"/>
    <n v="0"/>
    <n v="1604.46"/>
    <n v="0"/>
    <m/>
    <n v="1874.5731973315721"/>
    <m/>
    <n v="0"/>
    <n v="3569.544400758336"/>
    <n v="0"/>
    <n v="0"/>
    <n v="4170.4824429069995"/>
    <n v="0"/>
  </r>
  <r>
    <s v="Regular"/>
    <x v="3"/>
    <x v="2"/>
    <x v="0"/>
    <x v="0"/>
    <x v="1"/>
    <x v="0"/>
    <x v="2"/>
    <x v="6"/>
    <n v="0"/>
    <n v="0"/>
    <n v="3.2719999999999998"/>
    <n v="1.74741762048"/>
    <n v="0"/>
    <n v="0"/>
    <n v="0"/>
    <x v="0"/>
    <n v="0"/>
    <n v="0"/>
    <n v="32"/>
    <n v="0"/>
    <n v="0"/>
    <n v="1604.46"/>
    <n v="0"/>
    <m/>
    <n v="1874.5731973315721"/>
    <m/>
    <n v="0"/>
    <n v="2803.6616753553408"/>
    <n v="0"/>
    <n v="0"/>
    <n v="3275.6622358967215"/>
    <n v="0"/>
  </r>
  <r>
    <s v="Regular"/>
    <x v="3"/>
    <x v="2"/>
    <x v="0"/>
    <x v="0"/>
    <x v="1"/>
    <x v="0"/>
    <x v="2"/>
    <x v="7"/>
    <n v="0"/>
    <n v="0"/>
    <n v="2.6539999999999999"/>
    <n v="1.6084939090799999"/>
    <n v="0"/>
    <n v="0"/>
    <n v="0"/>
    <x v="0"/>
    <n v="0"/>
    <n v="0"/>
    <n v="32"/>
    <n v="0"/>
    <n v="0"/>
    <n v="1604.46"/>
    <n v="0"/>
    <m/>
    <n v="1874.5731973315721"/>
    <m/>
    <n v="0"/>
    <n v="2580.7641373624965"/>
    <n v="0"/>
    <n v="0"/>
    <n v="3015.2395700324546"/>
    <n v="0"/>
  </r>
  <r>
    <s v="Regular"/>
    <x v="3"/>
    <x v="2"/>
    <x v="0"/>
    <x v="0"/>
    <x v="1"/>
    <x v="0"/>
    <x v="2"/>
    <x v="8"/>
    <n v="0"/>
    <n v="0"/>
    <n v="2.7570000000000001"/>
    <n v="1.4697052819500001"/>
    <n v="0"/>
    <n v="0"/>
    <n v="0"/>
    <x v="0"/>
    <n v="0"/>
    <n v="0"/>
    <n v="32"/>
    <n v="0"/>
    <n v="0"/>
    <n v="1604.46"/>
    <n v="0"/>
    <m/>
    <n v="1874.5731973315721"/>
    <m/>
    <n v="0"/>
    <n v="2358.0833366774973"/>
    <n v="0"/>
    <n v="0"/>
    <n v="2755.0701295201115"/>
    <n v="0"/>
  </r>
  <r>
    <s v="Regular"/>
    <x v="3"/>
    <x v="2"/>
    <x v="0"/>
    <x v="0"/>
    <x v="1"/>
    <x v="0"/>
    <x v="2"/>
    <x v="9"/>
    <n v="0"/>
    <n v="0"/>
    <n v="2.895"/>
    <n v="1.4671483649999999"/>
    <n v="0"/>
    <n v="0"/>
    <n v="0"/>
    <x v="0"/>
    <n v="0"/>
    <n v="0"/>
    <n v="32"/>
    <n v="0"/>
    <n v="0"/>
    <n v="1604.46"/>
    <n v="0"/>
    <m/>
    <n v="1874.5731973315721"/>
    <m/>
    <n v="0"/>
    <n v="2353.9808657078997"/>
    <n v="0"/>
    <n v="0"/>
    <n v="2750.2770015378383"/>
    <n v="0"/>
  </r>
  <r>
    <s v="Regular"/>
    <x v="3"/>
    <x v="2"/>
    <x v="0"/>
    <x v="0"/>
    <x v="1"/>
    <x v="0"/>
    <x v="2"/>
    <x v="10"/>
    <n v="0"/>
    <n v="0"/>
    <n v="3.3159999999999998"/>
    <n v="1.7672610393999999"/>
    <n v="0"/>
    <n v="0"/>
    <n v="0"/>
    <x v="0"/>
    <n v="0"/>
    <n v="0"/>
    <n v="32"/>
    <n v="0"/>
    <n v="0"/>
    <n v="1604.46"/>
    <n v="0"/>
    <m/>
    <n v="1874.5731973315721"/>
    <m/>
    <n v="0"/>
    <n v="2835.4996472757239"/>
    <n v="0"/>
    <n v="0"/>
    <n v="3312.8601771475751"/>
    <n v="0"/>
  </r>
  <r>
    <s v="PROJETADO"/>
    <x v="3"/>
    <x v="2"/>
    <x v="0"/>
    <x v="0"/>
    <x v="1"/>
    <x v="0"/>
    <x v="2"/>
    <x v="11"/>
    <n v="0"/>
    <n v="0"/>
    <n v="3.3159999999999998"/>
    <n v="1.7672610393999999"/>
    <n v="0"/>
    <n v="0"/>
    <n v="0"/>
    <x v="0"/>
    <n v="0"/>
    <n v="0"/>
    <n v="32"/>
    <n v="0"/>
    <n v="0"/>
    <n v="1604.46"/>
    <n v="0"/>
    <m/>
    <n v="1874.5731973315721"/>
    <m/>
    <n v="0"/>
    <n v="2835.4996472757239"/>
    <n v="0"/>
    <n v="0"/>
    <n v="3312.8601771475751"/>
    <n v="0"/>
  </r>
  <r>
    <s v="Regular"/>
    <x v="4"/>
    <x v="3"/>
    <x v="7"/>
    <x v="2"/>
    <x v="0"/>
    <x v="0"/>
    <x v="0"/>
    <x v="0"/>
    <n v="0"/>
    <n v="0"/>
    <n v="12.271000000000001"/>
    <n v="12.271000000000001"/>
    <n v="12.271000000000001"/>
    <n v="12.271000000000001"/>
    <n v="0"/>
    <x v="2"/>
    <n v="0"/>
    <n v="0"/>
    <n v="57"/>
    <n v="90"/>
    <n v="0"/>
    <n v="208.75"/>
    <n v="278.67"/>
    <m/>
    <n v="281.26015206463785"/>
    <n v="295.87360985530717"/>
    <n v="0"/>
    <n v="2561.57125"/>
    <n v="3419.5595700000003"/>
    <n v="0"/>
    <n v="3451.3433259851713"/>
    <n v="3630.6650665344746"/>
  </r>
  <r>
    <s v="Regular"/>
    <x v="4"/>
    <x v="3"/>
    <x v="7"/>
    <x v="2"/>
    <x v="0"/>
    <x v="0"/>
    <x v="0"/>
    <x v="1"/>
    <n v="0"/>
    <n v="0"/>
    <n v="12.132999999999999"/>
    <n v="12.132999999999999"/>
    <n v="12.132999999999999"/>
    <n v="12.132999999999999"/>
    <n v="0"/>
    <x v="2"/>
    <n v="0"/>
    <n v="0"/>
    <n v="57"/>
    <n v="90"/>
    <n v="0"/>
    <n v="208.75"/>
    <n v="278.67"/>
    <m/>
    <n v="281.26015206463785"/>
    <n v="295.87360985530717"/>
    <n v="0"/>
    <n v="2532.7637499999996"/>
    <n v="3381.10311"/>
    <n v="0"/>
    <n v="3412.5294250002507"/>
    <n v="3589.8345083744416"/>
  </r>
  <r>
    <s v="Sistema de Compensação"/>
    <x v="4"/>
    <x v="3"/>
    <x v="7"/>
    <x v="2"/>
    <x v="0"/>
    <x v="0"/>
    <x v="0"/>
    <x v="1"/>
    <n v="0"/>
    <n v="0"/>
    <n v="6.0999999999999999E-2"/>
    <n v="6.0999999999999999E-2"/>
    <n v="6.0999999999999999E-2"/>
    <n v="6.0999999999999999E-2"/>
    <n v="0"/>
    <x v="2"/>
    <n v="0"/>
    <n v="0"/>
    <n v="57"/>
    <n v="90"/>
    <n v="0"/>
    <n v="208.75"/>
    <n v="278.67"/>
    <m/>
    <n v="281.26015206463785"/>
    <n v="295.87360985530717"/>
    <n v="0"/>
    <n v="12.733750000000001"/>
    <n v="16.99887"/>
    <n v="0"/>
    <n v="17.15686927594291"/>
    <n v="18.048290201173735"/>
  </r>
  <r>
    <s v="Regular"/>
    <x v="4"/>
    <x v="3"/>
    <x v="7"/>
    <x v="2"/>
    <x v="0"/>
    <x v="0"/>
    <x v="0"/>
    <x v="2"/>
    <n v="0"/>
    <n v="0"/>
    <n v="13.625999999999999"/>
    <n v="13.625999999999999"/>
    <n v="13.625999999999999"/>
    <n v="13.625999999999999"/>
    <n v="0"/>
    <x v="2"/>
    <n v="0"/>
    <n v="0"/>
    <n v="57"/>
    <n v="90"/>
    <n v="0"/>
    <n v="208.75"/>
    <n v="278.67"/>
    <m/>
    <n v="281.26015206463785"/>
    <n v="295.87360985530717"/>
    <n v="0"/>
    <n v="2844.4274999999998"/>
    <n v="3797.15742"/>
    <n v="0"/>
    <n v="3832.450832032755"/>
    <n v="4031.5738078884151"/>
  </r>
  <r>
    <s v="Regular"/>
    <x v="4"/>
    <x v="3"/>
    <x v="7"/>
    <x v="2"/>
    <x v="0"/>
    <x v="0"/>
    <x v="0"/>
    <x v="3"/>
    <n v="0"/>
    <n v="0"/>
    <n v="12.567"/>
    <n v="12.567"/>
    <n v="12.567"/>
    <n v="12.567"/>
    <n v="0"/>
    <x v="2"/>
    <n v="0"/>
    <n v="0"/>
    <n v="57"/>
    <n v="90"/>
    <n v="0"/>
    <n v="208.75"/>
    <n v="278.67"/>
    <m/>
    <n v="281.26015206463785"/>
    <n v="295.87360985530717"/>
    <n v="0"/>
    <n v="2623.3612499999999"/>
    <n v="3502.0458900000003"/>
    <n v="0"/>
    <n v="3534.596330996304"/>
    <n v="3718.2436550516454"/>
  </r>
  <r>
    <s v="Sistema de Compensação"/>
    <x v="4"/>
    <x v="3"/>
    <x v="7"/>
    <x v="2"/>
    <x v="0"/>
    <x v="0"/>
    <x v="0"/>
    <x v="3"/>
    <n v="0"/>
    <n v="0"/>
    <n v="1.2999999999999999E-2"/>
    <n v="1.2999999999999999E-2"/>
    <n v="1.2999999999999999E-2"/>
    <n v="1.2999999999999999E-2"/>
    <n v="0"/>
    <x v="2"/>
    <n v="0"/>
    <n v="0"/>
    <n v="57"/>
    <n v="90"/>
    <n v="0"/>
    <n v="208.75"/>
    <n v="278.67"/>
    <m/>
    <n v="281.26015206463785"/>
    <n v="295.87360985530717"/>
    <n v="0"/>
    <n v="2.7137499999999997"/>
    <n v="3.6227100000000001"/>
    <n v="0"/>
    <n v="3.6563819768402919"/>
    <n v="3.8463569281189929"/>
  </r>
  <r>
    <s v="Regular"/>
    <x v="4"/>
    <x v="3"/>
    <x v="7"/>
    <x v="2"/>
    <x v="0"/>
    <x v="0"/>
    <x v="0"/>
    <x v="4"/>
    <n v="0"/>
    <n v="0"/>
    <n v="13.433999999999999"/>
    <n v="13.433999999999999"/>
    <n v="13.433999999999999"/>
    <n v="13.433999999999999"/>
    <n v="0"/>
    <x v="2"/>
    <n v="0"/>
    <n v="0"/>
    <n v="57"/>
    <n v="90"/>
    <n v="0"/>
    <n v="208.75"/>
    <n v="278.67"/>
    <m/>
    <n v="281.26015206463785"/>
    <n v="295.87360985530717"/>
    <n v="0"/>
    <n v="2804.3474999999999"/>
    <n v="3743.6527799999999"/>
    <n v="0"/>
    <n v="3778.4488828363446"/>
    <n v="3974.7660747961963"/>
  </r>
  <r>
    <s v="Regular"/>
    <x v="4"/>
    <x v="3"/>
    <x v="7"/>
    <x v="2"/>
    <x v="0"/>
    <x v="0"/>
    <x v="0"/>
    <x v="5"/>
    <n v="0"/>
    <n v="0"/>
    <n v="10.221"/>
    <n v="10.221"/>
    <n v="10.221"/>
    <n v="10.221"/>
    <n v="0"/>
    <x v="2"/>
    <n v="0"/>
    <n v="0"/>
    <n v="57"/>
    <n v="90"/>
    <n v="0"/>
    <n v="208.75"/>
    <n v="278.67"/>
    <m/>
    <n v="281.26015206463785"/>
    <n v="295.87360985530717"/>
    <n v="0"/>
    <n v="2133.63375"/>
    <n v="2848.2860700000001"/>
    <n v="0"/>
    <n v="2874.7600142526635"/>
    <n v="3024.1241663310948"/>
  </r>
  <r>
    <s v="Sistema de Compensação"/>
    <x v="4"/>
    <x v="3"/>
    <x v="7"/>
    <x v="2"/>
    <x v="0"/>
    <x v="0"/>
    <x v="0"/>
    <x v="5"/>
    <n v="0"/>
    <n v="0"/>
    <n v="1.2999999999999999E-2"/>
    <n v="1.2999999999999999E-2"/>
    <n v="1.2999999999999999E-2"/>
    <n v="1.2999999999999999E-2"/>
    <n v="0"/>
    <x v="2"/>
    <n v="0"/>
    <n v="0"/>
    <n v="57"/>
    <n v="90"/>
    <n v="0"/>
    <n v="208.75"/>
    <n v="278.67"/>
    <m/>
    <n v="281.26015206463785"/>
    <n v="295.87360985530717"/>
    <n v="0"/>
    <n v="2.7137499999999997"/>
    <n v="3.6227100000000001"/>
    <n v="0"/>
    <n v="3.6563819768402919"/>
    <n v="3.8463569281189929"/>
  </r>
  <r>
    <s v="Regular"/>
    <x v="4"/>
    <x v="3"/>
    <x v="7"/>
    <x v="2"/>
    <x v="0"/>
    <x v="0"/>
    <x v="0"/>
    <x v="6"/>
    <n v="0"/>
    <n v="0"/>
    <n v="9.9890000000000008"/>
    <n v="9.9890000000000008"/>
    <n v="9.9890000000000008"/>
    <n v="9.9890000000000008"/>
    <n v="0"/>
    <x v="2"/>
    <n v="0"/>
    <n v="0"/>
    <n v="57"/>
    <n v="90"/>
    <n v="0"/>
    <n v="208.75"/>
    <n v="278.67"/>
    <m/>
    <n v="281.26015206463785"/>
    <n v="295.87360985530717"/>
    <n v="0"/>
    <n v="2085.2037500000001"/>
    <n v="2783.6346300000005"/>
    <n v="0"/>
    <n v="2809.5076589736677"/>
    <n v="2955.4814888446635"/>
  </r>
  <r>
    <s v="Sistema de Compensação"/>
    <x v="4"/>
    <x v="3"/>
    <x v="7"/>
    <x v="2"/>
    <x v="0"/>
    <x v="0"/>
    <x v="0"/>
    <x v="6"/>
    <n v="0"/>
    <n v="0"/>
    <n v="4.5999999999999999E-2"/>
    <n v="4.5999999999999999E-2"/>
    <n v="4.5999999999999999E-2"/>
    <n v="4.5999999999999999E-2"/>
    <n v="0"/>
    <x v="2"/>
    <n v="0"/>
    <n v="0"/>
    <n v="57"/>
    <n v="90"/>
    <n v="0"/>
    <n v="208.75"/>
    <n v="278.67"/>
    <m/>
    <n v="281.26015206463785"/>
    <n v="295.87360985530717"/>
    <n v="0"/>
    <n v="9.6024999999999991"/>
    <n v="12.818820000000001"/>
    <n v="0"/>
    <n v="12.93796699497334"/>
    <n v="13.61018605334413"/>
  </r>
  <r>
    <s v="Regular"/>
    <x v="4"/>
    <x v="3"/>
    <x v="7"/>
    <x v="2"/>
    <x v="0"/>
    <x v="0"/>
    <x v="0"/>
    <x v="7"/>
    <n v="0"/>
    <n v="0"/>
    <n v="8.548"/>
    <n v="8.548"/>
    <n v="8.548"/>
    <n v="8.548"/>
    <n v="0"/>
    <x v="2"/>
    <n v="0"/>
    <n v="0"/>
    <n v="57"/>
    <n v="90"/>
    <n v="0"/>
    <n v="208.75"/>
    <n v="278.67"/>
    <m/>
    <n v="281.26015206463785"/>
    <n v="295.87360985530717"/>
    <n v="0"/>
    <n v="1784.395"/>
    <n v="2382.07116"/>
    <n v="0"/>
    <n v="2404.2117798485242"/>
    <n v="2529.1276170431656"/>
  </r>
  <r>
    <s v="Sistema de Compensação"/>
    <x v="4"/>
    <x v="3"/>
    <x v="7"/>
    <x v="2"/>
    <x v="0"/>
    <x v="0"/>
    <x v="0"/>
    <x v="7"/>
    <n v="0"/>
    <n v="0"/>
    <n v="6.8000000000000005E-2"/>
    <n v="6.8000000000000005E-2"/>
    <n v="6.8000000000000005E-2"/>
    <n v="6.8000000000000005E-2"/>
    <n v="0"/>
    <x v="2"/>
    <n v="0"/>
    <n v="0"/>
    <n v="57"/>
    <n v="90"/>
    <n v="0"/>
    <n v="208.75"/>
    <n v="278.67"/>
    <m/>
    <n v="281.26015206463785"/>
    <n v="295.87360985530717"/>
    <n v="0"/>
    <n v="14.195"/>
    <n v="18.949560000000002"/>
    <n v="0"/>
    <n v="19.125690340395376"/>
    <n v="20.119405470160888"/>
  </r>
  <r>
    <s v="Regular"/>
    <x v="4"/>
    <x v="3"/>
    <x v="7"/>
    <x v="2"/>
    <x v="0"/>
    <x v="0"/>
    <x v="0"/>
    <x v="8"/>
    <n v="0"/>
    <n v="0"/>
    <n v="9.0470000000000006"/>
    <n v="9.0470000000000006"/>
    <n v="9.0470000000000006"/>
    <n v="9.0470000000000006"/>
    <n v="0"/>
    <x v="2"/>
    <n v="0"/>
    <n v="0"/>
    <n v="57"/>
    <n v="90"/>
    <n v="0"/>
    <n v="208.75"/>
    <n v="278.67"/>
    <m/>
    <n v="281.26015206463785"/>
    <n v="295.87360985530717"/>
    <n v="0"/>
    <n v="1888.5612500000002"/>
    <n v="2521.1274900000003"/>
    <n v="0"/>
    <n v="2544.5605957287789"/>
    <n v="2676.7685483609639"/>
  </r>
  <r>
    <s v="Regular"/>
    <x v="4"/>
    <x v="3"/>
    <x v="7"/>
    <x v="2"/>
    <x v="0"/>
    <x v="0"/>
    <x v="0"/>
    <x v="9"/>
    <n v="0"/>
    <n v="0"/>
    <n v="8.2789999999999999"/>
    <n v="8.2789999999999999"/>
    <n v="8.2789999999999999"/>
    <n v="8.2789999999999999"/>
    <n v="0"/>
    <x v="2"/>
    <n v="0"/>
    <n v="0"/>
    <n v="57"/>
    <n v="90"/>
    <n v="0"/>
    <n v="208.75"/>
    <n v="278.67"/>
    <m/>
    <n v="281.26015206463785"/>
    <n v="295.87360985530717"/>
    <n v="0"/>
    <n v="1728.24125"/>
    <n v="2307.1089300000003"/>
    <n v="0"/>
    <n v="2328.5527989431366"/>
    <n v="2449.5376159920879"/>
  </r>
  <r>
    <s v="Sistema de Compensação"/>
    <x v="4"/>
    <x v="3"/>
    <x v="7"/>
    <x v="2"/>
    <x v="0"/>
    <x v="0"/>
    <x v="0"/>
    <x v="9"/>
    <n v="0"/>
    <n v="0"/>
    <n v="7.5999999999999998E-2"/>
    <n v="7.5999999999999998E-2"/>
    <n v="7.5999999999999998E-2"/>
    <n v="7.5999999999999998E-2"/>
    <n v="0"/>
    <x v="2"/>
    <n v="0"/>
    <n v="0"/>
    <n v="57"/>
    <n v="90"/>
    <n v="0"/>
    <n v="208.75"/>
    <n v="278.67"/>
    <m/>
    <n v="281.26015206463785"/>
    <n v="295.87360985530717"/>
    <n v="0"/>
    <n v="15.865"/>
    <n v="21.178920000000002"/>
    <n v="0"/>
    <n v="21.375771556912476"/>
    <n v="22.486394349003344"/>
  </r>
  <r>
    <s v="Regular"/>
    <x v="4"/>
    <x v="3"/>
    <x v="7"/>
    <x v="2"/>
    <x v="0"/>
    <x v="0"/>
    <x v="0"/>
    <x v="10"/>
    <n v="0"/>
    <n v="0"/>
    <n v="8.6419999999999995"/>
    <n v="8.6419999999999995"/>
    <n v="8.6419999999999995"/>
    <n v="8.6419999999999995"/>
    <n v="0"/>
    <x v="2"/>
    <n v="0"/>
    <n v="0"/>
    <n v="57"/>
    <n v="90"/>
    <n v="0"/>
    <n v="208.75"/>
    <n v="278.67"/>
    <m/>
    <n v="281.26015206463785"/>
    <n v="295.87360985530717"/>
    <n v="0"/>
    <n v="1804.0174999999999"/>
    <n v="2408.2661400000002"/>
    <n v="0"/>
    <n v="2430.6502341426003"/>
    <n v="2556.9397363695643"/>
  </r>
  <r>
    <s v="Sistema de Compensação"/>
    <x v="4"/>
    <x v="3"/>
    <x v="7"/>
    <x v="2"/>
    <x v="0"/>
    <x v="0"/>
    <x v="0"/>
    <x v="10"/>
    <n v="0"/>
    <n v="0"/>
    <n v="4.4999999999999998E-2"/>
    <n v="4.4999999999999998E-2"/>
    <n v="4.4999999999999998E-2"/>
    <n v="4.4999999999999998E-2"/>
    <n v="0"/>
    <x v="2"/>
    <n v="0"/>
    <n v="0"/>
    <n v="57"/>
    <n v="90"/>
    <n v="0"/>
    <n v="208.75"/>
    <n v="278.67"/>
    <m/>
    <n v="281.26015206463785"/>
    <n v="295.87360985530717"/>
    <n v="0"/>
    <n v="9.3937499999999989"/>
    <n v="12.540150000000001"/>
    <n v="0"/>
    <n v="12.656706842908703"/>
    <n v="13.314312443488822"/>
  </r>
  <r>
    <s v="PROJETADO"/>
    <x v="4"/>
    <x v="3"/>
    <x v="7"/>
    <x v="2"/>
    <x v="0"/>
    <x v="0"/>
    <x v="0"/>
    <x v="11"/>
    <n v="0"/>
    <n v="0"/>
    <n v="8.6419999999999995"/>
    <n v="8.6419999999999995"/>
    <n v="8.6419999999999995"/>
    <n v="8.6419999999999995"/>
    <n v="0"/>
    <x v="2"/>
    <n v="0"/>
    <n v="0"/>
    <n v="57"/>
    <n v="90"/>
    <n v="0"/>
    <n v="208.75"/>
    <n v="278.67"/>
    <m/>
    <n v="281.26015206463785"/>
    <n v="295.87360985530717"/>
    <n v="0"/>
    <n v="1804.0174999999999"/>
    <n v="2408.2661400000002"/>
    <n v="0"/>
    <n v="2430.6502341426003"/>
    <n v="2556.9397363695643"/>
  </r>
  <r>
    <s v="PROJETADO"/>
    <x v="4"/>
    <x v="3"/>
    <x v="7"/>
    <x v="2"/>
    <x v="0"/>
    <x v="0"/>
    <x v="0"/>
    <x v="11"/>
    <n v="0"/>
    <n v="0"/>
    <n v="4.4999999999999998E-2"/>
    <n v="4.4999999999999998E-2"/>
    <n v="4.4999999999999998E-2"/>
    <n v="4.4999999999999998E-2"/>
    <n v="0"/>
    <x v="2"/>
    <n v="0"/>
    <n v="0"/>
    <n v="57"/>
    <n v="90"/>
    <n v="0"/>
    <n v="208.75"/>
    <n v="278.67"/>
    <m/>
    <n v="281.26015206463785"/>
    <n v="295.87360985530717"/>
    <n v="0"/>
    <n v="9.3937499999999989"/>
    <n v="12.540150000000001"/>
    <n v="0"/>
    <n v="12.656706842908703"/>
    <n v="13.314312443488822"/>
  </r>
  <r>
    <s v="Regular"/>
    <x v="4"/>
    <x v="3"/>
    <x v="7"/>
    <x v="2"/>
    <x v="0"/>
    <x v="0"/>
    <x v="3"/>
    <x v="0"/>
    <n v="0"/>
    <n v="0"/>
    <n v="0.72499999999999998"/>
    <n v="0.72499999999999998"/>
    <n v="0.72499999999999998"/>
    <n v="0.72499999999999998"/>
    <n v="0"/>
    <x v="2"/>
    <n v="0"/>
    <n v="0"/>
    <n v="65"/>
    <n v="86"/>
    <n v="0"/>
    <n v="415.22"/>
    <n v="278.67"/>
    <m/>
    <n v="516.84076441635671"/>
    <n v="295.87360985530717"/>
    <n v="0"/>
    <n v="301.03450000000004"/>
    <n v="202.03575000000001"/>
    <n v="0"/>
    <n v="374.70955420185862"/>
    <n v="214.50836714509768"/>
  </r>
  <r>
    <s v="Regular"/>
    <x v="4"/>
    <x v="3"/>
    <x v="7"/>
    <x v="2"/>
    <x v="0"/>
    <x v="0"/>
    <x v="3"/>
    <x v="1"/>
    <n v="0"/>
    <n v="0"/>
    <n v="0.78200000000000003"/>
    <n v="0.78200000000000003"/>
    <n v="0.78200000000000003"/>
    <n v="0.78200000000000003"/>
    <n v="0"/>
    <x v="2"/>
    <n v="0"/>
    <n v="0"/>
    <n v="65"/>
    <n v="86"/>
    <n v="0"/>
    <n v="415.22"/>
    <n v="278.67"/>
    <m/>
    <n v="516.84076441635671"/>
    <n v="295.87360985530717"/>
    <n v="0"/>
    <n v="324.70204000000001"/>
    <n v="217.91994000000003"/>
    <n v="0"/>
    <n v="404.16947777359098"/>
    <n v="231.37316290685021"/>
  </r>
  <r>
    <s v="Regular"/>
    <x v="4"/>
    <x v="3"/>
    <x v="7"/>
    <x v="2"/>
    <x v="0"/>
    <x v="0"/>
    <x v="3"/>
    <x v="2"/>
    <n v="0"/>
    <n v="0"/>
    <n v="0.89500000000000002"/>
    <n v="0.89500000000000002"/>
    <n v="0.89500000000000002"/>
    <n v="0.89500000000000002"/>
    <n v="0"/>
    <x v="2"/>
    <n v="0"/>
    <n v="0"/>
    <n v="65"/>
    <n v="86"/>
    <n v="0"/>
    <n v="415.22"/>
    <n v="278.67"/>
    <m/>
    <n v="516.84076441635671"/>
    <n v="295.87360985530717"/>
    <n v="0"/>
    <n v="371.62190000000004"/>
    <n v="249.40965000000003"/>
    <n v="0"/>
    <n v="462.57248415263928"/>
    <n v="264.80688082049994"/>
  </r>
  <r>
    <s v="Sistema de Compensação"/>
    <x v="4"/>
    <x v="3"/>
    <x v="7"/>
    <x v="2"/>
    <x v="0"/>
    <x v="0"/>
    <x v="3"/>
    <x v="2"/>
    <n v="0"/>
    <n v="0"/>
    <n v="9.1999999999999998E-2"/>
    <n v="9.1999999999999998E-2"/>
    <n v="9.1999999999999998E-2"/>
    <n v="9.1999999999999998E-2"/>
    <n v="0"/>
    <x v="2"/>
    <n v="0"/>
    <n v="0"/>
    <n v="65"/>
    <n v="86"/>
    <n v="0"/>
    <n v="415.22"/>
    <n v="278.67"/>
    <m/>
    <n v="516.84076441635671"/>
    <n v="295.87360985530717"/>
    <n v="0"/>
    <n v="38.200240000000001"/>
    <n v="25.637640000000001"/>
    <n v="0"/>
    <n v="47.549350326304818"/>
    <n v="27.220372106688259"/>
  </r>
  <r>
    <s v="Regular"/>
    <x v="4"/>
    <x v="3"/>
    <x v="7"/>
    <x v="2"/>
    <x v="0"/>
    <x v="0"/>
    <x v="3"/>
    <x v="3"/>
    <n v="0"/>
    <n v="0"/>
    <n v="0.84899999999999998"/>
    <n v="0.84899999999999998"/>
    <n v="0.84899999999999998"/>
    <n v="0.84899999999999998"/>
    <n v="0"/>
    <x v="2"/>
    <n v="0"/>
    <n v="0"/>
    <n v="65"/>
    <n v="86"/>
    <n v="0"/>
    <n v="415.22"/>
    <n v="278.67"/>
    <m/>
    <n v="516.84076441635671"/>
    <n v="295.87360985530717"/>
    <n v="0"/>
    <n v="352.52178000000004"/>
    <n v="236.59083000000001"/>
    <n v="0"/>
    <n v="438.79780898948684"/>
    <n v="251.19669476715578"/>
  </r>
  <r>
    <s v="Sistema de Compensação"/>
    <x v="4"/>
    <x v="3"/>
    <x v="7"/>
    <x v="2"/>
    <x v="0"/>
    <x v="0"/>
    <x v="3"/>
    <x v="3"/>
    <n v="0"/>
    <n v="0"/>
    <n v="9.6000000000000002E-2"/>
    <n v="9.6000000000000002E-2"/>
    <n v="9.6000000000000002E-2"/>
    <n v="9.6000000000000002E-2"/>
    <n v="0"/>
    <x v="2"/>
    <n v="0"/>
    <n v="0"/>
    <n v="65"/>
    <n v="86"/>
    <n v="0"/>
    <n v="415.22"/>
    <n v="278.67"/>
    <m/>
    <n v="516.84076441635671"/>
    <n v="295.87360985530717"/>
    <n v="0"/>
    <n v="39.861120000000007"/>
    <n v="26.752320000000001"/>
    <n v="0"/>
    <n v="49.616713383970243"/>
    <n v="28.403866546109487"/>
  </r>
  <r>
    <s v="Regular"/>
    <x v="4"/>
    <x v="3"/>
    <x v="7"/>
    <x v="2"/>
    <x v="0"/>
    <x v="0"/>
    <x v="3"/>
    <x v="4"/>
    <n v="0"/>
    <n v="0"/>
    <n v="0.84099999999999997"/>
    <n v="0.84099999999999997"/>
    <n v="0.84099999999999997"/>
    <n v="0.84099999999999997"/>
    <n v="0"/>
    <x v="2"/>
    <n v="0"/>
    <n v="0"/>
    <n v="65"/>
    <n v="86"/>
    <n v="0"/>
    <n v="415.22"/>
    <n v="278.67"/>
    <m/>
    <n v="516.84076441635671"/>
    <n v="295.87360985530717"/>
    <n v="0"/>
    <n v="349.20001999999999"/>
    <n v="234.36147"/>
    <n v="0"/>
    <n v="434.66308287415598"/>
    <n v="248.82970588831333"/>
  </r>
  <r>
    <s v="Sistema de Compensação"/>
    <x v="4"/>
    <x v="3"/>
    <x v="7"/>
    <x v="2"/>
    <x v="0"/>
    <x v="0"/>
    <x v="3"/>
    <x v="4"/>
    <n v="0"/>
    <n v="0"/>
    <n v="7.9000000000000001E-2"/>
    <n v="7.9000000000000001E-2"/>
    <n v="7.9000000000000001E-2"/>
    <n v="7.9000000000000001E-2"/>
    <n v="0"/>
    <x v="2"/>
    <n v="0"/>
    <n v="0"/>
    <n v="65"/>
    <n v="86"/>
    <n v="0"/>
    <n v="415.22"/>
    <n v="278.67"/>
    <m/>
    <n v="516.84076441635671"/>
    <n v="295.87360985530717"/>
    <n v="0"/>
    <n v="32.802379999999999"/>
    <n v="22.014930000000003"/>
    <n v="0"/>
    <n v="40.830420388892179"/>
    <n v="23.374015178569266"/>
  </r>
  <r>
    <s v="Regular"/>
    <x v="4"/>
    <x v="3"/>
    <x v="7"/>
    <x v="2"/>
    <x v="0"/>
    <x v="0"/>
    <x v="3"/>
    <x v="5"/>
    <n v="0"/>
    <n v="0"/>
    <n v="0.78700000000000003"/>
    <n v="0.78700000000000003"/>
    <n v="0.78700000000000003"/>
    <n v="0.78700000000000003"/>
    <n v="0"/>
    <x v="2"/>
    <n v="0"/>
    <n v="0"/>
    <n v="65"/>
    <n v="86"/>
    <n v="0"/>
    <n v="415.22"/>
    <n v="278.67"/>
    <m/>
    <n v="516.84076441635671"/>
    <n v="295.87360985530717"/>
    <n v="0"/>
    <n v="326.77814000000001"/>
    <n v="219.31329000000002"/>
    <n v="0"/>
    <n v="406.75368159567273"/>
    <n v="232.85253095612674"/>
  </r>
  <r>
    <s v="Sistema de Compensação"/>
    <x v="4"/>
    <x v="3"/>
    <x v="7"/>
    <x v="2"/>
    <x v="0"/>
    <x v="0"/>
    <x v="3"/>
    <x v="5"/>
    <n v="0"/>
    <n v="0"/>
    <n v="8.5999999999999993E-2"/>
    <n v="8.5999999999999993E-2"/>
    <n v="8.5999999999999993E-2"/>
    <n v="8.5999999999999993E-2"/>
    <n v="0"/>
    <x v="2"/>
    <n v="0"/>
    <n v="0"/>
    <n v="65"/>
    <n v="86"/>
    <n v="0"/>
    <n v="415.22"/>
    <n v="278.67"/>
    <m/>
    <n v="516.84076441635671"/>
    <n v="295.87360985530717"/>
    <n v="0"/>
    <n v="35.708919999999999"/>
    <n v="23.965619999999998"/>
    <n v="0"/>
    <n v="44.448305739806671"/>
    <n v="25.445130447556416"/>
  </r>
  <r>
    <s v="Regular"/>
    <x v="4"/>
    <x v="3"/>
    <x v="7"/>
    <x v="2"/>
    <x v="0"/>
    <x v="0"/>
    <x v="3"/>
    <x v="6"/>
    <n v="0"/>
    <n v="0"/>
    <n v="1.282"/>
    <n v="1.282"/>
    <n v="1.282"/>
    <n v="1.282"/>
    <n v="0"/>
    <x v="2"/>
    <n v="0"/>
    <n v="0"/>
    <n v="65"/>
    <n v="86"/>
    <n v="0"/>
    <n v="415.22"/>
    <n v="278.67"/>
    <m/>
    <n v="516.84076441635671"/>
    <n v="295.87360985530717"/>
    <n v="0"/>
    <n v="532.31204000000002"/>
    <n v="357.25494000000003"/>
    <n v="0"/>
    <n v="662.58985998176934"/>
    <n v="379.30996783450382"/>
  </r>
  <r>
    <s v="Sistema de Compensação"/>
    <x v="4"/>
    <x v="3"/>
    <x v="7"/>
    <x v="2"/>
    <x v="0"/>
    <x v="0"/>
    <x v="3"/>
    <x v="6"/>
    <n v="0"/>
    <n v="0"/>
    <n v="0.11"/>
    <n v="0.11"/>
    <n v="0.11"/>
    <n v="0.11"/>
    <n v="0"/>
    <x v="2"/>
    <n v="0"/>
    <n v="0"/>
    <n v="65"/>
    <n v="86"/>
    <n v="0"/>
    <n v="415.22"/>
    <n v="278.67"/>
    <m/>
    <n v="516.84076441635671"/>
    <n v="295.87360985530717"/>
    <n v="0"/>
    <n v="45.674200000000006"/>
    <n v="30.653700000000001"/>
    <n v="0"/>
    <n v="56.85248408579924"/>
    <n v="32.54609708408379"/>
  </r>
  <r>
    <s v="Regular"/>
    <x v="4"/>
    <x v="3"/>
    <x v="7"/>
    <x v="2"/>
    <x v="0"/>
    <x v="0"/>
    <x v="3"/>
    <x v="7"/>
    <n v="0"/>
    <n v="0"/>
    <n v="0.621"/>
    <n v="0.621"/>
    <n v="0.621"/>
    <n v="0.621"/>
    <n v="0"/>
    <x v="2"/>
    <n v="0"/>
    <n v="0"/>
    <n v="65"/>
    <n v="86"/>
    <n v="0"/>
    <n v="415.22"/>
    <n v="278.67"/>
    <m/>
    <n v="516.84076441635671"/>
    <n v="295.87360985530717"/>
    <n v="0"/>
    <n v="257.85162000000003"/>
    <n v="173.05407"/>
    <n v="0"/>
    <n v="320.95811470255751"/>
    <n v="183.73751172014576"/>
  </r>
  <r>
    <s v="Sistema de Compensação"/>
    <x v="4"/>
    <x v="3"/>
    <x v="7"/>
    <x v="2"/>
    <x v="0"/>
    <x v="0"/>
    <x v="3"/>
    <x v="7"/>
    <n v="0"/>
    <n v="0"/>
    <n v="0.11700000000000001"/>
    <n v="0.11700000000000001"/>
    <n v="0.11700000000000001"/>
    <n v="0.11700000000000001"/>
    <n v="0"/>
    <x v="2"/>
    <n v="0"/>
    <n v="0"/>
    <n v="65"/>
    <n v="86"/>
    <n v="0"/>
    <n v="415.22"/>
    <n v="278.67"/>
    <m/>
    <n v="516.84076441635671"/>
    <n v="295.87360985530717"/>
    <n v="0"/>
    <n v="48.580740000000006"/>
    <n v="32.604390000000002"/>
    <n v="0"/>
    <n v="60.470369436713739"/>
    <n v="34.61721235307094"/>
  </r>
  <r>
    <s v="Regular"/>
    <x v="4"/>
    <x v="3"/>
    <x v="7"/>
    <x v="2"/>
    <x v="0"/>
    <x v="0"/>
    <x v="3"/>
    <x v="8"/>
    <n v="0"/>
    <n v="0"/>
    <n v="1.0229999999999999"/>
    <n v="1.0229999999999999"/>
    <n v="1.0229999999999999"/>
    <n v="1.0229999999999999"/>
    <n v="0"/>
    <x v="2"/>
    <n v="0"/>
    <n v="0"/>
    <n v="65"/>
    <n v="86"/>
    <n v="0"/>
    <n v="415.22"/>
    <n v="278.67"/>
    <m/>
    <n v="516.84076441635671"/>
    <n v="295.87360985530717"/>
    <n v="0"/>
    <n v="424.77006"/>
    <n v="285.07941"/>
    <n v="0"/>
    <n v="528.72810199793287"/>
    <n v="302.67870288197918"/>
  </r>
  <r>
    <s v="Regular"/>
    <x v="4"/>
    <x v="3"/>
    <x v="7"/>
    <x v="2"/>
    <x v="0"/>
    <x v="0"/>
    <x v="3"/>
    <x v="9"/>
    <n v="0"/>
    <n v="0"/>
    <n v="0.70899999999999996"/>
    <n v="0.70899999999999996"/>
    <n v="0.70899999999999996"/>
    <n v="0.70899999999999996"/>
    <n v="0"/>
    <x v="2"/>
    <n v="0"/>
    <n v="0"/>
    <n v="65"/>
    <n v="86"/>
    <n v="0"/>
    <n v="415.22"/>
    <n v="278.67"/>
    <m/>
    <n v="516.84076441635671"/>
    <n v="295.87360985530717"/>
    <n v="0"/>
    <n v="294.39098000000001"/>
    <n v="197.57703000000001"/>
    <n v="0"/>
    <n v="366.4401019711969"/>
    <n v="209.77438938741278"/>
  </r>
  <r>
    <s v="Sistema de Compensação"/>
    <x v="4"/>
    <x v="3"/>
    <x v="7"/>
    <x v="2"/>
    <x v="0"/>
    <x v="0"/>
    <x v="3"/>
    <x v="9"/>
    <n v="0"/>
    <n v="0"/>
    <n v="0.09"/>
    <n v="0.09"/>
    <n v="0.09"/>
    <n v="0.09"/>
    <n v="0"/>
    <x v="2"/>
    <n v="0"/>
    <n v="0"/>
    <n v="65"/>
    <n v="86"/>
    <n v="0"/>
    <n v="415.22"/>
    <n v="278.67"/>
    <m/>
    <n v="516.84076441635671"/>
    <n v="295.87360985530717"/>
    <n v="0"/>
    <n v="37.369799999999998"/>
    <n v="25.080300000000001"/>
    <n v="0"/>
    <n v="46.515668797472102"/>
    <n v="26.628624886977644"/>
  </r>
  <r>
    <s v="Regular"/>
    <x v="4"/>
    <x v="3"/>
    <x v="7"/>
    <x v="2"/>
    <x v="0"/>
    <x v="0"/>
    <x v="3"/>
    <x v="10"/>
    <n v="0"/>
    <n v="0"/>
    <n v="0.747"/>
    <n v="0.747"/>
    <n v="0.747"/>
    <n v="0.747"/>
    <n v="0"/>
    <x v="2"/>
    <n v="0"/>
    <n v="0"/>
    <n v="65"/>
    <n v="86"/>
    <n v="0"/>
    <n v="415.22"/>
    <n v="278.67"/>
    <m/>
    <n v="516.84076441635671"/>
    <n v="295.87360985530717"/>
    <n v="0"/>
    <n v="310.16934000000003"/>
    <n v="208.16649000000001"/>
    <n v="0"/>
    <n v="386.08005101901847"/>
    <n v="221.01758656191444"/>
  </r>
  <r>
    <s v="Sistema de Compensação"/>
    <x v="4"/>
    <x v="3"/>
    <x v="7"/>
    <x v="2"/>
    <x v="0"/>
    <x v="0"/>
    <x v="3"/>
    <x v="10"/>
    <n v="0"/>
    <n v="0"/>
    <n v="0.111"/>
    <n v="0.111"/>
    <n v="0.111"/>
    <n v="0.111"/>
    <n v="0"/>
    <x v="2"/>
    <n v="0"/>
    <n v="0"/>
    <n v="65"/>
    <n v="86"/>
    <n v="0"/>
    <n v="415.22"/>
    <n v="278.67"/>
    <m/>
    <n v="516.84076441635671"/>
    <n v="295.87360985530717"/>
    <n v="0"/>
    <n v="46.089420000000004"/>
    <n v="30.932370000000002"/>
    <n v="0"/>
    <n v="57.369324850215598"/>
    <n v="32.841970693939096"/>
  </r>
  <r>
    <s v="PROJETADO"/>
    <x v="4"/>
    <x v="3"/>
    <x v="7"/>
    <x v="2"/>
    <x v="0"/>
    <x v="0"/>
    <x v="3"/>
    <x v="11"/>
    <n v="0"/>
    <n v="0"/>
    <n v="0.747"/>
    <n v="0.747"/>
    <n v="0.747"/>
    <n v="0.747"/>
    <n v="0"/>
    <x v="2"/>
    <n v="0"/>
    <n v="0"/>
    <n v="65"/>
    <n v="86"/>
    <n v="0"/>
    <n v="415.22"/>
    <n v="278.67"/>
    <m/>
    <n v="516.84076441635671"/>
    <n v="295.87360985530717"/>
    <n v="0"/>
    <n v="310.16934000000003"/>
    <n v="208.16649000000001"/>
    <n v="0"/>
    <n v="386.08005101901847"/>
    <n v="221.01758656191444"/>
  </r>
  <r>
    <s v="PROJETADO"/>
    <x v="4"/>
    <x v="3"/>
    <x v="7"/>
    <x v="2"/>
    <x v="0"/>
    <x v="0"/>
    <x v="3"/>
    <x v="11"/>
    <n v="0"/>
    <n v="0"/>
    <n v="0.111"/>
    <n v="0.111"/>
    <n v="0.111"/>
    <n v="0.111"/>
    <n v="0"/>
    <x v="2"/>
    <n v="0"/>
    <n v="0"/>
    <n v="65"/>
    <n v="86"/>
    <n v="0"/>
    <n v="415.22"/>
    <n v="278.67"/>
    <m/>
    <n v="516.84076441635671"/>
    <n v="295.87360985530717"/>
    <n v="0"/>
    <n v="46.089420000000004"/>
    <n v="30.932370000000002"/>
    <n v="0"/>
    <n v="57.369324850215598"/>
    <n v="32.841970693939096"/>
  </r>
  <r>
    <s v="Regular"/>
    <x v="4"/>
    <x v="3"/>
    <x v="7"/>
    <x v="2"/>
    <x v="0"/>
    <x v="0"/>
    <x v="2"/>
    <x v="0"/>
    <n v="0"/>
    <n v="0"/>
    <n v="1.581"/>
    <n v="1.581"/>
    <n v="1.581"/>
    <n v="1.581"/>
    <n v="0"/>
    <x v="2"/>
    <n v="0"/>
    <n v="0"/>
    <n v="43"/>
    <n v="68"/>
    <n v="0"/>
    <n v="621.67999999999995"/>
    <n v="442.86"/>
    <m/>
    <n v="752.42138494672076"/>
    <n v="476.88775168498375"/>
    <n v="0"/>
    <n v="982.87607999999989"/>
    <n v="700.16165999999998"/>
    <n v="0"/>
    <n v="1189.5782096007656"/>
    <n v="753.95953541395932"/>
  </r>
  <r>
    <s v="Regular"/>
    <x v="4"/>
    <x v="3"/>
    <x v="7"/>
    <x v="2"/>
    <x v="0"/>
    <x v="0"/>
    <x v="2"/>
    <x v="1"/>
    <n v="0"/>
    <n v="0"/>
    <n v="1.591"/>
    <n v="1.591"/>
    <n v="1.591"/>
    <n v="1.591"/>
    <n v="0"/>
    <x v="2"/>
    <n v="0"/>
    <n v="0"/>
    <n v="43"/>
    <n v="68"/>
    <n v="0"/>
    <n v="621.67999999999995"/>
    <n v="442.86"/>
    <m/>
    <n v="752.42138494672076"/>
    <n v="476.88775168498375"/>
    <n v="0"/>
    <n v="989.09287999999992"/>
    <n v="704.59026000000006"/>
    <n v="0"/>
    <n v="1197.1024234502327"/>
    <n v="758.7284129308091"/>
  </r>
  <r>
    <s v="Regular"/>
    <x v="4"/>
    <x v="3"/>
    <x v="7"/>
    <x v="2"/>
    <x v="0"/>
    <x v="0"/>
    <x v="2"/>
    <x v="2"/>
    <n v="0"/>
    <n v="0"/>
    <n v="1.758"/>
    <n v="1.758"/>
    <n v="1.758"/>
    <n v="1.758"/>
    <n v="0"/>
    <x v="2"/>
    <n v="0"/>
    <n v="0"/>
    <n v="43"/>
    <n v="68"/>
    <n v="0"/>
    <n v="621.67999999999995"/>
    <n v="442.86"/>
    <m/>
    <n v="752.42138494672076"/>
    <n v="476.88775168498375"/>
    <n v="0"/>
    <n v="1092.9134399999998"/>
    <n v="778.54788000000008"/>
    <n v="0"/>
    <n v="1322.756794736335"/>
    <n v="838.36866746220142"/>
  </r>
  <r>
    <s v="Regular"/>
    <x v="4"/>
    <x v="3"/>
    <x v="7"/>
    <x v="2"/>
    <x v="0"/>
    <x v="0"/>
    <x v="2"/>
    <x v="3"/>
    <n v="0"/>
    <n v="0"/>
    <n v="1.68"/>
    <n v="1.68"/>
    <n v="1.68"/>
    <n v="1.68"/>
    <n v="0"/>
    <x v="2"/>
    <n v="0"/>
    <n v="0"/>
    <n v="43"/>
    <n v="68"/>
    <n v="0"/>
    <n v="621.67999999999995"/>
    <n v="442.86"/>
    <m/>
    <n v="752.42138494672076"/>
    <n v="476.88775168498375"/>
    <n v="0"/>
    <n v="1044.4223999999999"/>
    <n v="744.00480000000005"/>
    <n v="0"/>
    <n v="1264.0679267104908"/>
    <n v="801.17142283077271"/>
  </r>
  <r>
    <s v="Sistema de Compensação"/>
    <x v="4"/>
    <x v="3"/>
    <x v="7"/>
    <x v="2"/>
    <x v="0"/>
    <x v="0"/>
    <x v="2"/>
    <x v="3"/>
    <n v="0"/>
    <n v="0"/>
    <n v="4.9000000000000002E-2"/>
    <n v="4.9000000000000002E-2"/>
    <n v="4.9000000000000002E-2"/>
    <n v="4.9000000000000002E-2"/>
    <n v="0"/>
    <x v="2"/>
    <n v="0"/>
    <n v="0"/>
    <n v="43"/>
    <n v="68"/>
    <n v="0"/>
    <n v="621.67999999999995"/>
    <n v="442.86"/>
    <m/>
    <n v="752.42138494672076"/>
    <n v="476.88775168498375"/>
    <n v="0"/>
    <n v="30.462319999999998"/>
    <n v="21.700140000000001"/>
    <n v="0"/>
    <n v="36.868647862389317"/>
    <n v="23.367499832564206"/>
  </r>
  <r>
    <s v="Regular"/>
    <x v="4"/>
    <x v="3"/>
    <x v="7"/>
    <x v="2"/>
    <x v="0"/>
    <x v="0"/>
    <x v="2"/>
    <x v="4"/>
    <n v="0"/>
    <n v="0"/>
    <n v="1.843"/>
    <n v="1.843"/>
    <n v="1.843"/>
    <n v="1.843"/>
    <n v="0"/>
    <x v="2"/>
    <n v="0"/>
    <n v="0"/>
    <n v="43"/>
    <n v="68"/>
    <n v="0"/>
    <n v="621.67999999999995"/>
    <n v="442.86"/>
    <m/>
    <n v="752.42138494672076"/>
    <n v="476.88775168498375"/>
    <n v="0"/>
    <n v="1145.7562399999999"/>
    <n v="816.19097999999997"/>
    <n v="0"/>
    <n v="1386.7126124568063"/>
    <n v="878.90412635542509"/>
  </r>
  <r>
    <s v="Sistema de Compensação"/>
    <x v="4"/>
    <x v="3"/>
    <x v="7"/>
    <x v="2"/>
    <x v="0"/>
    <x v="0"/>
    <x v="2"/>
    <x v="4"/>
    <n v="0"/>
    <n v="0"/>
    <n v="0.05"/>
    <n v="0.05"/>
    <n v="0.05"/>
    <n v="0.05"/>
    <n v="0"/>
    <x v="2"/>
    <n v="0"/>
    <n v="0"/>
    <n v="43"/>
    <n v="68"/>
    <n v="0"/>
    <n v="621.67999999999995"/>
    <n v="442.86"/>
    <m/>
    <n v="752.42138494672076"/>
    <n v="476.88775168498375"/>
    <n v="0"/>
    <n v="31.084"/>
    <n v="22.143000000000001"/>
    <n v="0"/>
    <n v="37.621069247336038"/>
    <n v="23.844387584249191"/>
  </r>
  <r>
    <s v="Regular"/>
    <x v="4"/>
    <x v="3"/>
    <x v="7"/>
    <x v="2"/>
    <x v="0"/>
    <x v="0"/>
    <x v="2"/>
    <x v="5"/>
    <n v="0"/>
    <n v="0"/>
    <n v="1.212"/>
    <n v="1.212"/>
    <n v="1.212"/>
    <n v="1.212"/>
    <n v="0"/>
    <x v="2"/>
    <n v="0"/>
    <n v="0"/>
    <n v="43"/>
    <n v="68"/>
    <n v="0"/>
    <n v="621.67999999999995"/>
    <n v="442.86"/>
    <m/>
    <n v="752.42138494672076"/>
    <n v="476.88775168498375"/>
    <n v="0"/>
    <n v="753.47615999999994"/>
    <n v="536.74631999999997"/>
    <n v="0"/>
    <n v="911.93471855542555"/>
    <n v="577.98795504220027"/>
  </r>
  <r>
    <s v="Sistema de Compensação"/>
    <x v="4"/>
    <x v="3"/>
    <x v="7"/>
    <x v="2"/>
    <x v="0"/>
    <x v="0"/>
    <x v="2"/>
    <x v="5"/>
    <n v="0"/>
    <n v="0"/>
    <n v="5.0999999999999997E-2"/>
    <n v="5.0999999999999997E-2"/>
    <n v="5.0999999999999997E-2"/>
    <n v="5.0999999999999997E-2"/>
    <n v="0"/>
    <x v="2"/>
    <n v="0"/>
    <n v="0"/>
    <n v="43"/>
    <n v="68"/>
    <n v="0"/>
    <n v="621.67999999999995"/>
    <n v="442.86"/>
    <m/>
    <n v="752.42138494672076"/>
    <n v="476.88775168498375"/>
    <n v="0"/>
    <n v="31.705679999999994"/>
    <n v="22.58586"/>
    <n v="0"/>
    <n v="38.37349063228276"/>
    <n v="24.321275335934171"/>
  </r>
  <r>
    <s v="Regular"/>
    <x v="4"/>
    <x v="3"/>
    <x v="7"/>
    <x v="2"/>
    <x v="0"/>
    <x v="0"/>
    <x v="2"/>
    <x v="6"/>
    <n v="0"/>
    <n v="0"/>
    <n v="1.0229999999999999"/>
    <n v="1.0229999999999999"/>
    <n v="1.0229999999999999"/>
    <n v="1.0229999999999999"/>
    <n v="0"/>
    <x v="2"/>
    <n v="0"/>
    <n v="0"/>
    <n v="43"/>
    <n v="68"/>
    <n v="0"/>
    <n v="621.67999999999995"/>
    <n v="442.86"/>
    <m/>
    <n v="752.42138494672076"/>
    <n v="476.88775168498375"/>
    <n v="0"/>
    <n v="635.97863999999993"/>
    <n v="453.04577999999998"/>
    <n v="0"/>
    <n v="769.7270768004953"/>
    <n v="487.85616997373836"/>
  </r>
  <r>
    <s v="Sistema de Compensação"/>
    <x v="4"/>
    <x v="3"/>
    <x v="7"/>
    <x v="2"/>
    <x v="0"/>
    <x v="0"/>
    <x v="2"/>
    <x v="6"/>
    <n v="0"/>
    <n v="0"/>
    <n v="5.8999999999999997E-2"/>
    <n v="5.8999999999999997E-2"/>
    <n v="5.8999999999999997E-2"/>
    <n v="5.8999999999999997E-2"/>
    <n v="0"/>
    <x v="2"/>
    <n v="0"/>
    <n v="0"/>
    <n v="43"/>
    <n v="68"/>
    <n v="0"/>
    <n v="621.67999999999995"/>
    <n v="442.86"/>
    <m/>
    <n v="752.42138494672076"/>
    <n v="476.88775168498375"/>
    <n v="0"/>
    <n v="36.679119999999998"/>
    <n v="26.128740000000001"/>
    <n v="0"/>
    <n v="44.392861711856526"/>
    <n v="28.13637734941404"/>
  </r>
  <r>
    <s v="Regular"/>
    <x v="4"/>
    <x v="3"/>
    <x v="7"/>
    <x v="2"/>
    <x v="0"/>
    <x v="0"/>
    <x v="2"/>
    <x v="7"/>
    <n v="0"/>
    <n v="0"/>
    <n v="1.0589999999999999"/>
    <n v="1.0589999999999999"/>
    <n v="1.0589999999999999"/>
    <n v="1.0589999999999999"/>
    <n v="0"/>
    <x v="2"/>
    <n v="0"/>
    <n v="0"/>
    <n v="43"/>
    <n v="68"/>
    <n v="0"/>
    <n v="621.67999999999995"/>
    <n v="442.86"/>
    <m/>
    <n v="752.42138494672076"/>
    <n v="476.88775168498375"/>
    <n v="0"/>
    <n v="658.35911999999996"/>
    <n v="468.98874000000001"/>
    <n v="0"/>
    <n v="796.81424665857719"/>
    <n v="505.02412903439779"/>
  </r>
  <r>
    <s v="Sistema de Compensação"/>
    <x v="4"/>
    <x v="3"/>
    <x v="7"/>
    <x v="2"/>
    <x v="0"/>
    <x v="0"/>
    <x v="2"/>
    <x v="7"/>
    <n v="0"/>
    <n v="0"/>
    <n v="7.6999999999999999E-2"/>
    <n v="7.6999999999999999E-2"/>
    <n v="7.6999999999999999E-2"/>
    <n v="7.6999999999999999E-2"/>
    <n v="0"/>
    <x v="2"/>
    <n v="0"/>
    <n v="0"/>
    <n v="43"/>
    <n v="68"/>
    <n v="0"/>
    <n v="621.67999999999995"/>
    <n v="442.86"/>
    <m/>
    <n v="752.42138494672076"/>
    <n v="476.88775168498375"/>
    <n v="0"/>
    <n v="47.869359999999993"/>
    <n v="34.10022"/>
    <n v="0"/>
    <n v="57.936446640897501"/>
    <n v="36.720356879743747"/>
  </r>
  <r>
    <s v="Regular"/>
    <x v="4"/>
    <x v="3"/>
    <x v="7"/>
    <x v="2"/>
    <x v="0"/>
    <x v="0"/>
    <x v="2"/>
    <x v="8"/>
    <n v="0"/>
    <n v="0"/>
    <n v="1.6060000000000001"/>
    <n v="1.6060000000000001"/>
    <n v="1.6060000000000001"/>
    <n v="1.6060000000000001"/>
    <n v="0"/>
    <x v="2"/>
    <n v="0"/>
    <n v="0"/>
    <n v="43"/>
    <n v="68"/>
    <n v="0"/>
    <n v="621.67999999999995"/>
    <n v="442.86"/>
    <m/>
    <n v="752.42138494672076"/>
    <n v="476.88775168498375"/>
    <n v="0"/>
    <n v="998.41808000000003"/>
    <n v="711.23316000000011"/>
    <n v="0"/>
    <n v="1208.3887442244336"/>
    <n v="765.88172920608395"/>
  </r>
  <r>
    <s v="Regular"/>
    <x v="4"/>
    <x v="3"/>
    <x v="7"/>
    <x v="2"/>
    <x v="0"/>
    <x v="0"/>
    <x v="2"/>
    <x v="9"/>
    <n v="0"/>
    <n v="0"/>
    <n v="1.123"/>
    <n v="1.123"/>
    <n v="1.123"/>
    <n v="1.123"/>
    <n v="0"/>
    <x v="2"/>
    <n v="0"/>
    <n v="0"/>
    <n v="43"/>
    <n v="68"/>
    <n v="0"/>
    <n v="621.67999999999995"/>
    <n v="442.86"/>
    <m/>
    <n v="752.42138494672076"/>
    <n v="476.88775168498375"/>
    <n v="0"/>
    <n v="698.14663999999993"/>
    <n v="497.33178000000004"/>
    <n v="0"/>
    <n v="844.96921529516737"/>
    <n v="535.54494514223677"/>
  </r>
  <r>
    <s v="Sistema de Compensação"/>
    <x v="4"/>
    <x v="3"/>
    <x v="7"/>
    <x v="2"/>
    <x v="0"/>
    <x v="0"/>
    <x v="2"/>
    <x v="9"/>
    <n v="0"/>
    <n v="0"/>
    <n v="6.9000000000000006E-2"/>
    <n v="6.9000000000000006E-2"/>
    <n v="6.9000000000000006E-2"/>
    <n v="6.9000000000000006E-2"/>
    <n v="0"/>
    <x v="2"/>
    <n v="0"/>
    <n v="0"/>
    <n v="43"/>
    <n v="68"/>
    <n v="0"/>
    <n v="621.67999999999995"/>
    <n v="442.86"/>
    <m/>
    <n v="752.42138494672076"/>
    <n v="476.88775168498375"/>
    <n v="0"/>
    <n v="42.895919999999997"/>
    <n v="30.557340000000003"/>
    <n v="0"/>
    <n v="51.917075561323735"/>
    <n v="32.905254866263881"/>
  </r>
  <r>
    <s v="Regular"/>
    <x v="4"/>
    <x v="3"/>
    <x v="7"/>
    <x v="2"/>
    <x v="0"/>
    <x v="0"/>
    <x v="2"/>
    <x v="10"/>
    <n v="0"/>
    <n v="0"/>
    <n v="0.99399999999999999"/>
    <n v="0.99399999999999999"/>
    <n v="0.99399999999999999"/>
    <n v="0.99399999999999999"/>
    <n v="0"/>
    <x v="2"/>
    <n v="0"/>
    <n v="0"/>
    <n v="43"/>
    <n v="68"/>
    <n v="0"/>
    <n v="621.67999999999995"/>
    <n v="442.86"/>
    <m/>
    <n v="752.42138494672076"/>
    <n v="476.88775168498375"/>
    <n v="0"/>
    <n v="617.94991999999991"/>
    <n v="440.20284000000004"/>
    <n v="0"/>
    <n v="747.90685663704039"/>
    <n v="474.02642517487385"/>
  </r>
  <r>
    <s v="Sistema de Compensação"/>
    <x v="4"/>
    <x v="3"/>
    <x v="7"/>
    <x v="2"/>
    <x v="0"/>
    <x v="0"/>
    <x v="2"/>
    <x v="10"/>
    <n v="0"/>
    <n v="0"/>
    <n v="8.7999999999999995E-2"/>
    <n v="8.7999999999999995E-2"/>
    <n v="8.7999999999999995E-2"/>
    <n v="8.7999999999999995E-2"/>
    <n v="0"/>
    <x v="2"/>
    <n v="0"/>
    <n v="0"/>
    <n v="43"/>
    <n v="68"/>
    <n v="0"/>
    <n v="621.67999999999995"/>
    <n v="442.86"/>
    <m/>
    <n v="752.42138494672076"/>
    <n v="476.88775168498375"/>
    <n v="0"/>
    <n v="54.70783999999999"/>
    <n v="38.971679999999999"/>
    <n v="0"/>
    <n v="66.213081875311417"/>
    <n v="41.966122148278565"/>
  </r>
  <r>
    <s v="PROJETADO"/>
    <x v="4"/>
    <x v="3"/>
    <x v="7"/>
    <x v="2"/>
    <x v="0"/>
    <x v="0"/>
    <x v="2"/>
    <x v="11"/>
    <n v="0"/>
    <n v="0"/>
    <n v="0.99399999999999999"/>
    <n v="0.99399999999999999"/>
    <n v="0.99399999999999999"/>
    <n v="0.99399999999999999"/>
    <n v="0"/>
    <x v="2"/>
    <n v="0"/>
    <n v="0"/>
    <n v="43"/>
    <n v="68"/>
    <n v="0"/>
    <n v="621.67999999999995"/>
    <n v="442.86"/>
    <m/>
    <n v="752.42138494672076"/>
    <n v="476.88775168498375"/>
    <n v="0"/>
    <n v="617.94991999999991"/>
    <n v="440.20284000000004"/>
    <n v="0"/>
    <n v="747.90685663704039"/>
    <n v="474.02642517487385"/>
  </r>
  <r>
    <s v="PROJETADO"/>
    <x v="4"/>
    <x v="3"/>
    <x v="7"/>
    <x v="2"/>
    <x v="0"/>
    <x v="0"/>
    <x v="2"/>
    <x v="11"/>
    <n v="0"/>
    <n v="0"/>
    <n v="8.7999999999999995E-2"/>
    <n v="8.7999999999999995E-2"/>
    <n v="8.7999999999999995E-2"/>
    <n v="8.7999999999999995E-2"/>
    <n v="0"/>
    <x v="2"/>
    <n v="0"/>
    <n v="0"/>
    <n v="43"/>
    <n v="68"/>
    <n v="0"/>
    <n v="621.67999999999995"/>
    <n v="442.86"/>
    <m/>
    <n v="752.42138494672076"/>
    <n v="476.88775168498375"/>
    <n v="0"/>
    <n v="54.70783999999999"/>
    <n v="38.971679999999999"/>
    <n v="0"/>
    <n v="66.213081875311417"/>
    <n v="41.966122148278565"/>
  </r>
  <r>
    <s v="Regular"/>
    <x v="4"/>
    <x v="4"/>
    <x v="7"/>
    <x v="2"/>
    <x v="0"/>
    <x v="0"/>
    <x v="1"/>
    <x v="0"/>
    <n v="0"/>
    <n v="0"/>
    <n v="10420.1"/>
    <n v="10420.1"/>
    <n v="10420.1"/>
    <n v="10420.1"/>
    <n v="68790"/>
    <x v="2"/>
    <n v="0"/>
    <n v="0"/>
    <n v="46"/>
    <n v="111"/>
    <n v="0"/>
    <n v="300.3"/>
    <n v="292.36"/>
    <m/>
    <n v="385.7156580869115"/>
    <n v="310.95812167444689"/>
    <n v="0"/>
    <n v="3129156.0300000003"/>
    <n v="3046420.4360000002"/>
    <n v="0"/>
    <n v="4019195.7288314267"/>
    <n v="3240214.7236599042"/>
  </r>
  <r>
    <s v="Refaturamento - Regular"/>
    <x v="4"/>
    <x v="4"/>
    <x v="7"/>
    <x v="2"/>
    <x v="0"/>
    <x v="0"/>
    <x v="1"/>
    <x v="0"/>
    <n v="0"/>
    <n v="0"/>
    <n v="-5.1719999999999997"/>
    <n v="-5.1719999999999997"/>
    <n v="-5.1719999999999997"/>
    <n v="-5.1719999999999997"/>
    <n v="0"/>
    <x v="2"/>
    <n v="0"/>
    <n v="0"/>
    <n v="46"/>
    <n v="111"/>
    <n v="0"/>
    <n v="300.3"/>
    <n v="292.36"/>
    <m/>
    <n v="385.7156580869115"/>
    <n v="310.95812167444689"/>
    <n v="0"/>
    <n v="-1553.1515999999999"/>
    <n v="-1512.08592"/>
    <n v="0"/>
    <n v="-1994.9213836255062"/>
    <n v="-1608.2754053002393"/>
  </r>
  <r>
    <s v="Sistema de Compensação"/>
    <x v="4"/>
    <x v="4"/>
    <x v="7"/>
    <x v="2"/>
    <x v="0"/>
    <x v="0"/>
    <x v="1"/>
    <x v="0"/>
    <n v="0"/>
    <n v="0"/>
    <n v="55.469000000000001"/>
    <n v="55.469000000000001"/>
    <n v="55.469000000000001"/>
    <n v="55.469000000000001"/>
    <n v="424"/>
    <x v="2"/>
    <n v="0"/>
    <n v="0"/>
    <n v="46"/>
    <n v="111"/>
    <n v="0"/>
    <n v="300.3"/>
    <n v="292.36"/>
    <m/>
    <n v="385.7156580869115"/>
    <n v="310.95812167444689"/>
    <n v="0"/>
    <n v="16657.340700000001"/>
    <n v="16216.916840000002"/>
    <n v="0"/>
    <n v="21395.261838422895"/>
    <n v="17248.536051159896"/>
  </r>
  <r>
    <s v="Sistema de Compensação"/>
    <x v="4"/>
    <x v="4"/>
    <x v="7"/>
    <x v="2"/>
    <x v="0"/>
    <x v="0"/>
    <x v="1"/>
    <x v="0"/>
    <n v="0"/>
    <n v="0"/>
    <n v="-4.0000000000000001E-3"/>
    <n v="-4.0000000000000001E-3"/>
    <n v="-4.0000000000000001E-3"/>
    <n v="-4.0000000000000001E-3"/>
    <n v="4"/>
    <x v="2"/>
    <n v="0"/>
    <n v="0"/>
    <n v="46"/>
    <n v="111"/>
    <n v="0"/>
    <n v="300.3"/>
    <n v="292.36"/>
    <m/>
    <n v="385.7156580869115"/>
    <n v="310.95812167444689"/>
    <n v="0"/>
    <n v="-1.2012"/>
    <n v="-1.16944"/>
    <n v="0"/>
    <n v="-1.542862632347646"/>
    <n v="-1.2438324866977877"/>
  </r>
  <r>
    <s v="Regular"/>
    <x v="4"/>
    <x v="4"/>
    <x v="7"/>
    <x v="2"/>
    <x v="0"/>
    <x v="0"/>
    <x v="1"/>
    <x v="1"/>
    <n v="0"/>
    <n v="0"/>
    <n v="10009.361000000001"/>
    <n v="10009.361000000001"/>
    <n v="10009.361000000001"/>
    <n v="10009.361000000001"/>
    <n v="68502"/>
    <x v="2"/>
    <n v="0"/>
    <n v="0"/>
    <n v="46"/>
    <n v="111"/>
    <n v="0"/>
    <n v="300.3"/>
    <n v="292.36"/>
    <m/>
    <n v="385.7156580869115"/>
    <n v="310.95812167444689"/>
    <n v="0"/>
    <n v="3005811.1083000004"/>
    <n v="2926336.7819600003"/>
    <n v="0"/>
    <n v="3860767.2651444669"/>
    <n v="3112492.0957214637"/>
  </r>
  <r>
    <s v="Refaturamento - Regular"/>
    <x v="4"/>
    <x v="4"/>
    <x v="7"/>
    <x v="2"/>
    <x v="0"/>
    <x v="0"/>
    <x v="1"/>
    <x v="1"/>
    <n v="0"/>
    <n v="0"/>
    <n v="-12.653"/>
    <n v="-12.653"/>
    <n v="-12.653"/>
    <n v="-12.653"/>
    <n v="0"/>
    <x v="2"/>
    <n v="0"/>
    <n v="0"/>
    <n v="46"/>
    <n v="111"/>
    <n v="0"/>
    <n v="300.3"/>
    <n v="292.36"/>
    <m/>
    <n v="385.7156580869115"/>
    <n v="310.95812167444689"/>
    <n v="0"/>
    <n v="-3799.6959000000002"/>
    <n v="-3699.2310800000005"/>
    <n v="0"/>
    <n v="-4880.460221773691"/>
    <n v="-3934.5531135467768"/>
  </r>
  <r>
    <s v="Sistema de Compensação"/>
    <x v="4"/>
    <x v="4"/>
    <x v="7"/>
    <x v="2"/>
    <x v="0"/>
    <x v="0"/>
    <x v="1"/>
    <x v="1"/>
    <n v="0"/>
    <n v="0"/>
    <n v="54.781999999999996"/>
    <n v="54.781999999999996"/>
    <n v="54.781999999999996"/>
    <n v="54.781999999999996"/>
    <n v="468"/>
    <x v="2"/>
    <n v="0"/>
    <n v="0"/>
    <n v="46"/>
    <n v="111"/>
    <n v="0"/>
    <n v="300.3"/>
    <n v="292.36"/>
    <m/>
    <n v="385.7156580869115"/>
    <n v="310.95812167444689"/>
    <n v="0"/>
    <n v="16451.034599999999"/>
    <n v="16016.06552"/>
    <n v="0"/>
    <n v="21130.275181317185"/>
    <n v="17034.907821569548"/>
  </r>
  <r>
    <s v="Regular"/>
    <x v="4"/>
    <x v="4"/>
    <x v="7"/>
    <x v="2"/>
    <x v="0"/>
    <x v="0"/>
    <x v="1"/>
    <x v="2"/>
    <n v="0"/>
    <n v="0"/>
    <n v="10963.914000000001"/>
    <n v="10963.914000000001"/>
    <n v="10963.914000000001"/>
    <n v="10963.914000000001"/>
    <n v="68877"/>
    <x v="2"/>
    <n v="0"/>
    <n v="0"/>
    <n v="46"/>
    <n v="111"/>
    <n v="0"/>
    <n v="300.3"/>
    <n v="292.36"/>
    <m/>
    <n v="385.7156580869115"/>
    <n v="310.95812167444689"/>
    <n v="0"/>
    <n v="3292463.3742000004"/>
    <n v="3205409.8970400002"/>
    <n v="0"/>
    <n v="4228953.3037183024"/>
    <n v="3409318.1036401717"/>
  </r>
  <r>
    <s v="Refaturamento - Regular"/>
    <x v="4"/>
    <x v="4"/>
    <x v="7"/>
    <x v="2"/>
    <x v="0"/>
    <x v="0"/>
    <x v="1"/>
    <x v="2"/>
    <n v="0"/>
    <n v="0"/>
    <n v="-8.2059999999999995"/>
    <n v="-8.2059999999999995"/>
    <n v="-8.2059999999999995"/>
    <n v="-8.2059999999999995"/>
    <n v="0"/>
    <x v="2"/>
    <n v="0"/>
    <n v="0"/>
    <n v="46"/>
    <n v="111"/>
    <n v="0"/>
    <n v="300.3"/>
    <n v="292.36"/>
    <m/>
    <n v="385.7156580869115"/>
    <n v="310.95812167444689"/>
    <n v="0"/>
    <n v="-2464.2617999999998"/>
    <n v="-2399.1061599999998"/>
    <n v="0"/>
    <n v="-3165.1826902611956"/>
    <n v="-2551.7223464605108"/>
  </r>
  <r>
    <s v="Sistema de Compensação"/>
    <x v="4"/>
    <x v="4"/>
    <x v="7"/>
    <x v="2"/>
    <x v="0"/>
    <x v="0"/>
    <x v="1"/>
    <x v="2"/>
    <n v="0"/>
    <n v="0"/>
    <n v="68.164000000000001"/>
    <n v="68.164000000000001"/>
    <n v="68.164000000000001"/>
    <n v="68.164000000000001"/>
    <n v="514"/>
    <x v="2"/>
    <n v="0"/>
    <n v="0"/>
    <n v="46"/>
    <n v="111"/>
    <n v="0"/>
    <n v="300.3"/>
    <n v="292.36"/>
    <m/>
    <n v="385.7156580869115"/>
    <n v="310.95812167444689"/>
    <n v="0"/>
    <n v="20469.6492"/>
    <n v="19928.427040000002"/>
    <n v="0"/>
    <n v="26291.922117836235"/>
    <n v="21196.149405816999"/>
  </r>
  <r>
    <s v="Regular"/>
    <x v="4"/>
    <x v="4"/>
    <x v="7"/>
    <x v="2"/>
    <x v="0"/>
    <x v="0"/>
    <x v="1"/>
    <x v="3"/>
    <n v="0"/>
    <n v="0"/>
    <n v="10112.392"/>
    <n v="10112.392"/>
    <n v="10112.392"/>
    <n v="10112.392"/>
    <n v="68436"/>
    <x v="2"/>
    <n v="0"/>
    <n v="0"/>
    <n v="46"/>
    <n v="111"/>
    <n v="0"/>
    <n v="300.3"/>
    <n v="292.36"/>
    <m/>
    <n v="385.7156580869115"/>
    <n v="310.95812167444689"/>
    <n v="0"/>
    <n v="3036751.3176000002"/>
    <n v="2956458.9251200003"/>
    <n v="0"/>
    <n v="3900507.9351128191"/>
    <n v="3144530.4219557033"/>
  </r>
  <r>
    <s v="Refaturamento - Regular"/>
    <x v="4"/>
    <x v="4"/>
    <x v="7"/>
    <x v="2"/>
    <x v="0"/>
    <x v="0"/>
    <x v="1"/>
    <x v="3"/>
    <n v="0"/>
    <n v="0"/>
    <n v="-17.277000000000001"/>
    <n v="-17.277000000000001"/>
    <n v="-17.277000000000001"/>
    <n v="-17.277000000000001"/>
    <n v="0"/>
    <x v="2"/>
    <n v="0"/>
    <n v="0"/>
    <n v="46"/>
    <n v="111"/>
    <n v="0"/>
    <n v="300.3"/>
    <n v="292.36"/>
    <m/>
    <n v="385.7156580869115"/>
    <n v="310.95812167444689"/>
    <n v="0"/>
    <n v="-5188.2831000000006"/>
    <n v="-5051.103720000001"/>
    <n v="0"/>
    <n v="-6664.0094247675706"/>
    <n v="-5372.4234681694188"/>
  </r>
  <r>
    <s v="Sistema de Compensação"/>
    <x v="4"/>
    <x v="4"/>
    <x v="7"/>
    <x v="2"/>
    <x v="0"/>
    <x v="0"/>
    <x v="1"/>
    <x v="3"/>
    <n v="0"/>
    <n v="0"/>
    <n v="68.451999999999998"/>
    <n v="68.451999999999998"/>
    <n v="68.451999999999998"/>
    <n v="68.451999999999998"/>
    <n v="547"/>
    <x v="2"/>
    <n v="0"/>
    <n v="0"/>
    <n v="46"/>
    <n v="111"/>
    <n v="0"/>
    <n v="300.3"/>
    <n v="292.36"/>
    <m/>
    <n v="385.7156580869115"/>
    <n v="310.95812167444689"/>
    <n v="0"/>
    <n v="20556.135600000001"/>
    <n v="20012.62672"/>
    <n v="0"/>
    <n v="26403.008227365266"/>
    <n v="21285.705344859238"/>
  </r>
  <r>
    <s v="Regular"/>
    <x v="4"/>
    <x v="4"/>
    <x v="7"/>
    <x v="2"/>
    <x v="0"/>
    <x v="0"/>
    <x v="1"/>
    <x v="4"/>
    <n v="0"/>
    <n v="0"/>
    <n v="10232.031000000001"/>
    <n v="10232.031000000001"/>
    <n v="10232.031000000001"/>
    <n v="10232.031000000001"/>
    <n v="68550"/>
    <x v="2"/>
    <n v="0"/>
    <n v="0"/>
    <n v="46"/>
    <n v="111"/>
    <n v="0"/>
    <n v="300.3"/>
    <n v="292.36"/>
    <m/>
    <n v="385.7156580869115"/>
    <n v="310.95812167444689"/>
    <n v="0"/>
    <n v="3072678.9093000004"/>
    <n v="2991436.5831600004"/>
    <n v="0"/>
    <n v="3946654.5707306797"/>
    <n v="3181733.1406747126"/>
  </r>
  <r>
    <s v="Refaturamento - Regular"/>
    <x v="4"/>
    <x v="4"/>
    <x v="7"/>
    <x v="2"/>
    <x v="0"/>
    <x v="0"/>
    <x v="1"/>
    <x v="4"/>
    <n v="0"/>
    <n v="0"/>
    <n v="-10.598000000000001"/>
    <n v="-10.598000000000001"/>
    <n v="-10.598000000000001"/>
    <n v="-10.598000000000001"/>
    <n v="0"/>
    <x v="2"/>
    <n v="0"/>
    <n v="0"/>
    <n v="46"/>
    <n v="111"/>
    <n v="0"/>
    <n v="300.3"/>
    <n v="292.36"/>
    <m/>
    <n v="385.7156580869115"/>
    <n v="310.95812167444689"/>
    <n v="0"/>
    <n v="-3182.5794000000005"/>
    <n v="-3098.4312800000002"/>
    <n v="0"/>
    <n v="-4087.8145444050883"/>
    <n v="-3295.5341735057882"/>
  </r>
  <r>
    <s v="Sistema de Compensação"/>
    <x v="4"/>
    <x v="4"/>
    <x v="7"/>
    <x v="2"/>
    <x v="0"/>
    <x v="0"/>
    <x v="1"/>
    <x v="4"/>
    <n v="0"/>
    <n v="0"/>
    <n v="70.27"/>
    <n v="70.27"/>
    <n v="70.27"/>
    <n v="70.27"/>
    <n v="587"/>
    <x v="2"/>
    <n v="0"/>
    <n v="0"/>
    <n v="46"/>
    <n v="111"/>
    <n v="0"/>
    <n v="300.3"/>
    <n v="292.36"/>
    <m/>
    <n v="385.7156580869115"/>
    <n v="310.95812167444689"/>
    <n v="0"/>
    <n v="21102.080999999998"/>
    <n v="20544.137200000001"/>
    <n v="0"/>
    <n v="27104.23929376727"/>
    <n v="21851.027210063381"/>
  </r>
  <r>
    <s v="Sistema de Compensação"/>
    <x v="4"/>
    <x v="4"/>
    <x v="7"/>
    <x v="2"/>
    <x v="0"/>
    <x v="0"/>
    <x v="1"/>
    <x v="4"/>
    <n v="0"/>
    <n v="0"/>
    <n v="0.309"/>
    <n v="0.309"/>
    <n v="0.309"/>
    <n v="0.309"/>
    <n v="7"/>
    <x v="2"/>
    <n v="0"/>
    <n v="0"/>
    <n v="46"/>
    <n v="111"/>
    <n v="0"/>
    <n v="300.3"/>
    <n v="292.36"/>
    <m/>
    <n v="385.7156580869115"/>
    <n v="310.95812167444689"/>
    <n v="0"/>
    <n v="92.792699999999996"/>
    <n v="90.339240000000004"/>
    <n v="0"/>
    <n v="119.18613834885565"/>
    <n v="96.086059597404088"/>
  </r>
  <r>
    <s v="Regular"/>
    <x v="4"/>
    <x v="4"/>
    <x v="7"/>
    <x v="2"/>
    <x v="0"/>
    <x v="0"/>
    <x v="1"/>
    <x v="5"/>
    <n v="0"/>
    <n v="0"/>
    <n v="10453.558000000001"/>
    <n v="10453.558000000001"/>
    <n v="10453.558000000001"/>
    <n v="10453.558000000001"/>
    <n v="68685"/>
    <x v="2"/>
    <n v="0"/>
    <n v="0"/>
    <n v="46"/>
    <n v="111"/>
    <n v="0"/>
    <n v="300.3"/>
    <n v="292.36"/>
    <m/>
    <n v="385.7156580869115"/>
    <n v="310.95812167444689"/>
    <n v="0"/>
    <n v="3139203.4674000004"/>
    <n v="3056202.2168800002"/>
    <n v="0"/>
    <n v="4032101.0033196989"/>
    <n v="3250618.7604948878"/>
  </r>
  <r>
    <s v="Refaturamento - Regular"/>
    <x v="4"/>
    <x v="4"/>
    <x v="7"/>
    <x v="2"/>
    <x v="0"/>
    <x v="0"/>
    <x v="1"/>
    <x v="5"/>
    <n v="0"/>
    <n v="0"/>
    <n v="-8.4649999999999999"/>
    <n v="-8.4649999999999999"/>
    <n v="-8.4649999999999999"/>
    <n v="-8.4649999999999999"/>
    <n v="0"/>
    <x v="2"/>
    <n v="0"/>
    <n v="0"/>
    <n v="46"/>
    <n v="111"/>
    <n v="0"/>
    <n v="300.3"/>
    <n v="292.36"/>
    <m/>
    <n v="385.7156580869115"/>
    <n v="310.95812167444689"/>
    <n v="0"/>
    <n v="-2542.0394999999999"/>
    <n v="-2474.8274000000001"/>
    <n v="0"/>
    <n v="-3265.0830457057059"/>
    <n v="-2632.260499974193"/>
  </r>
  <r>
    <s v="Sistema de Compensação"/>
    <x v="4"/>
    <x v="4"/>
    <x v="7"/>
    <x v="2"/>
    <x v="0"/>
    <x v="0"/>
    <x v="1"/>
    <x v="5"/>
    <n v="0"/>
    <n v="0"/>
    <n v="82.573999999999998"/>
    <n v="82.573999999999998"/>
    <n v="82.573999999999998"/>
    <n v="82.573999999999998"/>
    <n v="632"/>
    <x v="2"/>
    <n v="0"/>
    <n v="0"/>
    <n v="46"/>
    <n v="111"/>
    <n v="0"/>
    <n v="300.3"/>
    <n v="292.36"/>
    <m/>
    <n v="385.7156580869115"/>
    <n v="310.95812167444689"/>
    <n v="0"/>
    <n v="24796.9722"/>
    <n v="24141.334640000001"/>
    <n v="0"/>
    <n v="31850.084750868631"/>
    <n v="25677.055939145775"/>
  </r>
  <r>
    <s v="Regular"/>
    <x v="4"/>
    <x v="4"/>
    <x v="7"/>
    <x v="2"/>
    <x v="0"/>
    <x v="0"/>
    <x v="1"/>
    <x v="6"/>
    <n v="0"/>
    <n v="0"/>
    <n v="10255.894"/>
    <n v="10255.894"/>
    <n v="10255.894"/>
    <n v="10255.894"/>
    <n v="68699"/>
    <x v="2"/>
    <n v="0"/>
    <n v="0"/>
    <n v="46"/>
    <n v="111"/>
    <n v="0"/>
    <n v="300.3"/>
    <n v="292.36"/>
    <m/>
    <n v="385.7156580869115"/>
    <n v="310.95812167444689"/>
    <n v="0"/>
    <n v="3079844.9682"/>
    <n v="2998413.1698400001"/>
    <n v="0"/>
    <n v="3955858.9034796073"/>
    <n v="3189153.5343322298"/>
  </r>
  <r>
    <s v="Refaturamento - Regular"/>
    <x v="4"/>
    <x v="4"/>
    <x v="7"/>
    <x v="2"/>
    <x v="0"/>
    <x v="0"/>
    <x v="1"/>
    <x v="6"/>
    <n v="0"/>
    <n v="0"/>
    <n v="-19.370999999999999"/>
    <n v="-19.370999999999999"/>
    <n v="-19.370999999999999"/>
    <n v="-19.370999999999999"/>
    <n v="0"/>
    <x v="2"/>
    <n v="0"/>
    <n v="0"/>
    <n v="46"/>
    <n v="111"/>
    <n v="0"/>
    <n v="300.3"/>
    <n v="292.36"/>
    <m/>
    <n v="385.7156580869115"/>
    <n v="310.95812167444689"/>
    <n v="0"/>
    <n v="-5817.1112999999996"/>
    <n v="-5663.3055599999998"/>
    <n v="0"/>
    <n v="-7471.6980128015621"/>
    <n v="-6023.5697749557103"/>
  </r>
  <r>
    <s v="Sistema de Compensação"/>
    <x v="4"/>
    <x v="4"/>
    <x v="7"/>
    <x v="2"/>
    <x v="0"/>
    <x v="0"/>
    <x v="1"/>
    <x v="6"/>
    <n v="0"/>
    <n v="0"/>
    <n v="85.396000000000001"/>
    <n v="85.396000000000001"/>
    <n v="85.396000000000001"/>
    <n v="85.396000000000001"/>
    <n v="664"/>
    <x v="2"/>
    <n v="0"/>
    <n v="0"/>
    <n v="46"/>
    <n v="111"/>
    <n v="0"/>
    <n v="300.3"/>
    <n v="292.36"/>
    <m/>
    <n v="385.7156580869115"/>
    <n v="310.95812167444689"/>
    <n v="0"/>
    <n v="25644.418799999999"/>
    <n v="24966.37456"/>
    <n v="0"/>
    <n v="32938.574337989892"/>
    <n v="26554.579758511067"/>
  </r>
  <r>
    <s v="Sistema de Compensação"/>
    <x v="4"/>
    <x v="4"/>
    <x v="7"/>
    <x v="2"/>
    <x v="0"/>
    <x v="0"/>
    <x v="1"/>
    <x v="6"/>
    <n v="0"/>
    <n v="0"/>
    <n v="0.05"/>
    <n v="0.05"/>
    <n v="0.05"/>
    <n v="0.05"/>
    <n v="1"/>
    <x v="2"/>
    <n v="0"/>
    <n v="0"/>
    <n v="46"/>
    <n v="111"/>
    <n v="0"/>
    <n v="300.3"/>
    <n v="292.36"/>
    <m/>
    <n v="385.7156580869115"/>
    <n v="310.95812167444689"/>
    <n v="0"/>
    <n v="15.015000000000001"/>
    <n v="14.618000000000002"/>
    <n v="0"/>
    <n v="19.285782904345577"/>
    <n v="15.547906083722346"/>
  </r>
  <r>
    <s v="Regular"/>
    <x v="4"/>
    <x v="4"/>
    <x v="7"/>
    <x v="2"/>
    <x v="0"/>
    <x v="0"/>
    <x v="1"/>
    <x v="7"/>
    <n v="0"/>
    <n v="0"/>
    <n v="10322.447"/>
    <n v="10322.447"/>
    <n v="10322.447"/>
    <n v="10322.447"/>
    <n v="68914"/>
    <x v="2"/>
    <n v="0"/>
    <n v="0"/>
    <n v="46"/>
    <n v="111"/>
    <n v="0"/>
    <n v="300.3"/>
    <n v="292.36"/>
    <m/>
    <n v="385.7156580869115"/>
    <n v="310.95812167444689"/>
    <n v="0"/>
    <n v="3099830.8341000001"/>
    <n v="3017870.6049200003"/>
    <n v="0"/>
    <n v="3981529.4376722653"/>
    <n v="3209848.7302040295"/>
  </r>
  <r>
    <s v="Refaturamento - Regular"/>
    <x v="4"/>
    <x v="4"/>
    <x v="7"/>
    <x v="2"/>
    <x v="0"/>
    <x v="0"/>
    <x v="1"/>
    <x v="7"/>
    <n v="0"/>
    <n v="0"/>
    <n v="-6.7450000000000001"/>
    <n v="-6.7450000000000001"/>
    <n v="-6.7450000000000001"/>
    <n v="-6.7450000000000001"/>
    <n v="0"/>
    <x v="2"/>
    <n v="0"/>
    <n v="0"/>
    <n v="46"/>
    <n v="111"/>
    <n v="0"/>
    <n v="300.3"/>
    <n v="292.36"/>
    <m/>
    <n v="385.7156580869115"/>
    <n v="310.95812167444689"/>
    <n v="0"/>
    <n v="-2025.5235"/>
    <n v="-1971.9682"/>
    <n v="0"/>
    <n v="-2601.6521137962181"/>
    <n v="-2097.4125306941442"/>
  </r>
  <r>
    <s v="Sistema de Compensação"/>
    <x v="4"/>
    <x v="4"/>
    <x v="7"/>
    <x v="2"/>
    <x v="0"/>
    <x v="0"/>
    <x v="1"/>
    <x v="7"/>
    <n v="0"/>
    <n v="0"/>
    <n v="111.227"/>
    <n v="111.227"/>
    <n v="111.227"/>
    <n v="111.227"/>
    <n v="717"/>
    <x v="2"/>
    <n v="0"/>
    <n v="0"/>
    <n v="46"/>
    <n v="111"/>
    <n v="0"/>
    <n v="300.3"/>
    <n v="292.36"/>
    <m/>
    <n v="385.7156580869115"/>
    <n v="310.95812167444689"/>
    <n v="0"/>
    <n v="33401.468100000006"/>
    <n v="32518.325720000004"/>
    <n v="0"/>
    <n v="42901.995502032907"/>
    <n v="34586.938999483704"/>
  </r>
  <r>
    <s v="Sistema de Compensação"/>
    <x v="4"/>
    <x v="4"/>
    <x v="7"/>
    <x v="2"/>
    <x v="0"/>
    <x v="0"/>
    <x v="1"/>
    <x v="7"/>
    <n v="0"/>
    <n v="0"/>
    <n v="0.17799999999999999"/>
    <n v="0.17799999999999999"/>
    <n v="0.17799999999999999"/>
    <n v="0.17799999999999999"/>
    <n v="1"/>
    <x v="2"/>
    <n v="0"/>
    <n v="0"/>
    <n v="46"/>
    <n v="111"/>
    <n v="0"/>
    <n v="300.3"/>
    <n v="292.36"/>
    <m/>
    <n v="385.7156580869115"/>
    <n v="310.95812167444689"/>
    <n v="0"/>
    <n v="53.453400000000002"/>
    <n v="52.040080000000003"/>
    <n v="0"/>
    <n v="68.657387139470245"/>
    <n v="55.350545658051544"/>
  </r>
  <r>
    <s v="Regular"/>
    <x v="4"/>
    <x v="4"/>
    <x v="7"/>
    <x v="2"/>
    <x v="0"/>
    <x v="0"/>
    <x v="1"/>
    <x v="8"/>
    <n v="0"/>
    <n v="0"/>
    <n v="10725.651"/>
    <n v="10725.651"/>
    <n v="10725.651"/>
    <n v="10725.651"/>
    <n v="69330"/>
    <x v="2"/>
    <n v="0"/>
    <n v="0"/>
    <n v="46"/>
    <n v="111"/>
    <n v="0"/>
    <n v="300.3"/>
    <n v="292.36"/>
    <m/>
    <n v="385.7156580869115"/>
    <n v="310.95812167444689"/>
    <n v="0"/>
    <n v="3220912.9953000001"/>
    <n v="3135751.3263600003"/>
    <n v="0"/>
    <n v="4137051.5338755404"/>
    <n v="3335228.288695653"/>
  </r>
  <r>
    <s v="Regular"/>
    <x v="4"/>
    <x v="4"/>
    <x v="7"/>
    <x v="2"/>
    <x v="0"/>
    <x v="0"/>
    <x v="1"/>
    <x v="9"/>
    <n v="0"/>
    <n v="0"/>
    <n v="10090.436"/>
    <n v="10090.436"/>
    <n v="10090.436"/>
    <n v="10090.436"/>
    <n v="69121"/>
    <x v="2"/>
    <n v="0"/>
    <n v="0"/>
    <n v="46"/>
    <n v="111"/>
    <n v="0"/>
    <n v="300.3"/>
    <n v="292.36"/>
    <m/>
    <n v="385.7156580869115"/>
    <n v="310.95812167444689"/>
    <n v="0"/>
    <n v="3030157.9308000002"/>
    <n v="2950039.8689600001"/>
    <n v="0"/>
    <n v="3892039.1621238627"/>
    <n v="3137703.0254362188"/>
  </r>
  <r>
    <s v="Refaturamento - Regular"/>
    <x v="4"/>
    <x v="4"/>
    <x v="7"/>
    <x v="2"/>
    <x v="0"/>
    <x v="0"/>
    <x v="1"/>
    <x v="9"/>
    <n v="0"/>
    <n v="0"/>
    <n v="-6.5289999999999999"/>
    <n v="-6.5289999999999999"/>
    <n v="-6.5289999999999999"/>
    <n v="-6.5289999999999999"/>
    <n v="0"/>
    <x v="2"/>
    <n v="0"/>
    <n v="0"/>
    <n v="46"/>
    <n v="111"/>
    <n v="0"/>
    <n v="300.3"/>
    <n v="292.36"/>
    <m/>
    <n v="385.7156580869115"/>
    <n v="310.95812167444689"/>
    <n v="0"/>
    <n v="-1960.6587"/>
    <n v="-1908.81844"/>
    <n v="0"/>
    <n v="-2518.3375316494453"/>
    <n v="-2030.2455764124636"/>
  </r>
  <r>
    <s v="Sistema de Compensação"/>
    <x v="4"/>
    <x v="4"/>
    <x v="7"/>
    <x v="2"/>
    <x v="0"/>
    <x v="0"/>
    <x v="1"/>
    <x v="9"/>
    <n v="0"/>
    <n v="0"/>
    <n v="102.729"/>
    <n v="102.729"/>
    <n v="102.729"/>
    <n v="102.729"/>
    <n v="809"/>
    <x v="2"/>
    <n v="0"/>
    <n v="0"/>
    <n v="46"/>
    <n v="111"/>
    <n v="0"/>
    <n v="300.3"/>
    <n v="292.36"/>
    <m/>
    <n v="385.7156580869115"/>
    <n v="310.95812167444689"/>
    <n v="0"/>
    <n v="30849.518700000001"/>
    <n v="30033.850440000002"/>
    <n v="0"/>
    <n v="39624.183839610334"/>
    <n v="31944.416881494253"/>
  </r>
  <r>
    <s v="Sistema de Compensação"/>
    <x v="4"/>
    <x v="4"/>
    <x v="7"/>
    <x v="2"/>
    <x v="0"/>
    <x v="0"/>
    <x v="1"/>
    <x v="9"/>
    <n v="0"/>
    <n v="0"/>
    <n v="-9.1999999999999998E-2"/>
    <n v="-9.1999999999999998E-2"/>
    <n v="-9.1999999999999998E-2"/>
    <n v="-9.1999999999999998E-2"/>
    <n v="4"/>
    <x v="2"/>
    <n v="0"/>
    <n v="0"/>
    <n v="46"/>
    <n v="111"/>
    <n v="0"/>
    <n v="300.3"/>
    <n v="292.36"/>
    <m/>
    <n v="385.7156580869115"/>
    <n v="310.95812167444689"/>
    <n v="0"/>
    <n v="-27.627600000000001"/>
    <n v="-26.897120000000001"/>
    <n v="0"/>
    <n v="-35.485840543995856"/>
    <n v="-28.608147194049113"/>
  </r>
  <r>
    <s v="Regular"/>
    <x v="4"/>
    <x v="4"/>
    <x v="7"/>
    <x v="2"/>
    <x v="0"/>
    <x v="0"/>
    <x v="1"/>
    <x v="10"/>
    <n v="0"/>
    <n v="0"/>
    <n v="11077.602999999999"/>
    <n v="11077.602999999999"/>
    <n v="11077.602999999999"/>
    <n v="11077.602999999999"/>
    <n v="69259"/>
    <x v="2"/>
    <n v="0"/>
    <n v="0"/>
    <n v="46"/>
    <n v="111"/>
    <n v="0"/>
    <n v="300.3"/>
    <n v="292.36"/>
    <m/>
    <n v="385.7156580869115"/>
    <n v="310.95812167444689"/>
    <n v="0"/>
    <n v="3326604.1809"/>
    <n v="3238648.0130799999"/>
    <n v="0"/>
    <n v="4272804.9311705446"/>
    <n v="3444670.6215352174"/>
  </r>
  <r>
    <s v="Refaturamento - Regular"/>
    <x v="4"/>
    <x v="4"/>
    <x v="7"/>
    <x v="2"/>
    <x v="0"/>
    <x v="0"/>
    <x v="1"/>
    <x v="10"/>
    <n v="0"/>
    <n v="0"/>
    <n v="-10.504"/>
    <n v="-10.504"/>
    <n v="-10.504"/>
    <n v="-10.504"/>
    <n v="0"/>
    <x v="2"/>
    <n v="0"/>
    <n v="0"/>
    <n v="46"/>
    <n v="111"/>
    <n v="0"/>
    <n v="300.3"/>
    <n v="292.36"/>
    <m/>
    <n v="385.7156580869115"/>
    <n v="310.95812167444689"/>
    <n v="0"/>
    <n v="-3154.3512000000001"/>
    <n v="-3070.9494399999999"/>
    <n v="0"/>
    <n v="-4051.5572725449183"/>
    <n v="-3266.3041100683899"/>
  </r>
  <r>
    <s v="Sistema de Compensação"/>
    <x v="4"/>
    <x v="4"/>
    <x v="7"/>
    <x v="2"/>
    <x v="0"/>
    <x v="0"/>
    <x v="1"/>
    <x v="10"/>
    <n v="0"/>
    <n v="0"/>
    <n v="115.226"/>
    <n v="115.226"/>
    <n v="115.226"/>
    <n v="115.226"/>
    <n v="873"/>
    <x v="2"/>
    <n v="0"/>
    <n v="0"/>
    <n v="46"/>
    <n v="111"/>
    <n v="0"/>
    <n v="300.3"/>
    <n v="292.36"/>
    <m/>
    <n v="385.7156580869115"/>
    <n v="310.95812167444689"/>
    <n v="0"/>
    <n v="34602.3678"/>
    <n v="33687.473360000004"/>
    <n v="0"/>
    <n v="44444.472418722464"/>
    <n v="35830.460528059819"/>
  </r>
  <r>
    <s v="PROJETADO"/>
    <x v="4"/>
    <x v="4"/>
    <x v="7"/>
    <x v="2"/>
    <x v="0"/>
    <x v="0"/>
    <x v="1"/>
    <x v="11"/>
    <n v="0"/>
    <n v="0"/>
    <n v="11077.602999999999"/>
    <n v="11077.602999999999"/>
    <n v="11077.602999999999"/>
    <n v="11077.602999999999"/>
    <n v="69259"/>
    <x v="2"/>
    <n v="0"/>
    <n v="0"/>
    <n v="46"/>
    <n v="111"/>
    <n v="0"/>
    <n v="300.3"/>
    <n v="292.36"/>
    <m/>
    <n v="385.7156580869115"/>
    <n v="310.95812167444689"/>
    <n v="0"/>
    <n v="3326604.1809"/>
    <n v="3238648.0130799999"/>
    <n v="0"/>
    <n v="4272804.9311705446"/>
    <n v="3444670.6215352174"/>
  </r>
  <r>
    <s v="PROJETADO"/>
    <x v="4"/>
    <x v="4"/>
    <x v="7"/>
    <x v="2"/>
    <x v="0"/>
    <x v="0"/>
    <x v="1"/>
    <x v="11"/>
    <n v="0"/>
    <n v="0"/>
    <n v="-10.504"/>
    <n v="-10.504"/>
    <n v="-10.504"/>
    <n v="-10.504"/>
    <n v="0"/>
    <x v="2"/>
    <n v="0"/>
    <n v="0"/>
    <n v="46"/>
    <n v="111"/>
    <n v="0"/>
    <n v="300.3"/>
    <n v="292.36"/>
    <m/>
    <n v="385.7156580869115"/>
    <n v="310.95812167444689"/>
    <n v="0"/>
    <n v="-3154.3512000000001"/>
    <n v="-3070.9494399999999"/>
    <n v="0"/>
    <n v="-4051.5572725449183"/>
    <n v="-3266.3041100683899"/>
  </r>
  <r>
    <s v="PROJETADO"/>
    <x v="4"/>
    <x v="4"/>
    <x v="7"/>
    <x v="2"/>
    <x v="0"/>
    <x v="0"/>
    <x v="1"/>
    <x v="11"/>
    <n v="0"/>
    <n v="0"/>
    <n v="115.226"/>
    <n v="115.226"/>
    <n v="115.226"/>
    <n v="115.226"/>
    <n v="873"/>
    <x v="2"/>
    <n v="0"/>
    <n v="0"/>
    <n v="46"/>
    <n v="111"/>
    <n v="0"/>
    <n v="300.3"/>
    <n v="292.36"/>
    <m/>
    <n v="385.7156580869115"/>
    <n v="310.95812167444689"/>
    <n v="0"/>
    <n v="34602.3678"/>
    <n v="33687.473360000004"/>
    <n v="0"/>
    <n v="44444.472418722464"/>
    <n v="35830.460528059819"/>
  </r>
  <r>
    <s v="Regular"/>
    <x v="4"/>
    <x v="4"/>
    <x v="7"/>
    <x v="3"/>
    <x v="0"/>
    <x v="0"/>
    <x v="1"/>
    <x v="0"/>
    <n v="0"/>
    <n v="0"/>
    <n v="161.34700000000001"/>
    <n v="161.34700000000001"/>
    <n v="161.34700000000001"/>
    <n v="161.34700000000001"/>
    <n v="141"/>
    <x v="2"/>
    <n v="0"/>
    <n v="0"/>
    <n v="39"/>
    <n v="98"/>
    <n v="0"/>
    <n v="79.06"/>
    <n v="102.32"/>
    <m/>
    <n v="89.38817278528839"/>
    <n v="108.8353425860564"/>
    <n v="0"/>
    <n v="12756.093820000002"/>
    <n v="16509.02504"/>
    <n v="0"/>
    <n v="14422.513514387927"/>
    <n v="17560.256020232442"/>
  </r>
  <r>
    <s v="Refaturamento - Regular"/>
    <x v="4"/>
    <x v="4"/>
    <x v="7"/>
    <x v="3"/>
    <x v="0"/>
    <x v="0"/>
    <x v="1"/>
    <x v="0"/>
    <n v="0"/>
    <n v="0"/>
    <n v="-0.03"/>
    <n v="-0.03"/>
    <n v="-0.03"/>
    <n v="-0.03"/>
    <n v="0"/>
    <x v="2"/>
    <n v="0"/>
    <n v="0"/>
    <n v="39"/>
    <n v="98"/>
    <n v="0"/>
    <n v="79.06"/>
    <n v="102.32"/>
    <m/>
    <n v="89.38817278528839"/>
    <n v="108.8353425860564"/>
    <n v="0"/>
    <n v="-2.3717999999999999"/>
    <n v="-3.0695999999999999"/>
    <n v="0"/>
    <n v="-2.6816451835586514"/>
    <n v="-3.2650602775816919"/>
  </r>
  <r>
    <s v="Sistema de Compensação"/>
    <x v="4"/>
    <x v="4"/>
    <x v="7"/>
    <x v="3"/>
    <x v="0"/>
    <x v="0"/>
    <x v="1"/>
    <x v="0"/>
    <n v="0"/>
    <n v="0"/>
    <n v="0.06"/>
    <n v="-1.7999999999999999E-2"/>
    <n v="0.06"/>
    <n v="-1.7999999999999999E-2"/>
    <n v="0"/>
    <x v="2"/>
    <n v="0"/>
    <n v="0"/>
    <n v="39"/>
    <n v="98"/>
    <n v="0"/>
    <n v="79.06"/>
    <n v="102.32"/>
    <m/>
    <n v="89.38817278528839"/>
    <n v="108.8353425860564"/>
    <n v="0"/>
    <n v="-1.4230799999999999"/>
    <n v="-1.8417599999999998"/>
    <n v="0"/>
    <n v="-1.6089871101351909"/>
    <n v="-1.959036166549015"/>
  </r>
  <r>
    <s v="Regular"/>
    <x v="4"/>
    <x v="4"/>
    <x v="7"/>
    <x v="3"/>
    <x v="0"/>
    <x v="0"/>
    <x v="1"/>
    <x v="1"/>
    <n v="0"/>
    <n v="0"/>
    <n v="169.458"/>
    <n v="169.458"/>
    <n v="169.458"/>
    <n v="169.458"/>
    <n v="165"/>
    <x v="2"/>
    <n v="0"/>
    <n v="0"/>
    <n v="39"/>
    <n v="98"/>
    <n v="0"/>
    <n v="79.06"/>
    <n v="102.32"/>
    <m/>
    <n v="89.38817278528839"/>
    <n v="108.8353425860564"/>
    <n v="0"/>
    <n v="13397.349480000001"/>
    <n v="17338.94256"/>
    <n v="0"/>
    <n v="15147.5409838494"/>
    <n v="18443.019483947945"/>
  </r>
  <r>
    <s v="Refaturamento - Regular"/>
    <x v="4"/>
    <x v="4"/>
    <x v="7"/>
    <x v="3"/>
    <x v="0"/>
    <x v="0"/>
    <x v="1"/>
    <x v="1"/>
    <n v="0"/>
    <n v="0"/>
    <n v="0.15"/>
    <n v="0.15"/>
    <n v="0.15"/>
    <n v="0.15"/>
    <n v="0"/>
    <x v="2"/>
    <n v="0"/>
    <n v="0"/>
    <n v="39"/>
    <n v="98"/>
    <n v="0"/>
    <n v="79.06"/>
    <n v="102.32"/>
    <m/>
    <n v="89.38817278528839"/>
    <n v="108.8353425860564"/>
    <n v="0"/>
    <n v="11.859"/>
    <n v="15.347999999999999"/>
    <n v="0"/>
    <n v="13.408225917793258"/>
    <n v="16.325301387908461"/>
  </r>
  <r>
    <s v="Sistema de Compensação"/>
    <x v="4"/>
    <x v="4"/>
    <x v="7"/>
    <x v="3"/>
    <x v="0"/>
    <x v="0"/>
    <x v="1"/>
    <x v="1"/>
    <n v="0"/>
    <n v="0"/>
    <n v="0.06"/>
    <n v="-1.7999999999999999E-2"/>
    <n v="0.06"/>
    <n v="-1.7999999999999999E-2"/>
    <n v="0"/>
    <x v="2"/>
    <n v="0"/>
    <n v="0"/>
    <n v="39"/>
    <n v="98"/>
    <n v="0"/>
    <n v="79.06"/>
    <n v="102.32"/>
    <m/>
    <n v="89.38817278528839"/>
    <n v="108.8353425860564"/>
    <n v="0"/>
    <n v="-1.4230799999999999"/>
    <n v="-1.8417599999999998"/>
    <n v="0"/>
    <n v="-1.6089871101351909"/>
    <n v="-1.959036166549015"/>
  </r>
  <r>
    <s v="Regular"/>
    <x v="4"/>
    <x v="4"/>
    <x v="7"/>
    <x v="3"/>
    <x v="0"/>
    <x v="0"/>
    <x v="1"/>
    <x v="2"/>
    <n v="0"/>
    <n v="0"/>
    <n v="163.94200000000001"/>
    <n v="163.94200000000001"/>
    <n v="163.94200000000001"/>
    <n v="163.94200000000001"/>
    <n v="144"/>
    <x v="2"/>
    <n v="0"/>
    <n v="0"/>
    <n v="39"/>
    <n v="98"/>
    <n v="0"/>
    <n v="79.06"/>
    <n v="102.32"/>
    <m/>
    <n v="89.38817278528839"/>
    <n v="108.8353425860564"/>
    <n v="0"/>
    <n v="12961.25452"/>
    <n v="16774.545439999998"/>
    <n v="0"/>
    <n v="14654.475822765749"/>
    <n v="17842.683734243259"/>
  </r>
  <r>
    <s v="Sistema de Compensação"/>
    <x v="4"/>
    <x v="4"/>
    <x v="7"/>
    <x v="3"/>
    <x v="0"/>
    <x v="0"/>
    <x v="1"/>
    <x v="2"/>
    <n v="0"/>
    <n v="0"/>
    <n v="0.06"/>
    <n v="-1.7999999999999999E-2"/>
    <n v="0.06"/>
    <n v="-1.7999999999999999E-2"/>
    <n v="0"/>
    <x v="2"/>
    <n v="0"/>
    <n v="0"/>
    <n v="39"/>
    <n v="98"/>
    <n v="0"/>
    <n v="79.06"/>
    <n v="102.32"/>
    <m/>
    <n v="89.38817278528839"/>
    <n v="108.8353425860564"/>
    <n v="0"/>
    <n v="-1.4230799999999999"/>
    <n v="-1.8417599999999998"/>
    <n v="0"/>
    <n v="-1.6089871101351909"/>
    <n v="-1.959036166549015"/>
  </r>
  <r>
    <s v="Regular"/>
    <x v="4"/>
    <x v="4"/>
    <x v="7"/>
    <x v="3"/>
    <x v="0"/>
    <x v="0"/>
    <x v="1"/>
    <x v="3"/>
    <n v="0"/>
    <n v="0"/>
    <n v="182.23699999999999"/>
    <n v="182.23699999999999"/>
    <n v="182.23699999999999"/>
    <n v="182.23699999999999"/>
    <n v="196"/>
    <x v="2"/>
    <n v="0"/>
    <n v="0"/>
    <n v="39"/>
    <n v="98"/>
    <n v="0"/>
    <n v="79.06"/>
    <n v="102.32"/>
    <m/>
    <n v="89.38817278528839"/>
    <n v="108.8353425860564"/>
    <n v="0"/>
    <n v="14407.657219999999"/>
    <n v="18646.489839999998"/>
    <n v="0"/>
    <n v="16289.832443872599"/>
    <n v="19833.82632685516"/>
  </r>
  <r>
    <s v="Sistema de Compensação"/>
    <x v="4"/>
    <x v="4"/>
    <x v="7"/>
    <x v="3"/>
    <x v="0"/>
    <x v="0"/>
    <x v="1"/>
    <x v="3"/>
    <n v="0"/>
    <n v="0"/>
    <n v="0.06"/>
    <n v="-1.7999999999999999E-2"/>
    <n v="0.06"/>
    <n v="-1.7999999999999999E-2"/>
    <n v="0"/>
    <x v="2"/>
    <n v="0"/>
    <n v="0"/>
    <n v="39"/>
    <n v="98"/>
    <n v="0"/>
    <n v="79.06"/>
    <n v="102.32"/>
    <m/>
    <n v="89.38817278528839"/>
    <n v="108.8353425860564"/>
    <n v="0"/>
    <n v="-1.4230799999999999"/>
    <n v="-1.8417599999999998"/>
    <n v="0"/>
    <n v="-1.6089871101351909"/>
    <n v="-1.959036166549015"/>
  </r>
  <r>
    <s v="Regular"/>
    <x v="4"/>
    <x v="4"/>
    <x v="7"/>
    <x v="3"/>
    <x v="0"/>
    <x v="0"/>
    <x v="1"/>
    <x v="4"/>
    <n v="0"/>
    <n v="0"/>
    <n v="188.01499999999999"/>
    <n v="188.01499999999999"/>
    <n v="188.01499999999999"/>
    <n v="188.01499999999999"/>
    <n v="182"/>
    <x v="2"/>
    <n v="0"/>
    <n v="0"/>
    <n v="39"/>
    <n v="98"/>
    <n v="0"/>
    <n v="79.06"/>
    <n v="102.32"/>
    <m/>
    <n v="89.38817278528839"/>
    <n v="108.8353425860564"/>
    <n v="0"/>
    <n v="14864.465899999999"/>
    <n v="19237.694799999997"/>
    <n v="0"/>
    <n v="16806.317306225996"/>
    <n v="20462.676936317392"/>
  </r>
  <r>
    <s v="Sistema de Compensação"/>
    <x v="4"/>
    <x v="4"/>
    <x v="7"/>
    <x v="3"/>
    <x v="0"/>
    <x v="0"/>
    <x v="1"/>
    <x v="4"/>
    <n v="0"/>
    <n v="0"/>
    <n v="0.06"/>
    <n v="-1.7999999999999999E-2"/>
    <n v="0.06"/>
    <n v="-1.7999999999999999E-2"/>
    <n v="0"/>
    <x v="2"/>
    <n v="0"/>
    <n v="0"/>
    <n v="39"/>
    <n v="98"/>
    <n v="0"/>
    <n v="79.06"/>
    <n v="102.32"/>
    <m/>
    <n v="89.38817278528839"/>
    <n v="108.8353425860564"/>
    <n v="0"/>
    <n v="-1.4230799999999999"/>
    <n v="-1.8417599999999998"/>
    <n v="0"/>
    <n v="-1.6089871101351909"/>
    <n v="-1.959036166549015"/>
  </r>
  <r>
    <s v="Regular"/>
    <x v="4"/>
    <x v="4"/>
    <x v="7"/>
    <x v="3"/>
    <x v="0"/>
    <x v="0"/>
    <x v="1"/>
    <x v="5"/>
    <n v="0"/>
    <n v="0"/>
    <n v="189.18700000000001"/>
    <n v="189.18700000000001"/>
    <n v="189.18700000000001"/>
    <n v="189.18700000000001"/>
    <n v="195"/>
    <x v="2"/>
    <n v="0"/>
    <n v="0"/>
    <n v="39"/>
    <n v="98"/>
    <n v="0"/>
    <n v="79.06"/>
    <n v="102.32"/>
    <m/>
    <n v="89.38817278528839"/>
    <n v="108.8353425860564"/>
    <n v="0"/>
    <n v="14957.124220000002"/>
    <n v="19357.613839999998"/>
    <n v="0"/>
    <n v="16911.080244730354"/>
    <n v="20590.231957828255"/>
  </r>
  <r>
    <s v="Refaturamento - Regular"/>
    <x v="4"/>
    <x v="4"/>
    <x v="7"/>
    <x v="3"/>
    <x v="0"/>
    <x v="0"/>
    <x v="1"/>
    <x v="5"/>
    <n v="0"/>
    <n v="0"/>
    <n v="0.09"/>
    <n v="0.09"/>
    <n v="0.09"/>
    <n v="0.09"/>
    <n v="0"/>
    <x v="2"/>
    <n v="0"/>
    <n v="0"/>
    <n v="39"/>
    <n v="98"/>
    <n v="0"/>
    <n v="79.06"/>
    <n v="102.32"/>
    <m/>
    <n v="89.38817278528839"/>
    <n v="108.8353425860564"/>
    <n v="0"/>
    <n v="7.1154000000000002"/>
    <n v="9.2087999999999983"/>
    <n v="0"/>
    <n v="8.0449355506759552"/>
    <n v="9.7951808327450749"/>
  </r>
  <r>
    <s v="Sistema de Compensação"/>
    <x v="4"/>
    <x v="4"/>
    <x v="7"/>
    <x v="3"/>
    <x v="0"/>
    <x v="0"/>
    <x v="1"/>
    <x v="5"/>
    <n v="0"/>
    <n v="0"/>
    <n v="0.03"/>
    <n v="-8.9999999999999993E-3"/>
    <n v="0.03"/>
    <n v="-8.9999999999999993E-3"/>
    <n v="0"/>
    <x v="2"/>
    <n v="0"/>
    <n v="0"/>
    <n v="39"/>
    <n v="98"/>
    <n v="0"/>
    <n v="79.06"/>
    <n v="102.32"/>
    <m/>
    <n v="89.38817278528839"/>
    <n v="108.8353425860564"/>
    <n v="0"/>
    <n v="-0.71153999999999995"/>
    <n v="-0.92087999999999992"/>
    <n v="0"/>
    <n v="-0.80449355506759546"/>
    <n v="-0.97951808327450751"/>
  </r>
  <r>
    <s v="Regular"/>
    <x v="4"/>
    <x v="4"/>
    <x v="7"/>
    <x v="3"/>
    <x v="0"/>
    <x v="0"/>
    <x v="1"/>
    <x v="6"/>
    <n v="0"/>
    <n v="0"/>
    <n v="193.66300000000001"/>
    <n v="193.66300000000001"/>
    <n v="193.66300000000001"/>
    <n v="193.66300000000001"/>
    <n v="213"/>
    <x v="2"/>
    <n v="0"/>
    <n v="0"/>
    <n v="39"/>
    <n v="98"/>
    <n v="0"/>
    <n v="79.06"/>
    <n v="102.32"/>
    <m/>
    <n v="89.38817278528839"/>
    <n v="108.8353425860564"/>
    <n v="0"/>
    <n v="15310.996780000001"/>
    <n v="19815.598160000001"/>
    <n v="0"/>
    <n v="17311.181706117306"/>
    <n v="21077.378951243441"/>
  </r>
  <r>
    <s v="Sistema de Compensação"/>
    <x v="4"/>
    <x v="4"/>
    <x v="7"/>
    <x v="3"/>
    <x v="0"/>
    <x v="0"/>
    <x v="1"/>
    <x v="6"/>
    <n v="0"/>
    <n v="0"/>
    <n v="5.0999999999999997E-2"/>
    <n v="-1.5299999999999999E-2"/>
    <n v="5.0999999999999997E-2"/>
    <n v="-1.5299999999999999E-2"/>
    <n v="0"/>
    <x v="2"/>
    <n v="0"/>
    <n v="0"/>
    <n v="39"/>
    <n v="98"/>
    <n v="0"/>
    <n v="79.06"/>
    <n v="102.32"/>
    <m/>
    <n v="89.38817278528839"/>
    <n v="108.8353425860564"/>
    <n v="0"/>
    <n v="-1.2096180000000001"/>
    <n v="-1.5654959999999998"/>
    <n v="0"/>
    <n v="-1.3676390436149124"/>
    <n v="-1.6651807415666628"/>
  </r>
  <r>
    <s v="Regular"/>
    <x v="4"/>
    <x v="4"/>
    <x v="7"/>
    <x v="3"/>
    <x v="0"/>
    <x v="0"/>
    <x v="1"/>
    <x v="7"/>
    <n v="0"/>
    <n v="0"/>
    <n v="187.27"/>
    <n v="187.27"/>
    <n v="187.27"/>
    <n v="187.27"/>
    <n v="228"/>
    <x v="2"/>
    <n v="0"/>
    <n v="0"/>
    <n v="39"/>
    <n v="98"/>
    <n v="0"/>
    <n v="79.06"/>
    <n v="102.32"/>
    <m/>
    <n v="89.38817278528839"/>
    <n v="108.8353425860564"/>
    <n v="0"/>
    <n v="14805.566200000001"/>
    <n v="19161.466400000001"/>
    <n v="0"/>
    <n v="16739.723117500958"/>
    <n v="20381.594606090785"/>
  </r>
  <r>
    <s v="Sistema de Compensação"/>
    <x v="4"/>
    <x v="4"/>
    <x v="7"/>
    <x v="3"/>
    <x v="0"/>
    <x v="0"/>
    <x v="1"/>
    <x v="7"/>
    <n v="0"/>
    <n v="0"/>
    <n v="2.5999999999999999E-2"/>
    <n v="-7.7999999999999996E-3"/>
    <n v="2.5999999999999999E-2"/>
    <n v="-7.7999999999999996E-3"/>
    <n v="0"/>
    <x v="2"/>
    <n v="0"/>
    <n v="0"/>
    <n v="39"/>
    <n v="98"/>
    <n v="0"/>
    <n v="79.06"/>
    <n v="102.32"/>
    <m/>
    <n v="89.38817278528839"/>
    <n v="108.8353425860564"/>
    <n v="0"/>
    <n v="-0.61666799999999999"/>
    <n v="-0.79809599999999992"/>
    <n v="0"/>
    <n v="-0.69722774772524942"/>
    <n v="-0.84891567217123987"/>
  </r>
  <r>
    <s v="Regular"/>
    <x v="4"/>
    <x v="4"/>
    <x v="7"/>
    <x v="3"/>
    <x v="0"/>
    <x v="0"/>
    <x v="1"/>
    <x v="8"/>
    <n v="0"/>
    <n v="0"/>
    <n v="177.684"/>
    <n v="177.684"/>
    <n v="177.684"/>
    <n v="177.684"/>
    <n v="231"/>
    <x v="2"/>
    <n v="0"/>
    <n v="0"/>
    <n v="39"/>
    <n v="98"/>
    <n v="0"/>
    <n v="79.06"/>
    <n v="102.32"/>
    <m/>
    <n v="89.38817278528839"/>
    <n v="108.8353425860564"/>
    <n v="0"/>
    <n v="14047.697040000001"/>
    <n v="18180.62688"/>
    <n v="0"/>
    <n v="15882.848093181183"/>
    <n v="19338.299012060845"/>
  </r>
  <r>
    <s v="Regular"/>
    <x v="4"/>
    <x v="4"/>
    <x v="7"/>
    <x v="3"/>
    <x v="0"/>
    <x v="0"/>
    <x v="1"/>
    <x v="9"/>
    <n v="0"/>
    <n v="0"/>
    <n v="183.559"/>
    <n v="183.559"/>
    <n v="183.559"/>
    <n v="183.559"/>
    <n v="233"/>
    <x v="2"/>
    <n v="0"/>
    <n v="0"/>
    <n v="39"/>
    <n v="98"/>
    <n v="0"/>
    <n v="79.06"/>
    <n v="102.32"/>
    <m/>
    <n v="89.38817278528839"/>
    <n v="108.8353425860564"/>
    <n v="0"/>
    <n v="14512.17454"/>
    <n v="18781.756879999997"/>
    <n v="0"/>
    <n v="16408.003608294752"/>
    <n v="19977.706649753927"/>
  </r>
  <r>
    <s v="Refaturamento - Regular"/>
    <x v="4"/>
    <x v="4"/>
    <x v="7"/>
    <x v="3"/>
    <x v="0"/>
    <x v="0"/>
    <x v="1"/>
    <x v="9"/>
    <n v="0"/>
    <n v="0"/>
    <n v="-0.03"/>
    <n v="-0.03"/>
    <n v="-0.03"/>
    <n v="-0.03"/>
    <n v="0"/>
    <x v="2"/>
    <n v="0"/>
    <n v="0"/>
    <n v="39"/>
    <n v="98"/>
    <n v="0"/>
    <n v="79.06"/>
    <n v="102.32"/>
    <m/>
    <n v="89.38817278528839"/>
    <n v="108.8353425860564"/>
    <n v="0"/>
    <n v="-2.3717999999999999"/>
    <n v="-3.0695999999999999"/>
    <n v="0"/>
    <n v="-2.6816451835586514"/>
    <n v="-3.2650602775816919"/>
  </r>
  <r>
    <s v="Sistema de Compensação"/>
    <x v="4"/>
    <x v="4"/>
    <x v="7"/>
    <x v="3"/>
    <x v="0"/>
    <x v="0"/>
    <x v="1"/>
    <x v="9"/>
    <n v="0"/>
    <n v="0"/>
    <n v="1.7000000000000001E-2"/>
    <n v="5.9500000000000004E-3"/>
    <n v="1.7000000000000001E-2"/>
    <n v="5.9500000000000004E-3"/>
    <n v="0"/>
    <x v="2"/>
    <n v="0"/>
    <n v="0"/>
    <n v="39"/>
    <n v="98"/>
    <n v="0"/>
    <n v="79.06"/>
    <n v="102.32"/>
    <m/>
    <n v="89.38817278528839"/>
    <n v="108.8353425860564"/>
    <n v="0"/>
    <n v="0.47040700000000002"/>
    <n v="0.60880400000000001"/>
    <n v="0"/>
    <n v="0.53185962807246601"/>
    <n v="0.64757028838703556"/>
  </r>
  <r>
    <s v="Regular"/>
    <x v="4"/>
    <x v="4"/>
    <x v="7"/>
    <x v="3"/>
    <x v="0"/>
    <x v="0"/>
    <x v="1"/>
    <x v="10"/>
    <n v="0"/>
    <n v="0"/>
    <n v="183.197"/>
    <n v="183.197"/>
    <n v="183.197"/>
    <n v="183.197"/>
    <n v="202"/>
    <x v="2"/>
    <n v="0"/>
    <n v="0"/>
    <n v="39"/>
    <n v="98"/>
    <n v="0"/>
    <n v="79.06"/>
    <n v="102.32"/>
    <m/>
    <n v="89.38817278528839"/>
    <n v="108.8353425860564"/>
    <n v="0"/>
    <n v="14483.554820000001"/>
    <n v="18744.71704"/>
    <n v="0"/>
    <n v="16375.645089746477"/>
    <n v="19938.308255737775"/>
  </r>
  <r>
    <s v="Refaturamento - Regular"/>
    <x v="4"/>
    <x v="4"/>
    <x v="7"/>
    <x v="3"/>
    <x v="0"/>
    <x v="0"/>
    <x v="1"/>
    <x v="10"/>
    <n v="0"/>
    <n v="0"/>
    <n v="-0.06"/>
    <n v="-0.06"/>
    <n v="-0.06"/>
    <n v="-0.06"/>
    <n v="0"/>
    <x v="2"/>
    <n v="0"/>
    <n v="0"/>
    <n v="39"/>
    <n v="98"/>
    <n v="0"/>
    <n v="79.06"/>
    <n v="102.32"/>
    <m/>
    <n v="89.38817278528839"/>
    <n v="108.8353425860564"/>
    <n v="0"/>
    <n v="-4.7435999999999998"/>
    <n v="-6.1391999999999998"/>
    <n v="0"/>
    <n v="-5.3632903671173029"/>
    <n v="-6.5301205551633839"/>
  </r>
  <r>
    <s v="Sistema de Compensação"/>
    <x v="4"/>
    <x v="4"/>
    <x v="7"/>
    <x v="3"/>
    <x v="0"/>
    <x v="0"/>
    <x v="1"/>
    <x v="10"/>
    <n v="0"/>
    <n v="0"/>
    <n v="3.5000000000000003E-2"/>
    <n v="1.225E-2"/>
    <n v="3.5000000000000003E-2"/>
    <n v="1.225E-2"/>
    <n v="0"/>
    <x v="2"/>
    <n v="0"/>
    <n v="0"/>
    <n v="39"/>
    <n v="98"/>
    <n v="0"/>
    <n v="79.06"/>
    <n v="102.32"/>
    <m/>
    <n v="89.38817278528839"/>
    <n v="108.8353425860564"/>
    <n v="0"/>
    <n v="0.96848500000000004"/>
    <n v="1.25342"/>
    <n v="0"/>
    <n v="1.0950051166197827"/>
    <n v="1.333232946679191"/>
  </r>
  <r>
    <s v="PROJETADO"/>
    <x v="4"/>
    <x v="4"/>
    <x v="7"/>
    <x v="3"/>
    <x v="0"/>
    <x v="0"/>
    <x v="1"/>
    <x v="11"/>
    <n v="0"/>
    <n v="0"/>
    <n v="183.197"/>
    <n v="183.197"/>
    <n v="183.197"/>
    <n v="183.197"/>
    <n v="202"/>
    <x v="2"/>
    <n v="0"/>
    <n v="0"/>
    <n v="39"/>
    <n v="98"/>
    <n v="0"/>
    <n v="79.06"/>
    <n v="102.32"/>
    <m/>
    <n v="89.38817278528839"/>
    <n v="108.8353425860564"/>
    <n v="0"/>
    <n v="14483.554820000001"/>
    <n v="18744.71704"/>
    <n v="0"/>
    <n v="16375.645089746477"/>
    <n v="19938.308255737775"/>
  </r>
  <r>
    <s v="PROJETADO"/>
    <x v="4"/>
    <x v="4"/>
    <x v="7"/>
    <x v="3"/>
    <x v="0"/>
    <x v="0"/>
    <x v="1"/>
    <x v="11"/>
    <n v="0"/>
    <n v="0"/>
    <n v="-0.06"/>
    <n v="-0.06"/>
    <n v="-0.06"/>
    <n v="-0.06"/>
    <n v="0"/>
    <x v="2"/>
    <n v="0"/>
    <n v="0"/>
    <n v="39"/>
    <n v="98"/>
    <n v="0"/>
    <n v="79.06"/>
    <n v="102.32"/>
    <m/>
    <n v="89.38817278528839"/>
    <n v="108.8353425860564"/>
    <n v="0"/>
    <n v="-4.7435999999999998"/>
    <n v="-6.1391999999999998"/>
    <n v="0"/>
    <n v="-5.3632903671173029"/>
    <n v="-6.5301205551633839"/>
  </r>
  <r>
    <s v="PROJETADO"/>
    <x v="4"/>
    <x v="4"/>
    <x v="7"/>
    <x v="3"/>
    <x v="0"/>
    <x v="0"/>
    <x v="1"/>
    <x v="11"/>
    <n v="0"/>
    <n v="0"/>
    <n v="3.5000000000000003E-2"/>
    <n v="1.225E-2"/>
    <n v="3.5000000000000003E-2"/>
    <n v="1.225E-2"/>
    <n v="0"/>
    <x v="2"/>
    <n v="0"/>
    <n v="0"/>
    <n v="39"/>
    <n v="98"/>
    <n v="0"/>
    <n v="79.06"/>
    <n v="102.32"/>
    <m/>
    <n v="89.38817278528839"/>
    <n v="108.8353425860564"/>
    <n v="0"/>
    <n v="0.96848500000000004"/>
    <n v="1.25342"/>
    <n v="0"/>
    <n v="1.0950051166197827"/>
    <n v="1.333232946679191"/>
  </r>
  <r>
    <s v="Regular"/>
    <x v="4"/>
    <x v="4"/>
    <x v="7"/>
    <x v="4"/>
    <x v="0"/>
    <x v="0"/>
    <x v="1"/>
    <x v="0"/>
    <n v="0"/>
    <n v="0"/>
    <n v="327.26100000000002"/>
    <n v="327.26100000000002"/>
    <n v="327.26100000000002"/>
    <n v="327.26100000000002"/>
    <n v="1478"/>
    <x v="2"/>
    <n v="0"/>
    <n v="0"/>
    <n v="34"/>
    <n v="75"/>
    <n v="0"/>
    <n v="135.52000000000001"/>
    <n v="175.41"/>
    <m/>
    <n v="153.23686763192296"/>
    <n v="186.57487300466812"/>
    <n v="0"/>
    <n v="44350.410720000007"/>
    <n v="57404.852010000002"/>
    <n v="0"/>
    <n v="50148.450538090743"/>
    <n v="61058.679514380696"/>
  </r>
  <r>
    <s v="Refaturamento - Regular"/>
    <x v="4"/>
    <x v="4"/>
    <x v="7"/>
    <x v="4"/>
    <x v="0"/>
    <x v="0"/>
    <x v="1"/>
    <x v="0"/>
    <n v="0"/>
    <n v="0"/>
    <n v="-0.11600000000000001"/>
    <n v="-0.11600000000000001"/>
    <n v="-0.11600000000000001"/>
    <n v="-0.11600000000000001"/>
    <n v="0"/>
    <x v="2"/>
    <n v="0"/>
    <n v="0"/>
    <n v="34"/>
    <n v="75"/>
    <n v="0"/>
    <n v="135.52000000000001"/>
    <n v="175.41"/>
    <m/>
    <n v="153.23686763192296"/>
    <n v="186.57487300466812"/>
    <n v="0"/>
    <n v="-15.720320000000003"/>
    <n v="-20.347560000000001"/>
    <n v="0"/>
    <n v="-17.775476645303065"/>
    <n v="-21.642685268541502"/>
  </r>
  <r>
    <s v="Sistema de Compensação"/>
    <x v="4"/>
    <x v="4"/>
    <x v="7"/>
    <x v="4"/>
    <x v="0"/>
    <x v="0"/>
    <x v="1"/>
    <x v="0"/>
    <n v="0"/>
    <n v="0"/>
    <n v="0.1"/>
    <n v="0.02"/>
    <n v="0.1"/>
    <n v="0.02"/>
    <n v="1"/>
    <x v="2"/>
    <n v="0"/>
    <n v="0"/>
    <n v="34"/>
    <n v="75"/>
    <n v="0"/>
    <n v="135.52000000000001"/>
    <n v="175.41"/>
    <m/>
    <n v="153.23686763192296"/>
    <n v="186.57487300466812"/>
    <n v="0"/>
    <n v="2.7104000000000004"/>
    <n v="3.5082"/>
    <n v="0"/>
    <n v="3.0647373526384594"/>
    <n v="3.7314974600933626"/>
  </r>
  <r>
    <s v="Regular"/>
    <x v="4"/>
    <x v="4"/>
    <x v="7"/>
    <x v="4"/>
    <x v="0"/>
    <x v="0"/>
    <x v="1"/>
    <x v="1"/>
    <n v="0"/>
    <n v="0"/>
    <n v="339.59699999999998"/>
    <n v="339.59699999999998"/>
    <n v="339.59699999999998"/>
    <n v="339.59699999999998"/>
    <n v="1674"/>
    <x v="2"/>
    <n v="0"/>
    <n v="0"/>
    <n v="34"/>
    <n v="75"/>
    <n v="0"/>
    <n v="135.52000000000001"/>
    <n v="175.41"/>
    <m/>
    <n v="153.23686763192296"/>
    <n v="186.57487300466812"/>
    <n v="0"/>
    <n v="46022.185440000001"/>
    <n v="59568.709769999994"/>
    <n v="0"/>
    <n v="52038.780537198138"/>
    <n v="63360.267147766273"/>
  </r>
  <r>
    <s v="Refaturamento - Regular"/>
    <x v="4"/>
    <x v="4"/>
    <x v="7"/>
    <x v="4"/>
    <x v="0"/>
    <x v="0"/>
    <x v="1"/>
    <x v="1"/>
    <n v="0"/>
    <n v="0"/>
    <n v="0.35"/>
    <n v="0.35"/>
    <n v="0.35"/>
    <n v="0.35"/>
    <n v="0"/>
    <x v="2"/>
    <n v="0"/>
    <n v="0"/>
    <n v="34"/>
    <n v="75"/>
    <n v="0"/>
    <n v="135.52000000000001"/>
    <n v="175.41"/>
    <m/>
    <n v="153.23686763192296"/>
    <n v="186.57487300466812"/>
    <n v="0"/>
    <n v="47.432000000000002"/>
    <n v="61.393499999999996"/>
    <n v="0"/>
    <n v="53.632903671173032"/>
    <n v="65.301205551633842"/>
  </r>
  <r>
    <s v="Sistema de Compensação"/>
    <x v="4"/>
    <x v="4"/>
    <x v="7"/>
    <x v="4"/>
    <x v="0"/>
    <x v="0"/>
    <x v="1"/>
    <x v="1"/>
    <n v="0"/>
    <n v="0"/>
    <n v="0.11600000000000001"/>
    <n v="2.3199999999999998E-2"/>
    <n v="0.11600000000000001"/>
    <n v="2.3199999999999998E-2"/>
    <n v="1"/>
    <x v="2"/>
    <n v="0"/>
    <n v="0"/>
    <n v="34"/>
    <n v="75"/>
    <n v="0"/>
    <n v="135.52000000000001"/>
    <n v="175.41"/>
    <m/>
    <n v="153.23686763192296"/>
    <n v="186.57487300466812"/>
    <n v="0"/>
    <n v="3.1440640000000002"/>
    <n v="4.0695119999999996"/>
    <n v="0"/>
    <n v="3.5550953290606127"/>
    <n v="4.3285370537082999"/>
  </r>
  <r>
    <s v="Regular"/>
    <x v="4"/>
    <x v="4"/>
    <x v="7"/>
    <x v="4"/>
    <x v="0"/>
    <x v="0"/>
    <x v="1"/>
    <x v="2"/>
    <n v="0"/>
    <n v="0"/>
    <n v="336.00400000000002"/>
    <n v="336.00400000000002"/>
    <n v="336.00400000000002"/>
    <n v="336.00400000000002"/>
    <n v="1365"/>
    <x v="2"/>
    <n v="0"/>
    <n v="0"/>
    <n v="34"/>
    <n v="75"/>
    <n v="0"/>
    <n v="135.52000000000001"/>
    <n v="175.41"/>
    <m/>
    <n v="153.23686763192296"/>
    <n v="186.57487300466812"/>
    <n v="0"/>
    <n v="45535.262080000008"/>
    <n v="58938.461640000001"/>
    <n v="0"/>
    <n v="51488.200471796648"/>
    <n v="62689.903629060507"/>
  </r>
  <r>
    <s v="Refaturamento - Regular"/>
    <x v="4"/>
    <x v="4"/>
    <x v="7"/>
    <x v="4"/>
    <x v="0"/>
    <x v="0"/>
    <x v="1"/>
    <x v="2"/>
    <n v="0"/>
    <n v="0"/>
    <n v="-0.107"/>
    <n v="-0.107"/>
    <n v="-0.107"/>
    <n v="-0.107"/>
    <n v="0"/>
    <x v="2"/>
    <n v="0"/>
    <n v="0"/>
    <n v="34"/>
    <n v="75"/>
    <n v="0"/>
    <n v="135.52000000000001"/>
    <n v="175.41"/>
    <m/>
    <n v="153.23686763192296"/>
    <n v="186.57487300466812"/>
    <n v="0"/>
    <n v="-14.500640000000001"/>
    <n v="-18.76887"/>
    <n v="0"/>
    <n v="-16.396344836615757"/>
    <n v="-19.963511411499489"/>
  </r>
  <r>
    <s v="Sistema de Compensação"/>
    <x v="4"/>
    <x v="4"/>
    <x v="7"/>
    <x v="4"/>
    <x v="0"/>
    <x v="0"/>
    <x v="1"/>
    <x v="2"/>
    <n v="0"/>
    <n v="0"/>
    <n v="8.6999999999999994E-2"/>
    <n v="1.7399999999999999E-2"/>
    <n v="8.6999999999999994E-2"/>
    <n v="1.7399999999999999E-2"/>
    <n v="1"/>
    <x v="2"/>
    <n v="0"/>
    <n v="0"/>
    <n v="34"/>
    <n v="75"/>
    <n v="0"/>
    <n v="135.52000000000001"/>
    <n v="175.41"/>
    <m/>
    <n v="153.23686763192296"/>
    <n v="186.57487300466812"/>
    <n v="0"/>
    <n v="2.3580480000000001"/>
    <n v="3.0521339999999997"/>
    <n v="0"/>
    <n v="2.6663214967954594"/>
    <n v="3.2464027902812251"/>
  </r>
  <r>
    <s v="Regular"/>
    <x v="4"/>
    <x v="4"/>
    <x v="7"/>
    <x v="4"/>
    <x v="0"/>
    <x v="0"/>
    <x v="1"/>
    <x v="3"/>
    <n v="0"/>
    <n v="0"/>
    <n v="363.202"/>
    <n v="363.202"/>
    <n v="363.202"/>
    <n v="363.202"/>
    <n v="1779"/>
    <x v="2"/>
    <n v="0"/>
    <n v="0"/>
    <n v="34"/>
    <n v="75"/>
    <n v="0"/>
    <n v="135.52000000000001"/>
    <n v="175.41"/>
    <m/>
    <n v="153.23686763192296"/>
    <n v="186.57487300466812"/>
    <n v="0"/>
    <n v="49221.135040000001"/>
    <n v="63709.262819999996"/>
    <n v="0"/>
    <n v="55655.936797649687"/>
    <n v="67764.367025041473"/>
  </r>
  <r>
    <s v="Refaturamento - Regular"/>
    <x v="4"/>
    <x v="4"/>
    <x v="7"/>
    <x v="4"/>
    <x v="0"/>
    <x v="0"/>
    <x v="1"/>
    <x v="3"/>
    <n v="0"/>
    <n v="0"/>
    <n v="1.6E-2"/>
    <n v="1.6E-2"/>
    <n v="1.6E-2"/>
    <n v="1.6E-2"/>
    <n v="0"/>
    <x v="2"/>
    <n v="0"/>
    <n v="0"/>
    <n v="34"/>
    <n v="75"/>
    <n v="0"/>
    <n v="135.52000000000001"/>
    <n v="175.41"/>
    <m/>
    <n v="153.23686763192296"/>
    <n v="186.57487300466812"/>
    <n v="0"/>
    <n v="2.16832"/>
    <n v="2.8065600000000002"/>
    <n v="0"/>
    <n v="2.4517898821107673"/>
    <n v="2.9851979680746901"/>
  </r>
  <r>
    <s v="Sistema de Compensação"/>
    <x v="4"/>
    <x v="4"/>
    <x v="7"/>
    <x v="4"/>
    <x v="0"/>
    <x v="0"/>
    <x v="1"/>
    <x v="3"/>
    <n v="0"/>
    <n v="0"/>
    <n v="9.9000000000000005E-2"/>
    <n v="1.9800000000000002E-2"/>
    <n v="9.9000000000000005E-2"/>
    <n v="1.9800000000000002E-2"/>
    <n v="1"/>
    <x v="2"/>
    <n v="0"/>
    <n v="0"/>
    <n v="34"/>
    <n v="75"/>
    <n v="0"/>
    <n v="135.52000000000001"/>
    <n v="175.41"/>
    <m/>
    <n v="153.23686763192296"/>
    <n v="186.57487300466812"/>
    <n v="0"/>
    <n v="2.6832960000000003"/>
    <n v="3.4731180000000004"/>
    <n v="0"/>
    <n v="3.0340899791120748"/>
    <n v="3.694182485492429"/>
  </r>
  <r>
    <s v="Regular"/>
    <x v="4"/>
    <x v="4"/>
    <x v="7"/>
    <x v="4"/>
    <x v="0"/>
    <x v="0"/>
    <x v="1"/>
    <x v="4"/>
    <n v="0"/>
    <n v="0"/>
    <n v="380.16800000000001"/>
    <n v="380.16800000000001"/>
    <n v="380.16800000000001"/>
    <n v="380.16800000000001"/>
    <n v="1716"/>
    <x v="2"/>
    <n v="0"/>
    <n v="0"/>
    <n v="34"/>
    <n v="75"/>
    <n v="0"/>
    <n v="135.52000000000001"/>
    <n v="175.41"/>
    <m/>
    <n v="153.23686763192296"/>
    <n v="186.57487300466812"/>
    <n v="0"/>
    <n v="51520.367360000004"/>
    <n v="66685.268880000003"/>
    <n v="0"/>
    <n v="58255.753493892887"/>
    <n v="70929.796320438676"/>
  </r>
  <r>
    <s v="Refaturamento - Regular"/>
    <x v="4"/>
    <x v="4"/>
    <x v="7"/>
    <x v="4"/>
    <x v="0"/>
    <x v="0"/>
    <x v="1"/>
    <x v="4"/>
    <n v="0"/>
    <n v="0"/>
    <n v="-6.0999999999999999E-2"/>
    <n v="-6.0999999999999999E-2"/>
    <n v="-6.0999999999999999E-2"/>
    <n v="-6.0999999999999999E-2"/>
    <n v="0"/>
    <x v="2"/>
    <n v="0"/>
    <n v="0"/>
    <n v="34"/>
    <n v="75"/>
    <n v="0"/>
    <n v="135.52000000000001"/>
    <n v="175.41"/>
    <m/>
    <n v="153.23686763192296"/>
    <n v="186.57487300466812"/>
    <n v="0"/>
    <n v="-8.2667200000000012"/>
    <n v="-10.700009999999999"/>
    <n v="0"/>
    <n v="-9.347448925547301"/>
    <n v="-11.381067253284755"/>
  </r>
  <r>
    <s v="Sistema de Compensação"/>
    <x v="4"/>
    <x v="4"/>
    <x v="7"/>
    <x v="4"/>
    <x v="0"/>
    <x v="0"/>
    <x v="1"/>
    <x v="4"/>
    <n v="0"/>
    <n v="0"/>
    <n v="9.8000000000000004E-2"/>
    <n v="1.9599999999999999E-2"/>
    <n v="9.8000000000000004E-2"/>
    <n v="1.9599999999999999E-2"/>
    <n v="1"/>
    <x v="2"/>
    <n v="0"/>
    <n v="0"/>
    <n v="34"/>
    <n v="75"/>
    <n v="0"/>
    <n v="135.52000000000001"/>
    <n v="175.41"/>
    <m/>
    <n v="153.23686763192296"/>
    <n v="186.57487300466812"/>
    <n v="0"/>
    <n v="2.6561920000000003"/>
    <n v="3.4380359999999999"/>
    <n v="0"/>
    <n v="3.0034426055856898"/>
    <n v="3.656867510891495"/>
  </r>
  <r>
    <s v="Regular"/>
    <x v="4"/>
    <x v="4"/>
    <x v="7"/>
    <x v="4"/>
    <x v="0"/>
    <x v="0"/>
    <x v="1"/>
    <x v="5"/>
    <n v="0"/>
    <n v="0"/>
    <n v="379.97199999999998"/>
    <n v="379.97199999999998"/>
    <n v="379.97199999999998"/>
    <n v="379.97199999999998"/>
    <n v="1776"/>
    <x v="2"/>
    <n v="0"/>
    <n v="0"/>
    <n v="34"/>
    <n v="75"/>
    <n v="0"/>
    <n v="135.52000000000001"/>
    <n v="175.41"/>
    <m/>
    <n v="153.23686763192296"/>
    <n v="186.57487300466812"/>
    <n v="0"/>
    <n v="51493.805440000004"/>
    <n v="66650.888519999993"/>
    <n v="0"/>
    <n v="58225.719067837032"/>
    <n v="70893.227645329753"/>
  </r>
  <r>
    <s v="Refaturamento - Regular"/>
    <x v="4"/>
    <x v="4"/>
    <x v="7"/>
    <x v="4"/>
    <x v="0"/>
    <x v="0"/>
    <x v="1"/>
    <x v="5"/>
    <n v="0"/>
    <n v="0"/>
    <n v="0.11"/>
    <n v="0.11"/>
    <n v="0.11"/>
    <n v="0.11"/>
    <n v="0"/>
    <x v="2"/>
    <n v="0"/>
    <n v="0"/>
    <n v="34"/>
    <n v="75"/>
    <n v="0"/>
    <n v="135.52000000000001"/>
    <n v="175.41"/>
    <m/>
    <n v="153.23686763192296"/>
    <n v="186.57487300466812"/>
    <n v="0"/>
    <n v="14.907200000000001"/>
    <n v="19.295100000000001"/>
    <n v="0"/>
    <n v="16.856055439511525"/>
    <n v="20.523236030513495"/>
  </r>
  <r>
    <s v="Sistema de Compensação"/>
    <x v="4"/>
    <x v="4"/>
    <x v="7"/>
    <x v="4"/>
    <x v="0"/>
    <x v="0"/>
    <x v="1"/>
    <x v="5"/>
    <n v="0"/>
    <n v="0"/>
    <n v="6.2E-2"/>
    <n v="1.24E-2"/>
    <n v="6.2E-2"/>
    <n v="1.24E-2"/>
    <n v="0"/>
    <x v="2"/>
    <n v="0"/>
    <n v="0"/>
    <n v="34"/>
    <n v="75"/>
    <n v="0"/>
    <n v="135.52000000000001"/>
    <n v="175.41"/>
    <m/>
    <n v="153.23686763192296"/>
    <n v="186.57487300466812"/>
    <n v="0"/>
    <n v="1.6804480000000002"/>
    <n v="2.175084"/>
    <n v="0"/>
    <n v="1.9001371586358446"/>
    <n v="2.3135284252578847"/>
  </r>
  <r>
    <s v="Regular"/>
    <x v="4"/>
    <x v="4"/>
    <x v="7"/>
    <x v="4"/>
    <x v="0"/>
    <x v="0"/>
    <x v="1"/>
    <x v="6"/>
    <n v="0"/>
    <n v="0"/>
    <n v="388.15800000000002"/>
    <n v="388.15800000000002"/>
    <n v="388.15800000000002"/>
    <n v="388.15800000000002"/>
    <n v="1811"/>
    <x v="2"/>
    <n v="0"/>
    <n v="0"/>
    <n v="34"/>
    <n v="75"/>
    <n v="0"/>
    <n v="135.52000000000001"/>
    <n v="175.41"/>
    <m/>
    <n v="153.23686763192296"/>
    <n v="186.57487300466812"/>
    <n v="0"/>
    <n v="52603.172160000009"/>
    <n v="68086.794779999997"/>
    <n v="0"/>
    <n v="59480.116066271956"/>
    <n v="72420.529555745976"/>
  </r>
  <r>
    <s v="Sistema de Compensação"/>
    <x v="4"/>
    <x v="4"/>
    <x v="7"/>
    <x v="4"/>
    <x v="0"/>
    <x v="0"/>
    <x v="1"/>
    <x v="6"/>
    <n v="0"/>
    <n v="0"/>
    <n v="2E-3"/>
    <n v="4.0000000000000002E-4"/>
    <n v="2E-3"/>
    <n v="4.0000000000000002E-4"/>
    <n v="1"/>
    <x v="2"/>
    <n v="0"/>
    <n v="0"/>
    <n v="34"/>
    <n v="75"/>
    <n v="0"/>
    <n v="135.52000000000001"/>
    <n v="175.41"/>
    <m/>
    <n v="153.23686763192296"/>
    <n v="186.57487300466812"/>
    <n v="0"/>
    <n v="5.4208000000000006E-2"/>
    <n v="7.0164000000000004E-2"/>
    <n v="0"/>
    <n v="6.1294747052769188E-2"/>
    <n v="7.4629949201867246E-2"/>
  </r>
  <r>
    <s v="Regular"/>
    <x v="4"/>
    <x v="4"/>
    <x v="7"/>
    <x v="4"/>
    <x v="0"/>
    <x v="0"/>
    <x v="1"/>
    <x v="7"/>
    <n v="0"/>
    <n v="0"/>
    <n v="367.43200000000002"/>
    <n v="367.43200000000002"/>
    <n v="367.43200000000002"/>
    <n v="367.43200000000002"/>
    <n v="1917"/>
    <x v="2"/>
    <n v="0"/>
    <n v="0"/>
    <n v="34"/>
    <n v="75"/>
    <n v="0"/>
    <n v="135.52000000000001"/>
    <n v="175.41"/>
    <m/>
    <n v="153.23686763192296"/>
    <n v="186.57487300466812"/>
    <n v="0"/>
    <n v="49794.384640000004"/>
    <n v="64451.24712"/>
    <n v="0"/>
    <n v="56304.128747732721"/>
    <n v="68553.578737851218"/>
  </r>
  <r>
    <s v="Refaturamento - Regular"/>
    <x v="4"/>
    <x v="4"/>
    <x v="7"/>
    <x v="4"/>
    <x v="0"/>
    <x v="0"/>
    <x v="1"/>
    <x v="7"/>
    <n v="0"/>
    <n v="0"/>
    <n v="-5.0000000000000001E-3"/>
    <n v="-5.0000000000000001E-3"/>
    <n v="-5.0000000000000001E-3"/>
    <n v="-5.0000000000000001E-3"/>
    <n v="0"/>
    <x v="2"/>
    <n v="0"/>
    <n v="0"/>
    <n v="34"/>
    <n v="75"/>
    <n v="0"/>
    <n v="135.52000000000001"/>
    <n v="175.41"/>
    <m/>
    <n v="153.23686763192296"/>
    <n v="186.57487300466812"/>
    <n v="0"/>
    <n v="-0.67760000000000009"/>
    <n v="-0.87705"/>
    <n v="0"/>
    <n v="-0.76618433815961484"/>
    <n v="-0.93287436502334065"/>
  </r>
  <r>
    <s v="Regular"/>
    <x v="4"/>
    <x v="4"/>
    <x v="7"/>
    <x v="4"/>
    <x v="0"/>
    <x v="0"/>
    <x v="1"/>
    <x v="8"/>
    <n v="0"/>
    <n v="0"/>
    <n v="347.49299999999999"/>
    <n v="347.49299999999999"/>
    <n v="347.49299999999999"/>
    <n v="347.49299999999999"/>
    <n v="1797"/>
    <x v="2"/>
    <n v="0"/>
    <n v="0"/>
    <n v="34"/>
    <n v="75"/>
    <n v="0"/>
    <n v="135.52000000000001"/>
    <n v="175.41"/>
    <m/>
    <n v="153.23686763192296"/>
    <n v="186.57487300466812"/>
    <n v="0"/>
    <n v="47092.251360000002"/>
    <n v="60953.747129999996"/>
    <n v="0"/>
    <n v="53248.738844019805"/>
    <n v="64833.462345011139"/>
  </r>
  <r>
    <s v="Regular"/>
    <x v="4"/>
    <x v="4"/>
    <x v="7"/>
    <x v="4"/>
    <x v="0"/>
    <x v="0"/>
    <x v="1"/>
    <x v="9"/>
    <n v="0"/>
    <n v="0"/>
    <n v="358.733"/>
    <n v="358.733"/>
    <n v="358.733"/>
    <n v="358.733"/>
    <n v="1872"/>
    <x v="2"/>
    <n v="0"/>
    <n v="0"/>
    <n v="34"/>
    <n v="75"/>
    <n v="0"/>
    <n v="135.52000000000001"/>
    <n v="175.41"/>
    <m/>
    <n v="153.23686763192296"/>
    <n v="186.57487300466812"/>
    <n v="0"/>
    <n v="48615.496160000002"/>
    <n v="62925.355530000001"/>
    <n v="0"/>
    <n v="54971.12123620262"/>
    <n v="66930.563917583611"/>
  </r>
  <r>
    <s v="Refaturamento - Regular"/>
    <x v="4"/>
    <x v="4"/>
    <x v="7"/>
    <x v="4"/>
    <x v="0"/>
    <x v="0"/>
    <x v="1"/>
    <x v="9"/>
    <n v="0"/>
    <n v="0"/>
    <n v="-1.0999999999999999E-2"/>
    <n v="-1.0999999999999999E-2"/>
    <n v="-1.0999999999999999E-2"/>
    <n v="-1.0999999999999999E-2"/>
    <n v="0"/>
    <x v="2"/>
    <n v="0"/>
    <n v="0"/>
    <n v="34"/>
    <n v="75"/>
    <n v="0"/>
    <n v="135.52000000000001"/>
    <n v="175.41"/>
    <m/>
    <n v="153.23686763192296"/>
    <n v="186.57487300466812"/>
    <n v="0"/>
    <n v="-1.49072"/>
    <n v="-1.9295099999999998"/>
    <n v="0"/>
    <n v="-1.6856055439511526"/>
    <n v="-2.0523236030513492"/>
  </r>
  <r>
    <s v="Regular"/>
    <x v="4"/>
    <x v="4"/>
    <x v="7"/>
    <x v="4"/>
    <x v="0"/>
    <x v="0"/>
    <x v="1"/>
    <x v="10"/>
    <n v="0"/>
    <n v="0"/>
    <n v="370.30599999999998"/>
    <n v="370.30599999999998"/>
    <n v="370.30599999999998"/>
    <n v="370.30599999999998"/>
    <n v="1559"/>
    <x v="2"/>
    <n v="0"/>
    <n v="0"/>
    <n v="34"/>
    <n v="75"/>
    <n v="0"/>
    <n v="135.52000000000001"/>
    <n v="175.41"/>
    <m/>
    <n v="153.23686763192296"/>
    <n v="186.57487300466812"/>
    <n v="0"/>
    <n v="50183.869120000003"/>
    <n v="64955.375459999996"/>
    <n v="0"/>
    <n v="56744.531505306863"/>
    <n v="69089.794922866626"/>
  </r>
  <r>
    <s v="Refaturamento - Regular"/>
    <x v="4"/>
    <x v="4"/>
    <x v="7"/>
    <x v="4"/>
    <x v="0"/>
    <x v="0"/>
    <x v="1"/>
    <x v="10"/>
    <n v="0"/>
    <n v="0"/>
    <n v="-0.13500000000000001"/>
    <n v="-0.13500000000000001"/>
    <n v="-0.13500000000000001"/>
    <n v="-0.13500000000000001"/>
    <n v="0"/>
    <x v="2"/>
    <n v="0"/>
    <n v="0"/>
    <n v="34"/>
    <n v="75"/>
    <n v="0"/>
    <n v="135.52000000000001"/>
    <n v="175.41"/>
    <m/>
    <n v="153.23686763192296"/>
    <n v="186.57487300466812"/>
    <n v="0"/>
    <n v="-18.295200000000001"/>
    <n v="-23.680350000000001"/>
    <n v="0"/>
    <n v="-20.6869771303096"/>
    <n v="-25.187607855630198"/>
  </r>
  <r>
    <s v="Sistema de Compensação"/>
    <x v="4"/>
    <x v="4"/>
    <x v="7"/>
    <x v="4"/>
    <x v="0"/>
    <x v="0"/>
    <x v="1"/>
    <x v="10"/>
    <n v="0"/>
    <n v="0"/>
    <n v="7.0000000000000007E-2"/>
    <n v="4.2000000000000003E-2"/>
    <n v="7.0000000000000007E-2"/>
    <n v="4.2000000000000003E-2"/>
    <n v="1"/>
    <x v="2"/>
    <n v="0"/>
    <n v="0"/>
    <n v="34"/>
    <n v="75"/>
    <n v="0"/>
    <n v="135.52000000000001"/>
    <n v="175.41"/>
    <m/>
    <n v="153.23686763192296"/>
    <n v="186.57487300466812"/>
    <n v="0"/>
    <n v="5.6918400000000009"/>
    <n v="7.3672200000000005"/>
    <n v="0"/>
    <n v="6.4359484405407645"/>
    <n v="7.8361446661960619"/>
  </r>
  <r>
    <s v="PROJETADO"/>
    <x v="4"/>
    <x v="4"/>
    <x v="7"/>
    <x v="4"/>
    <x v="0"/>
    <x v="0"/>
    <x v="1"/>
    <x v="11"/>
    <n v="0"/>
    <n v="0"/>
    <n v="370.30599999999998"/>
    <n v="370.30599999999998"/>
    <n v="370.30599999999998"/>
    <n v="370.30599999999998"/>
    <n v="1559"/>
    <x v="2"/>
    <n v="0"/>
    <n v="0"/>
    <n v="34"/>
    <n v="75"/>
    <n v="0"/>
    <n v="135.52000000000001"/>
    <n v="175.41"/>
    <m/>
    <n v="153.23686763192296"/>
    <n v="186.57487300466812"/>
    <n v="0"/>
    <n v="50183.869120000003"/>
    <n v="64955.375459999996"/>
    <n v="0"/>
    <n v="56744.531505306863"/>
    <n v="69089.794922866626"/>
  </r>
  <r>
    <s v="PROJETADO"/>
    <x v="4"/>
    <x v="4"/>
    <x v="7"/>
    <x v="4"/>
    <x v="0"/>
    <x v="0"/>
    <x v="1"/>
    <x v="11"/>
    <n v="0"/>
    <n v="0"/>
    <n v="-0.13500000000000001"/>
    <n v="-0.13500000000000001"/>
    <n v="-0.13500000000000001"/>
    <n v="-0.13500000000000001"/>
    <n v="0"/>
    <x v="2"/>
    <n v="0"/>
    <n v="0"/>
    <n v="34"/>
    <n v="75"/>
    <n v="0"/>
    <n v="135.52000000000001"/>
    <n v="175.41"/>
    <m/>
    <n v="153.23686763192296"/>
    <n v="186.57487300466812"/>
    <n v="0"/>
    <n v="-18.295200000000001"/>
    <n v="-23.680350000000001"/>
    <n v="0"/>
    <n v="-20.6869771303096"/>
    <n v="-25.187607855630198"/>
  </r>
  <r>
    <s v="PROJETADO"/>
    <x v="4"/>
    <x v="4"/>
    <x v="7"/>
    <x v="4"/>
    <x v="0"/>
    <x v="0"/>
    <x v="1"/>
    <x v="11"/>
    <n v="0"/>
    <n v="0"/>
    <n v="7.0000000000000007E-2"/>
    <n v="4.2000000000000003E-2"/>
    <n v="7.0000000000000007E-2"/>
    <n v="4.2000000000000003E-2"/>
    <n v="1"/>
    <x v="2"/>
    <n v="0"/>
    <n v="0"/>
    <n v="34"/>
    <n v="75"/>
    <n v="0"/>
    <n v="135.52000000000001"/>
    <n v="175.41"/>
    <m/>
    <n v="153.23686763192296"/>
    <n v="186.57487300466812"/>
    <n v="0"/>
    <n v="5.6918400000000009"/>
    <n v="7.3672200000000005"/>
    <n v="0"/>
    <n v="6.4359484405407645"/>
    <n v="7.8361446661960619"/>
  </r>
  <r>
    <s v="Regular"/>
    <x v="4"/>
    <x v="4"/>
    <x v="7"/>
    <x v="5"/>
    <x v="0"/>
    <x v="0"/>
    <x v="1"/>
    <x v="0"/>
    <n v="0"/>
    <n v="0"/>
    <n v="240.071"/>
    <n v="240.071"/>
    <n v="240.071"/>
    <n v="240.071"/>
    <n v="3045"/>
    <x v="2"/>
    <n v="0"/>
    <n v="0"/>
    <n v="41"/>
    <n v="78"/>
    <n v="0"/>
    <n v="203.29"/>
    <n v="263.12"/>
    <m/>
    <n v="229.85530144788444"/>
    <n v="279.86230950700218"/>
    <n v="0"/>
    <n v="48804.033589999999"/>
    <n v="63167.481520000001"/>
    <n v="0"/>
    <n v="55181.592073895066"/>
    <n v="67186.824505655517"/>
  </r>
  <r>
    <s v="Refaturamento - Regular"/>
    <x v="4"/>
    <x v="4"/>
    <x v="7"/>
    <x v="5"/>
    <x v="0"/>
    <x v="0"/>
    <x v="1"/>
    <x v="0"/>
    <n v="0"/>
    <n v="0"/>
    <n v="-1.7000000000000001E-2"/>
    <n v="-1.7000000000000001E-2"/>
    <n v="-1.7000000000000001E-2"/>
    <n v="-1.7000000000000001E-2"/>
    <n v="0"/>
    <x v="2"/>
    <n v="0"/>
    <n v="0"/>
    <n v="41"/>
    <n v="78"/>
    <n v="0"/>
    <n v="203.29"/>
    <n v="263.12"/>
    <m/>
    <n v="229.85530144788444"/>
    <n v="279.86230950700218"/>
    <n v="0"/>
    <n v="-3.4559299999999999"/>
    <n v="-4.4730400000000001"/>
    <n v="0"/>
    <n v="-3.907540124614036"/>
    <n v="-4.7576592616190378"/>
  </r>
  <r>
    <s v="Regular"/>
    <x v="4"/>
    <x v="4"/>
    <x v="7"/>
    <x v="5"/>
    <x v="0"/>
    <x v="0"/>
    <x v="1"/>
    <x v="1"/>
    <n v="0"/>
    <n v="0"/>
    <n v="231.04"/>
    <n v="231.04"/>
    <n v="231.04"/>
    <n v="231.04"/>
    <n v="3203"/>
    <x v="2"/>
    <n v="0"/>
    <n v="0"/>
    <n v="41"/>
    <n v="78"/>
    <n v="0"/>
    <n v="203.29"/>
    <n v="263.12"/>
    <m/>
    <n v="229.85530144788444"/>
    <n v="279.86230950700218"/>
    <n v="0"/>
    <n v="46968.121599999999"/>
    <n v="60791.2448"/>
    <n v="0"/>
    <n v="53105.768846519219"/>
    <n v="64659.38798849778"/>
  </r>
  <r>
    <s v="Refaturamento - Regular"/>
    <x v="4"/>
    <x v="4"/>
    <x v="7"/>
    <x v="5"/>
    <x v="0"/>
    <x v="0"/>
    <x v="1"/>
    <x v="1"/>
    <n v="0"/>
    <n v="0"/>
    <n v="6.3E-2"/>
    <n v="6.3E-2"/>
    <n v="6.3E-2"/>
    <n v="6.3E-2"/>
    <n v="0"/>
    <x v="2"/>
    <n v="0"/>
    <n v="0"/>
    <n v="41"/>
    <n v="78"/>
    <n v="0"/>
    <n v="203.29"/>
    <n v="263.12"/>
    <m/>
    <n v="229.85530144788444"/>
    <n v="279.86230950700218"/>
    <n v="0"/>
    <n v="12.807269999999999"/>
    <n v="16.576560000000001"/>
    <n v="0"/>
    <n v="14.48088399121672"/>
    <n v="17.631325498941138"/>
  </r>
  <r>
    <s v="Sistema de Compensação"/>
    <x v="4"/>
    <x v="4"/>
    <x v="7"/>
    <x v="5"/>
    <x v="0"/>
    <x v="0"/>
    <x v="1"/>
    <x v="1"/>
    <n v="0"/>
    <n v="0"/>
    <n v="2.5000000000000001E-2"/>
    <n v="2.2499999999999999E-2"/>
    <n v="2.5000000000000001E-2"/>
    <n v="2.2499999999999999E-2"/>
    <n v="1"/>
    <x v="2"/>
    <n v="0"/>
    <n v="0"/>
    <n v="41"/>
    <n v="78"/>
    <n v="0"/>
    <n v="203.29"/>
    <n v="263.12"/>
    <m/>
    <n v="229.85530144788444"/>
    <n v="279.86230950700218"/>
    <n v="0"/>
    <n v="4.5740249999999998"/>
    <n v="5.9201999999999995"/>
    <n v="0"/>
    <n v="5.1717442825774"/>
    <n v="6.2969019639075485"/>
  </r>
  <r>
    <s v="Regular"/>
    <x v="4"/>
    <x v="4"/>
    <x v="7"/>
    <x v="5"/>
    <x v="0"/>
    <x v="0"/>
    <x v="1"/>
    <x v="2"/>
    <n v="0"/>
    <n v="0"/>
    <n v="264.75400000000002"/>
    <n v="264.75400000000002"/>
    <n v="264.75400000000002"/>
    <n v="264.75400000000002"/>
    <n v="3105"/>
    <x v="2"/>
    <n v="0"/>
    <n v="0"/>
    <n v="41"/>
    <n v="78"/>
    <n v="0"/>
    <n v="203.29"/>
    <n v="263.12"/>
    <m/>
    <n v="229.85530144788444"/>
    <n v="279.86230950700218"/>
    <n v="0"/>
    <n v="53821.840660000002"/>
    <n v="69662.072480000003"/>
    <n v="0"/>
    <n v="60855.110479533199"/>
    <n v="74094.665891216864"/>
  </r>
  <r>
    <s v="Refaturamento - Regular"/>
    <x v="4"/>
    <x v="4"/>
    <x v="7"/>
    <x v="5"/>
    <x v="0"/>
    <x v="0"/>
    <x v="1"/>
    <x v="2"/>
    <n v="0"/>
    <n v="0"/>
    <n v="-5.5E-2"/>
    <n v="-5.5E-2"/>
    <n v="-5.5E-2"/>
    <n v="-5.5E-2"/>
    <n v="0"/>
    <x v="2"/>
    <n v="0"/>
    <n v="0"/>
    <n v="41"/>
    <n v="78"/>
    <n v="0"/>
    <n v="203.29"/>
    <n v="263.12"/>
    <m/>
    <n v="229.85530144788444"/>
    <n v="279.86230950700218"/>
    <n v="0"/>
    <n v="-11.180949999999999"/>
    <n v="-14.4716"/>
    <n v="0"/>
    <n v="-12.642041579633645"/>
    <n v="-15.392427022885119"/>
  </r>
  <r>
    <s v="Sistema de Compensação"/>
    <x v="4"/>
    <x v="4"/>
    <x v="7"/>
    <x v="5"/>
    <x v="0"/>
    <x v="0"/>
    <x v="1"/>
    <x v="2"/>
    <n v="0"/>
    <n v="0"/>
    <n v="4.4999999999999998E-2"/>
    <n v="4.0500000000000001E-2"/>
    <n v="4.4999999999999998E-2"/>
    <n v="4.0500000000000001E-2"/>
    <n v="1"/>
    <x v="2"/>
    <n v="0"/>
    <n v="0"/>
    <n v="41"/>
    <n v="78"/>
    <n v="0"/>
    <n v="203.29"/>
    <n v="263.12"/>
    <m/>
    <n v="229.85530144788444"/>
    <n v="279.86230950700218"/>
    <n v="0"/>
    <n v="8.2332450000000001"/>
    <n v="10.656360000000001"/>
    <n v="0"/>
    <n v="9.3091397086393197"/>
    <n v="11.334423535033588"/>
  </r>
  <r>
    <s v="Regular"/>
    <x v="4"/>
    <x v="4"/>
    <x v="7"/>
    <x v="5"/>
    <x v="0"/>
    <x v="0"/>
    <x v="1"/>
    <x v="3"/>
    <n v="0"/>
    <n v="0"/>
    <n v="250.215"/>
    <n v="250.215"/>
    <n v="250.215"/>
    <n v="250.215"/>
    <n v="3403"/>
    <x v="2"/>
    <n v="0"/>
    <n v="0"/>
    <n v="41"/>
    <n v="78"/>
    <n v="0"/>
    <n v="203.29"/>
    <n v="263.12"/>
    <m/>
    <n v="229.85530144788444"/>
    <n v="279.86230950700218"/>
    <n v="0"/>
    <n v="50866.207349999997"/>
    <n v="65836.570800000001"/>
    <n v="0"/>
    <n v="57513.244251782409"/>
    <n v="70025.747773294555"/>
  </r>
  <r>
    <s v="Refaturamento - Regular"/>
    <x v="4"/>
    <x v="4"/>
    <x v="7"/>
    <x v="5"/>
    <x v="0"/>
    <x v="0"/>
    <x v="1"/>
    <x v="3"/>
    <n v="0"/>
    <n v="0"/>
    <n v="-4.4999999999999998E-2"/>
    <n v="-4.4999999999999998E-2"/>
    <n v="-4.4999999999999998E-2"/>
    <n v="-4.4999999999999998E-2"/>
    <n v="0"/>
    <x v="2"/>
    <n v="0"/>
    <n v="0"/>
    <n v="41"/>
    <n v="78"/>
    <n v="0"/>
    <n v="203.29"/>
    <n v="263.12"/>
    <m/>
    <n v="229.85530144788444"/>
    <n v="279.86230950700218"/>
    <n v="0"/>
    <n v="-9.1480499999999996"/>
    <n v="-11.840399999999999"/>
    <n v="0"/>
    <n v="-10.3434885651548"/>
    <n v="-12.593803927815097"/>
  </r>
  <r>
    <s v="Sistema de Compensação"/>
    <x v="4"/>
    <x v="4"/>
    <x v="7"/>
    <x v="5"/>
    <x v="0"/>
    <x v="0"/>
    <x v="1"/>
    <x v="3"/>
    <n v="0"/>
    <n v="0"/>
    <n v="9.0999999999999998E-2"/>
    <n v="8.1900000000000001E-2"/>
    <n v="9.0999999999999998E-2"/>
    <n v="8.1900000000000001E-2"/>
    <n v="1"/>
    <x v="2"/>
    <n v="0"/>
    <n v="0"/>
    <n v="41"/>
    <n v="78"/>
    <n v="0"/>
    <n v="203.29"/>
    <n v="263.12"/>
    <m/>
    <n v="229.85530144788444"/>
    <n v="279.86230950700218"/>
    <n v="0"/>
    <n v="16.649450999999999"/>
    <n v="21.549528000000002"/>
    <n v="0"/>
    <n v="18.825149188581737"/>
    <n v="22.92072314862348"/>
  </r>
  <r>
    <s v="Regular"/>
    <x v="4"/>
    <x v="4"/>
    <x v="7"/>
    <x v="5"/>
    <x v="0"/>
    <x v="0"/>
    <x v="1"/>
    <x v="4"/>
    <n v="0"/>
    <n v="0"/>
    <n v="274.15199999999999"/>
    <n v="274.15199999999999"/>
    <n v="274.15199999999999"/>
    <n v="274.15199999999999"/>
    <n v="3552"/>
    <x v="2"/>
    <n v="0"/>
    <n v="0"/>
    <n v="41"/>
    <n v="78"/>
    <n v="0"/>
    <n v="203.29"/>
    <n v="263.12"/>
    <m/>
    <n v="229.85530144788444"/>
    <n v="279.86230950700218"/>
    <n v="0"/>
    <n v="55732.360079999999"/>
    <n v="72134.874240000005"/>
    <n v="0"/>
    <n v="63015.290602540415"/>
    <n v="76724.811875963656"/>
  </r>
  <r>
    <s v="Refaturamento - Regular"/>
    <x v="4"/>
    <x v="4"/>
    <x v="7"/>
    <x v="5"/>
    <x v="0"/>
    <x v="0"/>
    <x v="1"/>
    <x v="4"/>
    <n v="0"/>
    <n v="0"/>
    <n v="-0.13"/>
    <n v="-0.13"/>
    <n v="-0.13"/>
    <n v="-0.13"/>
    <n v="0"/>
    <x v="2"/>
    <n v="0"/>
    <n v="0"/>
    <n v="41"/>
    <n v="78"/>
    <n v="0"/>
    <n v="203.29"/>
    <n v="263.12"/>
    <m/>
    <n v="229.85530144788444"/>
    <n v="279.86230950700218"/>
    <n v="0"/>
    <n v="-26.427700000000002"/>
    <n v="-34.205600000000004"/>
    <n v="0"/>
    <n v="-29.88118918822498"/>
    <n v="-36.382100235910286"/>
  </r>
  <r>
    <s v="Sistema de Compensação"/>
    <x v="4"/>
    <x v="4"/>
    <x v="7"/>
    <x v="5"/>
    <x v="0"/>
    <x v="0"/>
    <x v="1"/>
    <x v="4"/>
    <n v="0"/>
    <n v="0"/>
    <n v="6.0999999999999999E-2"/>
    <n v="5.4899999999999997E-2"/>
    <n v="6.0999999999999999E-2"/>
    <n v="5.4899999999999997E-2"/>
    <n v="1"/>
    <x v="2"/>
    <n v="0"/>
    <n v="0"/>
    <n v="41"/>
    <n v="78"/>
    <n v="0"/>
    <n v="203.29"/>
    <n v="263.12"/>
    <m/>
    <n v="229.85530144788444"/>
    <n v="279.86230950700218"/>
    <n v="0"/>
    <n v="11.160620999999999"/>
    <n v="14.445288"/>
    <n v="0"/>
    <n v="12.619056049488856"/>
    <n v="15.364440791934419"/>
  </r>
  <r>
    <s v="Regular"/>
    <x v="4"/>
    <x v="4"/>
    <x v="7"/>
    <x v="5"/>
    <x v="0"/>
    <x v="0"/>
    <x v="1"/>
    <x v="5"/>
    <n v="0"/>
    <n v="0"/>
    <n v="274.327"/>
    <n v="274.327"/>
    <n v="274.327"/>
    <n v="274.327"/>
    <n v="3519"/>
    <x v="2"/>
    <n v="0"/>
    <n v="0"/>
    <n v="41"/>
    <n v="78"/>
    <n v="0"/>
    <n v="203.29"/>
    <n v="263.12"/>
    <m/>
    <n v="229.85530144788444"/>
    <n v="279.86230950700218"/>
    <n v="0"/>
    <n v="55767.935829999995"/>
    <n v="72180.920240000007"/>
    <n v="0"/>
    <n v="63055.515280293796"/>
    <n v="76773.787780127386"/>
  </r>
  <r>
    <s v="Refaturamento - Regular"/>
    <x v="4"/>
    <x v="4"/>
    <x v="7"/>
    <x v="5"/>
    <x v="0"/>
    <x v="0"/>
    <x v="1"/>
    <x v="5"/>
    <n v="0"/>
    <n v="0"/>
    <n v="0.21099999999999999"/>
    <n v="0.21099999999999999"/>
    <n v="0.21099999999999999"/>
    <n v="0.21099999999999999"/>
    <n v="0"/>
    <x v="2"/>
    <n v="0"/>
    <n v="0"/>
    <n v="41"/>
    <n v="78"/>
    <n v="0"/>
    <n v="203.29"/>
    <n v="263.12"/>
    <m/>
    <n v="229.85530144788444"/>
    <n v="279.86230950700218"/>
    <n v="0"/>
    <n v="42.894189999999995"/>
    <n v="55.518319999999996"/>
    <n v="0"/>
    <n v="48.499468605503615"/>
    <n v="59.050947305977459"/>
  </r>
  <r>
    <s v="Regular"/>
    <x v="4"/>
    <x v="4"/>
    <x v="7"/>
    <x v="5"/>
    <x v="0"/>
    <x v="0"/>
    <x v="1"/>
    <x v="6"/>
    <n v="0"/>
    <n v="0"/>
    <n v="287.44"/>
    <n v="287.44"/>
    <n v="287.44"/>
    <n v="287.44"/>
    <n v="3527"/>
    <x v="2"/>
    <n v="0"/>
    <n v="0"/>
    <n v="41"/>
    <n v="78"/>
    <n v="0"/>
    <n v="203.29"/>
    <n v="263.12"/>
    <m/>
    <n v="229.85530144788444"/>
    <n v="279.86230950700218"/>
    <n v="0"/>
    <n v="58433.677599999995"/>
    <n v="75631.212799999994"/>
    <n v="0"/>
    <n v="66069.607848179905"/>
    <n v="80443.622244692713"/>
  </r>
  <r>
    <s v="Refaturamento - Regular"/>
    <x v="4"/>
    <x v="4"/>
    <x v="7"/>
    <x v="5"/>
    <x v="0"/>
    <x v="0"/>
    <x v="1"/>
    <x v="6"/>
    <n v="0"/>
    <n v="0"/>
    <n v="-0.114"/>
    <n v="-0.114"/>
    <n v="-0.114"/>
    <n v="-0.114"/>
    <n v="0"/>
    <x v="2"/>
    <n v="0"/>
    <n v="0"/>
    <n v="41"/>
    <n v="78"/>
    <n v="0"/>
    <n v="203.29"/>
    <n v="263.12"/>
    <m/>
    <n v="229.85530144788444"/>
    <n v="279.86230950700218"/>
    <n v="0"/>
    <n v="-23.175059999999998"/>
    <n v="-29.99568"/>
    <n v="0"/>
    <n v="-26.203504365058826"/>
    <n v="-31.904303283798249"/>
  </r>
  <r>
    <s v="Regular"/>
    <x v="4"/>
    <x v="4"/>
    <x v="7"/>
    <x v="5"/>
    <x v="0"/>
    <x v="0"/>
    <x v="1"/>
    <x v="7"/>
    <n v="0"/>
    <n v="0"/>
    <n v="268.04700000000003"/>
    <n v="268.04700000000003"/>
    <n v="268.04700000000003"/>
    <n v="268.04700000000003"/>
    <n v="3259"/>
    <x v="2"/>
    <n v="0"/>
    <n v="0"/>
    <n v="41"/>
    <n v="78"/>
    <n v="0"/>
    <n v="203.29"/>
    <n v="263.12"/>
    <m/>
    <n v="229.85530144788444"/>
    <n v="279.86230950700218"/>
    <n v="0"/>
    <n v="54491.27463"/>
    <n v="70528.526640000011"/>
    <n v="0"/>
    <n v="61612.023987201086"/>
    <n v="75016.252476423426"/>
  </r>
  <r>
    <s v="Refaturamento - Regular"/>
    <x v="4"/>
    <x v="4"/>
    <x v="7"/>
    <x v="5"/>
    <x v="0"/>
    <x v="0"/>
    <x v="1"/>
    <x v="7"/>
    <n v="0"/>
    <n v="0"/>
    <n v="-3.5999999999999997E-2"/>
    <n v="-3.5999999999999997E-2"/>
    <n v="-3.5999999999999997E-2"/>
    <n v="-3.5999999999999997E-2"/>
    <n v="0"/>
    <x v="2"/>
    <n v="0"/>
    <n v="0"/>
    <n v="41"/>
    <n v="78"/>
    <n v="0"/>
    <n v="203.29"/>
    <n v="263.12"/>
    <m/>
    <n v="229.85530144788444"/>
    <n v="279.86230950700218"/>
    <n v="0"/>
    <n v="-7.3184399999999989"/>
    <n v="-9.4723199999999999"/>
    <n v="0"/>
    <n v="-8.2747908521238394"/>
    <n v="-10.075043142252078"/>
  </r>
  <r>
    <s v="Regular"/>
    <x v="4"/>
    <x v="4"/>
    <x v="7"/>
    <x v="5"/>
    <x v="0"/>
    <x v="0"/>
    <x v="1"/>
    <x v="8"/>
    <n v="0"/>
    <n v="0"/>
    <n v="266.54399999999998"/>
    <n v="266.54399999999998"/>
    <n v="266.54399999999998"/>
    <n v="266.54399999999998"/>
    <n v="2982"/>
    <x v="2"/>
    <n v="0"/>
    <n v="0"/>
    <n v="41"/>
    <n v="78"/>
    <n v="0"/>
    <n v="203.29"/>
    <n v="263.12"/>
    <m/>
    <n v="229.85530144788444"/>
    <n v="279.86230950700218"/>
    <n v="0"/>
    <n v="54185.729759999995"/>
    <n v="70133.057279999994"/>
    <n v="0"/>
    <n v="61266.551469124905"/>
    <n v="74595.619425234385"/>
  </r>
  <r>
    <s v="Regular"/>
    <x v="4"/>
    <x v="4"/>
    <x v="7"/>
    <x v="5"/>
    <x v="0"/>
    <x v="0"/>
    <x v="1"/>
    <x v="9"/>
    <n v="0"/>
    <n v="0"/>
    <n v="265.86900000000003"/>
    <n v="265.86900000000003"/>
    <n v="265.86900000000003"/>
    <n v="265.86900000000003"/>
    <n v="3152"/>
    <x v="2"/>
    <n v="0"/>
    <n v="0"/>
    <n v="41"/>
    <n v="78"/>
    <n v="0"/>
    <n v="203.29"/>
    <n v="263.12"/>
    <m/>
    <n v="229.85530144788444"/>
    <n v="279.86230950700218"/>
    <n v="0"/>
    <n v="54048.509010000002"/>
    <n v="69955.451280000008"/>
    <n v="0"/>
    <n v="61111.399140647598"/>
    <n v="74406.712366317166"/>
  </r>
  <r>
    <s v="Refaturamento - Regular"/>
    <x v="4"/>
    <x v="4"/>
    <x v="7"/>
    <x v="5"/>
    <x v="0"/>
    <x v="0"/>
    <x v="1"/>
    <x v="9"/>
    <n v="0"/>
    <n v="0"/>
    <n v="-5.0999999999999997E-2"/>
    <n v="-5.0999999999999997E-2"/>
    <n v="-5.0999999999999997E-2"/>
    <n v="-5.0999999999999997E-2"/>
    <n v="0"/>
    <x v="2"/>
    <n v="0"/>
    <n v="0"/>
    <n v="41"/>
    <n v="78"/>
    <n v="0"/>
    <n v="203.29"/>
    <n v="263.12"/>
    <m/>
    <n v="229.85530144788444"/>
    <n v="279.86230950700218"/>
    <n v="0"/>
    <n v="-10.367789999999999"/>
    <n v="-13.419119999999999"/>
    <n v="0"/>
    <n v="-11.722620373842107"/>
    <n v="-14.27297778485711"/>
  </r>
  <r>
    <s v="Regular"/>
    <x v="4"/>
    <x v="4"/>
    <x v="7"/>
    <x v="5"/>
    <x v="0"/>
    <x v="0"/>
    <x v="1"/>
    <x v="10"/>
    <n v="0"/>
    <n v="0"/>
    <n v="307.63299999999998"/>
    <n v="307.63299999999998"/>
    <n v="307.63299999999998"/>
    <n v="307.63299999999998"/>
    <n v="3223"/>
    <x v="2"/>
    <n v="0"/>
    <n v="0"/>
    <n v="41"/>
    <n v="78"/>
    <n v="0"/>
    <n v="203.29"/>
    <n v="263.12"/>
    <m/>
    <n v="229.85530144788444"/>
    <n v="279.86230950700218"/>
    <n v="0"/>
    <n v="62538.712569999996"/>
    <n v="80944.394959999991"/>
    <n v="0"/>
    <n v="70711.075950317027"/>
    <n v="86094.881860567592"/>
  </r>
  <r>
    <s v="Refaturamento - Regular"/>
    <x v="4"/>
    <x v="4"/>
    <x v="7"/>
    <x v="5"/>
    <x v="0"/>
    <x v="0"/>
    <x v="1"/>
    <x v="10"/>
    <n v="0"/>
    <n v="0"/>
    <n v="-7.4999999999999997E-2"/>
    <n v="-7.4999999999999997E-2"/>
    <n v="-7.4999999999999997E-2"/>
    <n v="-7.4999999999999997E-2"/>
    <n v="0"/>
    <x v="2"/>
    <n v="0"/>
    <n v="0"/>
    <n v="41"/>
    <n v="78"/>
    <n v="0"/>
    <n v="203.29"/>
    <n v="263.12"/>
    <m/>
    <n v="229.85530144788444"/>
    <n v="279.86230950700218"/>
    <n v="0"/>
    <n v="-15.246749999999999"/>
    <n v="-19.733999999999998"/>
    <n v="0"/>
    <n v="-17.239147608591331"/>
    <n v="-20.989673213025164"/>
  </r>
  <r>
    <s v="Sistema de Compensação"/>
    <x v="4"/>
    <x v="4"/>
    <x v="7"/>
    <x v="5"/>
    <x v="0"/>
    <x v="0"/>
    <x v="1"/>
    <x v="10"/>
    <n v="0"/>
    <n v="0"/>
    <n v="0.114"/>
    <n v="0.1026"/>
    <n v="0.114"/>
    <n v="0.1026"/>
    <n v="1"/>
    <x v="2"/>
    <n v="0"/>
    <n v="0"/>
    <n v="41"/>
    <n v="78"/>
    <n v="0"/>
    <n v="203.29"/>
    <n v="263.12"/>
    <m/>
    <n v="229.85530144788444"/>
    <n v="279.86230950700218"/>
    <n v="0"/>
    <n v="20.857553999999997"/>
    <n v="26.996112"/>
    <n v="0"/>
    <n v="23.583153928552942"/>
    <n v="28.713872955418424"/>
  </r>
  <r>
    <s v="PROJETADO"/>
    <x v="4"/>
    <x v="4"/>
    <x v="7"/>
    <x v="5"/>
    <x v="0"/>
    <x v="0"/>
    <x v="1"/>
    <x v="11"/>
    <n v="0"/>
    <n v="0"/>
    <n v="307.63299999999998"/>
    <n v="307.63299999999998"/>
    <n v="307.63299999999998"/>
    <n v="307.63299999999998"/>
    <n v="3223"/>
    <x v="2"/>
    <n v="0"/>
    <n v="0"/>
    <n v="41"/>
    <n v="78"/>
    <n v="0"/>
    <n v="203.29"/>
    <n v="263.12"/>
    <m/>
    <n v="229.85530144788444"/>
    <n v="279.86230950700218"/>
    <n v="0"/>
    <n v="62538.712569999996"/>
    <n v="80944.394959999991"/>
    <n v="0"/>
    <n v="70711.075950317027"/>
    <n v="86094.881860567592"/>
  </r>
  <r>
    <s v="PROJETADO"/>
    <x v="4"/>
    <x v="4"/>
    <x v="7"/>
    <x v="5"/>
    <x v="0"/>
    <x v="0"/>
    <x v="1"/>
    <x v="11"/>
    <n v="0"/>
    <n v="0"/>
    <n v="-7.4999999999999997E-2"/>
    <n v="-7.4999999999999997E-2"/>
    <n v="-7.4999999999999997E-2"/>
    <n v="-7.4999999999999997E-2"/>
    <n v="0"/>
    <x v="2"/>
    <n v="0"/>
    <n v="0"/>
    <n v="41"/>
    <n v="78"/>
    <n v="0"/>
    <n v="203.29"/>
    <n v="263.12"/>
    <m/>
    <n v="229.85530144788444"/>
    <n v="279.86230950700218"/>
    <n v="0"/>
    <n v="-15.246749999999999"/>
    <n v="-19.733999999999998"/>
    <n v="0"/>
    <n v="-17.239147608591331"/>
    <n v="-20.989673213025164"/>
  </r>
  <r>
    <s v="PROJETADO"/>
    <x v="4"/>
    <x v="4"/>
    <x v="7"/>
    <x v="5"/>
    <x v="0"/>
    <x v="0"/>
    <x v="1"/>
    <x v="11"/>
    <n v="0"/>
    <n v="0"/>
    <n v="0.114"/>
    <n v="0.1026"/>
    <n v="0.114"/>
    <n v="0.1026"/>
    <n v="1"/>
    <x v="2"/>
    <n v="0"/>
    <n v="0"/>
    <n v="41"/>
    <n v="78"/>
    <n v="0"/>
    <n v="203.29"/>
    <n v="263.12"/>
    <m/>
    <n v="229.85530144788444"/>
    <n v="279.86230950700218"/>
    <n v="0"/>
    <n v="20.857553999999997"/>
    <n v="26.996112"/>
    <n v="0"/>
    <n v="23.583153928552942"/>
    <n v="28.713872955418424"/>
  </r>
  <r>
    <s v="Regular"/>
    <x v="4"/>
    <x v="4"/>
    <x v="7"/>
    <x v="6"/>
    <x v="0"/>
    <x v="0"/>
    <x v="1"/>
    <x v="0"/>
    <n v="0"/>
    <n v="0"/>
    <n v="40.136000000000003"/>
    <n v="40.136000000000003"/>
    <n v="40.136000000000003"/>
    <n v="40.136000000000003"/>
    <n v="707"/>
    <x v="2"/>
    <n v="0"/>
    <n v="0"/>
    <n v="49"/>
    <n v="55"/>
    <n v="0"/>
    <n v="225.87"/>
    <n v="292.36"/>
    <m/>
    <n v="255.39477938653826"/>
    <n v="310.95812167444689"/>
    <n v="0"/>
    <n v="9065.518320000001"/>
    <n v="11734.160960000001"/>
    <n v="0"/>
    <n v="10250.524865458101"/>
    <n v="12480.615171525602"/>
  </r>
  <r>
    <s v="Refaturamento - Regular"/>
    <x v="4"/>
    <x v="4"/>
    <x v="7"/>
    <x v="6"/>
    <x v="0"/>
    <x v="0"/>
    <x v="1"/>
    <x v="0"/>
    <n v="0"/>
    <n v="0"/>
    <n v="-0.185"/>
    <n v="-0.185"/>
    <n v="-0.185"/>
    <n v="-0.185"/>
    <n v="0"/>
    <x v="2"/>
    <n v="0"/>
    <n v="0"/>
    <n v="49"/>
    <n v="55"/>
    <n v="0"/>
    <n v="225.87"/>
    <n v="292.36"/>
    <m/>
    <n v="255.39477938653826"/>
    <n v="310.95812167444689"/>
    <n v="0"/>
    <n v="-41.78595"/>
    <n v="-54.086600000000004"/>
    <n v="0"/>
    <n v="-47.248034186509578"/>
    <n v="-57.527252509772673"/>
  </r>
  <r>
    <s v="Regular"/>
    <x v="4"/>
    <x v="4"/>
    <x v="7"/>
    <x v="6"/>
    <x v="0"/>
    <x v="0"/>
    <x v="1"/>
    <x v="1"/>
    <n v="0"/>
    <n v="0"/>
    <n v="35.610999999999997"/>
    <n v="35.610999999999997"/>
    <n v="35.610999999999997"/>
    <n v="35.610999999999997"/>
    <n v="603"/>
    <x v="2"/>
    <n v="0"/>
    <n v="0"/>
    <n v="49"/>
    <n v="55"/>
    <n v="0"/>
    <n v="225.87"/>
    <n v="292.36"/>
    <m/>
    <n v="255.39477938653826"/>
    <n v="310.95812167444689"/>
    <n v="0"/>
    <n v="8043.4565699999994"/>
    <n v="10411.231959999999"/>
    <n v="0"/>
    <n v="9094.863488734014"/>
    <n v="11073.529670948727"/>
  </r>
  <r>
    <s v="Refaturamento - Regular"/>
    <x v="4"/>
    <x v="4"/>
    <x v="7"/>
    <x v="6"/>
    <x v="0"/>
    <x v="0"/>
    <x v="1"/>
    <x v="1"/>
    <n v="0"/>
    <n v="0"/>
    <n v="-3.6999999999999998E-2"/>
    <n v="-3.6999999999999998E-2"/>
    <n v="-3.6999999999999998E-2"/>
    <n v="-3.6999999999999998E-2"/>
    <n v="0"/>
    <x v="2"/>
    <n v="0"/>
    <n v="0"/>
    <n v="49"/>
    <n v="55"/>
    <n v="0"/>
    <n v="225.87"/>
    <n v="292.36"/>
    <m/>
    <n v="255.39477938653826"/>
    <n v="310.95812167444689"/>
    <n v="0"/>
    <n v="-8.3571899999999992"/>
    <n v="-10.81732"/>
    <n v="0"/>
    <n v="-9.449606837301916"/>
    <n v="-11.505450501954535"/>
  </r>
  <r>
    <s v="Regular"/>
    <x v="4"/>
    <x v="4"/>
    <x v="7"/>
    <x v="6"/>
    <x v="0"/>
    <x v="0"/>
    <x v="1"/>
    <x v="2"/>
    <n v="0"/>
    <n v="0"/>
    <n v="54.076999999999998"/>
    <n v="54.076999999999998"/>
    <n v="54.076999999999998"/>
    <n v="54.076999999999998"/>
    <n v="842"/>
    <x v="2"/>
    <n v="0"/>
    <n v="0"/>
    <n v="49"/>
    <n v="55"/>
    <n v="0"/>
    <n v="225.87"/>
    <n v="292.36"/>
    <m/>
    <n v="255.39477938653826"/>
    <n v="310.95812167444689"/>
    <n v="0"/>
    <n v="12214.37199"/>
    <n v="15809.951720000001"/>
    <n v="0"/>
    <n v="13810.98348488583"/>
    <n v="16815.682345789064"/>
  </r>
  <r>
    <s v="Refaturamento - Regular"/>
    <x v="4"/>
    <x v="4"/>
    <x v="7"/>
    <x v="6"/>
    <x v="0"/>
    <x v="0"/>
    <x v="1"/>
    <x v="2"/>
    <n v="0"/>
    <n v="0"/>
    <n v="-0.54900000000000004"/>
    <n v="-0.54900000000000004"/>
    <n v="-0.54900000000000004"/>
    <n v="-0.54900000000000004"/>
    <n v="0"/>
    <x v="2"/>
    <n v="0"/>
    <n v="0"/>
    <n v="49"/>
    <n v="55"/>
    <n v="0"/>
    <n v="225.87"/>
    <n v="292.36"/>
    <m/>
    <n v="255.39477938653826"/>
    <n v="310.95812167444689"/>
    <n v="0"/>
    <n v="-124.00263000000001"/>
    <n v="-160.50564000000003"/>
    <n v="0"/>
    <n v="-140.21173388320952"/>
    <n v="-170.71600879927135"/>
  </r>
  <r>
    <s v="Regular"/>
    <x v="4"/>
    <x v="4"/>
    <x v="7"/>
    <x v="6"/>
    <x v="0"/>
    <x v="0"/>
    <x v="1"/>
    <x v="3"/>
    <n v="0"/>
    <n v="0"/>
    <n v="41.75"/>
    <n v="41.75"/>
    <n v="41.75"/>
    <n v="41.75"/>
    <n v="685"/>
    <x v="2"/>
    <n v="0"/>
    <n v="0"/>
    <n v="49"/>
    <n v="55"/>
    <n v="0"/>
    <n v="225.87"/>
    <n v="292.36"/>
    <m/>
    <n v="255.39477938653826"/>
    <n v="310.95812167444689"/>
    <n v="0"/>
    <n v="9430.0725000000002"/>
    <n v="12206.03"/>
    <n v="0"/>
    <n v="10662.732039387973"/>
    <n v="12982.501579908158"/>
  </r>
  <r>
    <s v="Regular"/>
    <x v="4"/>
    <x v="4"/>
    <x v="7"/>
    <x v="6"/>
    <x v="0"/>
    <x v="0"/>
    <x v="1"/>
    <x v="4"/>
    <n v="0"/>
    <n v="0"/>
    <n v="48.390999999999998"/>
    <n v="48.390999999999998"/>
    <n v="48.390999999999998"/>
    <n v="48.390999999999998"/>
    <n v="805"/>
    <x v="2"/>
    <n v="0"/>
    <n v="0"/>
    <n v="49"/>
    <n v="55"/>
    <n v="0"/>
    <n v="225.87"/>
    <n v="292.36"/>
    <m/>
    <n v="255.39477938653826"/>
    <n v="310.95812167444689"/>
    <n v="0"/>
    <n v="10930.07517"/>
    <n v="14147.59276"/>
    <n v="0"/>
    <n v="12358.808769293972"/>
    <n v="15047.574465948159"/>
  </r>
  <r>
    <s v="Regular"/>
    <x v="4"/>
    <x v="4"/>
    <x v="7"/>
    <x v="6"/>
    <x v="0"/>
    <x v="0"/>
    <x v="1"/>
    <x v="5"/>
    <n v="0"/>
    <n v="0"/>
    <n v="49.868000000000002"/>
    <n v="49.868000000000002"/>
    <n v="49.868000000000002"/>
    <n v="49.868000000000002"/>
    <n v="805"/>
    <x v="2"/>
    <n v="0"/>
    <n v="0"/>
    <n v="49"/>
    <n v="55"/>
    <n v="0"/>
    <n v="225.87"/>
    <n v="292.36"/>
    <m/>
    <n v="255.39477938653826"/>
    <n v="310.95812167444689"/>
    <n v="0"/>
    <n v="11263.685160000001"/>
    <n v="14579.408480000002"/>
    <n v="0"/>
    <n v="12736.026858447891"/>
    <n v="15506.859611661317"/>
  </r>
  <r>
    <s v="Refaturamento - Regular"/>
    <x v="4"/>
    <x v="4"/>
    <x v="7"/>
    <x v="6"/>
    <x v="0"/>
    <x v="0"/>
    <x v="1"/>
    <x v="5"/>
    <n v="0"/>
    <n v="0"/>
    <n v="0.316"/>
    <n v="0.316"/>
    <n v="0.316"/>
    <n v="0.316"/>
    <n v="0"/>
    <x v="2"/>
    <n v="0"/>
    <n v="0"/>
    <n v="49"/>
    <n v="55"/>
    <n v="0"/>
    <n v="225.87"/>
    <n v="292.36"/>
    <m/>
    <n v="255.39477938653826"/>
    <n v="310.95812167444689"/>
    <n v="0"/>
    <n v="71.374920000000003"/>
    <n v="92.385760000000005"/>
    <n v="0"/>
    <n v="80.704750286146094"/>
    <n v="98.262766449125223"/>
  </r>
  <r>
    <s v="Regular"/>
    <x v="4"/>
    <x v="4"/>
    <x v="7"/>
    <x v="6"/>
    <x v="0"/>
    <x v="0"/>
    <x v="1"/>
    <x v="6"/>
    <n v="0"/>
    <n v="0"/>
    <n v="54.363999999999997"/>
    <n v="54.363999999999997"/>
    <n v="54.363999999999997"/>
    <n v="54.363999999999997"/>
    <n v="895"/>
    <x v="2"/>
    <n v="0"/>
    <n v="0"/>
    <n v="49"/>
    <n v="55"/>
    <n v="0"/>
    <n v="225.87"/>
    <n v="292.36"/>
    <m/>
    <n v="255.39477938653826"/>
    <n v="310.95812167444689"/>
    <n v="0"/>
    <n v="12279.196679999999"/>
    <n v="15893.859039999999"/>
    <n v="0"/>
    <n v="13884.281786569765"/>
    <n v="16904.927326709629"/>
  </r>
  <r>
    <s v="Refaturamento - Regular"/>
    <x v="4"/>
    <x v="4"/>
    <x v="7"/>
    <x v="6"/>
    <x v="0"/>
    <x v="0"/>
    <x v="1"/>
    <x v="6"/>
    <n v="0"/>
    <n v="0"/>
    <n v="-0.17899999999999999"/>
    <n v="-0.17899999999999999"/>
    <n v="-0.17899999999999999"/>
    <n v="-0.17899999999999999"/>
    <n v="0"/>
    <x v="2"/>
    <n v="0"/>
    <n v="0"/>
    <n v="49"/>
    <n v="55"/>
    <n v="0"/>
    <n v="225.87"/>
    <n v="292.36"/>
    <m/>
    <n v="255.39477938653826"/>
    <n v="310.95812167444689"/>
    <n v="0"/>
    <n v="-40.430729999999997"/>
    <n v="-52.332439999999998"/>
    <n v="0"/>
    <n v="-45.715665510190348"/>
    <n v="-55.66150377972599"/>
  </r>
  <r>
    <s v="Regular"/>
    <x v="4"/>
    <x v="4"/>
    <x v="7"/>
    <x v="6"/>
    <x v="0"/>
    <x v="0"/>
    <x v="1"/>
    <x v="7"/>
    <n v="0"/>
    <n v="0"/>
    <n v="53.680999999999997"/>
    <n v="53.680999999999997"/>
    <n v="53.680999999999997"/>
    <n v="53.680999999999997"/>
    <n v="833"/>
    <x v="2"/>
    <n v="0"/>
    <n v="0"/>
    <n v="49"/>
    <n v="55"/>
    <n v="0"/>
    <n v="225.87"/>
    <n v="292.36"/>
    <m/>
    <n v="255.39477938653826"/>
    <n v="310.95812167444689"/>
    <n v="0"/>
    <n v="12124.927470000001"/>
    <n v="15694.177159999999"/>
    <n v="0"/>
    <n v="13709.84715224876"/>
    <n v="16692.542929605981"/>
  </r>
  <r>
    <s v="Regular"/>
    <x v="4"/>
    <x v="4"/>
    <x v="7"/>
    <x v="6"/>
    <x v="0"/>
    <x v="0"/>
    <x v="1"/>
    <x v="8"/>
    <n v="0"/>
    <n v="0"/>
    <n v="59.723999999999997"/>
    <n v="59.723999999999997"/>
    <n v="59.723999999999997"/>
    <n v="59.723999999999997"/>
    <n v="905"/>
    <x v="2"/>
    <n v="0"/>
    <n v="0"/>
    <n v="49"/>
    <n v="55"/>
    <n v="0"/>
    <n v="225.87"/>
    <n v="292.36"/>
    <m/>
    <n v="255.39477938653826"/>
    <n v="310.95812167444689"/>
    <n v="0"/>
    <n v="13489.85988"/>
    <n v="17460.908640000001"/>
    <n v="0"/>
    <n v="15253.19780408161"/>
    <n v="18571.662858884665"/>
  </r>
  <r>
    <s v="Regular"/>
    <x v="4"/>
    <x v="4"/>
    <x v="7"/>
    <x v="6"/>
    <x v="0"/>
    <x v="0"/>
    <x v="1"/>
    <x v="9"/>
    <n v="0"/>
    <n v="0"/>
    <n v="51.945999999999998"/>
    <n v="51.945999999999998"/>
    <n v="51.945999999999998"/>
    <n v="51.945999999999998"/>
    <n v="847"/>
    <x v="2"/>
    <n v="0"/>
    <n v="0"/>
    <n v="49"/>
    <n v="55"/>
    <n v="0"/>
    <n v="225.87"/>
    <n v="292.36"/>
    <m/>
    <n v="255.39477938653826"/>
    <n v="310.95812167444689"/>
    <n v="0"/>
    <n v="11733.043019999999"/>
    <n v="15186.932559999999"/>
    <n v="0"/>
    <n v="13266.737210013116"/>
    <n v="16153.030588500817"/>
  </r>
  <r>
    <s v="Refaturamento - Regular"/>
    <x v="4"/>
    <x v="4"/>
    <x v="7"/>
    <x v="6"/>
    <x v="0"/>
    <x v="0"/>
    <x v="1"/>
    <x v="9"/>
    <n v="0"/>
    <n v="0"/>
    <n v="-0.115"/>
    <n v="-0.115"/>
    <n v="-0.115"/>
    <n v="-0.115"/>
    <n v="0"/>
    <x v="2"/>
    <n v="0"/>
    <n v="0"/>
    <n v="49"/>
    <n v="55"/>
    <n v="0"/>
    <n v="225.87"/>
    <n v="292.36"/>
    <m/>
    <n v="255.39477938653826"/>
    <n v="310.95812167444689"/>
    <n v="0"/>
    <n v="-25.975050000000003"/>
    <n v="-33.621400000000001"/>
    <n v="0"/>
    <n v="-29.370399629451903"/>
    <n v="-35.760183992561394"/>
  </r>
  <r>
    <s v="Regular"/>
    <x v="4"/>
    <x v="4"/>
    <x v="7"/>
    <x v="6"/>
    <x v="0"/>
    <x v="0"/>
    <x v="1"/>
    <x v="10"/>
    <n v="0"/>
    <n v="0"/>
    <n v="72.566999999999993"/>
    <n v="72.566999999999993"/>
    <n v="72.566999999999993"/>
    <n v="72.566999999999993"/>
    <n v="1110"/>
    <x v="2"/>
    <n v="0"/>
    <n v="0"/>
    <n v="49"/>
    <n v="55"/>
    <n v="0"/>
    <n v="225.87"/>
    <n v="292.36"/>
    <m/>
    <n v="255.39477938653826"/>
    <n v="310.95812167444689"/>
    <n v="0"/>
    <n v="16390.708289999999"/>
    <n v="21215.688119999999"/>
    <n v="0"/>
    <n v="18533.232955742918"/>
    <n v="22565.298015549586"/>
  </r>
  <r>
    <s v="PROJETADO"/>
    <x v="4"/>
    <x v="4"/>
    <x v="7"/>
    <x v="6"/>
    <x v="0"/>
    <x v="0"/>
    <x v="1"/>
    <x v="11"/>
    <n v="0"/>
    <n v="0"/>
    <n v="72.566999999999993"/>
    <n v="72.566999999999993"/>
    <n v="72.566999999999993"/>
    <n v="72.566999999999993"/>
    <n v="1110"/>
    <x v="2"/>
    <n v="0"/>
    <n v="0"/>
    <n v="49"/>
    <n v="55"/>
    <n v="0"/>
    <n v="225.87"/>
    <n v="292.36"/>
    <m/>
    <n v="255.39477938653826"/>
    <n v="310.95812167444689"/>
    <n v="0"/>
    <n v="16390.708289999999"/>
    <n v="21215.688119999999"/>
    <n v="0"/>
    <n v="18533.232955742918"/>
    <n v="22565.298015549586"/>
  </r>
  <r>
    <s v="Regular"/>
    <x v="5"/>
    <x v="4"/>
    <x v="6"/>
    <x v="0"/>
    <x v="0"/>
    <x v="0"/>
    <x v="1"/>
    <x v="0"/>
    <n v="0"/>
    <n v="0"/>
    <n v="300.41300000000001"/>
    <n v="300.41300000000001"/>
    <n v="300.41300000000001"/>
    <n v="300.41300000000001"/>
    <n v="449"/>
    <x v="2"/>
    <n v="0"/>
    <n v="0"/>
    <n v="47"/>
    <n v="109"/>
    <n v="0"/>
    <n v="264.26"/>
    <n v="257.27"/>
    <m/>
    <n v="362.57271860169681"/>
    <n v="292.30063437398007"/>
    <n v="0"/>
    <n v="79387.139379999993"/>
    <n v="77287.252509999991"/>
    <n v="0"/>
    <n v="108921.55811329154"/>
    <n v="87810.910474190474"/>
  </r>
  <r>
    <s v="Refaturamento - Regular"/>
    <x v="5"/>
    <x v="4"/>
    <x v="6"/>
    <x v="0"/>
    <x v="0"/>
    <x v="0"/>
    <x v="1"/>
    <x v="0"/>
    <n v="0"/>
    <n v="0"/>
    <n v="-2.4"/>
    <n v="-2.4"/>
    <n v="-2.4"/>
    <n v="-2.4"/>
    <n v="0"/>
    <x v="2"/>
    <n v="0"/>
    <n v="0"/>
    <n v="47"/>
    <n v="109"/>
    <n v="0"/>
    <n v="264.26"/>
    <n v="257.27"/>
    <m/>
    <n v="362.57271860169681"/>
    <n v="292.30063437398007"/>
    <n v="0"/>
    <n v="-634.22399999999993"/>
    <n v="-617.44799999999998"/>
    <n v="0"/>
    <n v="-870.17452464407233"/>
    <n v="-701.52152249755216"/>
  </r>
  <r>
    <s v="Sistema de Compensação"/>
    <x v="5"/>
    <x v="4"/>
    <x v="6"/>
    <x v="0"/>
    <x v="0"/>
    <x v="0"/>
    <x v="1"/>
    <x v="0"/>
    <n v="0"/>
    <n v="0"/>
    <n v="6.0369999999999999"/>
    <n v="6.0369999999999999"/>
    <n v="6.0369999999999999"/>
    <n v="6.0369999999999999"/>
    <n v="25"/>
    <x v="2"/>
    <n v="0"/>
    <n v="0"/>
    <n v="47"/>
    <n v="109"/>
    <n v="0"/>
    <n v="264.26"/>
    <n v="257.27"/>
    <m/>
    <n v="362.57271860169681"/>
    <n v="292.30063437398007"/>
    <n v="0"/>
    <n v="1595.33762"/>
    <n v="1553.1389899999999"/>
    <n v="0"/>
    <n v="2188.8515021984435"/>
    <n v="1764.6189297157177"/>
  </r>
  <r>
    <s v="Sistema de Compensação"/>
    <x v="5"/>
    <x v="4"/>
    <x v="6"/>
    <x v="0"/>
    <x v="0"/>
    <x v="0"/>
    <x v="1"/>
    <x v="0"/>
    <n v="0"/>
    <n v="0"/>
    <n v="1.08"/>
    <n v="1.08"/>
    <n v="1.08"/>
    <n v="1.08"/>
    <n v="1"/>
    <x v="2"/>
    <n v="0"/>
    <n v="0"/>
    <n v="47"/>
    <n v="109"/>
    <n v="0"/>
    <n v="264.26"/>
    <n v="257.27"/>
    <m/>
    <n v="362.57271860169681"/>
    <n v="292.30063437398007"/>
    <n v="0"/>
    <n v="285.4008"/>
    <n v="277.85160000000002"/>
    <n v="0"/>
    <n v="391.5785360898326"/>
    <n v="315.68468512389848"/>
  </r>
  <r>
    <s v="Regular"/>
    <x v="5"/>
    <x v="4"/>
    <x v="6"/>
    <x v="0"/>
    <x v="0"/>
    <x v="0"/>
    <x v="1"/>
    <x v="1"/>
    <n v="0"/>
    <n v="0"/>
    <n v="289.67899999999997"/>
    <n v="289.67899999999997"/>
    <n v="289.67899999999997"/>
    <n v="289.67899999999997"/>
    <n v="448"/>
    <x v="2"/>
    <n v="0"/>
    <n v="0"/>
    <n v="47"/>
    <n v="109"/>
    <n v="0"/>
    <n v="264.26"/>
    <n v="257.27"/>
    <m/>
    <n v="362.57271860169681"/>
    <n v="292.30063437398007"/>
    <n v="0"/>
    <n v="76550.572539999994"/>
    <n v="74525.716329999981"/>
    <n v="0"/>
    <n v="105029.70255182093"/>
    <n v="84673.355464820168"/>
  </r>
  <r>
    <s v="Refaturamento - Regular"/>
    <x v="5"/>
    <x v="4"/>
    <x v="6"/>
    <x v="0"/>
    <x v="0"/>
    <x v="0"/>
    <x v="1"/>
    <x v="1"/>
    <n v="0"/>
    <n v="0"/>
    <n v="-0.74"/>
    <n v="-0.74"/>
    <n v="-0.74"/>
    <n v="-0.74"/>
    <n v="0"/>
    <x v="2"/>
    <n v="0"/>
    <n v="0"/>
    <n v="47"/>
    <n v="109"/>
    <n v="0"/>
    <n v="264.26"/>
    <n v="257.27"/>
    <m/>
    <n v="362.57271860169681"/>
    <n v="292.30063437398007"/>
    <n v="0"/>
    <n v="-195.55239999999998"/>
    <n v="-190.37979999999999"/>
    <n v="0"/>
    <n v="-268.30381176525566"/>
    <n v="-216.30246943674524"/>
  </r>
  <r>
    <s v="Sistema de Compensação"/>
    <x v="5"/>
    <x v="4"/>
    <x v="6"/>
    <x v="0"/>
    <x v="0"/>
    <x v="0"/>
    <x v="1"/>
    <x v="1"/>
    <n v="0"/>
    <n v="0"/>
    <n v="6.6429999999999998"/>
    <n v="6.6429999999999998"/>
    <n v="6.6429999999999998"/>
    <n v="6.6429999999999998"/>
    <n v="26"/>
    <x v="2"/>
    <n v="0"/>
    <n v="0"/>
    <n v="47"/>
    <n v="109"/>
    <n v="0"/>
    <n v="264.26"/>
    <n v="257.27"/>
    <m/>
    <n v="362.57271860169681"/>
    <n v="292.30063437398007"/>
    <n v="0"/>
    <n v="1755.4791799999998"/>
    <n v="1709.0446099999999"/>
    <n v="0"/>
    <n v="2408.570569671072"/>
    <n v="1941.7531141463496"/>
  </r>
  <r>
    <s v="Sistema de Compensação"/>
    <x v="5"/>
    <x v="4"/>
    <x v="6"/>
    <x v="0"/>
    <x v="0"/>
    <x v="0"/>
    <x v="1"/>
    <x v="1"/>
    <n v="0"/>
    <n v="0"/>
    <n v="0.05"/>
    <n v="0.05"/>
    <n v="0.05"/>
    <n v="0.05"/>
    <n v="1"/>
    <x v="2"/>
    <n v="0"/>
    <n v="0"/>
    <n v="47"/>
    <n v="109"/>
    <n v="0"/>
    <n v="264.26"/>
    <n v="257.27"/>
    <m/>
    <n v="362.57271860169681"/>
    <n v="292.30063437398007"/>
    <n v="0"/>
    <n v="13.213000000000001"/>
    <n v="12.8635"/>
    <n v="0"/>
    <n v="18.12863593008484"/>
    <n v="14.615031718699004"/>
  </r>
  <r>
    <s v="Regular"/>
    <x v="5"/>
    <x v="4"/>
    <x v="6"/>
    <x v="0"/>
    <x v="0"/>
    <x v="0"/>
    <x v="1"/>
    <x v="2"/>
    <n v="0"/>
    <n v="0"/>
    <n v="317.97500000000002"/>
    <n v="317.97500000000002"/>
    <n v="317.97500000000002"/>
    <n v="317.97500000000002"/>
    <n v="444"/>
    <x v="2"/>
    <n v="0"/>
    <n v="0"/>
    <n v="47"/>
    <n v="109"/>
    <n v="0"/>
    <n v="264.26"/>
    <n v="257.27"/>
    <m/>
    <n v="362.57271860169681"/>
    <n v="292.30063437398007"/>
    <n v="0"/>
    <n v="84028.073499999999"/>
    <n v="81805.428249999997"/>
    <n v="0"/>
    <n v="115289.06019737455"/>
    <n v="92944.294215066315"/>
  </r>
  <r>
    <s v="Refaturamento - Regular"/>
    <x v="5"/>
    <x v="4"/>
    <x v="6"/>
    <x v="0"/>
    <x v="0"/>
    <x v="0"/>
    <x v="1"/>
    <x v="2"/>
    <n v="0"/>
    <n v="0"/>
    <n v="-0.99299999999999999"/>
    <n v="-0.99299999999999999"/>
    <n v="-0.99299999999999999"/>
    <n v="-0.99299999999999999"/>
    <n v="0"/>
    <x v="2"/>
    <n v="0"/>
    <n v="0"/>
    <n v="47"/>
    <n v="109"/>
    <n v="0"/>
    <n v="264.26"/>
    <n v="257.27"/>
    <m/>
    <n v="362.57271860169681"/>
    <n v="292.30063437398007"/>
    <n v="0"/>
    <n v="-262.41017999999997"/>
    <n v="-255.46910999999997"/>
    <n v="0"/>
    <n v="-360.03470957148494"/>
    <n v="-290.25452993336222"/>
  </r>
  <r>
    <s v="Sistema de Compensação"/>
    <x v="5"/>
    <x v="4"/>
    <x v="6"/>
    <x v="0"/>
    <x v="0"/>
    <x v="0"/>
    <x v="1"/>
    <x v="2"/>
    <n v="0"/>
    <n v="0"/>
    <n v="8.84"/>
    <n v="8.84"/>
    <n v="8.84"/>
    <n v="8.84"/>
    <n v="31"/>
    <x v="2"/>
    <n v="0"/>
    <n v="0"/>
    <n v="47"/>
    <n v="109"/>
    <n v="0"/>
    <n v="264.26"/>
    <n v="257.27"/>
    <m/>
    <n v="362.57271860169681"/>
    <n v="292.30063437398007"/>
    <n v="0"/>
    <n v="2336.0583999999999"/>
    <n v="2274.2667999999999"/>
    <n v="0"/>
    <n v="3205.1428324389999"/>
    <n v="2583.9376078659839"/>
  </r>
  <r>
    <s v="Regular"/>
    <x v="5"/>
    <x v="4"/>
    <x v="6"/>
    <x v="0"/>
    <x v="0"/>
    <x v="0"/>
    <x v="1"/>
    <x v="3"/>
    <n v="0"/>
    <n v="0"/>
    <n v="277.06900000000002"/>
    <n v="277.06900000000002"/>
    <n v="277.06900000000002"/>
    <n v="277.06900000000002"/>
    <n v="440"/>
    <x v="2"/>
    <n v="0"/>
    <n v="0"/>
    <n v="47"/>
    <n v="109"/>
    <n v="0"/>
    <n v="264.26"/>
    <n v="257.27"/>
    <m/>
    <n v="362.57271860169681"/>
    <n v="292.30063437398007"/>
    <n v="0"/>
    <n v="73218.253939999995"/>
    <n v="71281.541629999992"/>
    <n v="0"/>
    <n v="100457.66057025355"/>
    <n v="80987.444465364286"/>
  </r>
  <r>
    <s v="Refaturamento - Regular"/>
    <x v="5"/>
    <x v="4"/>
    <x v="6"/>
    <x v="0"/>
    <x v="0"/>
    <x v="0"/>
    <x v="1"/>
    <x v="3"/>
    <n v="0"/>
    <n v="0"/>
    <n v="-0.38600000000000001"/>
    <n v="-0.38600000000000001"/>
    <n v="-0.38600000000000001"/>
    <n v="-0.38600000000000001"/>
    <n v="0"/>
    <x v="2"/>
    <n v="0"/>
    <n v="0"/>
    <n v="47"/>
    <n v="109"/>
    <n v="0"/>
    <n v="264.26"/>
    <n v="257.27"/>
    <m/>
    <n v="362.57271860169681"/>
    <n v="292.30063437398007"/>
    <n v="0"/>
    <n v="-102.00436000000001"/>
    <n v="-99.306219999999996"/>
    <n v="0"/>
    <n v="-139.95306938025496"/>
    <n v="-112.82804486835632"/>
  </r>
  <r>
    <s v="Sistema de Compensação"/>
    <x v="5"/>
    <x v="4"/>
    <x v="6"/>
    <x v="0"/>
    <x v="0"/>
    <x v="0"/>
    <x v="1"/>
    <x v="3"/>
    <n v="0"/>
    <n v="0"/>
    <n v="7.6260000000000003"/>
    <n v="7.6260000000000003"/>
    <n v="7.6260000000000003"/>
    <n v="7.6260000000000003"/>
    <n v="34"/>
    <x v="2"/>
    <n v="0"/>
    <n v="0"/>
    <n v="47"/>
    <n v="109"/>
    <n v="0"/>
    <n v="264.26"/>
    <n v="257.27"/>
    <m/>
    <n v="362.57271860169681"/>
    <n v="292.30063437398007"/>
    <n v="0"/>
    <n v="2015.24676"/>
    <n v="1961.94102"/>
    <n v="0"/>
    <n v="2764.9795520565399"/>
    <n v="2229.0846377359721"/>
  </r>
  <r>
    <s v="Sistema de Compensação"/>
    <x v="5"/>
    <x v="4"/>
    <x v="6"/>
    <x v="0"/>
    <x v="0"/>
    <x v="0"/>
    <x v="1"/>
    <x v="3"/>
    <n v="0"/>
    <n v="0"/>
    <n v="0.1"/>
    <n v="0.1"/>
    <n v="0.1"/>
    <n v="0.1"/>
    <n v="1"/>
    <x v="2"/>
    <n v="0"/>
    <n v="0"/>
    <n v="47"/>
    <n v="109"/>
    <n v="0"/>
    <n v="264.26"/>
    <n v="257.27"/>
    <m/>
    <n v="362.57271860169681"/>
    <n v="292.30063437398007"/>
    <n v="0"/>
    <n v="26.426000000000002"/>
    <n v="25.727"/>
    <n v="0"/>
    <n v="36.257271860169681"/>
    <n v="29.230063437398009"/>
  </r>
  <r>
    <s v="Regular"/>
    <x v="5"/>
    <x v="4"/>
    <x v="6"/>
    <x v="0"/>
    <x v="0"/>
    <x v="0"/>
    <x v="1"/>
    <x v="4"/>
    <n v="0"/>
    <n v="0"/>
    <n v="287.67899999999997"/>
    <n v="287.67899999999997"/>
    <n v="287.67899999999997"/>
    <n v="287.67899999999997"/>
    <n v="437"/>
    <x v="2"/>
    <n v="0"/>
    <n v="0"/>
    <n v="47"/>
    <n v="109"/>
    <n v="0"/>
    <n v="264.26"/>
    <n v="257.27"/>
    <m/>
    <n v="362.57271860169681"/>
    <n v="292.30063437398007"/>
    <n v="0"/>
    <n v="76022.05253999999"/>
    <n v="74011.176329999988"/>
    <n v="0"/>
    <n v="104304.55711461752"/>
    <n v="84088.754196072201"/>
  </r>
  <r>
    <s v="Refaturamento - Regular"/>
    <x v="5"/>
    <x v="4"/>
    <x v="6"/>
    <x v="0"/>
    <x v="0"/>
    <x v="0"/>
    <x v="1"/>
    <x v="4"/>
    <n v="0"/>
    <n v="0"/>
    <n v="-1.06"/>
    <n v="-1.06"/>
    <n v="-1.06"/>
    <n v="-1.06"/>
    <n v="0"/>
    <x v="2"/>
    <n v="0"/>
    <n v="0"/>
    <n v="47"/>
    <n v="109"/>
    <n v="0"/>
    <n v="264.26"/>
    <n v="257.27"/>
    <m/>
    <n v="362.57271860169681"/>
    <n v="292.30063437398007"/>
    <n v="0"/>
    <n v="-280.11560000000003"/>
    <n v="-272.70619999999997"/>
    <n v="0"/>
    <n v="-384.32708171779865"/>
    <n v="-309.8386724364189"/>
  </r>
  <r>
    <s v="Sistema de Compensação"/>
    <x v="5"/>
    <x v="4"/>
    <x v="6"/>
    <x v="0"/>
    <x v="0"/>
    <x v="0"/>
    <x v="1"/>
    <x v="4"/>
    <n v="0"/>
    <n v="0"/>
    <n v="8.6259999999999994"/>
    <n v="8.6259999999999994"/>
    <n v="8.6259999999999994"/>
    <n v="8.6259999999999994"/>
    <n v="36"/>
    <x v="2"/>
    <n v="0"/>
    <n v="0"/>
    <n v="47"/>
    <n v="109"/>
    <n v="0"/>
    <n v="264.26"/>
    <n v="257.27"/>
    <m/>
    <n v="362.57271860169681"/>
    <n v="292.30063437398007"/>
    <n v="0"/>
    <n v="2279.5067599999998"/>
    <n v="2219.2110199999997"/>
    <n v="0"/>
    <n v="3127.5522706582365"/>
    <n v="2521.385272109952"/>
  </r>
  <r>
    <s v="Regular"/>
    <x v="5"/>
    <x v="4"/>
    <x v="6"/>
    <x v="0"/>
    <x v="0"/>
    <x v="0"/>
    <x v="1"/>
    <x v="5"/>
    <n v="0"/>
    <n v="0"/>
    <n v="277.33300000000003"/>
    <n v="277.33300000000003"/>
    <n v="277.33300000000003"/>
    <n v="277.33300000000003"/>
    <n v="435"/>
    <x v="2"/>
    <n v="0"/>
    <n v="0"/>
    <n v="47"/>
    <n v="109"/>
    <n v="0"/>
    <n v="264.26"/>
    <n v="257.27"/>
    <m/>
    <n v="362.57271860169681"/>
    <n v="292.30063437398007"/>
    <n v="0"/>
    <n v="73288.018580000004"/>
    <n v="71349.460910000009"/>
    <n v="0"/>
    <n v="100553.37976796439"/>
    <n v="81064.611832839029"/>
  </r>
  <r>
    <s v="Sistema de Compensação"/>
    <x v="5"/>
    <x v="4"/>
    <x v="6"/>
    <x v="0"/>
    <x v="0"/>
    <x v="0"/>
    <x v="1"/>
    <x v="5"/>
    <n v="0"/>
    <n v="0"/>
    <n v="7.6239999999999997"/>
    <n v="7.6239999999999997"/>
    <n v="7.6239999999999997"/>
    <n v="7.6239999999999997"/>
    <n v="37"/>
    <x v="2"/>
    <n v="0"/>
    <n v="0"/>
    <n v="47"/>
    <n v="109"/>
    <n v="0"/>
    <n v="264.26"/>
    <n v="257.27"/>
    <m/>
    <n v="362.57271860169681"/>
    <n v="292.30063437398007"/>
    <n v="0"/>
    <n v="2014.7182399999999"/>
    <n v="1961.4264799999999"/>
    <n v="0"/>
    <n v="2764.2544066193364"/>
    <n v="2228.5000364672242"/>
  </r>
  <r>
    <s v="Regular"/>
    <x v="5"/>
    <x v="4"/>
    <x v="6"/>
    <x v="0"/>
    <x v="0"/>
    <x v="0"/>
    <x v="1"/>
    <x v="6"/>
    <n v="0"/>
    <n v="0"/>
    <n v="296.34100000000001"/>
    <n v="296.34100000000001"/>
    <n v="296.34100000000001"/>
    <n v="296.34100000000001"/>
    <n v="435"/>
    <x v="2"/>
    <n v="0"/>
    <n v="0"/>
    <n v="47"/>
    <n v="109"/>
    <n v="0"/>
    <n v="264.26"/>
    <n v="257.27"/>
    <m/>
    <n v="362.57271860169681"/>
    <n v="292.30063437398007"/>
    <n v="0"/>
    <n v="78311.072660000005"/>
    <n v="76239.649069999999"/>
    <n v="0"/>
    <n v="107445.16200314544"/>
    <n v="86620.662291019631"/>
  </r>
  <r>
    <s v="Refaturamento - Regular"/>
    <x v="5"/>
    <x v="4"/>
    <x v="6"/>
    <x v="0"/>
    <x v="0"/>
    <x v="0"/>
    <x v="1"/>
    <x v="6"/>
    <n v="0"/>
    <n v="0"/>
    <n v="-0.35899999999999999"/>
    <n v="-0.35899999999999999"/>
    <n v="-0.35899999999999999"/>
    <n v="-0.35899999999999999"/>
    <n v="0"/>
    <x v="2"/>
    <n v="0"/>
    <n v="0"/>
    <n v="47"/>
    <n v="109"/>
    <n v="0"/>
    <n v="264.26"/>
    <n v="257.27"/>
    <m/>
    <n v="362.57271860169681"/>
    <n v="292.30063437398007"/>
    <n v="0"/>
    <n v="-94.869339999999994"/>
    <n v="-92.359929999999991"/>
    <n v="0"/>
    <n v="-130.16360597800914"/>
    <n v="-104.93592774025885"/>
  </r>
  <r>
    <s v="Sistema de Compensação"/>
    <x v="5"/>
    <x v="4"/>
    <x v="6"/>
    <x v="0"/>
    <x v="0"/>
    <x v="0"/>
    <x v="1"/>
    <x v="6"/>
    <n v="0"/>
    <n v="0"/>
    <n v="7.7039999999999997"/>
    <n v="7.7039999999999997"/>
    <n v="7.7039999999999997"/>
    <n v="7.7039999999999997"/>
    <n v="37"/>
    <x v="2"/>
    <n v="0"/>
    <n v="0"/>
    <n v="47"/>
    <n v="109"/>
    <n v="0"/>
    <n v="264.26"/>
    <n v="257.27"/>
    <m/>
    <n v="362.57271860169681"/>
    <n v="292.30063437398007"/>
    <n v="0"/>
    <n v="2035.8590399999998"/>
    <n v="1982.0080799999998"/>
    <n v="0"/>
    <n v="2793.2602241074719"/>
    <n v="2251.8840872171422"/>
  </r>
  <r>
    <s v="Sistema de Compensação"/>
    <x v="5"/>
    <x v="4"/>
    <x v="6"/>
    <x v="0"/>
    <x v="0"/>
    <x v="0"/>
    <x v="1"/>
    <x v="6"/>
    <n v="0"/>
    <n v="0"/>
    <n v="0.13600000000000001"/>
    <n v="0.13600000000000001"/>
    <n v="0.13600000000000001"/>
    <n v="0.13600000000000001"/>
    <n v="1"/>
    <x v="2"/>
    <n v="0"/>
    <n v="0"/>
    <n v="47"/>
    <n v="109"/>
    <n v="0"/>
    <n v="264.26"/>
    <n v="257.27"/>
    <m/>
    <n v="362.57271860169681"/>
    <n v="292.30063437398007"/>
    <n v="0"/>
    <n v="35.939360000000001"/>
    <n v="34.988720000000001"/>
    <n v="0"/>
    <n v="49.309889729830772"/>
    <n v="39.752886274861289"/>
  </r>
  <r>
    <s v="Regular"/>
    <x v="5"/>
    <x v="4"/>
    <x v="6"/>
    <x v="0"/>
    <x v="0"/>
    <x v="0"/>
    <x v="1"/>
    <x v="7"/>
    <n v="0"/>
    <n v="0"/>
    <n v="313.52600000000001"/>
    <n v="313.52600000000001"/>
    <n v="313.52600000000001"/>
    <n v="313.52600000000001"/>
    <n v="430"/>
    <x v="2"/>
    <n v="0"/>
    <n v="0"/>
    <n v="47"/>
    <n v="109"/>
    <n v="0"/>
    <n v="264.26"/>
    <n v="257.27"/>
    <m/>
    <n v="362.57271860169681"/>
    <n v="292.30063437398007"/>
    <n v="0"/>
    <n v="82852.38076"/>
    <n v="80660.834019999995"/>
    <n v="0"/>
    <n v="113675.97417231559"/>
    <n v="91643.848692736487"/>
  </r>
  <r>
    <s v="Sistema de Compensação"/>
    <x v="5"/>
    <x v="4"/>
    <x v="6"/>
    <x v="0"/>
    <x v="0"/>
    <x v="0"/>
    <x v="1"/>
    <x v="7"/>
    <n v="0"/>
    <n v="0"/>
    <n v="9.5090000000000003"/>
    <n v="9.5090000000000003"/>
    <n v="9.5090000000000003"/>
    <n v="9.5090000000000003"/>
    <n v="41"/>
    <x v="2"/>
    <n v="0"/>
    <n v="0"/>
    <n v="47"/>
    <n v="109"/>
    <n v="0"/>
    <n v="264.26"/>
    <n v="257.27"/>
    <m/>
    <n v="362.57271860169681"/>
    <n v="292.30063437398007"/>
    <n v="0"/>
    <n v="2512.84834"/>
    <n v="2446.3804299999997"/>
    <n v="0"/>
    <n v="3447.7039811835352"/>
    <n v="2779.4867322621767"/>
  </r>
  <r>
    <s v="Regular"/>
    <x v="5"/>
    <x v="4"/>
    <x v="6"/>
    <x v="0"/>
    <x v="0"/>
    <x v="0"/>
    <x v="1"/>
    <x v="8"/>
    <n v="0"/>
    <n v="0"/>
    <n v="338.08600000000001"/>
    <n v="338.08600000000001"/>
    <n v="338.08600000000001"/>
    <n v="338.08600000000001"/>
    <n v="435"/>
    <x v="2"/>
    <n v="0"/>
    <n v="0"/>
    <n v="47"/>
    <n v="109"/>
    <n v="0"/>
    <n v="264.26"/>
    <n v="257.27"/>
    <m/>
    <n v="362.57271860169681"/>
    <n v="292.30063437398007"/>
    <n v="0"/>
    <n v="89342.606360000005"/>
    <n v="86979.385219999996"/>
    <n v="0"/>
    <n v="122580.76014117328"/>
    <n v="98822.752272961428"/>
  </r>
  <r>
    <s v="Regular"/>
    <x v="5"/>
    <x v="4"/>
    <x v="6"/>
    <x v="0"/>
    <x v="0"/>
    <x v="0"/>
    <x v="1"/>
    <x v="9"/>
    <n v="0"/>
    <n v="0"/>
    <n v="336.291"/>
    <n v="336.291"/>
    <n v="336.291"/>
    <n v="336.291"/>
    <n v="433"/>
    <x v="2"/>
    <n v="0"/>
    <n v="0"/>
    <n v="47"/>
    <n v="109"/>
    <n v="0"/>
    <n v="264.26"/>
    <n v="257.27"/>
    <m/>
    <n v="362.57271860169681"/>
    <n v="292.30063437398007"/>
    <n v="0"/>
    <n v="88868.259659999996"/>
    <n v="86517.585569999996"/>
    <n v="0"/>
    <n v="121929.94211128322"/>
    <n v="98298.072634260127"/>
  </r>
  <r>
    <s v="Refaturamento - Regular"/>
    <x v="5"/>
    <x v="4"/>
    <x v="6"/>
    <x v="0"/>
    <x v="0"/>
    <x v="0"/>
    <x v="1"/>
    <x v="9"/>
    <n v="0"/>
    <n v="0"/>
    <n v="-2.8610000000000002"/>
    <n v="-2.8610000000000002"/>
    <n v="-2.8610000000000002"/>
    <n v="-2.8610000000000002"/>
    <n v="0"/>
    <x v="2"/>
    <n v="0"/>
    <n v="0"/>
    <n v="47"/>
    <n v="109"/>
    <n v="0"/>
    <n v="264.26"/>
    <n v="257.27"/>
    <m/>
    <n v="362.57271860169681"/>
    <n v="292.30063437398007"/>
    <n v="0"/>
    <n v="-756.04786000000001"/>
    <n v="-736.04947000000004"/>
    <n v="0"/>
    <n v="-1037.3205479194546"/>
    <n v="-836.27211494395704"/>
  </r>
  <r>
    <s v="Sistema de Compensação"/>
    <x v="5"/>
    <x v="4"/>
    <x v="6"/>
    <x v="0"/>
    <x v="0"/>
    <x v="0"/>
    <x v="1"/>
    <x v="9"/>
    <n v="0"/>
    <n v="0"/>
    <n v="9.6790000000000003"/>
    <n v="9.6790000000000003"/>
    <n v="9.6790000000000003"/>
    <n v="9.6790000000000003"/>
    <n v="41"/>
    <x v="2"/>
    <n v="0"/>
    <n v="0"/>
    <n v="47"/>
    <n v="109"/>
    <n v="0"/>
    <n v="264.26"/>
    <n v="257.27"/>
    <m/>
    <n v="362.57271860169681"/>
    <n v="292.30063437398007"/>
    <n v="0"/>
    <n v="2557.7725399999999"/>
    <n v="2490.1163299999998"/>
    <n v="0"/>
    <n v="3509.3413433458236"/>
    <n v="2829.1778401057531"/>
  </r>
  <r>
    <s v="Regular"/>
    <x v="5"/>
    <x v="4"/>
    <x v="6"/>
    <x v="0"/>
    <x v="0"/>
    <x v="0"/>
    <x v="1"/>
    <x v="10"/>
    <n v="0"/>
    <n v="0"/>
    <n v="330.00200000000001"/>
    <n v="330.00200000000001"/>
    <n v="330.00200000000001"/>
    <n v="330.00200000000001"/>
    <n v="433"/>
    <x v="2"/>
    <n v="0"/>
    <n v="0"/>
    <n v="47"/>
    <n v="109"/>
    <n v="0"/>
    <n v="264.26"/>
    <n v="257.27"/>
    <m/>
    <n v="362.57271860169681"/>
    <n v="292.30063437398007"/>
    <n v="0"/>
    <n v="87206.328519999995"/>
    <n v="84899.614539999995"/>
    <n v="0"/>
    <n v="119649.72228399715"/>
    <n v="96459.793944682169"/>
  </r>
  <r>
    <s v="Refaturamento - Regular"/>
    <x v="5"/>
    <x v="4"/>
    <x v="6"/>
    <x v="0"/>
    <x v="0"/>
    <x v="0"/>
    <x v="1"/>
    <x v="10"/>
    <n v="0"/>
    <n v="0"/>
    <n v="-1.2410000000000001"/>
    <n v="-1.2410000000000001"/>
    <n v="-1.2410000000000001"/>
    <n v="-1.2410000000000001"/>
    <n v="0"/>
    <x v="2"/>
    <n v="0"/>
    <n v="0"/>
    <n v="47"/>
    <n v="109"/>
    <n v="0"/>
    <n v="264.26"/>
    <n v="257.27"/>
    <m/>
    <n v="362.57271860169681"/>
    <n v="292.30063437398007"/>
    <n v="0"/>
    <n v="-327.94666000000001"/>
    <n v="-319.27206999999999"/>
    <n v="0"/>
    <n v="-449.95274378470577"/>
    <n v="-362.74508725810932"/>
  </r>
  <r>
    <s v="Sistema de Compensação"/>
    <x v="5"/>
    <x v="4"/>
    <x v="6"/>
    <x v="0"/>
    <x v="0"/>
    <x v="0"/>
    <x v="1"/>
    <x v="10"/>
    <n v="0"/>
    <n v="0"/>
    <n v="8.4589999999999996"/>
    <n v="8.4589999999999996"/>
    <n v="8.4589999999999996"/>
    <n v="8.4589999999999996"/>
    <n v="40"/>
    <x v="2"/>
    <n v="0"/>
    <n v="0"/>
    <n v="47"/>
    <n v="109"/>
    <n v="0"/>
    <n v="264.26"/>
    <n v="257.27"/>
    <m/>
    <n v="362.57271860169681"/>
    <n v="292.30063437398007"/>
    <n v="0"/>
    <n v="2235.3753400000001"/>
    <n v="2176.2469299999998"/>
    <n v="0"/>
    <n v="3067.002626651753"/>
    <n v="2472.5710661694975"/>
  </r>
  <r>
    <s v="PROJETADO"/>
    <x v="5"/>
    <x v="4"/>
    <x v="6"/>
    <x v="0"/>
    <x v="0"/>
    <x v="0"/>
    <x v="1"/>
    <x v="11"/>
    <n v="0"/>
    <n v="0"/>
    <n v="330.00200000000001"/>
    <n v="330.00200000000001"/>
    <n v="330.00200000000001"/>
    <n v="330.00200000000001"/>
    <n v="433"/>
    <x v="2"/>
    <n v="0"/>
    <n v="0"/>
    <n v="47"/>
    <n v="109"/>
    <n v="0"/>
    <n v="264.26"/>
    <n v="257.27"/>
    <m/>
    <n v="362.57271860169681"/>
    <n v="292.30063437398007"/>
    <n v="0"/>
    <n v="87206.328519999995"/>
    <n v="84899.614539999995"/>
    <n v="0"/>
    <n v="119649.72228399715"/>
    <n v="96459.793944682169"/>
  </r>
  <r>
    <s v="PROJETADO"/>
    <x v="5"/>
    <x v="4"/>
    <x v="6"/>
    <x v="0"/>
    <x v="0"/>
    <x v="0"/>
    <x v="1"/>
    <x v="11"/>
    <n v="0"/>
    <n v="0"/>
    <n v="-1.2410000000000001"/>
    <n v="-1.2410000000000001"/>
    <n v="-1.2410000000000001"/>
    <n v="-1.2410000000000001"/>
    <n v="0"/>
    <x v="2"/>
    <n v="0"/>
    <n v="0"/>
    <n v="47"/>
    <n v="109"/>
    <n v="0"/>
    <n v="264.26"/>
    <n v="257.27"/>
    <m/>
    <n v="362.57271860169681"/>
    <n v="292.30063437398007"/>
    <n v="0"/>
    <n v="-327.94666000000001"/>
    <n v="-319.27206999999999"/>
    <n v="0"/>
    <n v="-449.95274378470577"/>
    <n v="-362.74508725810932"/>
  </r>
  <r>
    <s v="PROJETADO"/>
    <x v="5"/>
    <x v="4"/>
    <x v="6"/>
    <x v="0"/>
    <x v="0"/>
    <x v="0"/>
    <x v="1"/>
    <x v="11"/>
    <n v="0"/>
    <n v="0"/>
    <n v="8.4589999999999996"/>
    <n v="8.4589999999999996"/>
    <n v="8.4589999999999996"/>
    <n v="8.4589999999999996"/>
    <n v="40"/>
    <x v="2"/>
    <n v="0"/>
    <n v="0"/>
    <n v="47"/>
    <n v="109"/>
    <n v="0"/>
    <n v="264.26"/>
    <n v="257.27"/>
    <m/>
    <n v="362.57271860169681"/>
    <n v="292.30063437398007"/>
    <n v="0"/>
    <n v="2235.3753400000001"/>
    <n v="2176.2469299999998"/>
    <n v="0"/>
    <n v="3067.002626651753"/>
    <n v="2472.5710661694975"/>
  </r>
  <r>
    <s v="Regular"/>
    <x v="6"/>
    <x v="3"/>
    <x v="2"/>
    <x v="0"/>
    <x v="0"/>
    <x v="0"/>
    <x v="0"/>
    <x v="0"/>
    <n v="0"/>
    <n v="0"/>
    <n v="23.803999999999998"/>
    <n v="23.803999999999998"/>
    <n v="23.803999999999998"/>
    <n v="23.803999999999998"/>
    <n v="0"/>
    <x v="2"/>
    <n v="0"/>
    <n v="0"/>
    <n v="69"/>
    <n v="105"/>
    <n v="0"/>
    <n v="234.07"/>
    <n v="278.67"/>
    <m/>
    <n v="310.15213459473404"/>
    <n v="295.87360985530717"/>
    <n v="0"/>
    <n v="5571.8022799999999"/>
    <n v="6633.4606800000001"/>
    <n v="0"/>
    <n v="7382.8614118930482"/>
    <n v="7042.9754089957314"/>
  </r>
  <r>
    <s v="Sistema de Compensação"/>
    <x v="6"/>
    <x v="3"/>
    <x v="2"/>
    <x v="0"/>
    <x v="0"/>
    <x v="0"/>
    <x v="0"/>
    <x v="0"/>
    <n v="0"/>
    <n v="0"/>
    <n v="7.1970000000000001"/>
    <n v="7.1970000000000001"/>
    <n v="7.1970000000000001"/>
    <n v="7.1970000000000001"/>
    <n v="0"/>
    <x v="2"/>
    <n v="0"/>
    <n v="0"/>
    <n v="69"/>
    <n v="105"/>
    <n v="0"/>
    <n v="234.07"/>
    <n v="278.67"/>
    <m/>
    <n v="310.15213459473404"/>
    <n v="295.87360985530717"/>
    <n v="0"/>
    <n v="1684.6017899999999"/>
    <n v="2005.5879900000002"/>
    <n v="0"/>
    <n v="2232.1649126783009"/>
    <n v="2129.4023701286455"/>
  </r>
  <r>
    <s v="Regular"/>
    <x v="6"/>
    <x v="3"/>
    <x v="2"/>
    <x v="0"/>
    <x v="0"/>
    <x v="0"/>
    <x v="0"/>
    <x v="1"/>
    <n v="0"/>
    <n v="0"/>
    <n v="23.663"/>
    <n v="23.663"/>
    <n v="23.663"/>
    <n v="23.663"/>
    <n v="0"/>
    <x v="2"/>
    <n v="0"/>
    <n v="0"/>
    <n v="69"/>
    <n v="105"/>
    <n v="0"/>
    <n v="234.07"/>
    <n v="278.67"/>
    <m/>
    <n v="310.15213459473404"/>
    <n v="295.87360985530717"/>
    <n v="0"/>
    <n v="5538.7984100000003"/>
    <n v="6594.1682100000007"/>
    <n v="0"/>
    <n v="7339.129960915192"/>
    <n v="7001.2572300061338"/>
  </r>
  <r>
    <s v="Sistema de Compensação"/>
    <x v="6"/>
    <x v="3"/>
    <x v="2"/>
    <x v="0"/>
    <x v="0"/>
    <x v="0"/>
    <x v="0"/>
    <x v="1"/>
    <n v="0"/>
    <n v="0"/>
    <n v="6.6520000000000001"/>
    <n v="6.6520000000000001"/>
    <n v="6.6520000000000001"/>
    <n v="6.6520000000000001"/>
    <n v="0"/>
    <x v="2"/>
    <n v="0"/>
    <n v="0"/>
    <n v="69"/>
    <n v="105"/>
    <n v="0"/>
    <n v="234.07"/>
    <n v="278.67"/>
    <m/>
    <n v="310.15213459473404"/>
    <n v="295.87360985530717"/>
    <n v="0"/>
    <n v="1557.0336399999999"/>
    <n v="1853.7128400000001"/>
    <n v="0"/>
    <n v="2063.1319993241709"/>
    <n v="1968.1512527575032"/>
  </r>
  <r>
    <s v="Regular"/>
    <x v="6"/>
    <x v="3"/>
    <x v="2"/>
    <x v="0"/>
    <x v="0"/>
    <x v="0"/>
    <x v="0"/>
    <x v="2"/>
    <n v="0"/>
    <n v="0"/>
    <n v="23.891999999999999"/>
    <n v="23.891999999999999"/>
    <n v="23.891999999999999"/>
    <n v="23.891999999999999"/>
    <n v="0"/>
    <x v="2"/>
    <n v="0"/>
    <n v="0"/>
    <n v="69"/>
    <n v="105"/>
    <n v="0"/>
    <n v="234.07"/>
    <n v="278.67"/>
    <m/>
    <n v="310.15213459473404"/>
    <n v="295.87360985530717"/>
    <n v="0"/>
    <n v="5592.4004399999994"/>
    <n v="6657.9836400000004"/>
    <n v="0"/>
    <n v="7410.1547997373855"/>
    <n v="7069.012286662999"/>
  </r>
  <r>
    <s v="Sistema de Compensação"/>
    <x v="6"/>
    <x v="3"/>
    <x v="2"/>
    <x v="0"/>
    <x v="0"/>
    <x v="0"/>
    <x v="0"/>
    <x v="2"/>
    <n v="0"/>
    <n v="0"/>
    <n v="8.4640000000000004"/>
    <n v="8.4640000000000004"/>
    <n v="8.4640000000000004"/>
    <n v="8.4640000000000004"/>
    <n v="0"/>
    <x v="2"/>
    <n v="0"/>
    <n v="0"/>
    <n v="69"/>
    <n v="105"/>
    <n v="0"/>
    <n v="234.07"/>
    <n v="278.67"/>
    <m/>
    <n v="310.15213459473404"/>
    <n v="295.87360985530717"/>
    <n v="0"/>
    <n v="1981.16848"/>
    <n v="2358.6628800000003"/>
    <n v="0"/>
    <n v="2625.1276672098288"/>
    <n v="2504.2742338153198"/>
  </r>
  <r>
    <s v="Regular"/>
    <x v="6"/>
    <x v="3"/>
    <x v="2"/>
    <x v="0"/>
    <x v="0"/>
    <x v="0"/>
    <x v="0"/>
    <x v="3"/>
    <n v="0"/>
    <n v="0"/>
    <n v="29.81"/>
    <n v="29.81"/>
    <n v="29.81"/>
    <n v="29.81"/>
    <n v="0"/>
    <x v="2"/>
    <n v="0"/>
    <n v="0"/>
    <n v="69"/>
    <n v="105"/>
    <n v="0"/>
    <n v="234.07"/>
    <n v="278.67"/>
    <m/>
    <n v="310.15213459473404"/>
    <n v="295.87360985530717"/>
    <n v="0"/>
    <n v="6977.6266999999998"/>
    <n v="8307.1527000000006"/>
    <n v="0"/>
    <n v="9245.6351322690207"/>
    <n v="8819.9923097867068"/>
  </r>
  <r>
    <s v="Sistema de Compensação"/>
    <x v="6"/>
    <x v="3"/>
    <x v="2"/>
    <x v="0"/>
    <x v="0"/>
    <x v="0"/>
    <x v="0"/>
    <x v="3"/>
    <n v="0"/>
    <n v="0"/>
    <n v="5.8000000000000003E-2"/>
    <n v="5.8000000000000003E-2"/>
    <n v="5.8000000000000003E-2"/>
    <n v="5.8000000000000003E-2"/>
    <n v="0"/>
    <x v="2"/>
    <n v="0"/>
    <n v="0"/>
    <n v="69"/>
    <n v="105"/>
    <n v="0"/>
    <n v="234.07"/>
    <n v="278.67"/>
    <m/>
    <n v="310.15213459473404"/>
    <n v="295.87360985530717"/>
    <n v="0"/>
    <n v="13.57606"/>
    <n v="16.162860000000002"/>
    <n v="0"/>
    <n v="17.988823806494576"/>
    <n v="17.160669371607817"/>
  </r>
  <r>
    <s v="Regular"/>
    <x v="6"/>
    <x v="3"/>
    <x v="2"/>
    <x v="0"/>
    <x v="0"/>
    <x v="0"/>
    <x v="0"/>
    <x v="4"/>
    <n v="0"/>
    <n v="0"/>
    <n v="24.454000000000001"/>
    <n v="24.454000000000001"/>
    <n v="24.454000000000001"/>
    <n v="24.454000000000001"/>
    <n v="0"/>
    <x v="2"/>
    <n v="0"/>
    <n v="0"/>
    <n v="69"/>
    <n v="105"/>
    <n v="0"/>
    <n v="234.07"/>
    <n v="278.67"/>
    <m/>
    <n v="310.15213459473404"/>
    <n v="295.87360985530717"/>
    <n v="0"/>
    <n v="5723.9477800000004"/>
    <n v="6814.5961800000005"/>
    <n v="0"/>
    <n v="7584.4602993796261"/>
    <n v="7235.2932554016816"/>
  </r>
  <r>
    <s v="Sistema de Compensação"/>
    <x v="6"/>
    <x v="3"/>
    <x v="2"/>
    <x v="0"/>
    <x v="0"/>
    <x v="0"/>
    <x v="0"/>
    <x v="4"/>
    <n v="0"/>
    <n v="0"/>
    <n v="6.7770000000000001"/>
    <n v="6.7770000000000001"/>
    <n v="6.7770000000000001"/>
    <n v="6.7770000000000001"/>
    <n v="0"/>
    <x v="2"/>
    <n v="0"/>
    <n v="0"/>
    <n v="69"/>
    <n v="105"/>
    <n v="0"/>
    <n v="234.07"/>
    <n v="278.67"/>
    <m/>
    <n v="310.15213459473404"/>
    <n v="295.87360985530717"/>
    <n v="0"/>
    <n v="1586.2923900000001"/>
    <n v="1888.5465900000002"/>
    <n v="0"/>
    <n v="2101.9010161485126"/>
    <n v="2005.1354539894166"/>
  </r>
  <r>
    <s v="Regular"/>
    <x v="6"/>
    <x v="3"/>
    <x v="2"/>
    <x v="0"/>
    <x v="0"/>
    <x v="0"/>
    <x v="0"/>
    <x v="5"/>
    <n v="0"/>
    <n v="0"/>
    <n v="36.942999999999998"/>
    <n v="36.942999999999998"/>
    <n v="36.942999999999998"/>
    <n v="36.942999999999998"/>
    <n v="0"/>
    <x v="2"/>
    <n v="0"/>
    <n v="0"/>
    <n v="69"/>
    <n v="105"/>
    <n v="0"/>
    <n v="234.07"/>
    <n v="278.67"/>
    <m/>
    <n v="310.15213459473404"/>
    <n v="295.87360985530717"/>
    <n v="0"/>
    <n v="8647.2480099999993"/>
    <n v="10294.90581"/>
    <n v="0"/>
    <n v="11457.950308333258"/>
    <n v="10930.458768884611"/>
  </r>
  <r>
    <s v="Regular"/>
    <x v="6"/>
    <x v="3"/>
    <x v="2"/>
    <x v="0"/>
    <x v="0"/>
    <x v="0"/>
    <x v="0"/>
    <x v="6"/>
    <n v="0"/>
    <n v="0"/>
    <n v="25.99"/>
    <n v="25.99"/>
    <n v="25.99"/>
    <n v="25.99"/>
    <n v="0"/>
    <x v="2"/>
    <n v="0"/>
    <n v="0"/>
    <n v="69"/>
    <n v="105"/>
    <n v="0"/>
    <n v="234.07"/>
    <n v="278.67"/>
    <m/>
    <n v="310.15213459473404"/>
    <n v="295.87360985530717"/>
    <n v="0"/>
    <n v="6083.4792999999991"/>
    <n v="7242.6333000000004"/>
    <n v="0"/>
    <n v="8060.8539781171376"/>
    <n v="7689.7551201394326"/>
  </r>
  <r>
    <s v="Sistema de Compensação"/>
    <x v="6"/>
    <x v="3"/>
    <x v="2"/>
    <x v="0"/>
    <x v="0"/>
    <x v="0"/>
    <x v="0"/>
    <x v="6"/>
    <n v="0"/>
    <n v="0"/>
    <n v="6.4850000000000003"/>
    <n v="6.4850000000000003"/>
    <n v="6.4850000000000003"/>
    <n v="6.4850000000000003"/>
    <n v="0"/>
    <x v="2"/>
    <n v="0"/>
    <n v="0"/>
    <n v="69"/>
    <n v="105"/>
    <n v="0"/>
    <n v="234.07"/>
    <n v="278.67"/>
    <m/>
    <n v="310.15213459473404"/>
    <n v="295.87360985530717"/>
    <n v="0"/>
    <n v="1517.9439500000001"/>
    <n v="1807.1749500000001"/>
    <n v="0"/>
    <n v="2011.3365928468504"/>
    <n v="1918.7403599116672"/>
  </r>
  <r>
    <s v="Regular"/>
    <x v="6"/>
    <x v="3"/>
    <x v="2"/>
    <x v="0"/>
    <x v="0"/>
    <x v="0"/>
    <x v="0"/>
    <x v="7"/>
    <n v="0"/>
    <n v="0"/>
    <n v="24.417000000000002"/>
    <n v="24.417000000000002"/>
    <n v="24.417000000000002"/>
    <n v="24.417000000000002"/>
    <n v="0"/>
    <x v="2"/>
    <n v="0"/>
    <n v="0"/>
    <n v="69"/>
    <n v="105"/>
    <n v="0"/>
    <n v="234.07"/>
    <n v="278.67"/>
    <m/>
    <n v="310.15213459473404"/>
    <n v="295.87360985530717"/>
    <n v="0"/>
    <n v="5715.28719"/>
    <n v="6804.2853900000009"/>
    <n v="0"/>
    <n v="7572.9846703996218"/>
    <n v="7224.3459318370351"/>
  </r>
  <r>
    <s v="Sistema de Compensação"/>
    <x v="6"/>
    <x v="3"/>
    <x v="2"/>
    <x v="0"/>
    <x v="0"/>
    <x v="0"/>
    <x v="0"/>
    <x v="7"/>
    <n v="0"/>
    <n v="0"/>
    <n v="6.0650000000000004"/>
    <n v="6.0650000000000004"/>
    <n v="6.0650000000000004"/>
    <n v="6.0650000000000004"/>
    <n v="0"/>
    <x v="2"/>
    <n v="0"/>
    <n v="0"/>
    <n v="69"/>
    <n v="105"/>
    <n v="0"/>
    <n v="234.07"/>
    <n v="278.67"/>
    <m/>
    <n v="310.15213459473404"/>
    <n v="295.87360985530717"/>
    <n v="0"/>
    <n v="1419.63455"/>
    <n v="1690.1335500000002"/>
    <n v="0"/>
    <n v="1881.0726963170621"/>
    <n v="1794.473443772438"/>
  </r>
  <r>
    <s v="Regular"/>
    <x v="6"/>
    <x v="3"/>
    <x v="2"/>
    <x v="0"/>
    <x v="0"/>
    <x v="0"/>
    <x v="0"/>
    <x v="8"/>
    <n v="0"/>
    <n v="0"/>
    <n v="32.880000000000003"/>
    <n v="32.880000000000003"/>
    <n v="32.880000000000003"/>
    <n v="32.880000000000003"/>
    <n v="0"/>
    <x v="2"/>
    <n v="0"/>
    <n v="0"/>
    <n v="69"/>
    <n v="105"/>
    <n v="0"/>
    <n v="234.07"/>
    <n v="278.67"/>
    <m/>
    <n v="310.15213459473404"/>
    <n v="295.87360985530717"/>
    <n v="0"/>
    <n v="7696.2216000000008"/>
    <n v="9162.6696000000011"/>
    <n v="0"/>
    <n v="10197.802185474857"/>
    <n v="9728.3242920425"/>
  </r>
  <r>
    <s v="Regular"/>
    <x v="6"/>
    <x v="3"/>
    <x v="2"/>
    <x v="0"/>
    <x v="0"/>
    <x v="0"/>
    <x v="0"/>
    <x v="9"/>
    <n v="0"/>
    <n v="0"/>
    <n v="25.122"/>
    <n v="25.122"/>
    <n v="25.122"/>
    <n v="25.122"/>
    <n v="0"/>
    <x v="2"/>
    <n v="0"/>
    <n v="0"/>
    <n v="69"/>
    <n v="105"/>
    <n v="0"/>
    <n v="234.07"/>
    <n v="278.67"/>
    <m/>
    <n v="310.15213459473404"/>
    <n v="295.87360985530717"/>
    <n v="0"/>
    <n v="5880.3065399999996"/>
    <n v="7000.7477400000007"/>
    <n v="0"/>
    <n v="7791.6419252889082"/>
    <n v="7432.9368267850268"/>
  </r>
  <r>
    <s v="Sistema de Compensação"/>
    <x v="6"/>
    <x v="3"/>
    <x v="2"/>
    <x v="0"/>
    <x v="0"/>
    <x v="0"/>
    <x v="0"/>
    <x v="9"/>
    <n v="0"/>
    <n v="0"/>
    <n v="6.2770000000000001"/>
    <n v="6.2770000000000001"/>
    <n v="6.2770000000000001"/>
    <n v="6.2770000000000001"/>
    <n v="0"/>
    <x v="2"/>
    <n v="0"/>
    <n v="0"/>
    <n v="69"/>
    <n v="105"/>
    <n v="0"/>
    <n v="234.07"/>
    <n v="278.67"/>
    <m/>
    <n v="310.15213459473404"/>
    <n v="295.87360985530717"/>
    <n v="0"/>
    <n v="1469.25739"/>
    <n v="1749.2115900000001"/>
    <n v="0"/>
    <n v="1946.8249488511456"/>
    <n v="1857.198649061763"/>
  </r>
  <r>
    <s v="Regular"/>
    <x v="6"/>
    <x v="3"/>
    <x v="2"/>
    <x v="0"/>
    <x v="0"/>
    <x v="0"/>
    <x v="0"/>
    <x v="10"/>
    <n v="0"/>
    <n v="0"/>
    <n v="24.431999999999999"/>
    <n v="24.431999999999999"/>
    <n v="24.431999999999999"/>
    <n v="24.431999999999999"/>
    <n v="0"/>
    <x v="2"/>
    <n v="0"/>
    <n v="0"/>
    <n v="69"/>
    <n v="105"/>
    <n v="0"/>
    <n v="234.07"/>
    <n v="278.67"/>
    <m/>
    <n v="310.15213459473404"/>
    <n v="295.87360985530717"/>
    <n v="0"/>
    <n v="5718.7982399999992"/>
    <n v="6808.4654399999999"/>
    <n v="0"/>
    <n v="7577.6369524185411"/>
    <n v="7228.7840359848642"/>
  </r>
  <r>
    <s v="Sistema de Compensação"/>
    <x v="6"/>
    <x v="3"/>
    <x v="2"/>
    <x v="0"/>
    <x v="0"/>
    <x v="0"/>
    <x v="0"/>
    <x v="10"/>
    <n v="0"/>
    <n v="0"/>
    <n v="3.9849999999999999"/>
    <n v="3.9849999999999999"/>
    <n v="3.9849999999999999"/>
    <n v="3.9849999999999999"/>
    <n v="0"/>
    <x v="2"/>
    <n v="0"/>
    <n v="0"/>
    <n v="69"/>
    <n v="105"/>
    <n v="0"/>
    <n v="234.07"/>
    <n v="278.67"/>
    <m/>
    <n v="310.15213459473404"/>
    <n v="295.87360985530717"/>
    <n v="0"/>
    <n v="932.7689499999999"/>
    <n v="1110.4999500000001"/>
    <n v="0"/>
    <n v="1235.956256360015"/>
    <n v="1179.0563352733991"/>
  </r>
  <r>
    <s v="PROJETADO"/>
    <x v="6"/>
    <x v="3"/>
    <x v="2"/>
    <x v="0"/>
    <x v="0"/>
    <x v="0"/>
    <x v="0"/>
    <x v="11"/>
    <n v="0"/>
    <n v="0"/>
    <n v="24.431999999999999"/>
    <n v="24.431999999999999"/>
    <n v="24.431999999999999"/>
    <n v="24.431999999999999"/>
    <n v="0"/>
    <x v="2"/>
    <n v="0"/>
    <n v="0"/>
    <n v="69"/>
    <n v="105"/>
    <n v="0"/>
    <n v="234.07"/>
    <n v="278.67"/>
    <m/>
    <n v="310.15213459473404"/>
    <n v="295.87360985530717"/>
    <n v="0"/>
    <n v="5718.7982399999992"/>
    <n v="6808.4654399999999"/>
    <n v="0"/>
    <n v="7577.6369524185411"/>
    <n v="7228.7840359848642"/>
  </r>
  <r>
    <s v="PROJETADO"/>
    <x v="6"/>
    <x v="3"/>
    <x v="2"/>
    <x v="0"/>
    <x v="0"/>
    <x v="0"/>
    <x v="0"/>
    <x v="11"/>
    <n v="0"/>
    <n v="0"/>
    <n v="3.9849999999999999"/>
    <n v="3.9849999999999999"/>
    <n v="3.9849999999999999"/>
    <n v="3.9849999999999999"/>
    <n v="0"/>
    <x v="2"/>
    <n v="0"/>
    <n v="0"/>
    <n v="69"/>
    <n v="105"/>
    <n v="0"/>
    <n v="234.07"/>
    <n v="278.67"/>
    <m/>
    <n v="310.15213459473404"/>
    <n v="295.87360985530717"/>
    <n v="0"/>
    <n v="932.7689499999999"/>
    <n v="1110.4999500000001"/>
    <n v="0"/>
    <n v="1235.956256360015"/>
    <n v="1179.0563352733991"/>
  </r>
  <r>
    <s v="Regular"/>
    <x v="6"/>
    <x v="3"/>
    <x v="2"/>
    <x v="0"/>
    <x v="0"/>
    <x v="0"/>
    <x v="3"/>
    <x v="0"/>
    <n v="0"/>
    <n v="0"/>
    <n v="1.2170000000000001"/>
    <n v="1.2170000000000001"/>
    <n v="1.2170000000000001"/>
    <n v="1.2170000000000001"/>
    <n v="0"/>
    <x v="2"/>
    <n v="0"/>
    <n v="0"/>
    <n v="82"/>
    <n v="110"/>
    <n v="0"/>
    <n v="491.18"/>
    <n v="278.67"/>
    <m/>
    <n v="603.5165151303197"/>
    <n v="295.87360985530717"/>
    <n v="0"/>
    <n v="597.76606000000004"/>
    <n v="339.14139000000006"/>
    <n v="0"/>
    <n v="734.47959891359915"/>
    <n v="360.07818319390884"/>
  </r>
  <r>
    <s v="Sistema de Compensação"/>
    <x v="6"/>
    <x v="3"/>
    <x v="2"/>
    <x v="0"/>
    <x v="0"/>
    <x v="0"/>
    <x v="3"/>
    <x v="0"/>
    <n v="0"/>
    <n v="0"/>
    <n v="0.54700000000000004"/>
    <n v="0.54700000000000004"/>
    <n v="0.54700000000000004"/>
    <n v="0.54700000000000004"/>
    <n v="0"/>
    <x v="2"/>
    <n v="0"/>
    <n v="0"/>
    <n v="82"/>
    <n v="110"/>
    <n v="0"/>
    <n v="491.18"/>
    <n v="278.67"/>
    <m/>
    <n v="603.5165151303197"/>
    <n v="295.87360985530717"/>
    <n v="0"/>
    <n v="268.67546000000004"/>
    <n v="152.43249000000003"/>
    <n v="0"/>
    <n v="330.12353377628489"/>
    <n v="161.84286459085303"/>
  </r>
  <r>
    <s v="Regular"/>
    <x v="6"/>
    <x v="3"/>
    <x v="2"/>
    <x v="0"/>
    <x v="0"/>
    <x v="0"/>
    <x v="3"/>
    <x v="1"/>
    <n v="0"/>
    <n v="0"/>
    <n v="1.2889999999999999"/>
    <n v="1.2889999999999999"/>
    <n v="1.2889999999999999"/>
    <n v="1.2889999999999999"/>
    <n v="0"/>
    <x v="2"/>
    <n v="0"/>
    <n v="0"/>
    <n v="82"/>
    <n v="110"/>
    <n v="0"/>
    <n v="491.18"/>
    <n v="278.67"/>
    <m/>
    <n v="603.5165151303197"/>
    <n v="295.87360985530717"/>
    <n v="0"/>
    <n v="633.13101999999992"/>
    <n v="359.20562999999999"/>
    <n v="0"/>
    <n v="777.93278800298208"/>
    <n v="381.38108310349094"/>
  </r>
  <r>
    <s v="Sistema de Compensação"/>
    <x v="6"/>
    <x v="3"/>
    <x v="2"/>
    <x v="0"/>
    <x v="0"/>
    <x v="0"/>
    <x v="3"/>
    <x v="1"/>
    <n v="0"/>
    <n v="0"/>
    <n v="0.53300000000000003"/>
    <n v="0.53300000000000003"/>
    <n v="0.53300000000000003"/>
    <n v="0.53300000000000003"/>
    <n v="0"/>
    <x v="2"/>
    <n v="0"/>
    <n v="0"/>
    <n v="82"/>
    <n v="110"/>
    <n v="0"/>
    <n v="491.18"/>
    <n v="278.67"/>
    <m/>
    <n v="603.5165151303197"/>
    <n v="295.87360985530717"/>
    <n v="0"/>
    <n v="261.79894000000002"/>
    <n v="148.53111000000001"/>
    <n v="0"/>
    <n v="321.67430256446045"/>
    <n v="157.70063405287874"/>
  </r>
  <r>
    <s v="Regular"/>
    <x v="6"/>
    <x v="3"/>
    <x v="2"/>
    <x v="0"/>
    <x v="0"/>
    <x v="0"/>
    <x v="3"/>
    <x v="2"/>
    <n v="0"/>
    <n v="0"/>
    <n v="1.244"/>
    <n v="1.244"/>
    <n v="1.244"/>
    <n v="1.244"/>
    <n v="0"/>
    <x v="2"/>
    <n v="0"/>
    <n v="0"/>
    <n v="82"/>
    <n v="110"/>
    <n v="0"/>
    <n v="491.18"/>
    <n v="278.67"/>
    <m/>
    <n v="603.5165151303197"/>
    <n v="295.87360985530717"/>
    <n v="0"/>
    <n v="611.02791999999999"/>
    <n v="346.66548"/>
    <n v="0"/>
    <n v="750.77454482211772"/>
    <n v="368.06677066000213"/>
  </r>
  <r>
    <s v="Sistema de Compensação"/>
    <x v="6"/>
    <x v="3"/>
    <x v="2"/>
    <x v="0"/>
    <x v="0"/>
    <x v="0"/>
    <x v="3"/>
    <x v="2"/>
    <n v="0"/>
    <n v="0"/>
    <n v="0.61"/>
    <n v="0.61"/>
    <n v="0.61"/>
    <n v="0.61"/>
    <n v="0"/>
    <x v="2"/>
    <n v="0"/>
    <n v="0"/>
    <n v="82"/>
    <n v="110"/>
    <n v="0"/>
    <n v="491.18"/>
    <n v="278.67"/>
    <m/>
    <n v="603.5165151303197"/>
    <n v="295.87360985530717"/>
    <n v="0"/>
    <n v="299.6198"/>
    <n v="169.98869999999999"/>
    <n v="0"/>
    <n v="368.14507422949504"/>
    <n v="180.48290201173737"/>
  </r>
  <r>
    <s v="Regular"/>
    <x v="6"/>
    <x v="3"/>
    <x v="2"/>
    <x v="0"/>
    <x v="0"/>
    <x v="0"/>
    <x v="3"/>
    <x v="3"/>
    <n v="0"/>
    <n v="0"/>
    <n v="1.968"/>
    <n v="1.968"/>
    <n v="1.968"/>
    <n v="1.968"/>
    <n v="0"/>
    <x v="2"/>
    <n v="0"/>
    <n v="0"/>
    <n v="82"/>
    <n v="110"/>
    <n v="0"/>
    <n v="491.18"/>
    <n v="278.67"/>
    <m/>
    <n v="603.5165151303197"/>
    <n v="295.87360985530717"/>
    <n v="0"/>
    <n v="966.64224000000002"/>
    <n v="548.42255999999998"/>
    <n v="0"/>
    <n v="1187.7205017764691"/>
    <n v="582.27926419524454"/>
  </r>
  <r>
    <s v="Regular"/>
    <x v="6"/>
    <x v="3"/>
    <x v="2"/>
    <x v="0"/>
    <x v="0"/>
    <x v="0"/>
    <x v="3"/>
    <x v="4"/>
    <n v="0"/>
    <n v="0"/>
    <n v="1.3009999999999999"/>
    <n v="1.3009999999999999"/>
    <n v="1.3009999999999999"/>
    <n v="1.3009999999999999"/>
    <n v="0"/>
    <x v="2"/>
    <n v="0"/>
    <n v="0"/>
    <n v="82"/>
    <n v="110"/>
    <n v="0"/>
    <n v="491.18"/>
    <n v="278.67"/>
    <m/>
    <n v="603.5165151303197"/>
    <n v="295.87360985530717"/>
    <n v="0"/>
    <n v="639.02517999999998"/>
    <n v="362.54966999999999"/>
    <n v="0"/>
    <n v="785.1749861845459"/>
    <n v="384.93156642175461"/>
  </r>
  <r>
    <s v="Sistema de Compensação"/>
    <x v="6"/>
    <x v="3"/>
    <x v="2"/>
    <x v="0"/>
    <x v="0"/>
    <x v="0"/>
    <x v="3"/>
    <x v="4"/>
    <n v="0"/>
    <n v="0"/>
    <n v="0.59099999999999997"/>
    <n v="0.59099999999999997"/>
    <n v="0.59099999999999997"/>
    <n v="0.59099999999999997"/>
    <n v="0"/>
    <x v="2"/>
    <n v="0"/>
    <n v="0"/>
    <n v="82"/>
    <n v="110"/>
    <n v="0"/>
    <n v="491.18"/>
    <n v="278.67"/>
    <m/>
    <n v="603.5165151303197"/>
    <n v="295.87360985530717"/>
    <n v="0"/>
    <n v="290.28737999999998"/>
    <n v="164.69397000000001"/>
    <n v="0"/>
    <n v="356.67826044201894"/>
    <n v="174.86130342448652"/>
  </r>
  <r>
    <s v="Regular"/>
    <x v="6"/>
    <x v="3"/>
    <x v="2"/>
    <x v="0"/>
    <x v="0"/>
    <x v="0"/>
    <x v="3"/>
    <x v="5"/>
    <n v="0"/>
    <n v="0"/>
    <n v="1.915"/>
    <n v="1.915"/>
    <n v="1.915"/>
    <n v="1.915"/>
    <n v="0"/>
    <x v="2"/>
    <n v="0"/>
    <n v="0"/>
    <n v="82"/>
    <n v="110"/>
    <n v="0"/>
    <n v="491.18"/>
    <n v="278.67"/>
    <m/>
    <n v="603.5165151303197"/>
    <n v="295.87360985530717"/>
    <n v="0"/>
    <n v="940.60969999999998"/>
    <n v="533.65305000000001"/>
    <n v="0"/>
    <n v="1155.7341264745623"/>
    <n v="566.59796287291329"/>
  </r>
  <r>
    <s v="Regular"/>
    <x v="6"/>
    <x v="3"/>
    <x v="2"/>
    <x v="0"/>
    <x v="0"/>
    <x v="0"/>
    <x v="3"/>
    <x v="6"/>
    <n v="0"/>
    <n v="0"/>
    <n v="1.349"/>
    <n v="1.349"/>
    <n v="1.349"/>
    <n v="1.349"/>
    <n v="0"/>
    <x v="2"/>
    <n v="0"/>
    <n v="0"/>
    <n v="82"/>
    <n v="110"/>
    <n v="0"/>
    <n v="491.18"/>
    <n v="278.67"/>
    <m/>
    <n v="603.5165151303197"/>
    <n v="295.87360985530717"/>
    <n v="0"/>
    <n v="662.60181999999998"/>
    <n v="375.92583000000002"/>
    <n v="0"/>
    <n v="814.1437789108013"/>
    <n v="399.13349969480936"/>
  </r>
  <r>
    <s v="Sistema de Compensação"/>
    <x v="6"/>
    <x v="3"/>
    <x v="2"/>
    <x v="0"/>
    <x v="0"/>
    <x v="0"/>
    <x v="3"/>
    <x v="6"/>
    <n v="0"/>
    <n v="0"/>
    <n v="0.56299999999999994"/>
    <n v="0.56299999999999994"/>
    <n v="0.56299999999999994"/>
    <n v="0.56299999999999994"/>
    <n v="0"/>
    <x v="2"/>
    <n v="0"/>
    <n v="0"/>
    <n v="82"/>
    <n v="110"/>
    <n v="0"/>
    <n v="491.18"/>
    <n v="278.67"/>
    <m/>
    <n v="603.5165151303197"/>
    <n v="295.87360985530717"/>
    <n v="0"/>
    <n v="276.53433999999999"/>
    <n v="156.89121"/>
    <n v="0"/>
    <n v="339.77979801836995"/>
    <n v="166.57684234853792"/>
  </r>
  <r>
    <s v="Regular"/>
    <x v="6"/>
    <x v="3"/>
    <x v="2"/>
    <x v="0"/>
    <x v="0"/>
    <x v="0"/>
    <x v="3"/>
    <x v="7"/>
    <n v="0"/>
    <n v="0"/>
    <n v="0.67200000000000004"/>
    <n v="0.67200000000000004"/>
    <n v="0.67200000000000004"/>
    <n v="0.67200000000000004"/>
    <n v="0"/>
    <x v="2"/>
    <n v="0"/>
    <n v="0"/>
    <n v="82"/>
    <n v="110"/>
    <n v="0"/>
    <n v="491.18"/>
    <n v="278.67"/>
    <m/>
    <n v="603.5165151303197"/>
    <n v="295.87360985530717"/>
    <n v="0"/>
    <n v="330.07296000000002"/>
    <n v="187.26624000000001"/>
    <n v="0"/>
    <n v="405.56309816757488"/>
    <n v="198.82706582276643"/>
  </r>
  <r>
    <s v="Sistema de Compensação"/>
    <x v="6"/>
    <x v="3"/>
    <x v="2"/>
    <x v="0"/>
    <x v="0"/>
    <x v="0"/>
    <x v="3"/>
    <x v="7"/>
    <n v="0"/>
    <n v="0"/>
    <n v="0.55300000000000005"/>
    <n v="0.55300000000000005"/>
    <n v="0.55300000000000005"/>
    <n v="0.55300000000000005"/>
    <n v="0"/>
    <x v="2"/>
    <n v="0"/>
    <n v="0"/>
    <n v="82"/>
    <n v="110"/>
    <n v="0"/>
    <n v="491.18"/>
    <n v="278.67"/>
    <m/>
    <n v="603.5165151303197"/>
    <n v="295.87360985530717"/>
    <n v="0"/>
    <n v="271.62254000000001"/>
    <n v="154.10451000000003"/>
    <n v="0"/>
    <n v="333.7446328670668"/>
    <n v="163.61810624998489"/>
  </r>
  <r>
    <s v="Regular"/>
    <x v="6"/>
    <x v="3"/>
    <x v="2"/>
    <x v="0"/>
    <x v="0"/>
    <x v="0"/>
    <x v="3"/>
    <x v="8"/>
    <n v="0"/>
    <n v="0"/>
    <n v="2.024"/>
    <n v="2.024"/>
    <n v="2.024"/>
    <n v="2.024"/>
    <n v="0"/>
    <x v="2"/>
    <n v="0"/>
    <n v="0"/>
    <n v="82"/>
    <n v="110"/>
    <n v="0"/>
    <n v="491.18"/>
    <n v="278.67"/>
    <m/>
    <n v="603.5165151303197"/>
    <n v="295.87360985530717"/>
    <n v="0"/>
    <n v="994.14832000000001"/>
    <n v="564.02808000000005"/>
    <n v="0"/>
    <n v="1221.5174266237671"/>
    <n v="598.84818634714168"/>
  </r>
  <r>
    <s v="Regular"/>
    <x v="6"/>
    <x v="3"/>
    <x v="2"/>
    <x v="0"/>
    <x v="0"/>
    <x v="0"/>
    <x v="3"/>
    <x v="9"/>
    <n v="0"/>
    <n v="0"/>
    <n v="1.1299999999999999"/>
    <n v="1.1299999999999999"/>
    <n v="1.1299999999999999"/>
    <n v="1.1299999999999999"/>
    <n v="0"/>
    <x v="2"/>
    <n v="0"/>
    <n v="0"/>
    <n v="82"/>
    <n v="110"/>
    <n v="0"/>
    <n v="491.18"/>
    <n v="278.67"/>
    <m/>
    <n v="603.5165151303197"/>
    <n v="295.87360985530717"/>
    <n v="0"/>
    <n v="555.03339999999992"/>
    <n v="314.89709999999997"/>
    <n v="0"/>
    <n v="681.97366209726124"/>
    <n v="334.33717913649707"/>
  </r>
  <r>
    <s v="Sistema de Compensação"/>
    <x v="6"/>
    <x v="3"/>
    <x v="2"/>
    <x v="0"/>
    <x v="0"/>
    <x v="0"/>
    <x v="3"/>
    <x v="9"/>
    <n v="0"/>
    <n v="0"/>
    <n v="0.498"/>
    <n v="0.498"/>
    <n v="0.498"/>
    <n v="0.498"/>
    <n v="0"/>
    <x v="2"/>
    <n v="0"/>
    <n v="0"/>
    <n v="82"/>
    <n v="110"/>
    <n v="0"/>
    <n v="491.18"/>
    <n v="278.67"/>
    <m/>
    <n v="603.5165151303197"/>
    <n v="295.87360985530717"/>
    <n v="0"/>
    <n v="244.60764"/>
    <n v="138.77766"/>
    <n v="0"/>
    <n v="300.55122453489923"/>
    <n v="147.34505770794297"/>
  </r>
  <r>
    <s v="Regular"/>
    <x v="6"/>
    <x v="3"/>
    <x v="2"/>
    <x v="0"/>
    <x v="0"/>
    <x v="0"/>
    <x v="3"/>
    <x v="10"/>
    <n v="0"/>
    <n v="0"/>
    <n v="1.181"/>
    <n v="1.181"/>
    <n v="1.181"/>
    <n v="1.181"/>
    <n v="0"/>
    <x v="2"/>
    <n v="0"/>
    <n v="0"/>
    <n v="82"/>
    <n v="110"/>
    <n v="0"/>
    <n v="491.18"/>
    <n v="278.67"/>
    <m/>
    <n v="603.5165151303197"/>
    <n v="295.87360985530717"/>
    <n v="0"/>
    <n v="580.08357999999998"/>
    <n v="329.10927000000004"/>
    <n v="0"/>
    <n v="712.75300436890757"/>
    <n v="349.42673323911777"/>
  </r>
  <r>
    <s v="Sistema de Compensação"/>
    <x v="6"/>
    <x v="3"/>
    <x v="2"/>
    <x v="0"/>
    <x v="0"/>
    <x v="0"/>
    <x v="3"/>
    <x v="10"/>
    <n v="0"/>
    <n v="0"/>
    <n v="0.48499999999999999"/>
    <n v="0.48499999999999999"/>
    <n v="0.48499999999999999"/>
    <n v="0.48499999999999999"/>
    <n v="0"/>
    <x v="2"/>
    <n v="0"/>
    <n v="0"/>
    <n v="82"/>
    <n v="110"/>
    <n v="0"/>
    <n v="491.18"/>
    <n v="278.67"/>
    <m/>
    <n v="603.5165151303197"/>
    <n v="295.87360985530717"/>
    <n v="0"/>
    <n v="238.22229999999999"/>
    <n v="135.15495000000001"/>
    <n v="0"/>
    <n v="292.70550983820505"/>
    <n v="143.49870077982396"/>
  </r>
  <r>
    <s v="PROJETADO"/>
    <x v="6"/>
    <x v="3"/>
    <x v="2"/>
    <x v="0"/>
    <x v="0"/>
    <x v="0"/>
    <x v="3"/>
    <x v="11"/>
    <n v="0"/>
    <n v="0"/>
    <n v="1.181"/>
    <n v="1.181"/>
    <n v="1.181"/>
    <n v="1.181"/>
    <n v="0"/>
    <x v="2"/>
    <n v="0"/>
    <n v="0"/>
    <n v="82"/>
    <n v="110"/>
    <n v="0"/>
    <n v="491.18"/>
    <n v="278.67"/>
    <m/>
    <n v="603.5165151303197"/>
    <n v="295.87360985530717"/>
    <n v="0"/>
    <n v="580.08357999999998"/>
    <n v="329.10927000000004"/>
    <n v="0"/>
    <n v="712.75300436890757"/>
    <n v="349.42673323911777"/>
  </r>
  <r>
    <s v="PROJETADO"/>
    <x v="6"/>
    <x v="3"/>
    <x v="2"/>
    <x v="0"/>
    <x v="0"/>
    <x v="0"/>
    <x v="3"/>
    <x v="11"/>
    <n v="0"/>
    <n v="0"/>
    <n v="0.48499999999999999"/>
    <n v="0.48499999999999999"/>
    <n v="0.48499999999999999"/>
    <n v="0.48499999999999999"/>
    <n v="0"/>
    <x v="2"/>
    <n v="0"/>
    <n v="0"/>
    <n v="82"/>
    <n v="110"/>
    <n v="0"/>
    <n v="491.18"/>
    <n v="278.67"/>
    <m/>
    <n v="603.5165151303197"/>
    <n v="295.87360985530717"/>
    <n v="0"/>
    <n v="238.22229999999999"/>
    <n v="135.15495000000001"/>
    <n v="0"/>
    <n v="292.70550983820505"/>
    <n v="143.49870077982396"/>
  </r>
  <r>
    <s v="Regular"/>
    <x v="6"/>
    <x v="3"/>
    <x v="2"/>
    <x v="0"/>
    <x v="0"/>
    <x v="0"/>
    <x v="2"/>
    <x v="0"/>
    <n v="0"/>
    <n v="0"/>
    <n v="1.625"/>
    <n v="1.625"/>
    <n v="1.625"/>
    <n v="1.625"/>
    <n v="0"/>
    <x v="2"/>
    <n v="0"/>
    <n v="0"/>
    <n v="83"/>
    <n v="106"/>
    <n v="0"/>
    <n v="748.29"/>
    <n v="442.86"/>
    <m/>
    <n v="896.88117808773438"/>
    <n v="476.88775168498375"/>
    <n v="0"/>
    <n v="1215.9712500000001"/>
    <n v="719.64750000000004"/>
    <n v="0"/>
    <n v="1457.4319143925684"/>
    <n v="774.94259648809862"/>
  </r>
  <r>
    <s v="Sistema de Compensação"/>
    <x v="6"/>
    <x v="3"/>
    <x v="2"/>
    <x v="0"/>
    <x v="0"/>
    <x v="0"/>
    <x v="2"/>
    <x v="0"/>
    <n v="0"/>
    <n v="0"/>
    <n v="0.23400000000000001"/>
    <n v="0.23400000000000001"/>
    <n v="0.23400000000000001"/>
    <n v="0.23400000000000001"/>
    <n v="0"/>
    <x v="2"/>
    <n v="0"/>
    <n v="0"/>
    <n v="83"/>
    <n v="106"/>
    <n v="0"/>
    <n v="748.29"/>
    <n v="442.86"/>
    <m/>
    <n v="896.88117808773438"/>
    <n v="476.88775168498375"/>
    <n v="0"/>
    <n v="175.09986000000001"/>
    <n v="103.62924000000001"/>
    <n v="0"/>
    <n v="209.87019567252986"/>
    <n v="111.59173389428621"/>
  </r>
  <r>
    <s v="Regular"/>
    <x v="6"/>
    <x v="3"/>
    <x v="2"/>
    <x v="0"/>
    <x v="0"/>
    <x v="0"/>
    <x v="2"/>
    <x v="1"/>
    <n v="0"/>
    <n v="0"/>
    <n v="1.3879999999999999"/>
    <n v="1.3879999999999999"/>
    <n v="1.3879999999999999"/>
    <n v="1.3879999999999999"/>
    <n v="0"/>
    <x v="2"/>
    <n v="0"/>
    <n v="0"/>
    <n v="83"/>
    <n v="106"/>
    <n v="0"/>
    <n v="748.29"/>
    <n v="442.86"/>
    <m/>
    <n v="896.88117808773438"/>
    <n v="476.88775168498375"/>
    <n v="0"/>
    <n v="1038.6265199999998"/>
    <n v="614.68967999999995"/>
    <n v="0"/>
    <n v="1244.8710751857752"/>
    <n v="661.92019933875736"/>
  </r>
  <r>
    <s v="Sistema de Compensação"/>
    <x v="6"/>
    <x v="3"/>
    <x v="2"/>
    <x v="0"/>
    <x v="0"/>
    <x v="0"/>
    <x v="2"/>
    <x v="1"/>
    <n v="0"/>
    <n v="0"/>
    <n v="0.14899999999999999"/>
    <n v="0.14899999999999999"/>
    <n v="0.14899999999999999"/>
    <n v="0.14899999999999999"/>
    <n v="0"/>
    <x v="2"/>
    <n v="0"/>
    <n v="0"/>
    <n v="83"/>
    <n v="106"/>
    <n v="0"/>
    <n v="748.29"/>
    <n v="442.86"/>
    <m/>
    <n v="896.88117808773438"/>
    <n v="476.88775168498375"/>
    <n v="0"/>
    <n v="111.49520999999999"/>
    <n v="65.986140000000006"/>
    <n v="0"/>
    <n v="133.63529553507243"/>
    <n v="71.056275001062573"/>
  </r>
  <r>
    <s v="Regular"/>
    <x v="6"/>
    <x v="3"/>
    <x v="2"/>
    <x v="0"/>
    <x v="0"/>
    <x v="0"/>
    <x v="2"/>
    <x v="2"/>
    <n v="0"/>
    <n v="0"/>
    <n v="1.387"/>
    <n v="1.387"/>
    <n v="1.387"/>
    <n v="1.387"/>
    <n v="0"/>
    <x v="2"/>
    <n v="0"/>
    <n v="0"/>
    <n v="83"/>
    <n v="106"/>
    <n v="0"/>
    <n v="748.29"/>
    <n v="442.86"/>
    <m/>
    <n v="896.88117808773438"/>
    <n v="476.88775168498375"/>
    <n v="0"/>
    <n v="1037.87823"/>
    <n v="614.24682000000007"/>
    <n v="0"/>
    <n v="1243.9741940076876"/>
    <n v="661.44331158707246"/>
  </r>
  <r>
    <s v="Sistema de Compensação"/>
    <x v="6"/>
    <x v="3"/>
    <x v="2"/>
    <x v="0"/>
    <x v="0"/>
    <x v="0"/>
    <x v="2"/>
    <x v="2"/>
    <n v="0"/>
    <n v="0"/>
    <n v="0.28499999999999998"/>
    <n v="0.28499999999999998"/>
    <n v="0.28499999999999998"/>
    <n v="0.28499999999999998"/>
    <n v="0"/>
    <x v="2"/>
    <n v="0"/>
    <n v="0"/>
    <n v="83"/>
    <n v="106"/>
    <n v="0"/>
    <n v="748.29"/>
    <n v="442.86"/>
    <m/>
    <n v="896.88117808773438"/>
    <n v="476.88775168498375"/>
    <n v="0"/>
    <n v="213.26264999999998"/>
    <n v="126.21509999999999"/>
    <n v="0"/>
    <n v="255.61113575500428"/>
    <n v="135.91300923022035"/>
  </r>
  <r>
    <s v="Regular"/>
    <x v="6"/>
    <x v="3"/>
    <x v="2"/>
    <x v="0"/>
    <x v="0"/>
    <x v="0"/>
    <x v="2"/>
    <x v="3"/>
    <n v="0"/>
    <n v="0"/>
    <n v="1.5649999999999999"/>
    <n v="1.5649999999999999"/>
    <n v="1.5649999999999999"/>
    <n v="1.5649999999999999"/>
    <n v="0"/>
    <x v="2"/>
    <n v="0"/>
    <n v="0"/>
    <n v="83"/>
    <n v="106"/>
    <n v="0"/>
    <n v="748.29"/>
    <n v="442.86"/>
    <m/>
    <n v="896.88117808773438"/>
    <n v="476.88775168498375"/>
    <n v="0"/>
    <n v="1171.07385"/>
    <n v="693.07590000000005"/>
    <n v="0"/>
    <n v="1403.6190437073042"/>
    <n v="746.32933138699957"/>
  </r>
  <r>
    <s v="Regular"/>
    <x v="6"/>
    <x v="3"/>
    <x v="2"/>
    <x v="0"/>
    <x v="0"/>
    <x v="0"/>
    <x v="2"/>
    <x v="4"/>
    <n v="0"/>
    <n v="0"/>
    <n v="1.391"/>
    <n v="1.391"/>
    <n v="1.391"/>
    <n v="1.391"/>
    <n v="0"/>
    <x v="2"/>
    <n v="0"/>
    <n v="0"/>
    <n v="83"/>
    <n v="106"/>
    <n v="0"/>
    <n v="748.29"/>
    <n v="442.86"/>
    <m/>
    <n v="896.88117808773438"/>
    <n v="476.88775168498375"/>
    <n v="0"/>
    <n v="1040.87139"/>
    <n v="616.01826000000005"/>
    <n v="0"/>
    <n v="1247.5617187200385"/>
    <n v="663.35086259381239"/>
  </r>
  <r>
    <s v="Sistema de Compensação"/>
    <x v="6"/>
    <x v="3"/>
    <x v="2"/>
    <x v="0"/>
    <x v="0"/>
    <x v="0"/>
    <x v="2"/>
    <x v="4"/>
    <n v="0"/>
    <n v="0"/>
    <n v="0.115"/>
    <n v="0.115"/>
    <n v="0.115"/>
    <n v="0.115"/>
    <n v="0"/>
    <x v="2"/>
    <n v="0"/>
    <n v="0"/>
    <n v="83"/>
    <n v="106"/>
    <n v="0"/>
    <n v="748.29"/>
    <n v="442.86"/>
    <m/>
    <n v="896.88117808773438"/>
    <n v="476.88775168498375"/>
    <n v="0"/>
    <n v="86.053349999999995"/>
    <n v="50.928900000000006"/>
    <n v="0"/>
    <n v="103.14133548008945"/>
    <n v="54.842091443773135"/>
  </r>
  <r>
    <s v="Regular"/>
    <x v="6"/>
    <x v="3"/>
    <x v="2"/>
    <x v="0"/>
    <x v="0"/>
    <x v="0"/>
    <x v="2"/>
    <x v="5"/>
    <n v="0"/>
    <n v="0"/>
    <n v="1.4039999999999999"/>
    <n v="1.4039999999999999"/>
    <n v="1.4039999999999999"/>
    <n v="1.4039999999999999"/>
    <n v="0"/>
    <x v="2"/>
    <n v="0"/>
    <n v="0"/>
    <n v="83"/>
    <n v="106"/>
    <n v="0"/>
    <n v="748.29"/>
    <n v="442.86"/>
    <m/>
    <n v="896.88117808773438"/>
    <n v="476.88775168498375"/>
    <n v="0"/>
    <n v="1050.59916"/>
    <n v="621.77544"/>
    <n v="0"/>
    <n v="1259.221174035179"/>
    <n v="669.5504033657171"/>
  </r>
  <r>
    <s v="Regular"/>
    <x v="6"/>
    <x v="3"/>
    <x v="2"/>
    <x v="0"/>
    <x v="0"/>
    <x v="0"/>
    <x v="2"/>
    <x v="6"/>
    <n v="0"/>
    <n v="0"/>
    <n v="1.667"/>
    <n v="1.667"/>
    <n v="1.667"/>
    <n v="1.667"/>
    <n v="0"/>
    <x v="2"/>
    <n v="0"/>
    <n v="0"/>
    <n v="83"/>
    <n v="106"/>
    <n v="0"/>
    <n v="748.29"/>
    <n v="442.86"/>
    <m/>
    <n v="896.88117808773438"/>
    <n v="476.88775168498375"/>
    <n v="0"/>
    <n v="1247.3994299999999"/>
    <n v="738.24761999999998"/>
    <n v="0"/>
    <n v="1495.1009238722534"/>
    <n v="794.97188205886789"/>
  </r>
  <r>
    <s v="Sistema de Compensação"/>
    <x v="6"/>
    <x v="3"/>
    <x v="2"/>
    <x v="0"/>
    <x v="0"/>
    <x v="0"/>
    <x v="2"/>
    <x v="6"/>
    <n v="0"/>
    <n v="0"/>
    <n v="0.10100000000000001"/>
    <n v="0.10100000000000001"/>
    <n v="0.10100000000000001"/>
    <n v="0.10100000000000001"/>
    <n v="0"/>
    <x v="2"/>
    <n v="0"/>
    <n v="0"/>
    <n v="83"/>
    <n v="106"/>
    <n v="0"/>
    <n v="748.29"/>
    <n v="442.86"/>
    <m/>
    <n v="896.88117808773438"/>
    <n v="476.88775168498375"/>
    <n v="0"/>
    <n v="75.577290000000005"/>
    <n v="44.728860000000005"/>
    <n v="0"/>
    <n v="90.58499898686118"/>
    <n v="48.165662920183365"/>
  </r>
  <r>
    <s v="Regular"/>
    <x v="6"/>
    <x v="3"/>
    <x v="2"/>
    <x v="0"/>
    <x v="0"/>
    <x v="0"/>
    <x v="2"/>
    <x v="7"/>
    <n v="0"/>
    <n v="0"/>
    <n v="1.145"/>
    <n v="1.145"/>
    <n v="1.145"/>
    <n v="1.145"/>
    <n v="0"/>
    <x v="2"/>
    <n v="0"/>
    <n v="0"/>
    <n v="83"/>
    <n v="106"/>
    <n v="0"/>
    <n v="748.29"/>
    <n v="442.86"/>
    <m/>
    <n v="896.88117808773438"/>
    <n v="476.88775168498375"/>
    <n v="0"/>
    <n v="856.79205000000002"/>
    <n v="507.07470000000001"/>
    <n v="0"/>
    <n v="1026.9289489104558"/>
    <n v="546.03647567930636"/>
  </r>
  <r>
    <s v="Sistema de Compensação"/>
    <x v="6"/>
    <x v="3"/>
    <x v="2"/>
    <x v="0"/>
    <x v="0"/>
    <x v="0"/>
    <x v="2"/>
    <x v="7"/>
    <n v="0"/>
    <n v="0"/>
    <n v="9.2999999999999999E-2"/>
    <n v="9.2999999999999999E-2"/>
    <n v="9.2999999999999999E-2"/>
    <n v="9.2999999999999999E-2"/>
    <n v="0"/>
    <x v="2"/>
    <n v="0"/>
    <n v="0"/>
    <n v="83"/>
    <n v="106"/>
    <n v="0"/>
    <n v="748.29"/>
    <n v="442.86"/>
    <m/>
    <n v="896.88117808773438"/>
    <n v="476.88775168498375"/>
    <n v="0"/>
    <n v="69.590969999999999"/>
    <n v="41.185980000000001"/>
    <n v="0"/>
    <n v="83.409949562159298"/>
    <n v="44.350560906703485"/>
  </r>
  <r>
    <s v="Regular"/>
    <x v="6"/>
    <x v="3"/>
    <x v="2"/>
    <x v="0"/>
    <x v="0"/>
    <x v="0"/>
    <x v="2"/>
    <x v="8"/>
    <n v="0"/>
    <n v="0"/>
    <n v="1.9890000000000001"/>
    <n v="1.9890000000000001"/>
    <n v="1.9890000000000001"/>
    <n v="1.9890000000000001"/>
    <n v="0"/>
    <x v="2"/>
    <n v="0"/>
    <n v="0"/>
    <n v="83"/>
    <n v="106"/>
    <n v="0"/>
    <n v="748.29"/>
    <n v="442.86"/>
    <m/>
    <n v="896.88117808773438"/>
    <n v="476.88775168498375"/>
    <n v="0"/>
    <n v="1488.34881"/>
    <n v="880.84854000000007"/>
    <n v="0"/>
    <n v="1783.8966632165038"/>
    <n v="948.52973810143271"/>
  </r>
  <r>
    <s v="Regular"/>
    <x v="6"/>
    <x v="3"/>
    <x v="2"/>
    <x v="0"/>
    <x v="0"/>
    <x v="0"/>
    <x v="2"/>
    <x v="9"/>
    <n v="0"/>
    <n v="0"/>
    <n v="1.6950000000000001"/>
    <n v="1.6950000000000001"/>
    <n v="1.6950000000000001"/>
    <n v="1.6950000000000001"/>
    <n v="0"/>
    <x v="2"/>
    <n v="0"/>
    <n v="0"/>
    <n v="83"/>
    <n v="106"/>
    <n v="0"/>
    <n v="748.29"/>
    <n v="442.86"/>
    <m/>
    <n v="896.88117808773438"/>
    <n v="476.88775168498375"/>
    <n v="0"/>
    <n v="1268.3515500000001"/>
    <n v="750.6477000000001"/>
    <n v="0"/>
    <n v="1520.2135968587099"/>
    <n v="808.32473910604745"/>
  </r>
  <r>
    <s v="Sistema de Compensação"/>
    <x v="6"/>
    <x v="3"/>
    <x v="2"/>
    <x v="0"/>
    <x v="0"/>
    <x v="0"/>
    <x v="2"/>
    <x v="9"/>
    <n v="0"/>
    <n v="0"/>
    <n v="0.14199999999999999"/>
    <n v="0.14199999999999999"/>
    <n v="0.14199999999999999"/>
    <n v="0.14199999999999999"/>
    <n v="0"/>
    <x v="2"/>
    <n v="0"/>
    <n v="0"/>
    <n v="83"/>
    <n v="106"/>
    <n v="0"/>
    <n v="748.29"/>
    <n v="442.86"/>
    <m/>
    <n v="896.88117808773438"/>
    <n v="476.88775168498375"/>
    <n v="0"/>
    <n v="106.25717999999999"/>
    <n v="62.886119999999998"/>
    <n v="0"/>
    <n v="127.35712728845827"/>
    <n v="67.718060739267685"/>
  </r>
  <r>
    <s v="Regular"/>
    <x v="6"/>
    <x v="3"/>
    <x v="2"/>
    <x v="0"/>
    <x v="0"/>
    <x v="0"/>
    <x v="2"/>
    <x v="10"/>
    <n v="0"/>
    <n v="0"/>
    <n v="1.5189999999999999"/>
    <n v="1.5189999999999999"/>
    <n v="1.5189999999999999"/>
    <n v="1.5189999999999999"/>
    <n v="0"/>
    <x v="2"/>
    <n v="0"/>
    <n v="0"/>
    <n v="83"/>
    <n v="106"/>
    <n v="0"/>
    <n v="748.29"/>
    <n v="442.86"/>
    <m/>
    <n v="896.88117808773438"/>
    <n v="476.88775168498375"/>
    <n v="0"/>
    <n v="1136.6525099999999"/>
    <n v="672.70434"/>
    <n v="0"/>
    <n v="1362.3625095152684"/>
    <n v="724.39249480949024"/>
  </r>
  <r>
    <s v="Sistema de Compensação"/>
    <x v="6"/>
    <x v="3"/>
    <x v="2"/>
    <x v="0"/>
    <x v="0"/>
    <x v="0"/>
    <x v="2"/>
    <x v="10"/>
    <n v="0"/>
    <n v="0"/>
    <n v="0.156"/>
    <n v="0.156"/>
    <n v="0.156"/>
    <n v="0.156"/>
    <n v="0"/>
    <x v="2"/>
    <n v="0"/>
    <n v="0"/>
    <n v="83"/>
    <n v="106"/>
    <n v="0"/>
    <n v="748.29"/>
    <n v="442.86"/>
    <m/>
    <n v="896.88117808773438"/>
    <n v="476.88775168498375"/>
    <n v="0"/>
    <n v="116.73324"/>
    <n v="69.086160000000007"/>
    <n v="0"/>
    <n v="139.91346378168657"/>
    <n v="74.394489262857462"/>
  </r>
  <r>
    <s v="PROJETADO"/>
    <x v="6"/>
    <x v="3"/>
    <x v="2"/>
    <x v="0"/>
    <x v="0"/>
    <x v="0"/>
    <x v="2"/>
    <x v="11"/>
    <n v="0"/>
    <n v="0"/>
    <n v="1.5189999999999999"/>
    <n v="1.5189999999999999"/>
    <n v="1.5189999999999999"/>
    <n v="1.5189999999999999"/>
    <n v="0"/>
    <x v="2"/>
    <n v="0"/>
    <n v="0"/>
    <n v="83"/>
    <n v="106"/>
    <n v="0"/>
    <n v="748.29"/>
    <n v="442.86"/>
    <m/>
    <n v="896.88117808773438"/>
    <n v="476.88775168498375"/>
    <n v="0"/>
    <n v="1136.6525099999999"/>
    <n v="672.70434"/>
    <n v="0"/>
    <n v="1362.3625095152684"/>
    <n v="724.39249480949024"/>
  </r>
  <r>
    <s v="PROJETADO"/>
    <x v="6"/>
    <x v="3"/>
    <x v="2"/>
    <x v="0"/>
    <x v="0"/>
    <x v="0"/>
    <x v="2"/>
    <x v="11"/>
    <n v="0"/>
    <n v="0"/>
    <n v="0.156"/>
    <n v="0.156"/>
    <n v="0.156"/>
    <n v="0.156"/>
    <n v="0"/>
    <x v="2"/>
    <n v="0"/>
    <n v="0"/>
    <n v="83"/>
    <n v="106"/>
    <n v="0"/>
    <n v="748.29"/>
    <n v="442.86"/>
    <m/>
    <n v="896.88117808773438"/>
    <n v="476.88775168498375"/>
    <n v="0"/>
    <n v="116.73324"/>
    <n v="69.086160000000007"/>
    <n v="0"/>
    <n v="139.91346378168657"/>
    <n v="74.394489262857462"/>
  </r>
  <r>
    <s v="Regular"/>
    <x v="6"/>
    <x v="3"/>
    <x v="0"/>
    <x v="0"/>
    <x v="0"/>
    <x v="0"/>
    <x v="0"/>
    <x v="0"/>
    <n v="0"/>
    <n v="0"/>
    <n v="6.65"/>
    <n v="6.65"/>
    <n v="6.65"/>
    <n v="6.65"/>
    <n v="0"/>
    <x v="2"/>
    <n v="0"/>
    <n v="0"/>
    <n v="69"/>
    <n v="105"/>
    <n v="0"/>
    <n v="234.07"/>
    <n v="278.67"/>
    <m/>
    <n v="310.15213459473404"/>
    <n v="295.87360985530717"/>
    <n v="0"/>
    <n v="1556.5654999999999"/>
    <n v="1853.1555000000003"/>
    <n v="0"/>
    <n v="2062.5116950549814"/>
    <n v="1967.5595055377928"/>
  </r>
  <r>
    <s v="Sistema de Compensação"/>
    <x v="6"/>
    <x v="3"/>
    <x v="0"/>
    <x v="0"/>
    <x v="0"/>
    <x v="0"/>
    <x v="0"/>
    <x v="0"/>
    <n v="0"/>
    <n v="0"/>
    <n v="1.0999999999999999E-2"/>
    <n v="1.0999999999999999E-2"/>
    <n v="1.0999999999999999E-2"/>
    <n v="1.0999999999999999E-2"/>
    <n v="0"/>
    <x v="2"/>
    <n v="0"/>
    <n v="0"/>
    <n v="69"/>
    <n v="105"/>
    <n v="0"/>
    <n v="234.07"/>
    <n v="278.67"/>
    <m/>
    <n v="310.15213459473404"/>
    <n v="295.87360985530717"/>
    <n v="0"/>
    <n v="2.5747699999999996"/>
    <n v="3.0653700000000002"/>
    <n v="0"/>
    <n v="3.4116734805420741"/>
    <n v="3.2546097084083785"/>
  </r>
  <r>
    <s v="Regular"/>
    <x v="6"/>
    <x v="3"/>
    <x v="0"/>
    <x v="0"/>
    <x v="0"/>
    <x v="0"/>
    <x v="0"/>
    <x v="1"/>
    <n v="0"/>
    <n v="0"/>
    <n v="7.35"/>
    <n v="7.35"/>
    <n v="7.35"/>
    <n v="7.35"/>
    <n v="0"/>
    <x v="2"/>
    <n v="0"/>
    <n v="0"/>
    <n v="69"/>
    <n v="105"/>
    <n v="0"/>
    <n v="234.07"/>
    <n v="278.67"/>
    <m/>
    <n v="310.15213459473404"/>
    <n v="295.87360985530717"/>
    <n v="0"/>
    <n v="1720.4144999999999"/>
    <n v="2048.2244999999998"/>
    <n v="0"/>
    <n v="2279.6181892712953"/>
    <n v="2174.6710324365076"/>
  </r>
  <r>
    <s v="Sistema de Compensação"/>
    <x v="6"/>
    <x v="3"/>
    <x v="0"/>
    <x v="0"/>
    <x v="0"/>
    <x v="0"/>
    <x v="0"/>
    <x v="1"/>
    <n v="0"/>
    <n v="0"/>
    <n v="7.3999999999999996E-2"/>
    <n v="7.3999999999999996E-2"/>
    <n v="7.3999999999999996E-2"/>
    <n v="7.3999999999999996E-2"/>
    <n v="0"/>
    <x v="2"/>
    <n v="0"/>
    <n v="0"/>
    <n v="69"/>
    <n v="105"/>
    <n v="0"/>
    <n v="234.07"/>
    <n v="278.67"/>
    <m/>
    <n v="310.15213459473404"/>
    <n v="295.87360985530717"/>
    <n v="0"/>
    <n v="17.321179999999998"/>
    <n v="20.621580000000002"/>
    <n v="0"/>
    <n v="22.951257960010317"/>
    <n v="21.894647129292728"/>
  </r>
  <r>
    <s v="Regular"/>
    <x v="6"/>
    <x v="3"/>
    <x v="0"/>
    <x v="0"/>
    <x v="0"/>
    <x v="0"/>
    <x v="0"/>
    <x v="2"/>
    <n v="0"/>
    <n v="0"/>
    <n v="7.4"/>
    <n v="7.4"/>
    <n v="7.4"/>
    <n v="7.4"/>
    <n v="0"/>
    <x v="2"/>
    <n v="0"/>
    <n v="0"/>
    <n v="69"/>
    <n v="105"/>
    <n v="0"/>
    <n v="234.07"/>
    <n v="278.67"/>
    <m/>
    <n v="310.15213459473404"/>
    <n v="295.87360985530717"/>
    <n v="0"/>
    <n v="1732.1179999999999"/>
    <n v="2062.1580000000004"/>
    <n v="0"/>
    <n v="2295.1257960010321"/>
    <n v="2189.464712929273"/>
  </r>
  <r>
    <s v="Sistema de Compensação"/>
    <x v="6"/>
    <x v="3"/>
    <x v="0"/>
    <x v="0"/>
    <x v="0"/>
    <x v="0"/>
    <x v="0"/>
    <x v="2"/>
    <n v="0"/>
    <n v="0"/>
    <n v="0.22"/>
    <n v="0.22"/>
    <n v="0.22"/>
    <n v="0.22"/>
    <n v="0"/>
    <x v="2"/>
    <n v="0"/>
    <n v="0"/>
    <n v="69"/>
    <n v="105"/>
    <n v="0"/>
    <n v="234.07"/>
    <n v="278.67"/>
    <m/>
    <n v="310.15213459473404"/>
    <n v="295.87360985530717"/>
    <n v="0"/>
    <n v="51.495399999999997"/>
    <n v="61.307400000000001"/>
    <n v="0"/>
    <n v="68.233469610841482"/>
    <n v="65.09219416816758"/>
  </r>
  <r>
    <s v="Regular"/>
    <x v="6"/>
    <x v="3"/>
    <x v="0"/>
    <x v="0"/>
    <x v="0"/>
    <x v="0"/>
    <x v="0"/>
    <x v="3"/>
    <n v="0"/>
    <n v="0"/>
    <n v="8.0500000000000007"/>
    <n v="8.0500000000000007"/>
    <n v="8.0500000000000007"/>
    <n v="8.0500000000000007"/>
    <n v="0"/>
    <x v="2"/>
    <n v="0"/>
    <n v="0"/>
    <n v="69"/>
    <n v="105"/>
    <n v="0"/>
    <n v="234.07"/>
    <n v="278.67"/>
    <m/>
    <n v="310.15213459473404"/>
    <n v="295.87360985530717"/>
    <n v="0"/>
    <n v="1884.2635"/>
    <n v="2243.2935000000002"/>
    <n v="0"/>
    <n v="2496.7246834876091"/>
    <n v="2381.7825593352227"/>
  </r>
  <r>
    <s v="Sistema de Compensação"/>
    <x v="6"/>
    <x v="3"/>
    <x v="0"/>
    <x v="0"/>
    <x v="0"/>
    <x v="0"/>
    <x v="0"/>
    <x v="3"/>
    <n v="0"/>
    <n v="0"/>
    <n v="0.214"/>
    <n v="0.214"/>
    <n v="0.214"/>
    <n v="0.214"/>
    <n v="0"/>
    <x v="2"/>
    <n v="0"/>
    <n v="0"/>
    <n v="69"/>
    <n v="105"/>
    <n v="0"/>
    <n v="234.07"/>
    <n v="278.67"/>
    <m/>
    <n v="310.15213459473404"/>
    <n v="295.87360985530717"/>
    <n v="0"/>
    <n v="50.090979999999995"/>
    <n v="59.635380000000005"/>
    <n v="0"/>
    <n v="66.372556803273085"/>
    <n v="63.31695250903573"/>
  </r>
  <r>
    <s v="Regular"/>
    <x v="6"/>
    <x v="3"/>
    <x v="0"/>
    <x v="0"/>
    <x v="0"/>
    <x v="0"/>
    <x v="0"/>
    <x v="4"/>
    <n v="0"/>
    <n v="0"/>
    <n v="6.8"/>
    <n v="6.8"/>
    <n v="6.8"/>
    <n v="6.8"/>
    <n v="0"/>
    <x v="2"/>
    <n v="0"/>
    <n v="0"/>
    <n v="69"/>
    <n v="105"/>
    <n v="0"/>
    <n v="234.07"/>
    <n v="278.67"/>
    <m/>
    <n v="310.15213459473404"/>
    <n v="295.87360985530717"/>
    <n v="0"/>
    <n v="1591.6759999999999"/>
    <n v="1894.9560000000001"/>
    <n v="0"/>
    <n v="2109.0345152441914"/>
    <n v="2011.9405470160887"/>
  </r>
  <r>
    <s v="Sistema de Compensação"/>
    <x v="6"/>
    <x v="3"/>
    <x v="0"/>
    <x v="0"/>
    <x v="0"/>
    <x v="0"/>
    <x v="0"/>
    <x v="4"/>
    <n v="0"/>
    <n v="0"/>
    <n v="0.17899999999999999"/>
    <n v="0.17899999999999999"/>
    <n v="0.17899999999999999"/>
    <n v="0.17899999999999999"/>
    <n v="0"/>
    <x v="2"/>
    <n v="0"/>
    <n v="0"/>
    <n v="69"/>
    <n v="105"/>
    <n v="0"/>
    <n v="234.07"/>
    <n v="278.67"/>
    <m/>
    <n v="310.15213459473404"/>
    <n v="295.87360985530717"/>
    <n v="0"/>
    <n v="41.898529999999994"/>
    <n v="49.881930000000004"/>
    <n v="0"/>
    <n v="55.517232092457391"/>
    <n v="52.961376164099981"/>
  </r>
  <r>
    <s v="Sistema de Compensação"/>
    <x v="6"/>
    <x v="3"/>
    <x v="0"/>
    <x v="0"/>
    <x v="0"/>
    <x v="0"/>
    <x v="0"/>
    <x v="5"/>
    <n v="0"/>
    <n v="0"/>
    <n v="0.16700000000000001"/>
    <n v="0.16700000000000001"/>
    <n v="0.16700000000000001"/>
    <n v="0.16700000000000001"/>
    <n v="0"/>
    <x v="2"/>
    <n v="0"/>
    <n v="0"/>
    <n v="69"/>
    <n v="105"/>
    <n v="0"/>
    <n v="234.07"/>
    <n v="278.67"/>
    <m/>
    <n v="310.15213459473404"/>
    <n v="295.87360985530717"/>
    <n v="0"/>
    <n v="39.089690000000004"/>
    <n v="46.537890000000004"/>
    <n v="0"/>
    <n v="51.79540647732059"/>
    <n v="49.410892845836301"/>
  </r>
  <r>
    <s v="Sistema de Compensação"/>
    <x v="6"/>
    <x v="3"/>
    <x v="0"/>
    <x v="0"/>
    <x v="0"/>
    <x v="0"/>
    <x v="0"/>
    <x v="6"/>
    <n v="0"/>
    <n v="0"/>
    <n v="0.156"/>
    <n v="0.156"/>
    <n v="0.156"/>
    <n v="0.156"/>
    <n v="0"/>
    <x v="2"/>
    <n v="0"/>
    <n v="0"/>
    <n v="69"/>
    <n v="105"/>
    <n v="0"/>
    <n v="234.07"/>
    <n v="278.67"/>
    <m/>
    <n v="310.15213459473404"/>
    <n v="295.87360985530717"/>
    <n v="0"/>
    <n v="36.514919999999996"/>
    <n v="43.472520000000003"/>
    <n v="0"/>
    <n v="48.383732996778512"/>
    <n v="46.15628313742792"/>
  </r>
  <r>
    <s v="Sistema de Compensação"/>
    <x v="6"/>
    <x v="3"/>
    <x v="0"/>
    <x v="0"/>
    <x v="0"/>
    <x v="0"/>
    <x v="0"/>
    <x v="7"/>
    <n v="0"/>
    <n v="0"/>
    <n v="0.14399999999999999"/>
    <n v="0.14399999999999999"/>
    <n v="0.14399999999999999"/>
    <n v="0.14399999999999999"/>
    <n v="0"/>
    <x v="2"/>
    <n v="0"/>
    <n v="0"/>
    <n v="69"/>
    <n v="105"/>
    <n v="0"/>
    <n v="234.07"/>
    <n v="278.67"/>
    <m/>
    <n v="310.15213459473404"/>
    <n v="295.87360985530717"/>
    <n v="0"/>
    <n v="33.706079999999993"/>
    <n v="40.128479999999996"/>
    <n v="0"/>
    <n v="44.661907381641697"/>
    <n v="42.605799819164226"/>
  </r>
  <r>
    <s v="Sistema de Compensação"/>
    <x v="6"/>
    <x v="3"/>
    <x v="0"/>
    <x v="0"/>
    <x v="0"/>
    <x v="0"/>
    <x v="0"/>
    <x v="9"/>
    <n v="0"/>
    <n v="0"/>
    <n v="0.23699999999999999"/>
    <n v="0.23699999999999999"/>
    <n v="0.23699999999999999"/>
    <n v="0.23699999999999999"/>
    <n v="0"/>
    <x v="2"/>
    <n v="0"/>
    <n v="0"/>
    <n v="69"/>
    <n v="105"/>
    <n v="0"/>
    <n v="234.07"/>
    <n v="278.67"/>
    <m/>
    <n v="310.15213459473404"/>
    <n v="295.87360985530717"/>
    <n v="0"/>
    <n v="55.474589999999999"/>
    <n v="66.044790000000006"/>
    <n v="0"/>
    <n v="73.506055898951956"/>
    <n v="70.122045535707798"/>
  </r>
  <r>
    <s v="Sistema de Compensação"/>
    <x v="6"/>
    <x v="3"/>
    <x v="0"/>
    <x v="0"/>
    <x v="0"/>
    <x v="0"/>
    <x v="0"/>
    <x v="10"/>
    <n v="0"/>
    <n v="0"/>
    <n v="0.318"/>
    <n v="0.318"/>
    <n v="0.318"/>
    <n v="0.318"/>
    <n v="0"/>
    <x v="2"/>
    <n v="0"/>
    <n v="0"/>
    <n v="69"/>
    <n v="105"/>
    <n v="0"/>
    <n v="234.07"/>
    <n v="278.67"/>
    <m/>
    <n v="310.15213459473404"/>
    <n v="295.87360985530717"/>
    <n v="0"/>
    <n v="74.434259999999995"/>
    <n v="88.617060000000009"/>
    <n v="0"/>
    <n v="98.628378801125422"/>
    <n v="94.087807933987676"/>
  </r>
  <r>
    <s v="PROJETADO"/>
    <x v="6"/>
    <x v="3"/>
    <x v="0"/>
    <x v="0"/>
    <x v="0"/>
    <x v="0"/>
    <x v="0"/>
    <x v="11"/>
    <n v="0"/>
    <n v="0"/>
    <n v="0.318"/>
    <n v="0.318"/>
    <n v="0.318"/>
    <n v="0.318"/>
    <n v="0"/>
    <x v="2"/>
    <n v="0"/>
    <n v="0"/>
    <n v="69"/>
    <n v="105"/>
    <n v="0"/>
    <n v="234.07"/>
    <n v="278.67"/>
    <m/>
    <n v="310.15213459473404"/>
    <n v="295.87360985530717"/>
    <n v="0"/>
    <n v="74.434259999999995"/>
    <n v="88.617060000000009"/>
    <n v="0"/>
    <n v="98.628378801125422"/>
    <n v="94.087807933987676"/>
  </r>
  <r>
    <s v="Regular"/>
    <x v="6"/>
    <x v="3"/>
    <x v="0"/>
    <x v="0"/>
    <x v="0"/>
    <x v="0"/>
    <x v="3"/>
    <x v="0"/>
    <n v="0"/>
    <n v="0"/>
    <n v="0.4"/>
    <n v="0.4"/>
    <n v="0.4"/>
    <n v="0.4"/>
    <n v="0"/>
    <x v="2"/>
    <n v="0"/>
    <n v="0"/>
    <n v="82"/>
    <n v="110"/>
    <n v="0"/>
    <n v="491.18"/>
    <n v="278.67"/>
    <m/>
    <n v="603.5165151303197"/>
    <n v="295.87360985530717"/>
    <n v="0"/>
    <n v="196.47200000000001"/>
    <n v="111.46800000000002"/>
    <n v="0"/>
    <n v="241.4066060521279"/>
    <n v="118.34944394212287"/>
  </r>
  <r>
    <s v="Sistema de Compensação"/>
    <x v="6"/>
    <x v="3"/>
    <x v="0"/>
    <x v="0"/>
    <x v="0"/>
    <x v="0"/>
    <x v="3"/>
    <x v="0"/>
    <n v="0"/>
    <n v="0"/>
    <n v="4.2999999999999997E-2"/>
    <n v="4.2999999999999997E-2"/>
    <n v="4.2999999999999997E-2"/>
    <n v="4.2999999999999997E-2"/>
    <n v="0"/>
    <x v="2"/>
    <n v="0"/>
    <n v="0"/>
    <n v="82"/>
    <n v="110"/>
    <n v="0"/>
    <n v="491.18"/>
    <n v="278.67"/>
    <m/>
    <n v="603.5165151303197"/>
    <n v="295.87360985530717"/>
    <n v="0"/>
    <n v="21.120739999999998"/>
    <n v="11.982809999999999"/>
    <n v="0"/>
    <n v="25.951210150603746"/>
    <n v="12.722565223778208"/>
  </r>
  <r>
    <s v="Regular"/>
    <x v="6"/>
    <x v="3"/>
    <x v="0"/>
    <x v="0"/>
    <x v="0"/>
    <x v="0"/>
    <x v="3"/>
    <x v="1"/>
    <n v="0"/>
    <n v="0"/>
    <n v="0.5"/>
    <n v="0.5"/>
    <n v="0.5"/>
    <n v="0.5"/>
    <n v="0"/>
    <x v="2"/>
    <n v="0"/>
    <n v="0"/>
    <n v="82"/>
    <n v="110"/>
    <n v="0"/>
    <n v="491.18"/>
    <n v="278.67"/>
    <m/>
    <n v="603.5165151303197"/>
    <n v="295.87360985530717"/>
    <n v="0"/>
    <n v="245.59"/>
    <n v="139.33500000000001"/>
    <n v="0"/>
    <n v="301.75825756515985"/>
    <n v="147.93680492765358"/>
  </r>
  <r>
    <s v="Sistema de Compensação"/>
    <x v="6"/>
    <x v="3"/>
    <x v="0"/>
    <x v="0"/>
    <x v="0"/>
    <x v="0"/>
    <x v="3"/>
    <x v="1"/>
    <n v="0"/>
    <n v="0"/>
    <n v="4.9000000000000002E-2"/>
    <n v="4.9000000000000002E-2"/>
    <n v="4.9000000000000002E-2"/>
    <n v="4.9000000000000002E-2"/>
    <n v="0"/>
    <x v="2"/>
    <n v="0"/>
    <n v="0"/>
    <n v="82"/>
    <n v="110"/>
    <n v="0"/>
    <n v="491.18"/>
    <n v="278.67"/>
    <m/>
    <n v="603.5165151303197"/>
    <n v="295.87360985530717"/>
    <n v="0"/>
    <n v="24.067820000000001"/>
    <n v="13.65483"/>
    <n v="0"/>
    <n v="29.572309241385668"/>
    <n v="14.497806882910051"/>
  </r>
  <r>
    <s v="Regular"/>
    <x v="6"/>
    <x v="3"/>
    <x v="0"/>
    <x v="0"/>
    <x v="0"/>
    <x v="0"/>
    <x v="3"/>
    <x v="2"/>
    <n v="0"/>
    <n v="0"/>
    <n v="0.4"/>
    <n v="0.4"/>
    <n v="0.4"/>
    <n v="0.4"/>
    <n v="0"/>
    <x v="2"/>
    <n v="0"/>
    <n v="0"/>
    <n v="82"/>
    <n v="110"/>
    <n v="0"/>
    <n v="491.18"/>
    <n v="278.67"/>
    <m/>
    <n v="603.5165151303197"/>
    <n v="295.87360985530717"/>
    <n v="0"/>
    <n v="196.47200000000001"/>
    <n v="111.46800000000002"/>
    <n v="0"/>
    <n v="241.4066060521279"/>
    <n v="118.34944394212287"/>
  </r>
  <r>
    <s v="Sistema de Compensação"/>
    <x v="6"/>
    <x v="3"/>
    <x v="0"/>
    <x v="0"/>
    <x v="0"/>
    <x v="0"/>
    <x v="3"/>
    <x v="2"/>
    <n v="0"/>
    <n v="0"/>
    <n v="5.3999999999999999E-2"/>
    <n v="5.3999999999999999E-2"/>
    <n v="5.3999999999999999E-2"/>
    <n v="5.3999999999999999E-2"/>
    <n v="0"/>
    <x v="2"/>
    <n v="0"/>
    <n v="0"/>
    <n v="82"/>
    <n v="110"/>
    <n v="0"/>
    <n v="491.18"/>
    <n v="278.67"/>
    <m/>
    <n v="603.5165151303197"/>
    <n v="295.87360985530717"/>
    <n v="0"/>
    <n v="26.523720000000001"/>
    <n v="15.04818"/>
    <n v="0"/>
    <n v="32.589891817037262"/>
    <n v="15.977174932186587"/>
  </r>
  <r>
    <s v="Regular"/>
    <x v="6"/>
    <x v="3"/>
    <x v="0"/>
    <x v="0"/>
    <x v="0"/>
    <x v="0"/>
    <x v="3"/>
    <x v="3"/>
    <n v="0"/>
    <n v="0"/>
    <n v="0.45"/>
    <n v="0.45"/>
    <n v="0.45"/>
    <n v="0.45"/>
    <n v="0"/>
    <x v="2"/>
    <n v="0"/>
    <n v="0"/>
    <n v="82"/>
    <n v="110"/>
    <n v="0"/>
    <n v="491.18"/>
    <n v="278.67"/>
    <m/>
    <n v="603.5165151303197"/>
    <n v="295.87360985530717"/>
    <n v="0"/>
    <n v="221.03100000000001"/>
    <n v="125.40150000000001"/>
    <n v="0"/>
    <n v="271.58243180864389"/>
    <n v="133.14312443488822"/>
  </r>
  <r>
    <s v="Sistema de Compensação"/>
    <x v="6"/>
    <x v="3"/>
    <x v="0"/>
    <x v="0"/>
    <x v="0"/>
    <x v="0"/>
    <x v="3"/>
    <x v="3"/>
    <n v="0"/>
    <n v="0"/>
    <n v="4.2000000000000003E-2"/>
    <n v="4.2000000000000003E-2"/>
    <n v="4.2000000000000003E-2"/>
    <n v="4.2000000000000003E-2"/>
    <n v="0"/>
    <x v="2"/>
    <n v="0"/>
    <n v="0"/>
    <n v="82"/>
    <n v="110"/>
    <n v="0"/>
    <n v="491.18"/>
    <n v="278.67"/>
    <m/>
    <n v="603.5165151303197"/>
    <n v="295.87360985530717"/>
    <n v="0"/>
    <n v="20.629560000000001"/>
    <n v="11.704140000000001"/>
    <n v="0"/>
    <n v="25.34769363547343"/>
    <n v="12.426691613922902"/>
  </r>
  <r>
    <s v="Regular"/>
    <x v="6"/>
    <x v="3"/>
    <x v="0"/>
    <x v="0"/>
    <x v="0"/>
    <x v="0"/>
    <x v="3"/>
    <x v="4"/>
    <n v="0"/>
    <n v="0"/>
    <n v="0.45"/>
    <n v="0.45"/>
    <n v="0.45"/>
    <n v="0.45"/>
    <n v="0"/>
    <x v="2"/>
    <n v="0"/>
    <n v="0"/>
    <n v="82"/>
    <n v="110"/>
    <n v="0"/>
    <n v="491.18"/>
    <n v="278.67"/>
    <m/>
    <n v="603.5165151303197"/>
    <n v="295.87360985530717"/>
    <n v="0"/>
    <n v="221.03100000000001"/>
    <n v="125.40150000000001"/>
    <n v="0"/>
    <n v="271.58243180864389"/>
    <n v="133.14312443488822"/>
  </r>
  <r>
    <s v="Sistema de Compensação"/>
    <x v="6"/>
    <x v="3"/>
    <x v="0"/>
    <x v="0"/>
    <x v="0"/>
    <x v="0"/>
    <x v="3"/>
    <x v="4"/>
    <n v="0"/>
    <n v="0"/>
    <n v="5.1999999999999998E-2"/>
    <n v="5.1999999999999998E-2"/>
    <n v="5.1999999999999998E-2"/>
    <n v="5.1999999999999998E-2"/>
    <n v="0"/>
    <x v="2"/>
    <n v="0"/>
    <n v="0"/>
    <n v="82"/>
    <n v="110"/>
    <n v="0"/>
    <n v="491.18"/>
    <n v="278.67"/>
    <m/>
    <n v="603.5165151303197"/>
    <n v="295.87360985530717"/>
    <n v="0"/>
    <n v="25.541360000000001"/>
    <n v="14.49084"/>
    <n v="0"/>
    <n v="31.382858786776623"/>
    <n v="15.385427712475972"/>
  </r>
  <r>
    <s v="Sistema de Compensação"/>
    <x v="6"/>
    <x v="3"/>
    <x v="0"/>
    <x v="0"/>
    <x v="0"/>
    <x v="0"/>
    <x v="3"/>
    <x v="5"/>
    <n v="0"/>
    <n v="0"/>
    <n v="5.0999999999999997E-2"/>
    <n v="5.0999999999999997E-2"/>
    <n v="5.0999999999999997E-2"/>
    <n v="5.0999999999999997E-2"/>
    <n v="0"/>
    <x v="2"/>
    <n v="0"/>
    <n v="0"/>
    <n v="82"/>
    <n v="110"/>
    <n v="0"/>
    <n v="491.18"/>
    <n v="278.67"/>
    <m/>
    <n v="603.5165151303197"/>
    <n v="295.87360985530717"/>
    <n v="0"/>
    <n v="25.050179999999997"/>
    <n v="14.21217"/>
    <n v="0"/>
    <n v="30.779342271646303"/>
    <n v="15.089554102620664"/>
  </r>
  <r>
    <s v="Sistema de Compensação"/>
    <x v="6"/>
    <x v="3"/>
    <x v="0"/>
    <x v="0"/>
    <x v="0"/>
    <x v="0"/>
    <x v="3"/>
    <x v="6"/>
    <n v="0"/>
    <n v="0"/>
    <n v="5.7000000000000002E-2"/>
    <n v="5.7000000000000002E-2"/>
    <n v="5.7000000000000002E-2"/>
    <n v="5.7000000000000002E-2"/>
    <n v="0"/>
    <x v="2"/>
    <n v="0"/>
    <n v="0"/>
    <n v="82"/>
    <n v="110"/>
    <n v="0"/>
    <n v="491.18"/>
    <n v="278.67"/>
    <m/>
    <n v="603.5165151303197"/>
    <n v="295.87360985530717"/>
    <n v="0"/>
    <n v="27.997260000000001"/>
    <n v="15.884190000000002"/>
    <n v="0"/>
    <n v="34.400441362428225"/>
    <n v="16.864795761752507"/>
  </r>
  <r>
    <s v="Sistema de Compensação"/>
    <x v="6"/>
    <x v="3"/>
    <x v="0"/>
    <x v="0"/>
    <x v="0"/>
    <x v="0"/>
    <x v="3"/>
    <x v="7"/>
    <n v="0"/>
    <n v="0"/>
    <n v="0.06"/>
    <n v="0.06"/>
    <n v="0.06"/>
    <n v="0.06"/>
    <n v="0"/>
    <x v="2"/>
    <n v="0"/>
    <n v="0"/>
    <n v="82"/>
    <n v="110"/>
    <n v="0"/>
    <n v="491.18"/>
    <n v="278.67"/>
    <m/>
    <n v="603.5165151303197"/>
    <n v="295.87360985530717"/>
    <n v="0"/>
    <n v="29.470800000000001"/>
    <n v="16.720200000000002"/>
    <n v="0"/>
    <n v="36.210990907819181"/>
    <n v="17.752416591318429"/>
  </r>
  <r>
    <s v="Sistema de Compensação"/>
    <x v="6"/>
    <x v="3"/>
    <x v="0"/>
    <x v="0"/>
    <x v="0"/>
    <x v="0"/>
    <x v="3"/>
    <x v="9"/>
    <n v="0"/>
    <n v="0"/>
    <n v="6.2E-2"/>
    <n v="6.2E-2"/>
    <n v="6.2E-2"/>
    <n v="6.2E-2"/>
    <n v="0"/>
    <x v="2"/>
    <n v="0"/>
    <n v="0"/>
    <n v="82"/>
    <n v="110"/>
    <n v="0"/>
    <n v="491.18"/>
    <n v="278.67"/>
    <m/>
    <n v="603.5165151303197"/>
    <n v="295.87360985530717"/>
    <n v="0"/>
    <n v="30.45316"/>
    <n v="17.277540000000002"/>
    <n v="0"/>
    <n v="37.41802393807982"/>
    <n v="18.344163811029045"/>
  </r>
  <r>
    <s v="Sistema de Compensação"/>
    <x v="6"/>
    <x v="3"/>
    <x v="0"/>
    <x v="0"/>
    <x v="0"/>
    <x v="0"/>
    <x v="3"/>
    <x v="10"/>
    <n v="0"/>
    <n v="0"/>
    <n v="6.5000000000000002E-2"/>
    <n v="6.5000000000000002E-2"/>
    <n v="6.5000000000000002E-2"/>
    <n v="6.5000000000000002E-2"/>
    <n v="0"/>
    <x v="2"/>
    <n v="0"/>
    <n v="0"/>
    <n v="82"/>
    <n v="110"/>
    <n v="0"/>
    <n v="491.18"/>
    <n v="278.67"/>
    <m/>
    <n v="603.5165151303197"/>
    <n v="295.87360985530717"/>
    <n v="0"/>
    <n v="31.9267"/>
    <n v="18.11355"/>
    <n v="0"/>
    <n v="39.228573483470782"/>
    <n v="19.231784640594967"/>
  </r>
  <r>
    <s v="PROJETADO"/>
    <x v="6"/>
    <x v="3"/>
    <x v="0"/>
    <x v="0"/>
    <x v="0"/>
    <x v="0"/>
    <x v="3"/>
    <x v="11"/>
    <n v="0"/>
    <n v="0"/>
    <n v="6.5000000000000002E-2"/>
    <n v="6.5000000000000002E-2"/>
    <n v="6.5000000000000002E-2"/>
    <n v="6.5000000000000002E-2"/>
    <n v="0"/>
    <x v="2"/>
    <n v="0"/>
    <n v="0"/>
    <n v="82"/>
    <n v="110"/>
    <n v="0"/>
    <n v="491.18"/>
    <n v="278.67"/>
    <m/>
    <n v="603.5165151303197"/>
    <n v="295.87360985530717"/>
    <n v="0"/>
    <n v="31.9267"/>
    <n v="18.11355"/>
    <n v="0"/>
    <n v="39.228573483470782"/>
    <n v="19.231784640594967"/>
  </r>
  <r>
    <s v="Regular"/>
    <x v="6"/>
    <x v="3"/>
    <x v="0"/>
    <x v="0"/>
    <x v="0"/>
    <x v="0"/>
    <x v="2"/>
    <x v="0"/>
    <n v="0"/>
    <n v="0"/>
    <n v="0.25"/>
    <n v="0.25"/>
    <n v="0.25"/>
    <n v="0.25"/>
    <n v="0"/>
    <x v="2"/>
    <n v="0"/>
    <n v="0"/>
    <n v="83"/>
    <n v="106"/>
    <n v="0"/>
    <n v="748.29"/>
    <n v="442.86"/>
    <m/>
    <n v="896.88117808773438"/>
    <n v="476.88775168498375"/>
    <n v="0"/>
    <n v="187.07249999999999"/>
    <n v="110.715"/>
    <n v="0"/>
    <n v="224.2202945219336"/>
    <n v="119.22193792124594"/>
  </r>
  <r>
    <s v="Sistema de Compensação"/>
    <x v="6"/>
    <x v="3"/>
    <x v="0"/>
    <x v="0"/>
    <x v="0"/>
    <x v="0"/>
    <x v="2"/>
    <x v="0"/>
    <n v="0"/>
    <n v="0"/>
    <n v="8.2000000000000003E-2"/>
    <n v="8.2000000000000003E-2"/>
    <n v="8.2000000000000003E-2"/>
    <n v="8.2000000000000003E-2"/>
    <n v="0"/>
    <x v="2"/>
    <n v="0"/>
    <n v="0"/>
    <n v="83"/>
    <n v="106"/>
    <n v="0"/>
    <n v="748.29"/>
    <n v="442.86"/>
    <m/>
    <n v="896.88117808773438"/>
    <n v="476.88775168498375"/>
    <n v="0"/>
    <n v="61.359780000000001"/>
    <n v="36.314520000000002"/>
    <n v="0"/>
    <n v="73.544256603194228"/>
    <n v="39.104795638168667"/>
  </r>
  <r>
    <s v="Regular"/>
    <x v="6"/>
    <x v="3"/>
    <x v="0"/>
    <x v="0"/>
    <x v="0"/>
    <x v="0"/>
    <x v="2"/>
    <x v="1"/>
    <n v="0"/>
    <n v="0"/>
    <n v="0.3"/>
    <n v="0.3"/>
    <n v="0.3"/>
    <n v="0.3"/>
    <n v="0"/>
    <x v="2"/>
    <n v="0"/>
    <n v="0"/>
    <n v="83"/>
    <n v="106"/>
    <n v="0"/>
    <n v="748.29"/>
    <n v="442.86"/>
    <m/>
    <n v="896.88117808773438"/>
    <n v="476.88775168498375"/>
    <n v="0"/>
    <n v="224.48699999999999"/>
    <n v="132.858"/>
    <n v="0"/>
    <n v="269.06435342632028"/>
    <n v="143.06632550549512"/>
  </r>
  <r>
    <s v="Sistema de Compensação"/>
    <x v="6"/>
    <x v="3"/>
    <x v="0"/>
    <x v="0"/>
    <x v="0"/>
    <x v="0"/>
    <x v="2"/>
    <x v="1"/>
    <n v="0"/>
    <n v="0"/>
    <n v="9.8000000000000004E-2"/>
    <n v="9.8000000000000004E-2"/>
    <n v="9.8000000000000004E-2"/>
    <n v="9.8000000000000004E-2"/>
    <n v="0"/>
    <x v="2"/>
    <n v="0"/>
    <n v="0"/>
    <n v="83"/>
    <n v="106"/>
    <n v="0"/>
    <n v="748.29"/>
    <n v="442.86"/>
    <m/>
    <n v="896.88117808773438"/>
    <n v="476.88775168498375"/>
    <n v="0"/>
    <n v="73.332419999999999"/>
    <n v="43.400280000000002"/>
    <n v="0"/>
    <n v="87.894355452597978"/>
    <n v="46.734999665128413"/>
  </r>
  <r>
    <s v="Regular"/>
    <x v="6"/>
    <x v="3"/>
    <x v="0"/>
    <x v="0"/>
    <x v="0"/>
    <x v="0"/>
    <x v="2"/>
    <x v="2"/>
    <n v="0"/>
    <n v="0"/>
    <n v="0.2"/>
    <n v="0.2"/>
    <n v="0.2"/>
    <n v="0.2"/>
    <n v="0"/>
    <x v="2"/>
    <n v="0"/>
    <n v="0"/>
    <n v="83"/>
    <n v="106"/>
    <n v="0"/>
    <n v="748.29"/>
    <n v="442.86"/>
    <m/>
    <n v="896.88117808773438"/>
    <n v="476.88775168498375"/>
    <n v="0"/>
    <n v="149.65799999999999"/>
    <n v="88.572000000000003"/>
    <n v="0"/>
    <n v="179.37623561754688"/>
    <n v="95.377550336996762"/>
  </r>
  <r>
    <s v="Sistema de Compensação"/>
    <x v="6"/>
    <x v="3"/>
    <x v="0"/>
    <x v="0"/>
    <x v="0"/>
    <x v="0"/>
    <x v="2"/>
    <x v="2"/>
    <n v="0"/>
    <n v="0"/>
    <n v="0.10100000000000001"/>
    <n v="0.10100000000000001"/>
    <n v="0.10100000000000001"/>
    <n v="0.10100000000000001"/>
    <n v="0"/>
    <x v="2"/>
    <n v="0"/>
    <n v="0"/>
    <n v="83"/>
    <n v="106"/>
    <n v="0"/>
    <n v="748.29"/>
    <n v="442.86"/>
    <m/>
    <n v="896.88117808773438"/>
    <n v="476.88775168498375"/>
    <n v="0"/>
    <n v="75.577290000000005"/>
    <n v="44.728860000000005"/>
    <n v="0"/>
    <n v="90.58499898686118"/>
    <n v="48.165662920183365"/>
  </r>
  <r>
    <s v="Regular"/>
    <x v="6"/>
    <x v="3"/>
    <x v="0"/>
    <x v="0"/>
    <x v="0"/>
    <x v="0"/>
    <x v="2"/>
    <x v="3"/>
    <n v="0"/>
    <n v="0"/>
    <n v="0.1"/>
    <n v="0.1"/>
    <n v="0.1"/>
    <n v="0.1"/>
    <n v="0"/>
    <x v="2"/>
    <n v="0"/>
    <n v="0"/>
    <n v="83"/>
    <n v="106"/>
    <n v="0"/>
    <n v="748.29"/>
    <n v="442.86"/>
    <m/>
    <n v="896.88117808773438"/>
    <n v="476.88775168498375"/>
    <n v="0"/>
    <n v="74.828999999999994"/>
    <n v="44.286000000000001"/>
    <n v="0"/>
    <n v="89.688117808773441"/>
    <n v="47.688775168498381"/>
  </r>
  <r>
    <s v="Sistema de Compensação"/>
    <x v="6"/>
    <x v="3"/>
    <x v="0"/>
    <x v="0"/>
    <x v="0"/>
    <x v="0"/>
    <x v="2"/>
    <x v="3"/>
    <n v="0"/>
    <n v="0"/>
    <n v="8.6999999999999994E-2"/>
    <n v="8.6999999999999994E-2"/>
    <n v="8.6999999999999994E-2"/>
    <n v="8.6999999999999994E-2"/>
    <n v="0"/>
    <x v="2"/>
    <n v="0"/>
    <n v="0"/>
    <n v="83"/>
    <n v="106"/>
    <n v="0"/>
    <n v="748.29"/>
    <n v="442.86"/>
    <m/>
    <n v="896.88117808773438"/>
    <n v="476.88775168498375"/>
    <n v="0"/>
    <n v="65.101229999999987"/>
    <n v="38.528819999999996"/>
    <n v="0"/>
    <n v="78.028662493632879"/>
    <n v="41.489234396593581"/>
  </r>
  <r>
    <s v="Regular"/>
    <x v="6"/>
    <x v="3"/>
    <x v="0"/>
    <x v="0"/>
    <x v="0"/>
    <x v="0"/>
    <x v="2"/>
    <x v="4"/>
    <n v="0"/>
    <n v="0"/>
    <n v="0.15"/>
    <n v="0.15"/>
    <n v="0.15"/>
    <n v="0.15"/>
    <n v="0"/>
    <x v="2"/>
    <n v="0"/>
    <n v="0"/>
    <n v="83"/>
    <n v="106"/>
    <n v="0"/>
    <n v="748.29"/>
    <n v="442.86"/>
    <m/>
    <n v="896.88117808773438"/>
    <n v="476.88775168498375"/>
    <n v="0"/>
    <n v="112.2435"/>
    <n v="66.429000000000002"/>
    <n v="0"/>
    <n v="134.53217671316014"/>
    <n v="71.533162752747558"/>
  </r>
  <r>
    <s v="Sistema de Compensação"/>
    <x v="6"/>
    <x v="3"/>
    <x v="0"/>
    <x v="0"/>
    <x v="0"/>
    <x v="0"/>
    <x v="2"/>
    <x v="4"/>
    <n v="0"/>
    <n v="0"/>
    <n v="0.107"/>
    <n v="0.107"/>
    <n v="0.107"/>
    <n v="0.107"/>
    <n v="0"/>
    <x v="2"/>
    <n v="0"/>
    <n v="0"/>
    <n v="83"/>
    <n v="106"/>
    <n v="0"/>
    <n v="748.29"/>
    <n v="442.86"/>
    <m/>
    <n v="896.88117808773438"/>
    <n v="476.88775168498375"/>
    <n v="0"/>
    <n v="80.067029999999988"/>
    <n v="47.386020000000002"/>
    <n v="0"/>
    <n v="95.96628605538757"/>
    <n v="51.026989430293263"/>
  </r>
  <r>
    <s v="Sistema de Compensação"/>
    <x v="6"/>
    <x v="3"/>
    <x v="0"/>
    <x v="0"/>
    <x v="0"/>
    <x v="0"/>
    <x v="2"/>
    <x v="5"/>
    <n v="0"/>
    <n v="0"/>
    <n v="9.9000000000000005E-2"/>
    <n v="9.9000000000000005E-2"/>
    <n v="9.9000000000000005E-2"/>
    <n v="9.9000000000000005E-2"/>
    <n v="0"/>
    <x v="2"/>
    <n v="0"/>
    <n v="0"/>
    <n v="83"/>
    <n v="106"/>
    <n v="0"/>
    <n v="748.29"/>
    <n v="442.86"/>
    <m/>
    <n v="896.88117808773438"/>
    <n v="476.88775168498375"/>
    <n v="0"/>
    <n v="74.080709999999996"/>
    <n v="43.843140000000005"/>
    <n v="0"/>
    <n v="88.791236630685702"/>
    <n v="47.211887416813397"/>
  </r>
  <r>
    <s v="Sistema de Compensação"/>
    <x v="6"/>
    <x v="3"/>
    <x v="0"/>
    <x v="0"/>
    <x v="0"/>
    <x v="0"/>
    <x v="2"/>
    <x v="6"/>
    <n v="0"/>
    <n v="0"/>
    <n v="9.7000000000000003E-2"/>
    <n v="9.7000000000000003E-2"/>
    <n v="9.7000000000000003E-2"/>
    <n v="9.7000000000000003E-2"/>
    <n v="0"/>
    <x v="2"/>
    <n v="0"/>
    <n v="0"/>
    <n v="83"/>
    <n v="106"/>
    <n v="0"/>
    <n v="748.29"/>
    <n v="442.86"/>
    <m/>
    <n v="896.88117808773438"/>
    <n v="476.88775168498375"/>
    <n v="0"/>
    <n v="72.584130000000002"/>
    <n v="42.957419999999999"/>
    <n v="0"/>
    <n v="86.997474274510239"/>
    <n v="46.258111913443429"/>
  </r>
  <r>
    <s v="Sistema de Compensação"/>
    <x v="6"/>
    <x v="3"/>
    <x v="0"/>
    <x v="0"/>
    <x v="0"/>
    <x v="0"/>
    <x v="2"/>
    <x v="7"/>
    <n v="0"/>
    <n v="0"/>
    <n v="0.09"/>
    <n v="0.09"/>
    <n v="0.09"/>
    <n v="0.09"/>
    <n v="0"/>
    <x v="2"/>
    <n v="0"/>
    <n v="0"/>
    <n v="83"/>
    <n v="106"/>
    <n v="0"/>
    <n v="748.29"/>
    <n v="442.86"/>
    <m/>
    <n v="896.88117808773438"/>
    <n v="476.88775168498375"/>
    <n v="0"/>
    <n v="67.346099999999993"/>
    <n v="39.857399999999998"/>
    <n v="0"/>
    <n v="80.719306027896096"/>
    <n v="42.919897651648533"/>
  </r>
  <r>
    <s v="Sistema de Compensação"/>
    <x v="6"/>
    <x v="3"/>
    <x v="0"/>
    <x v="0"/>
    <x v="0"/>
    <x v="0"/>
    <x v="2"/>
    <x v="9"/>
    <n v="0"/>
    <n v="0"/>
    <n v="0.10299999999999999"/>
    <n v="0.10299999999999999"/>
    <n v="0.10299999999999999"/>
    <n v="0.10299999999999999"/>
    <n v="0"/>
    <x v="2"/>
    <n v="0"/>
    <n v="0"/>
    <n v="83"/>
    <n v="106"/>
    <n v="0"/>
    <n v="748.29"/>
    <n v="442.86"/>
    <m/>
    <n v="896.88117808773438"/>
    <n v="476.88775168498375"/>
    <n v="0"/>
    <n v="77.073869999999985"/>
    <n v="45.614579999999997"/>
    <n v="0"/>
    <n v="92.378761343036643"/>
    <n v="49.119438423553326"/>
  </r>
  <r>
    <s v="Sistema de Compensação"/>
    <x v="6"/>
    <x v="3"/>
    <x v="0"/>
    <x v="0"/>
    <x v="0"/>
    <x v="0"/>
    <x v="2"/>
    <x v="10"/>
    <n v="0"/>
    <n v="0"/>
    <n v="0.112"/>
    <n v="0.112"/>
    <n v="0.112"/>
    <n v="0.112"/>
    <n v="0"/>
    <x v="2"/>
    <n v="0"/>
    <n v="0"/>
    <n v="83"/>
    <n v="106"/>
    <n v="0"/>
    <n v="748.29"/>
    <n v="442.86"/>
    <m/>
    <n v="896.88117808773438"/>
    <n v="476.88775168498375"/>
    <n v="0"/>
    <n v="83.808480000000003"/>
    <n v="49.600320000000004"/>
    <n v="0"/>
    <n v="100.45069194582625"/>
    <n v="53.411428188718183"/>
  </r>
  <r>
    <s v="PROJETADO"/>
    <x v="6"/>
    <x v="3"/>
    <x v="0"/>
    <x v="0"/>
    <x v="0"/>
    <x v="0"/>
    <x v="2"/>
    <x v="11"/>
    <n v="0"/>
    <n v="0"/>
    <n v="0.112"/>
    <n v="0.112"/>
    <n v="0.112"/>
    <n v="0.112"/>
    <n v="0"/>
    <x v="2"/>
    <n v="0"/>
    <n v="0"/>
    <n v="83"/>
    <n v="106"/>
    <n v="0"/>
    <n v="748.29"/>
    <n v="442.86"/>
    <m/>
    <n v="896.88117808773438"/>
    <n v="476.88775168498375"/>
    <n v="0"/>
    <n v="83.808480000000003"/>
    <n v="49.600320000000004"/>
    <n v="0"/>
    <n v="100.45069194582625"/>
    <n v="53.411428188718183"/>
  </r>
  <r>
    <s v="Regular"/>
    <x v="6"/>
    <x v="3"/>
    <x v="3"/>
    <x v="1"/>
    <x v="0"/>
    <x v="0"/>
    <x v="0"/>
    <x v="6"/>
    <n v="0"/>
    <n v="0"/>
    <n v="10.817"/>
    <n v="10.16798"/>
    <n v="10.817"/>
    <n v="10.16798"/>
    <n v="0"/>
    <x v="2"/>
    <n v="0"/>
    <n v="0"/>
    <n v="69"/>
    <n v="105"/>
    <n v="0"/>
    <n v="234.07"/>
    <n v="278.67"/>
    <m/>
    <n v="310.15213459473404"/>
    <n v="295.87360985530717"/>
    <n v="0"/>
    <n v="2380.0190785999998"/>
    <n v="2833.5109866000003"/>
    <n v="0"/>
    <n v="3153.6207015165637"/>
    <n v="3008.4369475365661"/>
  </r>
  <r>
    <s v="Regular"/>
    <x v="6"/>
    <x v="3"/>
    <x v="3"/>
    <x v="1"/>
    <x v="0"/>
    <x v="0"/>
    <x v="0"/>
    <x v="7"/>
    <n v="0"/>
    <n v="0"/>
    <n v="7.1449999999999996"/>
    <n v="6.7163000000000004"/>
    <n v="7.1449999999999996"/>
    <n v="6.7163000000000004"/>
    <n v="0"/>
    <x v="2"/>
    <n v="0"/>
    <n v="0"/>
    <n v="69"/>
    <n v="105"/>
    <n v="0"/>
    <n v="234.07"/>
    <n v="278.67"/>
    <m/>
    <n v="310.15213459473404"/>
    <n v="295.87360985530717"/>
    <n v="0"/>
    <n v="1572.084341"/>
    <n v="1871.6313210000003"/>
    <n v="0"/>
    <n v="2083.0747815786121"/>
    <n v="1987.1759258711995"/>
  </r>
  <r>
    <s v="Regular"/>
    <x v="6"/>
    <x v="3"/>
    <x v="3"/>
    <x v="1"/>
    <x v="0"/>
    <x v="0"/>
    <x v="0"/>
    <x v="8"/>
    <n v="0"/>
    <n v="0"/>
    <n v="7.2779999999999996"/>
    <n v="6.8413199999999996"/>
    <n v="7.2779999999999996"/>
    <n v="6.8413199999999996"/>
    <n v="0"/>
    <x v="2"/>
    <n v="0"/>
    <n v="0"/>
    <n v="69"/>
    <n v="105"/>
    <n v="0"/>
    <n v="234.07"/>
    <n v="278.67"/>
    <m/>
    <n v="310.15213459473404"/>
    <n v="295.87360985530717"/>
    <n v="0"/>
    <n v="1601.3477723999999"/>
    <n v="1906.4706444000001"/>
    <n v="0"/>
    <n v="2121.8500014456458"/>
    <n v="2024.1660445753098"/>
  </r>
  <r>
    <s v="Regular"/>
    <x v="6"/>
    <x v="3"/>
    <x v="3"/>
    <x v="1"/>
    <x v="0"/>
    <x v="0"/>
    <x v="0"/>
    <x v="9"/>
    <n v="0"/>
    <n v="0"/>
    <n v="8.3040000000000003"/>
    <n v="7.8057600000000003"/>
    <n v="8.3040000000000003"/>
    <n v="7.8057600000000003"/>
    <n v="0"/>
    <x v="2"/>
    <n v="0"/>
    <n v="0"/>
    <n v="69"/>
    <n v="105"/>
    <n v="0"/>
    <n v="234.07"/>
    <n v="278.67"/>
    <m/>
    <n v="310.15213459473404"/>
    <n v="295.87360985530717"/>
    <n v="0"/>
    <n v="1827.0942431999999"/>
    <n v="2175.2311392000001"/>
    <n v="0"/>
    <n v="2420.9731261341913"/>
    <n v="2309.5183888641627"/>
  </r>
  <r>
    <s v="Regular"/>
    <x v="6"/>
    <x v="3"/>
    <x v="3"/>
    <x v="1"/>
    <x v="0"/>
    <x v="0"/>
    <x v="0"/>
    <x v="10"/>
    <n v="0"/>
    <n v="0"/>
    <n v="8.2780000000000005"/>
    <n v="7.78132"/>
    <n v="8.2780000000000005"/>
    <n v="7.78132"/>
    <n v="0"/>
    <x v="2"/>
    <n v="0"/>
    <n v="0"/>
    <n v="69"/>
    <n v="105"/>
    <n v="0"/>
    <n v="234.07"/>
    <n v="278.67"/>
    <m/>
    <n v="310.15213459473404"/>
    <n v="295.87360985530717"/>
    <n v="0"/>
    <n v="1821.3735724000001"/>
    <n v="2168.4204444000002"/>
    <n v="0"/>
    <n v="2413.3930079646957"/>
    <n v="2302.2872378392985"/>
  </r>
  <r>
    <s v="PROJETADO"/>
    <x v="6"/>
    <x v="3"/>
    <x v="3"/>
    <x v="1"/>
    <x v="0"/>
    <x v="0"/>
    <x v="0"/>
    <x v="11"/>
    <n v="0"/>
    <n v="0"/>
    <n v="8.2780000000000005"/>
    <n v="7.78132"/>
    <n v="8.2780000000000005"/>
    <n v="7.78132"/>
    <n v="0"/>
    <x v="2"/>
    <n v="0"/>
    <n v="0"/>
    <n v="69"/>
    <n v="105"/>
    <n v="0"/>
    <n v="234.07"/>
    <n v="278.67"/>
    <m/>
    <n v="310.15213459473404"/>
    <n v="295.87360985530717"/>
    <n v="0"/>
    <n v="1821.3735724000001"/>
    <n v="2168.4204444000002"/>
    <n v="0"/>
    <n v="2413.3930079646957"/>
    <n v="2302.2872378392985"/>
  </r>
  <r>
    <s v="Regular"/>
    <x v="6"/>
    <x v="3"/>
    <x v="3"/>
    <x v="1"/>
    <x v="0"/>
    <x v="0"/>
    <x v="3"/>
    <x v="6"/>
    <n v="0"/>
    <n v="0"/>
    <n v="0.219"/>
    <n v="0.20585999999999999"/>
    <n v="0.219"/>
    <n v="0.20585999999999999"/>
    <n v="0"/>
    <x v="2"/>
    <n v="0"/>
    <n v="0"/>
    <n v="82"/>
    <n v="110"/>
    <n v="0"/>
    <n v="491.18"/>
    <n v="278.67"/>
    <m/>
    <n v="603.5165151303197"/>
    <n v="295.87360985530717"/>
    <n v="0"/>
    <n v="101.11431479999999"/>
    <n v="57.367006199999999"/>
    <n v="0"/>
    <n v="124.2399098047276"/>
    <n v="60.908541324813527"/>
  </r>
  <r>
    <s v="Regular"/>
    <x v="6"/>
    <x v="3"/>
    <x v="3"/>
    <x v="1"/>
    <x v="0"/>
    <x v="0"/>
    <x v="3"/>
    <x v="7"/>
    <n v="0"/>
    <n v="0"/>
    <n v="5.2999999999999999E-2"/>
    <n v="4.9820000000000003E-2"/>
    <n v="5.2999999999999999E-2"/>
    <n v="4.9820000000000003E-2"/>
    <n v="0"/>
    <x v="2"/>
    <n v="0"/>
    <n v="0"/>
    <n v="82"/>
    <n v="110"/>
    <n v="0"/>
    <n v="491.18"/>
    <n v="278.67"/>
    <m/>
    <n v="603.5165151303197"/>
    <n v="295.87360985530717"/>
    <n v="0"/>
    <n v="24.470587600000002"/>
    <n v="13.883339400000002"/>
    <n v="0"/>
    <n v="30.067192783792528"/>
    <n v="14.740423242991405"/>
  </r>
  <r>
    <s v="Regular"/>
    <x v="6"/>
    <x v="3"/>
    <x v="3"/>
    <x v="1"/>
    <x v="0"/>
    <x v="0"/>
    <x v="3"/>
    <x v="8"/>
    <n v="0"/>
    <n v="0"/>
    <n v="1.7000000000000001E-2"/>
    <n v="1.5980000000000001E-2"/>
    <n v="1.7000000000000001E-2"/>
    <n v="1.5980000000000001E-2"/>
    <n v="0"/>
    <x v="2"/>
    <n v="0"/>
    <n v="0"/>
    <n v="82"/>
    <n v="110"/>
    <n v="0"/>
    <n v="491.18"/>
    <n v="278.67"/>
    <m/>
    <n v="603.5165151303197"/>
    <n v="295.87360985530717"/>
    <n v="0"/>
    <n v="7.8490564000000003"/>
    <n v="4.4531466000000002"/>
    <n v="0"/>
    <n v="9.6441939117825104"/>
    <n v="4.7280602854878087"/>
  </r>
  <r>
    <s v="Regular"/>
    <x v="6"/>
    <x v="3"/>
    <x v="3"/>
    <x v="1"/>
    <x v="0"/>
    <x v="0"/>
    <x v="3"/>
    <x v="9"/>
    <n v="0"/>
    <n v="0"/>
    <n v="0.02"/>
    <n v="1.8800000000000001E-2"/>
    <n v="0.02"/>
    <n v="1.8800000000000001E-2"/>
    <n v="0"/>
    <x v="2"/>
    <n v="0"/>
    <n v="0"/>
    <n v="82"/>
    <n v="110"/>
    <n v="0"/>
    <n v="491.18"/>
    <n v="278.67"/>
    <m/>
    <n v="603.5165151303197"/>
    <n v="295.87360985530717"/>
    <n v="0"/>
    <n v="9.2341840000000008"/>
    <n v="5.2389960000000002"/>
    <n v="0"/>
    <n v="11.34611048445001"/>
    <n v="5.5624238652797748"/>
  </r>
  <r>
    <s v="Regular"/>
    <x v="6"/>
    <x v="3"/>
    <x v="3"/>
    <x v="1"/>
    <x v="0"/>
    <x v="0"/>
    <x v="3"/>
    <x v="10"/>
    <n v="0"/>
    <n v="0"/>
    <n v="2.1999999999999999E-2"/>
    <n v="2.068E-2"/>
    <n v="2.1999999999999999E-2"/>
    <n v="2.068E-2"/>
    <n v="0"/>
    <x v="2"/>
    <n v="0"/>
    <n v="0"/>
    <n v="82"/>
    <n v="110"/>
    <n v="0"/>
    <n v="491.18"/>
    <n v="278.67"/>
    <m/>
    <n v="603.5165151303197"/>
    <n v="295.87360985530717"/>
    <n v="0"/>
    <n v="10.1576024"/>
    <n v="5.7628956000000002"/>
    <n v="0"/>
    <n v="12.480721532895013"/>
    <n v="6.1186662518077526"/>
  </r>
  <r>
    <s v="PROJETADO"/>
    <x v="6"/>
    <x v="3"/>
    <x v="3"/>
    <x v="1"/>
    <x v="0"/>
    <x v="0"/>
    <x v="3"/>
    <x v="11"/>
    <n v="0"/>
    <n v="0"/>
    <n v="2.1999999999999999E-2"/>
    <n v="2.068E-2"/>
    <n v="2.1999999999999999E-2"/>
    <n v="2.068E-2"/>
    <n v="0"/>
    <x v="2"/>
    <n v="0"/>
    <n v="0"/>
    <n v="82"/>
    <n v="110"/>
    <n v="0"/>
    <n v="491.18"/>
    <n v="278.67"/>
    <m/>
    <n v="603.5165151303197"/>
    <n v="295.87360985530717"/>
    <n v="0"/>
    <n v="10.1576024"/>
    <n v="5.7628956000000002"/>
    <n v="0"/>
    <n v="12.480721532895013"/>
    <n v="6.1186662518077526"/>
  </r>
  <r>
    <s v="Regular"/>
    <x v="6"/>
    <x v="3"/>
    <x v="3"/>
    <x v="1"/>
    <x v="0"/>
    <x v="0"/>
    <x v="2"/>
    <x v="6"/>
    <n v="0"/>
    <n v="0"/>
    <n v="0.35699999999999998"/>
    <n v="0.33557999999999999"/>
    <n v="0.35699999999999998"/>
    <n v="0.33557999999999999"/>
    <n v="0"/>
    <x v="2"/>
    <n v="0"/>
    <n v="0"/>
    <n v="83"/>
    <n v="106"/>
    <n v="0"/>
    <n v="748.29"/>
    <n v="442.86"/>
    <m/>
    <n v="896.88117808773438"/>
    <n v="476.88775168498375"/>
    <n v="0"/>
    <n v="251.11115819999998"/>
    <n v="148.61495880000001"/>
    <n v="0"/>
    <n v="300.97538574268191"/>
    <n v="160.03399171044686"/>
  </r>
  <r>
    <s v="Regular"/>
    <x v="6"/>
    <x v="3"/>
    <x v="3"/>
    <x v="1"/>
    <x v="0"/>
    <x v="0"/>
    <x v="2"/>
    <x v="7"/>
    <n v="0"/>
    <n v="0"/>
    <n v="1.7000000000000001E-2"/>
    <n v="1.5980000000000001E-2"/>
    <n v="1.7000000000000001E-2"/>
    <n v="1.5980000000000001E-2"/>
    <n v="0"/>
    <x v="2"/>
    <n v="0"/>
    <n v="0"/>
    <n v="83"/>
    <n v="106"/>
    <n v="0"/>
    <n v="748.29"/>
    <n v="442.86"/>
    <m/>
    <n v="896.88117808773438"/>
    <n v="476.88775168498375"/>
    <n v="0"/>
    <n v="11.9576742"/>
    <n v="7.0769028000000009"/>
    <n v="0"/>
    <n v="14.332161225841997"/>
    <n v="7.6206662719260407"/>
  </r>
  <r>
    <s v="Regular"/>
    <x v="6"/>
    <x v="3"/>
    <x v="3"/>
    <x v="1"/>
    <x v="0"/>
    <x v="0"/>
    <x v="2"/>
    <x v="8"/>
    <n v="0"/>
    <n v="0"/>
    <n v="0.03"/>
    <n v="2.8199999999999999E-2"/>
    <n v="0.03"/>
    <n v="2.8199999999999999E-2"/>
    <n v="0"/>
    <x v="2"/>
    <n v="0"/>
    <n v="0"/>
    <n v="83"/>
    <n v="106"/>
    <n v="0"/>
    <n v="748.29"/>
    <n v="442.86"/>
    <m/>
    <n v="896.88117808773438"/>
    <n v="476.88775168498375"/>
    <n v="0"/>
    <n v="21.101777999999999"/>
    <n v="12.488652"/>
    <n v="0"/>
    <n v="25.292049222074109"/>
    <n v="13.448234597516542"/>
  </r>
  <r>
    <s v="Regular"/>
    <x v="6"/>
    <x v="3"/>
    <x v="3"/>
    <x v="1"/>
    <x v="0"/>
    <x v="0"/>
    <x v="2"/>
    <x v="9"/>
    <n v="0"/>
    <n v="0"/>
    <n v="1.6E-2"/>
    <n v="1.504E-2"/>
    <n v="1.6E-2"/>
    <n v="1.504E-2"/>
    <n v="0"/>
    <x v="2"/>
    <n v="0"/>
    <n v="0"/>
    <n v="83"/>
    <n v="106"/>
    <n v="0"/>
    <n v="748.29"/>
    <n v="442.86"/>
    <m/>
    <n v="896.88117808773438"/>
    <n v="476.88775168498375"/>
    <n v="0"/>
    <n v="11.254281599999999"/>
    <n v="6.6606144"/>
    <n v="0"/>
    <n v="13.489092918439525"/>
    <n v="7.172391785342155"/>
  </r>
  <r>
    <s v="Regular"/>
    <x v="6"/>
    <x v="3"/>
    <x v="3"/>
    <x v="1"/>
    <x v="0"/>
    <x v="0"/>
    <x v="2"/>
    <x v="10"/>
    <n v="0"/>
    <n v="0"/>
    <n v="3.4000000000000002E-2"/>
    <n v="3.1960000000000002E-2"/>
    <n v="3.4000000000000002E-2"/>
    <n v="3.1960000000000002E-2"/>
    <n v="0"/>
    <x v="2"/>
    <n v="0"/>
    <n v="0"/>
    <n v="83"/>
    <n v="106"/>
    <n v="0"/>
    <n v="748.29"/>
    <n v="442.86"/>
    <m/>
    <n v="896.88117808773438"/>
    <n v="476.88775168498375"/>
    <n v="0"/>
    <n v="23.915348399999999"/>
    <n v="14.153805600000002"/>
    <n v="0"/>
    <n v="28.664322451683994"/>
    <n v="15.241332543852081"/>
  </r>
  <r>
    <s v="PROJETADO"/>
    <x v="6"/>
    <x v="3"/>
    <x v="3"/>
    <x v="1"/>
    <x v="0"/>
    <x v="0"/>
    <x v="2"/>
    <x v="11"/>
    <n v="0"/>
    <n v="0"/>
    <n v="3.4000000000000002E-2"/>
    <n v="3.1960000000000002E-2"/>
    <n v="3.4000000000000002E-2"/>
    <n v="3.1960000000000002E-2"/>
    <n v="0"/>
    <x v="2"/>
    <n v="0"/>
    <n v="0"/>
    <n v="83"/>
    <n v="106"/>
    <n v="0"/>
    <n v="748.29"/>
    <n v="442.86"/>
    <m/>
    <n v="896.88117808773438"/>
    <n v="476.88775168498375"/>
    <n v="0"/>
    <n v="23.915348399999999"/>
    <n v="14.153805600000002"/>
    <n v="0"/>
    <n v="28.664322451683994"/>
    <n v="15.241332543852081"/>
  </r>
  <r>
    <s v="Regular"/>
    <x v="6"/>
    <x v="4"/>
    <x v="2"/>
    <x v="0"/>
    <x v="0"/>
    <x v="0"/>
    <x v="1"/>
    <x v="0"/>
    <n v="0"/>
    <n v="0"/>
    <n v="3209.95"/>
    <n v="3209.95"/>
    <n v="3209.95"/>
    <n v="3209.95"/>
    <n v="5359"/>
    <x v="2"/>
    <n v="0"/>
    <n v="0"/>
    <n v="63"/>
    <n v="91"/>
    <n v="0"/>
    <n v="300.3"/>
    <n v="292.36"/>
    <m/>
    <n v="385.7156580869115"/>
    <n v="310.95812167444689"/>
    <n v="0"/>
    <n v="963947.98499999999"/>
    <n v="938460.98199999996"/>
    <n v="0"/>
    <n v="1238127.9766760815"/>
    <n v="998160.02266889077"/>
  </r>
  <r>
    <s v="Refaturamento - Regular"/>
    <x v="6"/>
    <x v="4"/>
    <x v="2"/>
    <x v="0"/>
    <x v="0"/>
    <x v="0"/>
    <x v="1"/>
    <x v="0"/>
    <n v="0"/>
    <n v="0"/>
    <n v="-9.7579999999999991"/>
    <n v="-9.7579999999999991"/>
    <n v="-9.7579999999999991"/>
    <n v="-9.7579999999999991"/>
    <n v="0"/>
    <x v="2"/>
    <n v="0"/>
    <n v="0"/>
    <n v="63"/>
    <n v="91"/>
    <n v="0"/>
    <n v="300.3"/>
    <n v="292.36"/>
    <m/>
    <n v="385.7156580869115"/>
    <n v="310.95812167444689"/>
    <n v="0"/>
    <n v="-2930.3273999999997"/>
    <n v="-2852.84888"/>
    <n v="0"/>
    <n v="-3763.8133916120819"/>
    <n v="-3034.3293512992523"/>
  </r>
  <r>
    <s v="Sistema de Compensação"/>
    <x v="6"/>
    <x v="4"/>
    <x v="2"/>
    <x v="0"/>
    <x v="0"/>
    <x v="0"/>
    <x v="1"/>
    <x v="0"/>
    <n v="0"/>
    <n v="0"/>
    <n v="47.304000000000002"/>
    <n v="47.304000000000002"/>
    <n v="47.304000000000002"/>
    <n v="47.304000000000002"/>
    <n v="93"/>
    <x v="2"/>
    <n v="0"/>
    <n v="0"/>
    <n v="63"/>
    <n v="91"/>
    <n v="0"/>
    <n v="300.3"/>
    <n v="292.36"/>
    <m/>
    <n v="385.7156580869115"/>
    <n v="310.95812167444689"/>
    <n v="0"/>
    <n v="14205.391200000002"/>
    <n v="13829.797440000002"/>
    <n v="0"/>
    <n v="18245.893490143262"/>
    <n v="14709.562987688036"/>
  </r>
  <r>
    <s v="Regular"/>
    <x v="6"/>
    <x v="4"/>
    <x v="2"/>
    <x v="0"/>
    <x v="0"/>
    <x v="0"/>
    <x v="1"/>
    <x v="1"/>
    <n v="0"/>
    <n v="0"/>
    <n v="3233.7910000000002"/>
    <n v="3233.7910000000002"/>
    <n v="3233.7910000000002"/>
    <n v="3233.7910000000002"/>
    <n v="5378"/>
    <x v="2"/>
    <n v="0"/>
    <n v="0"/>
    <n v="63"/>
    <n v="91"/>
    <n v="0"/>
    <n v="300.3"/>
    <n v="292.36"/>
    <m/>
    <n v="385.7156580869115"/>
    <n v="310.95812167444689"/>
    <n v="0"/>
    <n v="971107.43730000011"/>
    <n v="945431.13676000014"/>
    <n v="0"/>
    <n v="1247323.8236805317"/>
    <n v="1005573.5752477313"/>
  </r>
  <r>
    <s v="Refaturamento - Regular"/>
    <x v="6"/>
    <x v="4"/>
    <x v="2"/>
    <x v="0"/>
    <x v="0"/>
    <x v="0"/>
    <x v="1"/>
    <x v="1"/>
    <n v="0"/>
    <n v="0"/>
    <n v="-0.88800000000000001"/>
    <n v="-0.88800000000000001"/>
    <n v="-0.88800000000000001"/>
    <n v="-0.88800000000000001"/>
    <n v="0"/>
    <x v="2"/>
    <n v="0"/>
    <n v="0"/>
    <n v="63"/>
    <n v="91"/>
    <n v="0"/>
    <n v="300.3"/>
    <n v="292.36"/>
    <m/>
    <n v="385.7156580869115"/>
    <n v="310.95812167444689"/>
    <n v="0"/>
    <n v="-266.66640000000001"/>
    <n v="-259.61568"/>
    <n v="0"/>
    <n v="-342.51550438117744"/>
    <n v="-276.13081204690883"/>
  </r>
  <r>
    <s v="Sistema de Compensação"/>
    <x v="6"/>
    <x v="4"/>
    <x v="2"/>
    <x v="0"/>
    <x v="0"/>
    <x v="0"/>
    <x v="1"/>
    <x v="1"/>
    <n v="0"/>
    <n v="0"/>
    <n v="54.84"/>
    <n v="54.84"/>
    <n v="54.84"/>
    <n v="54.84"/>
    <n v="108"/>
    <x v="2"/>
    <n v="0"/>
    <n v="0"/>
    <n v="63"/>
    <n v="91"/>
    <n v="0"/>
    <n v="300.3"/>
    <n v="292.36"/>
    <m/>
    <n v="385.7156580869115"/>
    <n v="310.95812167444689"/>
    <n v="0"/>
    <n v="16468.452000000001"/>
    <n v="16033.022400000002"/>
    <n v="0"/>
    <n v="21152.646689486228"/>
    <n v="17052.943392626668"/>
  </r>
  <r>
    <s v="Regular"/>
    <x v="6"/>
    <x v="4"/>
    <x v="2"/>
    <x v="0"/>
    <x v="0"/>
    <x v="0"/>
    <x v="1"/>
    <x v="2"/>
    <n v="0"/>
    <n v="0"/>
    <n v="3520.7020000000002"/>
    <n v="3520.7020000000002"/>
    <n v="3520.7020000000002"/>
    <n v="3520.7020000000002"/>
    <n v="5428"/>
    <x v="2"/>
    <n v="0"/>
    <n v="0"/>
    <n v="63"/>
    <n v="91"/>
    <n v="0"/>
    <n v="300.3"/>
    <n v="292.36"/>
    <m/>
    <n v="385.7156580869115"/>
    <n v="310.95812167444689"/>
    <n v="0"/>
    <n v="1057266.8106000002"/>
    <n v="1029312.4367200001"/>
    <n v="0"/>
    <n v="1357989.8888579055"/>
    <n v="1094790.8808954686"/>
  </r>
  <r>
    <s v="Refaturamento - Regular"/>
    <x v="6"/>
    <x v="4"/>
    <x v="2"/>
    <x v="0"/>
    <x v="0"/>
    <x v="0"/>
    <x v="1"/>
    <x v="2"/>
    <n v="0"/>
    <n v="0"/>
    <n v="-3.2090000000000001"/>
    <n v="-3.2090000000000001"/>
    <n v="-3.2090000000000001"/>
    <n v="-3.2090000000000001"/>
    <n v="0"/>
    <x v="2"/>
    <n v="0"/>
    <n v="0"/>
    <n v="63"/>
    <n v="91"/>
    <n v="0"/>
    <n v="300.3"/>
    <n v="292.36"/>
    <m/>
    <n v="385.7156580869115"/>
    <n v="310.95812167444689"/>
    <n v="0"/>
    <n v="-963.66270000000009"/>
    <n v="-938.18324000000007"/>
    <n v="0"/>
    <n v="-1237.7615468008989"/>
    <n v="-997.86461245330008"/>
  </r>
  <r>
    <s v="Sistema de Compensação"/>
    <x v="6"/>
    <x v="4"/>
    <x v="2"/>
    <x v="0"/>
    <x v="0"/>
    <x v="0"/>
    <x v="1"/>
    <x v="2"/>
    <n v="0"/>
    <n v="0"/>
    <n v="74.566000000000003"/>
    <n v="74.566000000000003"/>
    <n v="74.566000000000003"/>
    <n v="74.566000000000003"/>
    <n v="120"/>
    <x v="2"/>
    <n v="0"/>
    <n v="0"/>
    <n v="63"/>
    <n v="91"/>
    <n v="0"/>
    <n v="300.3"/>
    <n v="292.36"/>
    <m/>
    <n v="385.7156580869115"/>
    <n v="310.95812167444689"/>
    <n v="0"/>
    <n v="22392.169800000003"/>
    <n v="21800.115760000001"/>
    <n v="0"/>
    <n v="28761.273760908643"/>
    <n v="23186.903300776808"/>
  </r>
  <r>
    <s v="Regular"/>
    <x v="6"/>
    <x v="4"/>
    <x v="2"/>
    <x v="0"/>
    <x v="0"/>
    <x v="0"/>
    <x v="1"/>
    <x v="3"/>
    <n v="0"/>
    <n v="0"/>
    <n v="3260.5369999999998"/>
    <n v="3260.5369999999998"/>
    <n v="3260.5369999999998"/>
    <n v="3260.5369999999998"/>
    <n v="5449"/>
    <x v="2"/>
    <n v="0"/>
    <n v="0"/>
    <n v="63"/>
    <n v="91"/>
    <n v="0"/>
    <n v="300.3"/>
    <n v="292.36"/>
    <m/>
    <n v="385.7156580869115"/>
    <n v="310.95812167444689"/>
    <n v="0"/>
    <n v="979139.2611"/>
    <n v="953250.59731999994"/>
    <n v="0"/>
    <n v="1257640.1746717242"/>
    <n v="1013890.461170036"/>
  </r>
  <r>
    <s v="Refaturamento - Regular"/>
    <x v="6"/>
    <x v="4"/>
    <x v="2"/>
    <x v="0"/>
    <x v="0"/>
    <x v="0"/>
    <x v="1"/>
    <x v="3"/>
    <n v="0"/>
    <n v="0"/>
    <n v="-1.1140000000000001"/>
    <n v="-1.1140000000000001"/>
    <n v="-1.1140000000000001"/>
    <n v="-1.1140000000000001"/>
    <n v="0"/>
    <x v="2"/>
    <n v="0"/>
    <n v="0"/>
    <n v="63"/>
    <n v="91"/>
    <n v="0"/>
    <n v="300.3"/>
    <n v="292.36"/>
    <m/>
    <n v="385.7156580869115"/>
    <n v="310.95812167444689"/>
    <n v="0"/>
    <n v="-334.53420000000006"/>
    <n v="-325.68904000000003"/>
    <n v="0"/>
    <n v="-429.68724310881947"/>
    <n v="-346.40734754533383"/>
  </r>
  <r>
    <s v="Sistema de Compensação"/>
    <x v="6"/>
    <x v="4"/>
    <x v="2"/>
    <x v="0"/>
    <x v="0"/>
    <x v="0"/>
    <x v="1"/>
    <x v="3"/>
    <n v="0"/>
    <n v="0"/>
    <n v="62.720999999999997"/>
    <n v="62.720999999999997"/>
    <n v="62.720999999999997"/>
    <n v="62.720999999999997"/>
    <n v="122"/>
    <x v="2"/>
    <n v="0"/>
    <n v="0"/>
    <n v="63"/>
    <n v="91"/>
    <n v="0"/>
    <n v="300.3"/>
    <n v="292.36"/>
    <m/>
    <n v="385.7156580869115"/>
    <n v="310.95812167444689"/>
    <n v="0"/>
    <n v="18835.116299999998"/>
    <n v="18337.111560000001"/>
    <n v="0"/>
    <n v="24192.471790869175"/>
    <n v="19503.60434954298"/>
  </r>
  <r>
    <s v="Regular"/>
    <x v="6"/>
    <x v="4"/>
    <x v="2"/>
    <x v="0"/>
    <x v="0"/>
    <x v="0"/>
    <x v="1"/>
    <x v="4"/>
    <n v="0"/>
    <n v="0"/>
    <n v="3354.5030000000002"/>
    <n v="3354.5030000000002"/>
    <n v="3354.5030000000002"/>
    <n v="3354.5030000000002"/>
    <n v="5471"/>
    <x v="2"/>
    <n v="0"/>
    <n v="0"/>
    <n v="63"/>
    <n v="91"/>
    <n v="0"/>
    <n v="300.3"/>
    <n v="292.36"/>
    <m/>
    <n v="385.7156580869115"/>
    <n v="310.95812167444689"/>
    <n v="0"/>
    <n v="1007357.2509000001"/>
    <n v="980722.49708000012"/>
    <n v="0"/>
    <n v="1293884.332199519"/>
    <n v="1043109.9520312971"/>
  </r>
  <r>
    <s v="Refaturamento - Regular"/>
    <x v="6"/>
    <x v="4"/>
    <x v="2"/>
    <x v="0"/>
    <x v="0"/>
    <x v="0"/>
    <x v="1"/>
    <x v="4"/>
    <n v="0"/>
    <n v="0"/>
    <n v="6.8000000000000005E-2"/>
    <n v="6.8000000000000005E-2"/>
    <n v="6.8000000000000005E-2"/>
    <n v="6.8000000000000005E-2"/>
    <n v="0"/>
    <x v="2"/>
    <n v="0"/>
    <n v="0"/>
    <n v="63"/>
    <n v="91"/>
    <n v="0"/>
    <n v="300.3"/>
    <n v="292.36"/>
    <m/>
    <n v="385.7156580869115"/>
    <n v="310.95812167444689"/>
    <n v="0"/>
    <n v="20.420400000000001"/>
    <n v="19.880480000000002"/>
    <n v="0"/>
    <n v="26.228664749909985"/>
    <n v="21.14515227386239"/>
  </r>
  <r>
    <s v="Sistema de Compensação"/>
    <x v="6"/>
    <x v="4"/>
    <x v="2"/>
    <x v="0"/>
    <x v="0"/>
    <x v="0"/>
    <x v="1"/>
    <x v="4"/>
    <n v="0"/>
    <n v="0"/>
    <n v="60.561999999999998"/>
    <n v="60.561999999999998"/>
    <n v="60.561999999999998"/>
    <n v="60.561999999999998"/>
    <n v="125"/>
    <x v="2"/>
    <n v="0"/>
    <n v="0"/>
    <n v="63"/>
    <n v="91"/>
    <n v="0"/>
    <n v="300.3"/>
    <n v="292.36"/>
    <m/>
    <n v="385.7156580869115"/>
    <n v="310.95812167444689"/>
    <n v="0"/>
    <n v="18186.768599999999"/>
    <n v="17705.906320000002"/>
    <n v="0"/>
    <n v="23359.711685059534"/>
    <n v="18832.245764847852"/>
  </r>
  <r>
    <s v="Regular"/>
    <x v="6"/>
    <x v="4"/>
    <x v="2"/>
    <x v="0"/>
    <x v="0"/>
    <x v="0"/>
    <x v="1"/>
    <x v="5"/>
    <n v="0"/>
    <n v="0"/>
    <n v="3565.6779999999999"/>
    <n v="3565.6779999999999"/>
    <n v="3565.6779999999999"/>
    <n v="3565.6779999999999"/>
    <n v="5498"/>
    <x v="2"/>
    <n v="0"/>
    <n v="0"/>
    <n v="63"/>
    <n v="91"/>
    <n v="0"/>
    <n v="300.3"/>
    <n v="292.36"/>
    <m/>
    <n v="385.7156580869115"/>
    <n v="310.95812167444689"/>
    <n v="0"/>
    <n v="1070773.1033999999"/>
    <n v="1042461.62008"/>
    <n v="0"/>
    <n v="1375337.8362960224"/>
    <n v="1108776.5333758984"/>
  </r>
  <r>
    <s v="Refaturamento - Regular"/>
    <x v="6"/>
    <x v="4"/>
    <x v="2"/>
    <x v="0"/>
    <x v="0"/>
    <x v="0"/>
    <x v="1"/>
    <x v="5"/>
    <n v="0"/>
    <n v="0"/>
    <n v="4.891"/>
    <n v="4.891"/>
    <n v="4.891"/>
    <n v="4.891"/>
    <n v="0"/>
    <x v="2"/>
    <n v="0"/>
    <n v="0"/>
    <n v="63"/>
    <n v="91"/>
    <n v="0"/>
    <n v="300.3"/>
    <n v="292.36"/>
    <m/>
    <n v="385.7156580869115"/>
    <n v="310.95812167444689"/>
    <n v="0"/>
    <n v="1468.7673"/>
    <n v="1429.9327600000001"/>
    <n v="0"/>
    <n v="1886.5352837030841"/>
    <n v="1520.8961731097197"/>
  </r>
  <r>
    <s v="Sistema de Compensação"/>
    <x v="6"/>
    <x v="4"/>
    <x v="2"/>
    <x v="0"/>
    <x v="0"/>
    <x v="0"/>
    <x v="1"/>
    <x v="5"/>
    <n v="0"/>
    <n v="0"/>
    <n v="77.751999999999995"/>
    <n v="77.751999999999995"/>
    <n v="77.751999999999995"/>
    <n v="77.751999999999995"/>
    <n v="137"/>
    <x v="2"/>
    <n v="0"/>
    <n v="0"/>
    <n v="63"/>
    <n v="91"/>
    <n v="0"/>
    <n v="300.3"/>
    <n v="292.36"/>
    <m/>
    <n v="385.7156580869115"/>
    <n v="310.95812167444689"/>
    <n v="0"/>
    <n v="23348.925599999999"/>
    <n v="22731.574720000001"/>
    <n v="0"/>
    <n v="29990.163847573542"/>
    <n v="24177.615876431591"/>
  </r>
  <r>
    <s v="Regular"/>
    <x v="6"/>
    <x v="4"/>
    <x v="2"/>
    <x v="0"/>
    <x v="0"/>
    <x v="0"/>
    <x v="1"/>
    <x v="6"/>
    <n v="0"/>
    <n v="0"/>
    <n v="3249.4789999999998"/>
    <n v="3249.4789999999998"/>
    <n v="3249.4789999999998"/>
    <n v="3249.4789999999998"/>
    <n v="5515"/>
    <x v="2"/>
    <n v="0"/>
    <n v="0"/>
    <n v="63"/>
    <n v="91"/>
    <n v="0"/>
    <n v="300.3"/>
    <n v="292.36"/>
    <m/>
    <n v="385.7156580869115"/>
    <n v="310.95812167444689"/>
    <n v="0"/>
    <n v="975818.54370000004"/>
    <n v="950017.68044000003"/>
    <n v="0"/>
    <n v="1253374.9309245991"/>
    <n v="1010451.8862605599"/>
  </r>
  <r>
    <s v="Refaturamento - Regular"/>
    <x v="6"/>
    <x v="4"/>
    <x v="2"/>
    <x v="0"/>
    <x v="0"/>
    <x v="0"/>
    <x v="1"/>
    <x v="6"/>
    <n v="0"/>
    <n v="0"/>
    <n v="-10.763999999999999"/>
    <n v="-10.763999999999999"/>
    <n v="-10.763999999999999"/>
    <n v="-10.763999999999999"/>
    <n v="0"/>
    <x v="2"/>
    <n v="0"/>
    <n v="0"/>
    <n v="63"/>
    <n v="91"/>
    <n v="0"/>
    <n v="300.3"/>
    <n v="292.36"/>
    <m/>
    <n v="385.7156580869115"/>
    <n v="310.95812167444689"/>
    <n v="0"/>
    <n v="-3232.4292"/>
    <n v="-3146.9630400000001"/>
    <n v="0"/>
    <n v="-4151.8433436475152"/>
    <n v="-3347.1532217037461"/>
  </r>
  <r>
    <s v="Sistema de Compensação"/>
    <x v="6"/>
    <x v="4"/>
    <x v="2"/>
    <x v="0"/>
    <x v="0"/>
    <x v="0"/>
    <x v="1"/>
    <x v="6"/>
    <n v="0"/>
    <n v="0"/>
    <n v="71.489999999999995"/>
    <n v="71.489999999999995"/>
    <n v="71.489999999999995"/>
    <n v="71.489999999999995"/>
    <n v="148"/>
    <x v="2"/>
    <n v="0"/>
    <n v="0"/>
    <n v="63"/>
    <n v="91"/>
    <n v="0"/>
    <n v="300.3"/>
    <n v="292.36"/>
    <m/>
    <n v="385.7156580869115"/>
    <n v="310.95812167444689"/>
    <n v="0"/>
    <n v="21468.447"/>
    <n v="20900.8164"/>
    <n v="0"/>
    <n v="27574.812396633301"/>
    <n v="22230.396118506207"/>
  </r>
  <r>
    <s v="Regular"/>
    <x v="6"/>
    <x v="4"/>
    <x v="2"/>
    <x v="0"/>
    <x v="0"/>
    <x v="0"/>
    <x v="1"/>
    <x v="7"/>
    <n v="0"/>
    <n v="0"/>
    <n v="3046.7640000000001"/>
    <n v="3046.7640000000001"/>
    <n v="3046.7640000000001"/>
    <n v="3046.7640000000001"/>
    <n v="5530"/>
    <x v="2"/>
    <n v="0"/>
    <n v="0"/>
    <n v="63"/>
    <n v="91"/>
    <n v="0"/>
    <n v="300.3"/>
    <n v="292.36"/>
    <m/>
    <n v="385.7156580869115"/>
    <n v="310.95812167444689"/>
    <n v="0"/>
    <n v="914943.22920000006"/>
    <n v="890751.92304000002"/>
    <n v="0"/>
    <n v="1175184.581295511"/>
    <n v="947416.01062532456"/>
  </r>
  <r>
    <s v="Refaturamento - Regular"/>
    <x v="6"/>
    <x v="4"/>
    <x v="2"/>
    <x v="0"/>
    <x v="0"/>
    <x v="0"/>
    <x v="1"/>
    <x v="7"/>
    <n v="0"/>
    <n v="0"/>
    <n v="-22.873999999999999"/>
    <n v="-22.873999999999999"/>
    <n v="-22.873999999999999"/>
    <n v="-22.873999999999999"/>
    <n v="0"/>
    <x v="2"/>
    <n v="0"/>
    <n v="0"/>
    <n v="63"/>
    <n v="91"/>
    <n v="0"/>
    <n v="300.3"/>
    <n v="292.36"/>
    <m/>
    <n v="385.7156580869115"/>
    <n v="310.95812167444689"/>
    <n v="0"/>
    <n v="-6869.0622000000003"/>
    <n v="-6687.4426400000002"/>
    <n v="0"/>
    <n v="-8822.8599630800127"/>
    <n v="-7112.8560751812975"/>
  </r>
  <r>
    <s v="Sistema de Compensação"/>
    <x v="6"/>
    <x v="4"/>
    <x v="2"/>
    <x v="0"/>
    <x v="0"/>
    <x v="0"/>
    <x v="1"/>
    <x v="7"/>
    <n v="0"/>
    <n v="0"/>
    <n v="79.274000000000001"/>
    <n v="79.274000000000001"/>
    <n v="79.274000000000001"/>
    <n v="79.274000000000001"/>
    <n v="160"/>
    <x v="2"/>
    <n v="0"/>
    <n v="0"/>
    <n v="63"/>
    <n v="91"/>
    <n v="0"/>
    <n v="300.3"/>
    <n v="292.36"/>
    <m/>
    <n v="385.7156580869115"/>
    <n v="310.95812167444689"/>
    <n v="0"/>
    <n v="23805.982200000002"/>
    <n v="23176.54664"/>
    <n v="0"/>
    <n v="30577.223079181822"/>
    <n v="24650.894137620104"/>
  </r>
  <r>
    <s v="Regular"/>
    <x v="6"/>
    <x v="4"/>
    <x v="2"/>
    <x v="0"/>
    <x v="0"/>
    <x v="0"/>
    <x v="1"/>
    <x v="8"/>
    <n v="0"/>
    <n v="0"/>
    <n v="3165.8670000000002"/>
    <n v="3165.8670000000002"/>
    <n v="3165.8670000000002"/>
    <n v="3165.8670000000002"/>
    <n v="5566"/>
    <x v="2"/>
    <n v="0"/>
    <n v="0"/>
    <n v="63"/>
    <n v="91"/>
    <n v="0"/>
    <n v="300.3"/>
    <n v="292.36"/>
    <m/>
    <n v="385.7156580869115"/>
    <n v="310.95812167444689"/>
    <n v="0"/>
    <n v="950709.86010000005"/>
    <n v="925572.87612000015"/>
    <n v="0"/>
    <n v="1221124.4733206364"/>
    <n v="984452.0557911162"/>
  </r>
  <r>
    <s v="Regular"/>
    <x v="6"/>
    <x v="4"/>
    <x v="2"/>
    <x v="0"/>
    <x v="0"/>
    <x v="0"/>
    <x v="1"/>
    <x v="9"/>
    <n v="0"/>
    <n v="0"/>
    <n v="2993.3609999999999"/>
    <n v="2993.3609999999999"/>
    <n v="2993.3609999999999"/>
    <n v="2993.3609999999999"/>
    <n v="5568"/>
    <x v="2"/>
    <n v="0"/>
    <n v="0"/>
    <n v="63"/>
    <n v="91"/>
    <n v="0"/>
    <n v="300.3"/>
    <n v="292.36"/>
    <m/>
    <n v="385.7156580869115"/>
    <n v="310.95812167444689"/>
    <n v="0"/>
    <n v="898906.30830000003"/>
    <n v="875139.02196000004"/>
    <n v="0"/>
    <n v="1154586.2080066954"/>
    <n v="930809.91405354394"/>
  </r>
  <r>
    <s v="Refaturamento - Regular"/>
    <x v="6"/>
    <x v="4"/>
    <x v="2"/>
    <x v="0"/>
    <x v="0"/>
    <x v="0"/>
    <x v="1"/>
    <x v="9"/>
    <n v="0"/>
    <n v="0"/>
    <n v="-0.42599999999999999"/>
    <n v="-0.42599999999999999"/>
    <n v="-0.42599999999999999"/>
    <n v="-0.42599999999999999"/>
    <n v="0"/>
    <x v="2"/>
    <n v="0"/>
    <n v="0"/>
    <n v="63"/>
    <n v="91"/>
    <n v="0"/>
    <n v="300.3"/>
    <n v="292.36"/>
    <m/>
    <n v="385.7156580869115"/>
    <n v="310.95812167444689"/>
    <n v="0"/>
    <n v="-127.9278"/>
    <n v="-124.54536"/>
    <n v="0"/>
    <n v="-164.3148703450243"/>
    <n v="-132.46815983331436"/>
  </r>
  <r>
    <s v="Sistema de Compensação"/>
    <x v="6"/>
    <x v="4"/>
    <x v="2"/>
    <x v="0"/>
    <x v="0"/>
    <x v="0"/>
    <x v="1"/>
    <x v="9"/>
    <n v="0"/>
    <n v="0"/>
    <n v="86.825999999999993"/>
    <n v="86.825999999999993"/>
    <n v="86.825999999999993"/>
    <n v="86.825999999999993"/>
    <n v="183"/>
    <x v="2"/>
    <n v="0"/>
    <n v="0"/>
    <n v="63"/>
    <n v="91"/>
    <n v="0"/>
    <n v="300.3"/>
    <n v="292.36"/>
    <m/>
    <n v="385.7156580869115"/>
    <n v="310.95812167444689"/>
    <n v="0"/>
    <n v="26073.8478"/>
    <n v="25384.449359999999"/>
    <n v="0"/>
    <n v="33490.147729054173"/>
    <n v="26999.249872505523"/>
  </r>
  <r>
    <s v="Sistema de Compensação"/>
    <x v="6"/>
    <x v="4"/>
    <x v="2"/>
    <x v="0"/>
    <x v="0"/>
    <x v="0"/>
    <x v="1"/>
    <x v="9"/>
    <n v="0"/>
    <n v="0"/>
    <n v="-0.91"/>
    <n v="-0.91"/>
    <n v="-0.91"/>
    <n v="-0.91"/>
    <n v="4"/>
    <x v="2"/>
    <n v="0"/>
    <n v="0"/>
    <n v="63"/>
    <n v="91"/>
    <n v="0"/>
    <n v="300.3"/>
    <n v="292.36"/>
    <m/>
    <n v="385.7156580869115"/>
    <n v="310.95812167444689"/>
    <n v="0"/>
    <n v="-273.27300000000002"/>
    <n v="-266.04760000000005"/>
    <n v="0"/>
    <n v="-351.00124885908946"/>
    <n v="-282.9718907237467"/>
  </r>
  <r>
    <s v="Regular"/>
    <x v="6"/>
    <x v="4"/>
    <x v="2"/>
    <x v="0"/>
    <x v="0"/>
    <x v="0"/>
    <x v="1"/>
    <x v="10"/>
    <n v="0"/>
    <n v="0"/>
    <n v="3262.2240000000002"/>
    <n v="3262.2240000000002"/>
    <n v="3262.2240000000002"/>
    <n v="3262.2240000000002"/>
    <n v="5567"/>
    <x v="2"/>
    <n v="0"/>
    <n v="0"/>
    <n v="63"/>
    <n v="91"/>
    <n v="0"/>
    <n v="300.3"/>
    <n v="292.36"/>
    <m/>
    <n v="385.7156580869115"/>
    <n v="310.95812167444689"/>
    <n v="0"/>
    <n v="979645.8672000001"/>
    <n v="953743.80864000006"/>
    <n v="0"/>
    <n v="1258290.8769869169"/>
    <n v="1014415.0475213008"/>
  </r>
  <r>
    <s v="Refaturamento - Regular"/>
    <x v="6"/>
    <x v="4"/>
    <x v="2"/>
    <x v="0"/>
    <x v="0"/>
    <x v="0"/>
    <x v="1"/>
    <x v="10"/>
    <n v="0"/>
    <n v="0"/>
    <n v="-5.9249999999999998"/>
    <n v="-5.9249999999999998"/>
    <n v="-5.9249999999999998"/>
    <n v="-5.9249999999999998"/>
    <n v="0"/>
    <x v="2"/>
    <n v="0"/>
    <n v="0"/>
    <n v="63"/>
    <n v="91"/>
    <n v="0"/>
    <n v="300.3"/>
    <n v="292.36"/>
    <m/>
    <n v="385.7156580869115"/>
    <n v="310.95812167444689"/>
    <n v="0"/>
    <n v="-1779.2774999999999"/>
    <n v="-1732.2329999999999"/>
    <n v="0"/>
    <n v="-2285.3652741649507"/>
    <n v="-1842.4268709210978"/>
  </r>
  <r>
    <s v="Sistema de Compensação"/>
    <x v="6"/>
    <x v="4"/>
    <x v="2"/>
    <x v="0"/>
    <x v="0"/>
    <x v="0"/>
    <x v="1"/>
    <x v="10"/>
    <n v="0"/>
    <n v="0"/>
    <n v="99.796000000000006"/>
    <n v="99.796000000000006"/>
    <n v="99.796000000000006"/>
    <n v="99.796000000000006"/>
    <n v="196"/>
    <x v="2"/>
    <n v="0"/>
    <n v="0"/>
    <n v="63"/>
    <n v="91"/>
    <n v="0"/>
    <n v="300.3"/>
    <n v="292.36"/>
    <m/>
    <n v="385.7156580869115"/>
    <n v="310.95812167444689"/>
    <n v="0"/>
    <n v="29968.738800000003"/>
    <n v="29176.358560000004"/>
    <n v="0"/>
    <n v="38492.879814441425"/>
    <n v="31032.376710623103"/>
  </r>
  <r>
    <s v="Sistema de Compensação"/>
    <x v="6"/>
    <x v="4"/>
    <x v="2"/>
    <x v="0"/>
    <x v="0"/>
    <x v="0"/>
    <x v="1"/>
    <x v="10"/>
    <n v="0"/>
    <n v="0"/>
    <n v="0.72299999999999998"/>
    <n v="0.72299999999999998"/>
    <n v="0.72299999999999998"/>
    <n v="0.72299999999999998"/>
    <n v="2"/>
    <x v="2"/>
    <n v="0"/>
    <n v="0"/>
    <n v="63"/>
    <n v="91"/>
    <n v="0"/>
    <n v="300.3"/>
    <n v="292.36"/>
    <m/>
    <n v="385.7156580869115"/>
    <n v="310.95812167444689"/>
    <n v="0"/>
    <n v="217.11689999999999"/>
    <n v="211.37628000000001"/>
    <n v="0"/>
    <n v="278.87242079683699"/>
    <n v="224.82272197062508"/>
  </r>
  <r>
    <s v="PROJETADO"/>
    <x v="6"/>
    <x v="4"/>
    <x v="2"/>
    <x v="0"/>
    <x v="0"/>
    <x v="0"/>
    <x v="1"/>
    <x v="11"/>
    <n v="0"/>
    <n v="0"/>
    <n v="3262.2240000000002"/>
    <n v="3262.2240000000002"/>
    <n v="3262.2240000000002"/>
    <n v="3262.2240000000002"/>
    <n v="5567"/>
    <x v="2"/>
    <n v="0"/>
    <n v="0"/>
    <n v="63"/>
    <n v="91"/>
    <n v="0"/>
    <n v="300.3"/>
    <n v="292.36"/>
    <m/>
    <n v="385.7156580869115"/>
    <n v="310.95812167444689"/>
    <n v="0"/>
    <n v="979645.8672000001"/>
    <n v="953743.80864000006"/>
    <n v="0"/>
    <n v="1258290.8769869169"/>
    <n v="1014415.0475213008"/>
  </r>
  <r>
    <s v="PROJETADO"/>
    <x v="6"/>
    <x v="4"/>
    <x v="2"/>
    <x v="0"/>
    <x v="0"/>
    <x v="0"/>
    <x v="1"/>
    <x v="11"/>
    <n v="0"/>
    <n v="0"/>
    <n v="-5.9249999999999998"/>
    <n v="-5.9249999999999998"/>
    <n v="-5.9249999999999998"/>
    <n v="-5.9249999999999998"/>
    <n v="0"/>
    <x v="2"/>
    <n v="0"/>
    <n v="0"/>
    <n v="63"/>
    <n v="91"/>
    <n v="0"/>
    <n v="300.3"/>
    <n v="292.36"/>
    <m/>
    <n v="385.7156580869115"/>
    <n v="310.95812167444689"/>
    <n v="0"/>
    <n v="-1779.2774999999999"/>
    <n v="-1732.2329999999999"/>
    <n v="0"/>
    <n v="-2285.3652741649507"/>
    <n v="-1842.4268709210978"/>
  </r>
  <r>
    <s v="PROJETADO"/>
    <x v="6"/>
    <x v="4"/>
    <x v="2"/>
    <x v="0"/>
    <x v="0"/>
    <x v="0"/>
    <x v="1"/>
    <x v="11"/>
    <n v="0"/>
    <n v="0"/>
    <n v="99.796000000000006"/>
    <n v="99.796000000000006"/>
    <n v="99.796000000000006"/>
    <n v="99.796000000000006"/>
    <n v="196"/>
    <x v="2"/>
    <n v="0"/>
    <n v="0"/>
    <n v="63"/>
    <n v="91"/>
    <n v="0"/>
    <n v="300.3"/>
    <n v="292.36"/>
    <m/>
    <n v="385.7156580869115"/>
    <n v="310.95812167444689"/>
    <n v="0"/>
    <n v="29968.738800000003"/>
    <n v="29176.358560000004"/>
    <n v="0"/>
    <n v="38492.879814441425"/>
    <n v="31032.376710623103"/>
  </r>
  <r>
    <s v="PROJETADO"/>
    <x v="6"/>
    <x v="4"/>
    <x v="2"/>
    <x v="0"/>
    <x v="0"/>
    <x v="0"/>
    <x v="1"/>
    <x v="11"/>
    <n v="0"/>
    <n v="0"/>
    <n v="0.72299999999999998"/>
    <n v="0.72299999999999998"/>
    <n v="0.72299999999999998"/>
    <n v="0.72299999999999998"/>
    <n v="2"/>
    <x v="2"/>
    <n v="0"/>
    <n v="0"/>
    <n v="63"/>
    <n v="91"/>
    <n v="0"/>
    <n v="300.3"/>
    <n v="292.36"/>
    <m/>
    <n v="385.7156580869115"/>
    <n v="310.95812167444689"/>
    <n v="0"/>
    <n v="217.11689999999999"/>
    <n v="211.37628000000001"/>
    <n v="0"/>
    <n v="278.87242079683699"/>
    <n v="224.82272197062508"/>
  </r>
  <r>
    <s v="Regular"/>
    <x v="6"/>
    <x v="4"/>
    <x v="4"/>
    <x v="0"/>
    <x v="0"/>
    <x v="0"/>
    <x v="1"/>
    <x v="0"/>
    <n v="0"/>
    <n v="0"/>
    <n v="19.355"/>
    <n v="19.355"/>
    <n v="19.355"/>
    <n v="19.355"/>
    <n v="9"/>
    <x v="2"/>
    <n v="0"/>
    <n v="0"/>
    <n v="63"/>
    <n v="91"/>
    <n v="0"/>
    <n v="300.3"/>
    <n v="292.36"/>
    <m/>
    <n v="385.7156580869115"/>
    <n v="310.95812167444689"/>
    <n v="0"/>
    <n v="5812.3065000000006"/>
    <n v="5658.6278000000002"/>
    <n v="0"/>
    <n v="7465.5265622721727"/>
    <n v="6018.59444500892"/>
  </r>
  <r>
    <s v="Sistema de Compensação"/>
    <x v="6"/>
    <x v="4"/>
    <x v="4"/>
    <x v="0"/>
    <x v="0"/>
    <x v="0"/>
    <x v="1"/>
    <x v="0"/>
    <n v="0"/>
    <n v="0"/>
    <n v="0.1"/>
    <n v="0.1"/>
    <n v="0.1"/>
    <n v="0.1"/>
    <n v="1"/>
    <x v="2"/>
    <n v="0"/>
    <n v="0"/>
    <n v="63"/>
    <n v="91"/>
    <n v="0"/>
    <n v="300.3"/>
    <n v="292.36"/>
    <m/>
    <n v="385.7156580869115"/>
    <n v="310.95812167444689"/>
    <n v="0"/>
    <n v="30.03"/>
    <n v="29.236000000000004"/>
    <n v="0"/>
    <n v="38.571565808691155"/>
    <n v="31.095812167444691"/>
  </r>
  <r>
    <s v="Regular"/>
    <x v="6"/>
    <x v="4"/>
    <x v="4"/>
    <x v="0"/>
    <x v="0"/>
    <x v="0"/>
    <x v="1"/>
    <x v="1"/>
    <n v="0"/>
    <n v="0"/>
    <n v="18.065000000000001"/>
    <n v="18.065000000000001"/>
    <n v="18.065000000000001"/>
    <n v="18.065000000000001"/>
    <n v="8"/>
    <x v="2"/>
    <n v="0"/>
    <n v="0"/>
    <n v="63"/>
    <n v="91"/>
    <n v="0"/>
    <n v="300.3"/>
    <n v="292.36"/>
    <m/>
    <n v="385.7156580869115"/>
    <n v="310.95812167444689"/>
    <n v="0"/>
    <n v="5424.9195000000009"/>
    <n v="5281.483400000001"/>
    <n v="0"/>
    <n v="6967.953363340057"/>
    <n v="5617.4584680488833"/>
  </r>
  <r>
    <s v="Sistema de Compensação"/>
    <x v="6"/>
    <x v="4"/>
    <x v="4"/>
    <x v="0"/>
    <x v="0"/>
    <x v="0"/>
    <x v="1"/>
    <x v="1"/>
    <n v="0"/>
    <n v="0"/>
    <n v="0.2"/>
    <n v="0.2"/>
    <n v="0.2"/>
    <n v="0.2"/>
    <n v="2"/>
    <x v="2"/>
    <n v="0"/>
    <n v="0"/>
    <n v="63"/>
    <n v="91"/>
    <n v="0"/>
    <n v="300.3"/>
    <n v="292.36"/>
    <m/>
    <n v="385.7156580869115"/>
    <n v="310.95812167444689"/>
    <n v="0"/>
    <n v="60.06"/>
    <n v="58.472000000000008"/>
    <n v="0"/>
    <n v="77.143131617382309"/>
    <n v="62.191624334889383"/>
  </r>
  <r>
    <s v="Regular"/>
    <x v="6"/>
    <x v="4"/>
    <x v="4"/>
    <x v="0"/>
    <x v="0"/>
    <x v="0"/>
    <x v="1"/>
    <x v="2"/>
    <n v="0"/>
    <n v="0"/>
    <n v="5.6550000000000002"/>
    <n v="5.6550000000000002"/>
    <n v="5.6550000000000002"/>
    <n v="5.6550000000000002"/>
    <n v="7"/>
    <x v="2"/>
    <n v="0"/>
    <n v="0"/>
    <n v="63"/>
    <n v="91"/>
    <n v="0"/>
    <n v="300.3"/>
    <n v="292.36"/>
    <m/>
    <n v="385.7156580869115"/>
    <n v="310.95812167444689"/>
    <n v="0"/>
    <n v="1698.1965000000002"/>
    <n v="1653.2958000000001"/>
    <n v="0"/>
    <n v="2181.2220464814845"/>
    <n v="1758.4681780689973"/>
  </r>
  <r>
    <s v="Sistema de Compensação"/>
    <x v="6"/>
    <x v="4"/>
    <x v="4"/>
    <x v="0"/>
    <x v="0"/>
    <x v="0"/>
    <x v="1"/>
    <x v="2"/>
    <n v="0"/>
    <n v="0"/>
    <n v="13.237"/>
    <n v="13.237"/>
    <n v="13.237"/>
    <n v="13.237"/>
    <n v="3"/>
    <x v="2"/>
    <n v="0"/>
    <n v="0"/>
    <n v="63"/>
    <n v="91"/>
    <n v="0"/>
    <n v="300.3"/>
    <n v="292.36"/>
    <m/>
    <n v="385.7156580869115"/>
    <n v="310.95812167444689"/>
    <n v="0"/>
    <n v="3975.0711000000001"/>
    <n v="3869.9693200000002"/>
    <n v="0"/>
    <n v="5105.7181660964479"/>
    <n v="4116.1526566046532"/>
  </r>
  <r>
    <s v="Regular"/>
    <x v="6"/>
    <x v="4"/>
    <x v="4"/>
    <x v="0"/>
    <x v="0"/>
    <x v="0"/>
    <x v="1"/>
    <x v="3"/>
    <n v="0"/>
    <n v="0"/>
    <n v="2.9710000000000001"/>
    <n v="2.9710000000000001"/>
    <n v="2.9710000000000001"/>
    <n v="2.9710000000000001"/>
    <n v="7"/>
    <x v="2"/>
    <n v="0"/>
    <n v="0"/>
    <n v="63"/>
    <n v="91"/>
    <n v="0"/>
    <n v="300.3"/>
    <n v="292.36"/>
    <m/>
    <n v="385.7156580869115"/>
    <n v="310.95812167444689"/>
    <n v="0"/>
    <n v="892.19130000000007"/>
    <n v="868.60156000000006"/>
    <n v="0"/>
    <n v="1145.9612201762141"/>
    <n v="923.85657949478173"/>
  </r>
  <r>
    <s v="Sistema de Compensação"/>
    <x v="6"/>
    <x v="4"/>
    <x v="4"/>
    <x v="0"/>
    <x v="0"/>
    <x v="0"/>
    <x v="1"/>
    <x v="3"/>
    <n v="0"/>
    <n v="0"/>
    <n v="13.678000000000001"/>
    <n v="13.678000000000001"/>
    <n v="13.678000000000001"/>
    <n v="13.678000000000001"/>
    <n v="3"/>
    <x v="2"/>
    <n v="0"/>
    <n v="0"/>
    <n v="63"/>
    <n v="91"/>
    <n v="0"/>
    <n v="300.3"/>
    <n v="292.36"/>
    <m/>
    <n v="385.7156580869115"/>
    <n v="310.95812167444689"/>
    <n v="0"/>
    <n v="4107.5034000000005"/>
    <n v="3998.9000800000003"/>
    <n v="0"/>
    <n v="5275.8187713127754"/>
    <n v="4253.2851882630848"/>
  </r>
  <r>
    <s v="Regular"/>
    <x v="6"/>
    <x v="4"/>
    <x v="4"/>
    <x v="0"/>
    <x v="0"/>
    <x v="0"/>
    <x v="1"/>
    <x v="4"/>
    <n v="0"/>
    <n v="0"/>
    <n v="5.601"/>
    <n v="5.601"/>
    <n v="5.601"/>
    <n v="5.601"/>
    <n v="8"/>
    <x v="2"/>
    <n v="0"/>
    <n v="0"/>
    <n v="63"/>
    <n v="91"/>
    <n v="0"/>
    <n v="300.3"/>
    <n v="292.36"/>
    <m/>
    <n v="385.7156580869115"/>
    <n v="310.95812167444689"/>
    <n v="0"/>
    <n v="1681.9803000000002"/>
    <n v="1637.50836"/>
    <n v="0"/>
    <n v="2160.3934009447912"/>
    <n v="1741.6764394985771"/>
  </r>
  <r>
    <s v="Sistema de Compensação"/>
    <x v="6"/>
    <x v="4"/>
    <x v="4"/>
    <x v="0"/>
    <x v="0"/>
    <x v="0"/>
    <x v="1"/>
    <x v="4"/>
    <n v="0"/>
    <n v="0"/>
    <n v="13.317"/>
    <n v="13.317"/>
    <n v="13.317"/>
    <n v="13.317"/>
    <n v="2"/>
    <x v="2"/>
    <n v="0"/>
    <n v="0"/>
    <n v="63"/>
    <n v="91"/>
    <n v="0"/>
    <n v="300.3"/>
    <n v="292.36"/>
    <m/>
    <n v="385.7156580869115"/>
    <n v="310.95812167444689"/>
    <n v="0"/>
    <n v="3999.0951"/>
    <n v="3893.3581200000003"/>
    <n v="0"/>
    <n v="5136.5754187434004"/>
    <n v="4141.0293063386089"/>
  </r>
  <r>
    <s v="Regular"/>
    <x v="6"/>
    <x v="4"/>
    <x v="4"/>
    <x v="0"/>
    <x v="0"/>
    <x v="0"/>
    <x v="1"/>
    <x v="5"/>
    <n v="0"/>
    <n v="0"/>
    <n v="4.8049999999999997"/>
    <n v="4.8049999999999997"/>
    <n v="4.8049999999999997"/>
    <n v="4.8049999999999997"/>
    <n v="7"/>
    <x v="2"/>
    <n v="0"/>
    <n v="0"/>
    <n v="63"/>
    <n v="91"/>
    <n v="0"/>
    <n v="300.3"/>
    <n v="292.36"/>
    <m/>
    <n v="385.7156580869115"/>
    <n v="310.95812167444689"/>
    <n v="0"/>
    <n v="1442.9414999999999"/>
    <n v="1404.7898"/>
    <n v="0"/>
    <n v="1853.3637371076097"/>
    <n v="1494.1537746457172"/>
  </r>
  <r>
    <s v="Sistema de Compensação"/>
    <x v="6"/>
    <x v="4"/>
    <x v="4"/>
    <x v="0"/>
    <x v="0"/>
    <x v="0"/>
    <x v="1"/>
    <x v="5"/>
    <n v="0"/>
    <n v="0"/>
    <n v="15.292"/>
    <n v="15.292"/>
    <n v="15.292"/>
    <n v="15.292"/>
    <n v="3"/>
    <x v="2"/>
    <n v="0"/>
    <n v="0"/>
    <n v="63"/>
    <n v="91"/>
    <n v="0"/>
    <n v="300.3"/>
    <n v="292.36"/>
    <m/>
    <n v="385.7156580869115"/>
    <n v="310.95812167444689"/>
    <n v="0"/>
    <n v="4592.1876000000002"/>
    <n v="4470.7691199999999"/>
    <n v="0"/>
    <n v="5898.3638434650502"/>
    <n v="4755.1715966456413"/>
  </r>
  <r>
    <s v="Regular"/>
    <x v="6"/>
    <x v="4"/>
    <x v="4"/>
    <x v="0"/>
    <x v="0"/>
    <x v="0"/>
    <x v="1"/>
    <x v="6"/>
    <n v="0"/>
    <n v="0"/>
    <n v="4.8570000000000002"/>
    <n v="4.8570000000000002"/>
    <n v="4.8570000000000002"/>
    <n v="4.8570000000000002"/>
    <n v="7"/>
    <x v="2"/>
    <n v="0"/>
    <n v="0"/>
    <n v="63"/>
    <n v="91"/>
    <n v="0"/>
    <n v="300.3"/>
    <n v="292.36"/>
    <m/>
    <n v="385.7156580869115"/>
    <n v="310.95812167444689"/>
    <n v="0"/>
    <n v="1458.5571000000002"/>
    <n v="1419.99252"/>
    <n v="0"/>
    <n v="1873.4209513281291"/>
    <n v="1510.3235969727887"/>
  </r>
  <r>
    <s v="Sistema de Compensação"/>
    <x v="6"/>
    <x v="4"/>
    <x v="4"/>
    <x v="0"/>
    <x v="0"/>
    <x v="0"/>
    <x v="1"/>
    <x v="6"/>
    <n v="0"/>
    <n v="0"/>
    <n v="14.211"/>
    <n v="14.211"/>
    <n v="14.211"/>
    <n v="14.211"/>
    <n v="3"/>
    <x v="2"/>
    <n v="0"/>
    <n v="0"/>
    <n v="63"/>
    <n v="91"/>
    <n v="0"/>
    <n v="300.3"/>
    <n v="292.36"/>
    <m/>
    <n v="385.7156580869115"/>
    <n v="310.95812167444689"/>
    <n v="0"/>
    <n v="4267.5632999999998"/>
    <n v="4154.7279600000002"/>
    <n v="0"/>
    <n v="5481.4052170730993"/>
    <n v="4419.0258671155652"/>
  </r>
  <r>
    <s v="Regular"/>
    <x v="6"/>
    <x v="4"/>
    <x v="4"/>
    <x v="0"/>
    <x v="0"/>
    <x v="0"/>
    <x v="1"/>
    <x v="7"/>
    <n v="0"/>
    <n v="0"/>
    <n v="6.6070000000000002"/>
    <n v="6.6070000000000002"/>
    <n v="6.6070000000000002"/>
    <n v="6.6070000000000002"/>
    <n v="7"/>
    <x v="2"/>
    <n v="0"/>
    <n v="0"/>
    <n v="63"/>
    <n v="91"/>
    <n v="0"/>
    <n v="300.3"/>
    <n v="292.36"/>
    <m/>
    <n v="385.7156580869115"/>
    <n v="310.95812167444689"/>
    <n v="0"/>
    <n v="1984.0821000000001"/>
    <n v="1931.6225200000001"/>
    <n v="0"/>
    <n v="2548.4233529802245"/>
    <n v="2054.5003099030705"/>
  </r>
  <r>
    <s v="Sistema de Compensação"/>
    <x v="6"/>
    <x v="4"/>
    <x v="4"/>
    <x v="0"/>
    <x v="0"/>
    <x v="0"/>
    <x v="1"/>
    <x v="7"/>
    <n v="0"/>
    <n v="0"/>
    <n v="15.096"/>
    <n v="15.096"/>
    <n v="15.096"/>
    <n v="15.096"/>
    <n v="3"/>
    <x v="2"/>
    <n v="0"/>
    <n v="0"/>
    <n v="63"/>
    <n v="91"/>
    <n v="0"/>
    <n v="300.3"/>
    <n v="292.36"/>
    <m/>
    <n v="385.7156580869115"/>
    <n v="310.95812167444689"/>
    <n v="0"/>
    <n v="4533.3288000000002"/>
    <n v="4413.4665599999998"/>
    <n v="0"/>
    <n v="5822.7635744800164"/>
    <n v="4694.2238047974506"/>
  </r>
  <r>
    <s v="Regular"/>
    <x v="6"/>
    <x v="4"/>
    <x v="4"/>
    <x v="0"/>
    <x v="0"/>
    <x v="0"/>
    <x v="1"/>
    <x v="8"/>
    <n v="0"/>
    <n v="0"/>
    <n v="7.5880000000000001"/>
    <n v="7.5880000000000001"/>
    <n v="7.5880000000000001"/>
    <n v="7.5880000000000001"/>
    <n v="7"/>
    <x v="2"/>
    <n v="0"/>
    <n v="0"/>
    <n v="63"/>
    <n v="91"/>
    <n v="0"/>
    <n v="300.3"/>
    <n v="292.36"/>
    <m/>
    <n v="385.7156580869115"/>
    <n v="310.95812167444689"/>
    <n v="0"/>
    <n v="2278.6764000000003"/>
    <n v="2218.4276800000002"/>
    <n v="0"/>
    <n v="2926.8104135634844"/>
    <n v="2359.5502272657031"/>
  </r>
  <r>
    <s v="Regular"/>
    <x v="6"/>
    <x v="4"/>
    <x v="4"/>
    <x v="0"/>
    <x v="0"/>
    <x v="0"/>
    <x v="1"/>
    <x v="9"/>
    <n v="0"/>
    <n v="0"/>
    <n v="5.8570000000000002"/>
    <n v="5.8570000000000002"/>
    <n v="5.8570000000000002"/>
    <n v="5.8570000000000002"/>
    <n v="7"/>
    <x v="2"/>
    <n v="0"/>
    <n v="0"/>
    <n v="63"/>
    <n v="91"/>
    <n v="0"/>
    <n v="300.3"/>
    <n v="292.36"/>
    <m/>
    <n v="385.7156580869115"/>
    <n v="310.95812167444689"/>
    <n v="0"/>
    <n v="1758.8571000000002"/>
    <n v="1712.3525200000001"/>
    <n v="0"/>
    <n v="2259.1366094150408"/>
    <n v="1821.2817186472355"/>
  </r>
  <r>
    <s v="Sistema de Compensação"/>
    <x v="6"/>
    <x v="4"/>
    <x v="4"/>
    <x v="0"/>
    <x v="0"/>
    <x v="0"/>
    <x v="1"/>
    <x v="9"/>
    <n v="0"/>
    <n v="0"/>
    <n v="15.643000000000001"/>
    <n v="15.643000000000001"/>
    <n v="15.643000000000001"/>
    <n v="15.643000000000001"/>
    <n v="3"/>
    <x v="2"/>
    <n v="0"/>
    <n v="0"/>
    <n v="63"/>
    <n v="91"/>
    <n v="0"/>
    <n v="300.3"/>
    <n v="292.36"/>
    <m/>
    <n v="385.7156580869115"/>
    <n v="310.95812167444689"/>
    <n v="0"/>
    <n v="4697.5929000000006"/>
    <n v="4573.3874800000003"/>
    <n v="0"/>
    <n v="6033.7500394535573"/>
    <n v="4864.3178973533732"/>
  </r>
  <r>
    <s v="Regular"/>
    <x v="6"/>
    <x v="4"/>
    <x v="4"/>
    <x v="0"/>
    <x v="0"/>
    <x v="0"/>
    <x v="1"/>
    <x v="10"/>
    <n v="0"/>
    <n v="0"/>
    <n v="6.359"/>
    <n v="6.359"/>
    <n v="6.359"/>
    <n v="6.359"/>
    <n v="7"/>
    <x v="2"/>
    <n v="0"/>
    <n v="0"/>
    <n v="63"/>
    <n v="91"/>
    <n v="0"/>
    <n v="300.3"/>
    <n v="292.36"/>
    <m/>
    <n v="385.7156580869115"/>
    <n v="310.95812167444689"/>
    <n v="0"/>
    <n v="1909.6077"/>
    <n v="1859.11724"/>
    <n v="0"/>
    <n v="2452.7658697746701"/>
    <n v="1977.3826957278077"/>
  </r>
  <r>
    <s v="Sistema de Compensação"/>
    <x v="6"/>
    <x v="4"/>
    <x v="4"/>
    <x v="0"/>
    <x v="0"/>
    <x v="0"/>
    <x v="1"/>
    <x v="10"/>
    <n v="0"/>
    <n v="0"/>
    <n v="15.837"/>
    <n v="15.837"/>
    <n v="15.837"/>
    <n v="15.837"/>
    <n v="3"/>
    <x v="2"/>
    <n v="0"/>
    <n v="0"/>
    <n v="63"/>
    <n v="91"/>
    <n v="0"/>
    <n v="300.3"/>
    <n v="292.36"/>
    <m/>
    <n v="385.7156580869115"/>
    <n v="310.95812167444689"/>
    <n v="0"/>
    <n v="4755.8510999999999"/>
    <n v="4630.1053200000006"/>
    <n v="0"/>
    <n v="6108.578877122417"/>
    <n v="4924.6437729582149"/>
  </r>
  <r>
    <s v="PROJETADO"/>
    <x v="6"/>
    <x v="4"/>
    <x v="4"/>
    <x v="0"/>
    <x v="0"/>
    <x v="0"/>
    <x v="1"/>
    <x v="11"/>
    <n v="0"/>
    <n v="0"/>
    <n v="6.359"/>
    <n v="6.359"/>
    <n v="6.359"/>
    <n v="6.359"/>
    <n v="7"/>
    <x v="2"/>
    <n v="0"/>
    <n v="0"/>
    <n v="63"/>
    <n v="91"/>
    <n v="0"/>
    <n v="300.3"/>
    <n v="292.36"/>
    <m/>
    <n v="385.7156580869115"/>
    <n v="310.95812167444689"/>
    <n v="0"/>
    <n v="1909.6077"/>
    <n v="1859.11724"/>
    <n v="0"/>
    <n v="2452.7658697746701"/>
    <n v="1977.3826957278077"/>
  </r>
  <r>
    <s v="PROJETADO"/>
    <x v="6"/>
    <x v="4"/>
    <x v="4"/>
    <x v="0"/>
    <x v="0"/>
    <x v="0"/>
    <x v="1"/>
    <x v="11"/>
    <n v="0"/>
    <n v="0"/>
    <n v="15.837"/>
    <n v="15.837"/>
    <n v="15.837"/>
    <n v="15.837"/>
    <n v="3"/>
    <x v="2"/>
    <n v="0"/>
    <n v="0"/>
    <n v="63"/>
    <n v="91"/>
    <n v="0"/>
    <n v="300.3"/>
    <n v="292.36"/>
    <m/>
    <n v="385.7156580869115"/>
    <n v="310.95812167444689"/>
    <n v="0"/>
    <n v="4755.8510999999999"/>
    <n v="4630.1053200000006"/>
    <n v="0"/>
    <n v="6108.578877122417"/>
    <n v="4924.6437729582149"/>
  </r>
  <r>
    <s v="Regular"/>
    <x v="6"/>
    <x v="4"/>
    <x v="0"/>
    <x v="0"/>
    <x v="0"/>
    <x v="0"/>
    <x v="1"/>
    <x v="0"/>
    <n v="0"/>
    <n v="0"/>
    <n v="185.97800000000001"/>
    <n v="185.97800000000001"/>
    <n v="185.97800000000001"/>
    <n v="185.97800000000001"/>
    <n v="144"/>
    <x v="2"/>
    <n v="0"/>
    <n v="0"/>
    <n v="63"/>
    <n v="91"/>
    <n v="0"/>
    <n v="300.3"/>
    <n v="292.36"/>
    <m/>
    <n v="385.7156580869115"/>
    <n v="310.95812167444689"/>
    <n v="0"/>
    <n v="55849.193400000004"/>
    <n v="54372.528080000004"/>
    <n v="0"/>
    <n v="71734.626659687638"/>
    <n v="57831.369552770288"/>
  </r>
  <r>
    <s v="Sistema de Compensação"/>
    <x v="6"/>
    <x v="4"/>
    <x v="0"/>
    <x v="0"/>
    <x v="0"/>
    <x v="0"/>
    <x v="1"/>
    <x v="0"/>
    <n v="0"/>
    <n v="0"/>
    <n v="3.1480000000000001"/>
    <n v="3.1480000000000001"/>
    <n v="3.1480000000000001"/>
    <n v="3.1480000000000001"/>
    <n v="3"/>
    <x v="2"/>
    <n v="0"/>
    <n v="0"/>
    <n v="63"/>
    <n v="91"/>
    <n v="0"/>
    <n v="300.3"/>
    <n v="292.36"/>
    <m/>
    <n v="385.7156580869115"/>
    <n v="310.95812167444689"/>
    <n v="0"/>
    <n v="945.34440000000006"/>
    <n v="920.34928000000014"/>
    <n v="0"/>
    <n v="1214.2328916575975"/>
    <n v="978.89616703115883"/>
  </r>
  <r>
    <s v="Regular"/>
    <x v="6"/>
    <x v="4"/>
    <x v="0"/>
    <x v="0"/>
    <x v="0"/>
    <x v="0"/>
    <x v="1"/>
    <x v="1"/>
    <n v="0"/>
    <n v="0"/>
    <n v="185.14599999999999"/>
    <n v="185.14599999999999"/>
    <n v="185.14599999999999"/>
    <n v="185.14599999999999"/>
    <n v="144"/>
    <x v="2"/>
    <n v="0"/>
    <n v="0"/>
    <n v="63"/>
    <n v="91"/>
    <n v="0"/>
    <n v="300.3"/>
    <n v="292.36"/>
    <m/>
    <n v="385.7156580869115"/>
    <n v="310.95812167444689"/>
    <n v="0"/>
    <n v="55599.343799999995"/>
    <n v="54129.28456"/>
    <n v="0"/>
    <n v="71413.711232159316"/>
    <n v="57572.652395537138"/>
  </r>
  <r>
    <s v="Sistema de Compensação"/>
    <x v="6"/>
    <x v="4"/>
    <x v="0"/>
    <x v="0"/>
    <x v="0"/>
    <x v="0"/>
    <x v="1"/>
    <x v="1"/>
    <n v="0"/>
    <n v="0"/>
    <n v="4.4740000000000002"/>
    <n v="4.4740000000000002"/>
    <n v="4.4740000000000002"/>
    <n v="4.4740000000000002"/>
    <n v="3"/>
    <x v="2"/>
    <n v="0"/>
    <n v="0"/>
    <n v="63"/>
    <n v="91"/>
    <n v="0"/>
    <n v="300.3"/>
    <n v="292.36"/>
    <m/>
    <n v="385.7156580869115"/>
    <n v="310.95812167444689"/>
    <n v="0"/>
    <n v="1343.5422000000001"/>
    <n v="1308.0186400000002"/>
    <n v="0"/>
    <n v="1725.6918542808421"/>
    <n v="1391.2266363714755"/>
  </r>
  <r>
    <s v="Regular"/>
    <x v="6"/>
    <x v="4"/>
    <x v="0"/>
    <x v="0"/>
    <x v="0"/>
    <x v="0"/>
    <x v="1"/>
    <x v="2"/>
    <n v="0"/>
    <n v="0"/>
    <n v="178.929"/>
    <n v="178.929"/>
    <n v="178.929"/>
    <n v="178.929"/>
    <n v="142"/>
    <x v="2"/>
    <n v="0"/>
    <n v="0"/>
    <n v="63"/>
    <n v="91"/>
    <n v="0"/>
    <n v="300.3"/>
    <n v="292.36"/>
    <m/>
    <n v="385.7156580869115"/>
    <n v="310.95812167444689"/>
    <n v="0"/>
    <n v="53732.378700000001"/>
    <n v="52311.682440000004"/>
    <n v="0"/>
    <n v="69015.716985832987"/>
    <n v="55639.425753087111"/>
  </r>
  <r>
    <s v="Sistema de Compensação"/>
    <x v="6"/>
    <x v="4"/>
    <x v="0"/>
    <x v="0"/>
    <x v="0"/>
    <x v="0"/>
    <x v="1"/>
    <x v="2"/>
    <n v="0"/>
    <n v="0"/>
    <n v="5.4130000000000003"/>
    <n v="5.4130000000000003"/>
    <n v="5.4130000000000003"/>
    <n v="5.4130000000000003"/>
    <n v="3"/>
    <x v="2"/>
    <n v="0"/>
    <n v="0"/>
    <n v="63"/>
    <n v="91"/>
    <n v="0"/>
    <n v="300.3"/>
    <n v="292.36"/>
    <m/>
    <n v="385.7156580869115"/>
    <n v="310.95812167444689"/>
    <n v="0"/>
    <n v="1625.5239000000001"/>
    <n v="1582.5446800000002"/>
    <n v="0"/>
    <n v="2087.8788572244521"/>
    <n v="1683.2163126237811"/>
  </r>
  <r>
    <s v="Regular"/>
    <x v="6"/>
    <x v="4"/>
    <x v="0"/>
    <x v="0"/>
    <x v="0"/>
    <x v="0"/>
    <x v="1"/>
    <x v="3"/>
    <n v="0"/>
    <n v="0"/>
    <n v="175.19499999999999"/>
    <n v="175.19499999999999"/>
    <n v="175.19499999999999"/>
    <n v="175.19499999999999"/>
    <n v="143"/>
    <x v="2"/>
    <n v="0"/>
    <n v="0"/>
    <n v="63"/>
    <n v="91"/>
    <n v="0"/>
    <n v="300.3"/>
    <n v="292.36"/>
    <m/>
    <n v="385.7156580869115"/>
    <n v="310.95812167444689"/>
    <n v="0"/>
    <n v="52611.058499999999"/>
    <n v="51220.010199999997"/>
    <n v="0"/>
    <n v="67575.454718536464"/>
    <n v="54478.308126754717"/>
  </r>
  <r>
    <s v="Refaturamento - Regular"/>
    <x v="6"/>
    <x v="4"/>
    <x v="0"/>
    <x v="0"/>
    <x v="0"/>
    <x v="0"/>
    <x v="1"/>
    <x v="3"/>
    <n v="0"/>
    <n v="0"/>
    <n v="-1.55"/>
    <n v="-1.55"/>
    <n v="-1.55"/>
    <n v="-1.55"/>
    <n v="0"/>
    <x v="2"/>
    <n v="0"/>
    <n v="0"/>
    <n v="63"/>
    <n v="91"/>
    <n v="0"/>
    <n v="300.3"/>
    <n v="292.36"/>
    <m/>
    <n v="385.7156580869115"/>
    <n v="310.95812167444689"/>
    <n v="0"/>
    <n v="-465.46500000000003"/>
    <n v="-453.15800000000002"/>
    <n v="0"/>
    <n v="-597.85927003471284"/>
    <n v="-481.98508859539271"/>
  </r>
  <r>
    <s v="Sistema de Compensação"/>
    <x v="6"/>
    <x v="4"/>
    <x v="0"/>
    <x v="0"/>
    <x v="0"/>
    <x v="0"/>
    <x v="1"/>
    <x v="3"/>
    <n v="0"/>
    <n v="0"/>
    <n v="4.7309999999999999"/>
    <n v="4.7309999999999999"/>
    <n v="4.7309999999999999"/>
    <n v="4.7309999999999999"/>
    <n v="3"/>
    <x v="2"/>
    <n v="0"/>
    <n v="0"/>
    <n v="63"/>
    <n v="91"/>
    <n v="0"/>
    <n v="300.3"/>
    <n v="292.36"/>
    <m/>
    <n v="385.7156580869115"/>
    <n v="310.95812167444689"/>
    <n v="0"/>
    <n v="1420.7193"/>
    <n v="1383.15516"/>
    <n v="0"/>
    <n v="1824.8207784091783"/>
    <n v="1471.1428736418081"/>
  </r>
  <r>
    <s v="Regular"/>
    <x v="6"/>
    <x v="4"/>
    <x v="0"/>
    <x v="0"/>
    <x v="0"/>
    <x v="0"/>
    <x v="1"/>
    <x v="4"/>
    <n v="0"/>
    <n v="0"/>
    <n v="188.96199999999999"/>
    <n v="188.96199999999999"/>
    <n v="188.96199999999999"/>
    <n v="188.96199999999999"/>
    <n v="142"/>
    <x v="2"/>
    <n v="0"/>
    <n v="0"/>
    <n v="63"/>
    <n v="91"/>
    <n v="0"/>
    <n v="300.3"/>
    <n v="292.36"/>
    <m/>
    <n v="385.7156580869115"/>
    <n v="310.95812167444689"/>
    <n v="0"/>
    <n v="56745.2886"/>
    <n v="55244.930319999999"/>
    <n v="0"/>
    <n v="72885.602183418974"/>
    <n v="58759.268587846826"/>
  </r>
  <r>
    <s v="Sistema de Compensação"/>
    <x v="6"/>
    <x v="4"/>
    <x v="0"/>
    <x v="0"/>
    <x v="0"/>
    <x v="0"/>
    <x v="1"/>
    <x v="4"/>
    <n v="0"/>
    <n v="0"/>
    <n v="5.1689999999999996"/>
    <n v="5.1689999999999996"/>
    <n v="5.1689999999999996"/>
    <n v="5.1689999999999996"/>
    <n v="3"/>
    <x v="2"/>
    <n v="0"/>
    <n v="0"/>
    <n v="63"/>
    <n v="91"/>
    <n v="0"/>
    <n v="300.3"/>
    <n v="292.36"/>
    <m/>
    <n v="385.7156580869115"/>
    <n v="310.95812167444689"/>
    <n v="0"/>
    <n v="1552.2506999999998"/>
    <n v="1511.20884"/>
    <n v="0"/>
    <n v="1993.7642366512455"/>
    <n v="1607.3425309352158"/>
  </r>
  <r>
    <s v="Regular"/>
    <x v="6"/>
    <x v="4"/>
    <x v="0"/>
    <x v="0"/>
    <x v="0"/>
    <x v="0"/>
    <x v="1"/>
    <x v="5"/>
    <n v="0"/>
    <n v="0"/>
    <n v="189.744"/>
    <n v="189.744"/>
    <n v="189.744"/>
    <n v="189.744"/>
    <n v="141"/>
    <x v="2"/>
    <n v="0"/>
    <n v="0"/>
    <n v="63"/>
    <n v="91"/>
    <n v="0"/>
    <n v="300.3"/>
    <n v="292.36"/>
    <m/>
    <n v="385.7156580869115"/>
    <n v="310.95812167444689"/>
    <n v="0"/>
    <n v="56980.123200000002"/>
    <n v="55473.555840000001"/>
    <n v="0"/>
    <n v="73187.231828042932"/>
    <n v="59002.437838996251"/>
  </r>
  <r>
    <s v="Sistema de Compensação"/>
    <x v="6"/>
    <x v="4"/>
    <x v="0"/>
    <x v="0"/>
    <x v="0"/>
    <x v="0"/>
    <x v="1"/>
    <x v="5"/>
    <n v="0"/>
    <n v="0"/>
    <n v="5.7910000000000004"/>
    <n v="5.7910000000000004"/>
    <n v="5.7910000000000004"/>
    <n v="5.7910000000000004"/>
    <n v="4"/>
    <x v="2"/>
    <n v="0"/>
    <n v="0"/>
    <n v="63"/>
    <n v="91"/>
    <n v="0"/>
    <n v="300.3"/>
    <n v="292.36"/>
    <m/>
    <n v="385.7156580869115"/>
    <n v="310.95812167444689"/>
    <n v="0"/>
    <n v="1739.0373000000002"/>
    <n v="1693.0567600000002"/>
    <n v="0"/>
    <n v="2233.6793759813045"/>
    <n v="1800.7584826167219"/>
  </r>
  <r>
    <s v="Regular"/>
    <x v="6"/>
    <x v="4"/>
    <x v="0"/>
    <x v="0"/>
    <x v="0"/>
    <x v="0"/>
    <x v="1"/>
    <x v="6"/>
    <n v="0"/>
    <n v="0"/>
    <n v="183.285"/>
    <n v="183.285"/>
    <n v="183.285"/>
    <n v="183.285"/>
    <n v="141"/>
    <x v="2"/>
    <n v="0"/>
    <n v="0"/>
    <n v="63"/>
    <n v="91"/>
    <n v="0"/>
    <n v="300.3"/>
    <n v="292.36"/>
    <m/>
    <n v="385.7156580869115"/>
    <n v="310.95812167444689"/>
    <n v="0"/>
    <n v="55040.485500000003"/>
    <n v="53585.202600000004"/>
    <n v="0"/>
    <n v="70695.894392459581"/>
    <n v="56993.959331100996"/>
  </r>
  <r>
    <s v="Sistema de Compensação"/>
    <x v="6"/>
    <x v="4"/>
    <x v="0"/>
    <x v="0"/>
    <x v="0"/>
    <x v="0"/>
    <x v="1"/>
    <x v="6"/>
    <n v="0"/>
    <n v="0"/>
    <n v="5.1369999999999996"/>
    <n v="5.1369999999999996"/>
    <n v="5.1369999999999996"/>
    <n v="5.1369999999999996"/>
    <n v="4"/>
    <x v="2"/>
    <n v="0"/>
    <n v="0"/>
    <n v="63"/>
    <n v="91"/>
    <n v="0"/>
    <n v="300.3"/>
    <n v="292.36"/>
    <m/>
    <n v="385.7156580869115"/>
    <n v="310.95812167444689"/>
    <n v="0"/>
    <n v="1542.6410999999998"/>
    <n v="1501.8533199999999"/>
    <n v="0"/>
    <n v="1981.4213355924642"/>
    <n v="1597.3918710416335"/>
  </r>
  <r>
    <s v="Regular"/>
    <x v="6"/>
    <x v="4"/>
    <x v="0"/>
    <x v="0"/>
    <x v="0"/>
    <x v="0"/>
    <x v="1"/>
    <x v="7"/>
    <n v="0"/>
    <n v="0"/>
    <n v="179.96199999999999"/>
    <n v="179.96199999999999"/>
    <n v="179.96199999999999"/>
    <n v="179.96199999999999"/>
    <n v="143"/>
    <x v="2"/>
    <n v="0"/>
    <n v="0"/>
    <n v="63"/>
    <n v="91"/>
    <n v="0"/>
    <n v="300.3"/>
    <n v="292.36"/>
    <m/>
    <n v="385.7156580869115"/>
    <n v="310.95812167444689"/>
    <n v="0"/>
    <n v="54042.588599999995"/>
    <n v="52613.690320000002"/>
    <n v="0"/>
    <n v="69414.161260636771"/>
    <n v="55960.645492776806"/>
  </r>
  <r>
    <s v="Sistema de Compensação"/>
    <x v="6"/>
    <x v="4"/>
    <x v="0"/>
    <x v="0"/>
    <x v="0"/>
    <x v="0"/>
    <x v="1"/>
    <x v="7"/>
    <n v="0"/>
    <n v="0"/>
    <n v="1.61"/>
    <n v="1.61"/>
    <n v="1.61"/>
    <n v="1.61"/>
    <n v="3"/>
    <x v="2"/>
    <n v="0"/>
    <n v="0"/>
    <n v="63"/>
    <n v="91"/>
    <n v="0"/>
    <n v="300.3"/>
    <n v="292.36"/>
    <m/>
    <n v="385.7156580869115"/>
    <n v="310.95812167444689"/>
    <n v="0"/>
    <n v="483.48300000000006"/>
    <n v="470.69960000000003"/>
    <n v="0"/>
    <n v="621.00220951992753"/>
    <n v="500.64257589585952"/>
  </r>
  <r>
    <s v="Regular"/>
    <x v="6"/>
    <x v="4"/>
    <x v="0"/>
    <x v="0"/>
    <x v="0"/>
    <x v="0"/>
    <x v="1"/>
    <x v="8"/>
    <n v="0"/>
    <n v="0"/>
    <n v="188.00800000000001"/>
    <n v="188.00800000000001"/>
    <n v="188.00800000000001"/>
    <n v="188.00800000000001"/>
    <n v="142"/>
    <x v="2"/>
    <n v="0"/>
    <n v="0"/>
    <n v="63"/>
    <n v="91"/>
    <n v="0"/>
    <n v="300.3"/>
    <n v="292.36"/>
    <m/>
    <n v="385.7156580869115"/>
    <n v="310.95812167444689"/>
    <n v="0"/>
    <n v="56458.802400000008"/>
    <n v="54966.018880000003"/>
    <n v="0"/>
    <n v="72517.629445604063"/>
    <n v="58462.614539769413"/>
  </r>
  <r>
    <s v="Regular"/>
    <x v="6"/>
    <x v="4"/>
    <x v="0"/>
    <x v="0"/>
    <x v="0"/>
    <x v="0"/>
    <x v="1"/>
    <x v="9"/>
    <n v="0"/>
    <n v="0"/>
    <n v="180.226"/>
    <n v="180.226"/>
    <n v="180.226"/>
    <n v="180.226"/>
    <n v="143"/>
    <x v="2"/>
    <n v="0"/>
    <n v="0"/>
    <n v="63"/>
    <n v="91"/>
    <n v="0"/>
    <n v="300.3"/>
    <n v="292.36"/>
    <m/>
    <n v="385.7156580869115"/>
    <n v="310.95812167444689"/>
    <n v="0"/>
    <n v="54121.8678"/>
    <n v="52690.873360000005"/>
    <n v="0"/>
    <n v="69515.990194371712"/>
    <n v="56042.738436898864"/>
  </r>
  <r>
    <s v="Sistema de Compensação"/>
    <x v="6"/>
    <x v="4"/>
    <x v="0"/>
    <x v="0"/>
    <x v="0"/>
    <x v="0"/>
    <x v="1"/>
    <x v="9"/>
    <n v="0"/>
    <n v="0"/>
    <n v="5.3520000000000003"/>
    <n v="5.3520000000000003"/>
    <n v="5.3520000000000003"/>
    <n v="5.3520000000000003"/>
    <n v="4"/>
    <x v="2"/>
    <n v="0"/>
    <n v="0"/>
    <n v="63"/>
    <n v="91"/>
    <n v="0"/>
    <n v="300.3"/>
    <n v="292.36"/>
    <m/>
    <n v="385.7156580869115"/>
    <n v="310.95812167444689"/>
    <n v="0"/>
    <n v="1607.2056000000002"/>
    <n v="1564.7107200000003"/>
    <n v="0"/>
    <n v="2064.3502020811507"/>
    <n v="1664.2478672016398"/>
  </r>
  <r>
    <s v="Regular"/>
    <x v="6"/>
    <x v="4"/>
    <x v="0"/>
    <x v="0"/>
    <x v="0"/>
    <x v="0"/>
    <x v="1"/>
    <x v="10"/>
    <n v="0"/>
    <n v="0"/>
    <n v="190.60400000000001"/>
    <n v="190.60400000000001"/>
    <n v="190.60400000000001"/>
    <n v="190.60400000000001"/>
    <n v="143"/>
    <x v="2"/>
    <n v="0"/>
    <n v="0"/>
    <n v="63"/>
    <n v="91"/>
    <n v="0"/>
    <n v="300.3"/>
    <n v="292.36"/>
    <m/>
    <n v="385.7156580869115"/>
    <n v="310.95812167444689"/>
    <n v="0"/>
    <n v="57238.381200000003"/>
    <n v="55724.985440000004"/>
    <n v="0"/>
    <n v="73518.947293997684"/>
    <n v="59269.861823636282"/>
  </r>
  <r>
    <s v="Sistema de Compensação"/>
    <x v="6"/>
    <x v="4"/>
    <x v="0"/>
    <x v="0"/>
    <x v="0"/>
    <x v="0"/>
    <x v="1"/>
    <x v="10"/>
    <n v="0"/>
    <n v="0"/>
    <n v="13.79"/>
    <n v="13.79"/>
    <n v="13.79"/>
    <n v="13.79"/>
    <n v="6"/>
    <x v="2"/>
    <n v="0"/>
    <n v="0"/>
    <n v="63"/>
    <n v="91"/>
    <n v="0"/>
    <n v="300.3"/>
    <n v="292.36"/>
    <m/>
    <n v="385.7156580869115"/>
    <n v="310.95812167444689"/>
    <n v="0"/>
    <n v="4141.1369999999997"/>
    <n v="4031.6444000000001"/>
    <n v="0"/>
    <n v="5319.0189250185094"/>
    <n v="4288.1124978906219"/>
  </r>
  <r>
    <s v="PROJETADO"/>
    <x v="6"/>
    <x v="4"/>
    <x v="0"/>
    <x v="0"/>
    <x v="0"/>
    <x v="0"/>
    <x v="1"/>
    <x v="11"/>
    <n v="0"/>
    <n v="0"/>
    <n v="190.60400000000001"/>
    <n v="190.60400000000001"/>
    <n v="190.60400000000001"/>
    <n v="190.60400000000001"/>
    <n v="143"/>
    <x v="2"/>
    <n v="0"/>
    <n v="0"/>
    <n v="63"/>
    <n v="91"/>
    <n v="0"/>
    <n v="300.3"/>
    <n v="292.36"/>
    <m/>
    <n v="385.7156580869115"/>
    <n v="310.95812167444689"/>
    <n v="0"/>
    <n v="57238.381200000003"/>
    <n v="55724.985440000004"/>
    <n v="0"/>
    <n v="73518.947293997684"/>
    <n v="59269.861823636282"/>
  </r>
  <r>
    <s v="PROJETADO"/>
    <x v="6"/>
    <x v="4"/>
    <x v="0"/>
    <x v="0"/>
    <x v="0"/>
    <x v="0"/>
    <x v="1"/>
    <x v="11"/>
    <n v="0"/>
    <n v="0"/>
    <n v="13.79"/>
    <n v="13.79"/>
    <n v="13.79"/>
    <n v="13.79"/>
    <n v="6"/>
    <x v="2"/>
    <n v="0"/>
    <n v="0"/>
    <n v="63"/>
    <n v="91"/>
    <n v="0"/>
    <n v="300.3"/>
    <n v="292.36"/>
    <m/>
    <n v="385.7156580869115"/>
    <n v="310.95812167444689"/>
    <n v="0"/>
    <n v="4141.1369999999997"/>
    <n v="4031.6444000000001"/>
    <n v="0"/>
    <n v="5319.0189250185094"/>
    <n v="4288.1124978906219"/>
  </r>
  <r>
    <s v="Regular"/>
    <x v="6"/>
    <x v="4"/>
    <x v="5"/>
    <x v="0"/>
    <x v="0"/>
    <x v="0"/>
    <x v="1"/>
    <x v="0"/>
    <n v="0"/>
    <n v="0"/>
    <n v="286.779"/>
    <n v="286.779"/>
    <n v="286.779"/>
    <n v="286.779"/>
    <n v="422"/>
    <x v="2"/>
    <n v="0"/>
    <n v="0"/>
    <n v="63"/>
    <n v="91"/>
    <n v="0"/>
    <n v="300.3"/>
    <n v="292.36"/>
    <m/>
    <n v="385.7156580869115"/>
    <n v="310.95812167444689"/>
    <n v="0"/>
    <n v="86119.733699999997"/>
    <n v="83842.708440000002"/>
    <n v="0"/>
    <n v="110615.15071050639"/>
    <n v="89176.259175676198"/>
  </r>
  <r>
    <s v="Regular"/>
    <x v="6"/>
    <x v="4"/>
    <x v="5"/>
    <x v="0"/>
    <x v="0"/>
    <x v="0"/>
    <x v="1"/>
    <x v="1"/>
    <n v="0"/>
    <n v="0"/>
    <n v="313.83699999999999"/>
    <n v="313.83699999999999"/>
    <n v="313.83699999999999"/>
    <n v="313.83699999999999"/>
    <n v="422"/>
    <x v="2"/>
    <n v="0"/>
    <n v="0"/>
    <n v="63"/>
    <n v="91"/>
    <n v="0"/>
    <n v="300.3"/>
    <n v="292.36"/>
    <m/>
    <n v="385.7156580869115"/>
    <n v="310.95812167444689"/>
    <n v="0"/>
    <n v="94245.251099999994"/>
    <n v="91753.385320000001"/>
    <n v="0"/>
    <n v="121051.84498702204"/>
    <n v="97590.164031943379"/>
  </r>
  <r>
    <s v="Regular"/>
    <x v="6"/>
    <x v="4"/>
    <x v="5"/>
    <x v="0"/>
    <x v="0"/>
    <x v="0"/>
    <x v="1"/>
    <x v="2"/>
    <n v="0"/>
    <n v="0"/>
    <n v="309.61700000000002"/>
    <n v="309.61700000000002"/>
    <n v="309.61700000000002"/>
    <n v="309.61700000000002"/>
    <n v="419"/>
    <x v="2"/>
    <n v="0"/>
    <n v="0"/>
    <n v="63"/>
    <n v="91"/>
    <n v="0"/>
    <n v="300.3"/>
    <n v="292.36"/>
    <m/>
    <n v="385.7156580869115"/>
    <n v="310.95812167444689"/>
    <n v="0"/>
    <n v="92977.985100000005"/>
    <n v="90519.626120000015"/>
    <n v="0"/>
    <n v="119424.12490989528"/>
    <n v="96277.920758477223"/>
  </r>
  <r>
    <s v="Refaturamento - Regular"/>
    <x v="6"/>
    <x v="4"/>
    <x v="5"/>
    <x v="0"/>
    <x v="0"/>
    <x v="0"/>
    <x v="1"/>
    <x v="2"/>
    <n v="0"/>
    <n v="0"/>
    <n v="-0.03"/>
    <n v="-0.03"/>
    <n v="-0.03"/>
    <n v="-0.03"/>
    <n v="0"/>
    <x v="2"/>
    <n v="0"/>
    <n v="0"/>
    <n v="63"/>
    <n v="91"/>
    <n v="0"/>
    <n v="300.3"/>
    <n v="292.36"/>
    <m/>
    <n v="385.7156580869115"/>
    <n v="310.95812167444689"/>
    <n v="0"/>
    <n v="-9.0090000000000003"/>
    <n v="-8.7707999999999995"/>
    <n v="0"/>
    <n v="-11.571469742607345"/>
    <n v="-9.328743650233406"/>
  </r>
  <r>
    <s v="Regular"/>
    <x v="6"/>
    <x v="4"/>
    <x v="5"/>
    <x v="0"/>
    <x v="0"/>
    <x v="0"/>
    <x v="1"/>
    <x v="3"/>
    <n v="0"/>
    <n v="0"/>
    <n v="277.64699999999999"/>
    <n v="277.64699999999999"/>
    <n v="277.64699999999999"/>
    <n v="277.64699999999999"/>
    <n v="417"/>
    <x v="2"/>
    <n v="0"/>
    <n v="0"/>
    <n v="63"/>
    <n v="91"/>
    <n v="0"/>
    <n v="300.3"/>
    <n v="292.36"/>
    <m/>
    <n v="385.7156580869115"/>
    <n v="310.95812167444689"/>
    <n v="0"/>
    <n v="83377.394100000005"/>
    <n v="81172.876919999995"/>
    <n v="0"/>
    <n v="107092.79532085672"/>
    <n v="86336.589608545153"/>
  </r>
  <r>
    <s v="Regular"/>
    <x v="6"/>
    <x v="4"/>
    <x v="5"/>
    <x v="0"/>
    <x v="0"/>
    <x v="0"/>
    <x v="1"/>
    <x v="4"/>
    <n v="0"/>
    <n v="0"/>
    <n v="298.39600000000002"/>
    <n v="298.39600000000002"/>
    <n v="298.39600000000002"/>
    <n v="298.39600000000002"/>
    <n v="420"/>
    <x v="2"/>
    <n v="0"/>
    <n v="0"/>
    <n v="63"/>
    <n v="91"/>
    <n v="0"/>
    <n v="300.3"/>
    <n v="292.36"/>
    <m/>
    <n v="385.7156580869115"/>
    <n v="310.95812167444689"/>
    <n v="0"/>
    <n v="89608.318800000008"/>
    <n v="87239.054560000004"/>
    <n v="0"/>
    <n v="115096.00951050204"/>
    <n v="92788.659675168252"/>
  </r>
  <r>
    <s v="Regular"/>
    <x v="6"/>
    <x v="4"/>
    <x v="5"/>
    <x v="0"/>
    <x v="0"/>
    <x v="0"/>
    <x v="1"/>
    <x v="5"/>
    <n v="0"/>
    <n v="0"/>
    <n v="317.66399999999999"/>
    <n v="317.66399999999999"/>
    <n v="317.66399999999999"/>
    <n v="317.66399999999999"/>
    <n v="419"/>
    <x v="2"/>
    <n v="0"/>
    <n v="0"/>
    <n v="63"/>
    <n v="91"/>
    <n v="0"/>
    <n v="300.3"/>
    <n v="292.36"/>
    <m/>
    <n v="385.7156580869115"/>
    <n v="310.95812167444689"/>
    <n v="0"/>
    <n v="95394.499200000006"/>
    <n v="92872.247040000002"/>
    <n v="0"/>
    <n v="122527.97881052065"/>
    <n v="98780.200763591492"/>
  </r>
  <r>
    <s v="Refaturamento - Regular"/>
    <x v="6"/>
    <x v="4"/>
    <x v="5"/>
    <x v="0"/>
    <x v="0"/>
    <x v="0"/>
    <x v="1"/>
    <x v="5"/>
    <n v="0"/>
    <n v="0"/>
    <n v="-2.1259999999999999"/>
    <n v="-2.1259999999999999"/>
    <n v="-2.1259999999999999"/>
    <n v="-2.1259999999999999"/>
    <n v="0"/>
    <x v="2"/>
    <n v="0"/>
    <n v="0"/>
    <n v="63"/>
    <n v="91"/>
    <n v="0"/>
    <n v="300.3"/>
    <n v="292.36"/>
    <m/>
    <n v="385.7156580869115"/>
    <n v="310.95812167444689"/>
    <n v="0"/>
    <n v="-638.43780000000004"/>
    <n v="-621.55736000000002"/>
    <n v="0"/>
    <n v="-820.03148909277377"/>
    <n v="-661.09696667987407"/>
  </r>
  <r>
    <s v="Regular"/>
    <x v="6"/>
    <x v="4"/>
    <x v="5"/>
    <x v="0"/>
    <x v="0"/>
    <x v="0"/>
    <x v="1"/>
    <x v="6"/>
    <n v="0"/>
    <n v="0"/>
    <n v="307.87299999999999"/>
    <n v="307.87299999999999"/>
    <n v="307.87299999999999"/>
    <n v="307.87299999999999"/>
    <n v="418"/>
    <x v="2"/>
    <n v="0"/>
    <n v="0"/>
    <n v="63"/>
    <n v="91"/>
    <n v="0"/>
    <n v="300.3"/>
    <n v="292.36"/>
    <m/>
    <n v="385.7156580869115"/>
    <n v="310.95812167444689"/>
    <n v="0"/>
    <n v="92454.261899999998"/>
    <n v="90009.750280000007"/>
    <n v="0"/>
    <n v="118751.4368021917"/>
    <n v="95735.609794276985"/>
  </r>
  <r>
    <s v="Regular"/>
    <x v="6"/>
    <x v="4"/>
    <x v="5"/>
    <x v="0"/>
    <x v="0"/>
    <x v="0"/>
    <x v="1"/>
    <x v="7"/>
    <n v="0"/>
    <n v="0"/>
    <n v="310.024"/>
    <n v="310.024"/>
    <n v="310.024"/>
    <n v="310.024"/>
    <n v="420"/>
    <x v="2"/>
    <n v="0"/>
    <n v="0"/>
    <n v="63"/>
    <n v="91"/>
    <n v="0"/>
    <n v="300.3"/>
    <n v="292.36"/>
    <m/>
    <n v="385.7156580869115"/>
    <n v="310.95812167444689"/>
    <n v="0"/>
    <n v="93100.207200000004"/>
    <n v="90638.616640000007"/>
    <n v="0"/>
    <n v="119581.11118273665"/>
    <n v="96404.480713998724"/>
  </r>
  <r>
    <s v="Regular"/>
    <x v="6"/>
    <x v="4"/>
    <x v="5"/>
    <x v="0"/>
    <x v="0"/>
    <x v="0"/>
    <x v="1"/>
    <x v="8"/>
    <n v="0"/>
    <n v="0"/>
    <n v="473.20100000000002"/>
    <n v="473.20100000000002"/>
    <n v="473.20100000000002"/>
    <n v="473.20100000000002"/>
    <n v="418"/>
    <x v="2"/>
    <n v="0"/>
    <n v="0"/>
    <n v="63"/>
    <n v="91"/>
    <n v="0"/>
    <n v="300.3"/>
    <n v="292.36"/>
    <m/>
    <n v="385.7156580869115"/>
    <n v="310.95812167444689"/>
    <n v="0"/>
    <n v="142102.26030000002"/>
    <n v="138345.04436"/>
    <n v="0"/>
    <n v="182521.03512238461"/>
    <n v="147145.69413446996"/>
  </r>
  <r>
    <s v="Regular"/>
    <x v="6"/>
    <x v="4"/>
    <x v="5"/>
    <x v="0"/>
    <x v="0"/>
    <x v="0"/>
    <x v="1"/>
    <x v="9"/>
    <n v="0"/>
    <n v="0"/>
    <n v="296.83300000000003"/>
    <n v="296.83300000000003"/>
    <n v="296.83300000000003"/>
    <n v="296.83300000000003"/>
    <n v="416"/>
    <x v="2"/>
    <n v="0"/>
    <n v="0"/>
    <n v="63"/>
    <n v="91"/>
    <n v="0"/>
    <n v="300.3"/>
    <n v="292.36"/>
    <m/>
    <n v="385.7156580869115"/>
    <n v="310.95812167444689"/>
    <n v="0"/>
    <n v="89138.949900000007"/>
    <n v="86782.095880000008"/>
    <n v="0"/>
    <n v="114493.13593691221"/>
    <n v="92302.6321309911"/>
  </r>
  <r>
    <s v="Refaturamento - Regular"/>
    <x v="6"/>
    <x v="4"/>
    <x v="5"/>
    <x v="0"/>
    <x v="0"/>
    <x v="0"/>
    <x v="1"/>
    <x v="9"/>
    <n v="0"/>
    <n v="0"/>
    <n v="1.7330000000000001"/>
    <n v="1.7330000000000001"/>
    <n v="1.7330000000000001"/>
    <n v="1.7330000000000001"/>
    <n v="0"/>
    <x v="2"/>
    <n v="0"/>
    <n v="0"/>
    <n v="63"/>
    <n v="91"/>
    <n v="0"/>
    <n v="300.3"/>
    <n v="292.36"/>
    <m/>
    <n v="385.7156580869115"/>
    <n v="310.95812167444689"/>
    <n v="0"/>
    <n v="520.4199000000001"/>
    <n v="506.65988000000004"/>
    <n v="0"/>
    <n v="668.44523546461767"/>
    <n v="538.89042486181643"/>
  </r>
  <r>
    <s v="Regular"/>
    <x v="6"/>
    <x v="4"/>
    <x v="5"/>
    <x v="0"/>
    <x v="0"/>
    <x v="0"/>
    <x v="1"/>
    <x v="10"/>
    <n v="0"/>
    <n v="0"/>
    <n v="346.601"/>
    <n v="346.601"/>
    <n v="346.601"/>
    <n v="346.601"/>
    <n v="415"/>
    <x v="2"/>
    <n v="0"/>
    <n v="0"/>
    <n v="63"/>
    <n v="91"/>
    <n v="0"/>
    <n v="300.3"/>
    <n v="292.36"/>
    <m/>
    <n v="385.7156580869115"/>
    <n v="310.95812167444689"/>
    <n v="0"/>
    <n v="104084.2803"/>
    <n v="101332.26836"/>
    <n v="0"/>
    <n v="133689.43280858162"/>
    <n v="107778.39593048497"/>
  </r>
  <r>
    <s v="PROJETADO"/>
    <x v="6"/>
    <x v="4"/>
    <x v="5"/>
    <x v="0"/>
    <x v="0"/>
    <x v="0"/>
    <x v="1"/>
    <x v="11"/>
    <n v="0"/>
    <n v="0"/>
    <n v="346.601"/>
    <n v="346.601"/>
    <n v="346.601"/>
    <n v="346.601"/>
    <n v="415"/>
    <x v="2"/>
    <n v="0"/>
    <n v="0"/>
    <n v="63"/>
    <n v="91"/>
    <n v="0"/>
    <n v="300.3"/>
    <n v="292.36"/>
    <m/>
    <n v="385.7156580869115"/>
    <n v="310.95812167444689"/>
    <n v="0"/>
    <n v="104084.2803"/>
    <n v="101332.26836"/>
    <n v="0"/>
    <n v="133689.43280858162"/>
    <n v="107778.39593048497"/>
  </r>
  <r>
    <s v="Regular"/>
    <x v="6"/>
    <x v="4"/>
    <x v="3"/>
    <x v="1"/>
    <x v="0"/>
    <x v="0"/>
    <x v="1"/>
    <x v="0"/>
    <n v="0"/>
    <n v="0"/>
    <n v="114.953"/>
    <n v="108.05582"/>
    <n v="114.953"/>
    <n v="108.05582"/>
    <n v="122"/>
    <x v="2"/>
    <n v="0"/>
    <n v="0"/>
    <n v="63"/>
    <n v="91"/>
    <n v="0"/>
    <n v="300.3"/>
    <n v="292.36"/>
    <m/>
    <n v="385.7156580869115"/>
    <n v="310.95812167444689"/>
    <n v="0"/>
    <n v="32449.162746000002"/>
    <n v="31591.199535200001"/>
    <n v="0"/>
    <n v="41678.821721420856"/>
    <n v="33600.834823192134"/>
  </r>
  <r>
    <s v="Regular"/>
    <x v="6"/>
    <x v="4"/>
    <x v="3"/>
    <x v="1"/>
    <x v="0"/>
    <x v="0"/>
    <x v="1"/>
    <x v="1"/>
    <n v="0"/>
    <n v="0"/>
    <n v="122.25"/>
    <n v="114.91499999999999"/>
    <n v="122.25"/>
    <n v="114.91499999999999"/>
    <n v="120"/>
    <x v="2"/>
    <n v="0"/>
    <n v="0"/>
    <n v="63"/>
    <n v="91"/>
    <n v="0"/>
    <n v="300.3"/>
    <n v="292.36"/>
    <m/>
    <n v="385.7156580869115"/>
    <n v="310.95812167444689"/>
    <n v="0"/>
    <n v="34508.974499999997"/>
    <n v="33596.549399999996"/>
    <n v="0"/>
    <n v="44324.514849057436"/>
    <n v="35733.752552219063"/>
  </r>
  <r>
    <s v="Regular"/>
    <x v="6"/>
    <x v="4"/>
    <x v="3"/>
    <x v="1"/>
    <x v="0"/>
    <x v="0"/>
    <x v="1"/>
    <x v="2"/>
    <n v="0"/>
    <n v="0"/>
    <n v="137.76900000000001"/>
    <n v="129.50286"/>
    <n v="137.76900000000001"/>
    <n v="129.50286"/>
    <n v="120"/>
    <x v="2"/>
    <n v="0"/>
    <n v="0"/>
    <n v="63"/>
    <n v="91"/>
    <n v="0"/>
    <n v="300.3"/>
    <n v="292.36"/>
    <m/>
    <n v="385.7156580869115"/>
    <n v="310.95812167444689"/>
    <n v="0"/>
    <n v="38889.708857999998"/>
    <n v="37861.456149600002"/>
    <n v="0"/>
    <n v="49951.280869037168"/>
    <n v="40269.966097068864"/>
  </r>
  <r>
    <s v="Regular"/>
    <x v="6"/>
    <x v="4"/>
    <x v="3"/>
    <x v="1"/>
    <x v="0"/>
    <x v="0"/>
    <x v="1"/>
    <x v="3"/>
    <n v="0"/>
    <n v="0"/>
    <n v="125.75700000000001"/>
    <n v="118.21158"/>
    <n v="125.75700000000001"/>
    <n v="118.21158"/>
    <n v="120"/>
    <x v="2"/>
    <n v="0"/>
    <n v="0"/>
    <n v="63"/>
    <n v="91"/>
    <n v="0"/>
    <n v="300.3"/>
    <n v="292.36"/>
    <m/>
    <n v="385.7156580869115"/>
    <n v="310.95812167444689"/>
    <n v="0"/>
    <n v="35498.937473999998"/>
    <n v="34560.337528800002"/>
    <n v="0"/>
    <n v="45596.057373193587"/>
    <n v="36758.850876968609"/>
  </r>
  <r>
    <s v="Regular"/>
    <x v="6"/>
    <x v="4"/>
    <x v="3"/>
    <x v="1"/>
    <x v="0"/>
    <x v="0"/>
    <x v="1"/>
    <x v="4"/>
    <n v="0"/>
    <n v="0"/>
    <n v="128.351"/>
    <n v="120.64994"/>
    <n v="128.351"/>
    <n v="120.64994"/>
    <n v="121"/>
    <x v="2"/>
    <n v="0"/>
    <n v="0"/>
    <n v="63"/>
    <n v="91"/>
    <n v="0"/>
    <n v="300.3"/>
    <n v="292.36"/>
    <m/>
    <n v="385.7156580869115"/>
    <n v="310.95812167444689"/>
    <n v="0"/>
    <n v="36231.176982000005"/>
    <n v="35273.216458399998"/>
    <n v="0"/>
    <n v="46536.571005246391"/>
    <n v="37517.078722534716"/>
  </r>
  <r>
    <s v="Regular"/>
    <x v="6"/>
    <x v="4"/>
    <x v="3"/>
    <x v="1"/>
    <x v="0"/>
    <x v="0"/>
    <x v="1"/>
    <x v="5"/>
    <n v="0"/>
    <n v="0"/>
    <n v="109.29300000000001"/>
    <n v="102.73542"/>
    <n v="109.29300000000001"/>
    <n v="102.73542"/>
    <n v="122"/>
    <x v="2"/>
    <n v="0"/>
    <n v="0"/>
    <n v="63"/>
    <n v="91"/>
    <n v="0"/>
    <n v="300.3"/>
    <n v="292.36"/>
    <m/>
    <n v="385.7156580869115"/>
    <n v="310.95812167444689"/>
    <n v="0"/>
    <n v="30851.446626000001"/>
    <n v="30035.727391200002"/>
    <n v="0"/>
    <n v="39626.660134135251"/>
    <n v="31946.413232635405"/>
  </r>
  <r>
    <s v="Regular"/>
    <x v="6"/>
    <x v="4"/>
    <x v="3"/>
    <x v="1"/>
    <x v="0"/>
    <x v="0"/>
    <x v="1"/>
    <x v="6"/>
    <n v="0"/>
    <n v="0"/>
    <n v="105.45"/>
    <n v="99.123000000000005"/>
    <n v="105.45"/>
    <n v="99.123000000000005"/>
    <n v="121"/>
    <x v="2"/>
    <n v="0"/>
    <n v="0"/>
    <n v="63"/>
    <n v="91"/>
    <n v="0"/>
    <n v="300.3"/>
    <n v="292.36"/>
    <m/>
    <n v="385.7156580869115"/>
    <n v="310.95812167444689"/>
    <n v="0"/>
    <n v="29766.636900000001"/>
    <n v="28979.600280000002"/>
    <n v="0"/>
    <n v="38233.293176548934"/>
    <n v="30823.101894736199"/>
  </r>
  <r>
    <s v="Regular"/>
    <x v="6"/>
    <x v="4"/>
    <x v="3"/>
    <x v="1"/>
    <x v="0"/>
    <x v="0"/>
    <x v="1"/>
    <x v="7"/>
    <n v="0"/>
    <n v="0"/>
    <n v="112.964"/>
    <n v="106.18616"/>
    <n v="112.964"/>
    <n v="106.18616"/>
    <n v="122"/>
    <x v="2"/>
    <n v="0"/>
    <n v="0"/>
    <n v="63"/>
    <n v="91"/>
    <n v="0"/>
    <n v="300.3"/>
    <n v="292.36"/>
    <m/>
    <n v="385.7156580869115"/>
    <n v="310.95812167444689"/>
    <n v="0"/>
    <n v="31887.703848000001"/>
    <n v="31044.585737600002"/>
    <n v="0"/>
    <n v="40957.664584122082"/>
    <n v="33019.448861422286"/>
  </r>
  <r>
    <s v="Regular"/>
    <x v="6"/>
    <x v="4"/>
    <x v="3"/>
    <x v="1"/>
    <x v="0"/>
    <x v="0"/>
    <x v="1"/>
    <x v="8"/>
    <n v="0"/>
    <n v="0"/>
    <n v="130.761"/>
    <n v="122.91534"/>
    <n v="130.761"/>
    <n v="122.91534"/>
    <n v="122"/>
    <x v="2"/>
    <n v="0"/>
    <n v="0"/>
    <n v="63"/>
    <n v="91"/>
    <n v="0"/>
    <n v="300.3"/>
    <n v="292.36"/>
    <m/>
    <n v="385.7156580869115"/>
    <n v="310.95812167444689"/>
    <n v="0"/>
    <n v="36911.476602000002"/>
    <n v="35935.528802400004"/>
    <n v="0"/>
    <n v="47410.371257076476"/>
    <n v="38221.523251376006"/>
  </r>
  <r>
    <s v="Regular"/>
    <x v="6"/>
    <x v="4"/>
    <x v="3"/>
    <x v="1"/>
    <x v="0"/>
    <x v="0"/>
    <x v="1"/>
    <x v="9"/>
    <n v="0"/>
    <n v="0"/>
    <n v="112.88500000000001"/>
    <n v="106.11190000000001"/>
    <n v="112.88500000000001"/>
    <n v="106.11190000000001"/>
    <n v="122"/>
    <x v="2"/>
    <n v="0"/>
    <n v="0"/>
    <n v="63"/>
    <n v="91"/>
    <n v="0"/>
    <n v="300.3"/>
    <n v="292.36"/>
    <m/>
    <n v="385.7156580869115"/>
    <n v="310.95812167444689"/>
    <n v="0"/>
    <n v="31865.403570000002"/>
    <n v="31022.875084000003"/>
    <n v="0"/>
    <n v="40929.021339352548"/>
    <n v="32996.357111306745"/>
  </r>
  <r>
    <s v="Regular"/>
    <x v="6"/>
    <x v="4"/>
    <x v="3"/>
    <x v="1"/>
    <x v="0"/>
    <x v="0"/>
    <x v="1"/>
    <x v="10"/>
    <n v="0"/>
    <n v="0"/>
    <n v="129.29"/>
    <n v="121.5326"/>
    <n v="129.29"/>
    <n v="121.5326"/>
    <n v="122"/>
    <x v="2"/>
    <n v="0"/>
    <n v="0"/>
    <n v="63"/>
    <n v="91"/>
    <n v="0"/>
    <n v="300.3"/>
    <n v="292.36"/>
    <m/>
    <n v="385.7156580869115"/>
    <n v="310.95812167444689"/>
    <n v="0"/>
    <n v="36496.239780000004"/>
    <n v="35531.270936000001"/>
    <n v="0"/>
    <n v="46877.026788013383"/>
    <n v="37791.549018211881"/>
  </r>
  <r>
    <s v="PROJETADO"/>
    <x v="6"/>
    <x v="4"/>
    <x v="3"/>
    <x v="1"/>
    <x v="0"/>
    <x v="0"/>
    <x v="1"/>
    <x v="11"/>
    <n v="0"/>
    <n v="0"/>
    <n v="129.29"/>
    <n v="121.5326"/>
    <n v="129.29"/>
    <n v="121.5326"/>
    <n v="122"/>
    <x v="2"/>
    <n v="0"/>
    <n v="0"/>
    <n v="63"/>
    <n v="91"/>
    <n v="0"/>
    <n v="300.3"/>
    <n v="292.36"/>
    <m/>
    <n v="385.7156580869115"/>
    <n v="310.95812167444689"/>
    <n v="0"/>
    <n v="36496.239780000004"/>
    <n v="35531.270936000001"/>
    <n v="0"/>
    <n v="46877.026788013383"/>
    <n v="37791.549018211881"/>
  </r>
  <r>
    <s v="Regular"/>
    <x v="7"/>
    <x v="4"/>
    <x v="8"/>
    <x v="7"/>
    <x v="0"/>
    <x v="0"/>
    <x v="1"/>
    <x v="0"/>
    <n v="0"/>
    <n v="0"/>
    <n v="1655.827"/>
    <n v="1655.827"/>
    <n v="1655.827"/>
    <n v="1655.827"/>
    <n v="7"/>
    <x v="2"/>
    <n v="0"/>
    <n v="0"/>
    <n v="88"/>
    <n v="89"/>
    <n v="0"/>
    <n v="165.16"/>
    <n v="160.80000000000001"/>
    <m/>
    <n v="212.14361194780136"/>
    <n v="171.02696692094582"/>
    <n v="0"/>
    <n v="273476.38731999998"/>
    <n v="266256.9816"/>
    <n v="0"/>
    <n v="351273.12054069206"/>
    <n v="283191.06955580896"/>
  </r>
  <r>
    <s v="Regular"/>
    <x v="7"/>
    <x v="4"/>
    <x v="8"/>
    <x v="7"/>
    <x v="0"/>
    <x v="0"/>
    <x v="1"/>
    <x v="1"/>
    <n v="0"/>
    <n v="0"/>
    <n v="1520.616"/>
    <n v="1520.616"/>
    <n v="1520.616"/>
    <n v="1520.616"/>
    <n v="7"/>
    <x v="2"/>
    <n v="0"/>
    <n v="0"/>
    <n v="88"/>
    <n v="89"/>
    <n v="0"/>
    <n v="165.16"/>
    <n v="160.80000000000001"/>
    <m/>
    <n v="212.14361194780136"/>
    <n v="171.02696692094582"/>
    <n v="0"/>
    <n v="251144.93855999998"/>
    <n v="244515.0528"/>
    <n v="0"/>
    <n v="322588.97062561789"/>
    <n v="260066.34233146094"/>
  </r>
  <r>
    <s v="Regular"/>
    <x v="7"/>
    <x v="4"/>
    <x v="8"/>
    <x v="7"/>
    <x v="0"/>
    <x v="0"/>
    <x v="1"/>
    <x v="2"/>
    <n v="0"/>
    <n v="0"/>
    <n v="1581.3240000000001"/>
    <n v="1581.3240000000001"/>
    <n v="1581.3240000000001"/>
    <n v="1581.3240000000001"/>
    <n v="8"/>
    <x v="2"/>
    <n v="0"/>
    <n v="0"/>
    <n v="88"/>
    <n v="89"/>
    <n v="0"/>
    <n v="165.16"/>
    <n v="160.80000000000001"/>
    <m/>
    <n v="212.14361194780136"/>
    <n v="171.02696692094582"/>
    <n v="0"/>
    <n v="261171.47184000001"/>
    <n v="254276.89920000004"/>
    <n v="0"/>
    <n v="335467.78501974506"/>
    <n v="270449.04743929772"/>
  </r>
  <r>
    <s v="Regular"/>
    <x v="7"/>
    <x v="4"/>
    <x v="8"/>
    <x v="7"/>
    <x v="0"/>
    <x v="0"/>
    <x v="1"/>
    <x v="3"/>
    <n v="0"/>
    <n v="0"/>
    <n v="1533.1579999999999"/>
    <n v="1533.1579999999999"/>
    <n v="1533.1579999999999"/>
    <n v="1533.1579999999999"/>
    <n v="7"/>
    <x v="2"/>
    <n v="0"/>
    <n v="0"/>
    <n v="88"/>
    <n v="89"/>
    <n v="0"/>
    <n v="165.16"/>
    <n v="160.80000000000001"/>
    <m/>
    <n v="212.14361194780136"/>
    <n v="171.02696692094582"/>
    <n v="0"/>
    <n v="253216.37527999998"/>
    <n v="246531.8064"/>
    <n v="0"/>
    <n v="325249.67580666719"/>
    <n v="262211.36255058344"/>
  </r>
  <r>
    <s v="Regular"/>
    <x v="7"/>
    <x v="4"/>
    <x v="8"/>
    <x v="7"/>
    <x v="0"/>
    <x v="0"/>
    <x v="1"/>
    <x v="4"/>
    <n v="0"/>
    <n v="0"/>
    <n v="1434.3309999999999"/>
    <n v="1434.3309999999999"/>
    <n v="1434.3309999999999"/>
    <n v="1434.3309999999999"/>
    <n v="7"/>
    <x v="2"/>
    <n v="0"/>
    <n v="0"/>
    <n v="88"/>
    <n v="89"/>
    <n v="0"/>
    <n v="165.16"/>
    <n v="160.80000000000001"/>
    <m/>
    <n v="212.14361194780136"/>
    <n v="171.02696692094582"/>
    <n v="0"/>
    <n v="236894.10795999996"/>
    <n v="230640.42480000001"/>
    <n v="0"/>
    <n v="304284.15906870185"/>
    <n v="245309.28049068712"/>
  </r>
  <r>
    <s v="Regular"/>
    <x v="7"/>
    <x v="4"/>
    <x v="8"/>
    <x v="7"/>
    <x v="0"/>
    <x v="0"/>
    <x v="1"/>
    <x v="5"/>
    <n v="0"/>
    <n v="0"/>
    <n v="1639.623"/>
    <n v="1639.623"/>
    <n v="1639.623"/>
    <n v="1639.623"/>
    <n v="7"/>
    <x v="2"/>
    <n v="0"/>
    <n v="0"/>
    <n v="88"/>
    <n v="89"/>
    <n v="0"/>
    <n v="165.16"/>
    <n v="160.80000000000001"/>
    <m/>
    <n v="212.14361194780136"/>
    <n v="171.02696692094582"/>
    <n v="0"/>
    <n v="270800.13468000002"/>
    <n v="263651.37840000005"/>
    <n v="0"/>
    <n v="347835.54545268993"/>
    <n v="280419.74858382199"/>
  </r>
  <r>
    <s v="Regular"/>
    <x v="7"/>
    <x v="4"/>
    <x v="8"/>
    <x v="7"/>
    <x v="0"/>
    <x v="0"/>
    <x v="1"/>
    <x v="6"/>
    <n v="0"/>
    <n v="0"/>
    <n v="1659.1769999999999"/>
    <n v="1659.1769999999999"/>
    <n v="1659.1769999999999"/>
    <n v="1659.1769999999999"/>
    <n v="7"/>
    <x v="2"/>
    <n v="0"/>
    <n v="0"/>
    <n v="88"/>
    <n v="89"/>
    <n v="0"/>
    <n v="165.16"/>
    <n v="160.80000000000001"/>
    <m/>
    <n v="212.14361194780136"/>
    <n v="171.02696692094582"/>
    <n v="0"/>
    <n v="274029.67332"/>
    <n v="266795.66159999999"/>
    <n v="0"/>
    <n v="351983.8016407172"/>
    <n v="283764.00989499409"/>
  </r>
  <r>
    <s v="Regular"/>
    <x v="7"/>
    <x v="4"/>
    <x v="8"/>
    <x v="7"/>
    <x v="0"/>
    <x v="0"/>
    <x v="1"/>
    <x v="7"/>
    <n v="0"/>
    <n v="0"/>
    <n v="1776.6980000000001"/>
    <n v="1776.6980000000001"/>
    <n v="1776.6980000000001"/>
    <n v="1776.6980000000001"/>
    <n v="7"/>
    <x v="2"/>
    <n v="0"/>
    <n v="0"/>
    <n v="88"/>
    <n v="89"/>
    <n v="0"/>
    <n v="165.16"/>
    <n v="160.80000000000001"/>
    <m/>
    <n v="212.14361194780136"/>
    <n v="171.02696692094582"/>
    <n v="0"/>
    <n v="293439.44167999999"/>
    <n v="285693.03840000002"/>
    <n v="0"/>
    <n v="376915.1310604348"/>
    <n v="303863.2700745106"/>
  </r>
  <r>
    <s v="Regular"/>
    <x v="7"/>
    <x v="4"/>
    <x v="8"/>
    <x v="7"/>
    <x v="0"/>
    <x v="0"/>
    <x v="1"/>
    <x v="8"/>
    <n v="0"/>
    <n v="0"/>
    <n v="1731.701"/>
    <n v="1731.701"/>
    <n v="1731.701"/>
    <n v="1731.701"/>
    <n v="6"/>
    <x v="2"/>
    <n v="0"/>
    <n v="0"/>
    <n v="88"/>
    <n v="89"/>
    <n v="0"/>
    <n v="165.16"/>
    <n v="160.80000000000001"/>
    <m/>
    <n v="212.14361194780136"/>
    <n v="171.02696692094582"/>
    <n v="0"/>
    <n v="286007.73716000002"/>
    <n v="278457.5208"/>
    <n v="0"/>
    <n v="367369.30495361955"/>
    <n v="296167.56964396883"/>
  </r>
  <r>
    <s v="Regular"/>
    <x v="7"/>
    <x v="4"/>
    <x v="8"/>
    <x v="7"/>
    <x v="0"/>
    <x v="0"/>
    <x v="1"/>
    <x v="9"/>
    <n v="0"/>
    <n v="0"/>
    <n v="1771.2239999999999"/>
    <n v="1771.2239999999999"/>
    <n v="1771.2239999999999"/>
    <n v="1771.2239999999999"/>
    <n v="6"/>
    <x v="2"/>
    <n v="0"/>
    <n v="0"/>
    <n v="88"/>
    <n v="89"/>
    <n v="0"/>
    <n v="165.16"/>
    <n v="160.80000000000001"/>
    <m/>
    <n v="212.14361194780136"/>
    <n v="171.02696692094582"/>
    <n v="0"/>
    <n v="292535.35583999997"/>
    <n v="284812.81920000003"/>
    <n v="0"/>
    <n v="375753.85692863248"/>
    <n v="302927.06845758535"/>
  </r>
  <r>
    <s v="Regular"/>
    <x v="7"/>
    <x v="4"/>
    <x v="8"/>
    <x v="7"/>
    <x v="0"/>
    <x v="0"/>
    <x v="1"/>
    <x v="10"/>
    <n v="0"/>
    <n v="0"/>
    <n v="1675.3330000000001"/>
    <n v="1675.3330000000001"/>
    <n v="1675.3330000000001"/>
    <n v="1675.3330000000001"/>
    <n v="6"/>
    <x v="2"/>
    <n v="0"/>
    <n v="0"/>
    <n v="88"/>
    <n v="89"/>
    <n v="0"/>
    <n v="165.16"/>
    <n v="160.80000000000001"/>
    <m/>
    <n v="212.14361194780136"/>
    <n v="171.02696692094582"/>
    <n v="0"/>
    <n v="276697.99828"/>
    <n v="269393.54640000005"/>
    <n v="0"/>
    <n v="355411.19383534591"/>
    <n v="286527.12157256895"/>
  </r>
  <r>
    <s v="PROJETADO"/>
    <x v="7"/>
    <x v="4"/>
    <x v="8"/>
    <x v="7"/>
    <x v="0"/>
    <x v="0"/>
    <x v="1"/>
    <x v="11"/>
    <n v="0"/>
    <n v="0"/>
    <n v="1675.3330000000001"/>
    <n v="1675.3330000000001"/>
    <n v="1675.3330000000001"/>
    <n v="1675.3330000000001"/>
    <n v="6"/>
    <x v="2"/>
    <n v="0"/>
    <n v="0"/>
    <n v="88"/>
    <n v="89"/>
    <n v="0"/>
    <n v="165.16"/>
    <n v="160.80000000000001"/>
    <m/>
    <n v="212.14361194780136"/>
    <n v="171.02696692094582"/>
    <n v="0"/>
    <n v="276697.99828"/>
    <n v="269393.54640000005"/>
    <n v="0"/>
    <n v="355411.19383534591"/>
    <n v="286527.1215725689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9">
  <r>
    <s v="Regular"/>
    <x v="0"/>
    <x v="0"/>
    <x v="0"/>
    <x v="0"/>
    <x v="0"/>
    <x v="0"/>
    <x v="0"/>
    <x v="0"/>
    <n v="7800"/>
    <n v="0"/>
    <n v="0"/>
    <n v="0"/>
    <n v="0"/>
    <n v="0"/>
    <n v="0"/>
    <s v="GERAÇÃO"/>
    <n v="27870"/>
    <n v="21"/>
    <n v="0"/>
    <n v="0"/>
    <n v="11.03"/>
    <n v="0"/>
    <n v="0"/>
    <n v="11.568547059369964"/>
    <m/>
    <m/>
    <n v="86034"/>
    <n v="0"/>
    <n v="90234.667063085712"/>
    <n v="0"/>
    <x v="0"/>
  </r>
  <r>
    <s v="Regular"/>
    <x v="0"/>
    <x v="0"/>
    <x v="0"/>
    <x v="0"/>
    <x v="0"/>
    <x v="0"/>
    <x v="0"/>
    <x v="1"/>
    <n v="7800"/>
    <n v="0"/>
    <n v="0"/>
    <n v="0"/>
    <n v="0"/>
    <n v="0"/>
    <n v="0"/>
    <s v="GERAÇÃO"/>
    <n v="27870"/>
    <n v="21"/>
    <n v="0"/>
    <n v="0"/>
    <n v="11.03"/>
    <n v="0"/>
    <n v="0"/>
    <n v="11.568547059369964"/>
    <m/>
    <m/>
    <n v="86034"/>
    <n v="0"/>
    <n v="90234.667063085712"/>
    <n v="0"/>
    <x v="0"/>
  </r>
  <r>
    <s v="Regular"/>
    <x v="0"/>
    <x v="0"/>
    <x v="0"/>
    <x v="0"/>
    <x v="0"/>
    <x v="0"/>
    <x v="0"/>
    <x v="2"/>
    <n v="7800"/>
    <n v="0"/>
    <n v="0"/>
    <n v="0"/>
    <n v="0"/>
    <n v="0"/>
    <n v="0"/>
    <s v="GERAÇÃO"/>
    <n v="27870"/>
    <n v="21"/>
    <n v="0"/>
    <n v="0"/>
    <n v="11.03"/>
    <n v="0"/>
    <n v="0"/>
    <n v="11.568547059369964"/>
    <m/>
    <m/>
    <n v="86034"/>
    <n v="0"/>
    <n v="90234.667063085712"/>
    <n v="0"/>
    <x v="0"/>
  </r>
  <r>
    <s v="Regular"/>
    <x v="0"/>
    <x v="0"/>
    <x v="0"/>
    <x v="0"/>
    <x v="0"/>
    <x v="0"/>
    <x v="0"/>
    <x v="3"/>
    <n v="7800"/>
    <n v="0"/>
    <n v="0"/>
    <n v="0"/>
    <n v="0"/>
    <n v="0"/>
    <n v="0"/>
    <s v="GERAÇÃO"/>
    <n v="27870"/>
    <n v="21"/>
    <n v="0"/>
    <n v="0"/>
    <n v="11.03"/>
    <n v="0"/>
    <n v="0"/>
    <n v="11.568547059369964"/>
    <m/>
    <m/>
    <n v="86034"/>
    <n v="0"/>
    <n v="90234.667063085712"/>
    <n v="0"/>
    <x v="0"/>
  </r>
  <r>
    <s v="Regular"/>
    <x v="0"/>
    <x v="0"/>
    <x v="0"/>
    <x v="0"/>
    <x v="0"/>
    <x v="0"/>
    <x v="0"/>
    <x v="4"/>
    <n v="7800"/>
    <n v="0"/>
    <n v="0"/>
    <n v="0"/>
    <n v="0"/>
    <n v="0"/>
    <n v="0"/>
    <s v="GERAÇÃO"/>
    <n v="27870"/>
    <n v="21"/>
    <n v="0"/>
    <n v="0"/>
    <n v="11.03"/>
    <n v="0"/>
    <n v="0"/>
    <n v="11.568547059369964"/>
    <m/>
    <m/>
    <n v="86034"/>
    <n v="0"/>
    <n v="90234.667063085712"/>
    <n v="0"/>
    <x v="0"/>
  </r>
  <r>
    <s v="Regular"/>
    <x v="0"/>
    <x v="0"/>
    <x v="0"/>
    <x v="0"/>
    <x v="0"/>
    <x v="0"/>
    <x v="0"/>
    <x v="5"/>
    <n v="7800"/>
    <n v="0"/>
    <n v="0"/>
    <n v="0"/>
    <n v="0"/>
    <n v="0"/>
    <n v="0"/>
    <s v="GERAÇÃO"/>
    <n v="27870"/>
    <n v="21"/>
    <n v="0"/>
    <n v="0"/>
    <n v="11.03"/>
    <n v="0"/>
    <n v="0"/>
    <n v="11.568547059369964"/>
    <m/>
    <m/>
    <n v="86034"/>
    <n v="0"/>
    <n v="90234.667063085712"/>
    <n v="0"/>
    <x v="0"/>
  </r>
  <r>
    <s v="Regular"/>
    <x v="0"/>
    <x v="0"/>
    <x v="0"/>
    <x v="0"/>
    <x v="0"/>
    <x v="0"/>
    <x v="0"/>
    <x v="6"/>
    <n v="7800"/>
    <n v="0"/>
    <n v="0"/>
    <n v="0"/>
    <n v="0"/>
    <n v="0"/>
    <n v="0"/>
    <s v="GERAÇÃO"/>
    <n v="27870"/>
    <n v="21"/>
    <n v="0"/>
    <n v="0"/>
    <n v="11.03"/>
    <n v="0"/>
    <n v="0"/>
    <n v="11.568547059369964"/>
    <m/>
    <m/>
    <n v="86034"/>
    <n v="0"/>
    <n v="90234.667063085712"/>
    <n v="0"/>
    <x v="0"/>
  </r>
  <r>
    <s v="Regular"/>
    <x v="0"/>
    <x v="0"/>
    <x v="0"/>
    <x v="0"/>
    <x v="0"/>
    <x v="0"/>
    <x v="0"/>
    <x v="7"/>
    <n v="7800"/>
    <n v="0"/>
    <n v="0"/>
    <n v="0"/>
    <n v="0"/>
    <n v="0"/>
    <n v="0"/>
    <s v="GERAÇÃO"/>
    <n v="27870"/>
    <n v="21"/>
    <n v="0"/>
    <n v="0"/>
    <n v="11.03"/>
    <n v="0"/>
    <n v="0"/>
    <n v="11.568547059369964"/>
    <m/>
    <m/>
    <n v="86034"/>
    <n v="0"/>
    <n v="90234.667063085712"/>
    <n v="0"/>
    <x v="0"/>
  </r>
  <r>
    <s v="Regular"/>
    <x v="0"/>
    <x v="0"/>
    <x v="0"/>
    <x v="0"/>
    <x v="0"/>
    <x v="0"/>
    <x v="0"/>
    <x v="8"/>
    <n v="7800"/>
    <n v="0"/>
    <n v="0"/>
    <n v="0"/>
    <n v="0"/>
    <n v="0"/>
    <n v="0"/>
    <s v="GERAÇÃO"/>
    <n v="27870"/>
    <n v="21"/>
    <n v="0"/>
    <n v="0"/>
    <n v="11.03"/>
    <n v="0"/>
    <n v="0"/>
    <n v="11.568547059369964"/>
    <m/>
    <m/>
    <n v="86034"/>
    <n v="0"/>
    <n v="90234.667063085712"/>
    <n v="0"/>
    <x v="0"/>
  </r>
  <r>
    <s v="Regular"/>
    <x v="0"/>
    <x v="0"/>
    <x v="0"/>
    <x v="0"/>
    <x v="0"/>
    <x v="0"/>
    <x v="0"/>
    <x v="9"/>
    <n v="7800"/>
    <n v="0"/>
    <n v="0"/>
    <n v="0"/>
    <n v="0"/>
    <n v="0"/>
    <n v="0"/>
    <s v="GERAÇÃO"/>
    <n v="27870"/>
    <n v="21"/>
    <n v="0"/>
    <n v="0"/>
    <n v="11.03"/>
    <n v="0"/>
    <n v="0"/>
    <n v="11.568547059369964"/>
    <m/>
    <m/>
    <n v="86034"/>
    <n v="0"/>
    <n v="90234.667063085712"/>
    <n v="0"/>
    <x v="0"/>
  </r>
  <r>
    <s v="Regular"/>
    <x v="0"/>
    <x v="0"/>
    <x v="0"/>
    <x v="0"/>
    <x v="0"/>
    <x v="0"/>
    <x v="0"/>
    <x v="10"/>
    <n v="7800"/>
    <n v="0"/>
    <n v="0"/>
    <n v="0"/>
    <n v="0"/>
    <n v="0"/>
    <n v="0"/>
    <s v="GERAÇÃO"/>
    <n v="27870"/>
    <n v="21"/>
    <n v="0"/>
    <n v="0"/>
    <n v="11.03"/>
    <n v="0"/>
    <n v="0"/>
    <n v="11.568547059369964"/>
    <m/>
    <m/>
    <n v="86034"/>
    <n v="0"/>
    <n v="90234.667063085712"/>
    <n v="0"/>
    <x v="0"/>
  </r>
  <r>
    <s v="PROJETADO"/>
    <x v="0"/>
    <x v="0"/>
    <x v="0"/>
    <x v="0"/>
    <x v="0"/>
    <x v="0"/>
    <x v="0"/>
    <x v="11"/>
    <n v="7800"/>
    <n v="0"/>
    <n v="0"/>
    <n v="0"/>
    <n v="0"/>
    <n v="0"/>
    <n v="0"/>
    <s v="GERAÇÃO"/>
    <n v="27870"/>
    <n v="21"/>
    <n v="0"/>
    <n v="0"/>
    <n v="11.03"/>
    <n v="0"/>
    <n v="0"/>
    <n v="11.568547059369964"/>
    <m/>
    <m/>
    <n v="86034"/>
    <n v="0"/>
    <n v="90234.667063085712"/>
    <n v="0"/>
    <x v="0"/>
  </r>
  <r>
    <s v="Regular"/>
    <x v="1"/>
    <x v="1"/>
    <x v="1"/>
    <x v="0"/>
    <x v="1"/>
    <x v="1"/>
    <x v="1"/>
    <x v="0"/>
    <n v="16301"/>
    <n v="10335.36166337"/>
    <n v="0"/>
    <n v="0"/>
    <n v="0"/>
    <n v="0"/>
    <n v="0"/>
    <s v="LIVRE"/>
    <n v="0"/>
    <n v="22"/>
    <n v="0"/>
    <n v="0"/>
    <n v="14"/>
    <n v="0"/>
    <n v="0"/>
    <n v="15.925787521209683"/>
    <n v="117.70169496208672"/>
    <m/>
    <n v="83518.936712819996"/>
    <n v="0"/>
    <n v="95007.48857755214"/>
    <n v="0"/>
    <x v="1"/>
  </r>
  <r>
    <s v="Regular"/>
    <x v="1"/>
    <x v="1"/>
    <x v="1"/>
    <x v="0"/>
    <x v="1"/>
    <x v="1"/>
    <x v="1"/>
    <x v="1"/>
    <n v="16297"/>
    <n v="10474.71161608"/>
    <n v="0"/>
    <n v="0"/>
    <n v="0"/>
    <n v="0"/>
    <n v="0"/>
    <s v="LIVRE"/>
    <n v="0"/>
    <n v="22"/>
    <n v="0"/>
    <n v="0"/>
    <n v="14"/>
    <n v="0"/>
    <n v="0"/>
    <n v="15.925787521209683"/>
    <n v="117.70169496208672"/>
    <m/>
    <n v="81512.037374880005"/>
    <n v="0"/>
    <n v="92724.527689517228"/>
    <n v="0"/>
    <x v="1"/>
  </r>
  <r>
    <s v="Regular"/>
    <x v="1"/>
    <x v="1"/>
    <x v="1"/>
    <x v="0"/>
    <x v="1"/>
    <x v="1"/>
    <x v="1"/>
    <x v="2"/>
    <n v="16147"/>
    <n v="9214.2392081100006"/>
    <n v="0"/>
    <n v="0"/>
    <n v="0"/>
    <n v="0"/>
    <n v="0"/>
    <s v="LIVRE"/>
    <n v="0"/>
    <n v="22"/>
    <n v="0"/>
    <n v="0"/>
    <n v="14"/>
    <n v="0"/>
    <n v="0"/>
    <n v="15.925787521209683"/>
    <n v="117.70169496208672"/>
    <m/>
    <n v="97058.651086459984"/>
    <n v="0"/>
    <n v="110409.67530701352"/>
    <n v="0"/>
    <x v="1"/>
  </r>
  <r>
    <s v="Regular"/>
    <x v="1"/>
    <x v="1"/>
    <x v="1"/>
    <x v="0"/>
    <x v="1"/>
    <x v="1"/>
    <x v="1"/>
    <x v="3"/>
    <n v="16220"/>
    <n v="9574.3093222000007"/>
    <n v="0"/>
    <n v="0"/>
    <n v="0"/>
    <n v="0"/>
    <n v="0"/>
    <s v="LIVRE"/>
    <n v="0"/>
    <n v="22"/>
    <n v="0"/>
    <n v="0"/>
    <n v="14"/>
    <n v="0"/>
    <n v="0"/>
    <n v="15.925787521209683"/>
    <n v="117.70169496208672"/>
    <m/>
    <n v="93039.669489199994"/>
    <n v="0"/>
    <n v="105837.85766632674"/>
    <n v="0"/>
    <x v="1"/>
  </r>
  <r>
    <s v="Regular"/>
    <x v="1"/>
    <x v="1"/>
    <x v="1"/>
    <x v="0"/>
    <x v="1"/>
    <x v="1"/>
    <x v="1"/>
    <x v="4"/>
    <n v="16455"/>
    <n v="8810.7828532500007"/>
    <n v="0"/>
    <n v="0"/>
    <n v="0"/>
    <n v="0"/>
    <n v="0"/>
    <s v="LIVRE"/>
    <n v="0"/>
    <n v="22"/>
    <n v="0"/>
    <n v="0"/>
    <n v="14"/>
    <n v="0"/>
    <n v="0"/>
    <n v="15.925787521209683"/>
    <n v="117.70169496208672"/>
    <m/>
    <n v="107019.04005449999"/>
    <n v="0"/>
    <n v="121740.17804512822"/>
    <n v="0"/>
    <x v="1"/>
  </r>
  <r>
    <s v="Regular"/>
    <x v="1"/>
    <x v="1"/>
    <x v="1"/>
    <x v="0"/>
    <x v="1"/>
    <x v="1"/>
    <x v="1"/>
    <x v="5"/>
    <n v="16206"/>
    <n v="8001.9643412400001"/>
    <n v="0"/>
    <n v="0"/>
    <n v="0"/>
    <n v="0"/>
    <n v="0"/>
    <s v="LIVRE"/>
    <n v="0"/>
    <n v="22"/>
    <n v="0"/>
    <n v="0"/>
    <n v="14"/>
    <n v="0"/>
    <n v="0"/>
    <n v="15.925787521209683"/>
    <n v="117.70169496208672"/>
    <m/>
    <n v="114856.49922264001"/>
    <n v="0"/>
    <n v="130655.72871783927"/>
    <n v="0"/>
    <x v="1"/>
  </r>
  <r>
    <s v="Regular"/>
    <x v="1"/>
    <x v="1"/>
    <x v="1"/>
    <x v="0"/>
    <x v="1"/>
    <x v="1"/>
    <x v="1"/>
    <x v="6"/>
    <n v="16280"/>
    <n v="10594.502877200001"/>
    <n v="0"/>
    <n v="0"/>
    <n v="0"/>
    <n v="0"/>
    <n v="0"/>
    <s v="LIVRE"/>
    <n v="0"/>
    <n v="22"/>
    <n v="0"/>
    <n v="0"/>
    <n v="14"/>
    <n v="0"/>
    <n v="0"/>
    <n v="15.925787521209683"/>
    <n v="117.70169496208672"/>
    <m/>
    <n v="79596.959719199993"/>
    <n v="0"/>
    <n v="90546.019130161789"/>
    <n v="0"/>
    <x v="1"/>
  </r>
  <r>
    <s v="Regular"/>
    <x v="1"/>
    <x v="1"/>
    <x v="1"/>
    <x v="0"/>
    <x v="1"/>
    <x v="1"/>
    <x v="1"/>
    <x v="7"/>
    <n v="16089"/>
    <n v="9780.4807362899992"/>
    <n v="0"/>
    <n v="0"/>
    <n v="0"/>
    <n v="0"/>
    <n v="0"/>
    <s v="LIVRE"/>
    <n v="0"/>
    <n v="22"/>
    <n v="0"/>
    <n v="0"/>
    <n v="14"/>
    <n v="0"/>
    <n v="0"/>
    <n v="15.925787521209683"/>
    <n v="117.70169496208672"/>
    <m/>
    <n v="88319.269691940019"/>
    <n v="0"/>
    <n v="100468.13736730363"/>
    <n v="0"/>
    <x v="1"/>
  </r>
  <r>
    <s v="Regular"/>
    <x v="1"/>
    <x v="1"/>
    <x v="1"/>
    <x v="0"/>
    <x v="1"/>
    <x v="1"/>
    <x v="1"/>
    <x v="8"/>
    <n v="16156"/>
    <n v="8011.3249957999997"/>
    <n v="0"/>
    <n v="0"/>
    <n v="0"/>
    <n v="0"/>
    <n v="0"/>
    <s v="LIVRE"/>
    <n v="0"/>
    <n v="22"/>
    <n v="0"/>
    <n v="0"/>
    <n v="14"/>
    <n v="0"/>
    <n v="0"/>
    <n v="15.925787521209683"/>
    <n v="117.70169496208672"/>
    <m/>
    <n v="114025.45005880001"/>
    <n v="0"/>
    <n v="129710.36354619679"/>
    <n v="0"/>
    <x v="1"/>
  </r>
  <r>
    <s v="Regular"/>
    <x v="1"/>
    <x v="1"/>
    <x v="1"/>
    <x v="0"/>
    <x v="1"/>
    <x v="1"/>
    <x v="1"/>
    <x v="9"/>
    <n v="16086"/>
    <n v="8491.9107151200005"/>
    <n v="0"/>
    <n v="0"/>
    <n v="0"/>
    <n v="0"/>
    <n v="0"/>
    <s v="LIVRE"/>
    <n v="0"/>
    <n v="22"/>
    <n v="0"/>
    <n v="0"/>
    <n v="14"/>
    <n v="0"/>
    <n v="0"/>
    <n v="15.925787521209683"/>
    <n v="117.70169496208672"/>
    <m/>
    <n v="106317.24998831999"/>
    <n v="0"/>
    <n v="120941.85236809406"/>
    <n v="0"/>
    <x v="1"/>
  </r>
  <r>
    <s v="Regular"/>
    <x v="1"/>
    <x v="1"/>
    <x v="1"/>
    <x v="0"/>
    <x v="1"/>
    <x v="1"/>
    <x v="1"/>
    <x v="10"/>
    <n v="16063"/>
    <n v="9042.6228011599997"/>
    <n v="0"/>
    <n v="0"/>
    <n v="0"/>
    <n v="0"/>
    <n v="0"/>
    <s v="LIVRE"/>
    <n v="0"/>
    <n v="22"/>
    <n v="0"/>
    <n v="0"/>
    <n v="14"/>
    <n v="0"/>
    <n v="0"/>
    <n v="15.925787521209683"/>
    <n v="117.70169496208672"/>
    <m/>
    <n v="98285.280783760012"/>
    <n v="0"/>
    <n v="111805.03558747107"/>
    <n v="0"/>
    <x v="1"/>
  </r>
  <r>
    <s v="PROJETADO"/>
    <x v="1"/>
    <x v="1"/>
    <x v="1"/>
    <x v="0"/>
    <x v="1"/>
    <x v="1"/>
    <x v="1"/>
    <x v="11"/>
    <n v="16063"/>
    <n v="9042.6228011599997"/>
    <n v="0"/>
    <n v="0"/>
    <n v="0"/>
    <n v="0"/>
    <n v="0"/>
    <s v="LIVRE"/>
    <n v="0"/>
    <n v="22"/>
    <n v="0"/>
    <n v="0"/>
    <n v="14"/>
    <n v="0"/>
    <n v="0"/>
    <n v="15.925787521209683"/>
    <n v="117.70169496208672"/>
    <m/>
    <n v="98285.280783760012"/>
    <n v="0"/>
    <n v="111805.03558747107"/>
    <n v="0"/>
    <x v="1"/>
  </r>
  <r>
    <s v="Regular"/>
    <x v="1"/>
    <x v="1"/>
    <x v="1"/>
    <x v="0"/>
    <x v="1"/>
    <x v="1"/>
    <x v="0"/>
    <x v="0"/>
    <n v="0"/>
    <n v="0"/>
    <n v="7888.02"/>
    <n v="7888.02"/>
    <n v="0"/>
    <n v="0"/>
    <n v="10"/>
    <s v="LIVRE"/>
    <n v="0"/>
    <n v="0"/>
    <n v="12"/>
    <n v="0"/>
    <n v="0"/>
    <n v="72.150000000000006"/>
    <n v="0"/>
    <m/>
    <n v="117.70169496208672"/>
    <m/>
    <n v="0"/>
    <n v="0"/>
    <n v="0"/>
    <n v="0"/>
    <x v="1"/>
  </r>
  <r>
    <s v="Regular"/>
    <x v="1"/>
    <x v="1"/>
    <x v="1"/>
    <x v="0"/>
    <x v="1"/>
    <x v="1"/>
    <x v="0"/>
    <x v="1"/>
    <n v="0"/>
    <n v="0"/>
    <n v="7651.0950000000003"/>
    <n v="7651.0950000000003"/>
    <n v="0"/>
    <n v="0"/>
    <n v="10"/>
    <s v="LIVRE"/>
    <n v="0"/>
    <n v="0"/>
    <n v="12"/>
    <n v="0"/>
    <n v="0"/>
    <n v="72.150000000000006"/>
    <n v="0"/>
    <m/>
    <n v="117.70169496208672"/>
    <m/>
    <n v="0"/>
    <n v="0"/>
    <n v="0"/>
    <n v="0"/>
    <x v="1"/>
  </r>
  <r>
    <s v="Regular"/>
    <x v="1"/>
    <x v="1"/>
    <x v="1"/>
    <x v="0"/>
    <x v="1"/>
    <x v="1"/>
    <x v="0"/>
    <x v="2"/>
    <n v="0"/>
    <n v="0"/>
    <n v="7155.4250000000002"/>
    <n v="7155.4250000000002"/>
    <n v="0"/>
    <n v="0"/>
    <n v="10"/>
    <s v="LIVRE"/>
    <n v="0"/>
    <n v="0"/>
    <n v="12"/>
    <n v="0"/>
    <n v="0"/>
    <n v="72.150000000000006"/>
    <n v="0"/>
    <m/>
    <n v="117.70169496208672"/>
    <m/>
    <n v="0"/>
    <n v="0"/>
    <n v="0"/>
    <n v="0"/>
    <x v="1"/>
  </r>
  <r>
    <s v="Regular"/>
    <x v="1"/>
    <x v="1"/>
    <x v="1"/>
    <x v="0"/>
    <x v="1"/>
    <x v="1"/>
    <x v="0"/>
    <x v="3"/>
    <n v="0"/>
    <n v="0"/>
    <n v="7542.44"/>
    <n v="7542.44"/>
    <n v="0"/>
    <n v="0"/>
    <n v="10"/>
    <s v="LIVRE"/>
    <n v="0"/>
    <n v="0"/>
    <n v="12"/>
    <n v="0"/>
    <n v="0"/>
    <n v="72.150000000000006"/>
    <n v="0"/>
    <m/>
    <n v="117.70169496208672"/>
    <m/>
    <n v="0"/>
    <n v="0"/>
    <n v="0"/>
    <n v="0"/>
    <x v="1"/>
  </r>
  <r>
    <s v="Regular"/>
    <x v="1"/>
    <x v="1"/>
    <x v="1"/>
    <x v="0"/>
    <x v="1"/>
    <x v="1"/>
    <x v="0"/>
    <x v="4"/>
    <n v="0"/>
    <n v="0"/>
    <n v="7411.6469999999999"/>
    <n v="7411.6469999999999"/>
    <n v="0"/>
    <n v="0"/>
    <n v="10"/>
    <s v="LIVRE"/>
    <n v="0"/>
    <n v="0"/>
    <n v="12"/>
    <n v="0"/>
    <n v="0"/>
    <n v="72.150000000000006"/>
    <n v="0"/>
    <m/>
    <n v="117.70169496208672"/>
    <m/>
    <n v="0"/>
    <n v="0"/>
    <n v="0"/>
    <n v="0"/>
    <x v="1"/>
  </r>
  <r>
    <s v="Regular"/>
    <x v="1"/>
    <x v="1"/>
    <x v="1"/>
    <x v="0"/>
    <x v="1"/>
    <x v="1"/>
    <x v="0"/>
    <x v="5"/>
    <n v="0"/>
    <n v="0"/>
    <n v="7972.3119999999999"/>
    <n v="7972.3119999999999"/>
    <n v="0"/>
    <n v="0"/>
    <n v="10"/>
    <s v="LIVRE"/>
    <n v="0"/>
    <n v="0"/>
    <n v="12"/>
    <n v="0"/>
    <n v="0"/>
    <n v="72.150000000000006"/>
    <n v="0"/>
    <m/>
    <n v="117.70169496208672"/>
    <m/>
    <n v="0"/>
    <n v="0"/>
    <n v="0"/>
    <n v="0"/>
    <x v="1"/>
  </r>
  <r>
    <s v="Regular"/>
    <x v="1"/>
    <x v="1"/>
    <x v="1"/>
    <x v="0"/>
    <x v="1"/>
    <x v="1"/>
    <x v="0"/>
    <x v="6"/>
    <n v="0"/>
    <n v="0"/>
    <n v="7239.27"/>
    <n v="7239.27"/>
    <n v="0"/>
    <n v="0"/>
    <n v="10"/>
    <s v="LIVRE"/>
    <n v="0"/>
    <n v="0"/>
    <n v="12"/>
    <n v="0"/>
    <n v="0"/>
    <n v="72.150000000000006"/>
    <n v="0"/>
    <m/>
    <n v="117.70169496208672"/>
    <m/>
    <n v="0"/>
    <n v="0"/>
    <n v="0"/>
    <n v="0"/>
    <x v="1"/>
  </r>
  <r>
    <s v="Regular"/>
    <x v="1"/>
    <x v="1"/>
    <x v="1"/>
    <x v="0"/>
    <x v="1"/>
    <x v="1"/>
    <x v="0"/>
    <x v="7"/>
    <n v="0"/>
    <n v="0"/>
    <n v="7397.8249999999998"/>
    <n v="7397.8249999999998"/>
    <n v="0"/>
    <n v="0"/>
    <n v="10"/>
    <s v="LIVRE"/>
    <n v="0"/>
    <n v="0"/>
    <n v="12"/>
    <n v="0"/>
    <n v="0"/>
    <n v="72.150000000000006"/>
    <n v="0"/>
    <m/>
    <n v="117.70169496208672"/>
    <m/>
    <n v="0"/>
    <n v="0"/>
    <n v="0"/>
    <n v="0"/>
    <x v="1"/>
  </r>
  <r>
    <s v="Regular"/>
    <x v="1"/>
    <x v="1"/>
    <x v="1"/>
    <x v="0"/>
    <x v="1"/>
    <x v="1"/>
    <x v="0"/>
    <x v="8"/>
    <n v="0"/>
    <n v="0"/>
    <n v="7032.8630000000003"/>
    <n v="7032.8630000000003"/>
    <n v="0"/>
    <n v="0"/>
    <n v="10"/>
    <s v="LIVRE"/>
    <n v="0"/>
    <n v="0"/>
    <n v="12"/>
    <n v="0"/>
    <n v="0"/>
    <n v="72.150000000000006"/>
    <n v="0"/>
    <m/>
    <n v="117.70169496208672"/>
    <m/>
    <n v="0"/>
    <n v="0"/>
    <n v="0"/>
    <n v="0"/>
    <x v="1"/>
  </r>
  <r>
    <s v="Regular"/>
    <x v="1"/>
    <x v="1"/>
    <x v="1"/>
    <x v="0"/>
    <x v="1"/>
    <x v="1"/>
    <x v="0"/>
    <x v="9"/>
    <n v="0"/>
    <n v="0"/>
    <n v="7387.9709999999995"/>
    <n v="7387.9709999999995"/>
    <n v="0"/>
    <n v="0"/>
    <n v="10"/>
    <s v="LIVRE"/>
    <n v="0"/>
    <n v="0"/>
    <n v="12"/>
    <n v="0"/>
    <n v="0"/>
    <n v="72.150000000000006"/>
    <n v="0"/>
    <m/>
    <n v="117.70169496208672"/>
    <m/>
    <n v="0"/>
    <n v="0"/>
    <n v="0"/>
    <n v="0"/>
    <x v="1"/>
  </r>
  <r>
    <s v="Regular"/>
    <x v="1"/>
    <x v="1"/>
    <x v="1"/>
    <x v="0"/>
    <x v="1"/>
    <x v="1"/>
    <x v="0"/>
    <x v="10"/>
    <n v="0"/>
    <n v="0"/>
    <n v="7595.0789999999997"/>
    <n v="7595.0789999999997"/>
    <n v="0"/>
    <n v="0"/>
    <n v="10"/>
    <s v="LIVRE"/>
    <n v="0"/>
    <n v="0"/>
    <n v="12"/>
    <n v="0"/>
    <n v="0"/>
    <n v="72.150000000000006"/>
    <n v="0"/>
    <m/>
    <n v="117.70169496208672"/>
    <m/>
    <n v="0"/>
    <n v="0"/>
    <n v="0"/>
    <n v="0"/>
    <x v="1"/>
  </r>
  <r>
    <s v="PROJETADO"/>
    <x v="1"/>
    <x v="1"/>
    <x v="1"/>
    <x v="0"/>
    <x v="1"/>
    <x v="1"/>
    <x v="0"/>
    <x v="11"/>
    <n v="0"/>
    <n v="0"/>
    <n v="7595.0789999999997"/>
    <n v="7595.0789999999997"/>
    <n v="0"/>
    <n v="0"/>
    <n v="10"/>
    <s v="LIVRE"/>
    <n v="0"/>
    <n v="0"/>
    <n v="12"/>
    <n v="0"/>
    <n v="0"/>
    <n v="72.150000000000006"/>
    <n v="0"/>
    <m/>
    <n v="117.70169496208672"/>
    <m/>
    <n v="0"/>
    <n v="0"/>
    <n v="0"/>
    <n v="0"/>
    <x v="1"/>
  </r>
  <r>
    <s v="Regular"/>
    <x v="1"/>
    <x v="1"/>
    <x v="1"/>
    <x v="0"/>
    <x v="1"/>
    <x v="1"/>
    <x v="2"/>
    <x v="0"/>
    <n v="15209"/>
    <n v="9741.9908066200005"/>
    <n v="0"/>
    <n v="0"/>
    <n v="0"/>
    <n v="0"/>
    <n v="0"/>
    <s v="LIVRE"/>
    <n v="0"/>
    <n v="9"/>
    <n v="0"/>
    <n v="0"/>
    <n v="35.76"/>
    <n v="0"/>
    <n v="0"/>
    <n v="40.761307833720963"/>
    <n v="117.70169496208672"/>
    <m/>
    <n v="195500.24875526878"/>
    <n v="0"/>
    <n v="222842.44466114469"/>
    <n v="0"/>
    <x v="1"/>
  </r>
  <r>
    <s v="Regular"/>
    <x v="1"/>
    <x v="1"/>
    <x v="1"/>
    <x v="0"/>
    <x v="1"/>
    <x v="1"/>
    <x v="2"/>
    <x v="1"/>
    <n v="15104"/>
    <n v="9762.3642188800004"/>
    <n v="0"/>
    <n v="0"/>
    <n v="0"/>
    <n v="0"/>
    <n v="0"/>
    <s v="LIVRE"/>
    <n v="0"/>
    <n v="9"/>
    <n v="0"/>
    <n v="0"/>
    <n v="35.76"/>
    <n v="0"/>
    <n v="0"/>
    <n v="40.761307833720963"/>
    <n v="117.70169496208672"/>
    <m/>
    <n v="191016.89553285117"/>
    <n v="0"/>
    <n v="217732.06040985085"/>
    <n v="0"/>
    <x v="1"/>
  </r>
  <r>
    <s v="Regular"/>
    <x v="1"/>
    <x v="1"/>
    <x v="1"/>
    <x v="0"/>
    <x v="1"/>
    <x v="1"/>
    <x v="2"/>
    <x v="2"/>
    <n v="15151"/>
    <n v="8719.4845880499997"/>
    <n v="0"/>
    <n v="0"/>
    <n v="0"/>
    <n v="0"/>
    <n v="0"/>
    <s v="LIVRE"/>
    <n v="0"/>
    <n v="9"/>
    <n v="0"/>
    <n v="0"/>
    <n v="35.76"/>
    <n v="0"/>
    <n v="0"/>
    <n v="40.761307833720963"/>
    <n v="117.70169496208672"/>
    <m/>
    <n v="229990.991131332"/>
    <n v="0"/>
    <n v="262156.97954381467"/>
    <n v="0"/>
    <x v="1"/>
  </r>
  <r>
    <s v="Regular"/>
    <x v="1"/>
    <x v="1"/>
    <x v="1"/>
    <x v="0"/>
    <x v="1"/>
    <x v="1"/>
    <x v="2"/>
    <x v="3"/>
    <n v="15170"/>
    <n v="9036.5050420000007"/>
    <n v="0"/>
    <n v="0"/>
    <n v="0"/>
    <n v="0"/>
    <n v="0"/>
    <s v="LIVRE"/>
    <n v="0"/>
    <n v="9"/>
    <n v="0"/>
    <n v="0"/>
    <n v="35.76"/>
    <n v="0"/>
    <n v="0"/>
    <n v="40.761307833720963"/>
    <n v="117.70169496208672"/>
    <m/>
    <n v="219333.77969807998"/>
    <n v="0"/>
    <n v="250009.2760796134"/>
    <n v="0"/>
    <x v="1"/>
  </r>
  <r>
    <s v="Regular"/>
    <x v="1"/>
    <x v="1"/>
    <x v="1"/>
    <x v="0"/>
    <x v="1"/>
    <x v="1"/>
    <x v="2"/>
    <x v="4"/>
    <n v="15437"/>
    <n v="8333.5986883799997"/>
    <n v="0"/>
    <n v="0"/>
    <n v="0"/>
    <n v="0"/>
    <n v="0"/>
    <s v="LIVRE"/>
    <n v="0"/>
    <n v="9"/>
    <n v="0"/>
    <n v="0"/>
    <n v="35.76"/>
    <n v="0"/>
    <n v="0"/>
    <n v="40.761307833720963"/>
    <n v="117.70169496208672"/>
    <m/>
    <n v="254017.63090353119"/>
    <n v="0"/>
    <n v="289543.9275294001"/>
    <n v="0"/>
    <x v="1"/>
  </r>
  <r>
    <s v="Regular"/>
    <x v="1"/>
    <x v="1"/>
    <x v="1"/>
    <x v="0"/>
    <x v="1"/>
    <x v="1"/>
    <x v="2"/>
    <x v="5"/>
    <n v="15298"/>
    <n v="7554.5100672400004"/>
    <n v="0"/>
    <n v="0"/>
    <n v="0"/>
    <n v="0"/>
    <n v="0"/>
    <s v="LIVRE"/>
    <n v="0"/>
    <n v="9"/>
    <n v="0"/>
    <n v="0"/>
    <n v="35.76"/>
    <n v="0"/>
    <n v="0"/>
    <n v="40.761307833720963"/>
    <n v="117.70169496208672"/>
    <m/>
    <n v="276907.19999549759"/>
    <n v="0"/>
    <n v="315634.77685654961"/>
    <n v="0"/>
    <x v="1"/>
  </r>
  <r>
    <s v="Regular"/>
    <x v="1"/>
    <x v="1"/>
    <x v="1"/>
    <x v="0"/>
    <x v="1"/>
    <x v="1"/>
    <x v="2"/>
    <x v="6"/>
    <n v="15512"/>
    <n v="10036.9224844"/>
    <n v="0"/>
    <n v="0"/>
    <n v="0"/>
    <n v="0"/>
    <n v="0"/>
    <s v="LIVRE"/>
    <n v="0"/>
    <n v="9"/>
    <n v="0"/>
    <n v="0"/>
    <n v="35.76"/>
    <n v="0"/>
    <n v="0"/>
    <n v="40.761307833720963"/>
    <n v="117.70169496208672"/>
    <m/>
    <n v="195788.77195785599"/>
    <n v="0"/>
    <n v="223171.3200268558"/>
    <n v="0"/>
    <x v="1"/>
  </r>
  <r>
    <s v="Regular"/>
    <x v="1"/>
    <x v="1"/>
    <x v="1"/>
    <x v="0"/>
    <x v="1"/>
    <x v="1"/>
    <x v="2"/>
    <x v="7"/>
    <n v="15447"/>
    <n v="9418.8297213299993"/>
    <n v="0"/>
    <n v="0"/>
    <n v="0"/>
    <n v="0"/>
    <n v="0"/>
    <s v="LIVRE"/>
    <n v="0"/>
    <n v="9"/>
    <n v="0"/>
    <n v="0"/>
    <n v="35.76"/>
    <n v="0"/>
    <n v="0"/>
    <n v="40.761307833720963"/>
    <n v="117.70169496208672"/>
    <m/>
    <n v="215567.36916523922"/>
    <n v="0"/>
    <n v="245716.10440295539"/>
    <n v="0"/>
    <x v="1"/>
  </r>
  <r>
    <s v="Regular"/>
    <x v="1"/>
    <x v="1"/>
    <x v="1"/>
    <x v="0"/>
    <x v="1"/>
    <x v="1"/>
    <x v="2"/>
    <x v="8"/>
    <n v="15443"/>
    <n v="7695.1753989099998"/>
    <n v="0"/>
    <n v="0"/>
    <n v="0"/>
    <n v="0"/>
    <n v="0"/>
    <s v="LIVRE"/>
    <n v="0"/>
    <n v="9"/>
    <n v="0"/>
    <n v="0"/>
    <n v="35.76"/>
    <n v="0"/>
    <n v="0"/>
    <n v="40.761307833720963"/>
    <n v="117.70169496208672"/>
    <m/>
    <n v="277062.20773497841"/>
    <n v="0"/>
    <n v="315811.46360670583"/>
    <n v="0"/>
    <x v="1"/>
  </r>
  <r>
    <s v="Regular"/>
    <x v="1"/>
    <x v="1"/>
    <x v="1"/>
    <x v="0"/>
    <x v="1"/>
    <x v="1"/>
    <x v="2"/>
    <x v="9"/>
    <n v="15437"/>
    <n v="8181.5836027300002"/>
    <n v="0"/>
    <n v="0"/>
    <n v="0"/>
    <n v="0"/>
    <n v="0"/>
    <s v="LIVRE"/>
    <n v="0"/>
    <n v="9"/>
    <n v="0"/>
    <n v="0"/>
    <n v="35.76"/>
    <n v="0"/>
    <n v="0"/>
    <n v="40.761307833720963"/>
    <n v="117.70169496208672"/>
    <m/>
    <n v="259453.69036637517"/>
    <n v="0"/>
    <n v="295740.2612309492"/>
    <n v="0"/>
    <x v="1"/>
  </r>
  <r>
    <s v="Regular"/>
    <x v="1"/>
    <x v="1"/>
    <x v="1"/>
    <x v="0"/>
    <x v="1"/>
    <x v="1"/>
    <x v="2"/>
    <x v="10"/>
    <n v="15410"/>
    <n v="8717.6713861000007"/>
    <n v="0"/>
    <n v="0"/>
    <n v="0"/>
    <n v="0"/>
    <n v="0"/>
    <s v="LIVRE"/>
    <n v="0"/>
    <n v="9"/>
    <n v="0"/>
    <n v="0"/>
    <n v="35.76"/>
    <n v="0"/>
    <n v="0"/>
    <n v="40.761307833720963"/>
    <n v="117.70169496208672"/>
    <m/>
    <n v="239317.67123306397"/>
    <n v="0"/>
    <n v="272788.06675559701"/>
    <n v="0"/>
    <x v="1"/>
  </r>
  <r>
    <s v="PROJETADO"/>
    <x v="1"/>
    <x v="1"/>
    <x v="1"/>
    <x v="0"/>
    <x v="1"/>
    <x v="1"/>
    <x v="2"/>
    <x v="11"/>
    <n v="15410"/>
    <n v="8717.6713861000007"/>
    <n v="0"/>
    <n v="0"/>
    <n v="0"/>
    <n v="0"/>
    <n v="0"/>
    <s v="LIVRE"/>
    <n v="0"/>
    <n v="9"/>
    <n v="0"/>
    <n v="0"/>
    <n v="35.76"/>
    <n v="0"/>
    <n v="0"/>
    <n v="40.761307833720963"/>
    <n v="117.70169496208672"/>
    <m/>
    <n v="239317.67123306397"/>
    <n v="0"/>
    <n v="272788.06675559701"/>
    <n v="0"/>
    <x v="1"/>
  </r>
  <r>
    <s v="Regular"/>
    <x v="1"/>
    <x v="1"/>
    <x v="2"/>
    <x v="1"/>
    <x v="0"/>
    <x v="1"/>
    <x v="1"/>
    <x v="0"/>
    <n v="210"/>
    <n v="178.5"/>
    <n v="97.087000000000003"/>
    <n v="91.261780000000002"/>
    <n v="97.087000000000003"/>
    <n v="91.261780000000002"/>
    <n v="0"/>
    <s v="CATIVO"/>
    <n v="0"/>
    <n v="22"/>
    <n v="12"/>
    <n v="61"/>
    <n v="14"/>
    <n v="72.150000000000006"/>
    <n v="278.67"/>
    <n v="15.925787521209683"/>
    <n v="117.70169496208672"/>
    <n v="295.87360985530717"/>
    <n v="441"/>
    <n v="2043.6036804000007"/>
    <n v="501.662306918105"/>
    <n v="2409.1671371283801"/>
    <x v="2"/>
  </r>
  <r>
    <s v="Regular"/>
    <x v="1"/>
    <x v="1"/>
    <x v="2"/>
    <x v="1"/>
    <x v="0"/>
    <x v="1"/>
    <x v="1"/>
    <x v="1"/>
    <n v="210"/>
    <n v="178.5"/>
    <n v="93.664000000000001"/>
    <n v="88.044159999999991"/>
    <n v="93.664000000000001"/>
    <n v="88.044159999999991"/>
    <n v="0"/>
    <s v="CATIVO"/>
    <n v="0"/>
    <n v="22"/>
    <n v="12"/>
    <n v="61"/>
    <n v="14"/>
    <n v="72.150000000000006"/>
    <n v="278.67"/>
    <n v="15.925787521209683"/>
    <n v="117.70169496208672"/>
    <n v="295.87360985530717"/>
    <n v="441"/>
    <n v="1971.5522688000037"/>
    <n v="501.662306918105"/>
    <n v="2324.2270410249876"/>
    <x v="2"/>
  </r>
  <r>
    <s v="Regular"/>
    <x v="1"/>
    <x v="1"/>
    <x v="2"/>
    <x v="1"/>
    <x v="0"/>
    <x v="1"/>
    <x v="1"/>
    <x v="2"/>
    <n v="210"/>
    <n v="178.5"/>
    <n v="106.041"/>
    <n v="99.678539999999998"/>
    <n v="106.041"/>
    <n v="99.678539999999998"/>
    <n v="0"/>
    <s v="CATIVO"/>
    <n v="0"/>
    <n v="22"/>
    <n v="12"/>
    <n v="61"/>
    <n v="14"/>
    <n v="72.150000000000006"/>
    <n v="278.67"/>
    <n v="15.925787521209683"/>
    <n v="117.70169496208672"/>
    <n v="295.87360985530717"/>
    <n v="441"/>
    <n v="2232.0782171999999"/>
    <n v="501.662306918105"/>
    <n v="2631.3563338884751"/>
    <x v="2"/>
  </r>
  <r>
    <s v="Regular"/>
    <x v="1"/>
    <x v="1"/>
    <x v="2"/>
    <x v="1"/>
    <x v="0"/>
    <x v="1"/>
    <x v="1"/>
    <x v="3"/>
    <n v="210"/>
    <n v="178.5"/>
    <n v="103.517"/>
    <n v="97.305980000000005"/>
    <n v="103.517"/>
    <n v="97.305980000000005"/>
    <n v="0"/>
    <s v="CATIVO"/>
    <n v="0"/>
    <n v="22"/>
    <n v="12"/>
    <n v="61"/>
    <n v="14"/>
    <n v="72.150000000000006"/>
    <n v="278.67"/>
    <n v="15.925787521209683"/>
    <n v="117.70169496208672"/>
    <n v="295.87360985530717"/>
    <n v="441"/>
    <n v="2178.9500363999969"/>
    <n v="501.662306918105"/>
    <n v="2568.7244897269256"/>
    <x v="2"/>
  </r>
  <r>
    <s v="Regular"/>
    <x v="1"/>
    <x v="1"/>
    <x v="2"/>
    <x v="1"/>
    <x v="0"/>
    <x v="1"/>
    <x v="1"/>
    <x v="4"/>
    <n v="210"/>
    <n v="178.5"/>
    <n v="91.92"/>
    <n v="86.404799999999994"/>
    <n v="91.92"/>
    <n v="86.404799999999994"/>
    <n v="0"/>
    <s v="CATIVO"/>
    <n v="0"/>
    <n v="22"/>
    <n v="12"/>
    <n v="61"/>
    <n v="14"/>
    <n v="72.150000000000006"/>
    <n v="278.67"/>
    <n v="15.925787521209683"/>
    <n v="117.70169496208672"/>
    <n v="295.87360985530717"/>
    <n v="441"/>
    <n v="1934.8424640000028"/>
    <n v="501.662306918105"/>
    <n v="2280.9505211288938"/>
    <x v="2"/>
  </r>
  <r>
    <s v="Regular"/>
    <x v="1"/>
    <x v="1"/>
    <x v="2"/>
    <x v="1"/>
    <x v="0"/>
    <x v="1"/>
    <x v="1"/>
    <x v="5"/>
    <n v="210"/>
    <n v="178.5"/>
    <n v="99.093999999999994"/>
    <n v="93.148359999999997"/>
    <n v="99.093999999999994"/>
    <n v="93.148359999999997"/>
    <n v="0"/>
    <s v="CATIVO"/>
    <n v="0"/>
    <n v="22"/>
    <n v="12"/>
    <n v="61"/>
    <n v="14"/>
    <n v="72.150000000000006"/>
    <n v="278.67"/>
    <n v="15.925787521209683"/>
    <n v="117.70169496208672"/>
    <n v="295.87360985530717"/>
    <n v="441"/>
    <n v="2085.8494247999993"/>
    <n v="501.662306918105"/>
    <n v="2458.9698753344887"/>
    <x v="2"/>
  </r>
  <r>
    <s v="Regular"/>
    <x v="1"/>
    <x v="1"/>
    <x v="2"/>
    <x v="1"/>
    <x v="0"/>
    <x v="1"/>
    <x v="1"/>
    <x v="6"/>
    <n v="210"/>
    <n v="178.5"/>
    <n v="100.63"/>
    <n v="94.592200000000005"/>
    <n v="100.63"/>
    <n v="94.592200000000005"/>
    <n v="0"/>
    <s v="CATIVO"/>
    <n v="0"/>
    <n v="22"/>
    <n v="12"/>
    <n v="61"/>
    <n v="14"/>
    <n v="72.150000000000006"/>
    <n v="278.67"/>
    <n v="15.925787521209683"/>
    <n v="117.70169496208672"/>
    <n v="295.87360985530717"/>
    <n v="441"/>
    <n v="2118.1809959999969"/>
    <n v="501.662306918105"/>
    <n v="2497.0849754264568"/>
    <x v="2"/>
  </r>
  <r>
    <s v="Regular"/>
    <x v="1"/>
    <x v="1"/>
    <x v="2"/>
    <x v="1"/>
    <x v="0"/>
    <x v="1"/>
    <x v="1"/>
    <x v="7"/>
    <n v="210"/>
    <n v="178.5"/>
    <n v="98.918999999999997"/>
    <n v="92.983860000000007"/>
    <n v="98.918999999999997"/>
    <n v="92.983860000000007"/>
    <n v="0"/>
    <s v="CATIVO"/>
    <n v="0"/>
    <n v="22"/>
    <n v="12"/>
    <n v="61"/>
    <n v="14"/>
    <n v="72.150000000000006"/>
    <n v="278.67"/>
    <n v="15.925787521209683"/>
    <n v="117.70169496208672"/>
    <n v="295.87360985530717"/>
    <n v="441"/>
    <n v="2082.1658147999965"/>
    <n v="501.662306918105"/>
    <n v="2454.627334633903"/>
    <x v="2"/>
  </r>
  <r>
    <s v="Regular"/>
    <x v="1"/>
    <x v="1"/>
    <x v="2"/>
    <x v="1"/>
    <x v="0"/>
    <x v="1"/>
    <x v="1"/>
    <x v="8"/>
    <n v="210"/>
    <n v="178.5"/>
    <n v="93.923000000000002"/>
    <n v="88.287620000000004"/>
    <n v="93.923000000000002"/>
    <n v="88.287620000000004"/>
    <n v="0"/>
    <s v="CATIVO"/>
    <n v="0"/>
    <n v="22"/>
    <n v="12"/>
    <n v="61"/>
    <n v="14"/>
    <n v="72.150000000000006"/>
    <n v="278.67"/>
    <n v="15.925787521209683"/>
    <n v="117.70169496208672"/>
    <n v="295.87360985530717"/>
    <n v="441"/>
    <n v="1977.0040115999993"/>
    <n v="501.662306918105"/>
    <n v="2330.6540012618443"/>
    <x v="2"/>
  </r>
  <r>
    <s v="Regular"/>
    <x v="1"/>
    <x v="1"/>
    <x v="2"/>
    <x v="1"/>
    <x v="0"/>
    <x v="1"/>
    <x v="1"/>
    <x v="9"/>
    <n v="210"/>
    <n v="178.5"/>
    <n v="98.531999999999996"/>
    <n v="92.620080000000002"/>
    <n v="98.531999999999996"/>
    <n v="92.620080000000002"/>
    <n v="0"/>
    <s v="CATIVO"/>
    <n v="0"/>
    <n v="22"/>
    <n v="12"/>
    <n v="61"/>
    <n v="14"/>
    <n v="72.150000000000006"/>
    <n v="278.67"/>
    <n v="15.925787521209683"/>
    <n v="117.70169496208672"/>
    <n v="295.87360985530717"/>
    <n v="441"/>
    <n v="2074.0197743999984"/>
    <n v="501.662306918105"/>
    <n v="2445.0241160560449"/>
    <x v="2"/>
  </r>
  <r>
    <s v="Regular"/>
    <x v="1"/>
    <x v="1"/>
    <x v="2"/>
    <x v="1"/>
    <x v="0"/>
    <x v="1"/>
    <x v="1"/>
    <x v="10"/>
    <n v="210"/>
    <n v="178.5"/>
    <n v="97.796999999999997"/>
    <n v="91.929180000000002"/>
    <n v="97.796999999999997"/>
    <n v="91.929180000000002"/>
    <n v="0"/>
    <s v="CATIVO"/>
    <n v="0"/>
    <n v="22"/>
    <n v="12"/>
    <n v="61"/>
    <n v="14"/>
    <n v="72.150000000000006"/>
    <n v="278.67"/>
    <n v="15.925787521209683"/>
    <n v="117.70169496208672"/>
    <n v="295.87360985530717"/>
    <n v="441"/>
    <n v="2058.5486123999981"/>
    <n v="501.662306918105"/>
    <n v="2426.7854451135981"/>
    <x v="2"/>
  </r>
  <r>
    <s v="PROJETADO"/>
    <x v="1"/>
    <x v="1"/>
    <x v="2"/>
    <x v="1"/>
    <x v="0"/>
    <x v="1"/>
    <x v="1"/>
    <x v="11"/>
    <n v="210"/>
    <n v="178.5"/>
    <n v="97.796999999999997"/>
    <n v="91.929180000000002"/>
    <n v="97.796999999999997"/>
    <n v="91.929180000000002"/>
    <n v="0"/>
    <s v="CATIVO"/>
    <n v="0"/>
    <n v="22"/>
    <n v="12"/>
    <n v="61"/>
    <n v="14"/>
    <n v="72.150000000000006"/>
    <n v="278.67"/>
    <n v="15.925787521209683"/>
    <n v="117.70169496208672"/>
    <n v="295.87360985530717"/>
    <n v="441"/>
    <n v="2058.5486123999981"/>
    <n v="501.662306918105"/>
    <n v="2426.7854451135981"/>
    <x v="2"/>
  </r>
  <r>
    <s v="Regular"/>
    <x v="1"/>
    <x v="1"/>
    <x v="2"/>
    <x v="1"/>
    <x v="0"/>
    <x v="1"/>
    <x v="2"/>
    <x v="0"/>
    <n v="210"/>
    <n v="178.5"/>
    <n v="8.58"/>
    <n v="8.065199999999999"/>
    <n v="8.58"/>
    <n v="8.065199999999999"/>
    <n v="0"/>
    <s v="CATIVO"/>
    <n v="0"/>
    <n v="9"/>
    <n v="12"/>
    <n v="38"/>
    <n v="35.76"/>
    <n v="72.150000000000006"/>
    <n v="442.86"/>
    <n v="40.761307833720963"/>
    <n v="117.70169496208672"/>
    <n v="476.88775168498375"/>
    <n v="1126.4399999999998"/>
    <n v="265.12714800000055"/>
    <n v="1283.9811967622104"/>
    <n v="306.09464713391247"/>
    <x v="2"/>
  </r>
  <r>
    <s v="Regular"/>
    <x v="1"/>
    <x v="1"/>
    <x v="2"/>
    <x v="1"/>
    <x v="0"/>
    <x v="1"/>
    <x v="2"/>
    <x v="1"/>
    <n v="210"/>
    <n v="178.5"/>
    <n v="8.7170000000000005"/>
    <n v="8.1939799999999998"/>
    <n v="8.7170000000000005"/>
    <n v="8.1939799999999998"/>
    <n v="0"/>
    <s v="CATIVO"/>
    <n v="0"/>
    <n v="9"/>
    <n v="12"/>
    <n v="38"/>
    <n v="35.76"/>
    <n v="72.150000000000006"/>
    <n v="442.86"/>
    <n v="40.761307833720963"/>
    <n v="117.70169496208672"/>
    <n v="476.88775168498375"/>
    <n v="1126.4399999999998"/>
    <n v="269.36053020000037"/>
    <n v="1283.9811967622104"/>
    <n v="310.98217238535119"/>
    <x v="2"/>
  </r>
  <r>
    <s v="Regular"/>
    <x v="1"/>
    <x v="1"/>
    <x v="2"/>
    <x v="1"/>
    <x v="0"/>
    <x v="1"/>
    <x v="2"/>
    <x v="2"/>
    <n v="210"/>
    <n v="178.5"/>
    <n v="11.147"/>
    <n v="10.47818"/>
    <n v="11.147"/>
    <n v="10.47818"/>
    <n v="0"/>
    <s v="CATIVO"/>
    <n v="0"/>
    <n v="9"/>
    <n v="12"/>
    <n v="38"/>
    <n v="35.76"/>
    <n v="72.150000000000006"/>
    <n v="442.86"/>
    <n v="40.761307833720963"/>
    <n v="117.70169496208672"/>
    <n v="476.88775168498375"/>
    <n v="1126.4399999999998"/>
    <n v="344.44898820000014"/>
    <n v="1283.9811967622104"/>
    <n v="397.67331370649379"/>
    <x v="2"/>
  </r>
  <r>
    <s v="Regular"/>
    <x v="1"/>
    <x v="1"/>
    <x v="2"/>
    <x v="1"/>
    <x v="0"/>
    <x v="1"/>
    <x v="2"/>
    <x v="3"/>
    <n v="210"/>
    <n v="178.5"/>
    <n v="9.7609999999999992"/>
    <n v="9.1753400000000003"/>
    <n v="9.7609999999999992"/>
    <n v="9.1753400000000003"/>
    <n v="0"/>
    <s v="CATIVO"/>
    <n v="0"/>
    <n v="9"/>
    <n v="12"/>
    <n v="38"/>
    <n v="35.76"/>
    <n v="72.150000000000006"/>
    <n v="442.86"/>
    <n v="40.761307833720963"/>
    <n v="117.70169496208672"/>
    <n v="476.88775168498375"/>
    <n v="1126.4399999999998"/>
    <n v="301.62075659999948"/>
    <n v="1283.9811967622104"/>
    <n v="348.22725532332265"/>
    <x v="2"/>
  </r>
  <r>
    <s v="Regular"/>
    <x v="1"/>
    <x v="1"/>
    <x v="2"/>
    <x v="1"/>
    <x v="0"/>
    <x v="1"/>
    <x v="2"/>
    <x v="4"/>
    <n v="210"/>
    <n v="178.5"/>
    <n v="10.478999999999999"/>
    <n v="9.8502600000000005"/>
    <n v="10.478999999999999"/>
    <n v="9.8502600000000005"/>
    <n v="0"/>
    <s v="CATIVO"/>
    <n v="0"/>
    <n v="9"/>
    <n v="12"/>
    <n v="38"/>
    <n v="35.76"/>
    <n v="72.150000000000006"/>
    <n v="442.86"/>
    <n v="40.761307833720963"/>
    <n v="117.70169496208672"/>
    <n v="476.88775168498375"/>
    <n v="1126.4399999999998"/>
    <n v="323.80738739999936"/>
    <n v="1283.9811967622104"/>
    <n v="373.84216868487829"/>
    <x v="2"/>
  </r>
  <r>
    <s v="Regular"/>
    <x v="1"/>
    <x v="1"/>
    <x v="2"/>
    <x v="1"/>
    <x v="0"/>
    <x v="1"/>
    <x v="2"/>
    <x v="5"/>
    <n v="210"/>
    <n v="178.5"/>
    <n v="9.7949999999999999"/>
    <n v="9.2073"/>
    <n v="9.7949999999999999"/>
    <n v="9.2073"/>
    <n v="0"/>
    <s v="CATIVO"/>
    <n v="0"/>
    <n v="9"/>
    <n v="12"/>
    <n v="38"/>
    <n v="35.76"/>
    <n v="72.150000000000006"/>
    <n v="442.86"/>
    <n v="40.761307833720963"/>
    <n v="117.70169496208672"/>
    <n v="476.88775168498375"/>
    <n v="1126.4399999999998"/>
    <n v="302.67137699999995"/>
    <n v="1283.9811967622104"/>
    <n v="349.44021779448326"/>
    <x v="2"/>
  </r>
  <r>
    <s v="Regular"/>
    <x v="1"/>
    <x v="1"/>
    <x v="2"/>
    <x v="1"/>
    <x v="0"/>
    <x v="1"/>
    <x v="2"/>
    <x v="6"/>
    <n v="210"/>
    <n v="178.5"/>
    <n v="10.18"/>
    <n v="9.5692000000000004"/>
    <n v="10.18"/>
    <n v="9.5692000000000004"/>
    <n v="0"/>
    <s v="CATIVO"/>
    <n v="0"/>
    <n v="9"/>
    <n v="12"/>
    <n v="38"/>
    <n v="35.76"/>
    <n v="72.150000000000006"/>
    <n v="442.86"/>
    <n v="40.761307833720963"/>
    <n v="117.70169496208672"/>
    <n v="476.88775168498375"/>
    <n v="1126.4399999999998"/>
    <n v="314.56810799999971"/>
    <n v="1283.9811967622104"/>
    <n v="363.17523401203027"/>
    <x v="2"/>
  </r>
  <r>
    <s v="Regular"/>
    <x v="1"/>
    <x v="1"/>
    <x v="2"/>
    <x v="1"/>
    <x v="0"/>
    <x v="1"/>
    <x v="2"/>
    <x v="7"/>
    <n v="210"/>
    <n v="178.5"/>
    <n v="10.914"/>
    <n v="10.25916"/>
    <n v="10.914"/>
    <n v="10.25916"/>
    <n v="0"/>
    <s v="CATIVO"/>
    <n v="0"/>
    <n v="9"/>
    <n v="12"/>
    <n v="38"/>
    <n v="35.76"/>
    <n v="72.150000000000006"/>
    <n v="442.86"/>
    <n v="40.761307833720963"/>
    <n v="117.70169496208672"/>
    <n v="476.88775168498375"/>
    <n v="1126.4399999999998"/>
    <n v="337.24914840000008"/>
    <n v="1283.9811967622104"/>
    <n v="389.36095324236771"/>
    <x v="2"/>
  </r>
  <r>
    <s v="Regular"/>
    <x v="1"/>
    <x v="1"/>
    <x v="2"/>
    <x v="1"/>
    <x v="0"/>
    <x v="1"/>
    <x v="2"/>
    <x v="8"/>
    <n v="210"/>
    <n v="178.5"/>
    <n v="10.762"/>
    <n v="10.11628"/>
    <n v="10.762"/>
    <n v="10.11628"/>
    <n v="0"/>
    <s v="CATIVO"/>
    <n v="0"/>
    <n v="9"/>
    <n v="12"/>
    <n v="38"/>
    <n v="35.76"/>
    <n v="72.150000000000006"/>
    <n v="442.86"/>
    <n v="40.761307833720963"/>
    <n v="117.70169496208672"/>
    <n v="476.88775168498375"/>
    <n v="1126.4399999999998"/>
    <n v="332.55225720000044"/>
    <n v="1283.9811967622104"/>
    <n v="383.93829748894683"/>
    <x v="2"/>
  </r>
  <r>
    <s v="Regular"/>
    <x v="1"/>
    <x v="1"/>
    <x v="2"/>
    <x v="1"/>
    <x v="0"/>
    <x v="1"/>
    <x v="2"/>
    <x v="9"/>
    <n v="210"/>
    <n v="178.5"/>
    <n v="10.159000000000001"/>
    <n v="9.5494599999999998"/>
    <n v="10.159000000000001"/>
    <n v="9.5494599999999998"/>
    <n v="0"/>
    <s v="CATIVO"/>
    <n v="0"/>
    <n v="9"/>
    <n v="12"/>
    <n v="38"/>
    <n v="35.76"/>
    <n v="72.150000000000006"/>
    <n v="442.86"/>
    <n v="40.761307833720963"/>
    <n v="117.70169496208672"/>
    <n v="476.88775168498375"/>
    <n v="1126.4399999999998"/>
    <n v="313.91919540000049"/>
    <n v="1283.9811967622104"/>
    <n v="362.42605130925585"/>
    <x v="2"/>
  </r>
  <r>
    <s v="Regular"/>
    <x v="1"/>
    <x v="1"/>
    <x v="2"/>
    <x v="1"/>
    <x v="0"/>
    <x v="1"/>
    <x v="2"/>
    <x v="10"/>
    <n v="210"/>
    <n v="178.5"/>
    <n v="10.811999999999999"/>
    <n v="10.16328"/>
    <n v="10.811999999999999"/>
    <n v="10.16328"/>
    <n v="0"/>
    <s v="CATIVO"/>
    <n v="0"/>
    <n v="9"/>
    <n v="12"/>
    <n v="38"/>
    <n v="35.76"/>
    <n v="72.150000000000006"/>
    <n v="442.86"/>
    <n v="40.761307833720963"/>
    <n v="117.70169496208672"/>
    <n v="476.88775168498375"/>
    <n v="1126.4399999999998"/>
    <n v="334.09728719999953"/>
    <n v="1283.9811967622104"/>
    <n v="385.72206582888703"/>
    <x v="2"/>
  </r>
  <r>
    <s v="PROJETADO"/>
    <x v="1"/>
    <x v="1"/>
    <x v="2"/>
    <x v="1"/>
    <x v="0"/>
    <x v="1"/>
    <x v="2"/>
    <x v="11"/>
    <n v="210"/>
    <n v="178.5"/>
    <n v="10.811999999999999"/>
    <n v="10.16328"/>
    <n v="10.811999999999999"/>
    <n v="10.16328"/>
    <n v="0"/>
    <s v="CATIVO"/>
    <n v="0"/>
    <n v="9"/>
    <n v="12"/>
    <n v="38"/>
    <n v="35.76"/>
    <n v="72.150000000000006"/>
    <n v="442.86"/>
    <n v="40.761307833720963"/>
    <n v="117.70169496208672"/>
    <n v="476.88775168498375"/>
    <n v="1126.4399999999998"/>
    <n v="334.09728719999953"/>
    <n v="1283.9811967622104"/>
    <n v="385.72206582888703"/>
    <x v="2"/>
  </r>
  <r>
    <s v="Regular"/>
    <x v="1"/>
    <x v="0"/>
    <x v="0"/>
    <x v="0"/>
    <x v="0"/>
    <x v="2"/>
    <x v="0"/>
    <x v="0"/>
    <n v="8780"/>
    <n v="8780"/>
    <n v="0"/>
    <n v="0"/>
    <n v="0"/>
    <n v="0"/>
    <n v="0"/>
    <s v="GERAÇÃO"/>
    <n v="109"/>
    <n v="17"/>
    <n v="0"/>
    <n v="0"/>
    <n v="3.27"/>
    <n v="0"/>
    <n v="0"/>
    <n v="3.7327912974361288"/>
    <m/>
    <m/>
    <n v="0"/>
    <n v="0"/>
    <n v="0"/>
    <n v="0"/>
    <x v="0"/>
  </r>
  <r>
    <s v="Regular"/>
    <x v="1"/>
    <x v="0"/>
    <x v="0"/>
    <x v="0"/>
    <x v="0"/>
    <x v="2"/>
    <x v="0"/>
    <x v="1"/>
    <n v="8780"/>
    <n v="8780"/>
    <n v="0"/>
    <n v="0"/>
    <n v="0"/>
    <n v="0"/>
    <n v="0"/>
    <s v="GERAÇÃO"/>
    <n v="109"/>
    <n v="17"/>
    <n v="0"/>
    <n v="0"/>
    <n v="3.27"/>
    <n v="0"/>
    <n v="0"/>
    <n v="3.7327912974361288"/>
    <m/>
    <m/>
    <n v="0"/>
    <n v="0"/>
    <n v="0"/>
    <n v="0"/>
    <x v="0"/>
  </r>
  <r>
    <s v="Regular"/>
    <x v="1"/>
    <x v="0"/>
    <x v="0"/>
    <x v="0"/>
    <x v="0"/>
    <x v="2"/>
    <x v="0"/>
    <x v="2"/>
    <n v="8780"/>
    <n v="8780"/>
    <n v="0"/>
    <n v="0"/>
    <n v="0"/>
    <n v="0"/>
    <n v="0"/>
    <s v="GERAÇÃO"/>
    <n v="109"/>
    <n v="17"/>
    <n v="0"/>
    <n v="0"/>
    <n v="3.27"/>
    <n v="0"/>
    <n v="0"/>
    <n v="3.7327912974361288"/>
    <m/>
    <m/>
    <n v="0"/>
    <n v="0"/>
    <n v="0"/>
    <n v="0"/>
    <x v="0"/>
  </r>
  <r>
    <s v="Regular"/>
    <x v="1"/>
    <x v="0"/>
    <x v="0"/>
    <x v="0"/>
    <x v="0"/>
    <x v="2"/>
    <x v="0"/>
    <x v="3"/>
    <n v="8780"/>
    <n v="8780"/>
    <n v="0"/>
    <n v="0"/>
    <n v="0"/>
    <n v="0"/>
    <n v="0"/>
    <s v="GERAÇÃO"/>
    <n v="109"/>
    <n v="17"/>
    <n v="0"/>
    <n v="0"/>
    <n v="3.27"/>
    <n v="0"/>
    <n v="0"/>
    <n v="3.7327912974361288"/>
    <m/>
    <m/>
    <n v="0"/>
    <n v="0"/>
    <n v="0"/>
    <n v="0"/>
    <x v="0"/>
  </r>
  <r>
    <s v="Regular"/>
    <x v="1"/>
    <x v="0"/>
    <x v="0"/>
    <x v="0"/>
    <x v="0"/>
    <x v="2"/>
    <x v="0"/>
    <x v="4"/>
    <n v="8780"/>
    <n v="8780"/>
    <n v="0"/>
    <n v="0"/>
    <n v="0"/>
    <n v="0"/>
    <n v="0"/>
    <s v="GERAÇÃO"/>
    <n v="109"/>
    <n v="17"/>
    <n v="0"/>
    <n v="0"/>
    <n v="3.27"/>
    <n v="0"/>
    <n v="0"/>
    <n v="3.7327912974361288"/>
    <m/>
    <m/>
    <n v="0"/>
    <n v="0"/>
    <n v="0"/>
    <n v="0"/>
    <x v="0"/>
  </r>
  <r>
    <s v="Regular"/>
    <x v="1"/>
    <x v="0"/>
    <x v="0"/>
    <x v="0"/>
    <x v="0"/>
    <x v="2"/>
    <x v="0"/>
    <x v="5"/>
    <n v="8780"/>
    <n v="8780"/>
    <n v="0"/>
    <n v="0"/>
    <n v="0"/>
    <n v="0"/>
    <n v="0"/>
    <s v="GERAÇÃO"/>
    <n v="109"/>
    <n v="17"/>
    <n v="0"/>
    <n v="0"/>
    <n v="3.27"/>
    <n v="0"/>
    <n v="0"/>
    <n v="3.7327912974361288"/>
    <m/>
    <m/>
    <n v="0"/>
    <n v="0"/>
    <n v="0"/>
    <n v="0"/>
    <x v="0"/>
  </r>
  <r>
    <s v="Regular"/>
    <x v="1"/>
    <x v="0"/>
    <x v="0"/>
    <x v="0"/>
    <x v="0"/>
    <x v="2"/>
    <x v="0"/>
    <x v="6"/>
    <n v="8780"/>
    <n v="8780"/>
    <n v="0"/>
    <n v="0"/>
    <n v="0"/>
    <n v="0"/>
    <n v="0"/>
    <s v="GERAÇÃO"/>
    <n v="109"/>
    <n v="17"/>
    <n v="0"/>
    <n v="0"/>
    <n v="3.27"/>
    <n v="0"/>
    <n v="0"/>
    <n v="3.7327912974361288"/>
    <m/>
    <m/>
    <n v="0"/>
    <n v="0"/>
    <n v="0"/>
    <n v="0"/>
    <x v="0"/>
  </r>
  <r>
    <s v="Regular"/>
    <x v="1"/>
    <x v="0"/>
    <x v="0"/>
    <x v="0"/>
    <x v="0"/>
    <x v="2"/>
    <x v="0"/>
    <x v="7"/>
    <n v="8780"/>
    <n v="8780"/>
    <n v="0"/>
    <n v="0"/>
    <n v="0"/>
    <n v="0"/>
    <n v="0"/>
    <s v="GERAÇÃO"/>
    <n v="109"/>
    <n v="17"/>
    <n v="0"/>
    <n v="0"/>
    <n v="3.27"/>
    <n v="0"/>
    <n v="0"/>
    <n v="3.7327912974361288"/>
    <m/>
    <m/>
    <n v="0"/>
    <n v="0"/>
    <n v="0"/>
    <n v="0"/>
    <x v="0"/>
  </r>
  <r>
    <s v="Regular"/>
    <x v="1"/>
    <x v="0"/>
    <x v="0"/>
    <x v="0"/>
    <x v="0"/>
    <x v="2"/>
    <x v="0"/>
    <x v="8"/>
    <n v="8780"/>
    <n v="8780"/>
    <n v="0"/>
    <n v="0"/>
    <n v="0"/>
    <n v="0"/>
    <n v="0"/>
    <s v="GERAÇÃO"/>
    <n v="109"/>
    <n v="17"/>
    <n v="0"/>
    <n v="0"/>
    <n v="3.27"/>
    <n v="0"/>
    <n v="0"/>
    <n v="3.7327912974361288"/>
    <m/>
    <m/>
    <n v="0"/>
    <n v="0"/>
    <n v="0"/>
    <n v="0"/>
    <x v="0"/>
  </r>
  <r>
    <s v="Regular"/>
    <x v="1"/>
    <x v="0"/>
    <x v="0"/>
    <x v="0"/>
    <x v="0"/>
    <x v="2"/>
    <x v="0"/>
    <x v="9"/>
    <n v="8780"/>
    <n v="8780"/>
    <n v="0"/>
    <n v="0"/>
    <n v="0"/>
    <n v="0"/>
    <n v="0"/>
    <s v="GERAÇÃO"/>
    <n v="109"/>
    <n v="17"/>
    <n v="0"/>
    <n v="0"/>
    <n v="3.27"/>
    <n v="0"/>
    <n v="0"/>
    <n v="3.7327912974361288"/>
    <m/>
    <m/>
    <n v="0"/>
    <n v="0"/>
    <n v="0"/>
    <n v="0"/>
    <x v="0"/>
  </r>
  <r>
    <s v="Regular"/>
    <x v="1"/>
    <x v="0"/>
    <x v="0"/>
    <x v="0"/>
    <x v="0"/>
    <x v="2"/>
    <x v="0"/>
    <x v="10"/>
    <n v="8780"/>
    <n v="8780"/>
    <n v="0"/>
    <n v="0"/>
    <n v="0"/>
    <n v="0"/>
    <n v="0"/>
    <s v="GERAÇÃO"/>
    <n v="109"/>
    <n v="17"/>
    <n v="0"/>
    <n v="0"/>
    <n v="3.27"/>
    <n v="0"/>
    <n v="0"/>
    <n v="3.7327912974361288"/>
    <m/>
    <m/>
    <n v="0"/>
    <n v="0"/>
    <n v="0"/>
    <n v="0"/>
    <x v="0"/>
  </r>
  <r>
    <s v="PROJETADO"/>
    <x v="1"/>
    <x v="0"/>
    <x v="0"/>
    <x v="0"/>
    <x v="0"/>
    <x v="2"/>
    <x v="0"/>
    <x v="11"/>
    <n v="8780"/>
    <n v="8780"/>
    <n v="0"/>
    <n v="0"/>
    <n v="0"/>
    <n v="0"/>
    <n v="0"/>
    <s v="GERAÇÃO"/>
    <n v="109"/>
    <n v="17"/>
    <n v="0"/>
    <n v="0"/>
    <n v="3.27"/>
    <n v="0"/>
    <n v="0"/>
    <n v="3.7327912974361288"/>
    <m/>
    <m/>
    <n v="0"/>
    <n v="0"/>
    <n v="0"/>
    <n v="0"/>
    <x v="0"/>
  </r>
  <r>
    <s v="Regular"/>
    <x v="1"/>
    <x v="2"/>
    <x v="1"/>
    <x v="0"/>
    <x v="1"/>
    <x v="1"/>
    <x v="1"/>
    <x v="0"/>
    <n v="0"/>
    <n v="0"/>
    <n v="1753.7190000000001"/>
    <n v="1753.7190000000001"/>
    <n v="0"/>
    <n v="0"/>
    <n v="0"/>
    <s v="LIVRE"/>
    <n v="0"/>
    <n v="0"/>
    <n v="6"/>
    <n v="0"/>
    <n v="0"/>
    <n v="72.150000000000006"/>
    <n v="0"/>
    <m/>
    <n v="117.70169496208672"/>
    <m/>
    <n v="0"/>
    <n v="0"/>
    <n v="0"/>
    <n v="0"/>
    <x v="1"/>
  </r>
  <r>
    <s v="Regular"/>
    <x v="1"/>
    <x v="2"/>
    <x v="1"/>
    <x v="0"/>
    <x v="1"/>
    <x v="1"/>
    <x v="1"/>
    <x v="1"/>
    <n v="0"/>
    <n v="0"/>
    <n v="1678.8050000000001"/>
    <n v="1678.8050000000001"/>
    <n v="0"/>
    <n v="0"/>
    <n v="0"/>
    <s v="LIVRE"/>
    <n v="0"/>
    <n v="0"/>
    <n v="6"/>
    <n v="0"/>
    <n v="0"/>
    <n v="72.150000000000006"/>
    <n v="0"/>
    <m/>
    <n v="117.70169496208672"/>
    <m/>
    <n v="0"/>
    <n v="0"/>
    <n v="0"/>
    <n v="0"/>
    <x v="1"/>
  </r>
  <r>
    <s v="Regular"/>
    <x v="1"/>
    <x v="2"/>
    <x v="1"/>
    <x v="0"/>
    <x v="1"/>
    <x v="1"/>
    <x v="1"/>
    <x v="2"/>
    <n v="0"/>
    <n v="0"/>
    <n v="1693.835"/>
    <n v="1693.835"/>
    <n v="0"/>
    <n v="0"/>
    <n v="0"/>
    <s v="LIVRE"/>
    <n v="0"/>
    <n v="0"/>
    <n v="6"/>
    <n v="0"/>
    <n v="0"/>
    <n v="72.150000000000006"/>
    <n v="0"/>
    <m/>
    <n v="117.70169496208672"/>
    <m/>
    <n v="0"/>
    <n v="0"/>
    <n v="0"/>
    <n v="0"/>
    <x v="1"/>
  </r>
  <r>
    <s v="Regular"/>
    <x v="1"/>
    <x v="2"/>
    <x v="1"/>
    <x v="0"/>
    <x v="1"/>
    <x v="1"/>
    <x v="1"/>
    <x v="3"/>
    <n v="0"/>
    <n v="0"/>
    <n v="1820.998"/>
    <n v="1820.998"/>
    <n v="0"/>
    <n v="0"/>
    <n v="0"/>
    <s v="LIVRE"/>
    <n v="0"/>
    <n v="0"/>
    <n v="6"/>
    <n v="0"/>
    <n v="0"/>
    <n v="72.150000000000006"/>
    <n v="0"/>
    <m/>
    <n v="117.70169496208672"/>
    <m/>
    <n v="0"/>
    <n v="0"/>
    <n v="0"/>
    <n v="0"/>
    <x v="1"/>
  </r>
  <r>
    <s v="Regular"/>
    <x v="1"/>
    <x v="2"/>
    <x v="1"/>
    <x v="0"/>
    <x v="1"/>
    <x v="1"/>
    <x v="1"/>
    <x v="4"/>
    <n v="0"/>
    <n v="0"/>
    <n v="1778.502"/>
    <n v="1778.502"/>
    <n v="0"/>
    <n v="0"/>
    <n v="0"/>
    <s v="LIVRE"/>
    <n v="0"/>
    <n v="0"/>
    <n v="6"/>
    <n v="0"/>
    <n v="0"/>
    <n v="72.150000000000006"/>
    <n v="0"/>
    <m/>
    <n v="117.70169496208672"/>
    <m/>
    <n v="0"/>
    <n v="0"/>
    <n v="0"/>
    <n v="0"/>
    <x v="1"/>
  </r>
  <r>
    <s v="Regular"/>
    <x v="1"/>
    <x v="2"/>
    <x v="1"/>
    <x v="0"/>
    <x v="1"/>
    <x v="1"/>
    <x v="1"/>
    <x v="5"/>
    <n v="0"/>
    <n v="0"/>
    <n v="2134.7739999999999"/>
    <n v="2134.7739999999999"/>
    <n v="0"/>
    <n v="0"/>
    <n v="0"/>
    <s v="LIVRE"/>
    <n v="0"/>
    <n v="0"/>
    <n v="6"/>
    <n v="0"/>
    <n v="0"/>
    <n v="72.150000000000006"/>
    <n v="0"/>
    <m/>
    <n v="117.70169496208672"/>
    <m/>
    <n v="0"/>
    <n v="0"/>
    <n v="0"/>
    <n v="0"/>
    <x v="1"/>
  </r>
  <r>
    <s v="Regular"/>
    <x v="1"/>
    <x v="2"/>
    <x v="1"/>
    <x v="0"/>
    <x v="1"/>
    <x v="1"/>
    <x v="1"/>
    <x v="6"/>
    <n v="0"/>
    <n v="0"/>
    <n v="1901.9580000000001"/>
    <n v="1901.9580000000001"/>
    <n v="0"/>
    <n v="0"/>
    <n v="0"/>
    <s v="LIVRE"/>
    <n v="0"/>
    <n v="0"/>
    <n v="6"/>
    <n v="0"/>
    <n v="0"/>
    <n v="72.150000000000006"/>
    <n v="0"/>
    <m/>
    <n v="117.70169496208672"/>
    <m/>
    <n v="0"/>
    <n v="0"/>
    <n v="0"/>
    <n v="0"/>
    <x v="1"/>
  </r>
  <r>
    <s v="Regular"/>
    <x v="1"/>
    <x v="2"/>
    <x v="1"/>
    <x v="0"/>
    <x v="1"/>
    <x v="1"/>
    <x v="1"/>
    <x v="7"/>
    <n v="0"/>
    <n v="0"/>
    <n v="1849.085"/>
    <n v="1849.085"/>
    <n v="0"/>
    <n v="0"/>
    <n v="0"/>
    <s v="LIVRE"/>
    <n v="0"/>
    <n v="0"/>
    <n v="6"/>
    <n v="0"/>
    <n v="0"/>
    <n v="72.150000000000006"/>
    <n v="0"/>
    <m/>
    <n v="117.70169496208672"/>
    <m/>
    <n v="0"/>
    <n v="0"/>
    <n v="0"/>
    <n v="0"/>
    <x v="1"/>
  </r>
  <r>
    <s v="Regular"/>
    <x v="1"/>
    <x v="2"/>
    <x v="1"/>
    <x v="0"/>
    <x v="1"/>
    <x v="1"/>
    <x v="1"/>
    <x v="8"/>
    <n v="0"/>
    <n v="0"/>
    <n v="1817.01"/>
    <n v="1817.01"/>
    <n v="0"/>
    <n v="0"/>
    <n v="0"/>
    <s v="LIVRE"/>
    <n v="0"/>
    <n v="0"/>
    <n v="6"/>
    <n v="0"/>
    <n v="0"/>
    <n v="72.150000000000006"/>
    <n v="0"/>
    <m/>
    <n v="117.70169496208672"/>
    <m/>
    <n v="0"/>
    <n v="0"/>
    <n v="0"/>
    <n v="0"/>
    <x v="1"/>
  </r>
  <r>
    <s v="Regular"/>
    <x v="1"/>
    <x v="2"/>
    <x v="1"/>
    <x v="0"/>
    <x v="1"/>
    <x v="1"/>
    <x v="1"/>
    <x v="9"/>
    <n v="0"/>
    <n v="0"/>
    <n v="1863.682"/>
    <n v="1863.682"/>
    <n v="0"/>
    <n v="0"/>
    <n v="0"/>
    <s v="LIVRE"/>
    <n v="0"/>
    <n v="0"/>
    <n v="6"/>
    <n v="0"/>
    <n v="0"/>
    <n v="72.150000000000006"/>
    <n v="0"/>
    <m/>
    <n v="117.70169496208672"/>
    <m/>
    <n v="0"/>
    <n v="0"/>
    <n v="0"/>
    <n v="0"/>
    <x v="1"/>
  </r>
  <r>
    <s v="Regular"/>
    <x v="1"/>
    <x v="2"/>
    <x v="1"/>
    <x v="0"/>
    <x v="1"/>
    <x v="1"/>
    <x v="1"/>
    <x v="10"/>
    <n v="0"/>
    <n v="0"/>
    <n v="1955.509"/>
    <n v="1955.509"/>
    <n v="0"/>
    <n v="0"/>
    <n v="0"/>
    <s v="LIVRE"/>
    <n v="0"/>
    <n v="0"/>
    <n v="6"/>
    <n v="0"/>
    <n v="0"/>
    <n v="72.150000000000006"/>
    <n v="0"/>
    <m/>
    <n v="117.70169496208672"/>
    <m/>
    <n v="0"/>
    <n v="0"/>
    <n v="0"/>
    <n v="0"/>
    <x v="1"/>
  </r>
  <r>
    <s v="PROJETADO"/>
    <x v="1"/>
    <x v="2"/>
    <x v="1"/>
    <x v="0"/>
    <x v="1"/>
    <x v="1"/>
    <x v="1"/>
    <x v="11"/>
    <n v="0"/>
    <n v="0"/>
    <n v="1955.509"/>
    <n v="1955.509"/>
    <n v="0"/>
    <n v="0"/>
    <n v="0"/>
    <s v="LIVRE"/>
    <n v="0"/>
    <n v="0"/>
    <n v="6"/>
    <n v="0"/>
    <n v="0"/>
    <n v="72.150000000000006"/>
    <n v="0"/>
    <m/>
    <n v="117.70169496208672"/>
    <m/>
    <n v="0"/>
    <n v="0"/>
    <n v="0"/>
    <n v="0"/>
    <x v="1"/>
  </r>
  <r>
    <s v="Regular"/>
    <x v="1"/>
    <x v="2"/>
    <x v="1"/>
    <x v="0"/>
    <x v="1"/>
    <x v="1"/>
    <x v="0"/>
    <x v="0"/>
    <n v="5385"/>
    <n v="4382.6265147000004"/>
    <n v="0"/>
    <n v="0"/>
    <n v="0"/>
    <n v="0"/>
    <n v="9"/>
    <s v="LIVRE"/>
    <n v="0"/>
    <n v="20"/>
    <n v="0"/>
    <n v="0"/>
    <n v="14"/>
    <n v="0"/>
    <n v="0"/>
    <n v="15.925787521209683"/>
    <m/>
    <m/>
    <n v="14033.228794199995"/>
    <n v="0"/>
    <n v="15963.587143782192"/>
    <n v="0"/>
    <x v="1"/>
  </r>
  <r>
    <s v="Regular"/>
    <x v="1"/>
    <x v="2"/>
    <x v="1"/>
    <x v="0"/>
    <x v="1"/>
    <x v="1"/>
    <x v="0"/>
    <x v="1"/>
    <n v="5464"/>
    <n v="2639.6861571200002"/>
    <n v="0"/>
    <n v="0"/>
    <n v="0"/>
    <n v="0"/>
    <n v="9"/>
    <s v="LIVRE"/>
    <n v="0"/>
    <n v="20"/>
    <n v="0"/>
    <n v="0"/>
    <n v="14"/>
    <n v="0"/>
    <n v="0"/>
    <n v="15.925787521209683"/>
    <m/>
    <m/>
    <n v="39540.393800319995"/>
    <n v="0"/>
    <n v="44979.422154918066"/>
    <n v="0"/>
    <x v="1"/>
  </r>
  <r>
    <s v="Regular"/>
    <x v="1"/>
    <x v="2"/>
    <x v="1"/>
    <x v="0"/>
    <x v="1"/>
    <x v="1"/>
    <x v="0"/>
    <x v="2"/>
    <n v="5699"/>
    <n v="1816.6392844300001"/>
    <n v="0"/>
    <n v="0"/>
    <n v="0"/>
    <n v="0"/>
    <n v="11"/>
    <s v="LIVRE"/>
    <n v="0"/>
    <n v="20"/>
    <n v="0"/>
    <n v="0"/>
    <n v="14"/>
    <n v="0"/>
    <n v="0"/>
    <n v="15.925787521209683"/>
    <m/>
    <m/>
    <n v="54353.05001798"/>
    <n v="0"/>
    <n v="61829.651836859404"/>
    <n v="0"/>
    <x v="1"/>
  </r>
  <r>
    <s v="Regular"/>
    <x v="1"/>
    <x v="2"/>
    <x v="1"/>
    <x v="0"/>
    <x v="1"/>
    <x v="1"/>
    <x v="0"/>
    <x v="3"/>
    <n v="6247"/>
    <n v="3020.874284"/>
    <n v="0"/>
    <n v="0"/>
    <n v="0"/>
    <n v="0"/>
    <n v="12"/>
    <s v="LIVRE"/>
    <n v="0"/>
    <n v="20"/>
    <n v="0"/>
    <n v="0"/>
    <n v="14"/>
    <n v="0"/>
    <n v="0"/>
    <n v="15.925787521209683"/>
    <m/>
    <m/>
    <n v="45165.760024000003"/>
    <n v="0"/>
    <n v="51378.592669726451"/>
    <n v="0"/>
    <x v="1"/>
  </r>
  <r>
    <s v="Regular"/>
    <x v="1"/>
    <x v="2"/>
    <x v="1"/>
    <x v="0"/>
    <x v="1"/>
    <x v="1"/>
    <x v="0"/>
    <x v="4"/>
    <n v="6434"/>
    <n v="3202.3385868400001"/>
    <n v="0"/>
    <n v="0"/>
    <n v="0"/>
    <n v="0"/>
    <n v="13"/>
    <s v="LIVRE"/>
    <n v="0"/>
    <n v="20"/>
    <n v="0"/>
    <n v="0"/>
    <n v="14"/>
    <n v="0"/>
    <n v="0"/>
    <n v="15.925787521209683"/>
    <m/>
    <m/>
    <n v="45243.259784239999"/>
    <n v="0"/>
    <n v="51466.753006478379"/>
    <n v="0"/>
    <x v="1"/>
  </r>
  <r>
    <s v="Regular"/>
    <x v="1"/>
    <x v="2"/>
    <x v="1"/>
    <x v="0"/>
    <x v="1"/>
    <x v="1"/>
    <x v="0"/>
    <x v="5"/>
    <n v="6719"/>
    <n v="3187.2271244600001"/>
    <n v="0"/>
    <n v="0"/>
    <n v="0"/>
    <n v="0"/>
    <n v="15"/>
    <s v="LIVRE"/>
    <n v="0"/>
    <n v="20"/>
    <n v="0"/>
    <n v="0"/>
    <n v="14"/>
    <n v="0"/>
    <n v="0"/>
    <n v="15.925787521209683"/>
    <m/>
    <m/>
    <n v="49444.820257560001"/>
    <n v="0"/>
    <n v="56246.264389021766"/>
    <n v="0"/>
    <x v="1"/>
  </r>
  <r>
    <s v="Regular"/>
    <x v="1"/>
    <x v="2"/>
    <x v="1"/>
    <x v="0"/>
    <x v="1"/>
    <x v="1"/>
    <x v="0"/>
    <x v="6"/>
    <n v="6697"/>
    <n v="3460.6249912899998"/>
    <n v="0"/>
    <n v="0"/>
    <n v="0"/>
    <n v="0"/>
    <n v="15"/>
    <s v="LIVRE"/>
    <n v="0"/>
    <n v="20"/>
    <n v="0"/>
    <n v="0"/>
    <n v="14"/>
    <n v="0"/>
    <n v="0"/>
    <n v="15.925787521209683"/>
    <m/>
    <m/>
    <n v="45309.25012194"/>
    <n v="0"/>
    <n v="51541.820727668601"/>
    <n v="0"/>
    <x v="1"/>
  </r>
  <r>
    <s v="Regular"/>
    <x v="1"/>
    <x v="2"/>
    <x v="1"/>
    <x v="0"/>
    <x v="1"/>
    <x v="1"/>
    <x v="0"/>
    <x v="7"/>
    <n v="7006"/>
    <n v="3237.26858528"/>
    <n v="0"/>
    <n v="0"/>
    <n v="0"/>
    <n v="0"/>
    <n v="16"/>
    <s v="LIVRE"/>
    <n v="0"/>
    <n v="20"/>
    <n v="0"/>
    <n v="0"/>
    <n v="14"/>
    <n v="0"/>
    <n v="0"/>
    <n v="15.925787521209683"/>
    <m/>
    <m/>
    <n v="52762.239806079997"/>
    <n v="0"/>
    <n v="60020.015735338689"/>
    <n v="0"/>
    <x v="1"/>
  </r>
  <r>
    <s v="Regular"/>
    <x v="1"/>
    <x v="2"/>
    <x v="1"/>
    <x v="0"/>
    <x v="1"/>
    <x v="1"/>
    <x v="0"/>
    <x v="8"/>
    <n v="7138"/>
    <n v="3276.37140856"/>
    <n v="0"/>
    <n v="0"/>
    <n v="0"/>
    <n v="0"/>
    <n v="16"/>
    <s v="LIVRE"/>
    <n v="0"/>
    <n v="20"/>
    <n v="0"/>
    <n v="0"/>
    <n v="14"/>
    <n v="0"/>
    <n v="0"/>
    <n v="15.925787521209683"/>
    <m/>
    <m/>
    <n v="54062.800280160001"/>
    <n v="0"/>
    <n v="61499.476433101678"/>
    <n v="0"/>
    <x v="1"/>
  </r>
  <r>
    <s v="Regular"/>
    <x v="1"/>
    <x v="2"/>
    <x v="1"/>
    <x v="0"/>
    <x v="1"/>
    <x v="1"/>
    <x v="0"/>
    <x v="9"/>
    <n v="7158"/>
    <n v="3383.4035699400001"/>
    <n v="0"/>
    <n v="0"/>
    <n v="0"/>
    <n v="0"/>
    <n v="16"/>
    <s v="LIVRE"/>
    <n v="0"/>
    <n v="20"/>
    <n v="0"/>
    <n v="0"/>
    <n v="14"/>
    <n v="0"/>
    <n v="0"/>
    <n v="15.925787521209683"/>
    <m/>
    <m/>
    <n v="52844.35002084"/>
    <n v="0"/>
    <n v="60113.420723452167"/>
    <n v="0"/>
    <x v="1"/>
  </r>
  <r>
    <s v="Regular"/>
    <x v="1"/>
    <x v="2"/>
    <x v="1"/>
    <x v="0"/>
    <x v="1"/>
    <x v="1"/>
    <x v="0"/>
    <x v="10"/>
    <n v="7177"/>
    <n v="3390.3400156600001"/>
    <n v="0"/>
    <n v="0"/>
    <n v="0"/>
    <n v="0"/>
    <n v="16"/>
    <s v="LIVRE"/>
    <n v="0"/>
    <n v="20"/>
    <n v="0"/>
    <n v="0"/>
    <n v="14"/>
    <n v="0"/>
    <n v="0"/>
    <n v="15.925787521209683"/>
    <m/>
    <m/>
    <n v="53013.239780759999"/>
    <n v="0"/>
    <n v="60305.542325666021"/>
    <n v="0"/>
    <x v="1"/>
  </r>
  <r>
    <s v="PROJETADO"/>
    <x v="1"/>
    <x v="2"/>
    <x v="1"/>
    <x v="0"/>
    <x v="1"/>
    <x v="1"/>
    <x v="0"/>
    <x v="11"/>
    <n v="7177"/>
    <n v="3390.3400156600001"/>
    <n v="0"/>
    <n v="0"/>
    <n v="0"/>
    <n v="0"/>
    <n v="16"/>
    <s v="LIVRE"/>
    <n v="0"/>
    <n v="20"/>
    <n v="0"/>
    <n v="0"/>
    <n v="14"/>
    <n v="0"/>
    <n v="0"/>
    <n v="15.925787521209683"/>
    <m/>
    <m/>
    <n v="53013.239780759999"/>
    <n v="0"/>
    <n v="60305.542325666021"/>
    <n v="0"/>
    <x v="1"/>
  </r>
  <r>
    <s v="Regular"/>
    <x v="1"/>
    <x v="2"/>
    <x v="1"/>
    <x v="0"/>
    <x v="1"/>
    <x v="1"/>
    <x v="2"/>
    <x v="0"/>
    <n v="0"/>
    <n v="0"/>
    <n v="121.318"/>
    <n v="108.06427661278001"/>
    <n v="0"/>
    <n v="0"/>
    <n v="0"/>
    <s v="LIVRE"/>
    <n v="0"/>
    <n v="0"/>
    <n v="8"/>
    <n v="0"/>
    <n v="0"/>
    <n v="940.43"/>
    <n v="0"/>
    <m/>
    <n v="1108.3660770518723"/>
    <m/>
    <n v="0"/>
    <n v="12464.199085043296"/>
    <n v="0"/>
    <n v="14689.977397023675"/>
    <x v="1"/>
  </r>
  <r>
    <s v="Regular"/>
    <x v="1"/>
    <x v="2"/>
    <x v="1"/>
    <x v="0"/>
    <x v="1"/>
    <x v="1"/>
    <x v="2"/>
    <x v="1"/>
    <n v="0"/>
    <n v="0"/>
    <n v="138.202"/>
    <n v="73.546681935999999"/>
    <n v="0"/>
    <n v="0"/>
    <n v="0"/>
    <s v="LIVRE"/>
    <n v="0"/>
    <n v="0"/>
    <n v="8"/>
    <n v="0"/>
    <n v="0"/>
    <n v="940.43"/>
    <n v="0"/>
    <m/>
    <n v="1108.3660770518723"/>
    <m/>
    <n v="0"/>
    <n v="60803.800766927518"/>
    <n v="0"/>
    <n v="71661.761243136731"/>
    <x v="1"/>
  </r>
  <r>
    <s v="Regular"/>
    <x v="1"/>
    <x v="2"/>
    <x v="1"/>
    <x v="0"/>
    <x v="1"/>
    <x v="1"/>
    <x v="2"/>
    <x v="2"/>
    <n v="0"/>
    <n v="0"/>
    <n v="183.863"/>
    <n v="82.91051747457"/>
    <n v="0"/>
    <n v="0"/>
    <n v="0"/>
    <s v="LIVRE"/>
    <n v="0"/>
    <n v="0"/>
    <n v="8"/>
    <n v="0"/>
    <n v="0"/>
    <n v="940.43"/>
    <n v="0"/>
    <m/>
    <n v="1108.3660770518723"/>
    <m/>
    <n v="0"/>
    <n v="94938.743141390136"/>
    <n v="0"/>
    <n v="111892.30702535853"/>
    <x v="1"/>
  </r>
  <r>
    <s v="Regular"/>
    <x v="1"/>
    <x v="2"/>
    <x v="1"/>
    <x v="0"/>
    <x v="1"/>
    <x v="1"/>
    <x v="2"/>
    <x v="3"/>
    <n v="0"/>
    <n v="0"/>
    <n v="176.209"/>
    <n v="94.779071372480004"/>
    <n v="0"/>
    <n v="0"/>
    <n v="0"/>
    <s v="LIVRE"/>
    <n v="0"/>
    <n v="0"/>
    <n v="8"/>
    <n v="0"/>
    <n v="0"/>
    <n v="940.43"/>
    <n v="0"/>
    <m/>
    <n v="1108.3660770518723"/>
    <m/>
    <n v="0"/>
    <n v="76579.147779178631"/>
    <n v="0"/>
    <n v="90254.170547498288"/>
    <x v="1"/>
  </r>
  <r>
    <s v="Regular"/>
    <x v="1"/>
    <x v="2"/>
    <x v="1"/>
    <x v="0"/>
    <x v="1"/>
    <x v="1"/>
    <x v="2"/>
    <x v="4"/>
    <n v="0"/>
    <n v="0"/>
    <n v="182.48099999999999"/>
    <n v="98.261492971199999"/>
    <n v="0"/>
    <n v="0"/>
    <n v="0"/>
    <s v="LIVRE"/>
    <n v="0"/>
    <n v="0"/>
    <n v="8"/>
    <n v="0"/>
    <n v="0"/>
    <n v="940.43"/>
    <n v="0"/>
    <m/>
    <n v="1108.3660770518723"/>
    <m/>
    <n v="0"/>
    <n v="79202.550995094382"/>
    <n v="0"/>
    <n v="93346.044616753628"/>
    <x v="1"/>
  </r>
  <r>
    <s v="Regular"/>
    <x v="1"/>
    <x v="2"/>
    <x v="1"/>
    <x v="0"/>
    <x v="1"/>
    <x v="1"/>
    <x v="2"/>
    <x v="5"/>
    <n v="0"/>
    <n v="0"/>
    <n v="216.84899999999999"/>
    <n v="113.59783189716001"/>
    <n v="0"/>
    <n v="0"/>
    <n v="0"/>
    <s v="LIVRE"/>
    <n v="0"/>
    <n v="0"/>
    <n v="8"/>
    <n v="0"/>
    <n v="0"/>
    <n v="940.43"/>
    <n v="0"/>
    <m/>
    <n v="1108.3660770518723"/>
    <m/>
    <n v="0"/>
    <n v="97100.496018953796"/>
    <n v="0"/>
    <n v="114440.09214116816"/>
    <x v="1"/>
  </r>
  <r>
    <s v="Regular"/>
    <x v="1"/>
    <x v="2"/>
    <x v="1"/>
    <x v="0"/>
    <x v="1"/>
    <x v="1"/>
    <x v="2"/>
    <x v="6"/>
    <n v="0"/>
    <n v="0"/>
    <n v="175.78700000000001"/>
    <n v="98.715021550540001"/>
    <n v="0"/>
    <n v="0"/>
    <n v="0"/>
    <s v="LIVRE"/>
    <n v="0"/>
    <n v="0"/>
    <n v="8"/>
    <n v="0"/>
    <n v="0"/>
    <n v="940.43"/>
    <n v="0"/>
    <m/>
    <n v="1108.3660770518723"/>
    <m/>
    <n v="0"/>
    <n v="72480.800693225669"/>
    <n v="0"/>
    <n v="85423.96640465442"/>
    <x v="1"/>
  </r>
  <r>
    <s v="Regular"/>
    <x v="1"/>
    <x v="2"/>
    <x v="1"/>
    <x v="0"/>
    <x v="1"/>
    <x v="1"/>
    <x v="2"/>
    <x v="7"/>
    <n v="0"/>
    <n v="0"/>
    <n v="188.727"/>
    <n v="100.25089915764001"/>
    <n v="0"/>
    <n v="0"/>
    <n v="0"/>
    <s v="LIVRE"/>
    <n v="0"/>
    <n v="0"/>
    <n v="8"/>
    <n v="0"/>
    <n v="0"/>
    <n v="940.43"/>
    <n v="0"/>
    <m/>
    <n v="1108.3660770518723"/>
    <m/>
    <n v="0"/>
    <n v="83205.579515180609"/>
    <n v="0"/>
    <n v="98063.908803492406"/>
    <x v="1"/>
  </r>
  <r>
    <s v="Regular"/>
    <x v="1"/>
    <x v="2"/>
    <x v="1"/>
    <x v="0"/>
    <x v="1"/>
    <x v="1"/>
    <x v="2"/>
    <x v="8"/>
    <n v="0"/>
    <n v="0"/>
    <n v="179.56100000000001"/>
    <n v="92.625512965469994"/>
    <n v="0"/>
    <n v="0"/>
    <n v="0"/>
    <s v="LIVRE"/>
    <n v="0"/>
    <n v="0"/>
    <n v="8"/>
    <n v="0"/>
    <n v="0"/>
    <n v="940.43"/>
    <n v="0"/>
    <m/>
    <n v="1108.3660770518723"/>
    <m/>
    <n v="0"/>
    <n v="81756.740071883061"/>
    <n v="0"/>
    <n v="96356.344721055939"/>
    <x v="1"/>
  </r>
  <r>
    <s v="Regular"/>
    <x v="1"/>
    <x v="2"/>
    <x v="1"/>
    <x v="0"/>
    <x v="1"/>
    <x v="1"/>
    <x v="2"/>
    <x v="9"/>
    <n v="0"/>
    <n v="0"/>
    <n v="167.62700000000001"/>
    <n v="88.032715173019994"/>
    <n v="0"/>
    <n v="0"/>
    <n v="0"/>
    <s v="LIVRE"/>
    <n v="0"/>
    <n v="0"/>
    <n v="8"/>
    <n v="0"/>
    <n v="0"/>
    <n v="940.43"/>
    <n v="0"/>
    <m/>
    <n v="1108.3660770518723"/>
    <m/>
    <n v="0"/>
    <n v="74852.853279836811"/>
    <n v="0"/>
    <n v="88219.605229429202"/>
    <x v="1"/>
  </r>
  <r>
    <s v="Regular"/>
    <x v="1"/>
    <x v="2"/>
    <x v="1"/>
    <x v="0"/>
    <x v="1"/>
    <x v="1"/>
    <x v="2"/>
    <x v="10"/>
    <n v="0"/>
    <n v="0"/>
    <n v="201.63499999999999"/>
    <n v="106.0584009527"/>
    <n v="0"/>
    <n v="0"/>
    <n v="0"/>
    <s v="LIVRE"/>
    <n v="0"/>
    <n v="0"/>
    <n v="8"/>
    <n v="0"/>
    <n v="0"/>
    <n v="940.43"/>
    <n v="0"/>
    <m/>
    <n v="1108.3660770518723"/>
    <m/>
    <n v="0"/>
    <n v="89883.101042052323"/>
    <n v="0"/>
    <n v="105933.86014401561"/>
    <x v="1"/>
  </r>
  <r>
    <s v="PROJETADO"/>
    <x v="1"/>
    <x v="2"/>
    <x v="1"/>
    <x v="0"/>
    <x v="1"/>
    <x v="1"/>
    <x v="2"/>
    <x v="11"/>
    <n v="0"/>
    <n v="0"/>
    <n v="201.63499999999999"/>
    <n v="106.0584009527"/>
    <n v="0"/>
    <n v="0"/>
    <n v="0"/>
    <s v="LIVRE"/>
    <n v="0"/>
    <n v="0"/>
    <n v="8"/>
    <n v="0"/>
    <n v="0"/>
    <n v="940.43"/>
    <n v="0"/>
    <m/>
    <n v="1108.3660770518723"/>
    <m/>
    <n v="0"/>
    <n v="89883.101042052323"/>
    <n v="0"/>
    <n v="105933.86014401561"/>
    <x v="1"/>
  </r>
  <r>
    <s v="Regular"/>
    <x v="1"/>
    <x v="2"/>
    <x v="3"/>
    <x v="0"/>
    <x v="0"/>
    <x v="1"/>
    <x v="1"/>
    <x v="0"/>
    <n v="0"/>
    <n v="0"/>
    <n v="113.935"/>
    <n v="109.3776"/>
    <n v="113.935"/>
    <n v="109.3776"/>
    <n v="0"/>
    <s v="CATIVO"/>
    <n v="0"/>
    <n v="0"/>
    <n v="6"/>
    <n v="61"/>
    <n v="0"/>
    <n v="72.150000000000006"/>
    <n v="278.67"/>
    <m/>
    <n v="117.70169496208672"/>
    <n v="295.87360985530717"/>
    <n v="0"/>
    <n v="1598.8270680000005"/>
    <n v="0"/>
    <n v="1884.8280941747912"/>
    <x v="3"/>
  </r>
  <r>
    <s v="Regular"/>
    <x v="1"/>
    <x v="2"/>
    <x v="3"/>
    <x v="0"/>
    <x v="0"/>
    <x v="1"/>
    <x v="1"/>
    <x v="1"/>
    <n v="0"/>
    <n v="0"/>
    <n v="110.267"/>
    <n v="105.85632"/>
    <n v="110.267"/>
    <n v="105.85632"/>
    <n v="0"/>
    <s v="CATIVO"/>
    <n v="0"/>
    <n v="0"/>
    <n v="6"/>
    <n v="61"/>
    <n v="0"/>
    <n v="72.150000000000006"/>
    <n v="278.67"/>
    <m/>
    <n v="117.70169496208672"/>
    <n v="295.87360985530717"/>
    <n v="0"/>
    <n v="1547.3547575999999"/>
    <n v="0"/>
    <n v="1824.1483254519826"/>
    <x v="3"/>
  </r>
  <r>
    <s v="Regular"/>
    <x v="1"/>
    <x v="2"/>
    <x v="3"/>
    <x v="0"/>
    <x v="0"/>
    <x v="1"/>
    <x v="1"/>
    <x v="2"/>
    <n v="0"/>
    <n v="0"/>
    <n v="111.45"/>
    <n v="106.992"/>
    <n v="111.45"/>
    <n v="106.992"/>
    <n v="0"/>
    <s v="CATIVO"/>
    <n v="0"/>
    <n v="0"/>
    <n v="6"/>
    <n v="61"/>
    <n v="0"/>
    <n v="72.150000000000006"/>
    <n v="278.67"/>
    <m/>
    <n v="117.70169496208672"/>
    <n v="295.87360985530717"/>
    <n v="0"/>
    <n v="1563.9555599999994"/>
    <n v="0"/>
    <n v="1843.7187088759413"/>
    <x v="3"/>
  </r>
  <r>
    <s v="Regular"/>
    <x v="1"/>
    <x v="2"/>
    <x v="3"/>
    <x v="0"/>
    <x v="0"/>
    <x v="1"/>
    <x v="1"/>
    <x v="3"/>
    <n v="0"/>
    <n v="0"/>
    <n v="107.66800000000001"/>
    <n v="103.36127999999999"/>
    <n v="107.66800000000001"/>
    <n v="103.36127999999999"/>
    <n v="0"/>
    <s v="CATIVO"/>
    <n v="0"/>
    <n v="0"/>
    <n v="6"/>
    <n v="61"/>
    <n v="0"/>
    <n v="72.150000000000006"/>
    <n v="278.67"/>
    <m/>
    <n v="117.70169496208672"/>
    <n v="295.87360985530717"/>
    <n v="0"/>
    <n v="1510.8835104000045"/>
    <n v="0"/>
    <n v="1781.1530367631717"/>
    <x v="3"/>
  </r>
  <r>
    <s v="Regular"/>
    <x v="1"/>
    <x v="2"/>
    <x v="3"/>
    <x v="0"/>
    <x v="0"/>
    <x v="1"/>
    <x v="1"/>
    <x v="4"/>
    <n v="0"/>
    <n v="0"/>
    <n v="93.82"/>
    <n v="90.0672"/>
    <n v="93.82"/>
    <n v="90.0672"/>
    <n v="0"/>
    <s v="CATIVO"/>
    <n v="0"/>
    <n v="0"/>
    <n v="6"/>
    <n v="61"/>
    <n v="0"/>
    <n v="72.150000000000006"/>
    <n v="278.67"/>
    <m/>
    <n v="117.70169496208672"/>
    <n v="295.87360985530717"/>
    <n v="0"/>
    <n v="1316.5572959999977"/>
    <n v="0"/>
    <n v="1552.0654039187132"/>
    <x v="3"/>
  </r>
  <r>
    <s v="Regular"/>
    <x v="1"/>
    <x v="2"/>
    <x v="3"/>
    <x v="0"/>
    <x v="0"/>
    <x v="1"/>
    <x v="1"/>
    <x v="5"/>
    <n v="0"/>
    <n v="0"/>
    <n v="106.645"/>
    <n v="102.3792"/>
    <n v="106.645"/>
    <n v="102.3792"/>
    <n v="0"/>
    <s v="CATIVO"/>
    <n v="0"/>
    <n v="0"/>
    <n v="6"/>
    <n v="61"/>
    <n v="0"/>
    <n v="72.150000000000006"/>
    <n v="278.67"/>
    <m/>
    <n v="117.70169496208672"/>
    <n v="295.87360985530717"/>
    <n v="0"/>
    <n v="1496.5279559999997"/>
    <n v="0"/>
    <n v="1764.2295352900383"/>
    <x v="3"/>
  </r>
  <r>
    <s v="Regular"/>
    <x v="1"/>
    <x v="2"/>
    <x v="3"/>
    <x v="0"/>
    <x v="0"/>
    <x v="1"/>
    <x v="1"/>
    <x v="6"/>
    <n v="0"/>
    <n v="0"/>
    <n v="103.27500000000001"/>
    <n v="99.144000000000005"/>
    <n v="103.27500000000001"/>
    <n v="99.144000000000005"/>
    <n v="0"/>
    <s v="CATIVO"/>
    <n v="0"/>
    <n v="0"/>
    <n v="6"/>
    <n v="61"/>
    <n v="0"/>
    <n v="72.150000000000006"/>
    <n v="278.67"/>
    <m/>
    <n v="117.70169496208672"/>
    <n v="295.87360985530717"/>
    <n v="0"/>
    <n v="1449.2374200000002"/>
    <n v="0"/>
    <n v="1708.4795842006542"/>
    <x v="3"/>
  </r>
  <r>
    <s v="Regular"/>
    <x v="1"/>
    <x v="2"/>
    <x v="3"/>
    <x v="0"/>
    <x v="0"/>
    <x v="1"/>
    <x v="1"/>
    <x v="7"/>
    <n v="0"/>
    <n v="0"/>
    <n v="100.271"/>
    <n v="96.260159999999999"/>
    <n v="100.271"/>
    <n v="96.260159999999999"/>
    <n v="0"/>
    <s v="CATIVO"/>
    <n v="0"/>
    <n v="0"/>
    <n v="6"/>
    <n v="61"/>
    <n v="0"/>
    <n v="72.150000000000006"/>
    <n v="278.67"/>
    <m/>
    <n v="117.70169496208672"/>
    <n v="295.87360985530717"/>
    <n v="0"/>
    <n v="1407.0828888000005"/>
    <n v="0"/>
    <n v="1658.7843755737968"/>
    <x v="3"/>
  </r>
  <r>
    <s v="Regular"/>
    <x v="1"/>
    <x v="2"/>
    <x v="3"/>
    <x v="0"/>
    <x v="0"/>
    <x v="1"/>
    <x v="1"/>
    <x v="8"/>
    <n v="0"/>
    <n v="0"/>
    <n v="107.95699999999999"/>
    <n v="103.63872000000001"/>
    <n v="107.95699999999999"/>
    <n v="103.63872000000001"/>
    <n v="0"/>
    <s v="CATIVO"/>
    <n v="0"/>
    <n v="0"/>
    <n v="6"/>
    <n v="61"/>
    <n v="0"/>
    <n v="72.150000000000006"/>
    <n v="278.67"/>
    <m/>
    <n v="117.70169496208672"/>
    <n v="295.87360985530717"/>
    <n v="0"/>
    <n v="1514.9389895999957"/>
    <n v="0"/>
    <n v="1785.9339672868505"/>
    <x v="3"/>
  </r>
  <r>
    <s v="Regular"/>
    <x v="1"/>
    <x v="2"/>
    <x v="3"/>
    <x v="0"/>
    <x v="0"/>
    <x v="1"/>
    <x v="1"/>
    <x v="9"/>
    <n v="0"/>
    <n v="0"/>
    <n v="102.619"/>
    <n v="98.514240000000001"/>
    <n v="102.619"/>
    <n v="98.514240000000001"/>
    <n v="0"/>
    <s v="CATIVO"/>
    <n v="0"/>
    <n v="0"/>
    <n v="6"/>
    <n v="61"/>
    <n v="0"/>
    <n v="72.150000000000006"/>
    <n v="278.67"/>
    <m/>
    <n v="117.70169496208672"/>
    <n v="295.87360985530717"/>
    <n v="0"/>
    <n v="1440.0319031999998"/>
    <n v="0"/>
    <n v="1697.6273682022452"/>
    <x v="3"/>
  </r>
  <r>
    <s v="Regular"/>
    <x v="1"/>
    <x v="2"/>
    <x v="3"/>
    <x v="0"/>
    <x v="0"/>
    <x v="1"/>
    <x v="1"/>
    <x v="10"/>
    <n v="0"/>
    <n v="0"/>
    <n v="160.94"/>
    <n v="154.50239999999999"/>
    <n v="160.94"/>
    <n v="154.50239999999999"/>
    <n v="0"/>
    <s v="CATIVO"/>
    <n v="0"/>
    <n v="0"/>
    <n v="6"/>
    <n v="61"/>
    <n v="0"/>
    <n v="72.150000000000006"/>
    <n v="278.67"/>
    <m/>
    <n v="117.70169496208672"/>
    <n v="295.87360985530717"/>
    <n v="0"/>
    <n v="2258.4388320000012"/>
    <n v="0"/>
    <n v="2662.4323822924562"/>
    <x v="3"/>
  </r>
  <r>
    <s v="PROJETADO"/>
    <x v="1"/>
    <x v="2"/>
    <x v="3"/>
    <x v="0"/>
    <x v="0"/>
    <x v="1"/>
    <x v="1"/>
    <x v="11"/>
    <n v="0"/>
    <n v="0"/>
    <n v="160.94"/>
    <n v="154.50239999999999"/>
    <n v="160.94"/>
    <n v="154.50239999999999"/>
    <n v="0"/>
    <s v="CATIVO"/>
    <n v="0"/>
    <n v="0"/>
    <n v="6"/>
    <n v="61"/>
    <n v="0"/>
    <n v="72.150000000000006"/>
    <n v="278.67"/>
    <m/>
    <n v="117.70169496208672"/>
    <n v="295.87360985530717"/>
    <n v="0"/>
    <n v="2258.4388320000012"/>
    <n v="0"/>
    <n v="2662.4323822924562"/>
    <x v="3"/>
  </r>
  <r>
    <s v="Regular"/>
    <x v="1"/>
    <x v="2"/>
    <x v="3"/>
    <x v="0"/>
    <x v="0"/>
    <x v="1"/>
    <x v="0"/>
    <x v="0"/>
    <n v="517"/>
    <n v="496.32"/>
    <n v="0"/>
    <n v="0"/>
    <n v="0"/>
    <n v="0"/>
    <n v="5"/>
    <s v="CATIVO"/>
    <n v="0"/>
    <n v="20"/>
    <n v="0"/>
    <n v="0"/>
    <n v="14"/>
    <n v="0"/>
    <n v="0"/>
    <n v="15.925787521209683"/>
    <m/>
    <m/>
    <n v="289.5200000000001"/>
    <n v="0"/>
    <n v="329.34528593861637"/>
    <n v="0"/>
    <x v="3"/>
  </r>
  <r>
    <s v="Regular"/>
    <x v="1"/>
    <x v="2"/>
    <x v="3"/>
    <x v="0"/>
    <x v="0"/>
    <x v="1"/>
    <x v="0"/>
    <x v="1"/>
    <n v="376"/>
    <n v="360.96"/>
    <n v="0"/>
    <n v="0"/>
    <n v="0"/>
    <n v="0"/>
    <n v="5"/>
    <s v="CATIVO"/>
    <n v="0"/>
    <n v="20"/>
    <n v="0"/>
    <n v="0"/>
    <n v="14"/>
    <n v="0"/>
    <n v="0"/>
    <n v="15.925787521209683"/>
    <m/>
    <m/>
    <n v="210.56000000000029"/>
    <n v="0"/>
    <n v="239.52384431899395"/>
    <n v="0"/>
    <x v="3"/>
  </r>
  <r>
    <s v="Regular"/>
    <x v="1"/>
    <x v="2"/>
    <x v="3"/>
    <x v="0"/>
    <x v="0"/>
    <x v="1"/>
    <x v="0"/>
    <x v="2"/>
    <n v="401"/>
    <n v="384.96"/>
    <n v="0"/>
    <n v="0"/>
    <n v="0"/>
    <n v="0"/>
    <n v="5"/>
    <s v="CATIVO"/>
    <n v="0"/>
    <n v="20"/>
    <n v="0"/>
    <n v="0"/>
    <n v="14"/>
    <n v="0"/>
    <n v="0"/>
    <n v="15.925787521209683"/>
    <m/>
    <m/>
    <n v="224.56000000000029"/>
    <n v="0"/>
    <n v="255.44963184020364"/>
    <n v="0"/>
    <x v="3"/>
  </r>
  <r>
    <s v="Regular"/>
    <x v="1"/>
    <x v="2"/>
    <x v="3"/>
    <x v="0"/>
    <x v="0"/>
    <x v="1"/>
    <x v="0"/>
    <x v="3"/>
    <n v="395"/>
    <n v="379.2"/>
    <n v="0"/>
    <n v="0"/>
    <n v="0"/>
    <n v="0"/>
    <n v="5"/>
    <s v="CATIVO"/>
    <n v="0"/>
    <n v="20"/>
    <n v="0"/>
    <n v="0"/>
    <n v="14"/>
    <n v="0"/>
    <n v="0"/>
    <n v="15.925787521209683"/>
    <m/>
    <m/>
    <n v="221.20000000000016"/>
    <n v="0"/>
    <n v="251.62744283511319"/>
    <n v="0"/>
    <x v="3"/>
  </r>
  <r>
    <s v="Regular"/>
    <x v="1"/>
    <x v="2"/>
    <x v="3"/>
    <x v="0"/>
    <x v="0"/>
    <x v="1"/>
    <x v="0"/>
    <x v="4"/>
    <n v="365"/>
    <n v="350.4"/>
    <n v="0"/>
    <n v="0"/>
    <n v="0"/>
    <n v="0"/>
    <n v="5"/>
    <s v="CATIVO"/>
    <n v="0"/>
    <n v="20"/>
    <n v="0"/>
    <n v="0"/>
    <n v="14"/>
    <n v="0"/>
    <n v="0"/>
    <n v="15.925787521209683"/>
    <m/>
    <m/>
    <n v="204.40000000000032"/>
    <n v="0"/>
    <n v="232.51649780966173"/>
    <n v="0"/>
    <x v="3"/>
  </r>
  <r>
    <s v="Regular"/>
    <x v="1"/>
    <x v="2"/>
    <x v="3"/>
    <x v="0"/>
    <x v="0"/>
    <x v="1"/>
    <x v="0"/>
    <x v="5"/>
    <n v="422"/>
    <n v="405.12"/>
    <n v="0"/>
    <n v="0"/>
    <n v="0"/>
    <n v="0"/>
    <n v="5"/>
    <s v="CATIVO"/>
    <n v="0"/>
    <n v="20"/>
    <n v="0"/>
    <n v="0"/>
    <n v="14"/>
    <n v="0"/>
    <n v="0"/>
    <n v="15.925787521209683"/>
    <m/>
    <m/>
    <n v="236.31999999999994"/>
    <n v="0"/>
    <n v="268.8272933580194"/>
    <n v="0"/>
    <x v="3"/>
  </r>
  <r>
    <s v="Regular"/>
    <x v="1"/>
    <x v="2"/>
    <x v="3"/>
    <x v="0"/>
    <x v="0"/>
    <x v="1"/>
    <x v="0"/>
    <x v="6"/>
    <n v="403"/>
    <n v="386.88"/>
    <n v="0"/>
    <n v="0"/>
    <n v="0"/>
    <n v="0"/>
    <n v="5"/>
    <s v="CATIVO"/>
    <n v="0"/>
    <n v="20"/>
    <n v="0"/>
    <n v="0"/>
    <n v="14"/>
    <n v="0"/>
    <n v="0"/>
    <n v="15.925787521209683"/>
    <m/>
    <m/>
    <n v="225.68000000000006"/>
    <n v="0"/>
    <n v="256.72369484190017"/>
    <n v="0"/>
    <x v="3"/>
  </r>
  <r>
    <s v="Regular"/>
    <x v="1"/>
    <x v="2"/>
    <x v="3"/>
    <x v="0"/>
    <x v="0"/>
    <x v="1"/>
    <x v="0"/>
    <x v="7"/>
    <n v="365"/>
    <n v="350.4"/>
    <n v="0"/>
    <n v="0"/>
    <n v="0"/>
    <n v="0"/>
    <n v="5"/>
    <s v="CATIVO"/>
    <n v="0"/>
    <n v="20"/>
    <n v="0"/>
    <n v="0"/>
    <n v="14"/>
    <n v="0"/>
    <n v="0"/>
    <n v="15.925787521209683"/>
    <m/>
    <m/>
    <n v="204.40000000000032"/>
    <n v="0"/>
    <n v="232.51649780966173"/>
    <n v="0"/>
    <x v="3"/>
  </r>
  <r>
    <s v="Regular"/>
    <x v="1"/>
    <x v="2"/>
    <x v="3"/>
    <x v="0"/>
    <x v="0"/>
    <x v="1"/>
    <x v="0"/>
    <x v="8"/>
    <n v="416"/>
    <n v="399.36"/>
    <n v="0"/>
    <n v="0"/>
    <n v="0"/>
    <n v="0"/>
    <n v="4"/>
    <s v="CATIVO"/>
    <n v="0"/>
    <n v="20"/>
    <n v="0"/>
    <n v="0"/>
    <n v="14"/>
    <n v="0"/>
    <n v="0"/>
    <n v="15.925787521209683"/>
    <m/>
    <m/>
    <n v="232.95999999999981"/>
    <n v="0"/>
    <n v="265.00510435292892"/>
    <n v="0"/>
    <x v="3"/>
  </r>
  <r>
    <s v="Regular"/>
    <x v="1"/>
    <x v="2"/>
    <x v="3"/>
    <x v="0"/>
    <x v="0"/>
    <x v="1"/>
    <x v="0"/>
    <x v="9"/>
    <n v="366"/>
    <n v="351.36"/>
    <n v="0"/>
    <n v="0"/>
    <n v="0"/>
    <n v="0"/>
    <n v="5"/>
    <s v="CATIVO"/>
    <n v="0"/>
    <n v="20"/>
    <n v="0"/>
    <n v="0"/>
    <n v="14"/>
    <n v="0"/>
    <n v="0"/>
    <n v="15.925787521209683"/>
    <m/>
    <m/>
    <n v="204.95999999999981"/>
    <n v="0"/>
    <n v="233.15352931050955"/>
    <n v="0"/>
    <x v="3"/>
  </r>
  <r>
    <s v="Regular"/>
    <x v="1"/>
    <x v="2"/>
    <x v="3"/>
    <x v="0"/>
    <x v="0"/>
    <x v="1"/>
    <x v="0"/>
    <x v="10"/>
    <n v="838"/>
    <n v="804.48"/>
    <n v="0"/>
    <n v="0"/>
    <n v="0"/>
    <n v="0"/>
    <n v="6"/>
    <s v="CATIVO"/>
    <n v="0"/>
    <n v="20"/>
    <n v="0"/>
    <n v="0"/>
    <n v="14"/>
    <n v="0"/>
    <n v="0"/>
    <n v="15.925787521209683"/>
    <m/>
    <m/>
    <n v="469.27999999999975"/>
    <n v="0"/>
    <n v="533.83239771094827"/>
    <n v="0"/>
    <x v="3"/>
  </r>
  <r>
    <s v="PROJETADO"/>
    <x v="1"/>
    <x v="2"/>
    <x v="3"/>
    <x v="0"/>
    <x v="0"/>
    <x v="1"/>
    <x v="0"/>
    <x v="11"/>
    <n v="838"/>
    <n v="804.48"/>
    <n v="0"/>
    <n v="0"/>
    <n v="0"/>
    <n v="0"/>
    <n v="6"/>
    <s v="CATIVO"/>
    <n v="0"/>
    <n v="20"/>
    <n v="0"/>
    <n v="0"/>
    <n v="14"/>
    <n v="0"/>
    <n v="0"/>
    <n v="15.925787521209683"/>
    <m/>
    <m/>
    <n v="469.27999999999975"/>
    <n v="0"/>
    <n v="533.83239771094827"/>
    <n v="0"/>
    <x v="3"/>
  </r>
  <r>
    <s v="Regular"/>
    <x v="1"/>
    <x v="2"/>
    <x v="3"/>
    <x v="0"/>
    <x v="0"/>
    <x v="1"/>
    <x v="2"/>
    <x v="0"/>
    <n v="0"/>
    <n v="0"/>
    <n v="9.2420000000000009"/>
    <n v="8.8723200000000002"/>
    <n v="9.2420000000000009"/>
    <n v="8.8723200000000002"/>
    <n v="0"/>
    <s v="CATIVO"/>
    <n v="0"/>
    <n v="0"/>
    <n v="8"/>
    <n v="38"/>
    <n v="0"/>
    <n v="940.43"/>
    <n v="442.86"/>
    <m/>
    <n v="1108.3660770518723"/>
    <n v="476.88775168498375"/>
    <n v="0"/>
    <n v="511.37464720000094"/>
    <n v="0"/>
    <n v="586.03663540744196"/>
    <x v="3"/>
  </r>
  <r>
    <s v="Regular"/>
    <x v="1"/>
    <x v="2"/>
    <x v="3"/>
    <x v="0"/>
    <x v="0"/>
    <x v="1"/>
    <x v="2"/>
    <x v="1"/>
    <n v="0"/>
    <n v="0"/>
    <n v="9.8689999999999998"/>
    <n v="9.47424"/>
    <n v="9.8689999999999998"/>
    <n v="9.47424"/>
    <n v="0"/>
    <s v="CATIVO"/>
    <n v="0"/>
    <n v="0"/>
    <n v="8"/>
    <n v="38"/>
    <n v="0"/>
    <n v="940.43"/>
    <n v="442.86"/>
    <m/>
    <n v="1108.3660770518723"/>
    <n v="476.88775168498375"/>
    <n v="0"/>
    <n v="546.06756039999971"/>
    <n v="0"/>
    <n v="625.79480143216097"/>
    <x v="3"/>
  </r>
  <r>
    <s v="Regular"/>
    <x v="1"/>
    <x v="2"/>
    <x v="3"/>
    <x v="0"/>
    <x v="0"/>
    <x v="1"/>
    <x v="2"/>
    <x v="2"/>
    <n v="0"/>
    <n v="0"/>
    <n v="11.326000000000001"/>
    <n v="10.872960000000001"/>
    <n v="11.326000000000001"/>
    <n v="10.872960000000001"/>
    <n v="0"/>
    <s v="CATIVO"/>
    <n v="0"/>
    <n v="0"/>
    <n v="8"/>
    <n v="38"/>
    <n v="0"/>
    <n v="940.43"/>
    <n v="442.86"/>
    <m/>
    <n v="1108.3660770518723"/>
    <n v="476.88775168498375"/>
    <n v="0"/>
    <n v="626.68570159999956"/>
    <n v="0"/>
    <n v="718.18339457094476"/>
    <x v="3"/>
  </r>
  <r>
    <s v="Regular"/>
    <x v="1"/>
    <x v="2"/>
    <x v="3"/>
    <x v="0"/>
    <x v="0"/>
    <x v="1"/>
    <x v="2"/>
    <x v="3"/>
    <n v="0"/>
    <n v="0"/>
    <n v="10.323"/>
    <n v="9.9100800000000007"/>
    <n v="10.323"/>
    <n v="9.9100800000000007"/>
    <n v="0"/>
    <s v="CATIVO"/>
    <n v="0"/>
    <n v="0"/>
    <n v="8"/>
    <n v="38"/>
    <n v="0"/>
    <n v="940.43"/>
    <n v="442.86"/>
    <m/>
    <n v="1108.3660770518723"/>
    <n v="476.88775168498375"/>
    <n v="0"/>
    <n v="571.18810679999967"/>
    <n v="0"/>
    <n v="654.58301096202217"/>
    <x v="3"/>
  </r>
  <r>
    <s v="Regular"/>
    <x v="1"/>
    <x v="2"/>
    <x v="3"/>
    <x v="0"/>
    <x v="0"/>
    <x v="1"/>
    <x v="2"/>
    <x v="4"/>
    <n v="0"/>
    <n v="0"/>
    <n v="9.7509999999999994"/>
    <n v="9.3609600000000004"/>
    <n v="9.7509999999999994"/>
    <n v="9.3609600000000004"/>
    <n v="0"/>
    <s v="CATIVO"/>
    <n v="0"/>
    <n v="0"/>
    <n v="8"/>
    <n v="38"/>
    <n v="0"/>
    <n v="940.43"/>
    <n v="442.86"/>
    <m/>
    <n v="1108.3660770518723"/>
    <n v="476.88775168498375"/>
    <n v="0"/>
    <n v="539.5384315999986"/>
    <n v="0"/>
    <n v="618.31240336052178"/>
    <x v="3"/>
  </r>
  <r>
    <s v="Regular"/>
    <x v="1"/>
    <x v="2"/>
    <x v="3"/>
    <x v="0"/>
    <x v="0"/>
    <x v="1"/>
    <x v="2"/>
    <x v="5"/>
    <n v="0"/>
    <n v="0"/>
    <n v="10.827999999999999"/>
    <n v="10.394880000000001"/>
    <n v="10.827999999999999"/>
    <n v="10.394880000000001"/>
    <n v="0"/>
    <s v="CATIVO"/>
    <n v="0"/>
    <n v="0"/>
    <n v="8"/>
    <n v="38"/>
    <n v="0"/>
    <n v="940.43"/>
    <n v="442.86"/>
    <m/>
    <n v="1108.3660770518723"/>
    <n v="476.88775168498375"/>
    <n v="0"/>
    <n v="599.13056479999841"/>
    <n v="0"/>
    <n v="686.60513830250522"/>
    <x v="3"/>
  </r>
  <r>
    <s v="Regular"/>
    <x v="1"/>
    <x v="2"/>
    <x v="3"/>
    <x v="0"/>
    <x v="0"/>
    <x v="1"/>
    <x v="2"/>
    <x v="6"/>
    <n v="0"/>
    <n v="0"/>
    <n v="9.1790000000000003"/>
    <n v="8.8118400000000001"/>
    <n v="9.1790000000000003"/>
    <n v="8.8118400000000001"/>
    <n v="0"/>
    <s v="CATIVO"/>
    <n v="0"/>
    <n v="0"/>
    <n v="8"/>
    <n v="38"/>
    <n v="0"/>
    <n v="940.43"/>
    <n v="442.86"/>
    <m/>
    <n v="1108.3660770518723"/>
    <n v="476.88775168498375"/>
    <n v="0"/>
    <n v="507.88875640000015"/>
    <n v="0"/>
    <n v="582.04179575902435"/>
    <x v="3"/>
  </r>
  <r>
    <s v="Regular"/>
    <x v="1"/>
    <x v="2"/>
    <x v="3"/>
    <x v="0"/>
    <x v="0"/>
    <x v="1"/>
    <x v="2"/>
    <x v="7"/>
    <n v="0"/>
    <n v="0"/>
    <n v="10.166"/>
    <n v="9.7593599999999991"/>
    <n v="10.166"/>
    <n v="9.7593599999999991"/>
    <n v="0"/>
    <s v="CATIVO"/>
    <n v="0"/>
    <n v="0"/>
    <n v="8"/>
    <n v="38"/>
    <n v="0"/>
    <n v="940.43"/>
    <n v="442.86"/>
    <m/>
    <n v="1108.3660770518723"/>
    <n v="476.88775168498375"/>
    <n v="0"/>
    <n v="562.50104560000159"/>
    <n v="0"/>
    <n v="644.62761691755713"/>
    <x v="3"/>
  </r>
  <r>
    <s v="Regular"/>
    <x v="1"/>
    <x v="2"/>
    <x v="3"/>
    <x v="0"/>
    <x v="0"/>
    <x v="1"/>
    <x v="2"/>
    <x v="8"/>
    <n v="0"/>
    <n v="0"/>
    <n v="11.698"/>
    <n v="11.230079999999999"/>
    <n v="11.698"/>
    <n v="11.230079999999999"/>
    <n v="0"/>
    <s v="CATIVO"/>
    <n v="0"/>
    <n v="0"/>
    <n v="8"/>
    <n v="38"/>
    <n v="0"/>
    <n v="940.43"/>
    <n v="442.86"/>
    <m/>
    <n v="1108.3660770518723"/>
    <n v="476.88775168498375"/>
    <n v="0"/>
    <n v="647.26905680000164"/>
    <n v="0"/>
    <n v="741.77197154255157"/>
    <x v="3"/>
  </r>
  <r>
    <s v="Regular"/>
    <x v="1"/>
    <x v="2"/>
    <x v="3"/>
    <x v="0"/>
    <x v="0"/>
    <x v="1"/>
    <x v="2"/>
    <x v="9"/>
    <n v="0"/>
    <n v="0"/>
    <n v="11.590999999999999"/>
    <n v="11.127359999999999"/>
    <n v="11.590999999999999"/>
    <n v="11.127359999999999"/>
    <n v="0"/>
    <s v="CATIVO"/>
    <n v="0"/>
    <n v="0"/>
    <n v="8"/>
    <n v="38"/>
    <n v="0"/>
    <n v="940.43"/>
    <n v="442.86"/>
    <m/>
    <n v="1108.3660770518723"/>
    <n v="476.88775168498375"/>
    <n v="0"/>
    <n v="641.34857559999978"/>
    <n v="0"/>
    <n v="734.98708515555563"/>
    <x v="3"/>
  </r>
  <r>
    <s v="Regular"/>
    <x v="1"/>
    <x v="2"/>
    <x v="3"/>
    <x v="0"/>
    <x v="0"/>
    <x v="1"/>
    <x v="2"/>
    <x v="10"/>
    <n v="0"/>
    <n v="0"/>
    <n v="13.89"/>
    <n v="13.3344"/>
    <n v="13.89"/>
    <n v="13.3344"/>
    <n v="0"/>
    <s v="CATIVO"/>
    <n v="0"/>
    <n v="0"/>
    <n v="8"/>
    <n v="38"/>
    <n v="0"/>
    <n v="940.43"/>
    <n v="442.86"/>
    <m/>
    <n v="1108.3660770518723"/>
    <n v="476.88775168498375"/>
    <n v="0"/>
    <n v="768.55592400000012"/>
    <n v="0"/>
    <n v="880.76702724619736"/>
    <x v="3"/>
  </r>
  <r>
    <s v="PROJETADO"/>
    <x v="1"/>
    <x v="2"/>
    <x v="3"/>
    <x v="0"/>
    <x v="0"/>
    <x v="1"/>
    <x v="2"/>
    <x v="11"/>
    <n v="0"/>
    <n v="0"/>
    <n v="13.89"/>
    <n v="13.3344"/>
    <n v="13.89"/>
    <n v="13.3344"/>
    <n v="0"/>
    <s v="CATIVO"/>
    <n v="0"/>
    <n v="0"/>
    <n v="8"/>
    <n v="38"/>
    <n v="0"/>
    <n v="940.43"/>
    <n v="442.86"/>
    <m/>
    <n v="1108.3660770518723"/>
    <n v="476.88775168498375"/>
    <n v="0"/>
    <n v="768.55592400000012"/>
    <n v="0"/>
    <n v="880.76702724619736"/>
    <x v="3"/>
  </r>
  <r>
    <s v="Regular"/>
    <x v="1"/>
    <x v="2"/>
    <x v="2"/>
    <x v="1"/>
    <x v="0"/>
    <x v="1"/>
    <x v="1"/>
    <x v="0"/>
    <n v="0"/>
    <n v="0"/>
    <n v="938.82899999999995"/>
    <n v="882.49925999999994"/>
    <n v="938.82899999999995"/>
    <n v="882.49925999999994"/>
    <n v="0"/>
    <s v="CATIVO"/>
    <n v="0"/>
    <n v="0"/>
    <n v="6"/>
    <n v="61"/>
    <n v="0"/>
    <n v="72.150000000000006"/>
    <n v="278.67"/>
    <m/>
    <n v="117.70169496208672"/>
    <n v="295.87360985530717"/>
    <n v="0"/>
    <n v="19761.599386800008"/>
    <n v="0"/>
    <n v="23296.589390784553"/>
    <x v="2"/>
  </r>
  <r>
    <s v="Regular"/>
    <x v="1"/>
    <x v="2"/>
    <x v="2"/>
    <x v="1"/>
    <x v="0"/>
    <x v="1"/>
    <x v="1"/>
    <x v="1"/>
    <n v="0"/>
    <n v="0"/>
    <n v="892.47500000000002"/>
    <n v="838.92649999999992"/>
    <n v="892.47500000000002"/>
    <n v="838.92649999999992"/>
    <n v="0"/>
    <s v="CATIVO"/>
    <n v="0"/>
    <n v="0"/>
    <n v="6"/>
    <n v="61"/>
    <n v="0"/>
    <n v="72.150000000000006"/>
    <n v="278.67"/>
    <m/>
    <n v="117.70169496208672"/>
    <n v="295.87360985530717"/>
    <n v="0"/>
    <n v="18785.884770000037"/>
    <n v="0"/>
    <n v="22146.337210014259"/>
    <x v="2"/>
  </r>
  <r>
    <s v="Regular"/>
    <x v="1"/>
    <x v="2"/>
    <x v="2"/>
    <x v="1"/>
    <x v="0"/>
    <x v="1"/>
    <x v="1"/>
    <x v="2"/>
    <n v="0"/>
    <n v="0"/>
    <n v="895.87800000000004"/>
    <n v="842.12531999999999"/>
    <n v="895.87800000000004"/>
    <n v="842.12531999999999"/>
    <n v="0"/>
    <s v="CATIVO"/>
    <n v="0"/>
    <n v="0"/>
    <n v="6"/>
    <n v="61"/>
    <n v="0"/>
    <n v="72.150000000000006"/>
    <n v="278.67"/>
    <m/>
    <n v="117.70169496208672"/>
    <n v="295.87360985530717"/>
    <n v="0"/>
    <n v="18857.51519760002"/>
    <n v="0"/>
    <n v="22230.781015751854"/>
    <x v="2"/>
  </r>
  <r>
    <s v="Regular"/>
    <x v="1"/>
    <x v="2"/>
    <x v="2"/>
    <x v="1"/>
    <x v="0"/>
    <x v="1"/>
    <x v="1"/>
    <x v="3"/>
    <n v="0"/>
    <n v="0"/>
    <n v="890.16"/>
    <n v="836.75040000000001"/>
    <n v="890.16"/>
    <n v="836.75040000000001"/>
    <n v="0"/>
    <s v="CATIVO"/>
    <n v="0"/>
    <n v="0"/>
    <n v="6"/>
    <n v="61"/>
    <n v="0"/>
    <n v="72.150000000000006"/>
    <n v="278.67"/>
    <m/>
    <n v="117.70169496208672"/>
    <n v="295.87360985530717"/>
    <n v="0"/>
    <n v="18737.155871999985"/>
    <n v="0"/>
    <n v="22088.891600175062"/>
    <x v="2"/>
  </r>
  <r>
    <s v="Regular"/>
    <x v="1"/>
    <x v="2"/>
    <x v="2"/>
    <x v="1"/>
    <x v="0"/>
    <x v="1"/>
    <x v="1"/>
    <x v="4"/>
    <n v="0"/>
    <n v="0"/>
    <n v="841.64800000000002"/>
    <n v="791.14912000000004"/>
    <n v="841.64800000000002"/>
    <n v="791.14912000000004"/>
    <n v="0"/>
    <s v="CATIVO"/>
    <n v="0"/>
    <n v="0"/>
    <n v="6"/>
    <n v="61"/>
    <n v="0"/>
    <n v="72.150000000000006"/>
    <n v="278.67"/>
    <m/>
    <n v="117.70169496208672"/>
    <n v="295.87360985530717"/>
    <n v="0"/>
    <n v="17716.017081599995"/>
    <n v="0"/>
    <n v="20885.089688936991"/>
    <x v="2"/>
  </r>
  <r>
    <s v="Regular"/>
    <x v="1"/>
    <x v="2"/>
    <x v="2"/>
    <x v="1"/>
    <x v="0"/>
    <x v="1"/>
    <x v="1"/>
    <x v="5"/>
    <n v="0"/>
    <n v="0"/>
    <n v="936.846"/>
    <n v="880.63523999999995"/>
    <n v="936.846"/>
    <n v="880.63523999999995"/>
    <n v="0"/>
    <s v="CATIVO"/>
    <n v="0"/>
    <n v="0"/>
    <n v="6"/>
    <n v="61"/>
    <n v="0"/>
    <n v="72.150000000000006"/>
    <n v="278.67"/>
    <m/>
    <n v="117.70169496208672"/>
    <n v="295.87360985530717"/>
    <n v="0"/>
    <n v="19719.858823200018"/>
    <n v="0"/>
    <n v="23247.38220101739"/>
    <x v="2"/>
  </r>
  <r>
    <s v="Regular"/>
    <x v="1"/>
    <x v="2"/>
    <x v="2"/>
    <x v="1"/>
    <x v="0"/>
    <x v="1"/>
    <x v="1"/>
    <x v="6"/>
    <n v="0"/>
    <n v="0"/>
    <n v="896.63499999999999"/>
    <n v="842.83690000000001"/>
    <n v="896.63499999999999"/>
    <n v="842.83690000000001"/>
    <n v="0"/>
    <s v="CATIVO"/>
    <n v="0"/>
    <n v="0"/>
    <n v="6"/>
    <n v="61"/>
    <n v="0"/>
    <n v="72.150000000000006"/>
    <n v="278.67"/>
    <m/>
    <n v="117.70169496208672"/>
    <n v="295.87360985530717"/>
    <n v="0"/>
    <n v="18873.449441999994"/>
    <n v="0"/>
    <n v="22249.565606096628"/>
    <x v="2"/>
  </r>
  <r>
    <s v="Regular"/>
    <x v="1"/>
    <x v="2"/>
    <x v="2"/>
    <x v="1"/>
    <x v="0"/>
    <x v="1"/>
    <x v="1"/>
    <x v="7"/>
    <n v="0"/>
    <n v="0"/>
    <n v="902.27800000000002"/>
    <n v="848.14131999999995"/>
    <n v="902.27800000000002"/>
    <n v="848.14131999999995"/>
    <n v="0"/>
    <s v="CATIVO"/>
    <n v="0"/>
    <n v="0"/>
    <n v="6"/>
    <n v="61"/>
    <n v="0"/>
    <n v="72.150000000000006"/>
    <n v="278.67"/>
    <m/>
    <n v="117.70169496208672"/>
    <n v="295.87360985530717"/>
    <n v="0"/>
    <n v="18992.230077600027"/>
    <n v="0"/>
    <n v="22389.593932801741"/>
    <x v="2"/>
  </r>
  <r>
    <s v="Regular"/>
    <x v="1"/>
    <x v="2"/>
    <x v="2"/>
    <x v="1"/>
    <x v="0"/>
    <x v="1"/>
    <x v="1"/>
    <x v="8"/>
    <n v="0"/>
    <n v="0"/>
    <n v="879.01599999999996"/>
    <n v="826.27503999999999"/>
    <n v="879.01599999999996"/>
    <n v="826.27503999999999"/>
    <n v="0"/>
    <s v="CATIVO"/>
    <n v="0"/>
    <n v="0"/>
    <n v="6"/>
    <n v="61"/>
    <n v="0"/>
    <n v="72.150000000000006"/>
    <n v="278.67"/>
    <m/>
    <n v="117.70169496208672"/>
    <n v="295.87360985530717"/>
    <n v="0"/>
    <n v="18502.583587199992"/>
    <n v="0"/>
    <n v="21812.358608361967"/>
    <x v="2"/>
  </r>
  <r>
    <s v="Regular"/>
    <x v="1"/>
    <x v="2"/>
    <x v="2"/>
    <x v="1"/>
    <x v="0"/>
    <x v="1"/>
    <x v="1"/>
    <x v="9"/>
    <n v="0"/>
    <n v="0"/>
    <n v="926.07299999999998"/>
    <n v="870.50861999999995"/>
    <n v="926.07299999999998"/>
    <n v="870.50861999999995"/>
    <n v="0"/>
    <s v="CATIVO"/>
    <n v="0"/>
    <n v="0"/>
    <n v="6"/>
    <n v="61"/>
    <n v="0"/>
    <n v="72.150000000000006"/>
    <n v="278.67"/>
    <m/>
    <n v="117.70169496208672"/>
    <n v="295.87360985530717"/>
    <n v="0"/>
    <n v="19493.095791600012"/>
    <n v="0"/>
    <n v="22980.055395489519"/>
    <x v="2"/>
  </r>
  <r>
    <s v="Regular"/>
    <x v="1"/>
    <x v="2"/>
    <x v="2"/>
    <x v="1"/>
    <x v="0"/>
    <x v="1"/>
    <x v="1"/>
    <x v="10"/>
    <n v="0"/>
    <n v="0"/>
    <n v="928.22900000000004"/>
    <n v="872.53525999999999"/>
    <n v="928.22900000000004"/>
    <n v="872.53525999999999"/>
    <n v="0"/>
    <s v="CATIVO"/>
    <n v="0"/>
    <n v="0"/>
    <n v="6"/>
    <n v="61"/>
    <n v="0"/>
    <n v="72.150000000000006"/>
    <n v="278.67"/>
    <m/>
    <n v="117.70169496208672"/>
    <n v="295.87360985530717"/>
    <n v="0"/>
    <n v="19538.477866800018"/>
    <n v="0"/>
    <n v="23033.555496920701"/>
    <x v="2"/>
  </r>
  <r>
    <s v="PROJETADO"/>
    <x v="1"/>
    <x v="2"/>
    <x v="2"/>
    <x v="1"/>
    <x v="0"/>
    <x v="1"/>
    <x v="1"/>
    <x v="11"/>
    <n v="0"/>
    <n v="0"/>
    <n v="928.22900000000004"/>
    <n v="872.53525999999999"/>
    <n v="928.22900000000004"/>
    <n v="872.53525999999999"/>
    <n v="0"/>
    <s v="CATIVO"/>
    <n v="0"/>
    <n v="0"/>
    <n v="6"/>
    <n v="61"/>
    <n v="0"/>
    <n v="72.150000000000006"/>
    <n v="278.67"/>
    <m/>
    <n v="117.70169496208672"/>
    <n v="295.87360985530717"/>
    <n v="0"/>
    <n v="19538.477866800018"/>
    <n v="0"/>
    <n v="23033.555496920701"/>
    <x v="2"/>
  </r>
  <r>
    <s v="Regular"/>
    <x v="1"/>
    <x v="2"/>
    <x v="2"/>
    <x v="1"/>
    <x v="0"/>
    <x v="1"/>
    <x v="0"/>
    <x v="0"/>
    <n v="2053"/>
    <n v="1745.05"/>
    <n v="0"/>
    <n v="0"/>
    <n v="0"/>
    <n v="0"/>
    <n v="15"/>
    <s v="CATIVO"/>
    <n v="0"/>
    <n v="20"/>
    <n v="0"/>
    <n v="0"/>
    <n v="14"/>
    <n v="0"/>
    <n v="0"/>
    <n v="15.925787521209683"/>
    <m/>
    <m/>
    <n v="4311.3000000000011"/>
    <n v="0"/>
    <n v="4904.346267156523"/>
    <n v="0"/>
    <x v="2"/>
  </r>
  <r>
    <s v="Regular"/>
    <x v="1"/>
    <x v="2"/>
    <x v="2"/>
    <x v="1"/>
    <x v="0"/>
    <x v="1"/>
    <x v="0"/>
    <x v="1"/>
    <n v="2047"/>
    <n v="1739.95"/>
    <n v="0"/>
    <n v="0"/>
    <n v="0"/>
    <n v="0"/>
    <n v="15"/>
    <s v="CATIVO"/>
    <n v="0"/>
    <n v="20"/>
    <n v="0"/>
    <n v="0"/>
    <n v="14"/>
    <n v="0"/>
    <n v="0"/>
    <n v="15.925787521209683"/>
    <m/>
    <m/>
    <n v="4298.6999999999989"/>
    <n v="0"/>
    <n v="4890.0130583874325"/>
    <n v="0"/>
    <x v="2"/>
  </r>
  <r>
    <s v="Regular"/>
    <x v="1"/>
    <x v="2"/>
    <x v="2"/>
    <x v="1"/>
    <x v="0"/>
    <x v="1"/>
    <x v="0"/>
    <x v="2"/>
    <n v="2026"/>
    <n v="1722.1"/>
    <n v="0"/>
    <n v="0"/>
    <n v="0"/>
    <n v="0"/>
    <n v="14"/>
    <s v="CATIVO"/>
    <n v="0"/>
    <n v="20"/>
    <n v="0"/>
    <n v="0"/>
    <n v="14"/>
    <n v="0"/>
    <n v="0"/>
    <n v="15.925787521209683"/>
    <m/>
    <m/>
    <n v="4254.6000000000013"/>
    <n v="0"/>
    <n v="4839.8468276956246"/>
    <n v="0"/>
    <x v="2"/>
  </r>
  <r>
    <s v="Regular"/>
    <x v="1"/>
    <x v="2"/>
    <x v="2"/>
    <x v="1"/>
    <x v="0"/>
    <x v="1"/>
    <x v="0"/>
    <x v="3"/>
    <n v="2048"/>
    <n v="1740.8"/>
    <n v="0"/>
    <n v="0"/>
    <n v="0"/>
    <n v="0"/>
    <n v="14"/>
    <s v="CATIVO"/>
    <n v="0"/>
    <n v="20"/>
    <n v="0"/>
    <n v="0"/>
    <n v="14"/>
    <n v="0"/>
    <n v="0"/>
    <n v="15.925787521209683"/>
    <m/>
    <m/>
    <n v="4300.8000000000011"/>
    <n v="0"/>
    <n v="4892.4019265156157"/>
    <n v="0"/>
    <x v="2"/>
  </r>
  <r>
    <s v="Regular"/>
    <x v="1"/>
    <x v="2"/>
    <x v="2"/>
    <x v="1"/>
    <x v="0"/>
    <x v="1"/>
    <x v="0"/>
    <x v="4"/>
    <n v="2056"/>
    <n v="1747.6"/>
    <n v="0"/>
    <n v="0"/>
    <n v="0"/>
    <n v="0"/>
    <n v="14"/>
    <s v="CATIVO"/>
    <n v="0"/>
    <n v="20"/>
    <n v="0"/>
    <n v="0"/>
    <n v="14"/>
    <n v="0"/>
    <n v="0"/>
    <n v="15.925787521209683"/>
    <m/>
    <m/>
    <n v="4317.6000000000013"/>
    <n v="0"/>
    <n v="4911.5128715410674"/>
    <n v="0"/>
    <x v="2"/>
  </r>
  <r>
    <s v="Regular"/>
    <x v="1"/>
    <x v="2"/>
    <x v="2"/>
    <x v="1"/>
    <x v="0"/>
    <x v="1"/>
    <x v="0"/>
    <x v="5"/>
    <n v="2050"/>
    <n v="1742.5"/>
    <n v="0"/>
    <n v="0"/>
    <n v="0"/>
    <n v="0"/>
    <n v="14"/>
    <s v="CATIVO"/>
    <n v="0"/>
    <n v="20"/>
    <n v="0"/>
    <n v="0"/>
    <n v="14"/>
    <n v="0"/>
    <n v="0"/>
    <n v="15.925787521209683"/>
    <m/>
    <m/>
    <n v="4305"/>
    <n v="0"/>
    <n v="4897.1796627719777"/>
    <n v="0"/>
    <x v="2"/>
  </r>
  <r>
    <s v="Regular"/>
    <x v="1"/>
    <x v="2"/>
    <x v="2"/>
    <x v="1"/>
    <x v="0"/>
    <x v="1"/>
    <x v="0"/>
    <x v="6"/>
    <n v="2072"/>
    <n v="1761.2"/>
    <n v="0"/>
    <n v="0"/>
    <n v="0"/>
    <n v="0"/>
    <n v="14"/>
    <s v="CATIVO"/>
    <n v="0"/>
    <n v="20"/>
    <n v="0"/>
    <n v="0"/>
    <n v="14"/>
    <n v="0"/>
    <n v="0"/>
    <n v="15.925787521209683"/>
    <m/>
    <m/>
    <n v="4351.1999999999989"/>
    <n v="0"/>
    <n v="4949.7347615919689"/>
    <n v="0"/>
    <x v="2"/>
  </r>
  <r>
    <s v="Regular"/>
    <x v="1"/>
    <x v="2"/>
    <x v="2"/>
    <x v="1"/>
    <x v="0"/>
    <x v="1"/>
    <x v="0"/>
    <x v="7"/>
    <n v="2061"/>
    <n v="1751.85"/>
    <n v="0"/>
    <n v="0"/>
    <n v="0"/>
    <n v="0"/>
    <n v="14"/>
    <s v="CATIVO"/>
    <n v="0"/>
    <n v="20"/>
    <n v="0"/>
    <n v="0"/>
    <n v="14"/>
    <n v="0"/>
    <n v="0"/>
    <n v="15.925787521209683"/>
    <m/>
    <m/>
    <n v="4328.1000000000013"/>
    <n v="0"/>
    <n v="4923.4572121819747"/>
    <n v="0"/>
    <x v="2"/>
  </r>
  <r>
    <s v="Regular"/>
    <x v="1"/>
    <x v="2"/>
    <x v="2"/>
    <x v="1"/>
    <x v="0"/>
    <x v="1"/>
    <x v="0"/>
    <x v="8"/>
    <n v="2081"/>
    <n v="1768.85"/>
    <n v="0"/>
    <n v="0"/>
    <n v="0"/>
    <n v="0"/>
    <n v="14"/>
    <s v="CATIVO"/>
    <n v="0"/>
    <n v="20"/>
    <n v="0"/>
    <n v="0"/>
    <n v="14"/>
    <n v="0"/>
    <n v="0"/>
    <n v="15.925787521209683"/>
    <m/>
    <m/>
    <n v="4370.1000000000013"/>
    <n v="0"/>
    <n v="4971.2345747456038"/>
    <n v="0"/>
    <x v="2"/>
  </r>
  <r>
    <s v="Regular"/>
    <x v="1"/>
    <x v="2"/>
    <x v="2"/>
    <x v="1"/>
    <x v="0"/>
    <x v="1"/>
    <x v="0"/>
    <x v="9"/>
    <n v="2090"/>
    <n v="1776.5"/>
    <n v="0"/>
    <n v="0"/>
    <n v="0"/>
    <n v="0"/>
    <n v="14"/>
    <s v="CATIVO"/>
    <n v="0"/>
    <n v="20"/>
    <n v="0"/>
    <n v="0"/>
    <n v="14"/>
    <n v="0"/>
    <n v="0"/>
    <n v="15.925787521209683"/>
    <m/>
    <m/>
    <n v="4389"/>
    <n v="0"/>
    <n v="4992.734387899236"/>
    <n v="0"/>
    <x v="2"/>
  </r>
  <r>
    <s v="Regular"/>
    <x v="1"/>
    <x v="2"/>
    <x v="2"/>
    <x v="1"/>
    <x v="0"/>
    <x v="1"/>
    <x v="0"/>
    <x v="10"/>
    <n v="2091"/>
    <n v="1777.35"/>
    <n v="0"/>
    <n v="0"/>
    <n v="0"/>
    <n v="0"/>
    <n v="14"/>
    <s v="CATIVO"/>
    <n v="0"/>
    <n v="20"/>
    <n v="0"/>
    <n v="0"/>
    <n v="14"/>
    <n v="0"/>
    <n v="0"/>
    <n v="15.925787521209683"/>
    <m/>
    <m/>
    <n v="4391.1000000000013"/>
    <n v="0"/>
    <n v="4995.1232560274184"/>
    <n v="0"/>
    <x v="2"/>
  </r>
  <r>
    <s v="PROJETADO"/>
    <x v="1"/>
    <x v="2"/>
    <x v="2"/>
    <x v="1"/>
    <x v="0"/>
    <x v="1"/>
    <x v="0"/>
    <x v="11"/>
    <n v="2091"/>
    <n v="1777.35"/>
    <n v="0"/>
    <n v="0"/>
    <n v="0"/>
    <n v="0"/>
    <n v="14"/>
    <s v="CATIVO"/>
    <n v="0"/>
    <n v="20"/>
    <n v="0"/>
    <n v="0"/>
    <n v="14"/>
    <n v="0"/>
    <n v="0"/>
    <n v="15.925787521209683"/>
    <m/>
    <m/>
    <n v="4391.1000000000013"/>
    <n v="0"/>
    <n v="4995.1232560274184"/>
    <n v="0"/>
    <x v="2"/>
  </r>
  <r>
    <s v="Regular"/>
    <x v="1"/>
    <x v="2"/>
    <x v="2"/>
    <x v="1"/>
    <x v="0"/>
    <x v="1"/>
    <x v="2"/>
    <x v="0"/>
    <n v="0"/>
    <n v="0"/>
    <n v="49.845999999999997"/>
    <n v="46.855239999999995"/>
    <n v="49.845999999999997"/>
    <n v="46.855239999999995"/>
    <n v="0"/>
    <s v="CATIVO"/>
    <n v="0"/>
    <n v="0"/>
    <n v="8"/>
    <n v="38"/>
    <n v="0"/>
    <n v="940.43"/>
    <n v="442.86"/>
    <m/>
    <n v="1108.3660770518723"/>
    <n v="476.88775168498375"/>
    <n v="0"/>
    <n v="4137.0884004000018"/>
    <n v="0"/>
    <n v="4741.1137408330414"/>
    <x v="2"/>
  </r>
  <r>
    <s v="Regular"/>
    <x v="1"/>
    <x v="2"/>
    <x v="2"/>
    <x v="1"/>
    <x v="0"/>
    <x v="1"/>
    <x v="2"/>
    <x v="1"/>
    <n v="0"/>
    <n v="0"/>
    <n v="41.014000000000003"/>
    <n v="38.553159999999998"/>
    <n v="41.014000000000003"/>
    <n v="38.553159999999998"/>
    <n v="0"/>
    <s v="CATIVO"/>
    <n v="0"/>
    <n v="0"/>
    <n v="8"/>
    <n v="38"/>
    <n v="0"/>
    <n v="940.43"/>
    <n v="442.86"/>
    <m/>
    <n v="1108.3660770518723"/>
    <n v="476.88775168498375"/>
    <n v="0"/>
    <n v="3404.0553636000063"/>
    <n v="0"/>
    <n v="3901.0560319088117"/>
    <x v="2"/>
  </r>
  <r>
    <s v="Regular"/>
    <x v="1"/>
    <x v="2"/>
    <x v="2"/>
    <x v="1"/>
    <x v="0"/>
    <x v="1"/>
    <x v="2"/>
    <x v="2"/>
    <n v="0"/>
    <n v="0"/>
    <n v="50.685000000000002"/>
    <n v="47.643900000000002"/>
    <n v="50.685000000000002"/>
    <n v="47.643900000000002"/>
    <n v="0"/>
    <s v="CATIVO"/>
    <n v="0"/>
    <n v="0"/>
    <n v="8"/>
    <n v="38"/>
    <n v="0"/>
    <n v="940.43"/>
    <n v="442.86"/>
    <m/>
    <n v="1108.3660770518723"/>
    <n v="476.88775168498375"/>
    <n v="0"/>
    <n v="4206.7232189999995"/>
    <n v="0"/>
    <n v="4820.9154185716534"/>
    <x v="2"/>
  </r>
  <r>
    <s v="Regular"/>
    <x v="1"/>
    <x v="2"/>
    <x v="2"/>
    <x v="1"/>
    <x v="0"/>
    <x v="1"/>
    <x v="2"/>
    <x v="3"/>
    <n v="0"/>
    <n v="0"/>
    <n v="43.015000000000001"/>
    <n v="40.434100000000001"/>
    <n v="43.015000000000001"/>
    <n v="40.434100000000001"/>
    <n v="0"/>
    <s v="CATIVO"/>
    <n v="0"/>
    <n v="0"/>
    <n v="8"/>
    <n v="38"/>
    <n v="0"/>
    <n v="940.43"/>
    <n v="442.86"/>
    <m/>
    <n v="1108.3660770518723"/>
    <n v="476.88775168498375"/>
    <n v="0"/>
    <n v="3570.1331609999997"/>
    <n v="0"/>
    <n v="4091.3816065869514"/>
    <x v="2"/>
  </r>
  <r>
    <s v="Regular"/>
    <x v="1"/>
    <x v="2"/>
    <x v="2"/>
    <x v="1"/>
    <x v="0"/>
    <x v="1"/>
    <x v="2"/>
    <x v="4"/>
    <n v="0"/>
    <n v="0"/>
    <n v="38.561"/>
    <n v="36.247340000000001"/>
    <n v="38.561"/>
    <n v="36.247340000000001"/>
    <n v="0"/>
    <s v="CATIVO"/>
    <n v="0"/>
    <n v="0"/>
    <n v="8"/>
    <n v="38"/>
    <n v="0"/>
    <n v="940.43"/>
    <n v="442.86"/>
    <m/>
    <n v="1108.3660770518723"/>
    <n v="476.88775168498375"/>
    <n v="0"/>
    <n v="3200.4627413999979"/>
    <n v="0"/>
    <n v="3667.738373395312"/>
    <x v="2"/>
  </r>
  <r>
    <s v="Regular"/>
    <x v="1"/>
    <x v="2"/>
    <x v="2"/>
    <x v="1"/>
    <x v="0"/>
    <x v="1"/>
    <x v="2"/>
    <x v="5"/>
    <n v="0"/>
    <n v="0"/>
    <n v="44.167000000000002"/>
    <n v="41.516979999999997"/>
    <n v="44.167000000000002"/>
    <n v="41.516979999999997"/>
    <n v="0"/>
    <s v="CATIVO"/>
    <n v="0"/>
    <n v="0"/>
    <n v="8"/>
    <n v="38"/>
    <n v="0"/>
    <n v="940.43"/>
    <n v="442.86"/>
    <m/>
    <n v="1108.3660770518723"/>
    <n v="476.88775168498375"/>
    <n v="0"/>
    <n v="3665.7461658000066"/>
    <n v="0"/>
    <n v="4200.9543512292512"/>
    <x v="2"/>
  </r>
  <r>
    <s v="Regular"/>
    <x v="1"/>
    <x v="2"/>
    <x v="2"/>
    <x v="1"/>
    <x v="0"/>
    <x v="1"/>
    <x v="2"/>
    <x v="6"/>
    <n v="0"/>
    <n v="0"/>
    <n v="38.438000000000002"/>
    <n v="36.131720000000001"/>
    <n v="38.438000000000002"/>
    <n v="36.131720000000001"/>
    <n v="0"/>
    <s v="CATIVO"/>
    <n v="0"/>
    <n v="0"/>
    <n v="8"/>
    <n v="38"/>
    <n v="0"/>
    <n v="940.43"/>
    <n v="442.86"/>
    <m/>
    <n v="1108.3660770518723"/>
    <n v="476.88775168498375"/>
    <n v="0"/>
    <n v="3190.2540612000016"/>
    <n v="0"/>
    <n v="3656.0392001392379"/>
    <x v="2"/>
  </r>
  <r>
    <s v="Regular"/>
    <x v="1"/>
    <x v="2"/>
    <x v="2"/>
    <x v="1"/>
    <x v="0"/>
    <x v="1"/>
    <x v="2"/>
    <x v="7"/>
    <n v="0"/>
    <n v="0"/>
    <n v="42.649000000000001"/>
    <n v="40.090060000000001"/>
    <n v="42.649000000000001"/>
    <n v="40.090060000000001"/>
    <n v="0"/>
    <s v="CATIVO"/>
    <n v="0"/>
    <n v="0"/>
    <n v="8"/>
    <n v="38"/>
    <n v="0"/>
    <n v="940.43"/>
    <n v="442.86"/>
    <m/>
    <n v="1108.3660770518723"/>
    <n v="476.88775168498375"/>
    <n v="0"/>
    <n v="3539.7561125999996"/>
    <n v="0"/>
    <n v="4056.5694325078898"/>
    <x v="2"/>
  </r>
  <r>
    <s v="Regular"/>
    <x v="1"/>
    <x v="2"/>
    <x v="2"/>
    <x v="1"/>
    <x v="0"/>
    <x v="1"/>
    <x v="2"/>
    <x v="8"/>
    <n v="0"/>
    <n v="0"/>
    <n v="38.14"/>
    <n v="35.851599999999998"/>
    <n v="38.14"/>
    <n v="35.851599999999998"/>
    <n v="0"/>
    <s v="CATIVO"/>
    <n v="0"/>
    <n v="0"/>
    <n v="8"/>
    <n v="38"/>
    <n v="0"/>
    <n v="940.43"/>
    <n v="442.86"/>
    <m/>
    <n v="1108.3660770518723"/>
    <n v="476.88775168498375"/>
    <n v="0"/>
    <n v="3165.5208360000038"/>
    <n v="0"/>
    <n v="3627.6948616814261"/>
    <x v="2"/>
  </r>
  <r>
    <s v="Regular"/>
    <x v="1"/>
    <x v="2"/>
    <x v="2"/>
    <x v="1"/>
    <x v="0"/>
    <x v="1"/>
    <x v="2"/>
    <x v="9"/>
    <n v="0"/>
    <n v="0"/>
    <n v="42.067"/>
    <n v="39.54298"/>
    <n v="42.067"/>
    <n v="39.54298"/>
    <n v="0"/>
    <s v="CATIVO"/>
    <n v="0"/>
    <n v="0"/>
    <n v="8"/>
    <n v="38"/>
    <n v="0"/>
    <n v="940.43"/>
    <n v="442.86"/>
    <m/>
    <n v="1108.3660770518723"/>
    <n v="476.88775168498375"/>
    <n v="0"/>
    <n v="3491.4516258000003"/>
    <n v="0"/>
    <n v="4001.2123688083993"/>
    <x v="2"/>
  </r>
  <r>
    <s v="Regular"/>
    <x v="1"/>
    <x v="2"/>
    <x v="2"/>
    <x v="1"/>
    <x v="0"/>
    <x v="1"/>
    <x v="2"/>
    <x v="10"/>
    <n v="0"/>
    <n v="0"/>
    <n v="40.218000000000004"/>
    <n v="37.804920000000003"/>
    <n v="40.218000000000004"/>
    <n v="37.804920000000003"/>
    <n v="0"/>
    <s v="CATIVO"/>
    <n v="0"/>
    <n v="0"/>
    <n v="8"/>
    <n v="38"/>
    <n v="0"/>
    <n v="940.43"/>
    <n v="442.86"/>
    <m/>
    <n v="1108.3660770518723"/>
    <n v="476.88775168498375"/>
    <n v="0"/>
    <n v="3337.9894332000008"/>
    <n v="0"/>
    <n v="3825.3443090483338"/>
    <x v="2"/>
  </r>
  <r>
    <s v="PROJETADO"/>
    <x v="1"/>
    <x v="2"/>
    <x v="2"/>
    <x v="1"/>
    <x v="0"/>
    <x v="1"/>
    <x v="2"/>
    <x v="11"/>
    <n v="0"/>
    <n v="0"/>
    <n v="40.218000000000004"/>
    <n v="37.804920000000003"/>
    <n v="40.218000000000004"/>
    <n v="37.804920000000003"/>
    <n v="0"/>
    <s v="CATIVO"/>
    <n v="0"/>
    <n v="0"/>
    <n v="8"/>
    <n v="38"/>
    <n v="0"/>
    <n v="940.43"/>
    <n v="442.86"/>
    <m/>
    <n v="1108.3660770518723"/>
    <n v="476.88775168498375"/>
    <n v="0"/>
    <n v="3337.9894332000008"/>
    <n v="0"/>
    <n v="3825.3443090483338"/>
    <x v="2"/>
  </r>
  <r>
    <s v="Regular"/>
    <x v="2"/>
    <x v="2"/>
    <x v="1"/>
    <x v="0"/>
    <x v="1"/>
    <x v="1"/>
    <x v="1"/>
    <x v="1"/>
    <n v="0"/>
    <n v="0"/>
    <n v="27.018000000000001"/>
    <n v="27.018000000000001"/>
    <n v="0"/>
    <n v="0"/>
    <n v="0"/>
    <s v="LIVRE"/>
    <n v="0"/>
    <n v="0"/>
    <n v="45"/>
    <n v="0"/>
    <n v="0"/>
    <n v="105.73"/>
    <n v="0"/>
    <m/>
    <n v="163.4630843198542"/>
    <m/>
    <n v="0"/>
    <n v="0"/>
    <n v="0"/>
    <n v="0"/>
    <x v="1"/>
  </r>
  <r>
    <s v="Regular"/>
    <x v="2"/>
    <x v="2"/>
    <x v="1"/>
    <x v="0"/>
    <x v="1"/>
    <x v="1"/>
    <x v="1"/>
    <x v="2"/>
    <n v="0"/>
    <n v="0"/>
    <n v="27.103999999999999"/>
    <n v="27.103999999999999"/>
    <n v="0"/>
    <n v="0"/>
    <n v="0"/>
    <s v="LIVRE"/>
    <n v="0"/>
    <n v="0"/>
    <n v="45"/>
    <n v="0"/>
    <n v="0"/>
    <n v="105.73"/>
    <n v="0"/>
    <m/>
    <n v="163.4630843198542"/>
    <m/>
    <n v="0"/>
    <n v="0"/>
    <n v="0"/>
    <n v="0"/>
    <x v="1"/>
  </r>
  <r>
    <s v="Regular"/>
    <x v="2"/>
    <x v="2"/>
    <x v="1"/>
    <x v="0"/>
    <x v="1"/>
    <x v="1"/>
    <x v="1"/>
    <x v="3"/>
    <n v="0"/>
    <n v="0"/>
    <n v="26.242000000000001"/>
    <n v="26.242000000000001"/>
    <n v="0"/>
    <n v="0"/>
    <n v="0"/>
    <s v="LIVRE"/>
    <n v="0"/>
    <n v="0"/>
    <n v="45"/>
    <n v="0"/>
    <n v="0"/>
    <n v="105.73"/>
    <n v="0"/>
    <m/>
    <n v="163.4630843198542"/>
    <m/>
    <n v="0"/>
    <n v="0"/>
    <n v="0"/>
    <n v="0"/>
    <x v="1"/>
  </r>
  <r>
    <s v="Regular"/>
    <x v="2"/>
    <x v="2"/>
    <x v="1"/>
    <x v="0"/>
    <x v="1"/>
    <x v="1"/>
    <x v="1"/>
    <x v="4"/>
    <n v="0"/>
    <n v="0"/>
    <n v="24.724"/>
    <n v="24.724"/>
    <n v="0"/>
    <n v="0"/>
    <n v="0"/>
    <s v="LIVRE"/>
    <n v="0"/>
    <n v="0"/>
    <n v="45"/>
    <n v="0"/>
    <n v="0"/>
    <n v="105.73"/>
    <n v="0"/>
    <m/>
    <n v="163.4630843198542"/>
    <m/>
    <n v="0"/>
    <n v="0"/>
    <n v="0"/>
    <n v="0"/>
    <x v="1"/>
  </r>
  <r>
    <s v="Regular"/>
    <x v="2"/>
    <x v="2"/>
    <x v="1"/>
    <x v="0"/>
    <x v="1"/>
    <x v="1"/>
    <x v="1"/>
    <x v="5"/>
    <n v="0"/>
    <n v="0"/>
    <n v="28.736000000000001"/>
    <n v="28.736000000000001"/>
    <n v="0"/>
    <n v="0"/>
    <n v="0"/>
    <s v="LIVRE"/>
    <n v="0"/>
    <n v="0"/>
    <n v="45"/>
    <n v="0"/>
    <n v="0"/>
    <n v="105.73"/>
    <n v="0"/>
    <m/>
    <n v="163.4630843198542"/>
    <m/>
    <n v="0"/>
    <n v="0"/>
    <n v="0"/>
    <n v="0"/>
    <x v="1"/>
  </r>
  <r>
    <s v="Regular"/>
    <x v="2"/>
    <x v="2"/>
    <x v="1"/>
    <x v="0"/>
    <x v="1"/>
    <x v="1"/>
    <x v="1"/>
    <x v="6"/>
    <n v="0"/>
    <n v="0"/>
    <n v="25.777999999999999"/>
    <n v="25.777999999999999"/>
    <n v="0"/>
    <n v="0"/>
    <n v="0"/>
    <s v="LIVRE"/>
    <n v="0"/>
    <n v="0"/>
    <n v="45"/>
    <n v="0"/>
    <n v="0"/>
    <n v="105.73"/>
    <n v="0"/>
    <m/>
    <n v="163.4630843198542"/>
    <m/>
    <n v="0"/>
    <n v="0"/>
    <n v="0"/>
    <n v="0"/>
    <x v="1"/>
  </r>
  <r>
    <s v="Regular"/>
    <x v="2"/>
    <x v="2"/>
    <x v="1"/>
    <x v="0"/>
    <x v="1"/>
    <x v="1"/>
    <x v="1"/>
    <x v="7"/>
    <n v="0"/>
    <n v="0"/>
    <n v="18.988"/>
    <n v="18.988"/>
    <n v="0"/>
    <n v="0"/>
    <n v="0"/>
    <s v="LIVRE"/>
    <n v="0"/>
    <n v="0"/>
    <n v="45"/>
    <n v="0"/>
    <n v="0"/>
    <n v="105.73"/>
    <n v="0"/>
    <m/>
    <n v="163.4630843198542"/>
    <m/>
    <n v="0"/>
    <n v="0"/>
    <n v="0"/>
    <n v="0"/>
    <x v="1"/>
  </r>
  <r>
    <s v="Regular"/>
    <x v="2"/>
    <x v="2"/>
    <x v="1"/>
    <x v="0"/>
    <x v="1"/>
    <x v="1"/>
    <x v="1"/>
    <x v="8"/>
    <n v="0"/>
    <n v="0"/>
    <n v="17.864999999999998"/>
    <n v="17.864999999999998"/>
    <n v="0"/>
    <n v="0"/>
    <n v="0"/>
    <s v="LIVRE"/>
    <n v="0"/>
    <n v="0"/>
    <n v="45"/>
    <n v="0"/>
    <n v="0"/>
    <n v="105.73"/>
    <n v="0"/>
    <m/>
    <n v="163.4630843198542"/>
    <m/>
    <n v="0"/>
    <n v="0"/>
    <n v="0"/>
    <n v="0"/>
    <x v="1"/>
  </r>
  <r>
    <s v="Regular"/>
    <x v="2"/>
    <x v="2"/>
    <x v="1"/>
    <x v="0"/>
    <x v="1"/>
    <x v="1"/>
    <x v="1"/>
    <x v="9"/>
    <n v="0"/>
    <n v="0"/>
    <n v="20.734000000000002"/>
    <n v="20.734000000000002"/>
    <n v="0"/>
    <n v="0"/>
    <n v="0"/>
    <s v="LIVRE"/>
    <n v="0"/>
    <n v="0"/>
    <n v="45"/>
    <n v="0"/>
    <n v="0"/>
    <n v="105.73"/>
    <n v="0"/>
    <m/>
    <n v="163.4630843198542"/>
    <m/>
    <n v="0"/>
    <n v="0"/>
    <n v="0"/>
    <n v="0"/>
    <x v="1"/>
  </r>
  <r>
    <s v="Regular"/>
    <x v="2"/>
    <x v="2"/>
    <x v="1"/>
    <x v="0"/>
    <x v="1"/>
    <x v="1"/>
    <x v="1"/>
    <x v="10"/>
    <n v="0"/>
    <n v="0"/>
    <n v="22.969000000000001"/>
    <n v="22.969000000000001"/>
    <n v="0"/>
    <n v="0"/>
    <n v="0"/>
    <s v="LIVRE"/>
    <n v="0"/>
    <n v="0"/>
    <n v="45"/>
    <n v="0"/>
    <n v="0"/>
    <n v="105.73"/>
    <n v="0"/>
    <m/>
    <n v="163.4630843198542"/>
    <m/>
    <n v="0"/>
    <n v="0"/>
    <n v="0"/>
    <n v="0"/>
    <x v="1"/>
  </r>
  <r>
    <s v="PROJETADO"/>
    <x v="2"/>
    <x v="2"/>
    <x v="1"/>
    <x v="0"/>
    <x v="1"/>
    <x v="1"/>
    <x v="1"/>
    <x v="11"/>
    <n v="0"/>
    <n v="0"/>
    <n v="22.969000000000001"/>
    <n v="22.969000000000001"/>
    <n v="0"/>
    <n v="0"/>
    <n v="0"/>
    <s v="LIVRE"/>
    <n v="0"/>
    <n v="0"/>
    <n v="45"/>
    <n v="0"/>
    <n v="0"/>
    <n v="105.73"/>
    <n v="0"/>
    <m/>
    <n v="163.4630843198542"/>
    <m/>
    <n v="0"/>
    <n v="0"/>
    <n v="0"/>
    <n v="0"/>
    <x v="1"/>
  </r>
  <r>
    <s v="Regular"/>
    <x v="2"/>
    <x v="2"/>
    <x v="1"/>
    <x v="0"/>
    <x v="1"/>
    <x v="1"/>
    <x v="0"/>
    <x v="1"/>
    <n v="101"/>
    <n v="50.5"/>
    <n v="0"/>
    <n v="0"/>
    <n v="0"/>
    <n v="0"/>
    <n v="1"/>
    <s v="LIVRE"/>
    <n v="0"/>
    <n v="13"/>
    <n v="0"/>
    <n v="0"/>
    <n v="11.74"/>
    <n v="0"/>
    <n v="0"/>
    <n v="13.331960206679717"/>
    <m/>
    <m/>
    <n v="592.87"/>
    <n v="0"/>
    <n v="673.26399043732567"/>
    <n v="0"/>
    <x v="1"/>
  </r>
  <r>
    <s v="Regular"/>
    <x v="2"/>
    <x v="2"/>
    <x v="1"/>
    <x v="0"/>
    <x v="1"/>
    <x v="1"/>
    <x v="0"/>
    <x v="2"/>
    <n v="101"/>
    <n v="50.5"/>
    <n v="0"/>
    <n v="0"/>
    <n v="0"/>
    <n v="0"/>
    <n v="1"/>
    <s v="LIVRE"/>
    <n v="0"/>
    <n v="13"/>
    <n v="0"/>
    <n v="0"/>
    <n v="11.74"/>
    <n v="0"/>
    <n v="0"/>
    <n v="13.331960206679717"/>
    <m/>
    <m/>
    <n v="592.87"/>
    <n v="0"/>
    <n v="673.26399043732567"/>
    <n v="0"/>
    <x v="1"/>
  </r>
  <r>
    <s v="Regular"/>
    <x v="2"/>
    <x v="2"/>
    <x v="1"/>
    <x v="0"/>
    <x v="1"/>
    <x v="1"/>
    <x v="0"/>
    <x v="3"/>
    <n v="101"/>
    <n v="50.614991529999998"/>
    <n v="0"/>
    <n v="0"/>
    <n v="0"/>
    <n v="0"/>
    <n v="1"/>
    <s v="LIVRE"/>
    <n v="0"/>
    <n v="13"/>
    <n v="0"/>
    <n v="0"/>
    <n v="11.74"/>
    <n v="0"/>
    <n v="0"/>
    <n v="13.331960206679717"/>
    <m/>
    <m/>
    <n v="591.51999943780004"/>
    <n v="0"/>
    <n v="671.73092793526052"/>
    <n v="0"/>
    <x v="1"/>
  </r>
  <r>
    <s v="Regular"/>
    <x v="2"/>
    <x v="2"/>
    <x v="1"/>
    <x v="0"/>
    <x v="1"/>
    <x v="1"/>
    <x v="0"/>
    <x v="4"/>
    <n v="101"/>
    <n v="50.574105719999999"/>
    <n v="0"/>
    <n v="0"/>
    <n v="0"/>
    <n v="0"/>
    <n v="1"/>
    <s v="LIVRE"/>
    <n v="0"/>
    <n v="13"/>
    <n v="0"/>
    <n v="0"/>
    <n v="11.74"/>
    <n v="0"/>
    <n v="0"/>
    <n v="13.331960206679717"/>
    <m/>
    <m/>
    <n v="591.9999988472"/>
    <n v="0"/>
    <n v="672.27601592719839"/>
    <n v="0"/>
    <x v="1"/>
  </r>
  <r>
    <s v="Regular"/>
    <x v="2"/>
    <x v="2"/>
    <x v="1"/>
    <x v="0"/>
    <x v="1"/>
    <x v="1"/>
    <x v="0"/>
    <x v="5"/>
    <n v="101"/>
    <n v="50.563032079999999"/>
    <n v="0"/>
    <n v="0"/>
    <n v="0"/>
    <n v="0"/>
    <n v="1"/>
    <s v="LIVRE"/>
    <n v="0"/>
    <n v="13"/>
    <n v="0"/>
    <n v="0"/>
    <n v="11.74"/>
    <n v="0"/>
    <n v="0"/>
    <n v="13.331960206679717"/>
    <m/>
    <m/>
    <n v="592.13000338079996"/>
    <n v="0"/>
    <n v="672.42364925502147"/>
    <n v="0"/>
    <x v="1"/>
  </r>
  <r>
    <s v="Regular"/>
    <x v="2"/>
    <x v="2"/>
    <x v="1"/>
    <x v="0"/>
    <x v="1"/>
    <x v="1"/>
    <x v="0"/>
    <x v="6"/>
    <n v="101"/>
    <n v="50.617546830000002"/>
    <n v="0"/>
    <n v="0"/>
    <n v="0"/>
    <n v="0"/>
    <n v="1"/>
    <s v="LIVRE"/>
    <n v="0"/>
    <n v="13"/>
    <n v="0"/>
    <n v="0"/>
    <n v="11.74"/>
    <n v="0"/>
    <n v="0"/>
    <n v="13.331960206679717"/>
    <m/>
    <m/>
    <n v="591.49000021580002"/>
    <n v="0"/>
    <n v="671.69686077734434"/>
    <n v="0"/>
    <x v="1"/>
  </r>
  <r>
    <s v="Regular"/>
    <x v="2"/>
    <x v="2"/>
    <x v="1"/>
    <x v="0"/>
    <x v="1"/>
    <x v="1"/>
    <x v="0"/>
    <x v="7"/>
    <n v="101"/>
    <n v="56.66269175"/>
    <n v="0"/>
    <n v="0"/>
    <n v="0"/>
    <n v="0"/>
    <n v="1"/>
    <s v="LIVRE"/>
    <n v="0"/>
    <n v="13"/>
    <n v="0"/>
    <n v="0"/>
    <n v="11.74"/>
    <n v="0"/>
    <n v="0"/>
    <n v="13.331960206679717"/>
    <m/>
    <m/>
    <n v="520.51999885500004"/>
    <n v="0"/>
    <n v="591.10322926029232"/>
    <n v="0"/>
    <x v="1"/>
  </r>
  <r>
    <s v="Regular"/>
    <x v="2"/>
    <x v="2"/>
    <x v="1"/>
    <x v="0"/>
    <x v="1"/>
    <x v="1"/>
    <x v="0"/>
    <x v="8"/>
    <n v="101"/>
    <n v="50.520443409999999"/>
    <n v="0"/>
    <n v="0"/>
    <n v="0"/>
    <n v="0"/>
    <n v="1"/>
    <s v="LIVRE"/>
    <n v="0"/>
    <n v="13"/>
    <n v="0"/>
    <n v="0"/>
    <n v="11.74"/>
    <n v="0"/>
    <n v="0"/>
    <n v="13.331960206679717"/>
    <m/>
    <m/>
    <n v="592.62999436660004"/>
    <n v="0"/>
    <n v="672.99143970871694"/>
    <n v="0"/>
    <x v="1"/>
  </r>
  <r>
    <s v="Regular"/>
    <x v="2"/>
    <x v="2"/>
    <x v="1"/>
    <x v="0"/>
    <x v="1"/>
    <x v="1"/>
    <x v="0"/>
    <x v="9"/>
    <n v="101"/>
    <n v="47.413117810000003"/>
    <n v="0"/>
    <n v="0"/>
    <n v="0"/>
    <n v="0"/>
    <n v="1"/>
    <s v="LIVRE"/>
    <n v="0"/>
    <n v="13"/>
    <n v="0"/>
    <n v="0"/>
    <n v="11.74"/>
    <n v="0"/>
    <n v="0"/>
    <n v="13.331960206679717"/>
    <m/>
    <m/>
    <n v="629.10999691059999"/>
    <n v="0"/>
    <n v="714.41818095711403"/>
    <n v="0"/>
    <x v="1"/>
  </r>
  <r>
    <s v="Regular"/>
    <x v="2"/>
    <x v="2"/>
    <x v="1"/>
    <x v="0"/>
    <x v="1"/>
    <x v="1"/>
    <x v="0"/>
    <x v="10"/>
    <n v="101"/>
    <n v="50.495740830000003"/>
    <n v="0"/>
    <n v="0"/>
    <n v="0"/>
    <n v="0"/>
    <n v="1"/>
    <s v="LIVRE"/>
    <n v="0"/>
    <n v="13"/>
    <n v="0"/>
    <n v="0"/>
    <n v="11.74"/>
    <n v="0"/>
    <n v="0"/>
    <n v="13.331960206679717"/>
    <m/>
    <m/>
    <n v="592.92000265579998"/>
    <n v="0"/>
    <n v="673.32077352227918"/>
    <n v="0"/>
    <x v="1"/>
  </r>
  <r>
    <s v="PROJETADO"/>
    <x v="2"/>
    <x v="2"/>
    <x v="1"/>
    <x v="0"/>
    <x v="1"/>
    <x v="1"/>
    <x v="0"/>
    <x v="11"/>
    <n v="101"/>
    <n v="50.495740830000003"/>
    <n v="0"/>
    <n v="0"/>
    <n v="0"/>
    <n v="0"/>
    <n v="1"/>
    <s v="LIVRE"/>
    <n v="0"/>
    <n v="13"/>
    <n v="0"/>
    <n v="0"/>
    <n v="11.74"/>
    <n v="0"/>
    <n v="0"/>
    <n v="13.331960206679717"/>
    <m/>
    <m/>
    <n v="592.92000265579998"/>
    <n v="0"/>
    <n v="673.32077352227918"/>
    <n v="0"/>
    <x v="1"/>
  </r>
  <r>
    <s v="Regular"/>
    <x v="2"/>
    <x v="2"/>
    <x v="1"/>
    <x v="0"/>
    <x v="1"/>
    <x v="1"/>
    <x v="2"/>
    <x v="1"/>
    <n v="0"/>
    <n v="0"/>
    <n v="3.5529999999999999"/>
    <n v="1.8846817795299999"/>
    <n v="0"/>
    <n v="0"/>
    <n v="0"/>
    <s v="LIVRE"/>
    <n v="0"/>
    <n v="0"/>
    <n v="32"/>
    <n v="0"/>
    <n v="0"/>
    <n v="1604.46"/>
    <n v="0"/>
    <m/>
    <n v="1874.5731973315721"/>
    <m/>
    <n v="0"/>
    <n v="2676.7498520152963"/>
    <n v="0"/>
    <n v="3127.3846207129668"/>
    <x v="1"/>
  </r>
  <r>
    <s v="Regular"/>
    <x v="2"/>
    <x v="2"/>
    <x v="1"/>
    <x v="0"/>
    <x v="1"/>
    <x v="1"/>
    <x v="2"/>
    <x v="2"/>
    <n v="0"/>
    <n v="0"/>
    <n v="4.0090000000000003"/>
    <n v="2.13658183697"/>
    <n v="0"/>
    <n v="0"/>
    <n v="0"/>
    <s v="LIVRE"/>
    <n v="0"/>
    <n v="0"/>
    <n v="32"/>
    <n v="0"/>
    <n v="0"/>
    <n v="1604.46"/>
    <n v="0"/>
    <m/>
    <n v="1874.5731973315721"/>
    <m/>
    <n v="0"/>
    <n v="3004.2200458551142"/>
    <n v="0"/>
    <n v="3509.9849026128568"/>
    <x v="1"/>
  </r>
  <r>
    <s v="Regular"/>
    <x v="2"/>
    <x v="2"/>
    <x v="1"/>
    <x v="0"/>
    <x v="1"/>
    <x v="1"/>
    <x v="2"/>
    <x v="3"/>
    <n v="0"/>
    <n v="0"/>
    <n v="3.74"/>
    <n v="1.997052101"/>
    <n v="0"/>
    <n v="0"/>
    <n v="0"/>
    <s v="LIVRE"/>
    <n v="0"/>
    <n v="0"/>
    <n v="32"/>
    <n v="0"/>
    <n v="0"/>
    <n v="1604.46"/>
    <n v="0"/>
    <m/>
    <n v="1874.5731973315721"/>
    <m/>
    <n v="0"/>
    <n v="2796.4901860295404"/>
    <n v="0"/>
    <n v="3267.2834158107767"/>
    <x v="1"/>
  </r>
  <r>
    <s v="Regular"/>
    <x v="2"/>
    <x v="2"/>
    <x v="1"/>
    <x v="0"/>
    <x v="1"/>
    <x v="1"/>
    <x v="2"/>
    <x v="4"/>
    <n v="0"/>
    <n v="0"/>
    <n v="3.448"/>
    <n v="1.84013581184"/>
    <n v="0"/>
    <n v="0"/>
    <n v="0"/>
    <s v="LIVRE"/>
    <n v="0"/>
    <n v="0"/>
    <n v="32"/>
    <n v="0"/>
    <n v="0"/>
    <n v="1604.46"/>
    <n v="0"/>
    <m/>
    <n v="1874.5731973315721"/>
    <m/>
    <n v="0"/>
    <n v="2579.7537753351935"/>
    <n v="0"/>
    <n v="3014.0591120740237"/>
    <x v="1"/>
  </r>
  <r>
    <s v="Regular"/>
    <x v="2"/>
    <x v="2"/>
    <x v="1"/>
    <x v="0"/>
    <x v="1"/>
    <x v="1"/>
    <x v="2"/>
    <x v="5"/>
    <n v="0"/>
    <n v="0"/>
    <n v="4.17"/>
    <n v="2.2247637216"/>
    <n v="0"/>
    <n v="0"/>
    <n v="0"/>
    <s v="LIVRE"/>
    <n v="0"/>
    <n v="0"/>
    <n v="32"/>
    <n v="0"/>
    <n v="0"/>
    <n v="1604.46"/>
    <n v="0"/>
    <m/>
    <n v="1874.5731973315721"/>
    <m/>
    <n v="0"/>
    <n v="3121.0537992416639"/>
    <n v="0"/>
    <n v="3646.4877899656562"/>
    <x v="1"/>
  </r>
  <r>
    <s v="Regular"/>
    <x v="2"/>
    <x v="2"/>
    <x v="1"/>
    <x v="0"/>
    <x v="1"/>
    <x v="1"/>
    <x v="2"/>
    <x v="6"/>
    <n v="0"/>
    <n v="0"/>
    <n v="3.2719999999999998"/>
    <n v="1.74741762048"/>
    <n v="0"/>
    <n v="0"/>
    <n v="0"/>
    <s v="LIVRE"/>
    <n v="0"/>
    <n v="0"/>
    <n v="32"/>
    <n v="0"/>
    <n v="0"/>
    <n v="1604.46"/>
    <n v="0"/>
    <m/>
    <n v="1874.5731973315721"/>
    <m/>
    <n v="0"/>
    <n v="2446.131444644659"/>
    <n v="0"/>
    <n v="2857.9412657721823"/>
    <x v="1"/>
  </r>
  <r>
    <s v="Regular"/>
    <x v="2"/>
    <x v="2"/>
    <x v="1"/>
    <x v="0"/>
    <x v="1"/>
    <x v="1"/>
    <x v="2"/>
    <x v="7"/>
    <n v="0"/>
    <n v="0"/>
    <n v="2.6539999999999999"/>
    <n v="1.6084939090799999"/>
    <n v="0"/>
    <n v="0"/>
    <n v="0"/>
    <s v="LIVRE"/>
    <n v="0"/>
    <n v="0"/>
    <n v="32"/>
    <n v="0"/>
    <n v="0"/>
    <n v="1604.46"/>
    <n v="0"/>
    <m/>
    <n v="1874.5731973315721"/>
    <m/>
    <n v="0"/>
    <n v="1677.4727026375033"/>
    <n v="0"/>
    <n v="1959.8776956855379"/>
    <x v="1"/>
  </r>
  <r>
    <s v="Regular"/>
    <x v="2"/>
    <x v="2"/>
    <x v="1"/>
    <x v="0"/>
    <x v="1"/>
    <x v="1"/>
    <x v="2"/>
    <x v="8"/>
    <n v="0"/>
    <n v="0"/>
    <n v="2.7570000000000001"/>
    <n v="1.4697052819500001"/>
    <n v="0"/>
    <n v="0"/>
    <n v="0"/>
    <s v="LIVRE"/>
    <n v="0"/>
    <n v="0"/>
    <n v="32"/>
    <n v="0"/>
    <n v="0"/>
    <n v="1604.46"/>
    <n v="0"/>
    <m/>
    <n v="1874.5731973315721"/>
    <m/>
    <n v="0"/>
    <n v="2065.4128833225031"/>
    <n v="0"/>
    <n v="2413.1281755230334"/>
    <x v="1"/>
  </r>
  <r>
    <s v="Regular"/>
    <x v="2"/>
    <x v="2"/>
    <x v="1"/>
    <x v="0"/>
    <x v="1"/>
    <x v="1"/>
    <x v="2"/>
    <x v="9"/>
    <n v="0"/>
    <n v="0"/>
    <n v="2.895"/>
    <n v="1.4671483649999999"/>
    <n v="0"/>
    <n v="0"/>
    <n v="0"/>
    <s v="LIVRE"/>
    <n v="0"/>
    <n v="0"/>
    <n v="32"/>
    <n v="0"/>
    <n v="0"/>
    <n v="1604.46"/>
    <n v="0"/>
    <m/>
    <n v="1874.5731973315721"/>
    <m/>
    <n v="0"/>
    <n v="2290.9308342921004"/>
    <n v="0"/>
    <n v="2676.6124047370631"/>
    <x v="1"/>
  </r>
  <r>
    <s v="Regular"/>
    <x v="2"/>
    <x v="2"/>
    <x v="1"/>
    <x v="0"/>
    <x v="1"/>
    <x v="1"/>
    <x v="2"/>
    <x v="10"/>
    <n v="0"/>
    <n v="0"/>
    <n v="3.3159999999999998"/>
    <n v="1.7672610393999999"/>
    <n v="0"/>
    <n v="0"/>
    <n v="0"/>
    <s v="LIVRE"/>
    <n v="0"/>
    <n v="0"/>
    <n v="32"/>
    <n v="0"/>
    <n v="0"/>
    <n v="1604.46"/>
    <n v="0"/>
    <m/>
    <n v="1874.5731973315721"/>
    <m/>
    <n v="0"/>
    <n v="2484.8897127242758"/>
    <n v="0"/>
    <n v="2903.2245452039178"/>
    <x v="1"/>
  </r>
  <r>
    <s v="PROJETADO"/>
    <x v="2"/>
    <x v="2"/>
    <x v="1"/>
    <x v="0"/>
    <x v="1"/>
    <x v="1"/>
    <x v="2"/>
    <x v="11"/>
    <n v="0"/>
    <n v="0"/>
    <n v="3.3159999999999998"/>
    <n v="1.7672610393999999"/>
    <n v="0"/>
    <n v="0"/>
    <n v="0"/>
    <s v="LIVRE"/>
    <n v="0"/>
    <n v="0"/>
    <n v="32"/>
    <n v="0"/>
    <n v="0"/>
    <n v="1604.46"/>
    <n v="0"/>
    <m/>
    <n v="1874.5731973315721"/>
    <m/>
    <n v="0"/>
    <n v="2484.8897127242758"/>
    <n v="0"/>
    <n v="2903.2245452039178"/>
    <x v="1"/>
  </r>
  <r>
    <s v="Regular"/>
    <x v="3"/>
    <x v="3"/>
    <x v="4"/>
    <x v="2"/>
    <x v="0"/>
    <x v="1"/>
    <x v="0"/>
    <x v="0"/>
    <n v="0"/>
    <n v="0"/>
    <n v="10420.1"/>
    <n v="10420.1"/>
    <n v="10420.1"/>
    <n v="10420.1"/>
    <n v="68790"/>
    <s v="CATIVO"/>
    <n v="0"/>
    <n v="0"/>
    <n v="46"/>
    <n v="111"/>
    <n v="0"/>
    <n v="300.3"/>
    <n v="292.36"/>
    <m/>
    <n v="385.7156580869115"/>
    <n v="310.95812167444689"/>
    <n v="0"/>
    <n v="0"/>
    <n v="0"/>
    <n v="0"/>
    <x v="4"/>
  </r>
  <r>
    <s v="Regular"/>
    <x v="3"/>
    <x v="3"/>
    <x v="4"/>
    <x v="3"/>
    <x v="0"/>
    <x v="1"/>
    <x v="0"/>
    <x v="0"/>
    <n v="0"/>
    <n v="0"/>
    <n v="161.34700000000001"/>
    <n v="161.34700000000001"/>
    <n v="161.34700000000001"/>
    <n v="161.34700000000001"/>
    <n v="141"/>
    <s v="CATIVO"/>
    <n v="0"/>
    <n v="0"/>
    <n v="39"/>
    <n v="98"/>
    <n v="0"/>
    <n v="79.06"/>
    <n v="102.32"/>
    <m/>
    <n v="89.38817278528839"/>
    <n v="108.8353425860564"/>
    <n v="0"/>
    <n v="54349.736950000006"/>
    <n v="0"/>
    <n v="59396.571992866404"/>
    <x v="5"/>
  </r>
  <r>
    <s v="Refaturamento - Regular"/>
    <x v="3"/>
    <x v="3"/>
    <x v="4"/>
    <x v="3"/>
    <x v="0"/>
    <x v="1"/>
    <x v="0"/>
    <x v="0"/>
    <n v="0"/>
    <n v="0"/>
    <n v="-0.03"/>
    <n v="-0.03"/>
    <n v="-0.03"/>
    <n v="-0.03"/>
    <n v="0"/>
    <s v="CATIVO"/>
    <n v="0"/>
    <n v="0"/>
    <n v="39"/>
    <n v="98"/>
    <n v="0"/>
    <n v="79.06"/>
    <n v="102.32"/>
    <m/>
    <n v="89.38817278528839"/>
    <n v="108.8353425860564"/>
    <n v="0"/>
    <n v="-10.105500000000001"/>
    <n v="0"/>
    <n v="-11.04388157068921"/>
    <x v="5"/>
  </r>
  <r>
    <s v="Sistema de Compensação"/>
    <x v="3"/>
    <x v="3"/>
    <x v="4"/>
    <x v="3"/>
    <x v="0"/>
    <x v="1"/>
    <x v="0"/>
    <x v="0"/>
    <n v="0"/>
    <n v="0"/>
    <n v="0.06"/>
    <n v="-1.7999999999999999E-2"/>
    <n v="0.06"/>
    <n v="-1.7999999999999999E-2"/>
    <n v="0"/>
    <s v="CATIVO"/>
    <n v="0"/>
    <n v="0"/>
    <n v="39"/>
    <n v="98"/>
    <n v="0"/>
    <n v="79.06"/>
    <n v="102.32"/>
    <m/>
    <n v="89.38817278528839"/>
    <n v="108.8353425860564"/>
    <n v="0"/>
    <n v="34.358640000000001"/>
    <n v="0"/>
    <n v="37.549197340343312"/>
    <x v="5"/>
  </r>
  <r>
    <s v="Regular"/>
    <x v="3"/>
    <x v="3"/>
    <x v="4"/>
    <x v="3"/>
    <x v="0"/>
    <x v="1"/>
    <x v="0"/>
    <x v="1"/>
    <n v="0"/>
    <n v="0"/>
    <n v="169.458"/>
    <n v="169.458"/>
    <n v="169.458"/>
    <n v="169.458"/>
    <n v="165"/>
    <s v="CATIVO"/>
    <n v="0"/>
    <n v="0"/>
    <n v="39"/>
    <n v="98"/>
    <n v="0"/>
    <n v="79.06"/>
    <n v="102.32"/>
    <m/>
    <n v="89.38817278528839"/>
    <n v="108.8353425860564"/>
    <n v="0"/>
    <n v="57081.927300000003"/>
    <n v="0"/>
    <n v="62382.469440195076"/>
    <x v="5"/>
  </r>
  <r>
    <s v="Refaturamento - Regular"/>
    <x v="3"/>
    <x v="3"/>
    <x v="4"/>
    <x v="3"/>
    <x v="0"/>
    <x v="1"/>
    <x v="0"/>
    <x v="1"/>
    <n v="0"/>
    <n v="0"/>
    <n v="0.15"/>
    <n v="0.15"/>
    <n v="0.15"/>
    <n v="0.15"/>
    <n v="0"/>
    <s v="CATIVO"/>
    <n v="0"/>
    <n v="0"/>
    <n v="39"/>
    <n v="98"/>
    <n v="0"/>
    <n v="79.06"/>
    <n v="102.32"/>
    <m/>
    <n v="89.38817278528839"/>
    <n v="108.8353425860564"/>
    <n v="0"/>
    <n v="50.527500000000003"/>
    <n v="0"/>
    <n v="55.21940785344605"/>
    <x v="5"/>
  </r>
  <r>
    <s v="Sistema de Compensação"/>
    <x v="3"/>
    <x v="3"/>
    <x v="4"/>
    <x v="3"/>
    <x v="0"/>
    <x v="1"/>
    <x v="0"/>
    <x v="1"/>
    <n v="0"/>
    <n v="0"/>
    <n v="0.06"/>
    <n v="-1.7999999999999999E-2"/>
    <n v="0.06"/>
    <n v="-1.7999999999999999E-2"/>
    <n v="0"/>
    <s v="CATIVO"/>
    <n v="0"/>
    <n v="0"/>
    <n v="39"/>
    <n v="98"/>
    <n v="0"/>
    <n v="79.06"/>
    <n v="102.32"/>
    <m/>
    <n v="89.38817278528839"/>
    <n v="108.8353425860564"/>
    <n v="0"/>
    <n v="34.358640000000001"/>
    <n v="0"/>
    <n v="37.549197340343312"/>
    <x v="5"/>
  </r>
  <r>
    <s v="Regular"/>
    <x v="3"/>
    <x v="3"/>
    <x v="4"/>
    <x v="3"/>
    <x v="0"/>
    <x v="1"/>
    <x v="0"/>
    <x v="2"/>
    <n v="0"/>
    <n v="0"/>
    <n v="163.94200000000001"/>
    <n v="163.94200000000001"/>
    <n v="163.94200000000001"/>
    <n v="163.94200000000001"/>
    <n v="144"/>
    <s v="CATIVO"/>
    <n v="0"/>
    <n v="0"/>
    <n v="39"/>
    <n v="98"/>
    <n v="0"/>
    <n v="79.06"/>
    <n v="102.32"/>
    <m/>
    <n v="89.38817278528839"/>
    <n v="108.8353425860564"/>
    <n v="0"/>
    <n v="55223.862700000005"/>
    <n v="0"/>
    <n v="60351.86774873102"/>
    <x v="5"/>
  </r>
  <r>
    <s v="Sistema de Compensação"/>
    <x v="3"/>
    <x v="3"/>
    <x v="4"/>
    <x v="3"/>
    <x v="0"/>
    <x v="1"/>
    <x v="0"/>
    <x v="2"/>
    <n v="0"/>
    <n v="0"/>
    <n v="0.06"/>
    <n v="-1.7999999999999999E-2"/>
    <n v="0.06"/>
    <n v="-1.7999999999999999E-2"/>
    <n v="0"/>
    <s v="CATIVO"/>
    <n v="0"/>
    <n v="0"/>
    <n v="39"/>
    <n v="98"/>
    <n v="0"/>
    <n v="79.06"/>
    <n v="102.32"/>
    <m/>
    <n v="89.38817278528839"/>
    <n v="108.8353425860564"/>
    <n v="0"/>
    <n v="34.358640000000001"/>
    <n v="0"/>
    <n v="37.549197340343312"/>
    <x v="5"/>
  </r>
  <r>
    <s v="Regular"/>
    <x v="3"/>
    <x v="3"/>
    <x v="4"/>
    <x v="3"/>
    <x v="0"/>
    <x v="1"/>
    <x v="0"/>
    <x v="3"/>
    <n v="0"/>
    <n v="0"/>
    <n v="182.23699999999999"/>
    <n v="182.23699999999999"/>
    <n v="182.23699999999999"/>
    <n v="182.23699999999999"/>
    <n v="196"/>
    <s v="CATIVO"/>
    <n v="0"/>
    <n v="0"/>
    <n v="39"/>
    <n v="98"/>
    <n v="0"/>
    <n v="79.06"/>
    <n v="102.32"/>
    <m/>
    <n v="89.38817278528839"/>
    <n v="108.8353425860564"/>
    <n v="0"/>
    <n v="61386.533450000003"/>
    <n v="0"/>
    <n v="67086.794859922986"/>
    <x v="5"/>
  </r>
  <r>
    <s v="Sistema de Compensação"/>
    <x v="3"/>
    <x v="3"/>
    <x v="4"/>
    <x v="3"/>
    <x v="0"/>
    <x v="1"/>
    <x v="0"/>
    <x v="3"/>
    <n v="0"/>
    <n v="0"/>
    <n v="0.06"/>
    <n v="-1.7999999999999999E-2"/>
    <n v="0.06"/>
    <n v="-1.7999999999999999E-2"/>
    <n v="0"/>
    <s v="CATIVO"/>
    <n v="0"/>
    <n v="0"/>
    <n v="39"/>
    <n v="98"/>
    <n v="0"/>
    <n v="79.06"/>
    <n v="102.32"/>
    <m/>
    <n v="89.38817278528839"/>
    <n v="108.8353425860564"/>
    <n v="0"/>
    <n v="34.358640000000001"/>
    <n v="0"/>
    <n v="37.549197340343312"/>
    <x v="5"/>
  </r>
  <r>
    <s v="Regular"/>
    <x v="3"/>
    <x v="3"/>
    <x v="4"/>
    <x v="3"/>
    <x v="0"/>
    <x v="1"/>
    <x v="0"/>
    <x v="4"/>
    <n v="0"/>
    <n v="0"/>
    <n v="188.01499999999999"/>
    <n v="188.01499999999999"/>
    <n v="188.01499999999999"/>
    <n v="188.01499999999999"/>
    <n v="182"/>
    <s v="CATIVO"/>
    <n v="0"/>
    <n v="0"/>
    <n v="39"/>
    <n v="98"/>
    <n v="0"/>
    <n v="79.06"/>
    <n v="102.32"/>
    <m/>
    <n v="89.38817278528839"/>
    <n v="108.8353425860564"/>
    <n v="0"/>
    <n v="63332.852749999998"/>
    <n v="0"/>
    <n v="69213.846450437719"/>
    <x v="5"/>
  </r>
  <r>
    <s v="Sistema de Compensação"/>
    <x v="3"/>
    <x v="3"/>
    <x v="4"/>
    <x v="3"/>
    <x v="0"/>
    <x v="1"/>
    <x v="0"/>
    <x v="4"/>
    <n v="0"/>
    <n v="0"/>
    <n v="0.06"/>
    <n v="-1.7999999999999999E-2"/>
    <n v="0.06"/>
    <n v="-1.7999999999999999E-2"/>
    <n v="0"/>
    <s v="CATIVO"/>
    <n v="0"/>
    <n v="0"/>
    <n v="39"/>
    <n v="98"/>
    <n v="0"/>
    <n v="79.06"/>
    <n v="102.32"/>
    <m/>
    <n v="89.38817278528839"/>
    <n v="108.8353425860564"/>
    <n v="0"/>
    <n v="34.358640000000001"/>
    <n v="0"/>
    <n v="37.549197340343312"/>
    <x v="5"/>
  </r>
  <r>
    <s v="Regular"/>
    <x v="3"/>
    <x v="3"/>
    <x v="4"/>
    <x v="3"/>
    <x v="0"/>
    <x v="1"/>
    <x v="0"/>
    <x v="5"/>
    <n v="0"/>
    <n v="0"/>
    <n v="189.18700000000001"/>
    <n v="189.18700000000001"/>
    <n v="189.18700000000001"/>
    <n v="189.18700000000001"/>
    <n v="195"/>
    <s v="CATIVO"/>
    <n v="0"/>
    <n v="0"/>
    <n v="39"/>
    <n v="98"/>
    <n v="0"/>
    <n v="79.06"/>
    <n v="102.32"/>
    <m/>
    <n v="89.38817278528839"/>
    <n v="108.8353425860564"/>
    <n v="0"/>
    <n v="63727.640950000008"/>
    <n v="0"/>
    <n v="69645.294090465992"/>
    <x v="5"/>
  </r>
  <r>
    <s v="Refaturamento - Regular"/>
    <x v="3"/>
    <x v="3"/>
    <x v="4"/>
    <x v="3"/>
    <x v="0"/>
    <x v="1"/>
    <x v="0"/>
    <x v="5"/>
    <n v="0"/>
    <n v="0"/>
    <n v="0.09"/>
    <n v="0.09"/>
    <n v="0.09"/>
    <n v="0.09"/>
    <n v="0"/>
    <s v="CATIVO"/>
    <n v="0"/>
    <n v="0"/>
    <n v="39"/>
    <n v="98"/>
    <n v="0"/>
    <n v="79.06"/>
    <n v="102.32"/>
    <m/>
    <n v="89.38817278528839"/>
    <n v="108.8353425860564"/>
    <n v="0"/>
    <n v="30.316500000000001"/>
    <n v="0"/>
    <n v="33.131644712067633"/>
    <x v="5"/>
  </r>
  <r>
    <s v="Sistema de Compensação"/>
    <x v="3"/>
    <x v="3"/>
    <x v="4"/>
    <x v="3"/>
    <x v="0"/>
    <x v="1"/>
    <x v="0"/>
    <x v="5"/>
    <n v="0"/>
    <n v="0"/>
    <n v="0.03"/>
    <n v="-8.9999999999999993E-3"/>
    <n v="0.03"/>
    <n v="-8.9999999999999993E-3"/>
    <n v="0"/>
    <s v="CATIVO"/>
    <n v="0"/>
    <n v="0"/>
    <n v="39"/>
    <n v="98"/>
    <n v="0"/>
    <n v="79.06"/>
    <n v="102.32"/>
    <m/>
    <n v="89.38817278528839"/>
    <n v="108.8353425860564"/>
    <n v="0"/>
    <n v="17.179320000000001"/>
    <n v="0"/>
    <n v="18.774598670171656"/>
    <x v="5"/>
  </r>
  <r>
    <s v="Regular"/>
    <x v="3"/>
    <x v="3"/>
    <x v="4"/>
    <x v="3"/>
    <x v="0"/>
    <x v="1"/>
    <x v="0"/>
    <x v="6"/>
    <n v="0"/>
    <n v="0"/>
    <n v="193.66300000000001"/>
    <n v="193.66300000000001"/>
    <n v="193.66300000000001"/>
    <n v="193.66300000000001"/>
    <n v="213"/>
    <s v="CATIVO"/>
    <n v="0"/>
    <n v="0"/>
    <n v="39"/>
    <n v="98"/>
    <n v="0"/>
    <n v="79.06"/>
    <n v="102.32"/>
    <m/>
    <n v="89.38817278528839"/>
    <n v="108.8353425860564"/>
    <n v="0"/>
    <n v="65235.381550000006"/>
    <n v="0"/>
    <n v="71293.041220812825"/>
    <x v="5"/>
  </r>
  <r>
    <s v="Sistema de Compensação"/>
    <x v="3"/>
    <x v="3"/>
    <x v="4"/>
    <x v="3"/>
    <x v="0"/>
    <x v="1"/>
    <x v="0"/>
    <x v="6"/>
    <n v="0"/>
    <n v="0"/>
    <n v="5.0999999999999997E-2"/>
    <n v="-1.5299999999999999E-2"/>
    <n v="5.0999999999999997E-2"/>
    <n v="-1.5299999999999999E-2"/>
    <n v="0"/>
    <s v="CATIVO"/>
    <n v="0"/>
    <n v="0"/>
    <n v="39"/>
    <n v="98"/>
    <n v="0"/>
    <n v="79.06"/>
    <n v="102.32"/>
    <m/>
    <n v="89.38817278528839"/>
    <n v="108.8353425860564"/>
    <n v="0"/>
    <n v="29.204844000000001"/>
    <n v="0"/>
    <n v="31.916817739291815"/>
    <x v="5"/>
  </r>
  <r>
    <s v="Regular"/>
    <x v="3"/>
    <x v="3"/>
    <x v="4"/>
    <x v="3"/>
    <x v="0"/>
    <x v="1"/>
    <x v="0"/>
    <x v="7"/>
    <n v="0"/>
    <n v="0"/>
    <n v="187.27"/>
    <n v="187.27"/>
    <n v="187.27"/>
    <n v="187.27"/>
    <n v="228"/>
    <s v="CATIVO"/>
    <n v="0"/>
    <n v="0"/>
    <n v="39"/>
    <n v="98"/>
    <n v="0"/>
    <n v="79.06"/>
    <n v="102.32"/>
    <m/>
    <n v="89.38817278528839"/>
    <n v="108.8353425860564"/>
    <n v="0"/>
    <n v="63081.899500000007"/>
    <n v="0"/>
    <n v="68939.590058098955"/>
    <x v="5"/>
  </r>
  <r>
    <s v="Sistema de Compensação"/>
    <x v="3"/>
    <x v="3"/>
    <x v="4"/>
    <x v="3"/>
    <x v="0"/>
    <x v="1"/>
    <x v="0"/>
    <x v="7"/>
    <n v="0"/>
    <n v="0"/>
    <n v="2.5999999999999999E-2"/>
    <n v="-7.7999999999999996E-3"/>
    <n v="2.5999999999999999E-2"/>
    <n v="-7.7999999999999996E-3"/>
    <n v="0"/>
    <s v="CATIVO"/>
    <n v="0"/>
    <n v="0"/>
    <n v="39"/>
    <n v="98"/>
    <n v="0"/>
    <n v="79.06"/>
    <n v="102.32"/>
    <m/>
    <n v="89.38817278528839"/>
    <n v="108.8353425860564"/>
    <n v="0"/>
    <n v="14.888743999999999"/>
    <n v="0"/>
    <n v="16.2713188474821"/>
    <x v="5"/>
  </r>
  <r>
    <s v="Regular"/>
    <x v="3"/>
    <x v="3"/>
    <x v="4"/>
    <x v="3"/>
    <x v="0"/>
    <x v="1"/>
    <x v="0"/>
    <x v="8"/>
    <n v="0"/>
    <n v="0"/>
    <n v="177.684"/>
    <n v="177.684"/>
    <n v="177.684"/>
    <n v="177.684"/>
    <n v="231"/>
    <s v="CATIVO"/>
    <n v="0"/>
    <n v="0"/>
    <n v="39"/>
    <n v="98"/>
    <n v="0"/>
    <n v="79.06"/>
    <n v="102.32"/>
    <m/>
    <n v="89.38817278528839"/>
    <n v="108.8353425860564"/>
    <n v="0"/>
    <n v="59852.8554"/>
    <n v="0"/>
    <n v="65410.701766878054"/>
    <x v="5"/>
  </r>
  <r>
    <s v="Regular"/>
    <x v="3"/>
    <x v="3"/>
    <x v="4"/>
    <x v="3"/>
    <x v="0"/>
    <x v="1"/>
    <x v="0"/>
    <x v="9"/>
    <n v="0"/>
    <n v="0"/>
    <n v="183.559"/>
    <n v="183.559"/>
    <n v="183.559"/>
    <n v="183.559"/>
    <n v="233"/>
    <s v="CATIVO"/>
    <n v="0"/>
    <n v="0"/>
    <n v="39"/>
    <n v="98"/>
    <n v="0"/>
    <n v="79.06"/>
    <n v="102.32"/>
    <m/>
    <n v="89.38817278528839"/>
    <n v="108.8353425860564"/>
    <n v="0"/>
    <n v="61831.849150000002"/>
    <n v="0"/>
    <n v="67573.461907804696"/>
    <x v="5"/>
  </r>
  <r>
    <s v="Refaturamento - Regular"/>
    <x v="3"/>
    <x v="3"/>
    <x v="4"/>
    <x v="3"/>
    <x v="0"/>
    <x v="1"/>
    <x v="0"/>
    <x v="9"/>
    <n v="0"/>
    <n v="0"/>
    <n v="-0.03"/>
    <n v="-0.03"/>
    <n v="-0.03"/>
    <n v="-0.03"/>
    <n v="0"/>
    <s v="CATIVO"/>
    <n v="0"/>
    <n v="0"/>
    <n v="39"/>
    <n v="98"/>
    <n v="0"/>
    <n v="79.06"/>
    <n v="102.32"/>
    <m/>
    <n v="89.38817278528839"/>
    <n v="108.8353425860564"/>
    <n v="0"/>
    <n v="-10.105500000000001"/>
    <n v="0"/>
    <n v="-11.04388157068921"/>
    <x v="5"/>
  </r>
  <r>
    <s v="Sistema de Compensação"/>
    <x v="3"/>
    <x v="3"/>
    <x v="4"/>
    <x v="3"/>
    <x v="0"/>
    <x v="1"/>
    <x v="0"/>
    <x v="9"/>
    <n v="0"/>
    <n v="0"/>
    <n v="1.7000000000000001E-2"/>
    <n v="5.9500000000000004E-3"/>
    <n v="1.7000000000000001E-2"/>
    <n v="5.9500000000000004E-3"/>
    <n v="0"/>
    <s v="CATIVO"/>
    <n v="0"/>
    <n v="0"/>
    <n v="39"/>
    <n v="98"/>
    <n v="0"/>
    <n v="79.06"/>
    <n v="102.32"/>
    <m/>
    <n v="89.38817278528839"/>
    <n v="108.8353425860564"/>
    <n v="0"/>
    <n v="7.7306990000000013"/>
    <n v="0"/>
    <n v="8.4485694015772452"/>
    <x v="5"/>
  </r>
  <r>
    <s v="Regular"/>
    <x v="3"/>
    <x v="3"/>
    <x v="4"/>
    <x v="3"/>
    <x v="0"/>
    <x v="1"/>
    <x v="0"/>
    <x v="10"/>
    <n v="0"/>
    <n v="0"/>
    <n v="183.197"/>
    <n v="183.197"/>
    <n v="183.197"/>
    <n v="183.197"/>
    <n v="202"/>
    <s v="CATIVO"/>
    <n v="0"/>
    <n v="0"/>
    <n v="39"/>
    <n v="98"/>
    <n v="0"/>
    <n v="79.06"/>
    <n v="102.32"/>
    <m/>
    <n v="89.38817278528839"/>
    <n v="108.8353425860564"/>
    <n v="0"/>
    <n v="61709.909450000006"/>
    <n v="0"/>
    <n v="67440.199070185045"/>
    <x v="5"/>
  </r>
  <r>
    <s v="Refaturamento - Regular"/>
    <x v="3"/>
    <x v="3"/>
    <x v="4"/>
    <x v="3"/>
    <x v="0"/>
    <x v="1"/>
    <x v="0"/>
    <x v="10"/>
    <n v="0"/>
    <n v="0"/>
    <n v="-0.06"/>
    <n v="-0.06"/>
    <n v="-0.06"/>
    <n v="-0.06"/>
    <n v="0"/>
    <s v="CATIVO"/>
    <n v="0"/>
    <n v="0"/>
    <n v="39"/>
    <n v="98"/>
    <n v="0"/>
    <n v="79.06"/>
    <n v="102.32"/>
    <m/>
    <n v="89.38817278528839"/>
    <n v="108.8353425860564"/>
    <n v="0"/>
    <n v="-20.211000000000002"/>
    <n v="0"/>
    <n v="-22.087763141378421"/>
    <x v="5"/>
  </r>
  <r>
    <s v="Sistema de Compensação"/>
    <x v="3"/>
    <x v="3"/>
    <x v="4"/>
    <x v="3"/>
    <x v="0"/>
    <x v="1"/>
    <x v="0"/>
    <x v="10"/>
    <n v="0"/>
    <n v="0"/>
    <n v="3.5000000000000003E-2"/>
    <n v="1.225E-2"/>
    <n v="3.5000000000000003E-2"/>
    <n v="1.225E-2"/>
    <n v="0"/>
    <s v="CATIVO"/>
    <n v="0"/>
    <n v="0"/>
    <n v="39"/>
    <n v="98"/>
    <n v="0"/>
    <n v="79.06"/>
    <n v="102.32"/>
    <m/>
    <n v="89.38817278528839"/>
    <n v="108.8353425860564"/>
    <n v="0"/>
    <n v="15.916145000000002"/>
    <n v="0"/>
    <n v="17.394113473835507"/>
    <x v="5"/>
  </r>
  <r>
    <s v="PROJETADO"/>
    <x v="3"/>
    <x v="3"/>
    <x v="4"/>
    <x v="3"/>
    <x v="0"/>
    <x v="1"/>
    <x v="0"/>
    <x v="11"/>
    <n v="0"/>
    <n v="0"/>
    <n v="183.197"/>
    <n v="183.197"/>
    <n v="183.197"/>
    <n v="183.197"/>
    <n v="202"/>
    <s v="CATIVO"/>
    <n v="0"/>
    <n v="0"/>
    <n v="39"/>
    <n v="98"/>
    <n v="0"/>
    <n v="79.06"/>
    <n v="102.32"/>
    <m/>
    <n v="89.38817278528839"/>
    <n v="108.8353425860564"/>
    <n v="0"/>
    <n v="61709.909450000006"/>
    <n v="0"/>
    <n v="67440.199070185045"/>
    <x v="5"/>
  </r>
  <r>
    <s v="PROJETADO"/>
    <x v="3"/>
    <x v="3"/>
    <x v="4"/>
    <x v="3"/>
    <x v="0"/>
    <x v="1"/>
    <x v="0"/>
    <x v="11"/>
    <n v="0"/>
    <n v="0"/>
    <n v="-0.06"/>
    <n v="-0.06"/>
    <n v="-0.06"/>
    <n v="-0.06"/>
    <n v="0"/>
    <s v="CATIVO"/>
    <n v="0"/>
    <n v="0"/>
    <n v="39"/>
    <n v="98"/>
    <n v="0"/>
    <n v="79.06"/>
    <n v="102.32"/>
    <m/>
    <n v="89.38817278528839"/>
    <n v="108.8353425860564"/>
    <n v="0"/>
    <n v="-20.211000000000002"/>
    <n v="0"/>
    <n v="-22.087763141378421"/>
    <x v="5"/>
  </r>
  <r>
    <s v="PROJETADO"/>
    <x v="3"/>
    <x v="3"/>
    <x v="4"/>
    <x v="3"/>
    <x v="0"/>
    <x v="1"/>
    <x v="0"/>
    <x v="11"/>
    <n v="0"/>
    <n v="0"/>
    <n v="3.5000000000000003E-2"/>
    <n v="1.225E-2"/>
    <n v="3.5000000000000003E-2"/>
    <n v="1.225E-2"/>
    <n v="0"/>
    <s v="CATIVO"/>
    <n v="0"/>
    <n v="0"/>
    <n v="39"/>
    <n v="98"/>
    <n v="0"/>
    <n v="79.06"/>
    <n v="102.32"/>
    <m/>
    <n v="89.38817278528839"/>
    <n v="108.8353425860564"/>
    <n v="0"/>
    <n v="15.916145000000002"/>
    <n v="0"/>
    <n v="17.394113473835507"/>
    <x v="5"/>
  </r>
  <r>
    <s v="Regular"/>
    <x v="3"/>
    <x v="3"/>
    <x v="4"/>
    <x v="4"/>
    <x v="0"/>
    <x v="1"/>
    <x v="0"/>
    <x v="0"/>
    <n v="0"/>
    <n v="0"/>
    <n v="327.26100000000002"/>
    <n v="327.26100000000002"/>
    <n v="327.26100000000002"/>
    <n v="327.26100000000002"/>
    <n v="1478"/>
    <s v="CATIVO"/>
    <n v="0"/>
    <n v="0"/>
    <n v="34"/>
    <n v="75"/>
    <n v="0"/>
    <n v="135.52000000000001"/>
    <n v="175.41"/>
    <m/>
    <n v="153.23686763192296"/>
    <n v="186.57487300466812"/>
    <n v="0"/>
    <n v="67841.205300000016"/>
    <n v="0"/>
    <n v="74138.086701647626"/>
    <x v="5"/>
  </r>
  <r>
    <s v="Refaturamento - Regular"/>
    <x v="3"/>
    <x v="3"/>
    <x v="4"/>
    <x v="4"/>
    <x v="0"/>
    <x v="1"/>
    <x v="0"/>
    <x v="0"/>
    <n v="0"/>
    <n v="0"/>
    <n v="-0.11600000000000001"/>
    <n v="-0.11600000000000001"/>
    <n v="-0.11600000000000001"/>
    <n v="-0.11600000000000001"/>
    <n v="0"/>
    <s v="CATIVO"/>
    <n v="0"/>
    <n v="0"/>
    <n v="34"/>
    <n v="75"/>
    <n v="0"/>
    <n v="135.52000000000001"/>
    <n v="175.41"/>
    <m/>
    <n v="153.23686763192296"/>
    <n v="186.57487300466812"/>
    <n v="0"/>
    <n v="-24.046800000000005"/>
    <n v="0"/>
    <n v="-26.278774609229711"/>
    <x v="5"/>
  </r>
  <r>
    <s v="Sistema de Compensação"/>
    <x v="3"/>
    <x v="3"/>
    <x v="4"/>
    <x v="4"/>
    <x v="0"/>
    <x v="1"/>
    <x v="0"/>
    <x v="0"/>
    <n v="0"/>
    <n v="0"/>
    <n v="0.1"/>
    <n v="0.02"/>
    <n v="0.1"/>
    <n v="0.02"/>
    <n v="1"/>
    <s v="CATIVO"/>
    <n v="0"/>
    <n v="0"/>
    <n v="34"/>
    <n v="75"/>
    <n v="0"/>
    <n v="135.52000000000001"/>
    <n v="175.41"/>
    <m/>
    <n v="153.23686763192296"/>
    <n v="186.57487300466812"/>
    <n v="0"/>
    <n v="45.604400000000005"/>
    <n v="0"/>
    <n v="49.839055293366691"/>
    <x v="5"/>
  </r>
  <r>
    <s v="Regular"/>
    <x v="3"/>
    <x v="3"/>
    <x v="4"/>
    <x v="4"/>
    <x v="0"/>
    <x v="1"/>
    <x v="0"/>
    <x v="1"/>
    <n v="0"/>
    <n v="0"/>
    <n v="339.59699999999998"/>
    <n v="339.59699999999998"/>
    <n v="339.59699999999998"/>
    <n v="339.59699999999998"/>
    <n v="1674"/>
    <s v="CATIVO"/>
    <n v="0"/>
    <n v="0"/>
    <n v="34"/>
    <n v="75"/>
    <n v="0"/>
    <n v="135.52000000000001"/>
    <n v="175.41"/>
    <m/>
    <n v="153.23686763192296"/>
    <n v="186.57487300466812"/>
    <n v="0"/>
    <n v="70398.458100000003"/>
    <n v="0"/>
    <n v="76932.698456642931"/>
    <x v="5"/>
  </r>
  <r>
    <s v="Refaturamento - Regular"/>
    <x v="3"/>
    <x v="3"/>
    <x v="4"/>
    <x v="4"/>
    <x v="0"/>
    <x v="1"/>
    <x v="0"/>
    <x v="1"/>
    <n v="0"/>
    <n v="0"/>
    <n v="0.35"/>
    <n v="0.35"/>
    <n v="0.35"/>
    <n v="0.35"/>
    <n v="0"/>
    <s v="CATIVO"/>
    <n v="0"/>
    <n v="0"/>
    <n v="34"/>
    <n v="75"/>
    <n v="0"/>
    <n v="135.52000000000001"/>
    <n v="175.41"/>
    <m/>
    <n v="153.23686763192296"/>
    <n v="186.57487300466812"/>
    <n v="0"/>
    <n v="72.555000000000007"/>
    <n v="0"/>
    <n v="79.289406148537907"/>
    <x v="5"/>
  </r>
  <r>
    <s v="Sistema de Compensação"/>
    <x v="3"/>
    <x v="3"/>
    <x v="4"/>
    <x v="4"/>
    <x v="0"/>
    <x v="1"/>
    <x v="0"/>
    <x v="1"/>
    <n v="0"/>
    <n v="0"/>
    <n v="0.11600000000000001"/>
    <n v="2.3199999999999998E-2"/>
    <n v="0.11600000000000001"/>
    <n v="2.3199999999999998E-2"/>
    <n v="1"/>
    <s v="CATIVO"/>
    <n v="0"/>
    <n v="0"/>
    <n v="34"/>
    <n v="75"/>
    <n v="0"/>
    <n v="135.52000000000001"/>
    <n v="175.41"/>
    <m/>
    <n v="153.23686763192296"/>
    <n v="186.57487300466812"/>
    <n v="0"/>
    <n v="52.901104000000004"/>
    <n v="0"/>
    <n v="57.813304140305362"/>
    <x v="5"/>
  </r>
  <r>
    <s v="Regular"/>
    <x v="3"/>
    <x v="3"/>
    <x v="4"/>
    <x v="4"/>
    <x v="0"/>
    <x v="1"/>
    <x v="0"/>
    <x v="2"/>
    <n v="0"/>
    <n v="0"/>
    <n v="336.00400000000002"/>
    <n v="336.00400000000002"/>
    <n v="336.00400000000002"/>
    <n v="336.00400000000002"/>
    <n v="1365"/>
    <s v="CATIVO"/>
    <n v="0"/>
    <n v="0"/>
    <n v="34"/>
    <n v="75"/>
    <n v="0"/>
    <n v="135.52000000000001"/>
    <n v="175.41"/>
    <m/>
    <n v="153.23686763192296"/>
    <n v="186.57487300466812"/>
    <n v="0"/>
    <n v="69653.62920000001"/>
    <n v="0"/>
    <n v="76118.736067238104"/>
    <x v="5"/>
  </r>
  <r>
    <s v="Refaturamento - Regular"/>
    <x v="3"/>
    <x v="3"/>
    <x v="4"/>
    <x v="4"/>
    <x v="0"/>
    <x v="1"/>
    <x v="0"/>
    <x v="2"/>
    <n v="0"/>
    <n v="0"/>
    <n v="-0.107"/>
    <n v="-0.107"/>
    <n v="-0.107"/>
    <n v="-0.107"/>
    <n v="0"/>
    <s v="CATIVO"/>
    <n v="0"/>
    <n v="0"/>
    <n v="34"/>
    <n v="75"/>
    <n v="0"/>
    <n v="135.52000000000001"/>
    <n v="175.41"/>
    <m/>
    <n v="153.23686763192296"/>
    <n v="186.57487300466812"/>
    <n v="0"/>
    <n v="-22.181100000000004"/>
    <n v="0"/>
    <n v="-24.239904165410163"/>
    <x v="5"/>
  </r>
  <r>
    <s v="Sistema de Compensação"/>
    <x v="3"/>
    <x v="3"/>
    <x v="4"/>
    <x v="4"/>
    <x v="0"/>
    <x v="1"/>
    <x v="0"/>
    <x v="2"/>
    <n v="0"/>
    <n v="0"/>
    <n v="8.6999999999999994E-2"/>
    <n v="1.7399999999999999E-2"/>
    <n v="8.6999999999999994E-2"/>
    <n v="1.7399999999999999E-2"/>
    <n v="1"/>
    <s v="CATIVO"/>
    <n v="0"/>
    <n v="0"/>
    <n v="34"/>
    <n v="75"/>
    <n v="0"/>
    <n v="135.52000000000001"/>
    <n v="175.41"/>
    <m/>
    <n v="153.23686763192296"/>
    <n v="186.57487300466812"/>
    <n v="0"/>
    <n v="39.675828000000003"/>
    <n v="0"/>
    <n v="43.359978105229018"/>
    <x v="5"/>
  </r>
  <r>
    <s v="Regular"/>
    <x v="3"/>
    <x v="3"/>
    <x v="4"/>
    <x v="4"/>
    <x v="0"/>
    <x v="1"/>
    <x v="0"/>
    <x v="3"/>
    <n v="0"/>
    <n v="0"/>
    <n v="363.202"/>
    <n v="363.202"/>
    <n v="363.202"/>
    <n v="363.202"/>
    <n v="1779"/>
    <s v="CATIVO"/>
    <n v="0"/>
    <n v="0"/>
    <n v="34"/>
    <n v="75"/>
    <n v="0"/>
    <n v="135.52000000000001"/>
    <n v="175.41"/>
    <m/>
    <n v="153.23686763192296"/>
    <n v="186.57487300466812"/>
    <n v="0"/>
    <n v="75291.774600000019"/>
    <n v="0"/>
    <n v="82280.202548460758"/>
    <x v="5"/>
  </r>
  <r>
    <s v="Refaturamento - Regular"/>
    <x v="3"/>
    <x v="3"/>
    <x v="4"/>
    <x v="4"/>
    <x v="0"/>
    <x v="1"/>
    <x v="0"/>
    <x v="3"/>
    <n v="0"/>
    <n v="0"/>
    <n v="1.6E-2"/>
    <n v="1.6E-2"/>
    <n v="1.6E-2"/>
    <n v="1.6E-2"/>
    <n v="0"/>
    <s v="CATIVO"/>
    <n v="0"/>
    <n v="0"/>
    <n v="34"/>
    <n v="75"/>
    <n v="0"/>
    <n v="135.52000000000001"/>
    <n v="175.41"/>
    <m/>
    <n v="153.23686763192296"/>
    <n v="186.57487300466812"/>
    <n v="0"/>
    <n v="3.3168000000000006"/>
    <n v="0"/>
    <n v="3.6246585667903046"/>
    <x v="5"/>
  </r>
  <r>
    <s v="Sistema de Compensação"/>
    <x v="3"/>
    <x v="3"/>
    <x v="4"/>
    <x v="4"/>
    <x v="0"/>
    <x v="1"/>
    <x v="0"/>
    <x v="3"/>
    <n v="0"/>
    <n v="0"/>
    <n v="9.9000000000000005E-2"/>
    <n v="1.9800000000000002E-2"/>
    <n v="9.9000000000000005E-2"/>
    <n v="1.9800000000000002E-2"/>
    <n v="1"/>
    <s v="CATIVO"/>
    <n v="0"/>
    <n v="0"/>
    <n v="34"/>
    <n v="75"/>
    <n v="0"/>
    <n v="135.52000000000001"/>
    <n v="175.41"/>
    <m/>
    <n v="153.23686763192296"/>
    <n v="186.57487300466812"/>
    <n v="0"/>
    <n v="45.148356000000007"/>
    <n v="0"/>
    <n v="49.340664740433027"/>
    <x v="5"/>
  </r>
  <r>
    <s v="Regular"/>
    <x v="3"/>
    <x v="3"/>
    <x v="4"/>
    <x v="4"/>
    <x v="0"/>
    <x v="1"/>
    <x v="0"/>
    <x v="4"/>
    <n v="0"/>
    <n v="0"/>
    <n v="380.16800000000001"/>
    <n v="380.16800000000001"/>
    <n v="380.16800000000001"/>
    <n v="380.16800000000001"/>
    <n v="1716"/>
    <s v="CATIVO"/>
    <n v="0"/>
    <n v="0"/>
    <n v="34"/>
    <n v="75"/>
    <n v="0"/>
    <n v="135.52000000000001"/>
    <n v="175.41"/>
    <m/>
    <n v="153.23686763192296"/>
    <n v="186.57487300466812"/>
    <n v="0"/>
    <n v="78808.82640000002"/>
    <n v="0"/>
    <n v="86123.699876221028"/>
    <x v="5"/>
  </r>
  <r>
    <s v="Refaturamento - Regular"/>
    <x v="3"/>
    <x v="3"/>
    <x v="4"/>
    <x v="4"/>
    <x v="0"/>
    <x v="1"/>
    <x v="0"/>
    <x v="4"/>
    <n v="0"/>
    <n v="0"/>
    <n v="-6.0999999999999999E-2"/>
    <n v="-6.0999999999999999E-2"/>
    <n v="-6.0999999999999999E-2"/>
    <n v="-6.0999999999999999E-2"/>
    <n v="0"/>
    <s v="CATIVO"/>
    <n v="0"/>
    <n v="0"/>
    <n v="34"/>
    <n v="75"/>
    <n v="0"/>
    <n v="135.52000000000001"/>
    <n v="175.41"/>
    <m/>
    <n v="153.23686763192296"/>
    <n v="186.57487300466812"/>
    <n v="0"/>
    <n v="-12.645300000000002"/>
    <n v="0"/>
    <n v="-13.819010785888036"/>
    <x v="5"/>
  </r>
  <r>
    <s v="Sistema de Compensação"/>
    <x v="3"/>
    <x v="3"/>
    <x v="4"/>
    <x v="4"/>
    <x v="0"/>
    <x v="1"/>
    <x v="0"/>
    <x v="4"/>
    <n v="0"/>
    <n v="0"/>
    <n v="9.8000000000000004E-2"/>
    <n v="1.9599999999999999E-2"/>
    <n v="9.8000000000000004E-2"/>
    <n v="1.9599999999999999E-2"/>
    <n v="1"/>
    <s v="CATIVO"/>
    <n v="0"/>
    <n v="0"/>
    <n v="34"/>
    <n v="75"/>
    <n v="0"/>
    <n v="135.52000000000001"/>
    <n v="175.41"/>
    <m/>
    <n v="153.23686763192296"/>
    <n v="186.57487300466812"/>
    <n v="0"/>
    <n v="44.692312000000001"/>
    <n v="0"/>
    <n v="48.842274187499356"/>
    <x v="5"/>
  </r>
  <r>
    <s v="Regular"/>
    <x v="3"/>
    <x v="3"/>
    <x v="4"/>
    <x v="4"/>
    <x v="0"/>
    <x v="1"/>
    <x v="0"/>
    <x v="5"/>
    <n v="0"/>
    <n v="0"/>
    <n v="379.97199999999998"/>
    <n v="379.97199999999998"/>
    <n v="379.97199999999998"/>
    <n v="379.97199999999998"/>
    <n v="1776"/>
    <s v="CATIVO"/>
    <n v="0"/>
    <n v="0"/>
    <n v="34"/>
    <n v="75"/>
    <n v="0"/>
    <n v="135.52000000000001"/>
    <n v="175.41"/>
    <m/>
    <n v="153.23686763192296"/>
    <n v="186.57487300466812"/>
    <n v="0"/>
    <n v="78768.195600000006"/>
    <n v="0"/>
    <n v="86079.297808777847"/>
    <x v="5"/>
  </r>
  <r>
    <s v="Refaturamento - Regular"/>
    <x v="3"/>
    <x v="3"/>
    <x v="4"/>
    <x v="4"/>
    <x v="0"/>
    <x v="1"/>
    <x v="0"/>
    <x v="5"/>
    <n v="0"/>
    <n v="0"/>
    <n v="0.11"/>
    <n v="0.11"/>
    <n v="0.11"/>
    <n v="0.11"/>
    <n v="0"/>
    <s v="CATIVO"/>
    <n v="0"/>
    <n v="0"/>
    <n v="34"/>
    <n v="75"/>
    <n v="0"/>
    <n v="135.52000000000001"/>
    <n v="175.41"/>
    <m/>
    <n v="153.23686763192296"/>
    <n v="186.57487300466812"/>
    <n v="0"/>
    <n v="22.803000000000004"/>
    <n v="0"/>
    <n v="24.919527646683346"/>
    <x v="5"/>
  </r>
  <r>
    <s v="Sistema de Compensação"/>
    <x v="3"/>
    <x v="3"/>
    <x v="4"/>
    <x v="4"/>
    <x v="0"/>
    <x v="1"/>
    <x v="0"/>
    <x v="5"/>
    <n v="0"/>
    <n v="0"/>
    <n v="6.2E-2"/>
    <n v="1.24E-2"/>
    <n v="6.2E-2"/>
    <n v="1.24E-2"/>
    <n v="0"/>
    <s v="CATIVO"/>
    <n v="0"/>
    <n v="0"/>
    <n v="34"/>
    <n v="75"/>
    <n v="0"/>
    <n v="135.52000000000001"/>
    <n v="175.41"/>
    <m/>
    <n v="153.23686763192296"/>
    <n v="186.57487300466812"/>
    <n v="0"/>
    <n v="28.274728000000003"/>
    <n v="0"/>
    <n v="30.900214281887351"/>
    <x v="5"/>
  </r>
  <r>
    <s v="Regular"/>
    <x v="3"/>
    <x v="3"/>
    <x v="4"/>
    <x v="4"/>
    <x v="0"/>
    <x v="1"/>
    <x v="0"/>
    <x v="6"/>
    <n v="0"/>
    <n v="0"/>
    <n v="388.15800000000002"/>
    <n v="388.15800000000002"/>
    <n v="388.15800000000002"/>
    <n v="388.15800000000002"/>
    <n v="1811"/>
    <s v="CATIVO"/>
    <n v="0"/>
    <n v="0"/>
    <n v="34"/>
    <n v="75"/>
    <n v="0"/>
    <n v="135.52000000000001"/>
    <n v="175.41"/>
    <m/>
    <n v="153.23686763192296"/>
    <n v="186.57487300466812"/>
    <n v="0"/>
    <n v="80465.153400000025"/>
    <n v="0"/>
    <n v="87933.763748011945"/>
    <x v="5"/>
  </r>
  <r>
    <s v="Sistema de Compensação"/>
    <x v="3"/>
    <x v="3"/>
    <x v="4"/>
    <x v="4"/>
    <x v="0"/>
    <x v="1"/>
    <x v="0"/>
    <x v="6"/>
    <n v="0"/>
    <n v="0"/>
    <n v="2E-3"/>
    <n v="4.0000000000000002E-4"/>
    <n v="2E-3"/>
    <n v="4.0000000000000002E-4"/>
    <n v="1"/>
    <s v="CATIVO"/>
    <n v="0"/>
    <n v="0"/>
    <n v="34"/>
    <n v="75"/>
    <n v="0"/>
    <n v="135.52000000000001"/>
    <n v="175.41"/>
    <m/>
    <n v="153.23686763192296"/>
    <n v="186.57487300466812"/>
    <n v="0"/>
    <n v="0.91208800000000012"/>
    <n v="0"/>
    <n v="0.99678110586733382"/>
    <x v="5"/>
  </r>
  <r>
    <s v="Regular"/>
    <x v="3"/>
    <x v="3"/>
    <x v="4"/>
    <x v="4"/>
    <x v="0"/>
    <x v="1"/>
    <x v="0"/>
    <x v="7"/>
    <n v="0"/>
    <n v="0"/>
    <n v="367.43200000000002"/>
    <n v="367.43200000000002"/>
    <n v="367.43200000000002"/>
    <n v="367.43200000000002"/>
    <n v="1917"/>
    <s v="CATIVO"/>
    <n v="0"/>
    <n v="0"/>
    <n v="34"/>
    <n v="75"/>
    <n v="0"/>
    <n v="135.52000000000001"/>
    <n v="175.41"/>
    <m/>
    <n v="153.23686763192296"/>
    <n v="186.57487300466812"/>
    <n v="0"/>
    <n v="76168.65360000002"/>
    <n v="0"/>
    <n v="83238.471657055954"/>
    <x v="5"/>
  </r>
  <r>
    <s v="Refaturamento - Regular"/>
    <x v="3"/>
    <x v="3"/>
    <x v="4"/>
    <x v="4"/>
    <x v="0"/>
    <x v="1"/>
    <x v="0"/>
    <x v="7"/>
    <n v="0"/>
    <n v="0"/>
    <n v="-5.0000000000000001E-3"/>
    <n v="-5.0000000000000001E-3"/>
    <n v="-5.0000000000000001E-3"/>
    <n v="-5.0000000000000001E-3"/>
    <n v="0"/>
    <s v="CATIVO"/>
    <n v="0"/>
    <n v="0"/>
    <n v="34"/>
    <n v="75"/>
    <n v="0"/>
    <n v="135.52000000000001"/>
    <n v="175.41"/>
    <m/>
    <n v="153.23686763192296"/>
    <n v="186.57487300466812"/>
    <n v="0"/>
    <n v="-1.0365000000000002"/>
    <n v="0"/>
    <n v="-1.1327058021219703"/>
    <x v="5"/>
  </r>
  <r>
    <s v="Regular"/>
    <x v="3"/>
    <x v="3"/>
    <x v="4"/>
    <x v="4"/>
    <x v="0"/>
    <x v="1"/>
    <x v="0"/>
    <x v="8"/>
    <n v="0"/>
    <n v="0"/>
    <n v="347.49299999999999"/>
    <n v="347.49299999999999"/>
    <n v="347.49299999999999"/>
    <n v="347.49299999999999"/>
    <n v="1797"/>
    <s v="CATIVO"/>
    <n v="0"/>
    <n v="0"/>
    <n v="34"/>
    <n v="75"/>
    <n v="0"/>
    <n v="135.52000000000001"/>
    <n v="175.41"/>
    <m/>
    <n v="153.23686763192296"/>
    <n v="186.57487300466812"/>
    <n v="0"/>
    <n v="72035.298900000009"/>
    <n v="0"/>
    <n v="78721.467459353953"/>
    <x v="5"/>
  </r>
  <r>
    <s v="Regular"/>
    <x v="3"/>
    <x v="3"/>
    <x v="4"/>
    <x v="4"/>
    <x v="0"/>
    <x v="1"/>
    <x v="0"/>
    <x v="9"/>
    <n v="0"/>
    <n v="0"/>
    <n v="358.733"/>
    <n v="358.733"/>
    <n v="358.733"/>
    <n v="358.733"/>
    <n v="1872"/>
    <s v="CATIVO"/>
    <n v="0"/>
    <n v="0"/>
    <n v="34"/>
    <n v="75"/>
    <n v="0"/>
    <n v="135.52000000000001"/>
    <n v="175.41"/>
    <m/>
    <n v="153.23686763192296"/>
    <n v="186.57487300466812"/>
    <n v="0"/>
    <n v="74365.350900000019"/>
    <n v="0"/>
    <n v="81267.790102524144"/>
    <x v="5"/>
  </r>
  <r>
    <s v="Refaturamento - Regular"/>
    <x v="3"/>
    <x v="3"/>
    <x v="4"/>
    <x v="4"/>
    <x v="0"/>
    <x v="1"/>
    <x v="0"/>
    <x v="9"/>
    <n v="0"/>
    <n v="0"/>
    <n v="-1.0999999999999999E-2"/>
    <n v="-1.0999999999999999E-2"/>
    <n v="-1.0999999999999999E-2"/>
    <n v="-1.0999999999999999E-2"/>
    <n v="0"/>
    <s v="CATIVO"/>
    <n v="0"/>
    <n v="0"/>
    <n v="34"/>
    <n v="75"/>
    <n v="0"/>
    <n v="135.52000000000001"/>
    <n v="175.41"/>
    <m/>
    <n v="153.23686763192296"/>
    <n v="186.57487300466812"/>
    <n v="0"/>
    <n v="-2.2803000000000004"/>
    <n v="0"/>
    <n v="-2.4919527646683344"/>
    <x v="5"/>
  </r>
  <r>
    <s v="Regular"/>
    <x v="3"/>
    <x v="3"/>
    <x v="4"/>
    <x v="4"/>
    <x v="0"/>
    <x v="1"/>
    <x v="0"/>
    <x v="10"/>
    <n v="0"/>
    <n v="0"/>
    <n v="370.30599999999998"/>
    <n v="370.30599999999998"/>
    <n v="370.30599999999998"/>
    <n v="370.30599999999998"/>
    <n v="1559"/>
    <s v="CATIVO"/>
    <n v="0"/>
    <n v="0"/>
    <n v="34"/>
    <n v="75"/>
    <n v="0"/>
    <n v="135.52000000000001"/>
    <n v="175.41"/>
    <m/>
    <n v="153.23686763192296"/>
    <n v="186.57487300466812"/>
    <n v="0"/>
    <n v="76764.433800000013"/>
    <n v="0"/>
    <n v="83889.550952115649"/>
    <x v="5"/>
  </r>
  <r>
    <s v="Refaturamento - Regular"/>
    <x v="3"/>
    <x v="3"/>
    <x v="4"/>
    <x v="4"/>
    <x v="0"/>
    <x v="1"/>
    <x v="0"/>
    <x v="10"/>
    <n v="0"/>
    <n v="0"/>
    <n v="-0.13500000000000001"/>
    <n v="-0.13500000000000001"/>
    <n v="-0.13500000000000001"/>
    <n v="-0.13500000000000001"/>
    <n v="0"/>
    <s v="CATIVO"/>
    <n v="0"/>
    <n v="0"/>
    <n v="34"/>
    <n v="75"/>
    <n v="0"/>
    <n v="135.52000000000001"/>
    <n v="175.41"/>
    <m/>
    <n v="153.23686763192296"/>
    <n v="186.57487300466812"/>
    <n v="0"/>
    <n v="-27.985500000000009"/>
    <n v="0"/>
    <n v="-30.583056657293199"/>
    <x v="5"/>
  </r>
  <r>
    <s v="Sistema de Compensação"/>
    <x v="3"/>
    <x v="3"/>
    <x v="4"/>
    <x v="4"/>
    <x v="0"/>
    <x v="1"/>
    <x v="0"/>
    <x v="10"/>
    <n v="0"/>
    <n v="0"/>
    <n v="7.0000000000000007E-2"/>
    <n v="4.2000000000000003E-2"/>
    <n v="7.0000000000000007E-2"/>
    <n v="4.2000000000000003E-2"/>
    <n v="1"/>
    <s v="CATIVO"/>
    <n v="0"/>
    <n v="0"/>
    <n v="34"/>
    <n v="75"/>
    <n v="0"/>
    <n v="135.52000000000001"/>
    <n v="175.41"/>
    <m/>
    <n v="153.23686763192296"/>
    <n v="186.57487300466812"/>
    <n v="0"/>
    <n v="23.217040000000004"/>
    <n v="0"/>
    <n v="25.372609967532135"/>
    <x v="5"/>
  </r>
  <r>
    <s v="PROJETADO"/>
    <x v="3"/>
    <x v="3"/>
    <x v="4"/>
    <x v="4"/>
    <x v="0"/>
    <x v="1"/>
    <x v="0"/>
    <x v="11"/>
    <n v="0"/>
    <n v="0"/>
    <n v="370.30599999999998"/>
    <n v="370.30599999999998"/>
    <n v="370.30599999999998"/>
    <n v="370.30599999999998"/>
    <n v="1559"/>
    <s v="CATIVO"/>
    <n v="0"/>
    <n v="0"/>
    <n v="34"/>
    <n v="75"/>
    <n v="0"/>
    <n v="135.52000000000001"/>
    <n v="175.41"/>
    <m/>
    <n v="153.23686763192296"/>
    <n v="186.57487300466812"/>
    <n v="0"/>
    <n v="76764.433800000013"/>
    <n v="0"/>
    <n v="83889.550952115649"/>
    <x v="5"/>
  </r>
  <r>
    <s v="PROJETADO"/>
    <x v="3"/>
    <x v="3"/>
    <x v="4"/>
    <x v="4"/>
    <x v="0"/>
    <x v="1"/>
    <x v="0"/>
    <x v="11"/>
    <n v="0"/>
    <n v="0"/>
    <n v="-0.13500000000000001"/>
    <n v="-0.13500000000000001"/>
    <n v="-0.13500000000000001"/>
    <n v="-0.13500000000000001"/>
    <n v="0"/>
    <s v="CATIVO"/>
    <n v="0"/>
    <n v="0"/>
    <n v="34"/>
    <n v="75"/>
    <n v="0"/>
    <n v="135.52000000000001"/>
    <n v="175.41"/>
    <m/>
    <n v="153.23686763192296"/>
    <n v="186.57487300466812"/>
    <n v="0"/>
    <n v="-27.985500000000009"/>
    <n v="0"/>
    <n v="-30.583056657293199"/>
    <x v="5"/>
  </r>
  <r>
    <s v="PROJETADO"/>
    <x v="3"/>
    <x v="3"/>
    <x v="4"/>
    <x v="4"/>
    <x v="0"/>
    <x v="1"/>
    <x v="0"/>
    <x v="11"/>
    <n v="0"/>
    <n v="0"/>
    <n v="7.0000000000000007E-2"/>
    <n v="4.2000000000000003E-2"/>
    <n v="7.0000000000000007E-2"/>
    <n v="4.2000000000000003E-2"/>
    <n v="1"/>
    <s v="CATIVO"/>
    <n v="0"/>
    <n v="0"/>
    <n v="34"/>
    <n v="75"/>
    <n v="0"/>
    <n v="135.52000000000001"/>
    <n v="175.41"/>
    <m/>
    <n v="153.23686763192296"/>
    <n v="186.57487300466812"/>
    <n v="0"/>
    <n v="23.217040000000004"/>
    <n v="0"/>
    <n v="25.372609967532135"/>
    <x v="5"/>
  </r>
  <r>
    <s v="Regular"/>
    <x v="3"/>
    <x v="3"/>
    <x v="4"/>
    <x v="5"/>
    <x v="0"/>
    <x v="1"/>
    <x v="0"/>
    <x v="0"/>
    <n v="0"/>
    <n v="0"/>
    <n v="240.071"/>
    <n v="240.071"/>
    <n v="240.071"/>
    <n v="240.071"/>
    <n v="3045"/>
    <s v="CATIVO"/>
    <n v="0"/>
    <n v="0"/>
    <n v="41"/>
    <n v="78"/>
    <n v="0"/>
    <n v="203.29"/>
    <n v="263.12"/>
    <m/>
    <n v="229.85530144788444"/>
    <n v="279.86230950700218"/>
    <n v="0"/>
    <n v="12440.479220000012"/>
    <n v="0"/>
    <n v="13596.490731061165"/>
    <x v="5"/>
  </r>
  <r>
    <s v="Refaturamento - Regular"/>
    <x v="3"/>
    <x v="3"/>
    <x v="4"/>
    <x v="5"/>
    <x v="0"/>
    <x v="1"/>
    <x v="0"/>
    <x v="0"/>
    <n v="0"/>
    <n v="0"/>
    <n v="-1.7000000000000001E-2"/>
    <n v="-1.7000000000000001E-2"/>
    <n v="-1.7000000000000001E-2"/>
    <n v="-1.7000000000000001E-2"/>
    <n v="0"/>
    <s v="CATIVO"/>
    <n v="0"/>
    <n v="0"/>
    <n v="41"/>
    <n v="78"/>
    <n v="0"/>
    <n v="203.29"/>
    <n v="263.12"/>
    <m/>
    <n v="229.85530144788444"/>
    <n v="279.86230950700218"/>
    <n v="0"/>
    <n v="-0.88094000000000094"/>
    <n v="0"/>
    <n v="-0.96279993180367396"/>
    <x v="5"/>
  </r>
  <r>
    <s v="Regular"/>
    <x v="3"/>
    <x v="3"/>
    <x v="4"/>
    <x v="5"/>
    <x v="0"/>
    <x v="1"/>
    <x v="0"/>
    <x v="1"/>
    <n v="0"/>
    <n v="0"/>
    <n v="231.04"/>
    <n v="231.04"/>
    <n v="231.04"/>
    <n v="231.04"/>
    <n v="3203"/>
    <s v="CATIVO"/>
    <n v="0"/>
    <n v="0"/>
    <n v="41"/>
    <n v="78"/>
    <n v="0"/>
    <n v="203.29"/>
    <n v="263.12"/>
    <m/>
    <n v="229.85530144788444"/>
    <n v="279.86230950700218"/>
    <n v="0"/>
    <n v="11972.492800000011"/>
    <n v="0"/>
    <n v="13085.017426112989"/>
    <x v="5"/>
  </r>
  <r>
    <s v="Refaturamento - Regular"/>
    <x v="3"/>
    <x v="3"/>
    <x v="4"/>
    <x v="5"/>
    <x v="0"/>
    <x v="1"/>
    <x v="0"/>
    <x v="1"/>
    <n v="0"/>
    <n v="0"/>
    <n v="6.3E-2"/>
    <n v="6.3E-2"/>
    <n v="6.3E-2"/>
    <n v="6.3E-2"/>
    <n v="0"/>
    <s v="CATIVO"/>
    <n v="0"/>
    <n v="0"/>
    <n v="41"/>
    <n v="78"/>
    <n v="0"/>
    <n v="203.29"/>
    <n v="263.12"/>
    <m/>
    <n v="229.85530144788444"/>
    <n v="279.86230950700218"/>
    <n v="0"/>
    <n v="3.2646600000000032"/>
    <n v="0"/>
    <n v="3.5680232766842033"/>
    <x v="5"/>
  </r>
  <r>
    <s v="Sistema de Compensação"/>
    <x v="3"/>
    <x v="3"/>
    <x v="4"/>
    <x v="5"/>
    <x v="0"/>
    <x v="1"/>
    <x v="0"/>
    <x v="1"/>
    <n v="0"/>
    <n v="0"/>
    <n v="2.5000000000000001E-2"/>
    <n v="2.2499999999999999E-2"/>
    <n v="2.5000000000000001E-2"/>
    <n v="2.2499999999999999E-2"/>
    <n v="1"/>
    <s v="CATIVO"/>
    <n v="0"/>
    <n v="0"/>
    <n v="41"/>
    <n v="78"/>
    <n v="0"/>
    <n v="203.29"/>
    <n v="263.12"/>
    <m/>
    <n v="229.85530144788444"/>
    <n v="279.86230950700218"/>
    <n v="0"/>
    <n v="2.4615250000000026"/>
    <n v="0"/>
    <n v="2.6901762800396796"/>
    <x v="5"/>
  </r>
  <r>
    <s v="Regular"/>
    <x v="3"/>
    <x v="3"/>
    <x v="4"/>
    <x v="5"/>
    <x v="0"/>
    <x v="1"/>
    <x v="0"/>
    <x v="2"/>
    <n v="0"/>
    <n v="0"/>
    <n v="264.75400000000002"/>
    <n v="264.75400000000002"/>
    <n v="264.75400000000002"/>
    <n v="264.75400000000002"/>
    <n v="3105"/>
    <s v="CATIVO"/>
    <n v="0"/>
    <n v="0"/>
    <n v="41"/>
    <n v="78"/>
    <n v="0"/>
    <n v="203.29"/>
    <n v="263.12"/>
    <m/>
    <n v="229.85530144788444"/>
    <n v="279.86230950700218"/>
    <n v="0"/>
    <n v="13719.552280000014"/>
    <n v="0"/>
    <n v="14994.419596749995"/>
    <x v="5"/>
  </r>
  <r>
    <s v="Refaturamento - Regular"/>
    <x v="3"/>
    <x v="3"/>
    <x v="4"/>
    <x v="5"/>
    <x v="0"/>
    <x v="1"/>
    <x v="0"/>
    <x v="2"/>
    <n v="0"/>
    <n v="0"/>
    <n v="-5.5E-2"/>
    <n v="-5.5E-2"/>
    <n v="-5.5E-2"/>
    <n v="-5.5E-2"/>
    <n v="0"/>
    <s v="CATIVO"/>
    <n v="0"/>
    <n v="0"/>
    <n v="41"/>
    <n v="78"/>
    <n v="0"/>
    <n v="203.29"/>
    <n v="263.12"/>
    <m/>
    <n v="229.85530144788444"/>
    <n v="279.86230950700218"/>
    <n v="0"/>
    <n v="-2.850100000000003"/>
    <n v="0"/>
    <n v="-3.1149409558354155"/>
    <x v="5"/>
  </r>
  <r>
    <s v="Sistema de Compensação"/>
    <x v="3"/>
    <x v="3"/>
    <x v="4"/>
    <x v="5"/>
    <x v="0"/>
    <x v="1"/>
    <x v="0"/>
    <x v="2"/>
    <n v="0"/>
    <n v="0"/>
    <n v="4.4999999999999998E-2"/>
    <n v="4.0500000000000001E-2"/>
    <n v="4.4999999999999998E-2"/>
    <n v="4.0500000000000001E-2"/>
    <n v="1"/>
    <s v="CATIVO"/>
    <n v="0"/>
    <n v="0"/>
    <n v="41"/>
    <n v="78"/>
    <n v="0"/>
    <n v="203.29"/>
    <n v="263.12"/>
    <m/>
    <n v="229.85530144788444"/>
    <n v="279.86230950700218"/>
    <n v="0"/>
    <n v="4.4307450000000008"/>
    <n v="0"/>
    <n v="4.8423173040714191"/>
    <x v="5"/>
  </r>
  <r>
    <s v="Regular"/>
    <x v="3"/>
    <x v="3"/>
    <x v="4"/>
    <x v="5"/>
    <x v="0"/>
    <x v="1"/>
    <x v="0"/>
    <x v="3"/>
    <n v="0"/>
    <n v="0"/>
    <n v="250.215"/>
    <n v="250.215"/>
    <n v="250.215"/>
    <n v="250.215"/>
    <n v="3403"/>
    <s v="CATIVO"/>
    <n v="0"/>
    <n v="0"/>
    <n v="41"/>
    <n v="78"/>
    <n v="0"/>
    <n v="203.29"/>
    <n v="263.12"/>
    <m/>
    <n v="229.85530144788444"/>
    <n v="279.86230950700218"/>
    <n v="0"/>
    <n v="12966.141300000012"/>
    <n v="0"/>
    <n v="14170.999113897427"/>
    <x v="5"/>
  </r>
  <r>
    <s v="Refaturamento - Regular"/>
    <x v="3"/>
    <x v="3"/>
    <x v="4"/>
    <x v="5"/>
    <x v="0"/>
    <x v="1"/>
    <x v="0"/>
    <x v="3"/>
    <n v="0"/>
    <n v="0"/>
    <n v="-4.4999999999999998E-2"/>
    <n v="-4.4999999999999998E-2"/>
    <n v="-4.4999999999999998E-2"/>
    <n v="-4.4999999999999998E-2"/>
    <n v="0"/>
    <s v="CATIVO"/>
    <n v="0"/>
    <n v="0"/>
    <n v="41"/>
    <n v="78"/>
    <n v="0"/>
    <n v="203.29"/>
    <n v="263.12"/>
    <m/>
    <n v="229.85530144788444"/>
    <n v="279.86230950700218"/>
    <n v="0"/>
    <n v="-2.3319000000000023"/>
    <n v="0"/>
    <n v="-2.5485880547744308"/>
    <x v="5"/>
  </r>
  <r>
    <s v="Sistema de Compensação"/>
    <x v="3"/>
    <x v="3"/>
    <x v="4"/>
    <x v="5"/>
    <x v="0"/>
    <x v="1"/>
    <x v="0"/>
    <x v="3"/>
    <n v="0"/>
    <n v="0"/>
    <n v="9.0999999999999998E-2"/>
    <n v="8.1900000000000001E-2"/>
    <n v="9.0999999999999998E-2"/>
    <n v="8.1900000000000001E-2"/>
    <n v="1"/>
    <s v="CATIVO"/>
    <n v="0"/>
    <n v="0"/>
    <n v="41"/>
    <n v="78"/>
    <n v="0"/>
    <n v="203.29"/>
    <n v="263.12"/>
    <m/>
    <n v="229.85530144788444"/>
    <n v="279.86230950700218"/>
    <n v="0"/>
    <n v="8.9599510000000038"/>
    <n v="0"/>
    <n v="9.7922416593444268"/>
    <x v="5"/>
  </r>
  <r>
    <s v="Regular"/>
    <x v="3"/>
    <x v="3"/>
    <x v="4"/>
    <x v="5"/>
    <x v="0"/>
    <x v="1"/>
    <x v="0"/>
    <x v="4"/>
    <n v="0"/>
    <n v="0"/>
    <n v="274.15199999999999"/>
    <n v="274.15199999999999"/>
    <n v="274.15199999999999"/>
    <n v="274.15199999999999"/>
    <n v="3552"/>
    <s v="CATIVO"/>
    <n v="0"/>
    <n v="0"/>
    <n v="41"/>
    <n v="78"/>
    <n v="0"/>
    <n v="203.29"/>
    <n v="263.12"/>
    <m/>
    <n v="229.85530144788444"/>
    <n v="279.86230950700218"/>
    <n v="0"/>
    <n v="14206.556640000013"/>
    <n v="0"/>
    <n v="15526.678053167107"/>
    <x v="5"/>
  </r>
  <r>
    <s v="Refaturamento - Regular"/>
    <x v="3"/>
    <x v="3"/>
    <x v="4"/>
    <x v="5"/>
    <x v="0"/>
    <x v="1"/>
    <x v="0"/>
    <x v="4"/>
    <n v="0"/>
    <n v="0"/>
    <n v="-0.13"/>
    <n v="-0.13"/>
    <n v="-0.13"/>
    <n v="-0.13"/>
    <n v="0"/>
    <s v="CATIVO"/>
    <n v="0"/>
    <n v="0"/>
    <n v="41"/>
    <n v="78"/>
    <n v="0"/>
    <n v="203.29"/>
    <n v="263.12"/>
    <m/>
    <n v="229.85530144788444"/>
    <n v="279.86230950700218"/>
    <n v="0"/>
    <n v="-6.7366000000000064"/>
    <n v="0"/>
    <n v="-7.3625877137928013"/>
    <x v="5"/>
  </r>
  <r>
    <s v="Sistema de Compensação"/>
    <x v="3"/>
    <x v="3"/>
    <x v="4"/>
    <x v="5"/>
    <x v="0"/>
    <x v="1"/>
    <x v="0"/>
    <x v="4"/>
    <n v="0"/>
    <n v="0"/>
    <n v="6.0999999999999999E-2"/>
    <n v="5.4899999999999997E-2"/>
    <n v="6.0999999999999999E-2"/>
    <n v="5.4899999999999997E-2"/>
    <n v="1"/>
    <s v="CATIVO"/>
    <n v="0"/>
    <n v="0"/>
    <n v="41"/>
    <n v="78"/>
    <n v="0"/>
    <n v="203.29"/>
    <n v="263.12"/>
    <m/>
    <n v="229.85530144788444"/>
    <n v="279.86230950700218"/>
    <n v="0"/>
    <n v="6.0061210000000038"/>
    <n v="0"/>
    <n v="6.5640301232968152"/>
    <x v="5"/>
  </r>
  <r>
    <s v="Regular"/>
    <x v="3"/>
    <x v="3"/>
    <x v="4"/>
    <x v="5"/>
    <x v="0"/>
    <x v="1"/>
    <x v="0"/>
    <x v="5"/>
    <n v="0"/>
    <n v="0"/>
    <n v="274.327"/>
    <n v="274.327"/>
    <n v="274.327"/>
    <n v="274.327"/>
    <n v="3519"/>
    <s v="CATIVO"/>
    <n v="0"/>
    <n v="0"/>
    <n v="41"/>
    <n v="78"/>
    <n v="0"/>
    <n v="203.29"/>
    <n v="263.12"/>
    <m/>
    <n v="229.85530144788444"/>
    <n v="279.86230950700218"/>
    <n v="0"/>
    <n v="14215.625140000013"/>
    <n v="0"/>
    <n v="15536.589228935674"/>
    <x v="5"/>
  </r>
  <r>
    <s v="Refaturamento - Regular"/>
    <x v="3"/>
    <x v="3"/>
    <x v="4"/>
    <x v="5"/>
    <x v="0"/>
    <x v="1"/>
    <x v="0"/>
    <x v="5"/>
    <n v="0"/>
    <n v="0"/>
    <n v="0.21099999999999999"/>
    <n v="0.21099999999999999"/>
    <n v="0.21099999999999999"/>
    <n v="0.21099999999999999"/>
    <n v="0"/>
    <s v="CATIVO"/>
    <n v="0"/>
    <n v="0"/>
    <n v="41"/>
    <n v="78"/>
    <n v="0"/>
    <n v="203.29"/>
    <n v="263.12"/>
    <m/>
    <n v="229.85530144788444"/>
    <n v="279.86230950700218"/>
    <n v="0"/>
    <n v="10.934020000000011"/>
    <n v="0"/>
    <n v="11.950046212386775"/>
    <x v="5"/>
  </r>
  <r>
    <s v="Regular"/>
    <x v="3"/>
    <x v="3"/>
    <x v="4"/>
    <x v="5"/>
    <x v="0"/>
    <x v="1"/>
    <x v="0"/>
    <x v="6"/>
    <n v="0"/>
    <n v="0"/>
    <n v="287.44"/>
    <n v="287.44"/>
    <n v="287.44"/>
    <n v="287.44"/>
    <n v="3527"/>
    <s v="CATIVO"/>
    <n v="0"/>
    <n v="0"/>
    <n v="41"/>
    <n v="78"/>
    <n v="0"/>
    <n v="203.29"/>
    <n v="263.12"/>
    <m/>
    <n v="229.85530144788444"/>
    <n v="279.86230950700218"/>
    <n v="0"/>
    <n v="14895.140800000014"/>
    <n v="0"/>
    <n v="16279.247788096944"/>
    <x v="5"/>
  </r>
  <r>
    <s v="Refaturamento - Regular"/>
    <x v="3"/>
    <x v="3"/>
    <x v="4"/>
    <x v="5"/>
    <x v="0"/>
    <x v="1"/>
    <x v="0"/>
    <x v="6"/>
    <n v="0"/>
    <n v="0"/>
    <n v="-0.114"/>
    <n v="-0.114"/>
    <n v="-0.114"/>
    <n v="-0.114"/>
    <n v="0"/>
    <s v="CATIVO"/>
    <n v="0"/>
    <n v="0"/>
    <n v="41"/>
    <n v="78"/>
    <n v="0"/>
    <n v="203.29"/>
    <n v="263.12"/>
    <m/>
    <n v="229.85530144788444"/>
    <n v="279.86230950700218"/>
    <n v="0"/>
    <n v="-5.9074800000000058"/>
    <n v="0"/>
    <n v="-6.4564230720952258"/>
    <x v="5"/>
  </r>
  <r>
    <s v="Regular"/>
    <x v="3"/>
    <x v="3"/>
    <x v="4"/>
    <x v="5"/>
    <x v="0"/>
    <x v="1"/>
    <x v="0"/>
    <x v="7"/>
    <n v="0"/>
    <n v="0"/>
    <n v="268.04700000000003"/>
    <n v="268.04700000000003"/>
    <n v="268.04700000000003"/>
    <n v="268.04700000000003"/>
    <n v="3259"/>
    <s v="CATIVO"/>
    <n v="0"/>
    <n v="0"/>
    <n v="41"/>
    <n v="78"/>
    <n v="0"/>
    <n v="203.29"/>
    <n v="263.12"/>
    <m/>
    <n v="229.85530144788444"/>
    <n v="279.86230950700218"/>
    <n v="0"/>
    <n v="13890.195540000015"/>
    <n v="0"/>
    <n v="15180.919607069378"/>
    <x v="5"/>
  </r>
  <r>
    <s v="Refaturamento - Regular"/>
    <x v="3"/>
    <x v="3"/>
    <x v="4"/>
    <x v="5"/>
    <x v="0"/>
    <x v="1"/>
    <x v="0"/>
    <x v="7"/>
    <n v="0"/>
    <n v="0"/>
    <n v="-3.5999999999999997E-2"/>
    <n v="-3.5999999999999997E-2"/>
    <n v="-3.5999999999999997E-2"/>
    <n v="-3.5999999999999997E-2"/>
    <n v="0"/>
    <s v="CATIVO"/>
    <n v="0"/>
    <n v="0"/>
    <n v="41"/>
    <n v="78"/>
    <n v="0"/>
    <n v="203.29"/>
    <n v="263.12"/>
    <m/>
    <n v="229.85530144788444"/>
    <n v="279.86230950700218"/>
    <n v="0"/>
    <n v="-1.8655200000000016"/>
    <n v="0"/>
    <n v="-2.0388704438195449"/>
    <x v="5"/>
  </r>
  <r>
    <s v="Regular"/>
    <x v="3"/>
    <x v="3"/>
    <x v="4"/>
    <x v="5"/>
    <x v="0"/>
    <x v="1"/>
    <x v="0"/>
    <x v="8"/>
    <n v="0"/>
    <n v="0"/>
    <n v="266.54399999999998"/>
    <n v="266.54399999999998"/>
    <n v="266.54399999999998"/>
    <n v="266.54399999999998"/>
    <n v="2982"/>
    <s v="CATIVO"/>
    <n v="0"/>
    <n v="0"/>
    <n v="41"/>
    <n v="78"/>
    <n v="0"/>
    <n v="203.29"/>
    <n v="263.12"/>
    <m/>
    <n v="229.85530144788444"/>
    <n v="279.86230950700218"/>
    <n v="0"/>
    <n v="13812.310080000012"/>
    <n v="0"/>
    <n v="15095.796766039908"/>
    <x v="5"/>
  </r>
  <r>
    <s v="Regular"/>
    <x v="3"/>
    <x v="3"/>
    <x v="4"/>
    <x v="5"/>
    <x v="0"/>
    <x v="1"/>
    <x v="0"/>
    <x v="9"/>
    <n v="0"/>
    <n v="0"/>
    <n v="265.86900000000003"/>
    <n v="265.86900000000003"/>
    <n v="265.86900000000003"/>
    <n v="265.86900000000003"/>
    <n v="3152"/>
    <s v="CATIVO"/>
    <n v="0"/>
    <n v="0"/>
    <n v="41"/>
    <n v="78"/>
    <n v="0"/>
    <n v="203.29"/>
    <n v="263.12"/>
    <m/>
    <n v="229.85530144788444"/>
    <n v="279.86230950700218"/>
    <n v="0"/>
    <n v="13777.331580000015"/>
    <n v="0"/>
    <n v="15057.567945218294"/>
    <x v="5"/>
  </r>
  <r>
    <s v="Refaturamento - Regular"/>
    <x v="3"/>
    <x v="3"/>
    <x v="4"/>
    <x v="5"/>
    <x v="0"/>
    <x v="1"/>
    <x v="0"/>
    <x v="9"/>
    <n v="0"/>
    <n v="0"/>
    <n v="-5.0999999999999997E-2"/>
    <n v="-5.0999999999999997E-2"/>
    <n v="-5.0999999999999997E-2"/>
    <n v="-5.0999999999999997E-2"/>
    <n v="0"/>
    <s v="CATIVO"/>
    <n v="0"/>
    <n v="0"/>
    <n v="41"/>
    <n v="78"/>
    <n v="0"/>
    <n v="203.29"/>
    <n v="263.12"/>
    <m/>
    <n v="229.85530144788444"/>
    <n v="279.86230950700218"/>
    <n v="0"/>
    <n v="-2.6428200000000022"/>
    <n v="0"/>
    <n v="-2.8883997954110217"/>
    <x v="5"/>
  </r>
  <r>
    <s v="Regular"/>
    <x v="3"/>
    <x v="3"/>
    <x v="4"/>
    <x v="5"/>
    <x v="0"/>
    <x v="1"/>
    <x v="0"/>
    <x v="10"/>
    <n v="0"/>
    <n v="0"/>
    <n v="307.63299999999998"/>
    <n v="307.63299999999998"/>
    <n v="307.63299999999998"/>
    <n v="307.63299999999998"/>
    <n v="3223"/>
    <s v="CATIVO"/>
    <n v="0"/>
    <n v="0"/>
    <n v="41"/>
    <n v="78"/>
    <n v="0"/>
    <n v="203.29"/>
    <n v="263.12"/>
    <m/>
    <n v="229.85530144788444"/>
    <n v="279.86230950700218"/>
    <n v="0"/>
    <n v="15941.542060000014"/>
    <n v="0"/>
    <n v="17422.884201209388"/>
    <x v="5"/>
  </r>
  <r>
    <s v="Refaturamento - Regular"/>
    <x v="3"/>
    <x v="3"/>
    <x v="4"/>
    <x v="5"/>
    <x v="0"/>
    <x v="1"/>
    <x v="0"/>
    <x v="10"/>
    <n v="0"/>
    <n v="0"/>
    <n v="-7.4999999999999997E-2"/>
    <n v="-7.4999999999999997E-2"/>
    <n v="-7.4999999999999997E-2"/>
    <n v="-7.4999999999999997E-2"/>
    <n v="0"/>
    <s v="CATIVO"/>
    <n v="0"/>
    <n v="0"/>
    <n v="41"/>
    <n v="78"/>
    <n v="0"/>
    <n v="203.29"/>
    <n v="263.12"/>
    <m/>
    <n v="229.85530144788444"/>
    <n v="279.86230950700218"/>
    <n v="0"/>
    <n v="-3.8865000000000034"/>
    <n v="0"/>
    <n v="-4.2476467579573844"/>
    <x v="5"/>
  </r>
  <r>
    <s v="Sistema de Compensação"/>
    <x v="3"/>
    <x v="3"/>
    <x v="4"/>
    <x v="5"/>
    <x v="0"/>
    <x v="1"/>
    <x v="0"/>
    <x v="10"/>
    <n v="0"/>
    <n v="0"/>
    <n v="0.114"/>
    <n v="0.1026"/>
    <n v="0.114"/>
    <n v="0.1026"/>
    <n v="1"/>
    <s v="CATIVO"/>
    <n v="0"/>
    <n v="0"/>
    <n v="41"/>
    <n v="78"/>
    <n v="0"/>
    <n v="203.29"/>
    <n v="263.12"/>
    <m/>
    <n v="229.85530144788444"/>
    <n v="279.86230950700218"/>
    <n v="0"/>
    <n v="11.224554000000008"/>
    <n v="0"/>
    <n v="12.267203836980936"/>
    <x v="5"/>
  </r>
  <r>
    <s v="PROJETADO"/>
    <x v="3"/>
    <x v="3"/>
    <x v="4"/>
    <x v="5"/>
    <x v="0"/>
    <x v="1"/>
    <x v="0"/>
    <x v="11"/>
    <n v="0"/>
    <n v="0"/>
    <n v="307.63299999999998"/>
    <n v="307.63299999999998"/>
    <n v="307.63299999999998"/>
    <n v="307.63299999999998"/>
    <n v="3223"/>
    <s v="CATIVO"/>
    <n v="0"/>
    <n v="0"/>
    <n v="41"/>
    <n v="78"/>
    <n v="0"/>
    <n v="203.29"/>
    <n v="263.12"/>
    <m/>
    <n v="229.85530144788444"/>
    <n v="279.86230950700218"/>
    <n v="0"/>
    <n v="15941.542060000014"/>
    <n v="0"/>
    <n v="17422.884201209388"/>
    <x v="5"/>
  </r>
  <r>
    <s v="PROJETADO"/>
    <x v="3"/>
    <x v="3"/>
    <x v="4"/>
    <x v="5"/>
    <x v="0"/>
    <x v="1"/>
    <x v="0"/>
    <x v="11"/>
    <n v="0"/>
    <n v="0"/>
    <n v="-7.4999999999999997E-2"/>
    <n v="-7.4999999999999997E-2"/>
    <n v="-7.4999999999999997E-2"/>
    <n v="-7.4999999999999997E-2"/>
    <n v="0"/>
    <s v="CATIVO"/>
    <n v="0"/>
    <n v="0"/>
    <n v="41"/>
    <n v="78"/>
    <n v="0"/>
    <n v="203.29"/>
    <n v="263.12"/>
    <m/>
    <n v="229.85530144788444"/>
    <n v="279.86230950700218"/>
    <n v="0"/>
    <n v="-3.8865000000000034"/>
    <n v="0"/>
    <n v="-4.2476467579573844"/>
    <x v="5"/>
  </r>
  <r>
    <s v="PROJETADO"/>
    <x v="3"/>
    <x v="3"/>
    <x v="4"/>
    <x v="5"/>
    <x v="0"/>
    <x v="1"/>
    <x v="0"/>
    <x v="11"/>
    <n v="0"/>
    <n v="0"/>
    <n v="0.114"/>
    <n v="0.1026"/>
    <n v="0.114"/>
    <n v="0.1026"/>
    <n v="1"/>
    <s v="CATIVO"/>
    <n v="0"/>
    <n v="0"/>
    <n v="41"/>
    <n v="78"/>
    <n v="0"/>
    <n v="203.29"/>
    <n v="263.12"/>
    <m/>
    <n v="229.85530144788444"/>
    <n v="279.86230950700218"/>
    <n v="0"/>
    <n v="11.224554000000008"/>
    <n v="0"/>
    <n v="12.267203836980936"/>
    <x v="5"/>
  </r>
  <r>
    <s v="Regular"/>
    <x v="3"/>
    <x v="3"/>
    <x v="4"/>
    <x v="6"/>
    <x v="0"/>
    <x v="1"/>
    <x v="0"/>
    <x v="0"/>
    <n v="0"/>
    <n v="0"/>
    <n v="40.136000000000003"/>
    <n v="40.136000000000003"/>
    <n v="40.136000000000003"/>
    <n v="40.136000000000003"/>
    <n v="707"/>
    <s v="CATIVO"/>
    <n v="0"/>
    <n v="0"/>
    <n v="49"/>
    <n v="55"/>
    <n v="0"/>
    <n v="225.87"/>
    <n v="292.36"/>
    <m/>
    <n v="255.39477938653826"/>
    <n v="310.95812167444689"/>
    <n v="0"/>
    <n v="0"/>
    <n v="0"/>
    <n v="-2.2814674593973906E-12"/>
    <x v="5"/>
  </r>
  <r>
    <s v="Refaturamento - Regular"/>
    <x v="3"/>
    <x v="3"/>
    <x v="4"/>
    <x v="6"/>
    <x v="0"/>
    <x v="1"/>
    <x v="0"/>
    <x v="0"/>
    <n v="0"/>
    <n v="0"/>
    <n v="-0.185"/>
    <n v="-0.185"/>
    <n v="-0.185"/>
    <n v="-0.185"/>
    <n v="0"/>
    <s v="CATIVO"/>
    <n v="0"/>
    <n v="0"/>
    <n v="49"/>
    <n v="55"/>
    <n v="0"/>
    <n v="225.87"/>
    <n v="292.36"/>
    <m/>
    <n v="255.39477938653826"/>
    <n v="310.95812167444689"/>
    <n v="0"/>
    <n v="0"/>
    <n v="0"/>
    <n v="1.0516032489249483E-14"/>
    <x v="5"/>
  </r>
  <r>
    <s v="Regular"/>
    <x v="3"/>
    <x v="3"/>
    <x v="4"/>
    <x v="6"/>
    <x v="0"/>
    <x v="1"/>
    <x v="0"/>
    <x v="1"/>
    <n v="0"/>
    <n v="0"/>
    <n v="35.610999999999997"/>
    <n v="35.610999999999997"/>
    <n v="35.610999999999997"/>
    <n v="35.610999999999997"/>
    <n v="603"/>
    <s v="CATIVO"/>
    <n v="0"/>
    <n v="0"/>
    <n v="49"/>
    <n v="55"/>
    <n v="0"/>
    <n v="225.87"/>
    <n v="292.36"/>
    <m/>
    <n v="255.39477938653826"/>
    <n v="310.95812167444689"/>
    <n v="0"/>
    <n v="0"/>
    <n v="0"/>
    <n v="-2.0242509890522341E-12"/>
    <x v="5"/>
  </r>
  <r>
    <s v="Refaturamento - Regular"/>
    <x v="3"/>
    <x v="3"/>
    <x v="4"/>
    <x v="6"/>
    <x v="0"/>
    <x v="1"/>
    <x v="0"/>
    <x v="1"/>
    <n v="0"/>
    <n v="0"/>
    <n v="-3.6999999999999998E-2"/>
    <n v="-3.6999999999999998E-2"/>
    <n v="-3.6999999999999998E-2"/>
    <n v="-3.6999999999999998E-2"/>
    <n v="0"/>
    <s v="CATIVO"/>
    <n v="0"/>
    <n v="0"/>
    <n v="49"/>
    <n v="55"/>
    <n v="0"/>
    <n v="225.87"/>
    <n v="292.36"/>
    <m/>
    <n v="255.39477938653826"/>
    <n v="310.95812167444689"/>
    <n v="0"/>
    <n v="0"/>
    <n v="0"/>
    <n v="2.1032064978498964E-15"/>
    <x v="5"/>
  </r>
  <r>
    <s v="Regular"/>
    <x v="3"/>
    <x v="3"/>
    <x v="4"/>
    <x v="6"/>
    <x v="0"/>
    <x v="1"/>
    <x v="0"/>
    <x v="2"/>
    <n v="0"/>
    <n v="0"/>
    <n v="54.076999999999998"/>
    <n v="54.076999999999998"/>
    <n v="54.076999999999998"/>
    <n v="54.076999999999998"/>
    <n v="842"/>
    <s v="CATIVO"/>
    <n v="0"/>
    <n v="0"/>
    <n v="49"/>
    <n v="55"/>
    <n v="0"/>
    <n v="225.87"/>
    <n v="292.36"/>
    <m/>
    <n v="255.39477938653826"/>
    <n v="310.95812167444689"/>
    <n v="0"/>
    <n v="0"/>
    <n v="0"/>
    <n v="-3.0739215617359149E-12"/>
    <x v="5"/>
  </r>
  <r>
    <s v="Refaturamento - Regular"/>
    <x v="3"/>
    <x v="3"/>
    <x v="4"/>
    <x v="6"/>
    <x v="0"/>
    <x v="1"/>
    <x v="0"/>
    <x v="2"/>
    <n v="0"/>
    <n v="0"/>
    <n v="-0.54900000000000004"/>
    <n v="-0.54900000000000004"/>
    <n v="-0.54900000000000004"/>
    <n v="-0.54900000000000004"/>
    <n v="0"/>
    <s v="CATIVO"/>
    <n v="0"/>
    <n v="0"/>
    <n v="49"/>
    <n v="55"/>
    <n v="0"/>
    <n v="225.87"/>
    <n v="292.36"/>
    <m/>
    <n v="255.39477938653826"/>
    <n v="310.95812167444689"/>
    <n v="0"/>
    <n v="0"/>
    <n v="0"/>
    <n v="3.1207036954583603E-14"/>
    <x v="5"/>
  </r>
  <r>
    <s v="Regular"/>
    <x v="3"/>
    <x v="3"/>
    <x v="4"/>
    <x v="6"/>
    <x v="0"/>
    <x v="1"/>
    <x v="0"/>
    <x v="3"/>
    <n v="0"/>
    <n v="0"/>
    <n v="41.75"/>
    <n v="41.75"/>
    <n v="41.75"/>
    <n v="41.75"/>
    <n v="685"/>
    <s v="CATIVO"/>
    <n v="0"/>
    <n v="0"/>
    <n v="49"/>
    <n v="55"/>
    <n v="0"/>
    <n v="225.87"/>
    <n v="292.36"/>
    <m/>
    <n v="255.39477938653826"/>
    <n v="310.95812167444689"/>
    <n v="0"/>
    <n v="0"/>
    <n v="0"/>
    <n v="-2.3732127374387346E-12"/>
    <x v="5"/>
  </r>
  <r>
    <s v="Regular"/>
    <x v="3"/>
    <x v="3"/>
    <x v="4"/>
    <x v="6"/>
    <x v="0"/>
    <x v="1"/>
    <x v="0"/>
    <x v="4"/>
    <n v="0"/>
    <n v="0"/>
    <n v="48.390999999999998"/>
    <n v="48.390999999999998"/>
    <n v="48.390999999999998"/>
    <n v="48.390999999999998"/>
    <n v="805"/>
    <s v="CATIVO"/>
    <n v="0"/>
    <n v="0"/>
    <n v="49"/>
    <n v="55"/>
    <n v="0"/>
    <n v="225.87"/>
    <n v="292.36"/>
    <m/>
    <n v="255.39477938653826"/>
    <n v="310.95812167444689"/>
    <n v="0"/>
    <n v="0"/>
    <n v="0"/>
    <n v="-2.7507098820933605E-12"/>
    <x v="5"/>
  </r>
  <r>
    <s v="Regular"/>
    <x v="3"/>
    <x v="3"/>
    <x v="4"/>
    <x v="6"/>
    <x v="0"/>
    <x v="1"/>
    <x v="0"/>
    <x v="5"/>
    <n v="0"/>
    <n v="0"/>
    <n v="49.868000000000002"/>
    <n v="49.868000000000002"/>
    <n v="49.868000000000002"/>
    <n v="49.868000000000002"/>
    <n v="805"/>
    <s v="CATIVO"/>
    <n v="0"/>
    <n v="0"/>
    <n v="49"/>
    <n v="55"/>
    <n v="0"/>
    <n v="225.87"/>
    <n v="292.36"/>
    <m/>
    <n v="255.39477938653826"/>
    <n v="310.95812167444689"/>
    <n v="0"/>
    <n v="0"/>
    <n v="0"/>
    <n v="-2.8346676117507742E-12"/>
    <x v="5"/>
  </r>
  <r>
    <s v="Refaturamento - Regular"/>
    <x v="3"/>
    <x v="3"/>
    <x v="4"/>
    <x v="6"/>
    <x v="0"/>
    <x v="1"/>
    <x v="0"/>
    <x v="5"/>
    <n v="0"/>
    <n v="0"/>
    <n v="0.316"/>
    <n v="0.316"/>
    <n v="0.316"/>
    <n v="0.316"/>
    <n v="0"/>
    <s v="CATIVO"/>
    <n v="0"/>
    <n v="0"/>
    <n v="49"/>
    <n v="55"/>
    <n v="0"/>
    <n v="225.87"/>
    <n v="292.36"/>
    <m/>
    <n v="255.39477938653826"/>
    <n v="310.95812167444689"/>
    <n v="0"/>
    <n v="0"/>
    <n v="0"/>
    <n v="-1.7962520360015333E-14"/>
    <x v="5"/>
  </r>
  <r>
    <s v="Regular"/>
    <x v="3"/>
    <x v="3"/>
    <x v="4"/>
    <x v="6"/>
    <x v="0"/>
    <x v="1"/>
    <x v="0"/>
    <x v="6"/>
    <n v="0"/>
    <n v="0"/>
    <n v="54.363999999999997"/>
    <n v="54.363999999999997"/>
    <n v="54.363999999999997"/>
    <n v="54.363999999999997"/>
    <n v="895"/>
    <s v="CATIVO"/>
    <n v="0"/>
    <n v="0"/>
    <n v="49"/>
    <n v="55"/>
    <n v="0"/>
    <n v="225.87"/>
    <n v="292.36"/>
    <m/>
    <n v="255.39477938653826"/>
    <n v="310.95812167444689"/>
    <n v="0"/>
    <n v="0"/>
    <n v="0"/>
    <n v="-3.0902356229489668E-12"/>
    <x v="5"/>
  </r>
  <r>
    <s v="Refaturamento - Regular"/>
    <x v="3"/>
    <x v="3"/>
    <x v="4"/>
    <x v="6"/>
    <x v="0"/>
    <x v="1"/>
    <x v="0"/>
    <x v="6"/>
    <n v="0"/>
    <n v="0"/>
    <n v="-0.17899999999999999"/>
    <n v="-0.17899999999999999"/>
    <n v="-0.17899999999999999"/>
    <n v="-0.17899999999999999"/>
    <n v="0"/>
    <s v="CATIVO"/>
    <n v="0"/>
    <n v="0"/>
    <n v="49"/>
    <n v="55"/>
    <n v="0"/>
    <n v="225.87"/>
    <n v="292.36"/>
    <m/>
    <n v="255.39477938653826"/>
    <n v="310.95812167444689"/>
    <n v="0"/>
    <n v="0"/>
    <n v="0"/>
    <n v="1.0174971976084634E-14"/>
    <x v="5"/>
  </r>
  <r>
    <s v="Regular"/>
    <x v="3"/>
    <x v="3"/>
    <x v="4"/>
    <x v="6"/>
    <x v="0"/>
    <x v="1"/>
    <x v="0"/>
    <x v="7"/>
    <n v="0"/>
    <n v="0"/>
    <n v="53.680999999999997"/>
    <n v="53.680999999999997"/>
    <n v="53.680999999999997"/>
    <n v="53.680999999999997"/>
    <n v="833"/>
    <s v="CATIVO"/>
    <n v="0"/>
    <n v="0"/>
    <n v="49"/>
    <n v="55"/>
    <n v="0"/>
    <n v="225.87"/>
    <n v="292.36"/>
    <m/>
    <n v="255.39477938653826"/>
    <n v="310.95812167444689"/>
    <n v="0"/>
    <n v="0"/>
    <n v="0"/>
    <n v="-3.0514115678670349E-12"/>
    <x v="5"/>
  </r>
  <r>
    <s v="Regular"/>
    <x v="3"/>
    <x v="3"/>
    <x v="4"/>
    <x v="6"/>
    <x v="0"/>
    <x v="1"/>
    <x v="0"/>
    <x v="8"/>
    <n v="0"/>
    <n v="0"/>
    <n v="59.723999999999997"/>
    <n v="59.723999999999997"/>
    <n v="59.723999999999997"/>
    <n v="59.723999999999997"/>
    <n v="905"/>
    <s v="CATIVO"/>
    <n v="0"/>
    <n v="0"/>
    <n v="49"/>
    <n v="55"/>
    <n v="0"/>
    <n v="225.87"/>
    <n v="292.36"/>
    <m/>
    <n v="255.39477938653826"/>
    <n v="310.95812167444689"/>
    <n v="0"/>
    <n v="0"/>
    <n v="0"/>
    <n v="-3.3949163480428977E-12"/>
    <x v="5"/>
  </r>
  <r>
    <s v="Regular"/>
    <x v="3"/>
    <x v="3"/>
    <x v="4"/>
    <x v="6"/>
    <x v="0"/>
    <x v="1"/>
    <x v="0"/>
    <x v="9"/>
    <n v="0"/>
    <n v="0"/>
    <n v="51.945999999999998"/>
    <n v="51.945999999999998"/>
    <n v="51.945999999999998"/>
    <n v="51.945999999999998"/>
    <n v="847"/>
    <s v="CATIVO"/>
    <n v="0"/>
    <n v="0"/>
    <n v="49"/>
    <n v="55"/>
    <n v="0"/>
    <n v="225.87"/>
    <n v="292.36"/>
    <m/>
    <n v="255.39477938653826"/>
    <n v="310.95812167444689"/>
    <n v="0"/>
    <n v="0"/>
    <n v="0"/>
    <n v="-2.952788236143533E-12"/>
    <x v="5"/>
  </r>
  <r>
    <s v="Refaturamento - Regular"/>
    <x v="3"/>
    <x v="3"/>
    <x v="4"/>
    <x v="6"/>
    <x v="0"/>
    <x v="1"/>
    <x v="0"/>
    <x v="9"/>
    <n v="0"/>
    <n v="0"/>
    <n v="-0.115"/>
    <n v="-0.115"/>
    <n v="-0.115"/>
    <n v="-0.115"/>
    <n v="0"/>
    <s v="CATIVO"/>
    <n v="0"/>
    <n v="0"/>
    <n v="49"/>
    <n v="55"/>
    <n v="0"/>
    <n v="225.87"/>
    <n v="292.36"/>
    <m/>
    <n v="255.39477938653826"/>
    <n v="310.95812167444689"/>
    <n v="0"/>
    <n v="0"/>
    <n v="0"/>
    <n v="6.536993168992922E-15"/>
    <x v="5"/>
  </r>
  <r>
    <s v="Regular"/>
    <x v="3"/>
    <x v="3"/>
    <x v="4"/>
    <x v="6"/>
    <x v="0"/>
    <x v="1"/>
    <x v="0"/>
    <x v="10"/>
    <n v="0"/>
    <n v="0"/>
    <n v="72.566999999999993"/>
    <n v="72.566999999999993"/>
    <n v="72.566999999999993"/>
    <n v="72.566999999999993"/>
    <n v="1110"/>
    <s v="CATIVO"/>
    <n v="0"/>
    <n v="0"/>
    <n v="49"/>
    <n v="55"/>
    <n v="0"/>
    <n v="225.87"/>
    <n v="292.36"/>
    <m/>
    <n v="255.39477938653826"/>
    <n v="310.95812167444689"/>
    <n v="0"/>
    <n v="0"/>
    <n v="0"/>
    <n v="-4.1249563764722548E-12"/>
    <x v="5"/>
  </r>
  <r>
    <s v="PROJETADO"/>
    <x v="3"/>
    <x v="3"/>
    <x v="4"/>
    <x v="6"/>
    <x v="0"/>
    <x v="1"/>
    <x v="0"/>
    <x v="11"/>
    <n v="0"/>
    <n v="0"/>
    <n v="72.566999999999993"/>
    <n v="72.566999999999993"/>
    <n v="72.566999999999993"/>
    <n v="72.566999999999993"/>
    <n v="1110"/>
    <s v="CATIVO"/>
    <n v="0"/>
    <n v="0"/>
    <n v="49"/>
    <n v="55"/>
    <n v="0"/>
    <n v="225.87"/>
    <n v="292.36"/>
    <m/>
    <n v="255.39477938653826"/>
    <n v="310.95812167444689"/>
    <n v="0"/>
    <n v="0"/>
    <n v="0"/>
    <n v="-4.1249563764722548E-12"/>
    <x v="5"/>
  </r>
  <r>
    <s v="Regular"/>
    <x v="4"/>
    <x v="3"/>
    <x v="3"/>
    <x v="0"/>
    <x v="0"/>
    <x v="1"/>
    <x v="0"/>
    <x v="0"/>
    <n v="0"/>
    <n v="0"/>
    <n v="300.41300000000001"/>
    <n v="300.41300000000001"/>
    <n v="300.41300000000001"/>
    <n v="300.41300000000001"/>
    <n v="449"/>
    <s v="CATIVO"/>
    <n v="0"/>
    <n v="0"/>
    <n v="47"/>
    <n v="109"/>
    <n v="0"/>
    <n v="264.26"/>
    <n v="257.27"/>
    <m/>
    <n v="362.57271860169681"/>
    <n v="292.30063437398007"/>
    <n v="0"/>
    <n v="21368.376690000034"/>
    <n v="0"/>
    <n v="12557.391611966957"/>
    <x v="3"/>
  </r>
  <r>
    <s v="Refaturamento - Regular"/>
    <x v="4"/>
    <x v="3"/>
    <x v="3"/>
    <x v="0"/>
    <x v="0"/>
    <x v="1"/>
    <x v="0"/>
    <x v="0"/>
    <n v="0"/>
    <n v="0"/>
    <n v="-2.4"/>
    <n v="-2.4"/>
    <n v="-2.4"/>
    <n v="-2.4"/>
    <n v="0"/>
    <s v="CATIVO"/>
    <n v="0"/>
    <n v="0"/>
    <n v="47"/>
    <n v="109"/>
    <n v="0"/>
    <n v="264.26"/>
    <n v="257.27"/>
    <m/>
    <n v="362.57271860169681"/>
    <n v="292.30063437398007"/>
    <n v="0"/>
    <n v="-170.71200000000024"/>
    <n v="0"/>
    <n v="-100.32102428563576"/>
    <x v="3"/>
  </r>
  <r>
    <s v="Sistema de Compensação"/>
    <x v="4"/>
    <x v="3"/>
    <x v="3"/>
    <x v="0"/>
    <x v="0"/>
    <x v="1"/>
    <x v="0"/>
    <x v="0"/>
    <n v="0"/>
    <n v="0"/>
    <n v="6.0369999999999999"/>
    <n v="6.0369999999999999"/>
    <n v="6.0369999999999999"/>
    <n v="6.0369999999999999"/>
    <n v="25"/>
    <s v="CATIVO"/>
    <n v="0"/>
    <n v="0"/>
    <n v="47"/>
    <n v="109"/>
    <n v="0"/>
    <n v="264.26"/>
    <n v="257.27"/>
    <m/>
    <n v="362.57271860169681"/>
    <n v="292.30063437398007"/>
    <n v="0"/>
    <n v="429.41181000000063"/>
    <n v="0"/>
    <n v="252.34917650515962"/>
    <x v="3"/>
  </r>
  <r>
    <s v="Sistema de Compensação"/>
    <x v="4"/>
    <x v="3"/>
    <x v="3"/>
    <x v="0"/>
    <x v="0"/>
    <x v="1"/>
    <x v="0"/>
    <x v="0"/>
    <n v="0"/>
    <n v="0"/>
    <n v="1.08"/>
    <n v="1.08"/>
    <n v="1.08"/>
    <n v="1.08"/>
    <n v="1"/>
    <s v="CATIVO"/>
    <n v="0"/>
    <n v="0"/>
    <n v="47"/>
    <n v="109"/>
    <n v="0"/>
    <n v="264.26"/>
    <n v="257.27"/>
    <m/>
    <n v="362.57271860169681"/>
    <n v="292.30063437398007"/>
    <n v="0"/>
    <n v="76.82040000000012"/>
    <n v="0"/>
    <n v="45.144460928536091"/>
    <x v="3"/>
  </r>
  <r>
    <s v="Regular"/>
    <x v="4"/>
    <x v="3"/>
    <x v="3"/>
    <x v="0"/>
    <x v="0"/>
    <x v="1"/>
    <x v="0"/>
    <x v="1"/>
    <n v="0"/>
    <n v="0"/>
    <n v="289.67899999999997"/>
    <n v="289.67899999999997"/>
    <n v="289.67899999999997"/>
    <n v="289.67899999999997"/>
    <n v="448"/>
    <s v="CATIVO"/>
    <n v="0"/>
    <n v="0"/>
    <n v="47"/>
    <n v="109"/>
    <n v="0"/>
    <n v="264.26"/>
    <n v="257.27"/>
    <m/>
    <n v="362.57271860169681"/>
    <n v="292.30063437398007"/>
    <n v="0"/>
    <n v="20604.867270000028"/>
    <n v="0"/>
    <n v="12108.705830849449"/>
    <x v="3"/>
  </r>
  <r>
    <s v="Refaturamento - Regular"/>
    <x v="4"/>
    <x v="3"/>
    <x v="3"/>
    <x v="0"/>
    <x v="0"/>
    <x v="1"/>
    <x v="0"/>
    <x v="1"/>
    <n v="0"/>
    <n v="0"/>
    <n v="-0.74"/>
    <n v="-0.74"/>
    <n v="-0.74"/>
    <n v="-0.74"/>
    <n v="0"/>
    <s v="CATIVO"/>
    <n v="0"/>
    <n v="0"/>
    <n v="47"/>
    <n v="109"/>
    <n v="0"/>
    <n v="264.26"/>
    <n v="257.27"/>
    <m/>
    <n v="362.57271860169681"/>
    <n v="292.30063437398007"/>
    <n v="0"/>
    <n v="-52.63620000000008"/>
    <n v="0"/>
    <n v="-30.932315821404359"/>
    <x v="3"/>
  </r>
  <r>
    <s v="Sistema de Compensação"/>
    <x v="4"/>
    <x v="3"/>
    <x v="3"/>
    <x v="0"/>
    <x v="0"/>
    <x v="1"/>
    <x v="0"/>
    <x v="1"/>
    <n v="0"/>
    <n v="0"/>
    <n v="6.6429999999999998"/>
    <n v="6.6429999999999998"/>
    <n v="6.6429999999999998"/>
    <n v="6.6429999999999998"/>
    <n v="26"/>
    <s v="CATIVO"/>
    <n v="0"/>
    <n v="0"/>
    <n v="47"/>
    <n v="109"/>
    <n v="0"/>
    <n v="264.26"/>
    <n v="257.27"/>
    <m/>
    <n v="362.57271860169681"/>
    <n v="292.30063437398007"/>
    <n v="0"/>
    <n v="472.51659000000069"/>
    <n v="0"/>
    <n v="277.68023513728264"/>
    <x v="3"/>
  </r>
  <r>
    <s v="Sistema de Compensação"/>
    <x v="4"/>
    <x v="3"/>
    <x v="3"/>
    <x v="0"/>
    <x v="0"/>
    <x v="1"/>
    <x v="0"/>
    <x v="1"/>
    <n v="0"/>
    <n v="0"/>
    <n v="0.05"/>
    <n v="0.05"/>
    <n v="0.05"/>
    <n v="0.05"/>
    <n v="1"/>
    <s v="CATIVO"/>
    <n v="0"/>
    <n v="0"/>
    <n v="47"/>
    <n v="109"/>
    <n v="0"/>
    <n v="264.26"/>
    <n v="257.27"/>
    <m/>
    <n v="362.57271860169681"/>
    <n v="292.30063437398007"/>
    <n v="0"/>
    <n v="3.5565000000000055"/>
    <n v="0"/>
    <n v="2.0900213392840783"/>
    <x v="3"/>
  </r>
  <r>
    <s v="Regular"/>
    <x v="4"/>
    <x v="3"/>
    <x v="3"/>
    <x v="0"/>
    <x v="0"/>
    <x v="1"/>
    <x v="0"/>
    <x v="2"/>
    <n v="0"/>
    <n v="0"/>
    <n v="317.97500000000002"/>
    <n v="317.97500000000002"/>
    <n v="317.97500000000002"/>
    <n v="317.97500000000002"/>
    <n v="444"/>
    <s v="CATIVO"/>
    <n v="0"/>
    <n v="0"/>
    <n v="47"/>
    <n v="109"/>
    <n v="0"/>
    <n v="264.26"/>
    <n v="257.27"/>
    <m/>
    <n v="362.57271860169681"/>
    <n v="292.30063437398007"/>
    <n v="0"/>
    <n v="22617.561750000037"/>
    <n v="0"/>
    <n v="13291.490707177098"/>
    <x v="3"/>
  </r>
  <r>
    <s v="Refaturamento - Regular"/>
    <x v="4"/>
    <x v="3"/>
    <x v="3"/>
    <x v="0"/>
    <x v="0"/>
    <x v="1"/>
    <x v="0"/>
    <x v="2"/>
    <n v="0"/>
    <n v="0"/>
    <n v="-0.99299999999999999"/>
    <n v="-0.99299999999999999"/>
    <n v="-0.99299999999999999"/>
    <n v="-0.99299999999999999"/>
    <n v="0"/>
    <s v="CATIVO"/>
    <n v="0"/>
    <n v="0"/>
    <n v="47"/>
    <n v="109"/>
    <n v="0"/>
    <n v="264.26"/>
    <n v="257.27"/>
    <m/>
    <n v="362.57271860169681"/>
    <n v="292.30063437398007"/>
    <n v="0"/>
    <n v="-70.632090000000105"/>
    <n v="0"/>
    <n v="-41.507823798181796"/>
    <x v="3"/>
  </r>
  <r>
    <s v="Sistema de Compensação"/>
    <x v="4"/>
    <x v="3"/>
    <x v="3"/>
    <x v="0"/>
    <x v="0"/>
    <x v="1"/>
    <x v="0"/>
    <x v="2"/>
    <n v="0"/>
    <n v="0"/>
    <n v="8.84"/>
    <n v="8.84"/>
    <n v="8.84"/>
    <n v="8.84"/>
    <n v="31"/>
    <s v="CATIVO"/>
    <n v="0"/>
    <n v="0"/>
    <n v="47"/>
    <n v="109"/>
    <n v="0"/>
    <n v="264.26"/>
    <n v="257.27"/>
    <m/>
    <n v="362.57271860169681"/>
    <n v="292.30063437398007"/>
    <n v="0"/>
    <n v="628.78920000000096"/>
    <n v="0"/>
    <n v="369.51577278542504"/>
    <x v="3"/>
  </r>
  <r>
    <s v="Regular"/>
    <x v="4"/>
    <x v="3"/>
    <x v="3"/>
    <x v="0"/>
    <x v="0"/>
    <x v="1"/>
    <x v="0"/>
    <x v="3"/>
    <n v="0"/>
    <n v="0"/>
    <n v="277.06900000000002"/>
    <n v="277.06900000000002"/>
    <n v="277.06900000000002"/>
    <n v="277.06900000000002"/>
    <n v="440"/>
    <s v="CATIVO"/>
    <n v="0"/>
    <n v="0"/>
    <n v="47"/>
    <n v="109"/>
    <n v="0"/>
    <n v="264.26"/>
    <n v="257.27"/>
    <m/>
    <n v="362.57271860169681"/>
    <n v="292.30063437398007"/>
    <n v="0"/>
    <n v="19707.917970000031"/>
    <n v="0"/>
    <n v="11581.602449082007"/>
    <x v="3"/>
  </r>
  <r>
    <s v="Refaturamento - Regular"/>
    <x v="4"/>
    <x v="3"/>
    <x v="3"/>
    <x v="0"/>
    <x v="0"/>
    <x v="1"/>
    <x v="0"/>
    <x v="3"/>
    <n v="0"/>
    <n v="0"/>
    <n v="-0.38600000000000001"/>
    <n v="-0.38600000000000001"/>
    <n v="-0.38600000000000001"/>
    <n v="-0.38600000000000001"/>
    <n v="0"/>
    <s v="CATIVO"/>
    <n v="0"/>
    <n v="0"/>
    <n v="47"/>
    <n v="109"/>
    <n v="0"/>
    <n v="264.26"/>
    <n v="257.27"/>
    <m/>
    <n v="362.57271860169681"/>
    <n v="292.30063437398007"/>
    <n v="0"/>
    <n v="-27.456180000000042"/>
    <n v="0"/>
    <n v="-16.134964739273084"/>
    <x v="3"/>
  </r>
  <r>
    <s v="Sistema de Compensação"/>
    <x v="4"/>
    <x v="3"/>
    <x v="3"/>
    <x v="0"/>
    <x v="0"/>
    <x v="1"/>
    <x v="0"/>
    <x v="3"/>
    <n v="0"/>
    <n v="0"/>
    <n v="7.6260000000000003"/>
    <n v="7.6260000000000003"/>
    <n v="7.6260000000000003"/>
    <n v="7.6260000000000003"/>
    <n v="34"/>
    <s v="CATIVO"/>
    <n v="0"/>
    <n v="0"/>
    <n v="47"/>
    <n v="109"/>
    <n v="0"/>
    <n v="264.26"/>
    <n v="257.27"/>
    <m/>
    <n v="362.57271860169681"/>
    <n v="292.30063437398007"/>
    <n v="0"/>
    <n v="542.43738000000087"/>
    <n v="0"/>
    <n v="318.77005466760761"/>
    <x v="3"/>
  </r>
  <r>
    <s v="Sistema de Compensação"/>
    <x v="4"/>
    <x v="3"/>
    <x v="3"/>
    <x v="0"/>
    <x v="0"/>
    <x v="1"/>
    <x v="0"/>
    <x v="3"/>
    <n v="0"/>
    <n v="0"/>
    <n v="0.1"/>
    <n v="0.1"/>
    <n v="0.1"/>
    <n v="0.1"/>
    <n v="1"/>
    <s v="CATIVO"/>
    <n v="0"/>
    <n v="0"/>
    <n v="47"/>
    <n v="109"/>
    <n v="0"/>
    <n v="264.26"/>
    <n v="257.27"/>
    <m/>
    <n v="362.57271860169681"/>
    <n v="292.30063437398007"/>
    <n v="0"/>
    <n v="7.1130000000000111"/>
    <n v="0"/>
    <n v="4.1800426785681566"/>
    <x v="3"/>
  </r>
  <r>
    <s v="Regular"/>
    <x v="4"/>
    <x v="3"/>
    <x v="3"/>
    <x v="0"/>
    <x v="0"/>
    <x v="1"/>
    <x v="0"/>
    <x v="4"/>
    <n v="0"/>
    <n v="0"/>
    <n v="287.67899999999997"/>
    <n v="287.67899999999997"/>
    <n v="287.67899999999997"/>
    <n v="287.67899999999997"/>
    <n v="437"/>
    <s v="CATIVO"/>
    <n v="0"/>
    <n v="0"/>
    <n v="47"/>
    <n v="109"/>
    <n v="0"/>
    <n v="264.26"/>
    <n v="257.27"/>
    <m/>
    <n v="362.57271860169681"/>
    <n v="292.30063437398007"/>
    <n v="0"/>
    <n v="20462.60727000003"/>
    <n v="0"/>
    <n v="12025.104977278086"/>
    <x v="3"/>
  </r>
  <r>
    <s v="Refaturamento - Regular"/>
    <x v="4"/>
    <x v="3"/>
    <x v="3"/>
    <x v="0"/>
    <x v="0"/>
    <x v="1"/>
    <x v="0"/>
    <x v="4"/>
    <n v="0"/>
    <n v="0"/>
    <n v="-1.06"/>
    <n v="-1.06"/>
    <n v="-1.06"/>
    <n v="-1.06"/>
    <n v="0"/>
    <s v="CATIVO"/>
    <n v="0"/>
    <n v="0"/>
    <n v="47"/>
    <n v="109"/>
    <n v="0"/>
    <n v="264.26"/>
    <n v="257.27"/>
    <m/>
    <n v="362.57271860169681"/>
    <n v="292.30063437398007"/>
    <n v="0"/>
    <n v="-75.397800000000117"/>
    <n v="0"/>
    <n v="-44.30845239282246"/>
    <x v="3"/>
  </r>
  <r>
    <s v="Sistema de Compensação"/>
    <x v="4"/>
    <x v="3"/>
    <x v="3"/>
    <x v="0"/>
    <x v="0"/>
    <x v="1"/>
    <x v="0"/>
    <x v="4"/>
    <n v="0"/>
    <n v="0"/>
    <n v="8.6259999999999994"/>
    <n v="8.6259999999999994"/>
    <n v="8.6259999999999994"/>
    <n v="8.6259999999999994"/>
    <n v="36"/>
    <s v="CATIVO"/>
    <n v="0"/>
    <n v="0"/>
    <n v="47"/>
    <n v="109"/>
    <n v="0"/>
    <n v="264.26"/>
    <n v="257.27"/>
    <m/>
    <n v="362.57271860169681"/>
    <n v="292.30063437398007"/>
    <n v="0"/>
    <n v="613.56738000000087"/>
    <n v="0"/>
    <n v="360.57048145328918"/>
    <x v="3"/>
  </r>
  <r>
    <s v="Regular"/>
    <x v="4"/>
    <x v="3"/>
    <x v="3"/>
    <x v="0"/>
    <x v="0"/>
    <x v="1"/>
    <x v="0"/>
    <x v="5"/>
    <n v="0"/>
    <n v="0"/>
    <n v="277.33300000000003"/>
    <n v="277.33300000000003"/>
    <n v="277.33300000000003"/>
    <n v="277.33300000000003"/>
    <n v="435"/>
    <s v="CATIVO"/>
    <n v="0"/>
    <n v="0"/>
    <n v="47"/>
    <n v="109"/>
    <n v="0"/>
    <n v="264.26"/>
    <n v="257.27"/>
    <m/>
    <n v="362.57271860169681"/>
    <n v="292.30063437398007"/>
    <n v="0"/>
    <n v="19726.696290000033"/>
    <n v="0"/>
    <n v="11592.637761753427"/>
    <x v="3"/>
  </r>
  <r>
    <s v="Sistema de Compensação"/>
    <x v="4"/>
    <x v="3"/>
    <x v="3"/>
    <x v="0"/>
    <x v="0"/>
    <x v="1"/>
    <x v="0"/>
    <x v="5"/>
    <n v="0"/>
    <n v="0"/>
    <n v="7.6239999999999997"/>
    <n v="7.6239999999999997"/>
    <n v="7.6239999999999997"/>
    <n v="7.6239999999999997"/>
    <n v="37"/>
    <s v="CATIVO"/>
    <n v="0"/>
    <n v="0"/>
    <n v="47"/>
    <n v="109"/>
    <n v="0"/>
    <n v="264.26"/>
    <n v="257.27"/>
    <m/>
    <n v="362.57271860169681"/>
    <n v="292.30063437398007"/>
    <n v="0"/>
    <n v="542.29512000000079"/>
    <n v="0"/>
    <n v="318.68645381403627"/>
    <x v="3"/>
  </r>
  <r>
    <s v="Regular"/>
    <x v="4"/>
    <x v="3"/>
    <x v="3"/>
    <x v="0"/>
    <x v="0"/>
    <x v="1"/>
    <x v="0"/>
    <x v="6"/>
    <n v="0"/>
    <n v="0"/>
    <n v="296.34100000000001"/>
    <n v="296.34100000000001"/>
    <n v="296.34100000000001"/>
    <n v="296.34100000000001"/>
    <n v="435"/>
    <s v="CATIVO"/>
    <n v="0"/>
    <n v="0"/>
    <n v="47"/>
    <n v="109"/>
    <n v="0"/>
    <n v="264.26"/>
    <n v="257.27"/>
    <m/>
    <n v="362.57271860169681"/>
    <n v="292.30063437398007"/>
    <n v="0"/>
    <n v="21078.735330000032"/>
    <n v="0"/>
    <n v="12387.180274095661"/>
    <x v="3"/>
  </r>
  <r>
    <s v="Refaturamento - Regular"/>
    <x v="4"/>
    <x v="3"/>
    <x v="3"/>
    <x v="0"/>
    <x v="0"/>
    <x v="1"/>
    <x v="0"/>
    <x v="6"/>
    <n v="0"/>
    <n v="0"/>
    <n v="-0.35899999999999999"/>
    <n v="-0.35899999999999999"/>
    <n v="-0.35899999999999999"/>
    <n v="-0.35899999999999999"/>
    <n v="0"/>
    <s v="CATIVO"/>
    <n v="0"/>
    <n v="0"/>
    <n v="47"/>
    <n v="109"/>
    <n v="0"/>
    <n v="264.26"/>
    <n v="257.27"/>
    <m/>
    <n v="362.57271860169681"/>
    <n v="292.30063437398007"/>
    <n v="0"/>
    <n v="-25.535670000000039"/>
    <n v="0"/>
    <n v="-15.006353216059681"/>
    <x v="3"/>
  </r>
  <r>
    <s v="Sistema de Compensação"/>
    <x v="4"/>
    <x v="3"/>
    <x v="3"/>
    <x v="0"/>
    <x v="0"/>
    <x v="1"/>
    <x v="0"/>
    <x v="6"/>
    <n v="0"/>
    <n v="0"/>
    <n v="7.7039999999999997"/>
    <n v="7.7039999999999997"/>
    <n v="7.7039999999999997"/>
    <n v="7.7039999999999997"/>
    <n v="37"/>
    <s v="CATIVO"/>
    <n v="0"/>
    <n v="0"/>
    <n v="47"/>
    <n v="109"/>
    <n v="0"/>
    <n v="264.26"/>
    <n v="257.27"/>
    <m/>
    <n v="362.57271860169681"/>
    <n v="292.30063437398007"/>
    <n v="0"/>
    <n v="547.98552000000086"/>
    <n v="0"/>
    <n v="322.03048795689079"/>
    <x v="3"/>
  </r>
  <r>
    <s v="Sistema de Compensação"/>
    <x v="4"/>
    <x v="3"/>
    <x v="3"/>
    <x v="0"/>
    <x v="0"/>
    <x v="1"/>
    <x v="0"/>
    <x v="6"/>
    <n v="0"/>
    <n v="0"/>
    <n v="0.13600000000000001"/>
    <n v="0.13600000000000001"/>
    <n v="0.13600000000000001"/>
    <n v="0.13600000000000001"/>
    <n v="1"/>
    <s v="CATIVO"/>
    <n v="0"/>
    <n v="0"/>
    <n v="47"/>
    <n v="109"/>
    <n v="0"/>
    <n v="264.26"/>
    <n v="257.27"/>
    <m/>
    <n v="362.57271860169681"/>
    <n v="292.30063437398007"/>
    <n v="0"/>
    <n v="9.6736800000000152"/>
    <n v="0"/>
    <n v="5.6848580428526931"/>
    <x v="3"/>
  </r>
  <r>
    <s v="Regular"/>
    <x v="4"/>
    <x v="3"/>
    <x v="3"/>
    <x v="0"/>
    <x v="0"/>
    <x v="1"/>
    <x v="0"/>
    <x v="7"/>
    <n v="0"/>
    <n v="0"/>
    <n v="313.52600000000001"/>
    <n v="313.52600000000001"/>
    <n v="313.52600000000001"/>
    <n v="313.52600000000001"/>
    <n v="430"/>
    <s v="CATIVO"/>
    <n v="0"/>
    <n v="0"/>
    <n v="47"/>
    <n v="109"/>
    <n v="0"/>
    <n v="264.26"/>
    <n v="257.27"/>
    <m/>
    <n v="362.57271860169681"/>
    <n v="292.30063437398007"/>
    <n v="0"/>
    <n v="22301.104380000033"/>
    <n v="0"/>
    <n v="13105.5206084076"/>
    <x v="3"/>
  </r>
  <r>
    <s v="Sistema de Compensação"/>
    <x v="4"/>
    <x v="3"/>
    <x v="3"/>
    <x v="0"/>
    <x v="0"/>
    <x v="1"/>
    <x v="0"/>
    <x v="7"/>
    <n v="0"/>
    <n v="0"/>
    <n v="9.5090000000000003"/>
    <n v="9.5090000000000003"/>
    <n v="9.5090000000000003"/>
    <n v="9.5090000000000003"/>
    <n v="41"/>
    <s v="CATIVO"/>
    <n v="0"/>
    <n v="0"/>
    <n v="47"/>
    <n v="109"/>
    <n v="0"/>
    <n v="264.26"/>
    <n v="257.27"/>
    <m/>
    <n v="362.57271860169681"/>
    <n v="292.30063437398007"/>
    <n v="0"/>
    <n v="676.37517000000105"/>
    <n v="0"/>
    <n v="397.48025830504605"/>
    <x v="3"/>
  </r>
  <r>
    <s v="Regular"/>
    <x v="4"/>
    <x v="3"/>
    <x v="3"/>
    <x v="0"/>
    <x v="0"/>
    <x v="1"/>
    <x v="0"/>
    <x v="8"/>
    <n v="0"/>
    <n v="0"/>
    <n v="338.08600000000001"/>
    <n v="338.08600000000001"/>
    <n v="338.08600000000001"/>
    <n v="338.08600000000001"/>
    <n v="435"/>
    <s v="CATIVO"/>
    <n v="0"/>
    <n v="0"/>
    <n v="47"/>
    <n v="109"/>
    <n v="0"/>
    <n v="264.26"/>
    <n v="257.27"/>
    <m/>
    <n v="362.57271860169681"/>
    <n v="292.30063437398007"/>
    <n v="0"/>
    <n v="24048.057180000036"/>
    <n v="0"/>
    <n v="14132.139090263938"/>
    <x v="3"/>
  </r>
  <r>
    <s v="Regular"/>
    <x v="4"/>
    <x v="3"/>
    <x v="3"/>
    <x v="0"/>
    <x v="0"/>
    <x v="1"/>
    <x v="0"/>
    <x v="9"/>
    <n v="0"/>
    <n v="0"/>
    <n v="336.291"/>
    <n v="336.291"/>
    <n v="336.291"/>
    <n v="336.291"/>
    <n v="433"/>
    <s v="CATIVO"/>
    <n v="0"/>
    <n v="0"/>
    <n v="47"/>
    <n v="109"/>
    <n v="0"/>
    <n v="264.26"/>
    <n v="257.27"/>
    <m/>
    <n v="362.57271860169681"/>
    <n v="292.30063437398007"/>
    <n v="0"/>
    <n v="23920.378830000038"/>
    <n v="0"/>
    <n v="14057.10732418364"/>
    <x v="3"/>
  </r>
  <r>
    <s v="Refaturamento - Regular"/>
    <x v="4"/>
    <x v="3"/>
    <x v="3"/>
    <x v="0"/>
    <x v="0"/>
    <x v="1"/>
    <x v="0"/>
    <x v="9"/>
    <n v="0"/>
    <n v="0"/>
    <n v="-2.8610000000000002"/>
    <n v="-2.8610000000000002"/>
    <n v="-2.8610000000000002"/>
    <n v="-2.8610000000000002"/>
    <n v="0"/>
    <s v="CATIVO"/>
    <n v="0"/>
    <n v="0"/>
    <n v="47"/>
    <n v="109"/>
    <n v="0"/>
    <n v="264.26"/>
    <n v="257.27"/>
    <m/>
    <n v="362.57271860169681"/>
    <n v="292.30063437398007"/>
    <n v="0"/>
    <n v="-203.50293000000033"/>
    <n v="0"/>
    <n v="-119.59102103383496"/>
    <x v="3"/>
  </r>
  <r>
    <s v="Sistema de Compensação"/>
    <x v="4"/>
    <x v="3"/>
    <x v="3"/>
    <x v="0"/>
    <x v="0"/>
    <x v="1"/>
    <x v="0"/>
    <x v="9"/>
    <n v="0"/>
    <n v="0"/>
    <n v="9.6790000000000003"/>
    <n v="9.6790000000000003"/>
    <n v="9.6790000000000003"/>
    <n v="9.6790000000000003"/>
    <n v="41"/>
    <s v="CATIVO"/>
    <n v="0"/>
    <n v="0"/>
    <n v="47"/>
    <n v="109"/>
    <n v="0"/>
    <n v="264.26"/>
    <n v="257.27"/>
    <m/>
    <n v="362.57271860169681"/>
    <n v="292.30063437398007"/>
    <n v="0"/>
    <n v="688.46727000000112"/>
    <n v="0"/>
    <n v="404.58633085861186"/>
    <x v="3"/>
  </r>
  <r>
    <s v="Regular"/>
    <x v="4"/>
    <x v="3"/>
    <x v="3"/>
    <x v="0"/>
    <x v="0"/>
    <x v="1"/>
    <x v="0"/>
    <x v="10"/>
    <n v="0"/>
    <n v="0"/>
    <n v="330.00200000000001"/>
    <n v="330.00200000000001"/>
    <n v="330.00200000000001"/>
    <n v="330.00200000000001"/>
    <n v="433"/>
    <s v="CATIVO"/>
    <n v="0"/>
    <n v="0"/>
    <n v="47"/>
    <n v="109"/>
    <n v="0"/>
    <n v="264.26"/>
    <n v="257.27"/>
    <m/>
    <n v="362.57271860169681"/>
    <n v="292.30063437398007"/>
    <n v="0"/>
    <n v="23473.042260000038"/>
    <n v="0"/>
    <n v="13794.224440128488"/>
    <x v="3"/>
  </r>
  <r>
    <s v="Refaturamento - Regular"/>
    <x v="4"/>
    <x v="3"/>
    <x v="3"/>
    <x v="0"/>
    <x v="0"/>
    <x v="1"/>
    <x v="0"/>
    <x v="10"/>
    <n v="0"/>
    <n v="0"/>
    <n v="-1.2410000000000001"/>
    <n v="-1.2410000000000001"/>
    <n v="-1.2410000000000001"/>
    <n v="-1.2410000000000001"/>
    <n v="0"/>
    <s v="CATIVO"/>
    <n v="0"/>
    <n v="0"/>
    <n v="47"/>
    <n v="109"/>
    <n v="0"/>
    <n v="264.26"/>
    <n v="257.27"/>
    <m/>
    <n v="362.57271860169681"/>
    <n v="292.30063437398007"/>
    <n v="0"/>
    <n v="-88.272330000000139"/>
    <n v="0"/>
    <n v="-51.874329641030826"/>
    <x v="3"/>
  </r>
  <r>
    <s v="Sistema de Compensação"/>
    <x v="4"/>
    <x v="3"/>
    <x v="3"/>
    <x v="0"/>
    <x v="0"/>
    <x v="1"/>
    <x v="0"/>
    <x v="10"/>
    <n v="0"/>
    <n v="0"/>
    <n v="8.4589999999999996"/>
    <n v="8.4589999999999996"/>
    <n v="8.4589999999999996"/>
    <n v="8.4589999999999996"/>
    <n v="40"/>
    <s v="CATIVO"/>
    <n v="0"/>
    <n v="0"/>
    <n v="47"/>
    <n v="109"/>
    <n v="0"/>
    <n v="264.26"/>
    <n v="257.27"/>
    <m/>
    <n v="362.57271860169681"/>
    <n v="292.30063437398007"/>
    <n v="0"/>
    <n v="601.68867000000091"/>
    <n v="0"/>
    <n v="353.58981018008035"/>
    <x v="3"/>
  </r>
  <r>
    <s v="PROJETADO"/>
    <x v="4"/>
    <x v="3"/>
    <x v="3"/>
    <x v="0"/>
    <x v="0"/>
    <x v="1"/>
    <x v="0"/>
    <x v="11"/>
    <n v="0"/>
    <n v="0"/>
    <n v="330.00200000000001"/>
    <n v="330.00200000000001"/>
    <n v="330.00200000000001"/>
    <n v="330.00200000000001"/>
    <n v="433"/>
    <s v="CATIVO"/>
    <n v="0"/>
    <n v="0"/>
    <n v="47"/>
    <n v="109"/>
    <n v="0"/>
    <n v="264.26"/>
    <n v="257.27"/>
    <m/>
    <n v="362.57271860169681"/>
    <n v="292.30063437398007"/>
    <n v="0"/>
    <n v="23473.042260000038"/>
    <n v="0"/>
    <n v="13794.224440128488"/>
    <x v="3"/>
  </r>
  <r>
    <s v="PROJETADO"/>
    <x v="4"/>
    <x v="3"/>
    <x v="3"/>
    <x v="0"/>
    <x v="0"/>
    <x v="1"/>
    <x v="0"/>
    <x v="11"/>
    <n v="0"/>
    <n v="0"/>
    <n v="-1.2410000000000001"/>
    <n v="-1.2410000000000001"/>
    <n v="-1.2410000000000001"/>
    <n v="-1.2410000000000001"/>
    <n v="0"/>
    <s v="CATIVO"/>
    <n v="0"/>
    <n v="0"/>
    <n v="47"/>
    <n v="109"/>
    <n v="0"/>
    <n v="264.26"/>
    <n v="257.27"/>
    <m/>
    <n v="362.57271860169681"/>
    <n v="292.30063437398007"/>
    <n v="0"/>
    <n v="-88.272330000000139"/>
    <n v="0"/>
    <n v="-51.874329641030826"/>
    <x v="3"/>
  </r>
  <r>
    <s v="PROJETADO"/>
    <x v="4"/>
    <x v="3"/>
    <x v="3"/>
    <x v="0"/>
    <x v="0"/>
    <x v="1"/>
    <x v="0"/>
    <x v="11"/>
    <n v="0"/>
    <n v="0"/>
    <n v="8.4589999999999996"/>
    <n v="8.4589999999999996"/>
    <n v="8.4589999999999996"/>
    <n v="8.4589999999999996"/>
    <n v="40"/>
    <s v="CATIVO"/>
    <n v="0"/>
    <n v="0"/>
    <n v="47"/>
    <n v="109"/>
    <n v="0"/>
    <n v="264.26"/>
    <n v="257.27"/>
    <m/>
    <n v="362.57271860169681"/>
    <n v="292.30063437398007"/>
    <n v="0"/>
    <n v="601.68867000000091"/>
    <n v="0"/>
    <n v="353.58981018008035"/>
    <x v="3"/>
  </r>
  <r>
    <s v="Regular"/>
    <x v="5"/>
    <x v="4"/>
    <x v="2"/>
    <x v="1"/>
    <x v="0"/>
    <x v="1"/>
    <x v="1"/>
    <x v="6"/>
    <n v="0"/>
    <n v="0"/>
    <n v="10.817"/>
    <n v="10.16798"/>
    <n v="10.817"/>
    <n v="10.16798"/>
    <n v="0"/>
    <s v="CATIVO"/>
    <n v="0"/>
    <n v="0"/>
    <n v="69"/>
    <n v="105"/>
    <n v="0"/>
    <n v="234.07"/>
    <n v="278.67"/>
    <m/>
    <n v="310.15213459473404"/>
    <n v="295.87360985530717"/>
    <n v="0"/>
    <n v="332.7785148000001"/>
    <n v="0"/>
    <n v="393.32282866296583"/>
    <x v="2"/>
  </r>
  <r>
    <s v="Regular"/>
    <x v="5"/>
    <x v="4"/>
    <x v="2"/>
    <x v="1"/>
    <x v="0"/>
    <x v="1"/>
    <x v="1"/>
    <x v="7"/>
    <n v="0"/>
    <n v="0"/>
    <n v="7.1449999999999996"/>
    <n v="6.7163000000000004"/>
    <n v="7.1449999999999996"/>
    <n v="6.7163000000000004"/>
    <n v="0"/>
    <s v="CATIVO"/>
    <n v="0"/>
    <n v="0"/>
    <n v="69"/>
    <n v="105"/>
    <n v="0"/>
    <n v="234.07"/>
    <n v="278.67"/>
    <m/>
    <n v="310.15213459473404"/>
    <n v="295.87360985530717"/>
    <n v="0"/>
    <n v="219.81163799999959"/>
    <n v="0"/>
    <n v="259.80323664573217"/>
    <x v="2"/>
  </r>
  <r>
    <s v="Regular"/>
    <x v="5"/>
    <x v="4"/>
    <x v="2"/>
    <x v="1"/>
    <x v="0"/>
    <x v="1"/>
    <x v="1"/>
    <x v="8"/>
    <n v="0"/>
    <n v="0"/>
    <n v="7.2779999999999996"/>
    <n v="6.8413199999999996"/>
    <n v="7.2779999999999996"/>
    <n v="6.8413199999999996"/>
    <n v="0"/>
    <s v="CATIVO"/>
    <n v="0"/>
    <n v="0"/>
    <n v="69"/>
    <n v="105"/>
    <n v="0"/>
    <n v="234.07"/>
    <n v="278.67"/>
    <m/>
    <n v="310.15213459473404"/>
    <n v="295.87360985530717"/>
    <n v="0"/>
    <n v="223.90330319999998"/>
    <n v="0"/>
    <n v="264.63932208644394"/>
    <x v="2"/>
  </r>
  <r>
    <s v="Regular"/>
    <x v="5"/>
    <x v="4"/>
    <x v="2"/>
    <x v="1"/>
    <x v="0"/>
    <x v="1"/>
    <x v="1"/>
    <x v="9"/>
    <n v="0"/>
    <n v="0"/>
    <n v="8.3040000000000003"/>
    <n v="7.8057600000000003"/>
    <n v="8.3040000000000003"/>
    <n v="7.8057600000000003"/>
    <n v="0"/>
    <s v="CATIVO"/>
    <n v="0"/>
    <n v="0"/>
    <n v="69"/>
    <n v="105"/>
    <n v="0"/>
    <n v="234.07"/>
    <n v="278.67"/>
    <m/>
    <n v="310.15213459473404"/>
    <n v="295.87360985530717"/>
    <n v="0"/>
    <n v="255.4675776"/>
    <n v="0"/>
    <n v="301.94626691478857"/>
    <x v="2"/>
  </r>
  <r>
    <s v="Regular"/>
    <x v="5"/>
    <x v="4"/>
    <x v="2"/>
    <x v="1"/>
    <x v="0"/>
    <x v="1"/>
    <x v="1"/>
    <x v="10"/>
    <n v="0"/>
    <n v="0"/>
    <n v="8.2780000000000005"/>
    <n v="7.78132"/>
    <n v="8.2780000000000005"/>
    <n v="7.78132"/>
    <n v="0"/>
    <s v="CATIVO"/>
    <n v="0"/>
    <n v="0"/>
    <n v="69"/>
    <n v="105"/>
    <n v="0"/>
    <n v="234.07"/>
    <n v="278.67"/>
    <m/>
    <n v="310.15213459473404"/>
    <n v="295.87360985530717"/>
    <n v="0"/>
    <n v="254.66770320000023"/>
    <n v="0"/>
    <n v="301.00086675344676"/>
    <x v="2"/>
  </r>
  <r>
    <s v="PROJETADO"/>
    <x v="5"/>
    <x v="4"/>
    <x v="2"/>
    <x v="1"/>
    <x v="0"/>
    <x v="1"/>
    <x v="1"/>
    <x v="11"/>
    <n v="0"/>
    <n v="0"/>
    <n v="8.2780000000000005"/>
    <n v="7.78132"/>
    <n v="8.2780000000000005"/>
    <n v="7.78132"/>
    <n v="0"/>
    <s v="CATIVO"/>
    <n v="0"/>
    <n v="0"/>
    <n v="69"/>
    <n v="105"/>
    <n v="0"/>
    <n v="234.07"/>
    <n v="278.67"/>
    <m/>
    <n v="310.15213459473404"/>
    <n v="295.87360985530717"/>
    <n v="0"/>
    <n v="254.66770320000023"/>
    <n v="0"/>
    <n v="301.00086675344676"/>
    <x v="2"/>
  </r>
  <r>
    <s v="Regular"/>
    <x v="5"/>
    <x v="4"/>
    <x v="2"/>
    <x v="1"/>
    <x v="0"/>
    <x v="1"/>
    <x v="3"/>
    <x v="6"/>
    <n v="0"/>
    <n v="0"/>
    <n v="0.219"/>
    <n v="0.20585999999999999"/>
    <n v="0.219"/>
    <n v="0.20585999999999999"/>
    <n v="0"/>
    <s v="CATIVO"/>
    <n v="0"/>
    <n v="0"/>
    <n v="82"/>
    <n v="110"/>
    <n v="0"/>
    <n v="491.18"/>
    <n v="278.67"/>
    <m/>
    <n v="603.5165151303197"/>
    <n v="295.87360985530717"/>
    <n v="0"/>
    <n v="10.11582900000001"/>
    <n v="0"/>
    <n v="11.817986242311148"/>
    <x v="2"/>
  </r>
  <r>
    <s v="Regular"/>
    <x v="5"/>
    <x v="4"/>
    <x v="2"/>
    <x v="1"/>
    <x v="0"/>
    <x v="1"/>
    <x v="3"/>
    <x v="7"/>
    <n v="0"/>
    <n v="0"/>
    <n v="5.2999999999999999E-2"/>
    <n v="4.9820000000000003E-2"/>
    <n v="5.2999999999999999E-2"/>
    <n v="4.9820000000000003E-2"/>
    <n v="0"/>
    <s v="CATIVO"/>
    <n v="0"/>
    <n v="0"/>
    <n v="82"/>
    <n v="110"/>
    <n v="0"/>
    <n v="491.18"/>
    <n v="278.67"/>
    <m/>
    <n v="603.5165151303197"/>
    <n v="295.87360985530717"/>
    <n v="0"/>
    <n v="2.4481229999999963"/>
    <n v="0"/>
    <n v="2.8600605974542894"/>
    <x v="2"/>
  </r>
  <r>
    <s v="Regular"/>
    <x v="5"/>
    <x v="4"/>
    <x v="2"/>
    <x v="1"/>
    <x v="0"/>
    <x v="1"/>
    <x v="3"/>
    <x v="8"/>
    <n v="0"/>
    <n v="0"/>
    <n v="1.7000000000000001E-2"/>
    <n v="1.5980000000000001E-2"/>
    <n v="1.7000000000000001E-2"/>
    <n v="1.5980000000000001E-2"/>
    <n v="0"/>
    <s v="CATIVO"/>
    <n v="0"/>
    <n v="0"/>
    <n v="82"/>
    <n v="110"/>
    <n v="0"/>
    <n v="491.18"/>
    <n v="278.67"/>
    <m/>
    <n v="603.5165151303197"/>
    <n v="295.87360985530717"/>
    <n v="0"/>
    <n v="0.78524700000000003"/>
    <n v="0"/>
    <n v="0.91737792748533953"/>
    <x v="2"/>
  </r>
  <r>
    <s v="Regular"/>
    <x v="5"/>
    <x v="4"/>
    <x v="2"/>
    <x v="1"/>
    <x v="0"/>
    <x v="1"/>
    <x v="3"/>
    <x v="9"/>
    <n v="0"/>
    <n v="0"/>
    <n v="0.02"/>
    <n v="1.8800000000000001E-2"/>
    <n v="0.02"/>
    <n v="1.8800000000000001E-2"/>
    <n v="0"/>
    <s v="CATIVO"/>
    <n v="0"/>
    <n v="0"/>
    <n v="82"/>
    <n v="110"/>
    <n v="0"/>
    <n v="491.18"/>
    <n v="278.67"/>
    <m/>
    <n v="603.5165151303197"/>
    <n v="295.87360985530717"/>
    <n v="0"/>
    <n v="0.92381999999999975"/>
    <n v="0"/>
    <n v="1.0792681499827519"/>
    <x v="2"/>
  </r>
  <r>
    <s v="Regular"/>
    <x v="5"/>
    <x v="4"/>
    <x v="2"/>
    <x v="1"/>
    <x v="0"/>
    <x v="1"/>
    <x v="3"/>
    <x v="10"/>
    <n v="0"/>
    <n v="0"/>
    <n v="2.1999999999999999E-2"/>
    <n v="2.068E-2"/>
    <n v="2.1999999999999999E-2"/>
    <n v="2.068E-2"/>
    <n v="0"/>
    <s v="CATIVO"/>
    <n v="0"/>
    <n v="0"/>
    <n v="82"/>
    <n v="110"/>
    <n v="0"/>
    <n v="491.18"/>
    <n v="278.67"/>
    <m/>
    <n v="603.5165151303197"/>
    <n v="295.87360985530717"/>
    <n v="0"/>
    <n v="1.0162019999999987"/>
    <n v="0"/>
    <n v="1.1871949649810261"/>
    <x v="2"/>
  </r>
  <r>
    <s v="PROJETADO"/>
    <x v="5"/>
    <x v="4"/>
    <x v="2"/>
    <x v="1"/>
    <x v="0"/>
    <x v="1"/>
    <x v="3"/>
    <x v="11"/>
    <n v="0"/>
    <n v="0"/>
    <n v="2.1999999999999999E-2"/>
    <n v="2.068E-2"/>
    <n v="2.1999999999999999E-2"/>
    <n v="2.068E-2"/>
    <n v="0"/>
    <s v="CATIVO"/>
    <n v="0"/>
    <n v="0"/>
    <n v="82"/>
    <n v="110"/>
    <n v="0"/>
    <n v="491.18"/>
    <n v="278.67"/>
    <m/>
    <n v="603.5165151303197"/>
    <n v="295.87360985530717"/>
    <n v="0"/>
    <n v="1.0162019999999987"/>
    <n v="0"/>
    <n v="1.1871949649810261"/>
    <x v="2"/>
  </r>
  <r>
    <s v="Regular"/>
    <x v="5"/>
    <x v="4"/>
    <x v="2"/>
    <x v="1"/>
    <x v="0"/>
    <x v="1"/>
    <x v="2"/>
    <x v="6"/>
    <n v="0"/>
    <n v="0"/>
    <n v="0.35699999999999998"/>
    <n v="0.33557999999999999"/>
    <n v="0.35699999999999998"/>
    <n v="0.33557999999999999"/>
    <n v="0"/>
    <s v="CATIVO"/>
    <n v="0"/>
    <n v="0"/>
    <n v="83"/>
    <n v="106"/>
    <n v="0"/>
    <n v="748.29"/>
    <n v="442.86"/>
    <m/>
    <n v="896.88117808773438"/>
    <n v="476.88775168498375"/>
    <n v="0"/>
    <n v="25.514432999999993"/>
    <n v="0"/>
    <n v="29.426130475731615"/>
    <x v="2"/>
  </r>
  <r>
    <s v="Regular"/>
    <x v="5"/>
    <x v="4"/>
    <x v="2"/>
    <x v="1"/>
    <x v="0"/>
    <x v="1"/>
    <x v="2"/>
    <x v="7"/>
    <n v="0"/>
    <n v="0"/>
    <n v="1.7000000000000001E-2"/>
    <n v="1.5980000000000001E-2"/>
    <n v="1.7000000000000001E-2"/>
    <n v="1.5980000000000001E-2"/>
    <n v="0"/>
    <s v="CATIVO"/>
    <n v="0"/>
    <n v="0"/>
    <n v="83"/>
    <n v="106"/>
    <n v="0"/>
    <n v="748.29"/>
    <n v="442.86"/>
    <m/>
    <n v="896.88117808773438"/>
    <n v="476.88775168498375"/>
    <n v="0"/>
    <n v="1.2149730000000001"/>
    <n v="0"/>
    <n v="1.4012443083681725"/>
    <x v="2"/>
  </r>
  <r>
    <s v="Regular"/>
    <x v="5"/>
    <x v="4"/>
    <x v="2"/>
    <x v="1"/>
    <x v="0"/>
    <x v="1"/>
    <x v="2"/>
    <x v="8"/>
    <n v="0"/>
    <n v="0"/>
    <n v="0.03"/>
    <n v="2.8199999999999999E-2"/>
    <n v="0.03"/>
    <n v="2.8199999999999999E-2"/>
    <n v="0"/>
    <s v="CATIVO"/>
    <n v="0"/>
    <n v="0"/>
    <n v="83"/>
    <n v="106"/>
    <n v="0"/>
    <n v="748.29"/>
    <n v="442.86"/>
    <m/>
    <n v="896.88117808773438"/>
    <n v="476.88775168498375"/>
    <n v="0"/>
    <n v="2.1440699999999993"/>
    <n v="0"/>
    <n v="2.4727840735908919"/>
    <x v="2"/>
  </r>
  <r>
    <s v="Regular"/>
    <x v="5"/>
    <x v="4"/>
    <x v="2"/>
    <x v="1"/>
    <x v="0"/>
    <x v="1"/>
    <x v="2"/>
    <x v="9"/>
    <n v="0"/>
    <n v="0"/>
    <n v="1.6E-2"/>
    <n v="1.504E-2"/>
    <n v="1.6E-2"/>
    <n v="1.504E-2"/>
    <n v="0"/>
    <s v="CATIVO"/>
    <n v="0"/>
    <n v="0"/>
    <n v="83"/>
    <n v="106"/>
    <n v="0"/>
    <n v="748.29"/>
    <n v="442.86"/>
    <m/>
    <n v="896.88117808773438"/>
    <n v="476.88775168498375"/>
    <n v="0"/>
    <n v="1.143504000000001"/>
    <n v="0"/>
    <n v="1.3188181725818104"/>
    <x v="2"/>
  </r>
  <r>
    <s v="Regular"/>
    <x v="5"/>
    <x v="4"/>
    <x v="2"/>
    <x v="1"/>
    <x v="0"/>
    <x v="1"/>
    <x v="2"/>
    <x v="10"/>
    <n v="0"/>
    <n v="0"/>
    <n v="3.4000000000000002E-2"/>
    <n v="3.1960000000000002E-2"/>
    <n v="3.4000000000000002E-2"/>
    <n v="3.1960000000000002E-2"/>
    <n v="0"/>
    <s v="CATIVO"/>
    <n v="0"/>
    <n v="0"/>
    <n v="83"/>
    <n v="106"/>
    <n v="0"/>
    <n v="748.29"/>
    <n v="442.86"/>
    <m/>
    <n v="896.88117808773438"/>
    <n v="476.88775168498375"/>
    <n v="0"/>
    <n v="2.4299460000000002"/>
    <n v="0"/>
    <n v="2.802488616736345"/>
    <x v="2"/>
  </r>
  <r>
    <s v="PROJETADO"/>
    <x v="5"/>
    <x v="4"/>
    <x v="2"/>
    <x v="1"/>
    <x v="0"/>
    <x v="1"/>
    <x v="2"/>
    <x v="11"/>
    <n v="0"/>
    <n v="0"/>
    <n v="3.4000000000000002E-2"/>
    <n v="3.1960000000000002E-2"/>
    <n v="3.4000000000000002E-2"/>
    <n v="3.1960000000000002E-2"/>
    <n v="0"/>
    <s v="CATIVO"/>
    <n v="0"/>
    <n v="0"/>
    <n v="83"/>
    <n v="106"/>
    <n v="0"/>
    <n v="748.29"/>
    <n v="442.86"/>
    <m/>
    <n v="896.88117808773438"/>
    <n v="476.88775168498375"/>
    <n v="0"/>
    <n v="2.4299460000000002"/>
    <n v="0"/>
    <n v="2.802488616736345"/>
    <x v="2"/>
  </r>
  <r>
    <s v="Regular"/>
    <x v="5"/>
    <x v="3"/>
    <x v="2"/>
    <x v="1"/>
    <x v="0"/>
    <x v="1"/>
    <x v="0"/>
    <x v="0"/>
    <n v="0"/>
    <n v="0"/>
    <n v="114.953"/>
    <n v="108.05582"/>
    <n v="114.953"/>
    <n v="108.05582"/>
    <n v="122"/>
    <s v="CATIVO"/>
    <n v="0"/>
    <n v="0"/>
    <n v="63"/>
    <n v="91"/>
    <n v="0"/>
    <n v="300.3"/>
    <n v="292.36"/>
    <m/>
    <n v="385.7156580869115"/>
    <n v="310.95812167444689"/>
    <n v="0"/>
    <n v="4087.6826988000034"/>
    <n v="0"/>
    <n v="4805.0844602944499"/>
    <x v="2"/>
  </r>
  <r>
    <s v="Regular"/>
    <x v="5"/>
    <x v="3"/>
    <x v="2"/>
    <x v="1"/>
    <x v="0"/>
    <x v="1"/>
    <x v="0"/>
    <x v="1"/>
    <n v="0"/>
    <n v="0"/>
    <n v="122.25"/>
    <n v="114.91499999999999"/>
    <n v="122.25"/>
    <n v="114.91499999999999"/>
    <n v="120"/>
    <s v="CATIVO"/>
    <n v="0"/>
    <n v="0"/>
    <n v="63"/>
    <n v="91"/>
    <n v="0"/>
    <n v="300.3"/>
    <n v="292.36"/>
    <m/>
    <n v="385.7156580869115"/>
    <n v="310.95812167444689"/>
    <n v="0"/>
    <n v="4347.1611000000048"/>
    <n v="0"/>
    <n v="5110.1021745495691"/>
    <x v="2"/>
  </r>
  <r>
    <s v="Regular"/>
    <x v="5"/>
    <x v="3"/>
    <x v="2"/>
    <x v="1"/>
    <x v="0"/>
    <x v="1"/>
    <x v="0"/>
    <x v="2"/>
    <n v="0"/>
    <n v="0"/>
    <n v="137.76900000000001"/>
    <n v="129.50286"/>
    <n v="137.76900000000001"/>
    <n v="129.50286"/>
    <n v="120"/>
    <s v="CATIVO"/>
    <n v="0"/>
    <n v="0"/>
    <n v="63"/>
    <n v="91"/>
    <n v="0"/>
    <n v="300.3"/>
    <n v="292.36"/>
    <m/>
    <n v="385.7156580869115"/>
    <n v="310.95812167444689"/>
    <n v="0"/>
    <n v="4899.0105324000042"/>
    <n v="0"/>
    <n v="5758.8029978365594"/>
    <x v="2"/>
  </r>
  <r>
    <s v="Regular"/>
    <x v="5"/>
    <x v="3"/>
    <x v="2"/>
    <x v="1"/>
    <x v="0"/>
    <x v="1"/>
    <x v="0"/>
    <x v="3"/>
    <n v="0"/>
    <n v="0"/>
    <n v="125.75700000000001"/>
    <n v="118.21158"/>
    <n v="125.75700000000001"/>
    <n v="118.21158"/>
    <n v="120"/>
    <s v="CATIVO"/>
    <n v="0"/>
    <n v="0"/>
    <n v="63"/>
    <n v="91"/>
    <n v="0"/>
    <n v="300.3"/>
    <n v="292.36"/>
    <m/>
    <n v="385.7156580869115"/>
    <n v="310.95812167444689"/>
    <n v="0"/>
    <n v="4471.8686172000052"/>
    <n v="0"/>
    <n v="5256.6962712869536"/>
    <x v="2"/>
  </r>
  <r>
    <s v="Regular"/>
    <x v="5"/>
    <x v="3"/>
    <x v="2"/>
    <x v="1"/>
    <x v="0"/>
    <x v="1"/>
    <x v="0"/>
    <x v="4"/>
    <n v="0"/>
    <n v="0"/>
    <n v="128.351"/>
    <n v="120.64994"/>
    <n v="128.351"/>
    <n v="120.64994"/>
    <n v="121"/>
    <s v="CATIVO"/>
    <n v="0"/>
    <n v="0"/>
    <n v="63"/>
    <n v="91"/>
    <n v="0"/>
    <n v="300.3"/>
    <n v="292.36"/>
    <m/>
    <n v="385.7156580869115"/>
    <n v="310.95812167444689"/>
    <n v="0"/>
    <n v="4564.1102195999993"/>
    <n v="0"/>
    <n v="5365.1265783690051"/>
    <x v="2"/>
  </r>
  <r>
    <s v="Regular"/>
    <x v="5"/>
    <x v="3"/>
    <x v="2"/>
    <x v="1"/>
    <x v="0"/>
    <x v="1"/>
    <x v="0"/>
    <x v="5"/>
    <n v="0"/>
    <n v="0"/>
    <n v="109.29300000000001"/>
    <n v="102.73542"/>
    <n v="109.29300000000001"/>
    <n v="102.73542"/>
    <n v="122"/>
    <s v="CATIVO"/>
    <n v="0"/>
    <n v="0"/>
    <n v="63"/>
    <n v="91"/>
    <n v="0"/>
    <n v="300.3"/>
    <n v="292.36"/>
    <m/>
    <n v="385.7156580869115"/>
    <n v="310.95812167444689"/>
    <n v="0"/>
    <n v="3886.4153628000013"/>
    <n v="0"/>
    <n v="4568.4940446874898"/>
    <x v="2"/>
  </r>
  <r>
    <s v="Regular"/>
    <x v="5"/>
    <x v="3"/>
    <x v="2"/>
    <x v="1"/>
    <x v="0"/>
    <x v="1"/>
    <x v="0"/>
    <x v="6"/>
    <n v="0"/>
    <n v="0"/>
    <n v="105.45"/>
    <n v="99.123000000000005"/>
    <n v="105.45"/>
    <n v="99.123000000000005"/>
    <n v="121"/>
    <s v="CATIVO"/>
    <n v="0"/>
    <n v="0"/>
    <n v="63"/>
    <n v="91"/>
    <n v="0"/>
    <n v="300.3"/>
    <n v="292.36"/>
    <m/>
    <n v="385.7156580869115"/>
    <n v="310.95812167444689"/>
    <n v="0"/>
    <n v="3749.7598199999993"/>
    <n v="0"/>
    <n v="4407.8550045501133"/>
    <x v="2"/>
  </r>
  <r>
    <s v="Regular"/>
    <x v="5"/>
    <x v="3"/>
    <x v="2"/>
    <x v="1"/>
    <x v="0"/>
    <x v="1"/>
    <x v="0"/>
    <x v="7"/>
    <n v="0"/>
    <n v="0"/>
    <n v="112.964"/>
    <n v="106.18616"/>
    <n v="112.964"/>
    <n v="106.18616"/>
    <n v="122"/>
    <s v="CATIVO"/>
    <n v="0"/>
    <n v="0"/>
    <n v="63"/>
    <n v="91"/>
    <n v="0"/>
    <n v="300.3"/>
    <n v="292.36"/>
    <m/>
    <n v="385.7156580869115"/>
    <n v="310.95812167444689"/>
    <n v="0"/>
    <n v="4016.9546543999986"/>
    <n v="0"/>
    <n v="4721.9434114177238"/>
    <x v="2"/>
  </r>
  <r>
    <s v="Regular"/>
    <x v="5"/>
    <x v="3"/>
    <x v="2"/>
    <x v="1"/>
    <x v="0"/>
    <x v="1"/>
    <x v="0"/>
    <x v="8"/>
    <n v="0"/>
    <n v="0"/>
    <n v="130.761"/>
    <n v="122.91534"/>
    <n v="130.761"/>
    <n v="122.91534"/>
    <n v="122"/>
    <s v="CATIVO"/>
    <n v="0"/>
    <n v="0"/>
    <n v="63"/>
    <n v="91"/>
    <n v="0"/>
    <n v="300.3"/>
    <n v="292.36"/>
    <m/>
    <n v="385.7156580869115"/>
    <n v="310.95812167444689"/>
    <n v="0"/>
    <n v="4649.8088555999975"/>
    <n v="0"/>
    <n v="5465.8656069224962"/>
    <x v="2"/>
  </r>
  <r>
    <s v="Regular"/>
    <x v="5"/>
    <x v="3"/>
    <x v="2"/>
    <x v="1"/>
    <x v="0"/>
    <x v="1"/>
    <x v="0"/>
    <x v="9"/>
    <n v="0"/>
    <n v="0"/>
    <n v="112.88500000000001"/>
    <n v="106.11190000000001"/>
    <n v="112.88500000000001"/>
    <n v="106.11190000000001"/>
    <n v="122"/>
    <s v="CATIVO"/>
    <n v="0"/>
    <n v="0"/>
    <n v="63"/>
    <n v="91"/>
    <n v="0"/>
    <n v="300.3"/>
    <n v="292.36"/>
    <m/>
    <n v="385.7156580869115"/>
    <n v="310.95812167444689"/>
    <n v="0"/>
    <n v="4014.1454459999995"/>
    <n v="0"/>
    <n v="4718.6411777016565"/>
    <x v="2"/>
  </r>
  <r>
    <s v="Regular"/>
    <x v="5"/>
    <x v="3"/>
    <x v="2"/>
    <x v="1"/>
    <x v="0"/>
    <x v="1"/>
    <x v="0"/>
    <x v="10"/>
    <n v="0"/>
    <n v="0"/>
    <n v="129.29"/>
    <n v="121.5326"/>
    <n v="129.29"/>
    <n v="121.5326"/>
    <n v="122"/>
    <s v="CATIVO"/>
    <n v="0"/>
    <n v="0"/>
    <n v="63"/>
    <n v="91"/>
    <n v="0"/>
    <n v="300.3"/>
    <n v="292.36"/>
    <m/>
    <n v="385.7156580869115"/>
    <n v="310.95812167444689"/>
    <n v="0"/>
    <n v="4597.5006839999942"/>
    <n v="0"/>
    <n v="5404.3771791207546"/>
    <x v="2"/>
  </r>
  <r>
    <s v="PROJETADO"/>
    <x v="5"/>
    <x v="3"/>
    <x v="2"/>
    <x v="1"/>
    <x v="0"/>
    <x v="1"/>
    <x v="0"/>
    <x v="11"/>
    <n v="0"/>
    <n v="0"/>
    <n v="129.29"/>
    <n v="121.5326"/>
    <n v="129.29"/>
    <n v="121.5326"/>
    <n v="122"/>
    <s v="CATIVO"/>
    <n v="0"/>
    <n v="0"/>
    <n v="63"/>
    <n v="91"/>
    <n v="0"/>
    <n v="300.3"/>
    <n v="292.36"/>
    <m/>
    <n v="385.7156580869115"/>
    <n v="310.95812167444689"/>
    <n v="0"/>
    <n v="4597.5006839999942"/>
    <n v="0"/>
    <n v="5404.3771791207546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6">
  <r>
    <s v="Regular"/>
    <x v="0"/>
    <x v="0"/>
    <x v="0"/>
    <x v="0"/>
    <x v="0"/>
    <x v="0"/>
    <x v="0"/>
    <x v="0"/>
    <n v="20000"/>
    <n v="20000"/>
    <n v="0"/>
    <n v="0"/>
    <n v="0"/>
    <n v="0"/>
    <n v="0"/>
    <x v="0"/>
    <n v="0"/>
    <n v="19"/>
    <n v="0"/>
    <n v="0"/>
    <n v="6.93"/>
    <n v="0"/>
    <n v="0"/>
    <n v="7.8487309701282237"/>
    <n v="87.609211999145103"/>
    <m/>
    <n v="138600"/>
    <n v="0"/>
    <n v="0"/>
    <n v="156974.61940256448"/>
    <n v="0"/>
    <n v="0"/>
  </r>
  <r>
    <s v="Regular"/>
    <x v="0"/>
    <x v="0"/>
    <x v="0"/>
    <x v="0"/>
    <x v="0"/>
    <x v="0"/>
    <x v="0"/>
    <x v="1"/>
    <n v="20000"/>
    <n v="20000"/>
    <n v="0"/>
    <n v="0"/>
    <n v="0"/>
    <n v="0"/>
    <n v="0"/>
    <x v="0"/>
    <n v="0"/>
    <n v="19"/>
    <n v="0"/>
    <n v="0"/>
    <n v="6.93"/>
    <n v="0"/>
    <n v="0"/>
    <n v="7.8487309701282237"/>
    <n v="87.609211999145103"/>
    <m/>
    <n v="138600"/>
    <n v="0"/>
    <n v="0"/>
    <n v="156974.61940256448"/>
    <n v="0"/>
    <n v="0"/>
  </r>
  <r>
    <s v="Regular"/>
    <x v="0"/>
    <x v="0"/>
    <x v="0"/>
    <x v="0"/>
    <x v="0"/>
    <x v="0"/>
    <x v="0"/>
    <x v="2"/>
    <n v="20000"/>
    <n v="20000"/>
    <n v="0"/>
    <n v="0"/>
    <n v="0"/>
    <n v="0"/>
    <n v="0"/>
    <x v="0"/>
    <n v="0"/>
    <n v="19"/>
    <n v="0"/>
    <n v="0"/>
    <n v="6.93"/>
    <n v="0"/>
    <n v="0"/>
    <n v="7.8487309701282237"/>
    <n v="87.609211999145103"/>
    <m/>
    <n v="138600"/>
    <n v="0"/>
    <n v="0"/>
    <n v="156974.61940256448"/>
    <n v="0"/>
    <n v="0"/>
  </r>
  <r>
    <s v="Regular"/>
    <x v="0"/>
    <x v="0"/>
    <x v="0"/>
    <x v="0"/>
    <x v="0"/>
    <x v="0"/>
    <x v="0"/>
    <x v="3"/>
    <n v="20000"/>
    <n v="20000"/>
    <n v="0"/>
    <n v="0"/>
    <n v="0"/>
    <n v="0"/>
    <n v="0"/>
    <x v="0"/>
    <n v="0"/>
    <n v="19"/>
    <n v="0"/>
    <n v="0"/>
    <n v="6.93"/>
    <n v="0"/>
    <n v="0"/>
    <n v="7.8487309701282237"/>
    <n v="87.609211999145103"/>
    <m/>
    <n v="138600"/>
    <n v="0"/>
    <n v="0"/>
    <n v="156974.61940256448"/>
    <n v="0"/>
    <n v="0"/>
  </r>
  <r>
    <s v="Regular"/>
    <x v="0"/>
    <x v="0"/>
    <x v="0"/>
    <x v="0"/>
    <x v="0"/>
    <x v="0"/>
    <x v="0"/>
    <x v="4"/>
    <n v="20000"/>
    <n v="20000"/>
    <n v="0"/>
    <n v="0"/>
    <n v="0"/>
    <n v="0"/>
    <n v="0"/>
    <x v="0"/>
    <n v="0"/>
    <n v="19"/>
    <n v="0"/>
    <n v="0"/>
    <n v="6.93"/>
    <n v="0"/>
    <n v="0"/>
    <n v="7.8487309701282237"/>
    <n v="87.609211999145103"/>
    <m/>
    <n v="138600"/>
    <n v="0"/>
    <n v="0"/>
    <n v="156974.61940256448"/>
    <n v="0"/>
    <n v="0"/>
  </r>
  <r>
    <s v="Regular"/>
    <x v="0"/>
    <x v="0"/>
    <x v="0"/>
    <x v="0"/>
    <x v="0"/>
    <x v="0"/>
    <x v="0"/>
    <x v="5"/>
    <n v="20000"/>
    <n v="20000"/>
    <n v="0"/>
    <n v="0"/>
    <n v="0"/>
    <n v="0"/>
    <n v="0"/>
    <x v="0"/>
    <n v="0"/>
    <n v="19"/>
    <n v="0"/>
    <n v="0"/>
    <n v="6.93"/>
    <n v="0"/>
    <n v="0"/>
    <n v="7.8487309701282237"/>
    <n v="87.609211999145103"/>
    <m/>
    <n v="138600"/>
    <n v="0"/>
    <n v="0"/>
    <n v="156974.61940256448"/>
    <n v="0"/>
    <n v="0"/>
  </r>
  <r>
    <s v="Regular"/>
    <x v="0"/>
    <x v="0"/>
    <x v="0"/>
    <x v="0"/>
    <x v="0"/>
    <x v="0"/>
    <x v="0"/>
    <x v="6"/>
    <n v="20000"/>
    <n v="20000"/>
    <n v="0"/>
    <n v="0"/>
    <n v="0"/>
    <n v="0"/>
    <n v="0"/>
    <x v="0"/>
    <n v="0"/>
    <n v="19"/>
    <n v="0"/>
    <n v="0"/>
    <n v="6.93"/>
    <n v="0"/>
    <n v="0"/>
    <n v="7.8487309701282237"/>
    <n v="87.609211999145103"/>
    <m/>
    <n v="138600"/>
    <n v="0"/>
    <n v="0"/>
    <n v="156974.61940256448"/>
    <n v="0"/>
    <n v="0"/>
  </r>
  <r>
    <s v="Regular"/>
    <x v="0"/>
    <x v="0"/>
    <x v="0"/>
    <x v="0"/>
    <x v="0"/>
    <x v="0"/>
    <x v="0"/>
    <x v="7"/>
    <n v="20000"/>
    <n v="20000"/>
    <n v="0"/>
    <n v="0"/>
    <n v="0"/>
    <n v="0"/>
    <n v="0"/>
    <x v="0"/>
    <n v="0"/>
    <n v="19"/>
    <n v="0"/>
    <n v="0"/>
    <n v="6.93"/>
    <n v="0"/>
    <n v="0"/>
    <n v="7.8487309701282237"/>
    <n v="87.609211999145103"/>
    <m/>
    <n v="138600"/>
    <n v="0"/>
    <n v="0"/>
    <n v="156974.61940256448"/>
    <n v="0"/>
    <n v="0"/>
  </r>
  <r>
    <s v="Regular"/>
    <x v="0"/>
    <x v="0"/>
    <x v="0"/>
    <x v="0"/>
    <x v="0"/>
    <x v="0"/>
    <x v="0"/>
    <x v="8"/>
    <n v="20000"/>
    <n v="20000"/>
    <n v="0"/>
    <n v="0"/>
    <n v="0"/>
    <n v="0"/>
    <n v="0"/>
    <x v="0"/>
    <n v="0"/>
    <n v="19"/>
    <n v="0"/>
    <n v="0"/>
    <n v="6.93"/>
    <n v="0"/>
    <n v="0"/>
    <n v="7.8487309701282237"/>
    <n v="87.609211999145103"/>
    <m/>
    <n v="138600"/>
    <n v="0"/>
    <n v="0"/>
    <n v="156974.61940256448"/>
    <n v="0"/>
    <n v="0"/>
  </r>
  <r>
    <s v="Regular"/>
    <x v="0"/>
    <x v="0"/>
    <x v="0"/>
    <x v="0"/>
    <x v="0"/>
    <x v="0"/>
    <x v="0"/>
    <x v="9"/>
    <n v="20000"/>
    <n v="20000"/>
    <n v="0"/>
    <n v="0"/>
    <n v="0"/>
    <n v="0"/>
    <n v="0"/>
    <x v="0"/>
    <n v="0"/>
    <n v="19"/>
    <n v="0"/>
    <n v="0"/>
    <n v="6.93"/>
    <n v="0"/>
    <n v="0"/>
    <n v="7.8487309701282237"/>
    <n v="87.609211999145103"/>
    <m/>
    <n v="138600"/>
    <n v="0"/>
    <n v="0"/>
    <n v="156974.61940256448"/>
    <n v="0"/>
    <n v="0"/>
  </r>
  <r>
    <s v="Regular"/>
    <x v="0"/>
    <x v="0"/>
    <x v="0"/>
    <x v="0"/>
    <x v="0"/>
    <x v="0"/>
    <x v="0"/>
    <x v="10"/>
    <n v="20000"/>
    <n v="20000"/>
    <n v="0"/>
    <n v="0"/>
    <n v="0"/>
    <n v="0"/>
    <n v="0"/>
    <x v="0"/>
    <n v="0"/>
    <n v="19"/>
    <n v="0"/>
    <n v="0"/>
    <n v="6.93"/>
    <n v="0"/>
    <n v="0"/>
    <n v="7.8487309701282237"/>
    <n v="87.609211999145103"/>
    <m/>
    <n v="138600"/>
    <n v="0"/>
    <n v="0"/>
    <n v="156974.61940256448"/>
    <n v="0"/>
    <n v="0"/>
  </r>
  <r>
    <s v="PROJETADO"/>
    <x v="0"/>
    <x v="0"/>
    <x v="0"/>
    <x v="0"/>
    <x v="0"/>
    <x v="0"/>
    <x v="0"/>
    <x v="11"/>
    <n v="20000"/>
    <n v="20000"/>
    <n v="0"/>
    <n v="0"/>
    <n v="0"/>
    <n v="0"/>
    <n v="0"/>
    <x v="0"/>
    <n v="0"/>
    <n v="19"/>
    <n v="0"/>
    <n v="0"/>
    <n v="6.93"/>
    <n v="0"/>
    <n v="0"/>
    <n v="7.8487309701282237"/>
    <n v="87.609211999145103"/>
    <m/>
    <n v="138600"/>
    <n v="0"/>
    <n v="0"/>
    <n v="156974.61940256448"/>
    <n v="0"/>
    <n v="0"/>
  </r>
  <r>
    <s v="Regular"/>
    <x v="0"/>
    <x v="0"/>
    <x v="0"/>
    <x v="0"/>
    <x v="0"/>
    <x v="0"/>
    <x v="1"/>
    <x v="0"/>
    <n v="0"/>
    <n v="0"/>
    <n v="10131.893"/>
    <n v="10131.893"/>
    <n v="0"/>
    <n v="0"/>
    <n v="2"/>
    <x v="0"/>
    <n v="0"/>
    <n v="0"/>
    <n v="5"/>
    <n v="0"/>
    <n v="0"/>
    <n v="53.89"/>
    <n v="0"/>
    <m/>
    <n v="87.609211999145103"/>
    <m/>
    <n v="0"/>
    <n v="546007.71377000003"/>
    <n v="0"/>
    <n v="0"/>
    <n v="887647.16178965429"/>
    <n v="0"/>
  </r>
  <r>
    <s v="Regular"/>
    <x v="0"/>
    <x v="0"/>
    <x v="0"/>
    <x v="0"/>
    <x v="0"/>
    <x v="0"/>
    <x v="1"/>
    <x v="1"/>
    <n v="0"/>
    <n v="0"/>
    <n v="10632.441000000001"/>
    <n v="10632.441000000001"/>
    <n v="0"/>
    <n v="0"/>
    <n v="2"/>
    <x v="0"/>
    <n v="0"/>
    <n v="0"/>
    <n v="5"/>
    <n v="0"/>
    <n v="0"/>
    <n v="53.89"/>
    <n v="0"/>
    <m/>
    <n v="87.609211999145103"/>
    <m/>
    <n v="0"/>
    <n v="572982.24549"/>
    <n v="0"/>
    <n v="0"/>
    <n v="931499.77763740241"/>
    <n v="0"/>
  </r>
  <r>
    <s v="Regular"/>
    <x v="0"/>
    <x v="0"/>
    <x v="0"/>
    <x v="0"/>
    <x v="0"/>
    <x v="0"/>
    <x v="1"/>
    <x v="2"/>
    <n v="0"/>
    <n v="0"/>
    <n v="9972.9570000000003"/>
    <n v="9972.9570000000003"/>
    <n v="0"/>
    <n v="0"/>
    <n v="2"/>
    <x v="0"/>
    <n v="0"/>
    <n v="0"/>
    <n v="5"/>
    <n v="0"/>
    <n v="0"/>
    <n v="53.89"/>
    <n v="0"/>
    <m/>
    <n v="87.609211999145103"/>
    <m/>
    <n v="0"/>
    <n v="537442.65272999997"/>
    <n v="0"/>
    <n v="0"/>
    <n v="873722.90407135815"/>
    <n v="0"/>
  </r>
  <r>
    <s v="Regular"/>
    <x v="0"/>
    <x v="0"/>
    <x v="0"/>
    <x v="0"/>
    <x v="0"/>
    <x v="0"/>
    <x v="1"/>
    <x v="3"/>
    <n v="0"/>
    <n v="0"/>
    <n v="9123.6839999999993"/>
    <n v="9123.6839999999993"/>
    <n v="0"/>
    <n v="0"/>
    <n v="2"/>
    <x v="0"/>
    <n v="0"/>
    <n v="0"/>
    <n v="5"/>
    <n v="0"/>
    <n v="0"/>
    <n v="53.89"/>
    <n v="0"/>
    <m/>
    <n v="87.609211999145103"/>
    <m/>
    <n v="0"/>
    <n v="491675.33075999998"/>
    <n v="0"/>
    <n v="0"/>
    <n v="799318.76576920808"/>
    <n v="0"/>
  </r>
  <r>
    <s v="Regular"/>
    <x v="0"/>
    <x v="0"/>
    <x v="0"/>
    <x v="0"/>
    <x v="0"/>
    <x v="0"/>
    <x v="1"/>
    <x v="4"/>
    <n v="0"/>
    <n v="0"/>
    <n v="9503.9590000000007"/>
    <n v="9503.9590000000007"/>
    <n v="0"/>
    <n v="0"/>
    <n v="2"/>
    <x v="0"/>
    <n v="0"/>
    <n v="0"/>
    <n v="5"/>
    <n v="0"/>
    <n v="0"/>
    <n v="53.89"/>
    <n v="0"/>
    <m/>
    <n v="87.609211999145103"/>
    <m/>
    <n v="0"/>
    <n v="512168.35051000002"/>
    <n v="0"/>
    <n v="0"/>
    <n v="832634.35886218317"/>
    <n v="0"/>
  </r>
  <r>
    <s v="Regular"/>
    <x v="0"/>
    <x v="0"/>
    <x v="0"/>
    <x v="0"/>
    <x v="0"/>
    <x v="0"/>
    <x v="1"/>
    <x v="5"/>
    <n v="0"/>
    <n v="0"/>
    <n v="10428.375"/>
    <n v="10428.375"/>
    <n v="0"/>
    <n v="0"/>
    <n v="2"/>
    <x v="0"/>
    <n v="0"/>
    <n v="0"/>
    <n v="5"/>
    <n v="0"/>
    <n v="0"/>
    <n v="53.89"/>
    <n v="0"/>
    <m/>
    <n v="87.609211999145103"/>
    <m/>
    <n v="0"/>
    <n v="561985.12875000003"/>
    <n v="0"/>
    <n v="0"/>
    <n v="913621.71618158487"/>
    <n v="0"/>
  </r>
  <r>
    <s v="Regular"/>
    <x v="0"/>
    <x v="0"/>
    <x v="0"/>
    <x v="0"/>
    <x v="0"/>
    <x v="0"/>
    <x v="1"/>
    <x v="6"/>
    <n v="0"/>
    <n v="0"/>
    <n v="10358.606"/>
    <n v="10358.606"/>
    <n v="0"/>
    <n v="0"/>
    <n v="2"/>
    <x v="0"/>
    <n v="0"/>
    <n v="0"/>
    <n v="5"/>
    <n v="0"/>
    <n v="0"/>
    <n v="53.89"/>
    <n v="0"/>
    <m/>
    <n v="87.609211999145103"/>
    <m/>
    <n v="0"/>
    <n v="558225.27734000003"/>
    <n v="0"/>
    <n v="0"/>
    <n v="907509.30906961649"/>
    <n v="0"/>
  </r>
  <r>
    <s v="Regular"/>
    <x v="0"/>
    <x v="0"/>
    <x v="0"/>
    <x v="0"/>
    <x v="0"/>
    <x v="0"/>
    <x v="1"/>
    <x v="7"/>
    <n v="0"/>
    <n v="0"/>
    <n v="8996.8760000000002"/>
    <n v="8996.8760000000002"/>
    <n v="0"/>
    <n v="0"/>
    <n v="2"/>
    <x v="0"/>
    <n v="0"/>
    <n v="0"/>
    <n v="5"/>
    <n v="0"/>
    <n v="0"/>
    <n v="53.89"/>
    <n v="0"/>
    <m/>
    <n v="87.609211999145103"/>
    <m/>
    <n v="0"/>
    <n v="484841.64764000004"/>
    <n v="0"/>
    <n v="0"/>
    <n v="788209.21681402065"/>
    <n v="0"/>
  </r>
  <r>
    <s v="Regular"/>
    <x v="0"/>
    <x v="0"/>
    <x v="0"/>
    <x v="0"/>
    <x v="0"/>
    <x v="0"/>
    <x v="1"/>
    <x v="8"/>
    <n v="0"/>
    <n v="0"/>
    <n v="8481.1679999999997"/>
    <n v="8481.1679999999997"/>
    <n v="0"/>
    <n v="0"/>
    <n v="2"/>
    <x v="0"/>
    <n v="0"/>
    <n v="0"/>
    <n v="5"/>
    <n v="0"/>
    <n v="0"/>
    <n v="53.89"/>
    <n v="0"/>
    <m/>
    <n v="87.609211999145103"/>
    <m/>
    <n v="0"/>
    <n v="457050.14351999998"/>
    <n v="0"/>
    <n v="0"/>
    <n v="743028.44531236542"/>
    <n v="0"/>
  </r>
  <r>
    <s v="Regular"/>
    <x v="0"/>
    <x v="0"/>
    <x v="0"/>
    <x v="0"/>
    <x v="0"/>
    <x v="0"/>
    <x v="1"/>
    <x v="9"/>
    <n v="0"/>
    <n v="0"/>
    <n v="9729.9449999999997"/>
    <n v="9729.9449999999997"/>
    <n v="0"/>
    <n v="0"/>
    <n v="2"/>
    <x v="0"/>
    <n v="0"/>
    <n v="0"/>
    <n v="5"/>
    <n v="0"/>
    <n v="0"/>
    <n v="53.89"/>
    <n v="0"/>
    <m/>
    <n v="87.609211999145103"/>
    <m/>
    <n v="0"/>
    <n v="524346.73604999995"/>
    <n v="0"/>
    <n v="0"/>
    <n v="852432.8142450219"/>
    <n v="0"/>
  </r>
  <r>
    <s v="Regular"/>
    <x v="0"/>
    <x v="0"/>
    <x v="0"/>
    <x v="0"/>
    <x v="0"/>
    <x v="0"/>
    <x v="1"/>
    <x v="10"/>
    <n v="0"/>
    <n v="0"/>
    <n v="10177.634"/>
    <n v="10177.634"/>
    <n v="0"/>
    <n v="0"/>
    <n v="2"/>
    <x v="0"/>
    <n v="0"/>
    <n v="0"/>
    <n v="5"/>
    <n v="0"/>
    <n v="0"/>
    <n v="53.89"/>
    <n v="0"/>
    <m/>
    <n v="87.609211999145103"/>
    <m/>
    <n v="0"/>
    <n v="548472.69626"/>
    <n v="0"/>
    <n v="0"/>
    <n v="891654.49475570722"/>
    <n v="0"/>
  </r>
  <r>
    <s v="PROJETADO"/>
    <x v="0"/>
    <x v="0"/>
    <x v="0"/>
    <x v="0"/>
    <x v="0"/>
    <x v="0"/>
    <x v="1"/>
    <x v="11"/>
    <n v="0"/>
    <n v="0"/>
    <n v="10177.634"/>
    <n v="10177.634"/>
    <n v="0"/>
    <n v="0"/>
    <n v="2"/>
    <x v="0"/>
    <n v="0"/>
    <n v="0"/>
    <n v="5"/>
    <n v="0"/>
    <n v="0"/>
    <n v="53.89"/>
    <n v="0"/>
    <m/>
    <n v="87.609211999145103"/>
    <m/>
    <n v="0"/>
    <n v="548472.69626"/>
    <n v="0"/>
    <n v="0"/>
    <n v="891654.49475570722"/>
    <n v="0"/>
  </r>
  <r>
    <s v="Regular"/>
    <x v="0"/>
    <x v="0"/>
    <x v="0"/>
    <x v="0"/>
    <x v="0"/>
    <x v="0"/>
    <x v="2"/>
    <x v="0"/>
    <n v="3738"/>
    <n v="3738"/>
    <n v="0"/>
    <n v="0"/>
    <n v="0"/>
    <n v="0"/>
    <n v="0"/>
    <x v="0"/>
    <n v="0"/>
    <n v="16"/>
    <n v="0"/>
    <n v="0"/>
    <n v="18.52"/>
    <n v="0"/>
    <n v="0"/>
    <n v="21.062137082578289"/>
    <n v="87.609211999145103"/>
    <m/>
    <n v="69227.759999999995"/>
    <n v="0"/>
    <n v="0"/>
    <n v="78730.268414677645"/>
    <n v="0"/>
    <n v="0"/>
  </r>
  <r>
    <s v="Regular"/>
    <x v="0"/>
    <x v="0"/>
    <x v="0"/>
    <x v="0"/>
    <x v="0"/>
    <x v="0"/>
    <x v="2"/>
    <x v="1"/>
    <n v="3883"/>
    <n v="3883"/>
    <n v="0"/>
    <n v="0"/>
    <n v="0"/>
    <n v="0"/>
    <n v="0"/>
    <x v="0"/>
    <n v="0"/>
    <n v="16"/>
    <n v="0"/>
    <n v="0"/>
    <n v="18.52"/>
    <n v="0"/>
    <n v="0"/>
    <n v="21.062137082578289"/>
    <n v="87.609211999145103"/>
    <m/>
    <n v="71913.16"/>
    <n v="0"/>
    <n v="0"/>
    <n v="81784.278291651499"/>
    <n v="0"/>
    <n v="0"/>
  </r>
  <r>
    <s v="Regular"/>
    <x v="0"/>
    <x v="0"/>
    <x v="0"/>
    <x v="0"/>
    <x v="0"/>
    <x v="0"/>
    <x v="2"/>
    <x v="2"/>
    <n v="3945"/>
    <n v="3945"/>
    <n v="0"/>
    <n v="0"/>
    <n v="0"/>
    <n v="0"/>
    <n v="0"/>
    <x v="0"/>
    <n v="0"/>
    <n v="16"/>
    <n v="0"/>
    <n v="0"/>
    <n v="18.52"/>
    <n v="0"/>
    <n v="0"/>
    <n v="21.062137082578289"/>
    <n v="87.609211999145103"/>
    <m/>
    <n v="73061.399999999994"/>
    <n v="0"/>
    <n v="0"/>
    <n v="83090.130790771349"/>
    <n v="0"/>
    <n v="0"/>
  </r>
  <r>
    <s v="Regular"/>
    <x v="0"/>
    <x v="0"/>
    <x v="0"/>
    <x v="0"/>
    <x v="0"/>
    <x v="0"/>
    <x v="2"/>
    <x v="3"/>
    <n v="3794"/>
    <n v="3794"/>
    <n v="0"/>
    <n v="0"/>
    <n v="0"/>
    <n v="0"/>
    <n v="0"/>
    <x v="0"/>
    <n v="0"/>
    <n v="16"/>
    <n v="0"/>
    <n v="0"/>
    <n v="18.52"/>
    <n v="0"/>
    <n v="0"/>
    <n v="21.062137082578289"/>
    <n v="87.609211999145103"/>
    <m/>
    <n v="70264.88"/>
    <n v="0"/>
    <n v="0"/>
    <n v="79909.748091302026"/>
    <n v="0"/>
    <n v="0"/>
  </r>
  <r>
    <s v="Regular"/>
    <x v="0"/>
    <x v="0"/>
    <x v="0"/>
    <x v="0"/>
    <x v="0"/>
    <x v="0"/>
    <x v="2"/>
    <x v="4"/>
    <n v="3700"/>
    <n v="3700"/>
    <n v="0"/>
    <n v="0"/>
    <n v="0"/>
    <n v="0"/>
    <n v="0"/>
    <x v="0"/>
    <n v="0"/>
    <n v="16"/>
    <n v="0"/>
    <n v="0"/>
    <n v="18.52"/>
    <n v="0"/>
    <n v="0"/>
    <n v="21.062137082578289"/>
    <n v="87.609211999145103"/>
    <m/>
    <n v="68524"/>
    <n v="0"/>
    <n v="0"/>
    <n v="77929.907205539668"/>
    <n v="0"/>
    <n v="0"/>
  </r>
  <r>
    <s v="Regular"/>
    <x v="0"/>
    <x v="0"/>
    <x v="0"/>
    <x v="0"/>
    <x v="0"/>
    <x v="0"/>
    <x v="2"/>
    <x v="5"/>
    <n v="3700"/>
    <n v="3700"/>
    <n v="0"/>
    <n v="0"/>
    <n v="0"/>
    <n v="0"/>
    <n v="0"/>
    <x v="0"/>
    <n v="0"/>
    <n v="16"/>
    <n v="0"/>
    <n v="0"/>
    <n v="18.52"/>
    <n v="0"/>
    <n v="0"/>
    <n v="21.062137082578289"/>
    <n v="87.609211999145103"/>
    <m/>
    <n v="68524"/>
    <n v="0"/>
    <n v="0"/>
    <n v="77929.907205539668"/>
    <n v="0"/>
    <n v="0"/>
  </r>
  <r>
    <s v="Regular"/>
    <x v="0"/>
    <x v="0"/>
    <x v="0"/>
    <x v="0"/>
    <x v="0"/>
    <x v="0"/>
    <x v="2"/>
    <x v="6"/>
    <n v="3700"/>
    <n v="3700"/>
    <n v="0"/>
    <n v="0"/>
    <n v="0"/>
    <n v="0"/>
    <n v="0"/>
    <x v="0"/>
    <n v="0"/>
    <n v="16"/>
    <n v="0"/>
    <n v="0"/>
    <n v="18.52"/>
    <n v="0"/>
    <n v="0"/>
    <n v="21.062137082578289"/>
    <n v="87.609211999145103"/>
    <m/>
    <n v="68524"/>
    <n v="0"/>
    <n v="0"/>
    <n v="77929.907205539668"/>
    <n v="0"/>
    <n v="0"/>
  </r>
  <r>
    <s v="Regular"/>
    <x v="0"/>
    <x v="0"/>
    <x v="0"/>
    <x v="0"/>
    <x v="0"/>
    <x v="0"/>
    <x v="2"/>
    <x v="7"/>
    <n v="3717"/>
    <n v="3717"/>
    <n v="0"/>
    <n v="0"/>
    <n v="0"/>
    <n v="0"/>
    <n v="0"/>
    <x v="0"/>
    <n v="0"/>
    <n v="16"/>
    <n v="0"/>
    <n v="0"/>
    <n v="18.52"/>
    <n v="0"/>
    <n v="0"/>
    <n v="21.062137082578289"/>
    <n v="87.609211999145103"/>
    <m/>
    <n v="68838.84"/>
    <n v="0"/>
    <n v="0"/>
    <n v="78287.963535943505"/>
    <n v="0"/>
    <n v="0"/>
  </r>
  <r>
    <s v="Regular"/>
    <x v="0"/>
    <x v="0"/>
    <x v="0"/>
    <x v="0"/>
    <x v="0"/>
    <x v="0"/>
    <x v="2"/>
    <x v="8"/>
    <n v="3706"/>
    <n v="3706"/>
    <n v="0"/>
    <n v="0"/>
    <n v="0"/>
    <n v="0"/>
    <n v="0"/>
    <x v="0"/>
    <n v="0"/>
    <n v="16"/>
    <n v="0"/>
    <n v="0"/>
    <n v="18.52"/>
    <n v="0"/>
    <n v="0"/>
    <n v="21.062137082578289"/>
    <n v="87.609211999145103"/>
    <m/>
    <n v="68635.12"/>
    <n v="0"/>
    <n v="0"/>
    <n v="78056.280028035137"/>
    <n v="0"/>
    <n v="0"/>
  </r>
  <r>
    <s v="Regular"/>
    <x v="0"/>
    <x v="0"/>
    <x v="0"/>
    <x v="0"/>
    <x v="0"/>
    <x v="0"/>
    <x v="2"/>
    <x v="9"/>
    <n v="3741"/>
    <n v="3741"/>
    <n v="0"/>
    <n v="0"/>
    <n v="0"/>
    <n v="0"/>
    <n v="0"/>
    <x v="0"/>
    <n v="0"/>
    <n v="16"/>
    <n v="0"/>
    <n v="0"/>
    <n v="18.52"/>
    <n v="0"/>
    <n v="0"/>
    <n v="21.062137082578289"/>
    <n v="87.609211999145103"/>
    <m/>
    <n v="69283.319999999992"/>
    <n v="0"/>
    <n v="0"/>
    <n v="78793.454825925379"/>
    <n v="0"/>
    <n v="0"/>
  </r>
  <r>
    <s v="Regular"/>
    <x v="0"/>
    <x v="0"/>
    <x v="0"/>
    <x v="0"/>
    <x v="0"/>
    <x v="0"/>
    <x v="2"/>
    <x v="10"/>
    <n v="3792"/>
    <n v="3792"/>
    <n v="0"/>
    <n v="0"/>
    <n v="0"/>
    <n v="0"/>
    <n v="0"/>
    <x v="0"/>
    <n v="0"/>
    <n v="16"/>
    <n v="0"/>
    <n v="0"/>
    <n v="18.52"/>
    <n v="0"/>
    <n v="0"/>
    <n v="21.062137082578289"/>
    <n v="87.609211999145103"/>
    <m/>
    <n v="70227.839999999997"/>
    <n v="0"/>
    <n v="0"/>
    <n v="79867.623817136875"/>
    <n v="0"/>
    <n v="0"/>
  </r>
  <r>
    <s v="PROJETADO"/>
    <x v="0"/>
    <x v="0"/>
    <x v="0"/>
    <x v="0"/>
    <x v="0"/>
    <x v="0"/>
    <x v="2"/>
    <x v="11"/>
    <n v="3792"/>
    <n v="3792"/>
    <n v="0"/>
    <n v="0"/>
    <n v="0"/>
    <n v="0"/>
    <n v="0"/>
    <x v="0"/>
    <n v="0"/>
    <n v="16"/>
    <n v="0"/>
    <n v="0"/>
    <n v="18.52"/>
    <n v="0"/>
    <n v="0"/>
    <n v="21.062137082578289"/>
    <n v="87.609211999145103"/>
    <m/>
    <n v="70227.839999999997"/>
    <n v="0"/>
    <n v="0"/>
    <n v="79867.623817136875"/>
    <n v="0"/>
    <n v="0"/>
  </r>
  <r>
    <s v="Regular"/>
    <x v="1"/>
    <x v="1"/>
    <x v="1"/>
    <x v="0"/>
    <x v="0"/>
    <x v="1"/>
    <x v="1"/>
    <x v="0"/>
    <n v="7800"/>
    <n v="0"/>
    <n v="0"/>
    <n v="0"/>
    <n v="0"/>
    <n v="0"/>
    <n v="0"/>
    <x v="1"/>
    <n v="27870"/>
    <n v="21"/>
    <n v="0"/>
    <n v="0"/>
    <n v="11.03"/>
    <n v="0"/>
    <n v="0"/>
    <n v="11.568547059369964"/>
    <m/>
    <m/>
    <n v="0"/>
    <n v="0"/>
    <n v="0"/>
    <n v="0"/>
    <n v="0"/>
    <n v="0"/>
  </r>
  <r>
    <s v="Regular"/>
    <x v="1"/>
    <x v="1"/>
    <x v="1"/>
    <x v="0"/>
    <x v="0"/>
    <x v="1"/>
    <x v="1"/>
    <x v="1"/>
    <n v="7800"/>
    <n v="0"/>
    <n v="0"/>
    <n v="0"/>
    <n v="0"/>
    <n v="0"/>
    <n v="0"/>
    <x v="1"/>
    <n v="27870"/>
    <n v="21"/>
    <n v="0"/>
    <n v="0"/>
    <n v="11.03"/>
    <n v="0"/>
    <n v="0"/>
    <n v="11.568547059369964"/>
    <m/>
    <m/>
    <n v="0"/>
    <n v="0"/>
    <n v="0"/>
    <n v="0"/>
    <n v="0"/>
    <n v="0"/>
  </r>
  <r>
    <s v="Regular"/>
    <x v="1"/>
    <x v="1"/>
    <x v="1"/>
    <x v="0"/>
    <x v="0"/>
    <x v="1"/>
    <x v="1"/>
    <x v="2"/>
    <n v="7800"/>
    <n v="0"/>
    <n v="0"/>
    <n v="0"/>
    <n v="0"/>
    <n v="0"/>
    <n v="0"/>
    <x v="1"/>
    <n v="27870"/>
    <n v="21"/>
    <n v="0"/>
    <n v="0"/>
    <n v="11.03"/>
    <n v="0"/>
    <n v="0"/>
    <n v="11.568547059369964"/>
    <m/>
    <m/>
    <n v="0"/>
    <n v="0"/>
    <n v="0"/>
    <n v="0"/>
    <n v="0"/>
    <n v="0"/>
  </r>
  <r>
    <s v="Regular"/>
    <x v="1"/>
    <x v="1"/>
    <x v="1"/>
    <x v="0"/>
    <x v="0"/>
    <x v="1"/>
    <x v="1"/>
    <x v="3"/>
    <n v="7800"/>
    <n v="0"/>
    <n v="0"/>
    <n v="0"/>
    <n v="0"/>
    <n v="0"/>
    <n v="0"/>
    <x v="1"/>
    <n v="27870"/>
    <n v="21"/>
    <n v="0"/>
    <n v="0"/>
    <n v="11.03"/>
    <n v="0"/>
    <n v="0"/>
    <n v="11.568547059369964"/>
    <m/>
    <m/>
    <n v="0"/>
    <n v="0"/>
    <n v="0"/>
    <n v="0"/>
    <n v="0"/>
    <n v="0"/>
  </r>
  <r>
    <s v="Regular"/>
    <x v="1"/>
    <x v="1"/>
    <x v="1"/>
    <x v="0"/>
    <x v="0"/>
    <x v="1"/>
    <x v="1"/>
    <x v="4"/>
    <n v="7800"/>
    <n v="0"/>
    <n v="0"/>
    <n v="0"/>
    <n v="0"/>
    <n v="0"/>
    <n v="0"/>
    <x v="1"/>
    <n v="27870"/>
    <n v="21"/>
    <n v="0"/>
    <n v="0"/>
    <n v="11.03"/>
    <n v="0"/>
    <n v="0"/>
    <n v="11.568547059369964"/>
    <m/>
    <m/>
    <n v="0"/>
    <n v="0"/>
    <n v="0"/>
    <n v="0"/>
    <n v="0"/>
    <n v="0"/>
  </r>
  <r>
    <s v="Regular"/>
    <x v="1"/>
    <x v="1"/>
    <x v="1"/>
    <x v="0"/>
    <x v="0"/>
    <x v="1"/>
    <x v="1"/>
    <x v="5"/>
    <n v="7800"/>
    <n v="0"/>
    <n v="0"/>
    <n v="0"/>
    <n v="0"/>
    <n v="0"/>
    <n v="0"/>
    <x v="1"/>
    <n v="27870"/>
    <n v="21"/>
    <n v="0"/>
    <n v="0"/>
    <n v="11.03"/>
    <n v="0"/>
    <n v="0"/>
    <n v="11.568547059369964"/>
    <m/>
    <m/>
    <n v="0"/>
    <n v="0"/>
    <n v="0"/>
    <n v="0"/>
    <n v="0"/>
    <n v="0"/>
  </r>
  <r>
    <s v="Regular"/>
    <x v="1"/>
    <x v="1"/>
    <x v="1"/>
    <x v="0"/>
    <x v="0"/>
    <x v="1"/>
    <x v="1"/>
    <x v="6"/>
    <n v="7800"/>
    <n v="0"/>
    <n v="0"/>
    <n v="0"/>
    <n v="0"/>
    <n v="0"/>
    <n v="0"/>
    <x v="1"/>
    <n v="27870"/>
    <n v="21"/>
    <n v="0"/>
    <n v="0"/>
    <n v="11.03"/>
    <n v="0"/>
    <n v="0"/>
    <n v="11.568547059369964"/>
    <m/>
    <m/>
    <n v="0"/>
    <n v="0"/>
    <n v="0"/>
    <n v="0"/>
    <n v="0"/>
    <n v="0"/>
  </r>
  <r>
    <s v="Regular"/>
    <x v="1"/>
    <x v="1"/>
    <x v="1"/>
    <x v="0"/>
    <x v="0"/>
    <x v="1"/>
    <x v="1"/>
    <x v="7"/>
    <n v="7800"/>
    <n v="0"/>
    <n v="0"/>
    <n v="0"/>
    <n v="0"/>
    <n v="0"/>
    <n v="0"/>
    <x v="1"/>
    <n v="27870"/>
    <n v="21"/>
    <n v="0"/>
    <n v="0"/>
    <n v="11.03"/>
    <n v="0"/>
    <n v="0"/>
    <n v="11.568547059369964"/>
    <m/>
    <m/>
    <n v="0"/>
    <n v="0"/>
    <n v="0"/>
    <n v="0"/>
    <n v="0"/>
    <n v="0"/>
  </r>
  <r>
    <s v="Regular"/>
    <x v="1"/>
    <x v="1"/>
    <x v="1"/>
    <x v="0"/>
    <x v="0"/>
    <x v="1"/>
    <x v="1"/>
    <x v="8"/>
    <n v="7800"/>
    <n v="0"/>
    <n v="0"/>
    <n v="0"/>
    <n v="0"/>
    <n v="0"/>
    <n v="0"/>
    <x v="1"/>
    <n v="27870"/>
    <n v="21"/>
    <n v="0"/>
    <n v="0"/>
    <n v="11.03"/>
    <n v="0"/>
    <n v="0"/>
    <n v="11.568547059369964"/>
    <m/>
    <m/>
    <n v="0"/>
    <n v="0"/>
    <n v="0"/>
    <n v="0"/>
    <n v="0"/>
    <n v="0"/>
  </r>
  <r>
    <s v="Regular"/>
    <x v="1"/>
    <x v="1"/>
    <x v="1"/>
    <x v="0"/>
    <x v="0"/>
    <x v="1"/>
    <x v="1"/>
    <x v="9"/>
    <n v="7800"/>
    <n v="0"/>
    <n v="0"/>
    <n v="0"/>
    <n v="0"/>
    <n v="0"/>
    <n v="0"/>
    <x v="1"/>
    <n v="27870"/>
    <n v="21"/>
    <n v="0"/>
    <n v="0"/>
    <n v="11.03"/>
    <n v="0"/>
    <n v="0"/>
    <n v="11.568547059369964"/>
    <m/>
    <m/>
    <n v="0"/>
    <n v="0"/>
    <n v="0"/>
    <n v="0"/>
    <n v="0"/>
    <n v="0"/>
  </r>
  <r>
    <s v="Regular"/>
    <x v="1"/>
    <x v="1"/>
    <x v="1"/>
    <x v="0"/>
    <x v="0"/>
    <x v="1"/>
    <x v="1"/>
    <x v="10"/>
    <n v="7800"/>
    <n v="0"/>
    <n v="0"/>
    <n v="0"/>
    <n v="0"/>
    <n v="0"/>
    <n v="0"/>
    <x v="1"/>
    <n v="27870"/>
    <n v="21"/>
    <n v="0"/>
    <n v="0"/>
    <n v="11.03"/>
    <n v="0"/>
    <n v="0"/>
    <n v="11.568547059369964"/>
    <m/>
    <m/>
    <n v="0"/>
    <n v="0"/>
    <n v="0"/>
    <n v="0"/>
    <n v="0"/>
    <n v="0"/>
  </r>
  <r>
    <s v="PROJETADO"/>
    <x v="1"/>
    <x v="1"/>
    <x v="1"/>
    <x v="0"/>
    <x v="0"/>
    <x v="1"/>
    <x v="1"/>
    <x v="11"/>
    <n v="7800"/>
    <n v="0"/>
    <n v="0"/>
    <n v="0"/>
    <n v="0"/>
    <n v="0"/>
    <n v="0"/>
    <x v="1"/>
    <n v="27870"/>
    <n v="21"/>
    <n v="0"/>
    <n v="0"/>
    <n v="11.03"/>
    <n v="0"/>
    <n v="0"/>
    <n v="11.568547059369964"/>
    <m/>
    <m/>
    <n v="0"/>
    <n v="0"/>
    <n v="0"/>
    <n v="0"/>
    <n v="0"/>
    <n v="0"/>
  </r>
  <r>
    <s v="Regular"/>
    <x v="2"/>
    <x v="0"/>
    <x v="2"/>
    <x v="0"/>
    <x v="0"/>
    <x v="0"/>
    <x v="0"/>
    <x v="0"/>
    <n v="1977"/>
    <n v="1977"/>
    <n v="639.19299999999998"/>
    <n v="639.19299999999998"/>
    <n v="639.19299999999998"/>
    <n v="639.19299999999998"/>
    <n v="0"/>
    <x v="2"/>
    <n v="0"/>
    <n v="22"/>
    <n v="12"/>
    <n v="61"/>
    <n v="14"/>
    <n v="72.150000000000006"/>
    <n v="278.67"/>
    <n v="15.925787521209683"/>
    <n v="117.70169496208672"/>
    <n v="295.87360985530717"/>
    <n v="27678"/>
    <n v="46117.774949999999"/>
    <n v="178123.91331"/>
    <n v="31485.281929431545"/>
    <n v="75234.09950790109"/>
    <n v="189120.34030424335"/>
  </r>
  <r>
    <s v="Regular"/>
    <x v="2"/>
    <x v="0"/>
    <x v="2"/>
    <x v="0"/>
    <x v="0"/>
    <x v="0"/>
    <x v="0"/>
    <x v="1"/>
    <n v="1979"/>
    <n v="1979"/>
    <n v="638.04600000000005"/>
    <n v="638.04600000000005"/>
    <n v="638.04600000000005"/>
    <n v="638.04600000000005"/>
    <n v="0"/>
    <x v="2"/>
    <n v="0"/>
    <n v="22"/>
    <n v="12"/>
    <n v="61"/>
    <n v="14"/>
    <n v="72.150000000000006"/>
    <n v="278.67"/>
    <n v="15.925787521209683"/>
    <n v="117.70169496208672"/>
    <n v="295.87360985530717"/>
    <n v="27706"/>
    <n v="46035.01890000001"/>
    <n v="177804.27882000004"/>
    <n v="31517.133504473964"/>
    <n v="75099.09566377959"/>
    <n v="188780.97327373934"/>
  </r>
  <r>
    <s v="Regular"/>
    <x v="2"/>
    <x v="0"/>
    <x v="2"/>
    <x v="0"/>
    <x v="0"/>
    <x v="0"/>
    <x v="0"/>
    <x v="2"/>
    <n v="1989"/>
    <n v="1989"/>
    <n v="642.05899999999997"/>
    <n v="642.05899999999997"/>
    <n v="642.05899999999997"/>
    <n v="642.05899999999997"/>
    <n v="0"/>
    <x v="2"/>
    <n v="0"/>
    <n v="22"/>
    <n v="12"/>
    <n v="61"/>
    <n v="14"/>
    <n v="72.150000000000006"/>
    <n v="278.67"/>
    <n v="15.925787521209683"/>
    <n v="117.70169496208672"/>
    <n v="295.87360985530717"/>
    <n v="27846"/>
    <n v="46324.556850000001"/>
    <n v="178922.58153"/>
    <n v="31676.391379686058"/>
    <n v="75571.432565662428"/>
    <n v="189968.31407008864"/>
  </r>
  <r>
    <s v="Regular"/>
    <x v="2"/>
    <x v="0"/>
    <x v="2"/>
    <x v="0"/>
    <x v="0"/>
    <x v="0"/>
    <x v="0"/>
    <x v="3"/>
    <n v="1968"/>
    <n v="1968"/>
    <n v="643.41999999999996"/>
    <n v="643.41999999999996"/>
    <n v="643.41999999999996"/>
    <n v="643.41999999999996"/>
    <n v="0"/>
    <x v="2"/>
    <n v="0"/>
    <n v="22"/>
    <n v="12"/>
    <n v="61"/>
    <n v="14"/>
    <n v="72.150000000000006"/>
    <n v="278.67"/>
    <n v="15.925787521209683"/>
    <n v="117.70169496208672"/>
    <n v="295.87360985530717"/>
    <n v="27552"/>
    <n v="46422.753000000004"/>
    <n v="179301.85139999999"/>
    <n v="31341.949841740658"/>
    <n v="75731.624572505825"/>
    <n v="190370.99805310174"/>
  </r>
  <r>
    <s v="Regular"/>
    <x v="2"/>
    <x v="0"/>
    <x v="2"/>
    <x v="0"/>
    <x v="0"/>
    <x v="0"/>
    <x v="0"/>
    <x v="4"/>
    <n v="1991"/>
    <n v="1991"/>
    <n v="601.35699999999997"/>
    <n v="601.35699999999997"/>
    <n v="601.35699999999997"/>
    <n v="601.35699999999997"/>
    <n v="0"/>
    <x v="2"/>
    <n v="0"/>
    <n v="22"/>
    <n v="12"/>
    <n v="61"/>
    <n v="14"/>
    <n v="72.150000000000006"/>
    <n v="278.67"/>
    <n v="15.925787521209683"/>
    <n v="117.70169496208672"/>
    <n v="295.87360985530717"/>
    <n v="27874"/>
    <n v="43387.907550000004"/>
    <n v="167580.15518999999"/>
    <n v="31708.242954728477"/>
    <n v="70780.738177315579"/>
    <n v="177925.66640175795"/>
  </r>
  <r>
    <s v="Regular"/>
    <x v="2"/>
    <x v="0"/>
    <x v="2"/>
    <x v="0"/>
    <x v="0"/>
    <x v="0"/>
    <x v="0"/>
    <x v="5"/>
    <n v="2006"/>
    <n v="2006"/>
    <n v="688.48900000000003"/>
    <n v="688.48900000000003"/>
    <n v="688.48900000000003"/>
    <n v="688.48900000000003"/>
    <n v="0"/>
    <x v="2"/>
    <n v="0"/>
    <n v="22"/>
    <n v="12"/>
    <n v="61"/>
    <n v="14"/>
    <n v="72.150000000000006"/>
    <n v="278.67"/>
    <n v="15.925787521209683"/>
    <n v="117.70169496208672"/>
    <n v="295.87360985530717"/>
    <n v="28084"/>
    <n v="49674.481350000009"/>
    <n v="191861.22963000002"/>
    <n v="31947.129767546623"/>
    <n v="81036.322262752132"/>
    <n v="203705.72577567058"/>
  </r>
  <r>
    <s v="Regular"/>
    <x v="2"/>
    <x v="0"/>
    <x v="2"/>
    <x v="0"/>
    <x v="0"/>
    <x v="0"/>
    <x v="0"/>
    <x v="6"/>
    <n v="1992"/>
    <n v="1992"/>
    <n v="635.53399999999999"/>
    <n v="635.53399999999999"/>
    <n v="635.53399999999999"/>
    <n v="635.53399999999999"/>
    <n v="0"/>
    <x v="2"/>
    <n v="0"/>
    <n v="22"/>
    <n v="12"/>
    <n v="61"/>
    <n v="14"/>
    <n v="72.150000000000006"/>
    <n v="278.67"/>
    <n v="15.925787521209683"/>
    <n v="117.70169496208672"/>
    <n v="295.87360985530717"/>
    <n v="27888"/>
    <n v="45853.778100000003"/>
    <n v="177104.25978000002"/>
    <n v="31724.168742249687"/>
    <n v="74803.429006034814"/>
    <n v="188037.73876578279"/>
  </r>
  <r>
    <s v="Regular"/>
    <x v="2"/>
    <x v="0"/>
    <x v="2"/>
    <x v="0"/>
    <x v="0"/>
    <x v="0"/>
    <x v="0"/>
    <x v="7"/>
    <n v="1976"/>
    <n v="1976"/>
    <n v="608.31899999999996"/>
    <n v="608.31899999999996"/>
    <n v="608.31899999999996"/>
    <n v="608.31899999999996"/>
    <n v="0"/>
    <x v="2"/>
    <n v="0"/>
    <n v="22"/>
    <n v="12"/>
    <n v="61"/>
    <n v="14"/>
    <n v="72.150000000000006"/>
    <n v="278.67"/>
    <n v="15.925787521209683"/>
    <n v="117.70169496208672"/>
    <n v="295.87360985530717"/>
    <n v="27664"/>
    <n v="43890.215850000001"/>
    <n v="169520.25573"/>
    <n v="31469.356141910335"/>
    <n v="71600.177377641623"/>
    <n v="179985.53847357057"/>
  </r>
  <r>
    <s v="Regular"/>
    <x v="2"/>
    <x v="0"/>
    <x v="2"/>
    <x v="0"/>
    <x v="0"/>
    <x v="0"/>
    <x v="0"/>
    <x v="8"/>
    <n v="1962"/>
    <n v="1962"/>
    <n v="582.47299999999996"/>
    <n v="582.47299999999996"/>
    <n v="582.47299999999996"/>
    <n v="582.47299999999996"/>
    <n v="0"/>
    <x v="2"/>
    <n v="0"/>
    <n v="22"/>
    <n v="12"/>
    <n v="61"/>
    <n v="14"/>
    <n v="72.150000000000006"/>
    <n v="278.67"/>
    <n v="15.925787521209683"/>
    <n v="117.70169496208672"/>
    <n v="295.87360985530717"/>
    <n v="27468"/>
    <n v="42025.426950000001"/>
    <n v="162317.75091"/>
    <n v="31246.395116613399"/>
    <n v="68558.059369651528"/>
    <n v="172338.38915325032"/>
  </r>
  <r>
    <s v="Regular"/>
    <x v="2"/>
    <x v="0"/>
    <x v="2"/>
    <x v="0"/>
    <x v="0"/>
    <x v="0"/>
    <x v="0"/>
    <x v="9"/>
    <n v="1958"/>
    <n v="1958"/>
    <n v="615.88"/>
    <n v="615.88"/>
    <n v="615.88"/>
    <n v="615.88"/>
    <n v="0"/>
    <x v="2"/>
    <n v="0"/>
    <n v="22"/>
    <n v="12"/>
    <n v="61"/>
    <n v="14"/>
    <n v="72.150000000000006"/>
    <n v="278.67"/>
    <n v="15.925787521209683"/>
    <n v="117.70169496208672"/>
    <n v="295.87360985530717"/>
    <n v="27412"/>
    <n v="44435.742000000006"/>
    <n v="171627.27960000001"/>
    <n v="31182.69196652856"/>
    <n v="72490.119893249968"/>
    <n v="182222.63883768657"/>
  </r>
  <r>
    <s v="Regular"/>
    <x v="2"/>
    <x v="0"/>
    <x v="2"/>
    <x v="0"/>
    <x v="0"/>
    <x v="0"/>
    <x v="0"/>
    <x v="10"/>
    <n v="1971"/>
    <n v="1971"/>
    <n v="597.37"/>
    <n v="597.37"/>
    <n v="597.37"/>
    <n v="597.37"/>
    <n v="0"/>
    <x v="2"/>
    <n v="0"/>
    <n v="22"/>
    <n v="12"/>
    <n v="61"/>
    <n v="14"/>
    <n v="72.150000000000006"/>
    <n v="278.67"/>
    <n v="15.925787521209683"/>
    <n v="117.70169496208672"/>
    <n v="295.87360985530717"/>
    <n v="27594"/>
    <n v="43100.245500000005"/>
    <n v="166469.09790000002"/>
    <n v="31389.727204304287"/>
    <n v="70311.46151950174"/>
    <n v="176746.01831926484"/>
  </r>
  <r>
    <s v="PROJETADO"/>
    <x v="2"/>
    <x v="0"/>
    <x v="2"/>
    <x v="0"/>
    <x v="0"/>
    <x v="0"/>
    <x v="0"/>
    <x v="11"/>
    <n v="1971"/>
    <n v="1971"/>
    <n v="597.37"/>
    <n v="597.37"/>
    <n v="597.37"/>
    <n v="597.37"/>
    <n v="0"/>
    <x v="2"/>
    <n v="0"/>
    <n v="22"/>
    <n v="12"/>
    <n v="61"/>
    <n v="14"/>
    <n v="72.150000000000006"/>
    <n v="278.67"/>
    <n v="15.925787521209683"/>
    <n v="117.70169496208672"/>
    <n v="295.87360985530717"/>
    <n v="27594"/>
    <n v="43100.245500000005"/>
    <n v="166469.09790000002"/>
    <n v="31389.727204304287"/>
    <n v="70311.46151950174"/>
    <n v="176746.01831926484"/>
  </r>
  <r>
    <s v="Regular"/>
    <x v="2"/>
    <x v="0"/>
    <x v="2"/>
    <x v="0"/>
    <x v="0"/>
    <x v="0"/>
    <x v="2"/>
    <x v="0"/>
    <n v="1903"/>
    <n v="1903"/>
    <n v="65.144999999999996"/>
    <n v="65.144999999999996"/>
    <n v="65.144999999999996"/>
    <n v="65.144999999999996"/>
    <n v="0"/>
    <x v="2"/>
    <n v="0"/>
    <n v="9"/>
    <n v="12"/>
    <n v="38"/>
    <n v="35.76"/>
    <n v="72.150000000000006"/>
    <n v="442.86"/>
    <n v="40.761307833720963"/>
    <n v="117.70169496208672"/>
    <n v="476.88775168498375"/>
    <n v="68051.28"/>
    <n v="4700.2117500000004"/>
    <n v="28850.114699999998"/>
    <n v="77568.768807570988"/>
    <n v="7667.6769183051392"/>
    <n v="31066.852583518266"/>
  </r>
  <r>
    <s v="Regular"/>
    <x v="2"/>
    <x v="0"/>
    <x v="2"/>
    <x v="0"/>
    <x v="0"/>
    <x v="0"/>
    <x v="2"/>
    <x v="1"/>
    <n v="1921"/>
    <n v="1921"/>
    <n v="68.108999999999995"/>
    <n v="68.108999999999995"/>
    <n v="68.108999999999995"/>
    <n v="68.108999999999995"/>
    <n v="0"/>
    <x v="2"/>
    <n v="0"/>
    <n v="9"/>
    <n v="12"/>
    <n v="38"/>
    <n v="35.76"/>
    <n v="72.150000000000006"/>
    <n v="442.86"/>
    <n v="40.761307833720963"/>
    <n v="117.70169496208672"/>
    <n v="476.88775168498375"/>
    <n v="68694.959999999992"/>
    <n v="4914.0643499999996"/>
    <n v="30162.75174"/>
    <n v="78302.472348577969"/>
    <n v="8016.544742172764"/>
    <n v="32480.347879512556"/>
  </r>
  <r>
    <s v="Regular"/>
    <x v="2"/>
    <x v="0"/>
    <x v="2"/>
    <x v="0"/>
    <x v="0"/>
    <x v="0"/>
    <x v="2"/>
    <x v="2"/>
    <n v="1924"/>
    <n v="1924"/>
    <n v="74.656000000000006"/>
    <n v="74.656000000000006"/>
    <n v="74.656000000000006"/>
    <n v="74.656000000000006"/>
    <n v="0"/>
    <x v="2"/>
    <n v="0"/>
    <n v="9"/>
    <n v="12"/>
    <n v="38"/>
    <n v="35.76"/>
    <n v="72.150000000000006"/>
    <n v="442.86"/>
    <n v="40.761307833720963"/>
    <n v="117.70169496208672"/>
    <n v="476.88775168498375"/>
    <n v="68802.239999999991"/>
    <n v="5386.4304000000011"/>
    <n v="33062.156160000006"/>
    <n v="78424.756272079132"/>
    <n v="8787.1377390895468"/>
    <n v="35602.531989794152"/>
  </r>
  <r>
    <s v="Regular"/>
    <x v="2"/>
    <x v="0"/>
    <x v="2"/>
    <x v="0"/>
    <x v="0"/>
    <x v="0"/>
    <x v="2"/>
    <x v="3"/>
    <n v="1913"/>
    <n v="1913"/>
    <n v="69.715000000000003"/>
    <n v="69.715000000000003"/>
    <n v="69.715000000000003"/>
    <n v="69.715000000000003"/>
    <n v="0"/>
    <x v="2"/>
    <n v="0"/>
    <n v="9"/>
    <n v="12"/>
    <n v="38"/>
    <n v="35.76"/>
    <n v="72.150000000000006"/>
    <n v="442.86"/>
    <n v="40.761307833720963"/>
    <n v="117.70169496208672"/>
    <n v="476.88775168498375"/>
    <n v="68408.87999999999"/>
    <n v="5029.9372500000009"/>
    <n v="30873.984900000003"/>
    <n v="77976.381885908195"/>
    <n v="8205.5736642818756"/>
    <n v="33246.229608718641"/>
  </r>
  <r>
    <s v="Regular"/>
    <x v="2"/>
    <x v="0"/>
    <x v="2"/>
    <x v="0"/>
    <x v="0"/>
    <x v="0"/>
    <x v="2"/>
    <x v="4"/>
    <n v="1917"/>
    <n v="1917"/>
    <n v="68.382999999999996"/>
    <n v="68.382999999999996"/>
    <n v="68.382999999999996"/>
    <n v="68.382999999999996"/>
    <n v="0"/>
    <x v="2"/>
    <n v="0"/>
    <n v="9"/>
    <n v="12"/>
    <n v="38"/>
    <n v="35.76"/>
    <n v="72.150000000000006"/>
    <n v="442.86"/>
    <n v="40.761307833720963"/>
    <n v="117.70169496208672"/>
    <n v="476.88775168498375"/>
    <n v="68551.92"/>
    <n v="4933.8334500000001"/>
    <n v="30284.095379999999"/>
    <n v="78139.427117243089"/>
    <n v="8048.795006592376"/>
    <n v="32611.015123474241"/>
  </r>
  <r>
    <s v="Regular"/>
    <x v="2"/>
    <x v="0"/>
    <x v="2"/>
    <x v="0"/>
    <x v="0"/>
    <x v="0"/>
    <x v="2"/>
    <x v="5"/>
    <n v="1936"/>
    <n v="1936"/>
    <n v="79.56"/>
    <n v="79.56"/>
    <n v="79.56"/>
    <n v="79.56"/>
    <n v="0"/>
    <x v="2"/>
    <n v="0"/>
    <n v="9"/>
    <n v="12"/>
    <n v="38"/>
    <n v="35.76"/>
    <n v="72.150000000000006"/>
    <n v="442.86"/>
    <n v="40.761307833720963"/>
    <n v="117.70169496208672"/>
    <n v="476.88775168498375"/>
    <n v="69231.360000000001"/>
    <n v="5740.2540000000008"/>
    <n v="35233.941600000006"/>
    <n v="78913.891966083786"/>
    <n v="9364.3468511836199"/>
    <n v="37941.189524057307"/>
  </r>
  <r>
    <s v="Regular"/>
    <x v="2"/>
    <x v="0"/>
    <x v="2"/>
    <x v="0"/>
    <x v="0"/>
    <x v="0"/>
    <x v="2"/>
    <x v="6"/>
    <n v="1931"/>
    <n v="1931"/>
    <n v="67.19"/>
    <n v="67.19"/>
    <n v="67.19"/>
    <n v="67.19"/>
    <n v="0"/>
    <x v="2"/>
    <n v="0"/>
    <n v="9"/>
    <n v="12"/>
    <n v="38"/>
    <n v="35.76"/>
    <n v="72.150000000000006"/>
    <n v="442.86"/>
    <n v="40.761307833720963"/>
    <n v="117.70169496208672"/>
    <n v="476.88775168498375"/>
    <n v="69052.56"/>
    <n v="4847.7584999999999"/>
    <n v="29755.7634"/>
    <n v="78710.085426915175"/>
    <n v="7908.3768845026061"/>
    <n v="32042.088035714056"/>
  </r>
  <r>
    <s v="Regular"/>
    <x v="2"/>
    <x v="0"/>
    <x v="2"/>
    <x v="0"/>
    <x v="0"/>
    <x v="0"/>
    <x v="2"/>
    <x v="7"/>
    <n v="1920"/>
    <n v="1920"/>
    <n v="70.957999999999998"/>
    <n v="70.957999999999998"/>
    <n v="70.957999999999998"/>
    <n v="70.957999999999998"/>
    <n v="0"/>
    <x v="2"/>
    <n v="0"/>
    <n v="9"/>
    <n v="12"/>
    <n v="38"/>
    <n v="35.76"/>
    <n v="72.150000000000006"/>
    <n v="442.86"/>
    <n v="40.761307833720963"/>
    <n v="117.70169496208672"/>
    <n v="476.88775168498375"/>
    <n v="68659.199999999997"/>
    <n v="5119.6197000000002"/>
    <n v="31424.459879999999"/>
    <n v="78261.711040744252"/>
    <n v="8351.8768711197499"/>
    <n v="33839.001084063078"/>
  </r>
  <r>
    <s v="Regular"/>
    <x v="2"/>
    <x v="0"/>
    <x v="2"/>
    <x v="0"/>
    <x v="0"/>
    <x v="0"/>
    <x v="2"/>
    <x v="8"/>
    <n v="1910"/>
    <n v="1910"/>
    <n v="68.605999999999995"/>
    <n v="68.605999999999995"/>
    <n v="68.605999999999995"/>
    <n v="68.605999999999995"/>
    <n v="0"/>
    <x v="2"/>
    <n v="0"/>
    <n v="9"/>
    <n v="12"/>
    <n v="38"/>
    <n v="35.76"/>
    <n v="72.150000000000006"/>
    <n v="442.86"/>
    <n v="40.761307833720963"/>
    <n v="117.70169496208672"/>
    <n v="476.88775168498375"/>
    <n v="68301.599999999991"/>
    <n v="4949.9228999999996"/>
    <n v="30382.853159999999"/>
    <n v="77854.097962407046"/>
    <n v="8075.0424845689213"/>
    <n v="32717.361092099993"/>
  </r>
  <r>
    <s v="Regular"/>
    <x v="2"/>
    <x v="0"/>
    <x v="2"/>
    <x v="0"/>
    <x v="0"/>
    <x v="0"/>
    <x v="2"/>
    <x v="9"/>
    <n v="1895"/>
    <n v="1895"/>
    <n v="66.989999999999995"/>
    <n v="66.989999999999995"/>
    <n v="66.989999999999995"/>
    <n v="66.989999999999995"/>
    <n v="0"/>
    <x v="2"/>
    <n v="0"/>
    <n v="9"/>
    <n v="12"/>
    <n v="38"/>
    <n v="35.76"/>
    <n v="72.150000000000006"/>
    <n v="442.86"/>
    <n v="40.761307833720963"/>
    <n v="117.70169496208672"/>
    <n v="476.88775168498375"/>
    <n v="67765.2"/>
    <n v="4833.3284999999996"/>
    <n v="29667.1914"/>
    <n v="77242.678344901229"/>
    <n v="7884.8365455101884"/>
    <n v="31946.710485377058"/>
  </r>
  <r>
    <s v="Regular"/>
    <x v="2"/>
    <x v="0"/>
    <x v="2"/>
    <x v="0"/>
    <x v="0"/>
    <x v="0"/>
    <x v="2"/>
    <x v="10"/>
    <n v="1905"/>
    <n v="1905"/>
    <n v="70.778999999999996"/>
    <n v="70.778999999999996"/>
    <n v="70.778999999999996"/>
    <n v="70.778999999999996"/>
    <n v="0"/>
    <x v="2"/>
    <n v="0"/>
    <n v="9"/>
    <n v="12"/>
    <n v="38"/>
    <n v="35.76"/>
    <n v="72.150000000000006"/>
    <n v="442.86"/>
    <n v="40.761307833720963"/>
    <n v="117.70169496208672"/>
    <n v="476.88775168498375"/>
    <n v="68122.8"/>
    <n v="5106.7048500000001"/>
    <n v="31345.18794"/>
    <n v="77650.291423238436"/>
    <n v="8330.8082677215352"/>
    <n v="33753.638176511464"/>
  </r>
  <r>
    <s v="PROJETADO"/>
    <x v="2"/>
    <x v="0"/>
    <x v="2"/>
    <x v="0"/>
    <x v="0"/>
    <x v="0"/>
    <x v="2"/>
    <x v="11"/>
    <n v="1905"/>
    <n v="1905"/>
    <n v="70.778999999999996"/>
    <n v="70.778999999999996"/>
    <n v="70.778999999999996"/>
    <n v="70.778999999999996"/>
    <n v="0"/>
    <x v="2"/>
    <n v="0"/>
    <n v="9"/>
    <n v="12"/>
    <n v="38"/>
    <n v="35.76"/>
    <n v="72.150000000000006"/>
    <n v="442.86"/>
    <n v="40.761307833720963"/>
    <n v="117.70169496208672"/>
    <n v="476.88775168498375"/>
    <n v="68122.8"/>
    <n v="5106.7048500000001"/>
    <n v="31345.18794"/>
    <n v="77650.291423238436"/>
    <n v="8330.8082677215352"/>
    <n v="33753.638176511464"/>
  </r>
  <r>
    <s v="Regular"/>
    <x v="2"/>
    <x v="0"/>
    <x v="0"/>
    <x v="0"/>
    <x v="1"/>
    <x v="0"/>
    <x v="0"/>
    <x v="0"/>
    <n v="16301"/>
    <n v="10335.36166337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44695.06328718"/>
    <n v="0"/>
    <n v="0"/>
    <n v="164598.77380568691"/>
    <n v="0"/>
    <n v="0"/>
  </r>
  <r>
    <s v="Regular"/>
    <x v="2"/>
    <x v="0"/>
    <x v="0"/>
    <x v="0"/>
    <x v="1"/>
    <x v="0"/>
    <x v="0"/>
    <x v="1"/>
    <n v="16297"/>
    <n v="10474.71161608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46645.96262512001"/>
    <n v="0"/>
    <n v="0"/>
    <n v="166818.03154363699"/>
    <n v="0"/>
    <n v="0"/>
  </r>
  <r>
    <s v="Regular"/>
    <x v="2"/>
    <x v="0"/>
    <x v="0"/>
    <x v="0"/>
    <x v="1"/>
    <x v="0"/>
    <x v="0"/>
    <x v="2"/>
    <n v="16147"/>
    <n v="9214.2392081100006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28999.34891354002"/>
    <n v="0"/>
    <n v="0"/>
    <n v="146744.01579795923"/>
    <n v="0"/>
    <n v="0"/>
  </r>
  <r>
    <s v="Regular"/>
    <x v="2"/>
    <x v="0"/>
    <x v="0"/>
    <x v="0"/>
    <x v="1"/>
    <x v="0"/>
    <x v="0"/>
    <x v="3"/>
    <n v="16220"/>
    <n v="9574.3093222000007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34040.33051080001"/>
    <n v="0"/>
    <n v="0"/>
    <n v="152478.4159276943"/>
    <n v="0"/>
    <n v="0"/>
  </r>
  <r>
    <s v="Regular"/>
    <x v="2"/>
    <x v="0"/>
    <x v="0"/>
    <x v="0"/>
    <x v="1"/>
    <x v="0"/>
    <x v="0"/>
    <x v="4"/>
    <n v="16455"/>
    <n v="8810.7828532500007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23350.95994550001"/>
    <n v="0"/>
    <n v="0"/>
    <n v="140318.6556163771"/>
    <n v="0"/>
    <n v="0"/>
  </r>
  <r>
    <s v="Regular"/>
    <x v="2"/>
    <x v="0"/>
    <x v="0"/>
    <x v="0"/>
    <x v="1"/>
    <x v="0"/>
    <x v="0"/>
    <x v="5"/>
    <n v="16206"/>
    <n v="8001.9643412400001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12027.50077735999"/>
    <n v="0"/>
    <n v="0"/>
    <n v="127437.58385088485"/>
    <n v="0"/>
    <n v="0"/>
  </r>
  <r>
    <s v="Regular"/>
    <x v="2"/>
    <x v="0"/>
    <x v="0"/>
    <x v="0"/>
    <x v="1"/>
    <x v="0"/>
    <x v="0"/>
    <x v="6"/>
    <n v="16280"/>
    <n v="10594.502877200001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48323.04028080002"/>
    <n v="0"/>
    <n v="0"/>
    <n v="168725.80171513185"/>
    <n v="0"/>
    <n v="0"/>
  </r>
  <r>
    <s v="Regular"/>
    <x v="2"/>
    <x v="0"/>
    <x v="0"/>
    <x v="0"/>
    <x v="1"/>
    <x v="0"/>
    <x v="0"/>
    <x v="7"/>
    <n v="16089"/>
    <n v="9780.4807362899992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36926.73030805998"/>
    <n v="0"/>
    <n v="0"/>
    <n v="155761.85806143895"/>
    <n v="0"/>
    <n v="0"/>
  </r>
  <r>
    <s v="Regular"/>
    <x v="2"/>
    <x v="0"/>
    <x v="0"/>
    <x v="0"/>
    <x v="1"/>
    <x v="0"/>
    <x v="0"/>
    <x v="8"/>
    <n v="16156"/>
    <n v="8011.3249957999997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12158.54994119999"/>
    <n v="0"/>
    <n v="0"/>
    <n v="127586.65964646685"/>
    <n v="0"/>
    <n v="0"/>
  </r>
  <r>
    <s v="Regular"/>
    <x v="2"/>
    <x v="0"/>
    <x v="0"/>
    <x v="0"/>
    <x v="1"/>
    <x v="0"/>
    <x v="0"/>
    <x v="9"/>
    <n v="16086"/>
    <n v="8491.9107151200005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18886.75001168001"/>
    <n v="0"/>
    <n v="0"/>
    <n v="135240.3656980849"/>
    <n v="0"/>
    <n v="0"/>
  </r>
  <r>
    <s v="Regular"/>
    <x v="2"/>
    <x v="0"/>
    <x v="0"/>
    <x v="0"/>
    <x v="1"/>
    <x v="0"/>
    <x v="0"/>
    <x v="10"/>
    <n v="16063"/>
    <n v="9042.6228011599997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26596.71921623999"/>
    <n v="0"/>
    <n v="0"/>
    <n v="144010.88936572007"/>
    <n v="0"/>
    <n v="0"/>
  </r>
  <r>
    <s v="PROJETADO"/>
    <x v="2"/>
    <x v="0"/>
    <x v="0"/>
    <x v="0"/>
    <x v="1"/>
    <x v="0"/>
    <x v="0"/>
    <x v="11"/>
    <n v="16063"/>
    <n v="9042.6228011599997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26596.71921623999"/>
    <n v="0"/>
    <n v="0"/>
    <n v="144010.88936572007"/>
    <n v="0"/>
    <n v="0"/>
  </r>
  <r>
    <s v="Regular"/>
    <x v="2"/>
    <x v="0"/>
    <x v="0"/>
    <x v="0"/>
    <x v="1"/>
    <x v="0"/>
    <x v="1"/>
    <x v="0"/>
    <n v="0"/>
    <n v="0"/>
    <n v="7888.02"/>
    <n v="7888.02"/>
    <n v="0"/>
    <n v="0"/>
    <n v="10"/>
    <x v="0"/>
    <n v="0"/>
    <n v="0"/>
    <n v="12"/>
    <n v="0"/>
    <n v="0"/>
    <n v="72.150000000000006"/>
    <n v="0"/>
    <m/>
    <n v="117.70169496208672"/>
    <m/>
    <n v="0"/>
    <n v="569120.64300000004"/>
    <n v="0"/>
    <n v="0"/>
    <n v="928433.32389483938"/>
    <n v="0"/>
  </r>
  <r>
    <s v="Regular"/>
    <x v="2"/>
    <x v="0"/>
    <x v="0"/>
    <x v="0"/>
    <x v="1"/>
    <x v="0"/>
    <x v="1"/>
    <x v="1"/>
    <n v="0"/>
    <n v="0"/>
    <n v="7651.0950000000003"/>
    <n v="7651.0950000000003"/>
    <n v="0"/>
    <n v="0"/>
    <n v="10"/>
    <x v="0"/>
    <n v="0"/>
    <n v="0"/>
    <n v="12"/>
    <n v="0"/>
    <n v="0"/>
    <n v="72.150000000000006"/>
    <n v="0"/>
    <m/>
    <n v="117.70169496208672"/>
    <m/>
    <n v="0"/>
    <n v="552026.50425000011"/>
    <n v="0"/>
    <n v="0"/>
    <n v="900546.84981594689"/>
    <n v="0"/>
  </r>
  <r>
    <s v="Regular"/>
    <x v="2"/>
    <x v="0"/>
    <x v="0"/>
    <x v="0"/>
    <x v="1"/>
    <x v="0"/>
    <x v="1"/>
    <x v="2"/>
    <n v="0"/>
    <n v="0"/>
    <n v="7155.4250000000002"/>
    <n v="7155.4250000000002"/>
    <n v="0"/>
    <n v="0"/>
    <n v="10"/>
    <x v="0"/>
    <n v="0"/>
    <n v="0"/>
    <n v="12"/>
    <n v="0"/>
    <n v="0"/>
    <n v="72.150000000000006"/>
    <n v="0"/>
    <m/>
    <n v="117.70169496208672"/>
    <m/>
    <n v="0"/>
    <n v="516263.91375000007"/>
    <n v="0"/>
    <n v="0"/>
    <n v="842205.65067408944"/>
    <n v="0"/>
  </r>
  <r>
    <s v="Regular"/>
    <x v="2"/>
    <x v="0"/>
    <x v="0"/>
    <x v="0"/>
    <x v="1"/>
    <x v="0"/>
    <x v="1"/>
    <x v="3"/>
    <n v="0"/>
    <n v="0"/>
    <n v="7542.44"/>
    <n v="7542.44"/>
    <n v="0"/>
    <n v="0"/>
    <n v="10"/>
    <x v="0"/>
    <n v="0"/>
    <n v="0"/>
    <n v="12"/>
    <n v="0"/>
    <n v="0"/>
    <n v="72.150000000000006"/>
    <n v="0"/>
    <m/>
    <n v="117.70169496208672"/>
    <m/>
    <n v="0"/>
    <n v="544187.04599999997"/>
    <n v="0"/>
    <n v="0"/>
    <n v="887757.97214984125"/>
    <n v="0"/>
  </r>
  <r>
    <s v="Regular"/>
    <x v="2"/>
    <x v="0"/>
    <x v="0"/>
    <x v="0"/>
    <x v="1"/>
    <x v="0"/>
    <x v="1"/>
    <x v="4"/>
    <n v="0"/>
    <n v="0"/>
    <n v="7411.6469999999999"/>
    <n v="7411.6469999999999"/>
    <n v="0"/>
    <n v="0"/>
    <n v="10"/>
    <x v="0"/>
    <n v="0"/>
    <n v="0"/>
    <n v="12"/>
    <n v="0"/>
    <n v="0"/>
    <n v="72.150000000000006"/>
    <n v="0"/>
    <m/>
    <n v="117.70169496208672"/>
    <m/>
    <n v="0"/>
    <n v="534750.33105000004"/>
    <n v="0"/>
    <n v="0"/>
    <n v="872363.41436066513"/>
    <n v="0"/>
  </r>
  <r>
    <s v="Regular"/>
    <x v="2"/>
    <x v="0"/>
    <x v="0"/>
    <x v="0"/>
    <x v="1"/>
    <x v="0"/>
    <x v="1"/>
    <x v="5"/>
    <n v="0"/>
    <n v="0"/>
    <n v="7972.3119999999999"/>
    <n v="7972.3119999999999"/>
    <n v="0"/>
    <n v="0"/>
    <n v="10"/>
    <x v="0"/>
    <n v="0"/>
    <n v="0"/>
    <n v="12"/>
    <n v="0"/>
    <n v="0"/>
    <n v="72.150000000000006"/>
    <n v="0"/>
    <m/>
    <n v="117.70169496208672"/>
    <m/>
    <n v="0"/>
    <n v="575202.31080000009"/>
    <n v="0"/>
    <n v="0"/>
    <n v="938354.63516658347"/>
    <n v="0"/>
  </r>
  <r>
    <s v="Regular"/>
    <x v="2"/>
    <x v="0"/>
    <x v="0"/>
    <x v="0"/>
    <x v="1"/>
    <x v="0"/>
    <x v="1"/>
    <x v="6"/>
    <n v="0"/>
    <n v="0"/>
    <n v="7239.27"/>
    <n v="7239.27"/>
    <n v="0"/>
    <n v="0"/>
    <n v="10"/>
    <x v="0"/>
    <n v="0"/>
    <n v="0"/>
    <n v="12"/>
    <n v="0"/>
    <n v="0"/>
    <n v="72.150000000000006"/>
    <n v="0"/>
    <m/>
    <n v="117.70169496208672"/>
    <m/>
    <n v="0"/>
    <n v="522313.3305000001"/>
    <n v="0"/>
    <n v="0"/>
    <n v="852074.34928818559"/>
    <n v="0"/>
  </r>
  <r>
    <s v="Regular"/>
    <x v="2"/>
    <x v="0"/>
    <x v="0"/>
    <x v="0"/>
    <x v="1"/>
    <x v="0"/>
    <x v="1"/>
    <x v="7"/>
    <n v="0"/>
    <n v="0"/>
    <n v="7397.8249999999998"/>
    <n v="7397.8249999999998"/>
    <n v="0"/>
    <n v="0"/>
    <n v="10"/>
    <x v="0"/>
    <n v="0"/>
    <n v="0"/>
    <n v="12"/>
    <n v="0"/>
    <n v="0"/>
    <n v="72.150000000000006"/>
    <n v="0"/>
    <m/>
    <n v="117.70169496208672"/>
    <m/>
    <n v="0"/>
    <n v="533753.07374999998"/>
    <n v="0"/>
    <n v="0"/>
    <n v="870736.54153289914"/>
    <n v="0"/>
  </r>
  <r>
    <s v="Regular"/>
    <x v="2"/>
    <x v="0"/>
    <x v="0"/>
    <x v="0"/>
    <x v="1"/>
    <x v="0"/>
    <x v="1"/>
    <x v="8"/>
    <n v="0"/>
    <n v="0"/>
    <n v="7032.8630000000003"/>
    <n v="7032.8630000000003"/>
    <n v="0"/>
    <n v="0"/>
    <n v="10"/>
    <x v="0"/>
    <n v="0"/>
    <n v="0"/>
    <n v="12"/>
    <n v="0"/>
    <n v="0"/>
    <n v="72.150000000000006"/>
    <n v="0"/>
    <m/>
    <n v="117.70169496208672"/>
    <m/>
    <n v="0"/>
    <n v="507421.06545000005"/>
    <n v="0"/>
    <n v="0"/>
    <n v="827779.89553614613"/>
    <n v="0"/>
  </r>
  <r>
    <s v="Regular"/>
    <x v="2"/>
    <x v="0"/>
    <x v="0"/>
    <x v="0"/>
    <x v="1"/>
    <x v="0"/>
    <x v="1"/>
    <x v="9"/>
    <n v="0"/>
    <n v="0"/>
    <n v="7387.9709999999995"/>
    <n v="7387.9709999999995"/>
    <n v="0"/>
    <n v="0"/>
    <n v="10"/>
    <x v="0"/>
    <n v="0"/>
    <n v="0"/>
    <n v="12"/>
    <n v="0"/>
    <n v="0"/>
    <n v="72.150000000000006"/>
    <n v="0"/>
    <m/>
    <n v="117.70169496208672"/>
    <m/>
    <n v="0"/>
    <n v="533042.10765000002"/>
    <n v="0"/>
    <n v="0"/>
    <n v="869576.70903074276"/>
    <n v="0"/>
  </r>
  <r>
    <s v="Regular"/>
    <x v="2"/>
    <x v="0"/>
    <x v="0"/>
    <x v="0"/>
    <x v="1"/>
    <x v="0"/>
    <x v="1"/>
    <x v="10"/>
    <n v="0"/>
    <n v="0"/>
    <n v="7595.0789999999997"/>
    <n v="7595.0789999999997"/>
    <n v="0"/>
    <n v="0"/>
    <n v="10"/>
    <x v="0"/>
    <n v="0"/>
    <n v="0"/>
    <n v="12"/>
    <n v="0"/>
    <n v="0"/>
    <n v="72.150000000000006"/>
    <n v="0"/>
    <m/>
    <n v="117.70169496208672"/>
    <m/>
    <n v="0"/>
    <n v="547984.94984999998"/>
    <n v="0"/>
    <n v="0"/>
    <n v="893953.6716709506"/>
    <n v="0"/>
  </r>
  <r>
    <s v="PROJETADO"/>
    <x v="2"/>
    <x v="0"/>
    <x v="0"/>
    <x v="0"/>
    <x v="1"/>
    <x v="0"/>
    <x v="1"/>
    <x v="11"/>
    <n v="0"/>
    <n v="0"/>
    <n v="7595.0789999999997"/>
    <n v="7595.0789999999997"/>
    <n v="0"/>
    <n v="0"/>
    <n v="10"/>
    <x v="0"/>
    <n v="0"/>
    <n v="0"/>
    <n v="12"/>
    <n v="0"/>
    <n v="0"/>
    <n v="72.150000000000006"/>
    <n v="0"/>
    <m/>
    <n v="117.70169496208672"/>
    <m/>
    <n v="0"/>
    <n v="547984.94984999998"/>
    <n v="0"/>
    <n v="0"/>
    <n v="893953.6716709506"/>
    <n v="0"/>
  </r>
  <r>
    <s v="Regular"/>
    <x v="2"/>
    <x v="0"/>
    <x v="0"/>
    <x v="0"/>
    <x v="1"/>
    <x v="0"/>
    <x v="2"/>
    <x v="0"/>
    <n v="15209"/>
    <n v="9741.9908066200005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348373.59124473121"/>
    <n v="0"/>
    <n v="0"/>
    <n v="397096.28618191741"/>
    <n v="0"/>
    <n v="0"/>
  </r>
  <r>
    <s v="Regular"/>
    <x v="2"/>
    <x v="0"/>
    <x v="0"/>
    <x v="0"/>
    <x v="1"/>
    <x v="0"/>
    <x v="2"/>
    <x v="1"/>
    <n v="15104"/>
    <n v="9762.3642188800004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349102.14446714881"/>
    <n v="0"/>
    <n v="0"/>
    <n v="397926.73311067058"/>
    <n v="0"/>
    <n v="0"/>
  </r>
  <r>
    <s v="Regular"/>
    <x v="2"/>
    <x v="0"/>
    <x v="0"/>
    <x v="0"/>
    <x v="1"/>
    <x v="0"/>
    <x v="2"/>
    <x v="2"/>
    <n v="15151"/>
    <n v="8719.4845880499997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311808.76886866795"/>
    <n v="0"/>
    <n v="0"/>
    <n v="355417.59544489166"/>
    <n v="0"/>
    <n v="0"/>
  </r>
  <r>
    <s v="Regular"/>
    <x v="2"/>
    <x v="0"/>
    <x v="0"/>
    <x v="0"/>
    <x v="1"/>
    <x v="0"/>
    <x v="2"/>
    <x v="3"/>
    <n v="15170"/>
    <n v="9036.5050420000007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323145.42030191998"/>
    <n v="0"/>
    <n v="0"/>
    <n v="368339.76375793363"/>
    <n v="0"/>
    <n v="0"/>
  </r>
  <r>
    <s v="Regular"/>
    <x v="2"/>
    <x v="0"/>
    <x v="0"/>
    <x v="0"/>
    <x v="1"/>
    <x v="0"/>
    <x v="2"/>
    <x v="4"/>
    <n v="15437"/>
    <n v="8333.5986883799997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298009.48909646878"/>
    <n v="0"/>
    <n v="0"/>
    <n v="339688.38149975042"/>
    <n v="0"/>
    <n v="0"/>
  </r>
  <r>
    <s v="Regular"/>
    <x v="2"/>
    <x v="0"/>
    <x v="0"/>
    <x v="0"/>
    <x v="1"/>
    <x v="0"/>
    <x v="2"/>
    <x v="5"/>
    <n v="15298"/>
    <n v="7554.5100672400004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270149.28000450239"/>
    <n v="0"/>
    <n v="0"/>
    <n v="307931.71038371371"/>
    <n v="0"/>
    <n v="0"/>
  </r>
  <r>
    <s v="Regular"/>
    <x v="2"/>
    <x v="0"/>
    <x v="0"/>
    <x v="0"/>
    <x v="1"/>
    <x v="0"/>
    <x v="2"/>
    <x v="6"/>
    <n v="15512"/>
    <n v="10036.9224844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358920.34804214397"/>
    <n v="0"/>
    <n v="0"/>
    <n v="409118.08708982379"/>
    <n v="0"/>
    <n v="0"/>
  </r>
  <r>
    <s v="Regular"/>
    <x v="2"/>
    <x v="0"/>
    <x v="0"/>
    <x v="0"/>
    <x v="1"/>
    <x v="0"/>
    <x v="2"/>
    <x v="7"/>
    <n v="15447"/>
    <n v="9418.8297213299993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336817.35083476076"/>
    <n v="0"/>
    <n v="0"/>
    <n v="383923.81770453235"/>
    <n v="0"/>
    <n v="0"/>
  </r>
  <r>
    <s v="Regular"/>
    <x v="2"/>
    <x v="0"/>
    <x v="0"/>
    <x v="0"/>
    <x v="1"/>
    <x v="0"/>
    <x v="2"/>
    <x v="8"/>
    <n v="15443"/>
    <n v="7695.1753989099998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275179.47226502158"/>
    <n v="0"/>
    <n v="0"/>
    <n v="313665.41326944699"/>
    <n v="0"/>
    <n v="0"/>
  </r>
  <r>
    <s v="Regular"/>
    <x v="2"/>
    <x v="0"/>
    <x v="0"/>
    <x v="0"/>
    <x v="1"/>
    <x v="0"/>
    <x v="2"/>
    <x v="9"/>
    <n v="15437"/>
    <n v="8181.5836027300002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292573.42963362479"/>
    <n v="0"/>
    <n v="0"/>
    <n v="333492.04779820133"/>
    <n v="0"/>
    <n v="0"/>
  </r>
  <r>
    <s v="Regular"/>
    <x v="2"/>
    <x v="0"/>
    <x v="0"/>
    <x v="0"/>
    <x v="1"/>
    <x v="0"/>
    <x v="2"/>
    <x v="10"/>
    <n v="15410"/>
    <n v="8717.6713861000007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311743.92876693601"/>
    <n v="0"/>
    <n v="0"/>
    <n v="355343.68696204305"/>
    <n v="0"/>
    <n v="0"/>
  </r>
  <r>
    <s v="PROJETADO"/>
    <x v="2"/>
    <x v="0"/>
    <x v="0"/>
    <x v="0"/>
    <x v="1"/>
    <x v="0"/>
    <x v="2"/>
    <x v="11"/>
    <n v="15410"/>
    <n v="8717.6713861000007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311743.92876693601"/>
    <n v="0"/>
    <n v="0"/>
    <n v="355343.68696204305"/>
    <n v="0"/>
    <n v="0"/>
  </r>
  <r>
    <s v="Regular"/>
    <x v="2"/>
    <x v="0"/>
    <x v="0"/>
    <x v="0"/>
    <x v="0"/>
    <x v="0"/>
    <x v="0"/>
    <x v="0"/>
    <n v="655"/>
    <n v="655"/>
    <n v="245.398"/>
    <n v="245.398"/>
    <n v="245.398"/>
    <n v="245.398"/>
    <n v="0"/>
    <x v="2"/>
    <n v="0"/>
    <n v="22"/>
    <n v="12"/>
    <n v="61"/>
    <n v="14"/>
    <n v="72.150000000000006"/>
    <n v="278.67"/>
    <n v="15.925787521209683"/>
    <n v="117.70169496208672"/>
    <n v="295.87360985530717"/>
    <n v="9170"/>
    <n v="17705.465700000001"/>
    <n v="68385.060660000003"/>
    <n v="10431.390826392342"/>
    <n v="28883.760540306157"/>
    <n v="72606.792111272662"/>
  </r>
  <r>
    <s v="Regular"/>
    <x v="2"/>
    <x v="0"/>
    <x v="0"/>
    <x v="0"/>
    <x v="0"/>
    <x v="0"/>
    <x v="0"/>
    <x v="0"/>
    <n v="12919"/>
    <n v="12919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80866"/>
    <n v="0"/>
    <n v="0"/>
    <n v="205745.24898650788"/>
    <n v="0"/>
    <n v="0"/>
  </r>
  <r>
    <s v="Regular"/>
    <x v="2"/>
    <x v="0"/>
    <x v="0"/>
    <x v="0"/>
    <x v="0"/>
    <x v="0"/>
    <x v="0"/>
    <x v="1"/>
    <n v="644"/>
    <n v="644"/>
    <n v="196.267"/>
    <n v="196.267"/>
    <n v="196.267"/>
    <n v="196.267"/>
    <n v="0"/>
    <x v="2"/>
    <n v="0"/>
    <n v="22"/>
    <n v="12"/>
    <n v="61"/>
    <n v="14"/>
    <n v="72.150000000000006"/>
    <n v="278.67"/>
    <n v="15.925787521209683"/>
    <n v="117.70169496208672"/>
    <n v="295.87360985530717"/>
    <n v="9016"/>
    <n v="14160.664050000001"/>
    <n v="54693.724890000005"/>
    <n v="10256.207163659035"/>
    <n v="23100.958565123874"/>
    <n v="58070.225785471572"/>
  </r>
  <r>
    <s v="Regular"/>
    <x v="2"/>
    <x v="0"/>
    <x v="0"/>
    <x v="0"/>
    <x v="0"/>
    <x v="0"/>
    <x v="0"/>
    <x v="1"/>
    <n v="12908"/>
    <n v="12908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80712"/>
    <n v="0"/>
    <n v="0"/>
    <n v="205570.06532377459"/>
    <n v="0"/>
    <n v="0"/>
  </r>
  <r>
    <s v="Regular"/>
    <x v="2"/>
    <x v="0"/>
    <x v="0"/>
    <x v="0"/>
    <x v="0"/>
    <x v="0"/>
    <x v="0"/>
    <x v="2"/>
    <n v="673"/>
    <n v="673"/>
    <n v="252.768"/>
    <n v="252.768"/>
    <n v="252.768"/>
    <n v="252.768"/>
    <n v="0"/>
    <x v="2"/>
    <n v="0"/>
    <n v="22"/>
    <n v="12"/>
    <n v="61"/>
    <n v="14"/>
    <n v="72.150000000000006"/>
    <n v="278.67"/>
    <n v="15.925787521209683"/>
    <n v="117.70169496208672"/>
    <n v="295.87360985530717"/>
    <n v="9422"/>
    <n v="18237.211200000002"/>
    <n v="70438.858560000008"/>
    <n v="10718.055001774117"/>
    <n v="29751.222032176735"/>
    <n v="74787.380615906281"/>
  </r>
  <r>
    <s v="Regular"/>
    <x v="2"/>
    <x v="0"/>
    <x v="0"/>
    <x v="0"/>
    <x v="0"/>
    <x v="0"/>
    <x v="0"/>
    <x v="2"/>
    <n v="13049"/>
    <n v="13049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82686"/>
    <n v="0"/>
    <n v="0"/>
    <n v="207815.60136426517"/>
    <n v="0"/>
    <n v="0"/>
  </r>
  <r>
    <s v="Regular"/>
    <x v="2"/>
    <x v="0"/>
    <x v="0"/>
    <x v="0"/>
    <x v="0"/>
    <x v="0"/>
    <x v="0"/>
    <x v="3"/>
    <n v="715"/>
    <n v="715"/>
    <n v="304.98899999999998"/>
    <n v="304.98899999999998"/>
    <n v="304.98899999999998"/>
    <n v="304.98899999999998"/>
    <n v="0"/>
    <x v="2"/>
    <n v="0"/>
    <n v="22"/>
    <n v="12"/>
    <n v="61"/>
    <n v="14"/>
    <n v="72.150000000000006"/>
    <n v="278.67"/>
    <n v="15.925787521209683"/>
    <n v="117.70169496208672"/>
    <n v="295.87360985530717"/>
    <n v="10010"/>
    <n v="22004.95635"/>
    <n v="84991.284629999995"/>
    <n v="11386.938077664923"/>
    <n v="35897.722244791861"/>
    <n v="90238.196396160274"/>
  </r>
  <r>
    <s v="Regular"/>
    <x v="2"/>
    <x v="0"/>
    <x v="0"/>
    <x v="0"/>
    <x v="0"/>
    <x v="0"/>
    <x v="0"/>
    <x v="3"/>
    <n v="13010"/>
    <n v="13010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82140"/>
    <n v="0"/>
    <n v="0"/>
    <n v="207194.49565093798"/>
    <n v="0"/>
    <n v="0"/>
  </r>
  <r>
    <s v="Regular"/>
    <x v="2"/>
    <x v="0"/>
    <x v="0"/>
    <x v="0"/>
    <x v="0"/>
    <x v="0"/>
    <x v="0"/>
    <x v="4"/>
    <n v="667"/>
    <n v="667"/>
    <n v="235.69800000000001"/>
    <n v="235.69800000000001"/>
    <n v="235.69800000000001"/>
    <n v="235.69800000000001"/>
    <n v="0"/>
    <x v="2"/>
    <n v="0"/>
    <n v="22"/>
    <n v="12"/>
    <n v="61"/>
    <n v="14"/>
    <n v="72.150000000000006"/>
    <n v="278.67"/>
    <n v="15.925787521209683"/>
    <n v="117.70169496208672"/>
    <n v="295.87360985530717"/>
    <n v="9338"/>
    <n v="17005.610700000001"/>
    <n v="65681.961660000001"/>
    <n v="10622.500276646859"/>
    <n v="27742.054099173918"/>
    <n v="69736.818095676193"/>
  </r>
  <r>
    <s v="Regular"/>
    <x v="2"/>
    <x v="0"/>
    <x v="0"/>
    <x v="0"/>
    <x v="0"/>
    <x v="0"/>
    <x v="0"/>
    <x v="4"/>
    <n v="10852"/>
    <n v="10852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51928"/>
    <n v="0"/>
    <n v="0"/>
    <n v="172826.64618016747"/>
    <n v="0"/>
    <n v="0"/>
  </r>
  <r>
    <s v="Regular"/>
    <x v="2"/>
    <x v="0"/>
    <x v="0"/>
    <x v="0"/>
    <x v="0"/>
    <x v="0"/>
    <x v="0"/>
    <x v="5"/>
    <n v="694"/>
    <n v="694"/>
    <n v="315.24099999999999"/>
    <n v="315.24099999999999"/>
    <n v="315.24099999999999"/>
    <n v="315.24099999999999"/>
    <n v="0"/>
    <x v="2"/>
    <n v="0"/>
    <n v="22"/>
    <n v="12"/>
    <n v="61"/>
    <n v="14"/>
    <n v="72.150000000000006"/>
    <n v="278.67"/>
    <n v="15.925787521209683"/>
    <n v="117.70169496208672"/>
    <n v="295.87360985530717"/>
    <n v="9716"/>
    <n v="22744.638150000002"/>
    <n v="87848.209470000002"/>
    <n v="11052.496539719519"/>
    <n v="37104.400021543181"/>
    <n v="93271.492644396887"/>
  </r>
  <r>
    <s v="Regular"/>
    <x v="2"/>
    <x v="0"/>
    <x v="0"/>
    <x v="0"/>
    <x v="0"/>
    <x v="0"/>
    <x v="0"/>
    <x v="5"/>
    <n v="10265"/>
    <n v="10265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43710"/>
    <n v="0"/>
    <n v="0"/>
    <n v="163478.20890521738"/>
    <n v="0"/>
    <n v="0"/>
  </r>
  <r>
    <s v="Regular"/>
    <x v="2"/>
    <x v="0"/>
    <x v="0"/>
    <x v="0"/>
    <x v="0"/>
    <x v="0"/>
    <x v="0"/>
    <x v="6"/>
    <n v="689"/>
    <n v="689"/>
    <n v="262.39299999999997"/>
    <n v="262.39299999999997"/>
    <n v="262.39299999999997"/>
    <n v="262.39299999999997"/>
    <n v="0"/>
    <x v="2"/>
    <n v="0"/>
    <n v="22"/>
    <n v="12"/>
    <n v="61"/>
    <n v="14"/>
    <n v="72.150000000000006"/>
    <n v="278.67"/>
    <n v="15.925787521209683"/>
    <n v="117.70169496208672"/>
    <n v="295.87360985530717"/>
    <n v="9646"/>
    <n v="18931.65495"/>
    <n v="73121.057309999989"/>
    <n v="10972.867602113472"/>
    <n v="30884.100846186819"/>
    <n v="77635.16411076361"/>
  </r>
  <r>
    <s v="Regular"/>
    <x v="2"/>
    <x v="0"/>
    <x v="0"/>
    <x v="0"/>
    <x v="0"/>
    <x v="0"/>
    <x v="0"/>
    <x v="6"/>
    <n v="11423"/>
    <n v="11423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59922"/>
    <n v="0"/>
    <n v="0"/>
    <n v="181920.27085477821"/>
    <n v="0"/>
    <n v="0"/>
  </r>
  <r>
    <s v="Regular"/>
    <x v="2"/>
    <x v="0"/>
    <x v="0"/>
    <x v="0"/>
    <x v="0"/>
    <x v="0"/>
    <x v="0"/>
    <x v="7"/>
    <n v="703"/>
    <n v="703"/>
    <n v="305.15199999999999"/>
    <n v="305.15199999999999"/>
    <n v="305.15199999999999"/>
    <n v="305.15199999999999"/>
    <n v="0"/>
    <x v="2"/>
    <n v="0"/>
    <n v="22"/>
    <n v="12"/>
    <n v="61"/>
    <n v="14"/>
    <n v="72.150000000000006"/>
    <n v="278.67"/>
    <n v="15.925787521209683"/>
    <n v="117.70169496208672"/>
    <n v="295.87360985530717"/>
    <n v="9842"/>
    <n v="22016.716800000002"/>
    <n v="85036.707840000003"/>
    <n v="11195.828627410407"/>
    <n v="35916.907621070684"/>
    <n v="90286.423794566683"/>
  </r>
  <r>
    <s v="Regular"/>
    <x v="2"/>
    <x v="0"/>
    <x v="0"/>
    <x v="0"/>
    <x v="0"/>
    <x v="0"/>
    <x v="0"/>
    <x v="7"/>
    <n v="11194"/>
    <n v="11194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56716"/>
    <n v="0"/>
    <n v="0"/>
    <n v="178273.2655124212"/>
    <n v="0"/>
    <n v="0"/>
  </r>
  <r>
    <s v="Regular"/>
    <x v="2"/>
    <x v="0"/>
    <x v="0"/>
    <x v="0"/>
    <x v="0"/>
    <x v="0"/>
    <x v="0"/>
    <x v="8"/>
    <n v="690"/>
    <n v="690"/>
    <n v="149.71"/>
    <n v="149.71"/>
    <n v="149.71"/>
    <n v="149.71"/>
    <n v="0"/>
    <x v="2"/>
    <n v="0"/>
    <n v="22"/>
    <n v="12"/>
    <n v="61"/>
    <n v="14"/>
    <n v="72.150000000000006"/>
    <n v="278.67"/>
    <n v="15.925787521209683"/>
    <n v="117.70169496208672"/>
    <n v="295.87360985530717"/>
    <n v="9660"/>
    <n v="10801.576500000001"/>
    <n v="41719.685700000002"/>
    <n v="10988.793389634682"/>
    <n v="17621.120752774004"/>
    <n v="44295.23813143804"/>
  </r>
  <r>
    <s v="Regular"/>
    <x v="2"/>
    <x v="0"/>
    <x v="0"/>
    <x v="0"/>
    <x v="0"/>
    <x v="0"/>
    <x v="0"/>
    <x v="8"/>
    <n v="11262"/>
    <n v="11262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57668"/>
    <n v="0"/>
    <n v="0"/>
    <n v="179356.21906386345"/>
    <n v="0"/>
    <n v="0"/>
  </r>
  <r>
    <s v="Regular"/>
    <x v="2"/>
    <x v="0"/>
    <x v="0"/>
    <x v="0"/>
    <x v="0"/>
    <x v="0"/>
    <x v="0"/>
    <x v="9"/>
    <n v="684"/>
    <n v="684"/>
    <n v="295.78199999999998"/>
    <n v="295.78199999999998"/>
    <n v="295.78199999999998"/>
    <n v="295.78199999999998"/>
    <n v="0"/>
    <x v="2"/>
    <n v="0"/>
    <n v="22"/>
    <n v="12"/>
    <n v="61"/>
    <n v="14"/>
    <n v="72.150000000000006"/>
    <n v="278.67"/>
    <n v="15.925787521209683"/>
    <n v="117.70169496208672"/>
    <n v="295.87360985530717"/>
    <n v="9576"/>
    <n v="21340.671300000002"/>
    <n v="82425.569940000001"/>
    <n v="10893.238664507424"/>
    <n v="34814.04273927593"/>
    <n v="87514.088070222453"/>
  </r>
  <r>
    <s v="Regular"/>
    <x v="2"/>
    <x v="0"/>
    <x v="0"/>
    <x v="0"/>
    <x v="0"/>
    <x v="0"/>
    <x v="0"/>
    <x v="9"/>
    <n v="11014"/>
    <n v="11014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54196"/>
    <n v="0"/>
    <n v="0"/>
    <n v="175406.62375860344"/>
    <n v="0"/>
    <n v="0"/>
  </r>
  <r>
    <s v="Regular"/>
    <x v="2"/>
    <x v="0"/>
    <x v="0"/>
    <x v="0"/>
    <x v="0"/>
    <x v="0"/>
    <x v="0"/>
    <x v="10"/>
    <n v="718"/>
    <n v="718"/>
    <n v="289.19900000000001"/>
    <n v="289.19900000000001"/>
    <n v="289.19900000000001"/>
    <n v="289.19900000000001"/>
    <n v="0"/>
    <x v="2"/>
    <n v="0"/>
    <n v="22"/>
    <n v="12"/>
    <n v="61"/>
    <n v="14"/>
    <n v="72.150000000000006"/>
    <n v="278.67"/>
    <n v="15.925787521209683"/>
    <n v="117.70169496208672"/>
    <n v="295.87360985530717"/>
    <n v="10052"/>
    <n v="20865.707850000003"/>
    <n v="80591.085330000002"/>
    <n v="11434.715440228552"/>
    <n v="34039.212481340517"/>
    <n v="85566.352096544986"/>
  </r>
  <r>
    <s v="Regular"/>
    <x v="2"/>
    <x v="0"/>
    <x v="0"/>
    <x v="0"/>
    <x v="0"/>
    <x v="0"/>
    <x v="0"/>
    <x v="10"/>
    <n v="12172"/>
    <n v="12172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70408"/>
    <n v="0"/>
    <n v="0"/>
    <n v="193848.68570816427"/>
    <n v="0"/>
    <n v="0"/>
  </r>
  <r>
    <s v="PROJETADO"/>
    <x v="2"/>
    <x v="0"/>
    <x v="0"/>
    <x v="0"/>
    <x v="0"/>
    <x v="0"/>
    <x v="0"/>
    <x v="11"/>
    <n v="718"/>
    <n v="718"/>
    <n v="289.19900000000001"/>
    <n v="289.19900000000001"/>
    <n v="289.19900000000001"/>
    <n v="289.19900000000001"/>
    <n v="0"/>
    <x v="2"/>
    <n v="0"/>
    <n v="22"/>
    <n v="12"/>
    <n v="61"/>
    <n v="14"/>
    <n v="72.150000000000006"/>
    <n v="278.67"/>
    <n v="15.925787521209683"/>
    <n v="117.70169496208672"/>
    <n v="295.87360985530717"/>
    <n v="10052"/>
    <n v="20865.707850000003"/>
    <n v="80591.085330000002"/>
    <n v="11434.715440228552"/>
    <n v="34039.212481340517"/>
    <n v="85566.352096544986"/>
  </r>
  <r>
    <s v="PROJETADO"/>
    <x v="2"/>
    <x v="0"/>
    <x v="0"/>
    <x v="0"/>
    <x v="0"/>
    <x v="0"/>
    <x v="0"/>
    <x v="11"/>
    <n v="12172"/>
    <n v="12172"/>
    <n v="0"/>
    <n v="0"/>
    <n v="0"/>
    <n v="0"/>
    <n v="0"/>
    <x v="0"/>
    <n v="0"/>
    <n v="22"/>
    <n v="0"/>
    <n v="0"/>
    <n v="14"/>
    <n v="0"/>
    <n v="0"/>
    <n v="15.925787521209683"/>
    <n v="117.70169496208672"/>
    <m/>
    <n v="170408"/>
    <n v="0"/>
    <n v="0"/>
    <n v="193848.68570816427"/>
    <n v="0"/>
    <n v="0"/>
  </r>
  <r>
    <s v="Regular"/>
    <x v="2"/>
    <x v="0"/>
    <x v="0"/>
    <x v="0"/>
    <x v="0"/>
    <x v="0"/>
    <x v="1"/>
    <x v="0"/>
    <n v="0"/>
    <n v="0"/>
    <n v="7162.64"/>
    <n v="7162.64"/>
    <n v="0"/>
    <n v="0"/>
    <n v="2"/>
    <x v="0"/>
    <n v="0"/>
    <n v="0"/>
    <n v="12"/>
    <n v="0"/>
    <n v="0"/>
    <n v="72.150000000000006"/>
    <n v="0"/>
    <m/>
    <n v="117.70169496208672"/>
    <m/>
    <n v="0"/>
    <n v="516784.47600000008"/>
    <n v="0"/>
    <n v="0"/>
    <n v="843054.86840324081"/>
    <n v="0"/>
  </r>
  <r>
    <s v="Regular"/>
    <x v="2"/>
    <x v="0"/>
    <x v="0"/>
    <x v="0"/>
    <x v="0"/>
    <x v="0"/>
    <x v="1"/>
    <x v="1"/>
    <n v="0"/>
    <n v="0"/>
    <n v="5818.6549999999997"/>
    <n v="5818.6549999999997"/>
    <n v="0"/>
    <n v="0"/>
    <n v="2"/>
    <x v="0"/>
    <n v="0"/>
    <n v="0"/>
    <n v="12"/>
    <n v="0"/>
    <n v="0"/>
    <n v="72.150000000000006"/>
    <n v="0"/>
    <m/>
    <n v="117.70169496208672"/>
    <m/>
    <n v="0"/>
    <n v="419815.95825000003"/>
    <n v="0"/>
    <n v="0"/>
    <n v="684865.55589962064"/>
    <n v="0"/>
  </r>
  <r>
    <s v="Regular"/>
    <x v="2"/>
    <x v="0"/>
    <x v="0"/>
    <x v="0"/>
    <x v="0"/>
    <x v="0"/>
    <x v="1"/>
    <x v="2"/>
    <n v="0"/>
    <n v="0"/>
    <n v="6211.3980000000001"/>
    <n v="6211.3980000000001"/>
    <n v="0"/>
    <n v="0"/>
    <n v="2"/>
    <x v="0"/>
    <n v="0"/>
    <n v="0"/>
    <n v="12"/>
    <n v="0"/>
    <n v="0"/>
    <n v="72.150000000000006"/>
    <n v="0"/>
    <m/>
    <n v="117.70169496208672"/>
    <m/>
    <n v="0"/>
    <n v="448152.36570000002"/>
    <n v="0"/>
    <n v="0"/>
    <n v="731092.0726841155"/>
    <n v="0"/>
  </r>
  <r>
    <s v="Regular"/>
    <x v="2"/>
    <x v="0"/>
    <x v="0"/>
    <x v="0"/>
    <x v="0"/>
    <x v="0"/>
    <x v="1"/>
    <x v="3"/>
    <n v="0"/>
    <n v="0"/>
    <n v="5905.0879999999997"/>
    <n v="5905.0879999999997"/>
    <n v="0"/>
    <n v="0"/>
    <n v="2"/>
    <x v="0"/>
    <n v="0"/>
    <n v="0"/>
    <n v="12"/>
    <n v="0"/>
    <n v="0"/>
    <n v="72.150000000000006"/>
    <n v="0"/>
    <m/>
    <n v="117.70169496208672"/>
    <m/>
    <n v="0"/>
    <n v="426052.0992"/>
    <n v="0"/>
    <n v="0"/>
    <n v="695038.8665002787"/>
    <n v="0"/>
  </r>
  <r>
    <s v="Regular"/>
    <x v="2"/>
    <x v="0"/>
    <x v="0"/>
    <x v="0"/>
    <x v="0"/>
    <x v="0"/>
    <x v="1"/>
    <x v="4"/>
    <n v="0"/>
    <n v="0"/>
    <n v="5358.7650000000003"/>
    <n v="5358.7650000000003"/>
    <n v="0"/>
    <n v="0"/>
    <n v="2"/>
    <x v="0"/>
    <n v="0"/>
    <n v="0"/>
    <n v="12"/>
    <n v="0"/>
    <n v="0"/>
    <n v="72.150000000000006"/>
    <n v="0"/>
    <m/>
    <n v="117.70169496208672"/>
    <m/>
    <n v="0"/>
    <n v="386634.89475000004"/>
    <n v="0"/>
    <n v="0"/>
    <n v="630735.72340350668"/>
    <n v="0"/>
  </r>
  <r>
    <s v="Regular"/>
    <x v="2"/>
    <x v="0"/>
    <x v="0"/>
    <x v="0"/>
    <x v="0"/>
    <x v="0"/>
    <x v="1"/>
    <x v="5"/>
    <n v="0"/>
    <n v="0"/>
    <n v="5838.027"/>
    <n v="5838.027"/>
    <n v="0"/>
    <n v="0"/>
    <n v="2"/>
    <x v="0"/>
    <n v="0"/>
    <n v="0"/>
    <n v="12"/>
    <n v="0"/>
    <n v="0"/>
    <n v="72.150000000000006"/>
    <n v="0"/>
    <m/>
    <n v="117.70169496208672"/>
    <m/>
    <n v="0"/>
    <n v="421213.64805000002"/>
    <n v="0"/>
    <n v="0"/>
    <n v="687145.67313442624"/>
    <n v="0"/>
  </r>
  <r>
    <s v="Regular"/>
    <x v="2"/>
    <x v="0"/>
    <x v="0"/>
    <x v="0"/>
    <x v="0"/>
    <x v="0"/>
    <x v="1"/>
    <x v="6"/>
    <n v="0"/>
    <n v="0"/>
    <n v="6169.2280000000001"/>
    <n v="6169.2280000000001"/>
    <n v="0"/>
    <n v="0"/>
    <n v="2"/>
    <x v="0"/>
    <n v="0"/>
    <n v="0"/>
    <n v="12"/>
    <n v="0"/>
    <n v="0"/>
    <n v="72.150000000000006"/>
    <n v="0"/>
    <m/>
    <n v="117.70169496208672"/>
    <m/>
    <n v="0"/>
    <n v="445109.80020000006"/>
    <n v="0"/>
    <n v="0"/>
    <n v="726128.59220756439"/>
    <n v="0"/>
  </r>
  <r>
    <s v="Regular"/>
    <x v="2"/>
    <x v="0"/>
    <x v="0"/>
    <x v="0"/>
    <x v="0"/>
    <x v="0"/>
    <x v="1"/>
    <x v="7"/>
    <n v="0"/>
    <n v="0"/>
    <n v="6457.0630000000001"/>
    <n v="6457.0630000000001"/>
    <n v="0"/>
    <n v="0"/>
    <n v="2"/>
    <x v="0"/>
    <n v="0"/>
    <n v="0"/>
    <n v="12"/>
    <n v="0"/>
    <n v="0"/>
    <n v="72.150000000000006"/>
    <n v="0"/>
    <m/>
    <n v="117.70169496208672"/>
    <m/>
    <n v="0"/>
    <n v="465877.09545000002"/>
    <n v="0"/>
    <n v="0"/>
    <n v="760007.25957697653"/>
    <n v="0"/>
  </r>
  <r>
    <s v="Regular"/>
    <x v="2"/>
    <x v="0"/>
    <x v="0"/>
    <x v="0"/>
    <x v="0"/>
    <x v="0"/>
    <x v="1"/>
    <x v="8"/>
    <n v="0"/>
    <n v="0"/>
    <n v="6208.5990000000002"/>
    <n v="6208.5990000000002"/>
    <n v="0"/>
    <n v="0"/>
    <n v="2"/>
    <x v="0"/>
    <n v="0"/>
    <n v="0"/>
    <n v="12"/>
    <n v="0"/>
    <n v="0"/>
    <n v="72.150000000000006"/>
    <n v="0"/>
    <m/>
    <n v="117.70169496208672"/>
    <m/>
    <n v="0"/>
    <n v="447950.41785000003"/>
    <n v="0"/>
    <n v="0"/>
    <n v="730762.62563991663"/>
    <n v="0"/>
  </r>
  <r>
    <s v="Regular"/>
    <x v="2"/>
    <x v="0"/>
    <x v="0"/>
    <x v="0"/>
    <x v="0"/>
    <x v="0"/>
    <x v="1"/>
    <x v="9"/>
    <n v="0"/>
    <n v="0"/>
    <n v="6185.0529999999999"/>
    <n v="6185.0529999999999"/>
    <n v="0"/>
    <n v="0"/>
    <n v="2"/>
    <x v="0"/>
    <n v="0"/>
    <n v="0"/>
    <n v="12"/>
    <n v="0"/>
    <n v="0"/>
    <n v="72.150000000000006"/>
    <n v="0"/>
    <m/>
    <n v="117.70169496208672"/>
    <m/>
    <n v="0"/>
    <n v="446251.57395000005"/>
    <n v="0"/>
    <n v="0"/>
    <n v="727991.22153033933"/>
    <n v="0"/>
  </r>
  <r>
    <s v="Regular"/>
    <x v="2"/>
    <x v="0"/>
    <x v="0"/>
    <x v="0"/>
    <x v="0"/>
    <x v="0"/>
    <x v="1"/>
    <x v="10"/>
    <n v="0"/>
    <n v="0"/>
    <n v="5556.5559999999996"/>
    <n v="5556.5559999999996"/>
    <n v="0"/>
    <n v="0"/>
    <n v="2"/>
    <x v="0"/>
    <n v="0"/>
    <n v="0"/>
    <n v="12"/>
    <n v="0"/>
    <n v="0"/>
    <n v="72.150000000000006"/>
    <n v="0"/>
    <m/>
    <n v="117.70169496208672"/>
    <m/>
    <n v="0"/>
    <n v="400905.51539999997"/>
    <n v="0"/>
    <n v="0"/>
    <n v="654016.05935175263"/>
    <n v="0"/>
  </r>
  <r>
    <s v="PROJETADO"/>
    <x v="2"/>
    <x v="0"/>
    <x v="0"/>
    <x v="0"/>
    <x v="0"/>
    <x v="0"/>
    <x v="1"/>
    <x v="11"/>
    <n v="0"/>
    <n v="0"/>
    <n v="5556.5559999999996"/>
    <n v="5556.5559999999996"/>
    <n v="0"/>
    <n v="0"/>
    <n v="2"/>
    <x v="0"/>
    <n v="0"/>
    <n v="0"/>
    <n v="12"/>
    <n v="0"/>
    <n v="0"/>
    <n v="72.150000000000006"/>
    <n v="0"/>
    <m/>
    <n v="117.70169496208672"/>
    <m/>
    <n v="0"/>
    <n v="400905.51539999997"/>
    <n v="0"/>
    <n v="0"/>
    <n v="654016.05935175263"/>
    <n v="0"/>
  </r>
  <r>
    <s v="Regular"/>
    <x v="2"/>
    <x v="0"/>
    <x v="0"/>
    <x v="0"/>
    <x v="0"/>
    <x v="0"/>
    <x v="2"/>
    <x v="0"/>
    <n v="609"/>
    <n v="609"/>
    <n v="23.344999999999999"/>
    <n v="23.344999999999999"/>
    <n v="23.344999999999999"/>
    <n v="23.344999999999999"/>
    <n v="0"/>
    <x v="2"/>
    <n v="0"/>
    <n v="9"/>
    <n v="12"/>
    <n v="38"/>
    <n v="35.76"/>
    <n v="72.150000000000006"/>
    <n v="442.86"/>
    <n v="40.761307833720963"/>
    <n v="117.70169496208672"/>
    <n v="476.88775168498375"/>
    <n v="21777.84"/>
    <n v="1684.34175"/>
    <n v="10338.566699999999"/>
    <n v="24823.636470736066"/>
    <n v="2747.7460688899141"/>
    <n v="11132.944563085945"/>
  </r>
  <r>
    <s v="Regular"/>
    <x v="2"/>
    <x v="0"/>
    <x v="0"/>
    <x v="0"/>
    <x v="0"/>
    <x v="0"/>
    <x v="2"/>
    <x v="0"/>
    <n v="12435"/>
    <n v="12435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444675.6"/>
    <n v="0"/>
    <n v="0"/>
    <n v="506866.86291232018"/>
    <n v="0"/>
    <n v="0"/>
  </r>
  <r>
    <s v="Regular"/>
    <x v="2"/>
    <x v="0"/>
    <x v="0"/>
    <x v="0"/>
    <x v="0"/>
    <x v="0"/>
    <x v="2"/>
    <x v="1"/>
    <n v="606"/>
    <n v="606"/>
    <n v="19.64"/>
    <n v="19.64"/>
    <n v="19.64"/>
    <n v="19.64"/>
    <n v="0"/>
    <x v="2"/>
    <n v="0"/>
    <n v="9"/>
    <n v="12"/>
    <n v="38"/>
    <n v="35.76"/>
    <n v="72.150000000000006"/>
    <n v="442.86"/>
    <n v="40.761307833720963"/>
    <n v="117.70169496208672"/>
    <n v="476.88775168498375"/>
    <n v="21670.559999999998"/>
    <n v="1417.0260000000001"/>
    <n v="8697.7704000000012"/>
    <n v="24701.352547234903"/>
    <n v="2311.6612890553833"/>
    <n v="9366.075443093081"/>
  </r>
  <r>
    <s v="Regular"/>
    <x v="2"/>
    <x v="0"/>
    <x v="0"/>
    <x v="0"/>
    <x v="0"/>
    <x v="0"/>
    <x v="2"/>
    <x v="1"/>
    <n v="12404"/>
    <n v="12404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443567.04"/>
    <n v="0"/>
    <n v="0"/>
    <n v="505603.2623694748"/>
    <n v="0"/>
    <n v="0"/>
  </r>
  <r>
    <s v="Regular"/>
    <x v="2"/>
    <x v="0"/>
    <x v="0"/>
    <x v="0"/>
    <x v="0"/>
    <x v="0"/>
    <x v="2"/>
    <x v="2"/>
    <n v="603"/>
    <n v="603"/>
    <n v="25.567"/>
    <n v="25.567"/>
    <n v="25.567"/>
    <n v="25.567"/>
    <n v="0"/>
    <x v="2"/>
    <n v="0"/>
    <n v="9"/>
    <n v="12"/>
    <n v="38"/>
    <n v="35.76"/>
    <n v="72.150000000000006"/>
    <n v="442.86"/>
    <n v="40.761307833720963"/>
    <n v="117.70169496208672"/>
    <n v="476.88775168498375"/>
    <n v="21563.279999999999"/>
    <n v="1844.6590500000002"/>
    <n v="11322.601620000001"/>
    <n v="24579.06862373374"/>
    <n v="3009.2792350956711"/>
    <n v="12192.58914732998"/>
  </r>
  <r>
    <s v="Regular"/>
    <x v="2"/>
    <x v="0"/>
    <x v="0"/>
    <x v="0"/>
    <x v="0"/>
    <x v="0"/>
    <x v="2"/>
    <x v="2"/>
    <n v="12551"/>
    <n v="12551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448823.75999999995"/>
    <n v="0"/>
    <n v="0"/>
    <n v="511595.17462103179"/>
    <n v="0"/>
    <n v="0"/>
  </r>
  <r>
    <s v="Regular"/>
    <x v="2"/>
    <x v="0"/>
    <x v="0"/>
    <x v="0"/>
    <x v="0"/>
    <x v="0"/>
    <x v="2"/>
    <x v="3"/>
    <n v="689"/>
    <n v="689"/>
    <n v="30.913"/>
    <n v="30.913"/>
    <n v="30.913"/>
    <n v="30.913"/>
    <n v="0"/>
    <x v="2"/>
    <n v="0"/>
    <n v="9"/>
    <n v="12"/>
    <n v="38"/>
    <n v="35.76"/>
    <n v="72.150000000000006"/>
    <n v="442.86"/>
    <n v="40.761307833720963"/>
    <n v="117.70169496208672"/>
    <n v="476.88775168498375"/>
    <n v="24638.639999999999"/>
    <n v="2230.3729500000004"/>
    <n v="13690.13118"/>
    <n v="28084.541097433743"/>
    <n v="3638.5124963629869"/>
    <n v="14742.031067837903"/>
  </r>
  <r>
    <s v="Regular"/>
    <x v="2"/>
    <x v="0"/>
    <x v="0"/>
    <x v="0"/>
    <x v="0"/>
    <x v="0"/>
    <x v="2"/>
    <x v="3"/>
    <n v="12584"/>
    <n v="12584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450003.83999999997"/>
    <n v="0"/>
    <n v="0"/>
    <n v="512940.29777954461"/>
    <n v="0"/>
    <n v="0"/>
  </r>
  <r>
    <s v="Regular"/>
    <x v="2"/>
    <x v="0"/>
    <x v="0"/>
    <x v="0"/>
    <x v="0"/>
    <x v="0"/>
    <x v="2"/>
    <x v="4"/>
    <n v="619"/>
    <n v="619"/>
    <n v="23.544"/>
    <n v="23.544"/>
    <n v="23.544"/>
    <n v="23.544"/>
    <n v="0"/>
    <x v="2"/>
    <n v="0"/>
    <n v="9"/>
    <n v="12"/>
    <n v="38"/>
    <n v="35.76"/>
    <n v="72.150000000000006"/>
    <n v="442.86"/>
    <n v="40.761307833720963"/>
    <n v="117.70169496208672"/>
    <n v="476.88775168498375"/>
    <n v="22135.439999999999"/>
    <n v="1698.6996000000001"/>
    <n v="10426.69584"/>
    <n v="25231.249549073276"/>
    <n v="2771.1687061873699"/>
    <n v="11227.845225671257"/>
  </r>
  <r>
    <s v="Regular"/>
    <x v="2"/>
    <x v="0"/>
    <x v="0"/>
    <x v="0"/>
    <x v="0"/>
    <x v="0"/>
    <x v="2"/>
    <x v="4"/>
    <n v="10384"/>
    <n v="10384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371331.83999999997"/>
    <n v="0"/>
    <n v="0"/>
    <n v="423265.4205453585"/>
    <n v="0"/>
    <n v="0"/>
  </r>
  <r>
    <s v="Regular"/>
    <x v="2"/>
    <x v="0"/>
    <x v="0"/>
    <x v="0"/>
    <x v="0"/>
    <x v="0"/>
    <x v="2"/>
    <x v="5"/>
    <n v="648"/>
    <n v="648"/>
    <n v="32.863999999999997"/>
    <n v="32.863999999999997"/>
    <n v="32.863999999999997"/>
    <n v="32.863999999999997"/>
    <n v="0"/>
    <x v="2"/>
    <n v="0"/>
    <n v="9"/>
    <n v="12"/>
    <n v="38"/>
    <n v="35.76"/>
    <n v="72.150000000000006"/>
    <n v="442.86"/>
    <n v="40.761307833720963"/>
    <n v="117.70169496208672"/>
    <n v="476.88775168498375"/>
    <n v="23172.48"/>
    <n v="2371.1376"/>
    <n v="14554.151039999999"/>
    <n v="26413.327476251183"/>
    <n v="3868.1485032340174"/>
    <n v="15672.439071375306"/>
  </r>
  <r>
    <s v="Regular"/>
    <x v="2"/>
    <x v="0"/>
    <x v="0"/>
    <x v="0"/>
    <x v="0"/>
    <x v="0"/>
    <x v="2"/>
    <x v="5"/>
    <n v="10358"/>
    <n v="10358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370402.07999999996"/>
    <n v="0"/>
    <n v="0"/>
    <n v="422205.62654168176"/>
    <n v="0"/>
    <n v="0"/>
  </r>
  <r>
    <s v="Regular"/>
    <x v="2"/>
    <x v="0"/>
    <x v="0"/>
    <x v="0"/>
    <x v="0"/>
    <x v="0"/>
    <x v="2"/>
    <x v="6"/>
    <n v="653"/>
    <n v="653"/>
    <n v="24.268999999999998"/>
    <n v="24.268999999999998"/>
    <n v="24.268999999999998"/>
    <n v="24.268999999999998"/>
    <n v="0"/>
    <x v="2"/>
    <n v="0"/>
    <n v="9"/>
    <n v="12"/>
    <n v="38"/>
    <n v="35.76"/>
    <n v="72.150000000000006"/>
    <n v="442.86"/>
    <n v="40.761307833720963"/>
    <n v="117.70169496208672"/>
    <n v="476.88775168498375"/>
    <n v="23351.279999999999"/>
    <n v="1751.0083500000001"/>
    <n v="10747.769339999999"/>
    <n v="26617.13401541979"/>
    <n v="2856.5024350348822"/>
    <n v="11573.588845642869"/>
  </r>
  <r>
    <s v="Regular"/>
    <x v="2"/>
    <x v="0"/>
    <x v="0"/>
    <x v="0"/>
    <x v="0"/>
    <x v="0"/>
    <x v="2"/>
    <x v="6"/>
    <n v="11220"/>
    <n v="11220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401227.19999999995"/>
    <n v="0"/>
    <n v="0"/>
    <n v="457341.87389434921"/>
    <n v="0"/>
    <n v="0"/>
  </r>
  <r>
    <s v="Regular"/>
    <x v="2"/>
    <x v="0"/>
    <x v="0"/>
    <x v="0"/>
    <x v="0"/>
    <x v="0"/>
    <x v="2"/>
    <x v="7"/>
    <n v="677"/>
    <n v="677"/>
    <n v="32.128"/>
    <n v="32.128"/>
    <n v="32.128"/>
    <n v="32.128"/>
    <n v="0"/>
    <x v="2"/>
    <n v="0"/>
    <n v="9"/>
    <n v="12"/>
    <n v="38"/>
    <n v="35.76"/>
    <n v="72.150000000000006"/>
    <n v="442.86"/>
    <n v="40.761307833720963"/>
    <n v="117.70169496208672"/>
    <n v="476.88775168498375"/>
    <n v="24209.52"/>
    <n v="2318.0352000000003"/>
    <n v="14228.20608"/>
    <n v="27595.405403429093"/>
    <n v="3781.5200557419221"/>
    <n v="15321.449686135158"/>
  </r>
  <r>
    <s v="Regular"/>
    <x v="2"/>
    <x v="0"/>
    <x v="0"/>
    <x v="0"/>
    <x v="0"/>
    <x v="0"/>
    <x v="2"/>
    <x v="7"/>
    <n v="10990"/>
    <n v="10990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393002.39999999997"/>
    <n v="0"/>
    <n v="0"/>
    <n v="447966.77309259336"/>
    <n v="0"/>
    <n v="0"/>
  </r>
  <r>
    <s v="Regular"/>
    <x v="2"/>
    <x v="0"/>
    <x v="0"/>
    <x v="0"/>
    <x v="0"/>
    <x v="0"/>
    <x v="2"/>
    <x v="8"/>
    <n v="654"/>
    <n v="654"/>
    <n v="17.777000000000001"/>
    <n v="17.777000000000001"/>
    <n v="17.777000000000001"/>
    <n v="17.777000000000001"/>
    <n v="0"/>
    <x v="2"/>
    <n v="0"/>
    <n v="9"/>
    <n v="12"/>
    <n v="38"/>
    <n v="35.76"/>
    <n v="72.150000000000006"/>
    <n v="442.86"/>
    <n v="40.761307833720963"/>
    <n v="117.70169496208672"/>
    <n v="476.88775168498375"/>
    <n v="23387.039999999997"/>
    <n v="1282.6105500000001"/>
    <n v="7872.7222200000006"/>
    <n v="26657.89532325351"/>
    <n v="2092.3830313410158"/>
    <n v="8477.6335617039567"/>
  </r>
  <r>
    <s v="Regular"/>
    <x v="2"/>
    <x v="0"/>
    <x v="0"/>
    <x v="0"/>
    <x v="0"/>
    <x v="0"/>
    <x v="2"/>
    <x v="8"/>
    <n v="11005"/>
    <n v="11005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393538.8"/>
    <n v="0"/>
    <n v="0"/>
    <n v="448578.19271009922"/>
    <n v="0"/>
    <n v="0"/>
  </r>
  <r>
    <s v="Regular"/>
    <x v="2"/>
    <x v="0"/>
    <x v="0"/>
    <x v="0"/>
    <x v="0"/>
    <x v="0"/>
    <x v="2"/>
    <x v="9"/>
    <n v="650"/>
    <n v="650"/>
    <n v="30.539000000000001"/>
    <n v="30.539000000000001"/>
    <n v="30.539000000000001"/>
    <n v="30.539000000000001"/>
    <n v="0"/>
    <x v="2"/>
    <n v="0"/>
    <n v="9"/>
    <n v="12"/>
    <n v="38"/>
    <n v="35.76"/>
    <n v="72.150000000000006"/>
    <n v="442.86"/>
    <n v="40.761307833720963"/>
    <n v="117.70169496208672"/>
    <n v="476.88775168498375"/>
    <n v="23244"/>
    <n v="2203.3888500000003"/>
    <n v="13524.501540000001"/>
    <n v="26494.850091918626"/>
    <n v="3594.4920624471665"/>
    <n v="14563.675048707719"/>
  </r>
  <r>
    <s v="Regular"/>
    <x v="2"/>
    <x v="0"/>
    <x v="0"/>
    <x v="0"/>
    <x v="0"/>
    <x v="0"/>
    <x v="2"/>
    <x v="9"/>
    <n v="10478"/>
    <n v="10478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374693.27999999997"/>
    <n v="0"/>
    <n v="0"/>
    <n v="427096.98348172824"/>
    <n v="0"/>
    <n v="0"/>
  </r>
  <r>
    <s v="Regular"/>
    <x v="2"/>
    <x v="0"/>
    <x v="0"/>
    <x v="0"/>
    <x v="0"/>
    <x v="0"/>
    <x v="2"/>
    <x v="10"/>
    <n v="658"/>
    <n v="658"/>
    <n v="33.716999999999999"/>
    <n v="33.716999999999999"/>
    <n v="33.716999999999999"/>
    <n v="33.716999999999999"/>
    <n v="0"/>
    <x v="2"/>
    <n v="0"/>
    <n v="9"/>
    <n v="12"/>
    <n v="38"/>
    <n v="35.76"/>
    <n v="72.150000000000006"/>
    <n v="442.86"/>
    <n v="40.761307833720963"/>
    <n v="117.70169496208672"/>
    <n v="476.88775168498375"/>
    <n v="23530.079999999998"/>
    <n v="2432.6815500000002"/>
    <n v="14931.910620000001"/>
    <n v="26820.940554588393"/>
    <n v="3968.5480490366776"/>
    <n v="16079.224323562597"/>
  </r>
  <r>
    <s v="Regular"/>
    <x v="2"/>
    <x v="0"/>
    <x v="0"/>
    <x v="0"/>
    <x v="0"/>
    <x v="0"/>
    <x v="2"/>
    <x v="10"/>
    <n v="11864"/>
    <n v="11864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424256.63999999996"/>
    <n v="0"/>
    <n v="0"/>
    <n v="483592.15613926551"/>
    <n v="0"/>
    <n v="0"/>
  </r>
  <r>
    <s v="PROJETADO"/>
    <x v="2"/>
    <x v="0"/>
    <x v="0"/>
    <x v="0"/>
    <x v="0"/>
    <x v="0"/>
    <x v="2"/>
    <x v="11"/>
    <n v="658"/>
    <n v="658"/>
    <n v="33.716999999999999"/>
    <n v="33.716999999999999"/>
    <n v="33.716999999999999"/>
    <n v="33.716999999999999"/>
    <n v="0"/>
    <x v="2"/>
    <n v="0"/>
    <n v="9"/>
    <n v="12"/>
    <n v="38"/>
    <n v="35.76"/>
    <n v="72.150000000000006"/>
    <n v="442.86"/>
    <n v="40.761307833720963"/>
    <n v="117.70169496208672"/>
    <n v="476.88775168498375"/>
    <n v="23530.079999999998"/>
    <n v="2432.6815500000002"/>
    <n v="14931.910620000001"/>
    <n v="26820.940554588393"/>
    <n v="3968.5480490366776"/>
    <n v="16079.224323562597"/>
  </r>
  <r>
    <s v="PROJETADO"/>
    <x v="2"/>
    <x v="0"/>
    <x v="0"/>
    <x v="0"/>
    <x v="0"/>
    <x v="0"/>
    <x v="2"/>
    <x v="11"/>
    <n v="11864"/>
    <n v="11864"/>
    <n v="0"/>
    <n v="0"/>
    <n v="0"/>
    <n v="0"/>
    <n v="0"/>
    <x v="0"/>
    <n v="0"/>
    <n v="9"/>
    <n v="0"/>
    <n v="0"/>
    <n v="35.76"/>
    <n v="0"/>
    <n v="0"/>
    <n v="40.761307833720963"/>
    <n v="117.70169496208672"/>
    <m/>
    <n v="424256.63999999996"/>
    <n v="0"/>
    <n v="0"/>
    <n v="483592.15613926551"/>
    <n v="0"/>
    <n v="0"/>
  </r>
  <r>
    <s v="Regular"/>
    <x v="2"/>
    <x v="0"/>
    <x v="3"/>
    <x v="1"/>
    <x v="0"/>
    <x v="0"/>
    <x v="0"/>
    <x v="0"/>
    <n v="210"/>
    <n v="210"/>
    <n v="97.087000000000003"/>
    <n v="97.087000000000003"/>
    <n v="97.087000000000003"/>
    <n v="97.087000000000003"/>
    <n v="0"/>
    <x v="2"/>
    <n v="0"/>
    <n v="22"/>
    <n v="12"/>
    <n v="61"/>
    <n v="13.16"/>
    <n v="67.820999999999998"/>
    <n v="261.94979999999998"/>
    <n v="15.448013895573393"/>
    <n v="114.17064411322411"/>
    <n v="286.99740155964793"/>
    <n v="2763.6"/>
    <n v="6584.5374270000002"/>
    <n v="25431.920232599998"/>
    <n v="2842.7530725359284"/>
    <n v="10741.666191257067"/>
    <n v="27863.71672522154"/>
  </r>
  <r>
    <s v="Regular"/>
    <x v="2"/>
    <x v="0"/>
    <x v="3"/>
    <x v="1"/>
    <x v="0"/>
    <x v="0"/>
    <x v="0"/>
    <x v="1"/>
    <n v="210"/>
    <n v="210"/>
    <n v="93.664000000000001"/>
    <n v="93.664000000000001"/>
    <n v="93.664000000000001"/>
    <n v="93.664000000000001"/>
    <n v="0"/>
    <x v="2"/>
    <n v="0"/>
    <n v="22"/>
    <n v="12"/>
    <n v="61"/>
    <n v="13.16"/>
    <n v="67.820999999999998"/>
    <n v="261.94979999999998"/>
    <n v="15.448013895573393"/>
    <n v="114.17064411322411"/>
    <n v="286.99740155964793"/>
    <n v="2763.6"/>
    <n v="6352.3861440000001"/>
    <n v="24535.266067199998"/>
    <n v="2842.7530725359284"/>
    <n v="10362.946863513156"/>
    <n v="26881.324619682862"/>
  </r>
  <r>
    <s v="Regular"/>
    <x v="2"/>
    <x v="0"/>
    <x v="3"/>
    <x v="1"/>
    <x v="0"/>
    <x v="0"/>
    <x v="0"/>
    <x v="2"/>
    <n v="210"/>
    <n v="210"/>
    <n v="106.041"/>
    <n v="106.041"/>
    <n v="106.041"/>
    <n v="106.041"/>
    <n v="0"/>
    <x v="2"/>
    <n v="0"/>
    <n v="22"/>
    <n v="12"/>
    <n v="61"/>
    <n v="13.16"/>
    <n v="67.820999999999998"/>
    <n v="261.94979999999998"/>
    <n v="15.448013895573393"/>
    <n v="114.17064411322411"/>
    <n v="286.99740155964793"/>
    <n v="2763.6"/>
    <n v="7191.8066609999996"/>
    <n v="27777.418741799996"/>
    <n v="2842.7530725359284"/>
    <n v="11732.33310934616"/>
    <n v="30433.491458786626"/>
  </r>
  <r>
    <s v="Regular"/>
    <x v="2"/>
    <x v="0"/>
    <x v="3"/>
    <x v="1"/>
    <x v="0"/>
    <x v="0"/>
    <x v="0"/>
    <x v="3"/>
    <n v="210"/>
    <n v="210"/>
    <n v="103.517"/>
    <n v="103.517"/>
    <n v="103.517"/>
    <n v="103.517"/>
    <n v="0"/>
    <x v="2"/>
    <n v="0"/>
    <n v="22"/>
    <n v="12"/>
    <n v="61"/>
    <n v="13.16"/>
    <n v="67.820999999999998"/>
    <n v="261.94979999999998"/>
    <n v="15.448013895573393"/>
    <n v="114.17064411322411"/>
    <n v="286.99740155964793"/>
    <n v="2763.6"/>
    <n v="7020.6264569999994"/>
    <n v="27116.257446599997"/>
    <n v="2842.7530725359284"/>
    <n v="11453.078775946911"/>
    <n v="29709.110017250074"/>
  </r>
  <r>
    <s v="Regular"/>
    <x v="2"/>
    <x v="0"/>
    <x v="3"/>
    <x v="1"/>
    <x v="0"/>
    <x v="0"/>
    <x v="0"/>
    <x v="4"/>
    <n v="210"/>
    <n v="210"/>
    <n v="91.92"/>
    <n v="91.92"/>
    <n v="91.92"/>
    <n v="91.92"/>
    <n v="0"/>
    <x v="2"/>
    <n v="0"/>
    <n v="22"/>
    <n v="12"/>
    <n v="61"/>
    <n v="13.16"/>
    <n v="67.820999999999998"/>
    <n v="261.94979999999998"/>
    <n v="15.448013895573393"/>
    <n v="114.17064411322411"/>
    <n v="286.99740155964793"/>
    <n v="2763.6"/>
    <n v="6234.1063199999999"/>
    <n v="24078.425616"/>
    <n v="2842.7530725359284"/>
    <n v="10169.99141286011"/>
    <n v="26380.801151362837"/>
  </r>
  <r>
    <s v="Regular"/>
    <x v="2"/>
    <x v="0"/>
    <x v="3"/>
    <x v="1"/>
    <x v="0"/>
    <x v="0"/>
    <x v="0"/>
    <x v="5"/>
    <n v="210"/>
    <n v="210"/>
    <n v="99.093999999999994"/>
    <n v="99.093999999999994"/>
    <n v="99.093999999999994"/>
    <n v="99.093999999999994"/>
    <n v="0"/>
    <x v="2"/>
    <n v="0"/>
    <n v="22"/>
    <n v="12"/>
    <n v="61"/>
    <n v="13.16"/>
    <n v="67.820999999999998"/>
    <n v="261.94979999999998"/>
    <n v="15.448013895573393"/>
    <n v="114.17064411322411"/>
    <n v="286.99740155964793"/>
    <n v="2763.6"/>
    <n v="6720.6541739999993"/>
    <n v="25957.653481199995"/>
    <n v="2842.7530725359284"/>
    <n v="10963.719854938639"/>
    <n v="28439.72051015175"/>
  </r>
  <r>
    <s v="Regular"/>
    <x v="2"/>
    <x v="0"/>
    <x v="3"/>
    <x v="1"/>
    <x v="0"/>
    <x v="0"/>
    <x v="0"/>
    <x v="6"/>
    <n v="210"/>
    <n v="210"/>
    <n v="100.63"/>
    <n v="100.63"/>
    <n v="100.63"/>
    <n v="100.63"/>
    <n v="0"/>
    <x v="2"/>
    <n v="0"/>
    <n v="22"/>
    <n v="12"/>
    <n v="61"/>
    <n v="13.16"/>
    <n v="67.820999999999998"/>
    <n v="261.94979999999998"/>
    <n v="15.448013895573393"/>
    <n v="114.17064411322411"/>
    <n v="286.99740155964793"/>
    <n v="2763.6"/>
    <n v="6824.8272299999999"/>
    <n v="26360.008373999997"/>
    <n v="2842.7530725359284"/>
    <n v="11133.662270192701"/>
    <n v="28880.548518947369"/>
  </r>
  <r>
    <s v="Regular"/>
    <x v="2"/>
    <x v="0"/>
    <x v="3"/>
    <x v="1"/>
    <x v="0"/>
    <x v="0"/>
    <x v="0"/>
    <x v="7"/>
    <n v="210"/>
    <n v="210"/>
    <n v="98.918999999999997"/>
    <n v="98.918999999999997"/>
    <n v="98.918999999999997"/>
    <n v="98.918999999999997"/>
    <n v="0"/>
    <x v="2"/>
    <n v="0"/>
    <n v="22"/>
    <n v="12"/>
    <n v="61"/>
    <n v="13.16"/>
    <n v="67.820999999999998"/>
    <n v="261.94979999999998"/>
    <n v="15.448013895573393"/>
    <n v="114.17064411322411"/>
    <n v="286.99740155964793"/>
    <n v="2763.6"/>
    <n v="6708.7854989999996"/>
    <n v="25911.812266199999"/>
    <n v="2842.7530725359284"/>
    <n v="10944.357926117378"/>
    <n v="28389.495964878814"/>
  </r>
  <r>
    <s v="Regular"/>
    <x v="2"/>
    <x v="0"/>
    <x v="3"/>
    <x v="1"/>
    <x v="0"/>
    <x v="0"/>
    <x v="0"/>
    <x v="8"/>
    <n v="210"/>
    <n v="210"/>
    <n v="93.923000000000002"/>
    <n v="93.923000000000002"/>
    <n v="93.923000000000002"/>
    <n v="93.923000000000002"/>
    <n v="0"/>
    <x v="2"/>
    <n v="0"/>
    <n v="22"/>
    <n v="12"/>
    <n v="61"/>
    <n v="13.16"/>
    <n v="67.820999999999998"/>
    <n v="261.94979999999998"/>
    <n v="15.448013895573393"/>
    <n v="114.17064411322411"/>
    <n v="286.99740155964793"/>
    <n v="2763.6"/>
    <n v="6369.9517829999995"/>
    <n v="24603.1110654"/>
    <n v="2842.7530725359284"/>
    <n v="10391.602518168627"/>
    <n v="26955.656946686813"/>
  </r>
  <r>
    <s v="Regular"/>
    <x v="2"/>
    <x v="0"/>
    <x v="3"/>
    <x v="1"/>
    <x v="0"/>
    <x v="0"/>
    <x v="0"/>
    <x v="9"/>
    <n v="210"/>
    <n v="210"/>
    <n v="98.531999999999996"/>
    <n v="98.531999999999996"/>
    <n v="98.531999999999996"/>
    <n v="98.531999999999996"/>
    <n v="0"/>
    <x v="2"/>
    <n v="0"/>
    <n v="22"/>
    <n v="12"/>
    <n v="61"/>
    <n v="13.16"/>
    <n v="67.820999999999998"/>
    <n v="261.94979999999998"/>
    <n v="15.448013895573393"/>
    <n v="114.17064411322411"/>
    <n v="286.99740155964793"/>
    <n v="2763.6"/>
    <n v="6682.5387719999999"/>
    <n v="25810.437693599997"/>
    <n v="2842.7530725359284"/>
    <n v="10901.54040352407"/>
    <n v="28278.42797047523"/>
  </r>
  <r>
    <s v="Regular"/>
    <x v="2"/>
    <x v="0"/>
    <x v="3"/>
    <x v="1"/>
    <x v="0"/>
    <x v="0"/>
    <x v="0"/>
    <x v="10"/>
    <n v="210"/>
    <n v="210"/>
    <n v="97.796999999999997"/>
    <n v="97.796999999999997"/>
    <n v="97.796999999999997"/>
    <n v="97.796999999999997"/>
    <n v="0"/>
    <x v="2"/>
    <n v="0"/>
    <n v="22"/>
    <n v="12"/>
    <n v="61"/>
    <n v="13.16"/>
    <n v="67.820999999999998"/>
    <n v="261.94979999999998"/>
    <n v="15.448013895573393"/>
    <n v="114.17064411322411"/>
    <n v="286.99740155964793"/>
    <n v="2763.6"/>
    <n v="6632.690337"/>
    <n v="25617.904590599999"/>
    <n v="2842.7530725359284"/>
    <n v="10820.220302474763"/>
    <n v="28067.484880328888"/>
  </r>
  <r>
    <s v="PROJETADO"/>
    <x v="2"/>
    <x v="0"/>
    <x v="3"/>
    <x v="1"/>
    <x v="0"/>
    <x v="0"/>
    <x v="0"/>
    <x v="11"/>
    <n v="210"/>
    <n v="210"/>
    <n v="97.796999999999997"/>
    <n v="97.796999999999997"/>
    <n v="97.796999999999997"/>
    <n v="97.796999999999997"/>
    <n v="0"/>
    <x v="2"/>
    <n v="0"/>
    <n v="22"/>
    <n v="12"/>
    <n v="61"/>
    <n v="13.16"/>
    <n v="67.820999999999998"/>
    <n v="261.94979999999998"/>
    <n v="15.448013895573393"/>
    <n v="114.17064411322411"/>
    <n v="286.99740155964793"/>
    <n v="2763.6"/>
    <n v="6632.690337"/>
    <n v="25617.904590599999"/>
    <n v="2842.7530725359284"/>
    <n v="10820.220302474763"/>
    <n v="28067.484880328888"/>
  </r>
  <r>
    <s v="Regular"/>
    <x v="2"/>
    <x v="0"/>
    <x v="3"/>
    <x v="1"/>
    <x v="0"/>
    <x v="0"/>
    <x v="2"/>
    <x v="0"/>
    <n v="210"/>
    <n v="210"/>
    <n v="8.58"/>
    <n v="8.58"/>
    <n v="8.58"/>
    <n v="8.58"/>
    <n v="0"/>
    <x v="2"/>
    <n v="0"/>
    <n v="9"/>
    <n v="12"/>
    <n v="38"/>
    <n v="33.614399999999996"/>
    <n v="67.820999999999998"/>
    <n v="416.28839999999997"/>
    <n v="39.538468598709336"/>
    <n v="114.17064411322411"/>
    <n v="462.58111913443423"/>
    <n v="7059.0239999999994"/>
    <n v="581.90418"/>
    <n v="3571.7544719999996"/>
    <n v="7275.8934483191915"/>
    <n v="949.28771020822171"/>
    <n v="3968.9460021734458"/>
  </r>
  <r>
    <s v="Regular"/>
    <x v="2"/>
    <x v="0"/>
    <x v="3"/>
    <x v="1"/>
    <x v="0"/>
    <x v="0"/>
    <x v="2"/>
    <x v="1"/>
    <n v="210"/>
    <n v="210"/>
    <n v="8.7170000000000005"/>
    <n v="8.7170000000000005"/>
    <n v="8.7170000000000005"/>
    <n v="8.7170000000000005"/>
    <n v="0"/>
    <x v="2"/>
    <n v="0"/>
    <n v="9"/>
    <n v="12"/>
    <n v="38"/>
    <n v="33.614399999999996"/>
    <n v="67.820999999999998"/>
    <n v="416.28839999999997"/>
    <n v="39.538468598709336"/>
    <n v="114.17064411322411"/>
    <n v="462.58111913443423"/>
    <n v="7059.0239999999994"/>
    <n v="591.19565699999998"/>
    <n v="3628.7859828000001"/>
    <n v="7275.8934483191915"/>
    <n v="964.44533448543928"/>
    <n v="4032.3196154948632"/>
  </r>
  <r>
    <s v="Regular"/>
    <x v="2"/>
    <x v="0"/>
    <x v="3"/>
    <x v="1"/>
    <x v="0"/>
    <x v="0"/>
    <x v="2"/>
    <x v="2"/>
    <n v="210"/>
    <n v="210"/>
    <n v="11.147"/>
    <n v="11.147"/>
    <n v="11.147"/>
    <n v="11.147"/>
    <n v="0"/>
    <x v="2"/>
    <n v="0"/>
    <n v="9"/>
    <n v="12"/>
    <n v="38"/>
    <n v="33.614399999999996"/>
    <n v="67.820999999999998"/>
    <n v="416.28839999999997"/>
    <n v="39.538468598709336"/>
    <n v="114.17064411322411"/>
    <n v="462.58111913443423"/>
    <n v="7059.0239999999994"/>
    <n v="756.00068699999997"/>
    <n v="4640.3667947999993"/>
    <n v="7275.8934483191915"/>
    <n v="1233.2995461178377"/>
    <n v="5156.3917349915382"/>
  </r>
  <r>
    <s v="Regular"/>
    <x v="2"/>
    <x v="0"/>
    <x v="3"/>
    <x v="1"/>
    <x v="0"/>
    <x v="0"/>
    <x v="2"/>
    <x v="3"/>
    <n v="210"/>
    <n v="210"/>
    <n v="9.7609999999999992"/>
    <n v="9.7609999999999992"/>
    <n v="9.7609999999999992"/>
    <n v="9.7609999999999992"/>
    <n v="0"/>
    <x v="2"/>
    <n v="0"/>
    <n v="9"/>
    <n v="12"/>
    <n v="38"/>
    <n v="33.614399999999996"/>
    <n v="67.820999999999998"/>
    <n v="416.28839999999997"/>
    <n v="39.538468598709336"/>
    <n v="114.17064411322411"/>
    <n v="462.58111913443423"/>
    <n v="7059.0239999999994"/>
    <n v="662.00078099999996"/>
    <n v="4063.3910723999993"/>
    <n v="7275.8934483191915"/>
    <n v="1079.9530698534327"/>
    <n v="4515.254303871212"/>
  </r>
  <r>
    <s v="Regular"/>
    <x v="2"/>
    <x v="0"/>
    <x v="3"/>
    <x v="1"/>
    <x v="0"/>
    <x v="0"/>
    <x v="2"/>
    <x v="4"/>
    <n v="210"/>
    <n v="210"/>
    <n v="10.478999999999999"/>
    <n v="10.478999999999999"/>
    <n v="10.478999999999999"/>
    <n v="10.478999999999999"/>
    <n v="0"/>
    <x v="2"/>
    <n v="0"/>
    <n v="9"/>
    <n v="12"/>
    <n v="38"/>
    <n v="33.614399999999996"/>
    <n v="67.820999999999998"/>
    <n v="416.28839999999997"/>
    <n v="39.538468598709336"/>
    <n v="114.17064411322411"/>
    <n v="462.58111913443423"/>
    <n v="7059.0239999999994"/>
    <n v="710.69625899999994"/>
    <n v="4362.2861435999994"/>
    <n v="7275.8934483191915"/>
    <n v="1159.3922978172443"/>
    <n v="4847.3875474097358"/>
  </r>
  <r>
    <s v="Regular"/>
    <x v="2"/>
    <x v="0"/>
    <x v="3"/>
    <x v="1"/>
    <x v="0"/>
    <x v="0"/>
    <x v="2"/>
    <x v="5"/>
    <n v="210"/>
    <n v="210"/>
    <n v="9.7949999999999999"/>
    <n v="9.7949999999999999"/>
    <n v="9.7949999999999999"/>
    <n v="9.7949999999999999"/>
    <n v="0"/>
    <x v="2"/>
    <n v="0"/>
    <n v="9"/>
    <n v="12"/>
    <n v="38"/>
    <n v="33.614399999999996"/>
    <n v="67.820999999999998"/>
    <n v="416.28839999999997"/>
    <n v="39.538468598709336"/>
    <n v="114.17064411322411"/>
    <n v="462.58111913443423"/>
    <n v="7059.0239999999994"/>
    <n v="664.30669499999999"/>
    <n v="4077.5448779999997"/>
    <n v="7275.8934483191915"/>
    <n v="1083.714816024421"/>
    <n v="4530.9820619217835"/>
  </r>
  <r>
    <s v="Regular"/>
    <x v="2"/>
    <x v="0"/>
    <x v="3"/>
    <x v="1"/>
    <x v="0"/>
    <x v="0"/>
    <x v="2"/>
    <x v="6"/>
    <n v="210"/>
    <n v="210"/>
    <n v="10.18"/>
    <n v="10.18"/>
    <n v="10.18"/>
    <n v="10.18"/>
    <n v="0"/>
    <x v="2"/>
    <n v="0"/>
    <n v="9"/>
    <n v="12"/>
    <n v="38"/>
    <n v="33.614399999999996"/>
    <n v="67.820999999999998"/>
    <n v="416.28839999999997"/>
    <n v="39.538468598709336"/>
    <n v="114.17064411322411"/>
    <n v="462.58111913443423"/>
    <n v="7059.0239999999994"/>
    <n v="690.41777999999999"/>
    <n v="4237.8159119999991"/>
    <n v="7275.8934483191915"/>
    <n v="1126.3110594312002"/>
    <n v="4709.0757927885406"/>
  </r>
  <r>
    <s v="Regular"/>
    <x v="2"/>
    <x v="0"/>
    <x v="3"/>
    <x v="1"/>
    <x v="0"/>
    <x v="0"/>
    <x v="2"/>
    <x v="7"/>
    <n v="210"/>
    <n v="210"/>
    <n v="10.914"/>
    <n v="10.914"/>
    <n v="10.914"/>
    <n v="10.914"/>
    <n v="0"/>
    <x v="2"/>
    <n v="0"/>
    <n v="9"/>
    <n v="12"/>
    <n v="38"/>
    <n v="33.614399999999996"/>
    <n v="67.820999999999998"/>
    <n v="416.28839999999997"/>
    <n v="39.538468598709336"/>
    <n v="114.17064411322411"/>
    <n v="462.58111913443423"/>
    <n v="7059.0239999999994"/>
    <n v="740.19839400000001"/>
    <n v="4543.3715975999994"/>
    <n v="7275.8934483191915"/>
    <n v="1207.5205208872414"/>
    <n v="5048.6103342332153"/>
  </r>
  <r>
    <s v="Regular"/>
    <x v="2"/>
    <x v="0"/>
    <x v="3"/>
    <x v="1"/>
    <x v="0"/>
    <x v="0"/>
    <x v="2"/>
    <x v="8"/>
    <n v="210"/>
    <n v="210"/>
    <n v="10.762"/>
    <n v="10.762"/>
    <n v="10.762"/>
    <n v="10.762"/>
    <n v="0"/>
    <x v="2"/>
    <n v="0"/>
    <n v="9"/>
    <n v="12"/>
    <n v="38"/>
    <n v="33.614399999999996"/>
    <n v="67.820999999999998"/>
    <n v="416.28839999999997"/>
    <n v="39.538468598709336"/>
    <n v="114.17064411322411"/>
    <n v="462.58111913443423"/>
    <n v="7059.0239999999994"/>
    <n v="729.88960199999997"/>
    <n v="4480.0957607999999"/>
    <n v="7275.8934483191915"/>
    <n v="1190.7033027110585"/>
    <n v="4978.2980041247811"/>
  </r>
  <r>
    <s v="Regular"/>
    <x v="2"/>
    <x v="0"/>
    <x v="3"/>
    <x v="1"/>
    <x v="0"/>
    <x v="0"/>
    <x v="2"/>
    <x v="9"/>
    <n v="210"/>
    <n v="210"/>
    <n v="10.159000000000001"/>
    <n v="10.159000000000001"/>
    <n v="10.159000000000001"/>
    <n v="10.159000000000001"/>
    <n v="0"/>
    <x v="2"/>
    <n v="0"/>
    <n v="9"/>
    <n v="12"/>
    <n v="38"/>
    <n v="33.614399999999996"/>
    <n v="67.820999999999998"/>
    <n v="416.28839999999997"/>
    <n v="39.538468598709336"/>
    <n v="114.17064411322411"/>
    <n v="462.58111913443423"/>
    <n v="7059.0239999999994"/>
    <n v="688.99353900000006"/>
    <n v="4229.0738555999997"/>
    <n v="7275.8934483191915"/>
    <n v="1123.9876279726486"/>
    <n v="4699.3615892867174"/>
  </r>
  <r>
    <s v="Regular"/>
    <x v="2"/>
    <x v="0"/>
    <x v="3"/>
    <x v="1"/>
    <x v="0"/>
    <x v="0"/>
    <x v="2"/>
    <x v="10"/>
    <n v="210"/>
    <n v="210"/>
    <n v="10.811999999999999"/>
    <n v="10.811999999999999"/>
    <n v="10.811999999999999"/>
    <n v="10.811999999999999"/>
    <n v="0"/>
    <x v="2"/>
    <n v="0"/>
    <n v="9"/>
    <n v="12"/>
    <n v="38"/>
    <n v="33.614399999999996"/>
    <n v="67.820999999999998"/>
    <n v="416.28839999999997"/>
    <n v="39.538468598709336"/>
    <n v="114.17064411322411"/>
    <n v="462.58111913443423"/>
    <n v="7059.0239999999994"/>
    <n v="733.28065199999992"/>
    <n v="4500.9101807999996"/>
    <n v="7275.8934483191915"/>
    <n v="1196.2352823742767"/>
    <n v="5001.4270600815025"/>
  </r>
  <r>
    <s v="PROJETADO"/>
    <x v="2"/>
    <x v="0"/>
    <x v="3"/>
    <x v="1"/>
    <x v="0"/>
    <x v="0"/>
    <x v="2"/>
    <x v="11"/>
    <n v="210"/>
    <n v="210"/>
    <n v="10.811999999999999"/>
    <n v="10.811999999999999"/>
    <n v="10.811999999999999"/>
    <n v="10.811999999999999"/>
    <n v="0"/>
    <x v="2"/>
    <n v="0"/>
    <n v="9"/>
    <n v="12"/>
    <n v="38"/>
    <n v="33.614399999999996"/>
    <n v="67.820999999999998"/>
    <n v="416.28839999999997"/>
    <n v="39.538468598709336"/>
    <n v="114.17064411322411"/>
    <n v="462.58111913443423"/>
    <n v="7059.0239999999994"/>
    <n v="733.28065199999992"/>
    <n v="4500.9101807999996"/>
    <n v="7275.8934483191915"/>
    <n v="1196.2352823742767"/>
    <n v="5001.4270600815025"/>
  </r>
  <r>
    <s v="Regular"/>
    <x v="2"/>
    <x v="1"/>
    <x v="1"/>
    <x v="0"/>
    <x v="0"/>
    <x v="2"/>
    <x v="1"/>
    <x v="0"/>
    <n v="8780"/>
    <n v="8780"/>
    <n v="0"/>
    <n v="0"/>
    <n v="0"/>
    <n v="0"/>
    <n v="0"/>
    <x v="1"/>
    <n v="109"/>
    <n v="17"/>
    <n v="0"/>
    <n v="0"/>
    <n v="3.27"/>
    <n v="0"/>
    <n v="0"/>
    <n v="3.7327912974361288"/>
    <m/>
    <m/>
    <n v="28710.6"/>
    <n v="0"/>
    <n v="0"/>
    <n v="32773.907591489209"/>
    <n v="0"/>
    <n v="0"/>
  </r>
  <r>
    <s v="Regular"/>
    <x v="2"/>
    <x v="1"/>
    <x v="1"/>
    <x v="0"/>
    <x v="0"/>
    <x v="2"/>
    <x v="1"/>
    <x v="1"/>
    <n v="8780"/>
    <n v="8780"/>
    <n v="0"/>
    <n v="0"/>
    <n v="0"/>
    <n v="0"/>
    <n v="0"/>
    <x v="1"/>
    <n v="109"/>
    <n v="17"/>
    <n v="0"/>
    <n v="0"/>
    <n v="3.27"/>
    <n v="0"/>
    <n v="0"/>
    <n v="3.7327912974361288"/>
    <m/>
    <m/>
    <n v="28710.6"/>
    <n v="0"/>
    <n v="0"/>
    <n v="32773.907591489209"/>
    <n v="0"/>
    <n v="0"/>
  </r>
  <r>
    <s v="Regular"/>
    <x v="2"/>
    <x v="1"/>
    <x v="1"/>
    <x v="0"/>
    <x v="0"/>
    <x v="2"/>
    <x v="1"/>
    <x v="2"/>
    <n v="8780"/>
    <n v="8780"/>
    <n v="0"/>
    <n v="0"/>
    <n v="0"/>
    <n v="0"/>
    <n v="0"/>
    <x v="1"/>
    <n v="109"/>
    <n v="17"/>
    <n v="0"/>
    <n v="0"/>
    <n v="3.27"/>
    <n v="0"/>
    <n v="0"/>
    <n v="3.7327912974361288"/>
    <m/>
    <m/>
    <n v="28710.6"/>
    <n v="0"/>
    <n v="0"/>
    <n v="32773.907591489209"/>
    <n v="0"/>
    <n v="0"/>
  </r>
  <r>
    <s v="Regular"/>
    <x v="2"/>
    <x v="1"/>
    <x v="1"/>
    <x v="0"/>
    <x v="0"/>
    <x v="2"/>
    <x v="1"/>
    <x v="3"/>
    <n v="8780"/>
    <n v="8780"/>
    <n v="0"/>
    <n v="0"/>
    <n v="0"/>
    <n v="0"/>
    <n v="0"/>
    <x v="1"/>
    <n v="109"/>
    <n v="17"/>
    <n v="0"/>
    <n v="0"/>
    <n v="3.27"/>
    <n v="0"/>
    <n v="0"/>
    <n v="3.7327912974361288"/>
    <m/>
    <m/>
    <n v="28710.6"/>
    <n v="0"/>
    <n v="0"/>
    <n v="32773.907591489209"/>
    <n v="0"/>
    <n v="0"/>
  </r>
  <r>
    <s v="Regular"/>
    <x v="2"/>
    <x v="1"/>
    <x v="1"/>
    <x v="0"/>
    <x v="0"/>
    <x v="2"/>
    <x v="1"/>
    <x v="4"/>
    <n v="8780"/>
    <n v="8780"/>
    <n v="0"/>
    <n v="0"/>
    <n v="0"/>
    <n v="0"/>
    <n v="0"/>
    <x v="1"/>
    <n v="109"/>
    <n v="17"/>
    <n v="0"/>
    <n v="0"/>
    <n v="3.27"/>
    <n v="0"/>
    <n v="0"/>
    <n v="3.7327912974361288"/>
    <m/>
    <m/>
    <n v="28710.6"/>
    <n v="0"/>
    <n v="0"/>
    <n v="32773.907591489209"/>
    <n v="0"/>
    <n v="0"/>
  </r>
  <r>
    <s v="Regular"/>
    <x v="2"/>
    <x v="1"/>
    <x v="1"/>
    <x v="0"/>
    <x v="0"/>
    <x v="2"/>
    <x v="1"/>
    <x v="5"/>
    <n v="8780"/>
    <n v="8780"/>
    <n v="0"/>
    <n v="0"/>
    <n v="0"/>
    <n v="0"/>
    <n v="0"/>
    <x v="1"/>
    <n v="109"/>
    <n v="17"/>
    <n v="0"/>
    <n v="0"/>
    <n v="3.27"/>
    <n v="0"/>
    <n v="0"/>
    <n v="3.7327912974361288"/>
    <m/>
    <m/>
    <n v="28710.6"/>
    <n v="0"/>
    <n v="0"/>
    <n v="32773.907591489209"/>
    <n v="0"/>
    <n v="0"/>
  </r>
  <r>
    <s v="Regular"/>
    <x v="2"/>
    <x v="1"/>
    <x v="1"/>
    <x v="0"/>
    <x v="0"/>
    <x v="2"/>
    <x v="1"/>
    <x v="6"/>
    <n v="8780"/>
    <n v="8780"/>
    <n v="0"/>
    <n v="0"/>
    <n v="0"/>
    <n v="0"/>
    <n v="0"/>
    <x v="1"/>
    <n v="109"/>
    <n v="17"/>
    <n v="0"/>
    <n v="0"/>
    <n v="3.27"/>
    <n v="0"/>
    <n v="0"/>
    <n v="3.7327912974361288"/>
    <m/>
    <m/>
    <n v="28710.6"/>
    <n v="0"/>
    <n v="0"/>
    <n v="32773.907591489209"/>
    <n v="0"/>
    <n v="0"/>
  </r>
  <r>
    <s v="Regular"/>
    <x v="2"/>
    <x v="1"/>
    <x v="1"/>
    <x v="0"/>
    <x v="0"/>
    <x v="2"/>
    <x v="1"/>
    <x v="7"/>
    <n v="8780"/>
    <n v="8780"/>
    <n v="0"/>
    <n v="0"/>
    <n v="0"/>
    <n v="0"/>
    <n v="0"/>
    <x v="1"/>
    <n v="109"/>
    <n v="17"/>
    <n v="0"/>
    <n v="0"/>
    <n v="3.27"/>
    <n v="0"/>
    <n v="0"/>
    <n v="3.7327912974361288"/>
    <m/>
    <m/>
    <n v="28710.6"/>
    <n v="0"/>
    <n v="0"/>
    <n v="32773.907591489209"/>
    <n v="0"/>
    <n v="0"/>
  </r>
  <r>
    <s v="Regular"/>
    <x v="2"/>
    <x v="1"/>
    <x v="1"/>
    <x v="0"/>
    <x v="0"/>
    <x v="2"/>
    <x v="1"/>
    <x v="8"/>
    <n v="8780"/>
    <n v="8780"/>
    <n v="0"/>
    <n v="0"/>
    <n v="0"/>
    <n v="0"/>
    <n v="0"/>
    <x v="1"/>
    <n v="109"/>
    <n v="17"/>
    <n v="0"/>
    <n v="0"/>
    <n v="3.27"/>
    <n v="0"/>
    <n v="0"/>
    <n v="3.7327912974361288"/>
    <m/>
    <m/>
    <n v="28710.6"/>
    <n v="0"/>
    <n v="0"/>
    <n v="32773.907591489209"/>
    <n v="0"/>
    <n v="0"/>
  </r>
  <r>
    <s v="Regular"/>
    <x v="2"/>
    <x v="1"/>
    <x v="1"/>
    <x v="0"/>
    <x v="0"/>
    <x v="2"/>
    <x v="1"/>
    <x v="9"/>
    <n v="8780"/>
    <n v="8780"/>
    <n v="0"/>
    <n v="0"/>
    <n v="0"/>
    <n v="0"/>
    <n v="0"/>
    <x v="1"/>
    <n v="109"/>
    <n v="17"/>
    <n v="0"/>
    <n v="0"/>
    <n v="3.27"/>
    <n v="0"/>
    <n v="0"/>
    <n v="3.7327912974361288"/>
    <m/>
    <m/>
    <n v="28710.6"/>
    <n v="0"/>
    <n v="0"/>
    <n v="32773.907591489209"/>
    <n v="0"/>
    <n v="0"/>
  </r>
  <r>
    <s v="Regular"/>
    <x v="2"/>
    <x v="1"/>
    <x v="1"/>
    <x v="0"/>
    <x v="0"/>
    <x v="2"/>
    <x v="1"/>
    <x v="10"/>
    <n v="8780"/>
    <n v="8780"/>
    <n v="0"/>
    <n v="0"/>
    <n v="0"/>
    <n v="0"/>
    <n v="0"/>
    <x v="1"/>
    <n v="109"/>
    <n v="17"/>
    <n v="0"/>
    <n v="0"/>
    <n v="3.27"/>
    <n v="0"/>
    <n v="0"/>
    <n v="3.7327912974361288"/>
    <m/>
    <m/>
    <n v="28710.6"/>
    <n v="0"/>
    <n v="0"/>
    <n v="32773.907591489209"/>
    <n v="0"/>
    <n v="0"/>
  </r>
  <r>
    <s v="PROJETADO"/>
    <x v="2"/>
    <x v="1"/>
    <x v="1"/>
    <x v="0"/>
    <x v="0"/>
    <x v="2"/>
    <x v="1"/>
    <x v="11"/>
    <n v="8780"/>
    <n v="8780"/>
    <n v="0"/>
    <n v="0"/>
    <n v="0"/>
    <n v="0"/>
    <n v="0"/>
    <x v="1"/>
    <n v="109"/>
    <n v="17"/>
    <n v="0"/>
    <n v="0"/>
    <n v="3.27"/>
    <n v="0"/>
    <n v="0"/>
    <n v="3.7327912974361288"/>
    <m/>
    <m/>
    <n v="28710.6"/>
    <n v="0"/>
    <n v="0"/>
    <n v="32773.907591489209"/>
    <n v="0"/>
    <n v="0"/>
  </r>
  <r>
    <s v="Regular"/>
    <x v="2"/>
    <x v="2"/>
    <x v="2"/>
    <x v="0"/>
    <x v="0"/>
    <x v="0"/>
    <x v="0"/>
    <x v="0"/>
    <n v="0"/>
    <n v="0"/>
    <n v="1435.654"/>
    <n v="1435.654"/>
    <n v="1435.654"/>
    <n v="1435.654"/>
    <n v="0"/>
    <x v="2"/>
    <n v="0"/>
    <n v="0"/>
    <n v="6"/>
    <n v="61"/>
    <n v="0"/>
    <n v="72.150000000000006"/>
    <n v="278.67"/>
    <m/>
    <n v="117.70169496208672"/>
    <n v="295.87360985530717"/>
    <n v="0"/>
    <n v="103582.43610000001"/>
    <n v="400073.70018000004"/>
    <n v="0"/>
    <n v="168978.90917909966"/>
    <n v="424772.13148321112"/>
  </r>
  <r>
    <s v="Sistema de Compensação"/>
    <x v="2"/>
    <x v="2"/>
    <x v="2"/>
    <x v="0"/>
    <x v="0"/>
    <x v="0"/>
    <x v="0"/>
    <x v="0"/>
    <n v="0"/>
    <n v="0"/>
    <n v="13.231999999999999"/>
    <n v="13.231999999999999"/>
    <n v="13.231999999999999"/>
    <n v="13.231999999999999"/>
    <n v="0"/>
    <x v="2"/>
    <n v="0"/>
    <n v="0"/>
    <n v="6"/>
    <n v="61"/>
    <n v="0"/>
    <n v="72.150000000000006"/>
    <n v="278.67"/>
    <m/>
    <n v="117.70169496208672"/>
    <n v="295.87360985530717"/>
    <n v="0"/>
    <n v="954.68880000000001"/>
    <n v="3687.3614400000001"/>
    <n v="0"/>
    <n v="1557.4288277383314"/>
    <n v="3914.9996056054242"/>
  </r>
  <r>
    <s v="Regular"/>
    <x v="2"/>
    <x v="2"/>
    <x v="2"/>
    <x v="0"/>
    <x v="0"/>
    <x v="0"/>
    <x v="0"/>
    <x v="1"/>
    <n v="0"/>
    <n v="0"/>
    <n v="1438.761"/>
    <n v="1438.761"/>
    <n v="1438.761"/>
    <n v="1438.761"/>
    <n v="0"/>
    <x v="2"/>
    <n v="0"/>
    <n v="0"/>
    <n v="6"/>
    <n v="61"/>
    <n v="0"/>
    <n v="72.150000000000006"/>
    <n v="278.67"/>
    <m/>
    <n v="117.70169496208672"/>
    <n v="295.87360985530717"/>
    <n v="0"/>
    <n v="103806.60615000001"/>
    <n v="400939.52786999999"/>
    <n v="0"/>
    <n v="169344.60834534685"/>
    <n v="425691.41078903159"/>
  </r>
  <r>
    <s v="Sistema de Compensação"/>
    <x v="2"/>
    <x v="2"/>
    <x v="2"/>
    <x v="0"/>
    <x v="0"/>
    <x v="0"/>
    <x v="0"/>
    <x v="1"/>
    <n v="0"/>
    <n v="0"/>
    <n v="9.1479999999999997"/>
    <n v="9.1479999999999997"/>
    <n v="9.1479999999999997"/>
    <n v="9.1479999999999997"/>
    <n v="0"/>
    <x v="2"/>
    <n v="0"/>
    <n v="0"/>
    <n v="6"/>
    <n v="61"/>
    <n v="0"/>
    <n v="72.150000000000006"/>
    <n v="278.67"/>
    <m/>
    <n v="117.70169496208672"/>
    <n v="295.87360985530717"/>
    <n v="0"/>
    <n v="660.02820000000008"/>
    <n v="2549.2731600000002"/>
    <n v="0"/>
    <n v="1076.7351055131692"/>
    <n v="2706.65178295635"/>
  </r>
  <r>
    <s v="Regular"/>
    <x v="2"/>
    <x v="2"/>
    <x v="2"/>
    <x v="0"/>
    <x v="0"/>
    <x v="0"/>
    <x v="0"/>
    <x v="2"/>
    <n v="0"/>
    <n v="0"/>
    <n v="1416.777"/>
    <n v="1416.777"/>
    <n v="1416.777"/>
    <n v="1416.777"/>
    <n v="0"/>
    <x v="2"/>
    <n v="0"/>
    <n v="0"/>
    <n v="6"/>
    <n v="61"/>
    <n v="0"/>
    <n v="72.150000000000006"/>
    <n v="278.67"/>
    <m/>
    <n v="117.70169496208672"/>
    <n v="295.87360985530717"/>
    <n v="0"/>
    <n v="102220.46055000002"/>
    <n v="394813.24659000005"/>
    <n v="0"/>
    <n v="166757.05428330033"/>
    <n v="419186.92534997256"/>
  </r>
  <r>
    <s v="Sistema de Compensação"/>
    <x v="2"/>
    <x v="2"/>
    <x v="2"/>
    <x v="0"/>
    <x v="0"/>
    <x v="0"/>
    <x v="0"/>
    <x v="2"/>
    <n v="0"/>
    <n v="0"/>
    <n v="11.494999999999999"/>
    <n v="11.494999999999999"/>
    <n v="11.494999999999999"/>
    <n v="11.494999999999999"/>
    <n v="0"/>
    <x v="2"/>
    <n v="0"/>
    <n v="0"/>
    <n v="6"/>
    <n v="61"/>
    <n v="0"/>
    <n v="72.150000000000006"/>
    <n v="278.67"/>
    <m/>
    <n v="117.70169496208672"/>
    <n v="295.87360985530717"/>
    <n v="0"/>
    <n v="829.36424999999997"/>
    <n v="3203.3116500000001"/>
    <n v="0"/>
    <n v="1352.9809835891867"/>
    <n v="3401.0671452867555"/>
  </r>
  <r>
    <s v="Regular"/>
    <x v="2"/>
    <x v="2"/>
    <x v="2"/>
    <x v="0"/>
    <x v="0"/>
    <x v="0"/>
    <x v="0"/>
    <x v="3"/>
    <n v="0"/>
    <n v="0"/>
    <n v="1439.9069999999999"/>
    <n v="1439.9069999999999"/>
    <n v="1439.9069999999999"/>
    <n v="1439.9069999999999"/>
    <n v="0"/>
    <x v="2"/>
    <n v="0"/>
    <n v="0"/>
    <n v="6"/>
    <n v="61"/>
    <n v="0"/>
    <n v="72.150000000000006"/>
    <n v="278.67"/>
    <m/>
    <n v="117.70169496208672"/>
    <n v="295.87360985530717"/>
    <n v="0"/>
    <n v="103889.29005"/>
    <n v="401258.88368999999"/>
    <n v="0"/>
    <n v="169479.49448777339"/>
    <n v="426030.48194592574"/>
  </r>
  <r>
    <s v="Refaturamento - Regular"/>
    <x v="2"/>
    <x v="2"/>
    <x v="2"/>
    <x v="0"/>
    <x v="0"/>
    <x v="0"/>
    <x v="0"/>
    <x v="3"/>
    <n v="0"/>
    <n v="0"/>
    <n v="-8.548"/>
    <n v="-8.548"/>
    <n v="-8.548"/>
    <n v="-8.548"/>
    <n v="0"/>
    <x v="2"/>
    <n v="0"/>
    <n v="0"/>
    <n v="6"/>
    <n v="61"/>
    <n v="0"/>
    <n v="72.150000000000006"/>
    <n v="278.67"/>
    <m/>
    <n v="117.70169496208672"/>
    <n v="295.87360985530717"/>
    <n v="0"/>
    <n v="-616.73820000000001"/>
    <n v="-2382.07116"/>
    <n v="0"/>
    <n v="-1006.1140885359173"/>
    <n v="-2529.1276170431656"/>
  </r>
  <r>
    <s v="Sistema de Compensação"/>
    <x v="2"/>
    <x v="2"/>
    <x v="2"/>
    <x v="0"/>
    <x v="0"/>
    <x v="0"/>
    <x v="0"/>
    <x v="3"/>
    <n v="0"/>
    <n v="0"/>
    <n v="13.712"/>
    <n v="13.712"/>
    <n v="13.712"/>
    <n v="13.712"/>
    <n v="0"/>
    <x v="2"/>
    <n v="0"/>
    <n v="0"/>
    <n v="6"/>
    <n v="61"/>
    <n v="0"/>
    <n v="72.150000000000006"/>
    <n v="278.67"/>
    <m/>
    <n v="117.70169496208672"/>
    <n v="295.87360985530717"/>
    <n v="0"/>
    <n v="989.32080000000008"/>
    <n v="3821.1230399999999"/>
    <n v="0"/>
    <n v="1613.9256413201331"/>
    <n v="4057.0189383359716"/>
  </r>
  <r>
    <s v="Regular"/>
    <x v="2"/>
    <x v="2"/>
    <x v="2"/>
    <x v="0"/>
    <x v="0"/>
    <x v="0"/>
    <x v="0"/>
    <x v="4"/>
    <n v="0"/>
    <n v="0"/>
    <n v="1239.104"/>
    <n v="1239.104"/>
    <n v="1239.104"/>
    <n v="1239.104"/>
    <n v="0"/>
    <x v="2"/>
    <n v="0"/>
    <n v="0"/>
    <n v="6"/>
    <n v="61"/>
    <n v="0"/>
    <n v="72.150000000000006"/>
    <n v="278.67"/>
    <m/>
    <n v="117.70169496208672"/>
    <n v="295.87360985530717"/>
    <n v="0"/>
    <n v="89401.353600000017"/>
    <n v="345301.11168000003"/>
    <n v="0"/>
    <n v="145844.64103430152"/>
    <n v="366618.17346615053"/>
  </r>
  <r>
    <s v="Sistema de Compensação"/>
    <x v="2"/>
    <x v="2"/>
    <x v="2"/>
    <x v="0"/>
    <x v="0"/>
    <x v="0"/>
    <x v="0"/>
    <x v="4"/>
    <n v="0"/>
    <n v="0"/>
    <n v="10.787000000000001"/>
    <n v="10.787000000000001"/>
    <n v="10.787000000000001"/>
    <n v="10.787000000000001"/>
    <n v="0"/>
    <x v="2"/>
    <n v="0"/>
    <n v="0"/>
    <n v="6"/>
    <n v="61"/>
    <n v="0"/>
    <n v="72.150000000000006"/>
    <n v="278.67"/>
    <m/>
    <n v="117.70169496208672"/>
    <n v="295.87360985530717"/>
    <n v="0"/>
    <n v="778.28205000000014"/>
    <n v="3006.0132900000003"/>
    <n v="0"/>
    <n v="1269.6481835560296"/>
    <n v="3191.5886295091987"/>
  </r>
  <r>
    <s v="Regular"/>
    <x v="2"/>
    <x v="2"/>
    <x v="2"/>
    <x v="0"/>
    <x v="0"/>
    <x v="0"/>
    <x v="0"/>
    <x v="5"/>
    <n v="0"/>
    <n v="0"/>
    <n v="1221.414"/>
    <n v="1221.414"/>
    <n v="1221.414"/>
    <n v="1221.414"/>
    <n v="0"/>
    <x v="2"/>
    <n v="0"/>
    <n v="0"/>
    <n v="6"/>
    <n v="61"/>
    <n v="0"/>
    <n v="72.150000000000006"/>
    <n v="278.67"/>
    <m/>
    <n v="117.70169496208672"/>
    <n v="295.87360985530717"/>
    <n v="0"/>
    <n v="88125.020100000009"/>
    <n v="340371.43938"/>
    <n v="0"/>
    <n v="143762.49805042217"/>
    <n v="361384.16930781014"/>
  </r>
  <r>
    <s v="Sistema de Compensação"/>
    <x v="2"/>
    <x v="2"/>
    <x v="2"/>
    <x v="0"/>
    <x v="0"/>
    <x v="0"/>
    <x v="0"/>
    <x v="5"/>
    <n v="0"/>
    <n v="0"/>
    <n v="11.592000000000001"/>
    <n v="11.592000000000001"/>
    <n v="11.592000000000001"/>
    <n v="11.592000000000001"/>
    <n v="0"/>
    <x v="2"/>
    <n v="0"/>
    <n v="0"/>
    <n v="6"/>
    <n v="61"/>
    <n v="0"/>
    <n v="72.150000000000006"/>
    <n v="278.67"/>
    <m/>
    <n v="117.70169496208672"/>
    <n v="295.87360985530717"/>
    <n v="0"/>
    <n v="836.36280000000011"/>
    <n v="3230.3426400000003"/>
    <n v="0"/>
    <n v="1364.3980480005093"/>
    <n v="3429.7668854427206"/>
  </r>
  <r>
    <s v="Regular"/>
    <x v="2"/>
    <x v="2"/>
    <x v="2"/>
    <x v="0"/>
    <x v="0"/>
    <x v="0"/>
    <x v="0"/>
    <x v="6"/>
    <n v="0"/>
    <n v="0"/>
    <n v="1104.9069999999999"/>
    <n v="1104.9069999999999"/>
    <n v="1104.9069999999999"/>
    <n v="1104.9069999999999"/>
    <n v="0"/>
    <x v="2"/>
    <n v="0"/>
    <n v="0"/>
    <n v="6"/>
    <n v="61"/>
    <n v="0"/>
    <n v="72.150000000000006"/>
    <n v="278.67"/>
    <m/>
    <n v="117.70169496208672"/>
    <n v="295.87360985530717"/>
    <n v="0"/>
    <n v="79719.040049999996"/>
    <n v="307904.43368999998"/>
    <n v="0"/>
    <n v="130049.42667547434"/>
    <n v="326912.82264439785"/>
  </r>
  <r>
    <s v="Sistema de Compensação"/>
    <x v="2"/>
    <x v="2"/>
    <x v="2"/>
    <x v="0"/>
    <x v="0"/>
    <x v="0"/>
    <x v="0"/>
    <x v="6"/>
    <n v="0"/>
    <n v="0"/>
    <n v="10.664999999999999"/>
    <n v="10.664999999999999"/>
    <n v="10.664999999999999"/>
    <n v="10.664999999999999"/>
    <n v="0"/>
    <x v="2"/>
    <n v="0"/>
    <n v="0"/>
    <n v="6"/>
    <n v="61"/>
    <n v="0"/>
    <n v="72.150000000000006"/>
    <n v="278.67"/>
    <m/>
    <n v="117.70169496208672"/>
    <n v="295.87360985530717"/>
    <n v="0"/>
    <n v="769.47974999999997"/>
    <n v="2972.0155500000001"/>
    <n v="0"/>
    <n v="1255.2885767706548"/>
    <n v="3155.4920491068506"/>
  </r>
  <r>
    <s v="Regular"/>
    <x v="2"/>
    <x v="2"/>
    <x v="2"/>
    <x v="0"/>
    <x v="0"/>
    <x v="0"/>
    <x v="0"/>
    <x v="7"/>
    <n v="0"/>
    <n v="0"/>
    <n v="1036.903"/>
    <n v="1036.903"/>
    <n v="1036.903"/>
    <n v="1036.903"/>
    <n v="0"/>
    <x v="2"/>
    <n v="0"/>
    <n v="0"/>
    <n v="6"/>
    <n v="61"/>
    <n v="0"/>
    <n v="72.150000000000006"/>
    <n v="278.67"/>
    <m/>
    <n v="117.70169496208672"/>
    <n v="295.87360985530717"/>
    <n v="0"/>
    <n v="74812.551450000014"/>
    <n v="288953.75901000004"/>
    <n v="0"/>
    <n v="122045.2406112726"/>
    <n v="306792.23367979756"/>
  </r>
  <r>
    <s v="Sistema de Compensação"/>
    <x v="2"/>
    <x v="2"/>
    <x v="2"/>
    <x v="0"/>
    <x v="0"/>
    <x v="0"/>
    <x v="0"/>
    <x v="7"/>
    <n v="0"/>
    <n v="0"/>
    <n v="11.119"/>
    <n v="11.119"/>
    <n v="11.119"/>
    <n v="11.119"/>
    <n v="0"/>
    <x v="2"/>
    <n v="0"/>
    <n v="0"/>
    <n v="6"/>
    <n v="61"/>
    <n v="0"/>
    <n v="72.150000000000006"/>
    <n v="278.67"/>
    <m/>
    <n v="117.70169496208672"/>
    <n v="295.87360985530717"/>
    <n v="0"/>
    <n v="802.23585000000003"/>
    <n v="3098.5317300000002"/>
    <n v="0"/>
    <n v="1308.7251462834422"/>
    <n v="3289.8186679811602"/>
  </r>
  <r>
    <s v="Regular"/>
    <x v="2"/>
    <x v="2"/>
    <x v="2"/>
    <x v="0"/>
    <x v="0"/>
    <x v="0"/>
    <x v="0"/>
    <x v="8"/>
    <n v="0"/>
    <n v="0"/>
    <n v="970.10500000000002"/>
    <n v="970.10500000000002"/>
    <n v="970.10500000000002"/>
    <n v="970.10500000000002"/>
    <n v="0"/>
    <x v="2"/>
    <n v="0"/>
    <n v="0"/>
    <n v="6"/>
    <n v="61"/>
    <n v="0"/>
    <n v="72.150000000000006"/>
    <n v="278.67"/>
    <m/>
    <n v="117.70169496208672"/>
    <n v="295.87360985530717"/>
    <n v="0"/>
    <n v="69993.075750000004"/>
    <n v="270339.16035000002"/>
    <n v="0"/>
    <n v="114183.00279119513"/>
    <n v="287028.46828868275"/>
  </r>
  <r>
    <s v="Regular"/>
    <x v="2"/>
    <x v="2"/>
    <x v="2"/>
    <x v="0"/>
    <x v="0"/>
    <x v="0"/>
    <x v="0"/>
    <x v="9"/>
    <n v="0"/>
    <n v="0"/>
    <n v="1034.615"/>
    <n v="1034.615"/>
    <n v="1034.615"/>
    <n v="1034.615"/>
    <n v="0"/>
    <x v="2"/>
    <n v="0"/>
    <n v="0"/>
    <n v="6"/>
    <n v="61"/>
    <n v="0"/>
    <n v="72.150000000000006"/>
    <n v="278.67"/>
    <m/>
    <n v="117.70169496208672"/>
    <n v="295.87360985530717"/>
    <n v="0"/>
    <n v="74647.472250000006"/>
    <n v="288316.16205000004"/>
    <n v="0"/>
    <n v="121775.93913319935"/>
    <n v="306115.27486044861"/>
  </r>
  <r>
    <s v="Sistema de Compensação"/>
    <x v="2"/>
    <x v="2"/>
    <x v="2"/>
    <x v="0"/>
    <x v="0"/>
    <x v="0"/>
    <x v="0"/>
    <x v="9"/>
    <n v="0"/>
    <n v="0"/>
    <n v="13.989000000000001"/>
    <n v="13.989000000000001"/>
    <n v="13.989000000000001"/>
    <n v="13.989000000000001"/>
    <n v="0"/>
    <x v="2"/>
    <n v="0"/>
    <n v="0"/>
    <n v="6"/>
    <n v="61"/>
    <n v="0"/>
    <n v="72.150000000000006"/>
    <n v="278.67"/>
    <m/>
    <n v="117.70169496208672"/>
    <n v="295.87360985530717"/>
    <n v="0"/>
    <n v="1009.3063500000002"/>
    <n v="3898.3146300000003"/>
    <n v="0"/>
    <n v="1646.5290108246313"/>
    <n v="4138.9759282658924"/>
  </r>
  <r>
    <s v="Regular"/>
    <x v="2"/>
    <x v="2"/>
    <x v="2"/>
    <x v="0"/>
    <x v="0"/>
    <x v="0"/>
    <x v="0"/>
    <x v="10"/>
    <n v="0"/>
    <n v="0"/>
    <n v="1028.8389999999999"/>
    <n v="1028.8389999999999"/>
    <n v="1028.8389999999999"/>
    <n v="1028.8389999999999"/>
    <n v="0"/>
    <x v="2"/>
    <n v="0"/>
    <n v="0"/>
    <n v="6"/>
    <n v="61"/>
    <n v="0"/>
    <n v="72.150000000000006"/>
    <n v="278.67"/>
    <m/>
    <n v="117.70169496208672"/>
    <n v="295.87360985530717"/>
    <n v="0"/>
    <n v="74230.733850000004"/>
    <n v="286706.56413000001"/>
    <n v="0"/>
    <n v="121096.09414309834"/>
    <n v="304406.30888992437"/>
  </r>
  <r>
    <s v="Refaturamento - Regular"/>
    <x v="2"/>
    <x v="2"/>
    <x v="2"/>
    <x v="0"/>
    <x v="0"/>
    <x v="0"/>
    <x v="0"/>
    <x v="10"/>
    <n v="0"/>
    <n v="0"/>
    <n v="-2.077"/>
    <n v="-2.077"/>
    <n v="-2.077"/>
    <n v="-2.077"/>
    <n v="0"/>
    <x v="2"/>
    <n v="0"/>
    <n v="0"/>
    <n v="6"/>
    <n v="61"/>
    <n v="0"/>
    <n v="72.150000000000006"/>
    <n v="278.67"/>
    <m/>
    <n v="117.70169496208672"/>
    <n v="295.87360985530717"/>
    <n v="0"/>
    <n v="-149.85555000000002"/>
    <n v="-578.79759000000001"/>
    <n v="0"/>
    <n v="-244.46642043625411"/>
    <n v="-614.52948766947293"/>
  </r>
  <r>
    <s v="Sistema de Compensação"/>
    <x v="2"/>
    <x v="2"/>
    <x v="2"/>
    <x v="0"/>
    <x v="0"/>
    <x v="0"/>
    <x v="0"/>
    <x v="10"/>
    <n v="0"/>
    <n v="0"/>
    <n v="14.489000000000001"/>
    <n v="14.489000000000001"/>
    <n v="14.489000000000001"/>
    <n v="14.489000000000001"/>
    <n v="0"/>
    <x v="2"/>
    <n v="0"/>
    <n v="0"/>
    <n v="6"/>
    <n v="61"/>
    <n v="0"/>
    <n v="72.150000000000006"/>
    <n v="278.67"/>
    <m/>
    <n v="117.70169496208672"/>
    <n v="295.87360985530717"/>
    <n v="0"/>
    <n v="1045.3813500000001"/>
    <n v="4037.6496300000003"/>
    <n v="0"/>
    <n v="1705.3798583056746"/>
    <n v="4286.912733193546"/>
  </r>
  <r>
    <s v="PROJETADO"/>
    <x v="2"/>
    <x v="2"/>
    <x v="2"/>
    <x v="0"/>
    <x v="0"/>
    <x v="0"/>
    <x v="0"/>
    <x v="11"/>
    <n v="0"/>
    <n v="0"/>
    <n v="1028.8389999999999"/>
    <n v="1028.8389999999999"/>
    <n v="1028.8389999999999"/>
    <n v="1028.8389999999999"/>
    <n v="0"/>
    <x v="2"/>
    <n v="0"/>
    <n v="0"/>
    <n v="6"/>
    <n v="61"/>
    <n v="0"/>
    <n v="72.150000000000006"/>
    <n v="278.67"/>
    <m/>
    <n v="117.70169496208672"/>
    <n v="295.87360985530717"/>
    <n v="0"/>
    <n v="74230.733850000004"/>
    <n v="286706.56413000001"/>
    <n v="0"/>
    <n v="121096.09414309834"/>
    <n v="304406.30888992437"/>
  </r>
  <r>
    <s v="PROJETADO"/>
    <x v="2"/>
    <x v="2"/>
    <x v="2"/>
    <x v="0"/>
    <x v="0"/>
    <x v="0"/>
    <x v="0"/>
    <x v="11"/>
    <n v="0"/>
    <n v="0"/>
    <n v="-2.077"/>
    <n v="-2.077"/>
    <n v="-2.077"/>
    <n v="-2.077"/>
    <n v="0"/>
    <x v="2"/>
    <n v="0"/>
    <n v="0"/>
    <n v="6"/>
    <n v="61"/>
    <n v="0"/>
    <n v="72.150000000000006"/>
    <n v="278.67"/>
    <m/>
    <n v="117.70169496208672"/>
    <n v="295.87360985530717"/>
    <n v="0"/>
    <n v="-149.85555000000002"/>
    <n v="-578.79759000000001"/>
    <n v="0"/>
    <n v="-244.46642043625411"/>
    <n v="-614.52948766947293"/>
  </r>
  <r>
    <s v="PROJETADO"/>
    <x v="2"/>
    <x v="2"/>
    <x v="2"/>
    <x v="0"/>
    <x v="0"/>
    <x v="0"/>
    <x v="0"/>
    <x v="11"/>
    <n v="0"/>
    <n v="0"/>
    <n v="14.489000000000001"/>
    <n v="14.489000000000001"/>
    <n v="14.489000000000001"/>
    <n v="14.489000000000001"/>
    <n v="0"/>
    <x v="2"/>
    <n v="0"/>
    <n v="0"/>
    <n v="6"/>
    <n v="61"/>
    <n v="0"/>
    <n v="72.150000000000006"/>
    <n v="278.67"/>
    <m/>
    <n v="117.70169496208672"/>
    <n v="295.87360985530717"/>
    <n v="0"/>
    <n v="1045.3813500000001"/>
    <n v="4037.6496300000003"/>
    <n v="0"/>
    <n v="1705.3798583056746"/>
    <n v="4286.912733193546"/>
  </r>
  <r>
    <s v="Regular"/>
    <x v="2"/>
    <x v="2"/>
    <x v="2"/>
    <x v="0"/>
    <x v="0"/>
    <x v="0"/>
    <x v="1"/>
    <x v="0"/>
    <n v="7387"/>
    <n v="7387"/>
    <n v="0"/>
    <n v="0"/>
    <n v="0"/>
    <n v="0"/>
    <n v="64"/>
    <x v="2"/>
    <n v="0"/>
    <n v="20"/>
    <n v="0"/>
    <n v="0"/>
    <n v="14"/>
    <n v="0"/>
    <n v="0"/>
    <n v="15.925787521209683"/>
    <m/>
    <m/>
    <n v="103418"/>
    <n v="0"/>
    <n v="0"/>
    <n v="117643.79241917592"/>
    <n v="0"/>
    <n v="0"/>
  </r>
  <r>
    <s v="Sistema de Compensação"/>
    <x v="2"/>
    <x v="2"/>
    <x v="2"/>
    <x v="0"/>
    <x v="0"/>
    <x v="0"/>
    <x v="1"/>
    <x v="0"/>
    <n v="135"/>
    <n v="135"/>
    <n v="0"/>
    <n v="0"/>
    <n v="0"/>
    <n v="0"/>
    <n v="2"/>
    <x v="2"/>
    <n v="0"/>
    <n v="20"/>
    <n v="0"/>
    <n v="0"/>
    <n v="14"/>
    <n v="0"/>
    <n v="0"/>
    <n v="15.925787521209683"/>
    <m/>
    <m/>
    <n v="1890"/>
    <n v="0"/>
    <n v="0"/>
    <n v="2149.9813153633072"/>
    <n v="0"/>
    <n v="0"/>
  </r>
  <r>
    <s v="Regular"/>
    <x v="2"/>
    <x v="2"/>
    <x v="2"/>
    <x v="0"/>
    <x v="0"/>
    <x v="0"/>
    <x v="1"/>
    <x v="1"/>
    <n v="7520"/>
    <n v="7520"/>
    <n v="0"/>
    <n v="0"/>
    <n v="0"/>
    <n v="0"/>
    <n v="64"/>
    <x v="2"/>
    <n v="0"/>
    <n v="20"/>
    <n v="0"/>
    <n v="0"/>
    <n v="14"/>
    <n v="0"/>
    <n v="0"/>
    <n v="15.925787521209683"/>
    <m/>
    <m/>
    <n v="105280"/>
    <n v="0"/>
    <n v="0"/>
    <n v="119761.92215949681"/>
    <n v="0"/>
    <n v="0"/>
  </r>
  <r>
    <s v="Sistema de Compensação"/>
    <x v="2"/>
    <x v="2"/>
    <x v="2"/>
    <x v="0"/>
    <x v="0"/>
    <x v="0"/>
    <x v="1"/>
    <x v="1"/>
    <n v="135"/>
    <n v="135"/>
    <n v="0"/>
    <n v="0"/>
    <n v="0"/>
    <n v="0"/>
    <n v="2"/>
    <x v="2"/>
    <n v="0"/>
    <n v="20"/>
    <n v="0"/>
    <n v="0"/>
    <n v="14"/>
    <n v="0"/>
    <n v="0"/>
    <n v="15.925787521209683"/>
    <m/>
    <m/>
    <n v="1890"/>
    <n v="0"/>
    <n v="0"/>
    <n v="2149.9813153633072"/>
    <n v="0"/>
    <n v="0"/>
  </r>
  <r>
    <s v="Regular"/>
    <x v="2"/>
    <x v="2"/>
    <x v="2"/>
    <x v="0"/>
    <x v="0"/>
    <x v="0"/>
    <x v="1"/>
    <x v="2"/>
    <n v="7146"/>
    <n v="7146"/>
    <n v="0"/>
    <n v="0"/>
    <n v="0"/>
    <n v="0"/>
    <n v="62"/>
    <x v="2"/>
    <n v="0"/>
    <n v="20"/>
    <n v="0"/>
    <n v="0"/>
    <n v="14"/>
    <n v="0"/>
    <n v="0"/>
    <n v="15.925787521209683"/>
    <m/>
    <m/>
    <n v="100044"/>
    <n v="0"/>
    <n v="0"/>
    <n v="113805.6776265644"/>
    <n v="0"/>
    <n v="0"/>
  </r>
  <r>
    <s v="Sistema de Compensação"/>
    <x v="2"/>
    <x v="2"/>
    <x v="2"/>
    <x v="0"/>
    <x v="0"/>
    <x v="0"/>
    <x v="1"/>
    <x v="2"/>
    <n v="135"/>
    <n v="135"/>
    <n v="0"/>
    <n v="0"/>
    <n v="0"/>
    <n v="0"/>
    <n v="2"/>
    <x v="2"/>
    <n v="0"/>
    <n v="20"/>
    <n v="0"/>
    <n v="0"/>
    <n v="14"/>
    <n v="0"/>
    <n v="0"/>
    <n v="15.925787521209683"/>
    <m/>
    <m/>
    <n v="1890"/>
    <n v="0"/>
    <n v="0"/>
    <n v="2149.9813153633072"/>
    <n v="0"/>
    <n v="0"/>
  </r>
  <r>
    <s v="Regular"/>
    <x v="2"/>
    <x v="2"/>
    <x v="2"/>
    <x v="0"/>
    <x v="0"/>
    <x v="0"/>
    <x v="1"/>
    <x v="3"/>
    <n v="7182"/>
    <n v="7182"/>
    <n v="0"/>
    <n v="0"/>
    <n v="0"/>
    <n v="0"/>
    <n v="62"/>
    <x v="2"/>
    <n v="0"/>
    <n v="20"/>
    <n v="0"/>
    <n v="0"/>
    <n v="14"/>
    <n v="0"/>
    <n v="0"/>
    <n v="15.925787521209683"/>
    <m/>
    <m/>
    <n v="100548"/>
    <n v="0"/>
    <n v="0"/>
    <n v="114379.00597732795"/>
    <n v="0"/>
    <n v="0"/>
  </r>
  <r>
    <s v="Refaturamento - Regular"/>
    <x v="2"/>
    <x v="2"/>
    <x v="2"/>
    <x v="0"/>
    <x v="0"/>
    <x v="0"/>
    <x v="1"/>
    <x v="3"/>
    <n v="-9"/>
    <n v="-9"/>
    <n v="0"/>
    <n v="0"/>
    <n v="0"/>
    <n v="0"/>
    <n v="0"/>
    <x v="2"/>
    <n v="0"/>
    <n v="20"/>
    <n v="0"/>
    <n v="0"/>
    <n v="14"/>
    <n v="0"/>
    <n v="0"/>
    <n v="15.925787521209683"/>
    <m/>
    <m/>
    <n v="-126"/>
    <n v="0"/>
    <n v="0"/>
    <n v="-143.33208769088714"/>
    <n v="0"/>
    <n v="0"/>
  </r>
  <r>
    <s v="Sistema de Compensação"/>
    <x v="2"/>
    <x v="2"/>
    <x v="2"/>
    <x v="0"/>
    <x v="0"/>
    <x v="0"/>
    <x v="1"/>
    <x v="3"/>
    <n v="135"/>
    <n v="135"/>
    <n v="0"/>
    <n v="0"/>
    <n v="0"/>
    <n v="0"/>
    <n v="2"/>
    <x v="2"/>
    <n v="0"/>
    <n v="20"/>
    <n v="0"/>
    <n v="0"/>
    <n v="14"/>
    <n v="0"/>
    <n v="0"/>
    <n v="15.925787521209683"/>
    <m/>
    <m/>
    <n v="1890"/>
    <n v="0"/>
    <n v="0"/>
    <n v="2149.9813153633072"/>
    <n v="0"/>
    <n v="0"/>
  </r>
  <r>
    <s v="Regular"/>
    <x v="2"/>
    <x v="2"/>
    <x v="2"/>
    <x v="0"/>
    <x v="0"/>
    <x v="0"/>
    <x v="1"/>
    <x v="4"/>
    <n v="7102"/>
    <n v="7102"/>
    <n v="0"/>
    <n v="0"/>
    <n v="0"/>
    <n v="0"/>
    <n v="62"/>
    <x v="2"/>
    <n v="0"/>
    <n v="20"/>
    <n v="0"/>
    <n v="0"/>
    <n v="14"/>
    <n v="0"/>
    <n v="0"/>
    <n v="15.925787521209683"/>
    <m/>
    <m/>
    <n v="99428"/>
    <n v="0"/>
    <n v="0"/>
    <n v="113104.94297563117"/>
    <n v="0"/>
    <n v="0"/>
  </r>
  <r>
    <s v="Sistema de Compensação"/>
    <x v="2"/>
    <x v="2"/>
    <x v="2"/>
    <x v="0"/>
    <x v="0"/>
    <x v="0"/>
    <x v="1"/>
    <x v="4"/>
    <n v="135"/>
    <n v="135"/>
    <n v="0"/>
    <n v="0"/>
    <n v="0"/>
    <n v="0"/>
    <n v="2"/>
    <x v="2"/>
    <n v="0"/>
    <n v="20"/>
    <n v="0"/>
    <n v="0"/>
    <n v="14"/>
    <n v="0"/>
    <n v="0"/>
    <n v="15.925787521209683"/>
    <m/>
    <m/>
    <n v="1890"/>
    <n v="0"/>
    <n v="0"/>
    <n v="2149.9813153633072"/>
    <n v="0"/>
    <n v="0"/>
  </r>
  <r>
    <s v="Regular"/>
    <x v="2"/>
    <x v="2"/>
    <x v="2"/>
    <x v="0"/>
    <x v="0"/>
    <x v="0"/>
    <x v="1"/>
    <x v="5"/>
    <n v="6776"/>
    <n v="6776"/>
    <n v="0"/>
    <n v="0"/>
    <n v="0"/>
    <n v="0"/>
    <n v="60"/>
    <x v="2"/>
    <n v="0"/>
    <n v="20"/>
    <n v="0"/>
    <n v="0"/>
    <n v="14"/>
    <n v="0"/>
    <n v="0"/>
    <n v="15.925787521209683"/>
    <m/>
    <m/>
    <n v="94864"/>
    <n v="0"/>
    <n v="0"/>
    <n v="107913.13624371681"/>
    <n v="0"/>
    <n v="0"/>
  </r>
  <r>
    <s v="Sistema de Compensação"/>
    <x v="2"/>
    <x v="2"/>
    <x v="2"/>
    <x v="0"/>
    <x v="0"/>
    <x v="0"/>
    <x v="1"/>
    <x v="5"/>
    <n v="135"/>
    <n v="135"/>
    <n v="0"/>
    <n v="0"/>
    <n v="0"/>
    <n v="0"/>
    <n v="2"/>
    <x v="2"/>
    <n v="0"/>
    <n v="20"/>
    <n v="0"/>
    <n v="0"/>
    <n v="14"/>
    <n v="0"/>
    <n v="0"/>
    <n v="15.925787521209683"/>
    <m/>
    <m/>
    <n v="1890"/>
    <n v="0"/>
    <n v="0"/>
    <n v="2149.9813153633072"/>
    <n v="0"/>
    <n v="0"/>
  </r>
  <r>
    <s v="Regular"/>
    <x v="2"/>
    <x v="2"/>
    <x v="2"/>
    <x v="0"/>
    <x v="0"/>
    <x v="0"/>
    <x v="1"/>
    <x v="6"/>
    <n v="6662"/>
    <n v="6662"/>
    <n v="0"/>
    <n v="0"/>
    <n v="0"/>
    <n v="0"/>
    <n v="60"/>
    <x v="2"/>
    <n v="0"/>
    <n v="20"/>
    <n v="0"/>
    <n v="0"/>
    <n v="14"/>
    <n v="0"/>
    <n v="0"/>
    <n v="15.925787521209683"/>
    <m/>
    <m/>
    <n v="93268"/>
    <n v="0"/>
    <n v="0"/>
    <n v="106097.59646629891"/>
    <n v="0"/>
    <n v="0"/>
  </r>
  <r>
    <s v="Sistema de Compensação"/>
    <x v="2"/>
    <x v="2"/>
    <x v="2"/>
    <x v="0"/>
    <x v="0"/>
    <x v="0"/>
    <x v="1"/>
    <x v="6"/>
    <n v="195"/>
    <n v="195"/>
    <n v="0"/>
    <n v="0"/>
    <n v="0"/>
    <n v="0"/>
    <n v="3"/>
    <x v="2"/>
    <n v="0"/>
    <n v="20"/>
    <n v="0"/>
    <n v="0"/>
    <n v="14"/>
    <n v="0"/>
    <n v="0"/>
    <n v="15.925787521209683"/>
    <m/>
    <m/>
    <n v="2730"/>
    <n v="0"/>
    <n v="0"/>
    <n v="3105.5285666358882"/>
    <n v="0"/>
    <n v="0"/>
  </r>
  <r>
    <s v="Regular"/>
    <x v="2"/>
    <x v="2"/>
    <x v="2"/>
    <x v="0"/>
    <x v="0"/>
    <x v="0"/>
    <x v="1"/>
    <x v="7"/>
    <n v="6581"/>
    <n v="6581"/>
    <n v="0"/>
    <n v="0"/>
    <n v="0"/>
    <n v="0"/>
    <n v="59"/>
    <x v="2"/>
    <n v="0"/>
    <n v="20"/>
    <n v="0"/>
    <n v="0"/>
    <n v="14"/>
    <n v="0"/>
    <n v="0"/>
    <n v="15.925787521209683"/>
    <m/>
    <m/>
    <n v="92134"/>
    <n v="0"/>
    <n v="0"/>
    <n v="104807.60767708093"/>
    <n v="0"/>
    <n v="0"/>
  </r>
  <r>
    <s v="Sistema de Compensação"/>
    <x v="2"/>
    <x v="2"/>
    <x v="2"/>
    <x v="0"/>
    <x v="0"/>
    <x v="0"/>
    <x v="1"/>
    <x v="7"/>
    <n v="225"/>
    <n v="225"/>
    <n v="0"/>
    <n v="0"/>
    <n v="0"/>
    <n v="0"/>
    <n v="4"/>
    <x v="2"/>
    <n v="0"/>
    <n v="20"/>
    <n v="0"/>
    <n v="0"/>
    <n v="14"/>
    <n v="0"/>
    <n v="0"/>
    <n v="15.925787521209683"/>
    <m/>
    <m/>
    <n v="3150"/>
    <n v="0"/>
    <n v="0"/>
    <n v="3583.3021922721787"/>
    <n v="0"/>
    <n v="0"/>
  </r>
  <r>
    <s v="Regular"/>
    <x v="2"/>
    <x v="2"/>
    <x v="2"/>
    <x v="0"/>
    <x v="0"/>
    <x v="0"/>
    <x v="1"/>
    <x v="8"/>
    <n v="6430"/>
    <n v="6430"/>
    <n v="0"/>
    <n v="0"/>
    <n v="0"/>
    <n v="0"/>
    <n v="59"/>
    <x v="2"/>
    <n v="0"/>
    <n v="20"/>
    <n v="0"/>
    <n v="0"/>
    <n v="14"/>
    <n v="0"/>
    <n v="0"/>
    <n v="15.925787521209683"/>
    <m/>
    <m/>
    <n v="90020"/>
    <n v="0"/>
    <n v="0"/>
    <n v="102402.81376137826"/>
    <n v="0"/>
    <n v="0"/>
  </r>
  <r>
    <s v="Regular"/>
    <x v="2"/>
    <x v="2"/>
    <x v="2"/>
    <x v="0"/>
    <x v="0"/>
    <x v="0"/>
    <x v="1"/>
    <x v="9"/>
    <n v="6420"/>
    <n v="6420"/>
    <n v="0"/>
    <n v="0"/>
    <n v="0"/>
    <n v="0"/>
    <n v="58"/>
    <x v="2"/>
    <n v="0"/>
    <n v="20"/>
    <n v="0"/>
    <n v="0"/>
    <n v="14"/>
    <n v="0"/>
    <n v="0"/>
    <n v="15.925787521209683"/>
    <m/>
    <m/>
    <n v="89880"/>
    <n v="0"/>
    <n v="0"/>
    <n v="102243.55588616617"/>
    <n v="0"/>
    <n v="0"/>
  </r>
  <r>
    <s v="Sistema de Compensação"/>
    <x v="2"/>
    <x v="2"/>
    <x v="2"/>
    <x v="0"/>
    <x v="0"/>
    <x v="0"/>
    <x v="1"/>
    <x v="9"/>
    <n v="472"/>
    <n v="472"/>
    <n v="0"/>
    <n v="0"/>
    <n v="0"/>
    <n v="0"/>
    <n v="5"/>
    <x v="2"/>
    <n v="0"/>
    <n v="20"/>
    <n v="0"/>
    <n v="0"/>
    <n v="14"/>
    <n v="0"/>
    <n v="0"/>
    <n v="15.925787521209683"/>
    <m/>
    <m/>
    <n v="6608"/>
    <n v="0"/>
    <n v="0"/>
    <n v="7516.9717100109701"/>
    <n v="0"/>
    <n v="0"/>
  </r>
  <r>
    <s v="Regular"/>
    <x v="2"/>
    <x v="2"/>
    <x v="2"/>
    <x v="0"/>
    <x v="0"/>
    <x v="0"/>
    <x v="1"/>
    <x v="10"/>
    <n v="6420"/>
    <n v="6420"/>
    <n v="0"/>
    <n v="0"/>
    <n v="0"/>
    <n v="0"/>
    <n v="59"/>
    <x v="2"/>
    <n v="0"/>
    <n v="20"/>
    <n v="0"/>
    <n v="0"/>
    <n v="14"/>
    <n v="0"/>
    <n v="0"/>
    <n v="15.925787521209683"/>
    <m/>
    <m/>
    <n v="89880"/>
    <n v="0"/>
    <n v="0"/>
    <n v="102243.55588616617"/>
    <n v="0"/>
    <n v="0"/>
  </r>
  <r>
    <s v="Sistema de Compensação"/>
    <x v="2"/>
    <x v="2"/>
    <x v="2"/>
    <x v="0"/>
    <x v="0"/>
    <x v="0"/>
    <x v="1"/>
    <x v="10"/>
    <n v="472"/>
    <n v="472"/>
    <n v="0"/>
    <n v="0"/>
    <n v="0"/>
    <n v="0"/>
    <n v="5"/>
    <x v="2"/>
    <n v="0"/>
    <n v="20"/>
    <n v="0"/>
    <n v="0"/>
    <n v="14"/>
    <n v="0"/>
    <n v="0"/>
    <n v="15.925787521209683"/>
    <m/>
    <m/>
    <n v="6608"/>
    <n v="0"/>
    <n v="0"/>
    <n v="7516.9717100109701"/>
    <n v="0"/>
    <n v="0"/>
  </r>
  <r>
    <s v="PROJETADO"/>
    <x v="2"/>
    <x v="2"/>
    <x v="2"/>
    <x v="0"/>
    <x v="0"/>
    <x v="0"/>
    <x v="1"/>
    <x v="11"/>
    <n v="6420"/>
    <n v="6420"/>
    <n v="0"/>
    <n v="0"/>
    <n v="0"/>
    <n v="0"/>
    <n v="59"/>
    <x v="2"/>
    <n v="0"/>
    <n v="20"/>
    <n v="0"/>
    <n v="0"/>
    <n v="14"/>
    <n v="0"/>
    <n v="0"/>
    <n v="15.925787521209683"/>
    <m/>
    <m/>
    <n v="89880"/>
    <n v="0"/>
    <n v="0"/>
    <n v="102243.55588616617"/>
    <n v="0"/>
    <n v="0"/>
  </r>
  <r>
    <s v="PROJETADO"/>
    <x v="2"/>
    <x v="2"/>
    <x v="2"/>
    <x v="0"/>
    <x v="0"/>
    <x v="0"/>
    <x v="1"/>
    <x v="11"/>
    <n v="472"/>
    <n v="472"/>
    <n v="0"/>
    <n v="0"/>
    <n v="0"/>
    <n v="0"/>
    <n v="5"/>
    <x v="2"/>
    <n v="0"/>
    <n v="20"/>
    <n v="0"/>
    <n v="0"/>
    <n v="14"/>
    <n v="0"/>
    <n v="0"/>
    <n v="15.925787521209683"/>
    <m/>
    <m/>
    <n v="6608"/>
    <n v="0"/>
    <n v="0"/>
    <n v="7516.9717100109701"/>
    <n v="0"/>
    <n v="0"/>
  </r>
  <r>
    <s v="Regular"/>
    <x v="2"/>
    <x v="2"/>
    <x v="2"/>
    <x v="0"/>
    <x v="0"/>
    <x v="0"/>
    <x v="2"/>
    <x v="0"/>
    <n v="0"/>
    <n v="0"/>
    <n v="111.202"/>
    <n v="111.202"/>
    <n v="111.202"/>
    <n v="111.202"/>
    <n v="0"/>
    <x v="2"/>
    <n v="0"/>
    <n v="0"/>
    <n v="8"/>
    <n v="38"/>
    <n v="0"/>
    <n v="940.43"/>
    <n v="442.86"/>
    <m/>
    <n v="1108.3660770518723"/>
    <n v="476.88775168498375"/>
    <n v="0"/>
    <n v="104577.69686"/>
    <n v="49246.917719999998"/>
    <n v="0"/>
    <n v="123252.5245003223"/>
    <n v="53030.871762873561"/>
  </r>
  <r>
    <s v="Sistema de Compensação"/>
    <x v="2"/>
    <x v="2"/>
    <x v="2"/>
    <x v="0"/>
    <x v="0"/>
    <x v="0"/>
    <x v="2"/>
    <x v="0"/>
    <n v="0"/>
    <n v="0"/>
    <n v="2.8340000000000001"/>
    <n v="2.8340000000000001"/>
    <n v="2.8340000000000001"/>
    <n v="2.8340000000000001"/>
    <n v="0"/>
    <x v="2"/>
    <n v="0"/>
    <n v="0"/>
    <n v="8"/>
    <n v="38"/>
    <n v="0"/>
    <n v="940.43"/>
    <n v="442.86"/>
    <m/>
    <n v="1108.3660770518723"/>
    <n v="476.88775168498375"/>
    <n v="0"/>
    <n v="2665.1786200000001"/>
    <n v="1255.0652400000001"/>
    <n v="0"/>
    <n v="3141.109462365006"/>
    <n v="1351.4998882752441"/>
  </r>
  <r>
    <s v="Regular"/>
    <x v="2"/>
    <x v="2"/>
    <x v="2"/>
    <x v="0"/>
    <x v="0"/>
    <x v="0"/>
    <x v="2"/>
    <x v="1"/>
    <n v="0"/>
    <n v="0"/>
    <n v="127.17"/>
    <n v="127.17"/>
    <n v="127.17"/>
    <n v="127.17"/>
    <n v="0"/>
    <x v="2"/>
    <n v="0"/>
    <n v="0"/>
    <n v="8"/>
    <n v="38"/>
    <n v="0"/>
    <n v="940.43"/>
    <n v="442.86"/>
    <m/>
    <n v="1108.3660770518723"/>
    <n v="476.88775168498375"/>
    <n v="0"/>
    <n v="119594.4831"/>
    <n v="56318.506200000003"/>
    <n v="0"/>
    <n v="140950.9140186866"/>
    <n v="60645.815381779386"/>
  </r>
  <r>
    <s v="Sistema de Compensação"/>
    <x v="2"/>
    <x v="2"/>
    <x v="2"/>
    <x v="0"/>
    <x v="0"/>
    <x v="0"/>
    <x v="2"/>
    <x v="1"/>
    <n v="0"/>
    <n v="0"/>
    <n v="2.5609999999999999"/>
    <n v="2.5609999999999999"/>
    <n v="2.5609999999999999"/>
    <n v="2.5609999999999999"/>
    <n v="0"/>
    <x v="2"/>
    <n v="0"/>
    <n v="0"/>
    <n v="8"/>
    <n v="38"/>
    <n v="0"/>
    <n v="940.43"/>
    <n v="442.86"/>
    <m/>
    <n v="1108.3660770518723"/>
    <n v="476.88775168498375"/>
    <n v="0"/>
    <n v="2408.4412299999999"/>
    <n v="1134.16446"/>
    <n v="0"/>
    <n v="2838.5255233298449"/>
    <n v="1221.3095320652433"/>
  </r>
  <r>
    <s v="Regular"/>
    <x v="2"/>
    <x v="2"/>
    <x v="2"/>
    <x v="0"/>
    <x v="0"/>
    <x v="0"/>
    <x v="2"/>
    <x v="2"/>
    <n v="0"/>
    <n v="0"/>
    <n v="131.60499999999999"/>
    <n v="131.60499999999999"/>
    <n v="131.60499999999999"/>
    <n v="131.60499999999999"/>
    <n v="0"/>
    <x v="2"/>
    <n v="0"/>
    <n v="0"/>
    <n v="8"/>
    <n v="38"/>
    <n v="0"/>
    <n v="940.43"/>
    <n v="442.86"/>
    <m/>
    <n v="1108.3660770518723"/>
    <n v="476.88775168498375"/>
    <n v="0"/>
    <n v="123765.29014999999"/>
    <n v="58282.590299999996"/>
    <n v="0"/>
    <n v="145866.51757041164"/>
    <n v="62760.81256050228"/>
  </r>
  <r>
    <s v="Sistema de Compensação"/>
    <x v="2"/>
    <x v="2"/>
    <x v="2"/>
    <x v="0"/>
    <x v="0"/>
    <x v="0"/>
    <x v="2"/>
    <x v="2"/>
    <n v="0"/>
    <n v="0"/>
    <n v="3.1579999999999999"/>
    <n v="3.1579999999999999"/>
    <n v="3.1579999999999999"/>
    <n v="3.1579999999999999"/>
    <n v="0"/>
    <x v="2"/>
    <n v="0"/>
    <n v="0"/>
    <n v="8"/>
    <n v="38"/>
    <n v="0"/>
    <n v="940.43"/>
    <n v="442.86"/>
    <m/>
    <n v="1108.3660770518723"/>
    <n v="476.88775168498375"/>
    <n v="0"/>
    <n v="2969.8779399999999"/>
    <n v="1398.55188"/>
    <n v="0"/>
    <n v="3500.2200713298125"/>
    <n v="1506.0115198211786"/>
  </r>
  <r>
    <s v="Regular"/>
    <x v="2"/>
    <x v="2"/>
    <x v="2"/>
    <x v="0"/>
    <x v="0"/>
    <x v="0"/>
    <x v="2"/>
    <x v="3"/>
    <n v="0"/>
    <n v="0"/>
    <n v="125.58199999999999"/>
    <n v="125.58199999999999"/>
    <n v="125.58199999999999"/>
    <n v="125.58199999999999"/>
    <n v="0"/>
    <x v="2"/>
    <n v="0"/>
    <n v="0"/>
    <n v="8"/>
    <n v="38"/>
    <n v="0"/>
    <n v="940.43"/>
    <n v="442.86"/>
    <m/>
    <n v="1108.3660770518723"/>
    <n v="476.88775168498375"/>
    <n v="0"/>
    <n v="118101.08025999999"/>
    <n v="55615.24452"/>
    <n v="0"/>
    <n v="139190.82868832821"/>
    <n v="59888.517632103627"/>
  </r>
  <r>
    <s v="Refaturamento - Regular"/>
    <x v="2"/>
    <x v="2"/>
    <x v="2"/>
    <x v="0"/>
    <x v="0"/>
    <x v="0"/>
    <x v="2"/>
    <x v="3"/>
    <n v="0"/>
    <n v="0"/>
    <n v="-0.183"/>
    <n v="-0.183"/>
    <n v="-0.183"/>
    <n v="-0.183"/>
    <n v="0"/>
    <x v="2"/>
    <n v="0"/>
    <n v="0"/>
    <n v="8"/>
    <n v="38"/>
    <n v="0"/>
    <n v="940.43"/>
    <n v="442.86"/>
    <m/>
    <n v="1108.3660770518723"/>
    <n v="476.88775168498375"/>
    <n v="0"/>
    <n v="-172.09868999999998"/>
    <n v="-81.043379999999999"/>
    <n v="0"/>
    <n v="-202.83099210049261"/>
    <n v="-87.270458558352018"/>
  </r>
  <r>
    <s v="Sistema de Compensação"/>
    <x v="2"/>
    <x v="2"/>
    <x v="2"/>
    <x v="0"/>
    <x v="0"/>
    <x v="0"/>
    <x v="2"/>
    <x v="3"/>
    <n v="0"/>
    <n v="0"/>
    <n v="2.9790000000000001"/>
    <n v="2.9790000000000001"/>
    <n v="2.9790000000000001"/>
    <n v="2.9790000000000001"/>
    <n v="0"/>
    <x v="2"/>
    <n v="0"/>
    <n v="0"/>
    <n v="8"/>
    <n v="38"/>
    <n v="0"/>
    <n v="940.43"/>
    <n v="442.86"/>
    <m/>
    <n v="1108.3660770518723"/>
    <n v="476.88775168498375"/>
    <n v="0"/>
    <n v="2801.54097"/>
    <n v="1319.2799400000001"/>
    <n v="0"/>
    <n v="3301.8225435375275"/>
    <n v="1420.6486122695667"/>
  </r>
  <r>
    <s v="Regular"/>
    <x v="2"/>
    <x v="2"/>
    <x v="2"/>
    <x v="0"/>
    <x v="0"/>
    <x v="0"/>
    <x v="2"/>
    <x v="4"/>
    <n v="0"/>
    <n v="0"/>
    <n v="104.45"/>
    <n v="104.45"/>
    <n v="104.45"/>
    <n v="104.45"/>
    <n v="0"/>
    <x v="2"/>
    <n v="0"/>
    <n v="0"/>
    <n v="8"/>
    <n v="38"/>
    <n v="0"/>
    <n v="940.43"/>
    <n v="442.86"/>
    <m/>
    <n v="1108.3660770518723"/>
    <n v="476.88775168498375"/>
    <n v="0"/>
    <n v="98227.913499999995"/>
    <n v="46256.727000000006"/>
    <n v="0"/>
    <n v="115768.83674806806"/>
    <n v="49810.925663496557"/>
  </r>
  <r>
    <s v="Sistema de Compensação"/>
    <x v="2"/>
    <x v="2"/>
    <x v="2"/>
    <x v="0"/>
    <x v="0"/>
    <x v="0"/>
    <x v="2"/>
    <x v="4"/>
    <n v="0"/>
    <n v="0"/>
    <n v="2.8170000000000002"/>
    <n v="2.8170000000000002"/>
    <n v="2.8170000000000002"/>
    <n v="2.8170000000000002"/>
    <n v="0"/>
    <x v="2"/>
    <n v="0"/>
    <n v="0"/>
    <n v="8"/>
    <n v="38"/>
    <n v="0"/>
    <n v="940.43"/>
    <n v="442.86"/>
    <m/>
    <n v="1108.3660770518723"/>
    <n v="476.88775168498375"/>
    <n v="0"/>
    <n v="2649.1913100000002"/>
    <n v="1247.5366200000001"/>
    <n v="0"/>
    <n v="3122.2672390551243"/>
    <n v="1343.3927964965994"/>
  </r>
  <r>
    <s v="Regular"/>
    <x v="2"/>
    <x v="2"/>
    <x v="2"/>
    <x v="0"/>
    <x v="0"/>
    <x v="0"/>
    <x v="2"/>
    <x v="5"/>
    <n v="0"/>
    <n v="0"/>
    <n v="95.438999999999993"/>
    <n v="95.438999999999993"/>
    <n v="95.438999999999993"/>
    <n v="95.438999999999993"/>
    <n v="0"/>
    <x v="2"/>
    <n v="0"/>
    <n v="0"/>
    <n v="8"/>
    <n v="38"/>
    <n v="0"/>
    <n v="940.43"/>
    <n v="442.86"/>
    <m/>
    <n v="1108.3660770518723"/>
    <n v="476.88775168498375"/>
    <n v="0"/>
    <n v="89753.698769999988"/>
    <n v="42266.115539999999"/>
    <n v="0"/>
    <n v="105781.35002775362"/>
    <n v="45513.690133063159"/>
  </r>
  <r>
    <s v="Sistema de Compensação"/>
    <x v="2"/>
    <x v="2"/>
    <x v="2"/>
    <x v="0"/>
    <x v="0"/>
    <x v="0"/>
    <x v="2"/>
    <x v="5"/>
    <n v="0"/>
    <n v="0"/>
    <n v="3.2559999999999998"/>
    <n v="3.2559999999999998"/>
    <n v="3.2559999999999998"/>
    <n v="3.2559999999999998"/>
    <n v="0"/>
    <x v="2"/>
    <n v="0"/>
    <n v="0"/>
    <n v="8"/>
    <n v="38"/>
    <n v="0"/>
    <n v="940.43"/>
    <n v="442.86"/>
    <m/>
    <n v="1108.3660770518723"/>
    <n v="476.88775168498375"/>
    <n v="0"/>
    <n v="3062.0400799999998"/>
    <n v="1441.95216"/>
    <n v="0"/>
    <n v="3608.8399468808957"/>
    <n v="1552.7465194863071"/>
  </r>
  <r>
    <s v="Regular"/>
    <x v="2"/>
    <x v="2"/>
    <x v="2"/>
    <x v="0"/>
    <x v="0"/>
    <x v="0"/>
    <x v="2"/>
    <x v="6"/>
    <n v="0"/>
    <n v="0"/>
    <n v="81.887"/>
    <n v="81.887"/>
    <n v="81.887"/>
    <n v="81.887"/>
    <n v="0"/>
    <x v="2"/>
    <n v="0"/>
    <n v="0"/>
    <n v="8"/>
    <n v="38"/>
    <n v="0"/>
    <n v="940.43"/>
    <n v="442.86"/>
    <m/>
    <n v="1108.3660770518723"/>
    <n v="476.88775168498375"/>
    <n v="0"/>
    <n v="77008.991410000002"/>
    <n v="36264.476820000003"/>
    <n v="0"/>
    <n v="90760.772951546664"/>
    <n v="39050.907322228268"/>
  </r>
  <r>
    <s v="Sistema de Compensação"/>
    <x v="2"/>
    <x v="2"/>
    <x v="2"/>
    <x v="0"/>
    <x v="0"/>
    <x v="0"/>
    <x v="2"/>
    <x v="6"/>
    <n v="0"/>
    <n v="0"/>
    <n v="2.8359999999999999"/>
    <n v="2.8359999999999999"/>
    <n v="2.8359999999999999"/>
    <n v="2.8359999999999999"/>
    <n v="0"/>
    <x v="2"/>
    <n v="0"/>
    <n v="0"/>
    <n v="8"/>
    <n v="38"/>
    <n v="0"/>
    <n v="940.43"/>
    <n v="442.86"/>
    <m/>
    <n v="1108.3660770518723"/>
    <n v="476.88775168498375"/>
    <n v="0"/>
    <n v="2667.0594799999999"/>
    <n v="1255.9509599999999"/>
    <n v="0"/>
    <n v="3143.3261945191093"/>
    <n v="1352.4536637786139"/>
  </r>
  <r>
    <s v="Regular"/>
    <x v="2"/>
    <x v="2"/>
    <x v="2"/>
    <x v="0"/>
    <x v="0"/>
    <x v="0"/>
    <x v="2"/>
    <x v="7"/>
    <n v="0"/>
    <n v="0"/>
    <n v="85.778999999999996"/>
    <n v="85.778999999999996"/>
    <n v="85.778999999999996"/>
    <n v="85.778999999999996"/>
    <n v="0"/>
    <x v="2"/>
    <n v="0"/>
    <n v="0"/>
    <n v="8"/>
    <n v="38"/>
    <n v="0"/>
    <n v="940.43"/>
    <n v="442.86"/>
    <m/>
    <n v="1108.3660770518723"/>
    <n v="476.88775168498375"/>
    <n v="0"/>
    <n v="80669.144969999994"/>
    <n v="37988.087939999998"/>
    <n v="0"/>
    <n v="95074.533723432542"/>
    <n v="40906.954451786223"/>
  </r>
  <r>
    <s v="Sistema de Compensação"/>
    <x v="2"/>
    <x v="2"/>
    <x v="2"/>
    <x v="0"/>
    <x v="0"/>
    <x v="0"/>
    <x v="2"/>
    <x v="7"/>
    <n v="0"/>
    <n v="0"/>
    <n v="2.7690000000000001"/>
    <n v="2.7690000000000001"/>
    <n v="2.7690000000000001"/>
    <n v="2.7690000000000001"/>
    <n v="0"/>
    <x v="2"/>
    <n v="0"/>
    <n v="0"/>
    <n v="8"/>
    <n v="38"/>
    <n v="0"/>
    <n v="940.43"/>
    <n v="442.86"/>
    <m/>
    <n v="1108.3660770518723"/>
    <n v="476.88775168498375"/>
    <n v="0"/>
    <n v="2604.0506700000001"/>
    <n v="1226.27934"/>
    <n v="0"/>
    <n v="3069.0656673566345"/>
    <n v="1320.50218441572"/>
  </r>
  <r>
    <s v="Regular"/>
    <x v="2"/>
    <x v="2"/>
    <x v="2"/>
    <x v="0"/>
    <x v="0"/>
    <x v="0"/>
    <x v="2"/>
    <x v="8"/>
    <n v="0"/>
    <n v="0"/>
    <n v="81.951999999999998"/>
    <n v="81.951999999999998"/>
    <n v="81.951999999999998"/>
    <n v="81.951999999999998"/>
    <n v="0"/>
    <x v="2"/>
    <n v="0"/>
    <n v="0"/>
    <n v="8"/>
    <n v="38"/>
    <n v="0"/>
    <n v="940.43"/>
    <n v="442.86"/>
    <m/>
    <n v="1108.3660770518723"/>
    <n v="476.88775168498375"/>
    <n v="0"/>
    <n v="77070.119359999997"/>
    <n v="36293.262719999999"/>
    <n v="0"/>
    <n v="90832.816746555036"/>
    <n v="39081.905026087785"/>
  </r>
  <r>
    <s v="Regular"/>
    <x v="2"/>
    <x v="2"/>
    <x v="2"/>
    <x v="0"/>
    <x v="0"/>
    <x v="0"/>
    <x v="2"/>
    <x v="9"/>
    <n v="0"/>
    <n v="0"/>
    <n v="84.757999999999996"/>
    <n v="84.757999999999996"/>
    <n v="84.757999999999996"/>
    <n v="84.757999999999996"/>
    <n v="0"/>
    <x v="2"/>
    <n v="0"/>
    <n v="0"/>
    <n v="8"/>
    <n v="38"/>
    <n v="0"/>
    <n v="940.43"/>
    <n v="442.86"/>
    <m/>
    <n v="1108.3660770518723"/>
    <n v="476.88775168498375"/>
    <n v="0"/>
    <n v="79708.965939999995"/>
    <n v="37535.927879999996"/>
    <n v="0"/>
    <n v="93942.891958762586"/>
    <n v="40420.05205731585"/>
  </r>
  <r>
    <s v="Sistema de Compensação"/>
    <x v="2"/>
    <x v="2"/>
    <x v="2"/>
    <x v="0"/>
    <x v="0"/>
    <x v="0"/>
    <x v="2"/>
    <x v="9"/>
    <n v="0"/>
    <n v="0"/>
    <n v="2.94"/>
    <n v="2.94"/>
    <n v="2.94"/>
    <n v="2.94"/>
    <n v="0"/>
    <x v="2"/>
    <n v="0"/>
    <n v="0"/>
    <n v="8"/>
    <n v="38"/>
    <n v="0"/>
    <n v="940.43"/>
    <n v="442.86"/>
    <m/>
    <n v="1108.3660770518723"/>
    <n v="476.88775168498375"/>
    <n v="0"/>
    <n v="2764.8642"/>
    <n v="1302.0083999999999"/>
    <n v="0"/>
    <n v="3258.5962665325042"/>
    <n v="1402.0499899538522"/>
  </r>
  <r>
    <s v="Regular"/>
    <x v="2"/>
    <x v="2"/>
    <x v="2"/>
    <x v="0"/>
    <x v="0"/>
    <x v="0"/>
    <x v="2"/>
    <x v="10"/>
    <n v="0"/>
    <n v="0"/>
    <n v="83.126999999999995"/>
    <n v="83.126999999999995"/>
    <n v="83.126999999999995"/>
    <n v="83.126999999999995"/>
    <n v="0"/>
    <x v="2"/>
    <n v="0"/>
    <n v="0"/>
    <n v="8"/>
    <n v="38"/>
    <n v="0"/>
    <n v="940.43"/>
    <n v="442.86"/>
    <m/>
    <n v="1108.3660770518723"/>
    <n v="476.88775168498375"/>
    <n v="0"/>
    <n v="78175.124609999984"/>
    <n v="36813.623220000001"/>
    <n v="0"/>
    <n v="92135.146887090974"/>
    <n v="39642.248134317641"/>
  </r>
  <r>
    <s v="Refaturamento - Regular"/>
    <x v="2"/>
    <x v="2"/>
    <x v="2"/>
    <x v="0"/>
    <x v="0"/>
    <x v="0"/>
    <x v="2"/>
    <x v="10"/>
    <n v="0"/>
    <n v="0"/>
    <n v="-0.36899999999999999"/>
    <n v="-0.36899999999999999"/>
    <n v="-0.36899999999999999"/>
    <n v="-0.36899999999999999"/>
    <n v="0"/>
    <x v="2"/>
    <n v="0"/>
    <n v="0"/>
    <n v="8"/>
    <n v="38"/>
    <n v="0"/>
    <n v="940.43"/>
    <n v="442.86"/>
    <m/>
    <n v="1108.3660770518723"/>
    <n v="476.88775168498375"/>
    <n v="0"/>
    <n v="-347.01866999999999"/>
    <n v="-163.41534000000001"/>
    <n v="0"/>
    <n v="-408.98708243214088"/>
    <n v="-175.97158037175899"/>
  </r>
  <r>
    <s v="Sistema de Compensação"/>
    <x v="2"/>
    <x v="2"/>
    <x v="2"/>
    <x v="0"/>
    <x v="0"/>
    <x v="0"/>
    <x v="2"/>
    <x v="10"/>
    <n v="0"/>
    <n v="0"/>
    <n v="3.1859999999999999"/>
    <n v="3.1859999999999999"/>
    <n v="3.1859999999999999"/>
    <n v="3.1859999999999999"/>
    <n v="0"/>
    <x v="2"/>
    <n v="0"/>
    <n v="0"/>
    <n v="8"/>
    <n v="38"/>
    <n v="0"/>
    <n v="940.43"/>
    <n v="442.86"/>
    <m/>
    <n v="1108.3660770518723"/>
    <n v="476.88775168498375"/>
    <n v="0"/>
    <n v="2996.2099799999996"/>
    <n v="1410.9519600000001"/>
    <n v="0"/>
    <n v="3531.2543214872649"/>
    <n v="1519.3643768683582"/>
  </r>
  <r>
    <s v="PROJETADO"/>
    <x v="2"/>
    <x v="2"/>
    <x v="2"/>
    <x v="0"/>
    <x v="0"/>
    <x v="0"/>
    <x v="2"/>
    <x v="11"/>
    <n v="0"/>
    <n v="0"/>
    <n v="83.126999999999995"/>
    <n v="83.126999999999995"/>
    <n v="83.126999999999995"/>
    <n v="83.126999999999995"/>
    <n v="0"/>
    <x v="2"/>
    <n v="0"/>
    <n v="0"/>
    <n v="8"/>
    <n v="38"/>
    <n v="0"/>
    <n v="940.43"/>
    <n v="442.86"/>
    <m/>
    <n v="1108.3660770518723"/>
    <n v="476.88775168498375"/>
    <n v="0"/>
    <n v="78175.124609999984"/>
    <n v="36813.623220000001"/>
    <n v="0"/>
    <n v="92135.146887090974"/>
    <n v="39642.248134317641"/>
  </r>
  <r>
    <s v="PROJETADO"/>
    <x v="2"/>
    <x v="2"/>
    <x v="2"/>
    <x v="0"/>
    <x v="0"/>
    <x v="0"/>
    <x v="2"/>
    <x v="11"/>
    <n v="0"/>
    <n v="0"/>
    <n v="-0.36899999999999999"/>
    <n v="-0.36899999999999999"/>
    <n v="-0.36899999999999999"/>
    <n v="-0.36899999999999999"/>
    <n v="0"/>
    <x v="2"/>
    <n v="0"/>
    <n v="0"/>
    <n v="8"/>
    <n v="38"/>
    <n v="0"/>
    <n v="940.43"/>
    <n v="442.86"/>
    <m/>
    <n v="1108.3660770518723"/>
    <n v="476.88775168498375"/>
    <n v="0"/>
    <n v="-347.01866999999999"/>
    <n v="-163.41534000000001"/>
    <n v="0"/>
    <n v="-408.98708243214088"/>
    <n v="-175.97158037175899"/>
  </r>
  <r>
    <s v="PROJETADO"/>
    <x v="2"/>
    <x v="2"/>
    <x v="2"/>
    <x v="0"/>
    <x v="0"/>
    <x v="0"/>
    <x v="2"/>
    <x v="11"/>
    <n v="0"/>
    <n v="0"/>
    <n v="3.1859999999999999"/>
    <n v="3.1859999999999999"/>
    <n v="3.1859999999999999"/>
    <n v="3.1859999999999999"/>
    <n v="0"/>
    <x v="2"/>
    <n v="0"/>
    <n v="0"/>
    <n v="8"/>
    <n v="38"/>
    <n v="0"/>
    <n v="940.43"/>
    <n v="442.86"/>
    <m/>
    <n v="1108.3660770518723"/>
    <n v="476.88775168498375"/>
    <n v="0"/>
    <n v="2996.2099799999996"/>
    <n v="1410.9519600000001"/>
    <n v="0"/>
    <n v="3531.2543214872649"/>
    <n v="1519.3643768683582"/>
  </r>
  <r>
    <s v="Regular"/>
    <x v="2"/>
    <x v="2"/>
    <x v="4"/>
    <x v="0"/>
    <x v="0"/>
    <x v="0"/>
    <x v="0"/>
    <x v="0"/>
    <n v="0"/>
    <n v="0"/>
    <n v="44.383000000000003"/>
    <n v="44.383000000000003"/>
    <n v="44.383000000000003"/>
    <n v="44.383000000000003"/>
    <n v="0"/>
    <x v="2"/>
    <n v="0"/>
    <n v="0"/>
    <n v="6"/>
    <n v="61"/>
    <n v="0"/>
    <n v="72.150000000000006"/>
    <n v="278.67"/>
    <m/>
    <n v="117.70169496208672"/>
    <n v="295.87360985530717"/>
    <n v="0"/>
    <n v="3202.2334500000006"/>
    <n v="12368.210610000002"/>
    <n v="0"/>
    <n v="5223.9543275022952"/>
    <n v="13131.758426208098"/>
  </r>
  <r>
    <s v="Regular"/>
    <x v="2"/>
    <x v="2"/>
    <x v="4"/>
    <x v="0"/>
    <x v="0"/>
    <x v="0"/>
    <x v="0"/>
    <x v="1"/>
    <n v="0"/>
    <n v="0"/>
    <n v="41.969000000000001"/>
    <n v="41.969000000000001"/>
    <n v="41.969000000000001"/>
    <n v="41.969000000000001"/>
    <n v="0"/>
    <x v="2"/>
    <n v="0"/>
    <n v="0"/>
    <n v="6"/>
    <n v="61"/>
    <n v="0"/>
    <n v="72.150000000000006"/>
    <n v="278.67"/>
    <m/>
    <n v="117.70169496208672"/>
    <n v="295.87360985530717"/>
    <n v="0"/>
    <n v="3028.0633500000004"/>
    <n v="11695.501230000002"/>
    <n v="0"/>
    <n v="4939.8224358638181"/>
    <n v="12417.519532017386"/>
  </r>
  <r>
    <s v="Regular"/>
    <x v="2"/>
    <x v="2"/>
    <x v="4"/>
    <x v="0"/>
    <x v="0"/>
    <x v="0"/>
    <x v="0"/>
    <x v="2"/>
    <n v="0"/>
    <n v="0"/>
    <n v="46.014000000000003"/>
    <n v="46.014000000000003"/>
    <n v="46.014000000000003"/>
    <n v="46.014000000000003"/>
    <n v="0"/>
    <x v="2"/>
    <n v="0"/>
    <n v="0"/>
    <n v="6"/>
    <n v="61"/>
    <n v="0"/>
    <n v="72.150000000000006"/>
    <n v="278.67"/>
    <m/>
    <n v="117.70169496208672"/>
    <n v="295.87360985530717"/>
    <n v="0"/>
    <n v="3319.9101000000005"/>
    <n v="12822.721380000001"/>
    <n v="0"/>
    <n v="5415.925791985459"/>
    <n v="13614.328283882105"/>
  </r>
  <r>
    <s v="Regular"/>
    <x v="2"/>
    <x v="2"/>
    <x v="4"/>
    <x v="0"/>
    <x v="0"/>
    <x v="0"/>
    <x v="0"/>
    <x v="3"/>
    <n v="0"/>
    <n v="0"/>
    <n v="46.798999999999999"/>
    <n v="46.798999999999999"/>
    <n v="46.798999999999999"/>
    <n v="46.798999999999999"/>
    <n v="0"/>
    <x v="2"/>
    <n v="0"/>
    <n v="0"/>
    <n v="6"/>
    <n v="61"/>
    <n v="0"/>
    <n v="72.150000000000006"/>
    <n v="278.67"/>
    <m/>
    <n v="117.70169496208672"/>
    <n v="295.87360985530717"/>
    <n v="0"/>
    <n v="3376.5478500000004"/>
    <n v="13041.47733"/>
    <n v="0"/>
    <n v="5508.321622530696"/>
    <n v="13846.589067618519"/>
  </r>
  <r>
    <s v="Regular"/>
    <x v="2"/>
    <x v="2"/>
    <x v="4"/>
    <x v="0"/>
    <x v="0"/>
    <x v="0"/>
    <x v="0"/>
    <x v="4"/>
    <n v="0"/>
    <n v="0"/>
    <n v="41.585000000000001"/>
    <n v="41.585000000000001"/>
    <n v="41.585000000000001"/>
    <n v="41.585000000000001"/>
    <n v="0"/>
    <x v="2"/>
    <n v="0"/>
    <n v="0"/>
    <n v="6"/>
    <n v="61"/>
    <n v="0"/>
    <n v="72.150000000000006"/>
    <n v="278.67"/>
    <m/>
    <n v="117.70169496208672"/>
    <n v="295.87360985530717"/>
    <n v="0"/>
    <n v="3000.3577500000001"/>
    <n v="11588.491950000001"/>
    <n v="0"/>
    <n v="4894.624984998376"/>
    <n v="12303.904065832949"/>
  </r>
  <r>
    <s v="Regular"/>
    <x v="2"/>
    <x v="2"/>
    <x v="4"/>
    <x v="0"/>
    <x v="0"/>
    <x v="0"/>
    <x v="0"/>
    <x v="5"/>
    <n v="0"/>
    <n v="0"/>
    <n v="47.45"/>
    <n v="47.45"/>
    <n v="47.45"/>
    <n v="47.45"/>
    <n v="0"/>
    <x v="2"/>
    <n v="0"/>
    <n v="0"/>
    <n v="6"/>
    <n v="61"/>
    <n v="0"/>
    <n v="72.150000000000006"/>
    <n v="278.67"/>
    <m/>
    <n v="117.70169496208672"/>
    <n v="295.87360985530717"/>
    <n v="0"/>
    <n v="3423.5175000000004"/>
    <n v="13222.891500000002"/>
    <n v="0"/>
    <n v="5584.9454259510148"/>
    <n v="14039.202787634325"/>
  </r>
  <r>
    <s v="Regular"/>
    <x v="2"/>
    <x v="2"/>
    <x v="4"/>
    <x v="0"/>
    <x v="0"/>
    <x v="0"/>
    <x v="0"/>
    <x v="6"/>
    <n v="0"/>
    <n v="0"/>
    <n v="46.521000000000001"/>
    <n v="46.521000000000001"/>
    <n v="46.521000000000001"/>
    <n v="46.521000000000001"/>
    <n v="0"/>
    <x v="2"/>
    <n v="0"/>
    <n v="0"/>
    <n v="6"/>
    <n v="61"/>
    <n v="0"/>
    <n v="72.150000000000006"/>
    <n v="278.67"/>
    <m/>
    <n v="117.70169496208672"/>
    <n v="295.87360985530717"/>
    <n v="0"/>
    <n v="3356.4901500000005"/>
    <n v="12964.007070000001"/>
    <n v="0"/>
    <n v="5475.6005513312366"/>
    <n v="13764.336204078745"/>
  </r>
  <r>
    <s v="Regular"/>
    <x v="2"/>
    <x v="2"/>
    <x v="4"/>
    <x v="0"/>
    <x v="0"/>
    <x v="0"/>
    <x v="0"/>
    <x v="7"/>
    <n v="0"/>
    <n v="0"/>
    <n v="45.906999999999996"/>
    <n v="45.906999999999996"/>
    <n v="45.906999999999996"/>
    <n v="45.906999999999996"/>
    <n v="0"/>
    <x v="2"/>
    <n v="0"/>
    <n v="0"/>
    <n v="6"/>
    <n v="61"/>
    <n v="0"/>
    <n v="72.150000000000006"/>
    <n v="278.67"/>
    <m/>
    <n v="117.70169496208672"/>
    <n v="295.87360985530717"/>
    <n v="0"/>
    <n v="3312.1900500000002"/>
    <n v="12792.903689999999"/>
    <n v="0"/>
    <n v="5403.3317106245149"/>
    <n v="13582.669807627584"/>
  </r>
  <r>
    <s v="Regular"/>
    <x v="2"/>
    <x v="2"/>
    <x v="4"/>
    <x v="0"/>
    <x v="0"/>
    <x v="0"/>
    <x v="0"/>
    <x v="8"/>
    <n v="0"/>
    <n v="0"/>
    <n v="42.271999999999998"/>
    <n v="42.271999999999998"/>
    <n v="42.271999999999998"/>
    <n v="42.271999999999998"/>
    <n v="0"/>
    <x v="2"/>
    <n v="0"/>
    <n v="0"/>
    <n v="6"/>
    <n v="61"/>
    <n v="0"/>
    <n v="72.150000000000006"/>
    <n v="278.67"/>
    <m/>
    <n v="117.70169496208672"/>
    <n v="295.87360985530717"/>
    <n v="0"/>
    <n v="3049.9248000000002"/>
    <n v="11779.938239999999"/>
    <n v="0"/>
    <n v="4975.4860494373297"/>
    <n v="12507.169235803543"/>
  </r>
  <r>
    <s v="Regular"/>
    <x v="2"/>
    <x v="2"/>
    <x v="4"/>
    <x v="0"/>
    <x v="0"/>
    <x v="0"/>
    <x v="0"/>
    <x v="9"/>
    <n v="0"/>
    <n v="0"/>
    <n v="47.389000000000003"/>
    <n v="47.389000000000003"/>
    <n v="47.389000000000003"/>
    <n v="47.389000000000003"/>
    <n v="0"/>
    <x v="2"/>
    <n v="0"/>
    <n v="0"/>
    <n v="6"/>
    <n v="61"/>
    <n v="0"/>
    <n v="72.150000000000006"/>
    <n v="278.67"/>
    <m/>
    <n v="117.70169496208672"/>
    <n v="295.87360985530717"/>
    <n v="0"/>
    <n v="3419.1163500000007"/>
    <n v="13205.892630000002"/>
    <n v="0"/>
    <n v="5577.7656225583278"/>
    <n v="14021.154497433152"/>
  </r>
  <r>
    <s v="Regular"/>
    <x v="2"/>
    <x v="2"/>
    <x v="4"/>
    <x v="0"/>
    <x v="0"/>
    <x v="0"/>
    <x v="0"/>
    <x v="10"/>
    <n v="0"/>
    <n v="0"/>
    <n v="46.94"/>
    <n v="46.94"/>
    <n v="46.94"/>
    <n v="46.94"/>
    <n v="0"/>
    <x v="2"/>
    <n v="0"/>
    <n v="0"/>
    <n v="6"/>
    <n v="61"/>
    <n v="0"/>
    <n v="72.150000000000006"/>
    <n v="278.67"/>
    <m/>
    <n v="117.70169496208672"/>
    <n v="295.87360985530717"/>
    <n v="0"/>
    <n v="3386.721"/>
    <n v="13080.7698"/>
    <n v="0"/>
    <n v="5524.9175615203503"/>
    <n v="13888.307246608118"/>
  </r>
  <r>
    <s v="PROJETADO"/>
    <x v="2"/>
    <x v="2"/>
    <x v="4"/>
    <x v="0"/>
    <x v="0"/>
    <x v="0"/>
    <x v="0"/>
    <x v="11"/>
    <n v="0"/>
    <n v="0"/>
    <n v="46.94"/>
    <n v="46.94"/>
    <n v="46.94"/>
    <n v="46.94"/>
    <n v="0"/>
    <x v="2"/>
    <n v="0"/>
    <n v="0"/>
    <n v="6"/>
    <n v="61"/>
    <n v="0"/>
    <n v="72.150000000000006"/>
    <n v="278.67"/>
    <m/>
    <n v="117.70169496208672"/>
    <n v="295.87360985530717"/>
    <n v="0"/>
    <n v="3386.721"/>
    <n v="13080.7698"/>
    <n v="0"/>
    <n v="5524.9175615203503"/>
    <n v="13888.307246608118"/>
  </r>
  <r>
    <s v="Regular"/>
    <x v="2"/>
    <x v="2"/>
    <x v="4"/>
    <x v="0"/>
    <x v="0"/>
    <x v="0"/>
    <x v="1"/>
    <x v="0"/>
    <n v="257"/>
    <n v="257"/>
    <n v="0"/>
    <n v="0"/>
    <n v="0"/>
    <n v="0"/>
    <n v="7"/>
    <x v="2"/>
    <n v="0"/>
    <n v="20"/>
    <n v="0"/>
    <n v="0"/>
    <n v="14"/>
    <n v="0"/>
    <n v="0"/>
    <n v="15.925787521209683"/>
    <m/>
    <m/>
    <n v="3598"/>
    <n v="0"/>
    <n v="0"/>
    <n v="4092.9273929508886"/>
    <n v="0"/>
    <n v="0"/>
  </r>
  <r>
    <s v="Regular"/>
    <x v="2"/>
    <x v="2"/>
    <x v="4"/>
    <x v="0"/>
    <x v="0"/>
    <x v="0"/>
    <x v="1"/>
    <x v="1"/>
    <n v="263"/>
    <n v="263"/>
    <n v="0"/>
    <n v="0"/>
    <n v="0"/>
    <n v="0"/>
    <n v="7"/>
    <x v="2"/>
    <n v="0"/>
    <n v="20"/>
    <n v="0"/>
    <n v="0"/>
    <n v="14"/>
    <n v="0"/>
    <n v="0"/>
    <n v="15.925787521209683"/>
    <m/>
    <m/>
    <n v="3682"/>
    <n v="0"/>
    <n v="0"/>
    <n v="4188.4821180781464"/>
    <n v="0"/>
    <n v="0"/>
  </r>
  <r>
    <s v="Regular"/>
    <x v="2"/>
    <x v="2"/>
    <x v="4"/>
    <x v="0"/>
    <x v="0"/>
    <x v="0"/>
    <x v="1"/>
    <x v="2"/>
    <n v="256"/>
    <n v="256"/>
    <n v="0"/>
    <n v="0"/>
    <n v="0"/>
    <n v="0"/>
    <n v="7"/>
    <x v="2"/>
    <n v="0"/>
    <n v="20"/>
    <n v="0"/>
    <n v="0"/>
    <n v="14"/>
    <n v="0"/>
    <n v="0"/>
    <n v="15.925787521209683"/>
    <m/>
    <m/>
    <n v="3584"/>
    <n v="0"/>
    <n v="0"/>
    <n v="4077.0016054296789"/>
    <n v="0"/>
    <n v="0"/>
  </r>
  <r>
    <s v="Regular"/>
    <x v="2"/>
    <x v="2"/>
    <x v="4"/>
    <x v="0"/>
    <x v="0"/>
    <x v="0"/>
    <x v="1"/>
    <x v="3"/>
    <n v="260"/>
    <n v="260"/>
    <n v="0"/>
    <n v="0"/>
    <n v="0"/>
    <n v="0"/>
    <n v="7"/>
    <x v="2"/>
    <n v="0"/>
    <n v="20"/>
    <n v="0"/>
    <n v="0"/>
    <n v="14"/>
    <n v="0"/>
    <n v="0"/>
    <n v="15.925787521209683"/>
    <m/>
    <m/>
    <n v="3640"/>
    <n v="0"/>
    <n v="0"/>
    <n v="4140.7047555145173"/>
    <n v="0"/>
    <n v="0"/>
  </r>
  <r>
    <s v="Regular"/>
    <x v="2"/>
    <x v="2"/>
    <x v="4"/>
    <x v="0"/>
    <x v="0"/>
    <x v="0"/>
    <x v="1"/>
    <x v="4"/>
    <n v="258"/>
    <n v="258"/>
    <n v="0"/>
    <n v="0"/>
    <n v="0"/>
    <n v="0"/>
    <n v="7"/>
    <x v="2"/>
    <n v="0"/>
    <n v="20"/>
    <n v="0"/>
    <n v="0"/>
    <n v="14"/>
    <n v="0"/>
    <n v="0"/>
    <n v="15.925787521209683"/>
    <m/>
    <m/>
    <n v="3612"/>
    <n v="0"/>
    <n v="0"/>
    <n v="4108.8531804720978"/>
    <n v="0"/>
    <n v="0"/>
  </r>
  <r>
    <s v="Regular"/>
    <x v="2"/>
    <x v="2"/>
    <x v="4"/>
    <x v="0"/>
    <x v="0"/>
    <x v="0"/>
    <x v="1"/>
    <x v="5"/>
    <n v="253"/>
    <n v="253"/>
    <n v="0"/>
    <n v="0"/>
    <n v="0"/>
    <n v="0"/>
    <n v="7"/>
    <x v="2"/>
    <n v="0"/>
    <n v="20"/>
    <n v="0"/>
    <n v="0"/>
    <n v="14"/>
    <n v="0"/>
    <n v="0"/>
    <n v="15.925787521209683"/>
    <m/>
    <m/>
    <n v="3542"/>
    <n v="0"/>
    <n v="0"/>
    <n v="4029.2242428660497"/>
    <n v="0"/>
    <n v="0"/>
  </r>
  <r>
    <s v="Regular"/>
    <x v="2"/>
    <x v="2"/>
    <x v="4"/>
    <x v="0"/>
    <x v="0"/>
    <x v="0"/>
    <x v="1"/>
    <x v="6"/>
    <n v="249"/>
    <n v="249"/>
    <n v="0"/>
    <n v="0"/>
    <n v="0"/>
    <n v="0"/>
    <n v="7"/>
    <x v="2"/>
    <n v="0"/>
    <n v="20"/>
    <n v="0"/>
    <n v="0"/>
    <n v="14"/>
    <n v="0"/>
    <n v="0"/>
    <n v="15.925787521209683"/>
    <m/>
    <m/>
    <n v="3486"/>
    <n v="0"/>
    <n v="0"/>
    <n v="3965.5210927812109"/>
    <n v="0"/>
    <n v="0"/>
  </r>
  <r>
    <s v="Regular"/>
    <x v="2"/>
    <x v="2"/>
    <x v="4"/>
    <x v="0"/>
    <x v="0"/>
    <x v="0"/>
    <x v="1"/>
    <x v="7"/>
    <n v="249"/>
    <n v="249"/>
    <n v="0"/>
    <n v="0"/>
    <n v="0"/>
    <n v="0"/>
    <n v="7"/>
    <x v="2"/>
    <n v="0"/>
    <n v="20"/>
    <n v="0"/>
    <n v="0"/>
    <n v="14"/>
    <n v="0"/>
    <n v="0"/>
    <n v="15.925787521209683"/>
    <m/>
    <m/>
    <n v="3486"/>
    <n v="0"/>
    <n v="0"/>
    <n v="3965.5210927812109"/>
    <n v="0"/>
    <n v="0"/>
  </r>
  <r>
    <s v="Regular"/>
    <x v="2"/>
    <x v="2"/>
    <x v="4"/>
    <x v="0"/>
    <x v="0"/>
    <x v="0"/>
    <x v="1"/>
    <x v="8"/>
    <n v="254"/>
    <n v="254"/>
    <n v="0"/>
    <n v="0"/>
    <n v="0"/>
    <n v="0"/>
    <n v="7"/>
    <x v="2"/>
    <n v="0"/>
    <n v="20"/>
    <n v="0"/>
    <n v="0"/>
    <n v="14"/>
    <n v="0"/>
    <n v="0"/>
    <n v="15.925787521209683"/>
    <m/>
    <m/>
    <n v="3556"/>
    <n v="0"/>
    <n v="0"/>
    <n v="4045.1500303872594"/>
    <n v="0"/>
    <n v="0"/>
  </r>
  <r>
    <s v="Regular"/>
    <x v="2"/>
    <x v="2"/>
    <x v="4"/>
    <x v="0"/>
    <x v="0"/>
    <x v="0"/>
    <x v="1"/>
    <x v="9"/>
    <n v="285"/>
    <n v="285"/>
    <n v="0"/>
    <n v="0"/>
    <n v="0"/>
    <n v="0"/>
    <n v="7"/>
    <x v="2"/>
    <n v="0"/>
    <n v="20"/>
    <n v="0"/>
    <n v="0"/>
    <n v="14"/>
    <n v="0"/>
    <n v="0"/>
    <n v="15.925787521209683"/>
    <m/>
    <m/>
    <n v="3990"/>
    <n v="0"/>
    <n v="0"/>
    <n v="4538.8494435447601"/>
    <n v="0"/>
    <n v="0"/>
  </r>
  <r>
    <s v="Regular"/>
    <x v="2"/>
    <x v="2"/>
    <x v="4"/>
    <x v="0"/>
    <x v="0"/>
    <x v="0"/>
    <x v="1"/>
    <x v="10"/>
    <n v="253"/>
    <n v="253"/>
    <n v="0"/>
    <n v="0"/>
    <n v="0"/>
    <n v="0"/>
    <n v="7"/>
    <x v="2"/>
    <n v="0"/>
    <n v="20"/>
    <n v="0"/>
    <n v="0"/>
    <n v="14"/>
    <n v="0"/>
    <n v="0"/>
    <n v="15.925787521209683"/>
    <m/>
    <m/>
    <n v="3542"/>
    <n v="0"/>
    <n v="0"/>
    <n v="4029.2242428660497"/>
    <n v="0"/>
    <n v="0"/>
  </r>
  <r>
    <s v="PROJETADO"/>
    <x v="2"/>
    <x v="2"/>
    <x v="4"/>
    <x v="0"/>
    <x v="0"/>
    <x v="0"/>
    <x v="1"/>
    <x v="11"/>
    <n v="253"/>
    <n v="253"/>
    <n v="0"/>
    <n v="0"/>
    <n v="0"/>
    <n v="0"/>
    <n v="7"/>
    <x v="2"/>
    <n v="0"/>
    <n v="20"/>
    <n v="0"/>
    <n v="0"/>
    <n v="14"/>
    <n v="0"/>
    <n v="0"/>
    <n v="15.925787521209683"/>
    <m/>
    <m/>
    <n v="3542"/>
    <n v="0"/>
    <n v="0"/>
    <n v="4029.2242428660497"/>
    <n v="0"/>
    <n v="0"/>
  </r>
  <r>
    <s v="Regular"/>
    <x v="2"/>
    <x v="2"/>
    <x v="4"/>
    <x v="0"/>
    <x v="0"/>
    <x v="0"/>
    <x v="2"/>
    <x v="0"/>
    <n v="0"/>
    <n v="0"/>
    <n v="4.4749999999999996"/>
    <n v="4.4749999999999996"/>
    <n v="4.4749999999999996"/>
    <n v="4.4749999999999996"/>
    <n v="0"/>
    <x v="2"/>
    <n v="0"/>
    <n v="0"/>
    <n v="8"/>
    <n v="38"/>
    <n v="0"/>
    <n v="940.43"/>
    <n v="442.86"/>
    <m/>
    <n v="1108.3660770518723"/>
    <n v="476.88775168498375"/>
    <n v="0"/>
    <n v="4208.4242499999991"/>
    <n v="1981.7984999999999"/>
    <n v="0"/>
    <n v="4959.9381948071277"/>
    <n v="2134.072688790302"/>
  </r>
  <r>
    <s v="Regular"/>
    <x v="2"/>
    <x v="2"/>
    <x v="4"/>
    <x v="0"/>
    <x v="0"/>
    <x v="0"/>
    <x v="2"/>
    <x v="1"/>
    <n v="0"/>
    <n v="0"/>
    <n v="4.2549999999999999"/>
    <n v="4.2549999999999999"/>
    <n v="4.2549999999999999"/>
    <n v="4.2549999999999999"/>
    <n v="0"/>
    <x v="2"/>
    <n v="0"/>
    <n v="0"/>
    <n v="8"/>
    <n v="38"/>
    <n v="0"/>
    <n v="940.43"/>
    <n v="442.86"/>
    <m/>
    <n v="1108.3660770518723"/>
    <n v="476.88775168498375"/>
    <n v="0"/>
    <n v="4001.5296499999995"/>
    <n v="1884.3693000000001"/>
    <n v="0"/>
    <n v="4716.0976578557165"/>
    <n v="2029.1573834196058"/>
  </r>
  <r>
    <s v="Regular"/>
    <x v="2"/>
    <x v="2"/>
    <x v="4"/>
    <x v="0"/>
    <x v="0"/>
    <x v="0"/>
    <x v="2"/>
    <x v="2"/>
    <n v="0"/>
    <n v="0"/>
    <n v="5.1749999999999998"/>
    <n v="5.1749999999999998"/>
    <n v="5.1749999999999998"/>
    <n v="5.1749999999999998"/>
    <n v="0"/>
    <x v="2"/>
    <n v="0"/>
    <n v="0"/>
    <n v="8"/>
    <n v="38"/>
    <n v="0"/>
    <n v="940.43"/>
    <n v="442.86"/>
    <m/>
    <n v="1108.3660770518723"/>
    <n v="476.88775168498375"/>
    <n v="0"/>
    <n v="4866.7252499999995"/>
    <n v="2291.8004999999998"/>
    <n v="0"/>
    <n v="5735.7944487434388"/>
    <n v="2467.8941149697907"/>
  </r>
  <r>
    <s v="Regular"/>
    <x v="2"/>
    <x v="2"/>
    <x v="4"/>
    <x v="0"/>
    <x v="0"/>
    <x v="0"/>
    <x v="2"/>
    <x v="3"/>
    <n v="0"/>
    <n v="0"/>
    <n v="4.7939999999999996"/>
    <n v="4.7939999999999996"/>
    <n v="4.7939999999999996"/>
    <n v="4.7939999999999996"/>
    <n v="0"/>
    <x v="2"/>
    <n v="0"/>
    <n v="0"/>
    <n v="8"/>
    <n v="38"/>
    <n v="0"/>
    <n v="940.43"/>
    <n v="442.86"/>
    <m/>
    <n v="1108.3660770518723"/>
    <n v="476.88775168498375"/>
    <n v="0"/>
    <n v="4508.4214199999997"/>
    <n v="2123.0708399999999"/>
    <n v="0"/>
    <n v="5313.5069733866749"/>
    <n v="2286.199881577812"/>
  </r>
  <r>
    <s v="Regular"/>
    <x v="2"/>
    <x v="2"/>
    <x v="4"/>
    <x v="0"/>
    <x v="0"/>
    <x v="0"/>
    <x v="2"/>
    <x v="4"/>
    <n v="0"/>
    <n v="0"/>
    <n v="4.569"/>
    <n v="4.569"/>
    <n v="4.569"/>
    <n v="4.569"/>
    <n v="0"/>
    <x v="2"/>
    <n v="0"/>
    <n v="0"/>
    <n v="8"/>
    <n v="38"/>
    <n v="0"/>
    <n v="940.43"/>
    <n v="442.86"/>
    <m/>
    <n v="1108.3660770518723"/>
    <n v="476.88775168498375"/>
    <n v="0"/>
    <n v="4296.82467"/>
    <n v="2023.42734"/>
    <n v="0"/>
    <n v="5064.1246060500043"/>
    <n v="2178.9001374486907"/>
  </r>
  <r>
    <s v="Regular"/>
    <x v="2"/>
    <x v="2"/>
    <x v="4"/>
    <x v="0"/>
    <x v="0"/>
    <x v="0"/>
    <x v="2"/>
    <x v="5"/>
    <n v="0"/>
    <n v="0"/>
    <n v="5.274"/>
    <n v="5.274"/>
    <n v="5.274"/>
    <n v="5.274"/>
    <n v="0"/>
    <x v="2"/>
    <n v="0"/>
    <n v="0"/>
    <n v="8"/>
    <n v="38"/>
    <n v="0"/>
    <n v="940.43"/>
    <n v="442.86"/>
    <m/>
    <n v="1108.3660770518723"/>
    <n v="476.88775168498375"/>
    <n v="0"/>
    <n v="4959.8278199999995"/>
    <n v="2335.6436400000002"/>
    <n v="0"/>
    <n v="5845.5226903715738"/>
    <n v="2515.1060023866044"/>
  </r>
  <r>
    <s v="Regular"/>
    <x v="2"/>
    <x v="2"/>
    <x v="4"/>
    <x v="0"/>
    <x v="0"/>
    <x v="0"/>
    <x v="2"/>
    <x v="6"/>
    <n v="0"/>
    <n v="0"/>
    <n v="4.6159999999999997"/>
    <n v="4.6159999999999997"/>
    <n v="4.6159999999999997"/>
    <n v="4.6159999999999997"/>
    <n v="0"/>
    <x v="2"/>
    <n v="0"/>
    <n v="0"/>
    <n v="8"/>
    <n v="38"/>
    <n v="0"/>
    <n v="940.43"/>
    <n v="442.86"/>
    <m/>
    <n v="1108.3660770518723"/>
    <n v="476.88775168498375"/>
    <n v="0"/>
    <n v="4341.024879999999"/>
    <n v="2044.2417599999999"/>
    <n v="0"/>
    <n v="5116.2178116714422"/>
    <n v="2201.313861777885"/>
  </r>
  <r>
    <s v="Regular"/>
    <x v="2"/>
    <x v="2"/>
    <x v="4"/>
    <x v="0"/>
    <x v="0"/>
    <x v="0"/>
    <x v="2"/>
    <x v="7"/>
    <n v="0"/>
    <n v="0"/>
    <n v="5.0890000000000004"/>
    <n v="5.0890000000000004"/>
    <n v="5.0890000000000004"/>
    <n v="5.0890000000000004"/>
    <n v="0"/>
    <x v="2"/>
    <n v="0"/>
    <n v="0"/>
    <n v="8"/>
    <n v="38"/>
    <n v="0"/>
    <n v="940.43"/>
    <n v="442.86"/>
    <m/>
    <n v="1108.3660770518723"/>
    <n v="476.88775168498375"/>
    <n v="0"/>
    <n v="4785.8482700000004"/>
    <n v="2253.7145400000004"/>
    <n v="0"/>
    <n v="5640.4749661169781"/>
    <n v="2426.8817683248826"/>
  </r>
  <r>
    <s v="Regular"/>
    <x v="2"/>
    <x v="2"/>
    <x v="4"/>
    <x v="0"/>
    <x v="0"/>
    <x v="0"/>
    <x v="2"/>
    <x v="8"/>
    <n v="0"/>
    <n v="0"/>
    <n v="4.7629999999999999"/>
    <n v="4.7629999999999999"/>
    <n v="4.7629999999999999"/>
    <n v="4.7629999999999999"/>
    <n v="0"/>
    <x v="2"/>
    <n v="0"/>
    <n v="0"/>
    <n v="8"/>
    <n v="38"/>
    <n v="0"/>
    <n v="940.43"/>
    <n v="442.86"/>
    <m/>
    <n v="1108.3660770518723"/>
    <n v="476.88775168498375"/>
    <n v="0"/>
    <n v="4479.2680899999996"/>
    <n v="2109.3421800000001"/>
    <n v="0"/>
    <n v="5279.1476249980678"/>
    <n v="2271.4163612755774"/>
  </r>
  <r>
    <s v="Regular"/>
    <x v="2"/>
    <x v="2"/>
    <x v="4"/>
    <x v="0"/>
    <x v="0"/>
    <x v="0"/>
    <x v="2"/>
    <x v="9"/>
    <n v="0"/>
    <n v="0"/>
    <n v="4.9459999999999997"/>
    <n v="4.9459999999999997"/>
    <n v="4.9459999999999997"/>
    <n v="4.9459999999999997"/>
    <n v="0"/>
    <x v="2"/>
    <n v="0"/>
    <n v="0"/>
    <n v="8"/>
    <n v="38"/>
    <n v="0"/>
    <n v="940.43"/>
    <n v="442.86"/>
    <m/>
    <n v="1108.3660770518723"/>
    <n v="476.88775168498375"/>
    <n v="0"/>
    <n v="4651.3667799999994"/>
    <n v="2190.3855600000002"/>
    <n v="0"/>
    <n v="5481.9786170985599"/>
    <n v="2358.6868198339293"/>
  </r>
  <r>
    <s v="Regular"/>
    <x v="2"/>
    <x v="2"/>
    <x v="4"/>
    <x v="0"/>
    <x v="0"/>
    <x v="0"/>
    <x v="2"/>
    <x v="10"/>
    <n v="0"/>
    <n v="0"/>
    <n v="5.39"/>
    <n v="5.39"/>
    <n v="5.39"/>
    <n v="5.39"/>
    <n v="0"/>
    <x v="2"/>
    <n v="0"/>
    <n v="0"/>
    <n v="8"/>
    <n v="38"/>
    <n v="0"/>
    <n v="940.43"/>
    <n v="442.86"/>
    <m/>
    <n v="1108.3660770518723"/>
    <n v="476.88775168498375"/>
    <n v="0"/>
    <n v="5068.9176999999991"/>
    <n v="2387.0153999999998"/>
    <n v="0"/>
    <n v="5974.0931553095907"/>
    <n v="2570.4249815820622"/>
  </r>
  <r>
    <s v="PROJETADO"/>
    <x v="2"/>
    <x v="2"/>
    <x v="4"/>
    <x v="0"/>
    <x v="0"/>
    <x v="0"/>
    <x v="2"/>
    <x v="11"/>
    <n v="0"/>
    <n v="0"/>
    <n v="5.39"/>
    <n v="5.39"/>
    <n v="5.39"/>
    <n v="5.39"/>
    <n v="0"/>
    <x v="2"/>
    <n v="0"/>
    <n v="0"/>
    <n v="8"/>
    <n v="38"/>
    <n v="0"/>
    <n v="940.43"/>
    <n v="442.86"/>
    <m/>
    <n v="1108.3660770518723"/>
    <n v="476.88775168498375"/>
    <n v="0"/>
    <n v="5068.9176999999991"/>
    <n v="2387.0153999999998"/>
    <n v="0"/>
    <n v="5974.0931553095907"/>
    <n v="2570.4249815820622"/>
  </r>
  <r>
    <s v="Regular"/>
    <x v="2"/>
    <x v="2"/>
    <x v="0"/>
    <x v="0"/>
    <x v="1"/>
    <x v="0"/>
    <x v="0"/>
    <x v="0"/>
    <n v="0"/>
    <n v="0"/>
    <n v="1753.7190000000001"/>
    <n v="1753.7190000000001"/>
    <n v="0"/>
    <n v="0"/>
    <n v="0"/>
    <x v="0"/>
    <n v="0"/>
    <n v="0"/>
    <n v="6"/>
    <n v="0"/>
    <n v="0"/>
    <n v="72.150000000000006"/>
    <n v="0"/>
    <m/>
    <n v="117.70169496208672"/>
    <m/>
    <n v="0"/>
    <n v="126530.82585000001"/>
    <n v="0"/>
    <n v="0"/>
    <n v="206415.69878721578"/>
    <n v="0"/>
  </r>
  <r>
    <s v="Regular"/>
    <x v="2"/>
    <x v="2"/>
    <x v="0"/>
    <x v="0"/>
    <x v="1"/>
    <x v="0"/>
    <x v="0"/>
    <x v="1"/>
    <n v="0"/>
    <n v="0"/>
    <n v="1678.8050000000001"/>
    <n v="1678.8050000000001"/>
    <n v="0"/>
    <n v="0"/>
    <n v="0"/>
    <x v="0"/>
    <n v="0"/>
    <n v="0"/>
    <n v="6"/>
    <n v="0"/>
    <n v="0"/>
    <n v="72.150000000000006"/>
    <n v="0"/>
    <m/>
    <n v="117.70169496208672"/>
    <m/>
    <n v="0"/>
    <n v="121125.78075000002"/>
    <n v="0"/>
    <n v="0"/>
    <n v="197598.194010826"/>
    <n v="0"/>
  </r>
  <r>
    <s v="Regular"/>
    <x v="2"/>
    <x v="2"/>
    <x v="0"/>
    <x v="0"/>
    <x v="1"/>
    <x v="0"/>
    <x v="0"/>
    <x v="2"/>
    <n v="0"/>
    <n v="0"/>
    <n v="1693.835"/>
    <n v="1693.835"/>
    <n v="0"/>
    <n v="0"/>
    <n v="0"/>
    <x v="0"/>
    <n v="0"/>
    <n v="0"/>
    <n v="6"/>
    <n v="0"/>
    <n v="0"/>
    <n v="72.150000000000006"/>
    <n v="0"/>
    <m/>
    <n v="117.70169496208672"/>
    <m/>
    <n v="0"/>
    <n v="122210.19525000002"/>
    <n v="0"/>
    <n v="0"/>
    <n v="199367.25048610618"/>
    <n v="0"/>
  </r>
  <r>
    <s v="Regular"/>
    <x v="2"/>
    <x v="2"/>
    <x v="0"/>
    <x v="0"/>
    <x v="1"/>
    <x v="0"/>
    <x v="0"/>
    <x v="3"/>
    <n v="0"/>
    <n v="0"/>
    <n v="1820.998"/>
    <n v="1820.998"/>
    <n v="0"/>
    <n v="0"/>
    <n v="0"/>
    <x v="0"/>
    <n v="0"/>
    <n v="0"/>
    <n v="6"/>
    <n v="0"/>
    <n v="0"/>
    <n v="72.150000000000006"/>
    <n v="0"/>
    <m/>
    <n v="117.70169496208672"/>
    <m/>
    <n v="0"/>
    <n v="131385.00570000001"/>
    <n v="0"/>
    <n v="0"/>
    <n v="214334.55112257"/>
    <n v="0"/>
  </r>
  <r>
    <s v="Regular"/>
    <x v="2"/>
    <x v="2"/>
    <x v="0"/>
    <x v="0"/>
    <x v="1"/>
    <x v="0"/>
    <x v="0"/>
    <x v="4"/>
    <n v="0"/>
    <n v="0"/>
    <n v="1778.502"/>
    <n v="1778.502"/>
    <n v="0"/>
    <n v="0"/>
    <n v="0"/>
    <x v="0"/>
    <n v="0"/>
    <n v="0"/>
    <n v="6"/>
    <n v="0"/>
    <n v="0"/>
    <n v="72.150000000000006"/>
    <n v="0"/>
    <m/>
    <n v="117.70169496208672"/>
    <m/>
    <n v="0"/>
    <n v="128318.91930000001"/>
    <n v="0"/>
    <n v="0"/>
    <n v="209332.69989346116"/>
    <n v="0"/>
  </r>
  <r>
    <s v="Regular"/>
    <x v="2"/>
    <x v="2"/>
    <x v="0"/>
    <x v="0"/>
    <x v="1"/>
    <x v="0"/>
    <x v="0"/>
    <x v="5"/>
    <n v="0"/>
    <n v="0"/>
    <n v="2134.7739999999999"/>
    <n v="2134.7739999999999"/>
    <n v="0"/>
    <n v="0"/>
    <n v="0"/>
    <x v="0"/>
    <n v="0"/>
    <n v="0"/>
    <n v="6"/>
    <n v="0"/>
    <n v="0"/>
    <n v="72.150000000000006"/>
    <n v="0"/>
    <m/>
    <n v="117.70169496208672"/>
    <m/>
    <n v="0"/>
    <n v="154023.94409999999"/>
    <n v="0"/>
    <n v="0"/>
    <n v="251266.5181609937"/>
    <n v="0"/>
  </r>
  <r>
    <s v="Regular"/>
    <x v="2"/>
    <x v="2"/>
    <x v="0"/>
    <x v="0"/>
    <x v="1"/>
    <x v="0"/>
    <x v="0"/>
    <x v="6"/>
    <n v="0"/>
    <n v="0"/>
    <n v="1901.9580000000001"/>
    <n v="1901.9580000000001"/>
    <n v="0"/>
    <n v="0"/>
    <n v="0"/>
    <x v="0"/>
    <n v="0"/>
    <n v="0"/>
    <n v="6"/>
    <n v="0"/>
    <n v="0"/>
    <n v="72.150000000000006"/>
    <n v="0"/>
    <m/>
    <n v="117.70169496208672"/>
    <m/>
    <n v="0"/>
    <n v="137226.2697"/>
    <n v="0"/>
    <n v="0"/>
    <n v="223863.68034670054"/>
    <n v="0"/>
  </r>
  <r>
    <s v="Regular"/>
    <x v="2"/>
    <x v="2"/>
    <x v="0"/>
    <x v="0"/>
    <x v="1"/>
    <x v="0"/>
    <x v="0"/>
    <x v="7"/>
    <n v="0"/>
    <n v="0"/>
    <n v="1849.085"/>
    <n v="1849.085"/>
    <n v="0"/>
    <n v="0"/>
    <n v="0"/>
    <x v="0"/>
    <n v="0"/>
    <n v="0"/>
    <n v="6"/>
    <n v="0"/>
    <n v="0"/>
    <n v="72.150000000000006"/>
    <n v="0"/>
    <m/>
    <n v="117.70169496208672"/>
    <m/>
    <n v="0"/>
    <n v="133411.48275000002"/>
    <n v="0"/>
    <n v="0"/>
    <n v="217640.43862897012"/>
    <n v="0"/>
  </r>
  <r>
    <s v="Regular"/>
    <x v="2"/>
    <x v="2"/>
    <x v="0"/>
    <x v="0"/>
    <x v="1"/>
    <x v="0"/>
    <x v="0"/>
    <x v="8"/>
    <n v="0"/>
    <n v="0"/>
    <n v="1817.01"/>
    <n v="1817.01"/>
    <n v="0"/>
    <n v="0"/>
    <n v="0"/>
    <x v="0"/>
    <n v="0"/>
    <n v="0"/>
    <n v="6"/>
    <n v="0"/>
    <n v="0"/>
    <n v="72.150000000000006"/>
    <n v="0"/>
    <m/>
    <n v="117.70169496208672"/>
    <m/>
    <n v="0"/>
    <n v="131097.2715"/>
    <n v="0"/>
    <n v="0"/>
    <n v="213865.15676306118"/>
    <n v="0"/>
  </r>
  <r>
    <s v="Regular"/>
    <x v="2"/>
    <x v="2"/>
    <x v="0"/>
    <x v="0"/>
    <x v="1"/>
    <x v="0"/>
    <x v="0"/>
    <x v="9"/>
    <n v="0"/>
    <n v="0"/>
    <n v="1863.682"/>
    <n v="1863.682"/>
    <n v="0"/>
    <n v="0"/>
    <n v="0"/>
    <x v="0"/>
    <n v="0"/>
    <n v="0"/>
    <n v="6"/>
    <n v="0"/>
    <n v="0"/>
    <n v="72.150000000000006"/>
    <n v="0"/>
    <m/>
    <n v="117.70169496208672"/>
    <m/>
    <n v="0"/>
    <n v="134464.6563"/>
    <n v="0"/>
    <n v="0"/>
    <n v="219358.53027033171"/>
    <n v="0"/>
  </r>
  <r>
    <s v="Regular"/>
    <x v="2"/>
    <x v="2"/>
    <x v="0"/>
    <x v="0"/>
    <x v="1"/>
    <x v="0"/>
    <x v="0"/>
    <x v="10"/>
    <n v="0"/>
    <n v="0"/>
    <n v="1955.509"/>
    <n v="1955.509"/>
    <n v="0"/>
    <n v="0"/>
    <n v="0"/>
    <x v="0"/>
    <n v="0"/>
    <n v="0"/>
    <n v="6"/>
    <n v="0"/>
    <n v="0"/>
    <n v="72.150000000000006"/>
    <n v="0"/>
    <m/>
    <n v="117.70169496208672"/>
    <m/>
    <n v="0"/>
    <n v="141089.97435"/>
    <n v="0"/>
    <n v="0"/>
    <n v="230166.72381361524"/>
    <n v="0"/>
  </r>
  <r>
    <s v="PROJETADO"/>
    <x v="2"/>
    <x v="2"/>
    <x v="0"/>
    <x v="0"/>
    <x v="1"/>
    <x v="0"/>
    <x v="0"/>
    <x v="11"/>
    <n v="0"/>
    <n v="0"/>
    <n v="1955.509"/>
    <n v="1955.509"/>
    <n v="0"/>
    <n v="0"/>
    <n v="0"/>
    <x v="0"/>
    <n v="0"/>
    <n v="0"/>
    <n v="6"/>
    <n v="0"/>
    <n v="0"/>
    <n v="72.150000000000006"/>
    <n v="0"/>
    <m/>
    <n v="117.70169496208672"/>
    <m/>
    <n v="0"/>
    <n v="141089.97435"/>
    <n v="0"/>
    <n v="0"/>
    <n v="230166.72381361524"/>
    <n v="0"/>
  </r>
  <r>
    <s v="Regular"/>
    <x v="2"/>
    <x v="2"/>
    <x v="0"/>
    <x v="0"/>
    <x v="1"/>
    <x v="0"/>
    <x v="1"/>
    <x v="0"/>
    <n v="5385"/>
    <n v="4382.6265147000004"/>
    <n v="0"/>
    <n v="0"/>
    <n v="0"/>
    <n v="0"/>
    <n v="9"/>
    <x v="0"/>
    <n v="0"/>
    <n v="20"/>
    <n v="0"/>
    <n v="0"/>
    <n v="14"/>
    <n v="0"/>
    <n v="0"/>
    <n v="15.925787521209683"/>
    <m/>
    <m/>
    <n v="61356.771205800003"/>
    <n v="0"/>
    <n v="0"/>
    <n v="69796.778657931951"/>
    <n v="0"/>
    <n v="0"/>
  </r>
  <r>
    <s v="Regular"/>
    <x v="2"/>
    <x v="2"/>
    <x v="0"/>
    <x v="0"/>
    <x v="1"/>
    <x v="0"/>
    <x v="1"/>
    <x v="1"/>
    <n v="5464"/>
    <n v="2639.6861571200002"/>
    <n v="0"/>
    <n v="0"/>
    <n v="0"/>
    <n v="0"/>
    <n v="9"/>
    <x v="0"/>
    <n v="0"/>
    <n v="20"/>
    <n v="0"/>
    <n v="0"/>
    <n v="14"/>
    <n v="0"/>
    <n v="0"/>
    <n v="15.925787521209683"/>
    <m/>
    <m/>
    <n v="36955.606199680005"/>
    <n v="0"/>
    <n v="0"/>
    <n v="42039.080860971641"/>
    <n v="0"/>
    <n v="0"/>
  </r>
  <r>
    <s v="Regular"/>
    <x v="2"/>
    <x v="2"/>
    <x v="0"/>
    <x v="0"/>
    <x v="1"/>
    <x v="0"/>
    <x v="1"/>
    <x v="2"/>
    <n v="5699"/>
    <n v="1816.6392844300001"/>
    <n v="0"/>
    <n v="0"/>
    <n v="0"/>
    <n v="0"/>
    <n v="11"/>
    <x v="0"/>
    <n v="0"/>
    <n v="20"/>
    <n v="0"/>
    <n v="0"/>
    <n v="14"/>
    <n v="0"/>
    <n v="0"/>
    <n v="15.925787521209683"/>
    <m/>
    <m/>
    <n v="25432.94998202"/>
    <n v="0"/>
    <n v="0"/>
    <n v="28931.411246514584"/>
    <n v="0"/>
    <n v="0"/>
  </r>
  <r>
    <s v="Regular"/>
    <x v="2"/>
    <x v="2"/>
    <x v="0"/>
    <x v="0"/>
    <x v="1"/>
    <x v="0"/>
    <x v="1"/>
    <x v="3"/>
    <n v="6247"/>
    <n v="3020.874284"/>
    <n v="0"/>
    <n v="0"/>
    <n v="0"/>
    <n v="0"/>
    <n v="12"/>
    <x v="0"/>
    <n v="0"/>
    <n v="20"/>
    <n v="0"/>
    <n v="0"/>
    <n v="14"/>
    <n v="0"/>
    <n v="0"/>
    <n v="15.925787521209683"/>
    <m/>
    <m/>
    <n v="42292.239975999997"/>
    <n v="0"/>
    <n v="0"/>
    <n v="48109.801975270435"/>
    <n v="0"/>
    <n v="0"/>
  </r>
  <r>
    <s v="Regular"/>
    <x v="2"/>
    <x v="2"/>
    <x v="0"/>
    <x v="0"/>
    <x v="1"/>
    <x v="0"/>
    <x v="1"/>
    <x v="4"/>
    <n v="6434"/>
    <n v="3202.3385868400001"/>
    <n v="0"/>
    <n v="0"/>
    <n v="0"/>
    <n v="0"/>
    <n v="13"/>
    <x v="0"/>
    <n v="0"/>
    <n v="20"/>
    <n v="0"/>
    <n v="0"/>
    <n v="14"/>
    <n v="0"/>
    <n v="0"/>
    <n v="15.925787521209683"/>
    <m/>
    <m/>
    <n v="44832.740215760001"/>
    <n v="0"/>
    <n v="0"/>
    <n v="50999.763904984728"/>
    <n v="0"/>
    <n v="0"/>
  </r>
  <r>
    <s v="Regular"/>
    <x v="2"/>
    <x v="2"/>
    <x v="0"/>
    <x v="0"/>
    <x v="1"/>
    <x v="0"/>
    <x v="1"/>
    <x v="5"/>
    <n v="6719"/>
    <n v="3187.2271244600001"/>
    <n v="0"/>
    <n v="0"/>
    <n v="0"/>
    <n v="0"/>
    <n v="15"/>
    <x v="0"/>
    <n v="0"/>
    <n v="20"/>
    <n v="0"/>
    <n v="0"/>
    <n v="14"/>
    <n v="0"/>
    <n v="0"/>
    <n v="15.925787521209683"/>
    <m/>
    <m/>
    <n v="44621.179742439999"/>
    <n v="0"/>
    <n v="0"/>
    <n v="50759.10196598609"/>
    <n v="0"/>
    <n v="0"/>
  </r>
  <r>
    <s v="Regular"/>
    <x v="2"/>
    <x v="2"/>
    <x v="0"/>
    <x v="0"/>
    <x v="1"/>
    <x v="0"/>
    <x v="1"/>
    <x v="6"/>
    <n v="6697"/>
    <n v="3460.6249912899998"/>
    <n v="0"/>
    <n v="0"/>
    <n v="0"/>
    <n v="0"/>
    <n v="15"/>
    <x v="0"/>
    <n v="0"/>
    <n v="20"/>
    <n v="0"/>
    <n v="0"/>
    <n v="14"/>
    <n v="0"/>
    <n v="0"/>
    <n v="15.925787521209683"/>
    <m/>
    <m/>
    <n v="48448.74987806"/>
    <n v="0"/>
    <n v="0"/>
    <n v="55113.178301872649"/>
    <n v="0"/>
    <n v="0"/>
  </r>
  <r>
    <s v="Regular"/>
    <x v="2"/>
    <x v="2"/>
    <x v="0"/>
    <x v="0"/>
    <x v="1"/>
    <x v="0"/>
    <x v="1"/>
    <x v="7"/>
    <n v="7006"/>
    <n v="3237.26858528"/>
    <n v="0"/>
    <n v="0"/>
    <n v="0"/>
    <n v="0"/>
    <n v="16"/>
    <x v="0"/>
    <n v="0"/>
    <n v="20"/>
    <n v="0"/>
    <n v="0"/>
    <n v="14"/>
    <n v="0"/>
    <n v="0"/>
    <n v="15.925787521209683"/>
    <m/>
    <m/>
    <n v="45321.760193920003"/>
    <n v="0"/>
    <n v="0"/>
    <n v="51556.051638256351"/>
    <n v="0"/>
    <n v="0"/>
  </r>
  <r>
    <s v="Regular"/>
    <x v="2"/>
    <x v="2"/>
    <x v="0"/>
    <x v="0"/>
    <x v="1"/>
    <x v="0"/>
    <x v="1"/>
    <x v="8"/>
    <n v="7138"/>
    <n v="3276.37140856"/>
    <n v="0"/>
    <n v="0"/>
    <n v="0"/>
    <n v="0"/>
    <n v="16"/>
    <x v="0"/>
    <n v="0"/>
    <n v="20"/>
    <n v="0"/>
    <n v="0"/>
    <n v="14"/>
    <n v="0"/>
    <n v="0"/>
    <n v="15.925787521209683"/>
    <m/>
    <m/>
    <n v="45869.199719839999"/>
    <n v="0"/>
    <n v="0"/>
    <n v="52178.794893293038"/>
    <n v="0"/>
    <n v="0"/>
  </r>
  <r>
    <s v="Regular"/>
    <x v="2"/>
    <x v="2"/>
    <x v="0"/>
    <x v="0"/>
    <x v="1"/>
    <x v="0"/>
    <x v="1"/>
    <x v="9"/>
    <n v="7158"/>
    <n v="3383.4035699400001"/>
    <n v="0"/>
    <n v="0"/>
    <n v="0"/>
    <n v="0"/>
    <n v="16"/>
    <x v="0"/>
    <n v="0"/>
    <n v="20"/>
    <n v="0"/>
    <n v="0"/>
    <n v="14"/>
    <n v="0"/>
    <n v="0"/>
    <n v="15.925787521209683"/>
    <m/>
    <m/>
    <n v="47367.64997916"/>
    <n v="0"/>
    <n v="0"/>
    <n v="53883.36635336675"/>
    <n v="0"/>
    <n v="0"/>
  </r>
  <r>
    <s v="Regular"/>
    <x v="2"/>
    <x v="2"/>
    <x v="0"/>
    <x v="0"/>
    <x v="1"/>
    <x v="0"/>
    <x v="1"/>
    <x v="10"/>
    <n v="7177"/>
    <n v="3390.3400156600001"/>
    <n v="0"/>
    <n v="0"/>
    <n v="0"/>
    <n v="0"/>
    <n v="16"/>
    <x v="0"/>
    <n v="0"/>
    <n v="20"/>
    <n v="0"/>
    <n v="0"/>
    <n v="14"/>
    <n v="0"/>
    <n v="0"/>
    <n v="15.925787521209683"/>
    <m/>
    <m/>
    <n v="47464.760219240001"/>
    <n v="0"/>
    <n v="0"/>
    <n v="53993.834714055869"/>
    <n v="0"/>
    <n v="0"/>
  </r>
  <r>
    <s v="PROJETADO"/>
    <x v="2"/>
    <x v="2"/>
    <x v="0"/>
    <x v="0"/>
    <x v="1"/>
    <x v="0"/>
    <x v="1"/>
    <x v="11"/>
    <n v="7177"/>
    <n v="3390.3400156600001"/>
    <n v="0"/>
    <n v="0"/>
    <n v="0"/>
    <n v="0"/>
    <n v="16"/>
    <x v="0"/>
    <n v="0"/>
    <n v="20"/>
    <n v="0"/>
    <n v="0"/>
    <n v="14"/>
    <n v="0"/>
    <n v="0"/>
    <n v="15.925787521209683"/>
    <m/>
    <m/>
    <n v="47464.760219240001"/>
    <n v="0"/>
    <n v="0"/>
    <n v="53993.834714055869"/>
    <n v="0"/>
    <n v="0"/>
  </r>
  <r>
    <s v="Regular"/>
    <x v="2"/>
    <x v="2"/>
    <x v="0"/>
    <x v="0"/>
    <x v="1"/>
    <x v="0"/>
    <x v="2"/>
    <x v="0"/>
    <n v="0"/>
    <n v="0"/>
    <n v="121.318"/>
    <n v="108.06427661278001"/>
    <n v="0"/>
    <n v="0"/>
    <n v="0"/>
    <x v="0"/>
    <n v="0"/>
    <n v="0"/>
    <n v="8"/>
    <n v="0"/>
    <n v="0"/>
    <n v="940.43"/>
    <n v="0"/>
    <m/>
    <n v="1108.3660770518723"/>
    <m/>
    <n v="0"/>
    <n v="101626.88765495669"/>
    <n v="0"/>
    <n v="0"/>
    <n v="119774.77833875536"/>
    <n v="0"/>
  </r>
  <r>
    <s v="Regular"/>
    <x v="2"/>
    <x v="2"/>
    <x v="0"/>
    <x v="0"/>
    <x v="1"/>
    <x v="0"/>
    <x v="2"/>
    <x v="1"/>
    <n v="0"/>
    <n v="0"/>
    <n v="138.202"/>
    <n v="73.546681935999999"/>
    <n v="0"/>
    <n v="0"/>
    <n v="0"/>
    <x v="0"/>
    <n v="0"/>
    <n v="0"/>
    <n v="8"/>
    <n v="0"/>
    <n v="0"/>
    <n v="940.43"/>
    <n v="0"/>
    <m/>
    <n v="1108.3660770518723"/>
    <m/>
    <n v="0"/>
    <n v="69165.506093072472"/>
    <n v="0"/>
    <n v="0"/>
    <n v="81516.64733758611"/>
    <n v="0"/>
  </r>
  <r>
    <s v="Regular"/>
    <x v="2"/>
    <x v="2"/>
    <x v="0"/>
    <x v="0"/>
    <x v="1"/>
    <x v="0"/>
    <x v="2"/>
    <x v="2"/>
    <n v="0"/>
    <n v="0"/>
    <n v="183.863"/>
    <n v="82.91051747457"/>
    <n v="0"/>
    <n v="0"/>
    <n v="0"/>
    <x v="0"/>
    <n v="0"/>
    <n v="0"/>
    <n v="8"/>
    <n v="0"/>
    <n v="0"/>
    <n v="940.43"/>
    <n v="0"/>
    <m/>
    <n v="1108.3660770518723"/>
    <m/>
    <n v="0"/>
    <n v="77971.537948609854"/>
    <n v="0"/>
    <n v="0"/>
    <n v="91895.204999629859"/>
    <n v="0"/>
  </r>
  <r>
    <s v="Regular"/>
    <x v="2"/>
    <x v="2"/>
    <x v="0"/>
    <x v="0"/>
    <x v="1"/>
    <x v="0"/>
    <x v="2"/>
    <x v="3"/>
    <n v="0"/>
    <n v="0"/>
    <n v="176.209"/>
    <n v="94.779071372480004"/>
    <n v="0"/>
    <n v="0"/>
    <n v="0"/>
    <x v="0"/>
    <n v="0"/>
    <n v="0"/>
    <n v="8"/>
    <n v="0"/>
    <n v="0"/>
    <n v="940.43"/>
    <n v="0"/>
    <m/>
    <n v="1108.3660770518723"/>
    <m/>
    <n v="0"/>
    <n v="89133.082090821365"/>
    <n v="0"/>
    <n v="0"/>
    <n v="105049.90752373508"/>
    <n v="0"/>
  </r>
  <r>
    <s v="Regular"/>
    <x v="2"/>
    <x v="2"/>
    <x v="0"/>
    <x v="0"/>
    <x v="1"/>
    <x v="0"/>
    <x v="2"/>
    <x v="4"/>
    <n v="0"/>
    <n v="0"/>
    <n v="182.48099999999999"/>
    <n v="98.261492971199999"/>
    <n v="0"/>
    <n v="0"/>
    <n v="0"/>
    <x v="0"/>
    <n v="0"/>
    <n v="0"/>
    <n v="8"/>
    <n v="0"/>
    <n v="0"/>
    <n v="940.43"/>
    <n v="0"/>
    <m/>
    <n v="1108.3660770518723"/>
    <m/>
    <n v="0"/>
    <n v="92408.055834905608"/>
    <n v="0"/>
    <n v="0"/>
    <n v="108909.70548974906"/>
    <n v="0"/>
  </r>
  <r>
    <s v="Regular"/>
    <x v="2"/>
    <x v="2"/>
    <x v="0"/>
    <x v="0"/>
    <x v="1"/>
    <x v="0"/>
    <x v="2"/>
    <x v="5"/>
    <n v="0"/>
    <n v="0"/>
    <n v="216.84899999999999"/>
    <n v="113.59783189716001"/>
    <n v="0"/>
    <n v="0"/>
    <n v="0"/>
    <x v="0"/>
    <n v="0"/>
    <n v="0"/>
    <n v="8"/>
    <n v="0"/>
    <n v="0"/>
    <n v="940.43"/>
    <n v="0"/>
    <m/>
    <n v="1108.3660770518723"/>
    <m/>
    <n v="0"/>
    <n v="106830.80905104618"/>
    <n v="0"/>
    <n v="0"/>
    <n v="125907.98330145328"/>
    <n v="0"/>
  </r>
  <r>
    <s v="Regular"/>
    <x v="2"/>
    <x v="2"/>
    <x v="0"/>
    <x v="0"/>
    <x v="1"/>
    <x v="0"/>
    <x v="2"/>
    <x v="6"/>
    <n v="0"/>
    <n v="0"/>
    <n v="175.78700000000001"/>
    <n v="98.715021550540001"/>
    <n v="0"/>
    <n v="0"/>
    <n v="0"/>
    <x v="0"/>
    <n v="0"/>
    <n v="0"/>
    <n v="8"/>
    <n v="0"/>
    <n v="0"/>
    <n v="940.43"/>
    <n v="0"/>
    <m/>
    <n v="1108.3660770518723"/>
    <m/>
    <n v="0"/>
    <n v="92834.567716774327"/>
    <n v="0"/>
    <n v="0"/>
    <n v="109412.38118206305"/>
    <n v="0"/>
  </r>
  <r>
    <s v="Regular"/>
    <x v="2"/>
    <x v="2"/>
    <x v="0"/>
    <x v="0"/>
    <x v="1"/>
    <x v="0"/>
    <x v="2"/>
    <x v="7"/>
    <n v="0"/>
    <n v="0"/>
    <n v="188.727"/>
    <n v="100.25089915764001"/>
    <n v="0"/>
    <n v="0"/>
    <n v="0"/>
    <x v="0"/>
    <n v="0"/>
    <n v="0"/>
    <n v="8"/>
    <n v="0"/>
    <n v="0"/>
    <n v="940.43"/>
    <n v="0"/>
    <m/>
    <n v="1108.3660770518723"/>
    <m/>
    <n v="0"/>
    <n v="94278.953094819386"/>
    <n v="0"/>
    <n v="0"/>
    <n v="111114.69582027631"/>
    <n v="0"/>
  </r>
  <r>
    <s v="Regular"/>
    <x v="2"/>
    <x v="2"/>
    <x v="0"/>
    <x v="0"/>
    <x v="1"/>
    <x v="0"/>
    <x v="2"/>
    <x v="8"/>
    <n v="0"/>
    <n v="0"/>
    <n v="179.56100000000001"/>
    <n v="92.625512965469994"/>
    <n v="0"/>
    <n v="0"/>
    <n v="0"/>
    <x v="0"/>
    <n v="0"/>
    <n v="0"/>
    <n v="8"/>
    <n v="0"/>
    <n v="0"/>
    <n v="940.43"/>
    <n v="0"/>
    <m/>
    <n v="1108.3660770518723"/>
    <m/>
    <n v="0"/>
    <n v="87107.811158116936"/>
    <n v="0"/>
    <n v="0"/>
    <n v="102662.97644045531"/>
    <n v="0"/>
  </r>
  <r>
    <s v="Regular"/>
    <x v="2"/>
    <x v="2"/>
    <x v="0"/>
    <x v="0"/>
    <x v="1"/>
    <x v="0"/>
    <x v="2"/>
    <x v="9"/>
    <n v="0"/>
    <n v="0"/>
    <n v="167.62700000000001"/>
    <n v="88.032715173019994"/>
    <n v="0"/>
    <n v="0"/>
    <n v="0"/>
    <x v="0"/>
    <n v="0"/>
    <n v="0"/>
    <n v="8"/>
    <n v="0"/>
    <n v="0"/>
    <n v="940.43"/>
    <n v="0"/>
    <m/>
    <n v="1108.3660770518723"/>
    <m/>
    <n v="0"/>
    <n v="82788.606330163195"/>
    <n v="0"/>
    <n v="0"/>
    <n v="97572.475168545003"/>
    <n v="0"/>
  </r>
  <r>
    <s v="Regular"/>
    <x v="2"/>
    <x v="2"/>
    <x v="0"/>
    <x v="0"/>
    <x v="1"/>
    <x v="0"/>
    <x v="2"/>
    <x v="10"/>
    <n v="0"/>
    <n v="0"/>
    <n v="201.63499999999999"/>
    <n v="106.0584009527"/>
    <n v="0"/>
    <n v="0"/>
    <n v="0"/>
    <x v="0"/>
    <n v="0"/>
    <n v="0"/>
    <n v="8"/>
    <n v="0"/>
    <n v="0"/>
    <n v="940.43"/>
    <n v="0"/>
    <m/>
    <n v="1108.3660770518723"/>
    <m/>
    <n v="0"/>
    <n v="99740.502007947653"/>
    <n v="0"/>
    <n v="0"/>
    <n v="117551.53380233864"/>
    <n v="0"/>
  </r>
  <r>
    <s v="PROJETADO"/>
    <x v="2"/>
    <x v="2"/>
    <x v="0"/>
    <x v="0"/>
    <x v="1"/>
    <x v="0"/>
    <x v="2"/>
    <x v="11"/>
    <n v="0"/>
    <n v="0"/>
    <n v="201.63499999999999"/>
    <n v="106.0584009527"/>
    <n v="0"/>
    <n v="0"/>
    <n v="0"/>
    <x v="0"/>
    <n v="0"/>
    <n v="0"/>
    <n v="8"/>
    <n v="0"/>
    <n v="0"/>
    <n v="940.43"/>
    <n v="0"/>
    <m/>
    <n v="1108.3660770518723"/>
    <m/>
    <n v="0"/>
    <n v="99740.502007947653"/>
    <n v="0"/>
    <n v="0"/>
    <n v="117551.53380233864"/>
    <n v="0"/>
  </r>
  <r>
    <s v="Regular"/>
    <x v="2"/>
    <x v="2"/>
    <x v="0"/>
    <x v="0"/>
    <x v="0"/>
    <x v="0"/>
    <x v="0"/>
    <x v="0"/>
    <n v="0"/>
    <n v="0"/>
    <n v="1978.3230000000001"/>
    <n v="1978.3230000000001"/>
    <n v="1978.3230000000001"/>
    <n v="1978.3230000000001"/>
    <n v="0"/>
    <x v="2"/>
    <n v="0"/>
    <n v="0"/>
    <n v="6"/>
    <n v="61"/>
    <n v="0"/>
    <n v="72.150000000000006"/>
    <n v="278.67"/>
    <m/>
    <n v="117.70169496208672"/>
    <n v="295.87360985530717"/>
    <n v="0"/>
    <n v="142736.00445000001"/>
    <n v="551299.27041000011"/>
    <n v="0"/>
    <n v="232851.9702824803"/>
    <n v="585333.56746978092"/>
  </r>
  <r>
    <s v="Regular"/>
    <x v="2"/>
    <x v="2"/>
    <x v="0"/>
    <x v="0"/>
    <x v="0"/>
    <x v="0"/>
    <x v="0"/>
    <x v="0"/>
    <n v="0"/>
    <n v="0"/>
    <n v="685.279"/>
    <n v="685.279"/>
    <n v="0"/>
    <n v="0"/>
    <n v="0"/>
    <x v="0"/>
    <n v="0"/>
    <n v="0"/>
    <n v="6"/>
    <n v="0"/>
    <n v="0"/>
    <n v="72.150000000000006"/>
    <n v="0"/>
    <m/>
    <n v="117.70169496208672"/>
    <m/>
    <n v="0"/>
    <n v="49442.879850000005"/>
    <n v="0"/>
    <n v="0"/>
    <n v="80658.499821923819"/>
    <n v="0"/>
  </r>
  <r>
    <s v="Regular"/>
    <x v="2"/>
    <x v="2"/>
    <x v="0"/>
    <x v="0"/>
    <x v="0"/>
    <x v="0"/>
    <x v="0"/>
    <x v="1"/>
    <n v="0"/>
    <n v="0"/>
    <n v="1941.5260000000001"/>
    <n v="1941.5260000000001"/>
    <n v="1941.5260000000001"/>
    <n v="1941.5260000000001"/>
    <n v="0"/>
    <x v="2"/>
    <n v="0"/>
    <n v="0"/>
    <n v="6"/>
    <n v="61"/>
    <n v="0"/>
    <n v="72.150000000000006"/>
    <n v="278.67"/>
    <m/>
    <n v="117.70169496208672"/>
    <n v="295.87360985530717"/>
    <n v="0"/>
    <n v="140081.10090000002"/>
    <n v="541045.0504200001"/>
    <n v="0"/>
    <n v="228520.90101296038"/>
    <n v="574446.30624793516"/>
  </r>
  <r>
    <s v="Regular"/>
    <x v="2"/>
    <x v="2"/>
    <x v="0"/>
    <x v="0"/>
    <x v="0"/>
    <x v="0"/>
    <x v="0"/>
    <x v="1"/>
    <n v="0"/>
    <n v="0"/>
    <n v="693.53800000000001"/>
    <n v="693.53800000000001"/>
    <n v="0"/>
    <n v="0"/>
    <n v="0"/>
    <x v="0"/>
    <n v="0"/>
    <n v="0"/>
    <n v="6"/>
    <n v="0"/>
    <n v="0"/>
    <n v="72.150000000000006"/>
    <n v="0"/>
    <m/>
    <n v="117.70169496208672"/>
    <m/>
    <n v="0"/>
    <n v="50038.766700000007"/>
    <n v="0"/>
    <n v="0"/>
    <n v="81630.598120615701"/>
    <n v="0"/>
  </r>
  <r>
    <s v="Regular"/>
    <x v="2"/>
    <x v="2"/>
    <x v="0"/>
    <x v="0"/>
    <x v="0"/>
    <x v="0"/>
    <x v="0"/>
    <x v="2"/>
    <n v="0"/>
    <n v="0"/>
    <n v="1775.636"/>
    <n v="1775.636"/>
    <n v="1775.636"/>
    <n v="1775.636"/>
    <n v="0"/>
    <x v="2"/>
    <n v="0"/>
    <n v="0"/>
    <n v="6"/>
    <n v="61"/>
    <n v="0"/>
    <n v="72.150000000000006"/>
    <n v="278.67"/>
    <m/>
    <n v="117.70169496208672"/>
    <n v="295.87360985530717"/>
    <n v="0"/>
    <n v="128112.13740000001"/>
    <n v="494816.48412000004"/>
    <n v="0"/>
    <n v="208995.36683569982"/>
    <n v="525363.83310903818"/>
  </r>
  <r>
    <s v="Regular"/>
    <x v="2"/>
    <x v="2"/>
    <x v="0"/>
    <x v="0"/>
    <x v="0"/>
    <x v="0"/>
    <x v="0"/>
    <x v="2"/>
    <n v="0"/>
    <n v="0"/>
    <n v="545.86"/>
    <n v="545.86"/>
    <n v="0"/>
    <n v="0"/>
    <n v="0"/>
    <x v="0"/>
    <n v="0"/>
    <n v="0"/>
    <n v="6"/>
    <n v="0"/>
    <n v="0"/>
    <n v="72.150000000000006"/>
    <n v="0"/>
    <m/>
    <n v="117.70169496208672"/>
    <m/>
    <n v="0"/>
    <n v="39383.799000000006"/>
    <n v="0"/>
    <n v="0"/>
    <n v="64248.64721200466"/>
    <n v="0"/>
  </r>
  <r>
    <s v="Regular"/>
    <x v="2"/>
    <x v="2"/>
    <x v="0"/>
    <x v="0"/>
    <x v="0"/>
    <x v="0"/>
    <x v="0"/>
    <x v="3"/>
    <n v="0"/>
    <n v="0"/>
    <n v="1727.298"/>
    <n v="1727.298"/>
    <n v="1727.298"/>
    <n v="1727.298"/>
    <n v="0"/>
    <x v="2"/>
    <n v="0"/>
    <n v="0"/>
    <n v="6"/>
    <n v="61"/>
    <n v="0"/>
    <n v="72.150000000000006"/>
    <n v="278.67"/>
    <m/>
    <n v="117.70169496208672"/>
    <n v="295.87360985530717"/>
    <n v="0"/>
    <n v="124624.55070000001"/>
    <n v="481346.13366000005"/>
    <n v="0"/>
    <n v="203305.90230462246"/>
    <n v="511061.89455585234"/>
  </r>
  <r>
    <s v="Sistema de Compensação"/>
    <x v="2"/>
    <x v="2"/>
    <x v="0"/>
    <x v="0"/>
    <x v="0"/>
    <x v="0"/>
    <x v="0"/>
    <x v="3"/>
    <n v="0"/>
    <n v="0"/>
    <n v="20.742999999999999"/>
    <n v="20.742999999999999"/>
    <n v="20.742999999999999"/>
    <n v="20.742999999999999"/>
    <n v="0"/>
    <x v="2"/>
    <n v="0"/>
    <n v="0"/>
    <n v="6"/>
    <n v="61"/>
    <n v="0"/>
    <n v="72.150000000000006"/>
    <n v="278.67"/>
    <m/>
    <n v="117.70169496208672"/>
    <n v="295.87360985530717"/>
    <n v="0"/>
    <n v="1496.60745"/>
    <n v="5780.4518099999996"/>
    <n v="0"/>
    <n v="2441.4862585985647"/>
    <n v="6137.3062892286362"/>
  </r>
  <r>
    <s v="Regular"/>
    <x v="2"/>
    <x v="2"/>
    <x v="0"/>
    <x v="0"/>
    <x v="0"/>
    <x v="0"/>
    <x v="0"/>
    <x v="3"/>
    <n v="0"/>
    <n v="0"/>
    <n v="651.76800000000003"/>
    <n v="651.76800000000003"/>
    <n v="0"/>
    <n v="0"/>
    <n v="0"/>
    <x v="0"/>
    <n v="0"/>
    <n v="0"/>
    <n v="6"/>
    <n v="0"/>
    <n v="0"/>
    <n v="72.150000000000006"/>
    <n v="0"/>
    <m/>
    <n v="117.70169496208672"/>
    <m/>
    <n v="0"/>
    <n v="47025.061200000004"/>
    <n v="0"/>
    <n v="0"/>
    <n v="76714.198322049342"/>
    <n v="0"/>
  </r>
  <r>
    <s v="Regular"/>
    <x v="2"/>
    <x v="2"/>
    <x v="0"/>
    <x v="0"/>
    <x v="0"/>
    <x v="0"/>
    <x v="0"/>
    <x v="4"/>
    <n v="0"/>
    <n v="0"/>
    <n v="1756.01"/>
    <n v="1756.01"/>
    <n v="1756.01"/>
    <n v="1756.01"/>
    <n v="0"/>
    <x v="2"/>
    <n v="0"/>
    <n v="0"/>
    <n v="6"/>
    <n v="61"/>
    <n v="0"/>
    <n v="72.150000000000006"/>
    <n v="278.67"/>
    <m/>
    <n v="117.70169496208672"/>
    <n v="295.87360985530717"/>
    <n v="0"/>
    <n v="126696.12150000001"/>
    <n v="489347.30670000002"/>
    <n v="0"/>
    <n v="206685.35337037389"/>
    <n v="519557.01764201792"/>
  </r>
  <r>
    <s v="Sistema de Compensação"/>
    <x v="2"/>
    <x v="2"/>
    <x v="0"/>
    <x v="0"/>
    <x v="0"/>
    <x v="0"/>
    <x v="0"/>
    <x v="4"/>
    <n v="0"/>
    <n v="0"/>
    <n v="10.256"/>
    <n v="10.256"/>
    <n v="10.256"/>
    <n v="10.256"/>
    <n v="0"/>
    <x v="2"/>
    <n v="0"/>
    <n v="0"/>
    <n v="6"/>
    <n v="61"/>
    <n v="0"/>
    <n v="72.150000000000006"/>
    <n v="278.67"/>
    <m/>
    <n v="117.70169496208672"/>
    <n v="295.87360985530717"/>
    <n v="0"/>
    <n v="739.97040000000004"/>
    <n v="2858.0395200000003"/>
    <n v="0"/>
    <n v="1207.1485835311614"/>
    <n v="3034.4797426760306"/>
  </r>
  <r>
    <s v="Regular"/>
    <x v="2"/>
    <x v="2"/>
    <x v="0"/>
    <x v="0"/>
    <x v="0"/>
    <x v="0"/>
    <x v="0"/>
    <x v="4"/>
    <n v="0"/>
    <n v="0"/>
    <n v="652.69399999999996"/>
    <n v="652.69399999999996"/>
    <n v="0"/>
    <n v="0"/>
    <n v="0"/>
    <x v="0"/>
    <n v="0"/>
    <n v="0"/>
    <n v="6"/>
    <n v="0"/>
    <n v="0"/>
    <n v="72.150000000000006"/>
    <n v="0"/>
    <m/>
    <n v="117.70169496208672"/>
    <m/>
    <n v="0"/>
    <n v="47091.872100000001"/>
    <n v="0"/>
    <n v="0"/>
    <n v="76823.190091584227"/>
    <n v="0"/>
  </r>
  <r>
    <s v="Regular"/>
    <x v="2"/>
    <x v="2"/>
    <x v="0"/>
    <x v="0"/>
    <x v="0"/>
    <x v="0"/>
    <x v="0"/>
    <x v="5"/>
    <n v="0"/>
    <n v="0"/>
    <n v="1979.059"/>
    <n v="1979.059"/>
    <n v="1979.059"/>
    <n v="1979.059"/>
    <n v="0"/>
    <x v="2"/>
    <n v="0"/>
    <n v="0"/>
    <n v="6"/>
    <n v="61"/>
    <n v="0"/>
    <n v="72.150000000000006"/>
    <n v="278.67"/>
    <m/>
    <n v="117.70169496208672"/>
    <n v="295.87360985530717"/>
    <n v="0"/>
    <n v="142789.10685000001"/>
    <n v="551504.37153"/>
    <n v="0"/>
    <n v="232938.59872997238"/>
    <n v="585551.33044663433"/>
  </r>
  <r>
    <s v="Sistema de Compensação"/>
    <x v="2"/>
    <x v="2"/>
    <x v="0"/>
    <x v="0"/>
    <x v="0"/>
    <x v="0"/>
    <x v="0"/>
    <x v="5"/>
    <n v="0"/>
    <n v="0"/>
    <n v="9.3640000000000008"/>
    <n v="9.3640000000000008"/>
    <n v="9.3640000000000008"/>
    <n v="9.3640000000000008"/>
    <n v="0"/>
    <x v="2"/>
    <n v="0"/>
    <n v="0"/>
    <n v="6"/>
    <n v="61"/>
    <n v="0"/>
    <n v="72.150000000000006"/>
    <n v="278.67"/>
    <m/>
    <n v="117.70169496208672"/>
    <n v="295.87360985530717"/>
    <n v="0"/>
    <n v="675.61260000000016"/>
    <n v="2609.4658800000002"/>
    <n v="0"/>
    <n v="1102.1586716249801"/>
    <n v="2770.5604826850963"/>
  </r>
  <r>
    <s v="Regular"/>
    <x v="2"/>
    <x v="2"/>
    <x v="0"/>
    <x v="0"/>
    <x v="0"/>
    <x v="0"/>
    <x v="0"/>
    <x v="5"/>
    <n v="0"/>
    <n v="0"/>
    <n v="755.45600000000002"/>
    <n v="755.45600000000002"/>
    <n v="0"/>
    <n v="0"/>
    <n v="0"/>
    <x v="0"/>
    <n v="0"/>
    <n v="0"/>
    <n v="6"/>
    <n v="0"/>
    <n v="0"/>
    <n v="72.150000000000006"/>
    <n v="0"/>
    <m/>
    <n v="117.70169496208672"/>
    <m/>
    <n v="0"/>
    <n v="54506.150400000006"/>
    <n v="0"/>
    <n v="0"/>
    <n v="88918.451669278191"/>
    <n v="0"/>
  </r>
  <r>
    <s v="Regular"/>
    <x v="2"/>
    <x v="2"/>
    <x v="0"/>
    <x v="0"/>
    <x v="0"/>
    <x v="0"/>
    <x v="0"/>
    <x v="6"/>
    <n v="0"/>
    <n v="0"/>
    <n v="1812.2260000000001"/>
    <n v="1812.2260000000001"/>
    <n v="1812.2260000000001"/>
    <n v="1812.2260000000001"/>
    <n v="0"/>
    <x v="2"/>
    <n v="0"/>
    <n v="0"/>
    <n v="6"/>
    <n v="61"/>
    <n v="0"/>
    <n v="72.150000000000006"/>
    <n v="278.67"/>
    <m/>
    <n v="117.70169496208672"/>
    <n v="295.87360985530717"/>
    <n v="0"/>
    <n v="130752.10590000002"/>
    <n v="505013.01942000008"/>
    <n v="0"/>
    <n v="213302.07185436258"/>
    <n v="536189.84849364392"/>
  </r>
  <r>
    <s v="Sistema de Compensação"/>
    <x v="2"/>
    <x v="2"/>
    <x v="0"/>
    <x v="0"/>
    <x v="0"/>
    <x v="0"/>
    <x v="0"/>
    <x v="6"/>
    <n v="0"/>
    <n v="0"/>
    <n v="4.0359999999999996"/>
    <n v="4.0359999999999996"/>
    <n v="4.0359999999999996"/>
    <n v="4.0359999999999996"/>
    <n v="0"/>
    <x v="2"/>
    <n v="0"/>
    <n v="0"/>
    <n v="6"/>
    <n v="61"/>
    <n v="0"/>
    <n v="72.150000000000006"/>
    <n v="278.67"/>
    <m/>
    <n v="117.70169496208672"/>
    <n v="295.87360985530717"/>
    <n v="0"/>
    <n v="291.19740000000002"/>
    <n v="1124.7121199999999"/>
    <n v="0"/>
    <n v="475.04404086698196"/>
    <n v="1194.1458893760196"/>
  </r>
  <r>
    <s v="Regular"/>
    <x v="2"/>
    <x v="2"/>
    <x v="0"/>
    <x v="0"/>
    <x v="0"/>
    <x v="0"/>
    <x v="0"/>
    <x v="6"/>
    <n v="0"/>
    <n v="0"/>
    <n v="676.995"/>
    <n v="676.995"/>
    <n v="0"/>
    <n v="0"/>
    <n v="0"/>
    <x v="0"/>
    <n v="0"/>
    <n v="0"/>
    <n v="6"/>
    <n v="0"/>
    <n v="0"/>
    <n v="72.150000000000006"/>
    <n v="0"/>
    <m/>
    <n v="117.70169496208672"/>
    <m/>
    <n v="0"/>
    <n v="48845.189250000003"/>
    <n v="0"/>
    <n v="0"/>
    <n v="79683.458980857904"/>
    <n v="0"/>
  </r>
  <r>
    <s v="Regular"/>
    <x v="2"/>
    <x v="2"/>
    <x v="0"/>
    <x v="0"/>
    <x v="0"/>
    <x v="0"/>
    <x v="0"/>
    <x v="7"/>
    <n v="0"/>
    <n v="0"/>
    <n v="1918.991"/>
    <n v="1918.991"/>
    <n v="1918.991"/>
    <n v="1918.991"/>
    <n v="0"/>
    <x v="2"/>
    <n v="0"/>
    <n v="0"/>
    <n v="6"/>
    <n v="61"/>
    <n v="0"/>
    <n v="72.150000000000006"/>
    <n v="278.67"/>
    <m/>
    <n v="117.70169496208672"/>
    <n v="295.87360985530717"/>
    <n v="0"/>
    <n v="138455.20065000001"/>
    <n v="534765.22197000007"/>
    <n v="0"/>
    <n v="225868.49331698974"/>
    <n v="567778.79444984579"/>
  </r>
  <r>
    <s v="Sistema de Compensação"/>
    <x v="2"/>
    <x v="2"/>
    <x v="0"/>
    <x v="0"/>
    <x v="0"/>
    <x v="0"/>
    <x v="0"/>
    <x v="7"/>
    <n v="0"/>
    <n v="0"/>
    <n v="11.496"/>
    <n v="11.496"/>
    <n v="11.496"/>
    <n v="11.496"/>
    <n v="0"/>
    <x v="2"/>
    <n v="0"/>
    <n v="0"/>
    <n v="6"/>
    <n v="61"/>
    <n v="0"/>
    <n v="72.150000000000006"/>
    <n v="278.67"/>
    <m/>
    <n v="117.70169496208672"/>
    <n v="295.87360985530717"/>
    <n v="0"/>
    <n v="829.43640000000005"/>
    <n v="3203.5903200000002"/>
    <n v="0"/>
    <n v="1353.098685284149"/>
    <n v="3401.3630188966113"/>
  </r>
  <r>
    <s v="Regular"/>
    <x v="2"/>
    <x v="2"/>
    <x v="0"/>
    <x v="0"/>
    <x v="0"/>
    <x v="0"/>
    <x v="0"/>
    <x v="7"/>
    <n v="0"/>
    <n v="0"/>
    <n v="693.12900000000002"/>
    <n v="693.12900000000002"/>
    <n v="0"/>
    <n v="0"/>
    <n v="0"/>
    <x v="0"/>
    <n v="0"/>
    <n v="0"/>
    <n v="6"/>
    <n v="0"/>
    <n v="0"/>
    <n v="72.150000000000006"/>
    <n v="0"/>
    <m/>
    <n v="117.70169496208672"/>
    <m/>
    <n v="0"/>
    <n v="50009.257350000007"/>
    <n v="0"/>
    <n v="0"/>
    <n v="81582.458127376201"/>
    <n v="0"/>
  </r>
  <r>
    <s v="Regular"/>
    <x v="2"/>
    <x v="2"/>
    <x v="0"/>
    <x v="0"/>
    <x v="0"/>
    <x v="0"/>
    <x v="0"/>
    <x v="8"/>
    <n v="0"/>
    <n v="0"/>
    <n v="1802.39"/>
    <n v="1802.39"/>
    <n v="1802.39"/>
    <n v="1802.39"/>
    <n v="0"/>
    <x v="2"/>
    <n v="0"/>
    <n v="0"/>
    <n v="6"/>
    <n v="61"/>
    <n v="0"/>
    <n v="72.150000000000006"/>
    <n v="278.67"/>
    <m/>
    <n v="117.70169496208672"/>
    <n v="295.87360985530717"/>
    <n v="0"/>
    <n v="130042.43850000002"/>
    <n v="502272.02130000008"/>
    <n v="0"/>
    <n v="212144.3579827155"/>
    <n v="533279.63566710707"/>
  </r>
  <r>
    <s v="Regular"/>
    <x v="2"/>
    <x v="2"/>
    <x v="0"/>
    <x v="0"/>
    <x v="0"/>
    <x v="0"/>
    <x v="0"/>
    <x v="8"/>
    <n v="0"/>
    <n v="0"/>
    <n v="454.67399999999998"/>
    <n v="454.67399999999998"/>
    <n v="0"/>
    <n v="0"/>
    <n v="0"/>
    <x v="0"/>
    <n v="0"/>
    <n v="0"/>
    <n v="6"/>
    <n v="0"/>
    <n v="0"/>
    <n v="72.150000000000006"/>
    <n v="0"/>
    <m/>
    <n v="117.70169496208672"/>
    <m/>
    <n v="0"/>
    <n v="32804.729100000004"/>
    <n v="0"/>
    <n v="0"/>
    <n v="53515.900455191811"/>
    <n v="0"/>
  </r>
  <r>
    <s v="Regular"/>
    <x v="2"/>
    <x v="2"/>
    <x v="0"/>
    <x v="0"/>
    <x v="0"/>
    <x v="0"/>
    <x v="0"/>
    <x v="9"/>
    <n v="0"/>
    <n v="0"/>
    <n v="1938.971"/>
    <n v="1938.971"/>
    <n v="1938.971"/>
    <n v="1938.971"/>
    <n v="0"/>
    <x v="2"/>
    <n v="0"/>
    <n v="0"/>
    <n v="6"/>
    <n v="61"/>
    <n v="0"/>
    <n v="72.150000000000006"/>
    <n v="278.67"/>
    <m/>
    <n v="117.70169496208672"/>
    <n v="295.87360985530717"/>
    <n v="0"/>
    <n v="139896.75765000001"/>
    <n v="540333.04856999998"/>
    <n v="0"/>
    <n v="228220.17318233225"/>
    <n v="573690.34917475481"/>
  </r>
  <r>
    <s v="Refaturamento - Regular"/>
    <x v="2"/>
    <x v="2"/>
    <x v="0"/>
    <x v="0"/>
    <x v="0"/>
    <x v="0"/>
    <x v="0"/>
    <x v="9"/>
    <n v="0"/>
    <n v="0"/>
    <n v="9.6170000000000009"/>
    <n v="9.6170000000000009"/>
    <n v="9.6170000000000009"/>
    <n v="9.6170000000000009"/>
    <n v="0"/>
    <x v="2"/>
    <n v="0"/>
    <n v="0"/>
    <n v="6"/>
    <n v="61"/>
    <n v="0"/>
    <n v="72.150000000000006"/>
    <n v="278.67"/>
    <m/>
    <n v="117.70169496208672"/>
    <n v="295.87360985530717"/>
    <n v="0"/>
    <n v="693.86655000000007"/>
    <n v="2679.9693900000002"/>
    <n v="0"/>
    <n v="1131.937200450388"/>
    <n v="2845.4165059784891"/>
  </r>
  <r>
    <s v="Sistema de Compensação"/>
    <x v="2"/>
    <x v="2"/>
    <x v="0"/>
    <x v="0"/>
    <x v="0"/>
    <x v="0"/>
    <x v="0"/>
    <x v="9"/>
    <n v="0"/>
    <n v="0"/>
    <n v="16.373999999999999"/>
    <n v="16.373999999999999"/>
    <n v="16.373999999999999"/>
    <n v="16.373999999999999"/>
    <n v="0"/>
    <x v="2"/>
    <n v="0"/>
    <n v="0"/>
    <n v="6"/>
    <n v="61"/>
    <n v="0"/>
    <n v="72.150000000000006"/>
    <n v="278.67"/>
    <m/>
    <n v="117.70169496208672"/>
    <n v="295.87360985530717"/>
    <n v="0"/>
    <n v="1181.3841"/>
    <n v="4562.9425799999999"/>
    <n v="0"/>
    <n v="1927.2475533092079"/>
    <n v="4844.6344877707988"/>
  </r>
  <r>
    <s v="Regular"/>
    <x v="2"/>
    <x v="2"/>
    <x v="0"/>
    <x v="0"/>
    <x v="0"/>
    <x v="0"/>
    <x v="0"/>
    <x v="9"/>
    <n v="0"/>
    <n v="0"/>
    <n v="660.92499999999995"/>
    <n v="660.92499999999995"/>
    <n v="0"/>
    <n v="0"/>
    <n v="0"/>
    <x v="0"/>
    <n v="0"/>
    <n v="0"/>
    <n v="6"/>
    <n v="0"/>
    <n v="0"/>
    <n v="72.150000000000006"/>
    <n v="0"/>
    <m/>
    <n v="117.70169496208672"/>
    <m/>
    <n v="0"/>
    <n v="47685.738750000004"/>
    <n v="0"/>
    <n v="0"/>
    <n v="77791.992742817165"/>
    <n v="0"/>
  </r>
  <r>
    <s v="Regular"/>
    <x v="2"/>
    <x v="2"/>
    <x v="0"/>
    <x v="0"/>
    <x v="0"/>
    <x v="0"/>
    <x v="0"/>
    <x v="10"/>
    <n v="0"/>
    <n v="0"/>
    <n v="2059.8589999999999"/>
    <n v="2059.8589999999999"/>
    <n v="2059.8589999999999"/>
    <n v="2059.8589999999999"/>
    <n v="0"/>
    <x v="2"/>
    <n v="0"/>
    <n v="0"/>
    <n v="6"/>
    <n v="61"/>
    <n v="0"/>
    <n v="72.150000000000006"/>
    <n v="278.67"/>
    <m/>
    <n v="117.70169496208672"/>
    <n v="295.87360985530717"/>
    <n v="0"/>
    <n v="148618.82685000001"/>
    <n v="574020.90752999997"/>
    <n v="0"/>
    <n v="242448.89568290897"/>
    <n v="609457.91812294314"/>
  </r>
  <r>
    <s v="Sistema de Compensação"/>
    <x v="2"/>
    <x v="2"/>
    <x v="0"/>
    <x v="0"/>
    <x v="0"/>
    <x v="0"/>
    <x v="0"/>
    <x v="10"/>
    <n v="0"/>
    <n v="0"/>
    <n v="15.010999999999999"/>
    <n v="15.010999999999999"/>
    <n v="15.010999999999999"/>
    <n v="15.010999999999999"/>
    <n v="0"/>
    <x v="2"/>
    <n v="0"/>
    <n v="0"/>
    <n v="6"/>
    <n v="61"/>
    <n v="0"/>
    <n v="72.150000000000006"/>
    <n v="278.67"/>
    <m/>
    <n v="117.70169496208672"/>
    <n v="295.87360985530717"/>
    <n v="0"/>
    <n v="1083.0436500000001"/>
    <n v="4183.1153700000004"/>
    <n v="0"/>
    <n v="1766.8201430758836"/>
    <n v="4441.3587575380152"/>
  </r>
  <r>
    <s v="Regular"/>
    <x v="2"/>
    <x v="2"/>
    <x v="0"/>
    <x v="0"/>
    <x v="0"/>
    <x v="0"/>
    <x v="0"/>
    <x v="10"/>
    <n v="0"/>
    <n v="0"/>
    <n v="669.56600000000003"/>
    <n v="669.56600000000003"/>
    <n v="0"/>
    <n v="0"/>
    <n v="0"/>
    <x v="0"/>
    <n v="0"/>
    <n v="0"/>
    <n v="6"/>
    <n v="0"/>
    <n v="0"/>
    <n v="72.150000000000006"/>
    <n v="0"/>
    <m/>
    <n v="117.70169496208672"/>
    <m/>
    <n v="0"/>
    <n v="48309.186900000008"/>
    <n v="0"/>
    <n v="0"/>
    <n v="78809.053088984554"/>
    <n v="0"/>
  </r>
  <r>
    <s v="PROJETADO"/>
    <x v="2"/>
    <x v="2"/>
    <x v="0"/>
    <x v="0"/>
    <x v="0"/>
    <x v="0"/>
    <x v="0"/>
    <x v="11"/>
    <n v="0"/>
    <n v="0"/>
    <n v="2059.8589999999999"/>
    <n v="2059.8589999999999"/>
    <n v="2059.8589999999999"/>
    <n v="2059.8589999999999"/>
    <n v="0"/>
    <x v="2"/>
    <n v="0"/>
    <n v="0"/>
    <n v="6"/>
    <n v="61"/>
    <n v="0"/>
    <n v="72.150000000000006"/>
    <n v="278.67"/>
    <m/>
    <n v="117.70169496208672"/>
    <n v="295.87360985530717"/>
    <n v="0"/>
    <n v="148618.82685000001"/>
    <n v="574020.90752999997"/>
    <n v="0"/>
    <n v="242448.89568290897"/>
    <n v="609457.91812294314"/>
  </r>
  <r>
    <s v="PROJETADO"/>
    <x v="2"/>
    <x v="2"/>
    <x v="0"/>
    <x v="0"/>
    <x v="0"/>
    <x v="0"/>
    <x v="0"/>
    <x v="11"/>
    <n v="0"/>
    <n v="0"/>
    <n v="15.010999999999999"/>
    <n v="15.010999999999999"/>
    <n v="15.010999999999999"/>
    <n v="15.010999999999999"/>
    <n v="0"/>
    <x v="2"/>
    <n v="0"/>
    <n v="0"/>
    <n v="6"/>
    <n v="61"/>
    <n v="0"/>
    <n v="72.150000000000006"/>
    <n v="278.67"/>
    <m/>
    <n v="117.70169496208672"/>
    <n v="295.87360985530717"/>
    <n v="0"/>
    <n v="1083.0436500000001"/>
    <n v="4183.1153700000004"/>
    <n v="0"/>
    <n v="1766.8201430758836"/>
    <n v="4441.3587575380152"/>
  </r>
  <r>
    <s v="PROJETADO"/>
    <x v="2"/>
    <x v="2"/>
    <x v="0"/>
    <x v="0"/>
    <x v="0"/>
    <x v="0"/>
    <x v="0"/>
    <x v="11"/>
    <n v="0"/>
    <n v="0"/>
    <n v="669.56600000000003"/>
    <n v="669.56600000000003"/>
    <n v="0"/>
    <n v="0"/>
    <n v="0"/>
    <x v="0"/>
    <n v="0"/>
    <n v="0"/>
    <n v="6"/>
    <n v="0"/>
    <n v="0"/>
    <n v="72.150000000000006"/>
    <n v="0"/>
    <m/>
    <n v="117.70169496208672"/>
    <m/>
    <n v="0"/>
    <n v="48309.186900000008"/>
    <n v="0"/>
    <n v="0"/>
    <n v="78809.053088984554"/>
    <n v="0"/>
  </r>
  <r>
    <s v="Regular"/>
    <x v="2"/>
    <x v="2"/>
    <x v="0"/>
    <x v="0"/>
    <x v="0"/>
    <x v="0"/>
    <x v="1"/>
    <x v="0"/>
    <n v="9109"/>
    <n v="9109"/>
    <n v="0"/>
    <n v="0"/>
    <n v="0"/>
    <n v="0"/>
    <n v="39"/>
    <x v="2"/>
    <n v="0"/>
    <n v="20"/>
    <n v="0"/>
    <n v="0"/>
    <n v="14"/>
    <n v="0"/>
    <n v="0"/>
    <n v="15.925787521209683"/>
    <m/>
    <m/>
    <n v="127526"/>
    <n v="0"/>
    <n v="0"/>
    <n v="145067.998530699"/>
    <n v="0"/>
    <n v="0"/>
  </r>
  <r>
    <s v="Regular"/>
    <x v="2"/>
    <x v="2"/>
    <x v="0"/>
    <x v="0"/>
    <x v="0"/>
    <x v="0"/>
    <x v="1"/>
    <x v="0"/>
    <n v="2000"/>
    <n v="2000"/>
    <n v="0"/>
    <n v="0"/>
    <n v="0"/>
    <n v="0"/>
    <n v="1"/>
    <x v="0"/>
    <n v="0"/>
    <n v="20"/>
    <n v="0"/>
    <n v="0"/>
    <n v="14"/>
    <n v="0"/>
    <n v="0"/>
    <n v="15.925787521209683"/>
    <m/>
    <m/>
    <n v="28000"/>
    <n v="0"/>
    <n v="0"/>
    <n v="31851.575042419365"/>
    <n v="0"/>
    <n v="0"/>
  </r>
  <r>
    <s v="Regular"/>
    <x v="2"/>
    <x v="2"/>
    <x v="0"/>
    <x v="0"/>
    <x v="0"/>
    <x v="0"/>
    <x v="1"/>
    <x v="1"/>
    <n v="9064"/>
    <n v="9064"/>
    <n v="0"/>
    <n v="0"/>
    <n v="0"/>
    <n v="0"/>
    <n v="39"/>
    <x v="2"/>
    <n v="0"/>
    <n v="20"/>
    <n v="0"/>
    <n v="0"/>
    <n v="14"/>
    <n v="0"/>
    <n v="0"/>
    <n v="15.925787521209683"/>
    <m/>
    <m/>
    <n v="126896"/>
    <n v="0"/>
    <n v="0"/>
    <n v="144351.33809224458"/>
    <n v="0"/>
    <n v="0"/>
  </r>
  <r>
    <s v="Regular"/>
    <x v="2"/>
    <x v="2"/>
    <x v="0"/>
    <x v="0"/>
    <x v="0"/>
    <x v="0"/>
    <x v="1"/>
    <x v="1"/>
    <n v="2000"/>
    <n v="2000"/>
    <n v="0"/>
    <n v="0"/>
    <n v="0"/>
    <n v="0"/>
    <n v="1"/>
    <x v="0"/>
    <n v="0"/>
    <n v="20"/>
    <n v="0"/>
    <n v="0"/>
    <n v="14"/>
    <n v="0"/>
    <n v="0"/>
    <n v="15.925787521209683"/>
    <m/>
    <m/>
    <n v="28000"/>
    <n v="0"/>
    <n v="0"/>
    <n v="31851.575042419365"/>
    <n v="0"/>
    <n v="0"/>
  </r>
  <r>
    <s v="Regular"/>
    <x v="2"/>
    <x v="2"/>
    <x v="0"/>
    <x v="0"/>
    <x v="0"/>
    <x v="0"/>
    <x v="1"/>
    <x v="2"/>
    <n v="8998"/>
    <n v="8998"/>
    <n v="0"/>
    <n v="0"/>
    <n v="0"/>
    <n v="0"/>
    <n v="39"/>
    <x v="2"/>
    <n v="0"/>
    <n v="20"/>
    <n v="0"/>
    <n v="0"/>
    <n v="14"/>
    <n v="0"/>
    <n v="0"/>
    <n v="15.925787521209683"/>
    <m/>
    <m/>
    <n v="125972"/>
    <n v="0"/>
    <n v="0"/>
    <n v="143300.23611584472"/>
    <n v="0"/>
    <n v="0"/>
  </r>
  <r>
    <s v="Regular"/>
    <x v="2"/>
    <x v="2"/>
    <x v="0"/>
    <x v="0"/>
    <x v="0"/>
    <x v="0"/>
    <x v="1"/>
    <x v="2"/>
    <n v="2000"/>
    <n v="2000"/>
    <n v="0"/>
    <n v="0"/>
    <n v="0"/>
    <n v="0"/>
    <n v="1"/>
    <x v="0"/>
    <n v="0"/>
    <n v="20"/>
    <n v="0"/>
    <n v="0"/>
    <n v="14"/>
    <n v="0"/>
    <n v="0"/>
    <n v="15.925787521209683"/>
    <m/>
    <m/>
    <n v="28000"/>
    <n v="0"/>
    <n v="0"/>
    <n v="31851.575042419365"/>
    <n v="0"/>
    <n v="0"/>
  </r>
  <r>
    <s v="Regular"/>
    <x v="2"/>
    <x v="2"/>
    <x v="0"/>
    <x v="0"/>
    <x v="0"/>
    <x v="0"/>
    <x v="1"/>
    <x v="3"/>
    <n v="8411"/>
    <n v="8411"/>
    <n v="0"/>
    <n v="0"/>
    <n v="0"/>
    <n v="0"/>
    <n v="37"/>
    <x v="2"/>
    <n v="0"/>
    <n v="20"/>
    <n v="0"/>
    <n v="0"/>
    <n v="14"/>
    <n v="0"/>
    <n v="0"/>
    <n v="15.925787521209683"/>
    <m/>
    <m/>
    <n v="117754"/>
    <n v="0"/>
    <n v="0"/>
    <n v="133951.79884089465"/>
    <n v="0"/>
    <n v="0"/>
  </r>
  <r>
    <s v="Sistema de Compensação"/>
    <x v="2"/>
    <x v="2"/>
    <x v="0"/>
    <x v="0"/>
    <x v="0"/>
    <x v="0"/>
    <x v="1"/>
    <x v="3"/>
    <n v="162"/>
    <n v="162"/>
    <n v="0"/>
    <n v="0"/>
    <n v="0"/>
    <n v="0"/>
    <n v="1"/>
    <x v="2"/>
    <n v="0"/>
    <n v="20"/>
    <n v="0"/>
    <n v="0"/>
    <n v="14"/>
    <n v="0"/>
    <n v="0"/>
    <n v="15.925787521209683"/>
    <m/>
    <m/>
    <n v="2268"/>
    <n v="0"/>
    <n v="0"/>
    <n v="2579.9775784359686"/>
    <n v="0"/>
    <n v="0"/>
  </r>
  <r>
    <s v="Regular"/>
    <x v="2"/>
    <x v="2"/>
    <x v="0"/>
    <x v="0"/>
    <x v="0"/>
    <x v="0"/>
    <x v="1"/>
    <x v="3"/>
    <n v="2000"/>
    <n v="2000"/>
    <n v="0"/>
    <n v="0"/>
    <n v="0"/>
    <n v="0"/>
    <n v="1"/>
    <x v="0"/>
    <n v="0"/>
    <n v="20"/>
    <n v="0"/>
    <n v="0"/>
    <n v="14"/>
    <n v="0"/>
    <n v="0"/>
    <n v="15.925787521209683"/>
    <m/>
    <m/>
    <n v="28000"/>
    <n v="0"/>
    <n v="0"/>
    <n v="31851.575042419365"/>
    <n v="0"/>
    <n v="0"/>
  </r>
  <r>
    <s v="Regular"/>
    <x v="2"/>
    <x v="2"/>
    <x v="0"/>
    <x v="0"/>
    <x v="0"/>
    <x v="0"/>
    <x v="1"/>
    <x v="4"/>
    <n v="8139"/>
    <n v="8139"/>
    <n v="0"/>
    <n v="0"/>
    <n v="0"/>
    <n v="0"/>
    <n v="35"/>
    <x v="2"/>
    <n v="0"/>
    <n v="20"/>
    <n v="0"/>
    <n v="0"/>
    <n v="14"/>
    <n v="0"/>
    <n v="0"/>
    <n v="15.925787521209683"/>
    <m/>
    <m/>
    <n v="113946"/>
    <n v="0"/>
    <n v="0"/>
    <n v="129619.98463512561"/>
    <n v="0"/>
    <n v="0"/>
  </r>
  <r>
    <s v="Sistema de Compensação"/>
    <x v="2"/>
    <x v="2"/>
    <x v="0"/>
    <x v="0"/>
    <x v="0"/>
    <x v="0"/>
    <x v="1"/>
    <x v="4"/>
    <n v="328"/>
    <n v="328"/>
    <n v="0"/>
    <n v="0"/>
    <n v="0"/>
    <n v="0"/>
    <n v="2"/>
    <x v="2"/>
    <n v="0"/>
    <n v="20"/>
    <n v="0"/>
    <n v="0"/>
    <n v="14"/>
    <n v="0"/>
    <n v="0"/>
    <n v="15.925787521209683"/>
    <m/>
    <m/>
    <n v="4592"/>
    <n v="0"/>
    <n v="0"/>
    <n v="5223.658306956776"/>
    <n v="0"/>
    <n v="0"/>
  </r>
  <r>
    <s v="Regular"/>
    <x v="2"/>
    <x v="2"/>
    <x v="0"/>
    <x v="0"/>
    <x v="0"/>
    <x v="0"/>
    <x v="1"/>
    <x v="4"/>
    <n v="2000"/>
    <n v="2000"/>
    <n v="0"/>
    <n v="0"/>
    <n v="0"/>
    <n v="0"/>
    <n v="1"/>
    <x v="0"/>
    <n v="0"/>
    <n v="20"/>
    <n v="0"/>
    <n v="0"/>
    <n v="14"/>
    <n v="0"/>
    <n v="0"/>
    <n v="15.925787521209683"/>
    <m/>
    <m/>
    <n v="28000"/>
    <n v="0"/>
    <n v="0"/>
    <n v="31851.575042419365"/>
    <n v="0"/>
    <n v="0"/>
  </r>
  <r>
    <s v="Regular"/>
    <x v="2"/>
    <x v="2"/>
    <x v="0"/>
    <x v="0"/>
    <x v="0"/>
    <x v="0"/>
    <x v="1"/>
    <x v="5"/>
    <n v="8033"/>
    <n v="8033"/>
    <n v="0"/>
    <n v="0"/>
    <n v="0"/>
    <n v="0"/>
    <n v="34"/>
    <x v="2"/>
    <n v="0"/>
    <n v="20"/>
    <n v="0"/>
    <n v="0"/>
    <n v="14"/>
    <n v="0"/>
    <n v="0"/>
    <n v="15.925787521209683"/>
    <m/>
    <m/>
    <n v="112462"/>
    <n v="0"/>
    <n v="0"/>
    <n v="127931.85115787739"/>
    <n v="0"/>
    <n v="0"/>
  </r>
  <r>
    <s v="Sistema de Compensação"/>
    <x v="2"/>
    <x v="2"/>
    <x v="0"/>
    <x v="0"/>
    <x v="0"/>
    <x v="0"/>
    <x v="1"/>
    <x v="5"/>
    <n v="460"/>
    <n v="460"/>
    <n v="0"/>
    <n v="0"/>
    <n v="0"/>
    <n v="0"/>
    <n v="3"/>
    <x v="2"/>
    <n v="0"/>
    <n v="20"/>
    <n v="0"/>
    <n v="0"/>
    <n v="14"/>
    <n v="0"/>
    <n v="0"/>
    <n v="15.925787521209683"/>
    <m/>
    <m/>
    <n v="6440"/>
    <n v="0"/>
    <n v="0"/>
    <n v="7325.8622597564545"/>
    <n v="0"/>
    <n v="0"/>
  </r>
  <r>
    <s v="Regular"/>
    <x v="2"/>
    <x v="2"/>
    <x v="0"/>
    <x v="0"/>
    <x v="0"/>
    <x v="0"/>
    <x v="1"/>
    <x v="5"/>
    <n v="2230"/>
    <n v="2230"/>
    <n v="0"/>
    <n v="0"/>
    <n v="0"/>
    <n v="0"/>
    <n v="2"/>
    <x v="0"/>
    <n v="0"/>
    <n v="20"/>
    <n v="0"/>
    <n v="0"/>
    <n v="14"/>
    <n v="0"/>
    <n v="0"/>
    <n v="15.925787521209683"/>
    <m/>
    <m/>
    <n v="31220"/>
    <n v="0"/>
    <n v="0"/>
    <n v="35514.506172297595"/>
    <n v="0"/>
    <n v="0"/>
  </r>
  <r>
    <s v="Regular"/>
    <x v="2"/>
    <x v="2"/>
    <x v="0"/>
    <x v="0"/>
    <x v="0"/>
    <x v="0"/>
    <x v="1"/>
    <x v="6"/>
    <n v="8014"/>
    <n v="8014"/>
    <n v="0"/>
    <n v="0"/>
    <n v="0"/>
    <n v="0"/>
    <n v="33"/>
    <x v="2"/>
    <n v="0"/>
    <n v="20"/>
    <n v="0"/>
    <n v="0"/>
    <n v="14"/>
    <n v="0"/>
    <n v="0"/>
    <n v="15.925787521209683"/>
    <m/>
    <m/>
    <n v="112196"/>
    <n v="0"/>
    <n v="0"/>
    <n v="127629.2611949744"/>
    <n v="0"/>
    <n v="0"/>
  </r>
  <r>
    <s v="Sistema de Compensação"/>
    <x v="2"/>
    <x v="2"/>
    <x v="0"/>
    <x v="0"/>
    <x v="0"/>
    <x v="0"/>
    <x v="1"/>
    <x v="6"/>
    <n v="460"/>
    <n v="460"/>
    <n v="0"/>
    <n v="0"/>
    <n v="0"/>
    <n v="0"/>
    <n v="3"/>
    <x v="2"/>
    <n v="0"/>
    <n v="20"/>
    <n v="0"/>
    <n v="0"/>
    <n v="14"/>
    <n v="0"/>
    <n v="0"/>
    <n v="15.925787521209683"/>
    <m/>
    <m/>
    <n v="6440"/>
    <n v="0"/>
    <n v="0"/>
    <n v="7325.8622597564545"/>
    <n v="0"/>
    <n v="0"/>
  </r>
  <r>
    <s v="Regular"/>
    <x v="2"/>
    <x v="2"/>
    <x v="0"/>
    <x v="0"/>
    <x v="0"/>
    <x v="0"/>
    <x v="1"/>
    <x v="6"/>
    <n v="2230"/>
    <n v="2230"/>
    <n v="0"/>
    <n v="0"/>
    <n v="0"/>
    <n v="0"/>
    <n v="2"/>
    <x v="0"/>
    <n v="0"/>
    <n v="20"/>
    <n v="0"/>
    <n v="0"/>
    <n v="14"/>
    <n v="0"/>
    <n v="0"/>
    <n v="15.925787521209683"/>
    <m/>
    <m/>
    <n v="31220"/>
    <n v="0"/>
    <n v="0"/>
    <n v="35514.506172297595"/>
    <n v="0"/>
    <n v="0"/>
  </r>
  <r>
    <s v="Regular"/>
    <x v="2"/>
    <x v="2"/>
    <x v="0"/>
    <x v="0"/>
    <x v="0"/>
    <x v="0"/>
    <x v="1"/>
    <x v="7"/>
    <n v="7994"/>
    <n v="7994"/>
    <n v="0"/>
    <n v="0"/>
    <n v="0"/>
    <n v="0"/>
    <n v="33"/>
    <x v="2"/>
    <n v="0"/>
    <n v="20"/>
    <n v="0"/>
    <n v="0"/>
    <n v="14"/>
    <n v="0"/>
    <n v="0"/>
    <n v="15.925787521209683"/>
    <m/>
    <m/>
    <n v="111916"/>
    <n v="0"/>
    <n v="0"/>
    <n v="127310.74544455021"/>
    <n v="0"/>
    <n v="0"/>
  </r>
  <r>
    <s v="Sistema de Compensação"/>
    <x v="2"/>
    <x v="2"/>
    <x v="0"/>
    <x v="0"/>
    <x v="0"/>
    <x v="0"/>
    <x v="1"/>
    <x v="7"/>
    <n v="460"/>
    <n v="460"/>
    <n v="0"/>
    <n v="0"/>
    <n v="0"/>
    <n v="0"/>
    <n v="3"/>
    <x v="2"/>
    <n v="0"/>
    <n v="20"/>
    <n v="0"/>
    <n v="0"/>
    <n v="14"/>
    <n v="0"/>
    <n v="0"/>
    <n v="15.925787521209683"/>
    <m/>
    <m/>
    <n v="6440"/>
    <n v="0"/>
    <n v="0"/>
    <n v="7325.8622597564545"/>
    <n v="0"/>
    <n v="0"/>
  </r>
  <r>
    <s v="Regular"/>
    <x v="2"/>
    <x v="2"/>
    <x v="0"/>
    <x v="0"/>
    <x v="0"/>
    <x v="0"/>
    <x v="1"/>
    <x v="7"/>
    <n v="2000"/>
    <n v="2000"/>
    <n v="0"/>
    <n v="0"/>
    <n v="0"/>
    <n v="0"/>
    <n v="1"/>
    <x v="0"/>
    <n v="0"/>
    <n v="20"/>
    <n v="0"/>
    <n v="0"/>
    <n v="14"/>
    <n v="0"/>
    <n v="0"/>
    <n v="15.925787521209683"/>
    <m/>
    <m/>
    <n v="28000"/>
    <n v="0"/>
    <n v="0"/>
    <n v="31851.575042419365"/>
    <n v="0"/>
    <n v="0"/>
  </r>
  <r>
    <s v="Regular"/>
    <x v="2"/>
    <x v="2"/>
    <x v="0"/>
    <x v="0"/>
    <x v="0"/>
    <x v="0"/>
    <x v="1"/>
    <x v="8"/>
    <n v="8102"/>
    <n v="8102"/>
    <n v="0"/>
    <n v="0"/>
    <n v="0"/>
    <n v="0"/>
    <n v="34"/>
    <x v="2"/>
    <n v="0"/>
    <n v="20"/>
    <n v="0"/>
    <n v="0"/>
    <n v="14"/>
    <n v="0"/>
    <n v="0"/>
    <n v="15.925787521209683"/>
    <m/>
    <m/>
    <n v="113428"/>
    <n v="0"/>
    <n v="0"/>
    <n v="129030.73049684086"/>
    <n v="0"/>
    <n v="0"/>
  </r>
  <r>
    <s v="Regular"/>
    <x v="2"/>
    <x v="2"/>
    <x v="0"/>
    <x v="0"/>
    <x v="0"/>
    <x v="0"/>
    <x v="1"/>
    <x v="8"/>
    <n v="2000"/>
    <n v="2000"/>
    <n v="0"/>
    <n v="0"/>
    <n v="0"/>
    <n v="0"/>
    <n v="1"/>
    <x v="0"/>
    <n v="0"/>
    <n v="20"/>
    <n v="0"/>
    <n v="0"/>
    <n v="14"/>
    <n v="0"/>
    <n v="0"/>
    <n v="15.925787521209683"/>
    <m/>
    <m/>
    <n v="28000"/>
    <n v="0"/>
    <n v="0"/>
    <n v="31851.575042419365"/>
    <n v="0"/>
    <n v="0"/>
  </r>
  <r>
    <s v="Regular"/>
    <x v="2"/>
    <x v="2"/>
    <x v="0"/>
    <x v="0"/>
    <x v="0"/>
    <x v="0"/>
    <x v="1"/>
    <x v="9"/>
    <n v="8075"/>
    <n v="8075"/>
    <n v="0"/>
    <n v="0"/>
    <n v="0"/>
    <n v="0"/>
    <n v="33"/>
    <x v="2"/>
    <n v="0"/>
    <n v="20"/>
    <n v="0"/>
    <n v="0"/>
    <n v="14"/>
    <n v="0"/>
    <n v="0"/>
    <n v="15.925787521209683"/>
    <m/>
    <m/>
    <n v="113050"/>
    <n v="0"/>
    <n v="0"/>
    <n v="128600.73423376819"/>
    <n v="0"/>
    <n v="0"/>
  </r>
  <r>
    <s v="Sistema de Compensação"/>
    <x v="2"/>
    <x v="2"/>
    <x v="0"/>
    <x v="0"/>
    <x v="0"/>
    <x v="0"/>
    <x v="1"/>
    <x v="9"/>
    <n v="483"/>
    <n v="483"/>
    <n v="0"/>
    <n v="0"/>
    <n v="0"/>
    <n v="0"/>
    <n v="3"/>
    <x v="2"/>
    <n v="0"/>
    <n v="20"/>
    <n v="0"/>
    <n v="0"/>
    <n v="14"/>
    <n v="0"/>
    <n v="0"/>
    <n v="15.925787521209683"/>
    <m/>
    <m/>
    <n v="6762"/>
    <n v="0"/>
    <n v="0"/>
    <n v="7692.155372744277"/>
    <n v="0"/>
    <n v="0"/>
  </r>
  <r>
    <s v="Regular"/>
    <x v="2"/>
    <x v="2"/>
    <x v="0"/>
    <x v="0"/>
    <x v="0"/>
    <x v="0"/>
    <x v="1"/>
    <x v="9"/>
    <n v="2000"/>
    <n v="2000"/>
    <n v="0"/>
    <n v="0"/>
    <n v="0"/>
    <n v="0"/>
    <n v="1"/>
    <x v="0"/>
    <n v="0"/>
    <n v="20"/>
    <n v="0"/>
    <n v="0"/>
    <n v="14"/>
    <n v="0"/>
    <n v="0"/>
    <n v="15.925787521209683"/>
    <m/>
    <m/>
    <n v="28000"/>
    <n v="0"/>
    <n v="0"/>
    <n v="31851.575042419365"/>
    <n v="0"/>
    <n v="0"/>
  </r>
  <r>
    <s v="Regular"/>
    <x v="2"/>
    <x v="2"/>
    <x v="0"/>
    <x v="0"/>
    <x v="0"/>
    <x v="0"/>
    <x v="1"/>
    <x v="10"/>
    <n v="8140"/>
    <n v="8140"/>
    <n v="0"/>
    <n v="0"/>
    <n v="0"/>
    <n v="0"/>
    <n v="33"/>
    <x v="2"/>
    <n v="0"/>
    <n v="20"/>
    <n v="0"/>
    <n v="0"/>
    <n v="14"/>
    <n v="0"/>
    <n v="0"/>
    <n v="15.925787521209683"/>
    <m/>
    <m/>
    <n v="113960"/>
    <n v="0"/>
    <n v="0"/>
    <n v="129635.91042264682"/>
    <n v="0"/>
    <n v="0"/>
  </r>
  <r>
    <s v="Sistema de Compensação"/>
    <x v="2"/>
    <x v="2"/>
    <x v="0"/>
    <x v="0"/>
    <x v="0"/>
    <x v="0"/>
    <x v="1"/>
    <x v="10"/>
    <n v="420"/>
    <n v="420"/>
    <n v="0"/>
    <n v="0"/>
    <n v="0"/>
    <n v="0"/>
    <n v="2"/>
    <x v="2"/>
    <n v="0"/>
    <n v="20"/>
    <n v="0"/>
    <n v="0"/>
    <n v="14"/>
    <n v="0"/>
    <n v="0"/>
    <n v="15.925787521209683"/>
    <m/>
    <m/>
    <n v="5880"/>
    <n v="0"/>
    <n v="0"/>
    <n v="6688.8307589080669"/>
    <n v="0"/>
    <n v="0"/>
  </r>
  <r>
    <s v="Regular"/>
    <x v="2"/>
    <x v="2"/>
    <x v="0"/>
    <x v="0"/>
    <x v="0"/>
    <x v="0"/>
    <x v="1"/>
    <x v="10"/>
    <n v="2000"/>
    <n v="2000"/>
    <n v="0"/>
    <n v="0"/>
    <n v="0"/>
    <n v="0"/>
    <n v="1"/>
    <x v="0"/>
    <n v="0"/>
    <n v="20"/>
    <n v="0"/>
    <n v="0"/>
    <n v="14"/>
    <n v="0"/>
    <n v="0"/>
    <n v="15.925787521209683"/>
    <m/>
    <m/>
    <n v="28000"/>
    <n v="0"/>
    <n v="0"/>
    <n v="31851.575042419365"/>
    <n v="0"/>
    <n v="0"/>
  </r>
  <r>
    <s v="PROJETADO"/>
    <x v="2"/>
    <x v="2"/>
    <x v="0"/>
    <x v="0"/>
    <x v="0"/>
    <x v="0"/>
    <x v="1"/>
    <x v="11"/>
    <n v="8140"/>
    <n v="8140"/>
    <n v="0"/>
    <n v="0"/>
    <n v="0"/>
    <n v="0"/>
    <n v="33"/>
    <x v="2"/>
    <n v="0"/>
    <n v="20"/>
    <n v="0"/>
    <n v="0"/>
    <n v="14"/>
    <n v="0"/>
    <n v="0"/>
    <n v="15.925787521209683"/>
    <m/>
    <m/>
    <n v="113960"/>
    <n v="0"/>
    <n v="0"/>
    <n v="129635.91042264682"/>
    <n v="0"/>
    <n v="0"/>
  </r>
  <r>
    <s v="PROJETADO"/>
    <x v="2"/>
    <x v="2"/>
    <x v="0"/>
    <x v="0"/>
    <x v="0"/>
    <x v="0"/>
    <x v="1"/>
    <x v="11"/>
    <n v="420"/>
    <n v="420"/>
    <n v="0"/>
    <n v="0"/>
    <n v="0"/>
    <n v="0"/>
    <n v="2"/>
    <x v="2"/>
    <n v="0"/>
    <n v="20"/>
    <n v="0"/>
    <n v="0"/>
    <n v="14"/>
    <n v="0"/>
    <n v="0"/>
    <n v="15.925787521209683"/>
    <m/>
    <m/>
    <n v="5880"/>
    <n v="0"/>
    <n v="0"/>
    <n v="6688.8307589080669"/>
    <n v="0"/>
    <n v="0"/>
  </r>
  <r>
    <s v="PROJETADO"/>
    <x v="2"/>
    <x v="2"/>
    <x v="0"/>
    <x v="0"/>
    <x v="0"/>
    <x v="0"/>
    <x v="1"/>
    <x v="11"/>
    <n v="2000"/>
    <n v="2000"/>
    <n v="0"/>
    <n v="0"/>
    <n v="0"/>
    <n v="0"/>
    <n v="1"/>
    <x v="0"/>
    <n v="0"/>
    <n v="20"/>
    <n v="0"/>
    <n v="0"/>
    <n v="14"/>
    <n v="0"/>
    <n v="0"/>
    <n v="15.925787521209683"/>
    <m/>
    <m/>
    <n v="28000"/>
    <n v="0"/>
    <n v="0"/>
    <n v="31851.575042419365"/>
    <n v="0"/>
    <n v="0"/>
  </r>
  <r>
    <s v="Regular"/>
    <x v="2"/>
    <x v="2"/>
    <x v="0"/>
    <x v="0"/>
    <x v="0"/>
    <x v="0"/>
    <x v="2"/>
    <x v="0"/>
    <n v="0"/>
    <n v="0"/>
    <n v="155.779"/>
    <n v="155.779"/>
    <n v="155.779"/>
    <n v="155.779"/>
    <n v="0"/>
    <x v="2"/>
    <n v="0"/>
    <n v="0"/>
    <n v="8"/>
    <n v="38"/>
    <n v="0"/>
    <n v="940.43"/>
    <n v="442.86"/>
    <m/>
    <n v="1108.3660770518723"/>
    <n v="476.88775168498375"/>
    <n v="0"/>
    <n v="146499.24497"/>
    <n v="68988.287939999995"/>
    <n v="0"/>
    <n v="172660.15911706359"/>
    <n v="74289.097069735086"/>
  </r>
  <r>
    <s v="Regular"/>
    <x v="2"/>
    <x v="2"/>
    <x v="0"/>
    <x v="0"/>
    <x v="0"/>
    <x v="0"/>
    <x v="2"/>
    <x v="0"/>
    <n v="0"/>
    <n v="0"/>
    <n v="87.932000000000002"/>
    <n v="87.932000000000002"/>
    <n v="0"/>
    <n v="0"/>
    <n v="0"/>
    <x v="0"/>
    <n v="0"/>
    <n v="0"/>
    <n v="8"/>
    <n v="0"/>
    <n v="0"/>
    <n v="940.43"/>
    <n v="0"/>
    <m/>
    <n v="1108.3660770518723"/>
    <m/>
    <n v="0"/>
    <n v="82693.890759999995"/>
    <n v="0"/>
    <n v="0"/>
    <n v="97460.845887325238"/>
    <n v="0"/>
  </r>
  <r>
    <s v="Regular"/>
    <x v="2"/>
    <x v="2"/>
    <x v="0"/>
    <x v="0"/>
    <x v="0"/>
    <x v="0"/>
    <x v="2"/>
    <x v="1"/>
    <n v="0"/>
    <n v="0"/>
    <n v="164.52199999999999"/>
    <n v="164.52199999999999"/>
    <n v="164.52199999999999"/>
    <n v="164.52199999999999"/>
    <n v="0"/>
    <x v="2"/>
    <n v="0"/>
    <n v="0"/>
    <n v="8"/>
    <n v="38"/>
    <n v="0"/>
    <n v="940.43"/>
    <n v="442.86"/>
    <m/>
    <n v="1108.3660770518723"/>
    <n v="476.88775168498375"/>
    <n v="0"/>
    <n v="154721.42445999998"/>
    <n v="72860.212920000005"/>
    <n v="0"/>
    <n v="182350.60372872811"/>
    <n v="78458.526682716896"/>
  </r>
  <r>
    <s v="Regular"/>
    <x v="2"/>
    <x v="2"/>
    <x v="0"/>
    <x v="0"/>
    <x v="0"/>
    <x v="0"/>
    <x v="2"/>
    <x v="1"/>
    <n v="0"/>
    <n v="0"/>
    <n v="78.861000000000004"/>
    <n v="78.861000000000004"/>
    <n v="0"/>
    <n v="0"/>
    <n v="0"/>
    <x v="0"/>
    <n v="0"/>
    <n v="0"/>
    <n v="8"/>
    <n v="0"/>
    <n v="0"/>
    <n v="940.43"/>
    <n v="0"/>
    <m/>
    <n v="1108.3660770518723"/>
    <m/>
    <n v="0"/>
    <n v="74163.250230000005"/>
    <n v="0"/>
    <n v="0"/>
    <n v="87406.857202387706"/>
    <n v="0"/>
  </r>
  <r>
    <s v="Regular"/>
    <x v="2"/>
    <x v="2"/>
    <x v="0"/>
    <x v="0"/>
    <x v="0"/>
    <x v="0"/>
    <x v="2"/>
    <x v="2"/>
    <n v="0"/>
    <n v="0"/>
    <n v="155.499"/>
    <n v="155.499"/>
    <n v="155.499"/>
    <n v="155.499"/>
    <n v="0"/>
    <x v="2"/>
    <n v="0"/>
    <n v="0"/>
    <n v="8"/>
    <n v="38"/>
    <n v="0"/>
    <n v="940.43"/>
    <n v="442.86"/>
    <m/>
    <n v="1108.3660770518723"/>
    <n v="476.88775168498375"/>
    <n v="0"/>
    <n v="146235.92456999997"/>
    <n v="68864.28714"/>
    <n v="0"/>
    <n v="172349.81661548908"/>
    <n v="74155.568499263289"/>
  </r>
  <r>
    <s v="Regular"/>
    <x v="2"/>
    <x v="2"/>
    <x v="0"/>
    <x v="0"/>
    <x v="0"/>
    <x v="0"/>
    <x v="2"/>
    <x v="2"/>
    <n v="0"/>
    <n v="0"/>
    <n v="67.552999999999997"/>
    <n v="67.552999999999997"/>
    <n v="0"/>
    <n v="0"/>
    <n v="0"/>
    <x v="0"/>
    <n v="0"/>
    <n v="0"/>
    <n v="8"/>
    <n v="0"/>
    <n v="0"/>
    <n v="940.43"/>
    <n v="0"/>
    <m/>
    <n v="1108.3660770518723"/>
    <m/>
    <n v="0"/>
    <n v="63528.867789999997"/>
    <n v="0"/>
    <n v="0"/>
    <n v="74873.45360308513"/>
    <n v="0"/>
  </r>
  <r>
    <s v="Regular"/>
    <x v="2"/>
    <x v="2"/>
    <x v="0"/>
    <x v="0"/>
    <x v="0"/>
    <x v="0"/>
    <x v="2"/>
    <x v="3"/>
    <n v="0"/>
    <n v="0"/>
    <n v="148.649"/>
    <n v="148.649"/>
    <n v="148.649"/>
    <n v="148.649"/>
    <n v="0"/>
    <x v="2"/>
    <n v="0"/>
    <n v="0"/>
    <n v="8"/>
    <n v="38"/>
    <n v="0"/>
    <n v="940.43"/>
    <n v="442.86"/>
    <m/>
    <n v="1108.3660770518723"/>
    <n v="476.88775168498375"/>
    <n v="0"/>
    <n v="139793.97907"/>
    <n v="65830.69614"/>
    <n v="0"/>
    <n v="164757.50898768377"/>
    <n v="70888.887400221152"/>
  </r>
  <r>
    <s v="Sistema de Compensação"/>
    <x v="2"/>
    <x v="2"/>
    <x v="0"/>
    <x v="0"/>
    <x v="0"/>
    <x v="0"/>
    <x v="2"/>
    <x v="3"/>
    <n v="0"/>
    <n v="0"/>
    <n v="3.7490000000000001"/>
    <n v="3.7490000000000001"/>
    <n v="3.7490000000000001"/>
    <n v="3.7490000000000001"/>
    <n v="0"/>
    <x v="2"/>
    <n v="0"/>
    <n v="0"/>
    <n v="8"/>
    <n v="38"/>
    <n v="0"/>
    <n v="940.43"/>
    <n v="442.86"/>
    <m/>
    <n v="1108.3660770518723"/>
    <n v="476.88775168498375"/>
    <n v="0"/>
    <n v="3525.6720700000001"/>
    <n v="1660.28214"/>
    <n v="0"/>
    <n v="4155.264422867469"/>
    <n v="1787.852181067004"/>
  </r>
  <r>
    <s v="Regular"/>
    <x v="2"/>
    <x v="2"/>
    <x v="0"/>
    <x v="0"/>
    <x v="0"/>
    <x v="0"/>
    <x v="2"/>
    <x v="3"/>
    <n v="0"/>
    <n v="0"/>
    <n v="84.46"/>
    <n v="84.46"/>
    <n v="0"/>
    <n v="0"/>
    <n v="0"/>
    <x v="0"/>
    <n v="0"/>
    <n v="0"/>
    <n v="8"/>
    <n v="0"/>
    <n v="0"/>
    <n v="940.43"/>
    <n v="0"/>
    <m/>
    <n v="1108.3660770518723"/>
    <m/>
    <n v="0"/>
    <n v="79428.717799999984"/>
    <n v="0"/>
    <n v="0"/>
    <n v="93612.59886780112"/>
    <n v="0"/>
  </r>
  <r>
    <s v="Regular"/>
    <x v="2"/>
    <x v="2"/>
    <x v="0"/>
    <x v="0"/>
    <x v="0"/>
    <x v="0"/>
    <x v="2"/>
    <x v="4"/>
    <n v="0"/>
    <n v="0"/>
    <n v="162.43"/>
    <n v="162.43"/>
    <n v="162.43"/>
    <n v="162.43"/>
    <n v="0"/>
    <x v="2"/>
    <n v="0"/>
    <n v="0"/>
    <n v="8"/>
    <n v="38"/>
    <n v="0"/>
    <n v="940.43"/>
    <n v="442.86"/>
    <m/>
    <n v="1108.3660770518723"/>
    <n v="476.88775168498375"/>
    <n v="0"/>
    <n v="152754.04490000001"/>
    <n v="71933.749800000005"/>
    <n v="0"/>
    <n v="180031.90189553562"/>
    <n v="77460.877506191915"/>
  </r>
  <r>
    <s v="Sistema de Compensação"/>
    <x v="2"/>
    <x v="2"/>
    <x v="0"/>
    <x v="0"/>
    <x v="0"/>
    <x v="0"/>
    <x v="2"/>
    <x v="4"/>
    <n v="0"/>
    <n v="0"/>
    <n v="3.5339999999999998"/>
    <n v="3.5339999999999998"/>
    <n v="3.5339999999999998"/>
    <n v="3.5339999999999998"/>
    <n v="0"/>
    <x v="2"/>
    <n v="0"/>
    <n v="0"/>
    <n v="8"/>
    <n v="38"/>
    <n v="0"/>
    <n v="940.43"/>
    <n v="442.86"/>
    <m/>
    <n v="1108.3660770518723"/>
    <n v="476.88775168498375"/>
    <n v="0"/>
    <n v="3323.4796199999996"/>
    <n v="1565.0672399999999"/>
    <n v="0"/>
    <n v="3916.9657163013162"/>
    <n v="1685.3213144547326"/>
  </r>
  <r>
    <s v="Regular"/>
    <x v="2"/>
    <x v="2"/>
    <x v="0"/>
    <x v="0"/>
    <x v="0"/>
    <x v="0"/>
    <x v="2"/>
    <x v="4"/>
    <n v="0"/>
    <n v="0"/>
    <n v="83.861000000000004"/>
    <n v="83.861000000000004"/>
    <n v="0"/>
    <n v="0"/>
    <n v="0"/>
    <x v="0"/>
    <n v="0"/>
    <n v="0"/>
    <n v="8"/>
    <n v="0"/>
    <n v="0"/>
    <n v="940.43"/>
    <n v="0"/>
    <m/>
    <n v="1108.3660770518723"/>
    <m/>
    <n v="0"/>
    <n v="78865.400229999999"/>
    <n v="0"/>
    <n v="0"/>
    <n v="92948.687587647059"/>
    <n v="0"/>
  </r>
  <r>
    <s v="Regular"/>
    <x v="2"/>
    <x v="2"/>
    <x v="0"/>
    <x v="0"/>
    <x v="0"/>
    <x v="0"/>
    <x v="2"/>
    <x v="5"/>
    <n v="0"/>
    <n v="0"/>
    <n v="183.04300000000001"/>
    <n v="183.04300000000001"/>
    <n v="183.04300000000001"/>
    <n v="183.04300000000001"/>
    <n v="0"/>
    <x v="2"/>
    <n v="0"/>
    <n v="0"/>
    <n v="8"/>
    <n v="38"/>
    <n v="0"/>
    <n v="940.43"/>
    <n v="442.86"/>
    <m/>
    <n v="1108.3660770518723"/>
    <n v="476.88775168498375"/>
    <n v="0"/>
    <n v="172139.12849"/>
    <n v="81062.422980000003"/>
    <n v="0"/>
    <n v="202878.65184180587"/>
    <n v="87290.964731674481"/>
  </r>
  <r>
    <s v="Sistema de Compensação"/>
    <x v="2"/>
    <x v="2"/>
    <x v="0"/>
    <x v="0"/>
    <x v="0"/>
    <x v="0"/>
    <x v="2"/>
    <x v="5"/>
    <n v="0"/>
    <n v="0"/>
    <n v="4.609"/>
    <n v="4.609"/>
    <n v="4.609"/>
    <n v="4.609"/>
    <n v="0"/>
    <x v="2"/>
    <n v="0"/>
    <n v="0"/>
    <n v="8"/>
    <n v="38"/>
    <n v="0"/>
    <n v="940.43"/>
    <n v="442.86"/>
    <m/>
    <n v="1108.3660770518723"/>
    <n v="476.88775168498375"/>
    <n v="0"/>
    <n v="4334.4418699999997"/>
    <n v="2041.14174"/>
    <n v="0"/>
    <n v="5108.4592491320791"/>
    <n v="2197.9756475160902"/>
  </r>
  <r>
    <s v="Regular"/>
    <x v="2"/>
    <x v="2"/>
    <x v="0"/>
    <x v="0"/>
    <x v="0"/>
    <x v="0"/>
    <x v="2"/>
    <x v="5"/>
    <n v="0"/>
    <n v="0"/>
    <n v="90.254999999999995"/>
    <n v="90.254999999999995"/>
    <n v="0"/>
    <n v="0"/>
    <n v="0"/>
    <x v="0"/>
    <n v="0"/>
    <n v="0"/>
    <n v="8"/>
    <n v="0"/>
    <n v="0"/>
    <n v="940.43"/>
    <n v="0"/>
    <m/>
    <n v="1108.3660770518723"/>
    <m/>
    <n v="0"/>
    <n v="84878.509649999993"/>
    <n v="0"/>
    <n v="0"/>
    <n v="100035.58028431672"/>
    <n v="0"/>
  </r>
  <r>
    <s v="Regular"/>
    <x v="2"/>
    <x v="2"/>
    <x v="0"/>
    <x v="0"/>
    <x v="0"/>
    <x v="0"/>
    <x v="2"/>
    <x v="6"/>
    <n v="0"/>
    <n v="0"/>
    <n v="153.35499999999999"/>
    <n v="153.35499999999999"/>
    <n v="153.35499999999999"/>
    <n v="153.35499999999999"/>
    <n v="0"/>
    <x v="2"/>
    <n v="0"/>
    <n v="0"/>
    <n v="8"/>
    <n v="38"/>
    <n v="0"/>
    <n v="940.43"/>
    <n v="442.86"/>
    <m/>
    <n v="1108.3660770518723"/>
    <n v="476.88775168498375"/>
    <n v="0"/>
    <n v="144219.64264999999"/>
    <n v="67914.795299999998"/>
    <n v="0"/>
    <n v="169973.47974628987"/>
    <n v="73133.121159650676"/>
  </r>
  <r>
    <s v="Sistema de Compensação"/>
    <x v="2"/>
    <x v="2"/>
    <x v="0"/>
    <x v="0"/>
    <x v="0"/>
    <x v="0"/>
    <x v="2"/>
    <x v="6"/>
    <n v="0"/>
    <n v="0"/>
    <n v="4.7350000000000003"/>
    <n v="4.7350000000000003"/>
    <n v="4.7350000000000003"/>
    <n v="4.7350000000000003"/>
    <n v="0"/>
    <x v="2"/>
    <n v="0"/>
    <n v="0"/>
    <n v="8"/>
    <n v="38"/>
    <n v="0"/>
    <n v="940.43"/>
    <n v="442.86"/>
    <m/>
    <n v="1108.3660770518723"/>
    <n v="476.88775168498375"/>
    <n v="0"/>
    <n v="4452.9360500000003"/>
    <n v="2096.9421000000002"/>
    <n v="0"/>
    <n v="5248.1133748406155"/>
    <n v="2258.0635042283984"/>
  </r>
  <r>
    <s v="Regular"/>
    <x v="2"/>
    <x v="2"/>
    <x v="0"/>
    <x v="0"/>
    <x v="0"/>
    <x v="0"/>
    <x v="2"/>
    <x v="6"/>
    <n v="0"/>
    <n v="0"/>
    <n v="80.528000000000006"/>
    <n v="80.528000000000006"/>
    <n v="0"/>
    <n v="0"/>
    <n v="0"/>
    <x v="0"/>
    <n v="0"/>
    <n v="0"/>
    <n v="8"/>
    <n v="0"/>
    <n v="0"/>
    <n v="940.43"/>
    <n v="0"/>
    <m/>
    <n v="1108.3660770518723"/>
    <m/>
    <n v="0"/>
    <n v="75730.947039999999"/>
    <n v="0"/>
    <n v="0"/>
    <n v="89254.503452833174"/>
    <n v="0"/>
  </r>
  <r>
    <s v="Regular"/>
    <x v="2"/>
    <x v="2"/>
    <x v="0"/>
    <x v="0"/>
    <x v="0"/>
    <x v="0"/>
    <x v="2"/>
    <x v="7"/>
    <n v="0"/>
    <n v="0"/>
    <n v="176.46600000000001"/>
    <n v="176.46600000000001"/>
    <n v="176.46600000000001"/>
    <n v="176.46600000000001"/>
    <n v="0"/>
    <x v="2"/>
    <n v="0"/>
    <n v="0"/>
    <n v="8"/>
    <n v="38"/>
    <n v="0"/>
    <n v="940.43"/>
    <n v="442.86"/>
    <m/>
    <n v="1108.3660770518723"/>
    <n v="476.88775168498375"/>
    <n v="0"/>
    <n v="165953.92038"/>
    <n v="78149.732759999999"/>
    <n v="0"/>
    <n v="195588.9281530357"/>
    <n v="84154.47398884235"/>
  </r>
  <r>
    <s v="Sistema de Compensação"/>
    <x v="2"/>
    <x v="2"/>
    <x v="0"/>
    <x v="0"/>
    <x v="0"/>
    <x v="0"/>
    <x v="2"/>
    <x v="7"/>
    <n v="0"/>
    <n v="0"/>
    <n v="5.508"/>
    <n v="5.508"/>
    <n v="5.508"/>
    <n v="5.508"/>
    <n v="0"/>
    <x v="2"/>
    <n v="0"/>
    <n v="0"/>
    <n v="8"/>
    <n v="38"/>
    <n v="0"/>
    <n v="940.43"/>
    <n v="442.86"/>
    <m/>
    <n v="1108.3660770518723"/>
    <n v="476.88775168498375"/>
    <n v="0"/>
    <n v="5179.8884399999997"/>
    <n v="2439.27288"/>
    <n v="0"/>
    <n v="6104.8803524017121"/>
    <n v="2626.6977362808907"/>
  </r>
  <r>
    <s v="Regular"/>
    <x v="2"/>
    <x v="2"/>
    <x v="0"/>
    <x v="0"/>
    <x v="0"/>
    <x v="0"/>
    <x v="2"/>
    <x v="7"/>
    <n v="0"/>
    <n v="0"/>
    <n v="89.091999999999999"/>
    <n v="89.091999999999999"/>
    <n v="0"/>
    <n v="0"/>
    <n v="0"/>
    <x v="0"/>
    <n v="0"/>
    <n v="0"/>
    <n v="8"/>
    <n v="0"/>
    <n v="0"/>
    <n v="940.43"/>
    <n v="0"/>
    <m/>
    <n v="1108.3660770518723"/>
    <m/>
    <n v="0"/>
    <n v="83784.78955999999"/>
    <n v="0"/>
    <n v="0"/>
    <n v="98746.550536705399"/>
    <n v="0"/>
  </r>
  <r>
    <s v="Regular"/>
    <x v="2"/>
    <x v="2"/>
    <x v="0"/>
    <x v="0"/>
    <x v="0"/>
    <x v="0"/>
    <x v="2"/>
    <x v="8"/>
    <n v="0"/>
    <n v="0"/>
    <n v="181.10499999999999"/>
    <n v="181.10499999999999"/>
    <n v="181.10499999999999"/>
    <n v="181.10499999999999"/>
    <n v="0"/>
    <x v="2"/>
    <n v="0"/>
    <n v="0"/>
    <n v="8"/>
    <n v="38"/>
    <n v="0"/>
    <n v="940.43"/>
    <n v="442.86"/>
    <m/>
    <n v="1108.3660770518723"/>
    <n v="476.88775168498375"/>
    <n v="0"/>
    <n v="170316.57514999999"/>
    <n v="80204.160300000003"/>
    <n v="0"/>
    <n v="200730.6383844793"/>
    <n v="86366.756268908983"/>
  </r>
  <r>
    <s v="Regular"/>
    <x v="2"/>
    <x v="2"/>
    <x v="0"/>
    <x v="0"/>
    <x v="0"/>
    <x v="0"/>
    <x v="2"/>
    <x v="8"/>
    <n v="0"/>
    <n v="0"/>
    <n v="54.564"/>
    <n v="54.564"/>
    <n v="0"/>
    <n v="0"/>
    <n v="0"/>
    <x v="0"/>
    <n v="0"/>
    <n v="0"/>
    <n v="8"/>
    <n v="0"/>
    <n v="0"/>
    <n v="940.43"/>
    <n v="0"/>
    <m/>
    <n v="1108.3660770518723"/>
    <m/>
    <n v="0"/>
    <n v="51313.622519999997"/>
    <n v="0"/>
    <n v="0"/>
    <n v="60476.886628258355"/>
    <n v="0"/>
  </r>
  <r>
    <s v="Regular"/>
    <x v="2"/>
    <x v="2"/>
    <x v="0"/>
    <x v="0"/>
    <x v="0"/>
    <x v="0"/>
    <x v="2"/>
    <x v="9"/>
    <n v="0"/>
    <n v="0"/>
    <n v="178.84399999999999"/>
    <n v="178.84399999999999"/>
    <n v="178.84399999999999"/>
    <n v="178.84399999999999"/>
    <n v="0"/>
    <x v="2"/>
    <n v="0"/>
    <n v="0"/>
    <n v="8"/>
    <n v="38"/>
    <n v="0"/>
    <n v="940.43"/>
    <n v="442.86"/>
    <m/>
    <n v="1108.3660770518723"/>
    <n v="476.88775168498375"/>
    <n v="0"/>
    <n v="168190.26291999998"/>
    <n v="79202.853839999996"/>
    <n v="0"/>
    <n v="198224.62268426502"/>
    <n v="85288.51306234923"/>
  </r>
  <r>
    <s v="Refaturamento - Regular"/>
    <x v="2"/>
    <x v="2"/>
    <x v="0"/>
    <x v="0"/>
    <x v="0"/>
    <x v="0"/>
    <x v="2"/>
    <x v="9"/>
    <n v="0"/>
    <n v="0"/>
    <n v="-9.6170000000000009"/>
    <n v="-9.6170000000000009"/>
    <n v="-9.6170000000000009"/>
    <n v="-9.6170000000000009"/>
    <n v="0"/>
    <x v="2"/>
    <n v="0"/>
    <n v="0"/>
    <n v="8"/>
    <n v="38"/>
    <n v="0"/>
    <n v="940.43"/>
    <n v="442.86"/>
    <m/>
    <n v="1108.3660770518723"/>
    <n v="476.88775168498375"/>
    <n v="0"/>
    <n v="-9044.115310000001"/>
    <n v="-4258.9846200000002"/>
    <n v="0"/>
    <n v="-10659.156563007857"/>
    <n v="-4586.2295079544892"/>
  </r>
  <r>
    <s v="Sistema de Compensação"/>
    <x v="2"/>
    <x v="2"/>
    <x v="0"/>
    <x v="0"/>
    <x v="0"/>
    <x v="0"/>
    <x v="2"/>
    <x v="9"/>
    <n v="0"/>
    <n v="0"/>
    <n v="5.7839999999999998"/>
    <n v="5.7839999999999998"/>
    <n v="5.7839999999999998"/>
    <n v="5.7839999999999998"/>
    <n v="0"/>
    <x v="2"/>
    <n v="0"/>
    <n v="0"/>
    <n v="8"/>
    <n v="38"/>
    <n v="0"/>
    <n v="940.43"/>
    <n v="442.86"/>
    <m/>
    <n v="1108.3660770518723"/>
    <n v="476.88775168498375"/>
    <n v="0"/>
    <n v="5439.4471199999998"/>
    <n v="2561.5022399999998"/>
    <n v="0"/>
    <n v="6410.7893896680289"/>
    <n v="2758.318755745946"/>
  </r>
  <r>
    <s v="Regular"/>
    <x v="2"/>
    <x v="2"/>
    <x v="0"/>
    <x v="0"/>
    <x v="0"/>
    <x v="0"/>
    <x v="2"/>
    <x v="9"/>
    <n v="0"/>
    <n v="0"/>
    <n v="80.736999999999995"/>
    <n v="80.736999999999995"/>
    <n v="0"/>
    <n v="0"/>
    <n v="0"/>
    <x v="0"/>
    <n v="0"/>
    <n v="0"/>
    <n v="8"/>
    <n v="0"/>
    <n v="0"/>
    <n v="940.43"/>
    <n v="0"/>
    <m/>
    <n v="1108.3660770518723"/>
    <m/>
    <n v="0"/>
    <n v="75927.496909999987"/>
    <n v="0"/>
    <n v="0"/>
    <n v="89486.151962937001"/>
    <n v="0"/>
  </r>
  <r>
    <s v="Regular"/>
    <x v="2"/>
    <x v="2"/>
    <x v="0"/>
    <x v="0"/>
    <x v="0"/>
    <x v="0"/>
    <x v="2"/>
    <x v="10"/>
    <n v="0"/>
    <n v="0"/>
    <n v="196.90899999999999"/>
    <n v="196.90899999999999"/>
    <n v="196.90899999999999"/>
    <n v="196.90899999999999"/>
    <n v="0"/>
    <x v="2"/>
    <n v="0"/>
    <n v="0"/>
    <n v="8"/>
    <n v="38"/>
    <n v="0"/>
    <n v="940.43"/>
    <n v="442.86"/>
    <m/>
    <n v="1108.3660770518723"/>
    <n v="476.88775168498375"/>
    <n v="0"/>
    <n v="185179.13086999999"/>
    <n v="87203.119739999995"/>
    <n v="0"/>
    <n v="218247.2558662071"/>
    <n v="93903.490296538468"/>
  </r>
  <r>
    <s v="Sistema de Compensação"/>
    <x v="2"/>
    <x v="2"/>
    <x v="0"/>
    <x v="0"/>
    <x v="0"/>
    <x v="0"/>
    <x v="2"/>
    <x v="10"/>
    <n v="0"/>
    <n v="0"/>
    <n v="4.5129999999999999"/>
    <n v="4.5129999999999999"/>
    <n v="4.5129999999999999"/>
    <n v="4.5129999999999999"/>
    <n v="0"/>
    <x v="2"/>
    <n v="0"/>
    <n v="0"/>
    <n v="8"/>
    <n v="38"/>
    <n v="0"/>
    <n v="940.43"/>
    <n v="442.86"/>
    <m/>
    <n v="1108.3660770518723"/>
    <n v="476.88775168498375"/>
    <n v="0"/>
    <n v="4244.1605899999995"/>
    <n v="1998.62718"/>
    <n v="0"/>
    <n v="5002.0561057350997"/>
    <n v="2152.1944233543318"/>
  </r>
  <r>
    <s v="Regular"/>
    <x v="2"/>
    <x v="2"/>
    <x v="0"/>
    <x v="0"/>
    <x v="0"/>
    <x v="0"/>
    <x v="2"/>
    <x v="10"/>
    <n v="0"/>
    <n v="0"/>
    <n v="88.828000000000003"/>
    <n v="88.828000000000003"/>
    <n v="0"/>
    <n v="0"/>
    <n v="0"/>
    <x v="0"/>
    <n v="0"/>
    <n v="0"/>
    <n v="8"/>
    <n v="0"/>
    <n v="0"/>
    <n v="940.43"/>
    <n v="0"/>
    <m/>
    <n v="1108.3660770518723"/>
    <m/>
    <n v="0"/>
    <n v="83536.516040000002"/>
    <n v="0"/>
    <n v="0"/>
    <n v="98453.941892363713"/>
    <n v="0"/>
  </r>
  <r>
    <s v="PROJETADO"/>
    <x v="2"/>
    <x v="2"/>
    <x v="0"/>
    <x v="0"/>
    <x v="0"/>
    <x v="0"/>
    <x v="2"/>
    <x v="11"/>
    <n v="0"/>
    <n v="0"/>
    <n v="196.90899999999999"/>
    <n v="196.90899999999999"/>
    <n v="196.90899999999999"/>
    <n v="196.90899999999999"/>
    <n v="0"/>
    <x v="2"/>
    <n v="0"/>
    <n v="0"/>
    <n v="8"/>
    <n v="38"/>
    <n v="0"/>
    <n v="940.43"/>
    <n v="442.86"/>
    <m/>
    <n v="1108.3660770518723"/>
    <n v="476.88775168498375"/>
    <n v="0"/>
    <n v="185179.13086999999"/>
    <n v="87203.119739999995"/>
    <n v="0"/>
    <n v="218247.2558662071"/>
    <n v="93903.490296538468"/>
  </r>
  <r>
    <s v="PROJETADO"/>
    <x v="2"/>
    <x v="2"/>
    <x v="0"/>
    <x v="0"/>
    <x v="0"/>
    <x v="0"/>
    <x v="2"/>
    <x v="11"/>
    <n v="0"/>
    <n v="0"/>
    <n v="4.5129999999999999"/>
    <n v="4.5129999999999999"/>
    <n v="4.5129999999999999"/>
    <n v="4.5129999999999999"/>
    <n v="0"/>
    <x v="2"/>
    <n v="0"/>
    <n v="0"/>
    <n v="8"/>
    <n v="38"/>
    <n v="0"/>
    <n v="940.43"/>
    <n v="442.86"/>
    <m/>
    <n v="1108.3660770518723"/>
    <n v="476.88775168498375"/>
    <n v="0"/>
    <n v="4244.1605899999995"/>
    <n v="1998.62718"/>
    <n v="0"/>
    <n v="5002.0561057350997"/>
    <n v="2152.1944233543318"/>
  </r>
  <r>
    <s v="PROJETADO"/>
    <x v="2"/>
    <x v="2"/>
    <x v="0"/>
    <x v="0"/>
    <x v="0"/>
    <x v="0"/>
    <x v="2"/>
    <x v="11"/>
    <n v="0"/>
    <n v="0"/>
    <n v="88.828000000000003"/>
    <n v="88.828000000000003"/>
    <n v="0"/>
    <n v="0"/>
    <n v="0"/>
    <x v="0"/>
    <n v="0"/>
    <n v="0"/>
    <n v="8"/>
    <n v="0"/>
    <n v="0"/>
    <n v="940.43"/>
    <n v="0"/>
    <m/>
    <n v="1108.3660770518723"/>
    <m/>
    <n v="0"/>
    <n v="83536.516040000002"/>
    <n v="0"/>
    <n v="0"/>
    <n v="98453.941892363713"/>
    <n v="0"/>
  </r>
  <r>
    <s v="Regular"/>
    <x v="2"/>
    <x v="2"/>
    <x v="5"/>
    <x v="0"/>
    <x v="0"/>
    <x v="0"/>
    <x v="0"/>
    <x v="0"/>
    <n v="0"/>
    <n v="0"/>
    <n v="42.69"/>
    <n v="42.69"/>
    <n v="42.69"/>
    <n v="42.69"/>
    <n v="0"/>
    <x v="2"/>
    <n v="0"/>
    <n v="0"/>
    <n v="6"/>
    <n v="61"/>
    <n v="0"/>
    <n v="72.150000000000006"/>
    <n v="278.67"/>
    <m/>
    <n v="117.70169496208672"/>
    <n v="295.87360985530717"/>
    <n v="0"/>
    <n v="3080.0835000000002"/>
    <n v="11896.4223"/>
    <n v="0"/>
    <n v="5024.685357931482"/>
    <n v="12630.844404723062"/>
  </r>
  <r>
    <s v="Sistema de Compensação"/>
    <x v="2"/>
    <x v="2"/>
    <x v="5"/>
    <x v="0"/>
    <x v="0"/>
    <x v="0"/>
    <x v="0"/>
    <x v="0"/>
    <n v="0"/>
    <n v="0"/>
    <n v="6.8730000000000002"/>
    <n v="6.8730000000000002"/>
    <n v="6.8730000000000002"/>
    <n v="6.8730000000000002"/>
    <n v="0"/>
    <x v="2"/>
    <n v="0"/>
    <n v="0"/>
    <n v="6"/>
    <n v="61"/>
    <n v="0"/>
    <n v="72.150000000000006"/>
    <n v="278.67"/>
    <m/>
    <n v="117.70169496208672"/>
    <n v="295.87360985530717"/>
    <n v="0"/>
    <n v="495.88695000000007"/>
    <n v="1915.2989100000002"/>
    <n v="0"/>
    <n v="808.963749474422"/>
    <n v="2033.5393205355263"/>
  </r>
  <r>
    <s v="Regular"/>
    <x v="2"/>
    <x v="2"/>
    <x v="5"/>
    <x v="0"/>
    <x v="0"/>
    <x v="0"/>
    <x v="0"/>
    <x v="1"/>
    <n v="0"/>
    <n v="0"/>
    <n v="43.225999999999999"/>
    <n v="43.225999999999999"/>
    <n v="43.225999999999999"/>
    <n v="43.225999999999999"/>
    <n v="0"/>
    <x v="2"/>
    <n v="0"/>
    <n v="0"/>
    <n v="6"/>
    <n v="61"/>
    <n v="0"/>
    <n v="72.150000000000006"/>
    <n v="278.67"/>
    <m/>
    <n v="117.70169496208672"/>
    <n v="295.87360985530717"/>
    <n v="0"/>
    <n v="3118.7559000000001"/>
    <n v="12045.789420000001"/>
    <n v="0"/>
    <n v="5087.7734664311602"/>
    <n v="12789.432659605507"/>
  </r>
  <r>
    <s v="Sistema de Compensação"/>
    <x v="2"/>
    <x v="2"/>
    <x v="5"/>
    <x v="0"/>
    <x v="0"/>
    <x v="0"/>
    <x v="0"/>
    <x v="1"/>
    <n v="0"/>
    <n v="0"/>
    <n v="5.0629999999999997"/>
    <n v="5.0629999999999997"/>
    <n v="5.0629999999999997"/>
    <n v="5.0629999999999997"/>
    <n v="0"/>
    <x v="2"/>
    <n v="0"/>
    <n v="0"/>
    <n v="6"/>
    <n v="61"/>
    <n v="0"/>
    <n v="72.150000000000006"/>
    <n v="278.67"/>
    <m/>
    <n v="117.70169496208672"/>
    <n v="295.87360985530717"/>
    <n v="0"/>
    <n v="365.29545000000002"/>
    <n v="1410.9062100000001"/>
    <n v="0"/>
    <n v="595.92368159304499"/>
    <n v="1498.0080866974201"/>
  </r>
  <r>
    <s v="Regular"/>
    <x v="2"/>
    <x v="2"/>
    <x v="5"/>
    <x v="0"/>
    <x v="0"/>
    <x v="0"/>
    <x v="0"/>
    <x v="2"/>
    <n v="0"/>
    <n v="0"/>
    <n v="41.533000000000001"/>
    <n v="41.533000000000001"/>
    <n v="41.533000000000001"/>
    <n v="41.533000000000001"/>
    <n v="0"/>
    <x v="2"/>
    <n v="0"/>
    <n v="0"/>
    <n v="6"/>
    <n v="61"/>
    <n v="0"/>
    <n v="72.150000000000006"/>
    <n v="278.67"/>
    <m/>
    <n v="117.70169496208672"/>
    <n v="295.87360985530717"/>
    <n v="0"/>
    <n v="2996.6059500000001"/>
    <n v="11574.001110000001"/>
    <n v="0"/>
    <n v="4888.5044968603479"/>
    <n v="12288.518638120473"/>
  </r>
  <r>
    <s v="Sistema de Compensação"/>
    <x v="2"/>
    <x v="2"/>
    <x v="5"/>
    <x v="0"/>
    <x v="0"/>
    <x v="0"/>
    <x v="0"/>
    <x v="2"/>
    <n v="0"/>
    <n v="0"/>
    <n v="5.0999999999999996"/>
    <n v="5.0999999999999996"/>
    <n v="5.0999999999999996"/>
    <n v="5.0999999999999996"/>
    <n v="0"/>
    <x v="2"/>
    <n v="0"/>
    <n v="0"/>
    <n v="6"/>
    <n v="61"/>
    <n v="0"/>
    <n v="72.150000000000006"/>
    <n v="278.67"/>
    <m/>
    <n v="117.70169496208672"/>
    <n v="295.87360985530717"/>
    <n v="0"/>
    <n v="367.96499999999997"/>
    <n v="1421.2169999999999"/>
    <n v="0"/>
    <n v="600.27864430664226"/>
    <n v="1508.9554102620664"/>
  </r>
  <r>
    <s v="Regular"/>
    <x v="2"/>
    <x v="2"/>
    <x v="5"/>
    <x v="0"/>
    <x v="0"/>
    <x v="0"/>
    <x v="0"/>
    <x v="3"/>
    <n v="0"/>
    <n v="0"/>
    <n v="40.228999999999999"/>
    <n v="40.228999999999999"/>
    <n v="40.228999999999999"/>
    <n v="40.228999999999999"/>
    <n v="0"/>
    <x v="2"/>
    <n v="0"/>
    <n v="0"/>
    <n v="6"/>
    <n v="61"/>
    <n v="0"/>
    <n v="72.150000000000006"/>
    <n v="278.67"/>
    <m/>
    <n v="117.70169496208672"/>
    <n v="295.87360985530717"/>
    <n v="0"/>
    <n v="2902.5223500000002"/>
    <n v="11210.61543"/>
    <n v="0"/>
    <n v="4735.0214866297865"/>
    <n v="11902.699450869151"/>
  </r>
  <r>
    <s v="Sistema de Compensação"/>
    <x v="2"/>
    <x v="2"/>
    <x v="5"/>
    <x v="0"/>
    <x v="0"/>
    <x v="0"/>
    <x v="0"/>
    <x v="3"/>
    <n v="0"/>
    <n v="0"/>
    <n v="5.3650000000000002"/>
    <n v="5.3650000000000002"/>
    <n v="5.3650000000000002"/>
    <n v="5.3650000000000002"/>
    <n v="0"/>
    <x v="2"/>
    <n v="0"/>
    <n v="0"/>
    <n v="6"/>
    <n v="61"/>
    <n v="0"/>
    <n v="72.150000000000006"/>
    <n v="278.67"/>
    <m/>
    <n v="117.70169496208672"/>
    <n v="295.87360985530717"/>
    <n v="0"/>
    <n v="387.08475000000004"/>
    <n v="1495.0645500000001"/>
    <n v="0"/>
    <n v="631.46959347159532"/>
    <n v="1587.361916873723"/>
  </r>
  <r>
    <s v="Regular"/>
    <x v="2"/>
    <x v="2"/>
    <x v="5"/>
    <x v="0"/>
    <x v="0"/>
    <x v="0"/>
    <x v="0"/>
    <x v="4"/>
    <n v="0"/>
    <n v="0"/>
    <n v="41.337000000000003"/>
    <n v="41.337000000000003"/>
    <n v="41.337000000000003"/>
    <n v="41.337000000000003"/>
    <n v="0"/>
    <x v="2"/>
    <n v="0"/>
    <n v="0"/>
    <n v="6"/>
    <n v="61"/>
    <n v="0"/>
    <n v="72.150000000000006"/>
    <n v="278.67"/>
    <m/>
    <n v="117.70169496208672"/>
    <n v="295.87360985530717"/>
    <n v="0"/>
    <n v="2982.4645500000006"/>
    <n v="11519.381790000001"/>
    <n v="0"/>
    <n v="4865.4349646477795"/>
    <n v="12230.527410588833"/>
  </r>
  <r>
    <s v="Sistema de Compensação"/>
    <x v="2"/>
    <x v="2"/>
    <x v="5"/>
    <x v="0"/>
    <x v="0"/>
    <x v="0"/>
    <x v="0"/>
    <x v="4"/>
    <n v="0"/>
    <n v="0"/>
    <n v="4.3250000000000002"/>
    <n v="4.3250000000000002"/>
    <n v="4.3250000000000002"/>
    <n v="4.3250000000000002"/>
    <n v="0"/>
    <x v="2"/>
    <n v="0"/>
    <n v="0"/>
    <n v="6"/>
    <n v="61"/>
    <n v="0"/>
    <n v="72.150000000000006"/>
    <n v="278.67"/>
    <m/>
    <n v="117.70169496208672"/>
    <n v="295.87360985530717"/>
    <n v="0"/>
    <n v="312.04875000000004"/>
    <n v="1205.2477500000002"/>
    <n v="0"/>
    <n v="509.05983071102509"/>
    <n v="1279.6533626242035"/>
  </r>
  <r>
    <s v="Regular"/>
    <x v="2"/>
    <x v="2"/>
    <x v="5"/>
    <x v="0"/>
    <x v="0"/>
    <x v="0"/>
    <x v="0"/>
    <x v="5"/>
    <n v="0"/>
    <n v="0"/>
    <n v="50.235999999999997"/>
    <n v="50.235999999999997"/>
    <n v="50.235999999999997"/>
    <n v="50.235999999999997"/>
    <n v="0"/>
    <x v="2"/>
    <n v="0"/>
    <n v="0"/>
    <n v="6"/>
    <n v="61"/>
    <n v="0"/>
    <n v="72.150000000000006"/>
    <n v="278.67"/>
    <m/>
    <n v="117.70169496208672"/>
    <n v="295.87360985530717"/>
    <n v="0"/>
    <n v="3624.5273999999999"/>
    <n v="13999.26612"/>
    <n v="0"/>
    <n v="5912.8623481153882"/>
    <n v="14863.506664691209"/>
  </r>
  <r>
    <s v="Sistema de Compensação"/>
    <x v="2"/>
    <x v="2"/>
    <x v="5"/>
    <x v="0"/>
    <x v="0"/>
    <x v="0"/>
    <x v="0"/>
    <x v="5"/>
    <n v="0"/>
    <n v="0"/>
    <n v="6.0019999999999998"/>
    <n v="6.0019999999999998"/>
    <n v="6.0019999999999998"/>
    <n v="6.0019999999999998"/>
    <n v="0"/>
    <x v="2"/>
    <n v="0"/>
    <n v="0"/>
    <n v="6"/>
    <n v="61"/>
    <n v="0"/>
    <n v="72.150000000000006"/>
    <n v="278.67"/>
    <m/>
    <n v="117.70169496208672"/>
    <n v="295.87360985530717"/>
    <n v="0"/>
    <n v="433.04430000000002"/>
    <n v="1672.57734"/>
    <n v="0"/>
    <n v="706.44557316244448"/>
    <n v="1775.8334063515535"/>
  </r>
  <r>
    <s v="Regular"/>
    <x v="2"/>
    <x v="2"/>
    <x v="5"/>
    <x v="0"/>
    <x v="0"/>
    <x v="0"/>
    <x v="0"/>
    <x v="6"/>
    <n v="0"/>
    <n v="0"/>
    <n v="45.79"/>
    <n v="45.79"/>
    <n v="45.79"/>
    <n v="45.79"/>
    <n v="0"/>
    <x v="2"/>
    <n v="0"/>
    <n v="0"/>
    <n v="6"/>
    <n v="61"/>
    <n v="0"/>
    <n v="72.150000000000006"/>
    <n v="278.67"/>
    <m/>
    <n v="117.70169496208672"/>
    <n v="295.87360985530717"/>
    <n v="0"/>
    <n v="3303.7485000000001"/>
    <n v="12760.299300000001"/>
    <n v="0"/>
    <n v="5389.5606123139505"/>
    <n v="13548.052595274516"/>
  </r>
  <r>
    <s v="Sistema de Compensação"/>
    <x v="2"/>
    <x v="2"/>
    <x v="5"/>
    <x v="0"/>
    <x v="0"/>
    <x v="0"/>
    <x v="0"/>
    <x v="6"/>
    <n v="0"/>
    <n v="0"/>
    <n v="5.968"/>
    <n v="5.968"/>
    <n v="5.968"/>
    <n v="5.968"/>
    <n v="0"/>
    <x v="2"/>
    <n v="0"/>
    <n v="0"/>
    <n v="6"/>
    <n v="61"/>
    <n v="0"/>
    <n v="72.150000000000006"/>
    <n v="278.67"/>
    <m/>
    <n v="117.70169496208672"/>
    <n v="295.87360985530717"/>
    <n v="0"/>
    <n v="430.59120000000001"/>
    <n v="1663.10256"/>
    <n v="0"/>
    <n v="702.44371553373355"/>
    <n v="1765.7737036164731"/>
  </r>
  <r>
    <s v="Regular"/>
    <x v="2"/>
    <x v="2"/>
    <x v="5"/>
    <x v="0"/>
    <x v="0"/>
    <x v="0"/>
    <x v="0"/>
    <x v="7"/>
    <n v="0"/>
    <n v="0"/>
    <n v="47.131999999999998"/>
    <n v="47.131999999999998"/>
    <n v="47.131999999999998"/>
    <n v="47.131999999999998"/>
    <n v="0"/>
    <x v="2"/>
    <n v="0"/>
    <n v="0"/>
    <n v="6"/>
    <n v="61"/>
    <n v="0"/>
    <n v="72.150000000000006"/>
    <n v="278.67"/>
    <m/>
    <n v="117.70169496208672"/>
    <n v="295.87360985530717"/>
    <n v="0"/>
    <n v="3400.5738000000001"/>
    <n v="13134.274440000001"/>
    <n v="0"/>
    <n v="5547.5162869530714"/>
    <n v="13945.114979700336"/>
  </r>
  <r>
    <s v="Sistema de Compensação"/>
    <x v="2"/>
    <x v="2"/>
    <x v="5"/>
    <x v="0"/>
    <x v="0"/>
    <x v="0"/>
    <x v="0"/>
    <x v="7"/>
    <n v="0"/>
    <n v="0"/>
    <n v="7.9249999999999998"/>
    <n v="7.9249999999999998"/>
    <n v="7.9249999999999998"/>
    <n v="7.9249999999999998"/>
    <n v="0"/>
    <x v="2"/>
    <n v="0"/>
    <n v="0"/>
    <n v="6"/>
    <n v="61"/>
    <n v="0"/>
    <n v="72.150000000000006"/>
    <n v="278.67"/>
    <m/>
    <n v="117.70169496208672"/>
    <n v="295.87360985530717"/>
    <n v="0"/>
    <n v="571.78875000000005"/>
    <n v="2208.45975"/>
    <n v="0"/>
    <n v="932.78593257453724"/>
    <n v="2344.7983581033091"/>
  </r>
  <r>
    <s v="Regular"/>
    <x v="2"/>
    <x v="2"/>
    <x v="5"/>
    <x v="0"/>
    <x v="0"/>
    <x v="0"/>
    <x v="0"/>
    <x v="8"/>
    <n v="0"/>
    <n v="0"/>
    <n v="46.232999999999997"/>
    <n v="46.232999999999997"/>
    <n v="46.232999999999997"/>
    <n v="46.232999999999997"/>
    <n v="0"/>
    <x v="2"/>
    <n v="0"/>
    <n v="0"/>
    <n v="6"/>
    <n v="61"/>
    <n v="0"/>
    <n v="72.150000000000006"/>
    <n v="278.67"/>
    <m/>
    <n v="117.70169496208672"/>
    <n v="295.87360985530717"/>
    <n v="0"/>
    <n v="3335.7109500000001"/>
    <n v="12883.750109999999"/>
    <n v="0"/>
    <n v="5441.702463182155"/>
    <n v="13679.124604440416"/>
  </r>
  <r>
    <s v="Regular"/>
    <x v="2"/>
    <x v="2"/>
    <x v="5"/>
    <x v="0"/>
    <x v="0"/>
    <x v="0"/>
    <x v="0"/>
    <x v="9"/>
    <n v="0"/>
    <n v="0"/>
    <n v="46.384"/>
    <n v="46.384"/>
    <n v="46.384"/>
    <n v="46.384"/>
    <n v="0"/>
    <x v="2"/>
    <n v="0"/>
    <n v="0"/>
    <n v="6"/>
    <n v="61"/>
    <n v="0"/>
    <n v="72.150000000000006"/>
    <n v="278.67"/>
    <m/>
    <n v="117.70169496208672"/>
    <n v="295.87360985530717"/>
    <n v="0"/>
    <n v="3346.6056000000003"/>
    <n v="12925.82928"/>
    <n v="0"/>
    <n v="5459.4754191214306"/>
    <n v="13723.801519528568"/>
  </r>
  <r>
    <s v="Sistema de Compensação"/>
    <x v="2"/>
    <x v="2"/>
    <x v="5"/>
    <x v="0"/>
    <x v="0"/>
    <x v="0"/>
    <x v="0"/>
    <x v="9"/>
    <n v="0"/>
    <n v="0"/>
    <n v="12.36"/>
    <n v="12.36"/>
    <n v="12.36"/>
    <n v="12.36"/>
    <n v="0"/>
    <x v="2"/>
    <n v="0"/>
    <n v="0"/>
    <n v="6"/>
    <n v="61"/>
    <n v="0"/>
    <n v="72.150000000000006"/>
    <n v="278.67"/>
    <m/>
    <n v="117.70169496208672"/>
    <n v="295.87360985530717"/>
    <n v="0"/>
    <n v="891.774"/>
    <n v="3444.3611999999998"/>
    <n v="0"/>
    <n v="1454.7929497313917"/>
    <n v="3656.9978178115962"/>
  </r>
  <r>
    <s v="Regular"/>
    <x v="2"/>
    <x v="2"/>
    <x v="5"/>
    <x v="0"/>
    <x v="0"/>
    <x v="0"/>
    <x v="0"/>
    <x v="10"/>
    <n v="0"/>
    <n v="0"/>
    <n v="47.414000000000001"/>
    <n v="47.414000000000001"/>
    <n v="47.414000000000001"/>
    <n v="47.414000000000001"/>
    <n v="0"/>
    <x v="2"/>
    <n v="0"/>
    <n v="0"/>
    <n v="6"/>
    <n v="61"/>
    <n v="0"/>
    <n v="72.150000000000006"/>
    <n v="278.67"/>
    <m/>
    <n v="117.70169496208672"/>
    <n v="295.87360985530717"/>
    <n v="0"/>
    <n v="3420.9201000000003"/>
    <n v="13212.859380000002"/>
    <n v="0"/>
    <n v="5580.70816493238"/>
    <n v="14028.551337679535"/>
  </r>
  <r>
    <s v="Sistema de Compensação"/>
    <x v="2"/>
    <x v="2"/>
    <x v="5"/>
    <x v="0"/>
    <x v="0"/>
    <x v="0"/>
    <x v="0"/>
    <x v="10"/>
    <n v="0"/>
    <n v="0"/>
    <n v="13.048999999999999"/>
    <n v="13.048999999999999"/>
    <n v="13.048999999999999"/>
    <n v="13.048999999999999"/>
    <n v="0"/>
    <x v="2"/>
    <n v="0"/>
    <n v="0"/>
    <n v="6"/>
    <n v="61"/>
    <n v="0"/>
    <n v="72.150000000000006"/>
    <n v="278.67"/>
    <m/>
    <n v="117.70169496208672"/>
    <n v="295.87360985530717"/>
    <n v="0"/>
    <n v="941.48535000000004"/>
    <n v="3636.36483"/>
    <n v="0"/>
    <n v="1535.8894175602695"/>
    <n v="3860.854735001903"/>
  </r>
  <r>
    <s v="PROJETADO"/>
    <x v="2"/>
    <x v="2"/>
    <x v="5"/>
    <x v="0"/>
    <x v="0"/>
    <x v="0"/>
    <x v="0"/>
    <x v="11"/>
    <n v="0"/>
    <n v="0"/>
    <n v="47.414000000000001"/>
    <n v="47.414000000000001"/>
    <n v="47.414000000000001"/>
    <n v="47.414000000000001"/>
    <n v="0"/>
    <x v="2"/>
    <n v="0"/>
    <n v="0"/>
    <n v="6"/>
    <n v="61"/>
    <n v="0"/>
    <n v="72.150000000000006"/>
    <n v="278.67"/>
    <m/>
    <n v="117.70169496208672"/>
    <n v="295.87360985530717"/>
    <n v="0"/>
    <n v="3420.9201000000003"/>
    <n v="13212.859380000002"/>
    <n v="0"/>
    <n v="5580.70816493238"/>
    <n v="14028.551337679535"/>
  </r>
  <r>
    <s v="PROJETADO"/>
    <x v="2"/>
    <x v="2"/>
    <x v="5"/>
    <x v="0"/>
    <x v="0"/>
    <x v="0"/>
    <x v="0"/>
    <x v="11"/>
    <n v="0"/>
    <n v="0"/>
    <n v="13.048999999999999"/>
    <n v="13.048999999999999"/>
    <n v="13.048999999999999"/>
    <n v="13.048999999999999"/>
    <n v="0"/>
    <x v="2"/>
    <n v="0"/>
    <n v="0"/>
    <n v="6"/>
    <n v="61"/>
    <n v="0"/>
    <n v="72.150000000000006"/>
    <n v="278.67"/>
    <m/>
    <n v="117.70169496208672"/>
    <n v="295.87360985530717"/>
    <n v="0"/>
    <n v="941.48535000000004"/>
    <n v="3636.36483"/>
    <n v="0"/>
    <n v="1535.8894175602695"/>
    <n v="3860.854735001903"/>
  </r>
  <r>
    <s v="Regular"/>
    <x v="2"/>
    <x v="2"/>
    <x v="5"/>
    <x v="0"/>
    <x v="0"/>
    <x v="0"/>
    <x v="1"/>
    <x v="0"/>
    <n v="559"/>
    <n v="559"/>
    <n v="0"/>
    <n v="0"/>
    <n v="0"/>
    <n v="0"/>
    <n v="12"/>
    <x v="2"/>
    <n v="0"/>
    <n v="20"/>
    <n v="0"/>
    <n v="0"/>
    <n v="14"/>
    <n v="0"/>
    <n v="0"/>
    <n v="15.925787521209683"/>
    <m/>
    <m/>
    <n v="7826"/>
    <n v="0"/>
    <n v="0"/>
    <n v="8902.5152243562134"/>
    <n v="0"/>
    <n v="0"/>
  </r>
  <r>
    <s v="Sistema de Compensação"/>
    <x v="2"/>
    <x v="2"/>
    <x v="5"/>
    <x v="0"/>
    <x v="0"/>
    <x v="0"/>
    <x v="1"/>
    <x v="0"/>
    <n v="240"/>
    <n v="240"/>
    <n v="0"/>
    <n v="0"/>
    <n v="0"/>
    <n v="0"/>
    <n v="2"/>
    <x v="2"/>
    <n v="0"/>
    <n v="20"/>
    <n v="0"/>
    <n v="0"/>
    <n v="14"/>
    <n v="0"/>
    <n v="0"/>
    <n v="15.925787521209683"/>
    <m/>
    <m/>
    <n v="3360"/>
    <n v="0"/>
    <n v="0"/>
    <n v="3822.1890050903239"/>
    <n v="0"/>
    <n v="0"/>
  </r>
  <r>
    <s v="Regular"/>
    <x v="2"/>
    <x v="2"/>
    <x v="5"/>
    <x v="0"/>
    <x v="0"/>
    <x v="0"/>
    <x v="1"/>
    <x v="1"/>
    <n v="559"/>
    <n v="559"/>
    <n v="0"/>
    <n v="0"/>
    <n v="0"/>
    <n v="0"/>
    <n v="12"/>
    <x v="2"/>
    <n v="0"/>
    <n v="20"/>
    <n v="0"/>
    <n v="0"/>
    <n v="14"/>
    <n v="0"/>
    <n v="0"/>
    <n v="15.925787521209683"/>
    <m/>
    <m/>
    <n v="7826"/>
    <n v="0"/>
    <n v="0"/>
    <n v="8902.5152243562134"/>
    <n v="0"/>
    <n v="0"/>
  </r>
  <r>
    <s v="Sistema de Compensação"/>
    <x v="2"/>
    <x v="2"/>
    <x v="5"/>
    <x v="0"/>
    <x v="0"/>
    <x v="0"/>
    <x v="1"/>
    <x v="1"/>
    <n v="240"/>
    <n v="240"/>
    <n v="0"/>
    <n v="0"/>
    <n v="0"/>
    <n v="0"/>
    <n v="2"/>
    <x v="2"/>
    <n v="0"/>
    <n v="20"/>
    <n v="0"/>
    <n v="0"/>
    <n v="14"/>
    <n v="0"/>
    <n v="0"/>
    <n v="15.925787521209683"/>
    <m/>
    <m/>
    <n v="3360"/>
    <n v="0"/>
    <n v="0"/>
    <n v="3822.1890050903239"/>
    <n v="0"/>
    <n v="0"/>
  </r>
  <r>
    <s v="Regular"/>
    <x v="2"/>
    <x v="2"/>
    <x v="5"/>
    <x v="0"/>
    <x v="0"/>
    <x v="0"/>
    <x v="1"/>
    <x v="2"/>
    <n v="559"/>
    <n v="559"/>
    <n v="0"/>
    <n v="0"/>
    <n v="0"/>
    <n v="0"/>
    <n v="12"/>
    <x v="2"/>
    <n v="0"/>
    <n v="20"/>
    <n v="0"/>
    <n v="0"/>
    <n v="14"/>
    <n v="0"/>
    <n v="0"/>
    <n v="15.925787521209683"/>
    <m/>
    <m/>
    <n v="7826"/>
    <n v="0"/>
    <n v="0"/>
    <n v="8902.5152243562134"/>
    <n v="0"/>
    <n v="0"/>
  </r>
  <r>
    <s v="Sistema de Compensação"/>
    <x v="2"/>
    <x v="2"/>
    <x v="5"/>
    <x v="0"/>
    <x v="0"/>
    <x v="0"/>
    <x v="1"/>
    <x v="2"/>
    <n v="240"/>
    <n v="240"/>
    <n v="0"/>
    <n v="0"/>
    <n v="0"/>
    <n v="0"/>
    <n v="2"/>
    <x v="2"/>
    <n v="0"/>
    <n v="20"/>
    <n v="0"/>
    <n v="0"/>
    <n v="14"/>
    <n v="0"/>
    <n v="0"/>
    <n v="15.925787521209683"/>
    <m/>
    <m/>
    <n v="3360"/>
    <n v="0"/>
    <n v="0"/>
    <n v="3822.1890050903239"/>
    <n v="0"/>
    <n v="0"/>
  </r>
  <r>
    <s v="Regular"/>
    <x v="2"/>
    <x v="2"/>
    <x v="5"/>
    <x v="0"/>
    <x v="0"/>
    <x v="0"/>
    <x v="1"/>
    <x v="3"/>
    <n v="562"/>
    <n v="562"/>
    <n v="0"/>
    <n v="0"/>
    <n v="0"/>
    <n v="0"/>
    <n v="12"/>
    <x v="2"/>
    <n v="0"/>
    <n v="20"/>
    <n v="0"/>
    <n v="0"/>
    <n v="14"/>
    <n v="0"/>
    <n v="0"/>
    <n v="15.925787521209683"/>
    <m/>
    <m/>
    <n v="7868"/>
    <n v="0"/>
    <n v="0"/>
    <n v="8950.2925869198425"/>
    <n v="0"/>
    <n v="0"/>
  </r>
  <r>
    <s v="Sistema de Compensação"/>
    <x v="2"/>
    <x v="2"/>
    <x v="5"/>
    <x v="0"/>
    <x v="0"/>
    <x v="0"/>
    <x v="1"/>
    <x v="3"/>
    <n v="290"/>
    <n v="290"/>
    <n v="0"/>
    <n v="0"/>
    <n v="0"/>
    <n v="0"/>
    <n v="2"/>
    <x v="2"/>
    <n v="0"/>
    <n v="20"/>
    <n v="0"/>
    <n v="0"/>
    <n v="14"/>
    <n v="0"/>
    <n v="0"/>
    <n v="15.925787521209683"/>
    <m/>
    <m/>
    <n v="4060"/>
    <n v="0"/>
    <n v="0"/>
    <n v="4618.4783811508078"/>
    <n v="0"/>
    <n v="0"/>
  </r>
  <r>
    <s v="Regular"/>
    <x v="2"/>
    <x v="2"/>
    <x v="5"/>
    <x v="0"/>
    <x v="0"/>
    <x v="0"/>
    <x v="1"/>
    <x v="4"/>
    <n v="561"/>
    <n v="561"/>
    <n v="0"/>
    <n v="0"/>
    <n v="0"/>
    <n v="0"/>
    <n v="12"/>
    <x v="2"/>
    <n v="0"/>
    <n v="20"/>
    <n v="0"/>
    <n v="0"/>
    <n v="14"/>
    <n v="0"/>
    <n v="0"/>
    <n v="15.925787521209683"/>
    <m/>
    <m/>
    <n v="7854"/>
    <n v="0"/>
    <n v="0"/>
    <n v="8934.3667993986328"/>
    <n v="0"/>
    <n v="0"/>
  </r>
  <r>
    <s v="Sistema de Compensação"/>
    <x v="2"/>
    <x v="2"/>
    <x v="5"/>
    <x v="0"/>
    <x v="0"/>
    <x v="0"/>
    <x v="1"/>
    <x v="4"/>
    <n v="290"/>
    <n v="290"/>
    <n v="0"/>
    <n v="0"/>
    <n v="0"/>
    <n v="0"/>
    <n v="2"/>
    <x v="2"/>
    <n v="0"/>
    <n v="20"/>
    <n v="0"/>
    <n v="0"/>
    <n v="14"/>
    <n v="0"/>
    <n v="0"/>
    <n v="15.925787521209683"/>
    <m/>
    <m/>
    <n v="4060"/>
    <n v="0"/>
    <n v="0"/>
    <n v="4618.4783811508078"/>
    <n v="0"/>
    <n v="0"/>
  </r>
  <r>
    <s v="Regular"/>
    <x v="2"/>
    <x v="2"/>
    <x v="5"/>
    <x v="0"/>
    <x v="0"/>
    <x v="0"/>
    <x v="1"/>
    <x v="5"/>
    <n v="568"/>
    <n v="568"/>
    <n v="0"/>
    <n v="0"/>
    <n v="0"/>
    <n v="0"/>
    <n v="12"/>
    <x v="2"/>
    <n v="0"/>
    <n v="20"/>
    <n v="0"/>
    <n v="0"/>
    <n v="14"/>
    <n v="0"/>
    <n v="0"/>
    <n v="15.925787521209683"/>
    <m/>
    <m/>
    <n v="7952"/>
    <n v="0"/>
    <n v="0"/>
    <n v="9045.8473120471008"/>
    <n v="0"/>
    <n v="0"/>
  </r>
  <r>
    <s v="Sistema de Compensação"/>
    <x v="2"/>
    <x v="2"/>
    <x v="5"/>
    <x v="0"/>
    <x v="0"/>
    <x v="0"/>
    <x v="1"/>
    <x v="5"/>
    <n v="290"/>
    <n v="290"/>
    <n v="0"/>
    <n v="0"/>
    <n v="0"/>
    <n v="0"/>
    <n v="2"/>
    <x v="2"/>
    <n v="0"/>
    <n v="20"/>
    <n v="0"/>
    <n v="0"/>
    <n v="14"/>
    <n v="0"/>
    <n v="0"/>
    <n v="15.925787521209683"/>
    <m/>
    <m/>
    <n v="4060"/>
    <n v="0"/>
    <n v="0"/>
    <n v="4618.4783811508078"/>
    <n v="0"/>
    <n v="0"/>
  </r>
  <r>
    <s v="Regular"/>
    <x v="2"/>
    <x v="2"/>
    <x v="5"/>
    <x v="0"/>
    <x v="0"/>
    <x v="0"/>
    <x v="1"/>
    <x v="6"/>
    <n v="565"/>
    <n v="565"/>
    <n v="0"/>
    <n v="0"/>
    <n v="0"/>
    <n v="0"/>
    <n v="12"/>
    <x v="2"/>
    <n v="0"/>
    <n v="20"/>
    <n v="0"/>
    <n v="0"/>
    <n v="14"/>
    <n v="0"/>
    <n v="0"/>
    <n v="15.925787521209683"/>
    <m/>
    <m/>
    <n v="7910"/>
    <n v="0"/>
    <n v="0"/>
    <n v="8998.0699494834716"/>
    <n v="0"/>
    <n v="0"/>
  </r>
  <r>
    <s v="Sistema de Compensação"/>
    <x v="2"/>
    <x v="2"/>
    <x v="5"/>
    <x v="0"/>
    <x v="0"/>
    <x v="0"/>
    <x v="1"/>
    <x v="6"/>
    <n v="290"/>
    <n v="290"/>
    <n v="0"/>
    <n v="0"/>
    <n v="0"/>
    <n v="0"/>
    <n v="2"/>
    <x v="2"/>
    <n v="0"/>
    <n v="20"/>
    <n v="0"/>
    <n v="0"/>
    <n v="14"/>
    <n v="0"/>
    <n v="0"/>
    <n v="15.925787521209683"/>
    <m/>
    <m/>
    <n v="4060"/>
    <n v="0"/>
    <n v="0"/>
    <n v="4618.4783811508078"/>
    <n v="0"/>
    <n v="0"/>
  </r>
  <r>
    <s v="Regular"/>
    <x v="2"/>
    <x v="2"/>
    <x v="5"/>
    <x v="0"/>
    <x v="0"/>
    <x v="0"/>
    <x v="1"/>
    <x v="7"/>
    <n v="564"/>
    <n v="564"/>
    <n v="0"/>
    <n v="0"/>
    <n v="0"/>
    <n v="0"/>
    <n v="12"/>
    <x v="2"/>
    <n v="0"/>
    <n v="20"/>
    <n v="0"/>
    <n v="0"/>
    <n v="14"/>
    <n v="0"/>
    <n v="0"/>
    <n v="15.925787521209683"/>
    <m/>
    <m/>
    <n v="7896"/>
    <n v="0"/>
    <n v="0"/>
    <n v="8982.1441619622619"/>
    <n v="0"/>
    <n v="0"/>
  </r>
  <r>
    <s v="Sistema de Compensação"/>
    <x v="2"/>
    <x v="2"/>
    <x v="5"/>
    <x v="0"/>
    <x v="0"/>
    <x v="0"/>
    <x v="1"/>
    <x v="7"/>
    <n v="290"/>
    <n v="290"/>
    <n v="0"/>
    <n v="0"/>
    <n v="0"/>
    <n v="0"/>
    <n v="2"/>
    <x v="2"/>
    <n v="0"/>
    <n v="20"/>
    <n v="0"/>
    <n v="0"/>
    <n v="14"/>
    <n v="0"/>
    <n v="0"/>
    <n v="15.925787521209683"/>
    <m/>
    <m/>
    <n v="4060"/>
    <n v="0"/>
    <n v="0"/>
    <n v="4618.4783811508078"/>
    <n v="0"/>
    <n v="0"/>
  </r>
  <r>
    <s v="Regular"/>
    <x v="2"/>
    <x v="2"/>
    <x v="5"/>
    <x v="0"/>
    <x v="0"/>
    <x v="0"/>
    <x v="1"/>
    <x v="8"/>
    <n v="559"/>
    <n v="559"/>
    <n v="0"/>
    <n v="0"/>
    <n v="0"/>
    <n v="0"/>
    <n v="12"/>
    <x v="2"/>
    <n v="0"/>
    <n v="20"/>
    <n v="0"/>
    <n v="0"/>
    <n v="14"/>
    <n v="0"/>
    <n v="0"/>
    <n v="15.925787521209683"/>
    <m/>
    <m/>
    <n v="7826"/>
    <n v="0"/>
    <n v="0"/>
    <n v="8902.5152243562134"/>
    <n v="0"/>
    <n v="0"/>
  </r>
  <r>
    <s v="Regular"/>
    <x v="2"/>
    <x v="2"/>
    <x v="5"/>
    <x v="0"/>
    <x v="0"/>
    <x v="0"/>
    <x v="1"/>
    <x v="9"/>
    <n v="559"/>
    <n v="559"/>
    <n v="0"/>
    <n v="0"/>
    <n v="0"/>
    <n v="0"/>
    <n v="12"/>
    <x v="2"/>
    <n v="0"/>
    <n v="20"/>
    <n v="0"/>
    <n v="0"/>
    <n v="14"/>
    <n v="0"/>
    <n v="0"/>
    <n v="15.925787521209683"/>
    <m/>
    <m/>
    <n v="7826"/>
    <n v="0"/>
    <n v="0"/>
    <n v="8902.5152243562134"/>
    <n v="0"/>
    <n v="0"/>
  </r>
  <r>
    <s v="Sistema de Compensação"/>
    <x v="2"/>
    <x v="2"/>
    <x v="5"/>
    <x v="0"/>
    <x v="0"/>
    <x v="0"/>
    <x v="1"/>
    <x v="9"/>
    <n v="290"/>
    <n v="290"/>
    <n v="0"/>
    <n v="0"/>
    <n v="0"/>
    <n v="0"/>
    <n v="2"/>
    <x v="2"/>
    <n v="0"/>
    <n v="20"/>
    <n v="0"/>
    <n v="0"/>
    <n v="14"/>
    <n v="0"/>
    <n v="0"/>
    <n v="15.925787521209683"/>
    <m/>
    <m/>
    <n v="4060"/>
    <n v="0"/>
    <n v="0"/>
    <n v="4618.4783811508078"/>
    <n v="0"/>
    <n v="0"/>
  </r>
  <r>
    <s v="Regular"/>
    <x v="2"/>
    <x v="2"/>
    <x v="5"/>
    <x v="0"/>
    <x v="0"/>
    <x v="0"/>
    <x v="1"/>
    <x v="10"/>
    <n v="559"/>
    <n v="559"/>
    <n v="0"/>
    <n v="0"/>
    <n v="0"/>
    <n v="0"/>
    <n v="12"/>
    <x v="2"/>
    <n v="0"/>
    <n v="20"/>
    <n v="0"/>
    <n v="0"/>
    <n v="14"/>
    <n v="0"/>
    <n v="0"/>
    <n v="15.925787521209683"/>
    <m/>
    <m/>
    <n v="7826"/>
    <n v="0"/>
    <n v="0"/>
    <n v="8902.5152243562134"/>
    <n v="0"/>
    <n v="0"/>
  </r>
  <r>
    <s v="Sistema de Compensação"/>
    <x v="2"/>
    <x v="2"/>
    <x v="5"/>
    <x v="0"/>
    <x v="0"/>
    <x v="0"/>
    <x v="1"/>
    <x v="10"/>
    <n v="290"/>
    <n v="290"/>
    <n v="0"/>
    <n v="0"/>
    <n v="0"/>
    <n v="0"/>
    <n v="2"/>
    <x v="2"/>
    <n v="0"/>
    <n v="20"/>
    <n v="0"/>
    <n v="0"/>
    <n v="14"/>
    <n v="0"/>
    <n v="0"/>
    <n v="15.925787521209683"/>
    <m/>
    <m/>
    <n v="4060"/>
    <n v="0"/>
    <n v="0"/>
    <n v="4618.4783811508078"/>
    <n v="0"/>
    <n v="0"/>
  </r>
  <r>
    <s v="PROJETADO"/>
    <x v="2"/>
    <x v="2"/>
    <x v="5"/>
    <x v="0"/>
    <x v="0"/>
    <x v="0"/>
    <x v="1"/>
    <x v="11"/>
    <n v="559"/>
    <n v="559"/>
    <n v="0"/>
    <n v="0"/>
    <n v="0"/>
    <n v="0"/>
    <n v="12"/>
    <x v="2"/>
    <n v="0"/>
    <n v="20"/>
    <n v="0"/>
    <n v="0"/>
    <n v="14"/>
    <n v="0"/>
    <n v="0"/>
    <n v="15.925787521209683"/>
    <m/>
    <m/>
    <n v="7826"/>
    <n v="0"/>
    <n v="0"/>
    <n v="8902.5152243562134"/>
    <n v="0"/>
    <n v="0"/>
  </r>
  <r>
    <s v="PROJETADO"/>
    <x v="2"/>
    <x v="2"/>
    <x v="5"/>
    <x v="0"/>
    <x v="0"/>
    <x v="0"/>
    <x v="1"/>
    <x v="11"/>
    <n v="290"/>
    <n v="290"/>
    <n v="0"/>
    <n v="0"/>
    <n v="0"/>
    <n v="0"/>
    <n v="2"/>
    <x v="2"/>
    <n v="0"/>
    <n v="20"/>
    <n v="0"/>
    <n v="0"/>
    <n v="14"/>
    <n v="0"/>
    <n v="0"/>
    <n v="15.925787521209683"/>
    <m/>
    <m/>
    <n v="4060"/>
    <n v="0"/>
    <n v="0"/>
    <n v="4618.4783811508078"/>
    <n v="0"/>
    <n v="0"/>
  </r>
  <r>
    <s v="Regular"/>
    <x v="2"/>
    <x v="2"/>
    <x v="5"/>
    <x v="0"/>
    <x v="0"/>
    <x v="0"/>
    <x v="2"/>
    <x v="0"/>
    <n v="0"/>
    <n v="0"/>
    <n v="4.0469999999999997"/>
    <n v="4.0469999999999997"/>
    <n v="4.0469999999999997"/>
    <n v="4.0469999999999997"/>
    <n v="0"/>
    <x v="2"/>
    <n v="0"/>
    <n v="0"/>
    <n v="8"/>
    <n v="38"/>
    <n v="0"/>
    <n v="940.43"/>
    <n v="442.86"/>
    <m/>
    <n v="1108.3660770518723"/>
    <n v="476.88775168498375"/>
    <n v="0"/>
    <n v="3805.9202099999993"/>
    <n v="1792.25442"/>
    <n v="0"/>
    <n v="4485.5575138289269"/>
    <n v="1929.9647310691291"/>
  </r>
  <r>
    <s v="Sistema de Compensação"/>
    <x v="2"/>
    <x v="2"/>
    <x v="5"/>
    <x v="0"/>
    <x v="0"/>
    <x v="0"/>
    <x v="2"/>
    <x v="0"/>
    <n v="0"/>
    <n v="0"/>
    <n v="1.3049999999999999"/>
    <n v="1.3049999999999999"/>
    <n v="1.3049999999999999"/>
    <n v="1.3049999999999999"/>
    <n v="0"/>
    <x v="2"/>
    <n v="0"/>
    <n v="0"/>
    <n v="8"/>
    <n v="38"/>
    <n v="0"/>
    <n v="940.43"/>
    <n v="442.86"/>
    <m/>
    <n v="1108.3660770518723"/>
    <n v="476.88775168498375"/>
    <n v="0"/>
    <n v="1227.2611499999998"/>
    <n v="577.93229999999994"/>
    <n v="0"/>
    <n v="1446.4177305526932"/>
    <n v="622.33851594890382"/>
  </r>
  <r>
    <s v="Regular"/>
    <x v="2"/>
    <x v="2"/>
    <x v="5"/>
    <x v="0"/>
    <x v="0"/>
    <x v="0"/>
    <x v="2"/>
    <x v="1"/>
    <n v="0"/>
    <n v="0"/>
    <n v="3.786"/>
    <n v="3.786"/>
    <n v="3.786"/>
    <n v="3.786"/>
    <n v="0"/>
    <x v="2"/>
    <n v="0"/>
    <n v="0"/>
    <n v="8"/>
    <n v="38"/>
    <n v="0"/>
    <n v="940.43"/>
    <n v="442.86"/>
    <m/>
    <n v="1108.3660770518723"/>
    <n v="476.88775168498375"/>
    <n v="0"/>
    <n v="3560.4679799999999"/>
    <n v="1676.66796"/>
    <n v="0"/>
    <n v="4196.2739677183881"/>
    <n v="1805.4970278793485"/>
  </r>
  <r>
    <s v="Sistema de Compensação"/>
    <x v="2"/>
    <x v="2"/>
    <x v="5"/>
    <x v="0"/>
    <x v="0"/>
    <x v="0"/>
    <x v="2"/>
    <x v="1"/>
    <n v="0"/>
    <n v="0"/>
    <n v="1.1319999999999999"/>
    <n v="1.1319999999999999"/>
    <n v="1.1319999999999999"/>
    <n v="1.1319999999999999"/>
    <n v="0"/>
    <x v="2"/>
    <n v="0"/>
    <n v="0"/>
    <n v="8"/>
    <n v="38"/>
    <n v="0"/>
    <n v="940.43"/>
    <n v="442.86"/>
    <m/>
    <n v="1108.3660770518723"/>
    <n v="476.88775168498375"/>
    <n v="0"/>
    <n v="1064.5667599999999"/>
    <n v="501.31751999999994"/>
    <n v="0"/>
    <n v="1254.6703992227192"/>
    <n v="539.83693490740154"/>
  </r>
  <r>
    <s v="Regular"/>
    <x v="2"/>
    <x v="2"/>
    <x v="5"/>
    <x v="0"/>
    <x v="0"/>
    <x v="0"/>
    <x v="2"/>
    <x v="2"/>
    <n v="0"/>
    <n v="0"/>
    <n v="3.9630000000000001"/>
    <n v="3.9630000000000001"/>
    <n v="3.9630000000000001"/>
    <n v="3.9630000000000001"/>
    <n v="0"/>
    <x v="2"/>
    <n v="0"/>
    <n v="0"/>
    <n v="8"/>
    <n v="38"/>
    <n v="0"/>
    <n v="940.43"/>
    <n v="442.86"/>
    <m/>
    <n v="1108.3660770518723"/>
    <n v="476.88775168498375"/>
    <n v="0"/>
    <n v="3726.92409"/>
    <n v="1755.0541800000001"/>
    <n v="0"/>
    <n v="4392.4547633565699"/>
    <n v="1889.9061599275906"/>
  </r>
  <r>
    <s v="Sistema de Compensação"/>
    <x v="2"/>
    <x v="2"/>
    <x v="5"/>
    <x v="0"/>
    <x v="0"/>
    <x v="0"/>
    <x v="2"/>
    <x v="2"/>
    <n v="0"/>
    <n v="0"/>
    <n v="0.89100000000000001"/>
    <n v="0.89100000000000001"/>
    <n v="0.89100000000000001"/>
    <n v="0.89100000000000001"/>
    <n v="0"/>
    <x v="2"/>
    <n v="0"/>
    <n v="0"/>
    <n v="8"/>
    <n v="38"/>
    <n v="0"/>
    <n v="940.43"/>
    <n v="442.86"/>
    <m/>
    <n v="1108.3660770518723"/>
    <n v="476.88775168498375"/>
    <n v="0"/>
    <n v="837.92313000000001"/>
    <n v="394.58825999999999"/>
    <n v="0"/>
    <n v="987.55417465321818"/>
    <n v="424.90698675132052"/>
  </r>
  <r>
    <s v="Regular"/>
    <x v="2"/>
    <x v="2"/>
    <x v="5"/>
    <x v="0"/>
    <x v="0"/>
    <x v="0"/>
    <x v="2"/>
    <x v="3"/>
    <n v="0"/>
    <n v="0"/>
    <n v="3.8090000000000002"/>
    <n v="3.8090000000000002"/>
    <n v="3.8090000000000002"/>
    <n v="3.8090000000000002"/>
    <n v="0"/>
    <x v="2"/>
    <n v="0"/>
    <n v="0"/>
    <n v="8"/>
    <n v="38"/>
    <n v="0"/>
    <n v="940.43"/>
    <n v="442.86"/>
    <m/>
    <n v="1108.3660770518723"/>
    <n v="476.88775168498375"/>
    <n v="0"/>
    <n v="3582.0978700000001"/>
    <n v="1686.85374"/>
    <n v="0"/>
    <n v="4221.766387490582"/>
    <n v="1816.4654461681032"/>
  </r>
  <r>
    <s v="Sistema de Compensação"/>
    <x v="2"/>
    <x v="2"/>
    <x v="5"/>
    <x v="0"/>
    <x v="0"/>
    <x v="0"/>
    <x v="2"/>
    <x v="3"/>
    <n v="0"/>
    <n v="0"/>
    <n v="0.66700000000000004"/>
    <n v="0.66700000000000004"/>
    <n v="0.66700000000000004"/>
    <n v="0.66700000000000004"/>
    <n v="0"/>
    <x v="2"/>
    <n v="0"/>
    <n v="0"/>
    <n v="8"/>
    <n v="38"/>
    <n v="0"/>
    <n v="940.43"/>
    <n v="442.86"/>
    <m/>
    <n v="1108.3660770518723"/>
    <n v="476.88775168498375"/>
    <n v="0"/>
    <n v="627.26680999999996"/>
    <n v="295.38762000000003"/>
    <n v="0"/>
    <n v="739.28017339359883"/>
    <n v="318.08413037388419"/>
  </r>
  <r>
    <s v="Regular"/>
    <x v="2"/>
    <x v="2"/>
    <x v="5"/>
    <x v="0"/>
    <x v="0"/>
    <x v="0"/>
    <x v="2"/>
    <x v="4"/>
    <n v="0"/>
    <n v="0"/>
    <n v="4.0229999999999997"/>
    <n v="4.0229999999999997"/>
    <n v="4.0229999999999997"/>
    <n v="4.0229999999999997"/>
    <n v="0"/>
    <x v="2"/>
    <n v="0"/>
    <n v="0"/>
    <n v="8"/>
    <n v="38"/>
    <n v="0"/>
    <n v="940.43"/>
    <n v="442.86"/>
    <m/>
    <n v="1108.3660770518723"/>
    <n v="476.88775168498375"/>
    <n v="0"/>
    <n v="3783.3498899999995"/>
    <n v="1781.6257799999998"/>
    <n v="0"/>
    <n v="4458.956727979682"/>
    <n v="1918.5194250286895"/>
  </r>
  <r>
    <s v="Sistema de Compensação"/>
    <x v="2"/>
    <x v="2"/>
    <x v="5"/>
    <x v="0"/>
    <x v="0"/>
    <x v="0"/>
    <x v="2"/>
    <x v="4"/>
    <n v="0"/>
    <n v="0"/>
    <n v="1.0129999999999999"/>
    <n v="1.0129999999999999"/>
    <n v="1.0129999999999999"/>
    <n v="1.0129999999999999"/>
    <n v="0"/>
    <x v="2"/>
    <n v="0"/>
    <n v="0"/>
    <n v="8"/>
    <n v="38"/>
    <n v="0"/>
    <n v="940.43"/>
    <n v="442.86"/>
    <m/>
    <n v="1108.3660770518723"/>
    <n v="476.88775168498375"/>
    <n v="0"/>
    <n v="952.65558999999985"/>
    <n v="448.61717999999996"/>
    <n v="0"/>
    <n v="1122.7748360535466"/>
    <n v="483.08729245688852"/>
  </r>
  <r>
    <s v="Regular"/>
    <x v="2"/>
    <x v="2"/>
    <x v="5"/>
    <x v="0"/>
    <x v="0"/>
    <x v="0"/>
    <x v="2"/>
    <x v="5"/>
    <n v="0"/>
    <n v="0"/>
    <n v="4.7590000000000003"/>
    <n v="4.7590000000000003"/>
    <n v="4.7590000000000003"/>
    <n v="4.7590000000000003"/>
    <n v="0"/>
    <x v="2"/>
    <n v="0"/>
    <n v="0"/>
    <n v="8"/>
    <n v="38"/>
    <n v="0"/>
    <n v="940.43"/>
    <n v="442.86"/>
    <m/>
    <n v="1108.3660770518723"/>
    <n v="476.88775168498375"/>
    <n v="0"/>
    <n v="4475.5063700000001"/>
    <n v="2107.5707400000001"/>
    <n v="0"/>
    <n v="5274.7141606898604"/>
    <n v="2269.5088102688378"/>
  </r>
  <r>
    <s v="Sistema de Compensação"/>
    <x v="2"/>
    <x v="2"/>
    <x v="5"/>
    <x v="0"/>
    <x v="0"/>
    <x v="0"/>
    <x v="2"/>
    <x v="5"/>
    <n v="0"/>
    <n v="0"/>
    <n v="1.726"/>
    <n v="1.726"/>
    <n v="1.726"/>
    <n v="1.726"/>
    <n v="0"/>
    <x v="2"/>
    <n v="0"/>
    <n v="0"/>
    <n v="8"/>
    <n v="38"/>
    <n v="0"/>
    <n v="940.43"/>
    <n v="442.86"/>
    <m/>
    <n v="1108.3660770518723"/>
    <n v="476.88775168498375"/>
    <n v="0"/>
    <n v="1623.1821799999998"/>
    <n v="764.37635999999998"/>
    <n v="0"/>
    <n v="1913.0398489915315"/>
    <n v="823.10825940828192"/>
  </r>
  <r>
    <s v="Regular"/>
    <x v="2"/>
    <x v="2"/>
    <x v="5"/>
    <x v="0"/>
    <x v="0"/>
    <x v="0"/>
    <x v="2"/>
    <x v="6"/>
    <n v="0"/>
    <n v="0"/>
    <n v="4.3949999999999996"/>
    <n v="4.3949999999999996"/>
    <n v="4.3949999999999996"/>
    <n v="4.3949999999999996"/>
    <n v="0"/>
    <x v="2"/>
    <n v="0"/>
    <n v="0"/>
    <n v="8"/>
    <n v="38"/>
    <n v="0"/>
    <n v="940.43"/>
    <n v="442.86"/>
    <m/>
    <n v="1108.3660770518723"/>
    <n v="476.88775168498375"/>
    <n v="0"/>
    <n v="4133.1898499999998"/>
    <n v="1946.3697"/>
    <n v="0"/>
    <n v="4871.2689086429782"/>
    <n v="2095.9216686555033"/>
  </r>
  <r>
    <s v="Sistema de Compensação"/>
    <x v="2"/>
    <x v="2"/>
    <x v="5"/>
    <x v="0"/>
    <x v="0"/>
    <x v="0"/>
    <x v="2"/>
    <x v="6"/>
    <n v="0"/>
    <n v="0"/>
    <n v="1.68"/>
    <n v="1.68"/>
    <n v="1.68"/>
    <n v="1.68"/>
    <n v="0"/>
    <x v="2"/>
    <n v="0"/>
    <n v="0"/>
    <n v="8"/>
    <n v="38"/>
    <n v="0"/>
    <n v="940.43"/>
    <n v="442.86"/>
    <m/>
    <n v="1108.3660770518723"/>
    <n v="476.88775168498375"/>
    <n v="0"/>
    <n v="1579.9223999999999"/>
    <n v="744.00480000000005"/>
    <n v="0"/>
    <n v="1862.0550094471453"/>
    <n v="801.17142283077271"/>
  </r>
  <r>
    <s v="Regular"/>
    <x v="2"/>
    <x v="2"/>
    <x v="5"/>
    <x v="0"/>
    <x v="0"/>
    <x v="0"/>
    <x v="2"/>
    <x v="7"/>
    <n v="0"/>
    <n v="0"/>
    <n v="4.6749999999999998"/>
    <n v="4.6749999999999998"/>
    <n v="4.6749999999999998"/>
    <n v="4.6749999999999998"/>
    <n v="0"/>
    <x v="2"/>
    <n v="0"/>
    <n v="0"/>
    <n v="8"/>
    <n v="38"/>
    <n v="0"/>
    <n v="940.43"/>
    <n v="442.86"/>
    <m/>
    <n v="1108.3660770518723"/>
    <n v="476.88775168498375"/>
    <n v="0"/>
    <n v="4396.5102499999994"/>
    <n v="2070.3705"/>
    <n v="0"/>
    <n v="5181.6114102175025"/>
    <n v="2229.450239127299"/>
  </r>
  <r>
    <s v="Sistema de Compensação"/>
    <x v="2"/>
    <x v="2"/>
    <x v="5"/>
    <x v="0"/>
    <x v="0"/>
    <x v="0"/>
    <x v="2"/>
    <x v="7"/>
    <n v="0"/>
    <n v="0"/>
    <n v="2.4609999999999999"/>
    <n v="2.4609999999999999"/>
    <n v="2.4609999999999999"/>
    <n v="2.4609999999999999"/>
    <n v="0"/>
    <x v="2"/>
    <n v="0"/>
    <n v="0"/>
    <n v="8"/>
    <n v="38"/>
    <n v="0"/>
    <n v="940.43"/>
    <n v="442.86"/>
    <m/>
    <n v="1108.3660770518723"/>
    <n v="476.88775168498375"/>
    <n v="0"/>
    <n v="2314.3982299999998"/>
    <n v="1089.8784599999999"/>
    <n v="0"/>
    <n v="2727.6889156246575"/>
    <n v="1173.620756896745"/>
  </r>
  <r>
    <s v="Regular"/>
    <x v="2"/>
    <x v="2"/>
    <x v="5"/>
    <x v="0"/>
    <x v="0"/>
    <x v="0"/>
    <x v="2"/>
    <x v="8"/>
    <n v="0"/>
    <n v="0"/>
    <n v="4.4320000000000004"/>
    <n v="4.4320000000000004"/>
    <n v="4.4320000000000004"/>
    <n v="4.4320000000000004"/>
    <n v="0"/>
    <x v="2"/>
    <n v="0"/>
    <n v="0"/>
    <n v="8"/>
    <n v="38"/>
    <n v="0"/>
    <n v="940.43"/>
    <n v="442.86"/>
    <m/>
    <n v="1108.3660770518723"/>
    <n v="476.88775168498375"/>
    <n v="0"/>
    <n v="4167.9857600000005"/>
    <n v="1962.7555200000002"/>
    <n v="0"/>
    <n v="4912.2784534938983"/>
    <n v="2113.5665154678481"/>
  </r>
  <r>
    <s v="Regular"/>
    <x v="2"/>
    <x v="2"/>
    <x v="5"/>
    <x v="0"/>
    <x v="0"/>
    <x v="0"/>
    <x v="2"/>
    <x v="9"/>
    <n v="0"/>
    <n v="0"/>
    <n v="4.1310000000000002"/>
    <n v="4.1310000000000002"/>
    <n v="4.1310000000000002"/>
    <n v="4.1310000000000002"/>
    <n v="0"/>
    <x v="2"/>
    <n v="0"/>
    <n v="0"/>
    <n v="8"/>
    <n v="38"/>
    <n v="0"/>
    <n v="940.43"/>
    <n v="442.86"/>
    <m/>
    <n v="1108.3660770518723"/>
    <n v="476.88775168498375"/>
    <n v="0"/>
    <n v="3884.91633"/>
    <n v="1829.4546600000001"/>
    <n v="0"/>
    <n v="4578.6602643012848"/>
    <n v="1970.0233022106679"/>
  </r>
  <r>
    <s v="Sistema de Compensação"/>
    <x v="2"/>
    <x v="2"/>
    <x v="5"/>
    <x v="0"/>
    <x v="0"/>
    <x v="0"/>
    <x v="2"/>
    <x v="9"/>
    <n v="0"/>
    <n v="0"/>
    <n v="3.6379999999999999"/>
    <n v="3.6379999999999999"/>
    <n v="3.6379999999999999"/>
    <n v="3.6379999999999999"/>
    <n v="0"/>
    <x v="2"/>
    <n v="0"/>
    <n v="0"/>
    <n v="8"/>
    <n v="38"/>
    <n v="0"/>
    <n v="940.43"/>
    <n v="442.86"/>
    <m/>
    <n v="1108.3660770518723"/>
    <n v="476.88775168498375"/>
    <n v="0"/>
    <n v="3421.2843399999997"/>
    <n v="1611.1246799999999"/>
    <n v="0"/>
    <n v="4032.235788314711"/>
    <n v="1734.9176406299709"/>
  </r>
  <r>
    <s v="Regular"/>
    <x v="2"/>
    <x v="2"/>
    <x v="5"/>
    <x v="0"/>
    <x v="0"/>
    <x v="0"/>
    <x v="2"/>
    <x v="10"/>
    <n v="0"/>
    <n v="0"/>
    <n v="4.6980000000000004"/>
    <n v="4.6980000000000004"/>
    <n v="4.6980000000000004"/>
    <n v="4.6980000000000004"/>
    <n v="0"/>
    <x v="2"/>
    <n v="0"/>
    <n v="0"/>
    <n v="8"/>
    <n v="38"/>
    <n v="0"/>
    <n v="940.43"/>
    <n v="442.86"/>
    <m/>
    <n v="1108.3660770518723"/>
    <n v="476.88775168498375"/>
    <n v="0"/>
    <n v="4418.1401400000004"/>
    <n v="2080.5562800000002"/>
    <n v="0"/>
    <n v="5207.1038299896964"/>
    <n v="2240.418657416054"/>
  </r>
  <r>
    <s v="Sistema de Compensação"/>
    <x v="2"/>
    <x v="2"/>
    <x v="5"/>
    <x v="0"/>
    <x v="0"/>
    <x v="0"/>
    <x v="2"/>
    <x v="10"/>
    <n v="0"/>
    <n v="0"/>
    <n v="3.6280000000000001"/>
    <n v="3.6280000000000001"/>
    <n v="3.6280000000000001"/>
    <n v="3.6280000000000001"/>
    <n v="0"/>
    <x v="2"/>
    <n v="0"/>
    <n v="0"/>
    <n v="8"/>
    <n v="38"/>
    <n v="0"/>
    <n v="940.43"/>
    <n v="442.86"/>
    <m/>
    <n v="1108.3660770518723"/>
    <n v="476.88775168498375"/>
    <n v="0"/>
    <n v="3411.88004"/>
    <n v="1606.6960800000002"/>
    <n v="0"/>
    <n v="4021.1521275441928"/>
    <n v="1730.148763113121"/>
  </r>
  <r>
    <s v="PROJETADO"/>
    <x v="2"/>
    <x v="2"/>
    <x v="5"/>
    <x v="0"/>
    <x v="0"/>
    <x v="0"/>
    <x v="2"/>
    <x v="11"/>
    <n v="0"/>
    <n v="0"/>
    <n v="4.6980000000000004"/>
    <n v="4.6980000000000004"/>
    <n v="4.6980000000000004"/>
    <n v="4.6980000000000004"/>
    <n v="0"/>
    <x v="2"/>
    <n v="0"/>
    <n v="0"/>
    <n v="8"/>
    <n v="38"/>
    <n v="0"/>
    <n v="940.43"/>
    <n v="442.86"/>
    <m/>
    <n v="1108.3660770518723"/>
    <n v="476.88775168498375"/>
    <n v="0"/>
    <n v="4418.1401400000004"/>
    <n v="2080.5562800000002"/>
    <n v="0"/>
    <n v="5207.1038299896964"/>
    <n v="2240.418657416054"/>
  </r>
  <r>
    <s v="PROJETADO"/>
    <x v="2"/>
    <x v="2"/>
    <x v="5"/>
    <x v="0"/>
    <x v="0"/>
    <x v="0"/>
    <x v="2"/>
    <x v="11"/>
    <n v="0"/>
    <n v="0"/>
    <n v="3.6280000000000001"/>
    <n v="3.6280000000000001"/>
    <n v="3.6280000000000001"/>
    <n v="3.6280000000000001"/>
    <n v="0"/>
    <x v="2"/>
    <n v="0"/>
    <n v="0"/>
    <n v="8"/>
    <n v="38"/>
    <n v="0"/>
    <n v="940.43"/>
    <n v="442.86"/>
    <m/>
    <n v="1108.3660770518723"/>
    <n v="476.88775168498375"/>
    <n v="0"/>
    <n v="3411.88004"/>
    <n v="1606.6960800000002"/>
    <n v="0"/>
    <n v="4021.1521275441928"/>
    <n v="1730.148763113121"/>
  </r>
  <r>
    <s v="Regular"/>
    <x v="2"/>
    <x v="2"/>
    <x v="6"/>
    <x v="0"/>
    <x v="0"/>
    <x v="0"/>
    <x v="0"/>
    <x v="0"/>
    <n v="0"/>
    <n v="0"/>
    <n v="113.935"/>
    <n v="113.935"/>
    <n v="113.935"/>
    <n v="113.935"/>
    <n v="0"/>
    <x v="2"/>
    <n v="0"/>
    <n v="0"/>
    <n v="6"/>
    <n v="61"/>
    <n v="0"/>
    <n v="69.263999999999996"/>
    <n v="267.52320000000003"/>
    <m/>
    <n v="115.34766106284498"/>
    <n v="289.95613765820104"/>
    <n v="0"/>
    <n v="7891.5938399999995"/>
    <n v="30480.255792000004"/>
    <n v="0"/>
    <n v="12873.928910885137"/>
    <n v="33036.152544087134"/>
  </r>
  <r>
    <s v="Regular"/>
    <x v="2"/>
    <x v="2"/>
    <x v="6"/>
    <x v="0"/>
    <x v="0"/>
    <x v="0"/>
    <x v="0"/>
    <x v="1"/>
    <n v="0"/>
    <n v="0"/>
    <n v="110.267"/>
    <n v="110.267"/>
    <n v="110.267"/>
    <n v="110.267"/>
    <n v="0"/>
    <x v="2"/>
    <n v="0"/>
    <n v="0"/>
    <n v="6"/>
    <n v="61"/>
    <n v="0"/>
    <n v="69.263999999999996"/>
    <n v="267.52320000000003"/>
    <m/>
    <n v="115.34766106284498"/>
    <n v="289.95613765820104"/>
    <n v="0"/>
    <n v="7637.5334879999991"/>
    <n v="29498.980694400001"/>
    <n v="0"/>
    <n v="12459.468286449039"/>
    <n v="31972.593431156853"/>
  </r>
  <r>
    <s v="Regular"/>
    <x v="2"/>
    <x v="2"/>
    <x v="6"/>
    <x v="0"/>
    <x v="0"/>
    <x v="0"/>
    <x v="0"/>
    <x v="2"/>
    <n v="0"/>
    <n v="0"/>
    <n v="111.45"/>
    <n v="111.45"/>
    <n v="111.45"/>
    <n v="111.45"/>
    <n v="0"/>
    <x v="2"/>
    <n v="0"/>
    <n v="0"/>
    <n v="6"/>
    <n v="61"/>
    <n v="0"/>
    <n v="69.263999999999996"/>
    <n v="267.52320000000003"/>
    <m/>
    <n v="115.34766106284498"/>
    <n v="289.95613765820104"/>
    <n v="0"/>
    <n v="7719.4727999999996"/>
    <n v="29815.460640000005"/>
    <n v="0"/>
    <n v="12593.139747383582"/>
    <n v="32315.611542006507"/>
  </r>
  <r>
    <s v="Regular"/>
    <x v="2"/>
    <x v="2"/>
    <x v="6"/>
    <x v="0"/>
    <x v="0"/>
    <x v="0"/>
    <x v="0"/>
    <x v="3"/>
    <n v="0"/>
    <n v="0"/>
    <n v="107.66800000000001"/>
    <n v="107.66800000000001"/>
    <n v="107.66800000000001"/>
    <n v="107.66800000000001"/>
    <n v="0"/>
    <x v="2"/>
    <n v="0"/>
    <n v="0"/>
    <n v="6"/>
    <n v="61"/>
    <n v="0"/>
    <n v="69.263999999999996"/>
    <n v="267.52320000000003"/>
    <m/>
    <n v="115.34766106284498"/>
    <n v="289.95613765820104"/>
    <n v="0"/>
    <n v="7457.5163519999996"/>
    <n v="28803.687897600004"/>
    <n v="0"/>
    <n v="12165.797849450833"/>
    <n v="31218.997429383191"/>
  </r>
  <r>
    <s v="Regular"/>
    <x v="2"/>
    <x v="2"/>
    <x v="6"/>
    <x v="0"/>
    <x v="0"/>
    <x v="0"/>
    <x v="0"/>
    <x v="4"/>
    <n v="0"/>
    <n v="0"/>
    <n v="93.82"/>
    <n v="93.82"/>
    <n v="93.82"/>
    <n v="93.82"/>
    <n v="0"/>
    <x v="2"/>
    <n v="0"/>
    <n v="0"/>
    <n v="6"/>
    <n v="61"/>
    <n v="0"/>
    <n v="69.263999999999996"/>
    <n v="267.52320000000003"/>
    <m/>
    <n v="115.34766106284498"/>
    <n v="289.95613765820104"/>
    <n v="0"/>
    <n v="6498.3484799999987"/>
    <n v="25099.026624000002"/>
    <n v="0"/>
    <n v="10601.062100489256"/>
    <n v="27203.684835092419"/>
  </r>
  <r>
    <s v="Regular"/>
    <x v="2"/>
    <x v="2"/>
    <x v="6"/>
    <x v="0"/>
    <x v="0"/>
    <x v="0"/>
    <x v="0"/>
    <x v="5"/>
    <n v="0"/>
    <n v="0"/>
    <n v="106.645"/>
    <n v="106.645"/>
    <n v="106.645"/>
    <n v="106.645"/>
    <n v="0"/>
    <x v="2"/>
    <n v="0"/>
    <n v="0"/>
    <n v="6"/>
    <n v="61"/>
    <n v="0"/>
    <n v="69.263999999999996"/>
    <n v="267.52320000000003"/>
    <m/>
    <n v="115.34766106284498"/>
    <n v="289.95613765820104"/>
    <n v="0"/>
    <n v="7386.6592799999989"/>
    <n v="28530.011664000001"/>
    <n v="0"/>
    <n v="12050.205368862469"/>
    <n v="30922.372300558851"/>
  </r>
  <r>
    <s v="Regular"/>
    <x v="2"/>
    <x v="2"/>
    <x v="6"/>
    <x v="0"/>
    <x v="0"/>
    <x v="0"/>
    <x v="0"/>
    <x v="6"/>
    <n v="0"/>
    <n v="0"/>
    <n v="103.27500000000001"/>
    <n v="103.27500000000001"/>
    <n v="103.27500000000001"/>
    <n v="103.27500000000001"/>
    <n v="0"/>
    <x v="2"/>
    <n v="0"/>
    <n v="0"/>
    <n v="6"/>
    <n v="61"/>
    <n v="0"/>
    <n v="69.263999999999996"/>
    <n v="267.52320000000003"/>
    <m/>
    <n v="115.34766106284498"/>
    <n v="289.95613765820104"/>
    <n v="0"/>
    <n v="7153.2395999999999"/>
    <n v="27628.458480000005"/>
    <n v="0"/>
    <n v="11669.416845321126"/>
    <n v="29945.220116650715"/>
  </r>
  <r>
    <s v="Regular"/>
    <x v="2"/>
    <x v="2"/>
    <x v="6"/>
    <x v="0"/>
    <x v="0"/>
    <x v="0"/>
    <x v="0"/>
    <x v="7"/>
    <n v="0"/>
    <n v="0"/>
    <n v="100.271"/>
    <n v="100.271"/>
    <n v="100.271"/>
    <n v="100.271"/>
    <n v="0"/>
    <x v="2"/>
    <n v="0"/>
    <n v="0"/>
    <n v="6"/>
    <n v="61"/>
    <n v="0"/>
    <n v="69.263999999999996"/>
    <n v="267.52320000000003"/>
    <m/>
    <n v="115.34766106284498"/>
    <n v="289.95613765820104"/>
    <n v="0"/>
    <n v="6945.1705439999996"/>
    <n v="26824.818787200002"/>
    <n v="0"/>
    <n v="11329.983989321661"/>
    <n v="29074.191879125476"/>
  </r>
  <r>
    <s v="Regular"/>
    <x v="2"/>
    <x v="2"/>
    <x v="6"/>
    <x v="0"/>
    <x v="0"/>
    <x v="0"/>
    <x v="0"/>
    <x v="8"/>
    <n v="0"/>
    <n v="0"/>
    <n v="107.95699999999999"/>
    <n v="107.95699999999999"/>
    <n v="107.95699999999999"/>
    <n v="107.95699999999999"/>
    <n v="0"/>
    <x v="2"/>
    <n v="0"/>
    <n v="0"/>
    <n v="6"/>
    <n v="61"/>
    <n v="0"/>
    <n v="69.263999999999996"/>
    <n v="267.52320000000003"/>
    <m/>
    <n v="115.34766106284498"/>
    <n v="289.95613765820104"/>
    <n v="0"/>
    <n v="7477.5336479999987"/>
    <n v="28881.002102400002"/>
    <n v="0"/>
    <n v="12198.453007701117"/>
    <n v="31302.794753166407"/>
  </r>
  <r>
    <s v="Regular"/>
    <x v="2"/>
    <x v="2"/>
    <x v="6"/>
    <x v="0"/>
    <x v="0"/>
    <x v="0"/>
    <x v="0"/>
    <x v="9"/>
    <n v="0"/>
    <n v="0"/>
    <n v="102.619"/>
    <n v="102.619"/>
    <n v="102.619"/>
    <n v="102.619"/>
    <n v="0"/>
    <x v="2"/>
    <n v="0"/>
    <n v="0"/>
    <n v="6"/>
    <n v="61"/>
    <n v="0"/>
    <n v="69.263999999999996"/>
    <n v="267.52320000000003"/>
    <m/>
    <n v="115.34766106284498"/>
    <n v="289.95613765820104"/>
    <n v="0"/>
    <n v="7107.8024159999995"/>
    <n v="27452.963260800003"/>
    <n v="0"/>
    <n v="11595.293025901801"/>
    <n v="29755.008890346933"/>
  </r>
  <r>
    <s v="Regular"/>
    <x v="2"/>
    <x v="2"/>
    <x v="6"/>
    <x v="0"/>
    <x v="0"/>
    <x v="0"/>
    <x v="0"/>
    <x v="10"/>
    <n v="0"/>
    <n v="0"/>
    <n v="160.94"/>
    <n v="160.94"/>
    <n v="160.94"/>
    <n v="160.94"/>
    <n v="0"/>
    <x v="2"/>
    <n v="0"/>
    <n v="0"/>
    <n v="6"/>
    <n v="61"/>
    <n v="0"/>
    <n v="69.263999999999996"/>
    <n v="267.52320000000003"/>
    <m/>
    <n v="115.34766106284498"/>
    <n v="289.95613765820104"/>
    <n v="0"/>
    <n v="11147.34816"/>
    <n v="43055.183808000002"/>
    <n v="0"/>
    <n v="18185.194355710308"/>
    <n v="46665.540794710876"/>
  </r>
  <r>
    <s v="PROJETADO"/>
    <x v="2"/>
    <x v="2"/>
    <x v="6"/>
    <x v="0"/>
    <x v="0"/>
    <x v="0"/>
    <x v="0"/>
    <x v="11"/>
    <n v="0"/>
    <n v="0"/>
    <n v="160.94"/>
    <n v="160.94"/>
    <n v="160.94"/>
    <n v="160.94"/>
    <n v="0"/>
    <x v="2"/>
    <n v="0"/>
    <n v="0"/>
    <n v="6"/>
    <n v="61"/>
    <n v="0"/>
    <n v="69.263999999999996"/>
    <n v="267.52320000000003"/>
    <m/>
    <n v="115.34766106284498"/>
    <n v="289.95613765820104"/>
    <n v="0"/>
    <n v="11147.34816"/>
    <n v="43055.183808000002"/>
    <n v="0"/>
    <n v="18185.194355710308"/>
    <n v="46665.540794710876"/>
  </r>
  <r>
    <s v="Regular"/>
    <x v="2"/>
    <x v="2"/>
    <x v="6"/>
    <x v="0"/>
    <x v="0"/>
    <x v="0"/>
    <x v="1"/>
    <x v="0"/>
    <n v="517"/>
    <n v="517"/>
    <n v="0"/>
    <n v="0"/>
    <n v="0"/>
    <n v="0"/>
    <n v="5"/>
    <x v="2"/>
    <n v="0"/>
    <n v="20"/>
    <n v="0"/>
    <n v="0"/>
    <n v="13.44"/>
    <n v="0"/>
    <n v="0"/>
    <n v="15.60727177078549"/>
    <m/>
    <m/>
    <n v="6948.48"/>
    <n v="0"/>
    <n v="0"/>
    <n v="7904.2868625267902"/>
    <n v="0"/>
    <n v="0"/>
  </r>
  <r>
    <s v="Regular"/>
    <x v="2"/>
    <x v="2"/>
    <x v="6"/>
    <x v="0"/>
    <x v="0"/>
    <x v="0"/>
    <x v="1"/>
    <x v="1"/>
    <n v="376"/>
    <n v="376"/>
    <n v="0"/>
    <n v="0"/>
    <n v="0"/>
    <n v="0"/>
    <n v="5"/>
    <x v="2"/>
    <n v="0"/>
    <n v="20"/>
    <n v="0"/>
    <n v="0"/>
    <n v="13.44"/>
    <n v="0"/>
    <n v="0"/>
    <n v="15.60727177078549"/>
    <m/>
    <m/>
    <n v="5053.4399999999996"/>
    <n v="0"/>
    <n v="0"/>
    <n v="5748.5722636558467"/>
    <n v="0"/>
    <n v="0"/>
  </r>
  <r>
    <s v="Regular"/>
    <x v="2"/>
    <x v="2"/>
    <x v="6"/>
    <x v="0"/>
    <x v="0"/>
    <x v="0"/>
    <x v="1"/>
    <x v="2"/>
    <n v="401"/>
    <n v="401"/>
    <n v="0"/>
    <n v="0"/>
    <n v="0"/>
    <n v="0"/>
    <n v="5"/>
    <x v="2"/>
    <n v="0"/>
    <n v="20"/>
    <n v="0"/>
    <n v="0"/>
    <n v="13.44"/>
    <n v="0"/>
    <n v="0"/>
    <n v="15.60727177078549"/>
    <m/>
    <m/>
    <n v="5389.44"/>
    <n v="0"/>
    <n v="0"/>
    <n v="6130.7911641648789"/>
    <n v="0"/>
    <n v="0"/>
  </r>
  <r>
    <s v="Regular"/>
    <x v="2"/>
    <x v="2"/>
    <x v="6"/>
    <x v="0"/>
    <x v="0"/>
    <x v="0"/>
    <x v="1"/>
    <x v="3"/>
    <n v="395"/>
    <n v="395"/>
    <n v="0"/>
    <n v="0"/>
    <n v="0"/>
    <n v="0"/>
    <n v="5"/>
    <x v="2"/>
    <n v="0"/>
    <n v="20"/>
    <n v="0"/>
    <n v="0"/>
    <n v="13.44"/>
    <n v="0"/>
    <n v="0"/>
    <n v="15.60727177078549"/>
    <m/>
    <m/>
    <n v="5308.8"/>
    <n v="0"/>
    <n v="0"/>
    <n v="6039.0586280427115"/>
    <n v="0"/>
    <n v="0"/>
  </r>
  <r>
    <s v="Regular"/>
    <x v="2"/>
    <x v="2"/>
    <x v="6"/>
    <x v="0"/>
    <x v="0"/>
    <x v="0"/>
    <x v="1"/>
    <x v="4"/>
    <n v="365"/>
    <n v="365"/>
    <n v="0"/>
    <n v="0"/>
    <n v="0"/>
    <n v="0"/>
    <n v="5"/>
    <x v="2"/>
    <n v="0"/>
    <n v="20"/>
    <n v="0"/>
    <n v="0"/>
    <n v="13.44"/>
    <n v="0"/>
    <n v="0"/>
    <n v="15.60727177078549"/>
    <m/>
    <m/>
    <n v="4905.5999999999995"/>
    <n v="0"/>
    <n v="0"/>
    <n v="5580.3959474318726"/>
    <n v="0"/>
    <n v="0"/>
  </r>
  <r>
    <s v="Regular"/>
    <x v="2"/>
    <x v="2"/>
    <x v="6"/>
    <x v="0"/>
    <x v="0"/>
    <x v="0"/>
    <x v="1"/>
    <x v="5"/>
    <n v="422"/>
    <n v="422"/>
    <n v="0"/>
    <n v="0"/>
    <n v="0"/>
    <n v="0"/>
    <n v="5"/>
    <x v="2"/>
    <n v="0"/>
    <n v="20"/>
    <n v="0"/>
    <n v="0"/>
    <n v="13.44"/>
    <n v="0"/>
    <n v="0"/>
    <n v="15.60727177078549"/>
    <m/>
    <m/>
    <n v="5671.6799999999994"/>
    <n v="0"/>
    <n v="0"/>
    <n v="6451.855040592467"/>
    <n v="0"/>
    <n v="0"/>
  </r>
  <r>
    <s v="Regular"/>
    <x v="2"/>
    <x v="2"/>
    <x v="6"/>
    <x v="0"/>
    <x v="0"/>
    <x v="0"/>
    <x v="1"/>
    <x v="6"/>
    <n v="403"/>
    <n v="403"/>
    <n v="0"/>
    <n v="0"/>
    <n v="0"/>
    <n v="0"/>
    <n v="5"/>
    <x v="2"/>
    <n v="0"/>
    <n v="20"/>
    <n v="0"/>
    <n v="0"/>
    <n v="13.44"/>
    <n v="0"/>
    <n v="0"/>
    <n v="15.60727177078549"/>
    <m/>
    <m/>
    <n v="5416.32"/>
    <n v="0"/>
    <n v="0"/>
    <n v="6161.3686762056022"/>
    <n v="0"/>
    <n v="0"/>
  </r>
  <r>
    <s v="Regular"/>
    <x v="2"/>
    <x v="2"/>
    <x v="6"/>
    <x v="0"/>
    <x v="0"/>
    <x v="0"/>
    <x v="1"/>
    <x v="7"/>
    <n v="365"/>
    <n v="365"/>
    <n v="0"/>
    <n v="0"/>
    <n v="0"/>
    <n v="0"/>
    <n v="5"/>
    <x v="2"/>
    <n v="0"/>
    <n v="20"/>
    <n v="0"/>
    <n v="0"/>
    <n v="13.44"/>
    <n v="0"/>
    <n v="0"/>
    <n v="15.60727177078549"/>
    <m/>
    <m/>
    <n v="4905.5999999999995"/>
    <n v="0"/>
    <n v="0"/>
    <n v="5580.3959474318726"/>
    <n v="0"/>
    <n v="0"/>
  </r>
  <r>
    <s v="Regular"/>
    <x v="2"/>
    <x v="2"/>
    <x v="6"/>
    <x v="0"/>
    <x v="0"/>
    <x v="0"/>
    <x v="1"/>
    <x v="8"/>
    <n v="416"/>
    <n v="416"/>
    <n v="0"/>
    <n v="0"/>
    <n v="0"/>
    <n v="0"/>
    <n v="4"/>
    <x v="2"/>
    <n v="0"/>
    <n v="20"/>
    <n v="0"/>
    <n v="0"/>
    <n v="13.44"/>
    <n v="0"/>
    <n v="0"/>
    <n v="15.60727177078549"/>
    <m/>
    <m/>
    <n v="5591.04"/>
    <n v="0"/>
    <n v="0"/>
    <n v="6360.1225044702996"/>
    <n v="0"/>
    <n v="0"/>
  </r>
  <r>
    <s v="Regular"/>
    <x v="2"/>
    <x v="2"/>
    <x v="6"/>
    <x v="0"/>
    <x v="0"/>
    <x v="0"/>
    <x v="1"/>
    <x v="9"/>
    <n v="366"/>
    <n v="366"/>
    <n v="0"/>
    <n v="0"/>
    <n v="0"/>
    <n v="0"/>
    <n v="5"/>
    <x v="2"/>
    <n v="0"/>
    <n v="20"/>
    <n v="0"/>
    <n v="0"/>
    <n v="13.44"/>
    <n v="0"/>
    <n v="0"/>
    <n v="15.60727177078549"/>
    <m/>
    <m/>
    <n v="4919.04"/>
    <n v="0"/>
    <n v="0"/>
    <n v="5595.6847034522343"/>
    <n v="0"/>
    <n v="0"/>
  </r>
  <r>
    <s v="Regular"/>
    <x v="2"/>
    <x v="2"/>
    <x v="6"/>
    <x v="0"/>
    <x v="0"/>
    <x v="0"/>
    <x v="1"/>
    <x v="10"/>
    <n v="838"/>
    <n v="838"/>
    <n v="0"/>
    <n v="0"/>
    <n v="0"/>
    <n v="0"/>
    <n v="6"/>
    <x v="2"/>
    <n v="0"/>
    <n v="20"/>
    <n v="0"/>
    <n v="0"/>
    <n v="13.44"/>
    <n v="0"/>
    <n v="0"/>
    <n v="15.60727177078549"/>
    <m/>
    <m/>
    <n v="11262.72"/>
    <n v="0"/>
    <n v="0"/>
    <n v="12811.977545062766"/>
    <n v="0"/>
    <n v="0"/>
  </r>
  <r>
    <s v="PROJETADO"/>
    <x v="2"/>
    <x v="2"/>
    <x v="6"/>
    <x v="0"/>
    <x v="0"/>
    <x v="0"/>
    <x v="1"/>
    <x v="11"/>
    <n v="838"/>
    <n v="838"/>
    <n v="0"/>
    <n v="0"/>
    <n v="0"/>
    <n v="0"/>
    <n v="6"/>
    <x v="2"/>
    <n v="0"/>
    <n v="20"/>
    <n v="0"/>
    <n v="0"/>
    <n v="13.44"/>
    <n v="0"/>
    <n v="0"/>
    <n v="15.60727177078549"/>
    <m/>
    <m/>
    <n v="11262.72"/>
    <n v="0"/>
    <n v="0"/>
    <n v="12811.977545062766"/>
    <n v="0"/>
    <n v="0"/>
  </r>
  <r>
    <s v="Regular"/>
    <x v="2"/>
    <x v="2"/>
    <x v="6"/>
    <x v="0"/>
    <x v="0"/>
    <x v="0"/>
    <x v="2"/>
    <x v="0"/>
    <n v="0"/>
    <n v="0"/>
    <n v="9.2420000000000009"/>
    <n v="9.2420000000000009"/>
    <n v="9.2420000000000009"/>
    <n v="9.2420000000000009"/>
    <n v="0"/>
    <x v="2"/>
    <n v="0"/>
    <n v="0"/>
    <n v="8"/>
    <n v="38"/>
    <n v="0"/>
    <n v="902.81279999999992"/>
    <n v="425.1456"/>
    <m/>
    <n v="1086.1987555108349"/>
    <n v="467.34999665128407"/>
    <n v="0"/>
    <n v="8343.7958976000009"/>
    <n v="3929.1956352000002"/>
    <n v="0"/>
    <n v="9833.7785127488678"/>
    <n v="4319.2486690511678"/>
  </r>
  <r>
    <s v="Regular"/>
    <x v="2"/>
    <x v="2"/>
    <x v="6"/>
    <x v="0"/>
    <x v="0"/>
    <x v="0"/>
    <x v="2"/>
    <x v="1"/>
    <n v="0"/>
    <n v="0"/>
    <n v="9.8689999999999998"/>
    <n v="9.8689999999999998"/>
    <n v="9.8689999999999998"/>
    <n v="9.8689999999999998"/>
    <n v="0"/>
    <x v="2"/>
    <n v="0"/>
    <n v="0"/>
    <n v="8"/>
    <n v="38"/>
    <n v="0"/>
    <n v="902.81279999999992"/>
    <n v="425.1456"/>
    <m/>
    <n v="1086.1987555108349"/>
    <n v="467.34999665128407"/>
    <n v="0"/>
    <n v="8909.8595231999989"/>
    <n v="4195.7619263999995"/>
    <n v="0"/>
    <n v="10500.926221847931"/>
    <n v="4612.2771169515227"/>
  </r>
  <r>
    <s v="Regular"/>
    <x v="2"/>
    <x v="2"/>
    <x v="6"/>
    <x v="0"/>
    <x v="0"/>
    <x v="0"/>
    <x v="2"/>
    <x v="2"/>
    <n v="0"/>
    <n v="0"/>
    <n v="11.326000000000001"/>
    <n v="11.326000000000001"/>
    <n v="11.326000000000001"/>
    <n v="11.326000000000001"/>
    <n v="0"/>
    <x v="2"/>
    <n v="0"/>
    <n v="0"/>
    <n v="8"/>
    <n v="38"/>
    <n v="0"/>
    <n v="902.81279999999992"/>
    <n v="425.1456"/>
    <m/>
    <n v="1086.1987555108349"/>
    <n v="467.34999665128407"/>
    <n v="0"/>
    <n v="10225.2577728"/>
    <n v="4815.1990655999998"/>
    <n v="0"/>
    <n v="12051.220021141926"/>
    <n v="5293.2060620724433"/>
  </r>
  <r>
    <s v="Regular"/>
    <x v="2"/>
    <x v="2"/>
    <x v="6"/>
    <x v="0"/>
    <x v="0"/>
    <x v="0"/>
    <x v="2"/>
    <x v="3"/>
    <n v="0"/>
    <n v="0"/>
    <n v="10.323"/>
    <n v="10.323"/>
    <n v="10.323"/>
    <n v="10.323"/>
    <n v="0"/>
    <x v="2"/>
    <n v="0"/>
    <n v="0"/>
    <n v="8"/>
    <n v="38"/>
    <n v="0"/>
    <n v="902.81279999999992"/>
    <n v="425.1456"/>
    <m/>
    <n v="1086.1987555108349"/>
    <n v="467.34999665128407"/>
    <n v="0"/>
    <n v="9319.7365343999991"/>
    <n v="4388.7780288000004"/>
    <n v="0"/>
    <n v="10983.996492870219"/>
    <n v="4824.4540154312053"/>
  </r>
  <r>
    <s v="Regular"/>
    <x v="2"/>
    <x v="2"/>
    <x v="6"/>
    <x v="0"/>
    <x v="0"/>
    <x v="0"/>
    <x v="2"/>
    <x v="4"/>
    <n v="0"/>
    <n v="0"/>
    <n v="9.7509999999999994"/>
    <n v="9.7509999999999994"/>
    <n v="9.7509999999999994"/>
    <n v="9.7509999999999994"/>
    <n v="0"/>
    <x v="2"/>
    <n v="0"/>
    <n v="0"/>
    <n v="8"/>
    <n v="38"/>
    <n v="0"/>
    <n v="902.81279999999992"/>
    <n v="425.1456"/>
    <m/>
    <n v="1086.1987555108349"/>
    <n v="467.34999665128407"/>
    <n v="0"/>
    <n v="8803.327612799998"/>
    <n v="4145.5947455999994"/>
    <n v="0"/>
    <n v="10375.370512639494"/>
    <n v="4557.1298173466712"/>
  </r>
  <r>
    <s v="Regular"/>
    <x v="2"/>
    <x v="2"/>
    <x v="6"/>
    <x v="0"/>
    <x v="0"/>
    <x v="0"/>
    <x v="2"/>
    <x v="5"/>
    <n v="0"/>
    <n v="0"/>
    <n v="10.827999999999999"/>
    <n v="10.827999999999999"/>
    <n v="10.827999999999999"/>
    <n v="10.827999999999999"/>
    <n v="0"/>
    <x v="2"/>
    <n v="0"/>
    <n v="0"/>
    <n v="8"/>
    <n v="38"/>
    <n v="0"/>
    <n v="902.81279999999992"/>
    <n v="425.1456"/>
    <m/>
    <n v="1086.1987555108349"/>
    <n v="467.34999665128407"/>
    <n v="0"/>
    <n v="9775.656998399998"/>
    <n v="4603.4765567999993"/>
    <n v="0"/>
    <n v="11521.332367024967"/>
    <n v="5060.4657637401033"/>
  </r>
  <r>
    <s v="Regular"/>
    <x v="2"/>
    <x v="2"/>
    <x v="6"/>
    <x v="0"/>
    <x v="0"/>
    <x v="0"/>
    <x v="2"/>
    <x v="6"/>
    <n v="0"/>
    <n v="0"/>
    <n v="9.1790000000000003"/>
    <n v="9.1790000000000003"/>
    <n v="9.1790000000000003"/>
    <n v="9.1790000000000003"/>
    <n v="0"/>
    <x v="2"/>
    <n v="0"/>
    <n v="0"/>
    <n v="8"/>
    <n v="38"/>
    <n v="0"/>
    <n v="902.81279999999992"/>
    <n v="425.1456"/>
    <m/>
    <n v="1086.1987555108349"/>
    <n v="467.34999665128407"/>
    <n v="0"/>
    <n v="8286.9186911999986"/>
    <n v="3902.4114624000003"/>
    <n v="0"/>
    <n v="9766.7445324087694"/>
    <n v="4289.805619262137"/>
  </r>
  <r>
    <s v="Regular"/>
    <x v="2"/>
    <x v="2"/>
    <x v="6"/>
    <x v="0"/>
    <x v="0"/>
    <x v="0"/>
    <x v="2"/>
    <x v="7"/>
    <n v="0"/>
    <n v="0"/>
    <n v="10.166"/>
    <n v="10.166"/>
    <n v="10.166"/>
    <n v="10.166"/>
    <n v="0"/>
    <x v="2"/>
    <n v="0"/>
    <n v="0"/>
    <n v="8"/>
    <n v="38"/>
    <n v="0"/>
    <n v="902.81279999999992"/>
    <n v="425.1456"/>
    <m/>
    <n v="1086.1987555108349"/>
    <n v="467.34999665128407"/>
    <n v="0"/>
    <n v="9177.9949247999994"/>
    <n v="4322.0301696000006"/>
    <n v="0"/>
    <n v="10816.943557736959"/>
    <n v="4751.0800659569541"/>
  </r>
  <r>
    <s v="Regular"/>
    <x v="2"/>
    <x v="2"/>
    <x v="6"/>
    <x v="0"/>
    <x v="0"/>
    <x v="0"/>
    <x v="2"/>
    <x v="8"/>
    <n v="0"/>
    <n v="0"/>
    <n v="11.698"/>
    <n v="11.698"/>
    <n v="11.698"/>
    <n v="11.698"/>
    <n v="0"/>
    <x v="2"/>
    <n v="0"/>
    <n v="0"/>
    <n v="8"/>
    <n v="38"/>
    <n v="0"/>
    <n v="902.81279999999992"/>
    <n v="425.1456"/>
    <m/>
    <n v="1086.1987555108349"/>
    <n v="467.34999665128407"/>
    <n v="0"/>
    <n v="10561.104134399999"/>
    <n v="4973.3532288000006"/>
    <n v="0"/>
    <n v="12447.039714578688"/>
    <n v="5467.0602608267209"/>
  </r>
  <r>
    <s v="Regular"/>
    <x v="2"/>
    <x v="2"/>
    <x v="6"/>
    <x v="0"/>
    <x v="0"/>
    <x v="0"/>
    <x v="2"/>
    <x v="9"/>
    <n v="0"/>
    <n v="0"/>
    <n v="11.590999999999999"/>
    <n v="11.590999999999999"/>
    <n v="11.590999999999999"/>
    <n v="11.590999999999999"/>
    <n v="0"/>
    <x v="2"/>
    <n v="0"/>
    <n v="0"/>
    <n v="8"/>
    <n v="38"/>
    <n v="0"/>
    <n v="902.81279999999992"/>
    <n v="425.1456"/>
    <m/>
    <n v="1086.1987555108349"/>
    <n v="467.34999665128407"/>
    <n v="0"/>
    <n v="10464.503164799999"/>
    <n v="4927.8626495999997"/>
    <n v="0"/>
    <n v="12333.188351143921"/>
    <n v="5417.0538111850337"/>
  </r>
  <r>
    <s v="Regular"/>
    <x v="2"/>
    <x v="2"/>
    <x v="6"/>
    <x v="0"/>
    <x v="0"/>
    <x v="0"/>
    <x v="2"/>
    <x v="10"/>
    <n v="0"/>
    <n v="0"/>
    <n v="13.89"/>
    <n v="13.89"/>
    <n v="13.89"/>
    <n v="13.89"/>
    <n v="0"/>
    <x v="2"/>
    <n v="0"/>
    <n v="0"/>
    <n v="8"/>
    <n v="38"/>
    <n v="0"/>
    <n v="902.81279999999992"/>
    <n v="425.1456"/>
    <m/>
    <n v="1086.1987555108349"/>
    <n v="467.34999665128407"/>
    <n v="0"/>
    <n v="12540.069792"/>
    <n v="5905.2723839999999"/>
    <n v="0"/>
    <n v="14779.396617840486"/>
    <n v="6491.4914534863365"/>
  </r>
  <r>
    <s v="PROJETADO"/>
    <x v="2"/>
    <x v="2"/>
    <x v="6"/>
    <x v="0"/>
    <x v="0"/>
    <x v="0"/>
    <x v="2"/>
    <x v="11"/>
    <n v="0"/>
    <n v="0"/>
    <n v="13.89"/>
    <n v="13.89"/>
    <n v="13.89"/>
    <n v="13.89"/>
    <n v="0"/>
    <x v="2"/>
    <n v="0"/>
    <n v="0"/>
    <n v="8"/>
    <n v="38"/>
    <n v="0"/>
    <n v="902.81279999999992"/>
    <n v="425.1456"/>
    <m/>
    <n v="1086.1987555108349"/>
    <n v="467.34999665128407"/>
    <n v="0"/>
    <n v="12540.069792"/>
    <n v="5905.2723839999999"/>
    <n v="0"/>
    <n v="14779.396617840486"/>
    <n v="6491.4914534863365"/>
  </r>
  <r>
    <s v="Regular"/>
    <x v="2"/>
    <x v="2"/>
    <x v="3"/>
    <x v="1"/>
    <x v="0"/>
    <x v="0"/>
    <x v="0"/>
    <x v="0"/>
    <n v="0"/>
    <n v="0"/>
    <n v="938.82899999999995"/>
    <n v="938.82899999999995"/>
    <n v="938.82899999999995"/>
    <n v="938.82899999999995"/>
    <n v="0"/>
    <x v="2"/>
    <n v="0"/>
    <n v="0"/>
    <n v="6"/>
    <n v="61"/>
    <n v="0"/>
    <n v="67.820999999999998"/>
    <n v="261.94979999999998"/>
    <m/>
    <n v="114.17064411322411"/>
    <n v="286.99740155964793"/>
    <n v="0"/>
    <n v="63672.321608999991"/>
    <n v="245926.06878419998"/>
    <n v="0"/>
    <n v="103871.65870478725"/>
    <n v="269441.48350884271"/>
  </r>
  <r>
    <s v="Regular"/>
    <x v="2"/>
    <x v="2"/>
    <x v="3"/>
    <x v="1"/>
    <x v="0"/>
    <x v="0"/>
    <x v="0"/>
    <x v="1"/>
    <n v="0"/>
    <n v="0"/>
    <n v="892.47500000000002"/>
    <n v="892.47500000000002"/>
    <n v="892.47500000000002"/>
    <n v="892.47500000000002"/>
    <n v="0"/>
    <x v="2"/>
    <n v="0"/>
    <n v="0"/>
    <n v="6"/>
    <n v="61"/>
    <n v="0"/>
    <n v="67.820999999999998"/>
    <n v="261.94979999999998"/>
    <m/>
    <n v="114.17064411322411"/>
    <n v="286.99740155964793"/>
    <n v="0"/>
    <n v="60528.546974999997"/>
    <n v="233783.64775499998"/>
    <n v="0"/>
    <n v="98743.070998611031"/>
    <n v="256138.00595694678"/>
  </r>
  <r>
    <s v="Regular"/>
    <x v="2"/>
    <x v="2"/>
    <x v="3"/>
    <x v="1"/>
    <x v="0"/>
    <x v="0"/>
    <x v="0"/>
    <x v="2"/>
    <n v="0"/>
    <n v="0"/>
    <n v="895.87800000000004"/>
    <n v="895.87800000000004"/>
    <n v="895.87800000000004"/>
    <n v="895.87800000000004"/>
    <n v="0"/>
    <x v="2"/>
    <n v="0"/>
    <n v="0"/>
    <n v="6"/>
    <n v="61"/>
    <n v="0"/>
    <n v="67.820999999999998"/>
    <n v="261.94979999999998"/>
    <m/>
    <n v="114.17064411322411"/>
    <n v="286.99740155964793"/>
    <n v="0"/>
    <n v="60759.341838"/>
    <n v="234675.0629244"/>
    <n v="0"/>
    <n v="99119.577534489668"/>
    <n v="257114.65811445427"/>
  </r>
  <r>
    <s v="Regular"/>
    <x v="2"/>
    <x v="2"/>
    <x v="3"/>
    <x v="1"/>
    <x v="0"/>
    <x v="0"/>
    <x v="0"/>
    <x v="3"/>
    <n v="0"/>
    <n v="0"/>
    <n v="890.16"/>
    <n v="890.16"/>
    <n v="890.16"/>
    <n v="890.16"/>
    <n v="0"/>
    <x v="2"/>
    <n v="0"/>
    <n v="0"/>
    <n v="6"/>
    <n v="61"/>
    <n v="0"/>
    <n v="67.820999999999998"/>
    <n v="261.94979999999998"/>
    <m/>
    <n v="114.17064411322411"/>
    <n v="286.99740155964793"/>
    <n v="0"/>
    <n v="60371.541359999996"/>
    <n v="233177.23396799999"/>
    <n v="0"/>
    <n v="98486.940340204048"/>
    <n v="255473.60697233619"/>
  </r>
  <r>
    <s v="Regular"/>
    <x v="2"/>
    <x v="2"/>
    <x v="3"/>
    <x v="1"/>
    <x v="0"/>
    <x v="0"/>
    <x v="0"/>
    <x v="4"/>
    <n v="0"/>
    <n v="0"/>
    <n v="841.64800000000002"/>
    <n v="841.64800000000002"/>
    <n v="841.64800000000002"/>
    <n v="841.64800000000002"/>
    <n v="0"/>
    <x v="2"/>
    <n v="0"/>
    <n v="0"/>
    <n v="6"/>
    <n v="61"/>
    <n v="0"/>
    <n v="67.820999999999998"/>
    <n v="261.94979999999998"/>
    <m/>
    <n v="114.17064411322411"/>
    <n v="286.99740155964793"/>
    <n v="0"/>
    <n v="57081.409008000002"/>
    <n v="220469.52527039999"/>
    <n v="0"/>
    <n v="93119.592391763348"/>
    <n v="241550.78902787456"/>
  </r>
  <r>
    <s v="Regular"/>
    <x v="2"/>
    <x v="2"/>
    <x v="3"/>
    <x v="1"/>
    <x v="0"/>
    <x v="0"/>
    <x v="0"/>
    <x v="5"/>
    <n v="0"/>
    <n v="0"/>
    <n v="936.846"/>
    <n v="936.846"/>
    <n v="936.846"/>
    <n v="936.846"/>
    <n v="0"/>
    <x v="2"/>
    <n v="0"/>
    <n v="0"/>
    <n v="6"/>
    <n v="61"/>
    <n v="0"/>
    <n v="67.820999999999998"/>
    <n v="261.94979999999998"/>
    <m/>
    <n v="114.17064411322411"/>
    <n v="286.99740155964793"/>
    <n v="0"/>
    <n v="63537.832565999997"/>
    <n v="245406.62233079999"/>
    <n v="0"/>
    <n v="103652.26039134403"/>
    <n v="268872.36766154994"/>
  </r>
  <r>
    <s v="Regular"/>
    <x v="2"/>
    <x v="2"/>
    <x v="3"/>
    <x v="1"/>
    <x v="0"/>
    <x v="0"/>
    <x v="0"/>
    <x v="6"/>
    <n v="0"/>
    <n v="0"/>
    <n v="896.63499999999999"/>
    <n v="896.63499999999999"/>
    <n v="896.63499999999999"/>
    <n v="896.63499999999999"/>
    <n v="0"/>
    <x v="2"/>
    <n v="0"/>
    <n v="0"/>
    <n v="6"/>
    <n v="61"/>
    <n v="0"/>
    <n v="67.820999999999998"/>
    <n v="261.94979999999998"/>
    <m/>
    <n v="114.17064411322411"/>
    <n v="286.99740155964793"/>
    <n v="0"/>
    <n v="60810.682334999998"/>
    <n v="234873.35892299999"/>
    <n v="0"/>
    <n v="99203.33170659079"/>
    <n v="257331.91514743492"/>
  </r>
  <r>
    <s v="Regular"/>
    <x v="2"/>
    <x v="2"/>
    <x v="3"/>
    <x v="1"/>
    <x v="0"/>
    <x v="0"/>
    <x v="0"/>
    <x v="7"/>
    <n v="0"/>
    <n v="0"/>
    <n v="902.27800000000002"/>
    <n v="902.27800000000002"/>
    <n v="902.27800000000002"/>
    <n v="902.27800000000002"/>
    <n v="0"/>
    <x v="2"/>
    <n v="0"/>
    <n v="0"/>
    <n v="6"/>
    <n v="61"/>
    <n v="0"/>
    <n v="67.820999999999998"/>
    <n v="261.94979999999998"/>
    <m/>
    <n v="114.17064411322411"/>
    <n v="286.99740155964793"/>
    <n v="0"/>
    <n v="61193.396238000001"/>
    <n v="236351.54164439999"/>
    <n v="0"/>
    <n v="99827.670931381581"/>
    <n v="258951.44148443601"/>
  </r>
  <r>
    <s v="Regular"/>
    <x v="2"/>
    <x v="2"/>
    <x v="3"/>
    <x v="1"/>
    <x v="0"/>
    <x v="0"/>
    <x v="0"/>
    <x v="8"/>
    <n v="0"/>
    <n v="0"/>
    <n v="879.01599999999996"/>
    <n v="879.01599999999996"/>
    <n v="879.01599999999996"/>
    <n v="879.01599999999996"/>
    <n v="0"/>
    <x v="2"/>
    <n v="0"/>
    <n v="0"/>
    <n v="6"/>
    <n v="61"/>
    <n v="0"/>
    <n v="67.820999999999998"/>
    <n v="261.94979999999998"/>
    <m/>
    <n v="114.17064411322411"/>
    <n v="286.99740155964793"/>
    <n v="0"/>
    <n v="59615.744135999994"/>
    <n v="230258.06539679997"/>
    <n v="0"/>
    <n v="97253.972712866002"/>
    <n v="252275.30792935548"/>
  </r>
  <r>
    <s v="Regular"/>
    <x v="2"/>
    <x v="2"/>
    <x v="3"/>
    <x v="1"/>
    <x v="0"/>
    <x v="0"/>
    <x v="0"/>
    <x v="9"/>
    <n v="0"/>
    <n v="0"/>
    <n v="926.07299999999998"/>
    <n v="926.07299999999998"/>
    <n v="926.07299999999998"/>
    <n v="926.07299999999998"/>
    <n v="0"/>
    <x v="2"/>
    <n v="0"/>
    <n v="0"/>
    <n v="6"/>
    <n v="61"/>
    <n v="0"/>
    <n v="67.820999999999998"/>
    <n v="261.94979999999998"/>
    <m/>
    <n v="114.17064411322411"/>
    <n v="286.99740155964793"/>
    <n v="0"/>
    <n v="62807.196932999999"/>
    <n v="242584.63713539997"/>
    <n v="0"/>
    <n v="102460.34005310705"/>
    <n v="265780.54465454782"/>
  </r>
  <r>
    <s v="Regular"/>
    <x v="2"/>
    <x v="2"/>
    <x v="3"/>
    <x v="1"/>
    <x v="0"/>
    <x v="0"/>
    <x v="0"/>
    <x v="10"/>
    <n v="0"/>
    <n v="0"/>
    <n v="928.22900000000004"/>
    <n v="928.22900000000004"/>
    <n v="928.22900000000004"/>
    <n v="928.22900000000004"/>
    <n v="0"/>
    <x v="2"/>
    <n v="0"/>
    <n v="0"/>
    <n v="6"/>
    <n v="61"/>
    <n v="0"/>
    <n v="67.820999999999998"/>
    <n v="261.94979999999998"/>
    <m/>
    <n v="114.17064411322411"/>
    <n v="286.99740155964793"/>
    <n v="0"/>
    <n v="62953.419008999997"/>
    <n v="243149.40090419998"/>
    <n v="0"/>
    <n v="102698.87901618502"/>
    <n v="266399.31105231046"/>
  </r>
  <r>
    <s v="PROJETADO"/>
    <x v="2"/>
    <x v="2"/>
    <x v="3"/>
    <x v="1"/>
    <x v="0"/>
    <x v="0"/>
    <x v="0"/>
    <x v="11"/>
    <n v="0"/>
    <n v="0"/>
    <n v="928.22900000000004"/>
    <n v="928.22900000000004"/>
    <n v="928.22900000000004"/>
    <n v="928.22900000000004"/>
    <n v="0"/>
    <x v="2"/>
    <n v="0"/>
    <n v="0"/>
    <n v="6"/>
    <n v="61"/>
    <n v="0"/>
    <n v="67.820999999999998"/>
    <n v="261.94979999999998"/>
    <m/>
    <n v="114.17064411322411"/>
    <n v="286.99740155964793"/>
    <n v="0"/>
    <n v="62953.419008999997"/>
    <n v="243149.40090419998"/>
    <n v="0"/>
    <n v="102698.87901618502"/>
    <n v="266399.31105231046"/>
  </r>
  <r>
    <s v="Regular"/>
    <x v="2"/>
    <x v="2"/>
    <x v="3"/>
    <x v="1"/>
    <x v="0"/>
    <x v="0"/>
    <x v="1"/>
    <x v="0"/>
    <n v="2053"/>
    <n v="2053"/>
    <n v="0"/>
    <n v="0"/>
    <n v="0"/>
    <n v="0"/>
    <n v="15"/>
    <x v="2"/>
    <n v="0"/>
    <n v="20"/>
    <n v="0"/>
    <n v="0"/>
    <n v="13.16"/>
    <n v="0"/>
    <n v="0"/>
    <n v="15.448013895573393"/>
    <m/>
    <m/>
    <n v="27017.48"/>
    <n v="0"/>
    <n v="0"/>
    <n v="27791.295513886958"/>
    <n v="0"/>
    <n v="0"/>
  </r>
  <r>
    <s v="Regular"/>
    <x v="2"/>
    <x v="2"/>
    <x v="3"/>
    <x v="1"/>
    <x v="0"/>
    <x v="0"/>
    <x v="1"/>
    <x v="1"/>
    <n v="2047"/>
    <n v="2047"/>
    <n v="0"/>
    <n v="0"/>
    <n v="0"/>
    <n v="0"/>
    <n v="15"/>
    <x v="2"/>
    <n v="0"/>
    <n v="20"/>
    <n v="0"/>
    <n v="0"/>
    <n v="13.16"/>
    <n v="0"/>
    <n v="0"/>
    <n v="15.448013895573393"/>
    <m/>
    <m/>
    <n v="26938.52"/>
    <n v="0"/>
    <n v="0"/>
    <n v="27710.073997528791"/>
    <n v="0"/>
    <n v="0"/>
  </r>
  <r>
    <s v="Regular"/>
    <x v="2"/>
    <x v="2"/>
    <x v="3"/>
    <x v="1"/>
    <x v="0"/>
    <x v="0"/>
    <x v="1"/>
    <x v="2"/>
    <n v="2026"/>
    <n v="2026"/>
    <n v="0"/>
    <n v="0"/>
    <n v="0"/>
    <n v="0"/>
    <n v="14"/>
    <x v="2"/>
    <n v="0"/>
    <n v="20"/>
    <n v="0"/>
    <n v="0"/>
    <n v="13.16"/>
    <n v="0"/>
    <n v="0"/>
    <n v="15.448013895573393"/>
    <m/>
    <m/>
    <n v="26662.16"/>
    <n v="0"/>
    <n v="0"/>
    <n v="27425.798690275195"/>
    <n v="0"/>
    <n v="0"/>
  </r>
  <r>
    <s v="Regular"/>
    <x v="2"/>
    <x v="2"/>
    <x v="3"/>
    <x v="1"/>
    <x v="0"/>
    <x v="0"/>
    <x v="1"/>
    <x v="3"/>
    <n v="2048"/>
    <n v="2048"/>
    <n v="0"/>
    <n v="0"/>
    <n v="0"/>
    <n v="0"/>
    <n v="14"/>
    <x v="2"/>
    <n v="0"/>
    <n v="20"/>
    <n v="0"/>
    <n v="0"/>
    <n v="13.16"/>
    <n v="0"/>
    <n v="0"/>
    <n v="15.448013895573393"/>
    <m/>
    <m/>
    <n v="26951.68"/>
    <n v="0"/>
    <n v="0"/>
    <n v="27723.610916921814"/>
    <n v="0"/>
    <n v="0"/>
  </r>
  <r>
    <s v="Regular"/>
    <x v="2"/>
    <x v="2"/>
    <x v="3"/>
    <x v="1"/>
    <x v="0"/>
    <x v="0"/>
    <x v="1"/>
    <x v="4"/>
    <n v="2056"/>
    <n v="2056"/>
    <n v="0"/>
    <n v="0"/>
    <n v="0"/>
    <n v="0"/>
    <n v="14"/>
    <x v="2"/>
    <n v="0"/>
    <n v="20"/>
    <n v="0"/>
    <n v="0"/>
    <n v="13.16"/>
    <n v="0"/>
    <n v="0"/>
    <n v="15.448013895573393"/>
    <m/>
    <m/>
    <n v="27056.959999999999"/>
    <n v="0"/>
    <n v="0"/>
    <n v="27831.90627206604"/>
    <n v="0"/>
    <n v="0"/>
  </r>
  <r>
    <s v="Regular"/>
    <x v="2"/>
    <x v="2"/>
    <x v="3"/>
    <x v="1"/>
    <x v="0"/>
    <x v="0"/>
    <x v="1"/>
    <x v="5"/>
    <n v="2050"/>
    <n v="2050"/>
    <n v="0"/>
    <n v="0"/>
    <n v="0"/>
    <n v="0"/>
    <n v="14"/>
    <x v="2"/>
    <n v="0"/>
    <n v="20"/>
    <n v="0"/>
    <n v="0"/>
    <n v="13.16"/>
    <n v="0"/>
    <n v="0"/>
    <n v="15.448013895573393"/>
    <m/>
    <m/>
    <n v="26978"/>
    <n v="0"/>
    <n v="0"/>
    <n v="27750.684755707873"/>
    <n v="0"/>
    <n v="0"/>
  </r>
  <r>
    <s v="Regular"/>
    <x v="2"/>
    <x v="2"/>
    <x v="3"/>
    <x v="1"/>
    <x v="0"/>
    <x v="0"/>
    <x v="1"/>
    <x v="6"/>
    <n v="2072"/>
    <n v="2072"/>
    <n v="0"/>
    <n v="0"/>
    <n v="0"/>
    <n v="0"/>
    <n v="14"/>
    <x v="2"/>
    <n v="0"/>
    <n v="20"/>
    <n v="0"/>
    <n v="0"/>
    <n v="13.16"/>
    <n v="0"/>
    <n v="0"/>
    <n v="15.448013895573393"/>
    <m/>
    <m/>
    <n v="27267.52"/>
    <n v="0"/>
    <n v="0"/>
    <n v="28048.496982354496"/>
    <n v="0"/>
    <n v="0"/>
  </r>
  <r>
    <s v="Regular"/>
    <x v="2"/>
    <x v="2"/>
    <x v="3"/>
    <x v="1"/>
    <x v="0"/>
    <x v="0"/>
    <x v="1"/>
    <x v="7"/>
    <n v="2061"/>
    <n v="2061"/>
    <n v="0"/>
    <n v="0"/>
    <n v="0"/>
    <n v="0"/>
    <n v="14"/>
    <x v="2"/>
    <n v="0"/>
    <n v="20"/>
    <n v="0"/>
    <n v="0"/>
    <n v="13.16"/>
    <n v="0"/>
    <n v="0"/>
    <n v="15.448013895573393"/>
    <m/>
    <m/>
    <n v="27122.760000000002"/>
    <n v="0"/>
    <n v="0"/>
    <n v="27899.590869031181"/>
    <n v="0"/>
    <n v="0"/>
  </r>
  <r>
    <s v="Regular"/>
    <x v="2"/>
    <x v="2"/>
    <x v="3"/>
    <x v="1"/>
    <x v="0"/>
    <x v="0"/>
    <x v="1"/>
    <x v="8"/>
    <n v="2081"/>
    <n v="2081"/>
    <n v="0"/>
    <n v="0"/>
    <n v="0"/>
    <n v="0"/>
    <n v="14"/>
    <x v="2"/>
    <n v="0"/>
    <n v="20"/>
    <n v="0"/>
    <n v="0"/>
    <n v="13.16"/>
    <n v="0"/>
    <n v="0"/>
    <n v="15.448013895573393"/>
    <m/>
    <m/>
    <n v="27385.96"/>
    <n v="0"/>
    <n v="0"/>
    <n v="28170.329256891746"/>
    <n v="0"/>
    <n v="0"/>
  </r>
  <r>
    <s v="Regular"/>
    <x v="2"/>
    <x v="2"/>
    <x v="3"/>
    <x v="1"/>
    <x v="0"/>
    <x v="0"/>
    <x v="1"/>
    <x v="9"/>
    <n v="2090"/>
    <n v="2090"/>
    <n v="0"/>
    <n v="0"/>
    <n v="0"/>
    <n v="0"/>
    <n v="14"/>
    <x v="2"/>
    <n v="0"/>
    <n v="20"/>
    <n v="0"/>
    <n v="0"/>
    <n v="13.16"/>
    <n v="0"/>
    <n v="0"/>
    <n v="15.448013895573393"/>
    <m/>
    <m/>
    <n v="27504.400000000001"/>
    <n v="0"/>
    <n v="0"/>
    <n v="28292.161531429003"/>
    <n v="0"/>
    <n v="0"/>
  </r>
  <r>
    <s v="Regular"/>
    <x v="2"/>
    <x v="2"/>
    <x v="3"/>
    <x v="1"/>
    <x v="0"/>
    <x v="0"/>
    <x v="1"/>
    <x v="10"/>
    <n v="2091"/>
    <n v="2091"/>
    <n v="0"/>
    <n v="0"/>
    <n v="0"/>
    <n v="0"/>
    <n v="14"/>
    <x v="2"/>
    <n v="0"/>
    <n v="20"/>
    <n v="0"/>
    <n v="0"/>
    <n v="13.16"/>
    <n v="0"/>
    <n v="0"/>
    <n v="15.448013895573393"/>
    <m/>
    <m/>
    <n v="27517.56"/>
    <n v="0"/>
    <n v="0"/>
    <n v="28305.69845082203"/>
    <n v="0"/>
    <n v="0"/>
  </r>
  <r>
    <s v="PROJETADO"/>
    <x v="2"/>
    <x v="2"/>
    <x v="3"/>
    <x v="1"/>
    <x v="0"/>
    <x v="0"/>
    <x v="1"/>
    <x v="11"/>
    <n v="2091"/>
    <n v="2091"/>
    <n v="0"/>
    <n v="0"/>
    <n v="0"/>
    <n v="0"/>
    <n v="14"/>
    <x v="2"/>
    <n v="0"/>
    <n v="20"/>
    <n v="0"/>
    <n v="0"/>
    <n v="13.16"/>
    <n v="0"/>
    <n v="0"/>
    <n v="15.448013895573393"/>
    <m/>
    <m/>
    <n v="27517.56"/>
    <n v="0"/>
    <n v="0"/>
    <n v="28305.69845082203"/>
    <n v="0"/>
    <n v="0"/>
  </r>
  <r>
    <s v="Regular"/>
    <x v="2"/>
    <x v="2"/>
    <x v="3"/>
    <x v="1"/>
    <x v="0"/>
    <x v="0"/>
    <x v="2"/>
    <x v="0"/>
    <n v="0"/>
    <n v="0"/>
    <n v="49.845999999999997"/>
    <n v="49.845999999999997"/>
    <n v="49.845999999999997"/>
    <n v="49.845999999999997"/>
    <n v="0"/>
    <x v="2"/>
    <n v="0"/>
    <n v="0"/>
    <n v="8"/>
    <n v="38"/>
    <n v="0"/>
    <n v="884.00419999999986"/>
    <n v="416.28839999999997"/>
    <m/>
    <n v="1075.115094740316"/>
    <n v="462.58111913443423"/>
    <n v="0"/>
    <n v="44064.073353199987"/>
    <n v="20750.311586399996"/>
    <n v="0"/>
    <n v="51932.758548123958"/>
    <n v="23057.818464375006"/>
  </r>
  <r>
    <s v="Regular"/>
    <x v="2"/>
    <x v="2"/>
    <x v="3"/>
    <x v="1"/>
    <x v="0"/>
    <x v="0"/>
    <x v="2"/>
    <x v="1"/>
    <n v="0"/>
    <n v="0"/>
    <n v="41.014000000000003"/>
    <n v="41.014000000000003"/>
    <n v="41.014000000000003"/>
    <n v="41.014000000000003"/>
    <n v="0"/>
    <x v="2"/>
    <n v="0"/>
    <n v="0"/>
    <n v="8"/>
    <n v="38"/>
    <n v="0"/>
    <n v="884.00419999999986"/>
    <n v="416.28839999999997"/>
    <m/>
    <n v="1075.115094740316"/>
    <n v="462.58111913443423"/>
    <n v="0"/>
    <n v="36256.548258799994"/>
    <n v="17073.652437600002"/>
    <n v="0"/>
    <n v="42731.014707153161"/>
    <n v="18972.302020179686"/>
  </r>
  <r>
    <s v="Regular"/>
    <x v="2"/>
    <x v="2"/>
    <x v="3"/>
    <x v="1"/>
    <x v="0"/>
    <x v="0"/>
    <x v="2"/>
    <x v="2"/>
    <n v="0"/>
    <n v="0"/>
    <n v="50.685000000000002"/>
    <n v="50.685000000000002"/>
    <n v="50.685000000000002"/>
    <n v="50.685000000000002"/>
    <n v="0"/>
    <x v="2"/>
    <n v="0"/>
    <n v="0"/>
    <n v="8"/>
    <n v="38"/>
    <n v="0"/>
    <n v="884.00419999999986"/>
    <n v="416.28839999999997"/>
    <m/>
    <n v="1075.115094740316"/>
    <n v="462.58111913443423"/>
    <n v="0"/>
    <n v="44805.752876999992"/>
    <n v="21099.577554"/>
    <n v="0"/>
    <n v="52806.882538451697"/>
    <n v="23445.9240233288"/>
  </r>
  <r>
    <s v="Regular"/>
    <x v="2"/>
    <x v="2"/>
    <x v="3"/>
    <x v="1"/>
    <x v="0"/>
    <x v="0"/>
    <x v="2"/>
    <x v="3"/>
    <n v="0"/>
    <n v="0"/>
    <n v="43.015000000000001"/>
    <n v="43.015000000000001"/>
    <n v="43.015000000000001"/>
    <n v="43.015000000000001"/>
    <n v="0"/>
    <x v="2"/>
    <n v="0"/>
    <n v="0"/>
    <n v="8"/>
    <n v="38"/>
    <n v="0"/>
    <n v="884.00419999999986"/>
    <n v="416.28839999999997"/>
    <m/>
    <n v="1075.115094740316"/>
    <n v="462.58111913443423"/>
    <n v="0"/>
    <n v="38025.440662999994"/>
    <n v="17906.645526"/>
    <n v="0"/>
    <n v="44815.784796123109"/>
    <n v="19897.926839567688"/>
  </r>
  <r>
    <s v="Regular"/>
    <x v="2"/>
    <x v="2"/>
    <x v="3"/>
    <x v="1"/>
    <x v="0"/>
    <x v="0"/>
    <x v="2"/>
    <x v="4"/>
    <n v="0"/>
    <n v="0"/>
    <n v="38.561"/>
    <n v="38.561"/>
    <n v="38.561"/>
    <n v="38.561"/>
    <n v="0"/>
    <x v="2"/>
    <n v="0"/>
    <n v="0"/>
    <n v="8"/>
    <n v="38"/>
    <n v="0"/>
    <n v="884.00419999999986"/>
    <n v="416.28839999999997"/>
    <m/>
    <n v="1075.115094740316"/>
    <n v="462.58111913443423"/>
    <n v="0"/>
    <n v="34088.085956199997"/>
    <n v="16052.496992399998"/>
    <n v="0"/>
    <n v="40175.322039365412"/>
    <n v="17837.590534942919"/>
  </r>
  <r>
    <s v="Regular"/>
    <x v="2"/>
    <x v="2"/>
    <x v="3"/>
    <x v="1"/>
    <x v="0"/>
    <x v="0"/>
    <x v="2"/>
    <x v="5"/>
    <n v="0"/>
    <n v="0"/>
    <n v="44.167000000000002"/>
    <n v="44.167000000000002"/>
    <n v="44.167000000000002"/>
    <n v="44.167000000000002"/>
    <n v="0"/>
    <x v="2"/>
    <n v="0"/>
    <n v="0"/>
    <n v="8"/>
    <n v="38"/>
    <n v="0"/>
    <n v="884.00419999999986"/>
    <n v="416.28839999999997"/>
    <m/>
    <n v="1075.115094740316"/>
    <n v="462.58111913443423"/>
    <n v="0"/>
    <n v="39043.813501399993"/>
    <n v="18386.209762799997"/>
    <n v="0"/>
    <n v="46016.012253641034"/>
    <n v="20430.820288810559"/>
  </r>
  <r>
    <s v="Regular"/>
    <x v="2"/>
    <x v="2"/>
    <x v="3"/>
    <x v="1"/>
    <x v="0"/>
    <x v="0"/>
    <x v="2"/>
    <x v="6"/>
    <n v="0"/>
    <n v="0"/>
    <n v="38.438000000000002"/>
    <n v="38.438000000000002"/>
    <n v="38.438000000000002"/>
    <n v="38.438000000000002"/>
    <n v="0"/>
    <x v="2"/>
    <n v="0"/>
    <n v="0"/>
    <n v="8"/>
    <n v="38"/>
    <n v="0"/>
    <n v="884.00419999999986"/>
    <n v="416.28839999999997"/>
    <m/>
    <n v="1075.115094740316"/>
    <n v="462.58111913443423"/>
    <n v="0"/>
    <n v="33979.353439599996"/>
    <n v="16001.2935192"/>
    <n v="0"/>
    <n v="40047.172753536674"/>
    <n v="17780.693057289383"/>
  </r>
  <r>
    <s v="Regular"/>
    <x v="2"/>
    <x v="2"/>
    <x v="3"/>
    <x v="1"/>
    <x v="0"/>
    <x v="0"/>
    <x v="2"/>
    <x v="7"/>
    <n v="0"/>
    <n v="0"/>
    <n v="42.649000000000001"/>
    <n v="42.649000000000001"/>
    <n v="42.649000000000001"/>
    <n v="42.649000000000001"/>
    <n v="0"/>
    <x v="2"/>
    <n v="0"/>
    <n v="0"/>
    <n v="8"/>
    <n v="38"/>
    <n v="0"/>
    <n v="884.00419999999986"/>
    <n v="416.28839999999997"/>
    <m/>
    <n v="1075.115094740316"/>
    <n v="462.58111913443423"/>
    <n v="0"/>
    <n v="37701.895125799994"/>
    <n v="17754.283971599998"/>
    <n v="0"/>
    <n v="44434.462530974182"/>
    <n v="19728.622149964485"/>
  </r>
  <r>
    <s v="Regular"/>
    <x v="2"/>
    <x v="2"/>
    <x v="3"/>
    <x v="1"/>
    <x v="0"/>
    <x v="0"/>
    <x v="2"/>
    <x v="8"/>
    <n v="0"/>
    <n v="0"/>
    <n v="38.14"/>
    <n v="38.14"/>
    <n v="38.14"/>
    <n v="38.14"/>
    <n v="0"/>
    <x v="2"/>
    <n v="0"/>
    <n v="0"/>
    <n v="8"/>
    <n v="38"/>
    <n v="0"/>
    <n v="884.00419999999986"/>
    <n v="416.28839999999997"/>
    <m/>
    <n v="1075.115094740316"/>
    <n v="462.58111913443423"/>
    <n v="0"/>
    <n v="33715.920187999996"/>
    <n v="15877.239575999998"/>
    <n v="0"/>
    <n v="39736.697248032899"/>
    <n v="17642.843883787322"/>
  </r>
  <r>
    <s v="Regular"/>
    <x v="2"/>
    <x v="2"/>
    <x v="3"/>
    <x v="1"/>
    <x v="0"/>
    <x v="0"/>
    <x v="2"/>
    <x v="9"/>
    <n v="0"/>
    <n v="0"/>
    <n v="42.067"/>
    <n v="42.067"/>
    <n v="42.067"/>
    <n v="42.067"/>
    <n v="0"/>
    <x v="2"/>
    <n v="0"/>
    <n v="0"/>
    <n v="8"/>
    <n v="38"/>
    <n v="0"/>
    <n v="884.00419999999986"/>
    <n v="416.28839999999997"/>
    <m/>
    <n v="1075.115094740316"/>
    <n v="462.58111913443423"/>
    <n v="0"/>
    <n v="37187.404681399996"/>
    <n v="17512.004122799997"/>
    <n v="0"/>
    <n v="43828.097617540647"/>
    <n v="19459.399938628245"/>
  </r>
  <r>
    <s v="Regular"/>
    <x v="2"/>
    <x v="2"/>
    <x v="3"/>
    <x v="1"/>
    <x v="0"/>
    <x v="0"/>
    <x v="2"/>
    <x v="10"/>
    <n v="0"/>
    <n v="0"/>
    <n v="40.218000000000004"/>
    <n v="40.218000000000004"/>
    <n v="40.218000000000004"/>
    <n v="40.218000000000004"/>
    <n v="0"/>
    <x v="2"/>
    <n v="0"/>
    <n v="0"/>
    <n v="8"/>
    <n v="38"/>
    <n v="0"/>
    <n v="884.00419999999986"/>
    <n v="416.28839999999997"/>
    <m/>
    <n v="1075.115094740316"/>
    <n v="462.58111913443423"/>
    <n v="0"/>
    <n v="35552.880915599999"/>
    <n v="16742.286871200002"/>
    <n v="0"/>
    <n v="41901.690873659871"/>
    <n v="18604.087449348677"/>
  </r>
  <r>
    <s v="PROJETADO"/>
    <x v="2"/>
    <x v="2"/>
    <x v="3"/>
    <x v="1"/>
    <x v="0"/>
    <x v="0"/>
    <x v="2"/>
    <x v="11"/>
    <n v="0"/>
    <n v="0"/>
    <n v="40.218000000000004"/>
    <n v="40.218000000000004"/>
    <n v="40.218000000000004"/>
    <n v="40.218000000000004"/>
    <n v="0"/>
    <x v="2"/>
    <n v="0"/>
    <n v="0"/>
    <n v="8"/>
    <n v="38"/>
    <n v="0"/>
    <n v="884.00419999999986"/>
    <n v="416.28839999999997"/>
    <m/>
    <n v="1075.115094740316"/>
    <n v="462.58111913443423"/>
    <n v="0"/>
    <n v="35552.880915599999"/>
    <n v="16742.286871200002"/>
    <n v="0"/>
    <n v="41901.690873659871"/>
    <n v="18604.087449348677"/>
  </r>
  <r>
    <s v="Regular"/>
    <x v="3"/>
    <x v="2"/>
    <x v="2"/>
    <x v="0"/>
    <x v="0"/>
    <x v="0"/>
    <x v="0"/>
    <x v="0"/>
    <n v="0"/>
    <n v="0"/>
    <n v="48.823999999999998"/>
    <n v="48.823999999999998"/>
    <n v="48.823999999999998"/>
    <n v="48.823999999999998"/>
    <n v="0"/>
    <x v="2"/>
    <n v="0"/>
    <n v="0"/>
    <n v="45"/>
    <n v="70"/>
    <n v="0"/>
    <n v="105.73"/>
    <n v="278.67"/>
    <m/>
    <n v="163.4630843198542"/>
    <n v="295.87360985530717"/>
    <n v="0"/>
    <n v="5162.1615199999997"/>
    <n v="13605.784079999999"/>
    <n v="0"/>
    <n v="7980.9216288325615"/>
    <n v="14445.733127575517"/>
  </r>
  <r>
    <s v="Regular"/>
    <x v="3"/>
    <x v="2"/>
    <x v="2"/>
    <x v="0"/>
    <x v="0"/>
    <x v="0"/>
    <x v="0"/>
    <x v="1"/>
    <n v="0"/>
    <n v="0"/>
    <n v="21.030999999999999"/>
    <n v="21.030999999999999"/>
    <n v="21.030999999999999"/>
    <n v="21.030999999999999"/>
    <n v="0"/>
    <x v="2"/>
    <n v="0"/>
    <n v="0"/>
    <n v="45"/>
    <n v="70"/>
    <n v="0"/>
    <n v="105.73"/>
    <n v="278.67"/>
    <m/>
    <n v="163.4630843198542"/>
    <n v="295.87360985530717"/>
    <n v="0"/>
    <n v="2223.60763"/>
    <n v="5860.7087700000002"/>
    <n v="0"/>
    <n v="3437.7921263308535"/>
    <n v="6222.5178888669643"/>
  </r>
  <r>
    <s v="Regular"/>
    <x v="3"/>
    <x v="2"/>
    <x v="2"/>
    <x v="0"/>
    <x v="0"/>
    <x v="0"/>
    <x v="0"/>
    <x v="2"/>
    <n v="0"/>
    <n v="0"/>
    <n v="21.280999999999999"/>
    <n v="21.280999999999999"/>
    <n v="21.280999999999999"/>
    <n v="21.280999999999999"/>
    <n v="0"/>
    <x v="2"/>
    <n v="0"/>
    <n v="0"/>
    <n v="45"/>
    <n v="70"/>
    <n v="0"/>
    <n v="105.73"/>
    <n v="278.67"/>
    <m/>
    <n v="163.4630843198542"/>
    <n v="295.87360985530717"/>
    <n v="0"/>
    <n v="2250.0401299999999"/>
    <n v="5930.3762699999997"/>
    <n v="0"/>
    <n v="3478.657897410817"/>
    <n v="6296.4862913307916"/>
  </r>
  <r>
    <s v="Regular"/>
    <x v="3"/>
    <x v="2"/>
    <x v="2"/>
    <x v="0"/>
    <x v="0"/>
    <x v="0"/>
    <x v="0"/>
    <x v="3"/>
    <n v="0"/>
    <n v="0"/>
    <n v="21.846"/>
    <n v="21.846"/>
    <n v="21.846"/>
    <n v="21.846"/>
    <n v="0"/>
    <x v="2"/>
    <n v="0"/>
    <n v="0"/>
    <n v="45"/>
    <n v="70"/>
    <n v="0"/>
    <n v="105.73"/>
    <n v="278.67"/>
    <m/>
    <n v="163.4630843198542"/>
    <n v="295.87360985530717"/>
    <n v="0"/>
    <n v="2309.7775799999999"/>
    <n v="6087.8248200000007"/>
    <n v="0"/>
    <n v="3571.0145400515348"/>
    <n v="6463.6548808990401"/>
  </r>
  <r>
    <s v="Regular"/>
    <x v="3"/>
    <x v="2"/>
    <x v="2"/>
    <x v="0"/>
    <x v="0"/>
    <x v="0"/>
    <x v="0"/>
    <x v="4"/>
    <n v="0"/>
    <n v="0"/>
    <n v="18.599"/>
    <n v="18.599"/>
    <n v="18.599"/>
    <n v="18.599"/>
    <n v="0"/>
    <x v="2"/>
    <n v="0"/>
    <n v="0"/>
    <n v="45"/>
    <n v="70"/>
    <n v="0"/>
    <n v="105.73"/>
    <n v="278.67"/>
    <m/>
    <n v="163.4630843198542"/>
    <n v="295.87360985530717"/>
    <n v="0"/>
    <n v="1966.4722700000002"/>
    <n v="5182.98333"/>
    <n v="0"/>
    <n v="3040.2499052649682"/>
    <n v="5502.9532696988581"/>
  </r>
  <r>
    <s v="Regular"/>
    <x v="3"/>
    <x v="2"/>
    <x v="2"/>
    <x v="0"/>
    <x v="0"/>
    <x v="0"/>
    <x v="0"/>
    <x v="5"/>
    <n v="0"/>
    <n v="0"/>
    <n v="23.963999999999999"/>
    <n v="23.963999999999999"/>
    <n v="23.963999999999999"/>
    <n v="23.963999999999999"/>
    <n v="0"/>
    <x v="2"/>
    <n v="0"/>
    <n v="0"/>
    <n v="45"/>
    <n v="70"/>
    <n v="0"/>
    <n v="105.73"/>
    <n v="278.67"/>
    <m/>
    <n v="163.4630843198542"/>
    <n v="295.87360985530717"/>
    <n v="0"/>
    <n v="2533.7137199999997"/>
    <n v="6678.0478800000001"/>
    <n v="0"/>
    <n v="3917.2293526409858"/>
    <n v="7090.3151865725804"/>
  </r>
  <r>
    <s v="Regular"/>
    <x v="3"/>
    <x v="2"/>
    <x v="2"/>
    <x v="0"/>
    <x v="0"/>
    <x v="0"/>
    <x v="0"/>
    <x v="6"/>
    <n v="0"/>
    <n v="0"/>
    <n v="20.87"/>
    <n v="20.87"/>
    <n v="20.87"/>
    <n v="20.87"/>
    <n v="0"/>
    <x v="2"/>
    <n v="0"/>
    <n v="0"/>
    <n v="45"/>
    <n v="70"/>
    <n v="0"/>
    <n v="105.73"/>
    <n v="278.67"/>
    <m/>
    <n v="163.4630843198542"/>
    <n v="295.87360985530717"/>
    <n v="0"/>
    <n v="2206.5851000000002"/>
    <n v="5815.8429000000006"/>
    <n v="0"/>
    <n v="3411.4745697553576"/>
    <n v="6174.8822376802609"/>
  </r>
  <r>
    <s v="Regular"/>
    <x v="3"/>
    <x v="2"/>
    <x v="2"/>
    <x v="0"/>
    <x v="0"/>
    <x v="0"/>
    <x v="0"/>
    <x v="7"/>
    <n v="0"/>
    <n v="0"/>
    <n v="14.413"/>
    <n v="14.413"/>
    <n v="14.413"/>
    <n v="14.413"/>
    <n v="0"/>
    <x v="2"/>
    <n v="0"/>
    <n v="0"/>
    <n v="45"/>
    <n v="70"/>
    <n v="0"/>
    <n v="105.73"/>
    <n v="278.67"/>
    <m/>
    <n v="163.4630843198542"/>
    <n v="295.87360985530717"/>
    <n v="0"/>
    <n v="1523.8864900000001"/>
    <n v="4016.4707100000005"/>
    <n v="0"/>
    <n v="2355.9934343020586"/>
    <n v="4264.4263388445424"/>
  </r>
  <r>
    <s v="Regular"/>
    <x v="3"/>
    <x v="2"/>
    <x v="2"/>
    <x v="0"/>
    <x v="0"/>
    <x v="0"/>
    <x v="0"/>
    <x v="8"/>
    <n v="0"/>
    <n v="0"/>
    <n v="13.066000000000001"/>
    <n v="13.066000000000001"/>
    <n v="13.066000000000001"/>
    <n v="13.066000000000001"/>
    <n v="0"/>
    <x v="2"/>
    <n v="0"/>
    <n v="0"/>
    <n v="45"/>
    <n v="70"/>
    <n v="0"/>
    <n v="105.73"/>
    <n v="278.67"/>
    <m/>
    <n v="163.4630843198542"/>
    <n v="295.87360985530717"/>
    <n v="0"/>
    <n v="1381.4681800000001"/>
    <n v="3641.1022200000002"/>
    <n v="0"/>
    <n v="2135.808659723215"/>
    <n v="3865.8845863694437"/>
  </r>
  <r>
    <s v="Regular"/>
    <x v="3"/>
    <x v="2"/>
    <x v="2"/>
    <x v="0"/>
    <x v="0"/>
    <x v="0"/>
    <x v="0"/>
    <x v="9"/>
    <n v="0"/>
    <n v="0"/>
    <n v="13.843"/>
    <n v="13.843"/>
    <n v="13.843"/>
    <n v="13.843"/>
    <n v="0"/>
    <x v="2"/>
    <n v="0"/>
    <n v="0"/>
    <n v="45"/>
    <n v="70"/>
    <n v="0"/>
    <n v="105.73"/>
    <n v="278.67"/>
    <m/>
    <n v="163.4630843198542"/>
    <n v="295.87360985530717"/>
    <n v="0"/>
    <n v="1463.62039"/>
    <n v="3857.6288100000002"/>
    <n v="0"/>
    <n v="2262.8194762397416"/>
    <n v="4095.7783812270172"/>
  </r>
  <r>
    <s v="Regular"/>
    <x v="3"/>
    <x v="2"/>
    <x v="2"/>
    <x v="0"/>
    <x v="0"/>
    <x v="0"/>
    <x v="0"/>
    <x v="10"/>
    <n v="0"/>
    <n v="0"/>
    <n v="14.516"/>
    <n v="14.516"/>
    <n v="14.516"/>
    <n v="14.516"/>
    <n v="0"/>
    <x v="2"/>
    <n v="0"/>
    <n v="0"/>
    <n v="45"/>
    <n v="70"/>
    <n v="0"/>
    <n v="105.73"/>
    <n v="278.67"/>
    <m/>
    <n v="163.4630843198542"/>
    <n v="295.87360985530717"/>
    <n v="0"/>
    <n v="1534.7766800000002"/>
    <n v="4045.1737200000002"/>
    <n v="0"/>
    <n v="2372.8301319870038"/>
    <n v="4294.9013206596392"/>
  </r>
  <r>
    <s v="PROJETADO"/>
    <x v="3"/>
    <x v="2"/>
    <x v="2"/>
    <x v="0"/>
    <x v="0"/>
    <x v="0"/>
    <x v="0"/>
    <x v="11"/>
    <n v="0"/>
    <n v="0"/>
    <n v="14.516"/>
    <n v="14.516"/>
    <n v="14.516"/>
    <n v="14.516"/>
    <n v="0"/>
    <x v="2"/>
    <n v="0"/>
    <n v="0"/>
    <n v="45"/>
    <n v="70"/>
    <n v="0"/>
    <n v="105.73"/>
    <n v="278.67"/>
    <m/>
    <n v="163.4630843198542"/>
    <n v="295.87360985530717"/>
    <n v="0"/>
    <n v="1534.7766800000002"/>
    <n v="4045.1737200000002"/>
    <n v="0"/>
    <n v="2372.8301319870038"/>
    <n v="4294.9013206596392"/>
  </r>
  <r>
    <s v="Regular"/>
    <x v="3"/>
    <x v="2"/>
    <x v="2"/>
    <x v="0"/>
    <x v="0"/>
    <x v="0"/>
    <x v="1"/>
    <x v="0"/>
    <n v="241"/>
    <n v="241"/>
    <n v="0"/>
    <n v="0"/>
    <n v="0"/>
    <n v="0"/>
    <n v="3"/>
    <x v="2"/>
    <n v="0"/>
    <n v="13"/>
    <n v="0"/>
    <n v="0"/>
    <n v="11.74"/>
    <n v="0"/>
    <n v="0"/>
    <n v="13.331960206679717"/>
    <m/>
    <m/>
    <n v="2829.34"/>
    <n v="0"/>
    <n v="0"/>
    <n v="3213.002409809812"/>
    <n v="0"/>
    <n v="0"/>
  </r>
  <r>
    <s v="Regular"/>
    <x v="3"/>
    <x v="2"/>
    <x v="2"/>
    <x v="0"/>
    <x v="0"/>
    <x v="0"/>
    <x v="1"/>
    <x v="1"/>
    <n v="140"/>
    <n v="140"/>
    <n v="0"/>
    <n v="0"/>
    <n v="0"/>
    <n v="0"/>
    <n v="2"/>
    <x v="2"/>
    <n v="0"/>
    <n v="13"/>
    <n v="0"/>
    <n v="0"/>
    <n v="11.74"/>
    <n v="0"/>
    <n v="0"/>
    <n v="13.331960206679717"/>
    <m/>
    <m/>
    <n v="1643.6000000000001"/>
    <n v="0"/>
    <n v="0"/>
    <n v="1866.4744289351604"/>
    <n v="0"/>
    <n v="0"/>
  </r>
  <r>
    <s v="Regular"/>
    <x v="3"/>
    <x v="2"/>
    <x v="2"/>
    <x v="0"/>
    <x v="0"/>
    <x v="0"/>
    <x v="1"/>
    <x v="2"/>
    <n v="140"/>
    <n v="140"/>
    <n v="0"/>
    <n v="0"/>
    <n v="0"/>
    <n v="0"/>
    <n v="2"/>
    <x v="2"/>
    <n v="0"/>
    <n v="13"/>
    <n v="0"/>
    <n v="0"/>
    <n v="11.74"/>
    <n v="0"/>
    <n v="0"/>
    <n v="13.331960206679717"/>
    <m/>
    <m/>
    <n v="1643.6000000000001"/>
    <n v="0"/>
    <n v="0"/>
    <n v="1866.4744289351604"/>
    <n v="0"/>
    <n v="0"/>
  </r>
  <r>
    <s v="Regular"/>
    <x v="3"/>
    <x v="2"/>
    <x v="2"/>
    <x v="0"/>
    <x v="0"/>
    <x v="0"/>
    <x v="1"/>
    <x v="3"/>
    <n v="140"/>
    <n v="140"/>
    <n v="0"/>
    <n v="0"/>
    <n v="0"/>
    <n v="0"/>
    <n v="2"/>
    <x v="2"/>
    <n v="0"/>
    <n v="13"/>
    <n v="0"/>
    <n v="0"/>
    <n v="11.74"/>
    <n v="0"/>
    <n v="0"/>
    <n v="13.331960206679717"/>
    <m/>
    <m/>
    <n v="1643.6000000000001"/>
    <n v="0"/>
    <n v="0"/>
    <n v="1866.4744289351604"/>
    <n v="0"/>
    <n v="0"/>
  </r>
  <r>
    <s v="Regular"/>
    <x v="3"/>
    <x v="2"/>
    <x v="2"/>
    <x v="0"/>
    <x v="0"/>
    <x v="0"/>
    <x v="1"/>
    <x v="4"/>
    <n v="140"/>
    <n v="140"/>
    <n v="0"/>
    <n v="0"/>
    <n v="0"/>
    <n v="0"/>
    <n v="2"/>
    <x v="2"/>
    <n v="0"/>
    <n v="13"/>
    <n v="0"/>
    <n v="0"/>
    <n v="11.74"/>
    <n v="0"/>
    <n v="0"/>
    <n v="13.331960206679717"/>
    <m/>
    <m/>
    <n v="1643.6000000000001"/>
    <n v="0"/>
    <n v="0"/>
    <n v="1866.4744289351604"/>
    <n v="0"/>
    <n v="0"/>
  </r>
  <r>
    <s v="Regular"/>
    <x v="3"/>
    <x v="2"/>
    <x v="2"/>
    <x v="0"/>
    <x v="0"/>
    <x v="0"/>
    <x v="1"/>
    <x v="5"/>
    <n v="140"/>
    <n v="140"/>
    <n v="0"/>
    <n v="0"/>
    <n v="0"/>
    <n v="0"/>
    <n v="2"/>
    <x v="2"/>
    <n v="0"/>
    <n v="13"/>
    <n v="0"/>
    <n v="0"/>
    <n v="11.74"/>
    <n v="0"/>
    <n v="0"/>
    <n v="13.331960206679717"/>
    <m/>
    <m/>
    <n v="1643.6000000000001"/>
    <n v="0"/>
    <n v="0"/>
    <n v="1866.4744289351604"/>
    <n v="0"/>
    <n v="0"/>
  </r>
  <r>
    <s v="Regular"/>
    <x v="3"/>
    <x v="2"/>
    <x v="2"/>
    <x v="0"/>
    <x v="0"/>
    <x v="0"/>
    <x v="1"/>
    <x v="6"/>
    <n v="140"/>
    <n v="140"/>
    <n v="0"/>
    <n v="0"/>
    <n v="0"/>
    <n v="0"/>
    <n v="2"/>
    <x v="2"/>
    <n v="0"/>
    <n v="13"/>
    <n v="0"/>
    <n v="0"/>
    <n v="11.74"/>
    <n v="0"/>
    <n v="0"/>
    <n v="13.331960206679717"/>
    <m/>
    <m/>
    <n v="1643.6000000000001"/>
    <n v="0"/>
    <n v="0"/>
    <n v="1866.4744289351604"/>
    <n v="0"/>
    <n v="0"/>
  </r>
  <r>
    <s v="Regular"/>
    <x v="3"/>
    <x v="2"/>
    <x v="2"/>
    <x v="0"/>
    <x v="0"/>
    <x v="0"/>
    <x v="1"/>
    <x v="7"/>
    <n v="140"/>
    <n v="140"/>
    <n v="0"/>
    <n v="0"/>
    <n v="0"/>
    <n v="0"/>
    <n v="2"/>
    <x v="2"/>
    <n v="0"/>
    <n v="13"/>
    <n v="0"/>
    <n v="0"/>
    <n v="11.74"/>
    <n v="0"/>
    <n v="0"/>
    <n v="13.331960206679717"/>
    <m/>
    <m/>
    <n v="1643.6000000000001"/>
    <n v="0"/>
    <n v="0"/>
    <n v="1866.4744289351604"/>
    <n v="0"/>
    <n v="0"/>
  </r>
  <r>
    <s v="Regular"/>
    <x v="3"/>
    <x v="2"/>
    <x v="2"/>
    <x v="0"/>
    <x v="0"/>
    <x v="0"/>
    <x v="1"/>
    <x v="8"/>
    <n v="140"/>
    <n v="140"/>
    <n v="0"/>
    <n v="0"/>
    <n v="0"/>
    <n v="0"/>
    <n v="2"/>
    <x v="2"/>
    <n v="0"/>
    <n v="13"/>
    <n v="0"/>
    <n v="0"/>
    <n v="11.74"/>
    <n v="0"/>
    <n v="0"/>
    <n v="13.331960206679717"/>
    <m/>
    <m/>
    <n v="1643.6000000000001"/>
    <n v="0"/>
    <n v="0"/>
    <n v="1866.4744289351604"/>
    <n v="0"/>
    <n v="0"/>
  </r>
  <r>
    <s v="Regular"/>
    <x v="3"/>
    <x v="2"/>
    <x v="2"/>
    <x v="0"/>
    <x v="0"/>
    <x v="0"/>
    <x v="1"/>
    <x v="9"/>
    <n v="140"/>
    <n v="140"/>
    <n v="0"/>
    <n v="0"/>
    <n v="0"/>
    <n v="0"/>
    <n v="2"/>
    <x v="2"/>
    <n v="0"/>
    <n v="13"/>
    <n v="0"/>
    <n v="0"/>
    <n v="11.74"/>
    <n v="0"/>
    <n v="0"/>
    <n v="13.331960206679717"/>
    <m/>
    <m/>
    <n v="1643.6000000000001"/>
    <n v="0"/>
    <n v="0"/>
    <n v="1866.4744289351604"/>
    <n v="0"/>
    <n v="0"/>
  </r>
  <r>
    <s v="Regular"/>
    <x v="3"/>
    <x v="2"/>
    <x v="2"/>
    <x v="0"/>
    <x v="0"/>
    <x v="0"/>
    <x v="1"/>
    <x v="10"/>
    <n v="140"/>
    <n v="140"/>
    <n v="0"/>
    <n v="0"/>
    <n v="0"/>
    <n v="0"/>
    <n v="2"/>
    <x v="2"/>
    <n v="0"/>
    <n v="13"/>
    <n v="0"/>
    <n v="0"/>
    <n v="11.74"/>
    <n v="0"/>
    <n v="0"/>
    <n v="13.331960206679717"/>
    <m/>
    <m/>
    <n v="1643.6000000000001"/>
    <n v="0"/>
    <n v="0"/>
    <n v="1866.4744289351604"/>
    <n v="0"/>
    <n v="0"/>
  </r>
  <r>
    <s v="PROJETADO"/>
    <x v="3"/>
    <x v="2"/>
    <x v="2"/>
    <x v="0"/>
    <x v="0"/>
    <x v="0"/>
    <x v="1"/>
    <x v="11"/>
    <n v="140"/>
    <n v="140"/>
    <n v="0"/>
    <n v="0"/>
    <n v="0"/>
    <n v="0"/>
    <n v="2"/>
    <x v="2"/>
    <n v="0"/>
    <n v="13"/>
    <n v="0"/>
    <n v="0"/>
    <n v="11.74"/>
    <n v="0"/>
    <n v="0"/>
    <n v="13.331960206679717"/>
    <m/>
    <m/>
    <n v="1643.6000000000001"/>
    <n v="0"/>
    <n v="0"/>
    <n v="1866.4744289351604"/>
    <n v="0"/>
    <n v="0"/>
  </r>
  <r>
    <s v="Regular"/>
    <x v="3"/>
    <x v="2"/>
    <x v="2"/>
    <x v="0"/>
    <x v="0"/>
    <x v="0"/>
    <x v="2"/>
    <x v="0"/>
    <n v="0"/>
    <n v="0"/>
    <n v="4.8680000000000003"/>
    <n v="4.8680000000000003"/>
    <n v="4.8680000000000003"/>
    <n v="4.8680000000000003"/>
    <n v="0"/>
    <x v="2"/>
    <n v="0"/>
    <n v="0"/>
    <n v="32"/>
    <n v="92"/>
    <n v="0"/>
    <n v="1604.46"/>
    <n v="442.86"/>
    <m/>
    <n v="1874.5731973315721"/>
    <n v="476.88775168498375"/>
    <n v="0"/>
    <n v="7810.5112800000006"/>
    <n v="2155.8424800000003"/>
    <n v="0"/>
    <n v="9125.4223246100937"/>
    <n v="2321.4895752025009"/>
  </r>
  <r>
    <s v="Regular"/>
    <x v="3"/>
    <x v="2"/>
    <x v="2"/>
    <x v="0"/>
    <x v="0"/>
    <x v="0"/>
    <x v="2"/>
    <x v="1"/>
    <n v="0"/>
    <n v="0"/>
    <n v="1.2549999999999999"/>
    <n v="1.2549999999999999"/>
    <n v="1.2549999999999999"/>
    <n v="1.2549999999999999"/>
    <n v="0"/>
    <x v="2"/>
    <n v="0"/>
    <n v="0"/>
    <n v="32"/>
    <n v="92"/>
    <n v="0"/>
    <n v="1604.46"/>
    <n v="442.86"/>
    <m/>
    <n v="1874.5731973315721"/>
    <n v="476.88775168498375"/>
    <n v="0"/>
    <n v="2013.5972999999999"/>
    <n v="555.78930000000003"/>
    <n v="0"/>
    <n v="2352.5893626511229"/>
    <n v="598.49412836465456"/>
  </r>
  <r>
    <s v="Regular"/>
    <x v="3"/>
    <x v="2"/>
    <x v="2"/>
    <x v="0"/>
    <x v="0"/>
    <x v="0"/>
    <x v="2"/>
    <x v="2"/>
    <n v="0"/>
    <n v="0"/>
    <n v="1.3480000000000001"/>
    <n v="1.3480000000000001"/>
    <n v="1.3480000000000001"/>
    <n v="1.3480000000000001"/>
    <n v="0"/>
    <x v="2"/>
    <n v="0"/>
    <n v="0"/>
    <n v="32"/>
    <n v="92"/>
    <n v="0"/>
    <n v="1604.46"/>
    <n v="442.86"/>
    <m/>
    <n v="1874.5731973315721"/>
    <n v="476.88775168498375"/>
    <n v="0"/>
    <n v="2162.8120800000002"/>
    <n v="596.97528000000011"/>
    <n v="0"/>
    <n v="2526.9246700029594"/>
    <n v="642.84468927135811"/>
  </r>
  <r>
    <s v="Regular"/>
    <x v="3"/>
    <x v="2"/>
    <x v="2"/>
    <x v="0"/>
    <x v="0"/>
    <x v="0"/>
    <x v="2"/>
    <x v="3"/>
    <n v="0"/>
    <n v="0"/>
    <n v="1.35"/>
    <n v="1.35"/>
    <n v="1.35"/>
    <n v="1.35"/>
    <n v="0"/>
    <x v="2"/>
    <n v="0"/>
    <n v="0"/>
    <n v="32"/>
    <n v="92"/>
    <n v="0"/>
    <n v="1604.46"/>
    <n v="442.86"/>
    <m/>
    <n v="1874.5731973315721"/>
    <n v="476.88775168498375"/>
    <n v="0"/>
    <n v="2166.0210000000002"/>
    <n v="597.8610000000001"/>
    <n v="0"/>
    <n v="2530.6738163976224"/>
    <n v="643.79846477472813"/>
  </r>
  <r>
    <s v="Regular"/>
    <x v="3"/>
    <x v="2"/>
    <x v="2"/>
    <x v="0"/>
    <x v="0"/>
    <x v="0"/>
    <x v="2"/>
    <x v="4"/>
    <n v="0"/>
    <n v="0"/>
    <n v="1.1910000000000001"/>
    <n v="1.1910000000000001"/>
    <n v="1.1910000000000001"/>
    <n v="1.1910000000000001"/>
    <n v="0"/>
    <x v="2"/>
    <n v="0"/>
    <n v="0"/>
    <n v="32"/>
    <n v="92"/>
    <n v="0"/>
    <n v="1604.46"/>
    <n v="442.86"/>
    <m/>
    <n v="1874.5731973315721"/>
    <n v="476.88775168498375"/>
    <n v="0"/>
    <n v="1910.9118600000002"/>
    <n v="527.44626000000005"/>
    <n v="0"/>
    <n v="2232.6166780219023"/>
    <n v="567.97331225681569"/>
  </r>
  <r>
    <s v="Regular"/>
    <x v="3"/>
    <x v="2"/>
    <x v="2"/>
    <x v="0"/>
    <x v="0"/>
    <x v="0"/>
    <x v="2"/>
    <x v="5"/>
    <n v="0"/>
    <n v="0"/>
    <n v="1.3779999999999999"/>
    <n v="1.3779999999999999"/>
    <n v="1.3779999999999999"/>
    <n v="1.3779999999999999"/>
    <n v="0"/>
    <x v="2"/>
    <n v="0"/>
    <n v="0"/>
    <n v="32"/>
    <n v="92"/>
    <n v="0"/>
    <n v="1604.46"/>
    <n v="442.86"/>
    <m/>
    <n v="1874.5731973315721"/>
    <n v="476.88775168498375"/>
    <n v="0"/>
    <n v="2210.9458799999998"/>
    <n v="610.26107999999999"/>
    <n v="0"/>
    <n v="2583.1618659229061"/>
    <n v="657.15132182190757"/>
  </r>
  <r>
    <s v="Regular"/>
    <x v="3"/>
    <x v="2"/>
    <x v="2"/>
    <x v="0"/>
    <x v="0"/>
    <x v="0"/>
    <x v="2"/>
    <x v="6"/>
    <n v="0"/>
    <n v="0"/>
    <n v="1.228"/>
    <n v="1.228"/>
    <n v="1.228"/>
    <n v="1.228"/>
    <n v="0"/>
    <x v="2"/>
    <n v="0"/>
    <n v="0"/>
    <n v="32"/>
    <n v="92"/>
    <n v="0"/>
    <n v="1604.46"/>
    <n v="442.86"/>
    <m/>
    <n v="1874.5731973315721"/>
    <n v="476.88775168498375"/>
    <n v="0"/>
    <n v="1970.2768800000001"/>
    <n v="543.83208000000002"/>
    <n v="0"/>
    <n v="2301.9758863231705"/>
    <n v="585.61815906916001"/>
  </r>
  <r>
    <s v="Regular"/>
    <x v="3"/>
    <x v="2"/>
    <x v="2"/>
    <x v="0"/>
    <x v="0"/>
    <x v="0"/>
    <x v="2"/>
    <x v="7"/>
    <n v="0"/>
    <n v="0"/>
    <n v="1.1259999999999999"/>
    <n v="1.1259999999999999"/>
    <n v="1.1259999999999999"/>
    <n v="1.1259999999999999"/>
    <n v="0"/>
    <x v="2"/>
    <n v="0"/>
    <n v="0"/>
    <n v="32"/>
    <n v="92"/>
    <n v="0"/>
    <n v="1604.46"/>
    <n v="442.86"/>
    <m/>
    <n v="1874.5731973315721"/>
    <n v="476.88775168498375"/>
    <n v="0"/>
    <n v="1806.6219599999999"/>
    <n v="498.66035999999997"/>
    <n v="0"/>
    <n v="2110.76942019535"/>
    <n v="536.97560839729169"/>
  </r>
  <r>
    <s v="Regular"/>
    <x v="3"/>
    <x v="2"/>
    <x v="2"/>
    <x v="0"/>
    <x v="0"/>
    <x v="0"/>
    <x v="2"/>
    <x v="8"/>
    <n v="0"/>
    <n v="0"/>
    <n v="0.96099999999999997"/>
    <n v="0.96099999999999997"/>
    <n v="0.96099999999999997"/>
    <n v="0.96099999999999997"/>
    <n v="0"/>
    <x v="2"/>
    <n v="0"/>
    <n v="0"/>
    <n v="32"/>
    <n v="92"/>
    <n v="0"/>
    <n v="1604.46"/>
    <n v="442.86"/>
    <m/>
    <n v="1874.5731973315721"/>
    <n v="476.88775168498375"/>
    <n v="0"/>
    <n v="1541.88606"/>
    <n v="425.58846"/>
    <n v="0"/>
    <n v="1801.4648426356407"/>
    <n v="458.28912936926935"/>
  </r>
  <r>
    <s v="Regular"/>
    <x v="3"/>
    <x v="2"/>
    <x v="2"/>
    <x v="0"/>
    <x v="0"/>
    <x v="0"/>
    <x v="2"/>
    <x v="9"/>
    <n v="0"/>
    <n v="0"/>
    <n v="1.034"/>
    <n v="1.034"/>
    <n v="1.034"/>
    <n v="1.034"/>
    <n v="0"/>
    <x v="2"/>
    <n v="0"/>
    <n v="0"/>
    <n v="32"/>
    <n v="92"/>
    <n v="0"/>
    <n v="1604.46"/>
    <n v="442.86"/>
    <m/>
    <n v="1874.5731973315721"/>
    <n v="476.88775168498375"/>
    <n v="0"/>
    <n v="1659.0116400000002"/>
    <n v="457.91724000000005"/>
    <n v="0"/>
    <n v="1938.3086860408457"/>
    <n v="493.10193524227321"/>
  </r>
  <r>
    <s v="Regular"/>
    <x v="3"/>
    <x v="2"/>
    <x v="2"/>
    <x v="0"/>
    <x v="0"/>
    <x v="0"/>
    <x v="2"/>
    <x v="10"/>
    <n v="0"/>
    <n v="0"/>
    <n v="1.216"/>
    <n v="1.216"/>
    <n v="1.216"/>
    <n v="1.216"/>
    <n v="0"/>
    <x v="2"/>
    <n v="0"/>
    <n v="0"/>
    <n v="32"/>
    <n v="92"/>
    <n v="0"/>
    <n v="1604.46"/>
    <n v="442.86"/>
    <m/>
    <n v="1874.5731973315721"/>
    <n v="476.88775168498375"/>
    <n v="0"/>
    <n v="1951.0233599999999"/>
    <n v="538.51775999999995"/>
    <n v="0"/>
    <n v="2279.4810079551917"/>
    <n v="579.89550604894021"/>
  </r>
  <r>
    <s v="PROJETADO"/>
    <x v="3"/>
    <x v="2"/>
    <x v="2"/>
    <x v="0"/>
    <x v="0"/>
    <x v="0"/>
    <x v="2"/>
    <x v="11"/>
    <n v="0"/>
    <n v="0"/>
    <n v="1.216"/>
    <n v="1.216"/>
    <n v="1.216"/>
    <n v="1.216"/>
    <n v="0"/>
    <x v="2"/>
    <n v="0"/>
    <n v="0"/>
    <n v="32"/>
    <n v="92"/>
    <n v="0"/>
    <n v="1604.46"/>
    <n v="442.86"/>
    <m/>
    <n v="1874.5731973315721"/>
    <n v="476.88775168498375"/>
    <n v="0"/>
    <n v="1951.0233599999999"/>
    <n v="538.51775999999995"/>
    <n v="0"/>
    <n v="2279.4810079551917"/>
    <n v="579.89550604894021"/>
  </r>
  <r>
    <s v="Regular"/>
    <x v="3"/>
    <x v="2"/>
    <x v="0"/>
    <x v="0"/>
    <x v="1"/>
    <x v="0"/>
    <x v="0"/>
    <x v="1"/>
    <n v="0"/>
    <n v="0"/>
    <n v="27.018000000000001"/>
    <n v="27.018000000000001"/>
    <n v="0"/>
    <n v="0"/>
    <n v="0"/>
    <x v="0"/>
    <n v="0"/>
    <n v="0"/>
    <n v="45"/>
    <n v="0"/>
    <n v="0"/>
    <n v="105.73"/>
    <n v="0"/>
    <m/>
    <n v="163.4630843198542"/>
    <m/>
    <n v="0"/>
    <n v="2856.6131400000004"/>
    <n v="0"/>
    <n v="0"/>
    <n v="4416.4456121538205"/>
    <n v="0"/>
  </r>
  <r>
    <s v="Regular"/>
    <x v="3"/>
    <x v="2"/>
    <x v="0"/>
    <x v="0"/>
    <x v="1"/>
    <x v="0"/>
    <x v="0"/>
    <x v="2"/>
    <n v="0"/>
    <n v="0"/>
    <n v="27.103999999999999"/>
    <n v="27.103999999999999"/>
    <n v="0"/>
    <n v="0"/>
    <n v="0"/>
    <x v="0"/>
    <n v="0"/>
    <n v="0"/>
    <n v="45"/>
    <n v="0"/>
    <n v="0"/>
    <n v="105.73"/>
    <n v="0"/>
    <m/>
    <n v="163.4630843198542"/>
    <m/>
    <n v="0"/>
    <n v="2865.7059199999999"/>
    <n v="0"/>
    <n v="0"/>
    <n v="4430.5034374053284"/>
    <n v="0"/>
  </r>
  <r>
    <s v="Regular"/>
    <x v="3"/>
    <x v="2"/>
    <x v="0"/>
    <x v="0"/>
    <x v="1"/>
    <x v="0"/>
    <x v="0"/>
    <x v="3"/>
    <n v="0"/>
    <n v="0"/>
    <n v="26.242000000000001"/>
    <n v="26.242000000000001"/>
    <n v="0"/>
    <n v="0"/>
    <n v="0"/>
    <x v="0"/>
    <n v="0"/>
    <n v="0"/>
    <n v="45"/>
    <n v="0"/>
    <n v="0"/>
    <n v="105.73"/>
    <n v="0"/>
    <m/>
    <n v="163.4630843198542"/>
    <m/>
    <n v="0"/>
    <n v="2774.5666600000004"/>
    <n v="0"/>
    <n v="0"/>
    <n v="4289.598258721614"/>
    <n v="0"/>
  </r>
  <r>
    <s v="Regular"/>
    <x v="3"/>
    <x v="2"/>
    <x v="0"/>
    <x v="0"/>
    <x v="1"/>
    <x v="0"/>
    <x v="0"/>
    <x v="4"/>
    <n v="0"/>
    <n v="0"/>
    <n v="24.724"/>
    <n v="24.724"/>
    <n v="0"/>
    <n v="0"/>
    <n v="0"/>
    <x v="0"/>
    <n v="0"/>
    <n v="0"/>
    <n v="45"/>
    <n v="0"/>
    <n v="0"/>
    <n v="105.73"/>
    <n v="0"/>
    <m/>
    <n v="163.4630843198542"/>
    <m/>
    <n v="0"/>
    <n v="2614.0685200000003"/>
    <n v="0"/>
    <n v="0"/>
    <n v="4041.4612967240755"/>
    <n v="0"/>
  </r>
  <r>
    <s v="Regular"/>
    <x v="3"/>
    <x v="2"/>
    <x v="0"/>
    <x v="0"/>
    <x v="1"/>
    <x v="0"/>
    <x v="0"/>
    <x v="5"/>
    <n v="0"/>
    <n v="0"/>
    <n v="28.736000000000001"/>
    <n v="28.736000000000001"/>
    <n v="0"/>
    <n v="0"/>
    <n v="0"/>
    <x v="0"/>
    <n v="0"/>
    <n v="0"/>
    <n v="45"/>
    <n v="0"/>
    <n v="0"/>
    <n v="105.73"/>
    <n v="0"/>
    <m/>
    <n v="163.4630843198542"/>
    <m/>
    <n v="0"/>
    <n v="3038.2572800000003"/>
    <n v="0"/>
    <n v="0"/>
    <n v="4697.2751910153302"/>
    <n v="0"/>
  </r>
  <r>
    <s v="Regular"/>
    <x v="3"/>
    <x v="2"/>
    <x v="0"/>
    <x v="0"/>
    <x v="1"/>
    <x v="0"/>
    <x v="0"/>
    <x v="6"/>
    <n v="0"/>
    <n v="0"/>
    <n v="25.777999999999999"/>
    <n v="25.777999999999999"/>
    <n v="0"/>
    <n v="0"/>
    <n v="0"/>
    <x v="0"/>
    <n v="0"/>
    <n v="0"/>
    <n v="45"/>
    <n v="0"/>
    <n v="0"/>
    <n v="105.73"/>
    <n v="0"/>
    <m/>
    <n v="163.4630843198542"/>
    <m/>
    <n v="0"/>
    <n v="2725.50794"/>
    <n v="0"/>
    <n v="0"/>
    <n v="4213.7513875972018"/>
    <n v="0"/>
  </r>
  <r>
    <s v="Regular"/>
    <x v="3"/>
    <x v="2"/>
    <x v="0"/>
    <x v="0"/>
    <x v="1"/>
    <x v="0"/>
    <x v="0"/>
    <x v="7"/>
    <n v="0"/>
    <n v="0"/>
    <n v="18.988"/>
    <n v="18.988"/>
    <n v="0"/>
    <n v="0"/>
    <n v="0"/>
    <x v="0"/>
    <n v="0"/>
    <n v="0"/>
    <n v="45"/>
    <n v="0"/>
    <n v="0"/>
    <n v="105.73"/>
    <n v="0"/>
    <m/>
    <n v="163.4630843198542"/>
    <m/>
    <n v="0"/>
    <n v="2007.60124"/>
    <n v="0"/>
    <n v="0"/>
    <n v="3103.8370450653915"/>
    <n v="0"/>
  </r>
  <r>
    <s v="Regular"/>
    <x v="3"/>
    <x v="2"/>
    <x v="0"/>
    <x v="0"/>
    <x v="1"/>
    <x v="0"/>
    <x v="0"/>
    <x v="8"/>
    <n v="0"/>
    <n v="0"/>
    <n v="17.864999999999998"/>
    <n v="17.864999999999998"/>
    <n v="0"/>
    <n v="0"/>
    <n v="0"/>
    <x v="0"/>
    <n v="0"/>
    <n v="0"/>
    <n v="45"/>
    <n v="0"/>
    <n v="0"/>
    <n v="105.73"/>
    <n v="0"/>
    <m/>
    <n v="163.4630843198542"/>
    <m/>
    <n v="0"/>
    <n v="1888.86645"/>
    <n v="0"/>
    <n v="0"/>
    <n v="2920.2680013741951"/>
    <n v="0"/>
  </r>
  <r>
    <s v="Regular"/>
    <x v="3"/>
    <x v="2"/>
    <x v="0"/>
    <x v="0"/>
    <x v="1"/>
    <x v="0"/>
    <x v="0"/>
    <x v="9"/>
    <n v="0"/>
    <n v="0"/>
    <n v="20.734000000000002"/>
    <n v="20.734000000000002"/>
    <n v="0"/>
    <n v="0"/>
    <n v="0"/>
    <x v="0"/>
    <n v="0"/>
    <n v="0"/>
    <n v="45"/>
    <n v="0"/>
    <n v="0"/>
    <n v="105.73"/>
    <n v="0"/>
    <m/>
    <n v="163.4630843198542"/>
    <m/>
    <n v="0"/>
    <n v="2192.2058200000001"/>
    <n v="0"/>
    <n v="0"/>
    <n v="3389.2435902878574"/>
    <n v="0"/>
  </r>
  <r>
    <s v="Regular"/>
    <x v="3"/>
    <x v="2"/>
    <x v="0"/>
    <x v="0"/>
    <x v="1"/>
    <x v="0"/>
    <x v="0"/>
    <x v="10"/>
    <n v="0"/>
    <n v="0"/>
    <n v="22.969000000000001"/>
    <n v="22.969000000000001"/>
    <n v="0"/>
    <n v="0"/>
    <n v="0"/>
    <x v="0"/>
    <n v="0"/>
    <n v="0"/>
    <n v="45"/>
    <n v="0"/>
    <n v="0"/>
    <n v="105.73"/>
    <n v="0"/>
    <m/>
    <n v="163.4630843198542"/>
    <m/>
    <n v="0"/>
    <n v="2428.5123700000004"/>
    <n v="0"/>
    <n v="0"/>
    <n v="3754.5835837427312"/>
    <n v="0"/>
  </r>
  <r>
    <s v="PROJETADO"/>
    <x v="3"/>
    <x v="2"/>
    <x v="0"/>
    <x v="0"/>
    <x v="1"/>
    <x v="0"/>
    <x v="0"/>
    <x v="11"/>
    <n v="0"/>
    <n v="0"/>
    <n v="22.969000000000001"/>
    <n v="22.969000000000001"/>
    <n v="0"/>
    <n v="0"/>
    <n v="0"/>
    <x v="0"/>
    <n v="0"/>
    <n v="0"/>
    <n v="45"/>
    <n v="0"/>
    <n v="0"/>
    <n v="105.73"/>
    <n v="0"/>
    <m/>
    <n v="163.4630843198542"/>
    <m/>
    <n v="0"/>
    <n v="2428.5123700000004"/>
    <n v="0"/>
    <n v="0"/>
    <n v="3754.5835837427312"/>
    <n v="0"/>
  </r>
  <r>
    <s v="Regular"/>
    <x v="3"/>
    <x v="2"/>
    <x v="0"/>
    <x v="0"/>
    <x v="1"/>
    <x v="0"/>
    <x v="1"/>
    <x v="1"/>
    <n v="101"/>
    <n v="50.5"/>
    <n v="0"/>
    <n v="0"/>
    <n v="0"/>
    <n v="0"/>
    <n v="1"/>
    <x v="0"/>
    <n v="0"/>
    <n v="13"/>
    <n v="0"/>
    <n v="0"/>
    <n v="11.74"/>
    <n v="0"/>
    <n v="0"/>
    <n v="13.331960206679717"/>
    <m/>
    <m/>
    <n v="592.87"/>
    <n v="0"/>
    <n v="0"/>
    <n v="673.26399043732567"/>
    <n v="0"/>
    <n v="0"/>
  </r>
  <r>
    <s v="Regular"/>
    <x v="3"/>
    <x v="2"/>
    <x v="0"/>
    <x v="0"/>
    <x v="1"/>
    <x v="0"/>
    <x v="1"/>
    <x v="2"/>
    <n v="101"/>
    <n v="50.5"/>
    <n v="0"/>
    <n v="0"/>
    <n v="0"/>
    <n v="0"/>
    <n v="1"/>
    <x v="0"/>
    <n v="0"/>
    <n v="13"/>
    <n v="0"/>
    <n v="0"/>
    <n v="11.74"/>
    <n v="0"/>
    <n v="0"/>
    <n v="13.331960206679717"/>
    <m/>
    <m/>
    <n v="592.87"/>
    <n v="0"/>
    <n v="0"/>
    <n v="673.26399043732567"/>
    <n v="0"/>
    <n v="0"/>
  </r>
  <r>
    <s v="Regular"/>
    <x v="3"/>
    <x v="2"/>
    <x v="0"/>
    <x v="0"/>
    <x v="1"/>
    <x v="0"/>
    <x v="1"/>
    <x v="3"/>
    <n v="101"/>
    <n v="50.614991529999998"/>
    <n v="0"/>
    <n v="0"/>
    <n v="0"/>
    <n v="0"/>
    <n v="1"/>
    <x v="0"/>
    <n v="0"/>
    <n v="13"/>
    <n v="0"/>
    <n v="0"/>
    <n v="11.74"/>
    <n v="0"/>
    <n v="0"/>
    <n v="13.331960206679717"/>
    <m/>
    <m/>
    <n v="594.22000056219997"/>
    <n v="0"/>
    <n v="0"/>
    <n v="674.79705293939094"/>
    <n v="0"/>
    <n v="0"/>
  </r>
  <r>
    <s v="Regular"/>
    <x v="3"/>
    <x v="2"/>
    <x v="0"/>
    <x v="0"/>
    <x v="1"/>
    <x v="0"/>
    <x v="1"/>
    <x v="4"/>
    <n v="101"/>
    <n v="50.574105719999999"/>
    <n v="0"/>
    <n v="0"/>
    <n v="0"/>
    <n v="0"/>
    <n v="1"/>
    <x v="0"/>
    <n v="0"/>
    <n v="13"/>
    <n v="0"/>
    <n v="0"/>
    <n v="11.74"/>
    <n v="0"/>
    <n v="0"/>
    <n v="13.331960206679717"/>
    <m/>
    <m/>
    <n v="593.74000115280001"/>
    <n v="0"/>
    <n v="0"/>
    <n v="674.25196494745308"/>
    <n v="0"/>
    <n v="0"/>
  </r>
  <r>
    <s v="Regular"/>
    <x v="3"/>
    <x v="2"/>
    <x v="0"/>
    <x v="0"/>
    <x v="1"/>
    <x v="0"/>
    <x v="1"/>
    <x v="5"/>
    <n v="101"/>
    <n v="50.563032079999999"/>
    <n v="0"/>
    <n v="0"/>
    <n v="0"/>
    <n v="0"/>
    <n v="1"/>
    <x v="0"/>
    <n v="0"/>
    <n v="13"/>
    <n v="0"/>
    <n v="0"/>
    <n v="11.74"/>
    <n v="0"/>
    <n v="0"/>
    <n v="13.331960206679717"/>
    <m/>
    <m/>
    <n v="593.60999661920005"/>
    <n v="0"/>
    <n v="0"/>
    <n v="674.10433161962999"/>
    <n v="0"/>
    <n v="0"/>
  </r>
  <r>
    <s v="Regular"/>
    <x v="3"/>
    <x v="2"/>
    <x v="0"/>
    <x v="0"/>
    <x v="1"/>
    <x v="0"/>
    <x v="1"/>
    <x v="6"/>
    <n v="101"/>
    <n v="50.617546830000002"/>
    <n v="0"/>
    <n v="0"/>
    <n v="0"/>
    <n v="0"/>
    <n v="1"/>
    <x v="0"/>
    <n v="0"/>
    <n v="13"/>
    <n v="0"/>
    <n v="0"/>
    <n v="11.74"/>
    <n v="0"/>
    <n v="0"/>
    <n v="13.331960206679717"/>
    <m/>
    <m/>
    <n v="594.24999978419999"/>
    <n v="0"/>
    <n v="0"/>
    <n v="674.83112009730712"/>
    <n v="0"/>
    <n v="0"/>
  </r>
  <r>
    <s v="Regular"/>
    <x v="3"/>
    <x v="2"/>
    <x v="0"/>
    <x v="0"/>
    <x v="1"/>
    <x v="0"/>
    <x v="1"/>
    <x v="7"/>
    <n v="101"/>
    <n v="56.66269175"/>
    <n v="0"/>
    <n v="0"/>
    <n v="0"/>
    <n v="0"/>
    <n v="1"/>
    <x v="0"/>
    <n v="0"/>
    <n v="13"/>
    <n v="0"/>
    <n v="0"/>
    <n v="11.74"/>
    <n v="0"/>
    <n v="0"/>
    <n v="13.331960206679717"/>
    <m/>
    <m/>
    <n v="665.22000114499997"/>
    <n v="0"/>
    <n v="0"/>
    <n v="755.42475161435914"/>
    <n v="0"/>
    <n v="0"/>
  </r>
  <r>
    <s v="Regular"/>
    <x v="3"/>
    <x v="2"/>
    <x v="0"/>
    <x v="0"/>
    <x v="1"/>
    <x v="0"/>
    <x v="1"/>
    <x v="8"/>
    <n v="101"/>
    <n v="50.520443409999999"/>
    <n v="0"/>
    <n v="0"/>
    <n v="0"/>
    <n v="0"/>
    <n v="1"/>
    <x v="0"/>
    <n v="0"/>
    <n v="13"/>
    <n v="0"/>
    <n v="0"/>
    <n v="11.74"/>
    <n v="0"/>
    <n v="0"/>
    <n v="13.331960206679717"/>
    <m/>
    <m/>
    <n v="593.11000563339996"/>
    <n v="0"/>
    <n v="0"/>
    <n v="673.53654116593452"/>
    <n v="0"/>
    <n v="0"/>
  </r>
  <r>
    <s v="Regular"/>
    <x v="3"/>
    <x v="2"/>
    <x v="0"/>
    <x v="0"/>
    <x v="1"/>
    <x v="0"/>
    <x v="1"/>
    <x v="9"/>
    <n v="101"/>
    <n v="47.413117810000003"/>
    <n v="0"/>
    <n v="0"/>
    <n v="0"/>
    <n v="0"/>
    <n v="1"/>
    <x v="0"/>
    <n v="0"/>
    <n v="13"/>
    <n v="0"/>
    <n v="0"/>
    <n v="11.74"/>
    <n v="0"/>
    <n v="0"/>
    <n v="13.331960206679717"/>
    <m/>
    <m/>
    <n v="556.63000308940002"/>
    <n v="0"/>
    <n v="0"/>
    <n v="632.10979991753743"/>
    <n v="0"/>
    <n v="0"/>
  </r>
  <r>
    <s v="Regular"/>
    <x v="3"/>
    <x v="2"/>
    <x v="0"/>
    <x v="0"/>
    <x v="1"/>
    <x v="0"/>
    <x v="1"/>
    <x v="10"/>
    <n v="101"/>
    <n v="50.495740830000003"/>
    <n v="0"/>
    <n v="0"/>
    <n v="0"/>
    <n v="0"/>
    <n v="1"/>
    <x v="0"/>
    <n v="0"/>
    <n v="13"/>
    <n v="0"/>
    <n v="0"/>
    <n v="11.74"/>
    <n v="0"/>
    <n v="0"/>
    <n v="13.331960206679717"/>
    <m/>
    <m/>
    <n v="592.81999734420003"/>
    <n v="0"/>
    <n v="0"/>
    <n v="673.20720735237228"/>
    <n v="0"/>
    <n v="0"/>
  </r>
  <r>
    <s v="PROJETADO"/>
    <x v="3"/>
    <x v="2"/>
    <x v="0"/>
    <x v="0"/>
    <x v="1"/>
    <x v="0"/>
    <x v="1"/>
    <x v="11"/>
    <n v="101"/>
    <n v="50.495740830000003"/>
    <n v="0"/>
    <n v="0"/>
    <n v="0"/>
    <n v="0"/>
    <n v="1"/>
    <x v="0"/>
    <n v="0"/>
    <n v="13"/>
    <n v="0"/>
    <n v="0"/>
    <n v="11.74"/>
    <n v="0"/>
    <n v="0"/>
    <n v="13.331960206679717"/>
    <m/>
    <m/>
    <n v="592.81999734420003"/>
    <n v="0"/>
    <n v="0"/>
    <n v="673.20720735237228"/>
    <n v="0"/>
    <n v="0"/>
  </r>
  <r>
    <s v="Regular"/>
    <x v="3"/>
    <x v="2"/>
    <x v="0"/>
    <x v="0"/>
    <x v="1"/>
    <x v="0"/>
    <x v="2"/>
    <x v="1"/>
    <n v="0"/>
    <n v="0"/>
    <n v="3.5529999999999999"/>
    <n v="1.8846817795299999"/>
    <n v="0"/>
    <n v="0"/>
    <n v="0"/>
    <x v="0"/>
    <n v="0"/>
    <n v="0"/>
    <n v="32"/>
    <n v="0"/>
    <n v="0"/>
    <n v="1604.46"/>
    <n v="0"/>
    <m/>
    <n v="1874.5731973315721"/>
    <m/>
    <n v="0"/>
    <n v="3023.8965279847039"/>
    <n v="0"/>
    <n v="0"/>
    <n v="3532.9739494061091"/>
    <n v="0"/>
  </r>
  <r>
    <s v="Regular"/>
    <x v="3"/>
    <x v="2"/>
    <x v="0"/>
    <x v="0"/>
    <x v="1"/>
    <x v="0"/>
    <x v="2"/>
    <x v="2"/>
    <n v="0"/>
    <n v="0"/>
    <n v="4.0090000000000003"/>
    <n v="2.13658183697"/>
    <n v="0"/>
    <n v="0"/>
    <n v="0"/>
    <x v="0"/>
    <n v="0"/>
    <n v="0"/>
    <n v="32"/>
    <n v="0"/>
    <n v="0"/>
    <n v="1604.46"/>
    <n v="0"/>
    <m/>
    <n v="1874.5731973315721"/>
    <m/>
    <n v="0"/>
    <n v="3428.0600941448865"/>
    <n v="0"/>
    <n v="0"/>
    <n v="4005.1790454894167"/>
    <n v="0"/>
  </r>
  <r>
    <s v="Regular"/>
    <x v="3"/>
    <x v="2"/>
    <x v="0"/>
    <x v="0"/>
    <x v="1"/>
    <x v="0"/>
    <x v="2"/>
    <x v="3"/>
    <n v="0"/>
    <n v="0"/>
    <n v="3.74"/>
    <n v="1.997052101"/>
    <n v="0"/>
    <n v="0"/>
    <n v="0"/>
    <x v="0"/>
    <n v="0"/>
    <n v="0"/>
    <n v="32"/>
    <n v="0"/>
    <n v="0"/>
    <n v="1604.46"/>
    <n v="0"/>
    <m/>
    <n v="1874.5731973315721"/>
    <m/>
    <n v="0"/>
    <n v="3204.1902139704598"/>
    <n v="0"/>
    <n v="0"/>
    <n v="3743.6203422093035"/>
    <n v="0"/>
  </r>
  <r>
    <s v="Regular"/>
    <x v="3"/>
    <x v="2"/>
    <x v="0"/>
    <x v="0"/>
    <x v="1"/>
    <x v="0"/>
    <x v="2"/>
    <x v="4"/>
    <n v="0"/>
    <n v="0"/>
    <n v="3.448"/>
    <n v="1.84013581184"/>
    <n v="0"/>
    <n v="0"/>
    <n v="0"/>
    <x v="0"/>
    <n v="0"/>
    <n v="0"/>
    <n v="32"/>
    <n v="0"/>
    <n v="0"/>
    <n v="1604.46"/>
    <n v="0"/>
    <m/>
    <n v="1874.5731973315721"/>
    <m/>
    <n v="0"/>
    <n v="2952.4243046648066"/>
    <n v="0"/>
    <n v="0"/>
    <n v="3449.4692723252369"/>
    <n v="0"/>
  </r>
  <r>
    <s v="Regular"/>
    <x v="3"/>
    <x v="2"/>
    <x v="0"/>
    <x v="0"/>
    <x v="1"/>
    <x v="0"/>
    <x v="2"/>
    <x v="5"/>
    <n v="0"/>
    <n v="0"/>
    <n v="4.17"/>
    <n v="2.2247637216"/>
    <n v="0"/>
    <n v="0"/>
    <n v="0"/>
    <x v="0"/>
    <n v="0"/>
    <n v="0"/>
    <n v="32"/>
    <n v="0"/>
    <n v="0"/>
    <n v="1604.46"/>
    <n v="0"/>
    <m/>
    <n v="1874.5731973315721"/>
    <m/>
    <n v="0"/>
    <n v="3569.544400758336"/>
    <n v="0"/>
    <n v="0"/>
    <n v="4170.4824429069995"/>
    <n v="0"/>
  </r>
  <r>
    <s v="Regular"/>
    <x v="3"/>
    <x v="2"/>
    <x v="0"/>
    <x v="0"/>
    <x v="1"/>
    <x v="0"/>
    <x v="2"/>
    <x v="6"/>
    <n v="0"/>
    <n v="0"/>
    <n v="3.2719999999999998"/>
    <n v="1.74741762048"/>
    <n v="0"/>
    <n v="0"/>
    <n v="0"/>
    <x v="0"/>
    <n v="0"/>
    <n v="0"/>
    <n v="32"/>
    <n v="0"/>
    <n v="0"/>
    <n v="1604.46"/>
    <n v="0"/>
    <m/>
    <n v="1874.5731973315721"/>
    <m/>
    <n v="0"/>
    <n v="2803.6616753553408"/>
    <n v="0"/>
    <n v="0"/>
    <n v="3275.6622358967215"/>
    <n v="0"/>
  </r>
  <r>
    <s v="Regular"/>
    <x v="3"/>
    <x v="2"/>
    <x v="0"/>
    <x v="0"/>
    <x v="1"/>
    <x v="0"/>
    <x v="2"/>
    <x v="7"/>
    <n v="0"/>
    <n v="0"/>
    <n v="2.6539999999999999"/>
    <n v="1.6084939090799999"/>
    <n v="0"/>
    <n v="0"/>
    <n v="0"/>
    <x v="0"/>
    <n v="0"/>
    <n v="0"/>
    <n v="32"/>
    <n v="0"/>
    <n v="0"/>
    <n v="1604.46"/>
    <n v="0"/>
    <m/>
    <n v="1874.5731973315721"/>
    <m/>
    <n v="0"/>
    <n v="2580.7641373624965"/>
    <n v="0"/>
    <n v="0"/>
    <n v="3015.2395700324546"/>
    <n v="0"/>
  </r>
  <r>
    <s v="Regular"/>
    <x v="3"/>
    <x v="2"/>
    <x v="0"/>
    <x v="0"/>
    <x v="1"/>
    <x v="0"/>
    <x v="2"/>
    <x v="8"/>
    <n v="0"/>
    <n v="0"/>
    <n v="2.7570000000000001"/>
    <n v="1.4697052819500001"/>
    <n v="0"/>
    <n v="0"/>
    <n v="0"/>
    <x v="0"/>
    <n v="0"/>
    <n v="0"/>
    <n v="32"/>
    <n v="0"/>
    <n v="0"/>
    <n v="1604.46"/>
    <n v="0"/>
    <m/>
    <n v="1874.5731973315721"/>
    <m/>
    <n v="0"/>
    <n v="2358.0833366774973"/>
    <n v="0"/>
    <n v="0"/>
    <n v="2755.0701295201115"/>
    <n v="0"/>
  </r>
  <r>
    <s v="Regular"/>
    <x v="3"/>
    <x v="2"/>
    <x v="0"/>
    <x v="0"/>
    <x v="1"/>
    <x v="0"/>
    <x v="2"/>
    <x v="9"/>
    <n v="0"/>
    <n v="0"/>
    <n v="2.895"/>
    <n v="1.4671483649999999"/>
    <n v="0"/>
    <n v="0"/>
    <n v="0"/>
    <x v="0"/>
    <n v="0"/>
    <n v="0"/>
    <n v="32"/>
    <n v="0"/>
    <n v="0"/>
    <n v="1604.46"/>
    <n v="0"/>
    <m/>
    <n v="1874.5731973315721"/>
    <m/>
    <n v="0"/>
    <n v="2353.9808657078997"/>
    <n v="0"/>
    <n v="0"/>
    <n v="2750.2770015378383"/>
    <n v="0"/>
  </r>
  <r>
    <s v="Regular"/>
    <x v="3"/>
    <x v="2"/>
    <x v="0"/>
    <x v="0"/>
    <x v="1"/>
    <x v="0"/>
    <x v="2"/>
    <x v="10"/>
    <n v="0"/>
    <n v="0"/>
    <n v="3.3159999999999998"/>
    <n v="1.7672610393999999"/>
    <n v="0"/>
    <n v="0"/>
    <n v="0"/>
    <x v="0"/>
    <n v="0"/>
    <n v="0"/>
    <n v="32"/>
    <n v="0"/>
    <n v="0"/>
    <n v="1604.46"/>
    <n v="0"/>
    <m/>
    <n v="1874.5731973315721"/>
    <m/>
    <n v="0"/>
    <n v="2835.4996472757239"/>
    <n v="0"/>
    <n v="0"/>
    <n v="3312.8601771475751"/>
    <n v="0"/>
  </r>
  <r>
    <s v="PROJETADO"/>
    <x v="3"/>
    <x v="2"/>
    <x v="0"/>
    <x v="0"/>
    <x v="1"/>
    <x v="0"/>
    <x v="2"/>
    <x v="11"/>
    <n v="0"/>
    <n v="0"/>
    <n v="3.3159999999999998"/>
    <n v="1.7672610393999999"/>
    <n v="0"/>
    <n v="0"/>
    <n v="0"/>
    <x v="0"/>
    <n v="0"/>
    <n v="0"/>
    <n v="32"/>
    <n v="0"/>
    <n v="0"/>
    <n v="1604.46"/>
    <n v="0"/>
    <m/>
    <n v="1874.5731973315721"/>
    <m/>
    <n v="0"/>
    <n v="2835.4996472757239"/>
    <n v="0"/>
    <n v="0"/>
    <n v="3312.8601771475751"/>
    <n v="0"/>
  </r>
  <r>
    <s v="Regular"/>
    <x v="4"/>
    <x v="3"/>
    <x v="7"/>
    <x v="2"/>
    <x v="0"/>
    <x v="0"/>
    <x v="0"/>
    <x v="0"/>
    <n v="0"/>
    <n v="0"/>
    <n v="12.271000000000001"/>
    <n v="12.271000000000001"/>
    <n v="12.271000000000001"/>
    <n v="12.271000000000001"/>
    <n v="0"/>
    <x v="2"/>
    <n v="0"/>
    <n v="0"/>
    <n v="57"/>
    <n v="90"/>
    <n v="0"/>
    <n v="208.75"/>
    <n v="278.67"/>
    <m/>
    <n v="281.26015206463785"/>
    <n v="295.87360985530717"/>
    <n v="0"/>
    <n v="2561.57125"/>
    <n v="3419.5595700000003"/>
    <n v="0"/>
    <n v="3451.3433259851713"/>
    <n v="3630.6650665344746"/>
  </r>
  <r>
    <s v="Regular"/>
    <x v="4"/>
    <x v="3"/>
    <x v="7"/>
    <x v="2"/>
    <x v="0"/>
    <x v="0"/>
    <x v="0"/>
    <x v="1"/>
    <n v="0"/>
    <n v="0"/>
    <n v="12.132999999999999"/>
    <n v="12.132999999999999"/>
    <n v="12.132999999999999"/>
    <n v="12.132999999999999"/>
    <n v="0"/>
    <x v="2"/>
    <n v="0"/>
    <n v="0"/>
    <n v="57"/>
    <n v="90"/>
    <n v="0"/>
    <n v="208.75"/>
    <n v="278.67"/>
    <m/>
    <n v="281.26015206463785"/>
    <n v="295.87360985530717"/>
    <n v="0"/>
    <n v="2532.7637499999996"/>
    <n v="3381.10311"/>
    <n v="0"/>
    <n v="3412.5294250002507"/>
    <n v="3589.8345083744416"/>
  </r>
  <r>
    <s v="Sistema de Compensação"/>
    <x v="4"/>
    <x v="3"/>
    <x v="7"/>
    <x v="2"/>
    <x v="0"/>
    <x v="0"/>
    <x v="0"/>
    <x v="1"/>
    <n v="0"/>
    <n v="0"/>
    <n v="6.0999999999999999E-2"/>
    <n v="6.0999999999999999E-2"/>
    <n v="6.0999999999999999E-2"/>
    <n v="6.0999999999999999E-2"/>
    <n v="0"/>
    <x v="2"/>
    <n v="0"/>
    <n v="0"/>
    <n v="57"/>
    <n v="90"/>
    <n v="0"/>
    <n v="208.75"/>
    <n v="278.67"/>
    <m/>
    <n v="281.26015206463785"/>
    <n v="295.87360985530717"/>
    <n v="0"/>
    <n v="12.733750000000001"/>
    <n v="16.99887"/>
    <n v="0"/>
    <n v="17.15686927594291"/>
    <n v="18.048290201173735"/>
  </r>
  <r>
    <s v="Regular"/>
    <x v="4"/>
    <x v="3"/>
    <x v="7"/>
    <x v="2"/>
    <x v="0"/>
    <x v="0"/>
    <x v="0"/>
    <x v="2"/>
    <n v="0"/>
    <n v="0"/>
    <n v="13.625999999999999"/>
    <n v="13.625999999999999"/>
    <n v="13.625999999999999"/>
    <n v="13.625999999999999"/>
    <n v="0"/>
    <x v="2"/>
    <n v="0"/>
    <n v="0"/>
    <n v="57"/>
    <n v="90"/>
    <n v="0"/>
    <n v="208.75"/>
    <n v="278.67"/>
    <m/>
    <n v="281.26015206463785"/>
    <n v="295.87360985530717"/>
    <n v="0"/>
    <n v="2844.4274999999998"/>
    <n v="3797.15742"/>
    <n v="0"/>
    <n v="3832.450832032755"/>
    <n v="4031.5738078884151"/>
  </r>
  <r>
    <s v="Regular"/>
    <x v="4"/>
    <x v="3"/>
    <x v="7"/>
    <x v="2"/>
    <x v="0"/>
    <x v="0"/>
    <x v="0"/>
    <x v="3"/>
    <n v="0"/>
    <n v="0"/>
    <n v="12.567"/>
    <n v="12.567"/>
    <n v="12.567"/>
    <n v="12.567"/>
    <n v="0"/>
    <x v="2"/>
    <n v="0"/>
    <n v="0"/>
    <n v="57"/>
    <n v="90"/>
    <n v="0"/>
    <n v="208.75"/>
    <n v="278.67"/>
    <m/>
    <n v="281.26015206463785"/>
    <n v="295.87360985530717"/>
    <n v="0"/>
    <n v="2623.3612499999999"/>
    <n v="3502.0458900000003"/>
    <n v="0"/>
    <n v="3534.596330996304"/>
    <n v="3718.2436550516454"/>
  </r>
  <r>
    <s v="Sistema de Compensação"/>
    <x v="4"/>
    <x v="3"/>
    <x v="7"/>
    <x v="2"/>
    <x v="0"/>
    <x v="0"/>
    <x v="0"/>
    <x v="3"/>
    <n v="0"/>
    <n v="0"/>
    <n v="1.2999999999999999E-2"/>
    <n v="1.2999999999999999E-2"/>
    <n v="1.2999999999999999E-2"/>
    <n v="1.2999999999999999E-2"/>
    <n v="0"/>
    <x v="2"/>
    <n v="0"/>
    <n v="0"/>
    <n v="57"/>
    <n v="90"/>
    <n v="0"/>
    <n v="208.75"/>
    <n v="278.67"/>
    <m/>
    <n v="281.26015206463785"/>
    <n v="295.87360985530717"/>
    <n v="0"/>
    <n v="2.7137499999999997"/>
    <n v="3.6227100000000001"/>
    <n v="0"/>
    <n v="3.6563819768402919"/>
    <n v="3.8463569281189929"/>
  </r>
  <r>
    <s v="Regular"/>
    <x v="4"/>
    <x v="3"/>
    <x v="7"/>
    <x v="2"/>
    <x v="0"/>
    <x v="0"/>
    <x v="0"/>
    <x v="4"/>
    <n v="0"/>
    <n v="0"/>
    <n v="13.433999999999999"/>
    <n v="13.433999999999999"/>
    <n v="13.433999999999999"/>
    <n v="13.433999999999999"/>
    <n v="0"/>
    <x v="2"/>
    <n v="0"/>
    <n v="0"/>
    <n v="57"/>
    <n v="90"/>
    <n v="0"/>
    <n v="208.75"/>
    <n v="278.67"/>
    <m/>
    <n v="281.26015206463785"/>
    <n v="295.87360985530717"/>
    <n v="0"/>
    <n v="2804.3474999999999"/>
    <n v="3743.6527799999999"/>
    <n v="0"/>
    <n v="3778.4488828363446"/>
    <n v="3974.7660747961963"/>
  </r>
  <r>
    <s v="Regular"/>
    <x v="4"/>
    <x v="3"/>
    <x v="7"/>
    <x v="2"/>
    <x v="0"/>
    <x v="0"/>
    <x v="0"/>
    <x v="5"/>
    <n v="0"/>
    <n v="0"/>
    <n v="10.221"/>
    <n v="10.221"/>
    <n v="10.221"/>
    <n v="10.221"/>
    <n v="0"/>
    <x v="2"/>
    <n v="0"/>
    <n v="0"/>
    <n v="57"/>
    <n v="90"/>
    <n v="0"/>
    <n v="208.75"/>
    <n v="278.67"/>
    <m/>
    <n v="281.26015206463785"/>
    <n v="295.87360985530717"/>
    <n v="0"/>
    <n v="2133.63375"/>
    <n v="2848.2860700000001"/>
    <n v="0"/>
    <n v="2874.7600142526635"/>
    <n v="3024.1241663310948"/>
  </r>
  <r>
    <s v="Sistema de Compensação"/>
    <x v="4"/>
    <x v="3"/>
    <x v="7"/>
    <x v="2"/>
    <x v="0"/>
    <x v="0"/>
    <x v="0"/>
    <x v="5"/>
    <n v="0"/>
    <n v="0"/>
    <n v="1.2999999999999999E-2"/>
    <n v="1.2999999999999999E-2"/>
    <n v="1.2999999999999999E-2"/>
    <n v="1.2999999999999999E-2"/>
    <n v="0"/>
    <x v="2"/>
    <n v="0"/>
    <n v="0"/>
    <n v="57"/>
    <n v="90"/>
    <n v="0"/>
    <n v="208.75"/>
    <n v="278.67"/>
    <m/>
    <n v="281.26015206463785"/>
    <n v="295.87360985530717"/>
    <n v="0"/>
    <n v="2.7137499999999997"/>
    <n v="3.6227100000000001"/>
    <n v="0"/>
    <n v="3.6563819768402919"/>
    <n v="3.8463569281189929"/>
  </r>
  <r>
    <s v="Regular"/>
    <x v="4"/>
    <x v="3"/>
    <x v="7"/>
    <x v="2"/>
    <x v="0"/>
    <x v="0"/>
    <x v="0"/>
    <x v="6"/>
    <n v="0"/>
    <n v="0"/>
    <n v="9.9890000000000008"/>
    <n v="9.9890000000000008"/>
    <n v="9.9890000000000008"/>
    <n v="9.9890000000000008"/>
    <n v="0"/>
    <x v="2"/>
    <n v="0"/>
    <n v="0"/>
    <n v="57"/>
    <n v="90"/>
    <n v="0"/>
    <n v="208.75"/>
    <n v="278.67"/>
    <m/>
    <n v="281.26015206463785"/>
    <n v="295.87360985530717"/>
    <n v="0"/>
    <n v="2085.2037500000001"/>
    <n v="2783.6346300000005"/>
    <n v="0"/>
    <n v="2809.5076589736677"/>
    <n v="2955.4814888446635"/>
  </r>
  <r>
    <s v="Sistema de Compensação"/>
    <x v="4"/>
    <x v="3"/>
    <x v="7"/>
    <x v="2"/>
    <x v="0"/>
    <x v="0"/>
    <x v="0"/>
    <x v="6"/>
    <n v="0"/>
    <n v="0"/>
    <n v="4.5999999999999999E-2"/>
    <n v="4.5999999999999999E-2"/>
    <n v="4.5999999999999999E-2"/>
    <n v="4.5999999999999999E-2"/>
    <n v="0"/>
    <x v="2"/>
    <n v="0"/>
    <n v="0"/>
    <n v="57"/>
    <n v="90"/>
    <n v="0"/>
    <n v="208.75"/>
    <n v="278.67"/>
    <m/>
    <n v="281.26015206463785"/>
    <n v="295.87360985530717"/>
    <n v="0"/>
    <n v="9.6024999999999991"/>
    <n v="12.818820000000001"/>
    <n v="0"/>
    <n v="12.93796699497334"/>
    <n v="13.61018605334413"/>
  </r>
  <r>
    <s v="Regular"/>
    <x v="4"/>
    <x v="3"/>
    <x v="7"/>
    <x v="2"/>
    <x v="0"/>
    <x v="0"/>
    <x v="0"/>
    <x v="7"/>
    <n v="0"/>
    <n v="0"/>
    <n v="8.548"/>
    <n v="8.548"/>
    <n v="8.548"/>
    <n v="8.548"/>
    <n v="0"/>
    <x v="2"/>
    <n v="0"/>
    <n v="0"/>
    <n v="57"/>
    <n v="90"/>
    <n v="0"/>
    <n v="208.75"/>
    <n v="278.67"/>
    <m/>
    <n v="281.26015206463785"/>
    <n v="295.87360985530717"/>
    <n v="0"/>
    <n v="1784.395"/>
    <n v="2382.07116"/>
    <n v="0"/>
    <n v="2404.2117798485242"/>
    <n v="2529.1276170431656"/>
  </r>
  <r>
    <s v="Sistema de Compensação"/>
    <x v="4"/>
    <x v="3"/>
    <x v="7"/>
    <x v="2"/>
    <x v="0"/>
    <x v="0"/>
    <x v="0"/>
    <x v="7"/>
    <n v="0"/>
    <n v="0"/>
    <n v="6.8000000000000005E-2"/>
    <n v="6.8000000000000005E-2"/>
    <n v="6.8000000000000005E-2"/>
    <n v="6.8000000000000005E-2"/>
    <n v="0"/>
    <x v="2"/>
    <n v="0"/>
    <n v="0"/>
    <n v="57"/>
    <n v="90"/>
    <n v="0"/>
    <n v="208.75"/>
    <n v="278.67"/>
    <m/>
    <n v="281.26015206463785"/>
    <n v="295.87360985530717"/>
    <n v="0"/>
    <n v="14.195"/>
    <n v="18.949560000000002"/>
    <n v="0"/>
    <n v="19.125690340395376"/>
    <n v="20.119405470160888"/>
  </r>
  <r>
    <s v="Regular"/>
    <x v="4"/>
    <x v="3"/>
    <x v="7"/>
    <x v="2"/>
    <x v="0"/>
    <x v="0"/>
    <x v="0"/>
    <x v="8"/>
    <n v="0"/>
    <n v="0"/>
    <n v="9.0470000000000006"/>
    <n v="9.0470000000000006"/>
    <n v="9.0470000000000006"/>
    <n v="9.0470000000000006"/>
    <n v="0"/>
    <x v="2"/>
    <n v="0"/>
    <n v="0"/>
    <n v="57"/>
    <n v="90"/>
    <n v="0"/>
    <n v="208.75"/>
    <n v="278.67"/>
    <m/>
    <n v="281.26015206463785"/>
    <n v="295.87360985530717"/>
    <n v="0"/>
    <n v="1888.5612500000002"/>
    <n v="2521.1274900000003"/>
    <n v="0"/>
    <n v="2544.5605957287789"/>
    <n v="2676.7685483609639"/>
  </r>
  <r>
    <s v="Regular"/>
    <x v="4"/>
    <x v="3"/>
    <x v="7"/>
    <x v="2"/>
    <x v="0"/>
    <x v="0"/>
    <x v="0"/>
    <x v="9"/>
    <n v="0"/>
    <n v="0"/>
    <n v="8.2789999999999999"/>
    <n v="8.2789999999999999"/>
    <n v="8.2789999999999999"/>
    <n v="8.2789999999999999"/>
    <n v="0"/>
    <x v="2"/>
    <n v="0"/>
    <n v="0"/>
    <n v="57"/>
    <n v="90"/>
    <n v="0"/>
    <n v="208.75"/>
    <n v="278.67"/>
    <m/>
    <n v="281.26015206463785"/>
    <n v="295.87360985530717"/>
    <n v="0"/>
    <n v="1728.24125"/>
    <n v="2307.1089300000003"/>
    <n v="0"/>
    <n v="2328.5527989431366"/>
    <n v="2449.5376159920879"/>
  </r>
  <r>
    <s v="Sistema de Compensação"/>
    <x v="4"/>
    <x v="3"/>
    <x v="7"/>
    <x v="2"/>
    <x v="0"/>
    <x v="0"/>
    <x v="0"/>
    <x v="9"/>
    <n v="0"/>
    <n v="0"/>
    <n v="7.5999999999999998E-2"/>
    <n v="7.5999999999999998E-2"/>
    <n v="7.5999999999999998E-2"/>
    <n v="7.5999999999999998E-2"/>
    <n v="0"/>
    <x v="2"/>
    <n v="0"/>
    <n v="0"/>
    <n v="57"/>
    <n v="90"/>
    <n v="0"/>
    <n v="208.75"/>
    <n v="278.67"/>
    <m/>
    <n v="281.26015206463785"/>
    <n v="295.87360985530717"/>
    <n v="0"/>
    <n v="15.865"/>
    <n v="21.178920000000002"/>
    <n v="0"/>
    <n v="21.375771556912476"/>
    <n v="22.486394349003344"/>
  </r>
  <r>
    <s v="Regular"/>
    <x v="4"/>
    <x v="3"/>
    <x v="7"/>
    <x v="2"/>
    <x v="0"/>
    <x v="0"/>
    <x v="0"/>
    <x v="10"/>
    <n v="0"/>
    <n v="0"/>
    <n v="8.6419999999999995"/>
    <n v="8.6419999999999995"/>
    <n v="8.6419999999999995"/>
    <n v="8.6419999999999995"/>
    <n v="0"/>
    <x v="2"/>
    <n v="0"/>
    <n v="0"/>
    <n v="57"/>
    <n v="90"/>
    <n v="0"/>
    <n v="208.75"/>
    <n v="278.67"/>
    <m/>
    <n v="281.26015206463785"/>
    <n v="295.87360985530717"/>
    <n v="0"/>
    <n v="1804.0174999999999"/>
    <n v="2408.2661400000002"/>
    <n v="0"/>
    <n v="2430.6502341426003"/>
    <n v="2556.9397363695643"/>
  </r>
  <r>
    <s v="Sistema de Compensação"/>
    <x v="4"/>
    <x v="3"/>
    <x v="7"/>
    <x v="2"/>
    <x v="0"/>
    <x v="0"/>
    <x v="0"/>
    <x v="10"/>
    <n v="0"/>
    <n v="0"/>
    <n v="4.4999999999999998E-2"/>
    <n v="4.4999999999999998E-2"/>
    <n v="4.4999999999999998E-2"/>
    <n v="4.4999999999999998E-2"/>
    <n v="0"/>
    <x v="2"/>
    <n v="0"/>
    <n v="0"/>
    <n v="57"/>
    <n v="90"/>
    <n v="0"/>
    <n v="208.75"/>
    <n v="278.67"/>
    <m/>
    <n v="281.26015206463785"/>
    <n v="295.87360985530717"/>
    <n v="0"/>
    <n v="9.3937499999999989"/>
    <n v="12.540150000000001"/>
    <n v="0"/>
    <n v="12.656706842908703"/>
    <n v="13.314312443488822"/>
  </r>
  <r>
    <s v="PROJETADO"/>
    <x v="4"/>
    <x v="3"/>
    <x v="7"/>
    <x v="2"/>
    <x v="0"/>
    <x v="0"/>
    <x v="0"/>
    <x v="11"/>
    <n v="0"/>
    <n v="0"/>
    <n v="8.6419999999999995"/>
    <n v="8.6419999999999995"/>
    <n v="8.6419999999999995"/>
    <n v="8.6419999999999995"/>
    <n v="0"/>
    <x v="2"/>
    <n v="0"/>
    <n v="0"/>
    <n v="57"/>
    <n v="90"/>
    <n v="0"/>
    <n v="208.75"/>
    <n v="278.67"/>
    <m/>
    <n v="281.26015206463785"/>
    <n v="295.87360985530717"/>
    <n v="0"/>
    <n v="1804.0174999999999"/>
    <n v="2408.2661400000002"/>
    <n v="0"/>
    <n v="2430.6502341426003"/>
    <n v="2556.9397363695643"/>
  </r>
  <r>
    <s v="PROJETADO"/>
    <x v="4"/>
    <x v="3"/>
    <x v="7"/>
    <x v="2"/>
    <x v="0"/>
    <x v="0"/>
    <x v="0"/>
    <x v="11"/>
    <n v="0"/>
    <n v="0"/>
    <n v="4.4999999999999998E-2"/>
    <n v="4.4999999999999998E-2"/>
    <n v="4.4999999999999998E-2"/>
    <n v="4.4999999999999998E-2"/>
    <n v="0"/>
    <x v="2"/>
    <n v="0"/>
    <n v="0"/>
    <n v="57"/>
    <n v="90"/>
    <n v="0"/>
    <n v="208.75"/>
    <n v="278.67"/>
    <m/>
    <n v="281.26015206463785"/>
    <n v="295.87360985530717"/>
    <n v="0"/>
    <n v="9.3937499999999989"/>
    <n v="12.540150000000001"/>
    <n v="0"/>
    <n v="12.656706842908703"/>
    <n v="13.314312443488822"/>
  </r>
  <r>
    <s v="Regular"/>
    <x v="4"/>
    <x v="3"/>
    <x v="7"/>
    <x v="2"/>
    <x v="0"/>
    <x v="0"/>
    <x v="3"/>
    <x v="0"/>
    <n v="0"/>
    <n v="0"/>
    <n v="0.72499999999999998"/>
    <n v="0.72499999999999998"/>
    <n v="0.72499999999999998"/>
    <n v="0.72499999999999998"/>
    <n v="0"/>
    <x v="2"/>
    <n v="0"/>
    <n v="0"/>
    <n v="65"/>
    <n v="86"/>
    <n v="0"/>
    <n v="415.22"/>
    <n v="278.67"/>
    <m/>
    <n v="516.84076441635671"/>
    <n v="295.87360985530717"/>
    <n v="0"/>
    <n v="301.03450000000004"/>
    <n v="202.03575000000001"/>
    <n v="0"/>
    <n v="374.70955420185862"/>
    <n v="214.50836714509768"/>
  </r>
  <r>
    <s v="Regular"/>
    <x v="4"/>
    <x v="3"/>
    <x v="7"/>
    <x v="2"/>
    <x v="0"/>
    <x v="0"/>
    <x v="3"/>
    <x v="1"/>
    <n v="0"/>
    <n v="0"/>
    <n v="0.78200000000000003"/>
    <n v="0.78200000000000003"/>
    <n v="0.78200000000000003"/>
    <n v="0.78200000000000003"/>
    <n v="0"/>
    <x v="2"/>
    <n v="0"/>
    <n v="0"/>
    <n v="65"/>
    <n v="86"/>
    <n v="0"/>
    <n v="415.22"/>
    <n v="278.67"/>
    <m/>
    <n v="516.84076441635671"/>
    <n v="295.87360985530717"/>
    <n v="0"/>
    <n v="324.70204000000001"/>
    <n v="217.91994000000003"/>
    <n v="0"/>
    <n v="404.16947777359098"/>
    <n v="231.37316290685021"/>
  </r>
  <r>
    <s v="Regular"/>
    <x v="4"/>
    <x v="3"/>
    <x v="7"/>
    <x v="2"/>
    <x v="0"/>
    <x v="0"/>
    <x v="3"/>
    <x v="2"/>
    <n v="0"/>
    <n v="0"/>
    <n v="0.89500000000000002"/>
    <n v="0.89500000000000002"/>
    <n v="0.89500000000000002"/>
    <n v="0.89500000000000002"/>
    <n v="0"/>
    <x v="2"/>
    <n v="0"/>
    <n v="0"/>
    <n v="65"/>
    <n v="86"/>
    <n v="0"/>
    <n v="415.22"/>
    <n v="278.67"/>
    <m/>
    <n v="516.84076441635671"/>
    <n v="295.87360985530717"/>
    <n v="0"/>
    <n v="371.62190000000004"/>
    <n v="249.40965000000003"/>
    <n v="0"/>
    <n v="462.57248415263928"/>
    <n v="264.80688082049994"/>
  </r>
  <r>
    <s v="Sistema de Compensação"/>
    <x v="4"/>
    <x v="3"/>
    <x v="7"/>
    <x v="2"/>
    <x v="0"/>
    <x v="0"/>
    <x v="3"/>
    <x v="2"/>
    <n v="0"/>
    <n v="0"/>
    <n v="9.1999999999999998E-2"/>
    <n v="9.1999999999999998E-2"/>
    <n v="9.1999999999999998E-2"/>
    <n v="9.1999999999999998E-2"/>
    <n v="0"/>
    <x v="2"/>
    <n v="0"/>
    <n v="0"/>
    <n v="65"/>
    <n v="86"/>
    <n v="0"/>
    <n v="415.22"/>
    <n v="278.67"/>
    <m/>
    <n v="516.84076441635671"/>
    <n v="295.87360985530717"/>
    <n v="0"/>
    <n v="38.200240000000001"/>
    <n v="25.637640000000001"/>
    <n v="0"/>
    <n v="47.549350326304818"/>
    <n v="27.220372106688259"/>
  </r>
  <r>
    <s v="Regular"/>
    <x v="4"/>
    <x v="3"/>
    <x v="7"/>
    <x v="2"/>
    <x v="0"/>
    <x v="0"/>
    <x v="3"/>
    <x v="3"/>
    <n v="0"/>
    <n v="0"/>
    <n v="0.84899999999999998"/>
    <n v="0.84899999999999998"/>
    <n v="0.84899999999999998"/>
    <n v="0.84899999999999998"/>
    <n v="0"/>
    <x v="2"/>
    <n v="0"/>
    <n v="0"/>
    <n v="65"/>
    <n v="86"/>
    <n v="0"/>
    <n v="415.22"/>
    <n v="278.67"/>
    <m/>
    <n v="516.84076441635671"/>
    <n v="295.87360985530717"/>
    <n v="0"/>
    <n v="352.52178000000004"/>
    <n v="236.59083000000001"/>
    <n v="0"/>
    <n v="438.79780898948684"/>
    <n v="251.19669476715578"/>
  </r>
  <r>
    <s v="Sistema de Compensação"/>
    <x v="4"/>
    <x v="3"/>
    <x v="7"/>
    <x v="2"/>
    <x v="0"/>
    <x v="0"/>
    <x v="3"/>
    <x v="3"/>
    <n v="0"/>
    <n v="0"/>
    <n v="9.6000000000000002E-2"/>
    <n v="9.6000000000000002E-2"/>
    <n v="9.6000000000000002E-2"/>
    <n v="9.6000000000000002E-2"/>
    <n v="0"/>
    <x v="2"/>
    <n v="0"/>
    <n v="0"/>
    <n v="65"/>
    <n v="86"/>
    <n v="0"/>
    <n v="415.22"/>
    <n v="278.67"/>
    <m/>
    <n v="516.84076441635671"/>
    <n v="295.87360985530717"/>
    <n v="0"/>
    <n v="39.861120000000007"/>
    <n v="26.752320000000001"/>
    <n v="0"/>
    <n v="49.616713383970243"/>
    <n v="28.403866546109487"/>
  </r>
  <r>
    <s v="Regular"/>
    <x v="4"/>
    <x v="3"/>
    <x v="7"/>
    <x v="2"/>
    <x v="0"/>
    <x v="0"/>
    <x v="3"/>
    <x v="4"/>
    <n v="0"/>
    <n v="0"/>
    <n v="0.84099999999999997"/>
    <n v="0.84099999999999997"/>
    <n v="0.84099999999999997"/>
    <n v="0.84099999999999997"/>
    <n v="0"/>
    <x v="2"/>
    <n v="0"/>
    <n v="0"/>
    <n v="65"/>
    <n v="86"/>
    <n v="0"/>
    <n v="415.22"/>
    <n v="278.67"/>
    <m/>
    <n v="516.84076441635671"/>
    <n v="295.87360985530717"/>
    <n v="0"/>
    <n v="349.20001999999999"/>
    <n v="234.36147"/>
    <n v="0"/>
    <n v="434.66308287415598"/>
    <n v="248.82970588831333"/>
  </r>
  <r>
    <s v="Sistema de Compensação"/>
    <x v="4"/>
    <x v="3"/>
    <x v="7"/>
    <x v="2"/>
    <x v="0"/>
    <x v="0"/>
    <x v="3"/>
    <x v="4"/>
    <n v="0"/>
    <n v="0"/>
    <n v="7.9000000000000001E-2"/>
    <n v="7.9000000000000001E-2"/>
    <n v="7.9000000000000001E-2"/>
    <n v="7.9000000000000001E-2"/>
    <n v="0"/>
    <x v="2"/>
    <n v="0"/>
    <n v="0"/>
    <n v="65"/>
    <n v="86"/>
    <n v="0"/>
    <n v="415.22"/>
    <n v="278.67"/>
    <m/>
    <n v="516.84076441635671"/>
    <n v="295.87360985530717"/>
    <n v="0"/>
    <n v="32.802379999999999"/>
    <n v="22.014930000000003"/>
    <n v="0"/>
    <n v="40.830420388892179"/>
    <n v="23.374015178569266"/>
  </r>
  <r>
    <s v="Regular"/>
    <x v="4"/>
    <x v="3"/>
    <x v="7"/>
    <x v="2"/>
    <x v="0"/>
    <x v="0"/>
    <x v="3"/>
    <x v="5"/>
    <n v="0"/>
    <n v="0"/>
    <n v="0.78700000000000003"/>
    <n v="0.78700000000000003"/>
    <n v="0.78700000000000003"/>
    <n v="0.78700000000000003"/>
    <n v="0"/>
    <x v="2"/>
    <n v="0"/>
    <n v="0"/>
    <n v="65"/>
    <n v="86"/>
    <n v="0"/>
    <n v="415.22"/>
    <n v="278.67"/>
    <m/>
    <n v="516.84076441635671"/>
    <n v="295.87360985530717"/>
    <n v="0"/>
    <n v="326.77814000000001"/>
    <n v="219.31329000000002"/>
    <n v="0"/>
    <n v="406.75368159567273"/>
    <n v="232.85253095612674"/>
  </r>
  <r>
    <s v="Sistema de Compensação"/>
    <x v="4"/>
    <x v="3"/>
    <x v="7"/>
    <x v="2"/>
    <x v="0"/>
    <x v="0"/>
    <x v="3"/>
    <x v="5"/>
    <n v="0"/>
    <n v="0"/>
    <n v="8.5999999999999993E-2"/>
    <n v="8.5999999999999993E-2"/>
    <n v="8.5999999999999993E-2"/>
    <n v="8.5999999999999993E-2"/>
    <n v="0"/>
    <x v="2"/>
    <n v="0"/>
    <n v="0"/>
    <n v="65"/>
    <n v="86"/>
    <n v="0"/>
    <n v="415.22"/>
    <n v="278.67"/>
    <m/>
    <n v="516.84076441635671"/>
    <n v="295.87360985530717"/>
    <n v="0"/>
    <n v="35.708919999999999"/>
    <n v="23.965619999999998"/>
    <n v="0"/>
    <n v="44.448305739806671"/>
    <n v="25.445130447556416"/>
  </r>
  <r>
    <s v="Regular"/>
    <x v="4"/>
    <x v="3"/>
    <x v="7"/>
    <x v="2"/>
    <x v="0"/>
    <x v="0"/>
    <x v="3"/>
    <x v="6"/>
    <n v="0"/>
    <n v="0"/>
    <n v="1.282"/>
    <n v="1.282"/>
    <n v="1.282"/>
    <n v="1.282"/>
    <n v="0"/>
    <x v="2"/>
    <n v="0"/>
    <n v="0"/>
    <n v="65"/>
    <n v="86"/>
    <n v="0"/>
    <n v="415.22"/>
    <n v="278.67"/>
    <m/>
    <n v="516.84076441635671"/>
    <n v="295.87360985530717"/>
    <n v="0"/>
    <n v="532.31204000000002"/>
    <n v="357.25494000000003"/>
    <n v="0"/>
    <n v="662.58985998176934"/>
    <n v="379.30996783450382"/>
  </r>
  <r>
    <s v="Sistema de Compensação"/>
    <x v="4"/>
    <x v="3"/>
    <x v="7"/>
    <x v="2"/>
    <x v="0"/>
    <x v="0"/>
    <x v="3"/>
    <x v="6"/>
    <n v="0"/>
    <n v="0"/>
    <n v="0.11"/>
    <n v="0.11"/>
    <n v="0.11"/>
    <n v="0.11"/>
    <n v="0"/>
    <x v="2"/>
    <n v="0"/>
    <n v="0"/>
    <n v="65"/>
    <n v="86"/>
    <n v="0"/>
    <n v="415.22"/>
    <n v="278.67"/>
    <m/>
    <n v="516.84076441635671"/>
    <n v="295.87360985530717"/>
    <n v="0"/>
    <n v="45.674200000000006"/>
    <n v="30.653700000000001"/>
    <n v="0"/>
    <n v="56.85248408579924"/>
    <n v="32.54609708408379"/>
  </r>
  <r>
    <s v="Regular"/>
    <x v="4"/>
    <x v="3"/>
    <x v="7"/>
    <x v="2"/>
    <x v="0"/>
    <x v="0"/>
    <x v="3"/>
    <x v="7"/>
    <n v="0"/>
    <n v="0"/>
    <n v="0.621"/>
    <n v="0.621"/>
    <n v="0.621"/>
    <n v="0.621"/>
    <n v="0"/>
    <x v="2"/>
    <n v="0"/>
    <n v="0"/>
    <n v="65"/>
    <n v="86"/>
    <n v="0"/>
    <n v="415.22"/>
    <n v="278.67"/>
    <m/>
    <n v="516.84076441635671"/>
    <n v="295.87360985530717"/>
    <n v="0"/>
    <n v="257.85162000000003"/>
    <n v="173.05407"/>
    <n v="0"/>
    <n v="320.95811470255751"/>
    <n v="183.73751172014576"/>
  </r>
  <r>
    <s v="Sistema de Compensação"/>
    <x v="4"/>
    <x v="3"/>
    <x v="7"/>
    <x v="2"/>
    <x v="0"/>
    <x v="0"/>
    <x v="3"/>
    <x v="7"/>
    <n v="0"/>
    <n v="0"/>
    <n v="0.11700000000000001"/>
    <n v="0.11700000000000001"/>
    <n v="0.11700000000000001"/>
    <n v="0.11700000000000001"/>
    <n v="0"/>
    <x v="2"/>
    <n v="0"/>
    <n v="0"/>
    <n v="65"/>
    <n v="86"/>
    <n v="0"/>
    <n v="415.22"/>
    <n v="278.67"/>
    <m/>
    <n v="516.84076441635671"/>
    <n v="295.87360985530717"/>
    <n v="0"/>
    <n v="48.580740000000006"/>
    <n v="32.604390000000002"/>
    <n v="0"/>
    <n v="60.470369436713739"/>
    <n v="34.61721235307094"/>
  </r>
  <r>
    <s v="Regular"/>
    <x v="4"/>
    <x v="3"/>
    <x v="7"/>
    <x v="2"/>
    <x v="0"/>
    <x v="0"/>
    <x v="3"/>
    <x v="8"/>
    <n v="0"/>
    <n v="0"/>
    <n v="1.0229999999999999"/>
    <n v="1.0229999999999999"/>
    <n v="1.0229999999999999"/>
    <n v="1.0229999999999999"/>
    <n v="0"/>
    <x v="2"/>
    <n v="0"/>
    <n v="0"/>
    <n v="65"/>
    <n v="86"/>
    <n v="0"/>
    <n v="415.22"/>
    <n v="278.67"/>
    <m/>
    <n v="516.84076441635671"/>
    <n v="295.87360985530717"/>
    <n v="0"/>
    <n v="424.77006"/>
    <n v="285.07941"/>
    <n v="0"/>
    <n v="528.72810199793287"/>
    <n v="302.67870288197918"/>
  </r>
  <r>
    <s v="Regular"/>
    <x v="4"/>
    <x v="3"/>
    <x v="7"/>
    <x v="2"/>
    <x v="0"/>
    <x v="0"/>
    <x v="3"/>
    <x v="9"/>
    <n v="0"/>
    <n v="0"/>
    <n v="0.70899999999999996"/>
    <n v="0.70899999999999996"/>
    <n v="0.70899999999999996"/>
    <n v="0.70899999999999996"/>
    <n v="0"/>
    <x v="2"/>
    <n v="0"/>
    <n v="0"/>
    <n v="65"/>
    <n v="86"/>
    <n v="0"/>
    <n v="415.22"/>
    <n v="278.67"/>
    <m/>
    <n v="516.84076441635671"/>
    <n v="295.87360985530717"/>
    <n v="0"/>
    <n v="294.39098000000001"/>
    <n v="197.57703000000001"/>
    <n v="0"/>
    <n v="366.4401019711969"/>
    <n v="209.77438938741278"/>
  </r>
  <r>
    <s v="Sistema de Compensação"/>
    <x v="4"/>
    <x v="3"/>
    <x v="7"/>
    <x v="2"/>
    <x v="0"/>
    <x v="0"/>
    <x v="3"/>
    <x v="9"/>
    <n v="0"/>
    <n v="0"/>
    <n v="0.09"/>
    <n v="0.09"/>
    <n v="0.09"/>
    <n v="0.09"/>
    <n v="0"/>
    <x v="2"/>
    <n v="0"/>
    <n v="0"/>
    <n v="65"/>
    <n v="86"/>
    <n v="0"/>
    <n v="415.22"/>
    <n v="278.67"/>
    <m/>
    <n v="516.84076441635671"/>
    <n v="295.87360985530717"/>
    <n v="0"/>
    <n v="37.369799999999998"/>
    <n v="25.080300000000001"/>
    <n v="0"/>
    <n v="46.515668797472102"/>
    <n v="26.628624886977644"/>
  </r>
  <r>
    <s v="Regular"/>
    <x v="4"/>
    <x v="3"/>
    <x v="7"/>
    <x v="2"/>
    <x v="0"/>
    <x v="0"/>
    <x v="3"/>
    <x v="10"/>
    <n v="0"/>
    <n v="0"/>
    <n v="0.747"/>
    <n v="0.747"/>
    <n v="0.747"/>
    <n v="0.747"/>
    <n v="0"/>
    <x v="2"/>
    <n v="0"/>
    <n v="0"/>
    <n v="65"/>
    <n v="86"/>
    <n v="0"/>
    <n v="415.22"/>
    <n v="278.67"/>
    <m/>
    <n v="516.84076441635671"/>
    <n v="295.87360985530717"/>
    <n v="0"/>
    <n v="310.16934000000003"/>
    <n v="208.16649000000001"/>
    <n v="0"/>
    <n v="386.08005101901847"/>
    <n v="221.01758656191444"/>
  </r>
  <r>
    <s v="Sistema de Compensação"/>
    <x v="4"/>
    <x v="3"/>
    <x v="7"/>
    <x v="2"/>
    <x v="0"/>
    <x v="0"/>
    <x v="3"/>
    <x v="10"/>
    <n v="0"/>
    <n v="0"/>
    <n v="0.111"/>
    <n v="0.111"/>
    <n v="0.111"/>
    <n v="0.111"/>
    <n v="0"/>
    <x v="2"/>
    <n v="0"/>
    <n v="0"/>
    <n v="65"/>
    <n v="86"/>
    <n v="0"/>
    <n v="415.22"/>
    <n v="278.67"/>
    <m/>
    <n v="516.84076441635671"/>
    <n v="295.87360985530717"/>
    <n v="0"/>
    <n v="46.089420000000004"/>
    <n v="30.932370000000002"/>
    <n v="0"/>
    <n v="57.369324850215598"/>
    <n v="32.841970693939096"/>
  </r>
  <r>
    <s v="PROJETADO"/>
    <x v="4"/>
    <x v="3"/>
    <x v="7"/>
    <x v="2"/>
    <x v="0"/>
    <x v="0"/>
    <x v="3"/>
    <x v="11"/>
    <n v="0"/>
    <n v="0"/>
    <n v="0.747"/>
    <n v="0.747"/>
    <n v="0.747"/>
    <n v="0.747"/>
    <n v="0"/>
    <x v="2"/>
    <n v="0"/>
    <n v="0"/>
    <n v="65"/>
    <n v="86"/>
    <n v="0"/>
    <n v="415.22"/>
    <n v="278.67"/>
    <m/>
    <n v="516.84076441635671"/>
    <n v="295.87360985530717"/>
    <n v="0"/>
    <n v="310.16934000000003"/>
    <n v="208.16649000000001"/>
    <n v="0"/>
    <n v="386.08005101901847"/>
    <n v="221.01758656191444"/>
  </r>
  <r>
    <s v="PROJETADO"/>
    <x v="4"/>
    <x v="3"/>
    <x v="7"/>
    <x v="2"/>
    <x v="0"/>
    <x v="0"/>
    <x v="3"/>
    <x v="11"/>
    <n v="0"/>
    <n v="0"/>
    <n v="0.111"/>
    <n v="0.111"/>
    <n v="0.111"/>
    <n v="0.111"/>
    <n v="0"/>
    <x v="2"/>
    <n v="0"/>
    <n v="0"/>
    <n v="65"/>
    <n v="86"/>
    <n v="0"/>
    <n v="415.22"/>
    <n v="278.67"/>
    <m/>
    <n v="516.84076441635671"/>
    <n v="295.87360985530717"/>
    <n v="0"/>
    <n v="46.089420000000004"/>
    <n v="30.932370000000002"/>
    <n v="0"/>
    <n v="57.369324850215598"/>
    <n v="32.841970693939096"/>
  </r>
  <r>
    <s v="Regular"/>
    <x v="4"/>
    <x v="3"/>
    <x v="7"/>
    <x v="2"/>
    <x v="0"/>
    <x v="0"/>
    <x v="2"/>
    <x v="0"/>
    <n v="0"/>
    <n v="0"/>
    <n v="1.581"/>
    <n v="1.581"/>
    <n v="1.581"/>
    <n v="1.581"/>
    <n v="0"/>
    <x v="2"/>
    <n v="0"/>
    <n v="0"/>
    <n v="43"/>
    <n v="68"/>
    <n v="0"/>
    <n v="621.67999999999995"/>
    <n v="442.86"/>
    <m/>
    <n v="752.42138494672076"/>
    <n v="476.88775168498375"/>
    <n v="0"/>
    <n v="982.87607999999989"/>
    <n v="700.16165999999998"/>
    <n v="0"/>
    <n v="1189.5782096007656"/>
    <n v="753.95953541395932"/>
  </r>
  <r>
    <s v="Regular"/>
    <x v="4"/>
    <x v="3"/>
    <x v="7"/>
    <x v="2"/>
    <x v="0"/>
    <x v="0"/>
    <x v="2"/>
    <x v="1"/>
    <n v="0"/>
    <n v="0"/>
    <n v="1.591"/>
    <n v="1.591"/>
    <n v="1.591"/>
    <n v="1.591"/>
    <n v="0"/>
    <x v="2"/>
    <n v="0"/>
    <n v="0"/>
    <n v="43"/>
    <n v="68"/>
    <n v="0"/>
    <n v="621.67999999999995"/>
    <n v="442.86"/>
    <m/>
    <n v="752.42138494672076"/>
    <n v="476.88775168498375"/>
    <n v="0"/>
    <n v="989.09287999999992"/>
    <n v="704.59026000000006"/>
    <n v="0"/>
    <n v="1197.1024234502327"/>
    <n v="758.7284129308091"/>
  </r>
  <r>
    <s v="Regular"/>
    <x v="4"/>
    <x v="3"/>
    <x v="7"/>
    <x v="2"/>
    <x v="0"/>
    <x v="0"/>
    <x v="2"/>
    <x v="2"/>
    <n v="0"/>
    <n v="0"/>
    <n v="1.758"/>
    <n v="1.758"/>
    <n v="1.758"/>
    <n v="1.758"/>
    <n v="0"/>
    <x v="2"/>
    <n v="0"/>
    <n v="0"/>
    <n v="43"/>
    <n v="68"/>
    <n v="0"/>
    <n v="621.67999999999995"/>
    <n v="442.86"/>
    <m/>
    <n v="752.42138494672076"/>
    <n v="476.88775168498375"/>
    <n v="0"/>
    <n v="1092.9134399999998"/>
    <n v="778.54788000000008"/>
    <n v="0"/>
    <n v="1322.756794736335"/>
    <n v="838.36866746220142"/>
  </r>
  <r>
    <s v="Regular"/>
    <x v="4"/>
    <x v="3"/>
    <x v="7"/>
    <x v="2"/>
    <x v="0"/>
    <x v="0"/>
    <x v="2"/>
    <x v="3"/>
    <n v="0"/>
    <n v="0"/>
    <n v="1.68"/>
    <n v="1.68"/>
    <n v="1.68"/>
    <n v="1.68"/>
    <n v="0"/>
    <x v="2"/>
    <n v="0"/>
    <n v="0"/>
    <n v="43"/>
    <n v="68"/>
    <n v="0"/>
    <n v="621.67999999999995"/>
    <n v="442.86"/>
    <m/>
    <n v="752.42138494672076"/>
    <n v="476.88775168498375"/>
    <n v="0"/>
    <n v="1044.4223999999999"/>
    <n v="744.00480000000005"/>
    <n v="0"/>
    <n v="1264.0679267104908"/>
    <n v="801.17142283077271"/>
  </r>
  <r>
    <s v="Sistema de Compensação"/>
    <x v="4"/>
    <x v="3"/>
    <x v="7"/>
    <x v="2"/>
    <x v="0"/>
    <x v="0"/>
    <x v="2"/>
    <x v="3"/>
    <n v="0"/>
    <n v="0"/>
    <n v="4.9000000000000002E-2"/>
    <n v="4.9000000000000002E-2"/>
    <n v="4.9000000000000002E-2"/>
    <n v="4.9000000000000002E-2"/>
    <n v="0"/>
    <x v="2"/>
    <n v="0"/>
    <n v="0"/>
    <n v="43"/>
    <n v="68"/>
    <n v="0"/>
    <n v="621.67999999999995"/>
    <n v="442.86"/>
    <m/>
    <n v="752.42138494672076"/>
    <n v="476.88775168498375"/>
    <n v="0"/>
    <n v="30.462319999999998"/>
    <n v="21.700140000000001"/>
    <n v="0"/>
    <n v="36.868647862389317"/>
    <n v="23.367499832564206"/>
  </r>
  <r>
    <s v="Regular"/>
    <x v="4"/>
    <x v="3"/>
    <x v="7"/>
    <x v="2"/>
    <x v="0"/>
    <x v="0"/>
    <x v="2"/>
    <x v="4"/>
    <n v="0"/>
    <n v="0"/>
    <n v="1.843"/>
    <n v="1.843"/>
    <n v="1.843"/>
    <n v="1.843"/>
    <n v="0"/>
    <x v="2"/>
    <n v="0"/>
    <n v="0"/>
    <n v="43"/>
    <n v="68"/>
    <n v="0"/>
    <n v="621.67999999999995"/>
    <n v="442.86"/>
    <m/>
    <n v="752.42138494672076"/>
    <n v="476.88775168498375"/>
    <n v="0"/>
    <n v="1145.7562399999999"/>
    <n v="816.19097999999997"/>
    <n v="0"/>
    <n v="1386.7126124568063"/>
    <n v="878.90412635542509"/>
  </r>
  <r>
    <s v="Sistema de Compensação"/>
    <x v="4"/>
    <x v="3"/>
    <x v="7"/>
    <x v="2"/>
    <x v="0"/>
    <x v="0"/>
    <x v="2"/>
    <x v="4"/>
    <n v="0"/>
    <n v="0"/>
    <n v="0.05"/>
    <n v="0.05"/>
    <n v="0.05"/>
    <n v="0.05"/>
    <n v="0"/>
    <x v="2"/>
    <n v="0"/>
    <n v="0"/>
    <n v="43"/>
    <n v="68"/>
    <n v="0"/>
    <n v="621.67999999999995"/>
    <n v="442.86"/>
    <m/>
    <n v="752.42138494672076"/>
    <n v="476.88775168498375"/>
    <n v="0"/>
    <n v="31.084"/>
    <n v="22.143000000000001"/>
    <n v="0"/>
    <n v="37.621069247336038"/>
    <n v="23.844387584249191"/>
  </r>
  <r>
    <s v="Regular"/>
    <x v="4"/>
    <x v="3"/>
    <x v="7"/>
    <x v="2"/>
    <x v="0"/>
    <x v="0"/>
    <x v="2"/>
    <x v="5"/>
    <n v="0"/>
    <n v="0"/>
    <n v="1.212"/>
    <n v="1.212"/>
    <n v="1.212"/>
    <n v="1.212"/>
    <n v="0"/>
    <x v="2"/>
    <n v="0"/>
    <n v="0"/>
    <n v="43"/>
    <n v="68"/>
    <n v="0"/>
    <n v="621.67999999999995"/>
    <n v="442.86"/>
    <m/>
    <n v="752.42138494672076"/>
    <n v="476.88775168498375"/>
    <n v="0"/>
    <n v="753.47615999999994"/>
    <n v="536.74631999999997"/>
    <n v="0"/>
    <n v="911.93471855542555"/>
    <n v="577.98795504220027"/>
  </r>
  <r>
    <s v="Sistema de Compensação"/>
    <x v="4"/>
    <x v="3"/>
    <x v="7"/>
    <x v="2"/>
    <x v="0"/>
    <x v="0"/>
    <x v="2"/>
    <x v="5"/>
    <n v="0"/>
    <n v="0"/>
    <n v="5.0999999999999997E-2"/>
    <n v="5.0999999999999997E-2"/>
    <n v="5.0999999999999997E-2"/>
    <n v="5.0999999999999997E-2"/>
    <n v="0"/>
    <x v="2"/>
    <n v="0"/>
    <n v="0"/>
    <n v="43"/>
    <n v="68"/>
    <n v="0"/>
    <n v="621.67999999999995"/>
    <n v="442.86"/>
    <m/>
    <n v="752.42138494672076"/>
    <n v="476.88775168498375"/>
    <n v="0"/>
    <n v="31.705679999999994"/>
    <n v="22.58586"/>
    <n v="0"/>
    <n v="38.37349063228276"/>
    <n v="24.321275335934171"/>
  </r>
  <r>
    <s v="Regular"/>
    <x v="4"/>
    <x v="3"/>
    <x v="7"/>
    <x v="2"/>
    <x v="0"/>
    <x v="0"/>
    <x v="2"/>
    <x v="6"/>
    <n v="0"/>
    <n v="0"/>
    <n v="1.0229999999999999"/>
    <n v="1.0229999999999999"/>
    <n v="1.0229999999999999"/>
    <n v="1.0229999999999999"/>
    <n v="0"/>
    <x v="2"/>
    <n v="0"/>
    <n v="0"/>
    <n v="43"/>
    <n v="68"/>
    <n v="0"/>
    <n v="621.67999999999995"/>
    <n v="442.86"/>
    <m/>
    <n v="752.42138494672076"/>
    <n v="476.88775168498375"/>
    <n v="0"/>
    <n v="635.97863999999993"/>
    <n v="453.04577999999998"/>
    <n v="0"/>
    <n v="769.7270768004953"/>
    <n v="487.85616997373836"/>
  </r>
  <r>
    <s v="Sistema de Compensação"/>
    <x v="4"/>
    <x v="3"/>
    <x v="7"/>
    <x v="2"/>
    <x v="0"/>
    <x v="0"/>
    <x v="2"/>
    <x v="6"/>
    <n v="0"/>
    <n v="0"/>
    <n v="5.8999999999999997E-2"/>
    <n v="5.8999999999999997E-2"/>
    <n v="5.8999999999999997E-2"/>
    <n v="5.8999999999999997E-2"/>
    <n v="0"/>
    <x v="2"/>
    <n v="0"/>
    <n v="0"/>
    <n v="43"/>
    <n v="68"/>
    <n v="0"/>
    <n v="621.67999999999995"/>
    <n v="442.86"/>
    <m/>
    <n v="752.42138494672076"/>
    <n v="476.88775168498375"/>
    <n v="0"/>
    <n v="36.679119999999998"/>
    <n v="26.128740000000001"/>
    <n v="0"/>
    <n v="44.392861711856526"/>
    <n v="28.13637734941404"/>
  </r>
  <r>
    <s v="Regular"/>
    <x v="4"/>
    <x v="3"/>
    <x v="7"/>
    <x v="2"/>
    <x v="0"/>
    <x v="0"/>
    <x v="2"/>
    <x v="7"/>
    <n v="0"/>
    <n v="0"/>
    <n v="1.0589999999999999"/>
    <n v="1.0589999999999999"/>
    <n v="1.0589999999999999"/>
    <n v="1.0589999999999999"/>
    <n v="0"/>
    <x v="2"/>
    <n v="0"/>
    <n v="0"/>
    <n v="43"/>
    <n v="68"/>
    <n v="0"/>
    <n v="621.67999999999995"/>
    <n v="442.86"/>
    <m/>
    <n v="752.42138494672076"/>
    <n v="476.88775168498375"/>
    <n v="0"/>
    <n v="658.35911999999996"/>
    <n v="468.98874000000001"/>
    <n v="0"/>
    <n v="796.81424665857719"/>
    <n v="505.02412903439779"/>
  </r>
  <r>
    <s v="Sistema de Compensação"/>
    <x v="4"/>
    <x v="3"/>
    <x v="7"/>
    <x v="2"/>
    <x v="0"/>
    <x v="0"/>
    <x v="2"/>
    <x v="7"/>
    <n v="0"/>
    <n v="0"/>
    <n v="7.6999999999999999E-2"/>
    <n v="7.6999999999999999E-2"/>
    <n v="7.6999999999999999E-2"/>
    <n v="7.6999999999999999E-2"/>
    <n v="0"/>
    <x v="2"/>
    <n v="0"/>
    <n v="0"/>
    <n v="43"/>
    <n v="68"/>
    <n v="0"/>
    <n v="621.67999999999995"/>
    <n v="442.86"/>
    <m/>
    <n v="752.42138494672076"/>
    <n v="476.88775168498375"/>
    <n v="0"/>
    <n v="47.869359999999993"/>
    <n v="34.10022"/>
    <n v="0"/>
    <n v="57.936446640897501"/>
    <n v="36.720356879743747"/>
  </r>
  <r>
    <s v="Regular"/>
    <x v="4"/>
    <x v="3"/>
    <x v="7"/>
    <x v="2"/>
    <x v="0"/>
    <x v="0"/>
    <x v="2"/>
    <x v="8"/>
    <n v="0"/>
    <n v="0"/>
    <n v="1.6060000000000001"/>
    <n v="1.6060000000000001"/>
    <n v="1.6060000000000001"/>
    <n v="1.6060000000000001"/>
    <n v="0"/>
    <x v="2"/>
    <n v="0"/>
    <n v="0"/>
    <n v="43"/>
    <n v="68"/>
    <n v="0"/>
    <n v="621.67999999999995"/>
    <n v="442.86"/>
    <m/>
    <n v="752.42138494672076"/>
    <n v="476.88775168498375"/>
    <n v="0"/>
    <n v="998.41808000000003"/>
    <n v="711.23316000000011"/>
    <n v="0"/>
    <n v="1208.3887442244336"/>
    <n v="765.88172920608395"/>
  </r>
  <r>
    <s v="Regular"/>
    <x v="4"/>
    <x v="3"/>
    <x v="7"/>
    <x v="2"/>
    <x v="0"/>
    <x v="0"/>
    <x v="2"/>
    <x v="9"/>
    <n v="0"/>
    <n v="0"/>
    <n v="1.123"/>
    <n v="1.123"/>
    <n v="1.123"/>
    <n v="1.123"/>
    <n v="0"/>
    <x v="2"/>
    <n v="0"/>
    <n v="0"/>
    <n v="43"/>
    <n v="68"/>
    <n v="0"/>
    <n v="621.67999999999995"/>
    <n v="442.86"/>
    <m/>
    <n v="752.42138494672076"/>
    <n v="476.88775168498375"/>
    <n v="0"/>
    <n v="698.14663999999993"/>
    <n v="497.33178000000004"/>
    <n v="0"/>
    <n v="844.96921529516737"/>
    <n v="535.54494514223677"/>
  </r>
  <r>
    <s v="Sistema de Compensação"/>
    <x v="4"/>
    <x v="3"/>
    <x v="7"/>
    <x v="2"/>
    <x v="0"/>
    <x v="0"/>
    <x v="2"/>
    <x v="9"/>
    <n v="0"/>
    <n v="0"/>
    <n v="6.9000000000000006E-2"/>
    <n v="6.9000000000000006E-2"/>
    <n v="6.9000000000000006E-2"/>
    <n v="6.9000000000000006E-2"/>
    <n v="0"/>
    <x v="2"/>
    <n v="0"/>
    <n v="0"/>
    <n v="43"/>
    <n v="68"/>
    <n v="0"/>
    <n v="621.67999999999995"/>
    <n v="442.86"/>
    <m/>
    <n v="752.42138494672076"/>
    <n v="476.88775168498375"/>
    <n v="0"/>
    <n v="42.895919999999997"/>
    <n v="30.557340000000003"/>
    <n v="0"/>
    <n v="51.917075561323735"/>
    <n v="32.905254866263881"/>
  </r>
  <r>
    <s v="Regular"/>
    <x v="4"/>
    <x v="3"/>
    <x v="7"/>
    <x v="2"/>
    <x v="0"/>
    <x v="0"/>
    <x v="2"/>
    <x v="10"/>
    <n v="0"/>
    <n v="0"/>
    <n v="0.99399999999999999"/>
    <n v="0.99399999999999999"/>
    <n v="0.99399999999999999"/>
    <n v="0.99399999999999999"/>
    <n v="0"/>
    <x v="2"/>
    <n v="0"/>
    <n v="0"/>
    <n v="43"/>
    <n v="68"/>
    <n v="0"/>
    <n v="621.67999999999995"/>
    <n v="442.86"/>
    <m/>
    <n v="752.42138494672076"/>
    <n v="476.88775168498375"/>
    <n v="0"/>
    <n v="617.94991999999991"/>
    <n v="440.20284000000004"/>
    <n v="0"/>
    <n v="747.90685663704039"/>
    <n v="474.02642517487385"/>
  </r>
  <r>
    <s v="Sistema de Compensação"/>
    <x v="4"/>
    <x v="3"/>
    <x v="7"/>
    <x v="2"/>
    <x v="0"/>
    <x v="0"/>
    <x v="2"/>
    <x v="10"/>
    <n v="0"/>
    <n v="0"/>
    <n v="8.7999999999999995E-2"/>
    <n v="8.7999999999999995E-2"/>
    <n v="8.7999999999999995E-2"/>
    <n v="8.7999999999999995E-2"/>
    <n v="0"/>
    <x v="2"/>
    <n v="0"/>
    <n v="0"/>
    <n v="43"/>
    <n v="68"/>
    <n v="0"/>
    <n v="621.67999999999995"/>
    <n v="442.86"/>
    <m/>
    <n v="752.42138494672076"/>
    <n v="476.88775168498375"/>
    <n v="0"/>
    <n v="54.70783999999999"/>
    <n v="38.971679999999999"/>
    <n v="0"/>
    <n v="66.213081875311417"/>
    <n v="41.966122148278565"/>
  </r>
  <r>
    <s v="PROJETADO"/>
    <x v="4"/>
    <x v="3"/>
    <x v="7"/>
    <x v="2"/>
    <x v="0"/>
    <x v="0"/>
    <x v="2"/>
    <x v="11"/>
    <n v="0"/>
    <n v="0"/>
    <n v="0.99399999999999999"/>
    <n v="0.99399999999999999"/>
    <n v="0.99399999999999999"/>
    <n v="0.99399999999999999"/>
    <n v="0"/>
    <x v="2"/>
    <n v="0"/>
    <n v="0"/>
    <n v="43"/>
    <n v="68"/>
    <n v="0"/>
    <n v="621.67999999999995"/>
    <n v="442.86"/>
    <m/>
    <n v="752.42138494672076"/>
    <n v="476.88775168498375"/>
    <n v="0"/>
    <n v="617.94991999999991"/>
    <n v="440.20284000000004"/>
    <n v="0"/>
    <n v="747.90685663704039"/>
    <n v="474.02642517487385"/>
  </r>
  <r>
    <s v="PROJETADO"/>
    <x v="4"/>
    <x v="3"/>
    <x v="7"/>
    <x v="2"/>
    <x v="0"/>
    <x v="0"/>
    <x v="2"/>
    <x v="11"/>
    <n v="0"/>
    <n v="0"/>
    <n v="8.7999999999999995E-2"/>
    <n v="8.7999999999999995E-2"/>
    <n v="8.7999999999999995E-2"/>
    <n v="8.7999999999999995E-2"/>
    <n v="0"/>
    <x v="2"/>
    <n v="0"/>
    <n v="0"/>
    <n v="43"/>
    <n v="68"/>
    <n v="0"/>
    <n v="621.67999999999995"/>
    <n v="442.86"/>
    <m/>
    <n v="752.42138494672076"/>
    <n v="476.88775168498375"/>
    <n v="0"/>
    <n v="54.70783999999999"/>
    <n v="38.971679999999999"/>
    <n v="0"/>
    <n v="66.213081875311417"/>
    <n v="41.966122148278565"/>
  </r>
  <r>
    <s v="Regular"/>
    <x v="4"/>
    <x v="4"/>
    <x v="7"/>
    <x v="2"/>
    <x v="0"/>
    <x v="0"/>
    <x v="1"/>
    <x v="0"/>
    <n v="0"/>
    <n v="0"/>
    <n v="10420.1"/>
    <n v="10420.1"/>
    <n v="10420.1"/>
    <n v="10420.1"/>
    <n v="68790"/>
    <x v="2"/>
    <n v="0"/>
    <n v="0"/>
    <n v="46"/>
    <n v="111"/>
    <n v="0"/>
    <n v="300.3"/>
    <n v="292.36"/>
    <m/>
    <n v="385.7156580869115"/>
    <n v="310.95812167444689"/>
    <n v="0"/>
    <n v="3129156.0300000003"/>
    <n v="3046420.4360000002"/>
    <n v="0"/>
    <n v="4019195.7288314267"/>
    <n v="3240214.7236599042"/>
  </r>
  <r>
    <s v="Refaturamento - Regular"/>
    <x v="4"/>
    <x v="4"/>
    <x v="7"/>
    <x v="2"/>
    <x v="0"/>
    <x v="0"/>
    <x v="1"/>
    <x v="0"/>
    <n v="0"/>
    <n v="0"/>
    <n v="-5.1719999999999997"/>
    <n v="-5.1719999999999997"/>
    <n v="-5.1719999999999997"/>
    <n v="-5.1719999999999997"/>
    <n v="0"/>
    <x v="2"/>
    <n v="0"/>
    <n v="0"/>
    <n v="46"/>
    <n v="111"/>
    <n v="0"/>
    <n v="300.3"/>
    <n v="292.36"/>
    <m/>
    <n v="385.7156580869115"/>
    <n v="310.95812167444689"/>
    <n v="0"/>
    <n v="-1553.1515999999999"/>
    <n v="-1512.08592"/>
    <n v="0"/>
    <n v="-1994.9213836255062"/>
    <n v="-1608.2754053002393"/>
  </r>
  <r>
    <s v="Sistema de Compensação"/>
    <x v="4"/>
    <x v="4"/>
    <x v="7"/>
    <x v="2"/>
    <x v="0"/>
    <x v="0"/>
    <x v="1"/>
    <x v="0"/>
    <n v="0"/>
    <n v="0"/>
    <n v="55.469000000000001"/>
    <n v="55.469000000000001"/>
    <n v="55.469000000000001"/>
    <n v="55.469000000000001"/>
    <n v="424"/>
    <x v="2"/>
    <n v="0"/>
    <n v="0"/>
    <n v="46"/>
    <n v="111"/>
    <n v="0"/>
    <n v="300.3"/>
    <n v="292.36"/>
    <m/>
    <n v="385.7156580869115"/>
    <n v="310.95812167444689"/>
    <n v="0"/>
    <n v="16657.340700000001"/>
    <n v="16216.916840000002"/>
    <n v="0"/>
    <n v="21395.261838422895"/>
    <n v="17248.536051159896"/>
  </r>
  <r>
    <s v="Sistema de Compensação"/>
    <x v="4"/>
    <x v="4"/>
    <x v="7"/>
    <x v="2"/>
    <x v="0"/>
    <x v="0"/>
    <x v="1"/>
    <x v="0"/>
    <n v="0"/>
    <n v="0"/>
    <n v="-4.0000000000000001E-3"/>
    <n v="-4.0000000000000001E-3"/>
    <n v="-4.0000000000000001E-3"/>
    <n v="-4.0000000000000001E-3"/>
    <n v="4"/>
    <x v="2"/>
    <n v="0"/>
    <n v="0"/>
    <n v="46"/>
    <n v="111"/>
    <n v="0"/>
    <n v="300.3"/>
    <n v="292.36"/>
    <m/>
    <n v="385.7156580869115"/>
    <n v="310.95812167444689"/>
    <n v="0"/>
    <n v="-1.2012"/>
    <n v="-1.16944"/>
    <n v="0"/>
    <n v="-1.542862632347646"/>
    <n v="-1.2438324866977877"/>
  </r>
  <r>
    <s v="Regular"/>
    <x v="4"/>
    <x v="4"/>
    <x v="7"/>
    <x v="2"/>
    <x v="0"/>
    <x v="0"/>
    <x v="1"/>
    <x v="1"/>
    <n v="0"/>
    <n v="0"/>
    <n v="10009.361000000001"/>
    <n v="10009.361000000001"/>
    <n v="10009.361000000001"/>
    <n v="10009.361000000001"/>
    <n v="68502"/>
    <x v="2"/>
    <n v="0"/>
    <n v="0"/>
    <n v="46"/>
    <n v="111"/>
    <n v="0"/>
    <n v="300.3"/>
    <n v="292.36"/>
    <m/>
    <n v="385.7156580869115"/>
    <n v="310.95812167444689"/>
    <n v="0"/>
    <n v="3005811.1083000004"/>
    <n v="2926336.7819600003"/>
    <n v="0"/>
    <n v="3860767.2651444669"/>
    <n v="3112492.0957214637"/>
  </r>
  <r>
    <s v="Refaturamento - Regular"/>
    <x v="4"/>
    <x v="4"/>
    <x v="7"/>
    <x v="2"/>
    <x v="0"/>
    <x v="0"/>
    <x v="1"/>
    <x v="1"/>
    <n v="0"/>
    <n v="0"/>
    <n v="-12.653"/>
    <n v="-12.653"/>
    <n v="-12.653"/>
    <n v="-12.653"/>
    <n v="0"/>
    <x v="2"/>
    <n v="0"/>
    <n v="0"/>
    <n v="46"/>
    <n v="111"/>
    <n v="0"/>
    <n v="300.3"/>
    <n v="292.36"/>
    <m/>
    <n v="385.7156580869115"/>
    <n v="310.95812167444689"/>
    <n v="0"/>
    <n v="-3799.6959000000002"/>
    <n v="-3699.2310800000005"/>
    <n v="0"/>
    <n v="-4880.460221773691"/>
    <n v="-3934.5531135467768"/>
  </r>
  <r>
    <s v="Sistema de Compensação"/>
    <x v="4"/>
    <x v="4"/>
    <x v="7"/>
    <x v="2"/>
    <x v="0"/>
    <x v="0"/>
    <x v="1"/>
    <x v="1"/>
    <n v="0"/>
    <n v="0"/>
    <n v="54.781999999999996"/>
    <n v="54.781999999999996"/>
    <n v="54.781999999999996"/>
    <n v="54.781999999999996"/>
    <n v="468"/>
    <x v="2"/>
    <n v="0"/>
    <n v="0"/>
    <n v="46"/>
    <n v="111"/>
    <n v="0"/>
    <n v="300.3"/>
    <n v="292.36"/>
    <m/>
    <n v="385.7156580869115"/>
    <n v="310.95812167444689"/>
    <n v="0"/>
    <n v="16451.034599999999"/>
    <n v="16016.06552"/>
    <n v="0"/>
    <n v="21130.275181317185"/>
    <n v="17034.907821569548"/>
  </r>
  <r>
    <s v="Regular"/>
    <x v="4"/>
    <x v="4"/>
    <x v="7"/>
    <x v="2"/>
    <x v="0"/>
    <x v="0"/>
    <x v="1"/>
    <x v="2"/>
    <n v="0"/>
    <n v="0"/>
    <n v="10963.914000000001"/>
    <n v="10963.914000000001"/>
    <n v="10963.914000000001"/>
    <n v="10963.914000000001"/>
    <n v="68877"/>
    <x v="2"/>
    <n v="0"/>
    <n v="0"/>
    <n v="46"/>
    <n v="111"/>
    <n v="0"/>
    <n v="300.3"/>
    <n v="292.36"/>
    <m/>
    <n v="385.7156580869115"/>
    <n v="310.95812167444689"/>
    <n v="0"/>
    <n v="3292463.3742000004"/>
    <n v="3205409.8970400002"/>
    <n v="0"/>
    <n v="4228953.3037183024"/>
    <n v="3409318.1036401717"/>
  </r>
  <r>
    <s v="Refaturamento - Regular"/>
    <x v="4"/>
    <x v="4"/>
    <x v="7"/>
    <x v="2"/>
    <x v="0"/>
    <x v="0"/>
    <x v="1"/>
    <x v="2"/>
    <n v="0"/>
    <n v="0"/>
    <n v="-8.2059999999999995"/>
    <n v="-8.2059999999999995"/>
    <n v="-8.2059999999999995"/>
    <n v="-8.2059999999999995"/>
    <n v="0"/>
    <x v="2"/>
    <n v="0"/>
    <n v="0"/>
    <n v="46"/>
    <n v="111"/>
    <n v="0"/>
    <n v="300.3"/>
    <n v="292.36"/>
    <m/>
    <n v="385.7156580869115"/>
    <n v="310.95812167444689"/>
    <n v="0"/>
    <n v="-2464.2617999999998"/>
    <n v="-2399.1061599999998"/>
    <n v="0"/>
    <n v="-3165.1826902611956"/>
    <n v="-2551.7223464605108"/>
  </r>
  <r>
    <s v="Sistema de Compensação"/>
    <x v="4"/>
    <x v="4"/>
    <x v="7"/>
    <x v="2"/>
    <x v="0"/>
    <x v="0"/>
    <x v="1"/>
    <x v="2"/>
    <n v="0"/>
    <n v="0"/>
    <n v="68.164000000000001"/>
    <n v="68.164000000000001"/>
    <n v="68.164000000000001"/>
    <n v="68.164000000000001"/>
    <n v="514"/>
    <x v="2"/>
    <n v="0"/>
    <n v="0"/>
    <n v="46"/>
    <n v="111"/>
    <n v="0"/>
    <n v="300.3"/>
    <n v="292.36"/>
    <m/>
    <n v="385.7156580869115"/>
    <n v="310.95812167444689"/>
    <n v="0"/>
    <n v="20469.6492"/>
    <n v="19928.427040000002"/>
    <n v="0"/>
    <n v="26291.922117836235"/>
    <n v="21196.149405816999"/>
  </r>
  <r>
    <s v="Regular"/>
    <x v="4"/>
    <x v="4"/>
    <x v="7"/>
    <x v="2"/>
    <x v="0"/>
    <x v="0"/>
    <x v="1"/>
    <x v="3"/>
    <n v="0"/>
    <n v="0"/>
    <n v="10112.392"/>
    <n v="10112.392"/>
    <n v="10112.392"/>
    <n v="10112.392"/>
    <n v="68436"/>
    <x v="2"/>
    <n v="0"/>
    <n v="0"/>
    <n v="46"/>
    <n v="111"/>
    <n v="0"/>
    <n v="300.3"/>
    <n v="292.36"/>
    <m/>
    <n v="385.7156580869115"/>
    <n v="310.95812167444689"/>
    <n v="0"/>
    <n v="3036751.3176000002"/>
    <n v="2956458.9251200003"/>
    <n v="0"/>
    <n v="3900507.9351128191"/>
    <n v="3144530.4219557033"/>
  </r>
  <r>
    <s v="Refaturamento - Regular"/>
    <x v="4"/>
    <x v="4"/>
    <x v="7"/>
    <x v="2"/>
    <x v="0"/>
    <x v="0"/>
    <x v="1"/>
    <x v="3"/>
    <n v="0"/>
    <n v="0"/>
    <n v="-17.277000000000001"/>
    <n v="-17.277000000000001"/>
    <n v="-17.277000000000001"/>
    <n v="-17.277000000000001"/>
    <n v="0"/>
    <x v="2"/>
    <n v="0"/>
    <n v="0"/>
    <n v="46"/>
    <n v="111"/>
    <n v="0"/>
    <n v="300.3"/>
    <n v="292.36"/>
    <m/>
    <n v="385.7156580869115"/>
    <n v="310.95812167444689"/>
    <n v="0"/>
    <n v="-5188.2831000000006"/>
    <n v="-5051.103720000001"/>
    <n v="0"/>
    <n v="-6664.0094247675706"/>
    <n v="-5372.4234681694188"/>
  </r>
  <r>
    <s v="Sistema de Compensação"/>
    <x v="4"/>
    <x v="4"/>
    <x v="7"/>
    <x v="2"/>
    <x v="0"/>
    <x v="0"/>
    <x v="1"/>
    <x v="3"/>
    <n v="0"/>
    <n v="0"/>
    <n v="68.451999999999998"/>
    <n v="68.451999999999998"/>
    <n v="68.451999999999998"/>
    <n v="68.451999999999998"/>
    <n v="547"/>
    <x v="2"/>
    <n v="0"/>
    <n v="0"/>
    <n v="46"/>
    <n v="111"/>
    <n v="0"/>
    <n v="300.3"/>
    <n v="292.36"/>
    <m/>
    <n v="385.7156580869115"/>
    <n v="310.95812167444689"/>
    <n v="0"/>
    <n v="20556.135600000001"/>
    <n v="20012.62672"/>
    <n v="0"/>
    <n v="26403.008227365266"/>
    <n v="21285.705344859238"/>
  </r>
  <r>
    <s v="Regular"/>
    <x v="4"/>
    <x v="4"/>
    <x v="7"/>
    <x v="2"/>
    <x v="0"/>
    <x v="0"/>
    <x v="1"/>
    <x v="4"/>
    <n v="0"/>
    <n v="0"/>
    <n v="10232.031000000001"/>
    <n v="10232.031000000001"/>
    <n v="10232.031000000001"/>
    <n v="10232.031000000001"/>
    <n v="68550"/>
    <x v="2"/>
    <n v="0"/>
    <n v="0"/>
    <n v="46"/>
    <n v="111"/>
    <n v="0"/>
    <n v="300.3"/>
    <n v="292.36"/>
    <m/>
    <n v="385.7156580869115"/>
    <n v="310.95812167444689"/>
    <n v="0"/>
    <n v="3072678.9093000004"/>
    <n v="2991436.5831600004"/>
    <n v="0"/>
    <n v="3946654.5707306797"/>
    <n v="3181733.1406747126"/>
  </r>
  <r>
    <s v="Refaturamento - Regular"/>
    <x v="4"/>
    <x v="4"/>
    <x v="7"/>
    <x v="2"/>
    <x v="0"/>
    <x v="0"/>
    <x v="1"/>
    <x v="4"/>
    <n v="0"/>
    <n v="0"/>
    <n v="-10.598000000000001"/>
    <n v="-10.598000000000001"/>
    <n v="-10.598000000000001"/>
    <n v="-10.598000000000001"/>
    <n v="0"/>
    <x v="2"/>
    <n v="0"/>
    <n v="0"/>
    <n v="46"/>
    <n v="111"/>
    <n v="0"/>
    <n v="300.3"/>
    <n v="292.36"/>
    <m/>
    <n v="385.7156580869115"/>
    <n v="310.95812167444689"/>
    <n v="0"/>
    <n v="-3182.5794000000005"/>
    <n v="-3098.4312800000002"/>
    <n v="0"/>
    <n v="-4087.8145444050883"/>
    <n v="-3295.5341735057882"/>
  </r>
  <r>
    <s v="Sistema de Compensação"/>
    <x v="4"/>
    <x v="4"/>
    <x v="7"/>
    <x v="2"/>
    <x v="0"/>
    <x v="0"/>
    <x v="1"/>
    <x v="4"/>
    <n v="0"/>
    <n v="0"/>
    <n v="70.27"/>
    <n v="70.27"/>
    <n v="70.27"/>
    <n v="70.27"/>
    <n v="587"/>
    <x v="2"/>
    <n v="0"/>
    <n v="0"/>
    <n v="46"/>
    <n v="111"/>
    <n v="0"/>
    <n v="300.3"/>
    <n v="292.36"/>
    <m/>
    <n v="385.7156580869115"/>
    <n v="310.95812167444689"/>
    <n v="0"/>
    <n v="21102.080999999998"/>
    <n v="20544.137200000001"/>
    <n v="0"/>
    <n v="27104.23929376727"/>
    <n v="21851.027210063381"/>
  </r>
  <r>
    <s v="Sistema de Compensação"/>
    <x v="4"/>
    <x v="4"/>
    <x v="7"/>
    <x v="2"/>
    <x v="0"/>
    <x v="0"/>
    <x v="1"/>
    <x v="4"/>
    <n v="0"/>
    <n v="0"/>
    <n v="0.309"/>
    <n v="0.309"/>
    <n v="0.309"/>
    <n v="0.309"/>
    <n v="7"/>
    <x v="2"/>
    <n v="0"/>
    <n v="0"/>
    <n v="46"/>
    <n v="111"/>
    <n v="0"/>
    <n v="300.3"/>
    <n v="292.36"/>
    <m/>
    <n v="385.7156580869115"/>
    <n v="310.95812167444689"/>
    <n v="0"/>
    <n v="92.792699999999996"/>
    <n v="90.339240000000004"/>
    <n v="0"/>
    <n v="119.18613834885565"/>
    <n v="96.086059597404088"/>
  </r>
  <r>
    <s v="Regular"/>
    <x v="4"/>
    <x v="4"/>
    <x v="7"/>
    <x v="2"/>
    <x v="0"/>
    <x v="0"/>
    <x v="1"/>
    <x v="5"/>
    <n v="0"/>
    <n v="0"/>
    <n v="10453.558000000001"/>
    <n v="10453.558000000001"/>
    <n v="10453.558000000001"/>
    <n v="10453.558000000001"/>
    <n v="68685"/>
    <x v="2"/>
    <n v="0"/>
    <n v="0"/>
    <n v="46"/>
    <n v="111"/>
    <n v="0"/>
    <n v="300.3"/>
    <n v="292.36"/>
    <m/>
    <n v="385.7156580869115"/>
    <n v="310.95812167444689"/>
    <n v="0"/>
    <n v="3139203.4674000004"/>
    <n v="3056202.2168800002"/>
    <n v="0"/>
    <n v="4032101.0033196989"/>
    <n v="3250618.7604948878"/>
  </r>
  <r>
    <s v="Refaturamento - Regular"/>
    <x v="4"/>
    <x v="4"/>
    <x v="7"/>
    <x v="2"/>
    <x v="0"/>
    <x v="0"/>
    <x v="1"/>
    <x v="5"/>
    <n v="0"/>
    <n v="0"/>
    <n v="-8.4649999999999999"/>
    <n v="-8.4649999999999999"/>
    <n v="-8.4649999999999999"/>
    <n v="-8.4649999999999999"/>
    <n v="0"/>
    <x v="2"/>
    <n v="0"/>
    <n v="0"/>
    <n v="46"/>
    <n v="111"/>
    <n v="0"/>
    <n v="300.3"/>
    <n v="292.36"/>
    <m/>
    <n v="385.7156580869115"/>
    <n v="310.95812167444689"/>
    <n v="0"/>
    <n v="-2542.0394999999999"/>
    <n v="-2474.8274000000001"/>
    <n v="0"/>
    <n v="-3265.0830457057059"/>
    <n v="-2632.260499974193"/>
  </r>
  <r>
    <s v="Sistema de Compensação"/>
    <x v="4"/>
    <x v="4"/>
    <x v="7"/>
    <x v="2"/>
    <x v="0"/>
    <x v="0"/>
    <x v="1"/>
    <x v="5"/>
    <n v="0"/>
    <n v="0"/>
    <n v="82.573999999999998"/>
    <n v="82.573999999999998"/>
    <n v="82.573999999999998"/>
    <n v="82.573999999999998"/>
    <n v="632"/>
    <x v="2"/>
    <n v="0"/>
    <n v="0"/>
    <n v="46"/>
    <n v="111"/>
    <n v="0"/>
    <n v="300.3"/>
    <n v="292.36"/>
    <m/>
    <n v="385.7156580869115"/>
    <n v="310.95812167444689"/>
    <n v="0"/>
    <n v="24796.9722"/>
    <n v="24141.334640000001"/>
    <n v="0"/>
    <n v="31850.084750868631"/>
    <n v="25677.055939145775"/>
  </r>
  <r>
    <s v="Regular"/>
    <x v="4"/>
    <x v="4"/>
    <x v="7"/>
    <x v="2"/>
    <x v="0"/>
    <x v="0"/>
    <x v="1"/>
    <x v="6"/>
    <n v="0"/>
    <n v="0"/>
    <n v="10255.894"/>
    <n v="10255.894"/>
    <n v="10255.894"/>
    <n v="10255.894"/>
    <n v="68699"/>
    <x v="2"/>
    <n v="0"/>
    <n v="0"/>
    <n v="46"/>
    <n v="111"/>
    <n v="0"/>
    <n v="300.3"/>
    <n v="292.36"/>
    <m/>
    <n v="385.7156580869115"/>
    <n v="310.95812167444689"/>
    <n v="0"/>
    <n v="3079844.9682"/>
    <n v="2998413.1698400001"/>
    <n v="0"/>
    <n v="3955858.9034796073"/>
    <n v="3189153.5343322298"/>
  </r>
  <r>
    <s v="Refaturamento - Regular"/>
    <x v="4"/>
    <x v="4"/>
    <x v="7"/>
    <x v="2"/>
    <x v="0"/>
    <x v="0"/>
    <x v="1"/>
    <x v="6"/>
    <n v="0"/>
    <n v="0"/>
    <n v="-19.370999999999999"/>
    <n v="-19.370999999999999"/>
    <n v="-19.370999999999999"/>
    <n v="-19.370999999999999"/>
    <n v="0"/>
    <x v="2"/>
    <n v="0"/>
    <n v="0"/>
    <n v="46"/>
    <n v="111"/>
    <n v="0"/>
    <n v="300.3"/>
    <n v="292.36"/>
    <m/>
    <n v="385.7156580869115"/>
    <n v="310.95812167444689"/>
    <n v="0"/>
    <n v="-5817.1112999999996"/>
    <n v="-5663.3055599999998"/>
    <n v="0"/>
    <n v="-7471.6980128015621"/>
    <n v="-6023.5697749557103"/>
  </r>
  <r>
    <s v="Sistema de Compensação"/>
    <x v="4"/>
    <x v="4"/>
    <x v="7"/>
    <x v="2"/>
    <x v="0"/>
    <x v="0"/>
    <x v="1"/>
    <x v="6"/>
    <n v="0"/>
    <n v="0"/>
    <n v="85.396000000000001"/>
    <n v="85.396000000000001"/>
    <n v="85.396000000000001"/>
    <n v="85.396000000000001"/>
    <n v="664"/>
    <x v="2"/>
    <n v="0"/>
    <n v="0"/>
    <n v="46"/>
    <n v="111"/>
    <n v="0"/>
    <n v="300.3"/>
    <n v="292.36"/>
    <m/>
    <n v="385.7156580869115"/>
    <n v="310.95812167444689"/>
    <n v="0"/>
    <n v="25644.418799999999"/>
    <n v="24966.37456"/>
    <n v="0"/>
    <n v="32938.574337989892"/>
    <n v="26554.579758511067"/>
  </r>
  <r>
    <s v="Sistema de Compensação"/>
    <x v="4"/>
    <x v="4"/>
    <x v="7"/>
    <x v="2"/>
    <x v="0"/>
    <x v="0"/>
    <x v="1"/>
    <x v="6"/>
    <n v="0"/>
    <n v="0"/>
    <n v="0.05"/>
    <n v="0.05"/>
    <n v="0.05"/>
    <n v="0.05"/>
    <n v="1"/>
    <x v="2"/>
    <n v="0"/>
    <n v="0"/>
    <n v="46"/>
    <n v="111"/>
    <n v="0"/>
    <n v="300.3"/>
    <n v="292.36"/>
    <m/>
    <n v="385.7156580869115"/>
    <n v="310.95812167444689"/>
    <n v="0"/>
    <n v="15.015000000000001"/>
    <n v="14.618000000000002"/>
    <n v="0"/>
    <n v="19.285782904345577"/>
    <n v="15.547906083722346"/>
  </r>
  <r>
    <s v="Regular"/>
    <x v="4"/>
    <x v="4"/>
    <x v="7"/>
    <x v="2"/>
    <x v="0"/>
    <x v="0"/>
    <x v="1"/>
    <x v="7"/>
    <n v="0"/>
    <n v="0"/>
    <n v="10322.447"/>
    <n v="10322.447"/>
    <n v="10322.447"/>
    <n v="10322.447"/>
    <n v="68914"/>
    <x v="2"/>
    <n v="0"/>
    <n v="0"/>
    <n v="46"/>
    <n v="111"/>
    <n v="0"/>
    <n v="300.3"/>
    <n v="292.36"/>
    <m/>
    <n v="385.7156580869115"/>
    <n v="310.95812167444689"/>
    <n v="0"/>
    <n v="3099830.8341000001"/>
    <n v="3017870.6049200003"/>
    <n v="0"/>
    <n v="3981529.4376722653"/>
    <n v="3209848.7302040295"/>
  </r>
  <r>
    <s v="Refaturamento - Regular"/>
    <x v="4"/>
    <x v="4"/>
    <x v="7"/>
    <x v="2"/>
    <x v="0"/>
    <x v="0"/>
    <x v="1"/>
    <x v="7"/>
    <n v="0"/>
    <n v="0"/>
    <n v="-6.7450000000000001"/>
    <n v="-6.7450000000000001"/>
    <n v="-6.7450000000000001"/>
    <n v="-6.7450000000000001"/>
    <n v="0"/>
    <x v="2"/>
    <n v="0"/>
    <n v="0"/>
    <n v="46"/>
    <n v="111"/>
    <n v="0"/>
    <n v="300.3"/>
    <n v="292.36"/>
    <m/>
    <n v="385.7156580869115"/>
    <n v="310.95812167444689"/>
    <n v="0"/>
    <n v="-2025.5235"/>
    <n v="-1971.9682"/>
    <n v="0"/>
    <n v="-2601.6521137962181"/>
    <n v="-2097.4125306941442"/>
  </r>
  <r>
    <s v="Sistema de Compensação"/>
    <x v="4"/>
    <x v="4"/>
    <x v="7"/>
    <x v="2"/>
    <x v="0"/>
    <x v="0"/>
    <x v="1"/>
    <x v="7"/>
    <n v="0"/>
    <n v="0"/>
    <n v="111.227"/>
    <n v="111.227"/>
    <n v="111.227"/>
    <n v="111.227"/>
    <n v="717"/>
    <x v="2"/>
    <n v="0"/>
    <n v="0"/>
    <n v="46"/>
    <n v="111"/>
    <n v="0"/>
    <n v="300.3"/>
    <n v="292.36"/>
    <m/>
    <n v="385.7156580869115"/>
    <n v="310.95812167444689"/>
    <n v="0"/>
    <n v="33401.468100000006"/>
    <n v="32518.325720000004"/>
    <n v="0"/>
    <n v="42901.995502032907"/>
    <n v="34586.938999483704"/>
  </r>
  <r>
    <s v="Sistema de Compensação"/>
    <x v="4"/>
    <x v="4"/>
    <x v="7"/>
    <x v="2"/>
    <x v="0"/>
    <x v="0"/>
    <x v="1"/>
    <x v="7"/>
    <n v="0"/>
    <n v="0"/>
    <n v="0.17799999999999999"/>
    <n v="0.17799999999999999"/>
    <n v="0.17799999999999999"/>
    <n v="0.17799999999999999"/>
    <n v="1"/>
    <x v="2"/>
    <n v="0"/>
    <n v="0"/>
    <n v="46"/>
    <n v="111"/>
    <n v="0"/>
    <n v="300.3"/>
    <n v="292.36"/>
    <m/>
    <n v="385.7156580869115"/>
    <n v="310.95812167444689"/>
    <n v="0"/>
    <n v="53.453400000000002"/>
    <n v="52.040080000000003"/>
    <n v="0"/>
    <n v="68.657387139470245"/>
    <n v="55.350545658051544"/>
  </r>
  <r>
    <s v="Regular"/>
    <x v="4"/>
    <x v="4"/>
    <x v="7"/>
    <x v="2"/>
    <x v="0"/>
    <x v="0"/>
    <x v="1"/>
    <x v="8"/>
    <n v="0"/>
    <n v="0"/>
    <n v="10725.651"/>
    <n v="10725.651"/>
    <n v="10725.651"/>
    <n v="10725.651"/>
    <n v="69330"/>
    <x v="2"/>
    <n v="0"/>
    <n v="0"/>
    <n v="46"/>
    <n v="111"/>
    <n v="0"/>
    <n v="300.3"/>
    <n v="292.36"/>
    <m/>
    <n v="385.7156580869115"/>
    <n v="310.95812167444689"/>
    <n v="0"/>
    <n v="3220912.9953000001"/>
    <n v="3135751.3263600003"/>
    <n v="0"/>
    <n v="4137051.5338755404"/>
    <n v="3335228.288695653"/>
  </r>
  <r>
    <s v="Regular"/>
    <x v="4"/>
    <x v="4"/>
    <x v="7"/>
    <x v="2"/>
    <x v="0"/>
    <x v="0"/>
    <x v="1"/>
    <x v="9"/>
    <n v="0"/>
    <n v="0"/>
    <n v="10090.436"/>
    <n v="10090.436"/>
    <n v="10090.436"/>
    <n v="10090.436"/>
    <n v="69121"/>
    <x v="2"/>
    <n v="0"/>
    <n v="0"/>
    <n v="46"/>
    <n v="111"/>
    <n v="0"/>
    <n v="300.3"/>
    <n v="292.36"/>
    <m/>
    <n v="385.7156580869115"/>
    <n v="310.95812167444689"/>
    <n v="0"/>
    <n v="3030157.9308000002"/>
    <n v="2950039.8689600001"/>
    <n v="0"/>
    <n v="3892039.1621238627"/>
    <n v="3137703.0254362188"/>
  </r>
  <r>
    <s v="Refaturamento - Regular"/>
    <x v="4"/>
    <x v="4"/>
    <x v="7"/>
    <x v="2"/>
    <x v="0"/>
    <x v="0"/>
    <x v="1"/>
    <x v="9"/>
    <n v="0"/>
    <n v="0"/>
    <n v="-6.5289999999999999"/>
    <n v="-6.5289999999999999"/>
    <n v="-6.5289999999999999"/>
    <n v="-6.5289999999999999"/>
    <n v="0"/>
    <x v="2"/>
    <n v="0"/>
    <n v="0"/>
    <n v="46"/>
    <n v="111"/>
    <n v="0"/>
    <n v="300.3"/>
    <n v="292.36"/>
    <m/>
    <n v="385.7156580869115"/>
    <n v="310.95812167444689"/>
    <n v="0"/>
    <n v="-1960.6587"/>
    <n v="-1908.81844"/>
    <n v="0"/>
    <n v="-2518.3375316494453"/>
    <n v="-2030.2455764124636"/>
  </r>
  <r>
    <s v="Sistema de Compensação"/>
    <x v="4"/>
    <x v="4"/>
    <x v="7"/>
    <x v="2"/>
    <x v="0"/>
    <x v="0"/>
    <x v="1"/>
    <x v="9"/>
    <n v="0"/>
    <n v="0"/>
    <n v="102.729"/>
    <n v="102.729"/>
    <n v="102.729"/>
    <n v="102.729"/>
    <n v="809"/>
    <x v="2"/>
    <n v="0"/>
    <n v="0"/>
    <n v="46"/>
    <n v="111"/>
    <n v="0"/>
    <n v="300.3"/>
    <n v="292.36"/>
    <m/>
    <n v="385.7156580869115"/>
    <n v="310.95812167444689"/>
    <n v="0"/>
    <n v="30849.518700000001"/>
    <n v="30033.850440000002"/>
    <n v="0"/>
    <n v="39624.183839610334"/>
    <n v="31944.416881494253"/>
  </r>
  <r>
    <s v="Sistema de Compensação"/>
    <x v="4"/>
    <x v="4"/>
    <x v="7"/>
    <x v="2"/>
    <x v="0"/>
    <x v="0"/>
    <x v="1"/>
    <x v="9"/>
    <n v="0"/>
    <n v="0"/>
    <n v="-9.1999999999999998E-2"/>
    <n v="-9.1999999999999998E-2"/>
    <n v="-9.1999999999999998E-2"/>
    <n v="-9.1999999999999998E-2"/>
    <n v="4"/>
    <x v="2"/>
    <n v="0"/>
    <n v="0"/>
    <n v="46"/>
    <n v="111"/>
    <n v="0"/>
    <n v="300.3"/>
    <n v="292.36"/>
    <m/>
    <n v="385.7156580869115"/>
    <n v="310.95812167444689"/>
    <n v="0"/>
    <n v="-27.627600000000001"/>
    <n v="-26.897120000000001"/>
    <n v="0"/>
    <n v="-35.485840543995856"/>
    <n v="-28.608147194049113"/>
  </r>
  <r>
    <s v="Regular"/>
    <x v="4"/>
    <x v="4"/>
    <x v="7"/>
    <x v="2"/>
    <x v="0"/>
    <x v="0"/>
    <x v="1"/>
    <x v="10"/>
    <n v="0"/>
    <n v="0"/>
    <n v="11077.602999999999"/>
    <n v="11077.602999999999"/>
    <n v="11077.602999999999"/>
    <n v="11077.602999999999"/>
    <n v="69259"/>
    <x v="2"/>
    <n v="0"/>
    <n v="0"/>
    <n v="46"/>
    <n v="111"/>
    <n v="0"/>
    <n v="300.3"/>
    <n v="292.36"/>
    <m/>
    <n v="385.7156580869115"/>
    <n v="310.95812167444689"/>
    <n v="0"/>
    <n v="3326604.1809"/>
    <n v="3238648.0130799999"/>
    <n v="0"/>
    <n v="4272804.9311705446"/>
    <n v="3444670.6215352174"/>
  </r>
  <r>
    <s v="Refaturamento - Regular"/>
    <x v="4"/>
    <x v="4"/>
    <x v="7"/>
    <x v="2"/>
    <x v="0"/>
    <x v="0"/>
    <x v="1"/>
    <x v="10"/>
    <n v="0"/>
    <n v="0"/>
    <n v="-10.504"/>
    <n v="-10.504"/>
    <n v="-10.504"/>
    <n v="-10.504"/>
    <n v="0"/>
    <x v="2"/>
    <n v="0"/>
    <n v="0"/>
    <n v="46"/>
    <n v="111"/>
    <n v="0"/>
    <n v="300.3"/>
    <n v="292.36"/>
    <m/>
    <n v="385.7156580869115"/>
    <n v="310.95812167444689"/>
    <n v="0"/>
    <n v="-3154.3512000000001"/>
    <n v="-3070.9494399999999"/>
    <n v="0"/>
    <n v="-4051.5572725449183"/>
    <n v="-3266.3041100683899"/>
  </r>
  <r>
    <s v="Sistema de Compensação"/>
    <x v="4"/>
    <x v="4"/>
    <x v="7"/>
    <x v="2"/>
    <x v="0"/>
    <x v="0"/>
    <x v="1"/>
    <x v="10"/>
    <n v="0"/>
    <n v="0"/>
    <n v="115.226"/>
    <n v="115.226"/>
    <n v="115.226"/>
    <n v="115.226"/>
    <n v="873"/>
    <x v="2"/>
    <n v="0"/>
    <n v="0"/>
    <n v="46"/>
    <n v="111"/>
    <n v="0"/>
    <n v="300.3"/>
    <n v="292.36"/>
    <m/>
    <n v="385.7156580869115"/>
    <n v="310.95812167444689"/>
    <n v="0"/>
    <n v="34602.3678"/>
    <n v="33687.473360000004"/>
    <n v="0"/>
    <n v="44444.472418722464"/>
    <n v="35830.460528059819"/>
  </r>
  <r>
    <s v="PROJETADO"/>
    <x v="4"/>
    <x v="4"/>
    <x v="7"/>
    <x v="2"/>
    <x v="0"/>
    <x v="0"/>
    <x v="1"/>
    <x v="11"/>
    <n v="0"/>
    <n v="0"/>
    <n v="11077.602999999999"/>
    <n v="11077.602999999999"/>
    <n v="11077.602999999999"/>
    <n v="11077.602999999999"/>
    <n v="69259"/>
    <x v="2"/>
    <n v="0"/>
    <n v="0"/>
    <n v="46"/>
    <n v="111"/>
    <n v="0"/>
    <n v="300.3"/>
    <n v="292.36"/>
    <m/>
    <n v="385.7156580869115"/>
    <n v="310.95812167444689"/>
    <n v="0"/>
    <n v="3326604.1809"/>
    <n v="3238648.0130799999"/>
    <n v="0"/>
    <n v="4272804.9311705446"/>
    <n v="3444670.6215352174"/>
  </r>
  <r>
    <s v="PROJETADO"/>
    <x v="4"/>
    <x v="4"/>
    <x v="7"/>
    <x v="2"/>
    <x v="0"/>
    <x v="0"/>
    <x v="1"/>
    <x v="11"/>
    <n v="0"/>
    <n v="0"/>
    <n v="-10.504"/>
    <n v="-10.504"/>
    <n v="-10.504"/>
    <n v="-10.504"/>
    <n v="0"/>
    <x v="2"/>
    <n v="0"/>
    <n v="0"/>
    <n v="46"/>
    <n v="111"/>
    <n v="0"/>
    <n v="300.3"/>
    <n v="292.36"/>
    <m/>
    <n v="385.7156580869115"/>
    <n v="310.95812167444689"/>
    <n v="0"/>
    <n v="-3154.3512000000001"/>
    <n v="-3070.9494399999999"/>
    <n v="0"/>
    <n v="-4051.5572725449183"/>
    <n v="-3266.3041100683899"/>
  </r>
  <r>
    <s v="PROJETADO"/>
    <x v="4"/>
    <x v="4"/>
    <x v="7"/>
    <x v="2"/>
    <x v="0"/>
    <x v="0"/>
    <x v="1"/>
    <x v="11"/>
    <n v="0"/>
    <n v="0"/>
    <n v="115.226"/>
    <n v="115.226"/>
    <n v="115.226"/>
    <n v="115.226"/>
    <n v="873"/>
    <x v="2"/>
    <n v="0"/>
    <n v="0"/>
    <n v="46"/>
    <n v="111"/>
    <n v="0"/>
    <n v="300.3"/>
    <n v="292.36"/>
    <m/>
    <n v="385.7156580869115"/>
    <n v="310.95812167444689"/>
    <n v="0"/>
    <n v="34602.3678"/>
    <n v="33687.473360000004"/>
    <n v="0"/>
    <n v="44444.472418722464"/>
    <n v="35830.460528059819"/>
  </r>
  <r>
    <s v="Regular"/>
    <x v="4"/>
    <x v="4"/>
    <x v="7"/>
    <x v="3"/>
    <x v="0"/>
    <x v="0"/>
    <x v="1"/>
    <x v="0"/>
    <n v="0"/>
    <n v="0"/>
    <n v="161.34700000000001"/>
    <n v="161.34700000000001"/>
    <n v="161.34700000000001"/>
    <n v="161.34700000000001"/>
    <n v="141"/>
    <x v="2"/>
    <n v="0"/>
    <n v="0"/>
    <n v="39"/>
    <n v="98"/>
    <n v="0"/>
    <n v="79.06"/>
    <n v="102.32"/>
    <m/>
    <n v="89.38817278528839"/>
    <n v="108.8353425860564"/>
    <n v="0"/>
    <n v="12756.093820000002"/>
    <n v="16509.02504"/>
    <n v="0"/>
    <n v="14422.513514387927"/>
    <n v="17560.256020232442"/>
  </r>
  <r>
    <s v="Refaturamento - Regular"/>
    <x v="4"/>
    <x v="4"/>
    <x v="7"/>
    <x v="3"/>
    <x v="0"/>
    <x v="0"/>
    <x v="1"/>
    <x v="0"/>
    <n v="0"/>
    <n v="0"/>
    <n v="-0.03"/>
    <n v="-0.03"/>
    <n v="-0.03"/>
    <n v="-0.03"/>
    <n v="0"/>
    <x v="2"/>
    <n v="0"/>
    <n v="0"/>
    <n v="39"/>
    <n v="98"/>
    <n v="0"/>
    <n v="79.06"/>
    <n v="102.32"/>
    <m/>
    <n v="89.38817278528839"/>
    <n v="108.8353425860564"/>
    <n v="0"/>
    <n v="-2.3717999999999999"/>
    <n v="-3.0695999999999999"/>
    <n v="0"/>
    <n v="-2.6816451835586514"/>
    <n v="-3.2650602775816919"/>
  </r>
  <r>
    <s v="Sistema de Compensação"/>
    <x v="4"/>
    <x v="4"/>
    <x v="7"/>
    <x v="3"/>
    <x v="0"/>
    <x v="0"/>
    <x v="1"/>
    <x v="0"/>
    <n v="0"/>
    <n v="0"/>
    <n v="0.06"/>
    <n v="-1.7999999999999999E-2"/>
    <n v="0.06"/>
    <n v="-1.7999999999999999E-2"/>
    <n v="0"/>
    <x v="2"/>
    <n v="0"/>
    <n v="0"/>
    <n v="39"/>
    <n v="98"/>
    <n v="0"/>
    <n v="79.06"/>
    <n v="102.32"/>
    <m/>
    <n v="89.38817278528839"/>
    <n v="108.8353425860564"/>
    <n v="0"/>
    <n v="-1.4230799999999999"/>
    <n v="-1.8417599999999998"/>
    <n v="0"/>
    <n v="-1.6089871101351909"/>
    <n v="-1.959036166549015"/>
  </r>
  <r>
    <s v="Regular"/>
    <x v="4"/>
    <x v="4"/>
    <x v="7"/>
    <x v="3"/>
    <x v="0"/>
    <x v="0"/>
    <x v="1"/>
    <x v="1"/>
    <n v="0"/>
    <n v="0"/>
    <n v="169.458"/>
    <n v="169.458"/>
    <n v="169.458"/>
    <n v="169.458"/>
    <n v="165"/>
    <x v="2"/>
    <n v="0"/>
    <n v="0"/>
    <n v="39"/>
    <n v="98"/>
    <n v="0"/>
    <n v="79.06"/>
    <n v="102.32"/>
    <m/>
    <n v="89.38817278528839"/>
    <n v="108.8353425860564"/>
    <n v="0"/>
    <n v="13397.349480000001"/>
    <n v="17338.94256"/>
    <n v="0"/>
    <n v="15147.5409838494"/>
    <n v="18443.019483947945"/>
  </r>
  <r>
    <s v="Refaturamento - Regular"/>
    <x v="4"/>
    <x v="4"/>
    <x v="7"/>
    <x v="3"/>
    <x v="0"/>
    <x v="0"/>
    <x v="1"/>
    <x v="1"/>
    <n v="0"/>
    <n v="0"/>
    <n v="0.15"/>
    <n v="0.15"/>
    <n v="0.15"/>
    <n v="0.15"/>
    <n v="0"/>
    <x v="2"/>
    <n v="0"/>
    <n v="0"/>
    <n v="39"/>
    <n v="98"/>
    <n v="0"/>
    <n v="79.06"/>
    <n v="102.32"/>
    <m/>
    <n v="89.38817278528839"/>
    <n v="108.8353425860564"/>
    <n v="0"/>
    <n v="11.859"/>
    <n v="15.347999999999999"/>
    <n v="0"/>
    <n v="13.408225917793258"/>
    <n v="16.325301387908461"/>
  </r>
  <r>
    <s v="Sistema de Compensação"/>
    <x v="4"/>
    <x v="4"/>
    <x v="7"/>
    <x v="3"/>
    <x v="0"/>
    <x v="0"/>
    <x v="1"/>
    <x v="1"/>
    <n v="0"/>
    <n v="0"/>
    <n v="0.06"/>
    <n v="-1.7999999999999999E-2"/>
    <n v="0.06"/>
    <n v="-1.7999999999999999E-2"/>
    <n v="0"/>
    <x v="2"/>
    <n v="0"/>
    <n v="0"/>
    <n v="39"/>
    <n v="98"/>
    <n v="0"/>
    <n v="79.06"/>
    <n v="102.32"/>
    <m/>
    <n v="89.38817278528839"/>
    <n v="108.8353425860564"/>
    <n v="0"/>
    <n v="-1.4230799999999999"/>
    <n v="-1.8417599999999998"/>
    <n v="0"/>
    <n v="-1.6089871101351909"/>
    <n v="-1.959036166549015"/>
  </r>
  <r>
    <s v="Regular"/>
    <x v="4"/>
    <x v="4"/>
    <x v="7"/>
    <x v="3"/>
    <x v="0"/>
    <x v="0"/>
    <x v="1"/>
    <x v="2"/>
    <n v="0"/>
    <n v="0"/>
    <n v="163.94200000000001"/>
    <n v="163.94200000000001"/>
    <n v="163.94200000000001"/>
    <n v="163.94200000000001"/>
    <n v="144"/>
    <x v="2"/>
    <n v="0"/>
    <n v="0"/>
    <n v="39"/>
    <n v="98"/>
    <n v="0"/>
    <n v="79.06"/>
    <n v="102.32"/>
    <m/>
    <n v="89.38817278528839"/>
    <n v="108.8353425860564"/>
    <n v="0"/>
    <n v="12961.25452"/>
    <n v="16774.545439999998"/>
    <n v="0"/>
    <n v="14654.475822765749"/>
    <n v="17842.683734243259"/>
  </r>
  <r>
    <s v="Sistema de Compensação"/>
    <x v="4"/>
    <x v="4"/>
    <x v="7"/>
    <x v="3"/>
    <x v="0"/>
    <x v="0"/>
    <x v="1"/>
    <x v="2"/>
    <n v="0"/>
    <n v="0"/>
    <n v="0.06"/>
    <n v="-1.7999999999999999E-2"/>
    <n v="0.06"/>
    <n v="-1.7999999999999999E-2"/>
    <n v="0"/>
    <x v="2"/>
    <n v="0"/>
    <n v="0"/>
    <n v="39"/>
    <n v="98"/>
    <n v="0"/>
    <n v="79.06"/>
    <n v="102.32"/>
    <m/>
    <n v="89.38817278528839"/>
    <n v="108.8353425860564"/>
    <n v="0"/>
    <n v="-1.4230799999999999"/>
    <n v="-1.8417599999999998"/>
    <n v="0"/>
    <n v="-1.6089871101351909"/>
    <n v="-1.959036166549015"/>
  </r>
  <r>
    <s v="Regular"/>
    <x v="4"/>
    <x v="4"/>
    <x v="7"/>
    <x v="3"/>
    <x v="0"/>
    <x v="0"/>
    <x v="1"/>
    <x v="3"/>
    <n v="0"/>
    <n v="0"/>
    <n v="182.23699999999999"/>
    <n v="182.23699999999999"/>
    <n v="182.23699999999999"/>
    <n v="182.23699999999999"/>
    <n v="196"/>
    <x v="2"/>
    <n v="0"/>
    <n v="0"/>
    <n v="39"/>
    <n v="98"/>
    <n v="0"/>
    <n v="79.06"/>
    <n v="102.32"/>
    <m/>
    <n v="89.38817278528839"/>
    <n v="108.8353425860564"/>
    <n v="0"/>
    <n v="14407.657219999999"/>
    <n v="18646.489839999998"/>
    <n v="0"/>
    <n v="16289.832443872599"/>
    <n v="19833.82632685516"/>
  </r>
  <r>
    <s v="Sistema de Compensação"/>
    <x v="4"/>
    <x v="4"/>
    <x v="7"/>
    <x v="3"/>
    <x v="0"/>
    <x v="0"/>
    <x v="1"/>
    <x v="3"/>
    <n v="0"/>
    <n v="0"/>
    <n v="0.06"/>
    <n v="-1.7999999999999999E-2"/>
    <n v="0.06"/>
    <n v="-1.7999999999999999E-2"/>
    <n v="0"/>
    <x v="2"/>
    <n v="0"/>
    <n v="0"/>
    <n v="39"/>
    <n v="98"/>
    <n v="0"/>
    <n v="79.06"/>
    <n v="102.32"/>
    <m/>
    <n v="89.38817278528839"/>
    <n v="108.8353425860564"/>
    <n v="0"/>
    <n v="-1.4230799999999999"/>
    <n v="-1.8417599999999998"/>
    <n v="0"/>
    <n v="-1.6089871101351909"/>
    <n v="-1.959036166549015"/>
  </r>
  <r>
    <s v="Regular"/>
    <x v="4"/>
    <x v="4"/>
    <x v="7"/>
    <x v="3"/>
    <x v="0"/>
    <x v="0"/>
    <x v="1"/>
    <x v="4"/>
    <n v="0"/>
    <n v="0"/>
    <n v="188.01499999999999"/>
    <n v="188.01499999999999"/>
    <n v="188.01499999999999"/>
    <n v="188.01499999999999"/>
    <n v="182"/>
    <x v="2"/>
    <n v="0"/>
    <n v="0"/>
    <n v="39"/>
    <n v="98"/>
    <n v="0"/>
    <n v="79.06"/>
    <n v="102.32"/>
    <m/>
    <n v="89.38817278528839"/>
    <n v="108.8353425860564"/>
    <n v="0"/>
    <n v="14864.465899999999"/>
    <n v="19237.694799999997"/>
    <n v="0"/>
    <n v="16806.317306225996"/>
    <n v="20462.676936317392"/>
  </r>
  <r>
    <s v="Sistema de Compensação"/>
    <x v="4"/>
    <x v="4"/>
    <x v="7"/>
    <x v="3"/>
    <x v="0"/>
    <x v="0"/>
    <x v="1"/>
    <x v="4"/>
    <n v="0"/>
    <n v="0"/>
    <n v="0.06"/>
    <n v="-1.7999999999999999E-2"/>
    <n v="0.06"/>
    <n v="-1.7999999999999999E-2"/>
    <n v="0"/>
    <x v="2"/>
    <n v="0"/>
    <n v="0"/>
    <n v="39"/>
    <n v="98"/>
    <n v="0"/>
    <n v="79.06"/>
    <n v="102.32"/>
    <m/>
    <n v="89.38817278528839"/>
    <n v="108.8353425860564"/>
    <n v="0"/>
    <n v="-1.4230799999999999"/>
    <n v="-1.8417599999999998"/>
    <n v="0"/>
    <n v="-1.6089871101351909"/>
    <n v="-1.959036166549015"/>
  </r>
  <r>
    <s v="Regular"/>
    <x v="4"/>
    <x v="4"/>
    <x v="7"/>
    <x v="3"/>
    <x v="0"/>
    <x v="0"/>
    <x v="1"/>
    <x v="5"/>
    <n v="0"/>
    <n v="0"/>
    <n v="189.18700000000001"/>
    <n v="189.18700000000001"/>
    <n v="189.18700000000001"/>
    <n v="189.18700000000001"/>
    <n v="195"/>
    <x v="2"/>
    <n v="0"/>
    <n v="0"/>
    <n v="39"/>
    <n v="98"/>
    <n v="0"/>
    <n v="79.06"/>
    <n v="102.32"/>
    <m/>
    <n v="89.38817278528839"/>
    <n v="108.8353425860564"/>
    <n v="0"/>
    <n v="14957.124220000002"/>
    <n v="19357.613839999998"/>
    <n v="0"/>
    <n v="16911.080244730354"/>
    <n v="20590.231957828255"/>
  </r>
  <r>
    <s v="Refaturamento - Regular"/>
    <x v="4"/>
    <x v="4"/>
    <x v="7"/>
    <x v="3"/>
    <x v="0"/>
    <x v="0"/>
    <x v="1"/>
    <x v="5"/>
    <n v="0"/>
    <n v="0"/>
    <n v="0.09"/>
    <n v="0.09"/>
    <n v="0.09"/>
    <n v="0.09"/>
    <n v="0"/>
    <x v="2"/>
    <n v="0"/>
    <n v="0"/>
    <n v="39"/>
    <n v="98"/>
    <n v="0"/>
    <n v="79.06"/>
    <n v="102.32"/>
    <m/>
    <n v="89.38817278528839"/>
    <n v="108.8353425860564"/>
    <n v="0"/>
    <n v="7.1154000000000002"/>
    <n v="9.2087999999999983"/>
    <n v="0"/>
    <n v="8.0449355506759552"/>
    <n v="9.7951808327450749"/>
  </r>
  <r>
    <s v="Sistema de Compensação"/>
    <x v="4"/>
    <x v="4"/>
    <x v="7"/>
    <x v="3"/>
    <x v="0"/>
    <x v="0"/>
    <x v="1"/>
    <x v="5"/>
    <n v="0"/>
    <n v="0"/>
    <n v="0.03"/>
    <n v="-8.9999999999999993E-3"/>
    <n v="0.03"/>
    <n v="-8.9999999999999993E-3"/>
    <n v="0"/>
    <x v="2"/>
    <n v="0"/>
    <n v="0"/>
    <n v="39"/>
    <n v="98"/>
    <n v="0"/>
    <n v="79.06"/>
    <n v="102.32"/>
    <m/>
    <n v="89.38817278528839"/>
    <n v="108.8353425860564"/>
    <n v="0"/>
    <n v="-0.71153999999999995"/>
    <n v="-0.92087999999999992"/>
    <n v="0"/>
    <n v="-0.80449355506759546"/>
    <n v="-0.97951808327450751"/>
  </r>
  <r>
    <s v="Regular"/>
    <x v="4"/>
    <x v="4"/>
    <x v="7"/>
    <x v="3"/>
    <x v="0"/>
    <x v="0"/>
    <x v="1"/>
    <x v="6"/>
    <n v="0"/>
    <n v="0"/>
    <n v="193.66300000000001"/>
    <n v="193.66300000000001"/>
    <n v="193.66300000000001"/>
    <n v="193.66300000000001"/>
    <n v="213"/>
    <x v="2"/>
    <n v="0"/>
    <n v="0"/>
    <n v="39"/>
    <n v="98"/>
    <n v="0"/>
    <n v="79.06"/>
    <n v="102.32"/>
    <m/>
    <n v="89.38817278528839"/>
    <n v="108.8353425860564"/>
    <n v="0"/>
    <n v="15310.996780000001"/>
    <n v="19815.598160000001"/>
    <n v="0"/>
    <n v="17311.181706117306"/>
    <n v="21077.378951243441"/>
  </r>
  <r>
    <s v="Sistema de Compensação"/>
    <x v="4"/>
    <x v="4"/>
    <x v="7"/>
    <x v="3"/>
    <x v="0"/>
    <x v="0"/>
    <x v="1"/>
    <x v="6"/>
    <n v="0"/>
    <n v="0"/>
    <n v="5.0999999999999997E-2"/>
    <n v="-1.5299999999999999E-2"/>
    <n v="5.0999999999999997E-2"/>
    <n v="-1.5299999999999999E-2"/>
    <n v="0"/>
    <x v="2"/>
    <n v="0"/>
    <n v="0"/>
    <n v="39"/>
    <n v="98"/>
    <n v="0"/>
    <n v="79.06"/>
    <n v="102.32"/>
    <m/>
    <n v="89.38817278528839"/>
    <n v="108.8353425860564"/>
    <n v="0"/>
    <n v="-1.2096180000000001"/>
    <n v="-1.5654959999999998"/>
    <n v="0"/>
    <n v="-1.3676390436149124"/>
    <n v="-1.6651807415666628"/>
  </r>
  <r>
    <s v="Regular"/>
    <x v="4"/>
    <x v="4"/>
    <x v="7"/>
    <x v="3"/>
    <x v="0"/>
    <x v="0"/>
    <x v="1"/>
    <x v="7"/>
    <n v="0"/>
    <n v="0"/>
    <n v="187.27"/>
    <n v="187.27"/>
    <n v="187.27"/>
    <n v="187.27"/>
    <n v="228"/>
    <x v="2"/>
    <n v="0"/>
    <n v="0"/>
    <n v="39"/>
    <n v="98"/>
    <n v="0"/>
    <n v="79.06"/>
    <n v="102.32"/>
    <m/>
    <n v="89.38817278528839"/>
    <n v="108.8353425860564"/>
    <n v="0"/>
    <n v="14805.566200000001"/>
    <n v="19161.466400000001"/>
    <n v="0"/>
    <n v="16739.723117500958"/>
    <n v="20381.594606090785"/>
  </r>
  <r>
    <s v="Sistema de Compensação"/>
    <x v="4"/>
    <x v="4"/>
    <x v="7"/>
    <x v="3"/>
    <x v="0"/>
    <x v="0"/>
    <x v="1"/>
    <x v="7"/>
    <n v="0"/>
    <n v="0"/>
    <n v="2.5999999999999999E-2"/>
    <n v="-7.7999999999999996E-3"/>
    <n v="2.5999999999999999E-2"/>
    <n v="-7.7999999999999996E-3"/>
    <n v="0"/>
    <x v="2"/>
    <n v="0"/>
    <n v="0"/>
    <n v="39"/>
    <n v="98"/>
    <n v="0"/>
    <n v="79.06"/>
    <n v="102.32"/>
    <m/>
    <n v="89.38817278528839"/>
    <n v="108.8353425860564"/>
    <n v="0"/>
    <n v="-0.61666799999999999"/>
    <n v="-0.79809599999999992"/>
    <n v="0"/>
    <n v="-0.69722774772524942"/>
    <n v="-0.84891567217123987"/>
  </r>
  <r>
    <s v="Regular"/>
    <x v="4"/>
    <x v="4"/>
    <x v="7"/>
    <x v="3"/>
    <x v="0"/>
    <x v="0"/>
    <x v="1"/>
    <x v="8"/>
    <n v="0"/>
    <n v="0"/>
    <n v="177.684"/>
    <n v="177.684"/>
    <n v="177.684"/>
    <n v="177.684"/>
    <n v="231"/>
    <x v="2"/>
    <n v="0"/>
    <n v="0"/>
    <n v="39"/>
    <n v="98"/>
    <n v="0"/>
    <n v="79.06"/>
    <n v="102.32"/>
    <m/>
    <n v="89.38817278528839"/>
    <n v="108.8353425860564"/>
    <n v="0"/>
    <n v="14047.697040000001"/>
    <n v="18180.62688"/>
    <n v="0"/>
    <n v="15882.848093181183"/>
    <n v="19338.299012060845"/>
  </r>
  <r>
    <s v="Regular"/>
    <x v="4"/>
    <x v="4"/>
    <x v="7"/>
    <x v="3"/>
    <x v="0"/>
    <x v="0"/>
    <x v="1"/>
    <x v="9"/>
    <n v="0"/>
    <n v="0"/>
    <n v="183.559"/>
    <n v="183.559"/>
    <n v="183.559"/>
    <n v="183.559"/>
    <n v="233"/>
    <x v="2"/>
    <n v="0"/>
    <n v="0"/>
    <n v="39"/>
    <n v="98"/>
    <n v="0"/>
    <n v="79.06"/>
    <n v="102.32"/>
    <m/>
    <n v="89.38817278528839"/>
    <n v="108.8353425860564"/>
    <n v="0"/>
    <n v="14512.17454"/>
    <n v="18781.756879999997"/>
    <n v="0"/>
    <n v="16408.003608294752"/>
    <n v="19977.706649753927"/>
  </r>
  <r>
    <s v="Refaturamento - Regular"/>
    <x v="4"/>
    <x v="4"/>
    <x v="7"/>
    <x v="3"/>
    <x v="0"/>
    <x v="0"/>
    <x v="1"/>
    <x v="9"/>
    <n v="0"/>
    <n v="0"/>
    <n v="-0.03"/>
    <n v="-0.03"/>
    <n v="-0.03"/>
    <n v="-0.03"/>
    <n v="0"/>
    <x v="2"/>
    <n v="0"/>
    <n v="0"/>
    <n v="39"/>
    <n v="98"/>
    <n v="0"/>
    <n v="79.06"/>
    <n v="102.32"/>
    <m/>
    <n v="89.38817278528839"/>
    <n v="108.8353425860564"/>
    <n v="0"/>
    <n v="-2.3717999999999999"/>
    <n v="-3.0695999999999999"/>
    <n v="0"/>
    <n v="-2.6816451835586514"/>
    <n v="-3.2650602775816919"/>
  </r>
  <r>
    <s v="Sistema de Compensação"/>
    <x v="4"/>
    <x v="4"/>
    <x v="7"/>
    <x v="3"/>
    <x v="0"/>
    <x v="0"/>
    <x v="1"/>
    <x v="9"/>
    <n v="0"/>
    <n v="0"/>
    <n v="1.7000000000000001E-2"/>
    <n v="5.9500000000000004E-3"/>
    <n v="1.7000000000000001E-2"/>
    <n v="5.9500000000000004E-3"/>
    <n v="0"/>
    <x v="2"/>
    <n v="0"/>
    <n v="0"/>
    <n v="39"/>
    <n v="98"/>
    <n v="0"/>
    <n v="79.06"/>
    <n v="102.32"/>
    <m/>
    <n v="89.38817278528839"/>
    <n v="108.8353425860564"/>
    <n v="0"/>
    <n v="0.47040700000000002"/>
    <n v="0.60880400000000001"/>
    <n v="0"/>
    <n v="0.53185962807246601"/>
    <n v="0.64757028838703556"/>
  </r>
  <r>
    <s v="Regular"/>
    <x v="4"/>
    <x v="4"/>
    <x v="7"/>
    <x v="3"/>
    <x v="0"/>
    <x v="0"/>
    <x v="1"/>
    <x v="10"/>
    <n v="0"/>
    <n v="0"/>
    <n v="183.197"/>
    <n v="183.197"/>
    <n v="183.197"/>
    <n v="183.197"/>
    <n v="202"/>
    <x v="2"/>
    <n v="0"/>
    <n v="0"/>
    <n v="39"/>
    <n v="98"/>
    <n v="0"/>
    <n v="79.06"/>
    <n v="102.32"/>
    <m/>
    <n v="89.38817278528839"/>
    <n v="108.8353425860564"/>
    <n v="0"/>
    <n v="14483.554820000001"/>
    <n v="18744.71704"/>
    <n v="0"/>
    <n v="16375.645089746477"/>
    <n v="19938.308255737775"/>
  </r>
  <r>
    <s v="Refaturamento - Regular"/>
    <x v="4"/>
    <x v="4"/>
    <x v="7"/>
    <x v="3"/>
    <x v="0"/>
    <x v="0"/>
    <x v="1"/>
    <x v="10"/>
    <n v="0"/>
    <n v="0"/>
    <n v="-0.06"/>
    <n v="-0.06"/>
    <n v="-0.06"/>
    <n v="-0.06"/>
    <n v="0"/>
    <x v="2"/>
    <n v="0"/>
    <n v="0"/>
    <n v="39"/>
    <n v="98"/>
    <n v="0"/>
    <n v="79.06"/>
    <n v="102.32"/>
    <m/>
    <n v="89.38817278528839"/>
    <n v="108.8353425860564"/>
    <n v="0"/>
    <n v="-4.7435999999999998"/>
    <n v="-6.1391999999999998"/>
    <n v="0"/>
    <n v="-5.3632903671173029"/>
    <n v="-6.5301205551633839"/>
  </r>
  <r>
    <s v="Sistema de Compensação"/>
    <x v="4"/>
    <x v="4"/>
    <x v="7"/>
    <x v="3"/>
    <x v="0"/>
    <x v="0"/>
    <x v="1"/>
    <x v="10"/>
    <n v="0"/>
    <n v="0"/>
    <n v="3.5000000000000003E-2"/>
    <n v="1.225E-2"/>
    <n v="3.5000000000000003E-2"/>
    <n v="1.225E-2"/>
    <n v="0"/>
    <x v="2"/>
    <n v="0"/>
    <n v="0"/>
    <n v="39"/>
    <n v="98"/>
    <n v="0"/>
    <n v="79.06"/>
    <n v="102.32"/>
    <m/>
    <n v="89.38817278528839"/>
    <n v="108.8353425860564"/>
    <n v="0"/>
    <n v="0.96848500000000004"/>
    <n v="1.25342"/>
    <n v="0"/>
    <n v="1.0950051166197827"/>
    <n v="1.333232946679191"/>
  </r>
  <r>
    <s v="PROJETADO"/>
    <x v="4"/>
    <x v="4"/>
    <x v="7"/>
    <x v="3"/>
    <x v="0"/>
    <x v="0"/>
    <x v="1"/>
    <x v="11"/>
    <n v="0"/>
    <n v="0"/>
    <n v="183.197"/>
    <n v="183.197"/>
    <n v="183.197"/>
    <n v="183.197"/>
    <n v="202"/>
    <x v="2"/>
    <n v="0"/>
    <n v="0"/>
    <n v="39"/>
    <n v="98"/>
    <n v="0"/>
    <n v="79.06"/>
    <n v="102.32"/>
    <m/>
    <n v="89.38817278528839"/>
    <n v="108.8353425860564"/>
    <n v="0"/>
    <n v="14483.554820000001"/>
    <n v="18744.71704"/>
    <n v="0"/>
    <n v="16375.645089746477"/>
    <n v="19938.308255737775"/>
  </r>
  <r>
    <s v="PROJETADO"/>
    <x v="4"/>
    <x v="4"/>
    <x v="7"/>
    <x v="3"/>
    <x v="0"/>
    <x v="0"/>
    <x v="1"/>
    <x v="11"/>
    <n v="0"/>
    <n v="0"/>
    <n v="-0.06"/>
    <n v="-0.06"/>
    <n v="-0.06"/>
    <n v="-0.06"/>
    <n v="0"/>
    <x v="2"/>
    <n v="0"/>
    <n v="0"/>
    <n v="39"/>
    <n v="98"/>
    <n v="0"/>
    <n v="79.06"/>
    <n v="102.32"/>
    <m/>
    <n v="89.38817278528839"/>
    <n v="108.8353425860564"/>
    <n v="0"/>
    <n v="-4.7435999999999998"/>
    <n v="-6.1391999999999998"/>
    <n v="0"/>
    <n v="-5.3632903671173029"/>
    <n v="-6.5301205551633839"/>
  </r>
  <r>
    <s v="PROJETADO"/>
    <x v="4"/>
    <x v="4"/>
    <x v="7"/>
    <x v="3"/>
    <x v="0"/>
    <x v="0"/>
    <x v="1"/>
    <x v="11"/>
    <n v="0"/>
    <n v="0"/>
    <n v="3.5000000000000003E-2"/>
    <n v="1.225E-2"/>
    <n v="3.5000000000000003E-2"/>
    <n v="1.225E-2"/>
    <n v="0"/>
    <x v="2"/>
    <n v="0"/>
    <n v="0"/>
    <n v="39"/>
    <n v="98"/>
    <n v="0"/>
    <n v="79.06"/>
    <n v="102.32"/>
    <m/>
    <n v="89.38817278528839"/>
    <n v="108.8353425860564"/>
    <n v="0"/>
    <n v="0.96848500000000004"/>
    <n v="1.25342"/>
    <n v="0"/>
    <n v="1.0950051166197827"/>
    <n v="1.333232946679191"/>
  </r>
  <r>
    <s v="Regular"/>
    <x v="4"/>
    <x v="4"/>
    <x v="7"/>
    <x v="4"/>
    <x v="0"/>
    <x v="0"/>
    <x v="1"/>
    <x v="0"/>
    <n v="0"/>
    <n v="0"/>
    <n v="327.26100000000002"/>
    <n v="327.26100000000002"/>
    <n v="327.26100000000002"/>
    <n v="327.26100000000002"/>
    <n v="1478"/>
    <x v="2"/>
    <n v="0"/>
    <n v="0"/>
    <n v="34"/>
    <n v="75"/>
    <n v="0"/>
    <n v="135.52000000000001"/>
    <n v="175.41"/>
    <m/>
    <n v="153.23686763192296"/>
    <n v="186.57487300466812"/>
    <n v="0"/>
    <n v="44350.410720000007"/>
    <n v="57404.852010000002"/>
    <n v="0"/>
    <n v="50148.450538090743"/>
    <n v="61058.679514380696"/>
  </r>
  <r>
    <s v="Refaturamento - Regular"/>
    <x v="4"/>
    <x v="4"/>
    <x v="7"/>
    <x v="4"/>
    <x v="0"/>
    <x v="0"/>
    <x v="1"/>
    <x v="0"/>
    <n v="0"/>
    <n v="0"/>
    <n v="-0.11600000000000001"/>
    <n v="-0.11600000000000001"/>
    <n v="-0.11600000000000001"/>
    <n v="-0.11600000000000001"/>
    <n v="0"/>
    <x v="2"/>
    <n v="0"/>
    <n v="0"/>
    <n v="34"/>
    <n v="75"/>
    <n v="0"/>
    <n v="135.52000000000001"/>
    <n v="175.41"/>
    <m/>
    <n v="153.23686763192296"/>
    <n v="186.57487300466812"/>
    <n v="0"/>
    <n v="-15.720320000000003"/>
    <n v="-20.347560000000001"/>
    <n v="0"/>
    <n v="-17.775476645303065"/>
    <n v="-21.642685268541502"/>
  </r>
  <r>
    <s v="Sistema de Compensação"/>
    <x v="4"/>
    <x v="4"/>
    <x v="7"/>
    <x v="4"/>
    <x v="0"/>
    <x v="0"/>
    <x v="1"/>
    <x v="0"/>
    <n v="0"/>
    <n v="0"/>
    <n v="0.1"/>
    <n v="0.02"/>
    <n v="0.1"/>
    <n v="0.02"/>
    <n v="1"/>
    <x v="2"/>
    <n v="0"/>
    <n v="0"/>
    <n v="34"/>
    <n v="75"/>
    <n v="0"/>
    <n v="135.52000000000001"/>
    <n v="175.41"/>
    <m/>
    <n v="153.23686763192296"/>
    <n v="186.57487300466812"/>
    <n v="0"/>
    <n v="2.7104000000000004"/>
    <n v="3.5082"/>
    <n v="0"/>
    <n v="3.0647373526384594"/>
    <n v="3.7314974600933626"/>
  </r>
  <r>
    <s v="Regular"/>
    <x v="4"/>
    <x v="4"/>
    <x v="7"/>
    <x v="4"/>
    <x v="0"/>
    <x v="0"/>
    <x v="1"/>
    <x v="1"/>
    <n v="0"/>
    <n v="0"/>
    <n v="339.59699999999998"/>
    <n v="339.59699999999998"/>
    <n v="339.59699999999998"/>
    <n v="339.59699999999998"/>
    <n v="1674"/>
    <x v="2"/>
    <n v="0"/>
    <n v="0"/>
    <n v="34"/>
    <n v="75"/>
    <n v="0"/>
    <n v="135.52000000000001"/>
    <n v="175.41"/>
    <m/>
    <n v="153.23686763192296"/>
    <n v="186.57487300466812"/>
    <n v="0"/>
    <n v="46022.185440000001"/>
    <n v="59568.709769999994"/>
    <n v="0"/>
    <n v="52038.780537198138"/>
    <n v="63360.267147766273"/>
  </r>
  <r>
    <s v="Refaturamento - Regular"/>
    <x v="4"/>
    <x v="4"/>
    <x v="7"/>
    <x v="4"/>
    <x v="0"/>
    <x v="0"/>
    <x v="1"/>
    <x v="1"/>
    <n v="0"/>
    <n v="0"/>
    <n v="0.35"/>
    <n v="0.35"/>
    <n v="0.35"/>
    <n v="0.35"/>
    <n v="0"/>
    <x v="2"/>
    <n v="0"/>
    <n v="0"/>
    <n v="34"/>
    <n v="75"/>
    <n v="0"/>
    <n v="135.52000000000001"/>
    <n v="175.41"/>
    <m/>
    <n v="153.23686763192296"/>
    <n v="186.57487300466812"/>
    <n v="0"/>
    <n v="47.432000000000002"/>
    <n v="61.393499999999996"/>
    <n v="0"/>
    <n v="53.632903671173032"/>
    <n v="65.301205551633842"/>
  </r>
  <r>
    <s v="Sistema de Compensação"/>
    <x v="4"/>
    <x v="4"/>
    <x v="7"/>
    <x v="4"/>
    <x v="0"/>
    <x v="0"/>
    <x v="1"/>
    <x v="1"/>
    <n v="0"/>
    <n v="0"/>
    <n v="0.11600000000000001"/>
    <n v="2.3199999999999998E-2"/>
    <n v="0.11600000000000001"/>
    <n v="2.3199999999999998E-2"/>
    <n v="1"/>
    <x v="2"/>
    <n v="0"/>
    <n v="0"/>
    <n v="34"/>
    <n v="75"/>
    <n v="0"/>
    <n v="135.52000000000001"/>
    <n v="175.41"/>
    <m/>
    <n v="153.23686763192296"/>
    <n v="186.57487300466812"/>
    <n v="0"/>
    <n v="3.1440640000000002"/>
    <n v="4.0695119999999996"/>
    <n v="0"/>
    <n v="3.5550953290606127"/>
    <n v="4.3285370537082999"/>
  </r>
  <r>
    <s v="Regular"/>
    <x v="4"/>
    <x v="4"/>
    <x v="7"/>
    <x v="4"/>
    <x v="0"/>
    <x v="0"/>
    <x v="1"/>
    <x v="2"/>
    <n v="0"/>
    <n v="0"/>
    <n v="336.00400000000002"/>
    <n v="336.00400000000002"/>
    <n v="336.00400000000002"/>
    <n v="336.00400000000002"/>
    <n v="1365"/>
    <x v="2"/>
    <n v="0"/>
    <n v="0"/>
    <n v="34"/>
    <n v="75"/>
    <n v="0"/>
    <n v="135.52000000000001"/>
    <n v="175.41"/>
    <m/>
    <n v="153.23686763192296"/>
    <n v="186.57487300466812"/>
    <n v="0"/>
    <n v="45535.262080000008"/>
    <n v="58938.461640000001"/>
    <n v="0"/>
    <n v="51488.200471796648"/>
    <n v="62689.903629060507"/>
  </r>
  <r>
    <s v="Refaturamento - Regular"/>
    <x v="4"/>
    <x v="4"/>
    <x v="7"/>
    <x v="4"/>
    <x v="0"/>
    <x v="0"/>
    <x v="1"/>
    <x v="2"/>
    <n v="0"/>
    <n v="0"/>
    <n v="-0.107"/>
    <n v="-0.107"/>
    <n v="-0.107"/>
    <n v="-0.107"/>
    <n v="0"/>
    <x v="2"/>
    <n v="0"/>
    <n v="0"/>
    <n v="34"/>
    <n v="75"/>
    <n v="0"/>
    <n v="135.52000000000001"/>
    <n v="175.41"/>
    <m/>
    <n v="153.23686763192296"/>
    <n v="186.57487300466812"/>
    <n v="0"/>
    <n v="-14.500640000000001"/>
    <n v="-18.76887"/>
    <n v="0"/>
    <n v="-16.396344836615757"/>
    <n v="-19.963511411499489"/>
  </r>
  <r>
    <s v="Sistema de Compensação"/>
    <x v="4"/>
    <x v="4"/>
    <x v="7"/>
    <x v="4"/>
    <x v="0"/>
    <x v="0"/>
    <x v="1"/>
    <x v="2"/>
    <n v="0"/>
    <n v="0"/>
    <n v="8.6999999999999994E-2"/>
    <n v="1.7399999999999999E-2"/>
    <n v="8.6999999999999994E-2"/>
    <n v="1.7399999999999999E-2"/>
    <n v="1"/>
    <x v="2"/>
    <n v="0"/>
    <n v="0"/>
    <n v="34"/>
    <n v="75"/>
    <n v="0"/>
    <n v="135.52000000000001"/>
    <n v="175.41"/>
    <m/>
    <n v="153.23686763192296"/>
    <n v="186.57487300466812"/>
    <n v="0"/>
    <n v="2.3580480000000001"/>
    <n v="3.0521339999999997"/>
    <n v="0"/>
    <n v="2.6663214967954594"/>
    <n v="3.2464027902812251"/>
  </r>
  <r>
    <s v="Regular"/>
    <x v="4"/>
    <x v="4"/>
    <x v="7"/>
    <x v="4"/>
    <x v="0"/>
    <x v="0"/>
    <x v="1"/>
    <x v="3"/>
    <n v="0"/>
    <n v="0"/>
    <n v="363.202"/>
    <n v="363.202"/>
    <n v="363.202"/>
    <n v="363.202"/>
    <n v="1779"/>
    <x v="2"/>
    <n v="0"/>
    <n v="0"/>
    <n v="34"/>
    <n v="75"/>
    <n v="0"/>
    <n v="135.52000000000001"/>
    <n v="175.41"/>
    <m/>
    <n v="153.23686763192296"/>
    <n v="186.57487300466812"/>
    <n v="0"/>
    <n v="49221.135040000001"/>
    <n v="63709.262819999996"/>
    <n v="0"/>
    <n v="55655.936797649687"/>
    <n v="67764.367025041473"/>
  </r>
  <r>
    <s v="Refaturamento - Regular"/>
    <x v="4"/>
    <x v="4"/>
    <x v="7"/>
    <x v="4"/>
    <x v="0"/>
    <x v="0"/>
    <x v="1"/>
    <x v="3"/>
    <n v="0"/>
    <n v="0"/>
    <n v="1.6E-2"/>
    <n v="1.6E-2"/>
    <n v="1.6E-2"/>
    <n v="1.6E-2"/>
    <n v="0"/>
    <x v="2"/>
    <n v="0"/>
    <n v="0"/>
    <n v="34"/>
    <n v="75"/>
    <n v="0"/>
    <n v="135.52000000000001"/>
    <n v="175.41"/>
    <m/>
    <n v="153.23686763192296"/>
    <n v="186.57487300466812"/>
    <n v="0"/>
    <n v="2.16832"/>
    <n v="2.8065600000000002"/>
    <n v="0"/>
    <n v="2.4517898821107673"/>
    <n v="2.9851979680746901"/>
  </r>
  <r>
    <s v="Sistema de Compensação"/>
    <x v="4"/>
    <x v="4"/>
    <x v="7"/>
    <x v="4"/>
    <x v="0"/>
    <x v="0"/>
    <x v="1"/>
    <x v="3"/>
    <n v="0"/>
    <n v="0"/>
    <n v="9.9000000000000005E-2"/>
    <n v="1.9800000000000002E-2"/>
    <n v="9.9000000000000005E-2"/>
    <n v="1.9800000000000002E-2"/>
    <n v="1"/>
    <x v="2"/>
    <n v="0"/>
    <n v="0"/>
    <n v="34"/>
    <n v="75"/>
    <n v="0"/>
    <n v="135.52000000000001"/>
    <n v="175.41"/>
    <m/>
    <n v="153.23686763192296"/>
    <n v="186.57487300466812"/>
    <n v="0"/>
    <n v="2.6832960000000003"/>
    <n v="3.4731180000000004"/>
    <n v="0"/>
    <n v="3.0340899791120748"/>
    <n v="3.694182485492429"/>
  </r>
  <r>
    <s v="Regular"/>
    <x v="4"/>
    <x v="4"/>
    <x v="7"/>
    <x v="4"/>
    <x v="0"/>
    <x v="0"/>
    <x v="1"/>
    <x v="4"/>
    <n v="0"/>
    <n v="0"/>
    <n v="380.16800000000001"/>
    <n v="380.16800000000001"/>
    <n v="380.16800000000001"/>
    <n v="380.16800000000001"/>
    <n v="1716"/>
    <x v="2"/>
    <n v="0"/>
    <n v="0"/>
    <n v="34"/>
    <n v="75"/>
    <n v="0"/>
    <n v="135.52000000000001"/>
    <n v="175.41"/>
    <m/>
    <n v="153.23686763192296"/>
    <n v="186.57487300466812"/>
    <n v="0"/>
    <n v="51520.367360000004"/>
    <n v="66685.268880000003"/>
    <n v="0"/>
    <n v="58255.753493892887"/>
    <n v="70929.796320438676"/>
  </r>
  <r>
    <s v="Refaturamento - Regular"/>
    <x v="4"/>
    <x v="4"/>
    <x v="7"/>
    <x v="4"/>
    <x v="0"/>
    <x v="0"/>
    <x v="1"/>
    <x v="4"/>
    <n v="0"/>
    <n v="0"/>
    <n v="-6.0999999999999999E-2"/>
    <n v="-6.0999999999999999E-2"/>
    <n v="-6.0999999999999999E-2"/>
    <n v="-6.0999999999999999E-2"/>
    <n v="0"/>
    <x v="2"/>
    <n v="0"/>
    <n v="0"/>
    <n v="34"/>
    <n v="75"/>
    <n v="0"/>
    <n v="135.52000000000001"/>
    <n v="175.41"/>
    <m/>
    <n v="153.23686763192296"/>
    <n v="186.57487300466812"/>
    <n v="0"/>
    <n v="-8.2667200000000012"/>
    <n v="-10.700009999999999"/>
    <n v="0"/>
    <n v="-9.347448925547301"/>
    <n v="-11.381067253284755"/>
  </r>
  <r>
    <s v="Sistema de Compensação"/>
    <x v="4"/>
    <x v="4"/>
    <x v="7"/>
    <x v="4"/>
    <x v="0"/>
    <x v="0"/>
    <x v="1"/>
    <x v="4"/>
    <n v="0"/>
    <n v="0"/>
    <n v="9.8000000000000004E-2"/>
    <n v="1.9599999999999999E-2"/>
    <n v="9.8000000000000004E-2"/>
    <n v="1.9599999999999999E-2"/>
    <n v="1"/>
    <x v="2"/>
    <n v="0"/>
    <n v="0"/>
    <n v="34"/>
    <n v="75"/>
    <n v="0"/>
    <n v="135.52000000000001"/>
    <n v="175.41"/>
    <m/>
    <n v="153.23686763192296"/>
    <n v="186.57487300466812"/>
    <n v="0"/>
    <n v="2.6561920000000003"/>
    <n v="3.4380359999999999"/>
    <n v="0"/>
    <n v="3.0034426055856898"/>
    <n v="3.656867510891495"/>
  </r>
  <r>
    <s v="Regular"/>
    <x v="4"/>
    <x v="4"/>
    <x v="7"/>
    <x v="4"/>
    <x v="0"/>
    <x v="0"/>
    <x v="1"/>
    <x v="5"/>
    <n v="0"/>
    <n v="0"/>
    <n v="379.97199999999998"/>
    <n v="379.97199999999998"/>
    <n v="379.97199999999998"/>
    <n v="379.97199999999998"/>
    <n v="1776"/>
    <x v="2"/>
    <n v="0"/>
    <n v="0"/>
    <n v="34"/>
    <n v="75"/>
    <n v="0"/>
    <n v="135.52000000000001"/>
    <n v="175.41"/>
    <m/>
    <n v="153.23686763192296"/>
    <n v="186.57487300466812"/>
    <n v="0"/>
    <n v="51493.805440000004"/>
    <n v="66650.888519999993"/>
    <n v="0"/>
    <n v="58225.719067837032"/>
    <n v="70893.227645329753"/>
  </r>
  <r>
    <s v="Refaturamento - Regular"/>
    <x v="4"/>
    <x v="4"/>
    <x v="7"/>
    <x v="4"/>
    <x v="0"/>
    <x v="0"/>
    <x v="1"/>
    <x v="5"/>
    <n v="0"/>
    <n v="0"/>
    <n v="0.11"/>
    <n v="0.11"/>
    <n v="0.11"/>
    <n v="0.11"/>
    <n v="0"/>
    <x v="2"/>
    <n v="0"/>
    <n v="0"/>
    <n v="34"/>
    <n v="75"/>
    <n v="0"/>
    <n v="135.52000000000001"/>
    <n v="175.41"/>
    <m/>
    <n v="153.23686763192296"/>
    <n v="186.57487300466812"/>
    <n v="0"/>
    <n v="14.907200000000001"/>
    <n v="19.295100000000001"/>
    <n v="0"/>
    <n v="16.856055439511525"/>
    <n v="20.523236030513495"/>
  </r>
  <r>
    <s v="Sistema de Compensação"/>
    <x v="4"/>
    <x v="4"/>
    <x v="7"/>
    <x v="4"/>
    <x v="0"/>
    <x v="0"/>
    <x v="1"/>
    <x v="5"/>
    <n v="0"/>
    <n v="0"/>
    <n v="6.2E-2"/>
    <n v="1.24E-2"/>
    <n v="6.2E-2"/>
    <n v="1.24E-2"/>
    <n v="0"/>
    <x v="2"/>
    <n v="0"/>
    <n v="0"/>
    <n v="34"/>
    <n v="75"/>
    <n v="0"/>
    <n v="135.52000000000001"/>
    <n v="175.41"/>
    <m/>
    <n v="153.23686763192296"/>
    <n v="186.57487300466812"/>
    <n v="0"/>
    <n v="1.6804480000000002"/>
    <n v="2.175084"/>
    <n v="0"/>
    <n v="1.9001371586358446"/>
    <n v="2.3135284252578847"/>
  </r>
  <r>
    <s v="Regular"/>
    <x v="4"/>
    <x v="4"/>
    <x v="7"/>
    <x v="4"/>
    <x v="0"/>
    <x v="0"/>
    <x v="1"/>
    <x v="6"/>
    <n v="0"/>
    <n v="0"/>
    <n v="388.15800000000002"/>
    <n v="388.15800000000002"/>
    <n v="388.15800000000002"/>
    <n v="388.15800000000002"/>
    <n v="1811"/>
    <x v="2"/>
    <n v="0"/>
    <n v="0"/>
    <n v="34"/>
    <n v="75"/>
    <n v="0"/>
    <n v="135.52000000000001"/>
    <n v="175.41"/>
    <m/>
    <n v="153.23686763192296"/>
    <n v="186.57487300466812"/>
    <n v="0"/>
    <n v="52603.172160000009"/>
    <n v="68086.794779999997"/>
    <n v="0"/>
    <n v="59480.116066271956"/>
    <n v="72420.529555745976"/>
  </r>
  <r>
    <s v="Sistema de Compensação"/>
    <x v="4"/>
    <x v="4"/>
    <x v="7"/>
    <x v="4"/>
    <x v="0"/>
    <x v="0"/>
    <x v="1"/>
    <x v="6"/>
    <n v="0"/>
    <n v="0"/>
    <n v="2E-3"/>
    <n v="4.0000000000000002E-4"/>
    <n v="2E-3"/>
    <n v="4.0000000000000002E-4"/>
    <n v="1"/>
    <x v="2"/>
    <n v="0"/>
    <n v="0"/>
    <n v="34"/>
    <n v="75"/>
    <n v="0"/>
    <n v="135.52000000000001"/>
    <n v="175.41"/>
    <m/>
    <n v="153.23686763192296"/>
    <n v="186.57487300466812"/>
    <n v="0"/>
    <n v="5.4208000000000006E-2"/>
    <n v="7.0164000000000004E-2"/>
    <n v="0"/>
    <n v="6.1294747052769188E-2"/>
    <n v="7.4629949201867246E-2"/>
  </r>
  <r>
    <s v="Regular"/>
    <x v="4"/>
    <x v="4"/>
    <x v="7"/>
    <x v="4"/>
    <x v="0"/>
    <x v="0"/>
    <x v="1"/>
    <x v="7"/>
    <n v="0"/>
    <n v="0"/>
    <n v="367.43200000000002"/>
    <n v="367.43200000000002"/>
    <n v="367.43200000000002"/>
    <n v="367.43200000000002"/>
    <n v="1917"/>
    <x v="2"/>
    <n v="0"/>
    <n v="0"/>
    <n v="34"/>
    <n v="75"/>
    <n v="0"/>
    <n v="135.52000000000001"/>
    <n v="175.41"/>
    <m/>
    <n v="153.23686763192296"/>
    <n v="186.57487300466812"/>
    <n v="0"/>
    <n v="49794.384640000004"/>
    <n v="64451.24712"/>
    <n v="0"/>
    <n v="56304.128747732721"/>
    <n v="68553.578737851218"/>
  </r>
  <r>
    <s v="Refaturamento - Regular"/>
    <x v="4"/>
    <x v="4"/>
    <x v="7"/>
    <x v="4"/>
    <x v="0"/>
    <x v="0"/>
    <x v="1"/>
    <x v="7"/>
    <n v="0"/>
    <n v="0"/>
    <n v="-5.0000000000000001E-3"/>
    <n v="-5.0000000000000001E-3"/>
    <n v="-5.0000000000000001E-3"/>
    <n v="-5.0000000000000001E-3"/>
    <n v="0"/>
    <x v="2"/>
    <n v="0"/>
    <n v="0"/>
    <n v="34"/>
    <n v="75"/>
    <n v="0"/>
    <n v="135.52000000000001"/>
    <n v="175.41"/>
    <m/>
    <n v="153.23686763192296"/>
    <n v="186.57487300466812"/>
    <n v="0"/>
    <n v="-0.67760000000000009"/>
    <n v="-0.87705"/>
    <n v="0"/>
    <n v="-0.76618433815961484"/>
    <n v="-0.93287436502334065"/>
  </r>
  <r>
    <s v="Regular"/>
    <x v="4"/>
    <x v="4"/>
    <x v="7"/>
    <x v="4"/>
    <x v="0"/>
    <x v="0"/>
    <x v="1"/>
    <x v="8"/>
    <n v="0"/>
    <n v="0"/>
    <n v="347.49299999999999"/>
    <n v="347.49299999999999"/>
    <n v="347.49299999999999"/>
    <n v="347.49299999999999"/>
    <n v="1797"/>
    <x v="2"/>
    <n v="0"/>
    <n v="0"/>
    <n v="34"/>
    <n v="75"/>
    <n v="0"/>
    <n v="135.52000000000001"/>
    <n v="175.41"/>
    <m/>
    <n v="153.23686763192296"/>
    <n v="186.57487300466812"/>
    <n v="0"/>
    <n v="47092.251360000002"/>
    <n v="60953.747129999996"/>
    <n v="0"/>
    <n v="53248.738844019805"/>
    <n v="64833.462345011139"/>
  </r>
  <r>
    <s v="Regular"/>
    <x v="4"/>
    <x v="4"/>
    <x v="7"/>
    <x v="4"/>
    <x v="0"/>
    <x v="0"/>
    <x v="1"/>
    <x v="9"/>
    <n v="0"/>
    <n v="0"/>
    <n v="358.733"/>
    <n v="358.733"/>
    <n v="358.733"/>
    <n v="358.733"/>
    <n v="1872"/>
    <x v="2"/>
    <n v="0"/>
    <n v="0"/>
    <n v="34"/>
    <n v="75"/>
    <n v="0"/>
    <n v="135.52000000000001"/>
    <n v="175.41"/>
    <m/>
    <n v="153.23686763192296"/>
    <n v="186.57487300466812"/>
    <n v="0"/>
    <n v="48615.496160000002"/>
    <n v="62925.355530000001"/>
    <n v="0"/>
    <n v="54971.12123620262"/>
    <n v="66930.563917583611"/>
  </r>
  <r>
    <s v="Refaturamento - Regular"/>
    <x v="4"/>
    <x v="4"/>
    <x v="7"/>
    <x v="4"/>
    <x v="0"/>
    <x v="0"/>
    <x v="1"/>
    <x v="9"/>
    <n v="0"/>
    <n v="0"/>
    <n v="-1.0999999999999999E-2"/>
    <n v="-1.0999999999999999E-2"/>
    <n v="-1.0999999999999999E-2"/>
    <n v="-1.0999999999999999E-2"/>
    <n v="0"/>
    <x v="2"/>
    <n v="0"/>
    <n v="0"/>
    <n v="34"/>
    <n v="75"/>
    <n v="0"/>
    <n v="135.52000000000001"/>
    <n v="175.41"/>
    <m/>
    <n v="153.23686763192296"/>
    <n v="186.57487300466812"/>
    <n v="0"/>
    <n v="-1.49072"/>
    <n v="-1.9295099999999998"/>
    <n v="0"/>
    <n v="-1.6856055439511526"/>
    <n v="-2.0523236030513492"/>
  </r>
  <r>
    <s v="Regular"/>
    <x v="4"/>
    <x v="4"/>
    <x v="7"/>
    <x v="4"/>
    <x v="0"/>
    <x v="0"/>
    <x v="1"/>
    <x v="10"/>
    <n v="0"/>
    <n v="0"/>
    <n v="370.30599999999998"/>
    <n v="370.30599999999998"/>
    <n v="370.30599999999998"/>
    <n v="370.30599999999998"/>
    <n v="1559"/>
    <x v="2"/>
    <n v="0"/>
    <n v="0"/>
    <n v="34"/>
    <n v="75"/>
    <n v="0"/>
    <n v="135.52000000000001"/>
    <n v="175.41"/>
    <m/>
    <n v="153.23686763192296"/>
    <n v="186.57487300466812"/>
    <n v="0"/>
    <n v="50183.869120000003"/>
    <n v="64955.375459999996"/>
    <n v="0"/>
    <n v="56744.531505306863"/>
    <n v="69089.794922866626"/>
  </r>
  <r>
    <s v="Refaturamento - Regular"/>
    <x v="4"/>
    <x v="4"/>
    <x v="7"/>
    <x v="4"/>
    <x v="0"/>
    <x v="0"/>
    <x v="1"/>
    <x v="10"/>
    <n v="0"/>
    <n v="0"/>
    <n v="-0.13500000000000001"/>
    <n v="-0.13500000000000001"/>
    <n v="-0.13500000000000001"/>
    <n v="-0.13500000000000001"/>
    <n v="0"/>
    <x v="2"/>
    <n v="0"/>
    <n v="0"/>
    <n v="34"/>
    <n v="75"/>
    <n v="0"/>
    <n v="135.52000000000001"/>
    <n v="175.41"/>
    <m/>
    <n v="153.23686763192296"/>
    <n v="186.57487300466812"/>
    <n v="0"/>
    <n v="-18.295200000000001"/>
    <n v="-23.680350000000001"/>
    <n v="0"/>
    <n v="-20.6869771303096"/>
    <n v="-25.187607855630198"/>
  </r>
  <r>
    <s v="Sistema de Compensação"/>
    <x v="4"/>
    <x v="4"/>
    <x v="7"/>
    <x v="4"/>
    <x v="0"/>
    <x v="0"/>
    <x v="1"/>
    <x v="10"/>
    <n v="0"/>
    <n v="0"/>
    <n v="7.0000000000000007E-2"/>
    <n v="4.2000000000000003E-2"/>
    <n v="7.0000000000000007E-2"/>
    <n v="4.2000000000000003E-2"/>
    <n v="1"/>
    <x v="2"/>
    <n v="0"/>
    <n v="0"/>
    <n v="34"/>
    <n v="75"/>
    <n v="0"/>
    <n v="135.52000000000001"/>
    <n v="175.41"/>
    <m/>
    <n v="153.23686763192296"/>
    <n v="186.57487300466812"/>
    <n v="0"/>
    <n v="5.6918400000000009"/>
    <n v="7.3672200000000005"/>
    <n v="0"/>
    <n v="6.4359484405407645"/>
    <n v="7.8361446661960619"/>
  </r>
  <r>
    <s v="PROJETADO"/>
    <x v="4"/>
    <x v="4"/>
    <x v="7"/>
    <x v="4"/>
    <x v="0"/>
    <x v="0"/>
    <x v="1"/>
    <x v="11"/>
    <n v="0"/>
    <n v="0"/>
    <n v="370.30599999999998"/>
    <n v="370.30599999999998"/>
    <n v="370.30599999999998"/>
    <n v="370.30599999999998"/>
    <n v="1559"/>
    <x v="2"/>
    <n v="0"/>
    <n v="0"/>
    <n v="34"/>
    <n v="75"/>
    <n v="0"/>
    <n v="135.52000000000001"/>
    <n v="175.41"/>
    <m/>
    <n v="153.23686763192296"/>
    <n v="186.57487300466812"/>
    <n v="0"/>
    <n v="50183.869120000003"/>
    <n v="64955.375459999996"/>
    <n v="0"/>
    <n v="56744.531505306863"/>
    <n v="69089.794922866626"/>
  </r>
  <r>
    <s v="PROJETADO"/>
    <x v="4"/>
    <x v="4"/>
    <x v="7"/>
    <x v="4"/>
    <x v="0"/>
    <x v="0"/>
    <x v="1"/>
    <x v="11"/>
    <n v="0"/>
    <n v="0"/>
    <n v="-0.13500000000000001"/>
    <n v="-0.13500000000000001"/>
    <n v="-0.13500000000000001"/>
    <n v="-0.13500000000000001"/>
    <n v="0"/>
    <x v="2"/>
    <n v="0"/>
    <n v="0"/>
    <n v="34"/>
    <n v="75"/>
    <n v="0"/>
    <n v="135.52000000000001"/>
    <n v="175.41"/>
    <m/>
    <n v="153.23686763192296"/>
    <n v="186.57487300466812"/>
    <n v="0"/>
    <n v="-18.295200000000001"/>
    <n v="-23.680350000000001"/>
    <n v="0"/>
    <n v="-20.6869771303096"/>
    <n v="-25.187607855630198"/>
  </r>
  <r>
    <s v="PROJETADO"/>
    <x v="4"/>
    <x v="4"/>
    <x v="7"/>
    <x v="4"/>
    <x v="0"/>
    <x v="0"/>
    <x v="1"/>
    <x v="11"/>
    <n v="0"/>
    <n v="0"/>
    <n v="7.0000000000000007E-2"/>
    <n v="4.2000000000000003E-2"/>
    <n v="7.0000000000000007E-2"/>
    <n v="4.2000000000000003E-2"/>
    <n v="1"/>
    <x v="2"/>
    <n v="0"/>
    <n v="0"/>
    <n v="34"/>
    <n v="75"/>
    <n v="0"/>
    <n v="135.52000000000001"/>
    <n v="175.41"/>
    <m/>
    <n v="153.23686763192296"/>
    <n v="186.57487300466812"/>
    <n v="0"/>
    <n v="5.6918400000000009"/>
    <n v="7.3672200000000005"/>
    <n v="0"/>
    <n v="6.4359484405407645"/>
    <n v="7.8361446661960619"/>
  </r>
  <r>
    <s v="Regular"/>
    <x v="4"/>
    <x v="4"/>
    <x v="7"/>
    <x v="5"/>
    <x v="0"/>
    <x v="0"/>
    <x v="1"/>
    <x v="0"/>
    <n v="0"/>
    <n v="0"/>
    <n v="240.071"/>
    <n v="240.071"/>
    <n v="240.071"/>
    <n v="240.071"/>
    <n v="3045"/>
    <x v="2"/>
    <n v="0"/>
    <n v="0"/>
    <n v="41"/>
    <n v="78"/>
    <n v="0"/>
    <n v="203.29"/>
    <n v="263.12"/>
    <m/>
    <n v="229.85530144788444"/>
    <n v="279.86230950700218"/>
    <n v="0"/>
    <n v="48804.033589999999"/>
    <n v="63167.481520000001"/>
    <n v="0"/>
    <n v="55181.592073895066"/>
    <n v="67186.824505655517"/>
  </r>
  <r>
    <s v="Refaturamento - Regular"/>
    <x v="4"/>
    <x v="4"/>
    <x v="7"/>
    <x v="5"/>
    <x v="0"/>
    <x v="0"/>
    <x v="1"/>
    <x v="0"/>
    <n v="0"/>
    <n v="0"/>
    <n v="-1.7000000000000001E-2"/>
    <n v="-1.7000000000000001E-2"/>
    <n v="-1.7000000000000001E-2"/>
    <n v="-1.7000000000000001E-2"/>
    <n v="0"/>
    <x v="2"/>
    <n v="0"/>
    <n v="0"/>
    <n v="41"/>
    <n v="78"/>
    <n v="0"/>
    <n v="203.29"/>
    <n v="263.12"/>
    <m/>
    <n v="229.85530144788444"/>
    <n v="279.86230950700218"/>
    <n v="0"/>
    <n v="-3.4559299999999999"/>
    <n v="-4.4730400000000001"/>
    <n v="0"/>
    <n v="-3.907540124614036"/>
    <n v="-4.7576592616190378"/>
  </r>
  <r>
    <s v="Regular"/>
    <x v="4"/>
    <x v="4"/>
    <x v="7"/>
    <x v="5"/>
    <x v="0"/>
    <x v="0"/>
    <x v="1"/>
    <x v="1"/>
    <n v="0"/>
    <n v="0"/>
    <n v="231.04"/>
    <n v="231.04"/>
    <n v="231.04"/>
    <n v="231.04"/>
    <n v="3203"/>
    <x v="2"/>
    <n v="0"/>
    <n v="0"/>
    <n v="41"/>
    <n v="78"/>
    <n v="0"/>
    <n v="203.29"/>
    <n v="263.12"/>
    <m/>
    <n v="229.85530144788444"/>
    <n v="279.86230950700218"/>
    <n v="0"/>
    <n v="46968.121599999999"/>
    <n v="60791.2448"/>
    <n v="0"/>
    <n v="53105.768846519219"/>
    <n v="64659.38798849778"/>
  </r>
  <r>
    <s v="Refaturamento - Regular"/>
    <x v="4"/>
    <x v="4"/>
    <x v="7"/>
    <x v="5"/>
    <x v="0"/>
    <x v="0"/>
    <x v="1"/>
    <x v="1"/>
    <n v="0"/>
    <n v="0"/>
    <n v="6.3E-2"/>
    <n v="6.3E-2"/>
    <n v="6.3E-2"/>
    <n v="6.3E-2"/>
    <n v="0"/>
    <x v="2"/>
    <n v="0"/>
    <n v="0"/>
    <n v="41"/>
    <n v="78"/>
    <n v="0"/>
    <n v="203.29"/>
    <n v="263.12"/>
    <m/>
    <n v="229.85530144788444"/>
    <n v="279.86230950700218"/>
    <n v="0"/>
    <n v="12.807269999999999"/>
    <n v="16.576560000000001"/>
    <n v="0"/>
    <n v="14.48088399121672"/>
    <n v="17.631325498941138"/>
  </r>
  <r>
    <s v="Sistema de Compensação"/>
    <x v="4"/>
    <x v="4"/>
    <x v="7"/>
    <x v="5"/>
    <x v="0"/>
    <x v="0"/>
    <x v="1"/>
    <x v="1"/>
    <n v="0"/>
    <n v="0"/>
    <n v="2.5000000000000001E-2"/>
    <n v="2.2499999999999999E-2"/>
    <n v="2.5000000000000001E-2"/>
    <n v="2.2499999999999999E-2"/>
    <n v="1"/>
    <x v="2"/>
    <n v="0"/>
    <n v="0"/>
    <n v="41"/>
    <n v="78"/>
    <n v="0"/>
    <n v="203.29"/>
    <n v="263.12"/>
    <m/>
    <n v="229.85530144788444"/>
    <n v="279.86230950700218"/>
    <n v="0"/>
    <n v="4.5740249999999998"/>
    <n v="5.9201999999999995"/>
    <n v="0"/>
    <n v="5.1717442825774"/>
    <n v="6.2969019639075485"/>
  </r>
  <r>
    <s v="Regular"/>
    <x v="4"/>
    <x v="4"/>
    <x v="7"/>
    <x v="5"/>
    <x v="0"/>
    <x v="0"/>
    <x v="1"/>
    <x v="2"/>
    <n v="0"/>
    <n v="0"/>
    <n v="264.75400000000002"/>
    <n v="264.75400000000002"/>
    <n v="264.75400000000002"/>
    <n v="264.75400000000002"/>
    <n v="3105"/>
    <x v="2"/>
    <n v="0"/>
    <n v="0"/>
    <n v="41"/>
    <n v="78"/>
    <n v="0"/>
    <n v="203.29"/>
    <n v="263.12"/>
    <m/>
    <n v="229.85530144788444"/>
    <n v="279.86230950700218"/>
    <n v="0"/>
    <n v="53821.840660000002"/>
    <n v="69662.072480000003"/>
    <n v="0"/>
    <n v="60855.110479533199"/>
    <n v="74094.665891216864"/>
  </r>
  <r>
    <s v="Refaturamento - Regular"/>
    <x v="4"/>
    <x v="4"/>
    <x v="7"/>
    <x v="5"/>
    <x v="0"/>
    <x v="0"/>
    <x v="1"/>
    <x v="2"/>
    <n v="0"/>
    <n v="0"/>
    <n v="-5.5E-2"/>
    <n v="-5.5E-2"/>
    <n v="-5.5E-2"/>
    <n v="-5.5E-2"/>
    <n v="0"/>
    <x v="2"/>
    <n v="0"/>
    <n v="0"/>
    <n v="41"/>
    <n v="78"/>
    <n v="0"/>
    <n v="203.29"/>
    <n v="263.12"/>
    <m/>
    <n v="229.85530144788444"/>
    <n v="279.86230950700218"/>
    <n v="0"/>
    <n v="-11.180949999999999"/>
    <n v="-14.4716"/>
    <n v="0"/>
    <n v="-12.642041579633645"/>
    <n v="-15.392427022885119"/>
  </r>
  <r>
    <s v="Sistema de Compensação"/>
    <x v="4"/>
    <x v="4"/>
    <x v="7"/>
    <x v="5"/>
    <x v="0"/>
    <x v="0"/>
    <x v="1"/>
    <x v="2"/>
    <n v="0"/>
    <n v="0"/>
    <n v="4.4999999999999998E-2"/>
    <n v="4.0500000000000001E-2"/>
    <n v="4.4999999999999998E-2"/>
    <n v="4.0500000000000001E-2"/>
    <n v="1"/>
    <x v="2"/>
    <n v="0"/>
    <n v="0"/>
    <n v="41"/>
    <n v="78"/>
    <n v="0"/>
    <n v="203.29"/>
    <n v="263.12"/>
    <m/>
    <n v="229.85530144788444"/>
    <n v="279.86230950700218"/>
    <n v="0"/>
    <n v="8.2332450000000001"/>
    <n v="10.656360000000001"/>
    <n v="0"/>
    <n v="9.3091397086393197"/>
    <n v="11.334423535033588"/>
  </r>
  <r>
    <s v="Regular"/>
    <x v="4"/>
    <x v="4"/>
    <x v="7"/>
    <x v="5"/>
    <x v="0"/>
    <x v="0"/>
    <x v="1"/>
    <x v="3"/>
    <n v="0"/>
    <n v="0"/>
    <n v="250.215"/>
    <n v="250.215"/>
    <n v="250.215"/>
    <n v="250.215"/>
    <n v="3403"/>
    <x v="2"/>
    <n v="0"/>
    <n v="0"/>
    <n v="41"/>
    <n v="78"/>
    <n v="0"/>
    <n v="203.29"/>
    <n v="263.12"/>
    <m/>
    <n v="229.85530144788444"/>
    <n v="279.86230950700218"/>
    <n v="0"/>
    <n v="50866.207349999997"/>
    <n v="65836.570800000001"/>
    <n v="0"/>
    <n v="57513.244251782409"/>
    <n v="70025.747773294555"/>
  </r>
  <r>
    <s v="Refaturamento - Regular"/>
    <x v="4"/>
    <x v="4"/>
    <x v="7"/>
    <x v="5"/>
    <x v="0"/>
    <x v="0"/>
    <x v="1"/>
    <x v="3"/>
    <n v="0"/>
    <n v="0"/>
    <n v="-4.4999999999999998E-2"/>
    <n v="-4.4999999999999998E-2"/>
    <n v="-4.4999999999999998E-2"/>
    <n v="-4.4999999999999998E-2"/>
    <n v="0"/>
    <x v="2"/>
    <n v="0"/>
    <n v="0"/>
    <n v="41"/>
    <n v="78"/>
    <n v="0"/>
    <n v="203.29"/>
    <n v="263.12"/>
    <m/>
    <n v="229.85530144788444"/>
    <n v="279.86230950700218"/>
    <n v="0"/>
    <n v="-9.1480499999999996"/>
    <n v="-11.840399999999999"/>
    <n v="0"/>
    <n v="-10.3434885651548"/>
    <n v="-12.593803927815097"/>
  </r>
  <r>
    <s v="Sistema de Compensação"/>
    <x v="4"/>
    <x v="4"/>
    <x v="7"/>
    <x v="5"/>
    <x v="0"/>
    <x v="0"/>
    <x v="1"/>
    <x v="3"/>
    <n v="0"/>
    <n v="0"/>
    <n v="9.0999999999999998E-2"/>
    <n v="8.1900000000000001E-2"/>
    <n v="9.0999999999999998E-2"/>
    <n v="8.1900000000000001E-2"/>
    <n v="1"/>
    <x v="2"/>
    <n v="0"/>
    <n v="0"/>
    <n v="41"/>
    <n v="78"/>
    <n v="0"/>
    <n v="203.29"/>
    <n v="263.12"/>
    <m/>
    <n v="229.85530144788444"/>
    <n v="279.86230950700218"/>
    <n v="0"/>
    <n v="16.649450999999999"/>
    <n v="21.549528000000002"/>
    <n v="0"/>
    <n v="18.825149188581737"/>
    <n v="22.92072314862348"/>
  </r>
  <r>
    <s v="Regular"/>
    <x v="4"/>
    <x v="4"/>
    <x v="7"/>
    <x v="5"/>
    <x v="0"/>
    <x v="0"/>
    <x v="1"/>
    <x v="4"/>
    <n v="0"/>
    <n v="0"/>
    <n v="274.15199999999999"/>
    <n v="274.15199999999999"/>
    <n v="274.15199999999999"/>
    <n v="274.15199999999999"/>
    <n v="3552"/>
    <x v="2"/>
    <n v="0"/>
    <n v="0"/>
    <n v="41"/>
    <n v="78"/>
    <n v="0"/>
    <n v="203.29"/>
    <n v="263.12"/>
    <m/>
    <n v="229.85530144788444"/>
    <n v="279.86230950700218"/>
    <n v="0"/>
    <n v="55732.360079999999"/>
    <n v="72134.874240000005"/>
    <n v="0"/>
    <n v="63015.290602540415"/>
    <n v="76724.811875963656"/>
  </r>
  <r>
    <s v="Refaturamento - Regular"/>
    <x v="4"/>
    <x v="4"/>
    <x v="7"/>
    <x v="5"/>
    <x v="0"/>
    <x v="0"/>
    <x v="1"/>
    <x v="4"/>
    <n v="0"/>
    <n v="0"/>
    <n v="-0.13"/>
    <n v="-0.13"/>
    <n v="-0.13"/>
    <n v="-0.13"/>
    <n v="0"/>
    <x v="2"/>
    <n v="0"/>
    <n v="0"/>
    <n v="41"/>
    <n v="78"/>
    <n v="0"/>
    <n v="203.29"/>
    <n v="263.12"/>
    <m/>
    <n v="229.85530144788444"/>
    <n v="279.86230950700218"/>
    <n v="0"/>
    <n v="-26.427700000000002"/>
    <n v="-34.205600000000004"/>
    <n v="0"/>
    <n v="-29.88118918822498"/>
    <n v="-36.382100235910286"/>
  </r>
  <r>
    <s v="Sistema de Compensação"/>
    <x v="4"/>
    <x v="4"/>
    <x v="7"/>
    <x v="5"/>
    <x v="0"/>
    <x v="0"/>
    <x v="1"/>
    <x v="4"/>
    <n v="0"/>
    <n v="0"/>
    <n v="6.0999999999999999E-2"/>
    <n v="5.4899999999999997E-2"/>
    <n v="6.0999999999999999E-2"/>
    <n v="5.4899999999999997E-2"/>
    <n v="1"/>
    <x v="2"/>
    <n v="0"/>
    <n v="0"/>
    <n v="41"/>
    <n v="78"/>
    <n v="0"/>
    <n v="203.29"/>
    <n v="263.12"/>
    <m/>
    <n v="229.85530144788444"/>
    <n v="279.86230950700218"/>
    <n v="0"/>
    <n v="11.160620999999999"/>
    <n v="14.445288"/>
    <n v="0"/>
    <n v="12.619056049488856"/>
    <n v="15.364440791934419"/>
  </r>
  <r>
    <s v="Regular"/>
    <x v="4"/>
    <x v="4"/>
    <x v="7"/>
    <x v="5"/>
    <x v="0"/>
    <x v="0"/>
    <x v="1"/>
    <x v="5"/>
    <n v="0"/>
    <n v="0"/>
    <n v="274.327"/>
    <n v="274.327"/>
    <n v="274.327"/>
    <n v="274.327"/>
    <n v="3519"/>
    <x v="2"/>
    <n v="0"/>
    <n v="0"/>
    <n v="41"/>
    <n v="78"/>
    <n v="0"/>
    <n v="203.29"/>
    <n v="263.12"/>
    <m/>
    <n v="229.85530144788444"/>
    <n v="279.86230950700218"/>
    <n v="0"/>
    <n v="55767.935829999995"/>
    <n v="72180.920240000007"/>
    <n v="0"/>
    <n v="63055.515280293796"/>
    <n v="76773.787780127386"/>
  </r>
  <r>
    <s v="Refaturamento - Regular"/>
    <x v="4"/>
    <x v="4"/>
    <x v="7"/>
    <x v="5"/>
    <x v="0"/>
    <x v="0"/>
    <x v="1"/>
    <x v="5"/>
    <n v="0"/>
    <n v="0"/>
    <n v="0.21099999999999999"/>
    <n v="0.21099999999999999"/>
    <n v="0.21099999999999999"/>
    <n v="0.21099999999999999"/>
    <n v="0"/>
    <x v="2"/>
    <n v="0"/>
    <n v="0"/>
    <n v="41"/>
    <n v="78"/>
    <n v="0"/>
    <n v="203.29"/>
    <n v="263.12"/>
    <m/>
    <n v="229.85530144788444"/>
    <n v="279.86230950700218"/>
    <n v="0"/>
    <n v="42.894189999999995"/>
    <n v="55.518319999999996"/>
    <n v="0"/>
    <n v="48.499468605503615"/>
    <n v="59.050947305977459"/>
  </r>
  <r>
    <s v="Regular"/>
    <x v="4"/>
    <x v="4"/>
    <x v="7"/>
    <x v="5"/>
    <x v="0"/>
    <x v="0"/>
    <x v="1"/>
    <x v="6"/>
    <n v="0"/>
    <n v="0"/>
    <n v="287.44"/>
    <n v="287.44"/>
    <n v="287.44"/>
    <n v="287.44"/>
    <n v="3527"/>
    <x v="2"/>
    <n v="0"/>
    <n v="0"/>
    <n v="41"/>
    <n v="78"/>
    <n v="0"/>
    <n v="203.29"/>
    <n v="263.12"/>
    <m/>
    <n v="229.85530144788444"/>
    <n v="279.86230950700218"/>
    <n v="0"/>
    <n v="58433.677599999995"/>
    <n v="75631.212799999994"/>
    <n v="0"/>
    <n v="66069.607848179905"/>
    <n v="80443.622244692713"/>
  </r>
  <r>
    <s v="Refaturamento - Regular"/>
    <x v="4"/>
    <x v="4"/>
    <x v="7"/>
    <x v="5"/>
    <x v="0"/>
    <x v="0"/>
    <x v="1"/>
    <x v="6"/>
    <n v="0"/>
    <n v="0"/>
    <n v="-0.114"/>
    <n v="-0.114"/>
    <n v="-0.114"/>
    <n v="-0.114"/>
    <n v="0"/>
    <x v="2"/>
    <n v="0"/>
    <n v="0"/>
    <n v="41"/>
    <n v="78"/>
    <n v="0"/>
    <n v="203.29"/>
    <n v="263.12"/>
    <m/>
    <n v="229.85530144788444"/>
    <n v="279.86230950700218"/>
    <n v="0"/>
    <n v="-23.175059999999998"/>
    <n v="-29.99568"/>
    <n v="0"/>
    <n v="-26.203504365058826"/>
    <n v="-31.904303283798249"/>
  </r>
  <r>
    <s v="Regular"/>
    <x v="4"/>
    <x v="4"/>
    <x v="7"/>
    <x v="5"/>
    <x v="0"/>
    <x v="0"/>
    <x v="1"/>
    <x v="7"/>
    <n v="0"/>
    <n v="0"/>
    <n v="268.04700000000003"/>
    <n v="268.04700000000003"/>
    <n v="268.04700000000003"/>
    <n v="268.04700000000003"/>
    <n v="3259"/>
    <x v="2"/>
    <n v="0"/>
    <n v="0"/>
    <n v="41"/>
    <n v="78"/>
    <n v="0"/>
    <n v="203.29"/>
    <n v="263.12"/>
    <m/>
    <n v="229.85530144788444"/>
    <n v="279.86230950700218"/>
    <n v="0"/>
    <n v="54491.27463"/>
    <n v="70528.526640000011"/>
    <n v="0"/>
    <n v="61612.023987201086"/>
    <n v="75016.252476423426"/>
  </r>
  <r>
    <s v="Refaturamento - Regular"/>
    <x v="4"/>
    <x v="4"/>
    <x v="7"/>
    <x v="5"/>
    <x v="0"/>
    <x v="0"/>
    <x v="1"/>
    <x v="7"/>
    <n v="0"/>
    <n v="0"/>
    <n v="-3.5999999999999997E-2"/>
    <n v="-3.5999999999999997E-2"/>
    <n v="-3.5999999999999997E-2"/>
    <n v="-3.5999999999999997E-2"/>
    <n v="0"/>
    <x v="2"/>
    <n v="0"/>
    <n v="0"/>
    <n v="41"/>
    <n v="78"/>
    <n v="0"/>
    <n v="203.29"/>
    <n v="263.12"/>
    <m/>
    <n v="229.85530144788444"/>
    <n v="279.86230950700218"/>
    <n v="0"/>
    <n v="-7.3184399999999989"/>
    <n v="-9.4723199999999999"/>
    <n v="0"/>
    <n v="-8.2747908521238394"/>
    <n v="-10.075043142252078"/>
  </r>
  <r>
    <s v="Regular"/>
    <x v="4"/>
    <x v="4"/>
    <x v="7"/>
    <x v="5"/>
    <x v="0"/>
    <x v="0"/>
    <x v="1"/>
    <x v="8"/>
    <n v="0"/>
    <n v="0"/>
    <n v="266.54399999999998"/>
    <n v="266.54399999999998"/>
    <n v="266.54399999999998"/>
    <n v="266.54399999999998"/>
    <n v="2982"/>
    <x v="2"/>
    <n v="0"/>
    <n v="0"/>
    <n v="41"/>
    <n v="78"/>
    <n v="0"/>
    <n v="203.29"/>
    <n v="263.12"/>
    <m/>
    <n v="229.85530144788444"/>
    <n v="279.86230950700218"/>
    <n v="0"/>
    <n v="54185.729759999995"/>
    <n v="70133.057279999994"/>
    <n v="0"/>
    <n v="61266.551469124905"/>
    <n v="74595.619425234385"/>
  </r>
  <r>
    <s v="Regular"/>
    <x v="4"/>
    <x v="4"/>
    <x v="7"/>
    <x v="5"/>
    <x v="0"/>
    <x v="0"/>
    <x v="1"/>
    <x v="9"/>
    <n v="0"/>
    <n v="0"/>
    <n v="265.86900000000003"/>
    <n v="265.86900000000003"/>
    <n v="265.86900000000003"/>
    <n v="265.86900000000003"/>
    <n v="3152"/>
    <x v="2"/>
    <n v="0"/>
    <n v="0"/>
    <n v="41"/>
    <n v="78"/>
    <n v="0"/>
    <n v="203.29"/>
    <n v="263.12"/>
    <m/>
    <n v="229.85530144788444"/>
    <n v="279.86230950700218"/>
    <n v="0"/>
    <n v="54048.509010000002"/>
    <n v="69955.451280000008"/>
    <n v="0"/>
    <n v="61111.399140647598"/>
    <n v="74406.712366317166"/>
  </r>
  <r>
    <s v="Refaturamento - Regular"/>
    <x v="4"/>
    <x v="4"/>
    <x v="7"/>
    <x v="5"/>
    <x v="0"/>
    <x v="0"/>
    <x v="1"/>
    <x v="9"/>
    <n v="0"/>
    <n v="0"/>
    <n v="-5.0999999999999997E-2"/>
    <n v="-5.0999999999999997E-2"/>
    <n v="-5.0999999999999997E-2"/>
    <n v="-5.0999999999999997E-2"/>
    <n v="0"/>
    <x v="2"/>
    <n v="0"/>
    <n v="0"/>
    <n v="41"/>
    <n v="78"/>
    <n v="0"/>
    <n v="203.29"/>
    <n v="263.12"/>
    <m/>
    <n v="229.85530144788444"/>
    <n v="279.86230950700218"/>
    <n v="0"/>
    <n v="-10.367789999999999"/>
    <n v="-13.419119999999999"/>
    <n v="0"/>
    <n v="-11.722620373842107"/>
    <n v="-14.27297778485711"/>
  </r>
  <r>
    <s v="Regular"/>
    <x v="4"/>
    <x v="4"/>
    <x v="7"/>
    <x v="5"/>
    <x v="0"/>
    <x v="0"/>
    <x v="1"/>
    <x v="10"/>
    <n v="0"/>
    <n v="0"/>
    <n v="307.63299999999998"/>
    <n v="307.63299999999998"/>
    <n v="307.63299999999998"/>
    <n v="307.63299999999998"/>
    <n v="3223"/>
    <x v="2"/>
    <n v="0"/>
    <n v="0"/>
    <n v="41"/>
    <n v="78"/>
    <n v="0"/>
    <n v="203.29"/>
    <n v="263.12"/>
    <m/>
    <n v="229.85530144788444"/>
    <n v="279.86230950700218"/>
    <n v="0"/>
    <n v="62538.712569999996"/>
    <n v="80944.394959999991"/>
    <n v="0"/>
    <n v="70711.075950317027"/>
    <n v="86094.881860567592"/>
  </r>
  <r>
    <s v="Refaturamento - Regular"/>
    <x v="4"/>
    <x v="4"/>
    <x v="7"/>
    <x v="5"/>
    <x v="0"/>
    <x v="0"/>
    <x v="1"/>
    <x v="10"/>
    <n v="0"/>
    <n v="0"/>
    <n v="-7.4999999999999997E-2"/>
    <n v="-7.4999999999999997E-2"/>
    <n v="-7.4999999999999997E-2"/>
    <n v="-7.4999999999999997E-2"/>
    <n v="0"/>
    <x v="2"/>
    <n v="0"/>
    <n v="0"/>
    <n v="41"/>
    <n v="78"/>
    <n v="0"/>
    <n v="203.29"/>
    <n v="263.12"/>
    <m/>
    <n v="229.85530144788444"/>
    <n v="279.86230950700218"/>
    <n v="0"/>
    <n v="-15.246749999999999"/>
    <n v="-19.733999999999998"/>
    <n v="0"/>
    <n v="-17.239147608591331"/>
    <n v="-20.989673213025164"/>
  </r>
  <r>
    <s v="Sistema de Compensação"/>
    <x v="4"/>
    <x v="4"/>
    <x v="7"/>
    <x v="5"/>
    <x v="0"/>
    <x v="0"/>
    <x v="1"/>
    <x v="10"/>
    <n v="0"/>
    <n v="0"/>
    <n v="0.114"/>
    <n v="0.1026"/>
    <n v="0.114"/>
    <n v="0.1026"/>
    <n v="1"/>
    <x v="2"/>
    <n v="0"/>
    <n v="0"/>
    <n v="41"/>
    <n v="78"/>
    <n v="0"/>
    <n v="203.29"/>
    <n v="263.12"/>
    <m/>
    <n v="229.85530144788444"/>
    <n v="279.86230950700218"/>
    <n v="0"/>
    <n v="20.857553999999997"/>
    <n v="26.996112"/>
    <n v="0"/>
    <n v="23.583153928552942"/>
    <n v="28.713872955418424"/>
  </r>
  <r>
    <s v="PROJETADO"/>
    <x v="4"/>
    <x v="4"/>
    <x v="7"/>
    <x v="5"/>
    <x v="0"/>
    <x v="0"/>
    <x v="1"/>
    <x v="11"/>
    <n v="0"/>
    <n v="0"/>
    <n v="307.63299999999998"/>
    <n v="307.63299999999998"/>
    <n v="307.63299999999998"/>
    <n v="307.63299999999998"/>
    <n v="3223"/>
    <x v="2"/>
    <n v="0"/>
    <n v="0"/>
    <n v="41"/>
    <n v="78"/>
    <n v="0"/>
    <n v="203.29"/>
    <n v="263.12"/>
    <m/>
    <n v="229.85530144788444"/>
    <n v="279.86230950700218"/>
    <n v="0"/>
    <n v="62538.712569999996"/>
    <n v="80944.394959999991"/>
    <n v="0"/>
    <n v="70711.075950317027"/>
    <n v="86094.881860567592"/>
  </r>
  <r>
    <s v="PROJETADO"/>
    <x v="4"/>
    <x v="4"/>
    <x v="7"/>
    <x v="5"/>
    <x v="0"/>
    <x v="0"/>
    <x v="1"/>
    <x v="11"/>
    <n v="0"/>
    <n v="0"/>
    <n v="-7.4999999999999997E-2"/>
    <n v="-7.4999999999999997E-2"/>
    <n v="-7.4999999999999997E-2"/>
    <n v="-7.4999999999999997E-2"/>
    <n v="0"/>
    <x v="2"/>
    <n v="0"/>
    <n v="0"/>
    <n v="41"/>
    <n v="78"/>
    <n v="0"/>
    <n v="203.29"/>
    <n v="263.12"/>
    <m/>
    <n v="229.85530144788444"/>
    <n v="279.86230950700218"/>
    <n v="0"/>
    <n v="-15.246749999999999"/>
    <n v="-19.733999999999998"/>
    <n v="0"/>
    <n v="-17.239147608591331"/>
    <n v="-20.989673213025164"/>
  </r>
  <r>
    <s v="PROJETADO"/>
    <x v="4"/>
    <x v="4"/>
    <x v="7"/>
    <x v="5"/>
    <x v="0"/>
    <x v="0"/>
    <x v="1"/>
    <x v="11"/>
    <n v="0"/>
    <n v="0"/>
    <n v="0.114"/>
    <n v="0.1026"/>
    <n v="0.114"/>
    <n v="0.1026"/>
    <n v="1"/>
    <x v="2"/>
    <n v="0"/>
    <n v="0"/>
    <n v="41"/>
    <n v="78"/>
    <n v="0"/>
    <n v="203.29"/>
    <n v="263.12"/>
    <m/>
    <n v="229.85530144788444"/>
    <n v="279.86230950700218"/>
    <n v="0"/>
    <n v="20.857553999999997"/>
    <n v="26.996112"/>
    <n v="0"/>
    <n v="23.583153928552942"/>
    <n v="28.713872955418424"/>
  </r>
  <r>
    <s v="Regular"/>
    <x v="4"/>
    <x v="4"/>
    <x v="7"/>
    <x v="6"/>
    <x v="0"/>
    <x v="0"/>
    <x v="1"/>
    <x v="0"/>
    <n v="0"/>
    <n v="0"/>
    <n v="40.136000000000003"/>
    <n v="40.136000000000003"/>
    <n v="40.136000000000003"/>
    <n v="40.136000000000003"/>
    <n v="707"/>
    <x v="2"/>
    <n v="0"/>
    <n v="0"/>
    <n v="49"/>
    <n v="55"/>
    <n v="0"/>
    <n v="225.87"/>
    <n v="292.36"/>
    <m/>
    <n v="255.39477938653826"/>
    <n v="310.95812167444689"/>
    <n v="0"/>
    <n v="9065.518320000001"/>
    <n v="11734.160960000001"/>
    <n v="0"/>
    <n v="10250.524865458101"/>
    <n v="12480.615171525602"/>
  </r>
  <r>
    <s v="Refaturamento - Regular"/>
    <x v="4"/>
    <x v="4"/>
    <x v="7"/>
    <x v="6"/>
    <x v="0"/>
    <x v="0"/>
    <x v="1"/>
    <x v="0"/>
    <n v="0"/>
    <n v="0"/>
    <n v="-0.185"/>
    <n v="-0.185"/>
    <n v="-0.185"/>
    <n v="-0.185"/>
    <n v="0"/>
    <x v="2"/>
    <n v="0"/>
    <n v="0"/>
    <n v="49"/>
    <n v="55"/>
    <n v="0"/>
    <n v="225.87"/>
    <n v="292.36"/>
    <m/>
    <n v="255.39477938653826"/>
    <n v="310.95812167444689"/>
    <n v="0"/>
    <n v="-41.78595"/>
    <n v="-54.086600000000004"/>
    <n v="0"/>
    <n v="-47.248034186509578"/>
    <n v="-57.527252509772673"/>
  </r>
  <r>
    <s v="Regular"/>
    <x v="4"/>
    <x v="4"/>
    <x v="7"/>
    <x v="6"/>
    <x v="0"/>
    <x v="0"/>
    <x v="1"/>
    <x v="1"/>
    <n v="0"/>
    <n v="0"/>
    <n v="35.610999999999997"/>
    <n v="35.610999999999997"/>
    <n v="35.610999999999997"/>
    <n v="35.610999999999997"/>
    <n v="603"/>
    <x v="2"/>
    <n v="0"/>
    <n v="0"/>
    <n v="49"/>
    <n v="55"/>
    <n v="0"/>
    <n v="225.87"/>
    <n v="292.36"/>
    <m/>
    <n v="255.39477938653826"/>
    <n v="310.95812167444689"/>
    <n v="0"/>
    <n v="8043.4565699999994"/>
    <n v="10411.231959999999"/>
    <n v="0"/>
    <n v="9094.863488734014"/>
    <n v="11073.529670948727"/>
  </r>
  <r>
    <s v="Refaturamento - Regular"/>
    <x v="4"/>
    <x v="4"/>
    <x v="7"/>
    <x v="6"/>
    <x v="0"/>
    <x v="0"/>
    <x v="1"/>
    <x v="1"/>
    <n v="0"/>
    <n v="0"/>
    <n v="-3.6999999999999998E-2"/>
    <n v="-3.6999999999999998E-2"/>
    <n v="-3.6999999999999998E-2"/>
    <n v="-3.6999999999999998E-2"/>
    <n v="0"/>
    <x v="2"/>
    <n v="0"/>
    <n v="0"/>
    <n v="49"/>
    <n v="55"/>
    <n v="0"/>
    <n v="225.87"/>
    <n v="292.36"/>
    <m/>
    <n v="255.39477938653826"/>
    <n v="310.95812167444689"/>
    <n v="0"/>
    <n v="-8.3571899999999992"/>
    <n v="-10.81732"/>
    <n v="0"/>
    <n v="-9.449606837301916"/>
    <n v="-11.505450501954535"/>
  </r>
  <r>
    <s v="Regular"/>
    <x v="4"/>
    <x v="4"/>
    <x v="7"/>
    <x v="6"/>
    <x v="0"/>
    <x v="0"/>
    <x v="1"/>
    <x v="2"/>
    <n v="0"/>
    <n v="0"/>
    <n v="54.076999999999998"/>
    <n v="54.076999999999998"/>
    <n v="54.076999999999998"/>
    <n v="54.076999999999998"/>
    <n v="842"/>
    <x v="2"/>
    <n v="0"/>
    <n v="0"/>
    <n v="49"/>
    <n v="55"/>
    <n v="0"/>
    <n v="225.87"/>
    <n v="292.36"/>
    <m/>
    <n v="255.39477938653826"/>
    <n v="310.95812167444689"/>
    <n v="0"/>
    <n v="12214.37199"/>
    <n v="15809.951720000001"/>
    <n v="0"/>
    <n v="13810.98348488583"/>
    <n v="16815.682345789064"/>
  </r>
  <r>
    <s v="Refaturamento - Regular"/>
    <x v="4"/>
    <x v="4"/>
    <x v="7"/>
    <x v="6"/>
    <x v="0"/>
    <x v="0"/>
    <x v="1"/>
    <x v="2"/>
    <n v="0"/>
    <n v="0"/>
    <n v="-0.54900000000000004"/>
    <n v="-0.54900000000000004"/>
    <n v="-0.54900000000000004"/>
    <n v="-0.54900000000000004"/>
    <n v="0"/>
    <x v="2"/>
    <n v="0"/>
    <n v="0"/>
    <n v="49"/>
    <n v="55"/>
    <n v="0"/>
    <n v="225.87"/>
    <n v="292.36"/>
    <m/>
    <n v="255.39477938653826"/>
    <n v="310.95812167444689"/>
    <n v="0"/>
    <n v="-124.00263000000001"/>
    <n v="-160.50564000000003"/>
    <n v="0"/>
    <n v="-140.21173388320952"/>
    <n v="-170.71600879927135"/>
  </r>
  <r>
    <s v="Regular"/>
    <x v="4"/>
    <x v="4"/>
    <x v="7"/>
    <x v="6"/>
    <x v="0"/>
    <x v="0"/>
    <x v="1"/>
    <x v="3"/>
    <n v="0"/>
    <n v="0"/>
    <n v="41.75"/>
    <n v="41.75"/>
    <n v="41.75"/>
    <n v="41.75"/>
    <n v="685"/>
    <x v="2"/>
    <n v="0"/>
    <n v="0"/>
    <n v="49"/>
    <n v="55"/>
    <n v="0"/>
    <n v="225.87"/>
    <n v="292.36"/>
    <m/>
    <n v="255.39477938653826"/>
    <n v="310.95812167444689"/>
    <n v="0"/>
    <n v="9430.0725000000002"/>
    <n v="12206.03"/>
    <n v="0"/>
    <n v="10662.732039387973"/>
    <n v="12982.501579908158"/>
  </r>
  <r>
    <s v="Regular"/>
    <x v="4"/>
    <x v="4"/>
    <x v="7"/>
    <x v="6"/>
    <x v="0"/>
    <x v="0"/>
    <x v="1"/>
    <x v="4"/>
    <n v="0"/>
    <n v="0"/>
    <n v="48.390999999999998"/>
    <n v="48.390999999999998"/>
    <n v="48.390999999999998"/>
    <n v="48.390999999999998"/>
    <n v="805"/>
    <x v="2"/>
    <n v="0"/>
    <n v="0"/>
    <n v="49"/>
    <n v="55"/>
    <n v="0"/>
    <n v="225.87"/>
    <n v="292.36"/>
    <m/>
    <n v="255.39477938653826"/>
    <n v="310.95812167444689"/>
    <n v="0"/>
    <n v="10930.07517"/>
    <n v="14147.59276"/>
    <n v="0"/>
    <n v="12358.808769293972"/>
    <n v="15047.574465948159"/>
  </r>
  <r>
    <s v="Regular"/>
    <x v="4"/>
    <x v="4"/>
    <x v="7"/>
    <x v="6"/>
    <x v="0"/>
    <x v="0"/>
    <x v="1"/>
    <x v="5"/>
    <n v="0"/>
    <n v="0"/>
    <n v="49.868000000000002"/>
    <n v="49.868000000000002"/>
    <n v="49.868000000000002"/>
    <n v="49.868000000000002"/>
    <n v="805"/>
    <x v="2"/>
    <n v="0"/>
    <n v="0"/>
    <n v="49"/>
    <n v="55"/>
    <n v="0"/>
    <n v="225.87"/>
    <n v="292.36"/>
    <m/>
    <n v="255.39477938653826"/>
    <n v="310.95812167444689"/>
    <n v="0"/>
    <n v="11263.685160000001"/>
    <n v="14579.408480000002"/>
    <n v="0"/>
    <n v="12736.026858447891"/>
    <n v="15506.859611661317"/>
  </r>
  <r>
    <s v="Refaturamento - Regular"/>
    <x v="4"/>
    <x v="4"/>
    <x v="7"/>
    <x v="6"/>
    <x v="0"/>
    <x v="0"/>
    <x v="1"/>
    <x v="5"/>
    <n v="0"/>
    <n v="0"/>
    <n v="0.316"/>
    <n v="0.316"/>
    <n v="0.316"/>
    <n v="0.316"/>
    <n v="0"/>
    <x v="2"/>
    <n v="0"/>
    <n v="0"/>
    <n v="49"/>
    <n v="55"/>
    <n v="0"/>
    <n v="225.87"/>
    <n v="292.36"/>
    <m/>
    <n v="255.39477938653826"/>
    <n v="310.95812167444689"/>
    <n v="0"/>
    <n v="71.374920000000003"/>
    <n v="92.385760000000005"/>
    <n v="0"/>
    <n v="80.704750286146094"/>
    <n v="98.262766449125223"/>
  </r>
  <r>
    <s v="Regular"/>
    <x v="4"/>
    <x v="4"/>
    <x v="7"/>
    <x v="6"/>
    <x v="0"/>
    <x v="0"/>
    <x v="1"/>
    <x v="6"/>
    <n v="0"/>
    <n v="0"/>
    <n v="54.363999999999997"/>
    <n v="54.363999999999997"/>
    <n v="54.363999999999997"/>
    <n v="54.363999999999997"/>
    <n v="895"/>
    <x v="2"/>
    <n v="0"/>
    <n v="0"/>
    <n v="49"/>
    <n v="55"/>
    <n v="0"/>
    <n v="225.87"/>
    <n v="292.36"/>
    <m/>
    <n v="255.39477938653826"/>
    <n v="310.95812167444689"/>
    <n v="0"/>
    <n v="12279.196679999999"/>
    <n v="15893.859039999999"/>
    <n v="0"/>
    <n v="13884.281786569765"/>
    <n v="16904.927326709629"/>
  </r>
  <r>
    <s v="Refaturamento - Regular"/>
    <x v="4"/>
    <x v="4"/>
    <x v="7"/>
    <x v="6"/>
    <x v="0"/>
    <x v="0"/>
    <x v="1"/>
    <x v="6"/>
    <n v="0"/>
    <n v="0"/>
    <n v="-0.17899999999999999"/>
    <n v="-0.17899999999999999"/>
    <n v="-0.17899999999999999"/>
    <n v="-0.17899999999999999"/>
    <n v="0"/>
    <x v="2"/>
    <n v="0"/>
    <n v="0"/>
    <n v="49"/>
    <n v="55"/>
    <n v="0"/>
    <n v="225.87"/>
    <n v="292.36"/>
    <m/>
    <n v="255.39477938653826"/>
    <n v="310.95812167444689"/>
    <n v="0"/>
    <n v="-40.430729999999997"/>
    <n v="-52.332439999999998"/>
    <n v="0"/>
    <n v="-45.715665510190348"/>
    <n v="-55.66150377972599"/>
  </r>
  <r>
    <s v="Regular"/>
    <x v="4"/>
    <x v="4"/>
    <x v="7"/>
    <x v="6"/>
    <x v="0"/>
    <x v="0"/>
    <x v="1"/>
    <x v="7"/>
    <n v="0"/>
    <n v="0"/>
    <n v="53.680999999999997"/>
    <n v="53.680999999999997"/>
    <n v="53.680999999999997"/>
    <n v="53.680999999999997"/>
    <n v="833"/>
    <x v="2"/>
    <n v="0"/>
    <n v="0"/>
    <n v="49"/>
    <n v="55"/>
    <n v="0"/>
    <n v="225.87"/>
    <n v="292.36"/>
    <m/>
    <n v="255.39477938653826"/>
    <n v="310.95812167444689"/>
    <n v="0"/>
    <n v="12124.927470000001"/>
    <n v="15694.177159999999"/>
    <n v="0"/>
    <n v="13709.84715224876"/>
    <n v="16692.542929605981"/>
  </r>
  <r>
    <s v="Regular"/>
    <x v="4"/>
    <x v="4"/>
    <x v="7"/>
    <x v="6"/>
    <x v="0"/>
    <x v="0"/>
    <x v="1"/>
    <x v="8"/>
    <n v="0"/>
    <n v="0"/>
    <n v="59.723999999999997"/>
    <n v="59.723999999999997"/>
    <n v="59.723999999999997"/>
    <n v="59.723999999999997"/>
    <n v="905"/>
    <x v="2"/>
    <n v="0"/>
    <n v="0"/>
    <n v="49"/>
    <n v="55"/>
    <n v="0"/>
    <n v="225.87"/>
    <n v="292.36"/>
    <m/>
    <n v="255.39477938653826"/>
    <n v="310.95812167444689"/>
    <n v="0"/>
    <n v="13489.85988"/>
    <n v="17460.908640000001"/>
    <n v="0"/>
    <n v="15253.19780408161"/>
    <n v="18571.662858884665"/>
  </r>
  <r>
    <s v="Regular"/>
    <x v="4"/>
    <x v="4"/>
    <x v="7"/>
    <x v="6"/>
    <x v="0"/>
    <x v="0"/>
    <x v="1"/>
    <x v="9"/>
    <n v="0"/>
    <n v="0"/>
    <n v="51.945999999999998"/>
    <n v="51.945999999999998"/>
    <n v="51.945999999999998"/>
    <n v="51.945999999999998"/>
    <n v="847"/>
    <x v="2"/>
    <n v="0"/>
    <n v="0"/>
    <n v="49"/>
    <n v="55"/>
    <n v="0"/>
    <n v="225.87"/>
    <n v="292.36"/>
    <m/>
    <n v="255.39477938653826"/>
    <n v="310.95812167444689"/>
    <n v="0"/>
    <n v="11733.043019999999"/>
    <n v="15186.932559999999"/>
    <n v="0"/>
    <n v="13266.737210013116"/>
    <n v="16153.030588500817"/>
  </r>
  <r>
    <s v="Refaturamento - Regular"/>
    <x v="4"/>
    <x v="4"/>
    <x v="7"/>
    <x v="6"/>
    <x v="0"/>
    <x v="0"/>
    <x v="1"/>
    <x v="9"/>
    <n v="0"/>
    <n v="0"/>
    <n v="-0.115"/>
    <n v="-0.115"/>
    <n v="-0.115"/>
    <n v="-0.115"/>
    <n v="0"/>
    <x v="2"/>
    <n v="0"/>
    <n v="0"/>
    <n v="49"/>
    <n v="55"/>
    <n v="0"/>
    <n v="225.87"/>
    <n v="292.36"/>
    <m/>
    <n v="255.39477938653826"/>
    <n v="310.95812167444689"/>
    <n v="0"/>
    <n v="-25.975050000000003"/>
    <n v="-33.621400000000001"/>
    <n v="0"/>
    <n v="-29.370399629451903"/>
    <n v="-35.760183992561394"/>
  </r>
  <r>
    <s v="Regular"/>
    <x v="4"/>
    <x v="4"/>
    <x v="7"/>
    <x v="6"/>
    <x v="0"/>
    <x v="0"/>
    <x v="1"/>
    <x v="10"/>
    <n v="0"/>
    <n v="0"/>
    <n v="72.566999999999993"/>
    <n v="72.566999999999993"/>
    <n v="72.566999999999993"/>
    <n v="72.566999999999993"/>
    <n v="1110"/>
    <x v="2"/>
    <n v="0"/>
    <n v="0"/>
    <n v="49"/>
    <n v="55"/>
    <n v="0"/>
    <n v="225.87"/>
    <n v="292.36"/>
    <m/>
    <n v="255.39477938653826"/>
    <n v="310.95812167444689"/>
    <n v="0"/>
    <n v="16390.708289999999"/>
    <n v="21215.688119999999"/>
    <n v="0"/>
    <n v="18533.232955742918"/>
    <n v="22565.298015549586"/>
  </r>
  <r>
    <s v="PROJETADO"/>
    <x v="4"/>
    <x v="4"/>
    <x v="7"/>
    <x v="6"/>
    <x v="0"/>
    <x v="0"/>
    <x v="1"/>
    <x v="11"/>
    <n v="0"/>
    <n v="0"/>
    <n v="72.566999999999993"/>
    <n v="72.566999999999993"/>
    <n v="72.566999999999993"/>
    <n v="72.566999999999993"/>
    <n v="1110"/>
    <x v="2"/>
    <n v="0"/>
    <n v="0"/>
    <n v="49"/>
    <n v="55"/>
    <n v="0"/>
    <n v="225.87"/>
    <n v="292.36"/>
    <m/>
    <n v="255.39477938653826"/>
    <n v="310.95812167444689"/>
    <n v="0"/>
    <n v="16390.708289999999"/>
    <n v="21215.688119999999"/>
    <n v="0"/>
    <n v="18533.232955742918"/>
    <n v="22565.298015549586"/>
  </r>
  <r>
    <s v="Regular"/>
    <x v="5"/>
    <x v="4"/>
    <x v="6"/>
    <x v="0"/>
    <x v="0"/>
    <x v="0"/>
    <x v="1"/>
    <x v="0"/>
    <n v="0"/>
    <n v="0"/>
    <n v="300.41300000000001"/>
    <n v="300.41300000000001"/>
    <n v="300.41300000000001"/>
    <n v="300.41300000000001"/>
    <n v="449"/>
    <x v="2"/>
    <n v="0"/>
    <n v="0"/>
    <n v="47"/>
    <n v="109"/>
    <n v="0"/>
    <n v="264.26"/>
    <n v="257.27"/>
    <m/>
    <n v="362.57271860169681"/>
    <n v="292.30063437398007"/>
    <n v="0"/>
    <n v="79387.139379999993"/>
    <n v="77287.252509999991"/>
    <n v="0"/>
    <n v="108921.55811329154"/>
    <n v="87810.910474190474"/>
  </r>
  <r>
    <s v="Refaturamento - Regular"/>
    <x v="5"/>
    <x v="4"/>
    <x v="6"/>
    <x v="0"/>
    <x v="0"/>
    <x v="0"/>
    <x v="1"/>
    <x v="0"/>
    <n v="0"/>
    <n v="0"/>
    <n v="-2.4"/>
    <n v="-2.4"/>
    <n v="-2.4"/>
    <n v="-2.4"/>
    <n v="0"/>
    <x v="2"/>
    <n v="0"/>
    <n v="0"/>
    <n v="47"/>
    <n v="109"/>
    <n v="0"/>
    <n v="264.26"/>
    <n v="257.27"/>
    <m/>
    <n v="362.57271860169681"/>
    <n v="292.30063437398007"/>
    <n v="0"/>
    <n v="-634.22399999999993"/>
    <n v="-617.44799999999998"/>
    <n v="0"/>
    <n v="-870.17452464407233"/>
    <n v="-701.52152249755216"/>
  </r>
  <r>
    <s v="Sistema de Compensação"/>
    <x v="5"/>
    <x v="4"/>
    <x v="6"/>
    <x v="0"/>
    <x v="0"/>
    <x v="0"/>
    <x v="1"/>
    <x v="0"/>
    <n v="0"/>
    <n v="0"/>
    <n v="6.0369999999999999"/>
    <n v="6.0369999999999999"/>
    <n v="6.0369999999999999"/>
    <n v="6.0369999999999999"/>
    <n v="25"/>
    <x v="2"/>
    <n v="0"/>
    <n v="0"/>
    <n v="47"/>
    <n v="109"/>
    <n v="0"/>
    <n v="264.26"/>
    <n v="257.27"/>
    <m/>
    <n v="362.57271860169681"/>
    <n v="292.30063437398007"/>
    <n v="0"/>
    <n v="1595.33762"/>
    <n v="1553.1389899999999"/>
    <n v="0"/>
    <n v="2188.8515021984435"/>
    <n v="1764.6189297157177"/>
  </r>
  <r>
    <s v="Sistema de Compensação"/>
    <x v="5"/>
    <x v="4"/>
    <x v="6"/>
    <x v="0"/>
    <x v="0"/>
    <x v="0"/>
    <x v="1"/>
    <x v="0"/>
    <n v="0"/>
    <n v="0"/>
    <n v="1.08"/>
    <n v="1.08"/>
    <n v="1.08"/>
    <n v="1.08"/>
    <n v="1"/>
    <x v="2"/>
    <n v="0"/>
    <n v="0"/>
    <n v="47"/>
    <n v="109"/>
    <n v="0"/>
    <n v="264.26"/>
    <n v="257.27"/>
    <m/>
    <n v="362.57271860169681"/>
    <n v="292.30063437398007"/>
    <n v="0"/>
    <n v="285.4008"/>
    <n v="277.85160000000002"/>
    <n v="0"/>
    <n v="391.5785360898326"/>
    <n v="315.68468512389848"/>
  </r>
  <r>
    <s v="Regular"/>
    <x v="5"/>
    <x v="4"/>
    <x v="6"/>
    <x v="0"/>
    <x v="0"/>
    <x v="0"/>
    <x v="1"/>
    <x v="1"/>
    <n v="0"/>
    <n v="0"/>
    <n v="289.67899999999997"/>
    <n v="289.67899999999997"/>
    <n v="289.67899999999997"/>
    <n v="289.67899999999997"/>
    <n v="448"/>
    <x v="2"/>
    <n v="0"/>
    <n v="0"/>
    <n v="47"/>
    <n v="109"/>
    <n v="0"/>
    <n v="264.26"/>
    <n v="257.27"/>
    <m/>
    <n v="362.57271860169681"/>
    <n v="292.30063437398007"/>
    <n v="0"/>
    <n v="76550.572539999994"/>
    <n v="74525.716329999981"/>
    <n v="0"/>
    <n v="105029.70255182093"/>
    <n v="84673.355464820168"/>
  </r>
  <r>
    <s v="Refaturamento - Regular"/>
    <x v="5"/>
    <x v="4"/>
    <x v="6"/>
    <x v="0"/>
    <x v="0"/>
    <x v="0"/>
    <x v="1"/>
    <x v="1"/>
    <n v="0"/>
    <n v="0"/>
    <n v="-0.74"/>
    <n v="-0.74"/>
    <n v="-0.74"/>
    <n v="-0.74"/>
    <n v="0"/>
    <x v="2"/>
    <n v="0"/>
    <n v="0"/>
    <n v="47"/>
    <n v="109"/>
    <n v="0"/>
    <n v="264.26"/>
    <n v="257.27"/>
    <m/>
    <n v="362.57271860169681"/>
    <n v="292.30063437398007"/>
    <n v="0"/>
    <n v="-195.55239999999998"/>
    <n v="-190.37979999999999"/>
    <n v="0"/>
    <n v="-268.30381176525566"/>
    <n v="-216.30246943674524"/>
  </r>
  <r>
    <s v="Sistema de Compensação"/>
    <x v="5"/>
    <x v="4"/>
    <x v="6"/>
    <x v="0"/>
    <x v="0"/>
    <x v="0"/>
    <x v="1"/>
    <x v="1"/>
    <n v="0"/>
    <n v="0"/>
    <n v="6.6429999999999998"/>
    <n v="6.6429999999999998"/>
    <n v="6.6429999999999998"/>
    <n v="6.6429999999999998"/>
    <n v="26"/>
    <x v="2"/>
    <n v="0"/>
    <n v="0"/>
    <n v="47"/>
    <n v="109"/>
    <n v="0"/>
    <n v="264.26"/>
    <n v="257.27"/>
    <m/>
    <n v="362.57271860169681"/>
    <n v="292.30063437398007"/>
    <n v="0"/>
    <n v="1755.4791799999998"/>
    <n v="1709.0446099999999"/>
    <n v="0"/>
    <n v="2408.570569671072"/>
    <n v="1941.7531141463496"/>
  </r>
  <r>
    <s v="Sistema de Compensação"/>
    <x v="5"/>
    <x v="4"/>
    <x v="6"/>
    <x v="0"/>
    <x v="0"/>
    <x v="0"/>
    <x v="1"/>
    <x v="1"/>
    <n v="0"/>
    <n v="0"/>
    <n v="0.05"/>
    <n v="0.05"/>
    <n v="0.05"/>
    <n v="0.05"/>
    <n v="1"/>
    <x v="2"/>
    <n v="0"/>
    <n v="0"/>
    <n v="47"/>
    <n v="109"/>
    <n v="0"/>
    <n v="264.26"/>
    <n v="257.27"/>
    <m/>
    <n v="362.57271860169681"/>
    <n v="292.30063437398007"/>
    <n v="0"/>
    <n v="13.213000000000001"/>
    <n v="12.8635"/>
    <n v="0"/>
    <n v="18.12863593008484"/>
    <n v="14.615031718699004"/>
  </r>
  <r>
    <s v="Regular"/>
    <x v="5"/>
    <x v="4"/>
    <x v="6"/>
    <x v="0"/>
    <x v="0"/>
    <x v="0"/>
    <x v="1"/>
    <x v="2"/>
    <n v="0"/>
    <n v="0"/>
    <n v="317.97500000000002"/>
    <n v="317.97500000000002"/>
    <n v="317.97500000000002"/>
    <n v="317.97500000000002"/>
    <n v="444"/>
    <x v="2"/>
    <n v="0"/>
    <n v="0"/>
    <n v="47"/>
    <n v="109"/>
    <n v="0"/>
    <n v="264.26"/>
    <n v="257.27"/>
    <m/>
    <n v="362.57271860169681"/>
    <n v="292.30063437398007"/>
    <n v="0"/>
    <n v="84028.073499999999"/>
    <n v="81805.428249999997"/>
    <n v="0"/>
    <n v="115289.06019737455"/>
    <n v="92944.294215066315"/>
  </r>
  <r>
    <s v="Refaturamento - Regular"/>
    <x v="5"/>
    <x v="4"/>
    <x v="6"/>
    <x v="0"/>
    <x v="0"/>
    <x v="0"/>
    <x v="1"/>
    <x v="2"/>
    <n v="0"/>
    <n v="0"/>
    <n v="-0.99299999999999999"/>
    <n v="-0.99299999999999999"/>
    <n v="-0.99299999999999999"/>
    <n v="-0.99299999999999999"/>
    <n v="0"/>
    <x v="2"/>
    <n v="0"/>
    <n v="0"/>
    <n v="47"/>
    <n v="109"/>
    <n v="0"/>
    <n v="264.26"/>
    <n v="257.27"/>
    <m/>
    <n v="362.57271860169681"/>
    <n v="292.30063437398007"/>
    <n v="0"/>
    <n v="-262.41017999999997"/>
    <n v="-255.46910999999997"/>
    <n v="0"/>
    <n v="-360.03470957148494"/>
    <n v="-290.25452993336222"/>
  </r>
  <r>
    <s v="Sistema de Compensação"/>
    <x v="5"/>
    <x v="4"/>
    <x v="6"/>
    <x v="0"/>
    <x v="0"/>
    <x v="0"/>
    <x v="1"/>
    <x v="2"/>
    <n v="0"/>
    <n v="0"/>
    <n v="8.84"/>
    <n v="8.84"/>
    <n v="8.84"/>
    <n v="8.84"/>
    <n v="31"/>
    <x v="2"/>
    <n v="0"/>
    <n v="0"/>
    <n v="47"/>
    <n v="109"/>
    <n v="0"/>
    <n v="264.26"/>
    <n v="257.27"/>
    <m/>
    <n v="362.57271860169681"/>
    <n v="292.30063437398007"/>
    <n v="0"/>
    <n v="2336.0583999999999"/>
    <n v="2274.2667999999999"/>
    <n v="0"/>
    <n v="3205.1428324389999"/>
    <n v="2583.9376078659839"/>
  </r>
  <r>
    <s v="Regular"/>
    <x v="5"/>
    <x v="4"/>
    <x v="6"/>
    <x v="0"/>
    <x v="0"/>
    <x v="0"/>
    <x v="1"/>
    <x v="3"/>
    <n v="0"/>
    <n v="0"/>
    <n v="277.06900000000002"/>
    <n v="277.06900000000002"/>
    <n v="277.06900000000002"/>
    <n v="277.06900000000002"/>
    <n v="440"/>
    <x v="2"/>
    <n v="0"/>
    <n v="0"/>
    <n v="47"/>
    <n v="109"/>
    <n v="0"/>
    <n v="264.26"/>
    <n v="257.27"/>
    <m/>
    <n v="362.57271860169681"/>
    <n v="292.30063437398007"/>
    <n v="0"/>
    <n v="73218.253939999995"/>
    <n v="71281.541629999992"/>
    <n v="0"/>
    <n v="100457.66057025355"/>
    <n v="80987.444465364286"/>
  </r>
  <r>
    <s v="Refaturamento - Regular"/>
    <x v="5"/>
    <x v="4"/>
    <x v="6"/>
    <x v="0"/>
    <x v="0"/>
    <x v="0"/>
    <x v="1"/>
    <x v="3"/>
    <n v="0"/>
    <n v="0"/>
    <n v="-0.38600000000000001"/>
    <n v="-0.38600000000000001"/>
    <n v="-0.38600000000000001"/>
    <n v="-0.38600000000000001"/>
    <n v="0"/>
    <x v="2"/>
    <n v="0"/>
    <n v="0"/>
    <n v="47"/>
    <n v="109"/>
    <n v="0"/>
    <n v="264.26"/>
    <n v="257.27"/>
    <m/>
    <n v="362.57271860169681"/>
    <n v="292.30063437398007"/>
    <n v="0"/>
    <n v="-102.00436000000001"/>
    <n v="-99.306219999999996"/>
    <n v="0"/>
    <n v="-139.95306938025496"/>
    <n v="-112.82804486835632"/>
  </r>
  <r>
    <s v="Sistema de Compensação"/>
    <x v="5"/>
    <x v="4"/>
    <x v="6"/>
    <x v="0"/>
    <x v="0"/>
    <x v="0"/>
    <x v="1"/>
    <x v="3"/>
    <n v="0"/>
    <n v="0"/>
    <n v="7.6260000000000003"/>
    <n v="7.6260000000000003"/>
    <n v="7.6260000000000003"/>
    <n v="7.6260000000000003"/>
    <n v="34"/>
    <x v="2"/>
    <n v="0"/>
    <n v="0"/>
    <n v="47"/>
    <n v="109"/>
    <n v="0"/>
    <n v="264.26"/>
    <n v="257.27"/>
    <m/>
    <n v="362.57271860169681"/>
    <n v="292.30063437398007"/>
    <n v="0"/>
    <n v="2015.24676"/>
    <n v="1961.94102"/>
    <n v="0"/>
    <n v="2764.9795520565399"/>
    <n v="2229.0846377359721"/>
  </r>
  <r>
    <s v="Sistema de Compensação"/>
    <x v="5"/>
    <x v="4"/>
    <x v="6"/>
    <x v="0"/>
    <x v="0"/>
    <x v="0"/>
    <x v="1"/>
    <x v="3"/>
    <n v="0"/>
    <n v="0"/>
    <n v="0.1"/>
    <n v="0.1"/>
    <n v="0.1"/>
    <n v="0.1"/>
    <n v="1"/>
    <x v="2"/>
    <n v="0"/>
    <n v="0"/>
    <n v="47"/>
    <n v="109"/>
    <n v="0"/>
    <n v="264.26"/>
    <n v="257.27"/>
    <m/>
    <n v="362.57271860169681"/>
    <n v="292.30063437398007"/>
    <n v="0"/>
    <n v="26.426000000000002"/>
    <n v="25.727"/>
    <n v="0"/>
    <n v="36.257271860169681"/>
    <n v="29.230063437398009"/>
  </r>
  <r>
    <s v="Regular"/>
    <x v="5"/>
    <x v="4"/>
    <x v="6"/>
    <x v="0"/>
    <x v="0"/>
    <x v="0"/>
    <x v="1"/>
    <x v="4"/>
    <n v="0"/>
    <n v="0"/>
    <n v="287.67899999999997"/>
    <n v="287.67899999999997"/>
    <n v="287.67899999999997"/>
    <n v="287.67899999999997"/>
    <n v="437"/>
    <x v="2"/>
    <n v="0"/>
    <n v="0"/>
    <n v="47"/>
    <n v="109"/>
    <n v="0"/>
    <n v="264.26"/>
    <n v="257.27"/>
    <m/>
    <n v="362.57271860169681"/>
    <n v="292.30063437398007"/>
    <n v="0"/>
    <n v="76022.05253999999"/>
    <n v="74011.176329999988"/>
    <n v="0"/>
    <n v="104304.55711461752"/>
    <n v="84088.754196072201"/>
  </r>
  <r>
    <s v="Refaturamento - Regular"/>
    <x v="5"/>
    <x v="4"/>
    <x v="6"/>
    <x v="0"/>
    <x v="0"/>
    <x v="0"/>
    <x v="1"/>
    <x v="4"/>
    <n v="0"/>
    <n v="0"/>
    <n v="-1.06"/>
    <n v="-1.06"/>
    <n v="-1.06"/>
    <n v="-1.06"/>
    <n v="0"/>
    <x v="2"/>
    <n v="0"/>
    <n v="0"/>
    <n v="47"/>
    <n v="109"/>
    <n v="0"/>
    <n v="264.26"/>
    <n v="257.27"/>
    <m/>
    <n v="362.57271860169681"/>
    <n v="292.30063437398007"/>
    <n v="0"/>
    <n v="-280.11560000000003"/>
    <n v="-272.70619999999997"/>
    <n v="0"/>
    <n v="-384.32708171779865"/>
    <n v="-309.8386724364189"/>
  </r>
  <r>
    <s v="Sistema de Compensação"/>
    <x v="5"/>
    <x v="4"/>
    <x v="6"/>
    <x v="0"/>
    <x v="0"/>
    <x v="0"/>
    <x v="1"/>
    <x v="4"/>
    <n v="0"/>
    <n v="0"/>
    <n v="8.6259999999999994"/>
    <n v="8.6259999999999994"/>
    <n v="8.6259999999999994"/>
    <n v="8.6259999999999994"/>
    <n v="36"/>
    <x v="2"/>
    <n v="0"/>
    <n v="0"/>
    <n v="47"/>
    <n v="109"/>
    <n v="0"/>
    <n v="264.26"/>
    <n v="257.27"/>
    <m/>
    <n v="362.57271860169681"/>
    <n v="292.30063437398007"/>
    <n v="0"/>
    <n v="2279.5067599999998"/>
    <n v="2219.2110199999997"/>
    <n v="0"/>
    <n v="3127.5522706582365"/>
    <n v="2521.385272109952"/>
  </r>
  <r>
    <s v="Regular"/>
    <x v="5"/>
    <x v="4"/>
    <x v="6"/>
    <x v="0"/>
    <x v="0"/>
    <x v="0"/>
    <x v="1"/>
    <x v="5"/>
    <n v="0"/>
    <n v="0"/>
    <n v="277.33300000000003"/>
    <n v="277.33300000000003"/>
    <n v="277.33300000000003"/>
    <n v="277.33300000000003"/>
    <n v="435"/>
    <x v="2"/>
    <n v="0"/>
    <n v="0"/>
    <n v="47"/>
    <n v="109"/>
    <n v="0"/>
    <n v="264.26"/>
    <n v="257.27"/>
    <m/>
    <n v="362.57271860169681"/>
    <n v="292.30063437398007"/>
    <n v="0"/>
    <n v="73288.018580000004"/>
    <n v="71349.460910000009"/>
    <n v="0"/>
    <n v="100553.37976796439"/>
    <n v="81064.611832839029"/>
  </r>
  <r>
    <s v="Sistema de Compensação"/>
    <x v="5"/>
    <x v="4"/>
    <x v="6"/>
    <x v="0"/>
    <x v="0"/>
    <x v="0"/>
    <x v="1"/>
    <x v="5"/>
    <n v="0"/>
    <n v="0"/>
    <n v="7.6239999999999997"/>
    <n v="7.6239999999999997"/>
    <n v="7.6239999999999997"/>
    <n v="7.6239999999999997"/>
    <n v="37"/>
    <x v="2"/>
    <n v="0"/>
    <n v="0"/>
    <n v="47"/>
    <n v="109"/>
    <n v="0"/>
    <n v="264.26"/>
    <n v="257.27"/>
    <m/>
    <n v="362.57271860169681"/>
    <n v="292.30063437398007"/>
    <n v="0"/>
    <n v="2014.7182399999999"/>
    <n v="1961.4264799999999"/>
    <n v="0"/>
    <n v="2764.2544066193364"/>
    <n v="2228.5000364672242"/>
  </r>
  <r>
    <s v="Regular"/>
    <x v="5"/>
    <x v="4"/>
    <x v="6"/>
    <x v="0"/>
    <x v="0"/>
    <x v="0"/>
    <x v="1"/>
    <x v="6"/>
    <n v="0"/>
    <n v="0"/>
    <n v="296.34100000000001"/>
    <n v="296.34100000000001"/>
    <n v="296.34100000000001"/>
    <n v="296.34100000000001"/>
    <n v="435"/>
    <x v="2"/>
    <n v="0"/>
    <n v="0"/>
    <n v="47"/>
    <n v="109"/>
    <n v="0"/>
    <n v="264.26"/>
    <n v="257.27"/>
    <m/>
    <n v="362.57271860169681"/>
    <n v="292.30063437398007"/>
    <n v="0"/>
    <n v="78311.072660000005"/>
    <n v="76239.649069999999"/>
    <n v="0"/>
    <n v="107445.16200314544"/>
    <n v="86620.662291019631"/>
  </r>
  <r>
    <s v="Refaturamento - Regular"/>
    <x v="5"/>
    <x v="4"/>
    <x v="6"/>
    <x v="0"/>
    <x v="0"/>
    <x v="0"/>
    <x v="1"/>
    <x v="6"/>
    <n v="0"/>
    <n v="0"/>
    <n v="-0.35899999999999999"/>
    <n v="-0.35899999999999999"/>
    <n v="-0.35899999999999999"/>
    <n v="-0.35899999999999999"/>
    <n v="0"/>
    <x v="2"/>
    <n v="0"/>
    <n v="0"/>
    <n v="47"/>
    <n v="109"/>
    <n v="0"/>
    <n v="264.26"/>
    <n v="257.27"/>
    <m/>
    <n v="362.57271860169681"/>
    <n v="292.30063437398007"/>
    <n v="0"/>
    <n v="-94.869339999999994"/>
    <n v="-92.359929999999991"/>
    <n v="0"/>
    <n v="-130.16360597800914"/>
    <n v="-104.93592774025885"/>
  </r>
  <r>
    <s v="Sistema de Compensação"/>
    <x v="5"/>
    <x v="4"/>
    <x v="6"/>
    <x v="0"/>
    <x v="0"/>
    <x v="0"/>
    <x v="1"/>
    <x v="6"/>
    <n v="0"/>
    <n v="0"/>
    <n v="7.7039999999999997"/>
    <n v="7.7039999999999997"/>
    <n v="7.7039999999999997"/>
    <n v="7.7039999999999997"/>
    <n v="37"/>
    <x v="2"/>
    <n v="0"/>
    <n v="0"/>
    <n v="47"/>
    <n v="109"/>
    <n v="0"/>
    <n v="264.26"/>
    <n v="257.27"/>
    <m/>
    <n v="362.57271860169681"/>
    <n v="292.30063437398007"/>
    <n v="0"/>
    <n v="2035.8590399999998"/>
    <n v="1982.0080799999998"/>
    <n v="0"/>
    <n v="2793.2602241074719"/>
    <n v="2251.8840872171422"/>
  </r>
  <r>
    <s v="Sistema de Compensação"/>
    <x v="5"/>
    <x v="4"/>
    <x v="6"/>
    <x v="0"/>
    <x v="0"/>
    <x v="0"/>
    <x v="1"/>
    <x v="6"/>
    <n v="0"/>
    <n v="0"/>
    <n v="0.13600000000000001"/>
    <n v="0.13600000000000001"/>
    <n v="0.13600000000000001"/>
    <n v="0.13600000000000001"/>
    <n v="1"/>
    <x v="2"/>
    <n v="0"/>
    <n v="0"/>
    <n v="47"/>
    <n v="109"/>
    <n v="0"/>
    <n v="264.26"/>
    <n v="257.27"/>
    <m/>
    <n v="362.57271860169681"/>
    <n v="292.30063437398007"/>
    <n v="0"/>
    <n v="35.939360000000001"/>
    <n v="34.988720000000001"/>
    <n v="0"/>
    <n v="49.309889729830772"/>
    <n v="39.752886274861289"/>
  </r>
  <r>
    <s v="Regular"/>
    <x v="5"/>
    <x v="4"/>
    <x v="6"/>
    <x v="0"/>
    <x v="0"/>
    <x v="0"/>
    <x v="1"/>
    <x v="7"/>
    <n v="0"/>
    <n v="0"/>
    <n v="313.52600000000001"/>
    <n v="313.52600000000001"/>
    <n v="313.52600000000001"/>
    <n v="313.52600000000001"/>
    <n v="430"/>
    <x v="2"/>
    <n v="0"/>
    <n v="0"/>
    <n v="47"/>
    <n v="109"/>
    <n v="0"/>
    <n v="264.26"/>
    <n v="257.27"/>
    <m/>
    <n v="362.57271860169681"/>
    <n v="292.30063437398007"/>
    <n v="0"/>
    <n v="82852.38076"/>
    <n v="80660.834019999995"/>
    <n v="0"/>
    <n v="113675.97417231559"/>
    <n v="91643.848692736487"/>
  </r>
  <r>
    <s v="Sistema de Compensação"/>
    <x v="5"/>
    <x v="4"/>
    <x v="6"/>
    <x v="0"/>
    <x v="0"/>
    <x v="0"/>
    <x v="1"/>
    <x v="7"/>
    <n v="0"/>
    <n v="0"/>
    <n v="9.5090000000000003"/>
    <n v="9.5090000000000003"/>
    <n v="9.5090000000000003"/>
    <n v="9.5090000000000003"/>
    <n v="41"/>
    <x v="2"/>
    <n v="0"/>
    <n v="0"/>
    <n v="47"/>
    <n v="109"/>
    <n v="0"/>
    <n v="264.26"/>
    <n v="257.27"/>
    <m/>
    <n v="362.57271860169681"/>
    <n v="292.30063437398007"/>
    <n v="0"/>
    <n v="2512.84834"/>
    <n v="2446.3804299999997"/>
    <n v="0"/>
    <n v="3447.7039811835352"/>
    <n v="2779.4867322621767"/>
  </r>
  <r>
    <s v="Regular"/>
    <x v="5"/>
    <x v="4"/>
    <x v="6"/>
    <x v="0"/>
    <x v="0"/>
    <x v="0"/>
    <x v="1"/>
    <x v="8"/>
    <n v="0"/>
    <n v="0"/>
    <n v="338.08600000000001"/>
    <n v="338.08600000000001"/>
    <n v="338.08600000000001"/>
    <n v="338.08600000000001"/>
    <n v="435"/>
    <x v="2"/>
    <n v="0"/>
    <n v="0"/>
    <n v="47"/>
    <n v="109"/>
    <n v="0"/>
    <n v="264.26"/>
    <n v="257.27"/>
    <m/>
    <n v="362.57271860169681"/>
    <n v="292.30063437398007"/>
    <n v="0"/>
    <n v="89342.606360000005"/>
    <n v="86979.385219999996"/>
    <n v="0"/>
    <n v="122580.76014117328"/>
    <n v="98822.752272961428"/>
  </r>
  <r>
    <s v="Regular"/>
    <x v="5"/>
    <x v="4"/>
    <x v="6"/>
    <x v="0"/>
    <x v="0"/>
    <x v="0"/>
    <x v="1"/>
    <x v="9"/>
    <n v="0"/>
    <n v="0"/>
    <n v="336.291"/>
    <n v="336.291"/>
    <n v="336.291"/>
    <n v="336.291"/>
    <n v="433"/>
    <x v="2"/>
    <n v="0"/>
    <n v="0"/>
    <n v="47"/>
    <n v="109"/>
    <n v="0"/>
    <n v="264.26"/>
    <n v="257.27"/>
    <m/>
    <n v="362.57271860169681"/>
    <n v="292.30063437398007"/>
    <n v="0"/>
    <n v="88868.259659999996"/>
    <n v="86517.585569999996"/>
    <n v="0"/>
    <n v="121929.94211128322"/>
    <n v="98298.072634260127"/>
  </r>
  <r>
    <s v="Refaturamento - Regular"/>
    <x v="5"/>
    <x v="4"/>
    <x v="6"/>
    <x v="0"/>
    <x v="0"/>
    <x v="0"/>
    <x v="1"/>
    <x v="9"/>
    <n v="0"/>
    <n v="0"/>
    <n v="-2.8610000000000002"/>
    <n v="-2.8610000000000002"/>
    <n v="-2.8610000000000002"/>
    <n v="-2.8610000000000002"/>
    <n v="0"/>
    <x v="2"/>
    <n v="0"/>
    <n v="0"/>
    <n v="47"/>
    <n v="109"/>
    <n v="0"/>
    <n v="264.26"/>
    <n v="257.27"/>
    <m/>
    <n v="362.57271860169681"/>
    <n v="292.30063437398007"/>
    <n v="0"/>
    <n v="-756.04786000000001"/>
    <n v="-736.04947000000004"/>
    <n v="0"/>
    <n v="-1037.3205479194546"/>
    <n v="-836.27211494395704"/>
  </r>
  <r>
    <s v="Sistema de Compensação"/>
    <x v="5"/>
    <x v="4"/>
    <x v="6"/>
    <x v="0"/>
    <x v="0"/>
    <x v="0"/>
    <x v="1"/>
    <x v="9"/>
    <n v="0"/>
    <n v="0"/>
    <n v="9.6790000000000003"/>
    <n v="9.6790000000000003"/>
    <n v="9.6790000000000003"/>
    <n v="9.6790000000000003"/>
    <n v="41"/>
    <x v="2"/>
    <n v="0"/>
    <n v="0"/>
    <n v="47"/>
    <n v="109"/>
    <n v="0"/>
    <n v="264.26"/>
    <n v="257.27"/>
    <m/>
    <n v="362.57271860169681"/>
    <n v="292.30063437398007"/>
    <n v="0"/>
    <n v="2557.7725399999999"/>
    <n v="2490.1163299999998"/>
    <n v="0"/>
    <n v="3509.3413433458236"/>
    <n v="2829.1778401057531"/>
  </r>
  <r>
    <s v="Regular"/>
    <x v="5"/>
    <x v="4"/>
    <x v="6"/>
    <x v="0"/>
    <x v="0"/>
    <x v="0"/>
    <x v="1"/>
    <x v="10"/>
    <n v="0"/>
    <n v="0"/>
    <n v="330.00200000000001"/>
    <n v="330.00200000000001"/>
    <n v="330.00200000000001"/>
    <n v="330.00200000000001"/>
    <n v="433"/>
    <x v="2"/>
    <n v="0"/>
    <n v="0"/>
    <n v="47"/>
    <n v="109"/>
    <n v="0"/>
    <n v="264.26"/>
    <n v="257.27"/>
    <m/>
    <n v="362.57271860169681"/>
    <n v="292.30063437398007"/>
    <n v="0"/>
    <n v="87206.328519999995"/>
    <n v="84899.614539999995"/>
    <n v="0"/>
    <n v="119649.72228399715"/>
    <n v="96459.793944682169"/>
  </r>
  <r>
    <s v="Refaturamento - Regular"/>
    <x v="5"/>
    <x v="4"/>
    <x v="6"/>
    <x v="0"/>
    <x v="0"/>
    <x v="0"/>
    <x v="1"/>
    <x v="10"/>
    <n v="0"/>
    <n v="0"/>
    <n v="-1.2410000000000001"/>
    <n v="-1.2410000000000001"/>
    <n v="-1.2410000000000001"/>
    <n v="-1.2410000000000001"/>
    <n v="0"/>
    <x v="2"/>
    <n v="0"/>
    <n v="0"/>
    <n v="47"/>
    <n v="109"/>
    <n v="0"/>
    <n v="264.26"/>
    <n v="257.27"/>
    <m/>
    <n v="362.57271860169681"/>
    <n v="292.30063437398007"/>
    <n v="0"/>
    <n v="-327.94666000000001"/>
    <n v="-319.27206999999999"/>
    <n v="0"/>
    <n v="-449.95274378470577"/>
    <n v="-362.74508725810932"/>
  </r>
  <r>
    <s v="Sistema de Compensação"/>
    <x v="5"/>
    <x v="4"/>
    <x v="6"/>
    <x v="0"/>
    <x v="0"/>
    <x v="0"/>
    <x v="1"/>
    <x v="10"/>
    <n v="0"/>
    <n v="0"/>
    <n v="8.4589999999999996"/>
    <n v="8.4589999999999996"/>
    <n v="8.4589999999999996"/>
    <n v="8.4589999999999996"/>
    <n v="40"/>
    <x v="2"/>
    <n v="0"/>
    <n v="0"/>
    <n v="47"/>
    <n v="109"/>
    <n v="0"/>
    <n v="264.26"/>
    <n v="257.27"/>
    <m/>
    <n v="362.57271860169681"/>
    <n v="292.30063437398007"/>
    <n v="0"/>
    <n v="2235.3753400000001"/>
    <n v="2176.2469299999998"/>
    <n v="0"/>
    <n v="3067.002626651753"/>
    <n v="2472.5710661694975"/>
  </r>
  <r>
    <s v="PROJETADO"/>
    <x v="5"/>
    <x v="4"/>
    <x v="6"/>
    <x v="0"/>
    <x v="0"/>
    <x v="0"/>
    <x v="1"/>
    <x v="11"/>
    <n v="0"/>
    <n v="0"/>
    <n v="330.00200000000001"/>
    <n v="330.00200000000001"/>
    <n v="330.00200000000001"/>
    <n v="330.00200000000001"/>
    <n v="433"/>
    <x v="2"/>
    <n v="0"/>
    <n v="0"/>
    <n v="47"/>
    <n v="109"/>
    <n v="0"/>
    <n v="264.26"/>
    <n v="257.27"/>
    <m/>
    <n v="362.57271860169681"/>
    <n v="292.30063437398007"/>
    <n v="0"/>
    <n v="87206.328519999995"/>
    <n v="84899.614539999995"/>
    <n v="0"/>
    <n v="119649.72228399715"/>
    <n v="96459.793944682169"/>
  </r>
  <r>
    <s v="PROJETADO"/>
    <x v="5"/>
    <x v="4"/>
    <x v="6"/>
    <x v="0"/>
    <x v="0"/>
    <x v="0"/>
    <x v="1"/>
    <x v="11"/>
    <n v="0"/>
    <n v="0"/>
    <n v="-1.2410000000000001"/>
    <n v="-1.2410000000000001"/>
    <n v="-1.2410000000000001"/>
    <n v="-1.2410000000000001"/>
    <n v="0"/>
    <x v="2"/>
    <n v="0"/>
    <n v="0"/>
    <n v="47"/>
    <n v="109"/>
    <n v="0"/>
    <n v="264.26"/>
    <n v="257.27"/>
    <m/>
    <n v="362.57271860169681"/>
    <n v="292.30063437398007"/>
    <n v="0"/>
    <n v="-327.94666000000001"/>
    <n v="-319.27206999999999"/>
    <n v="0"/>
    <n v="-449.95274378470577"/>
    <n v="-362.74508725810932"/>
  </r>
  <r>
    <s v="PROJETADO"/>
    <x v="5"/>
    <x v="4"/>
    <x v="6"/>
    <x v="0"/>
    <x v="0"/>
    <x v="0"/>
    <x v="1"/>
    <x v="11"/>
    <n v="0"/>
    <n v="0"/>
    <n v="8.4589999999999996"/>
    <n v="8.4589999999999996"/>
    <n v="8.4589999999999996"/>
    <n v="8.4589999999999996"/>
    <n v="40"/>
    <x v="2"/>
    <n v="0"/>
    <n v="0"/>
    <n v="47"/>
    <n v="109"/>
    <n v="0"/>
    <n v="264.26"/>
    <n v="257.27"/>
    <m/>
    <n v="362.57271860169681"/>
    <n v="292.30063437398007"/>
    <n v="0"/>
    <n v="2235.3753400000001"/>
    <n v="2176.2469299999998"/>
    <n v="0"/>
    <n v="3067.002626651753"/>
    <n v="2472.5710661694975"/>
  </r>
  <r>
    <s v="Regular"/>
    <x v="6"/>
    <x v="3"/>
    <x v="2"/>
    <x v="0"/>
    <x v="0"/>
    <x v="0"/>
    <x v="0"/>
    <x v="0"/>
    <n v="0"/>
    <n v="0"/>
    <n v="23.803999999999998"/>
    <n v="23.803999999999998"/>
    <n v="23.803999999999998"/>
    <n v="23.803999999999998"/>
    <n v="0"/>
    <x v="2"/>
    <n v="0"/>
    <n v="0"/>
    <n v="69"/>
    <n v="105"/>
    <n v="0"/>
    <n v="234.07"/>
    <n v="278.67"/>
    <m/>
    <n v="310.15213459473404"/>
    <n v="295.87360985530717"/>
    <n v="0"/>
    <n v="5571.8022799999999"/>
    <n v="6633.4606800000001"/>
    <n v="0"/>
    <n v="7382.8614118930482"/>
    <n v="7042.9754089957314"/>
  </r>
  <r>
    <s v="Sistema de Compensação"/>
    <x v="6"/>
    <x v="3"/>
    <x v="2"/>
    <x v="0"/>
    <x v="0"/>
    <x v="0"/>
    <x v="0"/>
    <x v="0"/>
    <n v="0"/>
    <n v="0"/>
    <n v="7.1970000000000001"/>
    <n v="7.1970000000000001"/>
    <n v="7.1970000000000001"/>
    <n v="7.1970000000000001"/>
    <n v="0"/>
    <x v="2"/>
    <n v="0"/>
    <n v="0"/>
    <n v="69"/>
    <n v="105"/>
    <n v="0"/>
    <n v="234.07"/>
    <n v="278.67"/>
    <m/>
    <n v="310.15213459473404"/>
    <n v="295.87360985530717"/>
    <n v="0"/>
    <n v="1684.6017899999999"/>
    <n v="2005.5879900000002"/>
    <n v="0"/>
    <n v="2232.1649126783009"/>
    <n v="2129.4023701286455"/>
  </r>
  <r>
    <s v="Regular"/>
    <x v="6"/>
    <x v="3"/>
    <x v="2"/>
    <x v="0"/>
    <x v="0"/>
    <x v="0"/>
    <x v="0"/>
    <x v="1"/>
    <n v="0"/>
    <n v="0"/>
    <n v="23.663"/>
    <n v="23.663"/>
    <n v="23.663"/>
    <n v="23.663"/>
    <n v="0"/>
    <x v="2"/>
    <n v="0"/>
    <n v="0"/>
    <n v="69"/>
    <n v="105"/>
    <n v="0"/>
    <n v="234.07"/>
    <n v="278.67"/>
    <m/>
    <n v="310.15213459473404"/>
    <n v="295.87360985530717"/>
    <n v="0"/>
    <n v="5538.7984100000003"/>
    <n v="6594.1682100000007"/>
    <n v="0"/>
    <n v="7339.129960915192"/>
    <n v="7001.2572300061338"/>
  </r>
  <r>
    <s v="Sistema de Compensação"/>
    <x v="6"/>
    <x v="3"/>
    <x v="2"/>
    <x v="0"/>
    <x v="0"/>
    <x v="0"/>
    <x v="0"/>
    <x v="1"/>
    <n v="0"/>
    <n v="0"/>
    <n v="6.6520000000000001"/>
    <n v="6.6520000000000001"/>
    <n v="6.6520000000000001"/>
    <n v="6.6520000000000001"/>
    <n v="0"/>
    <x v="2"/>
    <n v="0"/>
    <n v="0"/>
    <n v="69"/>
    <n v="105"/>
    <n v="0"/>
    <n v="234.07"/>
    <n v="278.67"/>
    <m/>
    <n v="310.15213459473404"/>
    <n v="295.87360985530717"/>
    <n v="0"/>
    <n v="1557.0336399999999"/>
    <n v="1853.7128400000001"/>
    <n v="0"/>
    <n v="2063.1319993241709"/>
    <n v="1968.1512527575032"/>
  </r>
  <r>
    <s v="Regular"/>
    <x v="6"/>
    <x v="3"/>
    <x v="2"/>
    <x v="0"/>
    <x v="0"/>
    <x v="0"/>
    <x v="0"/>
    <x v="2"/>
    <n v="0"/>
    <n v="0"/>
    <n v="23.891999999999999"/>
    <n v="23.891999999999999"/>
    <n v="23.891999999999999"/>
    <n v="23.891999999999999"/>
    <n v="0"/>
    <x v="2"/>
    <n v="0"/>
    <n v="0"/>
    <n v="69"/>
    <n v="105"/>
    <n v="0"/>
    <n v="234.07"/>
    <n v="278.67"/>
    <m/>
    <n v="310.15213459473404"/>
    <n v="295.87360985530717"/>
    <n v="0"/>
    <n v="5592.4004399999994"/>
    <n v="6657.9836400000004"/>
    <n v="0"/>
    <n v="7410.1547997373855"/>
    <n v="7069.012286662999"/>
  </r>
  <r>
    <s v="Sistema de Compensação"/>
    <x v="6"/>
    <x v="3"/>
    <x v="2"/>
    <x v="0"/>
    <x v="0"/>
    <x v="0"/>
    <x v="0"/>
    <x v="2"/>
    <n v="0"/>
    <n v="0"/>
    <n v="8.4640000000000004"/>
    <n v="8.4640000000000004"/>
    <n v="8.4640000000000004"/>
    <n v="8.4640000000000004"/>
    <n v="0"/>
    <x v="2"/>
    <n v="0"/>
    <n v="0"/>
    <n v="69"/>
    <n v="105"/>
    <n v="0"/>
    <n v="234.07"/>
    <n v="278.67"/>
    <m/>
    <n v="310.15213459473404"/>
    <n v="295.87360985530717"/>
    <n v="0"/>
    <n v="1981.16848"/>
    <n v="2358.6628800000003"/>
    <n v="0"/>
    <n v="2625.1276672098288"/>
    <n v="2504.2742338153198"/>
  </r>
  <r>
    <s v="Regular"/>
    <x v="6"/>
    <x v="3"/>
    <x v="2"/>
    <x v="0"/>
    <x v="0"/>
    <x v="0"/>
    <x v="0"/>
    <x v="3"/>
    <n v="0"/>
    <n v="0"/>
    <n v="29.81"/>
    <n v="29.81"/>
    <n v="29.81"/>
    <n v="29.81"/>
    <n v="0"/>
    <x v="2"/>
    <n v="0"/>
    <n v="0"/>
    <n v="69"/>
    <n v="105"/>
    <n v="0"/>
    <n v="234.07"/>
    <n v="278.67"/>
    <m/>
    <n v="310.15213459473404"/>
    <n v="295.87360985530717"/>
    <n v="0"/>
    <n v="6977.6266999999998"/>
    <n v="8307.1527000000006"/>
    <n v="0"/>
    <n v="9245.6351322690207"/>
    <n v="8819.9923097867068"/>
  </r>
  <r>
    <s v="Sistema de Compensação"/>
    <x v="6"/>
    <x v="3"/>
    <x v="2"/>
    <x v="0"/>
    <x v="0"/>
    <x v="0"/>
    <x v="0"/>
    <x v="3"/>
    <n v="0"/>
    <n v="0"/>
    <n v="5.8000000000000003E-2"/>
    <n v="5.8000000000000003E-2"/>
    <n v="5.8000000000000003E-2"/>
    <n v="5.8000000000000003E-2"/>
    <n v="0"/>
    <x v="2"/>
    <n v="0"/>
    <n v="0"/>
    <n v="69"/>
    <n v="105"/>
    <n v="0"/>
    <n v="234.07"/>
    <n v="278.67"/>
    <m/>
    <n v="310.15213459473404"/>
    <n v="295.87360985530717"/>
    <n v="0"/>
    <n v="13.57606"/>
    <n v="16.162860000000002"/>
    <n v="0"/>
    <n v="17.988823806494576"/>
    <n v="17.160669371607817"/>
  </r>
  <r>
    <s v="Regular"/>
    <x v="6"/>
    <x v="3"/>
    <x v="2"/>
    <x v="0"/>
    <x v="0"/>
    <x v="0"/>
    <x v="0"/>
    <x v="4"/>
    <n v="0"/>
    <n v="0"/>
    <n v="24.454000000000001"/>
    <n v="24.454000000000001"/>
    <n v="24.454000000000001"/>
    <n v="24.454000000000001"/>
    <n v="0"/>
    <x v="2"/>
    <n v="0"/>
    <n v="0"/>
    <n v="69"/>
    <n v="105"/>
    <n v="0"/>
    <n v="234.07"/>
    <n v="278.67"/>
    <m/>
    <n v="310.15213459473404"/>
    <n v="295.87360985530717"/>
    <n v="0"/>
    <n v="5723.9477800000004"/>
    <n v="6814.5961800000005"/>
    <n v="0"/>
    <n v="7584.4602993796261"/>
    <n v="7235.2932554016816"/>
  </r>
  <r>
    <s v="Sistema de Compensação"/>
    <x v="6"/>
    <x v="3"/>
    <x v="2"/>
    <x v="0"/>
    <x v="0"/>
    <x v="0"/>
    <x v="0"/>
    <x v="4"/>
    <n v="0"/>
    <n v="0"/>
    <n v="6.7770000000000001"/>
    <n v="6.7770000000000001"/>
    <n v="6.7770000000000001"/>
    <n v="6.7770000000000001"/>
    <n v="0"/>
    <x v="2"/>
    <n v="0"/>
    <n v="0"/>
    <n v="69"/>
    <n v="105"/>
    <n v="0"/>
    <n v="234.07"/>
    <n v="278.67"/>
    <m/>
    <n v="310.15213459473404"/>
    <n v="295.87360985530717"/>
    <n v="0"/>
    <n v="1586.2923900000001"/>
    <n v="1888.5465900000002"/>
    <n v="0"/>
    <n v="2101.9010161485126"/>
    <n v="2005.1354539894166"/>
  </r>
  <r>
    <s v="Regular"/>
    <x v="6"/>
    <x v="3"/>
    <x v="2"/>
    <x v="0"/>
    <x v="0"/>
    <x v="0"/>
    <x v="0"/>
    <x v="5"/>
    <n v="0"/>
    <n v="0"/>
    <n v="36.942999999999998"/>
    <n v="36.942999999999998"/>
    <n v="36.942999999999998"/>
    <n v="36.942999999999998"/>
    <n v="0"/>
    <x v="2"/>
    <n v="0"/>
    <n v="0"/>
    <n v="69"/>
    <n v="105"/>
    <n v="0"/>
    <n v="234.07"/>
    <n v="278.67"/>
    <m/>
    <n v="310.15213459473404"/>
    <n v="295.87360985530717"/>
    <n v="0"/>
    <n v="8647.2480099999993"/>
    <n v="10294.90581"/>
    <n v="0"/>
    <n v="11457.950308333258"/>
    <n v="10930.458768884611"/>
  </r>
  <r>
    <s v="Regular"/>
    <x v="6"/>
    <x v="3"/>
    <x v="2"/>
    <x v="0"/>
    <x v="0"/>
    <x v="0"/>
    <x v="0"/>
    <x v="6"/>
    <n v="0"/>
    <n v="0"/>
    <n v="25.99"/>
    <n v="25.99"/>
    <n v="25.99"/>
    <n v="25.99"/>
    <n v="0"/>
    <x v="2"/>
    <n v="0"/>
    <n v="0"/>
    <n v="69"/>
    <n v="105"/>
    <n v="0"/>
    <n v="234.07"/>
    <n v="278.67"/>
    <m/>
    <n v="310.15213459473404"/>
    <n v="295.87360985530717"/>
    <n v="0"/>
    <n v="6083.4792999999991"/>
    <n v="7242.6333000000004"/>
    <n v="0"/>
    <n v="8060.8539781171376"/>
    <n v="7689.7551201394326"/>
  </r>
  <r>
    <s v="Sistema de Compensação"/>
    <x v="6"/>
    <x v="3"/>
    <x v="2"/>
    <x v="0"/>
    <x v="0"/>
    <x v="0"/>
    <x v="0"/>
    <x v="6"/>
    <n v="0"/>
    <n v="0"/>
    <n v="6.4850000000000003"/>
    <n v="6.4850000000000003"/>
    <n v="6.4850000000000003"/>
    <n v="6.4850000000000003"/>
    <n v="0"/>
    <x v="2"/>
    <n v="0"/>
    <n v="0"/>
    <n v="69"/>
    <n v="105"/>
    <n v="0"/>
    <n v="234.07"/>
    <n v="278.67"/>
    <m/>
    <n v="310.15213459473404"/>
    <n v="295.87360985530717"/>
    <n v="0"/>
    <n v="1517.9439500000001"/>
    <n v="1807.1749500000001"/>
    <n v="0"/>
    <n v="2011.3365928468504"/>
    <n v="1918.7403599116672"/>
  </r>
  <r>
    <s v="Regular"/>
    <x v="6"/>
    <x v="3"/>
    <x v="2"/>
    <x v="0"/>
    <x v="0"/>
    <x v="0"/>
    <x v="0"/>
    <x v="7"/>
    <n v="0"/>
    <n v="0"/>
    <n v="24.417000000000002"/>
    <n v="24.417000000000002"/>
    <n v="24.417000000000002"/>
    <n v="24.417000000000002"/>
    <n v="0"/>
    <x v="2"/>
    <n v="0"/>
    <n v="0"/>
    <n v="69"/>
    <n v="105"/>
    <n v="0"/>
    <n v="234.07"/>
    <n v="278.67"/>
    <m/>
    <n v="310.15213459473404"/>
    <n v="295.87360985530717"/>
    <n v="0"/>
    <n v="5715.28719"/>
    <n v="6804.2853900000009"/>
    <n v="0"/>
    <n v="7572.9846703996218"/>
    <n v="7224.3459318370351"/>
  </r>
  <r>
    <s v="Sistema de Compensação"/>
    <x v="6"/>
    <x v="3"/>
    <x v="2"/>
    <x v="0"/>
    <x v="0"/>
    <x v="0"/>
    <x v="0"/>
    <x v="7"/>
    <n v="0"/>
    <n v="0"/>
    <n v="6.0650000000000004"/>
    <n v="6.0650000000000004"/>
    <n v="6.0650000000000004"/>
    <n v="6.0650000000000004"/>
    <n v="0"/>
    <x v="2"/>
    <n v="0"/>
    <n v="0"/>
    <n v="69"/>
    <n v="105"/>
    <n v="0"/>
    <n v="234.07"/>
    <n v="278.67"/>
    <m/>
    <n v="310.15213459473404"/>
    <n v="295.87360985530717"/>
    <n v="0"/>
    <n v="1419.63455"/>
    <n v="1690.1335500000002"/>
    <n v="0"/>
    <n v="1881.0726963170621"/>
    <n v="1794.473443772438"/>
  </r>
  <r>
    <s v="Regular"/>
    <x v="6"/>
    <x v="3"/>
    <x v="2"/>
    <x v="0"/>
    <x v="0"/>
    <x v="0"/>
    <x v="0"/>
    <x v="8"/>
    <n v="0"/>
    <n v="0"/>
    <n v="32.880000000000003"/>
    <n v="32.880000000000003"/>
    <n v="32.880000000000003"/>
    <n v="32.880000000000003"/>
    <n v="0"/>
    <x v="2"/>
    <n v="0"/>
    <n v="0"/>
    <n v="69"/>
    <n v="105"/>
    <n v="0"/>
    <n v="234.07"/>
    <n v="278.67"/>
    <m/>
    <n v="310.15213459473404"/>
    <n v="295.87360985530717"/>
    <n v="0"/>
    <n v="7696.2216000000008"/>
    <n v="9162.6696000000011"/>
    <n v="0"/>
    <n v="10197.802185474857"/>
    <n v="9728.3242920425"/>
  </r>
  <r>
    <s v="Regular"/>
    <x v="6"/>
    <x v="3"/>
    <x v="2"/>
    <x v="0"/>
    <x v="0"/>
    <x v="0"/>
    <x v="0"/>
    <x v="9"/>
    <n v="0"/>
    <n v="0"/>
    <n v="25.122"/>
    <n v="25.122"/>
    <n v="25.122"/>
    <n v="25.122"/>
    <n v="0"/>
    <x v="2"/>
    <n v="0"/>
    <n v="0"/>
    <n v="69"/>
    <n v="105"/>
    <n v="0"/>
    <n v="234.07"/>
    <n v="278.67"/>
    <m/>
    <n v="310.15213459473404"/>
    <n v="295.87360985530717"/>
    <n v="0"/>
    <n v="5880.3065399999996"/>
    <n v="7000.7477400000007"/>
    <n v="0"/>
    <n v="7791.6419252889082"/>
    <n v="7432.9368267850268"/>
  </r>
  <r>
    <s v="Sistema de Compensação"/>
    <x v="6"/>
    <x v="3"/>
    <x v="2"/>
    <x v="0"/>
    <x v="0"/>
    <x v="0"/>
    <x v="0"/>
    <x v="9"/>
    <n v="0"/>
    <n v="0"/>
    <n v="6.2770000000000001"/>
    <n v="6.2770000000000001"/>
    <n v="6.2770000000000001"/>
    <n v="6.2770000000000001"/>
    <n v="0"/>
    <x v="2"/>
    <n v="0"/>
    <n v="0"/>
    <n v="69"/>
    <n v="105"/>
    <n v="0"/>
    <n v="234.07"/>
    <n v="278.67"/>
    <m/>
    <n v="310.15213459473404"/>
    <n v="295.87360985530717"/>
    <n v="0"/>
    <n v="1469.25739"/>
    <n v="1749.2115900000001"/>
    <n v="0"/>
    <n v="1946.8249488511456"/>
    <n v="1857.198649061763"/>
  </r>
  <r>
    <s v="Regular"/>
    <x v="6"/>
    <x v="3"/>
    <x v="2"/>
    <x v="0"/>
    <x v="0"/>
    <x v="0"/>
    <x v="0"/>
    <x v="10"/>
    <n v="0"/>
    <n v="0"/>
    <n v="24.431999999999999"/>
    <n v="24.431999999999999"/>
    <n v="24.431999999999999"/>
    <n v="24.431999999999999"/>
    <n v="0"/>
    <x v="2"/>
    <n v="0"/>
    <n v="0"/>
    <n v="69"/>
    <n v="105"/>
    <n v="0"/>
    <n v="234.07"/>
    <n v="278.67"/>
    <m/>
    <n v="310.15213459473404"/>
    <n v="295.87360985530717"/>
    <n v="0"/>
    <n v="5718.7982399999992"/>
    <n v="6808.4654399999999"/>
    <n v="0"/>
    <n v="7577.6369524185411"/>
    <n v="7228.7840359848642"/>
  </r>
  <r>
    <s v="Sistema de Compensação"/>
    <x v="6"/>
    <x v="3"/>
    <x v="2"/>
    <x v="0"/>
    <x v="0"/>
    <x v="0"/>
    <x v="0"/>
    <x v="10"/>
    <n v="0"/>
    <n v="0"/>
    <n v="3.9849999999999999"/>
    <n v="3.9849999999999999"/>
    <n v="3.9849999999999999"/>
    <n v="3.9849999999999999"/>
    <n v="0"/>
    <x v="2"/>
    <n v="0"/>
    <n v="0"/>
    <n v="69"/>
    <n v="105"/>
    <n v="0"/>
    <n v="234.07"/>
    <n v="278.67"/>
    <m/>
    <n v="310.15213459473404"/>
    <n v="295.87360985530717"/>
    <n v="0"/>
    <n v="932.7689499999999"/>
    <n v="1110.4999500000001"/>
    <n v="0"/>
    <n v="1235.956256360015"/>
    <n v="1179.0563352733991"/>
  </r>
  <r>
    <s v="PROJETADO"/>
    <x v="6"/>
    <x v="3"/>
    <x v="2"/>
    <x v="0"/>
    <x v="0"/>
    <x v="0"/>
    <x v="0"/>
    <x v="11"/>
    <n v="0"/>
    <n v="0"/>
    <n v="24.431999999999999"/>
    <n v="24.431999999999999"/>
    <n v="24.431999999999999"/>
    <n v="24.431999999999999"/>
    <n v="0"/>
    <x v="2"/>
    <n v="0"/>
    <n v="0"/>
    <n v="69"/>
    <n v="105"/>
    <n v="0"/>
    <n v="234.07"/>
    <n v="278.67"/>
    <m/>
    <n v="310.15213459473404"/>
    <n v="295.87360985530717"/>
    <n v="0"/>
    <n v="5718.7982399999992"/>
    <n v="6808.4654399999999"/>
    <n v="0"/>
    <n v="7577.6369524185411"/>
    <n v="7228.7840359848642"/>
  </r>
  <r>
    <s v="PROJETADO"/>
    <x v="6"/>
    <x v="3"/>
    <x v="2"/>
    <x v="0"/>
    <x v="0"/>
    <x v="0"/>
    <x v="0"/>
    <x v="11"/>
    <n v="0"/>
    <n v="0"/>
    <n v="3.9849999999999999"/>
    <n v="3.9849999999999999"/>
    <n v="3.9849999999999999"/>
    <n v="3.9849999999999999"/>
    <n v="0"/>
    <x v="2"/>
    <n v="0"/>
    <n v="0"/>
    <n v="69"/>
    <n v="105"/>
    <n v="0"/>
    <n v="234.07"/>
    <n v="278.67"/>
    <m/>
    <n v="310.15213459473404"/>
    <n v="295.87360985530717"/>
    <n v="0"/>
    <n v="932.7689499999999"/>
    <n v="1110.4999500000001"/>
    <n v="0"/>
    <n v="1235.956256360015"/>
    <n v="1179.0563352733991"/>
  </r>
  <r>
    <s v="Regular"/>
    <x v="6"/>
    <x v="3"/>
    <x v="2"/>
    <x v="0"/>
    <x v="0"/>
    <x v="0"/>
    <x v="3"/>
    <x v="0"/>
    <n v="0"/>
    <n v="0"/>
    <n v="1.2170000000000001"/>
    <n v="1.2170000000000001"/>
    <n v="1.2170000000000001"/>
    <n v="1.2170000000000001"/>
    <n v="0"/>
    <x v="2"/>
    <n v="0"/>
    <n v="0"/>
    <n v="82"/>
    <n v="110"/>
    <n v="0"/>
    <n v="491.18"/>
    <n v="278.67"/>
    <m/>
    <n v="603.5165151303197"/>
    <n v="295.87360985530717"/>
    <n v="0"/>
    <n v="597.76606000000004"/>
    <n v="339.14139000000006"/>
    <n v="0"/>
    <n v="734.47959891359915"/>
    <n v="360.07818319390884"/>
  </r>
  <r>
    <s v="Sistema de Compensação"/>
    <x v="6"/>
    <x v="3"/>
    <x v="2"/>
    <x v="0"/>
    <x v="0"/>
    <x v="0"/>
    <x v="3"/>
    <x v="0"/>
    <n v="0"/>
    <n v="0"/>
    <n v="0.54700000000000004"/>
    <n v="0.54700000000000004"/>
    <n v="0.54700000000000004"/>
    <n v="0.54700000000000004"/>
    <n v="0"/>
    <x v="2"/>
    <n v="0"/>
    <n v="0"/>
    <n v="82"/>
    <n v="110"/>
    <n v="0"/>
    <n v="491.18"/>
    <n v="278.67"/>
    <m/>
    <n v="603.5165151303197"/>
    <n v="295.87360985530717"/>
    <n v="0"/>
    <n v="268.67546000000004"/>
    <n v="152.43249000000003"/>
    <n v="0"/>
    <n v="330.12353377628489"/>
    <n v="161.84286459085303"/>
  </r>
  <r>
    <s v="Regular"/>
    <x v="6"/>
    <x v="3"/>
    <x v="2"/>
    <x v="0"/>
    <x v="0"/>
    <x v="0"/>
    <x v="3"/>
    <x v="1"/>
    <n v="0"/>
    <n v="0"/>
    <n v="1.2889999999999999"/>
    <n v="1.2889999999999999"/>
    <n v="1.2889999999999999"/>
    <n v="1.2889999999999999"/>
    <n v="0"/>
    <x v="2"/>
    <n v="0"/>
    <n v="0"/>
    <n v="82"/>
    <n v="110"/>
    <n v="0"/>
    <n v="491.18"/>
    <n v="278.67"/>
    <m/>
    <n v="603.5165151303197"/>
    <n v="295.87360985530717"/>
    <n v="0"/>
    <n v="633.13101999999992"/>
    <n v="359.20562999999999"/>
    <n v="0"/>
    <n v="777.93278800298208"/>
    <n v="381.38108310349094"/>
  </r>
  <r>
    <s v="Sistema de Compensação"/>
    <x v="6"/>
    <x v="3"/>
    <x v="2"/>
    <x v="0"/>
    <x v="0"/>
    <x v="0"/>
    <x v="3"/>
    <x v="1"/>
    <n v="0"/>
    <n v="0"/>
    <n v="0.53300000000000003"/>
    <n v="0.53300000000000003"/>
    <n v="0.53300000000000003"/>
    <n v="0.53300000000000003"/>
    <n v="0"/>
    <x v="2"/>
    <n v="0"/>
    <n v="0"/>
    <n v="82"/>
    <n v="110"/>
    <n v="0"/>
    <n v="491.18"/>
    <n v="278.67"/>
    <m/>
    <n v="603.5165151303197"/>
    <n v="295.87360985530717"/>
    <n v="0"/>
    <n v="261.79894000000002"/>
    <n v="148.53111000000001"/>
    <n v="0"/>
    <n v="321.67430256446045"/>
    <n v="157.70063405287874"/>
  </r>
  <r>
    <s v="Regular"/>
    <x v="6"/>
    <x v="3"/>
    <x v="2"/>
    <x v="0"/>
    <x v="0"/>
    <x v="0"/>
    <x v="3"/>
    <x v="2"/>
    <n v="0"/>
    <n v="0"/>
    <n v="1.244"/>
    <n v="1.244"/>
    <n v="1.244"/>
    <n v="1.244"/>
    <n v="0"/>
    <x v="2"/>
    <n v="0"/>
    <n v="0"/>
    <n v="82"/>
    <n v="110"/>
    <n v="0"/>
    <n v="491.18"/>
    <n v="278.67"/>
    <m/>
    <n v="603.5165151303197"/>
    <n v="295.87360985530717"/>
    <n v="0"/>
    <n v="611.02791999999999"/>
    <n v="346.66548"/>
    <n v="0"/>
    <n v="750.77454482211772"/>
    <n v="368.06677066000213"/>
  </r>
  <r>
    <s v="Sistema de Compensação"/>
    <x v="6"/>
    <x v="3"/>
    <x v="2"/>
    <x v="0"/>
    <x v="0"/>
    <x v="0"/>
    <x v="3"/>
    <x v="2"/>
    <n v="0"/>
    <n v="0"/>
    <n v="0.61"/>
    <n v="0.61"/>
    <n v="0.61"/>
    <n v="0.61"/>
    <n v="0"/>
    <x v="2"/>
    <n v="0"/>
    <n v="0"/>
    <n v="82"/>
    <n v="110"/>
    <n v="0"/>
    <n v="491.18"/>
    <n v="278.67"/>
    <m/>
    <n v="603.5165151303197"/>
    <n v="295.87360985530717"/>
    <n v="0"/>
    <n v="299.6198"/>
    <n v="169.98869999999999"/>
    <n v="0"/>
    <n v="368.14507422949504"/>
    <n v="180.48290201173737"/>
  </r>
  <r>
    <s v="Regular"/>
    <x v="6"/>
    <x v="3"/>
    <x v="2"/>
    <x v="0"/>
    <x v="0"/>
    <x v="0"/>
    <x v="3"/>
    <x v="3"/>
    <n v="0"/>
    <n v="0"/>
    <n v="1.968"/>
    <n v="1.968"/>
    <n v="1.968"/>
    <n v="1.968"/>
    <n v="0"/>
    <x v="2"/>
    <n v="0"/>
    <n v="0"/>
    <n v="82"/>
    <n v="110"/>
    <n v="0"/>
    <n v="491.18"/>
    <n v="278.67"/>
    <m/>
    <n v="603.5165151303197"/>
    <n v="295.87360985530717"/>
    <n v="0"/>
    <n v="966.64224000000002"/>
    <n v="548.42255999999998"/>
    <n v="0"/>
    <n v="1187.7205017764691"/>
    <n v="582.27926419524454"/>
  </r>
  <r>
    <s v="Regular"/>
    <x v="6"/>
    <x v="3"/>
    <x v="2"/>
    <x v="0"/>
    <x v="0"/>
    <x v="0"/>
    <x v="3"/>
    <x v="4"/>
    <n v="0"/>
    <n v="0"/>
    <n v="1.3009999999999999"/>
    <n v="1.3009999999999999"/>
    <n v="1.3009999999999999"/>
    <n v="1.3009999999999999"/>
    <n v="0"/>
    <x v="2"/>
    <n v="0"/>
    <n v="0"/>
    <n v="82"/>
    <n v="110"/>
    <n v="0"/>
    <n v="491.18"/>
    <n v="278.67"/>
    <m/>
    <n v="603.5165151303197"/>
    <n v="295.87360985530717"/>
    <n v="0"/>
    <n v="639.02517999999998"/>
    <n v="362.54966999999999"/>
    <n v="0"/>
    <n v="785.1749861845459"/>
    <n v="384.93156642175461"/>
  </r>
  <r>
    <s v="Sistema de Compensação"/>
    <x v="6"/>
    <x v="3"/>
    <x v="2"/>
    <x v="0"/>
    <x v="0"/>
    <x v="0"/>
    <x v="3"/>
    <x v="4"/>
    <n v="0"/>
    <n v="0"/>
    <n v="0.59099999999999997"/>
    <n v="0.59099999999999997"/>
    <n v="0.59099999999999997"/>
    <n v="0.59099999999999997"/>
    <n v="0"/>
    <x v="2"/>
    <n v="0"/>
    <n v="0"/>
    <n v="82"/>
    <n v="110"/>
    <n v="0"/>
    <n v="491.18"/>
    <n v="278.67"/>
    <m/>
    <n v="603.5165151303197"/>
    <n v="295.87360985530717"/>
    <n v="0"/>
    <n v="290.28737999999998"/>
    <n v="164.69397000000001"/>
    <n v="0"/>
    <n v="356.67826044201894"/>
    <n v="174.86130342448652"/>
  </r>
  <r>
    <s v="Regular"/>
    <x v="6"/>
    <x v="3"/>
    <x v="2"/>
    <x v="0"/>
    <x v="0"/>
    <x v="0"/>
    <x v="3"/>
    <x v="5"/>
    <n v="0"/>
    <n v="0"/>
    <n v="1.915"/>
    <n v="1.915"/>
    <n v="1.915"/>
    <n v="1.915"/>
    <n v="0"/>
    <x v="2"/>
    <n v="0"/>
    <n v="0"/>
    <n v="82"/>
    <n v="110"/>
    <n v="0"/>
    <n v="491.18"/>
    <n v="278.67"/>
    <m/>
    <n v="603.5165151303197"/>
    <n v="295.87360985530717"/>
    <n v="0"/>
    <n v="940.60969999999998"/>
    <n v="533.65305000000001"/>
    <n v="0"/>
    <n v="1155.7341264745623"/>
    <n v="566.59796287291329"/>
  </r>
  <r>
    <s v="Regular"/>
    <x v="6"/>
    <x v="3"/>
    <x v="2"/>
    <x v="0"/>
    <x v="0"/>
    <x v="0"/>
    <x v="3"/>
    <x v="6"/>
    <n v="0"/>
    <n v="0"/>
    <n v="1.349"/>
    <n v="1.349"/>
    <n v="1.349"/>
    <n v="1.349"/>
    <n v="0"/>
    <x v="2"/>
    <n v="0"/>
    <n v="0"/>
    <n v="82"/>
    <n v="110"/>
    <n v="0"/>
    <n v="491.18"/>
    <n v="278.67"/>
    <m/>
    <n v="603.5165151303197"/>
    <n v="295.87360985530717"/>
    <n v="0"/>
    <n v="662.60181999999998"/>
    <n v="375.92583000000002"/>
    <n v="0"/>
    <n v="814.1437789108013"/>
    <n v="399.13349969480936"/>
  </r>
  <r>
    <s v="Sistema de Compensação"/>
    <x v="6"/>
    <x v="3"/>
    <x v="2"/>
    <x v="0"/>
    <x v="0"/>
    <x v="0"/>
    <x v="3"/>
    <x v="6"/>
    <n v="0"/>
    <n v="0"/>
    <n v="0.56299999999999994"/>
    <n v="0.56299999999999994"/>
    <n v="0.56299999999999994"/>
    <n v="0.56299999999999994"/>
    <n v="0"/>
    <x v="2"/>
    <n v="0"/>
    <n v="0"/>
    <n v="82"/>
    <n v="110"/>
    <n v="0"/>
    <n v="491.18"/>
    <n v="278.67"/>
    <m/>
    <n v="603.5165151303197"/>
    <n v="295.87360985530717"/>
    <n v="0"/>
    <n v="276.53433999999999"/>
    <n v="156.89121"/>
    <n v="0"/>
    <n v="339.77979801836995"/>
    <n v="166.57684234853792"/>
  </r>
  <r>
    <s v="Regular"/>
    <x v="6"/>
    <x v="3"/>
    <x v="2"/>
    <x v="0"/>
    <x v="0"/>
    <x v="0"/>
    <x v="3"/>
    <x v="7"/>
    <n v="0"/>
    <n v="0"/>
    <n v="0.67200000000000004"/>
    <n v="0.67200000000000004"/>
    <n v="0.67200000000000004"/>
    <n v="0.67200000000000004"/>
    <n v="0"/>
    <x v="2"/>
    <n v="0"/>
    <n v="0"/>
    <n v="82"/>
    <n v="110"/>
    <n v="0"/>
    <n v="491.18"/>
    <n v="278.67"/>
    <m/>
    <n v="603.5165151303197"/>
    <n v="295.87360985530717"/>
    <n v="0"/>
    <n v="330.07296000000002"/>
    <n v="187.26624000000001"/>
    <n v="0"/>
    <n v="405.56309816757488"/>
    <n v="198.82706582276643"/>
  </r>
  <r>
    <s v="Sistema de Compensação"/>
    <x v="6"/>
    <x v="3"/>
    <x v="2"/>
    <x v="0"/>
    <x v="0"/>
    <x v="0"/>
    <x v="3"/>
    <x v="7"/>
    <n v="0"/>
    <n v="0"/>
    <n v="0.55300000000000005"/>
    <n v="0.55300000000000005"/>
    <n v="0.55300000000000005"/>
    <n v="0.55300000000000005"/>
    <n v="0"/>
    <x v="2"/>
    <n v="0"/>
    <n v="0"/>
    <n v="82"/>
    <n v="110"/>
    <n v="0"/>
    <n v="491.18"/>
    <n v="278.67"/>
    <m/>
    <n v="603.5165151303197"/>
    <n v="295.87360985530717"/>
    <n v="0"/>
    <n v="271.62254000000001"/>
    <n v="154.10451000000003"/>
    <n v="0"/>
    <n v="333.7446328670668"/>
    <n v="163.61810624998489"/>
  </r>
  <r>
    <s v="Regular"/>
    <x v="6"/>
    <x v="3"/>
    <x v="2"/>
    <x v="0"/>
    <x v="0"/>
    <x v="0"/>
    <x v="3"/>
    <x v="8"/>
    <n v="0"/>
    <n v="0"/>
    <n v="2.024"/>
    <n v="2.024"/>
    <n v="2.024"/>
    <n v="2.024"/>
    <n v="0"/>
    <x v="2"/>
    <n v="0"/>
    <n v="0"/>
    <n v="82"/>
    <n v="110"/>
    <n v="0"/>
    <n v="491.18"/>
    <n v="278.67"/>
    <m/>
    <n v="603.5165151303197"/>
    <n v="295.87360985530717"/>
    <n v="0"/>
    <n v="994.14832000000001"/>
    <n v="564.02808000000005"/>
    <n v="0"/>
    <n v="1221.5174266237671"/>
    <n v="598.84818634714168"/>
  </r>
  <r>
    <s v="Regular"/>
    <x v="6"/>
    <x v="3"/>
    <x v="2"/>
    <x v="0"/>
    <x v="0"/>
    <x v="0"/>
    <x v="3"/>
    <x v="9"/>
    <n v="0"/>
    <n v="0"/>
    <n v="1.1299999999999999"/>
    <n v="1.1299999999999999"/>
    <n v="1.1299999999999999"/>
    <n v="1.1299999999999999"/>
    <n v="0"/>
    <x v="2"/>
    <n v="0"/>
    <n v="0"/>
    <n v="82"/>
    <n v="110"/>
    <n v="0"/>
    <n v="491.18"/>
    <n v="278.67"/>
    <m/>
    <n v="603.5165151303197"/>
    <n v="295.87360985530717"/>
    <n v="0"/>
    <n v="555.03339999999992"/>
    <n v="314.89709999999997"/>
    <n v="0"/>
    <n v="681.97366209726124"/>
    <n v="334.33717913649707"/>
  </r>
  <r>
    <s v="Sistema de Compensação"/>
    <x v="6"/>
    <x v="3"/>
    <x v="2"/>
    <x v="0"/>
    <x v="0"/>
    <x v="0"/>
    <x v="3"/>
    <x v="9"/>
    <n v="0"/>
    <n v="0"/>
    <n v="0.498"/>
    <n v="0.498"/>
    <n v="0.498"/>
    <n v="0.498"/>
    <n v="0"/>
    <x v="2"/>
    <n v="0"/>
    <n v="0"/>
    <n v="82"/>
    <n v="110"/>
    <n v="0"/>
    <n v="491.18"/>
    <n v="278.67"/>
    <m/>
    <n v="603.5165151303197"/>
    <n v="295.87360985530717"/>
    <n v="0"/>
    <n v="244.60764"/>
    <n v="138.77766"/>
    <n v="0"/>
    <n v="300.55122453489923"/>
    <n v="147.34505770794297"/>
  </r>
  <r>
    <s v="Regular"/>
    <x v="6"/>
    <x v="3"/>
    <x v="2"/>
    <x v="0"/>
    <x v="0"/>
    <x v="0"/>
    <x v="3"/>
    <x v="10"/>
    <n v="0"/>
    <n v="0"/>
    <n v="1.181"/>
    <n v="1.181"/>
    <n v="1.181"/>
    <n v="1.181"/>
    <n v="0"/>
    <x v="2"/>
    <n v="0"/>
    <n v="0"/>
    <n v="82"/>
    <n v="110"/>
    <n v="0"/>
    <n v="491.18"/>
    <n v="278.67"/>
    <m/>
    <n v="603.5165151303197"/>
    <n v="295.87360985530717"/>
    <n v="0"/>
    <n v="580.08357999999998"/>
    <n v="329.10927000000004"/>
    <n v="0"/>
    <n v="712.75300436890757"/>
    <n v="349.42673323911777"/>
  </r>
  <r>
    <s v="Sistema de Compensação"/>
    <x v="6"/>
    <x v="3"/>
    <x v="2"/>
    <x v="0"/>
    <x v="0"/>
    <x v="0"/>
    <x v="3"/>
    <x v="10"/>
    <n v="0"/>
    <n v="0"/>
    <n v="0.48499999999999999"/>
    <n v="0.48499999999999999"/>
    <n v="0.48499999999999999"/>
    <n v="0.48499999999999999"/>
    <n v="0"/>
    <x v="2"/>
    <n v="0"/>
    <n v="0"/>
    <n v="82"/>
    <n v="110"/>
    <n v="0"/>
    <n v="491.18"/>
    <n v="278.67"/>
    <m/>
    <n v="603.5165151303197"/>
    <n v="295.87360985530717"/>
    <n v="0"/>
    <n v="238.22229999999999"/>
    <n v="135.15495000000001"/>
    <n v="0"/>
    <n v="292.70550983820505"/>
    <n v="143.49870077982396"/>
  </r>
  <r>
    <s v="PROJETADO"/>
    <x v="6"/>
    <x v="3"/>
    <x v="2"/>
    <x v="0"/>
    <x v="0"/>
    <x v="0"/>
    <x v="3"/>
    <x v="11"/>
    <n v="0"/>
    <n v="0"/>
    <n v="1.181"/>
    <n v="1.181"/>
    <n v="1.181"/>
    <n v="1.181"/>
    <n v="0"/>
    <x v="2"/>
    <n v="0"/>
    <n v="0"/>
    <n v="82"/>
    <n v="110"/>
    <n v="0"/>
    <n v="491.18"/>
    <n v="278.67"/>
    <m/>
    <n v="603.5165151303197"/>
    <n v="295.87360985530717"/>
    <n v="0"/>
    <n v="580.08357999999998"/>
    <n v="329.10927000000004"/>
    <n v="0"/>
    <n v="712.75300436890757"/>
    <n v="349.42673323911777"/>
  </r>
  <r>
    <s v="PROJETADO"/>
    <x v="6"/>
    <x v="3"/>
    <x v="2"/>
    <x v="0"/>
    <x v="0"/>
    <x v="0"/>
    <x v="3"/>
    <x v="11"/>
    <n v="0"/>
    <n v="0"/>
    <n v="0.48499999999999999"/>
    <n v="0.48499999999999999"/>
    <n v="0.48499999999999999"/>
    <n v="0.48499999999999999"/>
    <n v="0"/>
    <x v="2"/>
    <n v="0"/>
    <n v="0"/>
    <n v="82"/>
    <n v="110"/>
    <n v="0"/>
    <n v="491.18"/>
    <n v="278.67"/>
    <m/>
    <n v="603.5165151303197"/>
    <n v="295.87360985530717"/>
    <n v="0"/>
    <n v="238.22229999999999"/>
    <n v="135.15495000000001"/>
    <n v="0"/>
    <n v="292.70550983820505"/>
    <n v="143.49870077982396"/>
  </r>
  <r>
    <s v="Regular"/>
    <x v="6"/>
    <x v="3"/>
    <x v="2"/>
    <x v="0"/>
    <x v="0"/>
    <x v="0"/>
    <x v="2"/>
    <x v="0"/>
    <n v="0"/>
    <n v="0"/>
    <n v="1.625"/>
    <n v="1.625"/>
    <n v="1.625"/>
    <n v="1.625"/>
    <n v="0"/>
    <x v="2"/>
    <n v="0"/>
    <n v="0"/>
    <n v="83"/>
    <n v="106"/>
    <n v="0"/>
    <n v="748.29"/>
    <n v="442.86"/>
    <m/>
    <n v="896.88117808773438"/>
    <n v="476.88775168498375"/>
    <n v="0"/>
    <n v="1215.9712500000001"/>
    <n v="719.64750000000004"/>
    <n v="0"/>
    <n v="1457.4319143925684"/>
    <n v="774.94259648809862"/>
  </r>
  <r>
    <s v="Sistema de Compensação"/>
    <x v="6"/>
    <x v="3"/>
    <x v="2"/>
    <x v="0"/>
    <x v="0"/>
    <x v="0"/>
    <x v="2"/>
    <x v="0"/>
    <n v="0"/>
    <n v="0"/>
    <n v="0.23400000000000001"/>
    <n v="0.23400000000000001"/>
    <n v="0.23400000000000001"/>
    <n v="0.23400000000000001"/>
    <n v="0"/>
    <x v="2"/>
    <n v="0"/>
    <n v="0"/>
    <n v="83"/>
    <n v="106"/>
    <n v="0"/>
    <n v="748.29"/>
    <n v="442.86"/>
    <m/>
    <n v="896.88117808773438"/>
    <n v="476.88775168498375"/>
    <n v="0"/>
    <n v="175.09986000000001"/>
    <n v="103.62924000000001"/>
    <n v="0"/>
    <n v="209.87019567252986"/>
    <n v="111.59173389428621"/>
  </r>
  <r>
    <s v="Regular"/>
    <x v="6"/>
    <x v="3"/>
    <x v="2"/>
    <x v="0"/>
    <x v="0"/>
    <x v="0"/>
    <x v="2"/>
    <x v="1"/>
    <n v="0"/>
    <n v="0"/>
    <n v="1.3879999999999999"/>
    <n v="1.3879999999999999"/>
    <n v="1.3879999999999999"/>
    <n v="1.3879999999999999"/>
    <n v="0"/>
    <x v="2"/>
    <n v="0"/>
    <n v="0"/>
    <n v="83"/>
    <n v="106"/>
    <n v="0"/>
    <n v="748.29"/>
    <n v="442.86"/>
    <m/>
    <n v="896.88117808773438"/>
    <n v="476.88775168498375"/>
    <n v="0"/>
    <n v="1038.6265199999998"/>
    <n v="614.68967999999995"/>
    <n v="0"/>
    <n v="1244.8710751857752"/>
    <n v="661.92019933875736"/>
  </r>
  <r>
    <s v="Sistema de Compensação"/>
    <x v="6"/>
    <x v="3"/>
    <x v="2"/>
    <x v="0"/>
    <x v="0"/>
    <x v="0"/>
    <x v="2"/>
    <x v="1"/>
    <n v="0"/>
    <n v="0"/>
    <n v="0.14899999999999999"/>
    <n v="0.14899999999999999"/>
    <n v="0.14899999999999999"/>
    <n v="0.14899999999999999"/>
    <n v="0"/>
    <x v="2"/>
    <n v="0"/>
    <n v="0"/>
    <n v="83"/>
    <n v="106"/>
    <n v="0"/>
    <n v="748.29"/>
    <n v="442.86"/>
    <m/>
    <n v="896.88117808773438"/>
    <n v="476.88775168498375"/>
    <n v="0"/>
    <n v="111.49520999999999"/>
    <n v="65.986140000000006"/>
    <n v="0"/>
    <n v="133.63529553507243"/>
    <n v="71.056275001062573"/>
  </r>
  <r>
    <s v="Regular"/>
    <x v="6"/>
    <x v="3"/>
    <x v="2"/>
    <x v="0"/>
    <x v="0"/>
    <x v="0"/>
    <x v="2"/>
    <x v="2"/>
    <n v="0"/>
    <n v="0"/>
    <n v="1.387"/>
    <n v="1.387"/>
    <n v="1.387"/>
    <n v="1.387"/>
    <n v="0"/>
    <x v="2"/>
    <n v="0"/>
    <n v="0"/>
    <n v="83"/>
    <n v="106"/>
    <n v="0"/>
    <n v="748.29"/>
    <n v="442.86"/>
    <m/>
    <n v="896.88117808773438"/>
    <n v="476.88775168498375"/>
    <n v="0"/>
    <n v="1037.87823"/>
    <n v="614.24682000000007"/>
    <n v="0"/>
    <n v="1243.9741940076876"/>
    <n v="661.44331158707246"/>
  </r>
  <r>
    <s v="Sistema de Compensação"/>
    <x v="6"/>
    <x v="3"/>
    <x v="2"/>
    <x v="0"/>
    <x v="0"/>
    <x v="0"/>
    <x v="2"/>
    <x v="2"/>
    <n v="0"/>
    <n v="0"/>
    <n v="0.28499999999999998"/>
    <n v="0.28499999999999998"/>
    <n v="0.28499999999999998"/>
    <n v="0.28499999999999998"/>
    <n v="0"/>
    <x v="2"/>
    <n v="0"/>
    <n v="0"/>
    <n v="83"/>
    <n v="106"/>
    <n v="0"/>
    <n v="748.29"/>
    <n v="442.86"/>
    <m/>
    <n v="896.88117808773438"/>
    <n v="476.88775168498375"/>
    <n v="0"/>
    <n v="213.26264999999998"/>
    <n v="126.21509999999999"/>
    <n v="0"/>
    <n v="255.61113575500428"/>
    <n v="135.91300923022035"/>
  </r>
  <r>
    <s v="Regular"/>
    <x v="6"/>
    <x v="3"/>
    <x v="2"/>
    <x v="0"/>
    <x v="0"/>
    <x v="0"/>
    <x v="2"/>
    <x v="3"/>
    <n v="0"/>
    <n v="0"/>
    <n v="1.5649999999999999"/>
    <n v="1.5649999999999999"/>
    <n v="1.5649999999999999"/>
    <n v="1.5649999999999999"/>
    <n v="0"/>
    <x v="2"/>
    <n v="0"/>
    <n v="0"/>
    <n v="83"/>
    <n v="106"/>
    <n v="0"/>
    <n v="748.29"/>
    <n v="442.86"/>
    <m/>
    <n v="896.88117808773438"/>
    <n v="476.88775168498375"/>
    <n v="0"/>
    <n v="1171.07385"/>
    <n v="693.07590000000005"/>
    <n v="0"/>
    <n v="1403.6190437073042"/>
    <n v="746.32933138699957"/>
  </r>
  <r>
    <s v="Regular"/>
    <x v="6"/>
    <x v="3"/>
    <x v="2"/>
    <x v="0"/>
    <x v="0"/>
    <x v="0"/>
    <x v="2"/>
    <x v="4"/>
    <n v="0"/>
    <n v="0"/>
    <n v="1.391"/>
    <n v="1.391"/>
    <n v="1.391"/>
    <n v="1.391"/>
    <n v="0"/>
    <x v="2"/>
    <n v="0"/>
    <n v="0"/>
    <n v="83"/>
    <n v="106"/>
    <n v="0"/>
    <n v="748.29"/>
    <n v="442.86"/>
    <m/>
    <n v="896.88117808773438"/>
    <n v="476.88775168498375"/>
    <n v="0"/>
    <n v="1040.87139"/>
    <n v="616.01826000000005"/>
    <n v="0"/>
    <n v="1247.5617187200385"/>
    <n v="663.35086259381239"/>
  </r>
  <r>
    <s v="Sistema de Compensação"/>
    <x v="6"/>
    <x v="3"/>
    <x v="2"/>
    <x v="0"/>
    <x v="0"/>
    <x v="0"/>
    <x v="2"/>
    <x v="4"/>
    <n v="0"/>
    <n v="0"/>
    <n v="0.115"/>
    <n v="0.115"/>
    <n v="0.115"/>
    <n v="0.115"/>
    <n v="0"/>
    <x v="2"/>
    <n v="0"/>
    <n v="0"/>
    <n v="83"/>
    <n v="106"/>
    <n v="0"/>
    <n v="748.29"/>
    <n v="442.86"/>
    <m/>
    <n v="896.88117808773438"/>
    <n v="476.88775168498375"/>
    <n v="0"/>
    <n v="86.053349999999995"/>
    <n v="50.928900000000006"/>
    <n v="0"/>
    <n v="103.14133548008945"/>
    <n v="54.842091443773135"/>
  </r>
  <r>
    <s v="Regular"/>
    <x v="6"/>
    <x v="3"/>
    <x v="2"/>
    <x v="0"/>
    <x v="0"/>
    <x v="0"/>
    <x v="2"/>
    <x v="5"/>
    <n v="0"/>
    <n v="0"/>
    <n v="1.4039999999999999"/>
    <n v="1.4039999999999999"/>
    <n v="1.4039999999999999"/>
    <n v="1.4039999999999999"/>
    <n v="0"/>
    <x v="2"/>
    <n v="0"/>
    <n v="0"/>
    <n v="83"/>
    <n v="106"/>
    <n v="0"/>
    <n v="748.29"/>
    <n v="442.86"/>
    <m/>
    <n v="896.88117808773438"/>
    <n v="476.88775168498375"/>
    <n v="0"/>
    <n v="1050.59916"/>
    <n v="621.77544"/>
    <n v="0"/>
    <n v="1259.221174035179"/>
    <n v="669.5504033657171"/>
  </r>
  <r>
    <s v="Regular"/>
    <x v="6"/>
    <x v="3"/>
    <x v="2"/>
    <x v="0"/>
    <x v="0"/>
    <x v="0"/>
    <x v="2"/>
    <x v="6"/>
    <n v="0"/>
    <n v="0"/>
    <n v="1.667"/>
    <n v="1.667"/>
    <n v="1.667"/>
    <n v="1.667"/>
    <n v="0"/>
    <x v="2"/>
    <n v="0"/>
    <n v="0"/>
    <n v="83"/>
    <n v="106"/>
    <n v="0"/>
    <n v="748.29"/>
    <n v="442.86"/>
    <m/>
    <n v="896.88117808773438"/>
    <n v="476.88775168498375"/>
    <n v="0"/>
    <n v="1247.3994299999999"/>
    <n v="738.24761999999998"/>
    <n v="0"/>
    <n v="1495.1009238722534"/>
    <n v="794.97188205886789"/>
  </r>
  <r>
    <s v="Sistema de Compensação"/>
    <x v="6"/>
    <x v="3"/>
    <x v="2"/>
    <x v="0"/>
    <x v="0"/>
    <x v="0"/>
    <x v="2"/>
    <x v="6"/>
    <n v="0"/>
    <n v="0"/>
    <n v="0.10100000000000001"/>
    <n v="0.10100000000000001"/>
    <n v="0.10100000000000001"/>
    <n v="0.10100000000000001"/>
    <n v="0"/>
    <x v="2"/>
    <n v="0"/>
    <n v="0"/>
    <n v="83"/>
    <n v="106"/>
    <n v="0"/>
    <n v="748.29"/>
    <n v="442.86"/>
    <m/>
    <n v="896.88117808773438"/>
    <n v="476.88775168498375"/>
    <n v="0"/>
    <n v="75.577290000000005"/>
    <n v="44.728860000000005"/>
    <n v="0"/>
    <n v="90.58499898686118"/>
    <n v="48.165662920183365"/>
  </r>
  <r>
    <s v="Regular"/>
    <x v="6"/>
    <x v="3"/>
    <x v="2"/>
    <x v="0"/>
    <x v="0"/>
    <x v="0"/>
    <x v="2"/>
    <x v="7"/>
    <n v="0"/>
    <n v="0"/>
    <n v="1.145"/>
    <n v="1.145"/>
    <n v="1.145"/>
    <n v="1.145"/>
    <n v="0"/>
    <x v="2"/>
    <n v="0"/>
    <n v="0"/>
    <n v="83"/>
    <n v="106"/>
    <n v="0"/>
    <n v="748.29"/>
    <n v="442.86"/>
    <m/>
    <n v="896.88117808773438"/>
    <n v="476.88775168498375"/>
    <n v="0"/>
    <n v="856.79205000000002"/>
    <n v="507.07470000000001"/>
    <n v="0"/>
    <n v="1026.9289489104558"/>
    <n v="546.03647567930636"/>
  </r>
  <r>
    <s v="Sistema de Compensação"/>
    <x v="6"/>
    <x v="3"/>
    <x v="2"/>
    <x v="0"/>
    <x v="0"/>
    <x v="0"/>
    <x v="2"/>
    <x v="7"/>
    <n v="0"/>
    <n v="0"/>
    <n v="9.2999999999999999E-2"/>
    <n v="9.2999999999999999E-2"/>
    <n v="9.2999999999999999E-2"/>
    <n v="9.2999999999999999E-2"/>
    <n v="0"/>
    <x v="2"/>
    <n v="0"/>
    <n v="0"/>
    <n v="83"/>
    <n v="106"/>
    <n v="0"/>
    <n v="748.29"/>
    <n v="442.86"/>
    <m/>
    <n v="896.88117808773438"/>
    <n v="476.88775168498375"/>
    <n v="0"/>
    <n v="69.590969999999999"/>
    <n v="41.185980000000001"/>
    <n v="0"/>
    <n v="83.409949562159298"/>
    <n v="44.350560906703485"/>
  </r>
  <r>
    <s v="Regular"/>
    <x v="6"/>
    <x v="3"/>
    <x v="2"/>
    <x v="0"/>
    <x v="0"/>
    <x v="0"/>
    <x v="2"/>
    <x v="8"/>
    <n v="0"/>
    <n v="0"/>
    <n v="1.9890000000000001"/>
    <n v="1.9890000000000001"/>
    <n v="1.9890000000000001"/>
    <n v="1.9890000000000001"/>
    <n v="0"/>
    <x v="2"/>
    <n v="0"/>
    <n v="0"/>
    <n v="83"/>
    <n v="106"/>
    <n v="0"/>
    <n v="748.29"/>
    <n v="442.86"/>
    <m/>
    <n v="896.88117808773438"/>
    <n v="476.88775168498375"/>
    <n v="0"/>
    <n v="1488.34881"/>
    <n v="880.84854000000007"/>
    <n v="0"/>
    <n v="1783.8966632165038"/>
    <n v="948.52973810143271"/>
  </r>
  <r>
    <s v="Regular"/>
    <x v="6"/>
    <x v="3"/>
    <x v="2"/>
    <x v="0"/>
    <x v="0"/>
    <x v="0"/>
    <x v="2"/>
    <x v="9"/>
    <n v="0"/>
    <n v="0"/>
    <n v="1.6950000000000001"/>
    <n v="1.6950000000000001"/>
    <n v="1.6950000000000001"/>
    <n v="1.6950000000000001"/>
    <n v="0"/>
    <x v="2"/>
    <n v="0"/>
    <n v="0"/>
    <n v="83"/>
    <n v="106"/>
    <n v="0"/>
    <n v="748.29"/>
    <n v="442.86"/>
    <m/>
    <n v="896.88117808773438"/>
    <n v="476.88775168498375"/>
    <n v="0"/>
    <n v="1268.3515500000001"/>
    <n v="750.6477000000001"/>
    <n v="0"/>
    <n v="1520.2135968587099"/>
    <n v="808.32473910604745"/>
  </r>
  <r>
    <s v="Sistema de Compensação"/>
    <x v="6"/>
    <x v="3"/>
    <x v="2"/>
    <x v="0"/>
    <x v="0"/>
    <x v="0"/>
    <x v="2"/>
    <x v="9"/>
    <n v="0"/>
    <n v="0"/>
    <n v="0.14199999999999999"/>
    <n v="0.14199999999999999"/>
    <n v="0.14199999999999999"/>
    <n v="0.14199999999999999"/>
    <n v="0"/>
    <x v="2"/>
    <n v="0"/>
    <n v="0"/>
    <n v="83"/>
    <n v="106"/>
    <n v="0"/>
    <n v="748.29"/>
    <n v="442.86"/>
    <m/>
    <n v="896.88117808773438"/>
    <n v="476.88775168498375"/>
    <n v="0"/>
    <n v="106.25717999999999"/>
    <n v="62.886119999999998"/>
    <n v="0"/>
    <n v="127.35712728845827"/>
    <n v="67.718060739267685"/>
  </r>
  <r>
    <s v="Regular"/>
    <x v="6"/>
    <x v="3"/>
    <x v="2"/>
    <x v="0"/>
    <x v="0"/>
    <x v="0"/>
    <x v="2"/>
    <x v="10"/>
    <n v="0"/>
    <n v="0"/>
    <n v="1.5189999999999999"/>
    <n v="1.5189999999999999"/>
    <n v="1.5189999999999999"/>
    <n v="1.5189999999999999"/>
    <n v="0"/>
    <x v="2"/>
    <n v="0"/>
    <n v="0"/>
    <n v="83"/>
    <n v="106"/>
    <n v="0"/>
    <n v="748.29"/>
    <n v="442.86"/>
    <m/>
    <n v="896.88117808773438"/>
    <n v="476.88775168498375"/>
    <n v="0"/>
    <n v="1136.6525099999999"/>
    <n v="672.70434"/>
    <n v="0"/>
    <n v="1362.3625095152684"/>
    <n v="724.39249480949024"/>
  </r>
  <r>
    <s v="Sistema de Compensação"/>
    <x v="6"/>
    <x v="3"/>
    <x v="2"/>
    <x v="0"/>
    <x v="0"/>
    <x v="0"/>
    <x v="2"/>
    <x v="10"/>
    <n v="0"/>
    <n v="0"/>
    <n v="0.156"/>
    <n v="0.156"/>
    <n v="0.156"/>
    <n v="0.156"/>
    <n v="0"/>
    <x v="2"/>
    <n v="0"/>
    <n v="0"/>
    <n v="83"/>
    <n v="106"/>
    <n v="0"/>
    <n v="748.29"/>
    <n v="442.86"/>
    <m/>
    <n v="896.88117808773438"/>
    <n v="476.88775168498375"/>
    <n v="0"/>
    <n v="116.73324"/>
    <n v="69.086160000000007"/>
    <n v="0"/>
    <n v="139.91346378168657"/>
    <n v="74.394489262857462"/>
  </r>
  <r>
    <s v="PROJETADO"/>
    <x v="6"/>
    <x v="3"/>
    <x v="2"/>
    <x v="0"/>
    <x v="0"/>
    <x v="0"/>
    <x v="2"/>
    <x v="11"/>
    <n v="0"/>
    <n v="0"/>
    <n v="1.5189999999999999"/>
    <n v="1.5189999999999999"/>
    <n v="1.5189999999999999"/>
    <n v="1.5189999999999999"/>
    <n v="0"/>
    <x v="2"/>
    <n v="0"/>
    <n v="0"/>
    <n v="83"/>
    <n v="106"/>
    <n v="0"/>
    <n v="748.29"/>
    <n v="442.86"/>
    <m/>
    <n v="896.88117808773438"/>
    <n v="476.88775168498375"/>
    <n v="0"/>
    <n v="1136.6525099999999"/>
    <n v="672.70434"/>
    <n v="0"/>
    <n v="1362.3625095152684"/>
    <n v="724.39249480949024"/>
  </r>
  <r>
    <s v="PROJETADO"/>
    <x v="6"/>
    <x v="3"/>
    <x v="2"/>
    <x v="0"/>
    <x v="0"/>
    <x v="0"/>
    <x v="2"/>
    <x v="11"/>
    <n v="0"/>
    <n v="0"/>
    <n v="0.156"/>
    <n v="0.156"/>
    <n v="0.156"/>
    <n v="0.156"/>
    <n v="0"/>
    <x v="2"/>
    <n v="0"/>
    <n v="0"/>
    <n v="83"/>
    <n v="106"/>
    <n v="0"/>
    <n v="748.29"/>
    <n v="442.86"/>
    <m/>
    <n v="896.88117808773438"/>
    <n v="476.88775168498375"/>
    <n v="0"/>
    <n v="116.73324"/>
    <n v="69.086160000000007"/>
    <n v="0"/>
    <n v="139.91346378168657"/>
    <n v="74.394489262857462"/>
  </r>
  <r>
    <s v="Regular"/>
    <x v="6"/>
    <x v="3"/>
    <x v="0"/>
    <x v="0"/>
    <x v="0"/>
    <x v="0"/>
    <x v="0"/>
    <x v="0"/>
    <n v="0"/>
    <n v="0"/>
    <n v="6.65"/>
    <n v="6.65"/>
    <n v="6.65"/>
    <n v="6.65"/>
    <n v="0"/>
    <x v="2"/>
    <n v="0"/>
    <n v="0"/>
    <n v="69"/>
    <n v="105"/>
    <n v="0"/>
    <n v="234.07"/>
    <n v="278.67"/>
    <m/>
    <n v="310.15213459473404"/>
    <n v="295.87360985530717"/>
    <n v="0"/>
    <n v="1556.5654999999999"/>
    <n v="1853.1555000000003"/>
    <n v="0"/>
    <n v="2062.5116950549814"/>
    <n v="1967.5595055377928"/>
  </r>
  <r>
    <s v="Sistema de Compensação"/>
    <x v="6"/>
    <x v="3"/>
    <x v="0"/>
    <x v="0"/>
    <x v="0"/>
    <x v="0"/>
    <x v="0"/>
    <x v="0"/>
    <n v="0"/>
    <n v="0"/>
    <n v="1.0999999999999999E-2"/>
    <n v="1.0999999999999999E-2"/>
    <n v="1.0999999999999999E-2"/>
    <n v="1.0999999999999999E-2"/>
    <n v="0"/>
    <x v="2"/>
    <n v="0"/>
    <n v="0"/>
    <n v="69"/>
    <n v="105"/>
    <n v="0"/>
    <n v="234.07"/>
    <n v="278.67"/>
    <m/>
    <n v="310.15213459473404"/>
    <n v="295.87360985530717"/>
    <n v="0"/>
    <n v="2.5747699999999996"/>
    <n v="3.0653700000000002"/>
    <n v="0"/>
    <n v="3.4116734805420741"/>
    <n v="3.2546097084083785"/>
  </r>
  <r>
    <s v="Regular"/>
    <x v="6"/>
    <x v="3"/>
    <x v="0"/>
    <x v="0"/>
    <x v="0"/>
    <x v="0"/>
    <x v="0"/>
    <x v="1"/>
    <n v="0"/>
    <n v="0"/>
    <n v="7.35"/>
    <n v="7.35"/>
    <n v="7.35"/>
    <n v="7.35"/>
    <n v="0"/>
    <x v="2"/>
    <n v="0"/>
    <n v="0"/>
    <n v="69"/>
    <n v="105"/>
    <n v="0"/>
    <n v="234.07"/>
    <n v="278.67"/>
    <m/>
    <n v="310.15213459473404"/>
    <n v="295.87360985530717"/>
    <n v="0"/>
    <n v="1720.4144999999999"/>
    <n v="2048.2244999999998"/>
    <n v="0"/>
    <n v="2279.6181892712953"/>
    <n v="2174.6710324365076"/>
  </r>
  <r>
    <s v="Sistema de Compensação"/>
    <x v="6"/>
    <x v="3"/>
    <x v="0"/>
    <x v="0"/>
    <x v="0"/>
    <x v="0"/>
    <x v="0"/>
    <x v="1"/>
    <n v="0"/>
    <n v="0"/>
    <n v="7.3999999999999996E-2"/>
    <n v="7.3999999999999996E-2"/>
    <n v="7.3999999999999996E-2"/>
    <n v="7.3999999999999996E-2"/>
    <n v="0"/>
    <x v="2"/>
    <n v="0"/>
    <n v="0"/>
    <n v="69"/>
    <n v="105"/>
    <n v="0"/>
    <n v="234.07"/>
    <n v="278.67"/>
    <m/>
    <n v="310.15213459473404"/>
    <n v="295.87360985530717"/>
    <n v="0"/>
    <n v="17.321179999999998"/>
    <n v="20.621580000000002"/>
    <n v="0"/>
    <n v="22.951257960010317"/>
    <n v="21.894647129292728"/>
  </r>
  <r>
    <s v="Regular"/>
    <x v="6"/>
    <x v="3"/>
    <x v="0"/>
    <x v="0"/>
    <x v="0"/>
    <x v="0"/>
    <x v="0"/>
    <x v="2"/>
    <n v="0"/>
    <n v="0"/>
    <n v="7.4"/>
    <n v="7.4"/>
    <n v="7.4"/>
    <n v="7.4"/>
    <n v="0"/>
    <x v="2"/>
    <n v="0"/>
    <n v="0"/>
    <n v="69"/>
    <n v="105"/>
    <n v="0"/>
    <n v="234.07"/>
    <n v="278.67"/>
    <m/>
    <n v="310.15213459473404"/>
    <n v="295.87360985530717"/>
    <n v="0"/>
    <n v="1732.1179999999999"/>
    <n v="2062.1580000000004"/>
    <n v="0"/>
    <n v="2295.1257960010321"/>
    <n v="2189.464712929273"/>
  </r>
  <r>
    <s v="Sistema de Compensação"/>
    <x v="6"/>
    <x v="3"/>
    <x v="0"/>
    <x v="0"/>
    <x v="0"/>
    <x v="0"/>
    <x v="0"/>
    <x v="2"/>
    <n v="0"/>
    <n v="0"/>
    <n v="0.22"/>
    <n v="0.22"/>
    <n v="0.22"/>
    <n v="0.22"/>
    <n v="0"/>
    <x v="2"/>
    <n v="0"/>
    <n v="0"/>
    <n v="69"/>
    <n v="105"/>
    <n v="0"/>
    <n v="234.07"/>
    <n v="278.67"/>
    <m/>
    <n v="310.15213459473404"/>
    <n v="295.87360985530717"/>
    <n v="0"/>
    <n v="51.495399999999997"/>
    <n v="61.307400000000001"/>
    <n v="0"/>
    <n v="68.233469610841482"/>
    <n v="65.09219416816758"/>
  </r>
  <r>
    <s v="Regular"/>
    <x v="6"/>
    <x v="3"/>
    <x v="0"/>
    <x v="0"/>
    <x v="0"/>
    <x v="0"/>
    <x v="0"/>
    <x v="3"/>
    <n v="0"/>
    <n v="0"/>
    <n v="8.0500000000000007"/>
    <n v="8.0500000000000007"/>
    <n v="8.0500000000000007"/>
    <n v="8.0500000000000007"/>
    <n v="0"/>
    <x v="2"/>
    <n v="0"/>
    <n v="0"/>
    <n v="69"/>
    <n v="105"/>
    <n v="0"/>
    <n v="234.07"/>
    <n v="278.67"/>
    <m/>
    <n v="310.15213459473404"/>
    <n v="295.87360985530717"/>
    <n v="0"/>
    <n v="1884.2635"/>
    <n v="2243.2935000000002"/>
    <n v="0"/>
    <n v="2496.7246834876091"/>
    <n v="2381.7825593352227"/>
  </r>
  <r>
    <s v="Sistema de Compensação"/>
    <x v="6"/>
    <x v="3"/>
    <x v="0"/>
    <x v="0"/>
    <x v="0"/>
    <x v="0"/>
    <x v="0"/>
    <x v="3"/>
    <n v="0"/>
    <n v="0"/>
    <n v="0.214"/>
    <n v="0.214"/>
    <n v="0.214"/>
    <n v="0.214"/>
    <n v="0"/>
    <x v="2"/>
    <n v="0"/>
    <n v="0"/>
    <n v="69"/>
    <n v="105"/>
    <n v="0"/>
    <n v="234.07"/>
    <n v="278.67"/>
    <m/>
    <n v="310.15213459473404"/>
    <n v="295.87360985530717"/>
    <n v="0"/>
    <n v="50.090979999999995"/>
    <n v="59.635380000000005"/>
    <n v="0"/>
    <n v="66.372556803273085"/>
    <n v="63.31695250903573"/>
  </r>
  <r>
    <s v="Regular"/>
    <x v="6"/>
    <x v="3"/>
    <x v="0"/>
    <x v="0"/>
    <x v="0"/>
    <x v="0"/>
    <x v="0"/>
    <x v="4"/>
    <n v="0"/>
    <n v="0"/>
    <n v="6.8"/>
    <n v="6.8"/>
    <n v="6.8"/>
    <n v="6.8"/>
    <n v="0"/>
    <x v="2"/>
    <n v="0"/>
    <n v="0"/>
    <n v="69"/>
    <n v="105"/>
    <n v="0"/>
    <n v="234.07"/>
    <n v="278.67"/>
    <m/>
    <n v="310.15213459473404"/>
    <n v="295.87360985530717"/>
    <n v="0"/>
    <n v="1591.6759999999999"/>
    <n v="1894.9560000000001"/>
    <n v="0"/>
    <n v="2109.0345152441914"/>
    <n v="2011.9405470160887"/>
  </r>
  <r>
    <s v="Sistema de Compensação"/>
    <x v="6"/>
    <x v="3"/>
    <x v="0"/>
    <x v="0"/>
    <x v="0"/>
    <x v="0"/>
    <x v="0"/>
    <x v="4"/>
    <n v="0"/>
    <n v="0"/>
    <n v="0.17899999999999999"/>
    <n v="0.17899999999999999"/>
    <n v="0.17899999999999999"/>
    <n v="0.17899999999999999"/>
    <n v="0"/>
    <x v="2"/>
    <n v="0"/>
    <n v="0"/>
    <n v="69"/>
    <n v="105"/>
    <n v="0"/>
    <n v="234.07"/>
    <n v="278.67"/>
    <m/>
    <n v="310.15213459473404"/>
    <n v="295.87360985530717"/>
    <n v="0"/>
    <n v="41.898529999999994"/>
    <n v="49.881930000000004"/>
    <n v="0"/>
    <n v="55.517232092457391"/>
    <n v="52.961376164099981"/>
  </r>
  <r>
    <s v="Sistema de Compensação"/>
    <x v="6"/>
    <x v="3"/>
    <x v="0"/>
    <x v="0"/>
    <x v="0"/>
    <x v="0"/>
    <x v="0"/>
    <x v="5"/>
    <n v="0"/>
    <n v="0"/>
    <n v="0.16700000000000001"/>
    <n v="0.16700000000000001"/>
    <n v="0.16700000000000001"/>
    <n v="0.16700000000000001"/>
    <n v="0"/>
    <x v="2"/>
    <n v="0"/>
    <n v="0"/>
    <n v="69"/>
    <n v="105"/>
    <n v="0"/>
    <n v="234.07"/>
    <n v="278.67"/>
    <m/>
    <n v="310.15213459473404"/>
    <n v="295.87360985530717"/>
    <n v="0"/>
    <n v="39.089690000000004"/>
    <n v="46.537890000000004"/>
    <n v="0"/>
    <n v="51.79540647732059"/>
    <n v="49.410892845836301"/>
  </r>
  <r>
    <s v="Sistema de Compensação"/>
    <x v="6"/>
    <x v="3"/>
    <x v="0"/>
    <x v="0"/>
    <x v="0"/>
    <x v="0"/>
    <x v="0"/>
    <x v="6"/>
    <n v="0"/>
    <n v="0"/>
    <n v="0.156"/>
    <n v="0.156"/>
    <n v="0.156"/>
    <n v="0.156"/>
    <n v="0"/>
    <x v="2"/>
    <n v="0"/>
    <n v="0"/>
    <n v="69"/>
    <n v="105"/>
    <n v="0"/>
    <n v="234.07"/>
    <n v="278.67"/>
    <m/>
    <n v="310.15213459473404"/>
    <n v="295.87360985530717"/>
    <n v="0"/>
    <n v="36.514919999999996"/>
    <n v="43.472520000000003"/>
    <n v="0"/>
    <n v="48.383732996778512"/>
    <n v="46.15628313742792"/>
  </r>
  <r>
    <s v="Sistema de Compensação"/>
    <x v="6"/>
    <x v="3"/>
    <x v="0"/>
    <x v="0"/>
    <x v="0"/>
    <x v="0"/>
    <x v="0"/>
    <x v="7"/>
    <n v="0"/>
    <n v="0"/>
    <n v="0.14399999999999999"/>
    <n v="0.14399999999999999"/>
    <n v="0.14399999999999999"/>
    <n v="0.14399999999999999"/>
    <n v="0"/>
    <x v="2"/>
    <n v="0"/>
    <n v="0"/>
    <n v="69"/>
    <n v="105"/>
    <n v="0"/>
    <n v="234.07"/>
    <n v="278.67"/>
    <m/>
    <n v="310.15213459473404"/>
    <n v="295.87360985530717"/>
    <n v="0"/>
    <n v="33.706079999999993"/>
    <n v="40.128479999999996"/>
    <n v="0"/>
    <n v="44.661907381641697"/>
    <n v="42.605799819164226"/>
  </r>
  <r>
    <s v="Sistema de Compensação"/>
    <x v="6"/>
    <x v="3"/>
    <x v="0"/>
    <x v="0"/>
    <x v="0"/>
    <x v="0"/>
    <x v="0"/>
    <x v="9"/>
    <n v="0"/>
    <n v="0"/>
    <n v="0.23699999999999999"/>
    <n v="0.23699999999999999"/>
    <n v="0.23699999999999999"/>
    <n v="0.23699999999999999"/>
    <n v="0"/>
    <x v="2"/>
    <n v="0"/>
    <n v="0"/>
    <n v="69"/>
    <n v="105"/>
    <n v="0"/>
    <n v="234.07"/>
    <n v="278.67"/>
    <m/>
    <n v="310.15213459473404"/>
    <n v="295.87360985530717"/>
    <n v="0"/>
    <n v="55.474589999999999"/>
    <n v="66.044790000000006"/>
    <n v="0"/>
    <n v="73.506055898951956"/>
    <n v="70.122045535707798"/>
  </r>
  <r>
    <s v="Sistema de Compensação"/>
    <x v="6"/>
    <x v="3"/>
    <x v="0"/>
    <x v="0"/>
    <x v="0"/>
    <x v="0"/>
    <x v="0"/>
    <x v="10"/>
    <n v="0"/>
    <n v="0"/>
    <n v="0.318"/>
    <n v="0.318"/>
    <n v="0.318"/>
    <n v="0.318"/>
    <n v="0"/>
    <x v="2"/>
    <n v="0"/>
    <n v="0"/>
    <n v="69"/>
    <n v="105"/>
    <n v="0"/>
    <n v="234.07"/>
    <n v="278.67"/>
    <m/>
    <n v="310.15213459473404"/>
    <n v="295.87360985530717"/>
    <n v="0"/>
    <n v="74.434259999999995"/>
    <n v="88.617060000000009"/>
    <n v="0"/>
    <n v="98.628378801125422"/>
    <n v="94.087807933987676"/>
  </r>
  <r>
    <s v="PROJETADO"/>
    <x v="6"/>
    <x v="3"/>
    <x v="0"/>
    <x v="0"/>
    <x v="0"/>
    <x v="0"/>
    <x v="0"/>
    <x v="11"/>
    <n v="0"/>
    <n v="0"/>
    <n v="0.318"/>
    <n v="0.318"/>
    <n v="0.318"/>
    <n v="0.318"/>
    <n v="0"/>
    <x v="2"/>
    <n v="0"/>
    <n v="0"/>
    <n v="69"/>
    <n v="105"/>
    <n v="0"/>
    <n v="234.07"/>
    <n v="278.67"/>
    <m/>
    <n v="310.15213459473404"/>
    <n v="295.87360985530717"/>
    <n v="0"/>
    <n v="74.434259999999995"/>
    <n v="88.617060000000009"/>
    <n v="0"/>
    <n v="98.628378801125422"/>
    <n v="94.087807933987676"/>
  </r>
  <r>
    <s v="Regular"/>
    <x v="6"/>
    <x v="3"/>
    <x v="0"/>
    <x v="0"/>
    <x v="0"/>
    <x v="0"/>
    <x v="3"/>
    <x v="0"/>
    <n v="0"/>
    <n v="0"/>
    <n v="0.4"/>
    <n v="0.4"/>
    <n v="0.4"/>
    <n v="0.4"/>
    <n v="0"/>
    <x v="2"/>
    <n v="0"/>
    <n v="0"/>
    <n v="82"/>
    <n v="110"/>
    <n v="0"/>
    <n v="491.18"/>
    <n v="278.67"/>
    <m/>
    <n v="603.5165151303197"/>
    <n v="295.87360985530717"/>
    <n v="0"/>
    <n v="196.47200000000001"/>
    <n v="111.46800000000002"/>
    <n v="0"/>
    <n v="241.4066060521279"/>
    <n v="118.34944394212287"/>
  </r>
  <r>
    <s v="Sistema de Compensação"/>
    <x v="6"/>
    <x v="3"/>
    <x v="0"/>
    <x v="0"/>
    <x v="0"/>
    <x v="0"/>
    <x v="3"/>
    <x v="0"/>
    <n v="0"/>
    <n v="0"/>
    <n v="4.2999999999999997E-2"/>
    <n v="4.2999999999999997E-2"/>
    <n v="4.2999999999999997E-2"/>
    <n v="4.2999999999999997E-2"/>
    <n v="0"/>
    <x v="2"/>
    <n v="0"/>
    <n v="0"/>
    <n v="82"/>
    <n v="110"/>
    <n v="0"/>
    <n v="491.18"/>
    <n v="278.67"/>
    <m/>
    <n v="603.5165151303197"/>
    <n v="295.87360985530717"/>
    <n v="0"/>
    <n v="21.120739999999998"/>
    <n v="11.982809999999999"/>
    <n v="0"/>
    <n v="25.951210150603746"/>
    <n v="12.722565223778208"/>
  </r>
  <r>
    <s v="Regular"/>
    <x v="6"/>
    <x v="3"/>
    <x v="0"/>
    <x v="0"/>
    <x v="0"/>
    <x v="0"/>
    <x v="3"/>
    <x v="1"/>
    <n v="0"/>
    <n v="0"/>
    <n v="0.5"/>
    <n v="0.5"/>
    <n v="0.5"/>
    <n v="0.5"/>
    <n v="0"/>
    <x v="2"/>
    <n v="0"/>
    <n v="0"/>
    <n v="82"/>
    <n v="110"/>
    <n v="0"/>
    <n v="491.18"/>
    <n v="278.67"/>
    <m/>
    <n v="603.5165151303197"/>
    <n v="295.87360985530717"/>
    <n v="0"/>
    <n v="245.59"/>
    <n v="139.33500000000001"/>
    <n v="0"/>
    <n v="301.75825756515985"/>
    <n v="147.93680492765358"/>
  </r>
  <r>
    <s v="Sistema de Compensação"/>
    <x v="6"/>
    <x v="3"/>
    <x v="0"/>
    <x v="0"/>
    <x v="0"/>
    <x v="0"/>
    <x v="3"/>
    <x v="1"/>
    <n v="0"/>
    <n v="0"/>
    <n v="4.9000000000000002E-2"/>
    <n v="4.9000000000000002E-2"/>
    <n v="4.9000000000000002E-2"/>
    <n v="4.9000000000000002E-2"/>
    <n v="0"/>
    <x v="2"/>
    <n v="0"/>
    <n v="0"/>
    <n v="82"/>
    <n v="110"/>
    <n v="0"/>
    <n v="491.18"/>
    <n v="278.67"/>
    <m/>
    <n v="603.5165151303197"/>
    <n v="295.87360985530717"/>
    <n v="0"/>
    <n v="24.067820000000001"/>
    <n v="13.65483"/>
    <n v="0"/>
    <n v="29.572309241385668"/>
    <n v="14.497806882910051"/>
  </r>
  <r>
    <s v="Regular"/>
    <x v="6"/>
    <x v="3"/>
    <x v="0"/>
    <x v="0"/>
    <x v="0"/>
    <x v="0"/>
    <x v="3"/>
    <x v="2"/>
    <n v="0"/>
    <n v="0"/>
    <n v="0.4"/>
    <n v="0.4"/>
    <n v="0.4"/>
    <n v="0.4"/>
    <n v="0"/>
    <x v="2"/>
    <n v="0"/>
    <n v="0"/>
    <n v="82"/>
    <n v="110"/>
    <n v="0"/>
    <n v="491.18"/>
    <n v="278.67"/>
    <m/>
    <n v="603.5165151303197"/>
    <n v="295.87360985530717"/>
    <n v="0"/>
    <n v="196.47200000000001"/>
    <n v="111.46800000000002"/>
    <n v="0"/>
    <n v="241.4066060521279"/>
    <n v="118.34944394212287"/>
  </r>
  <r>
    <s v="Sistema de Compensação"/>
    <x v="6"/>
    <x v="3"/>
    <x v="0"/>
    <x v="0"/>
    <x v="0"/>
    <x v="0"/>
    <x v="3"/>
    <x v="2"/>
    <n v="0"/>
    <n v="0"/>
    <n v="5.3999999999999999E-2"/>
    <n v="5.3999999999999999E-2"/>
    <n v="5.3999999999999999E-2"/>
    <n v="5.3999999999999999E-2"/>
    <n v="0"/>
    <x v="2"/>
    <n v="0"/>
    <n v="0"/>
    <n v="82"/>
    <n v="110"/>
    <n v="0"/>
    <n v="491.18"/>
    <n v="278.67"/>
    <m/>
    <n v="603.5165151303197"/>
    <n v="295.87360985530717"/>
    <n v="0"/>
    <n v="26.523720000000001"/>
    <n v="15.04818"/>
    <n v="0"/>
    <n v="32.589891817037262"/>
    <n v="15.977174932186587"/>
  </r>
  <r>
    <s v="Regular"/>
    <x v="6"/>
    <x v="3"/>
    <x v="0"/>
    <x v="0"/>
    <x v="0"/>
    <x v="0"/>
    <x v="3"/>
    <x v="3"/>
    <n v="0"/>
    <n v="0"/>
    <n v="0.45"/>
    <n v="0.45"/>
    <n v="0.45"/>
    <n v="0.45"/>
    <n v="0"/>
    <x v="2"/>
    <n v="0"/>
    <n v="0"/>
    <n v="82"/>
    <n v="110"/>
    <n v="0"/>
    <n v="491.18"/>
    <n v="278.67"/>
    <m/>
    <n v="603.5165151303197"/>
    <n v="295.87360985530717"/>
    <n v="0"/>
    <n v="221.03100000000001"/>
    <n v="125.40150000000001"/>
    <n v="0"/>
    <n v="271.58243180864389"/>
    <n v="133.14312443488822"/>
  </r>
  <r>
    <s v="Sistema de Compensação"/>
    <x v="6"/>
    <x v="3"/>
    <x v="0"/>
    <x v="0"/>
    <x v="0"/>
    <x v="0"/>
    <x v="3"/>
    <x v="3"/>
    <n v="0"/>
    <n v="0"/>
    <n v="4.2000000000000003E-2"/>
    <n v="4.2000000000000003E-2"/>
    <n v="4.2000000000000003E-2"/>
    <n v="4.2000000000000003E-2"/>
    <n v="0"/>
    <x v="2"/>
    <n v="0"/>
    <n v="0"/>
    <n v="82"/>
    <n v="110"/>
    <n v="0"/>
    <n v="491.18"/>
    <n v="278.67"/>
    <m/>
    <n v="603.5165151303197"/>
    <n v="295.87360985530717"/>
    <n v="0"/>
    <n v="20.629560000000001"/>
    <n v="11.704140000000001"/>
    <n v="0"/>
    <n v="25.34769363547343"/>
    <n v="12.426691613922902"/>
  </r>
  <r>
    <s v="Regular"/>
    <x v="6"/>
    <x v="3"/>
    <x v="0"/>
    <x v="0"/>
    <x v="0"/>
    <x v="0"/>
    <x v="3"/>
    <x v="4"/>
    <n v="0"/>
    <n v="0"/>
    <n v="0.45"/>
    <n v="0.45"/>
    <n v="0.45"/>
    <n v="0.45"/>
    <n v="0"/>
    <x v="2"/>
    <n v="0"/>
    <n v="0"/>
    <n v="82"/>
    <n v="110"/>
    <n v="0"/>
    <n v="491.18"/>
    <n v="278.67"/>
    <m/>
    <n v="603.5165151303197"/>
    <n v="295.87360985530717"/>
    <n v="0"/>
    <n v="221.03100000000001"/>
    <n v="125.40150000000001"/>
    <n v="0"/>
    <n v="271.58243180864389"/>
    <n v="133.14312443488822"/>
  </r>
  <r>
    <s v="Sistema de Compensação"/>
    <x v="6"/>
    <x v="3"/>
    <x v="0"/>
    <x v="0"/>
    <x v="0"/>
    <x v="0"/>
    <x v="3"/>
    <x v="4"/>
    <n v="0"/>
    <n v="0"/>
    <n v="5.1999999999999998E-2"/>
    <n v="5.1999999999999998E-2"/>
    <n v="5.1999999999999998E-2"/>
    <n v="5.1999999999999998E-2"/>
    <n v="0"/>
    <x v="2"/>
    <n v="0"/>
    <n v="0"/>
    <n v="82"/>
    <n v="110"/>
    <n v="0"/>
    <n v="491.18"/>
    <n v="278.67"/>
    <m/>
    <n v="603.5165151303197"/>
    <n v="295.87360985530717"/>
    <n v="0"/>
    <n v="25.541360000000001"/>
    <n v="14.49084"/>
    <n v="0"/>
    <n v="31.382858786776623"/>
    <n v="15.385427712475972"/>
  </r>
  <r>
    <s v="Sistema de Compensação"/>
    <x v="6"/>
    <x v="3"/>
    <x v="0"/>
    <x v="0"/>
    <x v="0"/>
    <x v="0"/>
    <x v="3"/>
    <x v="5"/>
    <n v="0"/>
    <n v="0"/>
    <n v="5.0999999999999997E-2"/>
    <n v="5.0999999999999997E-2"/>
    <n v="5.0999999999999997E-2"/>
    <n v="5.0999999999999997E-2"/>
    <n v="0"/>
    <x v="2"/>
    <n v="0"/>
    <n v="0"/>
    <n v="82"/>
    <n v="110"/>
    <n v="0"/>
    <n v="491.18"/>
    <n v="278.67"/>
    <m/>
    <n v="603.5165151303197"/>
    <n v="295.87360985530717"/>
    <n v="0"/>
    <n v="25.050179999999997"/>
    <n v="14.21217"/>
    <n v="0"/>
    <n v="30.779342271646303"/>
    <n v="15.089554102620664"/>
  </r>
  <r>
    <s v="Sistema de Compensação"/>
    <x v="6"/>
    <x v="3"/>
    <x v="0"/>
    <x v="0"/>
    <x v="0"/>
    <x v="0"/>
    <x v="3"/>
    <x v="6"/>
    <n v="0"/>
    <n v="0"/>
    <n v="5.7000000000000002E-2"/>
    <n v="5.7000000000000002E-2"/>
    <n v="5.7000000000000002E-2"/>
    <n v="5.7000000000000002E-2"/>
    <n v="0"/>
    <x v="2"/>
    <n v="0"/>
    <n v="0"/>
    <n v="82"/>
    <n v="110"/>
    <n v="0"/>
    <n v="491.18"/>
    <n v="278.67"/>
    <m/>
    <n v="603.5165151303197"/>
    <n v="295.87360985530717"/>
    <n v="0"/>
    <n v="27.997260000000001"/>
    <n v="15.884190000000002"/>
    <n v="0"/>
    <n v="34.400441362428225"/>
    <n v="16.864795761752507"/>
  </r>
  <r>
    <s v="Sistema de Compensação"/>
    <x v="6"/>
    <x v="3"/>
    <x v="0"/>
    <x v="0"/>
    <x v="0"/>
    <x v="0"/>
    <x v="3"/>
    <x v="7"/>
    <n v="0"/>
    <n v="0"/>
    <n v="0.06"/>
    <n v="0.06"/>
    <n v="0.06"/>
    <n v="0.06"/>
    <n v="0"/>
    <x v="2"/>
    <n v="0"/>
    <n v="0"/>
    <n v="82"/>
    <n v="110"/>
    <n v="0"/>
    <n v="491.18"/>
    <n v="278.67"/>
    <m/>
    <n v="603.5165151303197"/>
    <n v="295.87360985530717"/>
    <n v="0"/>
    <n v="29.470800000000001"/>
    <n v="16.720200000000002"/>
    <n v="0"/>
    <n v="36.210990907819181"/>
    <n v="17.752416591318429"/>
  </r>
  <r>
    <s v="Sistema de Compensação"/>
    <x v="6"/>
    <x v="3"/>
    <x v="0"/>
    <x v="0"/>
    <x v="0"/>
    <x v="0"/>
    <x v="3"/>
    <x v="9"/>
    <n v="0"/>
    <n v="0"/>
    <n v="6.2E-2"/>
    <n v="6.2E-2"/>
    <n v="6.2E-2"/>
    <n v="6.2E-2"/>
    <n v="0"/>
    <x v="2"/>
    <n v="0"/>
    <n v="0"/>
    <n v="82"/>
    <n v="110"/>
    <n v="0"/>
    <n v="491.18"/>
    <n v="278.67"/>
    <m/>
    <n v="603.5165151303197"/>
    <n v="295.87360985530717"/>
    <n v="0"/>
    <n v="30.45316"/>
    <n v="17.277540000000002"/>
    <n v="0"/>
    <n v="37.41802393807982"/>
    <n v="18.344163811029045"/>
  </r>
  <r>
    <s v="Sistema de Compensação"/>
    <x v="6"/>
    <x v="3"/>
    <x v="0"/>
    <x v="0"/>
    <x v="0"/>
    <x v="0"/>
    <x v="3"/>
    <x v="10"/>
    <n v="0"/>
    <n v="0"/>
    <n v="6.5000000000000002E-2"/>
    <n v="6.5000000000000002E-2"/>
    <n v="6.5000000000000002E-2"/>
    <n v="6.5000000000000002E-2"/>
    <n v="0"/>
    <x v="2"/>
    <n v="0"/>
    <n v="0"/>
    <n v="82"/>
    <n v="110"/>
    <n v="0"/>
    <n v="491.18"/>
    <n v="278.67"/>
    <m/>
    <n v="603.5165151303197"/>
    <n v="295.87360985530717"/>
    <n v="0"/>
    <n v="31.9267"/>
    <n v="18.11355"/>
    <n v="0"/>
    <n v="39.228573483470782"/>
    <n v="19.231784640594967"/>
  </r>
  <r>
    <s v="PROJETADO"/>
    <x v="6"/>
    <x v="3"/>
    <x v="0"/>
    <x v="0"/>
    <x v="0"/>
    <x v="0"/>
    <x v="3"/>
    <x v="11"/>
    <n v="0"/>
    <n v="0"/>
    <n v="6.5000000000000002E-2"/>
    <n v="6.5000000000000002E-2"/>
    <n v="6.5000000000000002E-2"/>
    <n v="6.5000000000000002E-2"/>
    <n v="0"/>
    <x v="2"/>
    <n v="0"/>
    <n v="0"/>
    <n v="82"/>
    <n v="110"/>
    <n v="0"/>
    <n v="491.18"/>
    <n v="278.67"/>
    <m/>
    <n v="603.5165151303197"/>
    <n v="295.87360985530717"/>
    <n v="0"/>
    <n v="31.9267"/>
    <n v="18.11355"/>
    <n v="0"/>
    <n v="39.228573483470782"/>
    <n v="19.231784640594967"/>
  </r>
  <r>
    <s v="Regular"/>
    <x v="6"/>
    <x v="3"/>
    <x v="0"/>
    <x v="0"/>
    <x v="0"/>
    <x v="0"/>
    <x v="2"/>
    <x v="0"/>
    <n v="0"/>
    <n v="0"/>
    <n v="0.25"/>
    <n v="0.25"/>
    <n v="0.25"/>
    <n v="0.25"/>
    <n v="0"/>
    <x v="2"/>
    <n v="0"/>
    <n v="0"/>
    <n v="83"/>
    <n v="106"/>
    <n v="0"/>
    <n v="748.29"/>
    <n v="442.86"/>
    <m/>
    <n v="896.88117808773438"/>
    <n v="476.88775168498375"/>
    <n v="0"/>
    <n v="187.07249999999999"/>
    <n v="110.715"/>
    <n v="0"/>
    <n v="224.2202945219336"/>
    <n v="119.22193792124594"/>
  </r>
  <r>
    <s v="Sistema de Compensação"/>
    <x v="6"/>
    <x v="3"/>
    <x v="0"/>
    <x v="0"/>
    <x v="0"/>
    <x v="0"/>
    <x v="2"/>
    <x v="0"/>
    <n v="0"/>
    <n v="0"/>
    <n v="8.2000000000000003E-2"/>
    <n v="8.2000000000000003E-2"/>
    <n v="8.2000000000000003E-2"/>
    <n v="8.2000000000000003E-2"/>
    <n v="0"/>
    <x v="2"/>
    <n v="0"/>
    <n v="0"/>
    <n v="83"/>
    <n v="106"/>
    <n v="0"/>
    <n v="748.29"/>
    <n v="442.86"/>
    <m/>
    <n v="896.88117808773438"/>
    <n v="476.88775168498375"/>
    <n v="0"/>
    <n v="61.359780000000001"/>
    <n v="36.314520000000002"/>
    <n v="0"/>
    <n v="73.544256603194228"/>
    <n v="39.104795638168667"/>
  </r>
  <r>
    <s v="Regular"/>
    <x v="6"/>
    <x v="3"/>
    <x v="0"/>
    <x v="0"/>
    <x v="0"/>
    <x v="0"/>
    <x v="2"/>
    <x v="1"/>
    <n v="0"/>
    <n v="0"/>
    <n v="0.3"/>
    <n v="0.3"/>
    <n v="0.3"/>
    <n v="0.3"/>
    <n v="0"/>
    <x v="2"/>
    <n v="0"/>
    <n v="0"/>
    <n v="83"/>
    <n v="106"/>
    <n v="0"/>
    <n v="748.29"/>
    <n v="442.86"/>
    <m/>
    <n v="896.88117808773438"/>
    <n v="476.88775168498375"/>
    <n v="0"/>
    <n v="224.48699999999999"/>
    <n v="132.858"/>
    <n v="0"/>
    <n v="269.06435342632028"/>
    <n v="143.06632550549512"/>
  </r>
  <r>
    <s v="Sistema de Compensação"/>
    <x v="6"/>
    <x v="3"/>
    <x v="0"/>
    <x v="0"/>
    <x v="0"/>
    <x v="0"/>
    <x v="2"/>
    <x v="1"/>
    <n v="0"/>
    <n v="0"/>
    <n v="9.8000000000000004E-2"/>
    <n v="9.8000000000000004E-2"/>
    <n v="9.8000000000000004E-2"/>
    <n v="9.8000000000000004E-2"/>
    <n v="0"/>
    <x v="2"/>
    <n v="0"/>
    <n v="0"/>
    <n v="83"/>
    <n v="106"/>
    <n v="0"/>
    <n v="748.29"/>
    <n v="442.86"/>
    <m/>
    <n v="896.88117808773438"/>
    <n v="476.88775168498375"/>
    <n v="0"/>
    <n v="73.332419999999999"/>
    <n v="43.400280000000002"/>
    <n v="0"/>
    <n v="87.894355452597978"/>
    <n v="46.734999665128413"/>
  </r>
  <r>
    <s v="Regular"/>
    <x v="6"/>
    <x v="3"/>
    <x v="0"/>
    <x v="0"/>
    <x v="0"/>
    <x v="0"/>
    <x v="2"/>
    <x v="2"/>
    <n v="0"/>
    <n v="0"/>
    <n v="0.2"/>
    <n v="0.2"/>
    <n v="0.2"/>
    <n v="0.2"/>
    <n v="0"/>
    <x v="2"/>
    <n v="0"/>
    <n v="0"/>
    <n v="83"/>
    <n v="106"/>
    <n v="0"/>
    <n v="748.29"/>
    <n v="442.86"/>
    <m/>
    <n v="896.88117808773438"/>
    <n v="476.88775168498375"/>
    <n v="0"/>
    <n v="149.65799999999999"/>
    <n v="88.572000000000003"/>
    <n v="0"/>
    <n v="179.37623561754688"/>
    <n v="95.377550336996762"/>
  </r>
  <r>
    <s v="Sistema de Compensação"/>
    <x v="6"/>
    <x v="3"/>
    <x v="0"/>
    <x v="0"/>
    <x v="0"/>
    <x v="0"/>
    <x v="2"/>
    <x v="2"/>
    <n v="0"/>
    <n v="0"/>
    <n v="0.10100000000000001"/>
    <n v="0.10100000000000001"/>
    <n v="0.10100000000000001"/>
    <n v="0.10100000000000001"/>
    <n v="0"/>
    <x v="2"/>
    <n v="0"/>
    <n v="0"/>
    <n v="83"/>
    <n v="106"/>
    <n v="0"/>
    <n v="748.29"/>
    <n v="442.86"/>
    <m/>
    <n v="896.88117808773438"/>
    <n v="476.88775168498375"/>
    <n v="0"/>
    <n v="75.577290000000005"/>
    <n v="44.728860000000005"/>
    <n v="0"/>
    <n v="90.58499898686118"/>
    <n v="48.165662920183365"/>
  </r>
  <r>
    <s v="Regular"/>
    <x v="6"/>
    <x v="3"/>
    <x v="0"/>
    <x v="0"/>
    <x v="0"/>
    <x v="0"/>
    <x v="2"/>
    <x v="3"/>
    <n v="0"/>
    <n v="0"/>
    <n v="0.1"/>
    <n v="0.1"/>
    <n v="0.1"/>
    <n v="0.1"/>
    <n v="0"/>
    <x v="2"/>
    <n v="0"/>
    <n v="0"/>
    <n v="83"/>
    <n v="106"/>
    <n v="0"/>
    <n v="748.29"/>
    <n v="442.86"/>
    <m/>
    <n v="896.88117808773438"/>
    <n v="476.88775168498375"/>
    <n v="0"/>
    <n v="74.828999999999994"/>
    <n v="44.286000000000001"/>
    <n v="0"/>
    <n v="89.688117808773441"/>
    <n v="47.688775168498381"/>
  </r>
  <r>
    <s v="Sistema de Compensação"/>
    <x v="6"/>
    <x v="3"/>
    <x v="0"/>
    <x v="0"/>
    <x v="0"/>
    <x v="0"/>
    <x v="2"/>
    <x v="3"/>
    <n v="0"/>
    <n v="0"/>
    <n v="8.6999999999999994E-2"/>
    <n v="8.6999999999999994E-2"/>
    <n v="8.6999999999999994E-2"/>
    <n v="8.6999999999999994E-2"/>
    <n v="0"/>
    <x v="2"/>
    <n v="0"/>
    <n v="0"/>
    <n v="83"/>
    <n v="106"/>
    <n v="0"/>
    <n v="748.29"/>
    <n v="442.86"/>
    <m/>
    <n v="896.88117808773438"/>
    <n v="476.88775168498375"/>
    <n v="0"/>
    <n v="65.101229999999987"/>
    <n v="38.528819999999996"/>
    <n v="0"/>
    <n v="78.028662493632879"/>
    <n v="41.489234396593581"/>
  </r>
  <r>
    <s v="Regular"/>
    <x v="6"/>
    <x v="3"/>
    <x v="0"/>
    <x v="0"/>
    <x v="0"/>
    <x v="0"/>
    <x v="2"/>
    <x v="4"/>
    <n v="0"/>
    <n v="0"/>
    <n v="0.15"/>
    <n v="0.15"/>
    <n v="0.15"/>
    <n v="0.15"/>
    <n v="0"/>
    <x v="2"/>
    <n v="0"/>
    <n v="0"/>
    <n v="83"/>
    <n v="106"/>
    <n v="0"/>
    <n v="748.29"/>
    <n v="442.86"/>
    <m/>
    <n v="896.88117808773438"/>
    <n v="476.88775168498375"/>
    <n v="0"/>
    <n v="112.2435"/>
    <n v="66.429000000000002"/>
    <n v="0"/>
    <n v="134.53217671316014"/>
    <n v="71.533162752747558"/>
  </r>
  <r>
    <s v="Sistema de Compensação"/>
    <x v="6"/>
    <x v="3"/>
    <x v="0"/>
    <x v="0"/>
    <x v="0"/>
    <x v="0"/>
    <x v="2"/>
    <x v="4"/>
    <n v="0"/>
    <n v="0"/>
    <n v="0.107"/>
    <n v="0.107"/>
    <n v="0.107"/>
    <n v="0.107"/>
    <n v="0"/>
    <x v="2"/>
    <n v="0"/>
    <n v="0"/>
    <n v="83"/>
    <n v="106"/>
    <n v="0"/>
    <n v="748.29"/>
    <n v="442.86"/>
    <m/>
    <n v="896.88117808773438"/>
    <n v="476.88775168498375"/>
    <n v="0"/>
    <n v="80.067029999999988"/>
    <n v="47.386020000000002"/>
    <n v="0"/>
    <n v="95.96628605538757"/>
    <n v="51.026989430293263"/>
  </r>
  <r>
    <s v="Sistema de Compensação"/>
    <x v="6"/>
    <x v="3"/>
    <x v="0"/>
    <x v="0"/>
    <x v="0"/>
    <x v="0"/>
    <x v="2"/>
    <x v="5"/>
    <n v="0"/>
    <n v="0"/>
    <n v="9.9000000000000005E-2"/>
    <n v="9.9000000000000005E-2"/>
    <n v="9.9000000000000005E-2"/>
    <n v="9.9000000000000005E-2"/>
    <n v="0"/>
    <x v="2"/>
    <n v="0"/>
    <n v="0"/>
    <n v="83"/>
    <n v="106"/>
    <n v="0"/>
    <n v="748.29"/>
    <n v="442.86"/>
    <m/>
    <n v="896.88117808773438"/>
    <n v="476.88775168498375"/>
    <n v="0"/>
    <n v="74.080709999999996"/>
    <n v="43.843140000000005"/>
    <n v="0"/>
    <n v="88.791236630685702"/>
    <n v="47.211887416813397"/>
  </r>
  <r>
    <s v="Sistema de Compensação"/>
    <x v="6"/>
    <x v="3"/>
    <x v="0"/>
    <x v="0"/>
    <x v="0"/>
    <x v="0"/>
    <x v="2"/>
    <x v="6"/>
    <n v="0"/>
    <n v="0"/>
    <n v="9.7000000000000003E-2"/>
    <n v="9.7000000000000003E-2"/>
    <n v="9.7000000000000003E-2"/>
    <n v="9.7000000000000003E-2"/>
    <n v="0"/>
    <x v="2"/>
    <n v="0"/>
    <n v="0"/>
    <n v="83"/>
    <n v="106"/>
    <n v="0"/>
    <n v="748.29"/>
    <n v="442.86"/>
    <m/>
    <n v="896.88117808773438"/>
    <n v="476.88775168498375"/>
    <n v="0"/>
    <n v="72.584130000000002"/>
    <n v="42.957419999999999"/>
    <n v="0"/>
    <n v="86.997474274510239"/>
    <n v="46.258111913443429"/>
  </r>
  <r>
    <s v="Sistema de Compensação"/>
    <x v="6"/>
    <x v="3"/>
    <x v="0"/>
    <x v="0"/>
    <x v="0"/>
    <x v="0"/>
    <x v="2"/>
    <x v="7"/>
    <n v="0"/>
    <n v="0"/>
    <n v="0.09"/>
    <n v="0.09"/>
    <n v="0.09"/>
    <n v="0.09"/>
    <n v="0"/>
    <x v="2"/>
    <n v="0"/>
    <n v="0"/>
    <n v="83"/>
    <n v="106"/>
    <n v="0"/>
    <n v="748.29"/>
    <n v="442.86"/>
    <m/>
    <n v="896.88117808773438"/>
    <n v="476.88775168498375"/>
    <n v="0"/>
    <n v="67.346099999999993"/>
    <n v="39.857399999999998"/>
    <n v="0"/>
    <n v="80.719306027896096"/>
    <n v="42.919897651648533"/>
  </r>
  <r>
    <s v="Sistema de Compensação"/>
    <x v="6"/>
    <x v="3"/>
    <x v="0"/>
    <x v="0"/>
    <x v="0"/>
    <x v="0"/>
    <x v="2"/>
    <x v="9"/>
    <n v="0"/>
    <n v="0"/>
    <n v="0.10299999999999999"/>
    <n v="0.10299999999999999"/>
    <n v="0.10299999999999999"/>
    <n v="0.10299999999999999"/>
    <n v="0"/>
    <x v="2"/>
    <n v="0"/>
    <n v="0"/>
    <n v="83"/>
    <n v="106"/>
    <n v="0"/>
    <n v="748.29"/>
    <n v="442.86"/>
    <m/>
    <n v="896.88117808773438"/>
    <n v="476.88775168498375"/>
    <n v="0"/>
    <n v="77.073869999999985"/>
    <n v="45.614579999999997"/>
    <n v="0"/>
    <n v="92.378761343036643"/>
    <n v="49.119438423553326"/>
  </r>
  <r>
    <s v="Sistema de Compensação"/>
    <x v="6"/>
    <x v="3"/>
    <x v="0"/>
    <x v="0"/>
    <x v="0"/>
    <x v="0"/>
    <x v="2"/>
    <x v="10"/>
    <n v="0"/>
    <n v="0"/>
    <n v="0.112"/>
    <n v="0.112"/>
    <n v="0.112"/>
    <n v="0.112"/>
    <n v="0"/>
    <x v="2"/>
    <n v="0"/>
    <n v="0"/>
    <n v="83"/>
    <n v="106"/>
    <n v="0"/>
    <n v="748.29"/>
    <n v="442.86"/>
    <m/>
    <n v="896.88117808773438"/>
    <n v="476.88775168498375"/>
    <n v="0"/>
    <n v="83.808480000000003"/>
    <n v="49.600320000000004"/>
    <n v="0"/>
    <n v="100.45069194582625"/>
    <n v="53.411428188718183"/>
  </r>
  <r>
    <s v="PROJETADO"/>
    <x v="6"/>
    <x v="3"/>
    <x v="0"/>
    <x v="0"/>
    <x v="0"/>
    <x v="0"/>
    <x v="2"/>
    <x v="11"/>
    <n v="0"/>
    <n v="0"/>
    <n v="0.112"/>
    <n v="0.112"/>
    <n v="0.112"/>
    <n v="0.112"/>
    <n v="0"/>
    <x v="2"/>
    <n v="0"/>
    <n v="0"/>
    <n v="83"/>
    <n v="106"/>
    <n v="0"/>
    <n v="748.29"/>
    <n v="442.86"/>
    <m/>
    <n v="896.88117808773438"/>
    <n v="476.88775168498375"/>
    <n v="0"/>
    <n v="83.808480000000003"/>
    <n v="49.600320000000004"/>
    <n v="0"/>
    <n v="100.45069194582625"/>
    <n v="53.411428188718183"/>
  </r>
  <r>
    <s v="Regular"/>
    <x v="6"/>
    <x v="3"/>
    <x v="3"/>
    <x v="1"/>
    <x v="0"/>
    <x v="0"/>
    <x v="0"/>
    <x v="6"/>
    <n v="0"/>
    <n v="0"/>
    <n v="10.817"/>
    <n v="10.817"/>
    <n v="10.817"/>
    <n v="10.817"/>
    <n v="0"/>
    <x v="2"/>
    <n v="0"/>
    <n v="0"/>
    <n v="69"/>
    <n v="105"/>
    <n v="0"/>
    <n v="220.02579999999998"/>
    <n v="261.94979999999998"/>
    <m/>
    <n v="300.84757055689198"/>
    <n v="286.99740155964793"/>
    <n v="0"/>
    <n v="2380.0190785999998"/>
    <n v="2833.5109865999998"/>
    <n v="0"/>
    <n v="3153.6207015165637"/>
    <n v="3104.4508926707117"/>
  </r>
  <r>
    <s v="Regular"/>
    <x v="6"/>
    <x v="3"/>
    <x v="3"/>
    <x v="1"/>
    <x v="0"/>
    <x v="0"/>
    <x v="0"/>
    <x v="7"/>
    <n v="0"/>
    <n v="0"/>
    <n v="7.1449999999999996"/>
    <n v="7.1449999999999996"/>
    <n v="7.1449999999999996"/>
    <n v="7.1449999999999996"/>
    <n v="0"/>
    <x v="2"/>
    <n v="0"/>
    <n v="0"/>
    <n v="69"/>
    <n v="105"/>
    <n v="0"/>
    <n v="220.02579999999998"/>
    <n v="261.94979999999998"/>
    <m/>
    <n v="300.84757055689198"/>
    <n v="286.99740155964793"/>
    <n v="0"/>
    <n v="1572.0843409999998"/>
    <n v="1871.6313209999998"/>
    <n v="0"/>
    <n v="2083.0747815786121"/>
    <n v="2050.5964341436843"/>
  </r>
  <r>
    <s v="Regular"/>
    <x v="6"/>
    <x v="3"/>
    <x v="3"/>
    <x v="1"/>
    <x v="0"/>
    <x v="0"/>
    <x v="0"/>
    <x v="8"/>
    <n v="0"/>
    <n v="0"/>
    <n v="7.2779999999999996"/>
    <n v="7.2779999999999996"/>
    <n v="7.2779999999999996"/>
    <n v="7.2779999999999996"/>
    <n v="0"/>
    <x v="2"/>
    <n v="0"/>
    <n v="0"/>
    <n v="69"/>
    <n v="105"/>
    <n v="0"/>
    <n v="220.02579999999998"/>
    <n v="261.94979999999998"/>
    <m/>
    <n v="300.84757055689198"/>
    <n v="286.99740155964793"/>
    <n v="0"/>
    <n v="1601.3477723999997"/>
    <n v="1906.4706443999999"/>
    <n v="0"/>
    <n v="2121.8500014456458"/>
    <n v="2088.7670885511175"/>
  </r>
  <r>
    <s v="Regular"/>
    <x v="6"/>
    <x v="3"/>
    <x v="3"/>
    <x v="1"/>
    <x v="0"/>
    <x v="0"/>
    <x v="0"/>
    <x v="9"/>
    <n v="0"/>
    <n v="0"/>
    <n v="8.3040000000000003"/>
    <n v="8.3040000000000003"/>
    <n v="8.3040000000000003"/>
    <n v="8.3040000000000003"/>
    <n v="0"/>
    <x v="2"/>
    <n v="0"/>
    <n v="0"/>
    <n v="69"/>
    <n v="105"/>
    <n v="0"/>
    <n v="220.02579999999998"/>
    <n v="261.94979999999998"/>
    <m/>
    <n v="300.84757055689198"/>
    <n v="286.99740155964793"/>
    <n v="0"/>
    <n v="1827.0942431999999"/>
    <n v="2175.2311392000001"/>
    <n v="0"/>
    <n v="2420.9731261341913"/>
    <n v="2383.2264225513163"/>
  </r>
  <r>
    <s v="Regular"/>
    <x v="6"/>
    <x v="3"/>
    <x v="3"/>
    <x v="1"/>
    <x v="0"/>
    <x v="0"/>
    <x v="0"/>
    <x v="10"/>
    <n v="0"/>
    <n v="0"/>
    <n v="8.2780000000000005"/>
    <n v="8.2780000000000005"/>
    <n v="8.2780000000000005"/>
    <n v="8.2780000000000005"/>
    <n v="0"/>
    <x v="2"/>
    <n v="0"/>
    <n v="0"/>
    <n v="69"/>
    <n v="105"/>
    <n v="0"/>
    <n v="220.02579999999998"/>
    <n v="261.94979999999998"/>
    <m/>
    <n v="300.84757055689198"/>
    <n v="286.99740155964793"/>
    <n v="0"/>
    <n v="1821.3735723999998"/>
    <n v="2168.4204444000002"/>
    <n v="0"/>
    <n v="2413.3930079646957"/>
    <n v="2375.7644901107656"/>
  </r>
  <r>
    <s v="PROJETADO"/>
    <x v="6"/>
    <x v="3"/>
    <x v="3"/>
    <x v="1"/>
    <x v="0"/>
    <x v="0"/>
    <x v="0"/>
    <x v="11"/>
    <n v="0"/>
    <n v="0"/>
    <n v="8.2780000000000005"/>
    <n v="8.2780000000000005"/>
    <n v="8.2780000000000005"/>
    <n v="8.2780000000000005"/>
    <n v="0"/>
    <x v="2"/>
    <n v="0"/>
    <n v="0"/>
    <n v="69"/>
    <n v="105"/>
    <n v="0"/>
    <n v="220.02579999999998"/>
    <n v="261.94979999999998"/>
    <m/>
    <n v="300.84757055689198"/>
    <n v="286.99740155964793"/>
    <n v="0"/>
    <n v="1821.3735723999998"/>
    <n v="2168.4204444000002"/>
    <n v="0"/>
    <n v="2413.3930079646957"/>
    <n v="2375.7644901107656"/>
  </r>
  <r>
    <s v="Regular"/>
    <x v="6"/>
    <x v="3"/>
    <x v="3"/>
    <x v="1"/>
    <x v="0"/>
    <x v="0"/>
    <x v="3"/>
    <x v="6"/>
    <n v="0"/>
    <n v="0"/>
    <n v="0.219"/>
    <n v="0.219"/>
    <n v="0.219"/>
    <n v="0.219"/>
    <n v="0"/>
    <x v="2"/>
    <n v="0"/>
    <n v="0"/>
    <n v="82"/>
    <n v="110"/>
    <n v="0"/>
    <n v="461.70919999999995"/>
    <n v="261.94979999999998"/>
    <m/>
    <n v="585.41101967641009"/>
    <n v="286.99740155964793"/>
    <n v="0"/>
    <n v="101.11431479999999"/>
    <n v="57.367006199999999"/>
    <n v="0"/>
    <n v="124.2399098047276"/>
    <n v="62.852430941562893"/>
  </r>
  <r>
    <s v="Regular"/>
    <x v="6"/>
    <x v="3"/>
    <x v="3"/>
    <x v="1"/>
    <x v="0"/>
    <x v="0"/>
    <x v="3"/>
    <x v="7"/>
    <n v="0"/>
    <n v="0"/>
    <n v="5.2999999999999999E-2"/>
    <n v="5.2999999999999999E-2"/>
    <n v="5.2999999999999999E-2"/>
    <n v="5.2999999999999999E-2"/>
    <n v="0"/>
    <x v="2"/>
    <n v="0"/>
    <n v="0"/>
    <n v="82"/>
    <n v="110"/>
    <n v="0"/>
    <n v="461.70919999999995"/>
    <n v="261.94979999999998"/>
    <m/>
    <n v="585.41101967641009"/>
    <n v="286.99740155964793"/>
    <n v="0"/>
    <n v="24.470587599999998"/>
    <n v="13.883339399999999"/>
    <n v="0"/>
    <n v="30.067192783792528"/>
    <n v="15.21086228266134"/>
  </r>
  <r>
    <s v="Regular"/>
    <x v="6"/>
    <x v="3"/>
    <x v="3"/>
    <x v="1"/>
    <x v="0"/>
    <x v="0"/>
    <x v="3"/>
    <x v="8"/>
    <n v="0"/>
    <n v="0"/>
    <n v="1.7000000000000001E-2"/>
    <n v="1.7000000000000001E-2"/>
    <n v="1.7000000000000001E-2"/>
    <n v="1.7000000000000001E-2"/>
    <n v="0"/>
    <x v="2"/>
    <n v="0"/>
    <n v="0"/>
    <n v="82"/>
    <n v="110"/>
    <n v="0"/>
    <n v="461.70919999999995"/>
    <n v="261.94979999999998"/>
    <m/>
    <n v="585.41101967641009"/>
    <n v="286.99740155964793"/>
    <n v="0"/>
    <n v="7.8490563999999994"/>
    <n v="4.4531466000000002"/>
    <n v="0"/>
    <n v="9.6441939117825104"/>
    <n v="4.8789558265140149"/>
  </r>
  <r>
    <s v="Regular"/>
    <x v="6"/>
    <x v="3"/>
    <x v="3"/>
    <x v="1"/>
    <x v="0"/>
    <x v="0"/>
    <x v="3"/>
    <x v="9"/>
    <n v="0"/>
    <n v="0"/>
    <n v="0.02"/>
    <n v="0.02"/>
    <n v="0.02"/>
    <n v="0.02"/>
    <n v="0"/>
    <x v="2"/>
    <n v="0"/>
    <n v="0"/>
    <n v="82"/>
    <n v="110"/>
    <n v="0"/>
    <n v="461.70919999999995"/>
    <n v="261.94979999999998"/>
    <m/>
    <n v="585.41101967641009"/>
    <n v="286.99740155964793"/>
    <n v="0"/>
    <n v="9.2341839999999991"/>
    <n v="5.2389959999999993"/>
    <n v="0"/>
    <n v="11.34611048445001"/>
    <n v="5.7399480311929585"/>
  </r>
  <r>
    <s v="Regular"/>
    <x v="6"/>
    <x v="3"/>
    <x v="3"/>
    <x v="1"/>
    <x v="0"/>
    <x v="0"/>
    <x v="3"/>
    <x v="10"/>
    <n v="0"/>
    <n v="0"/>
    <n v="2.1999999999999999E-2"/>
    <n v="2.1999999999999999E-2"/>
    <n v="2.1999999999999999E-2"/>
    <n v="2.1999999999999999E-2"/>
    <n v="0"/>
    <x v="2"/>
    <n v="0"/>
    <n v="0"/>
    <n v="82"/>
    <n v="110"/>
    <n v="0"/>
    <n v="461.70919999999995"/>
    <n v="261.94979999999998"/>
    <m/>
    <n v="585.41101967641009"/>
    <n v="286.99740155964793"/>
    <n v="0"/>
    <n v="10.157602399999998"/>
    <n v="5.7628955999999993"/>
    <n v="0"/>
    <n v="12.480721532895013"/>
    <n v="6.3139428343122539"/>
  </r>
  <r>
    <s v="PROJETADO"/>
    <x v="6"/>
    <x v="3"/>
    <x v="3"/>
    <x v="1"/>
    <x v="0"/>
    <x v="0"/>
    <x v="3"/>
    <x v="11"/>
    <n v="0"/>
    <n v="0"/>
    <n v="2.1999999999999999E-2"/>
    <n v="2.1999999999999999E-2"/>
    <n v="2.1999999999999999E-2"/>
    <n v="2.1999999999999999E-2"/>
    <n v="0"/>
    <x v="2"/>
    <n v="0"/>
    <n v="0"/>
    <n v="82"/>
    <n v="110"/>
    <n v="0"/>
    <n v="461.70919999999995"/>
    <n v="261.94979999999998"/>
    <m/>
    <n v="585.41101967641009"/>
    <n v="286.99740155964793"/>
    <n v="0"/>
    <n v="10.157602399999998"/>
    <n v="5.7628955999999993"/>
    <n v="0"/>
    <n v="12.480721532895013"/>
    <n v="6.3139428343122539"/>
  </r>
  <r>
    <s v="Regular"/>
    <x v="6"/>
    <x v="3"/>
    <x v="3"/>
    <x v="1"/>
    <x v="0"/>
    <x v="0"/>
    <x v="2"/>
    <x v="6"/>
    <n v="0"/>
    <n v="0"/>
    <n v="0.35699999999999998"/>
    <n v="0.35699999999999998"/>
    <n v="0.35699999999999998"/>
    <n v="0.35699999999999998"/>
    <n v="0"/>
    <x v="2"/>
    <n v="0"/>
    <n v="0"/>
    <n v="83"/>
    <n v="106"/>
    <n v="0"/>
    <n v="703.3925999999999"/>
    <n v="416.28839999999997"/>
    <m/>
    <n v="869.97474274510228"/>
    <n v="462.58111913443423"/>
    <n v="0"/>
    <n v="251.11115819999995"/>
    <n v="148.61495879999998"/>
    <n v="0"/>
    <n v="300.97538574268191"/>
    <n v="165.14145953099302"/>
  </r>
  <r>
    <s v="Regular"/>
    <x v="6"/>
    <x v="3"/>
    <x v="3"/>
    <x v="1"/>
    <x v="0"/>
    <x v="0"/>
    <x v="2"/>
    <x v="7"/>
    <n v="0"/>
    <n v="0"/>
    <n v="1.7000000000000001E-2"/>
    <n v="1.7000000000000001E-2"/>
    <n v="1.7000000000000001E-2"/>
    <n v="1.7000000000000001E-2"/>
    <n v="0"/>
    <x v="2"/>
    <n v="0"/>
    <n v="0"/>
    <n v="83"/>
    <n v="106"/>
    <n v="0"/>
    <n v="703.3925999999999"/>
    <n v="416.28839999999997"/>
    <m/>
    <n v="869.97474274510228"/>
    <n v="462.58111913443423"/>
    <n v="0"/>
    <n v="11.9576742"/>
    <n v="7.0769028"/>
    <n v="0"/>
    <n v="14.332161225841997"/>
    <n v="7.8638790252853825"/>
  </r>
  <r>
    <s v="Regular"/>
    <x v="6"/>
    <x v="3"/>
    <x v="3"/>
    <x v="1"/>
    <x v="0"/>
    <x v="0"/>
    <x v="2"/>
    <x v="8"/>
    <n v="0"/>
    <n v="0"/>
    <n v="0.03"/>
    <n v="0.03"/>
    <n v="0.03"/>
    <n v="0.03"/>
    <n v="0"/>
    <x v="2"/>
    <n v="0"/>
    <n v="0"/>
    <n v="83"/>
    <n v="106"/>
    <n v="0"/>
    <n v="703.3925999999999"/>
    <n v="416.28839999999997"/>
    <m/>
    <n v="869.97474274510228"/>
    <n v="462.58111913443423"/>
    <n v="0"/>
    <n v="21.101777999999996"/>
    <n v="12.488651999999998"/>
    <n v="0"/>
    <n v="25.292049222074109"/>
    <n v="13.877433574033027"/>
  </r>
  <r>
    <s v="Regular"/>
    <x v="6"/>
    <x v="3"/>
    <x v="3"/>
    <x v="1"/>
    <x v="0"/>
    <x v="0"/>
    <x v="2"/>
    <x v="9"/>
    <n v="0"/>
    <n v="0"/>
    <n v="1.6E-2"/>
    <n v="1.6E-2"/>
    <n v="1.6E-2"/>
    <n v="1.6E-2"/>
    <n v="0"/>
    <x v="2"/>
    <n v="0"/>
    <n v="0"/>
    <n v="83"/>
    <n v="106"/>
    <n v="0"/>
    <n v="703.3925999999999"/>
    <n v="416.28839999999997"/>
    <m/>
    <n v="869.97474274510228"/>
    <n v="462.58111913443423"/>
    <n v="0"/>
    <n v="11.254281599999999"/>
    <n v="6.6606144"/>
    <n v="0"/>
    <n v="13.489092918439525"/>
    <n v="7.4012979061509476"/>
  </r>
  <r>
    <s v="Regular"/>
    <x v="6"/>
    <x v="3"/>
    <x v="3"/>
    <x v="1"/>
    <x v="0"/>
    <x v="0"/>
    <x v="2"/>
    <x v="10"/>
    <n v="0"/>
    <n v="0"/>
    <n v="3.4000000000000002E-2"/>
    <n v="3.4000000000000002E-2"/>
    <n v="3.4000000000000002E-2"/>
    <n v="3.4000000000000002E-2"/>
    <n v="0"/>
    <x v="2"/>
    <n v="0"/>
    <n v="0"/>
    <n v="83"/>
    <n v="106"/>
    <n v="0"/>
    <n v="703.3925999999999"/>
    <n v="416.28839999999997"/>
    <m/>
    <n v="869.97474274510228"/>
    <n v="462.58111913443423"/>
    <n v="0"/>
    <n v="23.915348399999999"/>
    <n v="14.1538056"/>
    <n v="0"/>
    <n v="28.664322451683994"/>
    <n v="15.727758050570765"/>
  </r>
  <r>
    <s v="PROJETADO"/>
    <x v="6"/>
    <x v="3"/>
    <x v="3"/>
    <x v="1"/>
    <x v="0"/>
    <x v="0"/>
    <x v="2"/>
    <x v="11"/>
    <n v="0"/>
    <n v="0"/>
    <n v="3.4000000000000002E-2"/>
    <n v="3.4000000000000002E-2"/>
    <n v="3.4000000000000002E-2"/>
    <n v="3.4000000000000002E-2"/>
    <n v="0"/>
    <x v="2"/>
    <n v="0"/>
    <n v="0"/>
    <n v="83"/>
    <n v="106"/>
    <n v="0"/>
    <n v="703.3925999999999"/>
    <n v="416.28839999999997"/>
    <m/>
    <n v="869.97474274510228"/>
    <n v="462.58111913443423"/>
    <n v="0"/>
    <n v="23.915348399999999"/>
    <n v="14.1538056"/>
    <n v="0"/>
    <n v="28.664322451683994"/>
    <n v="15.727758050570765"/>
  </r>
  <r>
    <s v="Regular"/>
    <x v="6"/>
    <x v="4"/>
    <x v="2"/>
    <x v="0"/>
    <x v="0"/>
    <x v="0"/>
    <x v="1"/>
    <x v="0"/>
    <n v="0"/>
    <n v="0"/>
    <n v="3209.95"/>
    <n v="3209.95"/>
    <n v="3209.95"/>
    <n v="3209.95"/>
    <n v="5359"/>
    <x v="2"/>
    <n v="0"/>
    <n v="0"/>
    <n v="63"/>
    <n v="91"/>
    <n v="0"/>
    <n v="300.3"/>
    <n v="292.36"/>
    <m/>
    <n v="385.7156580869115"/>
    <n v="310.95812167444689"/>
    <n v="0"/>
    <n v="963947.98499999999"/>
    <n v="938460.98199999996"/>
    <n v="0"/>
    <n v="1238127.9766760815"/>
    <n v="998160.02266889077"/>
  </r>
  <r>
    <s v="Refaturamento - Regular"/>
    <x v="6"/>
    <x v="4"/>
    <x v="2"/>
    <x v="0"/>
    <x v="0"/>
    <x v="0"/>
    <x v="1"/>
    <x v="0"/>
    <n v="0"/>
    <n v="0"/>
    <n v="-9.7579999999999991"/>
    <n v="-9.7579999999999991"/>
    <n v="-9.7579999999999991"/>
    <n v="-9.7579999999999991"/>
    <n v="0"/>
    <x v="2"/>
    <n v="0"/>
    <n v="0"/>
    <n v="63"/>
    <n v="91"/>
    <n v="0"/>
    <n v="300.3"/>
    <n v="292.36"/>
    <m/>
    <n v="385.7156580869115"/>
    <n v="310.95812167444689"/>
    <n v="0"/>
    <n v="-2930.3273999999997"/>
    <n v="-2852.84888"/>
    <n v="0"/>
    <n v="-3763.8133916120819"/>
    <n v="-3034.3293512992523"/>
  </r>
  <r>
    <s v="Sistema de Compensação"/>
    <x v="6"/>
    <x v="4"/>
    <x v="2"/>
    <x v="0"/>
    <x v="0"/>
    <x v="0"/>
    <x v="1"/>
    <x v="0"/>
    <n v="0"/>
    <n v="0"/>
    <n v="47.304000000000002"/>
    <n v="47.304000000000002"/>
    <n v="47.304000000000002"/>
    <n v="47.304000000000002"/>
    <n v="93"/>
    <x v="2"/>
    <n v="0"/>
    <n v="0"/>
    <n v="63"/>
    <n v="91"/>
    <n v="0"/>
    <n v="300.3"/>
    <n v="292.36"/>
    <m/>
    <n v="385.7156580869115"/>
    <n v="310.95812167444689"/>
    <n v="0"/>
    <n v="14205.391200000002"/>
    <n v="13829.797440000002"/>
    <n v="0"/>
    <n v="18245.893490143262"/>
    <n v="14709.562987688036"/>
  </r>
  <r>
    <s v="Regular"/>
    <x v="6"/>
    <x v="4"/>
    <x v="2"/>
    <x v="0"/>
    <x v="0"/>
    <x v="0"/>
    <x v="1"/>
    <x v="1"/>
    <n v="0"/>
    <n v="0"/>
    <n v="3233.7910000000002"/>
    <n v="3233.7910000000002"/>
    <n v="3233.7910000000002"/>
    <n v="3233.7910000000002"/>
    <n v="5378"/>
    <x v="2"/>
    <n v="0"/>
    <n v="0"/>
    <n v="63"/>
    <n v="91"/>
    <n v="0"/>
    <n v="300.3"/>
    <n v="292.36"/>
    <m/>
    <n v="385.7156580869115"/>
    <n v="310.95812167444689"/>
    <n v="0"/>
    <n v="971107.43730000011"/>
    <n v="945431.13676000014"/>
    <n v="0"/>
    <n v="1247323.8236805317"/>
    <n v="1005573.5752477313"/>
  </r>
  <r>
    <s v="Refaturamento - Regular"/>
    <x v="6"/>
    <x v="4"/>
    <x v="2"/>
    <x v="0"/>
    <x v="0"/>
    <x v="0"/>
    <x v="1"/>
    <x v="1"/>
    <n v="0"/>
    <n v="0"/>
    <n v="-0.88800000000000001"/>
    <n v="-0.88800000000000001"/>
    <n v="-0.88800000000000001"/>
    <n v="-0.88800000000000001"/>
    <n v="0"/>
    <x v="2"/>
    <n v="0"/>
    <n v="0"/>
    <n v="63"/>
    <n v="91"/>
    <n v="0"/>
    <n v="300.3"/>
    <n v="292.36"/>
    <m/>
    <n v="385.7156580869115"/>
    <n v="310.95812167444689"/>
    <n v="0"/>
    <n v="-266.66640000000001"/>
    <n v="-259.61568"/>
    <n v="0"/>
    <n v="-342.51550438117744"/>
    <n v="-276.13081204690883"/>
  </r>
  <r>
    <s v="Sistema de Compensação"/>
    <x v="6"/>
    <x v="4"/>
    <x v="2"/>
    <x v="0"/>
    <x v="0"/>
    <x v="0"/>
    <x v="1"/>
    <x v="1"/>
    <n v="0"/>
    <n v="0"/>
    <n v="54.84"/>
    <n v="54.84"/>
    <n v="54.84"/>
    <n v="54.84"/>
    <n v="108"/>
    <x v="2"/>
    <n v="0"/>
    <n v="0"/>
    <n v="63"/>
    <n v="91"/>
    <n v="0"/>
    <n v="300.3"/>
    <n v="292.36"/>
    <m/>
    <n v="385.7156580869115"/>
    <n v="310.95812167444689"/>
    <n v="0"/>
    <n v="16468.452000000001"/>
    <n v="16033.022400000002"/>
    <n v="0"/>
    <n v="21152.646689486228"/>
    <n v="17052.943392626668"/>
  </r>
  <r>
    <s v="Regular"/>
    <x v="6"/>
    <x v="4"/>
    <x v="2"/>
    <x v="0"/>
    <x v="0"/>
    <x v="0"/>
    <x v="1"/>
    <x v="2"/>
    <n v="0"/>
    <n v="0"/>
    <n v="3520.7020000000002"/>
    <n v="3520.7020000000002"/>
    <n v="3520.7020000000002"/>
    <n v="3520.7020000000002"/>
    <n v="5428"/>
    <x v="2"/>
    <n v="0"/>
    <n v="0"/>
    <n v="63"/>
    <n v="91"/>
    <n v="0"/>
    <n v="300.3"/>
    <n v="292.36"/>
    <m/>
    <n v="385.7156580869115"/>
    <n v="310.95812167444689"/>
    <n v="0"/>
    <n v="1057266.8106000002"/>
    <n v="1029312.4367200001"/>
    <n v="0"/>
    <n v="1357989.8888579055"/>
    <n v="1094790.8808954686"/>
  </r>
  <r>
    <s v="Refaturamento - Regular"/>
    <x v="6"/>
    <x v="4"/>
    <x v="2"/>
    <x v="0"/>
    <x v="0"/>
    <x v="0"/>
    <x v="1"/>
    <x v="2"/>
    <n v="0"/>
    <n v="0"/>
    <n v="-3.2090000000000001"/>
    <n v="-3.2090000000000001"/>
    <n v="-3.2090000000000001"/>
    <n v="-3.2090000000000001"/>
    <n v="0"/>
    <x v="2"/>
    <n v="0"/>
    <n v="0"/>
    <n v="63"/>
    <n v="91"/>
    <n v="0"/>
    <n v="300.3"/>
    <n v="292.36"/>
    <m/>
    <n v="385.7156580869115"/>
    <n v="310.95812167444689"/>
    <n v="0"/>
    <n v="-963.66270000000009"/>
    <n v="-938.18324000000007"/>
    <n v="0"/>
    <n v="-1237.7615468008989"/>
    <n v="-997.86461245330008"/>
  </r>
  <r>
    <s v="Sistema de Compensação"/>
    <x v="6"/>
    <x v="4"/>
    <x v="2"/>
    <x v="0"/>
    <x v="0"/>
    <x v="0"/>
    <x v="1"/>
    <x v="2"/>
    <n v="0"/>
    <n v="0"/>
    <n v="74.566000000000003"/>
    <n v="74.566000000000003"/>
    <n v="74.566000000000003"/>
    <n v="74.566000000000003"/>
    <n v="120"/>
    <x v="2"/>
    <n v="0"/>
    <n v="0"/>
    <n v="63"/>
    <n v="91"/>
    <n v="0"/>
    <n v="300.3"/>
    <n v="292.36"/>
    <m/>
    <n v="385.7156580869115"/>
    <n v="310.95812167444689"/>
    <n v="0"/>
    <n v="22392.169800000003"/>
    <n v="21800.115760000001"/>
    <n v="0"/>
    <n v="28761.273760908643"/>
    <n v="23186.903300776808"/>
  </r>
  <r>
    <s v="Regular"/>
    <x v="6"/>
    <x v="4"/>
    <x v="2"/>
    <x v="0"/>
    <x v="0"/>
    <x v="0"/>
    <x v="1"/>
    <x v="3"/>
    <n v="0"/>
    <n v="0"/>
    <n v="3260.5369999999998"/>
    <n v="3260.5369999999998"/>
    <n v="3260.5369999999998"/>
    <n v="3260.5369999999998"/>
    <n v="5449"/>
    <x v="2"/>
    <n v="0"/>
    <n v="0"/>
    <n v="63"/>
    <n v="91"/>
    <n v="0"/>
    <n v="300.3"/>
    <n v="292.36"/>
    <m/>
    <n v="385.7156580869115"/>
    <n v="310.95812167444689"/>
    <n v="0"/>
    <n v="979139.2611"/>
    <n v="953250.59731999994"/>
    <n v="0"/>
    <n v="1257640.1746717242"/>
    <n v="1013890.461170036"/>
  </r>
  <r>
    <s v="Refaturamento - Regular"/>
    <x v="6"/>
    <x v="4"/>
    <x v="2"/>
    <x v="0"/>
    <x v="0"/>
    <x v="0"/>
    <x v="1"/>
    <x v="3"/>
    <n v="0"/>
    <n v="0"/>
    <n v="-1.1140000000000001"/>
    <n v="-1.1140000000000001"/>
    <n v="-1.1140000000000001"/>
    <n v="-1.1140000000000001"/>
    <n v="0"/>
    <x v="2"/>
    <n v="0"/>
    <n v="0"/>
    <n v="63"/>
    <n v="91"/>
    <n v="0"/>
    <n v="300.3"/>
    <n v="292.36"/>
    <m/>
    <n v="385.7156580869115"/>
    <n v="310.95812167444689"/>
    <n v="0"/>
    <n v="-334.53420000000006"/>
    <n v="-325.68904000000003"/>
    <n v="0"/>
    <n v="-429.68724310881947"/>
    <n v="-346.40734754533383"/>
  </r>
  <r>
    <s v="Sistema de Compensação"/>
    <x v="6"/>
    <x v="4"/>
    <x v="2"/>
    <x v="0"/>
    <x v="0"/>
    <x v="0"/>
    <x v="1"/>
    <x v="3"/>
    <n v="0"/>
    <n v="0"/>
    <n v="62.720999999999997"/>
    <n v="62.720999999999997"/>
    <n v="62.720999999999997"/>
    <n v="62.720999999999997"/>
    <n v="122"/>
    <x v="2"/>
    <n v="0"/>
    <n v="0"/>
    <n v="63"/>
    <n v="91"/>
    <n v="0"/>
    <n v="300.3"/>
    <n v="292.36"/>
    <m/>
    <n v="385.7156580869115"/>
    <n v="310.95812167444689"/>
    <n v="0"/>
    <n v="18835.116299999998"/>
    <n v="18337.111560000001"/>
    <n v="0"/>
    <n v="24192.471790869175"/>
    <n v="19503.60434954298"/>
  </r>
  <r>
    <s v="Regular"/>
    <x v="6"/>
    <x v="4"/>
    <x v="2"/>
    <x v="0"/>
    <x v="0"/>
    <x v="0"/>
    <x v="1"/>
    <x v="4"/>
    <n v="0"/>
    <n v="0"/>
    <n v="3354.5030000000002"/>
    <n v="3354.5030000000002"/>
    <n v="3354.5030000000002"/>
    <n v="3354.5030000000002"/>
    <n v="5471"/>
    <x v="2"/>
    <n v="0"/>
    <n v="0"/>
    <n v="63"/>
    <n v="91"/>
    <n v="0"/>
    <n v="300.3"/>
    <n v="292.36"/>
    <m/>
    <n v="385.7156580869115"/>
    <n v="310.95812167444689"/>
    <n v="0"/>
    <n v="1007357.2509000001"/>
    <n v="980722.49708000012"/>
    <n v="0"/>
    <n v="1293884.332199519"/>
    <n v="1043109.9520312971"/>
  </r>
  <r>
    <s v="Refaturamento - Regular"/>
    <x v="6"/>
    <x v="4"/>
    <x v="2"/>
    <x v="0"/>
    <x v="0"/>
    <x v="0"/>
    <x v="1"/>
    <x v="4"/>
    <n v="0"/>
    <n v="0"/>
    <n v="6.8000000000000005E-2"/>
    <n v="6.8000000000000005E-2"/>
    <n v="6.8000000000000005E-2"/>
    <n v="6.8000000000000005E-2"/>
    <n v="0"/>
    <x v="2"/>
    <n v="0"/>
    <n v="0"/>
    <n v="63"/>
    <n v="91"/>
    <n v="0"/>
    <n v="300.3"/>
    <n v="292.36"/>
    <m/>
    <n v="385.7156580869115"/>
    <n v="310.95812167444689"/>
    <n v="0"/>
    <n v="20.420400000000001"/>
    <n v="19.880480000000002"/>
    <n v="0"/>
    <n v="26.228664749909985"/>
    <n v="21.14515227386239"/>
  </r>
  <r>
    <s v="Sistema de Compensação"/>
    <x v="6"/>
    <x v="4"/>
    <x v="2"/>
    <x v="0"/>
    <x v="0"/>
    <x v="0"/>
    <x v="1"/>
    <x v="4"/>
    <n v="0"/>
    <n v="0"/>
    <n v="60.561999999999998"/>
    <n v="60.561999999999998"/>
    <n v="60.561999999999998"/>
    <n v="60.561999999999998"/>
    <n v="125"/>
    <x v="2"/>
    <n v="0"/>
    <n v="0"/>
    <n v="63"/>
    <n v="91"/>
    <n v="0"/>
    <n v="300.3"/>
    <n v="292.36"/>
    <m/>
    <n v="385.7156580869115"/>
    <n v="310.95812167444689"/>
    <n v="0"/>
    <n v="18186.768599999999"/>
    <n v="17705.906320000002"/>
    <n v="0"/>
    <n v="23359.711685059534"/>
    <n v="18832.245764847852"/>
  </r>
  <r>
    <s v="Regular"/>
    <x v="6"/>
    <x v="4"/>
    <x v="2"/>
    <x v="0"/>
    <x v="0"/>
    <x v="0"/>
    <x v="1"/>
    <x v="5"/>
    <n v="0"/>
    <n v="0"/>
    <n v="3565.6779999999999"/>
    <n v="3565.6779999999999"/>
    <n v="3565.6779999999999"/>
    <n v="3565.6779999999999"/>
    <n v="5498"/>
    <x v="2"/>
    <n v="0"/>
    <n v="0"/>
    <n v="63"/>
    <n v="91"/>
    <n v="0"/>
    <n v="300.3"/>
    <n v="292.36"/>
    <m/>
    <n v="385.7156580869115"/>
    <n v="310.95812167444689"/>
    <n v="0"/>
    <n v="1070773.1033999999"/>
    <n v="1042461.62008"/>
    <n v="0"/>
    <n v="1375337.8362960224"/>
    <n v="1108776.5333758984"/>
  </r>
  <r>
    <s v="Refaturamento - Regular"/>
    <x v="6"/>
    <x v="4"/>
    <x v="2"/>
    <x v="0"/>
    <x v="0"/>
    <x v="0"/>
    <x v="1"/>
    <x v="5"/>
    <n v="0"/>
    <n v="0"/>
    <n v="4.891"/>
    <n v="4.891"/>
    <n v="4.891"/>
    <n v="4.891"/>
    <n v="0"/>
    <x v="2"/>
    <n v="0"/>
    <n v="0"/>
    <n v="63"/>
    <n v="91"/>
    <n v="0"/>
    <n v="300.3"/>
    <n v="292.36"/>
    <m/>
    <n v="385.7156580869115"/>
    <n v="310.95812167444689"/>
    <n v="0"/>
    <n v="1468.7673"/>
    <n v="1429.9327600000001"/>
    <n v="0"/>
    <n v="1886.5352837030841"/>
    <n v="1520.8961731097197"/>
  </r>
  <r>
    <s v="Sistema de Compensação"/>
    <x v="6"/>
    <x v="4"/>
    <x v="2"/>
    <x v="0"/>
    <x v="0"/>
    <x v="0"/>
    <x v="1"/>
    <x v="5"/>
    <n v="0"/>
    <n v="0"/>
    <n v="77.751999999999995"/>
    <n v="77.751999999999995"/>
    <n v="77.751999999999995"/>
    <n v="77.751999999999995"/>
    <n v="137"/>
    <x v="2"/>
    <n v="0"/>
    <n v="0"/>
    <n v="63"/>
    <n v="91"/>
    <n v="0"/>
    <n v="300.3"/>
    <n v="292.36"/>
    <m/>
    <n v="385.7156580869115"/>
    <n v="310.95812167444689"/>
    <n v="0"/>
    <n v="23348.925599999999"/>
    <n v="22731.574720000001"/>
    <n v="0"/>
    <n v="29990.163847573542"/>
    <n v="24177.615876431591"/>
  </r>
  <r>
    <s v="Regular"/>
    <x v="6"/>
    <x v="4"/>
    <x v="2"/>
    <x v="0"/>
    <x v="0"/>
    <x v="0"/>
    <x v="1"/>
    <x v="6"/>
    <n v="0"/>
    <n v="0"/>
    <n v="3249.4789999999998"/>
    <n v="3249.4789999999998"/>
    <n v="3249.4789999999998"/>
    <n v="3249.4789999999998"/>
    <n v="5515"/>
    <x v="2"/>
    <n v="0"/>
    <n v="0"/>
    <n v="63"/>
    <n v="91"/>
    <n v="0"/>
    <n v="300.3"/>
    <n v="292.36"/>
    <m/>
    <n v="385.7156580869115"/>
    <n v="310.95812167444689"/>
    <n v="0"/>
    <n v="975818.54370000004"/>
    <n v="950017.68044000003"/>
    <n v="0"/>
    <n v="1253374.9309245991"/>
    <n v="1010451.8862605599"/>
  </r>
  <r>
    <s v="Refaturamento - Regular"/>
    <x v="6"/>
    <x v="4"/>
    <x v="2"/>
    <x v="0"/>
    <x v="0"/>
    <x v="0"/>
    <x v="1"/>
    <x v="6"/>
    <n v="0"/>
    <n v="0"/>
    <n v="-10.763999999999999"/>
    <n v="-10.763999999999999"/>
    <n v="-10.763999999999999"/>
    <n v="-10.763999999999999"/>
    <n v="0"/>
    <x v="2"/>
    <n v="0"/>
    <n v="0"/>
    <n v="63"/>
    <n v="91"/>
    <n v="0"/>
    <n v="300.3"/>
    <n v="292.36"/>
    <m/>
    <n v="385.7156580869115"/>
    <n v="310.95812167444689"/>
    <n v="0"/>
    <n v="-3232.4292"/>
    <n v="-3146.9630400000001"/>
    <n v="0"/>
    <n v="-4151.8433436475152"/>
    <n v="-3347.1532217037461"/>
  </r>
  <r>
    <s v="Sistema de Compensação"/>
    <x v="6"/>
    <x v="4"/>
    <x v="2"/>
    <x v="0"/>
    <x v="0"/>
    <x v="0"/>
    <x v="1"/>
    <x v="6"/>
    <n v="0"/>
    <n v="0"/>
    <n v="71.489999999999995"/>
    <n v="71.489999999999995"/>
    <n v="71.489999999999995"/>
    <n v="71.489999999999995"/>
    <n v="148"/>
    <x v="2"/>
    <n v="0"/>
    <n v="0"/>
    <n v="63"/>
    <n v="91"/>
    <n v="0"/>
    <n v="300.3"/>
    <n v="292.36"/>
    <m/>
    <n v="385.7156580869115"/>
    <n v="310.95812167444689"/>
    <n v="0"/>
    <n v="21468.447"/>
    <n v="20900.8164"/>
    <n v="0"/>
    <n v="27574.812396633301"/>
    <n v="22230.396118506207"/>
  </r>
  <r>
    <s v="Regular"/>
    <x v="6"/>
    <x v="4"/>
    <x v="2"/>
    <x v="0"/>
    <x v="0"/>
    <x v="0"/>
    <x v="1"/>
    <x v="7"/>
    <n v="0"/>
    <n v="0"/>
    <n v="3046.7640000000001"/>
    <n v="3046.7640000000001"/>
    <n v="3046.7640000000001"/>
    <n v="3046.7640000000001"/>
    <n v="5530"/>
    <x v="2"/>
    <n v="0"/>
    <n v="0"/>
    <n v="63"/>
    <n v="91"/>
    <n v="0"/>
    <n v="300.3"/>
    <n v="292.36"/>
    <m/>
    <n v="385.7156580869115"/>
    <n v="310.95812167444689"/>
    <n v="0"/>
    <n v="914943.22920000006"/>
    <n v="890751.92304000002"/>
    <n v="0"/>
    <n v="1175184.581295511"/>
    <n v="947416.01062532456"/>
  </r>
  <r>
    <s v="Refaturamento - Regular"/>
    <x v="6"/>
    <x v="4"/>
    <x v="2"/>
    <x v="0"/>
    <x v="0"/>
    <x v="0"/>
    <x v="1"/>
    <x v="7"/>
    <n v="0"/>
    <n v="0"/>
    <n v="-22.873999999999999"/>
    <n v="-22.873999999999999"/>
    <n v="-22.873999999999999"/>
    <n v="-22.873999999999999"/>
    <n v="0"/>
    <x v="2"/>
    <n v="0"/>
    <n v="0"/>
    <n v="63"/>
    <n v="91"/>
    <n v="0"/>
    <n v="300.3"/>
    <n v="292.36"/>
    <m/>
    <n v="385.7156580869115"/>
    <n v="310.95812167444689"/>
    <n v="0"/>
    <n v="-6869.0622000000003"/>
    <n v="-6687.4426400000002"/>
    <n v="0"/>
    <n v="-8822.8599630800127"/>
    <n v="-7112.8560751812975"/>
  </r>
  <r>
    <s v="Sistema de Compensação"/>
    <x v="6"/>
    <x v="4"/>
    <x v="2"/>
    <x v="0"/>
    <x v="0"/>
    <x v="0"/>
    <x v="1"/>
    <x v="7"/>
    <n v="0"/>
    <n v="0"/>
    <n v="79.274000000000001"/>
    <n v="79.274000000000001"/>
    <n v="79.274000000000001"/>
    <n v="79.274000000000001"/>
    <n v="160"/>
    <x v="2"/>
    <n v="0"/>
    <n v="0"/>
    <n v="63"/>
    <n v="91"/>
    <n v="0"/>
    <n v="300.3"/>
    <n v="292.36"/>
    <m/>
    <n v="385.7156580869115"/>
    <n v="310.95812167444689"/>
    <n v="0"/>
    <n v="23805.982200000002"/>
    <n v="23176.54664"/>
    <n v="0"/>
    <n v="30577.223079181822"/>
    <n v="24650.894137620104"/>
  </r>
  <r>
    <s v="Regular"/>
    <x v="6"/>
    <x v="4"/>
    <x v="2"/>
    <x v="0"/>
    <x v="0"/>
    <x v="0"/>
    <x v="1"/>
    <x v="8"/>
    <n v="0"/>
    <n v="0"/>
    <n v="3165.8670000000002"/>
    <n v="3165.8670000000002"/>
    <n v="3165.8670000000002"/>
    <n v="3165.8670000000002"/>
    <n v="5566"/>
    <x v="2"/>
    <n v="0"/>
    <n v="0"/>
    <n v="63"/>
    <n v="91"/>
    <n v="0"/>
    <n v="300.3"/>
    <n v="292.36"/>
    <m/>
    <n v="385.7156580869115"/>
    <n v="310.95812167444689"/>
    <n v="0"/>
    <n v="950709.86010000005"/>
    <n v="925572.87612000015"/>
    <n v="0"/>
    <n v="1221124.4733206364"/>
    <n v="984452.0557911162"/>
  </r>
  <r>
    <s v="Regular"/>
    <x v="6"/>
    <x v="4"/>
    <x v="2"/>
    <x v="0"/>
    <x v="0"/>
    <x v="0"/>
    <x v="1"/>
    <x v="9"/>
    <n v="0"/>
    <n v="0"/>
    <n v="2993.3609999999999"/>
    <n v="2993.3609999999999"/>
    <n v="2993.3609999999999"/>
    <n v="2993.3609999999999"/>
    <n v="5568"/>
    <x v="2"/>
    <n v="0"/>
    <n v="0"/>
    <n v="63"/>
    <n v="91"/>
    <n v="0"/>
    <n v="300.3"/>
    <n v="292.36"/>
    <m/>
    <n v="385.7156580869115"/>
    <n v="310.95812167444689"/>
    <n v="0"/>
    <n v="898906.30830000003"/>
    <n v="875139.02196000004"/>
    <n v="0"/>
    <n v="1154586.2080066954"/>
    <n v="930809.91405354394"/>
  </r>
  <r>
    <s v="Refaturamento - Regular"/>
    <x v="6"/>
    <x v="4"/>
    <x v="2"/>
    <x v="0"/>
    <x v="0"/>
    <x v="0"/>
    <x v="1"/>
    <x v="9"/>
    <n v="0"/>
    <n v="0"/>
    <n v="-0.42599999999999999"/>
    <n v="-0.42599999999999999"/>
    <n v="-0.42599999999999999"/>
    <n v="-0.42599999999999999"/>
    <n v="0"/>
    <x v="2"/>
    <n v="0"/>
    <n v="0"/>
    <n v="63"/>
    <n v="91"/>
    <n v="0"/>
    <n v="300.3"/>
    <n v="292.36"/>
    <m/>
    <n v="385.7156580869115"/>
    <n v="310.95812167444689"/>
    <n v="0"/>
    <n v="-127.9278"/>
    <n v="-124.54536"/>
    <n v="0"/>
    <n v="-164.3148703450243"/>
    <n v="-132.46815983331436"/>
  </r>
  <r>
    <s v="Sistema de Compensação"/>
    <x v="6"/>
    <x v="4"/>
    <x v="2"/>
    <x v="0"/>
    <x v="0"/>
    <x v="0"/>
    <x v="1"/>
    <x v="9"/>
    <n v="0"/>
    <n v="0"/>
    <n v="86.825999999999993"/>
    <n v="86.825999999999993"/>
    <n v="86.825999999999993"/>
    <n v="86.825999999999993"/>
    <n v="183"/>
    <x v="2"/>
    <n v="0"/>
    <n v="0"/>
    <n v="63"/>
    <n v="91"/>
    <n v="0"/>
    <n v="300.3"/>
    <n v="292.36"/>
    <m/>
    <n v="385.7156580869115"/>
    <n v="310.95812167444689"/>
    <n v="0"/>
    <n v="26073.8478"/>
    <n v="25384.449359999999"/>
    <n v="0"/>
    <n v="33490.147729054173"/>
    <n v="26999.249872505523"/>
  </r>
  <r>
    <s v="Sistema de Compensação"/>
    <x v="6"/>
    <x v="4"/>
    <x v="2"/>
    <x v="0"/>
    <x v="0"/>
    <x v="0"/>
    <x v="1"/>
    <x v="9"/>
    <n v="0"/>
    <n v="0"/>
    <n v="-0.91"/>
    <n v="-0.91"/>
    <n v="-0.91"/>
    <n v="-0.91"/>
    <n v="4"/>
    <x v="2"/>
    <n v="0"/>
    <n v="0"/>
    <n v="63"/>
    <n v="91"/>
    <n v="0"/>
    <n v="300.3"/>
    <n v="292.36"/>
    <m/>
    <n v="385.7156580869115"/>
    <n v="310.95812167444689"/>
    <n v="0"/>
    <n v="-273.27300000000002"/>
    <n v="-266.04760000000005"/>
    <n v="0"/>
    <n v="-351.00124885908946"/>
    <n v="-282.9718907237467"/>
  </r>
  <r>
    <s v="Regular"/>
    <x v="6"/>
    <x v="4"/>
    <x v="2"/>
    <x v="0"/>
    <x v="0"/>
    <x v="0"/>
    <x v="1"/>
    <x v="10"/>
    <n v="0"/>
    <n v="0"/>
    <n v="3262.2240000000002"/>
    <n v="3262.2240000000002"/>
    <n v="3262.2240000000002"/>
    <n v="3262.2240000000002"/>
    <n v="5567"/>
    <x v="2"/>
    <n v="0"/>
    <n v="0"/>
    <n v="63"/>
    <n v="91"/>
    <n v="0"/>
    <n v="300.3"/>
    <n v="292.36"/>
    <m/>
    <n v="385.7156580869115"/>
    <n v="310.95812167444689"/>
    <n v="0"/>
    <n v="979645.8672000001"/>
    <n v="953743.80864000006"/>
    <n v="0"/>
    <n v="1258290.8769869169"/>
    <n v="1014415.0475213008"/>
  </r>
  <r>
    <s v="Refaturamento - Regular"/>
    <x v="6"/>
    <x v="4"/>
    <x v="2"/>
    <x v="0"/>
    <x v="0"/>
    <x v="0"/>
    <x v="1"/>
    <x v="10"/>
    <n v="0"/>
    <n v="0"/>
    <n v="-5.9249999999999998"/>
    <n v="-5.9249999999999998"/>
    <n v="-5.9249999999999998"/>
    <n v="-5.9249999999999998"/>
    <n v="0"/>
    <x v="2"/>
    <n v="0"/>
    <n v="0"/>
    <n v="63"/>
    <n v="91"/>
    <n v="0"/>
    <n v="300.3"/>
    <n v="292.36"/>
    <m/>
    <n v="385.7156580869115"/>
    <n v="310.95812167444689"/>
    <n v="0"/>
    <n v="-1779.2774999999999"/>
    <n v="-1732.2329999999999"/>
    <n v="0"/>
    <n v="-2285.3652741649507"/>
    <n v="-1842.4268709210978"/>
  </r>
  <r>
    <s v="Sistema de Compensação"/>
    <x v="6"/>
    <x v="4"/>
    <x v="2"/>
    <x v="0"/>
    <x v="0"/>
    <x v="0"/>
    <x v="1"/>
    <x v="10"/>
    <n v="0"/>
    <n v="0"/>
    <n v="99.796000000000006"/>
    <n v="99.796000000000006"/>
    <n v="99.796000000000006"/>
    <n v="99.796000000000006"/>
    <n v="196"/>
    <x v="2"/>
    <n v="0"/>
    <n v="0"/>
    <n v="63"/>
    <n v="91"/>
    <n v="0"/>
    <n v="300.3"/>
    <n v="292.36"/>
    <m/>
    <n v="385.7156580869115"/>
    <n v="310.95812167444689"/>
    <n v="0"/>
    <n v="29968.738800000003"/>
    <n v="29176.358560000004"/>
    <n v="0"/>
    <n v="38492.879814441425"/>
    <n v="31032.376710623103"/>
  </r>
  <r>
    <s v="Sistema de Compensação"/>
    <x v="6"/>
    <x v="4"/>
    <x v="2"/>
    <x v="0"/>
    <x v="0"/>
    <x v="0"/>
    <x v="1"/>
    <x v="10"/>
    <n v="0"/>
    <n v="0"/>
    <n v="0.72299999999999998"/>
    <n v="0.72299999999999998"/>
    <n v="0.72299999999999998"/>
    <n v="0.72299999999999998"/>
    <n v="2"/>
    <x v="2"/>
    <n v="0"/>
    <n v="0"/>
    <n v="63"/>
    <n v="91"/>
    <n v="0"/>
    <n v="300.3"/>
    <n v="292.36"/>
    <m/>
    <n v="385.7156580869115"/>
    <n v="310.95812167444689"/>
    <n v="0"/>
    <n v="217.11689999999999"/>
    <n v="211.37628000000001"/>
    <n v="0"/>
    <n v="278.87242079683699"/>
    <n v="224.82272197062508"/>
  </r>
  <r>
    <s v="PROJETADO"/>
    <x v="6"/>
    <x v="4"/>
    <x v="2"/>
    <x v="0"/>
    <x v="0"/>
    <x v="0"/>
    <x v="1"/>
    <x v="11"/>
    <n v="0"/>
    <n v="0"/>
    <n v="3262.2240000000002"/>
    <n v="3262.2240000000002"/>
    <n v="3262.2240000000002"/>
    <n v="3262.2240000000002"/>
    <n v="5567"/>
    <x v="2"/>
    <n v="0"/>
    <n v="0"/>
    <n v="63"/>
    <n v="91"/>
    <n v="0"/>
    <n v="300.3"/>
    <n v="292.36"/>
    <m/>
    <n v="385.7156580869115"/>
    <n v="310.95812167444689"/>
    <n v="0"/>
    <n v="979645.8672000001"/>
    <n v="953743.80864000006"/>
    <n v="0"/>
    <n v="1258290.8769869169"/>
    <n v="1014415.0475213008"/>
  </r>
  <r>
    <s v="PROJETADO"/>
    <x v="6"/>
    <x v="4"/>
    <x v="2"/>
    <x v="0"/>
    <x v="0"/>
    <x v="0"/>
    <x v="1"/>
    <x v="11"/>
    <n v="0"/>
    <n v="0"/>
    <n v="-5.9249999999999998"/>
    <n v="-5.9249999999999998"/>
    <n v="-5.9249999999999998"/>
    <n v="-5.9249999999999998"/>
    <n v="0"/>
    <x v="2"/>
    <n v="0"/>
    <n v="0"/>
    <n v="63"/>
    <n v="91"/>
    <n v="0"/>
    <n v="300.3"/>
    <n v="292.36"/>
    <m/>
    <n v="385.7156580869115"/>
    <n v="310.95812167444689"/>
    <n v="0"/>
    <n v="-1779.2774999999999"/>
    <n v="-1732.2329999999999"/>
    <n v="0"/>
    <n v="-2285.3652741649507"/>
    <n v="-1842.4268709210978"/>
  </r>
  <r>
    <s v="PROJETADO"/>
    <x v="6"/>
    <x v="4"/>
    <x v="2"/>
    <x v="0"/>
    <x v="0"/>
    <x v="0"/>
    <x v="1"/>
    <x v="11"/>
    <n v="0"/>
    <n v="0"/>
    <n v="99.796000000000006"/>
    <n v="99.796000000000006"/>
    <n v="99.796000000000006"/>
    <n v="99.796000000000006"/>
    <n v="196"/>
    <x v="2"/>
    <n v="0"/>
    <n v="0"/>
    <n v="63"/>
    <n v="91"/>
    <n v="0"/>
    <n v="300.3"/>
    <n v="292.36"/>
    <m/>
    <n v="385.7156580869115"/>
    <n v="310.95812167444689"/>
    <n v="0"/>
    <n v="29968.738800000003"/>
    <n v="29176.358560000004"/>
    <n v="0"/>
    <n v="38492.879814441425"/>
    <n v="31032.376710623103"/>
  </r>
  <r>
    <s v="PROJETADO"/>
    <x v="6"/>
    <x v="4"/>
    <x v="2"/>
    <x v="0"/>
    <x v="0"/>
    <x v="0"/>
    <x v="1"/>
    <x v="11"/>
    <n v="0"/>
    <n v="0"/>
    <n v="0.72299999999999998"/>
    <n v="0.72299999999999998"/>
    <n v="0.72299999999999998"/>
    <n v="0.72299999999999998"/>
    <n v="2"/>
    <x v="2"/>
    <n v="0"/>
    <n v="0"/>
    <n v="63"/>
    <n v="91"/>
    <n v="0"/>
    <n v="300.3"/>
    <n v="292.36"/>
    <m/>
    <n v="385.7156580869115"/>
    <n v="310.95812167444689"/>
    <n v="0"/>
    <n v="217.11689999999999"/>
    <n v="211.37628000000001"/>
    <n v="0"/>
    <n v="278.87242079683699"/>
    <n v="224.82272197062508"/>
  </r>
  <r>
    <s v="Regular"/>
    <x v="6"/>
    <x v="4"/>
    <x v="4"/>
    <x v="0"/>
    <x v="0"/>
    <x v="0"/>
    <x v="1"/>
    <x v="0"/>
    <n v="0"/>
    <n v="0"/>
    <n v="19.355"/>
    <n v="19.355"/>
    <n v="19.355"/>
    <n v="19.355"/>
    <n v="9"/>
    <x v="2"/>
    <n v="0"/>
    <n v="0"/>
    <n v="63"/>
    <n v="91"/>
    <n v="0"/>
    <n v="300.3"/>
    <n v="292.36"/>
    <m/>
    <n v="385.7156580869115"/>
    <n v="310.95812167444689"/>
    <n v="0"/>
    <n v="5812.3065000000006"/>
    <n v="5658.6278000000002"/>
    <n v="0"/>
    <n v="7465.5265622721727"/>
    <n v="6018.59444500892"/>
  </r>
  <r>
    <s v="Sistema de Compensação"/>
    <x v="6"/>
    <x v="4"/>
    <x v="4"/>
    <x v="0"/>
    <x v="0"/>
    <x v="0"/>
    <x v="1"/>
    <x v="0"/>
    <n v="0"/>
    <n v="0"/>
    <n v="0.1"/>
    <n v="0.1"/>
    <n v="0.1"/>
    <n v="0.1"/>
    <n v="1"/>
    <x v="2"/>
    <n v="0"/>
    <n v="0"/>
    <n v="63"/>
    <n v="91"/>
    <n v="0"/>
    <n v="300.3"/>
    <n v="292.36"/>
    <m/>
    <n v="385.7156580869115"/>
    <n v="310.95812167444689"/>
    <n v="0"/>
    <n v="30.03"/>
    <n v="29.236000000000004"/>
    <n v="0"/>
    <n v="38.571565808691155"/>
    <n v="31.095812167444691"/>
  </r>
  <r>
    <s v="Regular"/>
    <x v="6"/>
    <x v="4"/>
    <x v="4"/>
    <x v="0"/>
    <x v="0"/>
    <x v="0"/>
    <x v="1"/>
    <x v="1"/>
    <n v="0"/>
    <n v="0"/>
    <n v="18.065000000000001"/>
    <n v="18.065000000000001"/>
    <n v="18.065000000000001"/>
    <n v="18.065000000000001"/>
    <n v="8"/>
    <x v="2"/>
    <n v="0"/>
    <n v="0"/>
    <n v="63"/>
    <n v="91"/>
    <n v="0"/>
    <n v="300.3"/>
    <n v="292.36"/>
    <m/>
    <n v="385.7156580869115"/>
    <n v="310.95812167444689"/>
    <n v="0"/>
    <n v="5424.9195000000009"/>
    <n v="5281.483400000001"/>
    <n v="0"/>
    <n v="6967.953363340057"/>
    <n v="5617.4584680488833"/>
  </r>
  <r>
    <s v="Sistema de Compensação"/>
    <x v="6"/>
    <x v="4"/>
    <x v="4"/>
    <x v="0"/>
    <x v="0"/>
    <x v="0"/>
    <x v="1"/>
    <x v="1"/>
    <n v="0"/>
    <n v="0"/>
    <n v="0.2"/>
    <n v="0.2"/>
    <n v="0.2"/>
    <n v="0.2"/>
    <n v="2"/>
    <x v="2"/>
    <n v="0"/>
    <n v="0"/>
    <n v="63"/>
    <n v="91"/>
    <n v="0"/>
    <n v="300.3"/>
    <n v="292.36"/>
    <m/>
    <n v="385.7156580869115"/>
    <n v="310.95812167444689"/>
    <n v="0"/>
    <n v="60.06"/>
    <n v="58.472000000000008"/>
    <n v="0"/>
    <n v="77.143131617382309"/>
    <n v="62.191624334889383"/>
  </r>
  <r>
    <s v="Regular"/>
    <x v="6"/>
    <x v="4"/>
    <x v="4"/>
    <x v="0"/>
    <x v="0"/>
    <x v="0"/>
    <x v="1"/>
    <x v="2"/>
    <n v="0"/>
    <n v="0"/>
    <n v="5.6550000000000002"/>
    <n v="5.6550000000000002"/>
    <n v="5.6550000000000002"/>
    <n v="5.6550000000000002"/>
    <n v="7"/>
    <x v="2"/>
    <n v="0"/>
    <n v="0"/>
    <n v="63"/>
    <n v="91"/>
    <n v="0"/>
    <n v="300.3"/>
    <n v="292.36"/>
    <m/>
    <n v="385.7156580869115"/>
    <n v="310.95812167444689"/>
    <n v="0"/>
    <n v="1698.1965000000002"/>
    <n v="1653.2958000000001"/>
    <n v="0"/>
    <n v="2181.2220464814845"/>
    <n v="1758.4681780689973"/>
  </r>
  <r>
    <s v="Sistema de Compensação"/>
    <x v="6"/>
    <x v="4"/>
    <x v="4"/>
    <x v="0"/>
    <x v="0"/>
    <x v="0"/>
    <x v="1"/>
    <x v="2"/>
    <n v="0"/>
    <n v="0"/>
    <n v="13.237"/>
    <n v="13.237"/>
    <n v="13.237"/>
    <n v="13.237"/>
    <n v="3"/>
    <x v="2"/>
    <n v="0"/>
    <n v="0"/>
    <n v="63"/>
    <n v="91"/>
    <n v="0"/>
    <n v="300.3"/>
    <n v="292.36"/>
    <m/>
    <n v="385.7156580869115"/>
    <n v="310.95812167444689"/>
    <n v="0"/>
    <n v="3975.0711000000001"/>
    <n v="3869.9693200000002"/>
    <n v="0"/>
    <n v="5105.7181660964479"/>
    <n v="4116.1526566046532"/>
  </r>
  <r>
    <s v="Regular"/>
    <x v="6"/>
    <x v="4"/>
    <x v="4"/>
    <x v="0"/>
    <x v="0"/>
    <x v="0"/>
    <x v="1"/>
    <x v="3"/>
    <n v="0"/>
    <n v="0"/>
    <n v="2.9710000000000001"/>
    <n v="2.9710000000000001"/>
    <n v="2.9710000000000001"/>
    <n v="2.9710000000000001"/>
    <n v="7"/>
    <x v="2"/>
    <n v="0"/>
    <n v="0"/>
    <n v="63"/>
    <n v="91"/>
    <n v="0"/>
    <n v="300.3"/>
    <n v="292.36"/>
    <m/>
    <n v="385.7156580869115"/>
    <n v="310.95812167444689"/>
    <n v="0"/>
    <n v="892.19130000000007"/>
    <n v="868.60156000000006"/>
    <n v="0"/>
    <n v="1145.9612201762141"/>
    <n v="923.85657949478173"/>
  </r>
  <r>
    <s v="Sistema de Compensação"/>
    <x v="6"/>
    <x v="4"/>
    <x v="4"/>
    <x v="0"/>
    <x v="0"/>
    <x v="0"/>
    <x v="1"/>
    <x v="3"/>
    <n v="0"/>
    <n v="0"/>
    <n v="13.678000000000001"/>
    <n v="13.678000000000001"/>
    <n v="13.678000000000001"/>
    <n v="13.678000000000001"/>
    <n v="3"/>
    <x v="2"/>
    <n v="0"/>
    <n v="0"/>
    <n v="63"/>
    <n v="91"/>
    <n v="0"/>
    <n v="300.3"/>
    <n v="292.36"/>
    <m/>
    <n v="385.7156580869115"/>
    <n v="310.95812167444689"/>
    <n v="0"/>
    <n v="4107.5034000000005"/>
    <n v="3998.9000800000003"/>
    <n v="0"/>
    <n v="5275.8187713127754"/>
    <n v="4253.2851882630848"/>
  </r>
  <r>
    <s v="Regular"/>
    <x v="6"/>
    <x v="4"/>
    <x v="4"/>
    <x v="0"/>
    <x v="0"/>
    <x v="0"/>
    <x v="1"/>
    <x v="4"/>
    <n v="0"/>
    <n v="0"/>
    <n v="5.601"/>
    <n v="5.601"/>
    <n v="5.601"/>
    <n v="5.601"/>
    <n v="8"/>
    <x v="2"/>
    <n v="0"/>
    <n v="0"/>
    <n v="63"/>
    <n v="91"/>
    <n v="0"/>
    <n v="300.3"/>
    <n v="292.36"/>
    <m/>
    <n v="385.7156580869115"/>
    <n v="310.95812167444689"/>
    <n v="0"/>
    <n v="1681.9803000000002"/>
    <n v="1637.50836"/>
    <n v="0"/>
    <n v="2160.3934009447912"/>
    <n v="1741.6764394985771"/>
  </r>
  <r>
    <s v="Sistema de Compensação"/>
    <x v="6"/>
    <x v="4"/>
    <x v="4"/>
    <x v="0"/>
    <x v="0"/>
    <x v="0"/>
    <x v="1"/>
    <x v="4"/>
    <n v="0"/>
    <n v="0"/>
    <n v="13.317"/>
    <n v="13.317"/>
    <n v="13.317"/>
    <n v="13.317"/>
    <n v="2"/>
    <x v="2"/>
    <n v="0"/>
    <n v="0"/>
    <n v="63"/>
    <n v="91"/>
    <n v="0"/>
    <n v="300.3"/>
    <n v="292.36"/>
    <m/>
    <n v="385.7156580869115"/>
    <n v="310.95812167444689"/>
    <n v="0"/>
    <n v="3999.0951"/>
    <n v="3893.3581200000003"/>
    <n v="0"/>
    <n v="5136.5754187434004"/>
    <n v="4141.0293063386089"/>
  </r>
  <r>
    <s v="Regular"/>
    <x v="6"/>
    <x v="4"/>
    <x v="4"/>
    <x v="0"/>
    <x v="0"/>
    <x v="0"/>
    <x v="1"/>
    <x v="5"/>
    <n v="0"/>
    <n v="0"/>
    <n v="4.8049999999999997"/>
    <n v="4.8049999999999997"/>
    <n v="4.8049999999999997"/>
    <n v="4.8049999999999997"/>
    <n v="7"/>
    <x v="2"/>
    <n v="0"/>
    <n v="0"/>
    <n v="63"/>
    <n v="91"/>
    <n v="0"/>
    <n v="300.3"/>
    <n v="292.36"/>
    <m/>
    <n v="385.7156580869115"/>
    <n v="310.95812167444689"/>
    <n v="0"/>
    <n v="1442.9414999999999"/>
    <n v="1404.7898"/>
    <n v="0"/>
    <n v="1853.3637371076097"/>
    <n v="1494.1537746457172"/>
  </r>
  <r>
    <s v="Sistema de Compensação"/>
    <x v="6"/>
    <x v="4"/>
    <x v="4"/>
    <x v="0"/>
    <x v="0"/>
    <x v="0"/>
    <x v="1"/>
    <x v="5"/>
    <n v="0"/>
    <n v="0"/>
    <n v="15.292"/>
    <n v="15.292"/>
    <n v="15.292"/>
    <n v="15.292"/>
    <n v="3"/>
    <x v="2"/>
    <n v="0"/>
    <n v="0"/>
    <n v="63"/>
    <n v="91"/>
    <n v="0"/>
    <n v="300.3"/>
    <n v="292.36"/>
    <m/>
    <n v="385.7156580869115"/>
    <n v="310.95812167444689"/>
    <n v="0"/>
    <n v="4592.1876000000002"/>
    <n v="4470.7691199999999"/>
    <n v="0"/>
    <n v="5898.3638434650502"/>
    <n v="4755.1715966456413"/>
  </r>
  <r>
    <s v="Regular"/>
    <x v="6"/>
    <x v="4"/>
    <x v="4"/>
    <x v="0"/>
    <x v="0"/>
    <x v="0"/>
    <x v="1"/>
    <x v="6"/>
    <n v="0"/>
    <n v="0"/>
    <n v="4.8570000000000002"/>
    <n v="4.8570000000000002"/>
    <n v="4.8570000000000002"/>
    <n v="4.8570000000000002"/>
    <n v="7"/>
    <x v="2"/>
    <n v="0"/>
    <n v="0"/>
    <n v="63"/>
    <n v="91"/>
    <n v="0"/>
    <n v="300.3"/>
    <n v="292.36"/>
    <m/>
    <n v="385.7156580869115"/>
    <n v="310.95812167444689"/>
    <n v="0"/>
    <n v="1458.5571000000002"/>
    <n v="1419.99252"/>
    <n v="0"/>
    <n v="1873.4209513281291"/>
    <n v="1510.3235969727887"/>
  </r>
  <r>
    <s v="Sistema de Compensação"/>
    <x v="6"/>
    <x v="4"/>
    <x v="4"/>
    <x v="0"/>
    <x v="0"/>
    <x v="0"/>
    <x v="1"/>
    <x v="6"/>
    <n v="0"/>
    <n v="0"/>
    <n v="14.211"/>
    <n v="14.211"/>
    <n v="14.211"/>
    <n v="14.211"/>
    <n v="3"/>
    <x v="2"/>
    <n v="0"/>
    <n v="0"/>
    <n v="63"/>
    <n v="91"/>
    <n v="0"/>
    <n v="300.3"/>
    <n v="292.36"/>
    <m/>
    <n v="385.7156580869115"/>
    <n v="310.95812167444689"/>
    <n v="0"/>
    <n v="4267.5632999999998"/>
    <n v="4154.7279600000002"/>
    <n v="0"/>
    <n v="5481.4052170730993"/>
    <n v="4419.0258671155652"/>
  </r>
  <r>
    <s v="Regular"/>
    <x v="6"/>
    <x v="4"/>
    <x v="4"/>
    <x v="0"/>
    <x v="0"/>
    <x v="0"/>
    <x v="1"/>
    <x v="7"/>
    <n v="0"/>
    <n v="0"/>
    <n v="6.6070000000000002"/>
    <n v="6.6070000000000002"/>
    <n v="6.6070000000000002"/>
    <n v="6.6070000000000002"/>
    <n v="7"/>
    <x v="2"/>
    <n v="0"/>
    <n v="0"/>
    <n v="63"/>
    <n v="91"/>
    <n v="0"/>
    <n v="300.3"/>
    <n v="292.36"/>
    <m/>
    <n v="385.7156580869115"/>
    <n v="310.95812167444689"/>
    <n v="0"/>
    <n v="1984.0821000000001"/>
    <n v="1931.6225200000001"/>
    <n v="0"/>
    <n v="2548.4233529802245"/>
    <n v="2054.5003099030705"/>
  </r>
  <r>
    <s v="Sistema de Compensação"/>
    <x v="6"/>
    <x v="4"/>
    <x v="4"/>
    <x v="0"/>
    <x v="0"/>
    <x v="0"/>
    <x v="1"/>
    <x v="7"/>
    <n v="0"/>
    <n v="0"/>
    <n v="15.096"/>
    <n v="15.096"/>
    <n v="15.096"/>
    <n v="15.096"/>
    <n v="3"/>
    <x v="2"/>
    <n v="0"/>
    <n v="0"/>
    <n v="63"/>
    <n v="91"/>
    <n v="0"/>
    <n v="300.3"/>
    <n v="292.36"/>
    <m/>
    <n v="385.7156580869115"/>
    <n v="310.95812167444689"/>
    <n v="0"/>
    <n v="4533.3288000000002"/>
    <n v="4413.4665599999998"/>
    <n v="0"/>
    <n v="5822.7635744800164"/>
    <n v="4694.2238047974506"/>
  </r>
  <r>
    <s v="Regular"/>
    <x v="6"/>
    <x v="4"/>
    <x v="4"/>
    <x v="0"/>
    <x v="0"/>
    <x v="0"/>
    <x v="1"/>
    <x v="8"/>
    <n v="0"/>
    <n v="0"/>
    <n v="7.5880000000000001"/>
    <n v="7.5880000000000001"/>
    <n v="7.5880000000000001"/>
    <n v="7.5880000000000001"/>
    <n v="7"/>
    <x v="2"/>
    <n v="0"/>
    <n v="0"/>
    <n v="63"/>
    <n v="91"/>
    <n v="0"/>
    <n v="300.3"/>
    <n v="292.36"/>
    <m/>
    <n v="385.7156580869115"/>
    <n v="310.95812167444689"/>
    <n v="0"/>
    <n v="2278.6764000000003"/>
    <n v="2218.4276800000002"/>
    <n v="0"/>
    <n v="2926.8104135634844"/>
    <n v="2359.5502272657031"/>
  </r>
  <r>
    <s v="Regular"/>
    <x v="6"/>
    <x v="4"/>
    <x v="4"/>
    <x v="0"/>
    <x v="0"/>
    <x v="0"/>
    <x v="1"/>
    <x v="9"/>
    <n v="0"/>
    <n v="0"/>
    <n v="5.8570000000000002"/>
    <n v="5.8570000000000002"/>
    <n v="5.8570000000000002"/>
    <n v="5.8570000000000002"/>
    <n v="7"/>
    <x v="2"/>
    <n v="0"/>
    <n v="0"/>
    <n v="63"/>
    <n v="91"/>
    <n v="0"/>
    <n v="300.3"/>
    <n v="292.36"/>
    <m/>
    <n v="385.7156580869115"/>
    <n v="310.95812167444689"/>
    <n v="0"/>
    <n v="1758.8571000000002"/>
    <n v="1712.3525200000001"/>
    <n v="0"/>
    <n v="2259.1366094150408"/>
    <n v="1821.2817186472355"/>
  </r>
  <r>
    <s v="Sistema de Compensação"/>
    <x v="6"/>
    <x v="4"/>
    <x v="4"/>
    <x v="0"/>
    <x v="0"/>
    <x v="0"/>
    <x v="1"/>
    <x v="9"/>
    <n v="0"/>
    <n v="0"/>
    <n v="15.643000000000001"/>
    <n v="15.643000000000001"/>
    <n v="15.643000000000001"/>
    <n v="15.643000000000001"/>
    <n v="3"/>
    <x v="2"/>
    <n v="0"/>
    <n v="0"/>
    <n v="63"/>
    <n v="91"/>
    <n v="0"/>
    <n v="300.3"/>
    <n v="292.36"/>
    <m/>
    <n v="385.7156580869115"/>
    <n v="310.95812167444689"/>
    <n v="0"/>
    <n v="4697.5929000000006"/>
    <n v="4573.3874800000003"/>
    <n v="0"/>
    <n v="6033.7500394535573"/>
    <n v="4864.3178973533732"/>
  </r>
  <r>
    <s v="Regular"/>
    <x v="6"/>
    <x v="4"/>
    <x v="4"/>
    <x v="0"/>
    <x v="0"/>
    <x v="0"/>
    <x v="1"/>
    <x v="10"/>
    <n v="0"/>
    <n v="0"/>
    <n v="6.359"/>
    <n v="6.359"/>
    <n v="6.359"/>
    <n v="6.359"/>
    <n v="7"/>
    <x v="2"/>
    <n v="0"/>
    <n v="0"/>
    <n v="63"/>
    <n v="91"/>
    <n v="0"/>
    <n v="300.3"/>
    <n v="292.36"/>
    <m/>
    <n v="385.7156580869115"/>
    <n v="310.95812167444689"/>
    <n v="0"/>
    <n v="1909.6077"/>
    <n v="1859.11724"/>
    <n v="0"/>
    <n v="2452.7658697746701"/>
    <n v="1977.3826957278077"/>
  </r>
  <r>
    <s v="Sistema de Compensação"/>
    <x v="6"/>
    <x v="4"/>
    <x v="4"/>
    <x v="0"/>
    <x v="0"/>
    <x v="0"/>
    <x v="1"/>
    <x v="10"/>
    <n v="0"/>
    <n v="0"/>
    <n v="15.837"/>
    <n v="15.837"/>
    <n v="15.837"/>
    <n v="15.837"/>
    <n v="3"/>
    <x v="2"/>
    <n v="0"/>
    <n v="0"/>
    <n v="63"/>
    <n v="91"/>
    <n v="0"/>
    <n v="300.3"/>
    <n v="292.36"/>
    <m/>
    <n v="385.7156580869115"/>
    <n v="310.95812167444689"/>
    <n v="0"/>
    <n v="4755.8510999999999"/>
    <n v="4630.1053200000006"/>
    <n v="0"/>
    <n v="6108.578877122417"/>
    <n v="4924.6437729582149"/>
  </r>
  <r>
    <s v="PROJETADO"/>
    <x v="6"/>
    <x v="4"/>
    <x v="4"/>
    <x v="0"/>
    <x v="0"/>
    <x v="0"/>
    <x v="1"/>
    <x v="11"/>
    <n v="0"/>
    <n v="0"/>
    <n v="6.359"/>
    <n v="6.359"/>
    <n v="6.359"/>
    <n v="6.359"/>
    <n v="7"/>
    <x v="2"/>
    <n v="0"/>
    <n v="0"/>
    <n v="63"/>
    <n v="91"/>
    <n v="0"/>
    <n v="300.3"/>
    <n v="292.36"/>
    <m/>
    <n v="385.7156580869115"/>
    <n v="310.95812167444689"/>
    <n v="0"/>
    <n v="1909.6077"/>
    <n v="1859.11724"/>
    <n v="0"/>
    <n v="2452.7658697746701"/>
    <n v="1977.3826957278077"/>
  </r>
  <r>
    <s v="PROJETADO"/>
    <x v="6"/>
    <x v="4"/>
    <x v="4"/>
    <x v="0"/>
    <x v="0"/>
    <x v="0"/>
    <x v="1"/>
    <x v="11"/>
    <n v="0"/>
    <n v="0"/>
    <n v="15.837"/>
    <n v="15.837"/>
    <n v="15.837"/>
    <n v="15.837"/>
    <n v="3"/>
    <x v="2"/>
    <n v="0"/>
    <n v="0"/>
    <n v="63"/>
    <n v="91"/>
    <n v="0"/>
    <n v="300.3"/>
    <n v="292.36"/>
    <m/>
    <n v="385.7156580869115"/>
    <n v="310.95812167444689"/>
    <n v="0"/>
    <n v="4755.8510999999999"/>
    <n v="4630.1053200000006"/>
    <n v="0"/>
    <n v="6108.578877122417"/>
    <n v="4924.6437729582149"/>
  </r>
  <r>
    <s v="Regular"/>
    <x v="6"/>
    <x v="4"/>
    <x v="0"/>
    <x v="0"/>
    <x v="0"/>
    <x v="0"/>
    <x v="1"/>
    <x v="0"/>
    <n v="0"/>
    <n v="0"/>
    <n v="185.97800000000001"/>
    <n v="185.97800000000001"/>
    <n v="185.97800000000001"/>
    <n v="185.97800000000001"/>
    <n v="144"/>
    <x v="2"/>
    <n v="0"/>
    <n v="0"/>
    <n v="63"/>
    <n v="91"/>
    <n v="0"/>
    <n v="300.3"/>
    <n v="292.36"/>
    <m/>
    <n v="385.7156580869115"/>
    <n v="310.95812167444689"/>
    <n v="0"/>
    <n v="55849.193400000004"/>
    <n v="54372.528080000004"/>
    <n v="0"/>
    <n v="71734.626659687638"/>
    <n v="57831.369552770288"/>
  </r>
  <r>
    <s v="Sistema de Compensação"/>
    <x v="6"/>
    <x v="4"/>
    <x v="0"/>
    <x v="0"/>
    <x v="0"/>
    <x v="0"/>
    <x v="1"/>
    <x v="0"/>
    <n v="0"/>
    <n v="0"/>
    <n v="3.1480000000000001"/>
    <n v="3.1480000000000001"/>
    <n v="3.1480000000000001"/>
    <n v="3.1480000000000001"/>
    <n v="3"/>
    <x v="2"/>
    <n v="0"/>
    <n v="0"/>
    <n v="63"/>
    <n v="91"/>
    <n v="0"/>
    <n v="300.3"/>
    <n v="292.36"/>
    <m/>
    <n v="385.7156580869115"/>
    <n v="310.95812167444689"/>
    <n v="0"/>
    <n v="945.34440000000006"/>
    <n v="920.34928000000014"/>
    <n v="0"/>
    <n v="1214.2328916575975"/>
    <n v="978.89616703115883"/>
  </r>
  <r>
    <s v="Regular"/>
    <x v="6"/>
    <x v="4"/>
    <x v="0"/>
    <x v="0"/>
    <x v="0"/>
    <x v="0"/>
    <x v="1"/>
    <x v="1"/>
    <n v="0"/>
    <n v="0"/>
    <n v="185.14599999999999"/>
    <n v="185.14599999999999"/>
    <n v="185.14599999999999"/>
    <n v="185.14599999999999"/>
    <n v="144"/>
    <x v="2"/>
    <n v="0"/>
    <n v="0"/>
    <n v="63"/>
    <n v="91"/>
    <n v="0"/>
    <n v="300.3"/>
    <n v="292.36"/>
    <m/>
    <n v="385.7156580869115"/>
    <n v="310.95812167444689"/>
    <n v="0"/>
    <n v="55599.343799999995"/>
    <n v="54129.28456"/>
    <n v="0"/>
    <n v="71413.711232159316"/>
    <n v="57572.652395537138"/>
  </r>
  <r>
    <s v="Sistema de Compensação"/>
    <x v="6"/>
    <x v="4"/>
    <x v="0"/>
    <x v="0"/>
    <x v="0"/>
    <x v="0"/>
    <x v="1"/>
    <x v="1"/>
    <n v="0"/>
    <n v="0"/>
    <n v="4.4740000000000002"/>
    <n v="4.4740000000000002"/>
    <n v="4.4740000000000002"/>
    <n v="4.4740000000000002"/>
    <n v="3"/>
    <x v="2"/>
    <n v="0"/>
    <n v="0"/>
    <n v="63"/>
    <n v="91"/>
    <n v="0"/>
    <n v="300.3"/>
    <n v="292.36"/>
    <m/>
    <n v="385.7156580869115"/>
    <n v="310.95812167444689"/>
    <n v="0"/>
    <n v="1343.5422000000001"/>
    <n v="1308.0186400000002"/>
    <n v="0"/>
    <n v="1725.6918542808421"/>
    <n v="1391.2266363714755"/>
  </r>
  <r>
    <s v="Regular"/>
    <x v="6"/>
    <x v="4"/>
    <x v="0"/>
    <x v="0"/>
    <x v="0"/>
    <x v="0"/>
    <x v="1"/>
    <x v="2"/>
    <n v="0"/>
    <n v="0"/>
    <n v="178.929"/>
    <n v="178.929"/>
    <n v="178.929"/>
    <n v="178.929"/>
    <n v="142"/>
    <x v="2"/>
    <n v="0"/>
    <n v="0"/>
    <n v="63"/>
    <n v="91"/>
    <n v="0"/>
    <n v="300.3"/>
    <n v="292.36"/>
    <m/>
    <n v="385.7156580869115"/>
    <n v="310.95812167444689"/>
    <n v="0"/>
    <n v="53732.378700000001"/>
    <n v="52311.682440000004"/>
    <n v="0"/>
    <n v="69015.716985832987"/>
    <n v="55639.425753087111"/>
  </r>
  <r>
    <s v="Sistema de Compensação"/>
    <x v="6"/>
    <x v="4"/>
    <x v="0"/>
    <x v="0"/>
    <x v="0"/>
    <x v="0"/>
    <x v="1"/>
    <x v="2"/>
    <n v="0"/>
    <n v="0"/>
    <n v="5.4130000000000003"/>
    <n v="5.4130000000000003"/>
    <n v="5.4130000000000003"/>
    <n v="5.4130000000000003"/>
    <n v="3"/>
    <x v="2"/>
    <n v="0"/>
    <n v="0"/>
    <n v="63"/>
    <n v="91"/>
    <n v="0"/>
    <n v="300.3"/>
    <n v="292.36"/>
    <m/>
    <n v="385.7156580869115"/>
    <n v="310.95812167444689"/>
    <n v="0"/>
    <n v="1625.5239000000001"/>
    <n v="1582.5446800000002"/>
    <n v="0"/>
    <n v="2087.8788572244521"/>
    <n v="1683.2163126237811"/>
  </r>
  <r>
    <s v="Regular"/>
    <x v="6"/>
    <x v="4"/>
    <x v="0"/>
    <x v="0"/>
    <x v="0"/>
    <x v="0"/>
    <x v="1"/>
    <x v="3"/>
    <n v="0"/>
    <n v="0"/>
    <n v="175.19499999999999"/>
    <n v="175.19499999999999"/>
    <n v="175.19499999999999"/>
    <n v="175.19499999999999"/>
    <n v="143"/>
    <x v="2"/>
    <n v="0"/>
    <n v="0"/>
    <n v="63"/>
    <n v="91"/>
    <n v="0"/>
    <n v="300.3"/>
    <n v="292.36"/>
    <m/>
    <n v="385.7156580869115"/>
    <n v="310.95812167444689"/>
    <n v="0"/>
    <n v="52611.058499999999"/>
    <n v="51220.010199999997"/>
    <n v="0"/>
    <n v="67575.454718536464"/>
    <n v="54478.308126754717"/>
  </r>
  <r>
    <s v="Refaturamento - Regular"/>
    <x v="6"/>
    <x v="4"/>
    <x v="0"/>
    <x v="0"/>
    <x v="0"/>
    <x v="0"/>
    <x v="1"/>
    <x v="3"/>
    <n v="0"/>
    <n v="0"/>
    <n v="-1.55"/>
    <n v="-1.55"/>
    <n v="-1.55"/>
    <n v="-1.55"/>
    <n v="0"/>
    <x v="2"/>
    <n v="0"/>
    <n v="0"/>
    <n v="63"/>
    <n v="91"/>
    <n v="0"/>
    <n v="300.3"/>
    <n v="292.36"/>
    <m/>
    <n v="385.7156580869115"/>
    <n v="310.95812167444689"/>
    <n v="0"/>
    <n v="-465.46500000000003"/>
    <n v="-453.15800000000002"/>
    <n v="0"/>
    <n v="-597.85927003471284"/>
    <n v="-481.98508859539271"/>
  </r>
  <r>
    <s v="Sistema de Compensação"/>
    <x v="6"/>
    <x v="4"/>
    <x v="0"/>
    <x v="0"/>
    <x v="0"/>
    <x v="0"/>
    <x v="1"/>
    <x v="3"/>
    <n v="0"/>
    <n v="0"/>
    <n v="4.7309999999999999"/>
    <n v="4.7309999999999999"/>
    <n v="4.7309999999999999"/>
    <n v="4.7309999999999999"/>
    <n v="3"/>
    <x v="2"/>
    <n v="0"/>
    <n v="0"/>
    <n v="63"/>
    <n v="91"/>
    <n v="0"/>
    <n v="300.3"/>
    <n v="292.36"/>
    <m/>
    <n v="385.7156580869115"/>
    <n v="310.95812167444689"/>
    <n v="0"/>
    <n v="1420.7193"/>
    <n v="1383.15516"/>
    <n v="0"/>
    <n v="1824.8207784091783"/>
    <n v="1471.1428736418081"/>
  </r>
  <r>
    <s v="Regular"/>
    <x v="6"/>
    <x v="4"/>
    <x v="0"/>
    <x v="0"/>
    <x v="0"/>
    <x v="0"/>
    <x v="1"/>
    <x v="4"/>
    <n v="0"/>
    <n v="0"/>
    <n v="188.96199999999999"/>
    <n v="188.96199999999999"/>
    <n v="188.96199999999999"/>
    <n v="188.96199999999999"/>
    <n v="142"/>
    <x v="2"/>
    <n v="0"/>
    <n v="0"/>
    <n v="63"/>
    <n v="91"/>
    <n v="0"/>
    <n v="300.3"/>
    <n v="292.36"/>
    <m/>
    <n v="385.7156580869115"/>
    <n v="310.95812167444689"/>
    <n v="0"/>
    <n v="56745.2886"/>
    <n v="55244.930319999999"/>
    <n v="0"/>
    <n v="72885.602183418974"/>
    <n v="58759.268587846826"/>
  </r>
  <r>
    <s v="Sistema de Compensação"/>
    <x v="6"/>
    <x v="4"/>
    <x v="0"/>
    <x v="0"/>
    <x v="0"/>
    <x v="0"/>
    <x v="1"/>
    <x v="4"/>
    <n v="0"/>
    <n v="0"/>
    <n v="5.1689999999999996"/>
    <n v="5.1689999999999996"/>
    <n v="5.1689999999999996"/>
    <n v="5.1689999999999996"/>
    <n v="3"/>
    <x v="2"/>
    <n v="0"/>
    <n v="0"/>
    <n v="63"/>
    <n v="91"/>
    <n v="0"/>
    <n v="300.3"/>
    <n v="292.36"/>
    <m/>
    <n v="385.7156580869115"/>
    <n v="310.95812167444689"/>
    <n v="0"/>
    <n v="1552.2506999999998"/>
    <n v="1511.20884"/>
    <n v="0"/>
    <n v="1993.7642366512455"/>
    <n v="1607.3425309352158"/>
  </r>
  <r>
    <s v="Regular"/>
    <x v="6"/>
    <x v="4"/>
    <x v="0"/>
    <x v="0"/>
    <x v="0"/>
    <x v="0"/>
    <x v="1"/>
    <x v="5"/>
    <n v="0"/>
    <n v="0"/>
    <n v="189.744"/>
    <n v="189.744"/>
    <n v="189.744"/>
    <n v="189.744"/>
    <n v="141"/>
    <x v="2"/>
    <n v="0"/>
    <n v="0"/>
    <n v="63"/>
    <n v="91"/>
    <n v="0"/>
    <n v="300.3"/>
    <n v="292.36"/>
    <m/>
    <n v="385.7156580869115"/>
    <n v="310.95812167444689"/>
    <n v="0"/>
    <n v="56980.123200000002"/>
    <n v="55473.555840000001"/>
    <n v="0"/>
    <n v="73187.231828042932"/>
    <n v="59002.437838996251"/>
  </r>
  <r>
    <s v="Sistema de Compensação"/>
    <x v="6"/>
    <x v="4"/>
    <x v="0"/>
    <x v="0"/>
    <x v="0"/>
    <x v="0"/>
    <x v="1"/>
    <x v="5"/>
    <n v="0"/>
    <n v="0"/>
    <n v="5.7910000000000004"/>
    <n v="5.7910000000000004"/>
    <n v="5.7910000000000004"/>
    <n v="5.7910000000000004"/>
    <n v="4"/>
    <x v="2"/>
    <n v="0"/>
    <n v="0"/>
    <n v="63"/>
    <n v="91"/>
    <n v="0"/>
    <n v="300.3"/>
    <n v="292.36"/>
    <m/>
    <n v="385.7156580869115"/>
    <n v="310.95812167444689"/>
    <n v="0"/>
    <n v="1739.0373000000002"/>
    <n v="1693.0567600000002"/>
    <n v="0"/>
    <n v="2233.6793759813045"/>
    <n v="1800.7584826167219"/>
  </r>
  <r>
    <s v="Regular"/>
    <x v="6"/>
    <x v="4"/>
    <x v="0"/>
    <x v="0"/>
    <x v="0"/>
    <x v="0"/>
    <x v="1"/>
    <x v="6"/>
    <n v="0"/>
    <n v="0"/>
    <n v="183.285"/>
    <n v="183.285"/>
    <n v="183.285"/>
    <n v="183.285"/>
    <n v="141"/>
    <x v="2"/>
    <n v="0"/>
    <n v="0"/>
    <n v="63"/>
    <n v="91"/>
    <n v="0"/>
    <n v="300.3"/>
    <n v="292.36"/>
    <m/>
    <n v="385.7156580869115"/>
    <n v="310.95812167444689"/>
    <n v="0"/>
    <n v="55040.485500000003"/>
    <n v="53585.202600000004"/>
    <n v="0"/>
    <n v="70695.894392459581"/>
    <n v="56993.959331100996"/>
  </r>
  <r>
    <s v="Sistema de Compensação"/>
    <x v="6"/>
    <x v="4"/>
    <x v="0"/>
    <x v="0"/>
    <x v="0"/>
    <x v="0"/>
    <x v="1"/>
    <x v="6"/>
    <n v="0"/>
    <n v="0"/>
    <n v="5.1369999999999996"/>
    <n v="5.1369999999999996"/>
    <n v="5.1369999999999996"/>
    <n v="5.1369999999999996"/>
    <n v="4"/>
    <x v="2"/>
    <n v="0"/>
    <n v="0"/>
    <n v="63"/>
    <n v="91"/>
    <n v="0"/>
    <n v="300.3"/>
    <n v="292.36"/>
    <m/>
    <n v="385.7156580869115"/>
    <n v="310.95812167444689"/>
    <n v="0"/>
    <n v="1542.6410999999998"/>
    <n v="1501.8533199999999"/>
    <n v="0"/>
    <n v="1981.4213355924642"/>
    <n v="1597.3918710416335"/>
  </r>
  <r>
    <s v="Regular"/>
    <x v="6"/>
    <x v="4"/>
    <x v="0"/>
    <x v="0"/>
    <x v="0"/>
    <x v="0"/>
    <x v="1"/>
    <x v="7"/>
    <n v="0"/>
    <n v="0"/>
    <n v="179.96199999999999"/>
    <n v="179.96199999999999"/>
    <n v="179.96199999999999"/>
    <n v="179.96199999999999"/>
    <n v="143"/>
    <x v="2"/>
    <n v="0"/>
    <n v="0"/>
    <n v="63"/>
    <n v="91"/>
    <n v="0"/>
    <n v="300.3"/>
    <n v="292.36"/>
    <m/>
    <n v="385.7156580869115"/>
    <n v="310.95812167444689"/>
    <n v="0"/>
    <n v="54042.588599999995"/>
    <n v="52613.690320000002"/>
    <n v="0"/>
    <n v="69414.161260636771"/>
    <n v="55960.645492776806"/>
  </r>
  <r>
    <s v="Sistema de Compensação"/>
    <x v="6"/>
    <x v="4"/>
    <x v="0"/>
    <x v="0"/>
    <x v="0"/>
    <x v="0"/>
    <x v="1"/>
    <x v="7"/>
    <n v="0"/>
    <n v="0"/>
    <n v="1.61"/>
    <n v="1.61"/>
    <n v="1.61"/>
    <n v="1.61"/>
    <n v="3"/>
    <x v="2"/>
    <n v="0"/>
    <n v="0"/>
    <n v="63"/>
    <n v="91"/>
    <n v="0"/>
    <n v="300.3"/>
    <n v="292.36"/>
    <m/>
    <n v="385.7156580869115"/>
    <n v="310.95812167444689"/>
    <n v="0"/>
    <n v="483.48300000000006"/>
    <n v="470.69960000000003"/>
    <n v="0"/>
    <n v="621.00220951992753"/>
    <n v="500.64257589585952"/>
  </r>
  <r>
    <s v="Regular"/>
    <x v="6"/>
    <x v="4"/>
    <x v="0"/>
    <x v="0"/>
    <x v="0"/>
    <x v="0"/>
    <x v="1"/>
    <x v="8"/>
    <n v="0"/>
    <n v="0"/>
    <n v="188.00800000000001"/>
    <n v="188.00800000000001"/>
    <n v="188.00800000000001"/>
    <n v="188.00800000000001"/>
    <n v="142"/>
    <x v="2"/>
    <n v="0"/>
    <n v="0"/>
    <n v="63"/>
    <n v="91"/>
    <n v="0"/>
    <n v="300.3"/>
    <n v="292.36"/>
    <m/>
    <n v="385.7156580869115"/>
    <n v="310.95812167444689"/>
    <n v="0"/>
    <n v="56458.802400000008"/>
    <n v="54966.018880000003"/>
    <n v="0"/>
    <n v="72517.629445604063"/>
    <n v="58462.614539769413"/>
  </r>
  <r>
    <s v="Regular"/>
    <x v="6"/>
    <x v="4"/>
    <x v="0"/>
    <x v="0"/>
    <x v="0"/>
    <x v="0"/>
    <x v="1"/>
    <x v="9"/>
    <n v="0"/>
    <n v="0"/>
    <n v="180.226"/>
    <n v="180.226"/>
    <n v="180.226"/>
    <n v="180.226"/>
    <n v="143"/>
    <x v="2"/>
    <n v="0"/>
    <n v="0"/>
    <n v="63"/>
    <n v="91"/>
    <n v="0"/>
    <n v="300.3"/>
    <n v="292.36"/>
    <m/>
    <n v="385.7156580869115"/>
    <n v="310.95812167444689"/>
    <n v="0"/>
    <n v="54121.8678"/>
    <n v="52690.873360000005"/>
    <n v="0"/>
    <n v="69515.990194371712"/>
    <n v="56042.738436898864"/>
  </r>
  <r>
    <s v="Sistema de Compensação"/>
    <x v="6"/>
    <x v="4"/>
    <x v="0"/>
    <x v="0"/>
    <x v="0"/>
    <x v="0"/>
    <x v="1"/>
    <x v="9"/>
    <n v="0"/>
    <n v="0"/>
    <n v="5.3520000000000003"/>
    <n v="5.3520000000000003"/>
    <n v="5.3520000000000003"/>
    <n v="5.3520000000000003"/>
    <n v="4"/>
    <x v="2"/>
    <n v="0"/>
    <n v="0"/>
    <n v="63"/>
    <n v="91"/>
    <n v="0"/>
    <n v="300.3"/>
    <n v="292.36"/>
    <m/>
    <n v="385.7156580869115"/>
    <n v="310.95812167444689"/>
    <n v="0"/>
    <n v="1607.2056000000002"/>
    <n v="1564.7107200000003"/>
    <n v="0"/>
    <n v="2064.3502020811507"/>
    <n v="1664.2478672016398"/>
  </r>
  <r>
    <s v="Regular"/>
    <x v="6"/>
    <x v="4"/>
    <x v="0"/>
    <x v="0"/>
    <x v="0"/>
    <x v="0"/>
    <x v="1"/>
    <x v="10"/>
    <n v="0"/>
    <n v="0"/>
    <n v="190.60400000000001"/>
    <n v="190.60400000000001"/>
    <n v="190.60400000000001"/>
    <n v="190.60400000000001"/>
    <n v="143"/>
    <x v="2"/>
    <n v="0"/>
    <n v="0"/>
    <n v="63"/>
    <n v="91"/>
    <n v="0"/>
    <n v="300.3"/>
    <n v="292.36"/>
    <m/>
    <n v="385.7156580869115"/>
    <n v="310.95812167444689"/>
    <n v="0"/>
    <n v="57238.381200000003"/>
    <n v="55724.985440000004"/>
    <n v="0"/>
    <n v="73518.947293997684"/>
    <n v="59269.861823636282"/>
  </r>
  <r>
    <s v="Sistema de Compensação"/>
    <x v="6"/>
    <x v="4"/>
    <x v="0"/>
    <x v="0"/>
    <x v="0"/>
    <x v="0"/>
    <x v="1"/>
    <x v="10"/>
    <n v="0"/>
    <n v="0"/>
    <n v="13.79"/>
    <n v="13.79"/>
    <n v="13.79"/>
    <n v="13.79"/>
    <n v="6"/>
    <x v="2"/>
    <n v="0"/>
    <n v="0"/>
    <n v="63"/>
    <n v="91"/>
    <n v="0"/>
    <n v="300.3"/>
    <n v="292.36"/>
    <m/>
    <n v="385.7156580869115"/>
    <n v="310.95812167444689"/>
    <n v="0"/>
    <n v="4141.1369999999997"/>
    <n v="4031.6444000000001"/>
    <n v="0"/>
    <n v="5319.0189250185094"/>
    <n v="4288.1124978906219"/>
  </r>
  <r>
    <s v="PROJETADO"/>
    <x v="6"/>
    <x v="4"/>
    <x v="0"/>
    <x v="0"/>
    <x v="0"/>
    <x v="0"/>
    <x v="1"/>
    <x v="11"/>
    <n v="0"/>
    <n v="0"/>
    <n v="190.60400000000001"/>
    <n v="190.60400000000001"/>
    <n v="190.60400000000001"/>
    <n v="190.60400000000001"/>
    <n v="143"/>
    <x v="2"/>
    <n v="0"/>
    <n v="0"/>
    <n v="63"/>
    <n v="91"/>
    <n v="0"/>
    <n v="300.3"/>
    <n v="292.36"/>
    <m/>
    <n v="385.7156580869115"/>
    <n v="310.95812167444689"/>
    <n v="0"/>
    <n v="57238.381200000003"/>
    <n v="55724.985440000004"/>
    <n v="0"/>
    <n v="73518.947293997684"/>
    <n v="59269.861823636282"/>
  </r>
  <r>
    <s v="PROJETADO"/>
    <x v="6"/>
    <x v="4"/>
    <x v="0"/>
    <x v="0"/>
    <x v="0"/>
    <x v="0"/>
    <x v="1"/>
    <x v="11"/>
    <n v="0"/>
    <n v="0"/>
    <n v="13.79"/>
    <n v="13.79"/>
    <n v="13.79"/>
    <n v="13.79"/>
    <n v="6"/>
    <x v="2"/>
    <n v="0"/>
    <n v="0"/>
    <n v="63"/>
    <n v="91"/>
    <n v="0"/>
    <n v="300.3"/>
    <n v="292.36"/>
    <m/>
    <n v="385.7156580869115"/>
    <n v="310.95812167444689"/>
    <n v="0"/>
    <n v="4141.1369999999997"/>
    <n v="4031.6444000000001"/>
    <n v="0"/>
    <n v="5319.0189250185094"/>
    <n v="4288.1124978906219"/>
  </r>
  <r>
    <s v="Regular"/>
    <x v="6"/>
    <x v="4"/>
    <x v="5"/>
    <x v="0"/>
    <x v="0"/>
    <x v="0"/>
    <x v="1"/>
    <x v="0"/>
    <n v="0"/>
    <n v="0"/>
    <n v="286.779"/>
    <n v="286.779"/>
    <n v="286.779"/>
    <n v="286.779"/>
    <n v="422"/>
    <x v="2"/>
    <n v="0"/>
    <n v="0"/>
    <n v="63"/>
    <n v="91"/>
    <n v="0"/>
    <n v="300.3"/>
    <n v="292.36"/>
    <m/>
    <n v="385.7156580869115"/>
    <n v="310.95812167444689"/>
    <n v="0"/>
    <n v="86119.733699999997"/>
    <n v="83842.708440000002"/>
    <n v="0"/>
    <n v="110615.15071050639"/>
    <n v="89176.259175676198"/>
  </r>
  <r>
    <s v="Regular"/>
    <x v="6"/>
    <x v="4"/>
    <x v="5"/>
    <x v="0"/>
    <x v="0"/>
    <x v="0"/>
    <x v="1"/>
    <x v="1"/>
    <n v="0"/>
    <n v="0"/>
    <n v="313.83699999999999"/>
    <n v="313.83699999999999"/>
    <n v="313.83699999999999"/>
    <n v="313.83699999999999"/>
    <n v="422"/>
    <x v="2"/>
    <n v="0"/>
    <n v="0"/>
    <n v="63"/>
    <n v="91"/>
    <n v="0"/>
    <n v="300.3"/>
    <n v="292.36"/>
    <m/>
    <n v="385.7156580869115"/>
    <n v="310.95812167444689"/>
    <n v="0"/>
    <n v="94245.251099999994"/>
    <n v="91753.385320000001"/>
    <n v="0"/>
    <n v="121051.84498702204"/>
    <n v="97590.164031943379"/>
  </r>
  <r>
    <s v="Regular"/>
    <x v="6"/>
    <x v="4"/>
    <x v="5"/>
    <x v="0"/>
    <x v="0"/>
    <x v="0"/>
    <x v="1"/>
    <x v="2"/>
    <n v="0"/>
    <n v="0"/>
    <n v="309.61700000000002"/>
    <n v="309.61700000000002"/>
    <n v="309.61700000000002"/>
    <n v="309.61700000000002"/>
    <n v="419"/>
    <x v="2"/>
    <n v="0"/>
    <n v="0"/>
    <n v="63"/>
    <n v="91"/>
    <n v="0"/>
    <n v="300.3"/>
    <n v="292.36"/>
    <m/>
    <n v="385.7156580869115"/>
    <n v="310.95812167444689"/>
    <n v="0"/>
    <n v="92977.985100000005"/>
    <n v="90519.626120000015"/>
    <n v="0"/>
    <n v="119424.12490989528"/>
    <n v="96277.920758477223"/>
  </r>
  <r>
    <s v="Refaturamento - Regular"/>
    <x v="6"/>
    <x v="4"/>
    <x v="5"/>
    <x v="0"/>
    <x v="0"/>
    <x v="0"/>
    <x v="1"/>
    <x v="2"/>
    <n v="0"/>
    <n v="0"/>
    <n v="-0.03"/>
    <n v="-0.03"/>
    <n v="-0.03"/>
    <n v="-0.03"/>
    <n v="0"/>
    <x v="2"/>
    <n v="0"/>
    <n v="0"/>
    <n v="63"/>
    <n v="91"/>
    <n v="0"/>
    <n v="300.3"/>
    <n v="292.36"/>
    <m/>
    <n v="385.7156580869115"/>
    <n v="310.95812167444689"/>
    <n v="0"/>
    <n v="-9.0090000000000003"/>
    <n v="-8.7707999999999995"/>
    <n v="0"/>
    <n v="-11.571469742607345"/>
    <n v="-9.328743650233406"/>
  </r>
  <r>
    <s v="Regular"/>
    <x v="6"/>
    <x v="4"/>
    <x v="5"/>
    <x v="0"/>
    <x v="0"/>
    <x v="0"/>
    <x v="1"/>
    <x v="3"/>
    <n v="0"/>
    <n v="0"/>
    <n v="277.64699999999999"/>
    <n v="277.64699999999999"/>
    <n v="277.64699999999999"/>
    <n v="277.64699999999999"/>
    <n v="417"/>
    <x v="2"/>
    <n v="0"/>
    <n v="0"/>
    <n v="63"/>
    <n v="91"/>
    <n v="0"/>
    <n v="300.3"/>
    <n v="292.36"/>
    <m/>
    <n v="385.7156580869115"/>
    <n v="310.95812167444689"/>
    <n v="0"/>
    <n v="83377.394100000005"/>
    <n v="81172.876919999995"/>
    <n v="0"/>
    <n v="107092.79532085672"/>
    <n v="86336.589608545153"/>
  </r>
  <r>
    <s v="Regular"/>
    <x v="6"/>
    <x v="4"/>
    <x v="5"/>
    <x v="0"/>
    <x v="0"/>
    <x v="0"/>
    <x v="1"/>
    <x v="4"/>
    <n v="0"/>
    <n v="0"/>
    <n v="298.39600000000002"/>
    <n v="298.39600000000002"/>
    <n v="298.39600000000002"/>
    <n v="298.39600000000002"/>
    <n v="420"/>
    <x v="2"/>
    <n v="0"/>
    <n v="0"/>
    <n v="63"/>
    <n v="91"/>
    <n v="0"/>
    <n v="300.3"/>
    <n v="292.36"/>
    <m/>
    <n v="385.7156580869115"/>
    <n v="310.95812167444689"/>
    <n v="0"/>
    <n v="89608.318800000008"/>
    <n v="87239.054560000004"/>
    <n v="0"/>
    <n v="115096.00951050204"/>
    <n v="92788.659675168252"/>
  </r>
  <r>
    <s v="Regular"/>
    <x v="6"/>
    <x v="4"/>
    <x v="5"/>
    <x v="0"/>
    <x v="0"/>
    <x v="0"/>
    <x v="1"/>
    <x v="5"/>
    <n v="0"/>
    <n v="0"/>
    <n v="317.66399999999999"/>
    <n v="317.66399999999999"/>
    <n v="317.66399999999999"/>
    <n v="317.66399999999999"/>
    <n v="419"/>
    <x v="2"/>
    <n v="0"/>
    <n v="0"/>
    <n v="63"/>
    <n v="91"/>
    <n v="0"/>
    <n v="300.3"/>
    <n v="292.36"/>
    <m/>
    <n v="385.7156580869115"/>
    <n v="310.95812167444689"/>
    <n v="0"/>
    <n v="95394.499200000006"/>
    <n v="92872.247040000002"/>
    <n v="0"/>
    <n v="122527.97881052065"/>
    <n v="98780.200763591492"/>
  </r>
  <r>
    <s v="Refaturamento - Regular"/>
    <x v="6"/>
    <x v="4"/>
    <x v="5"/>
    <x v="0"/>
    <x v="0"/>
    <x v="0"/>
    <x v="1"/>
    <x v="5"/>
    <n v="0"/>
    <n v="0"/>
    <n v="-2.1259999999999999"/>
    <n v="-2.1259999999999999"/>
    <n v="-2.1259999999999999"/>
    <n v="-2.1259999999999999"/>
    <n v="0"/>
    <x v="2"/>
    <n v="0"/>
    <n v="0"/>
    <n v="63"/>
    <n v="91"/>
    <n v="0"/>
    <n v="300.3"/>
    <n v="292.36"/>
    <m/>
    <n v="385.7156580869115"/>
    <n v="310.95812167444689"/>
    <n v="0"/>
    <n v="-638.43780000000004"/>
    <n v="-621.55736000000002"/>
    <n v="0"/>
    <n v="-820.03148909277377"/>
    <n v="-661.09696667987407"/>
  </r>
  <r>
    <s v="Regular"/>
    <x v="6"/>
    <x v="4"/>
    <x v="5"/>
    <x v="0"/>
    <x v="0"/>
    <x v="0"/>
    <x v="1"/>
    <x v="6"/>
    <n v="0"/>
    <n v="0"/>
    <n v="307.87299999999999"/>
    <n v="307.87299999999999"/>
    <n v="307.87299999999999"/>
    <n v="307.87299999999999"/>
    <n v="418"/>
    <x v="2"/>
    <n v="0"/>
    <n v="0"/>
    <n v="63"/>
    <n v="91"/>
    <n v="0"/>
    <n v="300.3"/>
    <n v="292.36"/>
    <m/>
    <n v="385.7156580869115"/>
    <n v="310.95812167444689"/>
    <n v="0"/>
    <n v="92454.261899999998"/>
    <n v="90009.750280000007"/>
    <n v="0"/>
    <n v="118751.4368021917"/>
    <n v="95735.609794276985"/>
  </r>
  <r>
    <s v="Regular"/>
    <x v="6"/>
    <x v="4"/>
    <x v="5"/>
    <x v="0"/>
    <x v="0"/>
    <x v="0"/>
    <x v="1"/>
    <x v="7"/>
    <n v="0"/>
    <n v="0"/>
    <n v="310.024"/>
    <n v="310.024"/>
    <n v="310.024"/>
    <n v="310.024"/>
    <n v="420"/>
    <x v="2"/>
    <n v="0"/>
    <n v="0"/>
    <n v="63"/>
    <n v="91"/>
    <n v="0"/>
    <n v="300.3"/>
    <n v="292.36"/>
    <m/>
    <n v="385.7156580869115"/>
    <n v="310.95812167444689"/>
    <n v="0"/>
    <n v="93100.207200000004"/>
    <n v="90638.616640000007"/>
    <n v="0"/>
    <n v="119581.11118273665"/>
    <n v="96404.480713998724"/>
  </r>
  <r>
    <s v="Regular"/>
    <x v="6"/>
    <x v="4"/>
    <x v="5"/>
    <x v="0"/>
    <x v="0"/>
    <x v="0"/>
    <x v="1"/>
    <x v="8"/>
    <n v="0"/>
    <n v="0"/>
    <n v="473.20100000000002"/>
    <n v="473.20100000000002"/>
    <n v="473.20100000000002"/>
    <n v="473.20100000000002"/>
    <n v="418"/>
    <x v="2"/>
    <n v="0"/>
    <n v="0"/>
    <n v="63"/>
    <n v="91"/>
    <n v="0"/>
    <n v="300.3"/>
    <n v="292.36"/>
    <m/>
    <n v="385.7156580869115"/>
    <n v="310.95812167444689"/>
    <n v="0"/>
    <n v="142102.26030000002"/>
    <n v="138345.04436"/>
    <n v="0"/>
    <n v="182521.03512238461"/>
    <n v="147145.69413446996"/>
  </r>
  <r>
    <s v="Regular"/>
    <x v="6"/>
    <x v="4"/>
    <x v="5"/>
    <x v="0"/>
    <x v="0"/>
    <x v="0"/>
    <x v="1"/>
    <x v="9"/>
    <n v="0"/>
    <n v="0"/>
    <n v="296.83300000000003"/>
    <n v="296.83300000000003"/>
    <n v="296.83300000000003"/>
    <n v="296.83300000000003"/>
    <n v="416"/>
    <x v="2"/>
    <n v="0"/>
    <n v="0"/>
    <n v="63"/>
    <n v="91"/>
    <n v="0"/>
    <n v="300.3"/>
    <n v="292.36"/>
    <m/>
    <n v="385.7156580869115"/>
    <n v="310.95812167444689"/>
    <n v="0"/>
    <n v="89138.949900000007"/>
    <n v="86782.095880000008"/>
    <n v="0"/>
    <n v="114493.13593691221"/>
    <n v="92302.6321309911"/>
  </r>
  <r>
    <s v="Refaturamento - Regular"/>
    <x v="6"/>
    <x v="4"/>
    <x v="5"/>
    <x v="0"/>
    <x v="0"/>
    <x v="0"/>
    <x v="1"/>
    <x v="9"/>
    <n v="0"/>
    <n v="0"/>
    <n v="1.7330000000000001"/>
    <n v="1.7330000000000001"/>
    <n v="1.7330000000000001"/>
    <n v="1.7330000000000001"/>
    <n v="0"/>
    <x v="2"/>
    <n v="0"/>
    <n v="0"/>
    <n v="63"/>
    <n v="91"/>
    <n v="0"/>
    <n v="300.3"/>
    <n v="292.36"/>
    <m/>
    <n v="385.7156580869115"/>
    <n v="310.95812167444689"/>
    <n v="0"/>
    <n v="520.4199000000001"/>
    <n v="506.65988000000004"/>
    <n v="0"/>
    <n v="668.44523546461767"/>
    <n v="538.89042486181643"/>
  </r>
  <r>
    <s v="Regular"/>
    <x v="6"/>
    <x v="4"/>
    <x v="5"/>
    <x v="0"/>
    <x v="0"/>
    <x v="0"/>
    <x v="1"/>
    <x v="10"/>
    <n v="0"/>
    <n v="0"/>
    <n v="346.601"/>
    <n v="346.601"/>
    <n v="346.601"/>
    <n v="346.601"/>
    <n v="415"/>
    <x v="2"/>
    <n v="0"/>
    <n v="0"/>
    <n v="63"/>
    <n v="91"/>
    <n v="0"/>
    <n v="300.3"/>
    <n v="292.36"/>
    <m/>
    <n v="385.7156580869115"/>
    <n v="310.95812167444689"/>
    <n v="0"/>
    <n v="104084.2803"/>
    <n v="101332.26836"/>
    <n v="0"/>
    <n v="133689.43280858162"/>
    <n v="107778.39593048497"/>
  </r>
  <r>
    <s v="PROJETADO"/>
    <x v="6"/>
    <x v="4"/>
    <x v="5"/>
    <x v="0"/>
    <x v="0"/>
    <x v="0"/>
    <x v="1"/>
    <x v="11"/>
    <n v="0"/>
    <n v="0"/>
    <n v="346.601"/>
    <n v="346.601"/>
    <n v="346.601"/>
    <n v="346.601"/>
    <n v="415"/>
    <x v="2"/>
    <n v="0"/>
    <n v="0"/>
    <n v="63"/>
    <n v="91"/>
    <n v="0"/>
    <n v="300.3"/>
    <n v="292.36"/>
    <m/>
    <n v="385.7156580869115"/>
    <n v="310.95812167444689"/>
    <n v="0"/>
    <n v="104084.2803"/>
    <n v="101332.26836"/>
    <n v="0"/>
    <n v="133689.43280858162"/>
    <n v="107778.39593048497"/>
  </r>
  <r>
    <s v="Regular"/>
    <x v="6"/>
    <x v="4"/>
    <x v="3"/>
    <x v="1"/>
    <x v="0"/>
    <x v="0"/>
    <x v="1"/>
    <x v="0"/>
    <n v="0"/>
    <n v="0"/>
    <n v="114.953"/>
    <n v="114.953"/>
    <n v="114.953"/>
    <n v="114.953"/>
    <n v="122"/>
    <x v="2"/>
    <n v="0"/>
    <n v="0"/>
    <n v="63"/>
    <n v="91"/>
    <n v="0"/>
    <n v="282.28199999999998"/>
    <n v="274.8184"/>
    <m/>
    <n v="374.14418834430415"/>
    <n v="301.62937802421345"/>
    <n v="0"/>
    <n v="32449.162745999998"/>
    <n v="31591.199535200001"/>
    <n v="0"/>
    <n v="41678.821721420856"/>
    <n v="34673.201892017409"/>
  </r>
  <r>
    <s v="Regular"/>
    <x v="6"/>
    <x v="4"/>
    <x v="3"/>
    <x v="1"/>
    <x v="0"/>
    <x v="0"/>
    <x v="1"/>
    <x v="1"/>
    <n v="0"/>
    <n v="0"/>
    <n v="122.25"/>
    <n v="122.25"/>
    <n v="122.25"/>
    <n v="122.25"/>
    <n v="120"/>
    <x v="2"/>
    <n v="0"/>
    <n v="0"/>
    <n v="63"/>
    <n v="91"/>
    <n v="0"/>
    <n v="282.28199999999998"/>
    <n v="274.8184"/>
    <m/>
    <n v="374.14418834430415"/>
    <n v="301.62937802421345"/>
    <n v="0"/>
    <n v="34508.974499999997"/>
    <n v="33596.549399999996"/>
    <n v="0"/>
    <n v="44324.514849057436"/>
    <n v="36874.191463460098"/>
  </r>
  <r>
    <s v="Regular"/>
    <x v="6"/>
    <x v="4"/>
    <x v="3"/>
    <x v="1"/>
    <x v="0"/>
    <x v="0"/>
    <x v="1"/>
    <x v="2"/>
    <n v="0"/>
    <n v="0"/>
    <n v="137.76900000000001"/>
    <n v="137.76900000000001"/>
    <n v="137.76900000000001"/>
    <n v="137.76900000000001"/>
    <n v="120"/>
    <x v="2"/>
    <n v="0"/>
    <n v="0"/>
    <n v="63"/>
    <n v="91"/>
    <n v="0"/>
    <n v="282.28199999999998"/>
    <n v="274.8184"/>
    <m/>
    <n v="374.14418834430415"/>
    <n v="301.62937802421345"/>
    <n v="0"/>
    <n v="38889.708857999998"/>
    <n v="37861.456149600002"/>
    <n v="0"/>
    <n v="49951.280869037168"/>
    <n v="41555.177781017868"/>
  </r>
  <r>
    <s v="Regular"/>
    <x v="6"/>
    <x v="4"/>
    <x v="3"/>
    <x v="1"/>
    <x v="0"/>
    <x v="0"/>
    <x v="1"/>
    <x v="3"/>
    <n v="0"/>
    <n v="0"/>
    <n v="125.75700000000001"/>
    <n v="125.75700000000001"/>
    <n v="125.75700000000001"/>
    <n v="125.75700000000001"/>
    <n v="120"/>
    <x v="2"/>
    <n v="0"/>
    <n v="0"/>
    <n v="63"/>
    <n v="91"/>
    <n v="0"/>
    <n v="282.28199999999998"/>
    <n v="274.8184"/>
    <m/>
    <n v="374.14418834430415"/>
    <n v="301.62937802421345"/>
    <n v="0"/>
    <n v="35498.937473999998"/>
    <n v="34560.337528800002"/>
    <n v="0"/>
    <n v="45596.057373193587"/>
    <n v="37932.005692191015"/>
  </r>
  <r>
    <s v="Regular"/>
    <x v="6"/>
    <x v="4"/>
    <x v="3"/>
    <x v="1"/>
    <x v="0"/>
    <x v="0"/>
    <x v="1"/>
    <x v="4"/>
    <n v="0"/>
    <n v="0"/>
    <n v="128.351"/>
    <n v="128.351"/>
    <n v="128.351"/>
    <n v="128.351"/>
    <n v="121"/>
    <x v="2"/>
    <n v="0"/>
    <n v="0"/>
    <n v="63"/>
    <n v="91"/>
    <n v="0"/>
    <n v="282.28199999999998"/>
    <n v="274.8184"/>
    <m/>
    <n v="374.14418834430415"/>
    <n v="301.62937802421345"/>
    <n v="0"/>
    <n v="36231.176981999997"/>
    <n v="35273.216458399998"/>
    <n v="0"/>
    <n v="46536.571005246391"/>
    <n v="38714.432298785818"/>
  </r>
  <r>
    <s v="Regular"/>
    <x v="6"/>
    <x v="4"/>
    <x v="3"/>
    <x v="1"/>
    <x v="0"/>
    <x v="0"/>
    <x v="1"/>
    <x v="5"/>
    <n v="0"/>
    <n v="0"/>
    <n v="109.29300000000001"/>
    <n v="109.29300000000001"/>
    <n v="109.29300000000001"/>
    <n v="109.29300000000001"/>
    <n v="122"/>
    <x v="2"/>
    <n v="0"/>
    <n v="0"/>
    <n v="63"/>
    <n v="91"/>
    <n v="0"/>
    <n v="282.28199999999998"/>
    <n v="274.8184"/>
    <m/>
    <n v="374.14418834430415"/>
    <n v="301.62937802421345"/>
    <n v="0"/>
    <n v="30851.446626000001"/>
    <n v="30035.727391200002"/>
    <n v="0"/>
    <n v="39626.660134135251"/>
    <n v="32965.979612400362"/>
  </r>
  <r>
    <s v="Regular"/>
    <x v="6"/>
    <x v="4"/>
    <x v="3"/>
    <x v="1"/>
    <x v="0"/>
    <x v="0"/>
    <x v="1"/>
    <x v="6"/>
    <n v="0"/>
    <n v="0"/>
    <n v="105.45"/>
    <n v="105.45"/>
    <n v="105.45"/>
    <n v="105.45"/>
    <n v="121"/>
    <x v="2"/>
    <n v="0"/>
    <n v="0"/>
    <n v="63"/>
    <n v="91"/>
    <n v="0"/>
    <n v="282.28199999999998"/>
    <n v="274.8184"/>
    <m/>
    <n v="374.14418834430415"/>
    <n v="301.62937802421345"/>
    <n v="0"/>
    <n v="29766.636899999998"/>
    <n v="28979.600279999999"/>
    <n v="0"/>
    <n v="38233.293176548934"/>
    <n v="31806.81791265331"/>
  </r>
  <r>
    <s v="Regular"/>
    <x v="6"/>
    <x v="4"/>
    <x v="3"/>
    <x v="1"/>
    <x v="0"/>
    <x v="0"/>
    <x v="1"/>
    <x v="7"/>
    <n v="0"/>
    <n v="0"/>
    <n v="112.964"/>
    <n v="112.964"/>
    <n v="112.964"/>
    <n v="112.964"/>
    <n v="122"/>
    <x v="2"/>
    <n v="0"/>
    <n v="0"/>
    <n v="63"/>
    <n v="91"/>
    <n v="0"/>
    <n v="282.28199999999998"/>
    <n v="274.8184"/>
    <m/>
    <n v="374.14418834430415"/>
    <n v="301.62937802421345"/>
    <n v="0"/>
    <n v="31887.703847999997"/>
    <n v="31044.585737599999"/>
    <n v="0"/>
    <n v="40957.664584122082"/>
    <n v="34073.261059127246"/>
  </r>
  <r>
    <s v="Regular"/>
    <x v="6"/>
    <x v="4"/>
    <x v="3"/>
    <x v="1"/>
    <x v="0"/>
    <x v="0"/>
    <x v="1"/>
    <x v="8"/>
    <n v="0"/>
    <n v="0"/>
    <n v="130.761"/>
    <n v="130.761"/>
    <n v="130.761"/>
    <n v="130.761"/>
    <n v="122"/>
    <x v="2"/>
    <n v="0"/>
    <n v="0"/>
    <n v="63"/>
    <n v="91"/>
    <n v="0"/>
    <n v="282.28199999999998"/>
    <n v="274.8184"/>
    <m/>
    <n v="374.14418834430415"/>
    <n v="301.62937802421345"/>
    <n v="0"/>
    <n v="36911.476601999995"/>
    <n v="35935.528802399996"/>
    <n v="0"/>
    <n v="47410.371257076476"/>
    <n v="39441.359099824171"/>
  </r>
  <r>
    <s v="Regular"/>
    <x v="6"/>
    <x v="4"/>
    <x v="3"/>
    <x v="1"/>
    <x v="0"/>
    <x v="0"/>
    <x v="1"/>
    <x v="9"/>
    <n v="0"/>
    <n v="0"/>
    <n v="112.88500000000001"/>
    <n v="112.88500000000001"/>
    <n v="112.88500000000001"/>
    <n v="112.88500000000001"/>
    <n v="122"/>
    <x v="2"/>
    <n v="0"/>
    <n v="0"/>
    <n v="63"/>
    <n v="91"/>
    <n v="0"/>
    <n v="282.28199999999998"/>
    <n v="274.8184"/>
    <m/>
    <n v="374.14418834430415"/>
    <n v="301.62937802421345"/>
    <n v="0"/>
    <n v="31865.403569999999"/>
    <n v="31022.875083999999"/>
    <n v="0"/>
    <n v="40929.021339352548"/>
    <n v="34049.432338263337"/>
  </r>
  <r>
    <s v="Regular"/>
    <x v="6"/>
    <x v="4"/>
    <x v="3"/>
    <x v="1"/>
    <x v="0"/>
    <x v="0"/>
    <x v="1"/>
    <x v="10"/>
    <n v="0"/>
    <n v="0"/>
    <n v="129.29"/>
    <n v="129.29"/>
    <n v="129.29"/>
    <n v="129.29"/>
    <n v="122"/>
    <x v="2"/>
    <n v="0"/>
    <n v="0"/>
    <n v="63"/>
    <n v="91"/>
    <n v="0"/>
    <n v="282.28199999999998"/>
    <n v="274.8184"/>
    <m/>
    <n v="374.14418834430415"/>
    <n v="301.62937802421345"/>
    <n v="0"/>
    <n v="36496.239779999996"/>
    <n v="35531.270936000001"/>
    <n v="0"/>
    <n v="46877.026788013383"/>
    <n v="38997.662284750557"/>
  </r>
  <r>
    <s v="PROJETADO"/>
    <x v="6"/>
    <x v="4"/>
    <x v="3"/>
    <x v="1"/>
    <x v="0"/>
    <x v="0"/>
    <x v="1"/>
    <x v="11"/>
    <n v="0"/>
    <n v="0"/>
    <n v="129.29"/>
    <n v="129.29"/>
    <n v="129.29"/>
    <n v="129.29"/>
    <n v="122"/>
    <x v="2"/>
    <n v="0"/>
    <n v="0"/>
    <n v="63"/>
    <n v="91"/>
    <n v="0"/>
    <n v="282.28199999999998"/>
    <n v="274.8184"/>
    <m/>
    <n v="374.14418834430415"/>
    <n v="301.62937802421345"/>
    <n v="0"/>
    <n v="36496.239779999996"/>
    <n v="35531.270936000001"/>
    <n v="0"/>
    <n v="46877.026788013383"/>
    <n v="38997.662284750557"/>
  </r>
  <r>
    <s v="Regular"/>
    <x v="7"/>
    <x v="4"/>
    <x v="8"/>
    <x v="7"/>
    <x v="0"/>
    <x v="0"/>
    <x v="1"/>
    <x v="0"/>
    <n v="0"/>
    <n v="0"/>
    <n v="1655.827"/>
    <n v="1655.827"/>
    <n v="1655.827"/>
    <n v="1655.827"/>
    <n v="7"/>
    <x v="2"/>
    <n v="0"/>
    <n v="0"/>
    <n v="88"/>
    <n v="89"/>
    <n v="0"/>
    <n v="165.16"/>
    <n v="160.80000000000001"/>
    <m/>
    <n v="212.14361194780136"/>
    <n v="171.02696692094582"/>
    <n v="0"/>
    <n v="273476.38731999998"/>
    <n v="266256.9816"/>
    <n v="0"/>
    <n v="351273.12054069206"/>
    <n v="283191.06955580896"/>
  </r>
  <r>
    <s v="Regular"/>
    <x v="7"/>
    <x v="4"/>
    <x v="8"/>
    <x v="7"/>
    <x v="0"/>
    <x v="0"/>
    <x v="1"/>
    <x v="1"/>
    <n v="0"/>
    <n v="0"/>
    <n v="1520.616"/>
    <n v="1520.616"/>
    <n v="1520.616"/>
    <n v="1520.616"/>
    <n v="7"/>
    <x v="2"/>
    <n v="0"/>
    <n v="0"/>
    <n v="88"/>
    <n v="89"/>
    <n v="0"/>
    <n v="165.16"/>
    <n v="160.80000000000001"/>
    <m/>
    <n v="212.14361194780136"/>
    <n v="171.02696692094582"/>
    <n v="0"/>
    <n v="251144.93855999998"/>
    <n v="244515.0528"/>
    <n v="0"/>
    <n v="322588.97062561789"/>
    <n v="260066.34233146094"/>
  </r>
  <r>
    <s v="Regular"/>
    <x v="7"/>
    <x v="4"/>
    <x v="8"/>
    <x v="7"/>
    <x v="0"/>
    <x v="0"/>
    <x v="1"/>
    <x v="2"/>
    <n v="0"/>
    <n v="0"/>
    <n v="1581.3240000000001"/>
    <n v="1581.3240000000001"/>
    <n v="1581.3240000000001"/>
    <n v="1581.3240000000001"/>
    <n v="8"/>
    <x v="2"/>
    <n v="0"/>
    <n v="0"/>
    <n v="88"/>
    <n v="89"/>
    <n v="0"/>
    <n v="165.16"/>
    <n v="160.80000000000001"/>
    <m/>
    <n v="212.14361194780136"/>
    <n v="171.02696692094582"/>
    <n v="0"/>
    <n v="261171.47184000001"/>
    <n v="254276.89920000004"/>
    <n v="0"/>
    <n v="335467.78501974506"/>
    <n v="270449.04743929772"/>
  </r>
  <r>
    <s v="Regular"/>
    <x v="7"/>
    <x v="4"/>
    <x v="8"/>
    <x v="7"/>
    <x v="0"/>
    <x v="0"/>
    <x v="1"/>
    <x v="3"/>
    <n v="0"/>
    <n v="0"/>
    <n v="1533.1579999999999"/>
    <n v="1533.1579999999999"/>
    <n v="1533.1579999999999"/>
    <n v="1533.1579999999999"/>
    <n v="7"/>
    <x v="2"/>
    <n v="0"/>
    <n v="0"/>
    <n v="88"/>
    <n v="89"/>
    <n v="0"/>
    <n v="165.16"/>
    <n v="160.80000000000001"/>
    <m/>
    <n v="212.14361194780136"/>
    <n v="171.02696692094582"/>
    <n v="0"/>
    <n v="253216.37527999998"/>
    <n v="246531.8064"/>
    <n v="0"/>
    <n v="325249.67580666719"/>
    <n v="262211.36255058344"/>
  </r>
  <r>
    <s v="Regular"/>
    <x v="7"/>
    <x v="4"/>
    <x v="8"/>
    <x v="7"/>
    <x v="0"/>
    <x v="0"/>
    <x v="1"/>
    <x v="4"/>
    <n v="0"/>
    <n v="0"/>
    <n v="1434.3309999999999"/>
    <n v="1434.3309999999999"/>
    <n v="1434.3309999999999"/>
    <n v="1434.3309999999999"/>
    <n v="7"/>
    <x v="2"/>
    <n v="0"/>
    <n v="0"/>
    <n v="88"/>
    <n v="89"/>
    <n v="0"/>
    <n v="165.16"/>
    <n v="160.80000000000001"/>
    <m/>
    <n v="212.14361194780136"/>
    <n v="171.02696692094582"/>
    <n v="0"/>
    <n v="236894.10795999996"/>
    <n v="230640.42480000001"/>
    <n v="0"/>
    <n v="304284.15906870185"/>
    <n v="245309.28049068712"/>
  </r>
  <r>
    <s v="Regular"/>
    <x v="7"/>
    <x v="4"/>
    <x v="8"/>
    <x v="7"/>
    <x v="0"/>
    <x v="0"/>
    <x v="1"/>
    <x v="5"/>
    <n v="0"/>
    <n v="0"/>
    <n v="1639.623"/>
    <n v="1639.623"/>
    <n v="1639.623"/>
    <n v="1639.623"/>
    <n v="7"/>
    <x v="2"/>
    <n v="0"/>
    <n v="0"/>
    <n v="88"/>
    <n v="89"/>
    <n v="0"/>
    <n v="165.16"/>
    <n v="160.80000000000001"/>
    <m/>
    <n v="212.14361194780136"/>
    <n v="171.02696692094582"/>
    <n v="0"/>
    <n v="270800.13468000002"/>
    <n v="263651.37840000005"/>
    <n v="0"/>
    <n v="347835.54545268993"/>
    <n v="280419.74858382199"/>
  </r>
  <r>
    <s v="Regular"/>
    <x v="7"/>
    <x v="4"/>
    <x v="8"/>
    <x v="7"/>
    <x v="0"/>
    <x v="0"/>
    <x v="1"/>
    <x v="6"/>
    <n v="0"/>
    <n v="0"/>
    <n v="1659.1769999999999"/>
    <n v="1659.1769999999999"/>
    <n v="1659.1769999999999"/>
    <n v="1659.1769999999999"/>
    <n v="7"/>
    <x v="2"/>
    <n v="0"/>
    <n v="0"/>
    <n v="88"/>
    <n v="89"/>
    <n v="0"/>
    <n v="165.16"/>
    <n v="160.80000000000001"/>
    <m/>
    <n v="212.14361194780136"/>
    <n v="171.02696692094582"/>
    <n v="0"/>
    <n v="274029.67332"/>
    <n v="266795.66159999999"/>
    <n v="0"/>
    <n v="351983.8016407172"/>
    <n v="283764.00989499409"/>
  </r>
  <r>
    <s v="Regular"/>
    <x v="7"/>
    <x v="4"/>
    <x v="8"/>
    <x v="7"/>
    <x v="0"/>
    <x v="0"/>
    <x v="1"/>
    <x v="7"/>
    <n v="0"/>
    <n v="0"/>
    <n v="1776.6980000000001"/>
    <n v="1776.6980000000001"/>
    <n v="1776.6980000000001"/>
    <n v="1776.6980000000001"/>
    <n v="7"/>
    <x v="2"/>
    <n v="0"/>
    <n v="0"/>
    <n v="88"/>
    <n v="89"/>
    <n v="0"/>
    <n v="165.16"/>
    <n v="160.80000000000001"/>
    <m/>
    <n v="212.14361194780136"/>
    <n v="171.02696692094582"/>
    <n v="0"/>
    <n v="293439.44167999999"/>
    <n v="285693.03840000002"/>
    <n v="0"/>
    <n v="376915.1310604348"/>
    <n v="303863.2700745106"/>
  </r>
  <r>
    <s v="Regular"/>
    <x v="7"/>
    <x v="4"/>
    <x v="8"/>
    <x v="7"/>
    <x v="0"/>
    <x v="0"/>
    <x v="1"/>
    <x v="8"/>
    <n v="0"/>
    <n v="0"/>
    <n v="1731.701"/>
    <n v="1731.701"/>
    <n v="1731.701"/>
    <n v="1731.701"/>
    <n v="6"/>
    <x v="2"/>
    <n v="0"/>
    <n v="0"/>
    <n v="88"/>
    <n v="89"/>
    <n v="0"/>
    <n v="165.16"/>
    <n v="160.80000000000001"/>
    <m/>
    <n v="212.14361194780136"/>
    <n v="171.02696692094582"/>
    <n v="0"/>
    <n v="286007.73716000002"/>
    <n v="278457.5208"/>
    <n v="0"/>
    <n v="367369.30495361955"/>
    <n v="296167.56964396883"/>
  </r>
  <r>
    <s v="Regular"/>
    <x v="7"/>
    <x v="4"/>
    <x v="8"/>
    <x v="7"/>
    <x v="0"/>
    <x v="0"/>
    <x v="1"/>
    <x v="9"/>
    <n v="0"/>
    <n v="0"/>
    <n v="1771.2239999999999"/>
    <n v="1771.2239999999999"/>
    <n v="1771.2239999999999"/>
    <n v="1771.2239999999999"/>
    <n v="6"/>
    <x v="2"/>
    <n v="0"/>
    <n v="0"/>
    <n v="88"/>
    <n v="89"/>
    <n v="0"/>
    <n v="165.16"/>
    <n v="160.80000000000001"/>
    <m/>
    <n v="212.14361194780136"/>
    <n v="171.02696692094582"/>
    <n v="0"/>
    <n v="292535.35583999997"/>
    <n v="284812.81920000003"/>
    <n v="0"/>
    <n v="375753.85692863248"/>
    <n v="302927.06845758535"/>
  </r>
  <r>
    <s v="Regular"/>
    <x v="7"/>
    <x v="4"/>
    <x v="8"/>
    <x v="7"/>
    <x v="0"/>
    <x v="0"/>
    <x v="1"/>
    <x v="10"/>
    <n v="0"/>
    <n v="0"/>
    <n v="1675.3330000000001"/>
    <n v="1675.3330000000001"/>
    <n v="1675.3330000000001"/>
    <n v="1675.3330000000001"/>
    <n v="6"/>
    <x v="2"/>
    <n v="0"/>
    <n v="0"/>
    <n v="88"/>
    <n v="89"/>
    <n v="0"/>
    <n v="165.16"/>
    <n v="160.80000000000001"/>
    <m/>
    <n v="212.14361194780136"/>
    <n v="171.02696692094582"/>
    <n v="0"/>
    <n v="276697.99828"/>
    <n v="269393.54640000005"/>
    <n v="0"/>
    <n v="355411.19383534591"/>
    <n v="286527.12157256895"/>
  </r>
  <r>
    <s v="PROJETADO"/>
    <x v="7"/>
    <x v="4"/>
    <x v="8"/>
    <x v="7"/>
    <x v="0"/>
    <x v="0"/>
    <x v="1"/>
    <x v="11"/>
    <n v="0"/>
    <n v="0"/>
    <n v="1675.3330000000001"/>
    <n v="1675.3330000000001"/>
    <n v="1675.3330000000001"/>
    <n v="1675.3330000000001"/>
    <n v="6"/>
    <x v="2"/>
    <n v="0"/>
    <n v="0"/>
    <n v="88"/>
    <n v="89"/>
    <n v="0"/>
    <n v="165.16"/>
    <n v="160.80000000000001"/>
    <m/>
    <n v="212.14361194780136"/>
    <n v="171.02696692094582"/>
    <n v="0"/>
    <n v="276697.99828"/>
    <n v="269393.54640000005"/>
    <n v="0"/>
    <n v="355411.19383534591"/>
    <n v="286527.121572568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EC5E2F-4C6A-4B35-BA0E-68D7D1DB934C}" name="Efeito Resumo" cacheId="37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J1057" firstHeaderRow="0" firstDataRow="1" firstDataCol="1"/>
  <pivotFields count="36"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Row" showAll="0">
      <items count="6">
        <item x="0"/>
        <item x="3"/>
        <item x="4"/>
        <item x="1"/>
        <item x="2"/>
        <item t="default"/>
      </items>
    </pivotField>
    <pivotField axis="axisRow" showAll="0">
      <items count="10">
        <item x="2"/>
        <item x="4"/>
        <item x="8"/>
        <item x="0"/>
        <item x="1"/>
        <item x="5"/>
        <item x="7"/>
        <item x="6"/>
        <item x="3"/>
        <item t="default"/>
      </items>
    </pivotField>
    <pivotField axis="axisRow" showAll="0">
      <items count="9">
        <item x="1"/>
        <item x="7"/>
        <item x="0"/>
        <item x="2"/>
        <item x="3"/>
        <item x="4"/>
        <item x="5"/>
        <item x="6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4">
        <item x="0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4">
        <item x="2"/>
        <item x="1"/>
        <item x="0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1056">
    <i>
      <x/>
    </i>
    <i r="1">
      <x v="2"/>
    </i>
    <i r="2">
      <x/>
    </i>
    <i r="3">
      <x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4"/>
    </i>
    <i r="3">
      <x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1"/>
    </i>
    <i r="3">
      <x v="6"/>
    </i>
    <i r="4">
      <x v="3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6"/>
    </i>
    <i r="4">
      <x v="3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4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5"/>
    </i>
    <i r="2">
      <x v="2"/>
    </i>
    <i r="3">
      <x v="7"/>
    </i>
    <i r="4">
      <x v="2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6"/>
    </i>
    <i r="2">
      <x v="1"/>
    </i>
    <i r="3">
      <x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9"/>
    </i>
    <i r="8">
      <x v="10"/>
    </i>
    <i r="8">
      <x v="11"/>
    </i>
    <i r="3">
      <x v="8"/>
    </i>
    <i r="4">
      <x/>
    </i>
    <i r="5">
      <x v="1"/>
    </i>
    <i r="6">
      <x/>
    </i>
    <i r="7">
      <x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/>
    </i>
    <i r="4">
      <x v="2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2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2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2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7"/>
    </i>
    <i r="2">
      <x v="2"/>
    </i>
    <i r="3">
      <x v="2"/>
    </i>
    <i r="4">
      <x v="1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1"/>
    </i>
    <i r="2">
      <x v="3"/>
    </i>
    <i r="3">
      <x v="4"/>
    </i>
    <i r="4">
      <x v="2"/>
    </i>
    <i r="5">
      <x v="1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3"/>
    </i>
    <i r="3">
      <x v="4"/>
    </i>
    <i r="4">
      <x v="2"/>
    </i>
    <i r="5">
      <x v="1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/>
    </i>
    <i r="3">
      <x v="3"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/>
    </i>
    <i r="3">
      <x v="3"/>
    </i>
    <i r="4">
      <x v="2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 v="3"/>
    </i>
    <i r="4">
      <x v="2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4"/>
    </i>
    <i r="3">
      <x v="3"/>
    </i>
    <i r="4">
      <x v="2"/>
    </i>
    <i r="5">
      <x/>
    </i>
    <i r="6">
      <x/>
    </i>
    <i r="7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7"/>
    <dataField name="Soma de Variação TE" fld="34" baseField="0" baseItem="0" numFmtId="167"/>
    <dataField name="Soma de Variação" fld="35" baseField="0" baseItem="0" numFmtId="167"/>
  </dataFields>
  <formats count="470">
    <format dxfId="998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997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996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995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994">
      <pivotArea type="all" dataOnly="0" outline="0" fieldPosition="0"/>
    </format>
    <format dxfId="993">
      <pivotArea outline="0" collapsedLevelsAreSubtotals="1" fieldPosition="0"/>
    </format>
    <format dxfId="992">
      <pivotArea field="16" type="button" dataOnly="0" labelOnly="1" outline="0" axis="axisRow" fieldPosition="0"/>
    </format>
    <format dxfId="991">
      <pivotArea dataOnly="0" labelOnly="1" fieldPosition="0">
        <references count="1">
          <reference field="16" count="0"/>
        </references>
      </pivotArea>
    </format>
    <format dxfId="990">
      <pivotArea dataOnly="0" labelOnly="1" fieldPosition="0">
        <references count="2">
          <reference field="1" count="6">
            <x v="2"/>
            <x v="3"/>
            <x v="4"/>
            <x v="5"/>
            <x v="6"/>
            <x v="7"/>
          </reference>
          <reference field="16" count="1" selected="0">
            <x v="0"/>
          </reference>
        </references>
      </pivotArea>
    </format>
    <format dxfId="989">
      <pivotArea dataOnly="0" labelOnly="1" fieldPosition="0">
        <references count="2">
          <reference field="1" count="2">
            <x v="1"/>
            <x v="2"/>
          </reference>
          <reference field="16" count="1" selected="0">
            <x v="1"/>
          </reference>
        </references>
      </pivotArea>
    </format>
    <format dxfId="988">
      <pivotArea dataOnly="0" labelOnly="1" fieldPosition="0">
        <references count="2">
          <reference field="1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987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4"/>
          </reference>
          <reference field="16" count="1" selected="0">
            <x v="0"/>
          </reference>
        </references>
      </pivotArea>
    </format>
    <format dxfId="986">
      <pivotArea dataOnly="0" labelOnly="1" fieldPosition="0">
        <references count="3">
          <reference field="1" count="1" selected="0">
            <x v="3"/>
          </reference>
          <reference field="2" count="1">
            <x v="4"/>
          </reference>
          <reference field="16" count="1" selected="0">
            <x v="0"/>
          </reference>
        </references>
      </pivotArea>
    </format>
    <format dxfId="985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984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983">
      <pivotArea dataOnly="0" labelOnly="1" fieldPosition="0">
        <references count="3">
          <reference field="1" count="1" selected="0">
            <x v="6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982">
      <pivotArea dataOnly="0" labelOnly="1" fieldPosition="0">
        <references count="3">
          <reference field="1" count="1" selected="0">
            <x v="7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981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980">
      <pivotArea dataOnly="0" labelOnly="1" fieldPosition="0">
        <references count="3">
          <reference field="1" count="1" selected="0">
            <x v="2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979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2"/>
          </reference>
        </references>
      </pivotArea>
    </format>
    <format dxfId="978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4"/>
          </reference>
          <reference field="16" count="1" selected="0">
            <x v="2"/>
          </reference>
        </references>
      </pivotArea>
    </format>
    <format dxfId="977">
      <pivotArea dataOnly="0" labelOnly="1" fieldPosition="0">
        <references count="3">
          <reference field="1" count="1" selected="0">
            <x v="3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976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3">
            <x v="0"/>
            <x v="3"/>
            <x v="8"/>
          </reference>
          <reference field="16" count="1" selected="0">
            <x v="0"/>
          </reference>
        </references>
      </pivotArea>
    </format>
    <format dxfId="975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6">
            <x v="0"/>
            <x v="1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974">
      <pivotArea dataOnly="0" labelOnly="1" fieldPosition="0">
        <references count="4">
          <reference field="1" count="1" selected="0">
            <x v="3"/>
          </reference>
          <reference field="2" count="1" selected="0">
            <x v="4"/>
          </reference>
          <reference field="3" count="1">
            <x v="0"/>
          </reference>
          <reference field="16" count="1" selected="0">
            <x v="0"/>
          </reference>
        </references>
      </pivotArea>
    </format>
    <format dxfId="973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972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971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970">
      <pivotArea dataOnly="0" labelOnly="1" fieldPosition="0">
        <references count="4">
          <reference field="1" count="1" selected="0">
            <x v="6"/>
          </reference>
          <reference field="2" count="1" selected="0">
            <x v="1"/>
          </reference>
          <reference field="3" count="3">
            <x v="0"/>
            <x v="3"/>
            <x v="8"/>
          </reference>
          <reference field="16" count="1" selected="0">
            <x v="0"/>
          </reference>
        </references>
      </pivotArea>
    </format>
    <format dxfId="969">
      <pivotArea dataOnly="0" labelOnly="1" fieldPosition="0">
        <references count="4">
          <reference field="1" count="1" selected="0">
            <x v="6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968">
      <pivotArea dataOnly="0" labelOnly="1" fieldPosition="0">
        <references count="4">
          <reference field="1" count="1" selected="0">
            <x v="7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967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966">
      <pivotArea dataOnly="0" labelOnly="1" fieldPosition="0">
        <references count="4">
          <reference field="1" count="1" selected="0">
            <x v="2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965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964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963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962">
      <pivotArea dataOnly="0" labelOnly="1" fieldPosition="0">
        <references count="4">
          <reference field="1" count="1" selected="0">
            <x v="3"/>
          </reference>
          <reference field="2" count="1" selected="0">
            <x v="4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961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960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959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958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957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1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956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955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5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954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7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953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8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952">
      <pivotArea dataOnly="0" labelOnly="1" fieldPosition="0">
        <references count="5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951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50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3"/>
            <x v="4"/>
            <x v="5"/>
            <x v="6"/>
            <x v="7"/>
          </reference>
          <reference field="16" count="1" selected="0">
            <x v="0"/>
          </reference>
        </references>
      </pivotArea>
    </format>
    <format dxfId="949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948">
      <pivotArea dataOnly="0" labelOnly="1" fieldPosition="0">
        <references count="5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947">
      <pivotArea dataOnly="0" labelOnly="1" fieldPosition="0">
        <references count="5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946">
      <pivotArea dataOnly="0" labelOnly="1" fieldPosition="0">
        <references count="5">
          <reference field="1" count="1" selected="0">
            <x v="6"/>
          </reference>
          <reference field="2" count="1" selected="0">
            <x v="1"/>
          </reference>
          <reference field="3" count="1" selected="0">
            <x v="8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945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944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943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942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941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940">
      <pivotArea dataOnly="0" labelOnly="1" fieldPosition="0">
        <references count="5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939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2"/>
          </reference>
          <reference field="16" count="1" selected="0">
            <x v="1"/>
          </reference>
        </references>
      </pivotArea>
    </format>
    <format dxfId="938">
      <pivotArea dataOnly="0" labelOnly="1" fieldPosition="0">
        <references count="5">
          <reference field="1" count="1" selected="0">
            <x v="2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2"/>
          </reference>
          <reference field="16" count="1" selected="0">
            <x v="1"/>
          </reference>
        </references>
      </pivotArea>
    </format>
    <format dxfId="937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2"/>
          </reference>
        </references>
      </pivotArea>
    </format>
    <format dxfId="936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2"/>
          </reference>
        </references>
      </pivotArea>
    </format>
    <format dxfId="935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2"/>
          </reference>
        </references>
      </pivotArea>
    </format>
    <format dxfId="934">
      <pivotArea dataOnly="0" labelOnly="1" fieldPosition="0">
        <references count="5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2"/>
          </reference>
        </references>
      </pivotArea>
    </format>
    <format dxfId="933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932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931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930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929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928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927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926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925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924">
      <pivotArea dataOnly="0" labelOnly="1" fieldPosition="0">
        <references count="6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923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922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921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920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919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918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917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916">
      <pivotArea dataOnly="0" labelOnly="1" fieldPosition="0">
        <references count="6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915">
      <pivotArea dataOnly="0" labelOnly="1" fieldPosition="0">
        <references count="6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914">
      <pivotArea dataOnly="0" labelOnly="1" fieldPosition="0">
        <references count="6">
          <reference field="1" count="1" selected="0">
            <x v="6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0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913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912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911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910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909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0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908">
      <pivotArea dataOnly="0" labelOnly="1" fieldPosition="0">
        <references count="6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907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1"/>
          </reference>
        </references>
      </pivotArea>
    </format>
    <format dxfId="906">
      <pivotArea dataOnly="0" labelOnly="1" fieldPosition="0">
        <references count="6">
          <reference field="1" count="1" selected="0">
            <x v="2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1"/>
          </reference>
        </references>
      </pivotArea>
    </format>
    <format dxfId="905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2"/>
          </reference>
        </references>
      </pivotArea>
    </format>
    <format dxfId="904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0"/>
          <reference field="16" count="1" selected="0">
            <x v="2"/>
          </reference>
        </references>
      </pivotArea>
    </format>
    <format dxfId="903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0"/>
          <reference field="16" count="1" selected="0">
            <x v="2"/>
          </reference>
        </references>
      </pivotArea>
    </format>
    <format dxfId="902">
      <pivotArea dataOnly="0" labelOnly="1" fieldPosition="0">
        <references count="6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901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900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899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898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897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896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895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894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893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892">
      <pivotArea dataOnly="0" labelOnly="1" fieldPosition="0">
        <references count="7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891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890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889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888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887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886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885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884">
      <pivotArea dataOnly="0" labelOnly="1" fieldPosition="0">
        <references count="7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883">
      <pivotArea dataOnly="0" labelOnly="1" fieldPosition="0">
        <references count="7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882">
      <pivotArea dataOnly="0" labelOnly="1" fieldPosition="0">
        <references count="7">
          <reference field="1" count="1" selected="0">
            <x v="6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881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880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879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878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877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876">
      <pivotArea dataOnly="0" labelOnly="1" fieldPosition="0">
        <references count="7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875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2"/>
          </reference>
          <reference field="16" count="1" selected="0">
            <x v="1"/>
          </reference>
        </references>
      </pivotArea>
    </format>
    <format dxfId="874">
      <pivotArea dataOnly="0" labelOnly="1" fieldPosition="0">
        <references count="7">
          <reference field="1" count="1" selected="0">
            <x v="2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1"/>
          </reference>
        </references>
      </pivotArea>
    </format>
    <format dxfId="87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872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871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870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869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868">
      <pivotArea dataOnly="0" labelOnly="1" fieldPosition="0">
        <references count="7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867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866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865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864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63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62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61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60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59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58">
      <pivotArea dataOnly="0" labelOnly="1" fieldPosition="0">
        <references count="8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57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856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55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54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53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52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51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50">
      <pivotArea dataOnly="0" labelOnly="1" fieldPosition="0">
        <references count="8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849">
      <pivotArea dataOnly="0" labelOnly="1" fieldPosition="0">
        <references count="8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848">
      <pivotArea dataOnly="0" labelOnly="1" fieldPosition="0">
        <references count="8">
          <reference field="1" count="1" selected="0">
            <x v="6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847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46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45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44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43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42">
      <pivotArea dataOnly="0" labelOnly="1" fieldPosition="0">
        <references count="8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41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840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839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838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837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836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835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834">
      <pivotArea dataOnly="0" labelOnly="1" fieldPosition="0">
        <references count="8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833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32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31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30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29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28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27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26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25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24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23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22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21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20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19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18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17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16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15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14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13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12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11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10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09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08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07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06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05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804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03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02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01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00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99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98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97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96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795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94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11">
            <x v="0"/>
            <x v="1"/>
            <x v="2"/>
            <x v="3"/>
            <x v="4"/>
            <x v="5"/>
            <x v="6"/>
            <x v="7"/>
            <x v="9"/>
            <x v="10"/>
            <x v="11"/>
          </reference>
          <reference field="16" count="1" selected="0">
            <x v="0"/>
          </reference>
        </references>
      </pivotArea>
    </format>
    <format dxfId="793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11">
            <x v="0"/>
            <x v="1"/>
            <x v="2"/>
            <x v="3"/>
            <x v="4"/>
            <x v="5"/>
            <x v="6"/>
            <x v="7"/>
            <x v="9"/>
            <x v="10"/>
            <x v="11"/>
          </reference>
          <reference field="16" count="1" selected="0">
            <x v="0"/>
          </reference>
        </references>
      </pivotArea>
    </format>
    <format dxfId="792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11">
            <x v="0"/>
            <x v="1"/>
            <x v="2"/>
            <x v="3"/>
            <x v="4"/>
            <x v="5"/>
            <x v="6"/>
            <x v="7"/>
            <x v="9"/>
            <x v="10"/>
            <x v="11"/>
          </reference>
          <reference field="16" count="1" selected="0">
            <x v="0"/>
          </reference>
        </references>
      </pivotArea>
    </format>
    <format dxfId="791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790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789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788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87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86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85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84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83">
      <pivotArea dataOnly="0" labelOnly="1" fieldPosition="0">
        <references count="9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8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781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78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77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77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777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776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775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774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773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772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771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770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769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768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767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766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765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2"/>
          </reference>
        </references>
      </pivotArea>
    </format>
    <format dxfId="764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2"/>
          </reference>
        </references>
      </pivotArea>
    </format>
    <format dxfId="763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2"/>
          </reference>
        </references>
      </pivotArea>
    </format>
    <format dxfId="762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761">
      <pivotArea type="all" dataOnly="0" outline="0" fieldPosition="0"/>
    </format>
    <format dxfId="760">
      <pivotArea outline="0" collapsedLevelsAreSubtotals="1" fieldPosition="0"/>
    </format>
    <format dxfId="759">
      <pivotArea field="16" type="button" dataOnly="0" labelOnly="1" outline="0" axis="axisRow" fieldPosition="0"/>
    </format>
    <format dxfId="758">
      <pivotArea dataOnly="0" labelOnly="1" fieldPosition="0">
        <references count="1">
          <reference field="16" count="0"/>
        </references>
      </pivotArea>
    </format>
    <format dxfId="757">
      <pivotArea dataOnly="0" labelOnly="1" fieldPosition="0">
        <references count="2">
          <reference field="1" count="6">
            <x v="2"/>
            <x v="3"/>
            <x v="4"/>
            <x v="5"/>
            <x v="6"/>
            <x v="7"/>
          </reference>
          <reference field="16" count="1" selected="0">
            <x v="0"/>
          </reference>
        </references>
      </pivotArea>
    </format>
    <format dxfId="756">
      <pivotArea dataOnly="0" labelOnly="1" fieldPosition="0">
        <references count="2">
          <reference field="1" count="2">
            <x v="1"/>
            <x v="2"/>
          </reference>
          <reference field="16" count="1" selected="0">
            <x v="1"/>
          </reference>
        </references>
      </pivotArea>
    </format>
    <format dxfId="755">
      <pivotArea dataOnly="0" labelOnly="1" fieldPosition="0">
        <references count="2">
          <reference field="1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754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4"/>
          </reference>
          <reference field="16" count="1" selected="0">
            <x v="0"/>
          </reference>
        </references>
      </pivotArea>
    </format>
    <format dxfId="753">
      <pivotArea dataOnly="0" labelOnly="1" fieldPosition="0">
        <references count="3">
          <reference field="1" count="1" selected="0">
            <x v="3"/>
          </reference>
          <reference field="2" count="1">
            <x v="4"/>
          </reference>
          <reference field="16" count="1" selected="0">
            <x v="0"/>
          </reference>
        </references>
      </pivotArea>
    </format>
    <format dxfId="752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751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750">
      <pivotArea dataOnly="0" labelOnly="1" fieldPosition="0">
        <references count="3">
          <reference field="1" count="1" selected="0">
            <x v="6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749">
      <pivotArea dataOnly="0" labelOnly="1" fieldPosition="0">
        <references count="3">
          <reference field="1" count="1" selected="0">
            <x v="7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748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747">
      <pivotArea dataOnly="0" labelOnly="1" fieldPosition="0">
        <references count="3">
          <reference field="1" count="1" selected="0">
            <x v="2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746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2"/>
          </reference>
        </references>
      </pivotArea>
    </format>
    <format dxfId="745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4"/>
          </reference>
          <reference field="16" count="1" selected="0">
            <x v="2"/>
          </reference>
        </references>
      </pivotArea>
    </format>
    <format dxfId="744">
      <pivotArea dataOnly="0" labelOnly="1" fieldPosition="0">
        <references count="3">
          <reference field="1" count="1" selected="0">
            <x v="3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743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3">
            <x v="0"/>
            <x v="3"/>
            <x v="8"/>
          </reference>
          <reference field="16" count="1" selected="0">
            <x v="0"/>
          </reference>
        </references>
      </pivotArea>
    </format>
    <format dxfId="742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6">
            <x v="0"/>
            <x v="1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741">
      <pivotArea dataOnly="0" labelOnly="1" fieldPosition="0">
        <references count="4">
          <reference field="1" count="1" selected="0">
            <x v="3"/>
          </reference>
          <reference field="2" count="1" selected="0">
            <x v="4"/>
          </reference>
          <reference field="3" count="1">
            <x v="0"/>
          </reference>
          <reference field="16" count="1" selected="0">
            <x v="0"/>
          </reference>
        </references>
      </pivotArea>
    </format>
    <format dxfId="740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739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738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737">
      <pivotArea dataOnly="0" labelOnly="1" fieldPosition="0">
        <references count="4">
          <reference field="1" count="1" selected="0">
            <x v="6"/>
          </reference>
          <reference field="2" count="1" selected="0">
            <x v="1"/>
          </reference>
          <reference field="3" count="3">
            <x v="0"/>
            <x v="3"/>
            <x v="8"/>
          </reference>
          <reference field="16" count="1" selected="0">
            <x v="0"/>
          </reference>
        </references>
      </pivotArea>
    </format>
    <format dxfId="736">
      <pivotArea dataOnly="0" labelOnly="1" fieldPosition="0">
        <references count="4">
          <reference field="1" count="1" selected="0">
            <x v="6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735">
      <pivotArea dataOnly="0" labelOnly="1" fieldPosition="0">
        <references count="4">
          <reference field="1" count="1" selected="0">
            <x v="7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734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733">
      <pivotArea dataOnly="0" labelOnly="1" fieldPosition="0">
        <references count="4">
          <reference field="1" count="1" selected="0">
            <x v="2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732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731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730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729">
      <pivotArea dataOnly="0" labelOnly="1" fieldPosition="0">
        <references count="4">
          <reference field="1" count="1" selected="0">
            <x v="3"/>
          </reference>
          <reference field="2" count="1" selected="0">
            <x v="4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728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727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726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725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724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1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723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722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5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721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7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720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8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719">
      <pivotArea dataOnly="0" labelOnly="1" fieldPosition="0">
        <references count="5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718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17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3"/>
            <x v="4"/>
            <x v="5"/>
            <x v="6"/>
            <x v="7"/>
          </reference>
          <reference field="16" count="1" selected="0">
            <x v="0"/>
          </reference>
        </references>
      </pivotArea>
    </format>
    <format dxfId="716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715">
      <pivotArea dataOnly="0" labelOnly="1" fieldPosition="0">
        <references count="5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714">
      <pivotArea dataOnly="0" labelOnly="1" fieldPosition="0">
        <references count="5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713">
      <pivotArea dataOnly="0" labelOnly="1" fieldPosition="0">
        <references count="5">
          <reference field="1" count="1" selected="0">
            <x v="6"/>
          </reference>
          <reference field="2" count="1" selected="0">
            <x v="1"/>
          </reference>
          <reference field="3" count="1" selected="0">
            <x v="8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712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711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710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709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708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707">
      <pivotArea dataOnly="0" labelOnly="1" fieldPosition="0">
        <references count="5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706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2"/>
          </reference>
          <reference field="16" count="1" selected="0">
            <x v="1"/>
          </reference>
        </references>
      </pivotArea>
    </format>
    <format dxfId="705">
      <pivotArea dataOnly="0" labelOnly="1" fieldPosition="0">
        <references count="5">
          <reference field="1" count="1" selected="0">
            <x v="2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2"/>
          </reference>
          <reference field="16" count="1" selected="0">
            <x v="1"/>
          </reference>
        </references>
      </pivotArea>
    </format>
    <format dxfId="704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2"/>
          </reference>
        </references>
      </pivotArea>
    </format>
    <format dxfId="703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2"/>
          </reference>
        </references>
      </pivotArea>
    </format>
    <format dxfId="702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2"/>
          </reference>
        </references>
      </pivotArea>
    </format>
    <format dxfId="701">
      <pivotArea dataOnly="0" labelOnly="1" fieldPosition="0">
        <references count="5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2"/>
          </reference>
          <reference field="16" count="1" selected="0">
            <x v="2"/>
          </reference>
        </references>
      </pivotArea>
    </format>
    <format dxfId="700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99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98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97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96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95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94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93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92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91">
      <pivotArea dataOnly="0" labelOnly="1" fieldPosition="0">
        <references count="6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90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89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88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87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86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85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84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83">
      <pivotArea dataOnly="0" labelOnly="1" fieldPosition="0">
        <references count="6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82">
      <pivotArea dataOnly="0" labelOnly="1" fieldPosition="0">
        <references count="6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81">
      <pivotArea dataOnly="0" labelOnly="1" fieldPosition="0">
        <references count="6">
          <reference field="1" count="1" selected="0">
            <x v="6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0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80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79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78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77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76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0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75">
      <pivotArea dataOnly="0" labelOnly="1" fieldPosition="0">
        <references count="6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>
            <x v="1"/>
          </reference>
          <reference field="16" count="1" selected="0">
            <x v="0"/>
          </reference>
        </references>
      </pivotArea>
    </format>
    <format dxfId="674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1"/>
          </reference>
        </references>
      </pivotArea>
    </format>
    <format dxfId="673">
      <pivotArea dataOnly="0" labelOnly="1" fieldPosition="0">
        <references count="6">
          <reference field="1" count="1" selected="0">
            <x v="2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1"/>
          </reference>
        </references>
      </pivotArea>
    </format>
    <format dxfId="672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16" count="1" selected="0">
            <x v="2"/>
          </reference>
        </references>
      </pivotArea>
    </format>
    <format dxfId="671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0"/>
          <reference field="16" count="1" selected="0">
            <x v="2"/>
          </reference>
        </references>
      </pivotArea>
    </format>
    <format dxfId="670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0"/>
          <reference field="16" count="1" selected="0">
            <x v="2"/>
          </reference>
        </references>
      </pivotArea>
    </format>
    <format dxfId="669">
      <pivotArea dataOnly="0" labelOnly="1" fieldPosition="0">
        <references count="6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668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67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66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65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64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63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62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61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60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59">
      <pivotArea dataOnly="0" labelOnly="1" fieldPosition="0">
        <references count="7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58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57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56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55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54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53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52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51">
      <pivotArea dataOnly="0" labelOnly="1" fieldPosition="0">
        <references count="7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50">
      <pivotArea dataOnly="0" labelOnly="1" fieldPosition="0">
        <references count="7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49">
      <pivotArea dataOnly="0" labelOnly="1" fieldPosition="0">
        <references count="7">
          <reference field="1" count="1" selected="0">
            <x v="6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48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47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46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45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44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43">
      <pivotArea dataOnly="0" labelOnly="1" fieldPosition="0">
        <references count="7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42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2"/>
          </reference>
          <reference field="16" count="1" selected="0">
            <x v="1"/>
          </reference>
        </references>
      </pivotArea>
    </format>
    <format dxfId="641">
      <pivotArea dataOnly="0" labelOnly="1" fieldPosition="0">
        <references count="7">
          <reference field="1" count="1" selected="0">
            <x v="2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1"/>
          </reference>
        </references>
      </pivotArea>
    </format>
    <format dxfId="640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639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638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637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636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635">
      <pivotArea dataOnly="0" labelOnly="1" fieldPosition="0">
        <references count="7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634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633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632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631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30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29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28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27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26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25">
      <pivotArea dataOnly="0" labelOnly="1" fieldPosition="0">
        <references count="8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24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23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22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21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20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19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18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17">
      <pivotArea dataOnly="0" labelOnly="1" fieldPosition="0">
        <references count="8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16">
      <pivotArea dataOnly="0" labelOnly="1" fieldPosition="0">
        <references count="8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15">
      <pivotArea dataOnly="0" labelOnly="1" fieldPosition="0">
        <references count="8">
          <reference field="1" count="1" selected="0">
            <x v="6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14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13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12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11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10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09">
      <pivotArea dataOnly="0" labelOnly="1" fieldPosition="0">
        <references count="8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08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607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606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605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604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603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602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601">
      <pivotArea dataOnly="0" labelOnly="1" fieldPosition="0">
        <references count="8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600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99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98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97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96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95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94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93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2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91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90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9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88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87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6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85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84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3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82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81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0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79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78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7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76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75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4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73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72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71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70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9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8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7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6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5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4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63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62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61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11">
            <x v="0"/>
            <x v="1"/>
            <x v="2"/>
            <x v="3"/>
            <x v="4"/>
            <x v="5"/>
            <x v="6"/>
            <x v="7"/>
            <x v="9"/>
            <x v="10"/>
            <x v="11"/>
          </reference>
          <reference field="16" count="1" selected="0">
            <x v="0"/>
          </reference>
        </references>
      </pivotArea>
    </format>
    <format dxfId="560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11">
            <x v="0"/>
            <x v="1"/>
            <x v="2"/>
            <x v="3"/>
            <x v="4"/>
            <x v="5"/>
            <x v="6"/>
            <x v="7"/>
            <x v="9"/>
            <x v="10"/>
            <x v="11"/>
          </reference>
          <reference field="16" count="1" selected="0">
            <x v="0"/>
          </reference>
        </references>
      </pivotArea>
    </format>
    <format dxfId="559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11">
            <x v="0"/>
            <x v="1"/>
            <x v="2"/>
            <x v="3"/>
            <x v="4"/>
            <x v="5"/>
            <x v="6"/>
            <x v="7"/>
            <x v="9"/>
            <x v="10"/>
            <x v="11"/>
          </reference>
          <reference field="16" count="1" selected="0">
            <x v="0"/>
          </reference>
        </references>
      </pivotArea>
    </format>
    <format dxfId="558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557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556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555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4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3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2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1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0">
      <pivotArea dataOnly="0" labelOnly="1" fieldPosition="0">
        <references count="9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4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548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54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54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4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544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543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42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541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540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39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538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537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36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535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534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33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532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2"/>
          </reference>
        </references>
      </pivotArea>
    </format>
    <format dxfId="531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2"/>
          </reference>
        </references>
      </pivotArea>
    </format>
    <format dxfId="530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2"/>
          </reference>
        </references>
      </pivotArea>
    </format>
    <format dxfId="529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B4176-9626-46E6-B469-4EDE12BAF09C}" name="Subsidio Resumo" cacheId="38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G436" firstHeaderRow="0" firstDataRow="1" firstDataCol="1"/>
  <pivotFields count="34"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6">
        <item x="1"/>
        <item x="4"/>
        <item x="3"/>
        <item x="0"/>
        <item x="2"/>
        <item t="default"/>
      </items>
    </pivotField>
    <pivotField axis="axisRow" showAll="0">
      <items count="6">
        <item x="1"/>
        <item x="0"/>
        <item x="4"/>
        <item x="3"/>
        <item x="2"/>
        <item t="default"/>
      </items>
    </pivotField>
    <pivotField axis="axisRow" showAll="0">
      <items count="8">
        <item x="1"/>
        <item x="0"/>
        <item x="2"/>
        <item x="3"/>
        <item x="4"/>
        <item x="5"/>
        <item x="6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4">
        <item x="1"/>
        <item x="2"/>
        <item x="0"/>
        <item t="default"/>
      </items>
    </pivotField>
    <pivotField axis="axisRow" showAll="0">
      <items count="5">
        <item x="1"/>
        <item x="3"/>
        <item x="0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7">
        <item x="2"/>
        <item x="5"/>
        <item x="1"/>
        <item x="0"/>
        <item x="3"/>
        <item x="4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435">
    <i>
      <x/>
    </i>
    <i r="1">
      <x v="1"/>
    </i>
    <i r="2">
      <x/>
    </i>
    <i r="3">
      <x v="4"/>
    </i>
    <i r="4">
      <x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 v="4"/>
    </i>
    <i r="4">
      <x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5"/>
    </i>
    <i r="2">
      <x v="1"/>
    </i>
    <i r="3">
      <x v="4"/>
    </i>
    <i r="4">
      <x/>
    </i>
    <i r="5">
      <x v="1"/>
    </i>
    <i r="6">
      <x/>
    </i>
    <i r="7">
      <x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4"/>
    </i>
    <i r="4">
      <x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3"/>
    </i>
    <i r="2">
      <x v="2"/>
    </i>
    <i r="3">
      <x v="2"/>
    </i>
    <i r="4">
      <x v="3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4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 v="1"/>
    </i>
    <i r="2">
      <x/>
    </i>
    <i r="3">
      <x/>
    </i>
    <i r="4">
      <x v="1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/>
    </i>
    <i r="4">
      <x v="1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4"/>
    </i>
    <i r="3">
      <x/>
    </i>
    <i r="4">
      <x v="1"/>
    </i>
    <i r="5">
      <x/>
    </i>
    <i r="6">
      <x/>
    </i>
    <i r="7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 v="3"/>
    </i>
    <i r="3">
      <x v="1"/>
    </i>
    <i r="4">
      <x v="1"/>
    </i>
    <i r="5">
      <x v="1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 v="3"/>
    </i>
    <i r="3">
      <x v="1"/>
    </i>
    <i r="4">
      <x v="1"/>
    </i>
    <i r="5">
      <x v="1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 v="1"/>
    </i>
    <i r="2">
      <x v="4"/>
    </i>
    <i r="3">
      <x v="3"/>
    </i>
    <i r="4">
      <x v="1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2"/>
    </i>
    <i r="3">
      <x v="3"/>
    </i>
    <i r="4">
      <x v="1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5"/>
    </i>
    <i r="1">
      <x v="3"/>
    </i>
    <i r="2">
      <x v="2"/>
    </i>
    <i r="3">
      <x v="2"/>
    </i>
    <i r="4">
      <x v="2"/>
    </i>
    <i r="5">
      <x v="1"/>
    </i>
    <i r="6">
      <x/>
    </i>
    <i r="7">
      <x v="2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250">
    <format dxfId="528">
      <pivotArea outline="0" collapsedLevelsAreSubtotals="1" fieldPosition="0"/>
    </format>
    <format dxfId="527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526">
      <pivotArea type="all" dataOnly="0" outline="0" fieldPosition="0"/>
    </format>
    <format dxfId="525">
      <pivotArea outline="0" collapsedLevelsAreSubtotals="1" fieldPosition="0"/>
    </format>
    <format dxfId="524">
      <pivotArea field="31" type="button" dataOnly="0" labelOnly="1" outline="0" axis="axisRow" fieldPosition="0"/>
    </format>
    <format dxfId="523">
      <pivotArea dataOnly="0" labelOnly="1" fieldPosition="0">
        <references count="1">
          <reference field="31" count="0"/>
        </references>
      </pivotArea>
    </format>
    <format dxfId="522">
      <pivotArea dataOnly="0" labelOnly="1" fieldPosition="0">
        <references count="2">
          <reference field="1" count="2">
            <x v="1"/>
            <x v="5"/>
          </reference>
          <reference field="31" count="1" selected="0">
            <x v="0"/>
          </reference>
        </references>
      </pivotArea>
    </format>
    <format dxfId="521">
      <pivotArea dataOnly="0" labelOnly="1" fieldPosition="0">
        <references count="2">
          <reference field="1" count="1">
            <x v="3"/>
          </reference>
          <reference field="31" count="1" selected="0">
            <x v="1"/>
          </reference>
        </references>
      </pivotArea>
    </format>
    <format dxfId="520">
      <pivotArea dataOnly="0" labelOnly="1" fieldPosition="0">
        <references count="2">
          <reference field="1" count="2">
            <x v="1"/>
            <x v="2"/>
          </reference>
          <reference field="31" count="1" selected="0">
            <x v="2"/>
          </reference>
        </references>
      </pivotArea>
    </format>
    <format dxfId="519">
      <pivotArea dataOnly="0" labelOnly="1" fieldPosition="0">
        <references count="2">
          <reference field="1" count="2">
            <x v="0"/>
            <x v="1"/>
          </reference>
          <reference field="31" count="1" selected="0">
            <x v="3"/>
          </reference>
        </references>
      </pivotArea>
    </format>
    <format dxfId="518">
      <pivotArea dataOnly="0" labelOnly="1" fieldPosition="0">
        <references count="2">
          <reference field="1" count="2">
            <x v="1"/>
            <x v="4"/>
          </reference>
          <reference field="31" count="1" selected="0">
            <x v="4"/>
          </reference>
        </references>
      </pivotArea>
    </format>
    <format dxfId="517">
      <pivotArea dataOnly="0" labelOnly="1" fieldPosition="0">
        <references count="2">
          <reference field="1" count="1">
            <x v="3"/>
          </reference>
          <reference field="31" count="1" selected="0">
            <x v="5"/>
          </reference>
        </references>
      </pivotArea>
    </format>
    <format dxfId="516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31" count="1" selected="0">
            <x v="0"/>
          </reference>
        </references>
      </pivotArea>
    </format>
    <format dxfId="515">
      <pivotArea dataOnly="0" labelOnly="1" fieldPosition="0">
        <references count="3">
          <reference field="1" count="1" selected="0">
            <x v="5"/>
          </reference>
          <reference field="2" count="2">
            <x v="1"/>
            <x v="2"/>
          </reference>
          <reference field="31" count="1" selected="0">
            <x v="0"/>
          </reference>
        </references>
      </pivotArea>
    </format>
    <format dxfId="514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31" count="1" selected="0">
            <x v="1"/>
          </reference>
        </references>
      </pivotArea>
    </format>
    <format dxfId="513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31" count="1" selected="0">
            <x v="2"/>
          </reference>
        </references>
      </pivotArea>
    </format>
    <format dxfId="512">
      <pivotArea dataOnly="0" labelOnly="1" fieldPosition="0">
        <references count="3">
          <reference field="1" count="1" selected="0">
            <x v="2"/>
          </reference>
          <reference field="2" count="1">
            <x v="4"/>
          </reference>
          <reference field="31" count="1" selected="0">
            <x v="2"/>
          </reference>
        </references>
      </pivotArea>
    </format>
    <format dxfId="511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510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509">
      <pivotArea dataOnly="0" labelOnly="1" fieldPosition="0">
        <references count="3">
          <reference field="1" count="1" selected="0">
            <x v="1"/>
          </reference>
          <reference field="2" count="1">
            <x v="4"/>
          </reference>
          <reference field="31" count="1" selected="0">
            <x v="4"/>
          </reference>
        </references>
      </pivotArea>
    </format>
    <format dxfId="508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31" count="1" selected="0">
            <x v="4"/>
          </reference>
        </references>
      </pivotArea>
    </format>
    <format dxfId="507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31" count="1" selected="0">
            <x v="5"/>
          </reference>
        </references>
      </pivotArea>
    </format>
    <format dxfId="506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505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504">
      <pivotArea dataOnly="0" labelOnly="1" fieldPosition="0">
        <references count="4">
          <reference field="1" count="1" selected="0">
            <x v="5"/>
          </reference>
          <reference field="2" count="1" selected="0">
            <x v="1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503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502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501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500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499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498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497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496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495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494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5"/>
          </reference>
        </references>
      </pivotArea>
    </format>
    <format dxfId="49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492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491">
      <pivotArea dataOnly="0" labelOnly="1" fieldPosition="0">
        <references count="5">
          <reference field="1" count="1" selected="0">
            <x v="5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490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489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4">
            <x v="3"/>
            <x v="4"/>
            <x v="5"/>
            <x v="6"/>
          </reference>
          <reference field="31" count="1" selected="0">
            <x v="1"/>
          </reference>
        </references>
      </pivotArea>
    </format>
    <format dxfId="488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1"/>
          </reference>
          <reference field="31" count="1" selected="0">
            <x v="2"/>
          </reference>
        </references>
      </pivotArea>
    </format>
    <format dxfId="487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1"/>
          </reference>
          <reference field="31" count="1" selected="0">
            <x v="2"/>
          </reference>
        </references>
      </pivotArea>
    </format>
    <format dxfId="486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1"/>
          </reference>
          <reference field="31" count="1" selected="0">
            <x v="2"/>
          </reference>
        </references>
      </pivotArea>
    </format>
    <format dxfId="485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1"/>
          </reference>
          <reference field="31" count="1" selected="0">
            <x v="3"/>
          </reference>
        </references>
      </pivotArea>
    </format>
    <format dxfId="484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1"/>
          </reference>
          <reference field="31" count="1" selected="0">
            <x v="3"/>
          </reference>
        </references>
      </pivotArea>
    </format>
    <format dxfId="483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4"/>
          </reference>
        </references>
      </pivotArea>
    </format>
    <format dxfId="482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4"/>
          </reference>
        </references>
      </pivotArea>
    </format>
    <format dxfId="481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2"/>
          </reference>
          <reference field="31" count="1" selected="0">
            <x v="5"/>
          </reference>
        </references>
      </pivotArea>
    </format>
    <format dxfId="480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0"/>
          </reference>
        </references>
      </pivotArea>
    </format>
    <format dxfId="479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0"/>
          </reference>
        </references>
      </pivotArea>
    </format>
    <format dxfId="478">
      <pivotArea dataOnly="0" labelOnly="1" fieldPosition="0">
        <references count="6">
          <reference field="1" count="1" selected="0">
            <x v="5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0"/>
          </reference>
        </references>
      </pivotArea>
    </format>
    <format dxfId="477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0"/>
          </reference>
        </references>
      </pivotArea>
    </format>
    <format dxfId="476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475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47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473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472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471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1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470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1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46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1"/>
          </reference>
          <reference field="5" count="1">
            <x v="1"/>
          </reference>
          <reference field="31" count="1" selected="0">
            <x v="3"/>
          </reference>
        </references>
      </pivotArea>
    </format>
    <format dxfId="468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1"/>
          </reference>
          <reference field="5" count="1">
            <x v="1"/>
          </reference>
          <reference field="31" count="1" selected="0">
            <x v="3"/>
          </reference>
        </references>
      </pivotArea>
    </format>
    <format dxfId="467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1"/>
          </reference>
          <reference field="31" count="1" selected="0">
            <x v="4"/>
          </reference>
        </references>
      </pivotArea>
    </format>
    <format dxfId="466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1"/>
          </reference>
          <reference field="31" count="1" selected="0">
            <x v="4"/>
          </reference>
        </references>
      </pivotArea>
    </format>
    <format dxfId="465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464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463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462">
      <pivotArea dataOnly="0" labelOnly="1" fieldPosition="0">
        <references count="7">
          <reference field="1" count="1" selected="0">
            <x v="5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461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460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459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458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457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45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455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454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453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6" count="1">
            <x v="2"/>
          </reference>
          <reference field="31" count="1" selected="0">
            <x v="3"/>
          </reference>
        </references>
      </pivotArea>
    </format>
    <format dxfId="452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6" count="1">
            <x v="1"/>
          </reference>
          <reference field="31" count="1" selected="0">
            <x v="3"/>
          </reference>
        </references>
      </pivotArea>
    </format>
    <format dxfId="451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4"/>
          </reference>
        </references>
      </pivotArea>
    </format>
    <format dxfId="450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4"/>
          </reference>
        </references>
      </pivotArea>
    </format>
    <format dxfId="449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448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447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446">
      <pivotArea dataOnly="0" labelOnly="1" fieldPosition="0">
        <references count="8">
          <reference field="1" count="1" selected="0">
            <x v="5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31" count="1" selected="0">
            <x v="0"/>
          </reference>
        </references>
      </pivotArea>
    </format>
    <format dxfId="445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0"/>
          </reference>
        </references>
      </pivotArea>
    </format>
    <format dxfId="444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443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442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441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440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439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438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43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36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35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4"/>
          </reference>
        </references>
      </pivotArea>
    </format>
    <format dxfId="434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433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43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43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43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42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42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427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6">
            <x v="6"/>
            <x v="7"/>
            <x v="8"/>
            <x v="9"/>
            <x v="10"/>
            <x v="11"/>
          </reference>
          <reference field="31" count="1" selected="0">
            <x v="0"/>
          </reference>
        </references>
      </pivotArea>
    </format>
    <format dxfId="426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6">
            <x v="6"/>
            <x v="7"/>
            <x v="8"/>
            <x v="9"/>
            <x v="10"/>
            <x v="11"/>
          </reference>
          <reference field="31" count="1" selected="0">
            <x v="0"/>
          </reference>
        </references>
      </pivotArea>
    </format>
    <format dxfId="425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6">
            <x v="6"/>
            <x v="7"/>
            <x v="8"/>
            <x v="9"/>
            <x v="10"/>
            <x v="11"/>
          </reference>
          <reference field="31" count="1" selected="0">
            <x v="0"/>
          </reference>
        </references>
      </pivotArea>
    </format>
    <format dxfId="424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42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422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421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420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41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41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41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41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41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41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413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2"/>
          </reference>
        </references>
      </pivotArea>
    </format>
    <format dxfId="412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2"/>
          </reference>
        </references>
      </pivotArea>
    </format>
    <format dxfId="411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2"/>
          </reference>
        </references>
      </pivotArea>
    </format>
    <format dxfId="41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40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40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40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40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4"/>
          </reference>
        </references>
      </pivotArea>
    </format>
    <format dxfId="405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40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1">
            <x v="0"/>
          </reference>
          <reference field="31" count="1" selected="0">
            <x v="5"/>
          </reference>
        </references>
      </pivotArea>
    </format>
    <format dxfId="403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402">
      <pivotArea type="all" dataOnly="0" outline="0" fieldPosition="0"/>
    </format>
    <format dxfId="401">
      <pivotArea outline="0" collapsedLevelsAreSubtotals="1" fieldPosition="0"/>
    </format>
    <format dxfId="400">
      <pivotArea field="31" type="button" dataOnly="0" labelOnly="1" outline="0" axis="axisRow" fieldPosition="0"/>
    </format>
    <format dxfId="399">
      <pivotArea dataOnly="0" labelOnly="1" fieldPosition="0">
        <references count="1">
          <reference field="31" count="0"/>
        </references>
      </pivotArea>
    </format>
    <format dxfId="398">
      <pivotArea dataOnly="0" labelOnly="1" fieldPosition="0">
        <references count="2">
          <reference field="1" count="2">
            <x v="1"/>
            <x v="5"/>
          </reference>
          <reference field="31" count="1" selected="0">
            <x v="0"/>
          </reference>
        </references>
      </pivotArea>
    </format>
    <format dxfId="397">
      <pivotArea dataOnly="0" labelOnly="1" fieldPosition="0">
        <references count="2">
          <reference field="1" count="1">
            <x v="3"/>
          </reference>
          <reference field="31" count="1" selected="0">
            <x v="1"/>
          </reference>
        </references>
      </pivotArea>
    </format>
    <format dxfId="396">
      <pivotArea dataOnly="0" labelOnly="1" fieldPosition="0">
        <references count="2">
          <reference field="1" count="2">
            <x v="1"/>
            <x v="2"/>
          </reference>
          <reference field="31" count="1" selected="0">
            <x v="2"/>
          </reference>
        </references>
      </pivotArea>
    </format>
    <format dxfId="395">
      <pivotArea dataOnly="0" labelOnly="1" fieldPosition="0">
        <references count="2">
          <reference field="1" count="2">
            <x v="0"/>
            <x v="1"/>
          </reference>
          <reference field="31" count="1" selected="0">
            <x v="3"/>
          </reference>
        </references>
      </pivotArea>
    </format>
    <format dxfId="394">
      <pivotArea dataOnly="0" labelOnly="1" fieldPosition="0">
        <references count="2">
          <reference field="1" count="2">
            <x v="1"/>
            <x v="4"/>
          </reference>
          <reference field="31" count="1" selected="0">
            <x v="4"/>
          </reference>
        </references>
      </pivotArea>
    </format>
    <format dxfId="393">
      <pivotArea dataOnly="0" labelOnly="1" fieldPosition="0">
        <references count="2">
          <reference field="1" count="1">
            <x v="3"/>
          </reference>
          <reference field="31" count="1" selected="0">
            <x v="5"/>
          </reference>
        </references>
      </pivotArea>
    </format>
    <format dxfId="392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31" count="1" selected="0">
            <x v="0"/>
          </reference>
        </references>
      </pivotArea>
    </format>
    <format dxfId="391">
      <pivotArea dataOnly="0" labelOnly="1" fieldPosition="0">
        <references count="3">
          <reference field="1" count="1" selected="0">
            <x v="5"/>
          </reference>
          <reference field="2" count="2">
            <x v="1"/>
            <x v="2"/>
          </reference>
          <reference field="31" count="1" selected="0">
            <x v="0"/>
          </reference>
        </references>
      </pivotArea>
    </format>
    <format dxfId="390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31" count="1" selected="0">
            <x v="1"/>
          </reference>
        </references>
      </pivotArea>
    </format>
    <format dxfId="389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31" count="1" selected="0">
            <x v="2"/>
          </reference>
        </references>
      </pivotArea>
    </format>
    <format dxfId="388">
      <pivotArea dataOnly="0" labelOnly="1" fieldPosition="0">
        <references count="3">
          <reference field="1" count="1" selected="0">
            <x v="2"/>
          </reference>
          <reference field="2" count="1">
            <x v="4"/>
          </reference>
          <reference field="31" count="1" selected="0">
            <x v="2"/>
          </reference>
        </references>
      </pivotArea>
    </format>
    <format dxfId="387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386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385">
      <pivotArea dataOnly="0" labelOnly="1" fieldPosition="0">
        <references count="3">
          <reference field="1" count="1" selected="0">
            <x v="1"/>
          </reference>
          <reference field="2" count="1">
            <x v="4"/>
          </reference>
          <reference field="31" count="1" selected="0">
            <x v="4"/>
          </reference>
        </references>
      </pivotArea>
    </format>
    <format dxfId="384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31" count="1" selected="0">
            <x v="4"/>
          </reference>
        </references>
      </pivotArea>
    </format>
    <format dxfId="383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31" count="1" selected="0">
            <x v="5"/>
          </reference>
        </references>
      </pivotArea>
    </format>
    <format dxfId="382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81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80">
      <pivotArea dataOnly="0" labelOnly="1" fieldPosition="0">
        <references count="4">
          <reference field="1" count="1" selected="0">
            <x v="5"/>
          </reference>
          <reference field="2" count="1" selected="0">
            <x v="1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79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78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377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76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75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74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373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372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371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370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5"/>
          </reference>
        </references>
      </pivotArea>
    </format>
    <format dxfId="369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368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367">
      <pivotArea dataOnly="0" labelOnly="1" fieldPosition="0">
        <references count="5">
          <reference field="1" count="1" selected="0">
            <x v="5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366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365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4">
            <x v="3"/>
            <x v="4"/>
            <x v="5"/>
            <x v="6"/>
          </reference>
          <reference field="31" count="1" selected="0">
            <x v="1"/>
          </reference>
        </references>
      </pivotArea>
    </format>
    <format dxfId="364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1"/>
          </reference>
          <reference field="31" count="1" selected="0">
            <x v="2"/>
          </reference>
        </references>
      </pivotArea>
    </format>
    <format dxfId="363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1"/>
          </reference>
          <reference field="31" count="1" selected="0">
            <x v="2"/>
          </reference>
        </references>
      </pivotArea>
    </format>
    <format dxfId="362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1"/>
          </reference>
          <reference field="31" count="1" selected="0">
            <x v="2"/>
          </reference>
        </references>
      </pivotArea>
    </format>
    <format dxfId="361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1"/>
          </reference>
          <reference field="31" count="1" selected="0">
            <x v="3"/>
          </reference>
        </references>
      </pivotArea>
    </format>
    <format dxfId="360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1"/>
          </reference>
          <reference field="31" count="1" selected="0">
            <x v="3"/>
          </reference>
        </references>
      </pivotArea>
    </format>
    <format dxfId="359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4"/>
          </reference>
        </references>
      </pivotArea>
    </format>
    <format dxfId="358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4"/>
          </reference>
        </references>
      </pivotArea>
    </format>
    <format dxfId="357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2"/>
          </reference>
          <reference field="31" count="1" selected="0">
            <x v="5"/>
          </reference>
        </references>
      </pivotArea>
    </format>
    <format dxfId="35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0"/>
          </reference>
        </references>
      </pivotArea>
    </format>
    <format dxfId="355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0"/>
          </reference>
        </references>
      </pivotArea>
    </format>
    <format dxfId="354">
      <pivotArea dataOnly="0" labelOnly="1" fieldPosition="0">
        <references count="6">
          <reference field="1" count="1" selected="0">
            <x v="5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0"/>
          </reference>
        </references>
      </pivotArea>
    </format>
    <format dxfId="353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0"/>
          </reference>
        </references>
      </pivotArea>
    </format>
    <format dxfId="352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351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350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349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1"/>
          </reference>
          <reference field="31" count="1" selected="0">
            <x v="1"/>
          </reference>
        </references>
      </pivotArea>
    </format>
    <format dxfId="34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47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1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46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1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45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1"/>
          </reference>
          <reference field="5" count="1">
            <x v="1"/>
          </reference>
          <reference field="31" count="1" selected="0">
            <x v="3"/>
          </reference>
        </references>
      </pivotArea>
    </format>
    <format dxfId="344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1"/>
          </reference>
          <reference field="5" count="1">
            <x v="1"/>
          </reference>
          <reference field="31" count="1" selected="0">
            <x v="3"/>
          </reference>
        </references>
      </pivotArea>
    </format>
    <format dxfId="343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1"/>
          </reference>
          <reference field="31" count="1" selected="0">
            <x v="4"/>
          </reference>
        </references>
      </pivotArea>
    </format>
    <format dxfId="342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1"/>
          </reference>
          <reference field="31" count="1" selected="0">
            <x v="4"/>
          </reference>
        </references>
      </pivotArea>
    </format>
    <format dxfId="341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340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339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338">
      <pivotArea dataOnly="0" labelOnly="1" fieldPosition="0">
        <references count="7">
          <reference field="1" count="1" selected="0">
            <x v="5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337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336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335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334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333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332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331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330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329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6" count="1">
            <x v="2"/>
          </reference>
          <reference field="31" count="1" selected="0">
            <x v="3"/>
          </reference>
        </references>
      </pivotArea>
    </format>
    <format dxfId="328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6" count="1">
            <x v="1"/>
          </reference>
          <reference field="31" count="1" selected="0">
            <x v="3"/>
          </reference>
        </references>
      </pivotArea>
    </format>
    <format dxfId="327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4"/>
          </reference>
        </references>
      </pivotArea>
    </format>
    <format dxfId="326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4"/>
          </reference>
        </references>
      </pivotArea>
    </format>
    <format dxfId="325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324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323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322">
      <pivotArea dataOnly="0" labelOnly="1" fieldPosition="0">
        <references count="8">
          <reference field="1" count="1" selected="0">
            <x v="5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31" count="1" selected="0">
            <x v="0"/>
          </reference>
        </references>
      </pivotArea>
    </format>
    <format dxfId="321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0"/>
          </reference>
        </references>
      </pivotArea>
    </format>
    <format dxfId="320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319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318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317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316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315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314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31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312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311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4"/>
          </reference>
        </references>
      </pivotArea>
    </format>
    <format dxfId="310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309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30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30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30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30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30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303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6">
            <x v="6"/>
            <x v="7"/>
            <x v="8"/>
            <x v="9"/>
            <x v="10"/>
            <x v="11"/>
          </reference>
          <reference field="31" count="1" selected="0">
            <x v="0"/>
          </reference>
        </references>
      </pivotArea>
    </format>
    <format dxfId="302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6">
            <x v="6"/>
            <x v="7"/>
            <x v="8"/>
            <x v="9"/>
            <x v="10"/>
            <x v="11"/>
          </reference>
          <reference field="31" count="1" selected="0">
            <x v="0"/>
          </reference>
        </references>
      </pivotArea>
    </format>
    <format dxfId="301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6">
            <x v="6"/>
            <x v="7"/>
            <x v="8"/>
            <x v="9"/>
            <x v="10"/>
            <x v="11"/>
          </reference>
          <reference field="31" count="1" selected="0">
            <x v="0"/>
          </reference>
        </references>
      </pivotArea>
    </format>
    <format dxfId="300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99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98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97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96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9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9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9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29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9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9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289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2"/>
          </reference>
        </references>
      </pivotArea>
    </format>
    <format dxfId="288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2"/>
          </reference>
        </references>
      </pivotArea>
    </format>
    <format dxfId="287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2"/>
          </reference>
        </references>
      </pivotArea>
    </format>
    <format dxfId="28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28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28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28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28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4"/>
          </reference>
        </references>
      </pivotArea>
    </format>
    <format dxfId="281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280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1">
            <x v="0"/>
          </reference>
          <reference field="31" count="1" selected="0">
            <x v="5"/>
          </reference>
        </references>
      </pivotArea>
    </format>
    <format dxfId="279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ECF61-D372-425E-92C2-F3C5B4E13C69}" name="Efeito Resumo" cacheId="39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J1063" firstHeaderRow="0" firstDataRow="1" firstDataCol="1"/>
  <pivotFields count="36"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Row" showAll="0">
      <items count="6">
        <item x="0"/>
        <item x="3"/>
        <item x="4"/>
        <item x="1"/>
        <item x="2"/>
        <item t="default"/>
      </items>
    </pivotField>
    <pivotField axis="axisRow" showAll="0">
      <items count="10">
        <item x="2"/>
        <item x="4"/>
        <item x="8"/>
        <item x="0"/>
        <item x="1"/>
        <item x="5"/>
        <item x="7"/>
        <item x="6"/>
        <item x="3"/>
        <item t="default"/>
      </items>
    </pivotField>
    <pivotField axis="axisRow" showAll="0">
      <items count="9">
        <item x="1"/>
        <item x="7"/>
        <item x="0"/>
        <item x="2"/>
        <item x="3"/>
        <item x="4"/>
        <item x="5"/>
        <item x="6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4">
        <item x="0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4">
        <item x="2"/>
        <item x="1"/>
        <item x="0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"/>
    <field x="2"/>
    <field x="16"/>
    <field x="3"/>
    <field x="4"/>
    <field x="5"/>
    <field x="6"/>
    <field x="7"/>
    <field x="8"/>
  </rowFields>
  <rowItems count="1062">
    <i>
      <x/>
    </i>
    <i r="1">
      <x/>
    </i>
    <i r="2">
      <x v="2"/>
    </i>
    <i r="3">
      <x v="3"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3"/>
    </i>
    <i r="2">
      <x v="1"/>
    </i>
    <i r="3">
      <x v="4"/>
    </i>
    <i r="4">
      <x v="2"/>
    </i>
    <i r="5">
      <x v="1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/>
    </i>
    <i r="3">
      <x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3"/>
    </i>
    <i r="4">
      <x v="2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4"/>
    </i>
    <i r="4">
      <x v="2"/>
    </i>
    <i r="5">
      <x v="1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/>
    </i>
    <i r="3">
      <x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3"/>
    </i>
    <i r="4">
      <x v="2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 v="4"/>
    </i>
    <i r="2">
      <x/>
    </i>
    <i r="3">
      <x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3"/>
    </i>
    <i r="4">
      <x v="2"/>
    </i>
    <i r="5">
      <x/>
    </i>
    <i r="6">
      <x/>
    </i>
    <i r="7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 v="1"/>
    </i>
    <i r="2">
      <x/>
    </i>
    <i r="3">
      <x v="6"/>
    </i>
    <i r="4">
      <x v="3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/>
    </i>
    <i r="3">
      <x v="6"/>
    </i>
    <i r="4">
      <x v="3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4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5"/>
    </i>
    <i r="1">
      <x v="2"/>
    </i>
    <i r="2">
      <x/>
    </i>
    <i r="3">
      <x v="7"/>
    </i>
    <i r="4">
      <x v="2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6"/>
    </i>
    <i r="1">
      <x v="1"/>
    </i>
    <i r="2">
      <x/>
    </i>
    <i r="3">
      <x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2"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9"/>
    </i>
    <i r="8">
      <x v="10"/>
    </i>
    <i r="8">
      <x v="11"/>
    </i>
    <i r="3">
      <x v="8"/>
    </i>
    <i r="4">
      <x/>
    </i>
    <i r="5">
      <x v="1"/>
    </i>
    <i r="6">
      <x/>
    </i>
    <i r="7">
      <x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/>
    </i>
    <i r="3">
      <x/>
    </i>
    <i r="4">
      <x v="2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2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2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2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7"/>
    </i>
    <i r="1">
      <x v="2"/>
    </i>
    <i r="2">
      <x/>
    </i>
    <i r="3">
      <x v="2"/>
    </i>
    <i r="4">
      <x v="1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7"/>
    <dataField name="Soma de Variação TE" fld="34" baseField="0" baseItem="0" numFmtId="167"/>
    <dataField name="Soma de Variação" fld="35" baseField="0" baseItem="0" numFmtId="167"/>
  </dataFields>
  <formats count="4">
    <format dxfId="188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187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86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185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723E8282-E454-4A0D-886F-7D2F2B4F361A}" autoFormatId="0" applyNumberFormats="0" applyBorderFormats="0" applyFontFormats="1" applyPatternFormats="1" applyAlignmentFormats="0" applyWidthHeightFormats="0">
  <queryTableRefresh nextId="46">
    <queryTableFields count="45">
      <queryTableField id="1" name="SUBGRUPO" tableColumnId="46"/>
      <queryTableField id="2" name="MODALIDADE" tableColumnId="47"/>
      <queryTableField id="3" name="CLASSE" tableColumnId="48"/>
      <queryTableField id="4" name="SUBCLASSE" tableColumnId="49"/>
      <queryTableField id="5" name="DETALHE" tableColumnId="50"/>
      <queryTableField id="6" name="POSTO" tableColumnId="51"/>
      <queryTableField id="7" name="UNIDADE" tableColumnId="52"/>
      <queryTableField id="8" name="ACESSANTE" tableColumnId="53"/>
      <queryTableField id="9" name="Total TUSD" tableColumnId="54"/>
      <queryTableField id="10" name="Total TE" tableColumnId="55"/>
      <queryTableField id="11" name="TUSD_CDE_COVID" tableColumnId="56"/>
      <queryTableField id="12" name="TUSD_TFSEE" tableColumnId="57"/>
      <queryTableField id="13" name="TUSD_PeD" tableColumnId="58"/>
      <queryTableField id="14" name="TUSD_ONS" tableColumnId="59"/>
      <queryTableField id="15" name="TUSD_CCC" tableColumnId="60"/>
      <queryTableField id="16" name="TUSD_CDE" tableColumnId="61"/>
      <queryTableField id="17" name="TUSD_PROINFA" tableColumnId="62"/>
      <queryTableField id="18" name="Liminar1" tableColumnId="63"/>
      <queryTableField id="19" name="TUSD_RB" tableColumnId="64"/>
      <queryTableField id="20" name="TUSD_FR" tableColumnId="65"/>
      <queryTableField id="21" name="TUSD_CCT" tableColumnId="66"/>
      <queryTableField id="22" name="TUSD_CCD" tableColumnId="67"/>
      <queryTableField id="23" name="TUSD_CUSD" tableColumnId="68"/>
      <queryTableField id="24" name="TUSDG_T" tableColumnId="69"/>
      <queryTableField id="25" name="TUSDG_ONS" tableColumnId="70"/>
      <queryTableField id="26" name="TUSD_FioB" tableColumnId="71"/>
      <queryTableField id="27" name="TUSD Subsidio" tableColumnId="72"/>
      <queryTableField id="28" name="TUSD BENEFICIO_L14299" tableColumnId="73"/>
      <queryTableField id="29" name="TUSD Outros" tableColumnId="74"/>
      <queryTableField id="30" name="TUSD_PT" tableColumnId="75"/>
      <queryTableField id="31" name="TUSD_Per_RB_D" tableColumnId="76"/>
      <queryTableField id="32" name="TUSD_PNT" tableColumnId="77"/>
      <queryTableField id="33" name="TUSD_RI" tableColumnId="78"/>
      <queryTableField id="34" name="TE_CDE_COVID" tableColumnId="79"/>
      <queryTableField id="35" name="TE_CDE_ELET" tableColumnId="80"/>
      <queryTableField id="36" name="TE_PeD" tableColumnId="81"/>
      <queryTableField id="37" name="TE_ESSERR" tableColumnId="82"/>
      <queryTableField id="38" name="TE_CFURH" tableColumnId="83"/>
      <queryTableField id="39" name="TE_ENERGIA" tableColumnId="84"/>
      <queryTableField id="40" name="TE_TRANSPORTE_ITAIPU" tableColumnId="85"/>
      <queryTableField id="41" name="TE_TUST_ITAIPU" tableColumnId="86"/>
      <queryTableField id="42" name="TE_TUST_CI" tableColumnId="87"/>
      <queryTableField id="43" name="TE Subsidio" tableColumnId="88"/>
      <queryTableField id="44" name="TE BENEFICIO_L14299" tableColumnId="89"/>
      <queryTableField id="45" name="TE_Per_RB" tableColumnId="9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233E8002-5A01-4C52-9CD7-55E047F5B9CB}" autoFormatId="0" applyNumberFormats="0" applyBorderFormats="0" applyFontFormats="1" applyPatternFormats="1" applyAlignmentFormats="0" applyWidthHeightFormats="0">
  <queryTableRefresh nextId="46">
    <queryTableFields count="45">
      <queryTableField id="1" name="SUBGRUPO" tableColumnId="46"/>
      <queryTableField id="2" name="MODALIDADE" tableColumnId="47"/>
      <queryTableField id="3" name="CLASSE" tableColumnId="48"/>
      <queryTableField id="4" name="SUBCLASSE" tableColumnId="49"/>
      <queryTableField id="5" name="DETALHE" tableColumnId="50"/>
      <queryTableField id="6" name="POSTO" tableColumnId="51"/>
      <queryTableField id="7" name="UNIDADE" tableColumnId="52"/>
      <queryTableField id="8" name="ACESSANTE" tableColumnId="53"/>
      <queryTableField id="9" name="Total TUSD" tableColumnId="54"/>
      <queryTableField id="10" name="Total TE" tableColumnId="55"/>
      <queryTableField id="11" name="TUSD_CDE_COVID" tableColumnId="56"/>
      <queryTableField id="12" name="TUSD_TFSEE" tableColumnId="57"/>
      <queryTableField id="13" name="TUSD_PeD" tableColumnId="58"/>
      <queryTableField id="14" name="TUSD_ONS" tableColumnId="59"/>
      <queryTableField id="15" name="TUSD_CCC" tableColumnId="60"/>
      <queryTableField id="16" name="TUSD_CDE" tableColumnId="61"/>
      <queryTableField id="17" name="TUSD_PROINFA" tableColumnId="62"/>
      <queryTableField id="18" name="Liminar1" tableColumnId="63"/>
      <queryTableField id="19" name="TUSD_RB" tableColumnId="64"/>
      <queryTableField id="20" name="TUSD_FR" tableColumnId="65"/>
      <queryTableField id="21" name="TUSD_CCT" tableColumnId="66"/>
      <queryTableField id="22" name="TUSD_CCD" tableColumnId="67"/>
      <queryTableField id="23" name="TUSD_CUSD" tableColumnId="68"/>
      <queryTableField id="24" name="TUSDG_T" tableColumnId="69"/>
      <queryTableField id="25" name="TUSDG_ONS" tableColumnId="70"/>
      <queryTableField id="26" name="TUSD_FioB" tableColumnId="71"/>
      <queryTableField id="27" name="TUSD Subsidio" tableColumnId="72"/>
      <queryTableField id="28" name="TUSD BENEFICIO_L14299" tableColumnId="73"/>
      <queryTableField id="29" name="TUSD Outros" tableColumnId="74"/>
      <queryTableField id="30" name="TUSD_PT" tableColumnId="75"/>
      <queryTableField id="31" name="TUSD_Per_RB_D" tableColumnId="76"/>
      <queryTableField id="32" name="TUSD_PNT" tableColumnId="77"/>
      <queryTableField id="33" name="TUSD_RI" tableColumnId="78"/>
      <queryTableField id="34" name="TE_CDE_COVID" tableColumnId="79"/>
      <queryTableField id="35" name="TE_CDE_ELET" tableColumnId="80"/>
      <queryTableField id="36" name="TE_PeD" tableColumnId="81"/>
      <queryTableField id="37" name="TE_ESSERR" tableColumnId="82"/>
      <queryTableField id="38" name="TE_CFURH" tableColumnId="83"/>
      <queryTableField id="39" name="TE_ENERGIA" tableColumnId="84"/>
      <queryTableField id="40" name="TE_TRANSPORTE_ITAIPU" tableColumnId="85"/>
      <queryTableField id="41" name="TE_TUST_ITAIPU" tableColumnId="86"/>
      <queryTableField id="42" name="TE_TUST_CI" tableColumnId="87"/>
      <queryTableField id="43" name="TE Subsidio" tableColumnId="88"/>
      <queryTableField id="44" name="TE BENEFICIO_L14299" tableColumnId="89"/>
      <queryTableField id="45" name="TE_Per_RB" tableColumnId="9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9F97F42D-0BD4-4CC3-804C-03668FA8C24B}" autoFormatId="0" applyNumberFormats="0" applyBorderFormats="0" applyFontFormats="1" applyPatternFormats="1" applyAlignmentFormats="0" applyWidthHeightFormats="0">
  <queryTableRefresh nextId="46">
    <queryTableFields count="45">
      <queryTableField id="1" name="SUBGRUPO" tableColumnId="46"/>
      <queryTableField id="2" name="MODALIDADE" tableColumnId="47"/>
      <queryTableField id="3" name="CLASSE" tableColumnId="48"/>
      <queryTableField id="4" name="SUBCLASSE" tableColumnId="49"/>
      <queryTableField id="5" name="DETALHE" tableColumnId="50"/>
      <queryTableField id="6" name="POSTO" tableColumnId="51"/>
      <queryTableField id="7" name="UNIDADE" tableColumnId="52"/>
      <queryTableField id="8" name="ACESSANTE" tableColumnId="53"/>
      <queryTableField id="9" name="Total TUSD" tableColumnId="54"/>
      <queryTableField id="10" name="Total TE" tableColumnId="55"/>
      <queryTableField id="11" name="TUSD_CDE_COVID" tableColumnId="56"/>
      <queryTableField id="12" name="TUSD_TFSEE" tableColumnId="57"/>
      <queryTableField id="13" name="TUSD_PeD" tableColumnId="58"/>
      <queryTableField id="14" name="TUSD_ONS" tableColumnId="59"/>
      <queryTableField id="15" name="TUSD_CCC" tableColumnId="60"/>
      <queryTableField id="16" name="TUSD_CDE" tableColumnId="61"/>
      <queryTableField id="17" name="TUSD_PROINFA" tableColumnId="62"/>
      <queryTableField id="18" name="Liminar1" tableColumnId="63"/>
      <queryTableField id="19" name="TUSD_RB" tableColumnId="64"/>
      <queryTableField id="20" name="TUSD_FR" tableColumnId="65"/>
      <queryTableField id="21" name="TUSD_CCT" tableColumnId="66"/>
      <queryTableField id="22" name="TUSD_CCD" tableColumnId="67"/>
      <queryTableField id="23" name="TUSD_CUSD" tableColumnId="68"/>
      <queryTableField id="24" name="TUSDG_T" tableColumnId="69"/>
      <queryTableField id="25" name="TUSDG_ONS" tableColumnId="70"/>
      <queryTableField id="26" name="TUSD_FioB" tableColumnId="71"/>
      <queryTableField id="27" name="TUSD Subsidio" tableColumnId="72"/>
      <queryTableField id="28" name="TUSD BENEFICIO_L14299" tableColumnId="73"/>
      <queryTableField id="29" name="TUSD Outros" tableColumnId="74"/>
      <queryTableField id="30" name="TUSD_PT" tableColumnId="75"/>
      <queryTableField id="31" name="TUSD_Per_RB_D" tableColumnId="76"/>
      <queryTableField id="32" name="TUSD_PNT" tableColumnId="77"/>
      <queryTableField id="33" name="TUSD_RI" tableColumnId="78"/>
      <queryTableField id="34" name="TE_CDE_COVID" tableColumnId="79"/>
      <queryTableField id="35" name="TE_CDE_ELET" tableColumnId="80"/>
      <queryTableField id="36" name="TE_PeD" tableColumnId="81"/>
      <queryTableField id="37" name="TE_ESSERR" tableColumnId="82"/>
      <queryTableField id="38" name="TE_CFURH" tableColumnId="83"/>
      <queryTableField id="39" name="TE_ENERGIA" tableColumnId="84"/>
      <queryTableField id="40" name="TE_TRANSPORTE_ITAIPU" tableColumnId="85"/>
      <queryTableField id="41" name="TE_TUST_ITAIPU" tableColumnId="86"/>
      <queryTableField id="42" name="TE_TUST_CI" tableColumnId="87"/>
      <queryTableField id="43" name="TE Subsidio" tableColumnId="88"/>
      <queryTableField id="44" name="TE BENEFICIO_L14299" tableColumnId="89"/>
      <queryTableField id="45" name="TE_Per_RB" tableColumnId="90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9116CF-C6FE-45BC-93F0-1B72AFC09530}" name="Efeito" displayName="Efeito" ref="A1:AG1157" totalsRowShown="0" headerRowDxfId="1067" dataDxfId="1066">
  <autoFilter ref="A1:AG1157" xr:uid="{6E9116CF-C6FE-45BC-93F0-1B72AFC09530}"/>
  <tableColumns count="33">
    <tableColumn id="1" xr3:uid="{F1C18151-0615-46B8-BB7A-5824BC79D7A6}" name="TipoMercado" dataDxfId="1065"/>
    <tableColumn id="2" xr3:uid="{EFD6DC37-F8E9-401F-95CF-D94776BC0DA7}" name="Subgrupo" dataDxfId="1064"/>
    <tableColumn id="3" xr3:uid="{4DCD77A5-4E54-4842-B680-CEECFA385073}" name="Modalidade" dataDxfId="1063"/>
    <tableColumn id="4" xr3:uid="{715F2E1B-2C34-42E0-9E49-D0C3F2C994E1}" name="Classe" dataDxfId="1062"/>
    <tableColumn id="5" xr3:uid="{FB2A219B-C307-4A71-90EA-A4015BA6DD04}" name="Subclasse" dataDxfId="1061"/>
    <tableColumn id="6" xr3:uid="{18B9DE4B-C374-48BA-A987-AC52A04B8C42}" name="Detalhe" dataDxfId="1060"/>
    <tableColumn id="7" xr3:uid="{B326CE5F-5489-424F-B83A-CECE0A26B01A}" name="Agente" dataDxfId="1059"/>
    <tableColumn id="8" xr3:uid="{B283325F-F3D1-484F-B064-D7F463A6C7A3}" name="Posto" dataDxfId="1058"/>
    <tableColumn id="9" xr3:uid="{673F0C6E-D87A-4AA8-8032-D2ECB8B6C034}" name="AnoMes" dataDxfId="1057"/>
    <tableColumn id="10" xr3:uid="{B9839033-7143-4090-AF40-9471CF22BF64}" name="D" dataDxfId="1056"/>
    <tableColumn id="11" xr3:uid="{82760ACA-964D-4DB7-B9C1-50565F49C55D}" name="Daj" dataDxfId="1055"/>
    <tableColumn id="12" xr3:uid="{255A1BAC-4BDD-43FD-BF49-797AC7508AEC}" name="TUSD_E" dataDxfId="1054"/>
    <tableColumn id="13" xr3:uid="{01EBC05E-1611-4EF3-B323-ADE663ABE894}" name="TUSD_Eaj" dataDxfId="1053"/>
    <tableColumn id="14" xr3:uid="{3C78BD47-D193-432F-B6EA-C6E81EB1A1A4}" name="TE_E" dataDxfId="1052"/>
    <tableColumn id="15" xr3:uid="{4BE1566A-3430-4B5F-80A5-E1170F2CA5E9}" name="TE_Eaj" dataDxfId="1051"/>
    <tableColumn id="16" xr3:uid="{2C104306-4E84-4711-9F48-89B45E9FB447}" name="UC" dataDxfId="1050"/>
    <tableColumn id="17" xr3:uid="{7C8E8C67-4C71-4C83-BC05-1B2E7F80A65E}" name="OPÇÃO" dataDxfId="1049"/>
    <tableColumn id="18" xr3:uid="{76355566-1990-4739-A9B0-4616D8320862}" name="CóD. AUX." dataDxfId="1048"/>
    <tableColumn id="19" xr3:uid="{B106D2F6-68C1-4453-AF2C-5A4A8CA340B4}" name="CóD. AUX. TUSD R$/kW" dataDxfId="1047"/>
    <tableColumn id="20" xr3:uid="{0E652FBC-F57B-4D6F-A890-8A378635F9A4}" name="CóD. AUX. TUSD R$/MWh" dataDxfId="1046"/>
    <tableColumn id="21" xr3:uid="{37C49ED2-4E97-49AB-B732-BC4B49597A91}" name="CóD. AUX. TE R$/MWh" dataDxfId="1045"/>
    <tableColumn id="22" xr3:uid="{36B33B1F-63E1-4CF3-8AFA-3C578C15E856}" name="TUSD (R$/kW)" dataDxfId="1044"/>
    <tableColumn id="23" xr3:uid="{E4CBBB63-F908-40AE-9B46-77B44BABA03F}" name="TUSD (R$/MWh)" dataDxfId="1043"/>
    <tableColumn id="24" xr3:uid="{288A1E0C-7759-41D3-942F-9DE6C6E93A4B}" name="TE (R$/MWh)" dataDxfId="1042"/>
    <tableColumn id="25" xr3:uid="{ABC71B3D-66E8-4A4D-9B71-EC51044DEE33}" name="TUSD (R$/kW) NOVA" dataDxfId="1041"/>
    <tableColumn id="26" xr3:uid="{F6B9E514-DC82-4C2A-BF36-EA73C094057A}" name="TUSD (R$/MWh) NOVA" dataDxfId="1040">
      <calculatedColumnFormula>('TUSD BE'!$AM$70+'TUSD BF'!$AM$70+'TUSD CVA'!$AM$70)*1</calculatedColumnFormula>
    </tableColumn>
    <tableColumn id="27" xr3:uid="{220E0685-B083-4B86-B30E-794F69F442BD}" name="TE (R$/MWh) NOVA" dataDxfId="1039">
      <calculatedColumnFormula>('TE BE'!$AB$48+'TE BF'!$AB$48+'TE CVA'!$AB$48)*1</calculatedColumnFormula>
    </tableColumn>
    <tableColumn id="28" xr3:uid="{B8435F9D-B6B6-4660-8222-616F2E3B804C}" name="RA0 ou RV - TUSD (kW)" dataDxfId="1038"/>
    <tableColumn id="29" xr3:uid="{33BE370F-B1FD-4F2F-88D6-C292823A52E6}" name="RA0 ou RV - TUSD (MWh)" dataDxfId="1037"/>
    <tableColumn id="30" xr3:uid="{1B474335-CA87-4AA0-B03C-93CEE71565FC}" name="RA0 ou RV - TE (MWh)" dataDxfId="1036"/>
    <tableColumn id="31" xr3:uid="{D485302E-EDC1-44DE-91E1-560F15FE1FDC}" name="RA1 ou RRD - TUSD (kW)" dataDxfId="1035"/>
    <tableColumn id="32" xr3:uid="{13E6589C-061E-4562-9638-3F065AB69B4A}" name="RA1 ou RRD - TUSD (MWh)" dataDxfId="1034"/>
    <tableColumn id="33" xr3:uid="{13E78A27-64FB-4F15-9806-6A19B8FEEB6F}" name="RA1 ou RRD - TE (MWh)" dataDxfId="103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C688A5-3385-4F88-B1FE-FE1525DC8789}" name="Subsidio" displayName="Subsidio" ref="A1:AF400" totalsRowShown="0" headerRowDxfId="1032" dataDxfId="1031">
  <autoFilter ref="A1:AF400" xr:uid="{7CC688A5-3385-4F88-B1FE-FE1525DC8789}"/>
  <tableColumns count="32">
    <tableColumn id="1" xr3:uid="{9F719918-4FE2-4E9A-A266-CB96BA2C5A41}" name="TipoMercado" dataDxfId="1030"/>
    <tableColumn id="2" xr3:uid="{628E286D-9EA8-4683-8EFF-694EB152DD90}" name="Subgrupo" dataDxfId="1029"/>
    <tableColumn id="3" xr3:uid="{53F5AE3E-4429-424A-83FE-52D6E16E6706}" name="Modalidade" dataDxfId="1028"/>
    <tableColumn id="4" xr3:uid="{5D4A0265-BA0B-45A5-85AB-29468BF8086C}" name="Classe" dataDxfId="1027"/>
    <tableColumn id="5" xr3:uid="{A3B2300B-84A9-45E7-ACA8-2E73FA8AA1EB}" name="Subclasse" dataDxfId="1026"/>
    <tableColumn id="6" xr3:uid="{F5F6431D-B869-4C08-A3EF-547A24F797F3}" name="Detalhe" dataDxfId="1025"/>
    <tableColumn id="7" xr3:uid="{8760265B-0AF9-4DCF-97B5-E94E412BBE39}" name="Agente" dataDxfId="1024"/>
    <tableColumn id="8" xr3:uid="{5BB876C5-6AA2-4E28-896E-687B7E93AEA1}" name="Posto" dataDxfId="1023"/>
    <tableColumn id="9" xr3:uid="{F991CEDF-0178-4681-B1F4-F31BD5D92972}" name="AnoMes" dataDxfId="1022"/>
    <tableColumn id="10" xr3:uid="{7F53006A-FA89-4971-91D8-D9D88A4761DC}" name="D" dataDxfId="1021"/>
    <tableColumn id="11" xr3:uid="{D2E5AA56-295C-4806-8DF3-3B572F7487F5}" name="Daj" dataDxfId="1020"/>
    <tableColumn id="12" xr3:uid="{EDB7281E-C976-4912-B08C-F82538DB40F4}" name="TUSD_E" dataDxfId="1019"/>
    <tableColumn id="13" xr3:uid="{303C9F7D-FB8A-43CB-85A2-EE11DC060C47}" name="TUSD_Eaj" dataDxfId="1018"/>
    <tableColumn id="14" xr3:uid="{B0C0CA05-149B-4698-A6DF-AA4DDDA35B59}" name="TE_E" dataDxfId="1017"/>
    <tableColumn id="15" xr3:uid="{52F16692-F72B-4F5F-8300-C52DF3D80C10}" name="TE_Eaj" dataDxfId="1016"/>
    <tableColumn id="16" xr3:uid="{28CFD39D-CB61-4D1A-B621-2EC1779C927B}" name="UC" dataDxfId="1015"/>
    <tableColumn id="17" xr3:uid="{E7B3F4D3-5BBD-439A-BCF8-89A413D4A7F9}" name="OPÇÃO" dataDxfId="1014"/>
    <tableColumn id="18" xr3:uid="{0C6F253B-8C1F-4E4A-95E8-42D8FBFE37FE}" name="CóD. AUX." dataDxfId="1013"/>
    <tableColumn id="19" xr3:uid="{7654E38E-5820-4AA7-BD51-52B9B0D289FA}" name="CóD. AUX. TUSD R$/kW" dataDxfId="1012"/>
    <tableColumn id="20" xr3:uid="{0B4379C4-02C9-45F4-BF5D-308094FEE95E}" name="CóD. AUX. TUSD R$/MWh" dataDxfId="1011"/>
    <tableColumn id="21" xr3:uid="{7D2E6B89-F777-4CA9-800B-5D8C8CB1D757}" name="CóD. AUX. TE R$/MWh" dataDxfId="1010"/>
    <tableColumn id="22" xr3:uid="{A34849D4-9330-4D82-A40D-A675410C052A}" name="TUSD (R$/kW)" dataDxfId="1009"/>
    <tableColumn id="23" xr3:uid="{FBA5A24C-D2DA-4C5A-9B9A-7A8A204EAD3C}" name="TUSD (R$/MWh)" dataDxfId="1008"/>
    <tableColumn id="24" xr3:uid="{67A2536E-D621-48F4-B050-D2AC43882CDF}" name="TE (R$/MWh)" dataDxfId="1007"/>
    <tableColumn id="25" xr3:uid="{B6456348-64B0-4E79-BED6-3FE9345D9028}" name="TUSD (R$/kW) NOVA" dataDxfId="1006"/>
    <tableColumn id="26" xr3:uid="{FBC80C59-6F4D-4557-80A8-F284FB82C9E1}" name="TUSD (R$/MWh) NOVA" dataDxfId="1005">
      <calculatedColumnFormula>('TUSD BE'!$AM$68+'TUSD BF'!$AM$68+'TUSD CVA'!$AM$68)*1</calculatedColumnFormula>
    </tableColumn>
    <tableColumn id="27" xr3:uid="{A4045C0D-97EC-42FD-BFC1-7FEA9CC48AAF}" name="TE (R$/MWh) NOVA" dataDxfId="1004">
      <calculatedColumnFormula>('TE BE'!$AB$46+'TE BF'!$AB$46+'TE CVA'!$AB$46)*1</calculatedColumnFormula>
    </tableColumn>
    <tableColumn id="28" xr3:uid="{EF3F712A-1552-475B-B6E8-EB39378E739B}" name="SUBSIDIO kW - TV" dataDxfId="1003">
      <calculatedColumnFormula>(J2-K2)*V2</calculatedColumnFormula>
    </tableColumn>
    <tableColumn id="29" xr3:uid="{7F1A9C82-E706-4F4C-8BBD-7066DEDC7831}" name="SUBSIDIO MWh - TV" dataDxfId="1002">
      <calculatedColumnFormula>(L2-M2)*W2+(N2-O2)*X2</calculatedColumnFormula>
    </tableColumn>
    <tableColumn id="30" xr3:uid="{FEFAA8B3-1C5F-4037-AE5A-ACDEB94E5D5C}" name="SUBSIDIO kW - TN" dataDxfId="1001">
      <calculatedColumnFormula>(J2-K2)*Y2</calculatedColumnFormula>
    </tableColumn>
    <tableColumn id="31" xr3:uid="{F79F59FB-F27E-461C-AF32-240771EAC94D}" name="SUBSIDIO MWh - TN" dataDxfId="1000">
      <calculatedColumnFormula>(L2-M2)*Z2+(N2-O2)*AA2</calculatedColumnFormula>
    </tableColumn>
    <tableColumn id="32" xr3:uid="{9C8D5305-F3EE-41E7-91A4-7213E77AFC92}" name="TIPO" dataDxfId="99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D2D1D60-D1CA-416F-8CAB-1A1F22A50D52}" name="Efeito4" displayName="Efeito4" ref="A1:AG1157" totalsRowShown="0" headerRowDxfId="184" dataDxfId="183">
  <autoFilter ref="A1:AG1157" xr:uid="{6E9116CF-C6FE-45BC-93F0-1B72AFC09530}"/>
  <tableColumns count="33">
    <tableColumn id="1" xr3:uid="{D6B0F740-4954-4D33-8B94-6155263D19E8}" name="TipoMercado" dataDxfId="182"/>
    <tableColumn id="2" xr3:uid="{D452DD57-C2F1-407A-895C-F9A783BD5995}" name="Subgrupo" dataDxfId="181"/>
    <tableColumn id="3" xr3:uid="{938EB3B7-2229-485A-9F78-71BC1EC4F8BF}" name="Modalidade" dataDxfId="180"/>
    <tableColumn id="4" xr3:uid="{A6BB55D1-CB0E-4BE7-83F0-DC50A68F025E}" name="Classe" dataDxfId="179"/>
    <tableColumn id="5" xr3:uid="{CF2DDFF5-BF05-4AAA-978D-C6EEFAE4BF4C}" name="Subclasse" dataDxfId="178"/>
    <tableColumn id="6" xr3:uid="{384CAB11-0A07-4931-B14D-5C98D9CD57E3}" name="Detalhe" dataDxfId="177"/>
    <tableColumn id="7" xr3:uid="{F837EFAB-D2ED-496A-878F-2481BE10366D}" name="Agente" dataDxfId="176"/>
    <tableColumn id="8" xr3:uid="{3152FB7A-A786-4796-BF5F-7BF1335ACE2A}" name="Posto" dataDxfId="175"/>
    <tableColumn id="9" xr3:uid="{18F3311A-E665-4481-8DBC-5D7AFDDD3815}" name="AnoMes" dataDxfId="174"/>
    <tableColumn id="10" xr3:uid="{0E10EEEE-5750-4A29-AC64-43F143908813}" name="D" dataDxfId="173"/>
    <tableColumn id="11" xr3:uid="{D19C91F4-6F88-41A6-9575-C79F9413B9D8}" name="Daj" dataDxfId="172"/>
    <tableColumn id="12" xr3:uid="{2E216170-40A8-475E-9C13-336B66AF4AFE}" name="TUSD_E" dataDxfId="171"/>
    <tableColumn id="13" xr3:uid="{9439DCF0-BE2C-463F-BCBA-19BD98332C32}" name="TUSD_Eaj" dataDxfId="170"/>
    <tableColumn id="14" xr3:uid="{41E3D1D6-822F-4311-80B9-169AB62178CB}" name="TE_E" dataDxfId="169"/>
    <tableColumn id="15" xr3:uid="{DAB7F273-EE24-4867-B508-0E4C8F28A9F7}" name="TE_Eaj" dataDxfId="168"/>
    <tableColumn id="16" xr3:uid="{10844732-D2FB-4CBC-BE8E-75A3C40BD9FE}" name="UC" dataDxfId="167"/>
    <tableColumn id="17" xr3:uid="{19098A65-B42C-4813-A2C5-21ED70E7D23D}" name="OPÇÃO" dataDxfId="166"/>
    <tableColumn id="18" xr3:uid="{B9475AFC-99A4-4881-971A-4269B9EBCBA8}" name="CóD. AUX." dataDxfId="165"/>
    <tableColumn id="19" xr3:uid="{7783D509-78ED-48D7-9A23-8824E1E31210}" name="CóD. AUX. TUSD R$/kW" dataDxfId="164"/>
    <tableColumn id="20" xr3:uid="{B79D959B-5D0F-4009-BADB-0D5DBA24A549}" name="CóD. AUX. TUSD R$/MWh" dataDxfId="163"/>
    <tableColumn id="21" xr3:uid="{313020AD-0A8B-4D22-9AFB-0D308EB02019}" name="CóD. AUX. TE R$/MWh" dataDxfId="162"/>
    <tableColumn id="22" xr3:uid="{DA905E23-018A-4FC6-B0CE-13D2CF3359AC}" name="TUSD (R$/kW)" dataDxfId="161"/>
    <tableColumn id="23" xr3:uid="{092A60D4-10BE-4635-9951-E1B9AF74D2E4}" name="TUSD (R$/MWh)" dataDxfId="160"/>
    <tableColumn id="24" xr3:uid="{41AB3799-D444-44BD-B404-F2D21FF1742E}" name="TE (R$/MWh)" dataDxfId="159"/>
    <tableColumn id="25" xr3:uid="{867986A4-C73B-4212-8733-19F016272898}" name="TUSD (R$/kW) NOVA" dataDxfId="158"/>
    <tableColumn id="26" xr3:uid="{0EBFA52F-151F-4695-9B00-740036825AAA}" name="TUSD (R$/MWh) NOVA" dataDxfId="157">
      <calculatedColumnFormula>('TUSD BE'!$AM$70+'TUSD BF'!$AM$70+'TUSD CVA'!$AM$70)*1</calculatedColumnFormula>
    </tableColumn>
    <tableColumn id="27" xr3:uid="{593EC79A-471C-4637-A7DD-A4EF8C3434BF}" name="TE (R$/MWh) NOVA" dataDxfId="156">
      <calculatedColumnFormula>('TE BE'!$AB$48+'TE BF'!$AB$48+'TE CVA'!$AB$48)*1</calculatedColumnFormula>
    </tableColumn>
    <tableColumn id="28" xr3:uid="{5C99D24A-848E-40BA-B658-36D7C1F7B424}" name="RA0 ou RV - TUSD (kW)" dataDxfId="155"/>
    <tableColumn id="29" xr3:uid="{C0BDC2E5-0016-4C33-B8CE-53A737FD07E3}" name="RA0 ou RV - TUSD (MWh)" dataDxfId="154"/>
    <tableColumn id="30" xr3:uid="{92185900-2215-4F77-B15D-5949EEBF32F1}" name="RA0 ou RV - TE (MWh)" dataDxfId="153"/>
    <tableColumn id="31" xr3:uid="{8039E996-2287-4E31-BDB1-41A312E9659A}" name="RA1 ou RRD - TUSD (kW)" dataDxfId="152"/>
    <tableColumn id="32" xr3:uid="{21D24178-664B-4E29-BAB7-4D4BB404A554}" name="RA1 ou RRD - TUSD (MWh)" dataDxfId="151"/>
    <tableColumn id="33" xr3:uid="{82D6F0ED-F96A-4F93-BDA1-0415494E0AE9}" name="RA1 ou RRD - TE (MWh)" dataDxfId="15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A8190E3-44BE-4096-AADB-42903B45A690}" name="TabelaFin" displayName="TabelaFin" ref="B3:AT82" tableType="queryTable" totalsRowShown="0" headerRowDxfId="101" dataDxfId="100" headerRowBorderDxfId="148" tableBorderDxfId="149" totalsRowBorderDxfId="147">
  <autoFilter ref="B3:AT82" xr:uid="{3A8190E3-44BE-4096-AADB-42903B45A690}"/>
  <sortState xmlns:xlrd2="http://schemas.microsoft.com/office/spreadsheetml/2017/richdata2" ref="B4:AT82">
    <sortCondition ref="B4:B82"/>
    <sortCondition ref="C4:C82"/>
    <sortCondition ref="D4:D82"/>
    <sortCondition ref="E4:E82"/>
    <sortCondition ref="F4:F82"/>
    <sortCondition descending="1" ref="G4:G82"/>
    <sortCondition descending="1" ref="H4:H82"/>
    <sortCondition ref="I4:I82"/>
  </sortState>
  <tableColumns count="45">
    <tableColumn id="46" xr3:uid="{FED24296-1EAE-4A28-983B-0FFC802ED24A}" uniqueName="46" name="SUBGRUPO" queryTableFieldId="1" dataDxfId="146"/>
    <tableColumn id="47" xr3:uid="{7077775C-5632-4598-A1A1-36C6F86DFA14}" uniqueName="47" name="MODALIDADE" queryTableFieldId="2" dataDxfId="145"/>
    <tableColumn id="48" xr3:uid="{7052331B-B836-4164-B216-FC83CCB2E5A3}" uniqueName="48" name="CLASSE" queryTableFieldId="3" dataDxfId="144"/>
    <tableColumn id="49" xr3:uid="{8CD9C0FA-BC92-4BC3-987D-9865669BB8DE}" uniqueName="49" name="SUBCLASSE" queryTableFieldId="4" dataDxfId="143"/>
    <tableColumn id="50" xr3:uid="{CF9EA5E2-9BEE-4FAD-86FD-AC4CF55375FF}" uniqueName="50" name="DETALHE" queryTableFieldId="5" dataDxfId="142"/>
    <tableColumn id="51" xr3:uid="{4BA8385A-6923-467D-8F7B-5813899010C3}" uniqueName="51" name="POSTO" queryTableFieldId="6" dataDxfId="141"/>
    <tableColumn id="52" xr3:uid="{F45EC14D-7FBD-4612-AA1A-FDAE92919862}" uniqueName="52" name="UNIDADE" queryTableFieldId="7" dataDxfId="140"/>
    <tableColumn id="53" xr3:uid="{AEA95AF8-9140-4A04-BFD2-CEF2A4BE7757}" uniqueName="53" name="ACESSANTE" queryTableFieldId="8" dataDxfId="139"/>
    <tableColumn id="54" xr3:uid="{5351A088-3409-4BC1-8D54-4701E68EA186}" uniqueName="54" name="Total TUSD" queryTableFieldId="9" dataDxfId="138"/>
    <tableColumn id="55" xr3:uid="{025C5778-A592-4B3F-9A6A-B82769347F8E}" uniqueName="55" name="Total TE" queryTableFieldId="10" dataDxfId="137"/>
    <tableColumn id="56" xr3:uid="{943DA9B0-0D8F-4887-AAC8-27C0B8C88948}" uniqueName="56" name="TUSD_CDE_COVID" queryTableFieldId="11" dataDxfId="136"/>
    <tableColumn id="57" xr3:uid="{7BA9D950-4FB3-4CEC-881A-B2152A42464C}" uniqueName="57" name="TUSD_TFSEE" queryTableFieldId="12" dataDxfId="135"/>
    <tableColumn id="58" xr3:uid="{2D681FFA-F196-4AAB-80CB-DC441180EFA2}" uniqueName="58" name="TUSD_PeD" queryTableFieldId="13" dataDxfId="134"/>
    <tableColumn id="59" xr3:uid="{84054B67-8381-419A-8224-E703DA78AD97}" uniqueName="59" name="TUSD_ONS" queryTableFieldId="14" dataDxfId="133"/>
    <tableColumn id="60" xr3:uid="{8549E52E-F590-4290-8CA7-D109BF78DB78}" uniqueName="60" name="TUSD_CCC" queryTableFieldId="15" dataDxfId="132"/>
    <tableColumn id="61" xr3:uid="{E7857275-D3E0-4DE5-91DA-EC242C735793}" uniqueName="61" name="TUSD_CDE" queryTableFieldId="16" dataDxfId="131"/>
    <tableColumn id="62" xr3:uid="{9A89BFA1-0C5D-4821-BA3A-98B0D9DE38E2}" uniqueName="62" name="TUSD_PROINFA" queryTableFieldId="17" dataDxfId="130"/>
    <tableColumn id="63" xr3:uid="{3CC3D89A-9986-4C5E-AB6E-ACD1DC2AD2FD}" uniqueName="63" name="Liminar1" queryTableFieldId="18" dataDxfId="129"/>
    <tableColumn id="64" xr3:uid="{9836878D-1480-463D-8B58-3A558C9D89D4}" uniqueName="64" name="TUSD_RB" queryTableFieldId="19" dataDxfId="128"/>
    <tableColumn id="65" xr3:uid="{884220EF-E75B-4141-B05F-819052C112DC}" uniqueName="65" name="TUSD_FR" queryTableFieldId="20" dataDxfId="127"/>
    <tableColumn id="66" xr3:uid="{BD6D7B3C-8DD0-4592-86C4-9A4C751A8D12}" uniqueName="66" name="TUSD_CCT" queryTableFieldId="21" dataDxfId="126"/>
    <tableColumn id="67" xr3:uid="{D93C19DA-1E14-4EC0-BD82-A2EAA73724FC}" uniqueName="67" name="TUSD_CCD" queryTableFieldId="22" dataDxfId="125"/>
    <tableColumn id="68" xr3:uid="{9295C065-494A-4F7D-867C-55AACC31275A}" uniqueName="68" name="TUSD_CUSD" queryTableFieldId="23" dataDxfId="124"/>
    <tableColumn id="69" xr3:uid="{C4FAE7F1-3BA3-4C20-8F2C-E907BD0B7DF4}" uniqueName="69" name="TUSDG_T" queryTableFieldId="24" dataDxfId="123"/>
    <tableColumn id="70" xr3:uid="{83B68780-7726-453A-AE35-529FAB2C2F39}" uniqueName="70" name="TUSDG_ONS" queryTableFieldId="25" dataDxfId="122"/>
    <tableColumn id="71" xr3:uid="{7FFA1E25-B350-4545-90C1-BBC25BECCAD5}" uniqueName="71" name="TUSD_FioB" queryTableFieldId="26" dataDxfId="121"/>
    <tableColumn id="72" xr3:uid="{9204ABE5-0C56-4FF9-B4E0-B3546818A099}" uniqueName="72" name="TUSD Subsidio" queryTableFieldId="27" dataDxfId="120"/>
    <tableColumn id="73" xr3:uid="{5DB33400-6B6E-4A98-8EC8-C4650A2C9030}" uniqueName="73" name="TUSD BENEFICIO_L14299" queryTableFieldId="28" dataDxfId="119"/>
    <tableColumn id="74" xr3:uid="{763D8FF6-7A91-4D57-B821-1968FA5D4183}" uniqueName="74" name="TUSD Outros" queryTableFieldId="29" dataDxfId="118"/>
    <tableColumn id="75" xr3:uid="{20248C4A-D35B-415E-9B7C-CC89DA5AED86}" uniqueName="75" name="TUSD_PT" queryTableFieldId="30" dataDxfId="117"/>
    <tableColumn id="76" xr3:uid="{72F32CC7-AEA2-487F-99E1-0B9435CE4D0C}" uniqueName="76" name="TUSD_Per_RB_D" queryTableFieldId="31" dataDxfId="116"/>
    <tableColumn id="77" xr3:uid="{5841F764-973C-4D5C-AA5A-84390E841515}" uniqueName="77" name="TUSD_PNT" queryTableFieldId="32" dataDxfId="115"/>
    <tableColumn id="78" xr3:uid="{BAD3B24D-0E48-4D47-A9C0-FD7A4322D402}" uniqueName="78" name="TUSD_RI" queryTableFieldId="33" dataDxfId="114"/>
    <tableColumn id="79" xr3:uid="{3B4D712C-11F4-418C-9AA3-18D63BD70F1D}" uniqueName="79" name="TE_CDE_COVID" queryTableFieldId="34" dataDxfId="113"/>
    <tableColumn id="80" xr3:uid="{587E6C9C-A93A-4D41-B896-6AE65B39C82D}" uniqueName="80" name="TE_CDE_ELET" queryTableFieldId="35" dataDxfId="112"/>
    <tableColumn id="81" xr3:uid="{AFBBD480-7904-470A-8F11-93C9AD64F090}" uniqueName="81" name="TE_PeD" queryTableFieldId="36" dataDxfId="111"/>
    <tableColumn id="82" xr3:uid="{07AF7F4E-E167-46AD-BC4B-4562119329D1}" uniqueName="82" name="TE_ESSERR" queryTableFieldId="37" dataDxfId="110"/>
    <tableColumn id="83" xr3:uid="{64481837-0273-4FFE-969B-799086614A33}" uniqueName="83" name="TE_CFURH" queryTableFieldId="38" dataDxfId="109"/>
    <tableColumn id="84" xr3:uid="{9B90BC4B-6793-43BA-8819-860AF40042F2}" uniqueName="84" name="TE_ENERGIA" queryTableFieldId="39" dataDxfId="108"/>
    <tableColumn id="85" xr3:uid="{37C29D45-DE50-4952-BC53-DB3E70B7332E}" uniqueName="85" name="TE_TRANSPORTE_ITAIPU" queryTableFieldId="40" dataDxfId="107"/>
    <tableColumn id="86" xr3:uid="{EABA802F-8566-4255-AF33-456E9A85E619}" uniqueName="86" name="TE_TUST_ITAIPU" queryTableFieldId="41" dataDxfId="106"/>
    <tableColumn id="87" xr3:uid="{C1EC503D-6770-41F7-A5DA-723E2E00BC03}" uniqueName="87" name="TE_TUST_CI" queryTableFieldId="42" dataDxfId="105"/>
    <tableColumn id="88" xr3:uid="{AF01C7A8-7767-406B-8F03-E4BB6B437510}" uniqueName="88" name="TE Subsidio" queryTableFieldId="43" dataDxfId="104"/>
    <tableColumn id="89" xr3:uid="{6BFFC8CD-58A1-4EC2-BC43-2B9666DA1DBD}" uniqueName="89" name="TE BENEFICIO_L14299" queryTableFieldId="44" dataDxfId="103"/>
    <tableColumn id="90" xr3:uid="{42212CEB-8435-42D7-A0E4-A513F7AAD75F}" uniqueName="90" name="TE_Per_RB" queryTableFieldId="45" dataDxfId="10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B0208C2-E1B8-4CD0-A7BE-69FE531F0EE6}" name="TabelaEc" displayName="TabelaEc" ref="B3:AT82" tableType="queryTable" totalsRowShown="0" headerRowDxfId="51" dataDxfId="50" headerRowBorderDxfId="98" tableBorderDxfId="99" totalsRowBorderDxfId="97">
  <autoFilter ref="B3:AT82" xr:uid="{EB0208C2-E1B8-4CD0-A7BE-69FE531F0EE6}"/>
  <sortState xmlns:xlrd2="http://schemas.microsoft.com/office/spreadsheetml/2017/richdata2" ref="B4:AT82">
    <sortCondition ref="B4:B82"/>
    <sortCondition ref="C4:C82"/>
    <sortCondition ref="D4:D82"/>
    <sortCondition ref="E4:E82"/>
    <sortCondition ref="F4:F82"/>
    <sortCondition descending="1" ref="G4:G82"/>
    <sortCondition descending="1" ref="H4:H82"/>
    <sortCondition ref="I4:I82"/>
  </sortState>
  <tableColumns count="45">
    <tableColumn id="46" xr3:uid="{393EA14D-AFEA-4822-BC0B-9824DB1803FD}" uniqueName="46" name="SUBGRUPO" queryTableFieldId="1" dataDxfId="96"/>
    <tableColumn id="47" xr3:uid="{255C6CB5-57C4-42D5-AF4C-8ABE6F80F110}" uniqueName="47" name="MODALIDADE" queryTableFieldId="2" dataDxfId="95"/>
    <tableColumn id="48" xr3:uid="{76034DFA-7B58-4FB7-B2F7-FC2CB3777469}" uniqueName="48" name="CLASSE" queryTableFieldId="3" dataDxfId="94"/>
    <tableColumn id="49" xr3:uid="{2C14490E-6D8A-4CAC-A449-E25825D10B7C}" uniqueName="49" name="SUBCLASSE" queryTableFieldId="4" dataDxfId="93"/>
    <tableColumn id="50" xr3:uid="{951F3D22-2264-4330-8BCD-5FC90C899374}" uniqueName="50" name="DETALHE" queryTableFieldId="5" dataDxfId="92"/>
    <tableColumn id="51" xr3:uid="{0342697B-1C75-49B3-9CC9-B08590753043}" uniqueName="51" name="POSTO" queryTableFieldId="6" dataDxfId="91"/>
    <tableColumn id="52" xr3:uid="{12FBF52A-CFC2-49E3-8067-B6052F9219D0}" uniqueName="52" name="UNIDADE" queryTableFieldId="7" dataDxfId="90"/>
    <tableColumn id="53" xr3:uid="{842A2F60-B58B-41C9-974A-AB8993C75483}" uniqueName="53" name="ACESSANTE" queryTableFieldId="8" dataDxfId="89"/>
    <tableColumn id="54" xr3:uid="{03D974FC-492C-4CD7-A314-3F142C8BB085}" uniqueName="54" name="Total TUSD" queryTableFieldId="9" dataDxfId="88"/>
    <tableColumn id="55" xr3:uid="{861A0121-AEA3-4949-BE9D-E0F133D7EBEE}" uniqueName="55" name="Total TE" queryTableFieldId="10" dataDxfId="87"/>
    <tableColumn id="56" xr3:uid="{BB495084-4764-4562-98FD-CFA37D32905C}" uniqueName="56" name="TUSD_CDE_COVID" queryTableFieldId="11" dataDxfId="86"/>
    <tableColumn id="57" xr3:uid="{FE55DDE2-B6F7-4C8F-9A21-4BBB11E277B1}" uniqueName="57" name="TUSD_TFSEE" queryTableFieldId="12" dataDxfId="85"/>
    <tableColumn id="58" xr3:uid="{07C8D118-BDD2-4F03-A019-1170EE936004}" uniqueName="58" name="TUSD_PeD" queryTableFieldId="13" dataDxfId="84"/>
    <tableColumn id="59" xr3:uid="{439084AA-37CF-4A8C-A964-44B6DCBD6EAB}" uniqueName="59" name="TUSD_ONS" queryTableFieldId="14" dataDxfId="83"/>
    <tableColumn id="60" xr3:uid="{60CABF0D-1895-430A-820F-4DEA6A4C0618}" uniqueName="60" name="TUSD_CCC" queryTableFieldId="15" dataDxfId="82"/>
    <tableColumn id="61" xr3:uid="{87F11E1E-CFF1-4DAB-A62E-536B012FEF0F}" uniqueName="61" name="TUSD_CDE" queryTableFieldId="16" dataDxfId="81"/>
    <tableColumn id="62" xr3:uid="{F4917E6F-F48D-4514-9960-5F48482ADB82}" uniqueName="62" name="TUSD_PROINFA" queryTableFieldId="17" dataDxfId="80"/>
    <tableColumn id="63" xr3:uid="{FC52C239-2F23-4CA1-976E-96D5CDB20A74}" uniqueName="63" name="Liminar1" queryTableFieldId="18" dataDxfId="79"/>
    <tableColumn id="64" xr3:uid="{252E8EA1-6867-4AF1-B8BD-27BED5981891}" uniqueName="64" name="TUSD_RB" queryTableFieldId="19" dataDxfId="78"/>
    <tableColumn id="65" xr3:uid="{211FFCDD-14EC-45B4-A087-48B8CB8D6522}" uniqueName="65" name="TUSD_FR" queryTableFieldId="20" dataDxfId="77"/>
    <tableColumn id="66" xr3:uid="{38F841C2-B836-4719-9339-2B852BC967A0}" uniqueName="66" name="TUSD_CCT" queryTableFieldId="21" dataDxfId="76"/>
    <tableColumn id="67" xr3:uid="{F4222D85-01F0-4E3C-95CE-1840351105DC}" uniqueName="67" name="TUSD_CCD" queryTableFieldId="22" dataDxfId="75"/>
    <tableColumn id="68" xr3:uid="{B59820D5-CD53-4095-AE7D-5D5F6988A8B6}" uniqueName="68" name="TUSD_CUSD" queryTableFieldId="23" dataDxfId="74"/>
    <tableColumn id="69" xr3:uid="{C3A2CE0F-EE9E-417A-A507-A686DF2D655D}" uniqueName="69" name="TUSDG_T" queryTableFieldId="24" dataDxfId="73"/>
    <tableColumn id="70" xr3:uid="{10B0225F-0038-4D2E-A331-8788D9D062FE}" uniqueName="70" name="TUSDG_ONS" queryTableFieldId="25" dataDxfId="72"/>
    <tableColumn id="71" xr3:uid="{A363217D-4ED4-413F-B4DF-8415321C252B}" uniqueName="71" name="TUSD_FioB" queryTableFieldId="26" dataDxfId="71"/>
    <tableColumn id="72" xr3:uid="{3A927B27-9EBB-4D29-A8B6-2B42324A9C26}" uniqueName="72" name="TUSD Subsidio" queryTableFieldId="27" dataDxfId="70"/>
    <tableColumn id="73" xr3:uid="{4890A396-3219-4708-ABA7-343205622C14}" uniqueName="73" name="TUSD BENEFICIO_L14299" queryTableFieldId="28" dataDxfId="69"/>
    <tableColumn id="74" xr3:uid="{C1DAF9E6-81B1-42AD-B2D7-B322A9B0F2BC}" uniqueName="74" name="TUSD Outros" queryTableFieldId="29" dataDxfId="68"/>
    <tableColumn id="75" xr3:uid="{0B2E3F86-E01E-4C59-BED8-843FBB42AB73}" uniqueName="75" name="TUSD_PT" queryTableFieldId="30" dataDxfId="67"/>
    <tableColumn id="76" xr3:uid="{FAC63464-350A-4134-B38E-FEB73B340CF3}" uniqueName="76" name="TUSD_Per_RB_D" queryTableFieldId="31" dataDxfId="66"/>
    <tableColumn id="77" xr3:uid="{8CB6B7B8-FD48-4EA3-9249-1F17971CF491}" uniqueName="77" name="TUSD_PNT" queryTableFieldId="32" dataDxfId="65"/>
    <tableColumn id="78" xr3:uid="{00B4257F-8017-4644-85BD-46105A02C240}" uniqueName="78" name="TUSD_RI" queryTableFieldId="33" dataDxfId="64"/>
    <tableColumn id="79" xr3:uid="{396CF460-BE03-4092-9561-CE27FFE7773B}" uniqueName="79" name="TE_CDE_COVID" queryTableFieldId="34" dataDxfId="63"/>
    <tableColumn id="80" xr3:uid="{B146E4F4-BC4F-49A9-AE6F-531855CC4272}" uniqueName="80" name="TE_CDE_ELET" queryTableFieldId="35" dataDxfId="62"/>
    <tableColumn id="81" xr3:uid="{AAAC4BED-9E2D-48AB-B895-0E459DEE55F7}" uniqueName="81" name="TE_PeD" queryTableFieldId="36" dataDxfId="61"/>
    <tableColumn id="82" xr3:uid="{BACC6981-9836-4BE6-ABAC-C20401298B5D}" uniqueName="82" name="TE_ESSERR" queryTableFieldId="37" dataDxfId="60"/>
    <tableColumn id="83" xr3:uid="{3B605939-10E7-4CB8-81E7-651A314DFD74}" uniqueName="83" name="TE_CFURH" queryTableFieldId="38" dataDxfId="59"/>
    <tableColumn id="84" xr3:uid="{ED682A11-59B4-4815-B420-C7DB4AD0F5F7}" uniqueName="84" name="TE_ENERGIA" queryTableFieldId="39" dataDxfId="58"/>
    <tableColumn id="85" xr3:uid="{71324700-8661-48CB-960B-75AA17B38E86}" uniqueName="85" name="TE_TRANSPORTE_ITAIPU" queryTableFieldId="40" dataDxfId="57"/>
    <tableColumn id="86" xr3:uid="{0000CADD-F1D8-4077-A66A-571A4AB89513}" uniqueName="86" name="TE_TUST_ITAIPU" queryTableFieldId="41" dataDxfId="56"/>
    <tableColumn id="87" xr3:uid="{3B46FE52-3D9C-4355-B8BA-2DCBD3A20C4A}" uniqueName="87" name="TE_TUST_CI" queryTableFieldId="42" dataDxfId="55"/>
    <tableColumn id="88" xr3:uid="{77FA91E5-7B19-4245-9D7E-01DD8F1389AD}" uniqueName="88" name="TE Subsidio" queryTableFieldId="43" dataDxfId="54"/>
    <tableColumn id="89" xr3:uid="{73320751-8AE4-4E7A-AA65-5A59888D8FD6}" uniqueName="89" name="TE BENEFICIO_L14299" queryTableFieldId="44" dataDxfId="53"/>
    <tableColumn id="90" xr3:uid="{2A5E9675-8252-4F14-8999-D6C0BB0F025C}" uniqueName="90" name="TE_Per_RB" queryTableFieldId="45" dataDxfId="5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BBDB50C-32E7-47A4-BD96-391D462F8535}" name="TabelaCVA" displayName="TabelaCVA" ref="B3:AT82" tableType="queryTable" totalsRowShown="0" headerRowDxfId="1" dataDxfId="0" headerRowBorderDxfId="48" tableBorderDxfId="49" totalsRowBorderDxfId="47">
  <autoFilter ref="B3:AT82" xr:uid="{FBBDB50C-32E7-47A4-BD96-391D462F8535}"/>
  <sortState xmlns:xlrd2="http://schemas.microsoft.com/office/spreadsheetml/2017/richdata2" ref="B4:AT82">
    <sortCondition ref="B4:B82"/>
    <sortCondition ref="C4:C82"/>
    <sortCondition ref="D4:D82"/>
    <sortCondition ref="E4:E82"/>
    <sortCondition ref="F4:F82"/>
    <sortCondition descending="1" ref="G4:G82"/>
    <sortCondition descending="1" ref="H4:H82"/>
    <sortCondition ref="I4:I82"/>
  </sortState>
  <tableColumns count="45">
    <tableColumn id="46" xr3:uid="{6333C5F6-FE10-4FAE-A18F-6A7EE693A40A}" uniqueName="46" name="SUBGRUPO" queryTableFieldId="1" dataDxfId="46"/>
    <tableColumn id="47" xr3:uid="{BD0B5B57-DCCA-4032-9405-EA7CF2F7D0F7}" uniqueName="47" name="MODALIDADE" queryTableFieldId="2" dataDxfId="45"/>
    <tableColumn id="48" xr3:uid="{8FAAAC94-48F1-4D71-8311-37F02F32B5D2}" uniqueName="48" name="CLASSE" queryTableFieldId="3" dataDxfId="44"/>
    <tableColumn id="49" xr3:uid="{71E9391E-102E-4C75-89A4-251D798BB729}" uniqueName="49" name="SUBCLASSE" queryTableFieldId="4" dataDxfId="43"/>
    <tableColumn id="50" xr3:uid="{4D2A259E-FEC5-4A9E-8764-771C1325FEFC}" uniqueName="50" name="DETALHE" queryTableFieldId="5" dataDxfId="42"/>
    <tableColumn id="51" xr3:uid="{B1E1B368-7EBD-4316-9D40-79612CCD5903}" uniqueName="51" name="POSTO" queryTableFieldId="6" dataDxfId="41"/>
    <tableColumn id="52" xr3:uid="{3DEAD2C4-6F1E-4233-8C89-CE455B9B4105}" uniqueName="52" name="UNIDADE" queryTableFieldId="7" dataDxfId="40"/>
    <tableColumn id="53" xr3:uid="{B4B3C707-EB1B-4094-B539-AE932D2EF11B}" uniqueName="53" name="ACESSANTE" queryTableFieldId="8" dataDxfId="39"/>
    <tableColumn id="54" xr3:uid="{62C01A0E-4F63-44A8-A700-C49E0B65A515}" uniqueName="54" name="Total TUSD" queryTableFieldId="9" dataDxfId="38"/>
    <tableColumn id="55" xr3:uid="{190C1C0D-D667-497F-9DAA-AFC6E3C244E5}" uniqueName="55" name="Total TE" queryTableFieldId="10" dataDxfId="37"/>
    <tableColumn id="56" xr3:uid="{85A3E0F5-CC56-407E-A760-AD4C8AFD4243}" uniqueName="56" name="TUSD_CDE_COVID" queryTableFieldId="11" dataDxfId="36"/>
    <tableColumn id="57" xr3:uid="{7B7AFFE1-E382-4C72-B651-AA78ED7A77D0}" uniqueName="57" name="TUSD_TFSEE" queryTableFieldId="12" dataDxfId="35"/>
    <tableColumn id="58" xr3:uid="{6C144F91-CAF8-4500-9225-5BDFE6D2607A}" uniqueName="58" name="TUSD_PeD" queryTableFieldId="13" dataDxfId="34"/>
    <tableColumn id="59" xr3:uid="{BC350072-C9F9-478D-8314-04ABDE58F143}" uniqueName="59" name="TUSD_ONS" queryTableFieldId="14" dataDxfId="33"/>
    <tableColumn id="60" xr3:uid="{0B31A08E-3B97-4BD0-80EF-63D4CAFACB0B}" uniqueName="60" name="TUSD_CCC" queryTableFieldId="15" dataDxfId="32"/>
    <tableColumn id="61" xr3:uid="{2ADAFCC0-D0AE-4390-A888-1E675FDCAA99}" uniqueName="61" name="TUSD_CDE" queryTableFieldId="16" dataDxfId="31"/>
    <tableColumn id="62" xr3:uid="{1CD05039-22E7-4538-8C6F-08D712B2C225}" uniqueName="62" name="TUSD_PROINFA" queryTableFieldId="17" dataDxfId="30"/>
    <tableColumn id="63" xr3:uid="{424BA158-10BE-4EC3-AFF3-FA9731861D80}" uniqueName="63" name="Liminar1" queryTableFieldId="18" dataDxfId="29"/>
    <tableColumn id="64" xr3:uid="{C8E5CD28-5FE0-45A4-B1A5-60A40337ED5B}" uniqueName="64" name="TUSD_RB" queryTableFieldId="19" dataDxfId="28"/>
    <tableColumn id="65" xr3:uid="{BF3AFD81-0659-4043-AF3C-609B922399B7}" uniqueName="65" name="TUSD_FR" queryTableFieldId="20" dataDxfId="27"/>
    <tableColumn id="66" xr3:uid="{93377BA7-B590-40D0-BE45-45AA64AEFBFB}" uniqueName="66" name="TUSD_CCT" queryTableFieldId="21" dataDxfId="26"/>
    <tableColumn id="67" xr3:uid="{5ED358DE-1E6D-40D7-A97C-435DE8B37F28}" uniqueName="67" name="TUSD_CCD" queryTableFieldId="22" dataDxfId="25"/>
    <tableColumn id="68" xr3:uid="{8752F283-5C1B-4BE5-8806-4E5BF3CEBBF2}" uniqueName="68" name="TUSD_CUSD" queryTableFieldId="23" dataDxfId="24"/>
    <tableColumn id="69" xr3:uid="{C2D6C17D-D10D-427C-B370-DD67D8876092}" uniqueName="69" name="TUSDG_T" queryTableFieldId="24" dataDxfId="23"/>
    <tableColumn id="70" xr3:uid="{7779D56B-BC56-44EA-B99B-502D8393C430}" uniqueName="70" name="TUSDG_ONS" queryTableFieldId="25" dataDxfId="22"/>
    <tableColumn id="71" xr3:uid="{C83C5BA0-98B5-404A-984A-8BC3278B3DAD}" uniqueName="71" name="TUSD_FioB" queryTableFieldId="26" dataDxfId="21"/>
    <tableColumn id="72" xr3:uid="{ECB2A405-3737-4AA6-A066-5CCD82DDDF18}" uniqueName="72" name="TUSD Subsidio" queryTableFieldId="27" dataDxfId="20"/>
    <tableColumn id="73" xr3:uid="{0CFFF78D-3A0C-490E-8EAC-F9356FD49B99}" uniqueName="73" name="TUSD BENEFICIO_L14299" queryTableFieldId="28" dataDxfId="19"/>
    <tableColumn id="74" xr3:uid="{0147FBE1-ADE7-4ECF-BB4F-30A2465BEED1}" uniqueName="74" name="TUSD Outros" queryTableFieldId="29" dataDxfId="18"/>
    <tableColumn id="75" xr3:uid="{F8EDA6AF-ADDD-4AC4-875C-5E4ABEF241D0}" uniqueName="75" name="TUSD_PT" queryTableFieldId="30" dataDxfId="17"/>
    <tableColumn id="76" xr3:uid="{82079239-DA3F-4593-8BB7-FD123DB0E94F}" uniqueName="76" name="TUSD_Per_RB_D" queryTableFieldId="31" dataDxfId="16"/>
    <tableColumn id="77" xr3:uid="{C7CFE4BE-20B9-4BCE-BFCB-C3531C4B5D13}" uniqueName="77" name="TUSD_PNT" queryTableFieldId="32" dataDxfId="15"/>
    <tableColumn id="78" xr3:uid="{FD85662B-7B9A-4F20-84E5-054231D36256}" uniqueName="78" name="TUSD_RI" queryTableFieldId="33" dataDxfId="14"/>
    <tableColumn id="79" xr3:uid="{869D276F-6B7C-4137-B11D-086BC8481CDC}" uniqueName="79" name="TE_CDE_COVID" queryTableFieldId="34" dataDxfId="13"/>
    <tableColumn id="80" xr3:uid="{D5B80336-1B64-4D5B-AC19-32268F017345}" uniqueName="80" name="TE_CDE_ELET" queryTableFieldId="35" dataDxfId="12"/>
    <tableColumn id="81" xr3:uid="{E97916F5-DA04-47FA-B451-2325EDB455A7}" uniqueName="81" name="TE_PeD" queryTableFieldId="36" dataDxfId="11"/>
    <tableColumn id="82" xr3:uid="{550240CF-2B52-47AE-98AA-8549934D49C7}" uniqueName="82" name="TE_ESSERR" queryTableFieldId="37" dataDxfId="10"/>
    <tableColumn id="83" xr3:uid="{888017FD-B464-4311-9170-02C3E707EEB1}" uniqueName="83" name="TE_CFURH" queryTableFieldId="38" dataDxfId="9"/>
    <tableColumn id="84" xr3:uid="{7AFAE90F-24A8-4C97-9E11-CC22195F3500}" uniqueName="84" name="TE_ENERGIA" queryTableFieldId="39" dataDxfId="8"/>
    <tableColumn id="85" xr3:uid="{FBE172EC-D064-448E-9D44-D239784EFFCC}" uniqueName="85" name="TE_TRANSPORTE_ITAIPU" queryTableFieldId="40" dataDxfId="7"/>
    <tableColumn id="86" xr3:uid="{EA8AFF83-3012-45DF-8D07-E2A9F00B70D6}" uniqueName="86" name="TE_TUST_ITAIPU" queryTableFieldId="41" dataDxfId="6"/>
    <tableColumn id="87" xr3:uid="{F6585A1C-401B-43CE-BF36-F761C969323A}" uniqueName="87" name="TE_TUST_CI" queryTableFieldId="42" dataDxfId="5"/>
    <tableColumn id="88" xr3:uid="{92271167-1B40-410D-9982-1EF4CCC5DA55}" uniqueName="88" name="TE Subsidio" queryTableFieldId="43" dataDxfId="4"/>
    <tableColumn id="89" xr3:uid="{8326975F-075B-4991-8408-4ED4BCF1DAA1}" uniqueName="89" name="TE BENEFICIO_L14299" queryTableFieldId="44" dataDxfId="3"/>
    <tableColumn id="90" xr3:uid="{FC4F26D6-D91D-4B2F-84BC-A260473499F0}" uniqueName="90" name="TE_Per_RB" queryTableFieldId="45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2E751-6313-4EB1-B1EB-B12BE91062C6}">
  <sheetPr codeName="Planilha1"/>
  <dimension ref="A1:W1157"/>
  <sheetViews>
    <sheetView showGridLines="0" topLeftCell="I1141" workbookViewId="0">
      <selection activeCell="T1158" sqref="T1158"/>
    </sheetView>
  </sheetViews>
  <sheetFormatPr defaultRowHeight="11.25" customHeight="1" x14ac:dyDescent="0.3"/>
  <cols>
    <col min="1" max="1" width="18" style="4" bestFit="1" customWidth="1"/>
    <col min="2" max="2" width="7.6640625" style="4" bestFit="1" customWidth="1"/>
    <col min="3" max="3" width="9.21875" style="4" bestFit="1" customWidth="1"/>
    <col min="4" max="4" width="12.6640625" style="4" bestFit="1" customWidth="1"/>
    <col min="5" max="5" width="23.109375" style="4" bestFit="1" customWidth="1"/>
    <col min="6" max="6" width="12" style="4" bestFit="1" customWidth="1"/>
    <col min="7" max="7" width="15.6640625" style="4" bestFit="1" customWidth="1"/>
    <col min="8" max="8" width="9.5546875" style="4" bestFit="1" customWidth="1"/>
    <col min="9" max="9" width="7.88671875" style="5" bestFit="1" customWidth="1"/>
    <col min="10" max="12" width="7.109375" style="6" bestFit="1" customWidth="1"/>
    <col min="13" max="13" width="7.6640625" style="6" bestFit="1" customWidth="1"/>
    <col min="14" max="16" width="7.109375" style="6" bestFit="1" customWidth="1"/>
    <col min="17" max="18" width="8" style="4" bestFit="1" customWidth="1"/>
    <col min="19" max="19" width="72.33203125" style="4" bestFit="1" customWidth="1"/>
    <col min="20" max="20" width="77.5546875" style="4" bestFit="1" customWidth="1"/>
    <col min="21" max="21" width="17.44140625" style="4" bestFit="1" customWidth="1"/>
    <col min="22" max="22" width="18.77734375" style="4" bestFit="1" customWidth="1"/>
    <col min="23" max="23" width="16.5546875" style="4" bestFit="1" customWidth="1"/>
    <col min="24" max="16384" width="8.88671875" style="4"/>
  </cols>
  <sheetData>
    <row r="1" spans="1:23" s="1" customFormat="1" ht="11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96</v>
      </c>
      <c r="T1" s="1" t="s">
        <v>433</v>
      </c>
      <c r="U1" s="1" t="s">
        <v>18</v>
      </c>
      <c r="V1" s="1" t="s">
        <v>19</v>
      </c>
      <c r="W1" s="1" t="s">
        <v>20</v>
      </c>
    </row>
    <row r="2" spans="1:23" ht="11.25" customHeight="1" x14ac:dyDescent="0.3">
      <c r="A2" s="4" t="s">
        <v>21</v>
      </c>
      <c r="B2" s="4" t="s">
        <v>54</v>
      </c>
      <c r="C2" s="4" t="s">
        <v>40</v>
      </c>
      <c r="D2" s="4" t="s">
        <v>38</v>
      </c>
      <c r="E2" s="4" t="s">
        <v>25</v>
      </c>
      <c r="F2" s="4" t="s">
        <v>25</v>
      </c>
      <c r="G2" s="4" t="s">
        <v>25</v>
      </c>
      <c r="H2" s="4" t="s">
        <v>35</v>
      </c>
      <c r="I2" s="5">
        <v>44501</v>
      </c>
      <c r="J2" s="6">
        <v>20000</v>
      </c>
      <c r="K2" s="6">
        <v>20000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55</v>
      </c>
      <c r="R2" s="4">
        <v>0</v>
      </c>
      <c r="S2" s="4" t="s">
        <v>97</v>
      </c>
      <c r="U2" s="4">
        <v>19</v>
      </c>
      <c r="V2" s="4">
        <v>0</v>
      </c>
      <c r="W2" s="4">
        <v>0</v>
      </c>
    </row>
    <row r="3" spans="1:23" ht="11.25" customHeight="1" x14ac:dyDescent="0.3">
      <c r="A3" s="4" t="s">
        <v>21</v>
      </c>
      <c r="B3" s="4" t="s">
        <v>54</v>
      </c>
      <c r="C3" s="4" t="s">
        <v>40</v>
      </c>
      <c r="D3" s="4" t="s">
        <v>38</v>
      </c>
      <c r="E3" s="4" t="s">
        <v>25</v>
      </c>
      <c r="F3" s="4" t="s">
        <v>25</v>
      </c>
      <c r="G3" s="4" t="s">
        <v>25</v>
      </c>
      <c r="H3" s="4" t="s">
        <v>35</v>
      </c>
      <c r="I3" s="5">
        <v>44531</v>
      </c>
      <c r="J3" s="6">
        <v>20000</v>
      </c>
      <c r="K3" s="6">
        <v>20000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55</v>
      </c>
      <c r="R3" s="4">
        <v>0</v>
      </c>
      <c r="S3" s="4" t="s">
        <v>98</v>
      </c>
      <c r="U3" s="4">
        <v>19</v>
      </c>
      <c r="V3" s="4">
        <v>0</v>
      </c>
      <c r="W3" s="4">
        <v>0</v>
      </c>
    </row>
    <row r="4" spans="1:23" ht="11.25" customHeight="1" x14ac:dyDescent="0.3">
      <c r="A4" s="4" t="s">
        <v>21</v>
      </c>
      <c r="B4" s="4" t="s">
        <v>54</v>
      </c>
      <c r="C4" s="4" t="s">
        <v>40</v>
      </c>
      <c r="D4" s="4" t="s">
        <v>38</v>
      </c>
      <c r="E4" s="4" t="s">
        <v>25</v>
      </c>
      <c r="F4" s="4" t="s">
        <v>25</v>
      </c>
      <c r="G4" s="4" t="s">
        <v>25</v>
      </c>
      <c r="H4" s="4" t="s">
        <v>35</v>
      </c>
      <c r="I4" s="5">
        <v>44562</v>
      </c>
      <c r="J4" s="6">
        <v>20000</v>
      </c>
      <c r="K4" s="6">
        <v>20000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55</v>
      </c>
      <c r="R4" s="4">
        <v>0</v>
      </c>
      <c r="S4" s="4" t="s">
        <v>99</v>
      </c>
      <c r="U4" s="4">
        <v>19</v>
      </c>
      <c r="V4" s="4">
        <v>0</v>
      </c>
      <c r="W4" s="4">
        <v>0</v>
      </c>
    </row>
    <row r="5" spans="1:23" ht="11.25" customHeight="1" x14ac:dyDescent="0.3">
      <c r="A5" s="4" t="s">
        <v>21</v>
      </c>
      <c r="B5" s="4" t="s">
        <v>54</v>
      </c>
      <c r="C5" s="4" t="s">
        <v>40</v>
      </c>
      <c r="D5" s="4" t="s">
        <v>38</v>
      </c>
      <c r="E5" s="4" t="s">
        <v>25</v>
      </c>
      <c r="F5" s="4" t="s">
        <v>25</v>
      </c>
      <c r="G5" s="4" t="s">
        <v>25</v>
      </c>
      <c r="H5" s="4" t="s">
        <v>35</v>
      </c>
      <c r="I5" s="5">
        <v>44593</v>
      </c>
      <c r="J5" s="6">
        <v>20000</v>
      </c>
      <c r="K5" s="6">
        <v>20000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55</v>
      </c>
      <c r="R5" s="4">
        <v>0</v>
      </c>
      <c r="S5" s="4" t="s">
        <v>100</v>
      </c>
      <c r="U5" s="4">
        <v>19</v>
      </c>
      <c r="V5" s="4">
        <v>0</v>
      </c>
      <c r="W5" s="4">
        <v>0</v>
      </c>
    </row>
    <row r="6" spans="1:23" ht="11.25" customHeight="1" x14ac:dyDescent="0.3">
      <c r="A6" s="4" t="s">
        <v>21</v>
      </c>
      <c r="B6" s="4" t="s">
        <v>54</v>
      </c>
      <c r="C6" s="4" t="s">
        <v>40</v>
      </c>
      <c r="D6" s="4" t="s">
        <v>38</v>
      </c>
      <c r="E6" s="4" t="s">
        <v>25</v>
      </c>
      <c r="F6" s="4" t="s">
        <v>25</v>
      </c>
      <c r="G6" s="4" t="s">
        <v>25</v>
      </c>
      <c r="H6" s="4" t="s">
        <v>35</v>
      </c>
      <c r="I6" s="5">
        <v>44621</v>
      </c>
      <c r="J6" s="6">
        <v>20000</v>
      </c>
      <c r="K6" s="6">
        <v>20000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55</v>
      </c>
      <c r="R6" s="4">
        <v>0</v>
      </c>
      <c r="S6" s="4" t="s">
        <v>101</v>
      </c>
      <c r="U6" s="4">
        <v>19</v>
      </c>
      <c r="V6" s="4">
        <v>0</v>
      </c>
      <c r="W6" s="4">
        <v>0</v>
      </c>
    </row>
    <row r="7" spans="1:23" ht="11.25" customHeight="1" x14ac:dyDescent="0.3">
      <c r="A7" s="4" t="s">
        <v>21</v>
      </c>
      <c r="B7" s="4" t="s">
        <v>54</v>
      </c>
      <c r="C7" s="4" t="s">
        <v>40</v>
      </c>
      <c r="D7" s="4" t="s">
        <v>38</v>
      </c>
      <c r="E7" s="4" t="s">
        <v>25</v>
      </c>
      <c r="F7" s="4" t="s">
        <v>25</v>
      </c>
      <c r="G7" s="4" t="s">
        <v>25</v>
      </c>
      <c r="H7" s="4" t="s">
        <v>35</v>
      </c>
      <c r="I7" s="5">
        <v>44652</v>
      </c>
      <c r="J7" s="6">
        <v>20000</v>
      </c>
      <c r="K7" s="6">
        <v>20000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55</v>
      </c>
      <c r="R7" s="4">
        <v>0</v>
      </c>
      <c r="S7" s="4" t="s">
        <v>102</v>
      </c>
      <c r="U7" s="4">
        <v>19</v>
      </c>
      <c r="V7" s="4">
        <v>0</v>
      </c>
      <c r="W7" s="4">
        <v>0</v>
      </c>
    </row>
    <row r="8" spans="1:23" ht="11.25" customHeight="1" x14ac:dyDescent="0.3">
      <c r="A8" s="4" t="s">
        <v>21</v>
      </c>
      <c r="B8" s="4" t="s">
        <v>54</v>
      </c>
      <c r="C8" s="4" t="s">
        <v>40</v>
      </c>
      <c r="D8" s="4" t="s">
        <v>38</v>
      </c>
      <c r="E8" s="4" t="s">
        <v>25</v>
      </c>
      <c r="F8" s="4" t="s">
        <v>25</v>
      </c>
      <c r="G8" s="4" t="s">
        <v>25</v>
      </c>
      <c r="H8" s="4" t="s">
        <v>35</v>
      </c>
      <c r="I8" s="5">
        <v>44682</v>
      </c>
      <c r="J8" s="6">
        <v>20000</v>
      </c>
      <c r="K8" s="6">
        <v>20000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55</v>
      </c>
      <c r="R8" s="4">
        <v>0</v>
      </c>
      <c r="S8" s="4" t="s">
        <v>103</v>
      </c>
      <c r="U8" s="4">
        <v>19</v>
      </c>
      <c r="V8" s="4">
        <v>0</v>
      </c>
      <c r="W8" s="4">
        <v>0</v>
      </c>
    </row>
    <row r="9" spans="1:23" ht="11.25" customHeight="1" x14ac:dyDescent="0.3">
      <c r="A9" s="4" t="s">
        <v>21</v>
      </c>
      <c r="B9" s="4" t="s">
        <v>54</v>
      </c>
      <c r="C9" s="4" t="s">
        <v>40</v>
      </c>
      <c r="D9" s="4" t="s">
        <v>38</v>
      </c>
      <c r="E9" s="4" t="s">
        <v>25</v>
      </c>
      <c r="F9" s="4" t="s">
        <v>25</v>
      </c>
      <c r="G9" s="4" t="s">
        <v>25</v>
      </c>
      <c r="H9" s="4" t="s">
        <v>35</v>
      </c>
      <c r="I9" s="5">
        <v>44713</v>
      </c>
      <c r="J9" s="6">
        <v>20000</v>
      </c>
      <c r="K9" s="6">
        <v>20000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55</v>
      </c>
      <c r="R9" s="4">
        <v>0</v>
      </c>
      <c r="S9" s="4" t="s">
        <v>104</v>
      </c>
      <c r="U9" s="4">
        <v>19</v>
      </c>
      <c r="V9" s="4">
        <v>0</v>
      </c>
      <c r="W9" s="4">
        <v>0</v>
      </c>
    </row>
    <row r="10" spans="1:23" ht="11.25" customHeight="1" x14ac:dyDescent="0.3">
      <c r="A10" s="4" t="s">
        <v>21</v>
      </c>
      <c r="B10" s="4" t="s">
        <v>54</v>
      </c>
      <c r="C10" s="4" t="s">
        <v>40</v>
      </c>
      <c r="D10" s="4" t="s">
        <v>38</v>
      </c>
      <c r="E10" s="4" t="s">
        <v>25</v>
      </c>
      <c r="F10" s="4" t="s">
        <v>25</v>
      </c>
      <c r="G10" s="4" t="s">
        <v>25</v>
      </c>
      <c r="H10" s="4" t="s">
        <v>35</v>
      </c>
      <c r="I10" s="5">
        <v>44743</v>
      </c>
      <c r="J10" s="6">
        <v>20000</v>
      </c>
      <c r="K10" s="6">
        <v>20000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55</v>
      </c>
      <c r="R10" s="4">
        <v>0</v>
      </c>
      <c r="S10" s="4" t="s">
        <v>105</v>
      </c>
      <c r="U10" s="4">
        <v>19</v>
      </c>
      <c r="V10" s="4">
        <v>0</v>
      </c>
      <c r="W10" s="4">
        <v>0</v>
      </c>
    </row>
    <row r="11" spans="1:23" ht="11.25" customHeight="1" x14ac:dyDescent="0.3">
      <c r="A11" s="4" t="s">
        <v>21</v>
      </c>
      <c r="B11" s="4" t="s">
        <v>54</v>
      </c>
      <c r="C11" s="4" t="s">
        <v>40</v>
      </c>
      <c r="D11" s="4" t="s">
        <v>38</v>
      </c>
      <c r="E11" s="4" t="s">
        <v>25</v>
      </c>
      <c r="F11" s="4" t="s">
        <v>25</v>
      </c>
      <c r="G11" s="4" t="s">
        <v>25</v>
      </c>
      <c r="H11" s="4" t="s">
        <v>35</v>
      </c>
      <c r="I11" s="5">
        <v>44774</v>
      </c>
      <c r="J11" s="6">
        <v>20000</v>
      </c>
      <c r="K11" s="6">
        <v>20000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55</v>
      </c>
      <c r="R11" s="4">
        <v>0</v>
      </c>
      <c r="S11" s="4" t="s">
        <v>106</v>
      </c>
      <c r="U11" s="4">
        <v>19</v>
      </c>
      <c r="V11" s="4">
        <v>0</v>
      </c>
      <c r="W11" s="4">
        <v>0</v>
      </c>
    </row>
    <row r="12" spans="1:23" ht="11.25" customHeight="1" x14ac:dyDescent="0.3">
      <c r="A12" s="4" t="s">
        <v>21</v>
      </c>
      <c r="B12" s="4" t="s">
        <v>54</v>
      </c>
      <c r="C12" s="4" t="s">
        <v>40</v>
      </c>
      <c r="D12" s="4" t="s">
        <v>38</v>
      </c>
      <c r="E12" s="4" t="s">
        <v>25</v>
      </c>
      <c r="F12" s="4" t="s">
        <v>25</v>
      </c>
      <c r="G12" s="4" t="s">
        <v>25</v>
      </c>
      <c r="H12" s="4" t="s">
        <v>35</v>
      </c>
      <c r="I12" s="5">
        <v>44805</v>
      </c>
      <c r="J12" s="6">
        <v>20000</v>
      </c>
      <c r="K12" s="6">
        <v>20000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55</v>
      </c>
      <c r="R12" s="4">
        <v>0</v>
      </c>
      <c r="S12" s="4" t="s">
        <v>107</v>
      </c>
      <c r="U12" s="4">
        <v>19</v>
      </c>
      <c r="V12" s="4">
        <v>0</v>
      </c>
      <c r="W12" s="4">
        <v>0</v>
      </c>
    </row>
    <row r="13" spans="1:23" ht="11.25" customHeight="1" x14ac:dyDescent="0.3">
      <c r="A13" s="4" t="s">
        <v>53</v>
      </c>
      <c r="B13" s="4" t="s">
        <v>54</v>
      </c>
      <c r="C13" s="4" t="s">
        <v>40</v>
      </c>
      <c r="D13" s="4" t="s">
        <v>38</v>
      </c>
      <c r="E13" s="4" t="s">
        <v>25</v>
      </c>
      <c r="F13" s="4" t="s">
        <v>25</v>
      </c>
      <c r="G13" s="4" t="s">
        <v>25</v>
      </c>
      <c r="H13" s="4" t="s">
        <v>35</v>
      </c>
      <c r="I13" s="5">
        <v>44835</v>
      </c>
      <c r="J13" s="6">
        <v>20000</v>
      </c>
      <c r="K13" s="6">
        <v>20000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55</v>
      </c>
      <c r="R13" s="4">
        <v>0</v>
      </c>
      <c r="S13" s="4" t="s">
        <v>108</v>
      </c>
      <c r="U13" s="4">
        <v>19</v>
      </c>
      <c r="V13" s="4">
        <v>0</v>
      </c>
      <c r="W13" s="4">
        <v>0</v>
      </c>
    </row>
    <row r="14" spans="1:23" ht="11.25" customHeight="1" x14ac:dyDescent="0.3">
      <c r="A14" s="4" t="s">
        <v>21</v>
      </c>
      <c r="B14" s="4" t="s">
        <v>54</v>
      </c>
      <c r="C14" s="4" t="s">
        <v>40</v>
      </c>
      <c r="D14" s="4" t="s">
        <v>38</v>
      </c>
      <c r="E14" s="4" t="s">
        <v>25</v>
      </c>
      <c r="F14" s="4" t="s">
        <v>25</v>
      </c>
      <c r="G14" s="4" t="s">
        <v>25</v>
      </c>
      <c r="H14" s="4" t="s">
        <v>25</v>
      </c>
      <c r="I14" s="5">
        <v>44501</v>
      </c>
      <c r="J14" s="6">
        <v>0</v>
      </c>
      <c r="K14" s="6">
        <v>0</v>
      </c>
      <c r="L14" s="6">
        <v>10131.893</v>
      </c>
      <c r="M14" s="6">
        <v>10131.893</v>
      </c>
      <c r="N14" s="6">
        <v>0</v>
      </c>
      <c r="O14" s="6">
        <v>0</v>
      </c>
      <c r="P14" s="6">
        <v>2</v>
      </c>
      <c r="Q14" s="4" t="s">
        <v>55</v>
      </c>
      <c r="R14" s="4">
        <v>0</v>
      </c>
      <c r="S14" s="4" t="s">
        <v>109</v>
      </c>
      <c r="U14" s="4">
        <v>0</v>
      </c>
      <c r="V14" s="4">
        <v>5</v>
      </c>
      <c r="W14" s="4">
        <v>0</v>
      </c>
    </row>
    <row r="15" spans="1:23" ht="11.25" customHeight="1" x14ac:dyDescent="0.3">
      <c r="A15" s="4" t="s">
        <v>21</v>
      </c>
      <c r="B15" s="4" t="s">
        <v>54</v>
      </c>
      <c r="C15" s="4" t="s">
        <v>40</v>
      </c>
      <c r="D15" s="4" t="s">
        <v>38</v>
      </c>
      <c r="E15" s="4" t="s">
        <v>25</v>
      </c>
      <c r="F15" s="4" t="s">
        <v>25</v>
      </c>
      <c r="G15" s="4" t="s">
        <v>25</v>
      </c>
      <c r="H15" s="4" t="s">
        <v>25</v>
      </c>
      <c r="I15" s="5">
        <v>44531</v>
      </c>
      <c r="J15" s="6">
        <v>0</v>
      </c>
      <c r="K15" s="6">
        <v>0</v>
      </c>
      <c r="L15" s="6">
        <v>10632.441000000001</v>
      </c>
      <c r="M15" s="6">
        <v>10632.441000000001</v>
      </c>
      <c r="N15" s="6">
        <v>0</v>
      </c>
      <c r="O15" s="6">
        <v>0</v>
      </c>
      <c r="P15" s="6">
        <v>2</v>
      </c>
      <c r="Q15" s="4" t="s">
        <v>55</v>
      </c>
      <c r="R15" s="4">
        <v>0</v>
      </c>
      <c r="S15" s="4" t="s">
        <v>110</v>
      </c>
      <c r="U15" s="4">
        <v>0</v>
      </c>
      <c r="V15" s="4">
        <v>5</v>
      </c>
      <c r="W15" s="4">
        <v>0</v>
      </c>
    </row>
    <row r="16" spans="1:23" ht="11.25" customHeight="1" x14ac:dyDescent="0.3">
      <c r="A16" s="4" t="s">
        <v>21</v>
      </c>
      <c r="B16" s="4" t="s">
        <v>54</v>
      </c>
      <c r="C16" s="4" t="s">
        <v>40</v>
      </c>
      <c r="D16" s="4" t="s">
        <v>38</v>
      </c>
      <c r="E16" s="4" t="s">
        <v>25</v>
      </c>
      <c r="F16" s="4" t="s">
        <v>25</v>
      </c>
      <c r="G16" s="4" t="s">
        <v>25</v>
      </c>
      <c r="H16" s="4" t="s">
        <v>25</v>
      </c>
      <c r="I16" s="5">
        <v>44562</v>
      </c>
      <c r="J16" s="6">
        <v>0</v>
      </c>
      <c r="K16" s="6">
        <v>0</v>
      </c>
      <c r="L16" s="6">
        <v>9972.9570000000003</v>
      </c>
      <c r="M16" s="6">
        <v>9972.9570000000003</v>
      </c>
      <c r="N16" s="6">
        <v>0</v>
      </c>
      <c r="O16" s="6">
        <v>0</v>
      </c>
      <c r="P16" s="6">
        <v>2</v>
      </c>
      <c r="Q16" s="4" t="s">
        <v>55</v>
      </c>
      <c r="R16" s="4">
        <v>0</v>
      </c>
      <c r="S16" s="4" t="s">
        <v>111</v>
      </c>
      <c r="U16" s="4">
        <v>0</v>
      </c>
      <c r="V16" s="4">
        <v>5</v>
      </c>
      <c r="W16" s="4">
        <v>0</v>
      </c>
    </row>
    <row r="17" spans="1:23" ht="11.25" customHeight="1" x14ac:dyDescent="0.3">
      <c r="A17" s="4" t="s">
        <v>21</v>
      </c>
      <c r="B17" s="4" t="s">
        <v>54</v>
      </c>
      <c r="C17" s="4" t="s">
        <v>40</v>
      </c>
      <c r="D17" s="4" t="s">
        <v>38</v>
      </c>
      <c r="E17" s="4" t="s">
        <v>25</v>
      </c>
      <c r="F17" s="4" t="s">
        <v>25</v>
      </c>
      <c r="G17" s="4" t="s">
        <v>25</v>
      </c>
      <c r="H17" s="4" t="s">
        <v>25</v>
      </c>
      <c r="I17" s="5">
        <v>44593</v>
      </c>
      <c r="J17" s="6">
        <v>0</v>
      </c>
      <c r="K17" s="6">
        <v>0</v>
      </c>
      <c r="L17" s="6">
        <v>9123.6839999999993</v>
      </c>
      <c r="M17" s="6">
        <v>9123.6839999999993</v>
      </c>
      <c r="N17" s="6">
        <v>0</v>
      </c>
      <c r="O17" s="6">
        <v>0</v>
      </c>
      <c r="P17" s="6">
        <v>2</v>
      </c>
      <c r="Q17" s="4" t="s">
        <v>55</v>
      </c>
      <c r="R17" s="4">
        <v>0</v>
      </c>
      <c r="S17" s="4" t="s">
        <v>112</v>
      </c>
      <c r="U17" s="4">
        <v>0</v>
      </c>
      <c r="V17" s="4">
        <v>5</v>
      </c>
      <c r="W17" s="4">
        <v>0</v>
      </c>
    </row>
    <row r="18" spans="1:23" ht="11.25" customHeight="1" x14ac:dyDescent="0.3">
      <c r="A18" s="4" t="s">
        <v>21</v>
      </c>
      <c r="B18" s="4" t="s">
        <v>54</v>
      </c>
      <c r="C18" s="4" t="s">
        <v>40</v>
      </c>
      <c r="D18" s="4" t="s">
        <v>38</v>
      </c>
      <c r="E18" s="4" t="s">
        <v>25</v>
      </c>
      <c r="F18" s="4" t="s">
        <v>25</v>
      </c>
      <c r="G18" s="4" t="s">
        <v>25</v>
      </c>
      <c r="H18" s="4" t="s">
        <v>25</v>
      </c>
      <c r="I18" s="5">
        <v>44621</v>
      </c>
      <c r="J18" s="6">
        <v>0</v>
      </c>
      <c r="K18" s="6">
        <v>0</v>
      </c>
      <c r="L18" s="6">
        <v>9503.9590000000007</v>
      </c>
      <c r="M18" s="6">
        <v>9503.9590000000007</v>
      </c>
      <c r="N18" s="6">
        <v>0</v>
      </c>
      <c r="O18" s="6">
        <v>0</v>
      </c>
      <c r="P18" s="6">
        <v>2</v>
      </c>
      <c r="Q18" s="4" t="s">
        <v>55</v>
      </c>
      <c r="R18" s="4">
        <v>0</v>
      </c>
      <c r="S18" s="4" t="s">
        <v>113</v>
      </c>
      <c r="U18" s="4">
        <v>0</v>
      </c>
      <c r="V18" s="4">
        <v>5</v>
      </c>
      <c r="W18" s="4">
        <v>0</v>
      </c>
    </row>
    <row r="19" spans="1:23" ht="11.25" customHeight="1" x14ac:dyDescent="0.3">
      <c r="A19" s="4" t="s">
        <v>21</v>
      </c>
      <c r="B19" s="4" t="s">
        <v>54</v>
      </c>
      <c r="C19" s="4" t="s">
        <v>40</v>
      </c>
      <c r="D19" s="4" t="s">
        <v>38</v>
      </c>
      <c r="E19" s="4" t="s">
        <v>25</v>
      </c>
      <c r="F19" s="4" t="s">
        <v>25</v>
      </c>
      <c r="G19" s="4" t="s">
        <v>25</v>
      </c>
      <c r="H19" s="4" t="s">
        <v>25</v>
      </c>
      <c r="I19" s="5">
        <v>44652</v>
      </c>
      <c r="J19" s="6">
        <v>0</v>
      </c>
      <c r="K19" s="6">
        <v>0</v>
      </c>
      <c r="L19" s="6">
        <v>10428.375</v>
      </c>
      <c r="M19" s="6">
        <v>10428.375</v>
      </c>
      <c r="N19" s="6">
        <v>0</v>
      </c>
      <c r="O19" s="6">
        <v>0</v>
      </c>
      <c r="P19" s="6">
        <v>2</v>
      </c>
      <c r="Q19" s="4" t="s">
        <v>55</v>
      </c>
      <c r="R19" s="4">
        <v>0</v>
      </c>
      <c r="S19" s="4" t="s">
        <v>114</v>
      </c>
      <c r="U19" s="4">
        <v>0</v>
      </c>
      <c r="V19" s="4">
        <v>5</v>
      </c>
      <c r="W19" s="4">
        <v>0</v>
      </c>
    </row>
    <row r="20" spans="1:23" ht="11.25" customHeight="1" x14ac:dyDescent="0.3">
      <c r="A20" s="4" t="s">
        <v>21</v>
      </c>
      <c r="B20" s="4" t="s">
        <v>54</v>
      </c>
      <c r="C20" s="4" t="s">
        <v>40</v>
      </c>
      <c r="D20" s="4" t="s">
        <v>38</v>
      </c>
      <c r="E20" s="4" t="s">
        <v>25</v>
      </c>
      <c r="F20" s="4" t="s">
        <v>25</v>
      </c>
      <c r="G20" s="4" t="s">
        <v>25</v>
      </c>
      <c r="H20" s="4" t="s">
        <v>25</v>
      </c>
      <c r="I20" s="5">
        <v>44682</v>
      </c>
      <c r="J20" s="6">
        <v>0</v>
      </c>
      <c r="K20" s="6">
        <v>0</v>
      </c>
      <c r="L20" s="6">
        <v>10358.606</v>
      </c>
      <c r="M20" s="6">
        <v>10358.606</v>
      </c>
      <c r="N20" s="6">
        <v>0</v>
      </c>
      <c r="O20" s="6">
        <v>0</v>
      </c>
      <c r="P20" s="6">
        <v>2</v>
      </c>
      <c r="Q20" s="4" t="s">
        <v>55</v>
      </c>
      <c r="R20" s="4">
        <v>0</v>
      </c>
      <c r="S20" s="4" t="s">
        <v>115</v>
      </c>
      <c r="U20" s="4">
        <v>0</v>
      </c>
      <c r="V20" s="4">
        <v>5</v>
      </c>
      <c r="W20" s="4">
        <v>0</v>
      </c>
    </row>
    <row r="21" spans="1:23" ht="11.25" customHeight="1" x14ac:dyDescent="0.3">
      <c r="A21" s="4" t="s">
        <v>21</v>
      </c>
      <c r="B21" s="4" t="s">
        <v>54</v>
      </c>
      <c r="C21" s="4" t="s">
        <v>40</v>
      </c>
      <c r="D21" s="4" t="s">
        <v>38</v>
      </c>
      <c r="E21" s="4" t="s">
        <v>25</v>
      </c>
      <c r="F21" s="4" t="s">
        <v>25</v>
      </c>
      <c r="G21" s="4" t="s">
        <v>25</v>
      </c>
      <c r="H21" s="4" t="s">
        <v>25</v>
      </c>
      <c r="I21" s="5">
        <v>44713</v>
      </c>
      <c r="J21" s="6">
        <v>0</v>
      </c>
      <c r="K21" s="6">
        <v>0</v>
      </c>
      <c r="L21" s="6">
        <v>8996.8760000000002</v>
      </c>
      <c r="M21" s="6">
        <v>8996.8760000000002</v>
      </c>
      <c r="N21" s="6">
        <v>0</v>
      </c>
      <c r="O21" s="6">
        <v>0</v>
      </c>
      <c r="P21" s="6">
        <v>2</v>
      </c>
      <c r="Q21" s="4" t="s">
        <v>55</v>
      </c>
      <c r="R21" s="4">
        <v>0</v>
      </c>
      <c r="S21" s="4" t="s">
        <v>116</v>
      </c>
      <c r="U21" s="4">
        <v>0</v>
      </c>
      <c r="V21" s="4">
        <v>5</v>
      </c>
      <c r="W21" s="4">
        <v>0</v>
      </c>
    </row>
    <row r="22" spans="1:23" ht="11.25" customHeight="1" x14ac:dyDescent="0.3">
      <c r="A22" s="4" t="s">
        <v>21</v>
      </c>
      <c r="B22" s="4" t="s">
        <v>54</v>
      </c>
      <c r="C22" s="4" t="s">
        <v>40</v>
      </c>
      <c r="D22" s="4" t="s">
        <v>38</v>
      </c>
      <c r="E22" s="4" t="s">
        <v>25</v>
      </c>
      <c r="F22" s="4" t="s">
        <v>25</v>
      </c>
      <c r="G22" s="4" t="s">
        <v>25</v>
      </c>
      <c r="H22" s="4" t="s">
        <v>25</v>
      </c>
      <c r="I22" s="5">
        <v>44743</v>
      </c>
      <c r="J22" s="6">
        <v>0</v>
      </c>
      <c r="K22" s="6">
        <v>0</v>
      </c>
      <c r="L22" s="6">
        <v>8481.1679999999997</v>
      </c>
      <c r="M22" s="6">
        <v>8481.1679999999997</v>
      </c>
      <c r="N22" s="6">
        <v>0</v>
      </c>
      <c r="O22" s="6">
        <v>0</v>
      </c>
      <c r="P22" s="6">
        <v>2</v>
      </c>
      <c r="Q22" s="4" t="s">
        <v>55</v>
      </c>
      <c r="R22" s="4">
        <v>0</v>
      </c>
      <c r="S22" s="4" t="s">
        <v>117</v>
      </c>
      <c r="U22" s="4">
        <v>0</v>
      </c>
      <c r="V22" s="4">
        <v>5</v>
      </c>
      <c r="W22" s="4">
        <v>0</v>
      </c>
    </row>
    <row r="23" spans="1:23" ht="11.25" customHeight="1" x14ac:dyDescent="0.3">
      <c r="A23" s="4" t="s">
        <v>21</v>
      </c>
      <c r="B23" s="4" t="s">
        <v>54</v>
      </c>
      <c r="C23" s="4" t="s">
        <v>40</v>
      </c>
      <c r="D23" s="4" t="s">
        <v>38</v>
      </c>
      <c r="E23" s="4" t="s">
        <v>25</v>
      </c>
      <c r="F23" s="4" t="s">
        <v>25</v>
      </c>
      <c r="G23" s="4" t="s">
        <v>25</v>
      </c>
      <c r="H23" s="4" t="s">
        <v>25</v>
      </c>
      <c r="I23" s="5">
        <v>44774</v>
      </c>
      <c r="J23" s="6">
        <v>0</v>
      </c>
      <c r="K23" s="6">
        <v>0</v>
      </c>
      <c r="L23" s="6">
        <v>9729.9449999999997</v>
      </c>
      <c r="M23" s="6">
        <v>9729.9449999999997</v>
      </c>
      <c r="N23" s="6">
        <v>0</v>
      </c>
      <c r="O23" s="6">
        <v>0</v>
      </c>
      <c r="P23" s="6">
        <v>2</v>
      </c>
      <c r="Q23" s="4" t="s">
        <v>55</v>
      </c>
      <c r="R23" s="4">
        <v>0</v>
      </c>
      <c r="S23" s="4" t="s">
        <v>118</v>
      </c>
      <c r="U23" s="4">
        <v>0</v>
      </c>
      <c r="V23" s="4">
        <v>5</v>
      </c>
      <c r="W23" s="4">
        <v>0</v>
      </c>
    </row>
    <row r="24" spans="1:23" ht="11.25" customHeight="1" x14ac:dyDescent="0.3">
      <c r="A24" s="4" t="s">
        <v>21</v>
      </c>
      <c r="B24" s="4" t="s">
        <v>54</v>
      </c>
      <c r="C24" s="4" t="s">
        <v>40</v>
      </c>
      <c r="D24" s="4" t="s">
        <v>38</v>
      </c>
      <c r="E24" s="4" t="s">
        <v>25</v>
      </c>
      <c r="F24" s="4" t="s">
        <v>25</v>
      </c>
      <c r="G24" s="4" t="s">
        <v>25</v>
      </c>
      <c r="H24" s="4" t="s">
        <v>25</v>
      </c>
      <c r="I24" s="5">
        <v>44805</v>
      </c>
      <c r="J24" s="6">
        <v>0</v>
      </c>
      <c r="K24" s="6">
        <v>0</v>
      </c>
      <c r="L24" s="6">
        <v>10177.634</v>
      </c>
      <c r="M24" s="6">
        <v>10177.634</v>
      </c>
      <c r="N24" s="6">
        <v>0</v>
      </c>
      <c r="O24" s="6">
        <v>0</v>
      </c>
      <c r="P24" s="6">
        <v>2</v>
      </c>
      <c r="Q24" s="4" t="s">
        <v>55</v>
      </c>
      <c r="R24" s="4">
        <v>0</v>
      </c>
      <c r="S24" s="4" t="s">
        <v>119</v>
      </c>
      <c r="U24" s="4">
        <v>0</v>
      </c>
      <c r="V24" s="4">
        <v>5</v>
      </c>
      <c r="W24" s="4">
        <v>0</v>
      </c>
    </row>
    <row r="25" spans="1:23" ht="11.25" customHeight="1" x14ac:dyDescent="0.3">
      <c r="A25" s="4" t="s">
        <v>53</v>
      </c>
      <c r="B25" s="4" t="s">
        <v>54</v>
      </c>
      <c r="C25" s="4" t="s">
        <v>40</v>
      </c>
      <c r="D25" s="4" t="s">
        <v>38</v>
      </c>
      <c r="E25" s="4" t="s">
        <v>25</v>
      </c>
      <c r="F25" s="4" t="s">
        <v>25</v>
      </c>
      <c r="G25" s="4" t="s">
        <v>25</v>
      </c>
      <c r="H25" s="4" t="s">
        <v>25</v>
      </c>
      <c r="I25" s="5">
        <v>44835</v>
      </c>
      <c r="J25" s="6">
        <v>0</v>
      </c>
      <c r="K25" s="6">
        <v>0</v>
      </c>
      <c r="L25" s="6">
        <v>10177.634</v>
      </c>
      <c r="M25" s="6">
        <v>10177.634</v>
      </c>
      <c r="N25" s="6">
        <v>0</v>
      </c>
      <c r="O25" s="6">
        <v>0</v>
      </c>
      <c r="P25" s="6">
        <v>2</v>
      </c>
      <c r="Q25" s="4" t="s">
        <v>55</v>
      </c>
      <c r="R25" s="4">
        <v>0</v>
      </c>
      <c r="S25" s="4" t="s">
        <v>120</v>
      </c>
      <c r="U25" s="4">
        <v>0</v>
      </c>
      <c r="V25" s="4">
        <v>5</v>
      </c>
      <c r="W25" s="4">
        <v>0</v>
      </c>
    </row>
    <row r="26" spans="1:23" ht="11.25" customHeight="1" x14ac:dyDescent="0.3">
      <c r="A26" s="4" t="s">
        <v>21</v>
      </c>
      <c r="B26" s="4" t="s">
        <v>54</v>
      </c>
      <c r="C26" s="4" t="s">
        <v>40</v>
      </c>
      <c r="D26" s="4" t="s">
        <v>38</v>
      </c>
      <c r="E26" s="4" t="s">
        <v>25</v>
      </c>
      <c r="F26" s="4" t="s">
        <v>25</v>
      </c>
      <c r="G26" s="4" t="s">
        <v>25</v>
      </c>
      <c r="H26" s="4" t="s">
        <v>34</v>
      </c>
      <c r="I26" s="5">
        <v>44501</v>
      </c>
      <c r="J26" s="6">
        <v>3738</v>
      </c>
      <c r="K26" s="6">
        <v>3738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55</v>
      </c>
      <c r="R26" s="4">
        <v>0</v>
      </c>
      <c r="S26" s="4" t="s">
        <v>121</v>
      </c>
      <c r="U26" s="4">
        <v>16</v>
      </c>
      <c r="V26" s="4">
        <v>0</v>
      </c>
      <c r="W26" s="4">
        <v>0</v>
      </c>
    </row>
    <row r="27" spans="1:23" ht="11.25" customHeight="1" x14ac:dyDescent="0.3">
      <c r="A27" s="4" t="s">
        <v>21</v>
      </c>
      <c r="B27" s="4" t="s">
        <v>54</v>
      </c>
      <c r="C27" s="4" t="s">
        <v>40</v>
      </c>
      <c r="D27" s="4" t="s">
        <v>38</v>
      </c>
      <c r="E27" s="4" t="s">
        <v>25</v>
      </c>
      <c r="F27" s="4" t="s">
        <v>25</v>
      </c>
      <c r="G27" s="4" t="s">
        <v>25</v>
      </c>
      <c r="H27" s="4" t="s">
        <v>34</v>
      </c>
      <c r="I27" s="5">
        <v>44531</v>
      </c>
      <c r="J27" s="6">
        <v>3883</v>
      </c>
      <c r="K27" s="6">
        <v>3883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55</v>
      </c>
      <c r="R27" s="4">
        <v>0</v>
      </c>
      <c r="S27" s="4" t="s">
        <v>122</v>
      </c>
      <c r="U27" s="4">
        <v>16</v>
      </c>
      <c r="V27" s="4">
        <v>0</v>
      </c>
      <c r="W27" s="4">
        <v>0</v>
      </c>
    </row>
    <row r="28" spans="1:23" ht="11.25" customHeight="1" x14ac:dyDescent="0.3">
      <c r="A28" s="4" t="s">
        <v>21</v>
      </c>
      <c r="B28" s="4" t="s">
        <v>54</v>
      </c>
      <c r="C28" s="4" t="s">
        <v>40</v>
      </c>
      <c r="D28" s="4" t="s">
        <v>38</v>
      </c>
      <c r="E28" s="4" t="s">
        <v>25</v>
      </c>
      <c r="F28" s="4" t="s">
        <v>25</v>
      </c>
      <c r="G28" s="4" t="s">
        <v>25</v>
      </c>
      <c r="H28" s="4" t="s">
        <v>34</v>
      </c>
      <c r="I28" s="5">
        <v>44562</v>
      </c>
      <c r="J28" s="6">
        <v>3945</v>
      </c>
      <c r="K28" s="6">
        <v>3945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55</v>
      </c>
      <c r="R28" s="4">
        <v>0</v>
      </c>
      <c r="S28" s="4" t="s">
        <v>123</v>
      </c>
      <c r="U28" s="4">
        <v>16</v>
      </c>
      <c r="V28" s="4">
        <v>0</v>
      </c>
      <c r="W28" s="4">
        <v>0</v>
      </c>
    </row>
    <row r="29" spans="1:23" ht="11.25" customHeight="1" x14ac:dyDescent="0.3">
      <c r="A29" s="4" t="s">
        <v>21</v>
      </c>
      <c r="B29" s="4" t="s">
        <v>54</v>
      </c>
      <c r="C29" s="4" t="s">
        <v>40</v>
      </c>
      <c r="D29" s="4" t="s">
        <v>38</v>
      </c>
      <c r="E29" s="4" t="s">
        <v>25</v>
      </c>
      <c r="F29" s="4" t="s">
        <v>25</v>
      </c>
      <c r="G29" s="4" t="s">
        <v>25</v>
      </c>
      <c r="H29" s="4" t="s">
        <v>34</v>
      </c>
      <c r="I29" s="5">
        <v>44593</v>
      </c>
      <c r="J29" s="6">
        <v>3794</v>
      </c>
      <c r="K29" s="6">
        <v>3794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55</v>
      </c>
      <c r="R29" s="4">
        <v>0</v>
      </c>
      <c r="S29" s="4" t="s">
        <v>124</v>
      </c>
      <c r="U29" s="4">
        <v>16</v>
      </c>
      <c r="V29" s="4">
        <v>0</v>
      </c>
      <c r="W29" s="4">
        <v>0</v>
      </c>
    </row>
    <row r="30" spans="1:23" ht="11.25" customHeight="1" x14ac:dyDescent="0.3">
      <c r="A30" s="4" t="s">
        <v>21</v>
      </c>
      <c r="B30" s="4" t="s">
        <v>54</v>
      </c>
      <c r="C30" s="4" t="s">
        <v>40</v>
      </c>
      <c r="D30" s="4" t="s">
        <v>38</v>
      </c>
      <c r="E30" s="4" t="s">
        <v>25</v>
      </c>
      <c r="F30" s="4" t="s">
        <v>25</v>
      </c>
      <c r="G30" s="4" t="s">
        <v>25</v>
      </c>
      <c r="H30" s="4" t="s">
        <v>34</v>
      </c>
      <c r="I30" s="5">
        <v>44621</v>
      </c>
      <c r="J30" s="6">
        <v>3700</v>
      </c>
      <c r="K30" s="6">
        <v>3700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55</v>
      </c>
      <c r="R30" s="4">
        <v>0</v>
      </c>
      <c r="S30" s="4" t="s">
        <v>125</v>
      </c>
      <c r="U30" s="4">
        <v>16</v>
      </c>
      <c r="V30" s="4">
        <v>0</v>
      </c>
      <c r="W30" s="4">
        <v>0</v>
      </c>
    </row>
    <row r="31" spans="1:23" ht="11.25" customHeight="1" x14ac:dyDescent="0.3">
      <c r="A31" s="4" t="s">
        <v>21</v>
      </c>
      <c r="B31" s="4" t="s">
        <v>54</v>
      </c>
      <c r="C31" s="4" t="s">
        <v>40</v>
      </c>
      <c r="D31" s="4" t="s">
        <v>38</v>
      </c>
      <c r="E31" s="4" t="s">
        <v>25</v>
      </c>
      <c r="F31" s="4" t="s">
        <v>25</v>
      </c>
      <c r="G31" s="4" t="s">
        <v>25</v>
      </c>
      <c r="H31" s="4" t="s">
        <v>34</v>
      </c>
      <c r="I31" s="5">
        <v>44652</v>
      </c>
      <c r="J31" s="6">
        <v>3700</v>
      </c>
      <c r="K31" s="6">
        <v>3700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55</v>
      </c>
      <c r="R31" s="4">
        <v>0</v>
      </c>
      <c r="S31" s="4" t="s">
        <v>126</v>
      </c>
      <c r="U31" s="4">
        <v>16</v>
      </c>
      <c r="V31" s="4">
        <v>0</v>
      </c>
      <c r="W31" s="4">
        <v>0</v>
      </c>
    </row>
    <row r="32" spans="1:23" ht="11.25" customHeight="1" x14ac:dyDescent="0.3">
      <c r="A32" s="4" t="s">
        <v>21</v>
      </c>
      <c r="B32" s="4" t="s">
        <v>54</v>
      </c>
      <c r="C32" s="4" t="s">
        <v>40</v>
      </c>
      <c r="D32" s="4" t="s">
        <v>38</v>
      </c>
      <c r="E32" s="4" t="s">
        <v>25</v>
      </c>
      <c r="F32" s="4" t="s">
        <v>25</v>
      </c>
      <c r="G32" s="4" t="s">
        <v>25</v>
      </c>
      <c r="H32" s="4" t="s">
        <v>34</v>
      </c>
      <c r="I32" s="5">
        <v>44682</v>
      </c>
      <c r="J32" s="6">
        <v>3700</v>
      </c>
      <c r="K32" s="6">
        <v>3700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55</v>
      </c>
      <c r="R32" s="4">
        <v>0</v>
      </c>
      <c r="S32" s="4" t="s">
        <v>127</v>
      </c>
      <c r="U32" s="4">
        <v>16</v>
      </c>
      <c r="V32" s="4">
        <v>0</v>
      </c>
      <c r="W32" s="4">
        <v>0</v>
      </c>
    </row>
    <row r="33" spans="1:23" ht="11.25" customHeight="1" x14ac:dyDescent="0.3">
      <c r="A33" s="4" t="s">
        <v>21</v>
      </c>
      <c r="B33" s="4" t="s">
        <v>54</v>
      </c>
      <c r="C33" s="4" t="s">
        <v>40</v>
      </c>
      <c r="D33" s="4" t="s">
        <v>38</v>
      </c>
      <c r="E33" s="4" t="s">
        <v>25</v>
      </c>
      <c r="F33" s="4" t="s">
        <v>25</v>
      </c>
      <c r="G33" s="4" t="s">
        <v>25</v>
      </c>
      <c r="H33" s="4" t="s">
        <v>34</v>
      </c>
      <c r="I33" s="5">
        <v>44713</v>
      </c>
      <c r="J33" s="6">
        <v>3717</v>
      </c>
      <c r="K33" s="6">
        <v>3717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55</v>
      </c>
      <c r="R33" s="4">
        <v>0</v>
      </c>
      <c r="S33" s="4" t="s">
        <v>128</v>
      </c>
      <c r="U33" s="4">
        <v>16</v>
      </c>
      <c r="V33" s="4">
        <v>0</v>
      </c>
      <c r="W33" s="4">
        <v>0</v>
      </c>
    </row>
    <row r="34" spans="1:23" ht="11.25" customHeight="1" x14ac:dyDescent="0.3">
      <c r="A34" s="4" t="s">
        <v>21</v>
      </c>
      <c r="B34" s="4" t="s">
        <v>54</v>
      </c>
      <c r="C34" s="4" t="s">
        <v>40</v>
      </c>
      <c r="D34" s="4" t="s">
        <v>38</v>
      </c>
      <c r="E34" s="4" t="s">
        <v>25</v>
      </c>
      <c r="F34" s="4" t="s">
        <v>25</v>
      </c>
      <c r="G34" s="4" t="s">
        <v>25</v>
      </c>
      <c r="H34" s="4" t="s">
        <v>34</v>
      </c>
      <c r="I34" s="5">
        <v>44743</v>
      </c>
      <c r="J34" s="6">
        <v>3706</v>
      </c>
      <c r="K34" s="6">
        <v>3706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55</v>
      </c>
      <c r="R34" s="4">
        <v>0</v>
      </c>
      <c r="S34" s="4" t="s">
        <v>129</v>
      </c>
      <c r="U34" s="4">
        <v>16</v>
      </c>
      <c r="V34" s="4">
        <v>0</v>
      </c>
      <c r="W34" s="4">
        <v>0</v>
      </c>
    </row>
    <row r="35" spans="1:23" ht="11.25" customHeight="1" x14ac:dyDescent="0.3">
      <c r="A35" s="4" t="s">
        <v>21</v>
      </c>
      <c r="B35" s="4" t="s">
        <v>54</v>
      </c>
      <c r="C35" s="4" t="s">
        <v>40</v>
      </c>
      <c r="D35" s="4" t="s">
        <v>38</v>
      </c>
      <c r="E35" s="4" t="s">
        <v>25</v>
      </c>
      <c r="F35" s="4" t="s">
        <v>25</v>
      </c>
      <c r="G35" s="4" t="s">
        <v>25</v>
      </c>
      <c r="H35" s="4" t="s">
        <v>34</v>
      </c>
      <c r="I35" s="5">
        <v>44774</v>
      </c>
      <c r="J35" s="6">
        <v>3741</v>
      </c>
      <c r="K35" s="6">
        <v>3741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55</v>
      </c>
      <c r="R35" s="4">
        <v>0</v>
      </c>
      <c r="S35" s="4" t="s">
        <v>130</v>
      </c>
      <c r="U35" s="4">
        <v>16</v>
      </c>
      <c r="V35" s="4">
        <v>0</v>
      </c>
      <c r="W35" s="4">
        <v>0</v>
      </c>
    </row>
    <row r="36" spans="1:23" ht="11.25" customHeight="1" x14ac:dyDescent="0.3">
      <c r="A36" s="4" t="s">
        <v>21</v>
      </c>
      <c r="B36" s="4" t="s">
        <v>54</v>
      </c>
      <c r="C36" s="4" t="s">
        <v>40</v>
      </c>
      <c r="D36" s="4" t="s">
        <v>38</v>
      </c>
      <c r="E36" s="4" t="s">
        <v>25</v>
      </c>
      <c r="F36" s="4" t="s">
        <v>25</v>
      </c>
      <c r="G36" s="4" t="s">
        <v>25</v>
      </c>
      <c r="H36" s="4" t="s">
        <v>34</v>
      </c>
      <c r="I36" s="5">
        <v>44805</v>
      </c>
      <c r="J36" s="6">
        <v>3792</v>
      </c>
      <c r="K36" s="6">
        <v>3792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55</v>
      </c>
      <c r="R36" s="4">
        <v>0</v>
      </c>
      <c r="S36" s="4" t="s">
        <v>131</v>
      </c>
      <c r="U36" s="4">
        <v>16</v>
      </c>
      <c r="V36" s="4">
        <v>0</v>
      </c>
      <c r="W36" s="4">
        <v>0</v>
      </c>
    </row>
    <row r="37" spans="1:23" ht="11.25" customHeight="1" x14ac:dyDescent="0.3">
      <c r="A37" s="4" t="s">
        <v>53</v>
      </c>
      <c r="B37" s="4" t="s">
        <v>54</v>
      </c>
      <c r="C37" s="4" t="s">
        <v>40</v>
      </c>
      <c r="D37" s="4" t="s">
        <v>38</v>
      </c>
      <c r="E37" s="4" t="s">
        <v>25</v>
      </c>
      <c r="F37" s="4" t="s">
        <v>25</v>
      </c>
      <c r="G37" s="4" t="s">
        <v>25</v>
      </c>
      <c r="H37" s="4" t="s">
        <v>34</v>
      </c>
      <c r="I37" s="5">
        <v>44835</v>
      </c>
      <c r="J37" s="6">
        <v>3792</v>
      </c>
      <c r="K37" s="6">
        <v>3792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55</v>
      </c>
      <c r="R37" s="4">
        <v>0</v>
      </c>
      <c r="S37" s="4" t="s">
        <v>132</v>
      </c>
      <c r="U37" s="4">
        <v>16</v>
      </c>
      <c r="V37" s="4">
        <v>0</v>
      </c>
      <c r="W37" s="4">
        <v>0</v>
      </c>
    </row>
    <row r="38" spans="1:23" ht="11.25" customHeight="1" x14ac:dyDescent="0.3">
      <c r="A38" s="4" t="s">
        <v>21</v>
      </c>
      <c r="B38" s="4" t="s">
        <v>60</v>
      </c>
      <c r="C38" s="4" t="s">
        <v>57</v>
      </c>
      <c r="D38" s="4" t="s">
        <v>25</v>
      </c>
      <c r="E38" s="4" t="s">
        <v>25</v>
      </c>
      <c r="F38" s="4" t="s">
        <v>25</v>
      </c>
      <c r="G38" s="4" t="s">
        <v>61</v>
      </c>
      <c r="H38" s="4" t="s">
        <v>25</v>
      </c>
      <c r="I38" s="5">
        <v>44501</v>
      </c>
      <c r="J38" s="6">
        <v>7800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59</v>
      </c>
      <c r="R38" s="4">
        <v>27870</v>
      </c>
      <c r="S38" s="4" t="s">
        <v>133</v>
      </c>
      <c r="U38" s="4">
        <v>21</v>
      </c>
      <c r="V38" s="4">
        <v>0</v>
      </c>
      <c r="W38" s="4">
        <v>0</v>
      </c>
    </row>
    <row r="39" spans="1:23" ht="11.25" customHeight="1" x14ac:dyDescent="0.3">
      <c r="A39" s="4" t="s">
        <v>21</v>
      </c>
      <c r="B39" s="4" t="s">
        <v>60</v>
      </c>
      <c r="C39" s="4" t="s">
        <v>57</v>
      </c>
      <c r="D39" s="4" t="s">
        <v>25</v>
      </c>
      <c r="E39" s="4" t="s">
        <v>25</v>
      </c>
      <c r="F39" s="4" t="s">
        <v>25</v>
      </c>
      <c r="G39" s="4" t="s">
        <v>61</v>
      </c>
      <c r="H39" s="4" t="s">
        <v>25</v>
      </c>
      <c r="I39" s="5">
        <v>44531</v>
      </c>
      <c r="J39" s="6">
        <v>7800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59</v>
      </c>
      <c r="R39" s="4">
        <v>27870</v>
      </c>
      <c r="S39" s="4" t="s">
        <v>134</v>
      </c>
      <c r="U39" s="4">
        <v>21</v>
      </c>
      <c r="V39" s="4">
        <v>0</v>
      </c>
      <c r="W39" s="4">
        <v>0</v>
      </c>
    </row>
    <row r="40" spans="1:23" ht="11.25" customHeight="1" x14ac:dyDescent="0.3">
      <c r="A40" s="4" t="s">
        <v>21</v>
      </c>
      <c r="B40" s="4" t="s">
        <v>60</v>
      </c>
      <c r="C40" s="4" t="s">
        <v>57</v>
      </c>
      <c r="D40" s="4" t="s">
        <v>25</v>
      </c>
      <c r="E40" s="4" t="s">
        <v>25</v>
      </c>
      <c r="F40" s="4" t="s">
        <v>25</v>
      </c>
      <c r="G40" s="4" t="s">
        <v>61</v>
      </c>
      <c r="H40" s="4" t="s">
        <v>25</v>
      </c>
      <c r="I40" s="5">
        <v>44562</v>
      </c>
      <c r="J40" s="6">
        <v>7800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59</v>
      </c>
      <c r="R40" s="4">
        <v>27870</v>
      </c>
      <c r="S40" s="4" t="s">
        <v>135</v>
      </c>
      <c r="U40" s="4">
        <v>21</v>
      </c>
      <c r="V40" s="4">
        <v>0</v>
      </c>
      <c r="W40" s="4">
        <v>0</v>
      </c>
    </row>
    <row r="41" spans="1:23" ht="11.25" customHeight="1" x14ac:dyDescent="0.3">
      <c r="A41" s="4" t="s">
        <v>21</v>
      </c>
      <c r="B41" s="4" t="s">
        <v>60</v>
      </c>
      <c r="C41" s="4" t="s">
        <v>57</v>
      </c>
      <c r="D41" s="4" t="s">
        <v>25</v>
      </c>
      <c r="E41" s="4" t="s">
        <v>25</v>
      </c>
      <c r="F41" s="4" t="s">
        <v>25</v>
      </c>
      <c r="G41" s="4" t="s">
        <v>61</v>
      </c>
      <c r="H41" s="4" t="s">
        <v>25</v>
      </c>
      <c r="I41" s="5">
        <v>44593</v>
      </c>
      <c r="J41" s="6">
        <v>7800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4" t="s">
        <v>59</v>
      </c>
      <c r="R41" s="4">
        <v>27870</v>
      </c>
      <c r="S41" s="4" t="s">
        <v>136</v>
      </c>
      <c r="U41" s="4">
        <v>21</v>
      </c>
      <c r="V41" s="4">
        <v>0</v>
      </c>
      <c r="W41" s="4">
        <v>0</v>
      </c>
    </row>
    <row r="42" spans="1:23" ht="11.25" customHeight="1" x14ac:dyDescent="0.3">
      <c r="A42" s="4" t="s">
        <v>21</v>
      </c>
      <c r="B42" s="4" t="s">
        <v>60</v>
      </c>
      <c r="C42" s="4" t="s">
        <v>57</v>
      </c>
      <c r="D42" s="4" t="s">
        <v>25</v>
      </c>
      <c r="E42" s="4" t="s">
        <v>25</v>
      </c>
      <c r="F42" s="4" t="s">
        <v>25</v>
      </c>
      <c r="G42" s="4" t="s">
        <v>61</v>
      </c>
      <c r="H42" s="4" t="s">
        <v>25</v>
      </c>
      <c r="I42" s="5">
        <v>44621</v>
      </c>
      <c r="J42" s="6">
        <v>7800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4" t="s">
        <v>59</v>
      </c>
      <c r="R42" s="4">
        <v>27870</v>
      </c>
      <c r="S42" s="4" t="s">
        <v>137</v>
      </c>
      <c r="U42" s="4">
        <v>21</v>
      </c>
      <c r="V42" s="4">
        <v>0</v>
      </c>
      <c r="W42" s="4">
        <v>0</v>
      </c>
    </row>
    <row r="43" spans="1:23" ht="11.25" customHeight="1" x14ac:dyDescent="0.3">
      <c r="A43" s="4" t="s">
        <v>21</v>
      </c>
      <c r="B43" s="4" t="s">
        <v>60</v>
      </c>
      <c r="C43" s="4" t="s">
        <v>57</v>
      </c>
      <c r="D43" s="4" t="s">
        <v>25</v>
      </c>
      <c r="E43" s="4" t="s">
        <v>25</v>
      </c>
      <c r="F43" s="4" t="s">
        <v>25</v>
      </c>
      <c r="G43" s="4" t="s">
        <v>61</v>
      </c>
      <c r="H43" s="4" t="s">
        <v>25</v>
      </c>
      <c r="I43" s="5">
        <v>44652</v>
      </c>
      <c r="J43" s="6">
        <v>7800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4" t="s">
        <v>59</v>
      </c>
      <c r="R43" s="4">
        <v>27870</v>
      </c>
      <c r="S43" s="4" t="s">
        <v>138</v>
      </c>
      <c r="U43" s="4">
        <v>21</v>
      </c>
      <c r="V43" s="4">
        <v>0</v>
      </c>
      <c r="W43" s="4">
        <v>0</v>
      </c>
    </row>
    <row r="44" spans="1:23" ht="11.25" customHeight="1" x14ac:dyDescent="0.3">
      <c r="A44" s="4" t="s">
        <v>21</v>
      </c>
      <c r="B44" s="4" t="s">
        <v>60</v>
      </c>
      <c r="C44" s="4" t="s">
        <v>57</v>
      </c>
      <c r="D44" s="4" t="s">
        <v>25</v>
      </c>
      <c r="E44" s="4" t="s">
        <v>25</v>
      </c>
      <c r="F44" s="4" t="s">
        <v>25</v>
      </c>
      <c r="G44" s="4" t="s">
        <v>61</v>
      </c>
      <c r="H44" s="4" t="s">
        <v>25</v>
      </c>
      <c r="I44" s="5">
        <v>44682</v>
      </c>
      <c r="J44" s="6">
        <v>7800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4" t="s">
        <v>59</v>
      </c>
      <c r="R44" s="4">
        <v>27870</v>
      </c>
      <c r="S44" s="4" t="s">
        <v>139</v>
      </c>
      <c r="U44" s="4">
        <v>21</v>
      </c>
      <c r="V44" s="4">
        <v>0</v>
      </c>
      <c r="W44" s="4">
        <v>0</v>
      </c>
    </row>
    <row r="45" spans="1:23" ht="11.25" customHeight="1" x14ac:dyDescent="0.3">
      <c r="A45" s="4" t="s">
        <v>21</v>
      </c>
      <c r="B45" s="4" t="s">
        <v>60</v>
      </c>
      <c r="C45" s="4" t="s">
        <v>57</v>
      </c>
      <c r="D45" s="4" t="s">
        <v>25</v>
      </c>
      <c r="E45" s="4" t="s">
        <v>25</v>
      </c>
      <c r="F45" s="4" t="s">
        <v>25</v>
      </c>
      <c r="G45" s="4" t="s">
        <v>61</v>
      </c>
      <c r="H45" s="4" t="s">
        <v>25</v>
      </c>
      <c r="I45" s="5">
        <v>44713</v>
      </c>
      <c r="J45" s="6">
        <v>7800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4" t="s">
        <v>59</v>
      </c>
      <c r="R45" s="4">
        <v>27870</v>
      </c>
      <c r="S45" s="4" t="s">
        <v>140</v>
      </c>
      <c r="U45" s="4">
        <v>21</v>
      </c>
      <c r="V45" s="4">
        <v>0</v>
      </c>
      <c r="W45" s="4">
        <v>0</v>
      </c>
    </row>
    <row r="46" spans="1:23" ht="11.25" customHeight="1" x14ac:dyDescent="0.3">
      <c r="A46" s="4" t="s">
        <v>21</v>
      </c>
      <c r="B46" s="4" t="s">
        <v>60</v>
      </c>
      <c r="C46" s="4" t="s">
        <v>57</v>
      </c>
      <c r="D46" s="4" t="s">
        <v>25</v>
      </c>
      <c r="E46" s="4" t="s">
        <v>25</v>
      </c>
      <c r="F46" s="4" t="s">
        <v>25</v>
      </c>
      <c r="G46" s="4" t="s">
        <v>61</v>
      </c>
      <c r="H46" s="4" t="s">
        <v>25</v>
      </c>
      <c r="I46" s="5">
        <v>44743</v>
      </c>
      <c r="J46" s="6">
        <v>7800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4" t="s">
        <v>59</v>
      </c>
      <c r="R46" s="4">
        <v>27870</v>
      </c>
      <c r="S46" s="4" t="s">
        <v>141</v>
      </c>
      <c r="U46" s="4">
        <v>21</v>
      </c>
      <c r="V46" s="4">
        <v>0</v>
      </c>
      <c r="W46" s="4">
        <v>0</v>
      </c>
    </row>
    <row r="47" spans="1:23" ht="11.25" customHeight="1" x14ac:dyDescent="0.3">
      <c r="A47" s="4" t="s">
        <v>21</v>
      </c>
      <c r="B47" s="4" t="s">
        <v>60</v>
      </c>
      <c r="C47" s="4" t="s">
        <v>57</v>
      </c>
      <c r="D47" s="4" t="s">
        <v>25</v>
      </c>
      <c r="E47" s="4" t="s">
        <v>25</v>
      </c>
      <c r="F47" s="4" t="s">
        <v>25</v>
      </c>
      <c r="G47" s="4" t="s">
        <v>61</v>
      </c>
      <c r="H47" s="4" t="s">
        <v>25</v>
      </c>
      <c r="I47" s="5">
        <v>44774</v>
      </c>
      <c r="J47" s="6">
        <v>7800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4" t="s">
        <v>59</v>
      </c>
      <c r="R47" s="4">
        <v>27870</v>
      </c>
      <c r="S47" s="4" t="s">
        <v>142</v>
      </c>
      <c r="U47" s="4">
        <v>21</v>
      </c>
      <c r="V47" s="4">
        <v>0</v>
      </c>
      <c r="W47" s="4">
        <v>0</v>
      </c>
    </row>
    <row r="48" spans="1:23" ht="11.25" customHeight="1" x14ac:dyDescent="0.3">
      <c r="A48" s="4" t="s">
        <v>21</v>
      </c>
      <c r="B48" s="4" t="s">
        <v>60</v>
      </c>
      <c r="C48" s="4" t="s">
        <v>57</v>
      </c>
      <c r="D48" s="4" t="s">
        <v>25</v>
      </c>
      <c r="E48" s="4" t="s">
        <v>25</v>
      </c>
      <c r="F48" s="4" t="s">
        <v>25</v>
      </c>
      <c r="G48" s="4" t="s">
        <v>61</v>
      </c>
      <c r="H48" s="4" t="s">
        <v>25</v>
      </c>
      <c r="I48" s="5">
        <v>44805</v>
      </c>
      <c r="J48" s="6">
        <v>7800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4" t="s">
        <v>59</v>
      </c>
      <c r="R48" s="4">
        <v>27870</v>
      </c>
      <c r="S48" s="4" t="s">
        <v>143</v>
      </c>
      <c r="U48" s="4">
        <v>21</v>
      </c>
      <c r="V48" s="4">
        <v>0</v>
      </c>
      <c r="W48" s="4">
        <v>0</v>
      </c>
    </row>
    <row r="49" spans="1:23" ht="11.25" customHeight="1" x14ac:dyDescent="0.3">
      <c r="A49" s="4" t="s">
        <v>53</v>
      </c>
      <c r="B49" s="4" t="s">
        <v>60</v>
      </c>
      <c r="C49" s="4" t="s">
        <v>57</v>
      </c>
      <c r="D49" s="4" t="s">
        <v>25</v>
      </c>
      <c r="E49" s="4" t="s">
        <v>25</v>
      </c>
      <c r="F49" s="4" t="s">
        <v>25</v>
      </c>
      <c r="G49" s="4" t="s">
        <v>61</v>
      </c>
      <c r="H49" s="4" t="s">
        <v>25</v>
      </c>
      <c r="I49" s="5">
        <v>44835</v>
      </c>
      <c r="J49" s="6">
        <v>7800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4" t="s">
        <v>59</v>
      </c>
      <c r="R49" s="4">
        <v>27870</v>
      </c>
      <c r="S49" s="4" t="s">
        <v>144</v>
      </c>
      <c r="U49" s="4">
        <v>21</v>
      </c>
      <c r="V49" s="4">
        <v>0</v>
      </c>
      <c r="W49" s="4">
        <v>0</v>
      </c>
    </row>
    <row r="50" spans="1:23" ht="11.25" customHeight="1" x14ac:dyDescent="0.3">
      <c r="A50" s="4" t="s">
        <v>21</v>
      </c>
      <c r="B50" s="4" t="s">
        <v>39</v>
      </c>
      <c r="C50" s="4" t="s">
        <v>40</v>
      </c>
      <c r="D50" s="4" t="s">
        <v>42</v>
      </c>
      <c r="E50" s="4" t="s">
        <v>25</v>
      </c>
      <c r="F50" s="4" t="s">
        <v>25</v>
      </c>
      <c r="G50" s="4" t="s">
        <v>25</v>
      </c>
      <c r="H50" s="4" t="s">
        <v>35</v>
      </c>
      <c r="I50" s="5">
        <v>44501</v>
      </c>
      <c r="J50" s="6">
        <v>1977</v>
      </c>
      <c r="K50" s="6">
        <v>1977</v>
      </c>
      <c r="L50" s="6">
        <v>639.19299999999998</v>
      </c>
      <c r="M50" s="6">
        <v>639.19299999999998</v>
      </c>
      <c r="N50" s="6">
        <v>639.19299999999998</v>
      </c>
      <c r="O50" s="6">
        <v>639.19299999999998</v>
      </c>
      <c r="P50" s="6">
        <v>0</v>
      </c>
      <c r="Q50" s="4" t="s">
        <v>26</v>
      </c>
      <c r="R50" s="4">
        <v>0</v>
      </c>
      <c r="S50" s="4" t="s">
        <v>145</v>
      </c>
      <c r="T50" s="4" t="s">
        <v>434</v>
      </c>
      <c r="U50" s="4">
        <v>22</v>
      </c>
      <c r="V50" s="4">
        <v>12</v>
      </c>
      <c r="W50" s="4">
        <v>61</v>
      </c>
    </row>
    <row r="51" spans="1:23" ht="11.25" customHeight="1" x14ac:dyDescent="0.3">
      <c r="A51" s="4" t="s">
        <v>21</v>
      </c>
      <c r="B51" s="4" t="s">
        <v>39</v>
      </c>
      <c r="C51" s="4" t="s">
        <v>40</v>
      </c>
      <c r="D51" s="4" t="s">
        <v>42</v>
      </c>
      <c r="E51" s="4" t="s">
        <v>25</v>
      </c>
      <c r="F51" s="4" t="s">
        <v>25</v>
      </c>
      <c r="G51" s="4" t="s">
        <v>25</v>
      </c>
      <c r="H51" s="4" t="s">
        <v>35</v>
      </c>
      <c r="I51" s="5">
        <v>44531</v>
      </c>
      <c r="J51" s="6">
        <v>1979</v>
      </c>
      <c r="K51" s="6">
        <v>1979</v>
      </c>
      <c r="L51" s="6">
        <v>638.04600000000005</v>
      </c>
      <c r="M51" s="6">
        <v>638.04600000000005</v>
      </c>
      <c r="N51" s="6">
        <v>638.04600000000005</v>
      </c>
      <c r="O51" s="6">
        <v>638.04600000000005</v>
      </c>
      <c r="P51" s="6">
        <v>0</v>
      </c>
      <c r="Q51" s="4" t="s">
        <v>26</v>
      </c>
      <c r="R51" s="4">
        <v>0</v>
      </c>
      <c r="S51" s="4" t="s">
        <v>146</v>
      </c>
      <c r="T51" s="4" t="s">
        <v>435</v>
      </c>
      <c r="U51" s="4">
        <v>22</v>
      </c>
      <c r="V51" s="4">
        <v>12</v>
      </c>
      <c r="W51" s="4">
        <v>61</v>
      </c>
    </row>
    <row r="52" spans="1:23" ht="11.25" customHeight="1" x14ac:dyDescent="0.3">
      <c r="A52" s="4" t="s">
        <v>21</v>
      </c>
      <c r="B52" s="4" t="s">
        <v>39</v>
      </c>
      <c r="C52" s="4" t="s">
        <v>40</v>
      </c>
      <c r="D52" s="4" t="s">
        <v>42</v>
      </c>
      <c r="E52" s="4" t="s">
        <v>25</v>
      </c>
      <c r="F52" s="4" t="s">
        <v>25</v>
      </c>
      <c r="G52" s="4" t="s">
        <v>25</v>
      </c>
      <c r="H52" s="4" t="s">
        <v>35</v>
      </c>
      <c r="I52" s="5">
        <v>44562</v>
      </c>
      <c r="J52" s="6">
        <v>1989</v>
      </c>
      <c r="K52" s="6">
        <v>1989</v>
      </c>
      <c r="L52" s="6">
        <v>642.05899999999997</v>
      </c>
      <c r="M52" s="6">
        <v>642.05899999999997</v>
      </c>
      <c r="N52" s="6">
        <v>642.05899999999997</v>
      </c>
      <c r="O52" s="6">
        <v>642.05899999999997</v>
      </c>
      <c r="P52" s="6">
        <v>0</v>
      </c>
      <c r="Q52" s="4" t="s">
        <v>26</v>
      </c>
      <c r="R52" s="4">
        <v>0</v>
      </c>
      <c r="S52" s="4" t="s">
        <v>147</v>
      </c>
      <c r="T52" s="4" t="s">
        <v>436</v>
      </c>
      <c r="U52" s="4">
        <v>22</v>
      </c>
      <c r="V52" s="4">
        <v>12</v>
      </c>
      <c r="W52" s="4">
        <v>61</v>
      </c>
    </row>
    <row r="53" spans="1:23" ht="11.25" customHeight="1" x14ac:dyDescent="0.3">
      <c r="A53" s="4" t="s">
        <v>21</v>
      </c>
      <c r="B53" s="4" t="s">
        <v>39</v>
      </c>
      <c r="C53" s="4" t="s">
        <v>40</v>
      </c>
      <c r="D53" s="4" t="s">
        <v>42</v>
      </c>
      <c r="E53" s="4" t="s">
        <v>25</v>
      </c>
      <c r="F53" s="4" t="s">
        <v>25</v>
      </c>
      <c r="G53" s="4" t="s">
        <v>25</v>
      </c>
      <c r="H53" s="4" t="s">
        <v>35</v>
      </c>
      <c r="I53" s="5">
        <v>44593</v>
      </c>
      <c r="J53" s="6">
        <v>1968</v>
      </c>
      <c r="K53" s="6">
        <v>1968</v>
      </c>
      <c r="L53" s="6">
        <v>643.41999999999996</v>
      </c>
      <c r="M53" s="6">
        <v>643.41999999999996</v>
      </c>
      <c r="N53" s="6">
        <v>643.41999999999996</v>
      </c>
      <c r="O53" s="6">
        <v>643.41999999999996</v>
      </c>
      <c r="P53" s="6">
        <v>0</v>
      </c>
      <c r="Q53" s="4" t="s">
        <v>26</v>
      </c>
      <c r="R53" s="4">
        <v>0</v>
      </c>
      <c r="S53" s="4" t="s">
        <v>148</v>
      </c>
      <c r="T53" s="4" t="s">
        <v>437</v>
      </c>
      <c r="U53" s="4">
        <v>22</v>
      </c>
      <c r="V53" s="4">
        <v>12</v>
      </c>
      <c r="W53" s="4">
        <v>61</v>
      </c>
    </row>
    <row r="54" spans="1:23" ht="11.25" customHeight="1" x14ac:dyDescent="0.3">
      <c r="A54" s="4" t="s">
        <v>21</v>
      </c>
      <c r="B54" s="4" t="s">
        <v>39</v>
      </c>
      <c r="C54" s="4" t="s">
        <v>40</v>
      </c>
      <c r="D54" s="4" t="s">
        <v>42</v>
      </c>
      <c r="E54" s="4" t="s">
        <v>25</v>
      </c>
      <c r="F54" s="4" t="s">
        <v>25</v>
      </c>
      <c r="G54" s="4" t="s">
        <v>25</v>
      </c>
      <c r="H54" s="4" t="s">
        <v>35</v>
      </c>
      <c r="I54" s="5">
        <v>44621</v>
      </c>
      <c r="J54" s="6">
        <v>1991</v>
      </c>
      <c r="K54" s="6">
        <v>1991</v>
      </c>
      <c r="L54" s="6">
        <v>601.35699999999997</v>
      </c>
      <c r="M54" s="6">
        <v>601.35699999999997</v>
      </c>
      <c r="N54" s="6">
        <v>601.35699999999997</v>
      </c>
      <c r="O54" s="6">
        <v>601.35699999999997</v>
      </c>
      <c r="P54" s="6">
        <v>0</v>
      </c>
      <c r="Q54" s="4" t="s">
        <v>26</v>
      </c>
      <c r="R54" s="4">
        <v>0</v>
      </c>
      <c r="S54" s="4" t="s">
        <v>149</v>
      </c>
      <c r="T54" s="4" t="s">
        <v>438</v>
      </c>
      <c r="U54" s="4">
        <v>22</v>
      </c>
      <c r="V54" s="4">
        <v>12</v>
      </c>
      <c r="W54" s="4">
        <v>61</v>
      </c>
    </row>
    <row r="55" spans="1:23" ht="11.25" customHeight="1" x14ac:dyDescent="0.3">
      <c r="A55" s="4" t="s">
        <v>21</v>
      </c>
      <c r="B55" s="4" t="s">
        <v>39</v>
      </c>
      <c r="C55" s="4" t="s">
        <v>40</v>
      </c>
      <c r="D55" s="4" t="s">
        <v>42</v>
      </c>
      <c r="E55" s="4" t="s">
        <v>25</v>
      </c>
      <c r="F55" s="4" t="s">
        <v>25</v>
      </c>
      <c r="G55" s="4" t="s">
        <v>25</v>
      </c>
      <c r="H55" s="4" t="s">
        <v>35</v>
      </c>
      <c r="I55" s="5">
        <v>44652</v>
      </c>
      <c r="J55" s="6">
        <v>2006</v>
      </c>
      <c r="K55" s="6">
        <v>2006</v>
      </c>
      <c r="L55" s="6">
        <v>688.48900000000003</v>
      </c>
      <c r="M55" s="6">
        <v>688.48900000000003</v>
      </c>
      <c r="N55" s="6">
        <v>688.48900000000003</v>
      </c>
      <c r="O55" s="6">
        <v>688.48900000000003</v>
      </c>
      <c r="P55" s="6">
        <v>0</v>
      </c>
      <c r="Q55" s="4" t="s">
        <v>26</v>
      </c>
      <c r="R55" s="4">
        <v>0</v>
      </c>
      <c r="S55" s="4" t="s">
        <v>150</v>
      </c>
      <c r="T55" s="4" t="s">
        <v>439</v>
      </c>
      <c r="U55" s="4">
        <v>22</v>
      </c>
      <c r="V55" s="4">
        <v>12</v>
      </c>
      <c r="W55" s="4">
        <v>61</v>
      </c>
    </row>
    <row r="56" spans="1:23" ht="11.25" customHeight="1" x14ac:dyDescent="0.3">
      <c r="A56" s="4" t="s">
        <v>21</v>
      </c>
      <c r="B56" s="4" t="s">
        <v>39</v>
      </c>
      <c r="C56" s="4" t="s">
        <v>40</v>
      </c>
      <c r="D56" s="4" t="s">
        <v>42</v>
      </c>
      <c r="E56" s="4" t="s">
        <v>25</v>
      </c>
      <c r="F56" s="4" t="s">
        <v>25</v>
      </c>
      <c r="G56" s="4" t="s">
        <v>25</v>
      </c>
      <c r="H56" s="4" t="s">
        <v>35</v>
      </c>
      <c r="I56" s="5">
        <v>44682</v>
      </c>
      <c r="J56" s="6">
        <v>1992</v>
      </c>
      <c r="K56" s="6">
        <v>1992</v>
      </c>
      <c r="L56" s="6">
        <v>635.53399999999999</v>
      </c>
      <c r="M56" s="6">
        <v>635.53399999999999</v>
      </c>
      <c r="N56" s="6">
        <v>635.53399999999999</v>
      </c>
      <c r="O56" s="6">
        <v>635.53399999999999</v>
      </c>
      <c r="P56" s="6">
        <v>0</v>
      </c>
      <c r="Q56" s="4" t="s">
        <v>26</v>
      </c>
      <c r="R56" s="4">
        <v>0</v>
      </c>
      <c r="S56" s="4" t="s">
        <v>151</v>
      </c>
      <c r="T56" s="4" t="s">
        <v>440</v>
      </c>
      <c r="U56" s="4">
        <v>22</v>
      </c>
      <c r="V56" s="4">
        <v>12</v>
      </c>
      <c r="W56" s="4">
        <v>61</v>
      </c>
    </row>
    <row r="57" spans="1:23" ht="11.25" customHeight="1" x14ac:dyDescent="0.3">
      <c r="A57" s="4" t="s">
        <v>21</v>
      </c>
      <c r="B57" s="4" t="s">
        <v>39</v>
      </c>
      <c r="C57" s="4" t="s">
        <v>40</v>
      </c>
      <c r="D57" s="4" t="s">
        <v>42</v>
      </c>
      <c r="E57" s="4" t="s">
        <v>25</v>
      </c>
      <c r="F57" s="4" t="s">
        <v>25</v>
      </c>
      <c r="G57" s="4" t="s">
        <v>25</v>
      </c>
      <c r="H57" s="4" t="s">
        <v>35</v>
      </c>
      <c r="I57" s="5">
        <v>44713</v>
      </c>
      <c r="J57" s="6">
        <v>1976</v>
      </c>
      <c r="K57" s="6">
        <v>1976</v>
      </c>
      <c r="L57" s="6">
        <v>608.31899999999996</v>
      </c>
      <c r="M57" s="6">
        <v>608.31899999999996</v>
      </c>
      <c r="N57" s="6">
        <v>608.31899999999996</v>
      </c>
      <c r="O57" s="6">
        <v>608.31899999999996</v>
      </c>
      <c r="P57" s="6">
        <v>0</v>
      </c>
      <c r="Q57" s="4" t="s">
        <v>26</v>
      </c>
      <c r="R57" s="4">
        <v>0</v>
      </c>
      <c r="S57" s="4" t="s">
        <v>152</v>
      </c>
      <c r="T57" s="4" t="s">
        <v>441</v>
      </c>
      <c r="U57" s="4">
        <v>22</v>
      </c>
      <c r="V57" s="4">
        <v>12</v>
      </c>
      <c r="W57" s="4">
        <v>61</v>
      </c>
    </row>
    <row r="58" spans="1:23" ht="11.25" customHeight="1" x14ac:dyDescent="0.3">
      <c r="A58" s="4" t="s">
        <v>21</v>
      </c>
      <c r="B58" s="4" t="s">
        <v>39</v>
      </c>
      <c r="C58" s="4" t="s">
        <v>40</v>
      </c>
      <c r="D58" s="4" t="s">
        <v>42</v>
      </c>
      <c r="E58" s="4" t="s">
        <v>25</v>
      </c>
      <c r="F58" s="4" t="s">
        <v>25</v>
      </c>
      <c r="G58" s="4" t="s">
        <v>25</v>
      </c>
      <c r="H58" s="4" t="s">
        <v>35</v>
      </c>
      <c r="I58" s="5">
        <v>44743</v>
      </c>
      <c r="J58" s="6">
        <v>1962</v>
      </c>
      <c r="K58" s="6">
        <v>1962</v>
      </c>
      <c r="L58" s="6">
        <v>582.47299999999996</v>
      </c>
      <c r="M58" s="6">
        <v>582.47299999999996</v>
      </c>
      <c r="N58" s="6">
        <v>582.47299999999996</v>
      </c>
      <c r="O58" s="6">
        <v>582.47299999999996</v>
      </c>
      <c r="P58" s="6">
        <v>0</v>
      </c>
      <c r="Q58" s="4" t="s">
        <v>26</v>
      </c>
      <c r="R58" s="4">
        <v>0</v>
      </c>
      <c r="S58" s="4" t="s">
        <v>153</v>
      </c>
      <c r="T58" s="4" t="s">
        <v>442</v>
      </c>
      <c r="U58" s="4">
        <v>22</v>
      </c>
      <c r="V58" s="4">
        <v>12</v>
      </c>
      <c r="W58" s="4">
        <v>61</v>
      </c>
    </row>
    <row r="59" spans="1:23" ht="11.25" customHeight="1" x14ac:dyDescent="0.3">
      <c r="A59" s="4" t="s">
        <v>21</v>
      </c>
      <c r="B59" s="4" t="s">
        <v>39</v>
      </c>
      <c r="C59" s="4" t="s">
        <v>40</v>
      </c>
      <c r="D59" s="4" t="s">
        <v>42</v>
      </c>
      <c r="E59" s="4" t="s">
        <v>25</v>
      </c>
      <c r="F59" s="4" t="s">
        <v>25</v>
      </c>
      <c r="G59" s="4" t="s">
        <v>25</v>
      </c>
      <c r="H59" s="4" t="s">
        <v>35</v>
      </c>
      <c r="I59" s="5">
        <v>44774</v>
      </c>
      <c r="J59" s="6">
        <v>1958</v>
      </c>
      <c r="K59" s="6">
        <v>1958</v>
      </c>
      <c r="L59" s="6">
        <v>615.88</v>
      </c>
      <c r="M59" s="6">
        <v>615.88</v>
      </c>
      <c r="N59" s="6">
        <v>615.88</v>
      </c>
      <c r="O59" s="6">
        <v>615.88</v>
      </c>
      <c r="P59" s="6">
        <v>0</v>
      </c>
      <c r="Q59" s="4" t="s">
        <v>26</v>
      </c>
      <c r="R59" s="4">
        <v>0</v>
      </c>
      <c r="S59" s="4" t="s">
        <v>154</v>
      </c>
      <c r="T59" s="4" t="s">
        <v>443</v>
      </c>
      <c r="U59" s="4">
        <v>22</v>
      </c>
      <c r="V59" s="4">
        <v>12</v>
      </c>
      <c r="W59" s="4">
        <v>61</v>
      </c>
    </row>
    <row r="60" spans="1:23" ht="11.25" customHeight="1" x14ac:dyDescent="0.3">
      <c r="A60" s="4" t="s">
        <v>21</v>
      </c>
      <c r="B60" s="4" t="s">
        <v>39</v>
      </c>
      <c r="C60" s="4" t="s">
        <v>40</v>
      </c>
      <c r="D60" s="4" t="s">
        <v>42</v>
      </c>
      <c r="E60" s="4" t="s">
        <v>25</v>
      </c>
      <c r="F60" s="4" t="s">
        <v>25</v>
      </c>
      <c r="G60" s="4" t="s">
        <v>25</v>
      </c>
      <c r="H60" s="4" t="s">
        <v>35</v>
      </c>
      <c r="I60" s="5">
        <v>44805</v>
      </c>
      <c r="J60" s="6">
        <v>1971</v>
      </c>
      <c r="K60" s="6">
        <v>1971</v>
      </c>
      <c r="L60" s="6">
        <v>597.37</v>
      </c>
      <c r="M60" s="6">
        <v>597.37</v>
      </c>
      <c r="N60" s="6">
        <v>597.37</v>
      </c>
      <c r="O60" s="6">
        <v>597.37</v>
      </c>
      <c r="P60" s="6">
        <v>0</v>
      </c>
      <c r="Q60" s="4" t="s">
        <v>26</v>
      </c>
      <c r="R60" s="4">
        <v>0</v>
      </c>
      <c r="S60" s="4" t="s">
        <v>155</v>
      </c>
      <c r="T60" s="4" t="s">
        <v>444</v>
      </c>
      <c r="U60" s="4">
        <v>22</v>
      </c>
      <c r="V60" s="4">
        <v>12</v>
      </c>
      <c r="W60" s="4">
        <v>61</v>
      </c>
    </row>
    <row r="61" spans="1:23" ht="11.25" customHeight="1" x14ac:dyDescent="0.3">
      <c r="A61" s="4" t="s">
        <v>53</v>
      </c>
      <c r="B61" s="4" t="s">
        <v>39</v>
      </c>
      <c r="C61" s="4" t="s">
        <v>40</v>
      </c>
      <c r="D61" s="4" t="s">
        <v>42</v>
      </c>
      <c r="E61" s="4" t="s">
        <v>25</v>
      </c>
      <c r="F61" s="4" t="s">
        <v>25</v>
      </c>
      <c r="G61" s="4" t="s">
        <v>25</v>
      </c>
      <c r="H61" s="4" t="s">
        <v>35</v>
      </c>
      <c r="I61" s="5">
        <v>44835</v>
      </c>
      <c r="J61" s="6">
        <v>1971</v>
      </c>
      <c r="K61" s="6">
        <v>1971</v>
      </c>
      <c r="L61" s="6">
        <v>597.37</v>
      </c>
      <c r="M61" s="6">
        <v>597.37</v>
      </c>
      <c r="N61" s="6">
        <v>597.37</v>
      </c>
      <c r="O61" s="6">
        <v>597.37</v>
      </c>
      <c r="P61" s="6">
        <v>0</v>
      </c>
      <c r="Q61" s="4" t="s">
        <v>26</v>
      </c>
      <c r="R61" s="4">
        <v>0</v>
      </c>
      <c r="S61" s="4" t="s">
        <v>156</v>
      </c>
      <c r="T61" s="4" t="s">
        <v>445</v>
      </c>
      <c r="U61" s="4">
        <v>22</v>
      </c>
      <c r="V61" s="4">
        <v>12</v>
      </c>
      <c r="W61" s="4">
        <v>61</v>
      </c>
    </row>
    <row r="62" spans="1:23" ht="11.25" customHeight="1" x14ac:dyDescent="0.3">
      <c r="A62" s="4" t="s">
        <v>21</v>
      </c>
      <c r="B62" s="4" t="s">
        <v>39</v>
      </c>
      <c r="C62" s="4" t="s">
        <v>40</v>
      </c>
      <c r="D62" s="4" t="s">
        <v>42</v>
      </c>
      <c r="E62" s="4" t="s">
        <v>25</v>
      </c>
      <c r="F62" s="4" t="s">
        <v>25</v>
      </c>
      <c r="G62" s="4" t="s">
        <v>25</v>
      </c>
      <c r="H62" s="4" t="s">
        <v>34</v>
      </c>
      <c r="I62" s="5">
        <v>44501</v>
      </c>
      <c r="J62" s="6">
        <v>1903</v>
      </c>
      <c r="K62" s="6">
        <v>1903</v>
      </c>
      <c r="L62" s="6">
        <v>65.144999999999996</v>
      </c>
      <c r="M62" s="6">
        <v>65.144999999999996</v>
      </c>
      <c r="N62" s="6">
        <v>65.144999999999996</v>
      </c>
      <c r="O62" s="6">
        <v>65.144999999999996</v>
      </c>
      <c r="P62" s="6">
        <v>0</v>
      </c>
      <c r="Q62" s="4" t="s">
        <v>26</v>
      </c>
      <c r="R62" s="4">
        <v>0</v>
      </c>
      <c r="S62" s="4" t="s">
        <v>157</v>
      </c>
      <c r="T62" s="4" t="s">
        <v>446</v>
      </c>
      <c r="U62" s="4">
        <v>9</v>
      </c>
      <c r="V62" s="4">
        <v>12</v>
      </c>
      <c r="W62" s="4">
        <v>38</v>
      </c>
    </row>
    <row r="63" spans="1:23" ht="11.25" customHeight="1" x14ac:dyDescent="0.3">
      <c r="A63" s="4" t="s">
        <v>21</v>
      </c>
      <c r="B63" s="4" t="s">
        <v>39</v>
      </c>
      <c r="C63" s="4" t="s">
        <v>40</v>
      </c>
      <c r="D63" s="4" t="s">
        <v>42</v>
      </c>
      <c r="E63" s="4" t="s">
        <v>25</v>
      </c>
      <c r="F63" s="4" t="s">
        <v>25</v>
      </c>
      <c r="G63" s="4" t="s">
        <v>25</v>
      </c>
      <c r="H63" s="4" t="s">
        <v>34</v>
      </c>
      <c r="I63" s="5">
        <v>44531</v>
      </c>
      <c r="J63" s="6">
        <v>1921</v>
      </c>
      <c r="K63" s="6">
        <v>1921</v>
      </c>
      <c r="L63" s="6">
        <v>68.108999999999995</v>
      </c>
      <c r="M63" s="6">
        <v>68.108999999999995</v>
      </c>
      <c r="N63" s="6">
        <v>68.108999999999995</v>
      </c>
      <c r="O63" s="6">
        <v>68.108999999999995</v>
      </c>
      <c r="P63" s="6">
        <v>0</v>
      </c>
      <c r="Q63" s="4" t="s">
        <v>26</v>
      </c>
      <c r="R63" s="4">
        <v>0</v>
      </c>
      <c r="S63" s="4" t="s">
        <v>158</v>
      </c>
      <c r="T63" s="4" t="s">
        <v>447</v>
      </c>
      <c r="U63" s="4">
        <v>9</v>
      </c>
      <c r="V63" s="4">
        <v>12</v>
      </c>
      <c r="W63" s="4">
        <v>38</v>
      </c>
    </row>
    <row r="64" spans="1:23" ht="11.25" customHeight="1" x14ac:dyDescent="0.3">
      <c r="A64" s="4" t="s">
        <v>21</v>
      </c>
      <c r="B64" s="4" t="s">
        <v>39</v>
      </c>
      <c r="C64" s="4" t="s">
        <v>40</v>
      </c>
      <c r="D64" s="4" t="s">
        <v>42</v>
      </c>
      <c r="E64" s="4" t="s">
        <v>25</v>
      </c>
      <c r="F64" s="4" t="s">
        <v>25</v>
      </c>
      <c r="G64" s="4" t="s">
        <v>25</v>
      </c>
      <c r="H64" s="4" t="s">
        <v>34</v>
      </c>
      <c r="I64" s="5">
        <v>44562</v>
      </c>
      <c r="J64" s="6">
        <v>1924</v>
      </c>
      <c r="K64" s="6">
        <v>1924</v>
      </c>
      <c r="L64" s="6">
        <v>74.656000000000006</v>
      </c>
      <c r="M64" s="6">
        <v>74.656000000000006</v>
      </c>
      <c r="N64" s="6">
        <v>74.656000000000006</v>
      </c>
      <c r="O64" s="6">
        <v>74.656000000000006</v>
      </c>
      <c r="P64" s="6">
        <v>0</v>
      </c>
      <c r="Q64" s="4" t="s">
        <v>26</v>
      </c>
      <c r="R64" s="4">
        <v>0</v>
      </c>
      <c r="S64" s="4" t="s">
        <v>159</v>
      </c>
      <c r="T64" s="4" t="s">
        <v>448</v>
      </c>
      <c r="U64" s="4">
        <v>9</v>
      </c>
      <c r="V64" s="4">
        <v>12</v>
      </c>
      <c r="W64" s="4">
        <v>38</v>
      </c>
    </row>
    <row r="65" spans="1:23" ht="11.25" customHeight="1" x14ac:dyDescent="0.3">
      <c r="A65" s="4" t="s">
        <v>21</v>
      </c>
      <c r="B65" s="4" t="s">
        <v>39</v>
      </c>
      <c r="C65" s="4" t="s">
        <v>40</v>
      </c>
      <c r="D65" s="4" t="s">
        <v>42</v>
      </c>
      <c r="E65" s="4" t="s">
        <v>25</v>
      </c>
      <c r="F65" s="4" t="s">
        <v>25</v>
      </c>
      <c r="G65" s="4" t="s">
        <v>25</v>
      </c>
      <c r="H65" s="4" t="s">
        <v>34</v>
      </c>
      <c r="I65" s="5">
        <v>44593</v>
      </c>
      <c r="J65" s="6">
        <v>1913</v>
      </c>
      <c r="K65" s="6">
        <v>1913</v>
      </c>
      <c r="L65" s="6">
        <v>69.715000000000003</v>
      </c>
      <c r="M65" s="6">
        <v>69.715000000000003</v>
      </c>
      <c r="N65" s="6">
        <v>69.715000000000003</v>
      </c>
      <c r="O65" s="6">
        <v>69.715000000000003</v>
      </c>
      <c r="P65" s="6">
        <v>0</v>
      </c>
      <c r="Q65" s="4" t="s">
        <v>26</v>
      </c>
      <c r="R65" s="4">
        <v>0</v>
      </c>
      <c r="S65" s="4" t="s">
        <v>160</v>
      </c>
      <c r="T65" s="4" t="s">
        <v>449</v>
      </c>
      <c r="U65" s="4">
        <v>9</v>
      </c>
      <c r="V65" s="4">
        <v>12</v>
      </c>
      <c r="W65" s="4">
        <v>38</v>
      </c>
    </row>
    <row r="66" spans="1:23" ht="11.25" customHeight="1" x14ac:dyDescent="0.3">
      <c r="A66" s="4" t="s">
        <v>21</v>
      </c>
      <c r="B66" s="4" t="s">
        <v>39</v>
      </c>
      <c r="C66" s="4" t="s">
        <v>40</v>
      </c>
      <c r="D66" s="4" t="s">
        <v>42</v>
      </c>
      <c r="E66" s="4" t="s">
        <v>25</v>
      </c>
      <c r="F66" s="4" t="s">
        <v>25</v>
      </c>
      <c r="G66" s="4" t="s">
        <v>25</v>
      </c>
      <c r="H66" s="4" t="s">
        <v>34</v>
      </c>
      <c r="I66" s="5">
        <v>44621</v>
      </c>
      <c r="J66" s="6">
        <v>1917</v>
      </c>
      <c r="K66" s="6">
        <v>1917</v>
      </c>
      <c r="L66" s="6">
        <v>68.382999999999996</v>
      </c>
      <c r="M66" s="6">
        <v>68.382999999999996</v>
      </c>
      <c r="N66" s="6">
        <v>68.382999999999996</v>
      </c>
      <c r="O66" s="6">
        <v>68.382999999999996</v>
      </c>
      <c r="P66" s="6">
        <v>0</v>
      </c>
      <c r="Q66" s="4" t="s">
        <v>26</v>
      </c>
      <c r="R66" s="4">
        <v>0</v>
      </c>
      <c r="S66" s="4" t="s">
        <v>161</v>
      </c>
      <c r="T66" s="4" t="s">
        <v>450</v>
      </c>
      <c r="U66" s="4">
        <v>9</v>
      </c>
      <c r="V66" s="4">
        <v>12</v>
      </c>
      <c r="W66" s="4">
        <v>38</v>
      </c>
    </row>
    <row r="67" spans="1:23" ht="11.25" customHeight="1" x14ac:dyDescent="0.3">
      <c r="A67" s="4" t="s">
        <v>21</v>
      </c>
      <c r="B67" s="4" t="s">
        <v>39</v>
      </c>
      <c r="C67" s="4" t="s">
        <v>40</v>
      </c>
      <c r="D67" s="4" t="s">
        <v>42</v>
      </c>
      <c r="E67" s="4" t="s">
        <v>25</v>
      </c>
      <c r="F67" s="4" t="s">
        <v>25</v>
      </c>
      <c r="G67" s="4" t="s">
        <v>25</v>
      </c>
      <c r="H67" s="4" t="s">
        <v>34</v>
      </c>
      <c r="I67" s="5">
        <v>44652</v>
      </c>
      <c r="J67" s="6">
        <v>1936</v>
      </c>
      <c r="K67" s="6">
        <v>1936</v>
      </c>
      <c r="L67" s="6">
        <v>79.56</v>
      </c>
      <c r="M67" s="6">
        <v>79.56</v>
      </c>
      <c r="N67" s="6">
        <v>79.56</v>
      </c>
      <c r="O67" s="6">
        <v>79.56</v>
      </c>
      <c r="P67" s="6">
        <v>0</v>
      </c>
      <c r="Q67" s="4" t="s">
        <v>26</v>
      </c>
      <c r="R67" s="4">
        <v>0</v>
      </c>
      <c r="S67" s="4" t="s">
        <v>162</v>
      </c>
      <c r="T67" s="4" t="s">
        <v>451</v>
      </c>
      <c r="U67" s="4">
        <v>9</v>
      </c>
      <c r="V67" s="4">
        <v>12</v>
      </c>
      <c r="W67" s="4">
        <v>38</v>
      </c>
    </row>
    <row r="68" spans="1:23" ht="11.25" customHeight="1" x14ac:dyDescent="0.3">
      <c r="A68" s="4" t="s">
        <v>21</v>
      </c>
      <c r="B68" s="4" t="s">
        <v>39</v>
      </c>
      <c r="C68" s="4" t="s">
        <v>40</v>
      </c>
      <c r="D68" s="4" t="s">
        <v>42</v>
      </c>
      <c r="E68" s="4" t="s">
        <v>25</v>
      </c>
      <c r="F68" s="4" t="s">
        <v>25</v>
      </c>
      <c r="G68" s="4" t="s">
        <v>25</v>
      </c>
      <c r="H68" s="4" t="s">
        <v>34</v>
      </c>
      <c r="I68" s="5">
        <v>44682</v>
      </c>
      <c r="J68" s="6">
        <v>1931</v>
      </c>
      <c r="K68" s="6">
        <v>1931</v>
      </c>
      <c r="L68" s="6">
        <v>67.19</v>
      </c>
      <c r="M68" s="6">
        <v>67.19</v>
      </c>
      <c r="N68" s="6">
        <v>67.19</v>
      </c>
      <c r="O68" s="6">
        <v>67.19</v>
      </c>
      <c r="P68" s="6">
        <v>0</v>
      </c>
      <c r="Q68" s="4" t="s">
        <v>26</v>
      </c>
      <c r="R68" s="4">
        <v>0</v>
      </c>
      <c r="S68" s="4" t="s">
        <v>163</v>
      </c>
      <c r="T68" s="4" t="s">
        <v>452</v>
      </c>
      <c r="U68" s="4">
        <v>9</v>
      </c>
      <c r="V68" s="4">
        <v>12</v>
      </c>
      <c r="W68" s="4">
        <v>38</v>
      </c>
    </row>
    <row r="69" spans="1:23" ht="11.25" customHeight="1" x14ac:dyDescent="0.3">
      <c r="A69" s="4" t="s">
        <v>21</v>
      </c>
      <c r="B69" s="4" t="s">
        <v>39</v>
      </c>
      <c r="C69" s="4" t="s">
        <v>40</v>
      </c>
      <c r="D69" s="4" t="s">
        <v>42</v>
      </c>
      <c r="E69" s="4" t="s">
        <v>25</v>
      </c>
      <c r="F69" s="4" t="s">
        <v>25</v>
      </c>
      <c r="G69" s="4" t="s">
        <v>25</v>
      </c>
      <c r="H69" s="4" t="s">
        <v>34</v>
      </c>
      <c r="I69" s="5">
        <v>44713</v>
      </c>
      <c r="J69" s="6">
        <v>1920</v>
      </c>
      <c r="K69" s="6">
        <v>1920</v>
      </c>
      <c r="L69" s="6">
        <v>70.957999999999998</v>
      </c>
      <c r="M69" s="6">
        <v>70.957999999999998</v>
      </c>
      <c r="N69" s="6">
        <v>70.957999999999998</v>
      </c>
      <c r="O69" s="6">
        <v>70.957999999999998</v>
      </c>
      <c r="P69" s="6">
        <v>0</v>
      </c>
      <c r="Q69" s="4" t="s">
        <v>26</v>
      </c>
      <c r="R69" s="4">
        <v>0</v>
      </c>
      <c r="S69" s="4" t="s">
        <v>164</v>
      </c>
      <c r="T69" s="4" t="s">
        <v>453</v>
      </c>
      <c r="U69" s="4">
        <v>9</v>
      </c>
      <c r="V69" s="4">
        <v>12</v>
      </c>
      <c r="W69" s="4">
        <v>38</v>
      </c>
    </row>
    <row r="70" spans="1:23" ht="11.25" customHeight="1" x14ac:dyDescent="0.3">
      <c r="A70" s="4" t="s">
        <v>21</v>
      </c>
      <c r="B70" s="4" t="s">
        <v>39</v>
      </c>
      <c r="C70" s="4" t="s">
        <v>40</v>
      </c>
      <c r="D70" s="4" t="s">
        <v>42</v>
      </c>
      <c r="E70" s="4" t="s">
        <v>25</v>
      </c>
      <c r="F70" s="4" t="s">
        <v>25</v>
      </c>
      <c r="G70" s="4" t="s">
        <v>25</v>
      </c>
      <c r="H70" s="4" t="s">
        <v>34</v>
      </c>
      <c r="I70" s="5">
        <v>44743</v>
      </c>
      <c r="J70" s="6">
        <v>1910</v>
      </c>
      <c r="K70" s="6">
        <v>1910</v>
      </c>
      <c r="L70" s="6">
        <v>68.605999999999995</v>
      </c>
      <c r="M70" s="6">
        <v>68.605999999999995</v>
      </c>
      <c r="N70" s="6">
        <v>68.605999999999995</v>
      </c>
      <c r="O70" s="6">
        <v>68.605999999999995</v>
      </c>
      <c r="P70" s="6">
        <v>0</v>
      </c>
      <c r="Q70" s="4" t="s">
        <v>26</v>
      </c>
      <c r="R70" s="4">
        <v>0</v>
      </c>
      <c r="S70" s="4" t="s">
        <v>165</v>
      </c>
      <c r="T70" s="4" t="s">
        <v>454</v>
      </c>
      <c r="U70" s="4">
        <v>9</v>
      </c>
      <c r="V70" s="4">
        <v>12</v>
      </c>
      <c r="W70" s="4">
        <v>38</v>
      </c>
    </row>
    <row r="71" spans="1:23" ht="11.25" customHeight="1" x14ac:dyDescent="0.3">
      <c r="A71" s="4" t="s">
        <v>21</v>
      </c>
      <c r="B71" s="4" t="s">
        <v>39</v>
      </c>
      <c r="C71" s="4" t="s">
        <v>40</v>
      </c>
      <c r="D71" s="4" t="s">
        <v>42</v>
      </c>
      <c r="E71" s="4" t="s">
        <v>25</v>
      </c>
      <c r="F71" s="4" t="s">
        <v>25</v>
      </c>
      <c r="G71" s="4" t="s">
        <v>25</v>
      </c>
      <c r="H71" s="4" t="s">
        <v>34</v>
      </c>
      <c r="I71" s="5">
        <v>44774</v>
      </c>
      <c r="J71" s="6">
        <v>1895</v>
      </c>
      <c r="K71" s="6">
        <v>1895</v>
      </c>
      <c r="L71" s="6">
        <v>66.989999999999995</v>
      </c>
      <c r="M71" s="6">
        <v>66.989999999999995</v>
      </c>
      <c r="N71" s="6">
        <v>66.989999999999995</v>
      </c>
      <c r="O71" s="6">
        <v>66.989999999999995</v>
      </c>
      <c r="P71" s="6">
        <v>0</v>
      </c>
      <c r="Q71" s="4" t="s">
        <v>26</v>
      </c>
      <c r="R71" s="4">
        <v>0</v>
      </c>
      <c r="S71" s="4" t="s">
        <v>166</v>
      </c>
      <c r="T71" s="4" t="s">
        <v>455</v>
      </c>
      <c r="U71" s="4">
        <v>9</v>
      </c>
      <c r="V71" s="4">
        <v>12</v>
      </c>
      <c r="W71" s="4">
        <v>38</v>
      </c>
    </row>
    <row r="72" spans="1:23" ht="11.25" customHeight="1" x14ac:dyDescent="0.3">
      <c r="A72" s="4" t="s">
        <v>21</v>
      </c>
      <c r="B72" s="4" t="s">
        <v>39</v>
      </c>
      <c r="C72" s="4" t="s">
        <v>40</v>
      </c>
      <c r="D72" s="4" t="s">
        <v>42</v>
      </c>
      <c r="E72" s="4" t="s">
        <v>25</v>
      </c>
      <c r="F72" s="4" t="s">
        <v>25</v>
      </c>
      <c r="G72" s="4" t="s">
        <v>25</v>
      </c>
      <c r="H72" s="4" t="s">
        <v>34</v>
      </c>
      <c r="I72" s="5">
        <v>44805</v>
      </c>
      <c r="J72" s="6">
        <v>1905</v>
      </c>
      <c r="K72" s="6">
        <v>1905</v>
      </c>
      <c r="L72" s="6">
        <v>70.778999999999996</v>
      </c>
      <c r="M72" s="6">
        <v>70.778999999999996</v>
      </c>
      <c r="N72" s="6">
        <v>70.778999999999996</v>
      </c>
      <c r="O72" s="6">
        <v>70.778999999999996</v>
      </c>
      <c r="P72" s="6">
        <v>0</v>
      </c>
      <c r="Q72" s="4" t="s">
        <v>26</v>
      </c>
      <c r="R72" s="4">
        <v>0</v>
      </c>
      <c r="S72" s="4" t="s">
        <v>167</v>
      </c>
      <c r="T72" s="4" t="s">
        <v>456</v>
      </c>
      <c r="U72" s="4">
        <v>9</v>
      </c>
      <c r="V72" s="4">
        <v>12</v>
      </c>
      <c r="W72" s="4">
        <v>38</v>
      </c>
    </row>
    <row r="73" spans="1:23" ht="11.25" customHeight="1" x14ac:dyDescent="0.3">
      <c r="A73" s="4" t="s">
        <v>53</v>
      </c>
      <c r="B73" s="4" t="s">
        <v>39</v>
      </c>
      <c r="C73" s="4" t="s">
        <v>40</v>
      </c>
      <c r="D73" s="4" t="s">
        <v>42</v>
      </c>
      <c r="E73" s="4" t="s">
        <v>25</v>
      </c>
      <c r="F73" s="4" t="s">
        <v>25</v>
      </c>
      <c r="G73" s="4" t="s">
        <v>25</v>
      </c>
      <c r="H73" s="4" t="s">
        <v>34</v>
      </c>
      <c r="I73" s="5">
        <v>44835</v>
      </c>
      <c r="J73" s="6">
        <v>1905</v>
      </c>
      <c r="K73" s="6">
        <v>1905</v>
      </c>
      <c r="L73" s="6">
        <v>70.778999999999996</v>
      </c>
      <c r="M73" s="6">
        <v>70.778999999999996</v>
      </c>
      <c r="N73" s="6">
        <v>70.778999999999996</v>
      </c>
      <c r="O73" s="6">
        <v>70.778999999999996</v>
      </c>
      <c r="P73" s="6">
        <v>0</v>
      </c>
      <c r="Q73" s="4" t="s">
        <v>26</v>
      </c>
      <c r="R73" s="4">
        <v>0</v>
      </c>
      <c r="S73" s="4" t="s">
        <v>168</v>
      </c>
      <c r="T73" s="4" t="s">
        <v>457</v>
      </c>
      <c r="U73" s="4">
        <v>9</v>
      </c>
      <c r="V73" s="4">
        <v>12</v>
      </c>
      <c r="W73" s="4">
        <v>38</v>
      </c>
    </row>
    <row r="74" spans="1:23" ht="11.25" customHeight="1" x14ac:dyDescent="0.3">
      <c r="A74" s="4" t="s">
        <v>21</v>
      </c>
      <c r="B74" s="4" t="s">
        <v>39</v>
      </c>
      <c r="C74" s="4" t="s">
        <v>40</v>
      </c>
      <c r="D74" s="4" t="s">
        <v>38</v>
      </c>
      <c r="E74" s="4" t="s">
        <v>25</v>
      </c>
      <c r="F74" s="4" t="s">
        <v>56</v>
      </c>
      <c r="G74" s="4" t="s">
        <v>25</v>
      </c>
      <c r="H74" s="4" t="s">
        <v>35</v>
      </c>
      <c r="I74" s="5">
        <v>44501</v>
      </c>
      <c r="J74" s="6">
        <v>16301</v>
      </c>
      <c r="K74" s="6">
        <v>10335.36166337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4" t="s">
        <v>55</v>
      </c>
      <c r="R74" s="4">
        <v>0</v>
      </c>
      <c r="S74" s="4" t="s">
        <v>145</v>
      </c>
      <c r="U74" s="4">
        <v>22</v>
      </c>
      <c r="V74" s="4">
        <v>0</v>
      </c>
      <c r="W74" s="4">
        <v>0</v>
      </c>
    </row>
    <row r="75" spans="1:23" ht="11.25" customHeight="1" x14ac:dyDescent="0.3">
      <c r="A75" s="4" t="s">
        <v>21</v>
      </c>
      <c r="B75" s="4" t="s">
        <v>39</v>
      </c>
      <c r="C75" s="4" t="s">
        <v>40</v>
      </c>
      <c r="D75" s="4" t="s">
        <v>38</v>
      </c>
      <c r="E75" s="4" t="s">
        <v>25</v>
      </c>
      <c r="F75" s="4" t="s">
        <v>56</v>
      </c>
      <c r="G75" s="4" t="s">
        <v>25</v>
      </c>
      <c r="H75" s="4" t="s">
        <v>35</v>
      </c>
      <c r="I75" s="5">
        <v>44531</v>
      </c>
      <c r="J75" s="6">
        <v>16297</v>
      </c>
      <c r="K75" s="6">
        <v>10474.71161608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4" t="s">
        <v>55</v>
      </c>
      <c r="R75" s="4">
        <v>0</v>
      </c>
      <c r="S75" s="4" t="s">
        <v>146</v>
      </c>
      <c r="U75" s="4">
        <v>22</v>
      </c>
      <c r="V75" s="4">
        <v>0</v>
      </c>
      <c r="W75" s="4">
        <v>0</v>
      </c>
    </row>
    <row r="76" spans="1:23" ht="11.25" customHeight="1" x14ac:dyDescent="0.3">
      <c r="A76" s="4" t="s">
        <v>21</v>
      </c>
      <c r="B76" s="4" t="s">
        <v>39</v>
      </c>
      <c r="C76" s="4" t="s">
        <v>40</v>
      </c>
      <c r="D76" s="4" t="s">
        <v>38</v>
      </c>
      <c r="E76" s="4" t="s">
        <v>25</v>
      </c>
      <c r="F76" s="4" t="s">
        <v>56</v>
      </c>
      <c r="G76" s="4" t="s">
        <v>25</v>
      </c>
      <c r="H76" s="4" t="s">
        <v>35</v>
      </c>
      <c r="I76" s="5">
        <v>44562</v>
      </c>
      <c r="J76" s="6">
        <v>16147</v>
      </c>
      <c r="K76" s="6">
        <v>9214.2392081100006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4" t="s">
        <v>55</v>
      </c>
      <c r="R76" s="4">
        <v>0</v>
      </c>
      <c r="S76" s="4" t="s">
        <v>147</v>
      </c>
      <c r="U76" s="4">
        <v>22</v>
      </c>
      <c r="V76" s="4">
        <v>0</v>
      </c>
      <c r="W76" s="4">
        <v>0</v>
      </c>
    </row>
    <row r="77" spans="1:23" ht="11.25" customHeight="1" x14ac:dyDescent="0.3">
      <c r="A77" s="4" t="s">
        <v>21</v>
      </c>
      <c r="B77" s="4" t="s">
        <v>39</v>
      </c>
      <c r="C77" s="4" t="s">
        <v>40</v>
      </c>
      <c r="D77" s="4" t="s">
        <v>38</v>
      </c>
      <c r="E77" s="4" t="s">
        <v>25</v>
      </c>
      <c r="F77" s="4" t="s">
        <v>56</v>
      </c>
      <c r="G77" s="4" t="s">
        <v>25</v>
      </c>
      <c r="H77" s="4" t="s">
        <v>35</v>
      </c>
      <c r="I77" s="5">
        <v>44593</v>
      </c>
      <c r="J77" s="6">
        <v>16220</v>
      </c>
      <c r="K77" s="6">
        <v>9574.3093222000007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4" t="s">
        <v>55</v>
      </c>
      <c r="R77" s="4">
        <v>0</v>
      </c>
      <c r="S77" s="4" t="s">
        <v>148</v>
      </c>
      <c r="U77" s="4">
        <v>22</v>
      </c>
      <c r="V77" s="4">
        <v>0</v>
      </c>
      <c r="W77" s="4">
        <v>0</v>
      </c>
    </row>
    <row r="78" spans="1:23" ht="11.25" customHeight="1" x14ac:dyDescent="0.3">
      <c r="A78" s="4" t="s">
        <v>21</v>
      </c>
      <c r="B78" s="4" t="s">
        <v>39</v>
      </c>
      <c r="C78" s="4" t="s">
        <v>40</v>
      </c>
      <c r="D78" s="4" t="s">
        <v>38</v>
      </c>
      <c r="E78" s="4" t="s">
        <v>25</v>
      </c>
      <c r="F78" s="4" t="s">
        <v>56</v>
      </c>
      <c r="G78" s="4" t="s">
        <v>25</v>
      </c>
      <c r="H78" s="4" t="s">
        <v>35</v>
      </c>
      <c r="I78" s="5">
        <v>44621</v>
      </c>
      <c r="J78" s="6">
        <v>16455</v>
      </c>
      <c r="K78" s="6">
        <v>8810.7828532500007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4" t="s">
        <v>55</v>
      </c>
      <c r="R78" s="4">
        <v>0</v>
      </c>
      <c r="S78" s="4" t="s">
        <v>149</v>
      </c>
      <c r="U78" s="4">
        <v>22</v>
      </c>
      <c r="V78" s="4">
        <v>0</v>
      </c>
      <c r="W78" s="4">
        <v>0</v>
      </c>
    </row>
    <row r="79" spans="1:23" ht="11.25" customHeight="1" x14ac:dyDescent="0.3">
      <c r="A79" s="4" t="s">
        <v>21</v>
      </c>
      <c r="B79" s="4" t="s">
        <v>39</v>
      </c>
      <c r="C79" s="4" t="s">
        <v>40</v>
      </c>
      <c r="D79" s="4" t="s">
        <v>38</v>
      </c>
      <c r="E79" s="4" t="s">
        <v>25</v>
      </c>
      <c r="F79" s="4" t="s">
        <v>56</v>
      </c>
      <c r="G79" s="4" t="s">
        <v>25</v>
      </c>
      <c r="H79" s="4" t="s">
        <v>35</v>
      </c>
      <c r="I79" s="5">
        <v>44652</v>
      </c>
      <c r="J79" s="6">
        <v>16206</v>
      </c>
      <c r="K79" s="6">
        <v>8001.9643412400001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4" t="s">
        <v>55</v>
      </c>
      <c r="R79" s="4">
        <v>0</v>
      </c>
      <c r="S79" s="4" t="s">
        <v>150</v>
      </c>
      <c r="U79" s="4">
        <v>22</v>
      </c>
      <c r="V79" s="4">
        <v>0</v>
      </c>
      <c r="W79" s="4">
        <v>0</v>
      </c>
    </row>
    <row r="80" spans="1:23" ht="11.25" customHeight="1" x14ac:dyDescent="0.3">
      <c r="A80" s="4" t="s">
        <v>21</v>
      </c>
      <c r="B80" s="4" t="s">
        <v>39</v>
      </c>
      <c r="C80" s="4" t="s">
        <v>40</v>
      </c>
      <c r="D80" s="4" t="s">
        <v>38</v>
      </c>
      <c r="E80" s="4" t="s">
        <v>25</v>
      </c>
      <c r="F80" s="4" t="s">
        <v>56</v>
      </c>
      <c r="G80" s="4" t="s">
        <v>25</v>
      </c>
      <c r="H80" s="4" t="s">
        <v>35</v>
      </c>
      <c r="I80" s="5">
        <v>44682</v>
      </c>
      <c r="J80" s="6">
        <v>16280</v>
      </c>
      <c r="K80" s="6">
        <v>10594.502877200001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4" t="s">
        <v>55</v>
      </c>
      <c r="R80" s="4">
        <v>0</v>
      </c>
      <c r="S80" s="4" t="s">
        <v>151</v>
      </c>
      <c r="U80" s="4">
        <v>22</v>
      </c>
      <c r="V80" s="4">
        <v>0</v>
      </c>
      <c r="W80" s="4">
        <v>0</v>
      </c>
    </row>
    <row r="81" spans="1:23" ht="11.25" customHeight="1" x14ac:dyDescent="0.3">
      <c r="A81" s="4" t="s">
        <v>21</v>
      </c>
      <c r="B81" s="4" t="s">
        <v>39</v>
      </c>
      <c r="C81" s="4" t="s">
        <v>40</v>
      </c>
      <c r="D81" s="4" t="s">
        <v>38</v>
      </c>
      <c r="E81" s="4" t="s">
        <v>25</v>
      </c>
      <c r="F81" s="4" t="s">
        <v>56</v>
      </c>
      <c r="G81" s="4" t="s">
        <v>25</v>
      </c>
      <c r="H81" s="4" t="s">
        <v>35</v>
      </c>
      <c r="I81" s="5">
        <v>44713</v>
      </c>
      <c r="J81" s="6">
        <v>16089</v>
      </c>
      <c r="K81" s="6">
        <v>9780.4807362899992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4" t="s">
        <v>55</v>
      </c>
      <c r="R81" s="4">
        <v>0</v>
      </c>
      <c r="S81" s="4" t="s">
        <v>152</v>
      </c>
      <c r="U81" s="4">
        <v>22</v>
      </c>
      <c r="V81" s="4">
        <v>0</v>
      </c>
      <c r="W81" s="4">
        <v>0</v>
      </c>
    </row>
    <row r="82" spans="1:23" ht="11.25" customHeight="1" x14ac:dyDescent="0.3">
      <c r="A82" s="4" t="s">
        <v>21</v>
      </c>
      <c r="B82" s="4" t="s">
        <v>39</v>
      </c>
      <c r="C82" s="4" t="s">
        <v>40</v>
      </c>
      <c r="D82" s="4" t="s">
        <v>38</v>
      </c>
      <c r="E82" s="4" t="s">
        <v>25</v>
      </c>
      <c r="F82" s="4" t="s">
        <v>56</v>
      </c>
      <c r="G82" s="4" t="s">
        <v>25</v>
      </c>
      <c r="H82" s="4" t="s">
        <v>35</v>
      </c>
      <c r="I82" s="5">
        <v>44743</v>
      </c>
      <c r="J82" s="6">
        <v>16156</v>
      </c>
      <c r="K82" s="6">
        <v>8011.3249957999997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4" t="s">
        <v>55</v>
      </c>
      <c r="R82" s="4">
        <v>0</v>
      </c>
      <c r="S82" s="4" t="s">
        <v>153</v>
      </c>
      <c r="U82" s="4">
        <v>22</v>
      </c>
      <c r="V82" s="4">
        <v>0</v>
      </c>
      <c r="W82" s="4">
        <v>0</v>
      </c>
    </row>
    <row r="83" spans="1:23" ht="11.25" customHeight="1" x14ac:dyDescent="0.3">
      <c r="A83" s="4" t="s">
        <v>21</v>
      </c>
      <c r="B83" s="4" t="s">
        <v>39</v>
      </c>
      <c r="C83" s="4" t="s">
        <v>40</v>
      </c>
      <c r="D83" s="4" t="s">
        <v>38</v>
      </c>
      <c r="E83" s="4" t="s">
        <v>25</v>
      </c>
      <c r="F83" s="4" t="s">
        <v>56</v>
      </c>
      <c r="G83" s="4" t="s">
        <v>25</v>
      </c>
      <c r="H83" s="4" t="s">
        <v>35</v>
      </c>
      <c r="I83" s="5">
        <v>44774</v>
      </c>
      <c r="J83" s="6">
        <v>16086</v>
      </c>
      <c r="K83" s="6">
        <v>8491.9107151200005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4" t="s">
        <v>55</v>
      </c>
      <c r="R83" s="4">
        <v>0</v>
      </c>
      <c r="S83" s="4" t="s">
        <v>154</v>
      </c>
      <c r="U83" s="4">
        <v>22</v>
      </c>
      <c r="V83" s="4">
        <v>0</v>
      </c>
      <c r="W83" s="4">
        <v>0</v>
      </c>
    </row>
    <row r="84" spans="1:23" ht="11.25" customHeight="1" x14ac:dyDescent="0.3">
      <c r="A84" s="4" t="s">
        <v>21</v>
      </c>
      <c r="B84" s="4" t="s">
        <v>39</v>
      </c>
      <c r="C84" s="4" t="s">
        <v>40</v>
      </c>
      <c r="D84" s="4" t="s">
        <v>38</v>
      </c>
      <c r="E84" s="4" t="s">
        <v>25</v>
      </c>
      <c r="F84" s="4" t="s">
        <v>56</v>
      </c>
      <c r="G84" s="4" t="s">
        <v>25</v>
      </c>
      <c r="H84" s="4" t="s">
        <v>35</v>
      </c>
      <c r="I84" s="5">
        <v>44805</v>
      </c>
      <c r="J84" s="6">
        <v>16063</v>
      </c>
      <c r="K84" s="6">
        <v>9042.6228011599997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4" t="s">
        <v>55</v>
      </c>
      <c r="R84" s="4">
        <v>0</v>
      </c>
      <c r="S84" s="4" t="s">
        <v>155</v>
      </c>
      <c r="U84" s="4">
        <v>22</v>
      </c>
      <c r="V84" s="4">
        <v>0</v>
      </c>
      <c r="W84" s="4">
        <v>0</v>
      </c>
    </row>
    <row r="85" spans="1:23" ht="11.25" customHeight="1" x14ac:dyDescent="0.3">
      <c r="A85" s="4" t="s">
        <v>53</v>
      </c>
      <c r="B85" s="4" t="s">
        <v>39</v>
      </c>
      <c r="C85" s="4" t="s">
        <v>40</v>
      </c>
      <c r="D85" s="4" t="s">
        <v>38</v>
      </c>
      <c r="E85" s="4" t="s">
        <v>25</v>
      </c>
      <c r="F85" s="4" t="s">
        <v>56</v>
      </c>
      <c r="G85" s="4" t="s">
        <v>25</v>
      </c>
      <c r="H85" s="4" t="s">
        <v>35</v>
      </c>
      <c r="I85" s="5">
        <v>44835</v>
      </c>
      <c r="J85" s="6">
        <v>16063</v>
      </c>
      <c r="K85" s="6">
        <v>9042.6228011599997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4" t="s">
        <v>55</v>
      </c>
      <c r="R85" s="4">
        <v>0</v>
      </c>
      <c r="S85" s="4" t="s">
        <v>156</v>
      </c>
      <c r="U85" s="4">
        <v>22</v>
      </c>
      <c r="V85" s="4">
        <v>0</v>
      </c>
      <c r="W85" s="4">
        <v>0</v>
      </c>
    </row>
    <row r="86" spans="1:23" ht="11.25" customHeight="1" x14ac:dyDescent="0.3">
      <c r="A86" s="4" t="s">
        <v>21</v>
      </c>
      <c r="B86" s="4" t="s">
        <v>39</v>
      </c>
      <c r="C86" s="4" t="s">
        <v>40</v>
      </c>
      <c r="D86" s="4" t="s">
        <v>38</v>
      </c>
      <c r="E86" s="4" t="s">
        <v>25</v>
      </c>
      <c r="F86" s="4" t="s">
        <v>56</v>
      </c>
      <c r="G86" s="4" t="s">
        <v>25</v>
      </c>
      <c r="H86" s="4" t="s">
        <v>25</v>
      </c>
      <c r="I86" s="5">
        <v>44501</v>
      </c>
      <c r="J86" s="6">
        <v>0</v>
      </c>
      <c r="K86" s="6">
        <v>0</v>
      </c>
      <c r="L86" s="6">
        <v>7888.02</v>
      </c>
      <c r="M86" s="6">
        <v>7888.02</v>
      </c>
      <c r="N86" s="6">
        <v>0</v>
      </c>
      <c r="O86" s="6">
        <v>0</v>
      </c>
      <c r="P86" s="6">
        <v>10</v>
      </c>
      <c r="Q86" s="4" t="s">
        <v>55</v>
      </c>
      <c r="R86" s="4">
        <v>0</v>
      </c>
      <c r="S86" s="4" t="s">
        <v>169</v>
      </c>
      <c r="U86" s="4">
        <v>0</v>
      </c>
      <c r="V86" s="4">
        <v>12</v>
      </c>
      <c r="W86" s="4">
        <v>0</v>
      </c>
    </row>
    <row r="87" spans="1:23" ht="11.25" customHeight="1" x14ac:dyDescent="0.3">
      <c r="A87" s="4" t="s">
        <v>21</v>
      </c>
      <c r="B87" s="4" t="s">
        <v>39</v>
      </c>
      <c r="C87" s="4" t="s">
        <v>40</v>
      </c>
      <c r="D87" s="4" t="s">
        <v>38</v>
      </c>
      <c r="E87" s="4" t="s">
        <v>25</v>
      </c>
      <c r="F87" s="4" t="s">
        <v>56</v>
      </c>
      <c r="G87" s="4" t="s">
        <v>25</v>
      </c>
      <c r="H87" s="4" t="s">
        <v>25</v>
      </c>
      <c r="I87" s="5">
        <v>44531</v>
      </c>
      <c r="J87" s="6">
        <v>0</v>
      </c>
      <c r="K87" s="6">
        <v>0</v>
      </c>
      <c r="L87" s="6">
        <v>7651.0950000000003</v>
      </c>
      <c r="M87" s="6">
        <v>7651.0950000000003</v>
      </c>
      <c r="N87" s="6">
        <v>0</v>
      </c>
      <c r="O87" s="6">
        <v>0</v>
      </c>
      <c r="P87" s="6">
        <v>10</v>
      </c>
      <c r="Q87" s="4" t="s">
        <v>55</v>
      </c>
      <c r="R87" s="4">
        <v>0</v>
      </c>
      <c r="S87" s="4" t="s">
        <v>170</v>
      </c>
      <c r="U87" s="4">
        <v>0</v>
      </c>
      <c r="V87" s="4">
        <v>12</v>
      </c>
      <c r="W87" s="4">
        <v>0</v>
      </c>
    </row>
    <row r="88" spans="1:23" ht="11.25" customHeight="1" x14ac:dyDescent="0.3">
      <c r="A88" s="4" t="s">
        <v>21</v>
      </c>
      <c r="B88" s="4" t="s">
        <v>39</v>
      </c>
      <c r="C88" s="4" t="s">
        <v>40</v>
      </c>
      <c r="D88" s="4" t="s">
        <v>38</v>
      </c>
      <c r="E88" s="4" t="s">
        <v>25</v>
      </c>
      <c r="F88" s="4" t="s">
        <v>56</v>
      </c>
      <c r="G88" s="4" t="s">
        <v>25</v>
      </c>
      <c r="H88" s="4" t="s">
        <v>25</v>
      </c>
      <c r="I88" s="5">
        <v>44562</v>
      </c>
      <c r="J88" s="6">
        <v>0</v>
      </c>
      <c r="K88" s="6">
        <v>0</v>
      </c>
      <c r="L88" s="6">
        <v>7155.4250000000002</v>
      </c>
      <c r="M88" s="6">
        <v>7155.4250000000002</v>
      </c>
      <c r="N88" s="6">
        <v>0</v>
      </c>
      <c r="O88" s="6">
        <v>0</v>
      </c>
      <c r="P88" s="6">
        <v>10</v>
      </c>
      <c r="Q88" s="4" t="s">
        <v>55</v>
      </c>
      <c r="R88" s="4">
        <v>0</v>
      </c>
      <c r="S88" s="4" t="s">
        <v>171</v>
      </c>
      <c r="U88" s="4">
        <v>0</v>
      </c>
      <c r="V88" s="4">
        <v>12</v>
      </c>
      <c r="W88" s="4">
        <v>0</v>
      </c>
    </row>
    <row r="89" spans="1:23" ht="11.25" customHeight="1" x14ac:dyDescent="0.3">
      <c r="A89" s="4" t="s">
        <v>21</v>
      </c>
      <c r="B89" s="4" t="s">
        <v>39</v>
      </c>
      <c r="C89" s="4" t="s">
        <v>40</v>
      </c>
      <c r="D89" s="4" t="s">
        <v>38</v>
      </c>
      <c r="E89" s="4" t="s">
        <v>25</v>
      </c>
      <c r="F89" s="4" t="s">
        <v>56</v>
      </c>
      <c r="G89" s="4" t="s">
        <v>25</v>
      </c>
      <c r="H89" s="4" t="s">
        <v>25</v>
      </c>
      <c r="I89" s="5">
        <v>44593</v>
      </c>
      <c r="J89" s="6">
        <v>0</v>
      </c>
      <c r="K89" s="6">
        <v>0</v>
      </c>
      <c r="L89" s="6">
        <v>7542.44</v>
      </c>
      <c r="M89" s="6">
        <v>7542.44</v>
      </c>
      <c r="N89" s="6">
        <v>0</v>
      </c>
      <c r="O89" s="6">
        <v>0</v>
      </c>
      <c r="P89" s="6">
        <v>10</v>
      </c>
      <c r="Q89" s="4" t="s">
        <v>55</v>
      </c>
      <c r="R89" s="4">
        <v>0</v>
      </c>
      <c r="S89" s="4" t="s">
        <v>172</v>
      </c>
      <c r="U89" s="4">
        <v>0</v>
      </c>
      <c r="V89" s="4">
        <v>12</v>
      </c>
      <c r="W89" s="4">
        <v>0</v>
      </c>
    </row>
    <row r="90" spans="1:23" ht="11.25" customHeight="1" x14ac:dyDescent="0.3">
      <c r="A90" s="4" t="s">
        <v>21</v>
      </c>
      <c r="B90" s="4" t="s">
        <v>39</v>
      </c>
      <c r="C90" s="4" t="s">
        <v>40</v>
      </c>
      <c r="D90" s="4" t="s">
        <v>38</v>
      </c>
      <c r="E90" s="4" t="s">
        <v>25</v>
      </c>
      <c r="F90" s="4" t="s">
        <v>56</v>
      </c>
      <c r="G90" s="4" t="s">
        <v>25</v>
      </c>
      <c r="H90" s="4" t="s">
        <v>25</v>
      </c>
      <c r="I90" s="5">
        <v>44621</v>
      </c>
      <c r="J90" s="6">
        <v>0</v>
      </c>
      <c r="K90" s="6">
        <v>0</v>
      </c>
      <c r="L90" s="6">
        <v>7411.6469999999999</v>
      </c>
      <c r="M90" s="6">
        <v>7411.6469999999999</v>
      </c>
      <c r="N90" s="6">
        <v>0</v>
      </c>
      <c r="O90" s="6">
        <v>0</v>
      </c>
      <c r="P90" s="6">
        <v>10</v>
      </c>
      <c r="Q90" s="4" t="s">
        <v>55</v>
      </c>
      <c r="R90" s="4">
        <v>0</v>
      </c>
      <c r="S90" s="4" t="s">
        <v>173</v>
      </c>
      <c r="U90" s="4">
        <v>0</v>
      </c>
      <c r="V90" s="4">
        <v>12</v>
      </c>
      <c r="W90" s="4">
        <v>0</v>
      </c>
    </row>
    <row r="91" spans="1:23" ht="11.25" customHeight="1" x14ac:dyDescent="0.3">
      <c r="A91" s="4" t="s">
        <v>21</v>
      </c>
      <c r="B91" s="4" t="s">
        <v>39</v>
      </c>
      <c r="C91" s="4" t="s">
        <v>40</v>
      </c>
      <c r="D91" s="4" t="s">
        <v>38</v>
      </c>
      <c r="E91" s="4" t="s">
        <v>25</v>
      </c>
      <c r="F91" s="4" t="s">
        <v>56</v>
      </c>
      <c r="G91" s="4" t="s">
        <v>25</v>
      </c>
      <c r="H91" s="4" t="s">
        <v>25</v>
      </c>
      <c r="I91" s="5">
        <v>44652</v>
      </c>
      <c r="J91" s="6">
        <v>0</v>
      </c>
      <c r="K91" s="6">
        <v>0</v>
      </c>
      <c r="L91" s="6">
        <v>7972.3119999999999</v>
      </c>
      <c r="M91" s="6">
        <v>7972.3119999999999</v>
      </c>
      <c r="N91" s="6">
        <v>0</v>
      </c>
      <c r="O91" s="6">
        <v>0</v>
      </c>
      <c r="P91" s="6">
        <v>10</v>
      </c>
      <c r="Q91" s="4" t="s">
        <v>55</v>
      </c>
      <c r="R91" s="4">
        <v>0</v>
      </c>
      <c r="S91" s="4" t="s">
        <v>174</v>
      </c>
      <c r="U91" s="4">
        <v>0</v>
      </c>
      <c r="V91" s="4">
        <v>12</v>
      </c>
      <c r="W91" s="4">
        <v>0</v>
      </c>
    </row>
    <row r="92" spans="1:23" ht="11.25" customHeight="1" x14ac:dyDescent="0.3">
      <c r="A92" s="4" t="s">
        <v>21</v>
      </c>
      <c r="B92" s="4" t="s">
        <v>39</v>
      </c>
      <c r="C92" s="4" t="s">
        <v>40</v>
      </c>
      <c r="D92" s="4" t="s">
        <v>38</v>
      </c>
      <c r="E92" s="4" t="s">
        <v>25</v>
      </c>
      <c r="F92" s="4" t="s">
        <v>56</v>
      </c>
      <c r="G92" s="4" t="s">
        <v>25</v>
      </c>
      <c r="H92" s="4" t="s">
        <v>25</v>
      </c>
      <c r="I92" s="5">
        <v>44682</v>
      </c>
      <c r="J92" s="6">
        <v>0</v>
      </c>
      <c r="K92" s="6">
        <v>0</v>
      </c>
      <c r="L92" s="6">
        <v>7239.27</v>
      </c>
      <c r="M92" s="6">
        <v>7239.27</v>
      </c>
      <c r="N92" s="6">
        <v>0</v>
      </c>
      <c r="O92" s="6">
        <v>0</v>
      </c>
      <c r="P92" s="6">
        <v>10</v>
      </c>
      <c r="Q92" s="4" t="s">
        <v>55</v>
      </c>
      <c r="R92" s="4">
        <v>0</v>
      </c>
      <c r="S92" s="4" t="s">
        <v>175</v>
      </c>
      <c r="U92" s="4">
        <v>0</v>
      </c>
      <c r="V92" s="4">
        <v>12</v>
      </c>
      <c r="W92" s="4">
        <v>0</v>
      </c>
    </row>
    <row r="93" spans="1:23" ht="11.25" customHeight="1" x14ac:dyDescent="0.3">
      <c r="A93" s="4" t="s">
        <v>21</v>
      </c>
      <c r="B93" s="4" t="s">
        <v>39</v>
      </c>
      <c r="C93" s="4" t="s">
        <v>40</v>
      </c>
      <c r="D93" s="4" t="s">
        <v>38</v>
      </c>
      <c r="E93" s="4" t="s">
        <v>25</v>
      </c>
      <c r="F93" s="4" t="s">
        <v>56</v>
      </c>
      <c r="G93" s="4" t="s">
        <v>25</v>
      </c>
      <c r="H93" s="4" t="s">
        <v>25</v>
      </c>
      <c r="I93" s="5">
        <v>44713</v>
      </c>
      <c r="J93" s="6">
        <v>0</v>
      </c>
      <c r="K93" s="6">
        <v>0</v>
      </c>
      <c r="L93" s="6">
        <v>7397.8249999999998</v>
      </c>
      <c r="M93" s="6">
        <v>7397.8249999999998</v>
      </c>
      <c r="N93" s="6">
        <v>0</v>
      </c>
      <c r="O93" s="6">
        <v>0</v>
      </c>
      <c r="P93" s="6">
        <v>10</v>
      </c>
      <c r="Q93" s="4" t="s">
        <v>55</v>
      </c>
      <c r="R93" s="4">
        <v>0</v>
      </c>
      <c r="S93" s="4" t="s">
        <v>176</v>
      </c>
      <c r="U93" s="4">
        <v>0</v>
      </c>
      <c r="V93" s="4">
        <v>12</v>
      </c>
      <c r="W93" s="4">
        <v>0</v>
      </c>
    </row>
    <row r="94" spans="1:23" ht="11.25" customHeight="1" x14ac:dyDescent="0.3">
      <c r="A94" s="4" t="s">
        <v>21</v>
      </c>
      <c r="B94" s="4" t="s">
        <v>39</v>
      </c>
      <c r="C94" s="4" t="s">
        <v>40</v>
      </c>
      <c r="D94" s="4" t="s">
        <v>38</v>
      </c>
      <c r="E94" s="4" t="s">
        <v>25</v>
      </c>
      <c r="F94" s="4" t="s">
        <v>56</v>
      </c>
      <c r="G94" s="4" t="s">
        <v>25</v>
      </c>
      <c r="H94" s="4" t="s">
        <v>25</v>
      </c>
      <c r="I94" s="5">
        <v>44743</v>
      </c>
      <c r="J94" s="6">
        <v>0</v>
      </c>
      <c r="K94" s="6">
        <v>0</v>
      </c>
      <c r="L94" s="6">
        <v>7032.8630000000003</v>
      </c>
      <c r="M94" s="6">
        <v>7032.8630000000003</v>
      </c>
      <c r="N94" s="6">
        <v>0</v>
      </c>
      <c r="O94" s="6">
        <v>0</v>
      </c>
      <c r="P94" s="6">
        <v>10</v>
      </c>
      <c r="Q94" s="4" t="s">
        <v>55</v>
      </c>
      <c r="R94" s="4">
        <v>0</v>
      </c>
      <c r="S94" s="4" t="s">
        <v>177</v>
      </c>
      <c r="U94" s="4">
        <v>0</v>
      </c>
      <c r="V94" s="4">
        <v>12</v>
      </c>
      <c r="W94" s="4">
        <v>0</v>
      </c>
    </row>
    <row r="95" spans="1:23" ht="11.25" customHeight="1" x14ac:dyDescent="0.3">
      <c r="A95" s="4" t="s">
        <v>21</v>
      </c>
      <c r="B95" s="4" t="s">
        <v>39</v>
      </c>
      <c r="C95" s="4" t="s">
        <v>40</v>
      </c>
      <c r="D95" s="4" t="s">
        <v>38</v>
      </c>
      <c r="E95" s="4" t="s">
        <v>25</v>
      </c>
      <c r="F95" s="4" t="s">
        <v>56</v>
      </c>
      <c r="G95" s="4" t="s">
        <v>25</v>
      </c>
      <c r="H95" s="4" t="s">
        <v>25</v>
      </c>
      <c r="I95" s="5">
        <v>44774</v>
      </c>
      <c r="J95" s="6">
        <v>0</v>
      </c>
      <c r="K95" s="6">
        <v>0</v>
      </c>
      <c r="L95" s="6">
        <v>7387.9709999999995</v>
      </c>
      <c r="M95" s="6">
        <v>7387.9709999999995</v>
      </c>
      <c r="N95" s="6">
        <v>0</v>
      </c>
      <c r="O95" s="6">
        <v>0</v>
      </c>
      <c r="P95" s="6">
        <v>10</v>
      </c>
      <c r="Q95" s="4" t="s">
        <v>55</v>
      </c>
      <c r="R95" s="4">
        <v>0</v>
      </c>
      <c r="S95" s="4" t="s">
        <v>178</v>
      </c>
      <c r="U95" s="4">
        <v>0</v>
      </c>
      <c r="V95" s="4">
        <v>12</v>
      </c>
      <c r="W95" s="4">
        <v>0</v>
      </c>
    </row>
    <row r="96" spans="1:23" ht="11.25" customHeight="1" x14ac:dyDescent="0.3">
      <c r="A96" s="4" t="s">
        <v>21</v>
      </c>
      <c r="B96" s="4" t="s">
        <v>39</v>
      </c>
      <c r="C96" s="4" t="s">
        <v>40</v>
      </c>
      <c r="D96" s="4" t="s">
        <v>38</v>
      </c>
      <c r="E96" s="4" t="s">
        <v>25</v>
      </c>
      <c r="F96" s="4" t="s">
        <v>56</v>
      </c>
      <c r="G96" s="4" t="s">
        <v>25</v>
      </c>
      <c r="H96" s="4" t="s">
        <v>25</v>
      </c>
      <c r="I96" s="5">
        <v>44805</v>
      </c>
      <c r="J96" s="6">
        <v>0</v>
      </c>
      <c r="K96" s="6">
        <v>0</v>
      </c>
      <c r="L96" s="6">
        <v>7595.0789999999997</v>
      </c>
      <c r="M96" s="6">
        <v>7595.0789999999997</v>
      </c>
      <c r="N96" s="6">
        <v>0</v>
      </c>
      <c r="O96" s="6">
        <v>0</v>
      </c>
      <c r="P96" s="6">
        <v>10</v>
      </c>
      <c r="Q96" s="4" t="s">
        <v>55</v>
      </c>
      <c r="R96" s="4">
        <v>0</v>
      </c>
      <c r="S96" s="4" t="s">
        <v>179</v>
      </c>
      <c r="U96" s="4">
        <v>0</v>
      </c>
      <c r="V96" s="4">
        <v>12</v>
      </c>
      <c r="W96" s="4">
        <v>0</v>
      </c>
    </row>
    <row r="97" spans="1:23" ht="11.25" customHeight="1" x14ac:dyDescent="0.3">
      <c r="A97" s="4" t="s">
        <v>53</v>
      </c>
      <c r="B97" s="4" t="s">
        <v>39</v>
      </c>
      <c r="C97" s="4" t="s">
        <v>40</v>
      </c>
      <c r="D97" s="4" t="s">
        <v>38</v>
      </c>
      <c r="E97" s="4" t="s">
        <v>25</v>
      </c>
      <c r="F97" s="4" t="s">
        <v>56</v>
      </c>
      <c r="G97" s="4" t="s">
        <v>25</v>
      </c>
      <c r="H97" s="4" t="s">
        <v>25</v>
      </c>
      <c r="I97" s="5">
        <v>44835</v>
      </c>
      <c r="J97" s="6">
        <v>0</v>
      </c>
      <c r="K97" s="6">
        <v>0</v>
      </c>
      <c r="L97" s="6">
        <v>7595.0789999999997</v>
      </c>
      <c r="M97" s="6">
        <v>7595.0789999999997</v>
      </c>
      <c r="N97" s="6">
        <v>0</v>
      </c>
      <c r="O97" s="6">
        <v>0</v>
      </c>
      <c r="P97" s="6">
        <v>10</v>
      </c>
      <c r="Q97" s="4" t="s">
        <v>55</v>
      </c>
      <c r="R97" s="4">
        <v>0</v>
      </c>
      <c r="S97" s="4" t="s">
        <v>180</v>
      </c>
      <c r="U97" s="4">
        <v>0</v>
      </c>
      <c r="V97" s="4">
        <v>12</v>
      </c>
      <c r="W97" s="4">
        <v>0</v>
      </c>
    </row>
    <row r="98" spans="1:23" ht="11.25" customHeight="1" x14ac:dyDescent="0.3">
      <c r="A98" s="4" t="s">
        <v>21</v>
      </c>
      <c r="B98" s="4" t="s">
        <v>39</v>
      </c>
      <c r="C98" s="4" t="s">
        <v>40</v>
      </c>
      <c r="D98" s="4" t="s">
        <v>38</v>
      </c>
      <c r="E98" s="4" t="s">
        <v>25</v>
      </c>
      <c r="F98" s="4" t="s">
        <v>56</v>
      </c>
      <c r="G98" s="4" t="s">
        <v>25</v>
      </c>
      <c r="H98" s="4" t="s">
        <v>34</v>
      </c>
      <c r="I98" s="5">
        <v>44501</v>
      </c>
      <c r="J98" s="6">
        <v>15209</v>
      </c>
      <c r="K98" s="6">
        <v>9741.9908066200005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4" t="s">
        <v>55</v>
      </c>
      <c r="R98" s="4">
        <v>0</v>
      </c>
      <c r="S98" s="4" t="s">
        <v>157</v>
      </c>
      <c r="U98" s="4">
        <v>9</v>
      </c>
      <c r="V98" s="4">
        <v>0</v>
      </c>
      <c r="W98" s="4">
        <v>0</v>
      </c>
    </row>
    <row r="99" spans="1:23" ht="11.25" customHeight="1" x14ac:dyDescent="0.3">
      <c r="A99" s="4" t="s">
        <v>21</v>
      </c>
      <c r="B99" s="4" t="s">
        <v>39</v>
      </c>
      <c r="C99" s="4" t="s">
        <v>40</v>
      </c>
      <c r="D99" s="4" t="s">
        <v>38</v>
      </c>
      <c r="E99" s="4" t="s">
        <v>25</v>
      </c>
      <c r="F99" s="4" t="s">
        <v>56</v>
      </c>
      <c r="G99" s="4" t="s">
        <v>25</v>
      </c>
      <c r="H99" s="4" t="s">
        <v>34</v>
      </c>
      <c r="I99" s="5">
        <v>44531</v>
      </c>
      <c r="J99" s="6">
        <v>15104</v>
      </c>
      <c r="K99" s="6">
        <v>9762.3642188800004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4" t="s">
        <v>55</v>
      </c>
      <c r="R99" s="4">
        <v>0</v>
      </c>
      <c r="S99" s="4" t="s">
        <v>158</v>
      </c>
      <c r="U99" s="4">
        <v>9</v>
      </c>
      <c r="V99" s="4">
        <v>0</v>
      </c>
      <c r="W99" s="4">
        <v>0</v>
      </c>
    </row>
    <row r="100" spans="1:23" ht="11.25" customHeight="1" x14ac:dyDescent="0.3">
      <c r="A100" s="4" t="s">
        <v>21</v>
      </c>
      <c r="B100" s="4" t="s">
        <v>39</v>
      </c>
      <c r="C100" s="4" t="s">
        <v>40</v>
      </c>
      <c r="D100" s="4" t="s">
        <v>38</v>
      </c>
      <c r="E100" s="4" t="s">
        <v>25</v>
      </c>
      <c r="F100" s="4" t="s">
        <v>56</v>
      </c>
      <c r="G100" s="4" t="s">
        <v>25</v>
      </c>
      <c r="H100" s="4" t="s">
        <v>34</v>
      </c>
      <c r="I100" s="5">
        <v>44562</v>
      </c>
      <c r="J100" s="6">
        <v>15151</v>
      </c>
      <c r="K100" s="6">
        <v>8719.4845880499997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4" t="s">
        <v>55</v>
      </c>
      <c r="R100" s="4">
        <v>0</v>
      </c>
      <c r="S100" s="4" t="s">
        <v>159</v>
      </c>
      <c r="U100" s="4">
        <v>9</v>
      </c>
      <c r="V100" s="4">
        <v>0</v>
      </c>
      <c r="W100" s="4">
        <v>0</v>
      </c>
    </row>
    <row r="101" spans="1:23" ht="11.25" customHeight="1" x14ac:dyDescent="0.3">
      <c r="A101" s="4" t="s">
        <v>21</v>
      </c>
      <c r="B101" s="4" t="s">
        <v>39</v>
      </c>
      <c r="C101" s="4" t="s">
        <v>40</v>
      </c>
      <c r="D101" s="4" t="s">
        <v>38</v>
      </c>
      <c r="E101" s="4" t="s">
        <v>25</v>
      </c>
      <c r="F101" s="4" t="s">
        <v>56</v>
      </c>
      <c r="G101" s="4" t="s">
        <v>25</v>
      </c>
      <c r="H101" s="4" t="s">
        <v>34</v>
      </c>
      <c r="I101" s="5">
        <v>44593</v>
      </c>
      <c r="J101" s="6">
        <v>15170</v>
      </c>
      <c r="K101" s="6">
        <v>9036.5050420000007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4" t="s">
        <v>55</v>
      </c>
      <c r="R101" s="4">
        <v>0</v>
      </c>
      <c r="S101" s="4" t="s">
        <v>160</v>
      </c>
      <c r="U101" s="4">
        <v>9</v>
      </c>
      <c r="V101" s="4">
        <v>0</v>
      </c>
      <c r="W101" s="4">
        <v>0</v>
      </c>
    </row>
    <row r="102" spans="1:23" ht="11.25" customHeight="1" x14ac:dyDescent="0.3">
      <c r="A102" s="4" t="s">
        <v>21</v>
      </c>
      <c r="B102" s="4" t="s">
        <v>39</v>
      </c>
      <c r="C102" s="4" t="s">
        <v>40</v>
      </c>
      <c r="D102" s="4" t="s">
        <v>38</v>
      </c>
      <c r="E102" s="4" t="s">
        <v>25</v>
      </c>
      <c r="F102" s="4" t="s">
        <v>56</v>
      </c>
      <c r="G102" s="4" t="s">
        <v>25</v>
      </c>
      <c r="H102" s="4" t="s">
        <v>34</v>
      </c>
      <c r="I102" s="5">
        <v>44621</v>
      </c>
      <c r="J102" s="6">
        <v>15437</v>
      </c>
      <c r="K102" s="6">
        <v>8333.5986883799997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4" t="s">
        <v>55</v>
      </c>
      <c r="R102" s="4">
        <v>0</v>
      </c>
      <c r="S102" s="4" t="s">
        <v>161</v>
      </c>
      <c r="U102" s="4">
        <v>9</v>
      </c>
      <c r="V102" s="4">
        <v>0</v>
      </c>
      <c r="W102" s="4">
        <v>0</v>
      </c>
    </row>
    <row r="103" spans="1:23" ht="11.25" customHeight="1" x14ac:dyDescent="0.3">
      <c r="A103" s="4" t="s">
        <v>21</v>
      </c>
      <c r="B103" s="4" t="s">
        <v>39</v>
      </c>
      <c r="C103" s="4" t="s">
        <v>40</v>
      </c>
      <c r="D103" s="4" t="s">
        <v>38</v>
      </c>
      <c r="E103" s="4" t="s">
        <v>25</v>
      </c>
      <c r="F103" s="4" t="s">
        <v>56</v>
      </c>
      <c r="G103" s="4" t="s">
        <v>25</v>
      </c>
      <c r="H103" s="4" t="s">
        <v>34</v>
      </c>
      <c r="I103" s="5">
        <v>44652</v>
      </c>
      <c r="J103" s="6">
        <v>15298</v>
      </c>
      <c r="K103" s="6">
        <v>7554.5100672400004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4" t="s">
        <v>55</v>
      </c>
      <c r="R103" s="4">
        <v>0</v>
      </c>
      <c r="S103" s="4" t="s">
        <v>162</v>
      </c>
      <c r="U103" s="4">
        <v>9</v>
      </c>
      <c r="V103" s="4">
        <v>0</v>
      </c>
      <c r="W103" s="4">
        <v>0</v>
      </c>
    </row>
    <row r="104" spans="1:23" ht="11.25" customHeight="1" x14ac:dyDescent="0.3">
      <c r="A104" s="4" t="s">
        <v>21</v>
      </c>
      <c r="B104" s="4" t="s">
        <v>39</v>
      </c>
      <c r="C104" s="4" t="s">
        <v>40</v>
      </c>
      <c r="D104" s="4" t="s">
        <v>38</v>
      </c>
      <c r="E104" s="4" t="s">
        <v>25</v>
      </c>
      <c r="F104" s="4" t="s">
        <v>56</v>
      </c>
      <c r="G104" s="4" t="s">
        <v>25</v>
      </c>
      <c r="H104" s="4" t="s">
        <v>34</v>
      </c>
      <c r="I104" s="5">
        <v>44682</v>
      </c>
      <c r="J104" s="6">
        <v>15512</v>
      </c>
      <c r="K104" s="6">
        <v>10036.9224844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4" t="s">
        <v>55</v>
      </c>
      <c r="R104" s="4">
        <v>0</v>
      </c>
      <c r="S104" s="4" t="s">
        <v>163</v>
      </c>
      <c r="U104" s="4">
        <v>9</v>
      </c>
      <c r="V104" s="4">
        <v>0</v>
      </c>
      <c r="W104" s="4">
        <v>0</v>
      </c>
    </row>
    <row r="105" spans="1:23" ht="11.25" customHeight="1" x14ac:dyDescent="0.3">
      <c r="A105" s="4" t="s">
        <v>21</v>
      </c>
      <c r="B105" s="4" t="s">
        <v>39</v>
      </c>
      <c r="C105" s="4" t="s">
        <v>40</v>
      </c>
      <c r="D105" s="4" t="s">
        <v>38</v>
      </c>
      <c r="E105" s="4" t="s">
        <v>25</v>
      </c>
      <c r="F105" s="4" t="s">
        <v>56</v>
      </c>
      <c r="G105" s="4" t="s">
        <v>25</v>
      </c>
      <c r="H105" s="4" t="s">
        <v>34</v>
      </c>
      <c r="I105" s="5">
        <v>44713</v>
      </c>
      <c r="J105" s="6">
        <v>15447</v>
      </c>
      <c r="K105" s="6">
        <v>9418.8297213299993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4" t="s">
        <v>55</v>
      </c>
      <c r="R105" s="4">
        <v>0</v>
      </c>
      <c r="S105" s="4" t="s">
        <v>164</v>
      </c>
      <c r="U105" s="4">
        <v>9</v>
      </c>
      <c r="V105" s="4">
        <v>0</v>
      </c>
      <c r="W105" s="4">
        <v>0</v>
      </c>
    </row>
    <row r="106" spans="1:23" ht="11.25" customHeight="1" x14ac:dyDescent="0.3">
      <c r="A106" s="4" t="s">
        <v>21</v>
      </c>
      <c r="B106" s="4" t="s">
        <v>39</v>
      </c>
      <c r="C106" s="4" t="s">
        <v>40</v>
      </c>
      <c r="D106" s="4" t="s">
        <v>38</v>
      </c>
      <c r="E106" s="4" t="s">
        <v>25</v>
      </c>
      <c r="F106" s="4" t="s">
        <v>56</v>
      </c>
      <c r="G106" s="4" t="s">
        <v>25</v>
      </c>
      <c r="H106" s="4" t="s">
        <v>34</v>
      </c>
      <c r="I106" s="5">
        <v>44743</v>
      </c>
      <c r="J106" s="6">
        <v>15443</v>
      </c>
      <c r="K106" s="6">
        <v>7695.1753989099998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4" t="s">
        <v>55</v>
      </c>
      <c r="R106" s="4">
        <v>0</v>
      </c>
      <c r="S106" s="4" t="s">
        <v>165</v>
      </c>
      <c r="U106" s="4">
        <v>9</v>
      </c>
      <c r="V106" s="4">
        <v>0</v>
      </c>
      <c r="W106" s="4">
        <v>0</v>
      </c>
    </row>
    <row r="107" spans="1:23" ht="11.25" customHeight="1" x14ac:dyDescent="0.3">
      <c r="A107" s="4" t="s">
        <v>21</v>
      </c>
      <c r="B107" s="4" t="s">
        <v>39</v>
      </c>
      <c r="C107" s="4" t="s">
        <v>40</v>
      </c>
      <c r="D107" s="4" t="s">
        <v>38</v>
      </c>
      <c r="E107" s="4" t="s">
        <v>25</v>
      </c>
      <c r="F107" s="4" t="s">
        <v>56</v>
      </c>
      <c r="G107" s="4" t="s">
        <v>25</v>
      </c>
      <c r="H107" s="4" t="s">
        <v>34</v>
      </c>
      <c r="I107" s="5">
        <v>44774</v>
      </c>
      <c r="J107" s="6">
        <v>15437</v>
      </c>
      <c r="K107" s="6">
        <v>8181.5836027300002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4" t="s">
        <v>55</v>
      </c>
      <c r="R107" s="4">
        <v>0</v>
      </c>
      <c r="S107" s="4" t="s">
        <v>166</v>
      </c>
      <c r="U107" s="4">
        <v>9</v>
      </c>
      <c r="V107" s="4">
        <v>0</v>
      </c>
      <c r="W107" s="4">
        <v>0</v>
      </c>
    </row>
    <row r="108" spans="1:23" ht="11.25" customHeight="1" x14ac:dyDescent="0.3">
      <c r="A108" s="4" t="s">
        <v>21</v>
      </c>
      <c r="B108" s="4" t="s">
        <v>39</v>
      </c>
      <c r="C108" s="4" t="s">
        <v>40</v>
      </c>
      <c r="D108" s="4" t="s">
        <v>38</v>
      </c>
      <c r="E108" s="4" t="s">
        <v>25</v>
      </c>
      <c r="F108" s="4" t="s">
        <v>56</v>
      </c>
      <c r="G108" s="4" t="s">
        <v>25</v>
      </c>
      <c r="H108" s="4" t="s">
        <v>34</v>
      </c>
      <c r="I108" s="5">
        <v>44805</v>
      </c>
      <c r="J108" s="6">
        <v>15410</v>
      </c>
      <c r="K108" s="6">
        <v>8717.6713861000007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4" t="s">
        <v>55</v>
      </c>
      <c r="R108" s="4">
        <v>0</v>
      </c>
      <c r="S108" s="4" t="s">
        <v>167</v>
      </c>
      <c r="U108" s="4">
        <v>9</v>
      </c>
      <c r="V108" s="4">
        <v>0</v>
      </c>
      <c r="W108" s="4">
        <v>0</v>
      </c>
    </row>
    <row r="109" spans="1:23" ht="11.25" customHeight="1" x14ac:dyDescent="0.3">
      <c r="A109" s="4" t="s">
        <v>53</v>
      </c>
      <c r="B109" s="4" t="s">
        <v>39</v>
      </c>
      <c r="C109" s="4" t="s">
        <v>40</v>
      </c>
      <c r="D109" s="4" t="s">
        <v>38</v>
      </c>
      <c r="E109" s="4" t="s">
        <v>25</v>
      </c>
      <c r="F109" s="4" t="s">
        <v>56</v>
      </c>
      <c r="G109" s="4" t="s">
        <v>25</v>
      </c>
      <c r="H109" s="4" t="s">
        <v>34</v>
      </c>
      <c r="I109" s="5">
        <v>44835</v>
      </c>
      <c r="J109" s="6">
        <v>15410</v>
      </c>
      <c r="K109" s="6">
        <v>8717.6713861000007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4" t="s">
        <v>55</v>
      </c>
      <c r="R109" s="4">
        <v>0</v>
      </c>
      <c r="S109" s="4" t="s">
        <v>168</v>
      </c>
      <c r="U109" s="4">
        <v>9</v>
      </c>
      <c r="V109" s="4">
        <v>0</v>
      </c>
      <c r="W109" s="4">
        <v>0</v>
      </c>
    </row>
    <row r="110" spans="1:23" ht="11.25" customHeight="1" x14ac:dyDescent="0.3">
      <c r="A110" s="4" t="s">
        <v>21</v>
      </c>
      <c r="B110" s="4" t="s">
        <v>39</v>
      </c>
      <c r="C110" s="4" t="s">
        <v>40</v>
      </c>
      <c r="D110" s="4" t="s">
        <v>38</v>
      </c>
      <c r="E110" s="4" t="s">
        <v>25</v>
      </c>
      <c r="F110" s="4" t="s">
        <v>25</v>
      </c>
      <c r="G110" s="4" t="s">
        <v>25</v>
      </c>
      <c r="H110" s="4" t="s">
        <v>35</v>
      </c>
      <c r="I110" s="5">
        <v>44501</v>
      </c>
      <c r="J110" s="6">
        <v>655</v>
      </c>
      <c r="K110" s="6">
        <v>655</v>
      </c>
      <c r="L110" s="6">
        <v>245.398</v>
      </c>
      <c r="M110" s="6">
        <v>245.398</v>
      </c>
      <c r="N110" s="6">
        <v>245.398</v>
      </c>
      <c r="O110" s="6">
        <v>245.398</v>
      </c>
      <c r="P110" s="6">
        <v>0</v>
      </c>
      <c r="Q110" s="4" t="s">
        <v>26</v>
      </c>
      <c r="R110" s="4">
        <v>0</v>
      </c>
      <c r="S110" s="4" t="s">
        <v>145</v>
      </c>
      <c r="T110" s="4" t="s">
        <v>434</v>
      </c>
      <c r="U110" s="4">
        <v>22</v>
      </c>
      <c r="V110" s="4">
        <v>12</v>
      </c>
      <c r="W110" s="4">
        <v>61</v>
      </c>
    </row>
    <row r="111" spans="1:23" ht="11.25" customHeight="1" x14ac:dyDescent="0.3">
      <c r="A111" s="4" t="s">
        <v>21</v>
      </c>
      <c r="B111" s="4" t="s">
        <v>39</v>
      </c>
      <c r="C111" s="4" t="s">
        <v>40</v>
      </c>
      <c r="D111" s="4" t="s">
        <v>38</v>
      </c>
      <c r="E111" s="4" t="s">
        <v>25</v>
      </c>
      <c r="F111" s="4" t="s">
        <v>25</v>
      </c>
      <c r="G111" s="4" t="s">
        <v>25</v>
      </c>
      <c r="H111" s="4" t="s">
        <v>35</v>
      </c>
      <c r="I111" s="5">
        <v>44501</v>
      </c>
      <c r="J111" s="6">
        <v>12919</v>
      </c>
      <c r="K111" s="6">
        <v>12919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4" t="s">
        <v>55</v>
      </c>
      <c r="R111" s="4">
        <v>0</v>
      </c>
      <c r="S111" s="4" t="s">
        <v>145</v>
      </c>
      <c r="U111" s="4">
        <v>22</v>
      </c>
      <c r="V111" s="4">
        <v>0</v>
      </c>
      <c r="W111" s="4">
        <v>0</v>
      </c>
    </row>
    <row r="112" spans="1:23" ht="11.25" customHeight="1" x14ac:dyDescent="0.3">
      <c r="A112" s="4" t="s">
        <v>21</v>
      </c>
      <c r="B112" s="4" t="s">
        <v>39</v>
      </c>
      <c r="C112" s="4" t="s">
        <v>40</v>
      </c>
      <c r="D112" s="4" t="s">
        <v>38</v>
      </c>
      <c r="E112" s="4" t="s">
        <v>25</v>
      </c>
      <c r="F112" s="4" t="s">
        <v>25</v>
      </c>
      <c r="G112" s="4" t="s">
        <v>25</v>
      </c>
      <c r="H112" s="4" t="s">
        <v>35</v>
      </c>
      <c r="I112" s="5">
        <v>44531</v>
      </c>
      <c r="J112" s="6">
        <v>644</v>
      </c>
      <c r="K112" s="6">
        <v>644</v>
      </c>
      <c r="L112" s="6">
        <v>196.267</v>
      </c>
      <c r="M112" s="6">
        <v>196.267</v>
      </c>
      <c r="N112" s="6">
        <v>196.267</v>
      </c>
      <c r="O112" s="6">
        <v>196.267</v>
      </c>
      <c r="P112" s="6">
        <v>0</v>
      </c>
      <c r="Q112" s="4" t="s">
        <v>26</v>
      </c>
      <c r="R112" s="4">
        <v>0</v>
      </c>
      <c r="S112" s="4" t="s">
        <v>146</v>
      </c>
      <c r="T112" s="4" t="s">
        <v>435</v>
      </c>
      <c r="U112" s="4">
        <v>22</v>
      </c>
      <c r="V112" s="4">
        <v>12</v>
      </c>
      <c r="W112" s="4">
        <v>61</v>
      </c>
    </row>
    <row r="113" spans="1:23" ht="11.25" customHeight="1" x14ac:dyDescent="0.3">
      <c r="A113" s="4" t="s">
        <v>21</v>
      </c>
      <c r="B113" s="4" t="s">
        <v>39</v>
      </c>
      <c r="C113" s="4" t="s">
        <v>40</v>
      </c>
      <c r="D113" s="4" t="s">
        <v>38</v>
      </c>
      <c r="E113" s="4" t="s">
        <v>25</v>
      </c>
      <c r="F113" s="4" t="s">
        <v>25</v>
      </c>
      <c r="G113" s="4" t="s">
        <v>25</v>
      </c>
      <c r="H113" s="4" t="s">
        <v>35</v>
      </c>
      <c r="I113" s="5">
        <v>44531</v>
      </c>
      <c r="J113" s="6">
        <v>12908</v>
      </c>
      <c r="K113" s="6">
        <v>12908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4" t="s">
        <v>55</v>
      </c>
      <c r="R113" s="4">
        <v>0</v>
      </c>
      <c r="S113" s="4" t="s">
        <v>146</v>
      </c>
      <c r="U113" s="4">
        <v>22</v>
      </c>
      <c r="V113" s="4">
        <v>0</v>
      </c>
      <c r="W113" s="4">
        <v>0</v>
      </c>
    </row>
    <row r="114" spans="1:23" ht="11.25" customHeight="1" x14ac:dyDescent="0.3">
      <c r="A114" s="4" t="s">
        <v>21</v>
      </c>
      <c r="B114" s="4" t="s">
        <v>39</v>
      </c>
      <c r="C114" s="4" t="s">
        <v>40</v>
      </c>
      <c r="D114" s="4" t="s">
        <v>38</v>
      </c>
      <c r="E114" s="4" t="s">
        <v>25</v>
      </c>
      <c r="F114" s="4" t="s">
        <v>25</v>
      </c>
      <c r="G114" s="4" t="s">
        <v>25</v>
      </c>
      <c r="H114" s="4" t="s">
        <v>35</v>
      </c>
      <c r="I114" s="5">
        <v>44562</v>
      </c>
      <c r="J114" s="6">
        <v>673</v>
      </c>
      <c r="K114" s="6">
        <v>673</v>
      </c>
      <c r="L114" s="6">
        <v>252.768</v>
      </c>
      <c r="M114" s="6">
        <v>252.768</v>
      </c>
      <c r="N114" s="6">
        <v>252.768</v>
      </c>
      <c r="O114" s="6">
        <v>252.768</v>
      </c>
      <c r="P114" s="6">
        <v>0</v>
      </c>
      <c r="Q114" s="4" t="s">
        <v>26</v>
      </c>
      <c r="R114" s="4">
        <v>0</v>
      </c>
      <c r="S114" s="4" t="s">
        <v>147</v>
      </c>
      <c r="T114" s="4" t="s">
        <v>436</v>
      </c>
      <c r="U114" s="4">
        <v>22</v>
      </c>
      <c r="V114" s="4">
        <v>12</v>
      </c>
      <c r="W114" s="4">
        <v>61</v>
      </c>
    </row>
    <row r="115" spans="1:23" ht="11.25" customHeight="1" x14ac:dyDescent="0.3">
      <c r="A115" s="4" t="s">
        <v>21</v>
      </c>
      <c r="B115" s="4" t="s">
        <v>39</v>
      </c>
      <c r="C115" s="4" t="s">
        <v>40</v>
      </c>
      <c r="D115" s="4" t="s">
        <v>38</v>
      </c>
      <c r="E115" s="4" t="s">
        <v>25</v>
      </c>
      <c r="F115" s="4" t="s">
        <v>25</v>
      </c>
      <c r="G115" s="4" t="s">
        <v>25</v>
      </c>
      <c r="H115" s="4" t="s">
        <v>35</v>
      </c>
      <c r="I115" s="5">
        <v>44562</v>
      </c>
      <c r="J115" s="6">
        <v>13049</v>
      </c>
      <c r="K115" s="6">
        <v>13049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4" t="s">
        <v>55</v>
      </c>
      <c r="R115" s="4">
        <v>0</v>
      </c>
      <c r="S115" s="4" t="s">
        <v>147</v>
      </c>
      <c r="U115" s="4">
        <v>22</v>
      </c>
      <c r="V115" s="4">
        <v>0</v>
      </c>
      <c r="W115" s="4">
        <v>0</v>
      </c>
    </row>
    <row r="116" spans="1:23" ht="11.25" customHeight="1" x14ac:dyDescent="0.3">
      <c r="A116" s="4" t="s">
        <v>21</v>
      </c>
      <c r="B116" s="4" t="s">
        <v>39</v>
      </c>
      <c r="C116" s="4" t="s">
        <v>40</v>
      </c>
      <c r="D116" s="4" t="s">
        <v>38</v>
      </c>
      <c r="E116" s="4" t="s">
        <v>25</v>
      </c>
      <c r="F116" s="4" t="s">
        <v>25</v>
      </c>
      <c r="G116" s="4" t="s">
        <v>25</v>
      </c>
      <c r="H116" s="4" t="s">
        <v>35</v>
      </c>
      <c r="I116" s="5">
        <v>44593</v>
      </c>
      <c r="J116" s="6">
        <v>715</v>
      </c>
      <c r="K116" s="6">
        <v>715</v>
      </c>
      <c r="L116" s="6">
        <v>304.98899999999998</v>
      </c>
      <c r="M116" s="6">
        <v>304.98899999999998</v>
      </c>
      <c r="N116" s="6">
        <v>304.98899999999998</v>
      </c>
      <c r="O116" s="6">
        <v>304.98899999999998</v>
      </c>
      <c r="P116" s="6">
        <v>0</v>
      </c>
      <c r="Q116" s="4" t="s">
        <v>26</v>
      </c>
      <c r="R116" s="4">
        <v>0</v>
      </c>
      <c r="S116" s="4" t="s">
        <v>148</v>
      </c>
      <c r="T116" s="4" t="s">
        <v>437</v>
      </c>
      <c r="U116" s="4">
        <v>22</v>
      </c>
      <c r="V116" s="4">
        <v>12</v>
      </c>
      <c r="W116" s="4">
        <v>61</v>
      </c>
    </row>
    <row r="117" spans="1:23" ht="11.25" customHeight="1" x14ac:dyDescent="0.3">
      <c r="A117" s="4" t="s">
        <v>21</v>
      </c>
      <c r="B117" s="4" t="s">
        <v>39</v>
      </c>
      <c r="C117" s="4" t="s">
        <v>40</v>
      </c>
      <c r="D117" s="4" t="s">
        <v>38</v>
      </c>
      <c r="E117" s="4" t="s">
        <v>25</v>
      </c>
      <c r="F117" s="4" t="s">
        <v>25</v>
      </c>
      <c r="G117" s="4" t="s">
        <v>25</v>
      </c>
      <c r="H117" s="4" t="s">
        <v>35</v>
      </c>
      <c r="I117" s="5">
        <v>44593</v>
      </c>
      <c r="J117" s="6">
        <v>13010</v>
      </c>
      <c r="K117" s="6">
        <v>13010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4" t="s">
        <v>55</v>
      </c>
      <c r="R117" s="4">
        <v>0</v>
      </c>
      <c r="S117" s="4" t="s">
        <v>148</v>
      </c>
      <c r="U117" s="4">
        <v>22</v>
      </c>
      <c r="V117" s="4">
        <v>0</v>
      </c>
      <c r="W117" s="4">
        <v>0</v>
      </c>
    </row>
    <row r="118" spans="1:23" ht="11.25" customHeight="1" x14ac:dyDescent="0.3">
      <c r="A118" s="4" t="s">
        <v>21</v>
      </c>
      <c r="B118" s="4" t="s">
        <v>39</v>
      </c>
      <c r="C118" s="4" t="s">
        <v>40</v>
      </c>
      <c r="D118" s="4" t="s">
        <v>38</v>
      </c>
      <c r="E118" s="4" t="s">
        <v>25</v>
      </c>
      <c r="F118" s="4" t="s">
        <v>25</v>
      </c>
      <c r="G118" s="4" t="s">
        <v>25</v>
      </c>
      <c r="H118" s="4" t="s">
        <v>35</v>
      </c>
      <c r="I118" s="5">
        <v>44621</v>
      </c>
      <c r="J118" s="6">
        <v>667</v>
      </c>
      <c r="K118" s="6">
        <v>667</v>
      </c>
      <c r="L118" s="6">
        <v>235.69800000000001</v>
      </c>
      <c r="M118" s="6">
        <v>235.69800000000001</v>
      </c>
      <c r="N118" s="6">
        <v>235.69800000000001</v>
      </c>
      <c r="O118" s="6">
        <v>235.69800000000001</v>
      </c>
      <c r="P118" s="6">
        <v>0</v>
      </c>
      <c r="Q118" s="4" t="s">
        <v>26</v>
      </c>
      <c r="R118" s="4">
        <v>0</v>
      </c>
      <c r="S118" s="4" t="s">
        <v>149</v>
      </c>
      <c r="T118" s="4" t="s">
        <v>438</v>
      </c>
      <c r="U118" s="4">
        <v>22</v>
      </c>
      <c r="V118" s="4">
        <v>12</v>
      </c>
      <c r="W118" s="4">
        <v>61</v>
      </c>
    </row>
    <row r="119" spans="1:23" ht="11.25" customHeight="1" x14ac:dyDescent="0.3">
      <c r="A119" s="4" t="s">
        <v>21</v>
      </c>
      <c r="B119" s="4" t="s">
        <v>39</v>
      </c>
      <c r="C119" s="4" t="s">
        <v>40</v>
      </c>
      <c r="D119" s="4" t="s">
        <v>38</v>
      </c>
      <c r="E119" s="4" t="s">
        <v>25</v>
      </c>
      <c r="F119" s="4" t="s">
        <v>25</v>
      </c>
      <c r="G119" s="4" t="s">
        <v>25</v>
      </c>
      <c r="H119" s="4" t="s">
        <v>35</v>
      </c>
      <c r="I119" s="5">
        <v>44621</v>
      </c>
      <c r="J119" s="6">
        <v>10852</v>
      </c>
      <c r="K119" s="6">
        <v>10852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4" t="s">
        <v>55</v>
      </c>
      <c r="R119" s="4">
        <v>0</v>
      </c>
      <c r="S119" s="4" t="s">
        <v>149</v>
      </c>
      <c r="U119" s="4">
        <v>22</v>
      </c>
      <c r="V119" s="4">
        <v>0</v>
      </c>
      <c r="W119" s="4">
        <v>0</v>
      </c>
    </row>
    <row r="120" spans="1:23" ht="11.25" customHeight="1" x14ac:dyDescent="0.3">
      <c r="A120" s="4" t="s">
        <v>21</v>
      </c>
      <c r="B120" s="4" t="s">
        <v>39</v>
      </c>
      <c r="C120" s="4" t="s">
        <v>40</v>
      </c>
      <c r="D120" s="4" t="s">
        <v>38</v>
      </c>
      <c r="E120" s="4" t="s">
        <v>25</v>
      </c>
      <c r="F120" s="4" t="s">
        <v>25</v>
      </c>
      <c r="G120" s="4" t="s">
        <v>25</v>
      </c>
      <c r="H120" s="4" t="s">
        <v>35</v>
      </c>
      <c r="I120" s="5">
        <v>44652</v>
      </c>
      <c r="J120" s="6">
        <v>694</v>
      </c>
      <c r="K120" s="6">
        <v>694</v>
      </c>
      <c r="L120" s="6">
        <v>315.24099999999999</v>
      </c>
      <c r="M120" s="6">
        <v>315.24099999999999</v>
      </c>
      <c r="N120" s="6">
        <v>315.24099999999999</v>
      </c>
      <c r="O120" s="6">
        <v>315.24099999999999</v>
      </c>
      <c r="P120" s="6">
        <v>0</v>
      </c>
      <c r="Q120" s="4" t="s">
        <v>26</v>
      </c>
      <c r="R120" s="4">
        <v>0</v>
      </c>
      <c r="S120" s="4" t="s">
        <v>150</v>
      </c>
      <c r="T120" s="4" t="s">
        <v>439</v>
      </c>
      <c r="U120" s="4">
        <v>22</v>
      </c>
      <c r="V120" s="4">
        <v>12</v>
      </c>
      <c r="W120" s="4">
        <v>61</v>
      </c>
    </row>
    <row r="121" spans="1:23" ht="11.25" customHeight="1" x14ac:dyDescent="0.3">
      <c r="A121" s="4" t="s">
        <v>21</v>
      </c>
      <c r="B121" s="4" t="s">
        <v>39</v>
      </c>
      <c r="C121" s="4" t="s">
        <v>40</v>
      </c>
      <c r="D121" s="4" t="s">
        <v>38</v>
      </c>
      <c r="E121" s="4" t="s">
        <v>25</v>
      </c>
      <c r="F121" s="4" t="s">
        <v>25</v>
      </c>
      <c r="G121" s="4" t="s">
        <v>25</v>
      </c>
      <c r="H121" s="4" t="s">
        <v>35</v>
      </c>
      <c r="I121" s="5">
        <v>44652</v>
      </c>
      <c r="J121" s="6">
        <v>10265</v>
      </c>
      <c r="K121" s="6">
        <v>10265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4" t="s">
        <v>55</v>
      </c>
      <c r="R121" s="4">
        <v>0</v>
      </c>
      <c r="S121" s="4" t="s">
        <v>150</v>
      </c>
      <c r="U121" s="4">
        <v>22</v>
      </c>
      <c r="V121" s="4">
        <v>0</v>
      </c>
      <c r="W121" s="4">
        <v>0</v>
      </c>
    </row>
    <row r="122" spans="1:23" ht="11.25" customHeight="1" x14ac:dyDescent="0.3">
      <c r="A122" s="4" t="s">
        <v>21</v>
      </c>
      <c r="B122" s="4" t="s">
        <v>39</v>
      </c>
      <c r="C122" s="4" t="s">
        <v>40</v>
      </c>
      <c r="D122" s="4" t="s">
        <v>38</v>
      </c>
      <c r="E122" s="4" t="s">
        <v>25</v>
      </c>
      <c r="F122" s="4" t="s">
        <v>25</v>
      </c>
      <c r="G122" s="4" t="s">
        <v>25</v>
      </c>
      <c r="H122" s="4" t="s">
        <v>35</v>
      </c>
      <c r="I122" s="5">
        <v>44682</v>
      </c>
      <c r="J122" s="6">
        <v>689</v>
      </c>
      <c r="K122" s="6">
        <v>689</v>
      </c>
      <c r="L122" s="6">
        <v>262.39299999999997</v>
      </c>
      <c r="M122" s="6">
        <v>262.39299999999997</v>
      </c>
      <c r="N122" s="6">
        <v>262.39299999999997</v>
      </c>
      <c r="O122" s="6">
        <v>262.39299999999997</v>
      </c>
      <c r="P122" s="6">
        <v>0</v>
      </c>
      <c r="Q122" s="4" t="s">
        <v>26</v>
      </c>
      <c r="R122" s="4">
        <v>0</v>
      </c>
      <c r="S122" s="4" t="s">
        <v>151</v>
      </c>
      <c r="T122" s="4" t="s">
        <v>440</v>
      </c>
      <c r="U122" s="4">
        <v>22</v>
      </c>
      <c r="V122" s="4">
        <v>12</v>
      </c>
      <c r="W122" s="4">
        <v>61</v>
      </c>
    </row>
    <row r="123" spans="1:23" ht="11.25" customHeight="1" x14ac:dyDescent="0.3">
      <c r="A123" s="4" t="s">
        <v>21</v>
      </c>
      <c r="B123" s="4" t="s">
        <v>39</v>
      </c>
      <c r="C123" s="4" t="s">
        <v>40</v>
      </c>
      <c r="D123" s="4" t="s">
        <v>38</v>
      </c>
      <c r="E123" s="4" t="s">
        <v>25</v>
      </c>
      <c r="F123" s="4" t="s">
        <v>25</v>
      </c>
      <c r="G123" s="4" t="s">
        <v>25</v>
      </c>
      <c r="H123" s="4" t="s">
        <v>35</v>
      </c>
      <c r="I123" s="5">
        <v>44682</v>
      </c>
      <c r="J123" s="6">
        <v>11423</v>
      </c>
      <c r="K123" s="6">
        <v>11423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4" t="s">
        <v>55</v>
      </c>
      <c r="R123" s="4">
        <v>0</v>
      </c>
      <c r="S123" s="4" t="s">
        <v>151</v>
      </c>
      <c r="U123" s="4">
        <v>22</v>
      </c>
      <c r="V123" s="4">
        <v>0</v>
      </c>
      <c r="W123" s="4">
        <v>0</v>
      </c>
    </row>
    <row r="124" spans="1:23" ht="11.25" customHeight="1" x14ac:dyDescent="0.3">
      <c r="A124" s="4" t="s">
        <v>21</v>
      </c>
      <c r="B124" s="4" t="s">
        <v>39</v>
      </c>
      <c r="C124" s="4" t="s">
        <v>40</v>
      </c>
      <c r="D124" s="4" t="s">
        <v>38</v>
      </c>
      <c r="E124" s="4" t="s">
        <v>25</v>
      </c>
      <c r="F124" s="4" t="s">
        <v>25</v>
      </c>
      <c r="G124" s="4" t="s">
        <v>25</v>
      </c>
      <c r="H124" s="4" t="s">
        <v>35</v>
      </c>
      <c r="I124" s="5">
        <v>44713</v>
      </c>
      <c r="J124" s="6">
        <v>703</v>
      </c>
      <c r="K124" s="6">
        <v>703</v>
      </c>
      <c r="L124" s="6">
        <v>305.15199999999999</v>
      </c>
      <c r="M124" s="6">
        <v>305.15199999999999</v>
      </c>
      <c r="N124" s="6">
        <v>305.15199999999999</v>
      </c>
      <c r="O124" s="6">
        <v>305.15199999999999</v>
      </c>
      <c r="P124" s="6">
        <v>0</v>
      </c>
      <c r="Q124" s="4" t="s">
        <v>26</v>
      </c>
      <c r="R124" s="4">
        <v>0</v>
      </c>
      <c r="S124" s="4" t="s">
        <v>152</v>
      </c>
      <c r="T124" s="4" t="s">
        <v>441</v>
      </c>
      <c r="U124" s="4">
        <v>22</v>
      </c>
      <c r="V124" s="4">
        <v>12</v>
      </c>
      <c r="W124" s="4">
        <v>61</v>
      </c>
    </row>
    <row r="125" spans="1:23" ht="11.25" customHeight="1" x14ac:dyDescent="0.3">
      <c r="A125" s="4" t="s">
        <v>21</v>
      </c>
      <c r="B125" s="4" t="s">
        <v>39</v>
      </c>
      <c r="C125" s="4" t="s">
        <v>40</v>
      </c>
      <c r="D125" s="4" t="s">
        <v>38</v>
      </c>
      <c r="E125" s="4" t="s">
        <v>25</v>
      </c>
      <c r="F125" s="4" t="s">
        <v>25</v>
      </c>
      <c r="G125" s="4" t="s">
        <v>25</v>
      </c>
      <c r="H125" s="4" t="s">
        <v>35</v>
      </c>
      <c r="I125" s="5">
        <v>44713</v>
      </c>
      <c r="J125" s="6">
        <v>11194</v>
      </c>
      <c r="K125" s="6">
        <v>11194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4" t="s">
        <v>55</v>
      </c>
      <c r="R125" s="4">
        <v>0</v>
      </c>
      <c r="S125" s="4" t="s">
        <v>152</v>
      </c>
      <c r="U125" s="4">
        <v>22</v>
      </c>
      <c r="V125" s="4">
        <v>0</v>
      </c>
      <c r="W125" s="4">
        <v>0</v>
      </c>
    </row>
    <row r="126" spans="1:23" ht="11.25" customHeight="1" x14ac:dyDescent="0.3">
      <c r="A126" s="4" t="s">
        <v>21</v>
      </c>
      <c r="B126" s="4" t="s">
        <v>39</v>
      </c>
      <c r="C126" s="4" t="s">
        <v>40</v>
      </c>
      <c r="D126" s="4" t="s">
        <v>38</v>
      </c>
      <c r="E126" s="4" t="s">
        <v>25</v>
      </c>
      <c r="F126" s="4" t="s">
        <v>25</v>
      </c>
      <c r="G126" s="4" t="s">
        <v>25</v>
      </c>
      <c r="H126" s="4" t="s">
        <v>35</v>
      </c>
      <c r="I126" s="5">
        <v>44743</v>
      </c>
      <c r="J126" s="6">
        <v>690</v>
      </c>
      <c r="K126" s="6">
        <v>690</v>
      </c>
      <c r="L126" s="6">
        <v>149.71</v>
      </c>
      <c r="M126" s="6">
        <v>149.71</v>
      </c>
      <c r="N126" s="6">
        <v>149.71</v>
      </c>
      <c r="O126" s="6">
        <v>149.71</v>
      </c>
      <c r="P126" s="6">
        <v>0</v>
      </c>
      <c r="Q126" s="4" t="s">
        <v>26</v>
      </c>
      <c r="R126" s="4">
        <v>0</v>
      </c>
      <c r="S126" s="4" t="s">
        <v>153</v>
      </c>
      <c r="T126" s="4" t="s">
        <v>442</v>
      </c>
      <c r="U126" s="4">
        <v>22</v>
      </c>
      <c r="V126" s="4">
        <v>12</v>
      </c>
      <c r="W126" s="4">
        <v>61</v>
      </c>
    </row>
    <row r="127" spans="1:23" ht="11.25" customHeight="1" x14ac:dyDescent="0.3">
      <c r="A127" s="4" t="s">
        <v>21</v>
      </c>
      <c r="B127" s="4" t="s">
        <v>39</v>
      </c>
      <c r="C127" s="4" t="s">
        <v>40</v>
      </c>
      <c r="D127" s="4" t="s">
        <v>38</v>
      </c>
      <c r="E127" s="4" t="s">
        <v>25</v>
      </c>
      <c r="F127" s="4" t="s">
        <v>25</v>
      </c>
      <c r="G127" s="4" t="s">
        <v>25</v>
      </c>
      <c r="H127" s="4" t="s">
        <v>35</v>
      </c>
      <c r="I127" s="5">
        <v>44743</v>
      </c>
      <c r="J127" s="6">
        <v>11262</v>
      </c>
      <c r="K127" s="6">
        <v>11262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4" t="s">
        <v>55</v>
      </c>
      <c r="R127" s="4">
        <v>0</v>
      </c>
      <c r="S127" s="4" t="s">
        <v>153</v>
      </c>
      <c r="U127" s="4">
        <v>22</v>
      </c>
      <c r="V127" s="4">
        <v>0</v>
      </c>
      <c r="W127" s="4">
        <v>0</v>
      </c>
    </row>
    <row r="128" spans="1:23" ht="11.25" customHeight="1" x14ac:dyDescent="0.3">
      <c r="A128" s="4" t="s">
        <v>21</v>
      </c>
      <c r="B128" s="4" t="s">
        <v>39</v>
      </c>
      <c r="C128" s="4" t="s">
        <v>40</v>
      </c>
      <c r="D128" s="4" t="s">
        <v>38</v>
      </c>
      <c r="E128" s="4" t="s">
        <v>25</v>
      </c>
      <c r="F128" s="4" t="s">
        <v>25</v>
      </c>
      <c r="G128" s="4" t="s">
        <v>25</v>
      </c>
      <c r="H128" s="4" t="s">
        <v>35</v>
      </c>
      <c r="I128" s="5">
        <v>44774</v>
      </c>
      <c r="J128" s="6">
        <v>684</v>
      </c>
      <c r="K128" s="6">
        <v>684</v>
      </c>
      <c r="L128" s="6">
        <v>295.78199999999998</v>
      </c>
      <c r="M128" s="6">
        <v>295.78199999999998</v>
      </c>
      <c r="N128" s="6">
        <v>295.78199999999998</v>
      </c>
      <c r="O128" s="6">
        <v>295.78199999999998</v>
      </c>
      <c r="P128" s="6">
        <v>0</v>
      </c>
      <c r="Q128" s="4" t="s">
        <v>26</v>
      </c>
      <c r="R128" s="4">
        <v>0</v>
      </c>
      <c r="S128" s="4" t="s">
        <v>154</v>
      </c>
      <c r="T128" s="4" t="s">
        <v>443</v>
      </c>
      <c r="U128" s="4">
        <v>22</v>
      </c>
      <c r="V128" s="4">
        <v>12</v>
      </c>
      <c r="W128" s="4">
        <v>61</v>
      </c>
    </row>
    <row r="129" spans="1:23" ht="11.25" customHeight="1" x14ac:dyDescent="0.3">
      <c r="A129" s="4" t="s">
        <v>21</v>
      </c>
      <c r="B129" s="4" t="s">
        <v>39</v>
      </c>
      <c r="C129" s="4" t="s">
        <v>40</v>
      </c>
      <c r="D129" s="4" t="s">
        <v>38</v>
      </c>
      <c r="E129" s="4" t="s">
        <v>25</v>
      </c>
      <c r="F129" s="4" t="s">
        <v>25</v>
      </c>
      <c r="G129" s="4" t="s">
        <v>25</v>
      </c>
      <c r="H129" s="4" t="s">
        <v>35</v>
      </c>
      <c r="I129" s="5">
        <v>44774</v>
      </c>
      <c r="J129" s="6">
        <v>11014</v>
      </c>
      <c r="K129" s="6">
        <v>11014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4" t="s">
        <v>55</v>
      </c>
      <c r="R129" s="4">
        <v>0</v>
      </c>
      <c r="S129" s="4" t="s">
        <v>154</v>
      </c>
      <c r="U129" s="4">
        <v>22</v>
      </c>
      <c r="V129" s="4">
        <v>0</v>
      </c>
      <c r="W129" s="4">
        <v>0</v>
      </c>
    </row>
    <row r="130" spans="1:23" ht="11.25" customHeight="1" x14ac:dyDescent="0.3">
      <c r="A130" s="4" t="s">
        <v>21</v>
      </c>
      <c r="B130" s="4" t="s">
        <v>39</v>
      </c>
      <c r="C130" s="4" t="s">
        <v>40</v>
      </c>
      <c r="D130" s="4" t="s">
        <v>38</v>
      </c>
      <c r="E130" s="4" t="s">
        <v>25</v>
      </c>
      <c r="F130" s="4" t="s">
        <v>25</v>
      </c>
      <c r="G130" s="4" t="s">
        <v>25</v>
      </c>
      <c r="H130" s="4" t="s">
        <v>35</v>
      </c>
      <c r="I130" s="5">
        <v>44805</v>
      </c>
      <c r="J130" s="6">
        <v>718</v>
      </c>
      <c r="K130" s="6">
        <v>718</v>
      </c>
      <c r="L130" s="6">
        <v>289.19900000000001</v>
      </c>
      <c r="M130" s="6">
        <v>289.19900000000001</v>
      </c>
      <c r="N130" s="6">
        <v>289.19900000000001</v>
      </c>
      <c r="O130" s="6">
        <v>289.19900000000001</v>
      </c>
      <c r="P130" s="6">
        <v>0</v>
      </c>
      <c r="Q130" s="4" t="s">
        <v>26</v>
      </c>
      <c r="R130" s="4">
        <v>0</v>
      </c>
      <c r="S130" s="4" t="s">
        <v>155</v>
      </c>
      <c r="T130" s="4" t="s">
        <v>444</v>
      </c>
      <c r="U130" s="4">
        <v>22</v>
      </c>
      <c r="V130" s="4">
        <v>12</v>
      </c>
      <c r="W130" s="4">
        <v>61</v>
      </c>
    </row>
    <row r="131" spans="1:23" ht="11.25" customHeight="1" x14ac:dyDescent="0.3">
      <c r="A131" s="4" t="s">
        <v>21</v>
      </c>
      <c r="B131" s="4" t="s">
        <v>39</v>
      </c>
      <c r="C131" s="4" t="s">
        <v>40</v>
      </c>
      <c r="D131" s="4" t="s">
        <v>38</v>
      </c>
      <c r="E131" s="4" t="s">
        <v>25</v>
      </c>
      <c r="F131" s="4" t="s">
        <v>25</v>
      </c>
      <c r="G131" s="4" t="s">
        <v>25</v>
      </c>
      <c r="H131" s="4" t="s">
        <v>35</v>
      </c>
      <c r="I131" s="5">
        <v>44805</v>
      </c>
      <c r="J131" s="6">
        <v>12172</v>
      </c>
      <c r="K131" s="6">
        <v>12172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4" t="s">
        <v>55</v>
      </c>
      <c r="R131" s="4">
        <v>0</v>
      </c>
      <c r="S131" s="4" t="s">
        <v>155</v>
      </c>
      <c r="U131" s="4">
        <v>22</v>
      </c>
      <c r="V131" s="4">
        <v>0</v>
      </c>
      <c r="W131" s="4">
        <v>0</v>
      </c>
    </row>
    <row r="132" spans="1:23" ht="11.25" customHeight="1" x14ac:dyDescent="0.3">
      <c r="A132" s="4" t="s">
        <v>53</v>
      </c>
      <c r="B132" s="4" t="s">
        <v>39</v>
      </c>
      <c r="C132" s="4" t="s">
        <v>40</v>
      </c>
      <c r="D132" s="4" t="s">
        <v>38</v>
      </c>
      <c r="E132" s="4" t="s">
        <v>25</v>
      </c>
      <c r="F132" s="4" t="s">
        <v>25</v>
      </c>
      <c r="G132" s="4" t="s">
        <v>25</v>
      </c>
      <c r="H132" s="4" t="s">
        <v>35</v>
      </c>
      <c r="I132" s="5">
        <v>44835</v>
      </c>
      <c r="J132" s="6">
        <v>718</v>
      </c>
      <c r="K132" s="6">
        <v>718</v>
      </c>
      <c r="L132" s="6">
        <v>289.19900000000001</v>
      </c>
      <c r="M132" s="6">
        <v>289.19900000000001</v>
      </c>
      <c r="N132" s="6">
        <v>289.19900000000001</v>
      </c>
      <c r="O132" s="6">
        <v>289.19900000000001</v>
      </c>
      <c r="P132" s="6">
        <v>0</v>
      </c>
      <c r="Q132" s="4" t="s">
        <v>26</v>
      </c>
      <c r="R132" s="4">
        <v>0</v>
      </c>
      <c r="S132" s="4" t="s">
        <v>156</v>
      </c>
      <c r="T132" s="4" t="s">
        <v>445</v>
      </c>
      <c r="U132" s="4">
        <v>22</v>
      </c>
      <c r="V132" s="4">
        <v>12</v>
      </c>
      <c r="W132" s="4">
        <v>61</v>
      </c>
    </row>
    <row r="133" spans="1:23" ht="11.25" customHeight="1" x14ac:dyDescent="0.3">
      <c r="A133" s="4" t="s">
        <v>53</v>
      </c>
      <c r="B133" s="4" t="s">
        <v>39</v>
      </c>
      <c r="C133" s="4" t="s">
        <v>40</v>
      </c>
      <c r="D133" s="4" t="s">
        <v>38</v>
      </c>
      <c r="E133" s="4" t="s">
        <v>25</v>
      </c>
      <c r="F133" s="4" t="s">
        <v>25</v>
      </c>
      <c r="G133" s="4" t="s">
        <v>25</v>
      </c>
      <c r="H133" s="4" t="s">
        <v>35</v>
      </c>
      <c r="I133" s="5">
        <v>44835</v>
      </c>
      <c r="J133" s="6">
        <v>12172</v>
      </c>
      <c r="K133" s="6">
        <v>12172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4" t="s">
        <v>55</v>
      </c>
      <c r="R133" s="4">
        <v>0</v>
      </c>
      <c r="S133" s="4" t="s">
        <v>156</v>
      </c>
      <c r="U133" s="4">
        <v>22</v>
      </c>
      <c r="V133" s="4">
        <v>0</v>
      </c>
      <c r="W133" s="4">
        <v>0</v>
      </c>
    </row>
    <row r="134" spans="1:23" ht="11.25" customHeight="1" x14ac:dyDescent="0.3">
      <c r="A134" s="4" t="s">
        <v>21</v>
      </c>
      <c r="B134" s="4" t="s">
        <v>39</v>
      </c>
      <c r="C134" s="4" t="s">
        <v>40</v>
      </c>
      <c r="D134" s="4" t="s">
        <v>38</v>
      </c>
      <c r="E134" s="4" t="s">
        <v>25</v>
      </c>
      <c r="F134" s="4" t="s">
        <v>25</v>
      </c>
      <c r="G134" s="4" t="s">
        <v>25</v>
      </c>
      <c r="H134" s="4" t="s">
        <v>25</v>
      </c>
      <c r="I134" s="5">
        <v>44501</v>
      </c>
      <c r="J134" s="6">
        <v>0</v>
      </c>
      <c r="K134" s="6">
        <v>0</v>
      </c>
      <c r="L134" s="6">
        <v>7162.64</v>
      </c>
      <c r="M134" s="6">
        <v>7162.64</v>
      </c>
      <c r="N134" s="6">
        <v>0</v>
      </c>
      <c r="O134" s="6">
        <v>0</v>
      </c>
      <c r="P134" s="6">
        <v>2</v>
      </c>
      <c r="Q134" s="4" t="s">
        <v>55</v>
      </c>
      <c r="R134" s="4">
        <v>0</v>
      </c>
      <c r="S134" s="4" t="s">
        <v>169</v>
      </c>
      <c r="U134" s="4">
        <v>0</v>
      </c>
      <c r="V134" s="4">
        <v>12</v>
      </c>
      <c r="W134" s="4">
        <v>0</v>
      </c>
    </row>
    <row r="135" spans="1:23" ht="11.25" customHeight="1" x14ac:dyDescent="0.3">
      <c r="A135" s="4" t="s">
        <v>21</v>
      </c>
      <c r="B135" s="4" t="s">
        <v>39</v>
      </c>
      <c r="C135" s="4" t="s">
        <v>40</v>
      </c>
      <c r="D135" s="4" t="s">
        <v>38</v>
      </c>
      <c r="E135" s="4" t="s">
        <v>25</v>
      </c>
      <c r="F135" s="4" t="s">
        <v>25</v>
      </c>
      <c r="G135" s="4" t="s">
        <v>25</v>
      </c>
      <c r="H135" s="4" t="s">
        <v>25</v>
      </c>
      <c r="I135" s="5">
        <v>44531</v>
      </c>
      <c r="J135" s="6">
        <v>0</v>
      </c>
      <c r="K135" s="6">
        <v>0</v>
      </c>
      <c r="L135" s="6">
        <v>5818.6549999999997</v>
      </c>
      <c r="M135" s="6">
        <v>5818.6549999999997</v>
      </c>
      <c r="N135" s="6">
        <v>0</v>
      </c>
      <c r="O135" s="6">
        <v>0</v>
      </c>
      <c r="P135" s="6">
        <v>2</v>
      </c>
      <c r="Q135" s="4" t="s">
        <v>55</v>
      </c>
      <c r="R135" s="4">
        <v>0</v>
      </c>
      <c r="S135" s="4" t="s">
        <v>170</v>
      </c>
      <c r="U135" s="4">
        <v>0</v>
      </c>
      <c r="V135" s="4">
        <v>12</v>
      </c>
      <c r="W135" s="4">
        <v>0</v>
      </c>
    </row>
    <row r="136" spans="1:23" ht="11.25" customHeight="1" x14ac:dyDescent="0.3">
      <c r="A136" s="4" t="s">
        <v>21</v>
      </c>
      <c r="B136" s="4" t="s">
        <v>39</v>
      </c>
      <c r="C136" s="4" t="s">
        <v>40</v>
      </c>
      <c r="D136" s="4" t="s">
        <v>38</v>
      </c>
      <c r="E136" s="4" t="s">
        <v>25</v>
      </c>
      <c r="F136" s="4" t="s">
        <v>25</v>
      </c>
      <c r="G136" s="4" t="s">
        <v>25</v>
      </c>
      <c r="H136" s="4" t="s">
        <v>25</v>
      </c>
      <c r="I136" s="5">
        <v>44562</v>
      </c>
      <c r="J136" s="6">
        <v>0</v>
      </c>
      <c r="K136" s="6">
        <v>0</v>
      </c>
      <c r="L136" s="6">
        <v>6211.3980000000001</v>
      </c>
      <c r="M136" s="6">
        <v>6211.3980000000001</v>
      </c>
      <c r="N136" s="6">
        <v>0</v>
      </c>
      <c r="O136" s="6">
        <v>0</v>
      </c>
      <c r="P136" s="6">
        <v>2</v>
      </c>
      <c r="Q136" s="4" t="s">
        <v>55</v>
      </c>
      <c r="R136" s="4">
        <v>0</v>
      </c>
      <c r="S136" s="4" t="s">
        <v>171</v>
      </c>
      <c r="U136" s="4">
        <v>0</v>
      </c>
      <c r="V136" s="4">
        <v>12</v>
      </c>
      <c r="W136" s="4">
        <v>0</v>
      </c>
    </row>
    <row r="137" spans="1:23" ht="11.25" customHeight="1" x14ac:dyDescent="0.3">
      <c r="A137" s="4" t="s">
        <v>21</v>
      </c>
      <c r="B137" s="4" t="s">
        <v>39</v>
      </c>
      <c r="C137" s="4" t="s">
        <v>40</v>
      </c>
      <c r="D137" s="4" t="s">
        <v>38</v>
      </c>
      <c r="E137" s="4" t="s">
        <v>25</v>
      </c>
      <c r="F137" s="4" t="s">
        <v>25</v>
      </c>
      <c r="G137" s="4" t="s">
        <v>25</v>
      </c>
      <c r="H137" s="4" t="s">
        <v>25</v>
      </c>
      <c r="I137" s="5">
        <v>44593</v>
      </c>
      <c r="J137" s="6">
        <v>0</v>
      </c>
      <c r="K137" s="6">
        <v>0</v>
      </c>
      <c r="L137" s="6">
        <v>5905.0879999999997</v>
      </c>
      <c r="M137" s="6">
        <v>5905.0879999999997</v>
      </c>
      <c r="N137" s="6">
        <v>0</v>
      </c>
      <c r="O137" s="6">
        <v>0</v>
      </c>
      <c r="P137" s="6">
        <v>2</v>
      </c>
      <c r="Q137" s="4" t="s">
        <v>55</v>
      </c>
      <c r="R137" s="4">
        <v>0</v>
      </c>
      <c r="S137" s="4" t="s">
        <v>172</v>
      </c>
      <c r="U137" s="4">
        <v>0</v>
      </c>
      <c r="V137" s="4">
        <v>12</v>
      </c>
      <c r="W137" s="4">
        <v>0</v>
      </c>
    </row>
    <row r="138" spans="1:23" ht="11.25" customHeight="1" x14ac:dyDescent="0.3">
      <c r="A138" s="4" t="s">
        <v>21</v>
      </c>
      <c r="B138" s="4" t="s">
        <v>39</v>
      </c>
      <c r="C138" s="4" t="s">
        <v>40</v>
      </c>
      <c r="D138" s="4" t="s">
        <v>38</v>
      </c>
      <c r="E138" s="4" t="s">
        <v>25</v>
      </c>
      <c r="F138" s="4" t="s">
        <v>25</v>
      </c>
      <c r="G138" s="4" t="s">
        <v>25</v>
      </c>
      <c r="H138" s="4" t="s">
        <v>25</v>
      </c>
      <c r="I138" s="5">
        <v>44621</v>
      </c>
      <c r="J138" s="6">
        <v>0</v>
      </c>
      <c r="K138" s="6">
        <v>0</v>
      </c>
      <c r="L138" s="6">
        <v>5358.7650000000003</v>
      </c>
      <c r="M138" s="6">
        <v>5358.7650000000003</v>
      </c>
      <c r="N138" s="6">
        <v>0</v>
      </c>
      <c r="O138" s="6">
        <v>0</v>
      </c>
      <c r="P138" s="6">
        <v>2</v>
      </c>
      <c r="Q138" s="4" t="s">
        <v>55</v>
      </c>
      <c r="R138" s="4">
        <v>0</v>
      </c>
      <c r="S138" s="4" t="s">
        <v>173</v>
      </c>
      <c r="U138" s="4">
        <v>0</v>
      </c>
      <c r="V138" s="4">
        <v>12</v>
      </c>
      <c r="W138" s="4">
        <v>0</v>
      </c>
    </row>
    <row r="139" spans="1:23" ht="11.25" customHeight="1" x14ac:dyDescent="0.3">
      <c r="A139" s="4" t="s">
        <v>21</v>
      </c>
      <c r="B139" s="4" t="s">
        <v>39</v>
      </c>
      <c r="C139" s="4" t="s">
        <v>40</v>
      </c>
      <c r="D139" s="4" t="s">
        <v>38</v>
      </c>
      <c r="E139" s="4" t="s">
        <v>25</v>
      </c>
      <c r="F139" s="4" t="s">
        <v>25</v>
      </c>
      <c r="G139" s="4" t="s">
        <v>25</v>
      </c>
      <c r="H139" s="4" t="s">
        <v>25</v>
      </c>
      <c r="I139" s="5">
        <v>44652</v>
      </c>
      <c r="J139" s="6">
        <v>0</v>
      </c>
      <c r="K139" s="6">
        <v>0</v>
      </c>
      <c r="L139" s="6">
        <v>5838.027</v>
      </c>
      <c r="M139" s="6">
        <v>5838.027</v>
      </c>
      <c r="N139" s="6">
        <v>0</v>
      </c>
      <c r="O139" s="6">
        <v>0</v>
      </c>
      <c r="P139" s="6">
        <v>2</v>
      </c>
      <c r="Q139" s="4" t="s">
        <v>55</v>
      </c>
      <c r="R139" s="4">
        <v>0</v>
      </c>
      <c r="S139" s="4" t="s">
        <v>174</v>
      </c>
      <c r="U139" s="4">
        <v>0</v>
      </c>
      <c r="V139" s="4">
        <v>12</v>
      </c>
      <c r="W139" s="4">
        <v>0</v>
      </c>
    </row>
    <row r="140" spans="1:23" ht="11.25" customHeight="1" x14ac:dyDescent="0.3">
      <c r="A140" s="4" t="s">
        <v>21</v>
      </c>
      <c r="B140" s="4" t="s">
        <v>39</v>
      </c>
      <c r="C140" s="4" t="s">
        <v>40</v>
      </c>
      <c r="D140" s="4" t="s">
        <v>38</v>
      </c>
      <c r="E140" s="4" t="s">
        <v>25</v>
      </c>
      <c r="F140" s="4" t="s">
        <v>25</v>
      </c>
      <c r="G140" s="4" t="s">
        <v>25</v>
      </c>
      <c r="H140" s="4" t="s">
        <v>25</v>
      </c>
      <c r="I140" s="5">
        <v>44682</v>
      </c>
      <c r="J140" s="6">
        <v>0</v>
      </c>
      <c r="K140" s="6">
        <v>0</v>
      </c>
      <c r="L140" s="6">
        <v>6169.2280000000001</v>
      </c>
      <c r="M140" s="6">
        <v>6169.2280000000001</v>
      </c>
      <c r="N140" s="6">
        <v>0</v>
      </c>
      <c r="O140" s="6">
        <v>0</v>
      </c>
      <c r="P140" s="6">
        <v>2</v>
      </c>
      <c r="Q140" s="4" t="s">
        <v>55</v>
      </c>
      <c r="R140" s="4">
        <v>0</v>
      </c>
      <c r="S140" s="4" t="s">
        <v>175</v>
      </c>
      <c r="U140" s="4">
        <v>0</v>
      </c>
      <c r="V140" s="4">
        <v>12</v>
      </c>
      <c r="W140" s="4">
        <v>0</v>
      </c>
    </row>
    <row r="141" spans="1:23" ht="11.25" customHeight="1" x14ac:dyDescent="0.3">
      <c r="A141" s="4" t="s">
        <v>21</v>
      </c>
      <c r="B141" s="4" t="s">
        <v>39</v>
      </c>
      <c r="C141" s="4" t="s">
        <v>40</v>
      </c>
      <c r="D141" s="4" t="s">
        <v>38</v>
      </c>
      <c r="E141" s="4" t="s">
        <v>25</v>
      </c>
      <c r="F141" s="4" t="s">
        <v>25</v>
      </c>
      <c r="G141" s="4" t="s">
        <v>25</v>
      </c>
      <c r="H141" s="4" t="s">
        <v>25</v>
      </c>
      <c r="I141" s="5">
        <v>44713</v>
      </c>
      <c r="J141" s="6">
        <v>0</v>
      </c>
      <c r="K141" s="6">
        <v>0</v>
      </c>
      <c r="L141" s="6">
        <v>6457.0630000000001</v>
      </c>
      <c r="M141" s="6">
        <v>6457.0630000000001</v>
      </c>
      <c r="N141" s="6">
        <v>0</v>
      </c>
      <c r="O141" s="6">
        <v>0</v>
      </c>
      <c r="P141" s="6">
        <v>2</v>
      </c>
      <c r="Q141" s="4" t="s">
        <v>55</v>
      </c>
      <c r="R141" s="4">
        <v>0</v>
      </c>
      <c r="S141" s="4" t="s">
        <v>176</v>
      </c>
      <c r="U141" s="4">
        <v>0</v>
      </c>
      <c r="V141" s="4">
        <v>12</v>
      </c>
      <c r="W141" s="4">
        <v>0</v>
      </c>
    </row>
    <row r="142" spans="1:23" ht="11.25" customHeight="1" x14ac:dyDescent="0.3">
      <c r="A142" s="4" t="s">
        <v>21</v>
      </c>
      <c r="B142" s="4" t="s">
        <v>39</v>
      </c>
      <c r="C142" s="4" t="s">
        <v>40</v>
      </c>
      <c r="D142" s="4" t="s">
        <v>38</v>
      </c>
      <c r="E142" s="4" t="s">
        <v>25</v>
      </c>
      <c r="F142" s="4" t="s">
        <v>25</v>
      </c>
      <c r="G142" s="4" t="s">
        <v>25</v>
      </c>
      <c r="H142" s="4" t="s">
        <v>25</v>
      </c>
      <c r="I142" s="5">
        <v>44743</v>
      </c>
      <c r="J142" s="6">
        <v>0</v>
      </c>
      <c r="K142" s="6">
        <v>0</v>
      </c>
      <c r="L142" s="6">
        <v>6208.5990000000002</v>
      </c>
      <c r="M142" s="6">
        <v>6208.5990000000002</v>
      </c>
      <c r="N142" s="6">
        <v>0</v>
      </c>
      <c r="O142" s="6">
        <v>0</v>
      </c>
      <c r="P142" s="6">
        <v>2</v>
      </c>
      <c r="Q142" s="4" t="s">
        <v>55</v>
      </c>
      <c r="R142" s="4">
        <v>0</v>
      </c>
      <c r="S142" s="4" t="s">
        <v>177</v>
      </c>
      <c r="U142" s="4">
        <v>0</v>
      </c>
      <c r="V142" s="4">
        <v>12</v>
      </c>
      <c r="W142" s="4">
        <v>0</v>
      </c>
    </row>
    <row r="143" spans="1:23" ht="11.25" customHeight="1" x14ac:dyDescent="0.3">
      <c r="A143" s="4" t="s">
        <v>21</v>
      </c>
      <c r="B143" s="4" t="s">
        <v>39</v>
      </c>
      <c r="C143" s="4" t="s">
        <v>40</v>
      </c>
      <c r="D143" s="4" t="s">
        <v>38</v>
      </c>
      <c r="E143" s="4" t="s">
        <v>25</v>
      </c>
      <c r="F143" s="4" t="s">
        <v>25</v>
      </c>
      <c r="G143" s="4" t="s">
        <v>25</v>
      </c>
      <c r="H143" s="4" t="s">
        <v>25</v>
      </c>
      <c r="I143" s="5">
        <v>44774</v>
      </c>
      <c r="J143" s="6">
        <v>0</v>
      </c>
      <c r="K143" s="6">
        <v>0</v>
      </c>
      <c r="L143" s="6">
        <v>6185.0529999999999</v>
      </c>
      <c r="M143" s="6">
        <v>6185.0529999999999</v>
      </c>
      <c r="N143" s="6">
        <v>0</v>
      </c>
      <c r="O143" s="6">
        <v>0</v>
      </c>
      <c r="P143" s="6">
        <v>2</v>
      </c>
      <c r="Q143" s="4" t="s">
        <v>55</v>
      </c>
      <c r="R143" s="4">
        <v>0</v>
      </c>
      <c r="S143" s="4" t="s">
        <v>178</v>
      </c>
      <c r="U143" s="4">
        <v>0</v>
      </c>
      <c r="V143" s="4">
        <v>12</v>
      </c>
      <c r="W143" s="4">
        <v>0</v>
      </c>
    </row>
    <row r="144" spans="1:23" ht="11.25" customHeight="1" x14ac:dyDescent="0.3">
      <c r="A144" s="4" t="s">
        <v>21</v>
      </c>
      <c r="B144" s="4" t="s">
        <v>39</v>
      </c>
      <c r="C144" s="4" t="s">
        <v>40</v>
      </c>
      <c r="D144" s="4" t="s">
        <v>38</v>
      </c>
      <c r="E144" s="4" t="s">
        <v>25</v>
      </c>
      <c r="F144" s="4" t="s">
        <v>25</v>
      </c>
      <c r="G144" s="4" t="s">
        <v>25</v>
      </c>
      <c r="H144" s="4" t="s">
        <v>25</v>
      </c>
      <c r="I144" s="5">
        <v>44805</v>
      </c>
      <c r="J144" s="6">
        <v>0</v>
      </c>
      <c r="K144" s="6">
        <v>0</v>
      </c>
      <c r="L144" s="6">
        <v>5556.5559999999996</v>
      </c>
      <c r="M144" s="6">
        <v>5556.5559999999996</v>
      </c>
      <c r="N144" s="6">
        <v>0</v>
      </c>
      <c r="O144" s="6">
        <v>0</v>
      </c>
      <c r="P144" s="6">
        <v>2</v>
      </c>
      <c r="Q144" s="4" t="s">
        <v>55</v>
      </c>
      <c r="R144" s="4">
        <v>0</v>
      </c>
      <c r="S144" s="4" t="s">
        <v>179</v>
      </c>
      <c r="U144" s="4">
        <v>0</v>
      </c>
      <c r="V144" s="4">
        <v>12</v>
      </c>
      <c r="W144" s="4">
        <v>0</v>
      </c>
    </row>
    <row r="145" spans="1:23" ht="11.25" customHeight="1" x14ac:dyDescent="0.3">
      <c r="A145" s="4" t="s">
        <v>53</v>
      </c>
      <c r="B145" s="4" t="s">
        <v>39</v>
      </c>
      <c r="C145" s="4" t="s">
        <v>40</v>
      </c>
      <c r="D145" s="4" t="s">
        <v>38</v>
      </c>
      <c r="E145" s="4" t="s">
        <v>25</v>
      </c>
      <c r="F145" s="4" t="s">
        <v>25</v>
      </c>
      <c r="G145" s="4" t="s">
        <v>25</v>
      </c>
      <c r="H145" s="4" t="s">
        <v>25</v>
      </c>
      <c r="I145" s="5">
        <v>44835</v>
      </c>
      <c r="J145" s="6">
        <v>0</v>
      </c>
      <c r="K145" s="6">
        <v>0</v>
      </c>
      <c r="L145" s="6">
        <v>5556.5559999999996</v>
      </c>
      <c r="M145" s="6">
        <v>5556.5559999999996</v>
      </c>
      <c r="N145" s="6">
        <v>0</v>
      </c>
      <c r="O145" s="6">
        <v>0</v>
      </c>
      <c r="P145" s="6">
        <v>2</v>
      </c>
      <c r="Q145" s="4" t="s">
        <v>55</v>
      </c>
      <c r="R145" s="4">
        <v>0</v>
      </c>
      <c r="S145" s="4" t="s">
        <v>180</v>
      </c>
      <c r="U145" s="4">
        <v>0</v>
      </c>
      <c r="V145" s="4">
        <v>12</v>
      </c>
      <c r="W145" s="4">
        <v>0</v>
      </c>
    </row>
    <row r="146" spans="1:23" ht="11.25" customHeight="1" x14ac:dyDescent="0.3">
      <c r="A146" s="4" t="s">
        <v>21</v>
      </c>
      <c r="B146" s="4" t="s">
        <v>39</v>
      </c>
      <c r="C146" s="4" t="s">
        <v>40</v>
      </c>
      <c r="D146" s="4" t="s">
        <v>38</v>
      </c>
      <c r="E146" s="4" t="s">
        <v>25</v>
      </c>
      <c r="F146" s="4" t="s">
        <v>25</v>
      </c>
      <c r="G146" s="4" t="s">
        <v>25</v>
      </c>
      <c r="H146" s="4" t="s">
        <v>34</v>
      </c>
      <c r="I146" s="5">
        <v>44501</v>
      </c>
      <c r="J146" s="6">
        <v>609</v>
      </c>
      <c r="K146" s="6">
        <v>609</v>
      </c>
      <c r="L146" s="6">
        <v>23.344999999999999</v>
      </c>
      <c r="M146" s="6">
        <v>23.344999999999999</v>
      </c>
      <c r="N146" s="6">
        <v>23.344999999999999</v>
      </c>
      <c r="O146" s="6">
        <v>23.344999999999999</v>
      </c>
      <c r="P146" s="6">
        <v>0</v>
      </c>
      <c r="Q146" s="4" t="s">
        <v>26</v>
      </c>
      <c r="R146" s="4">
        <v>0</v>
      </c>
      <c r="S146" s="4" t="s">
        <v>157</v>
      </c>
      <c r="T146" s="4" t="s">
        <v>446</v>
      </c>
      <c r="U146" s="4">
        <v>9</v>
      </c>
      <c r="V146" s="4">
        <v>12</v>
      </c>
      <c r="W146" s="4">
        <v>38</v>
      </c>
    </row>
    <row r="147" spans="1:23" ht="11.25" customHeight="1" x14ac:dyDescent="0.3">
      <c r="A147" s="4" t="s">
        <v>21</v>
      </c>
      <c r="B147" s="4" t="s">
        <v>39</v>
      </c>
      <c r="C147" s="4" t="s">
        <v>40</v>
      </c>
      <c r="D147" s="4" t="s">
        <v>38</v>
      </c>
      <c r="E147" s="4" t="s">
        <v>25</v>
      </c>
      <c r="F147" s="4" t="s">
        <v>25</v>
      </c>
      <c r="G147" s="4" t="s">
        <v>25</v>
      </c>
      <c r="H147" s="4" t="s">
        <v>34</v>
      </c>
      <c r="I147" s="5">
        <v>44501</v>
      </c>
      <c r="J147" s="6">
        <v>12435</v>
      </c>
      <c r="K147" s="6">
        <v>12435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4" t="s">
        <v>55</v>
      </c>
      <c r="R147" s="4">
        <v>0</v>
      </c>
      <c r="S147" s="4" t="s">
        <v>157</v>
      </c>
      <c r="U147" s="4">
        <v>9</v>
      </c>
      <c r="V147" s="4">
        <v>0</v>
      </c>
      <c r="W147" s="4">
        <v>0</v>
      </c>
    </row>
    <row r="148" spans="1:23" ht="11.25" customHeight="1" x14ac:dyDescent="0.3">
      <c r="A148" s="4" t="s">
        <v>21</v>
      </c>
      <c r="B148" s="4" t="s">
        <v>39</v>
      </c>
      <c r="C148" s="4" t="s">
        <v>40</v>
      </c>
      <c r="D148" s="4" t="s">
        <v>38</v>
      </c>
      <c r="E148" s="4" t="s">
        <v>25</v>
      </c>
      <c r="F148" s="4" t="s">
        <v>25</v>
      </c>
      <c r="G148" s="4" t="s">
        <v>25</v>
      </c>
      <c r="H148" s="4" t="s">
        <v>34</v>
      </c>
      <c r="I148" s="5">
        <v>44531</v>
      </c>
      <c r="J148" s="6">
        <v>606</v>
      </c>
      <c r="K148" s="6">
        <v>606</v>
      </c>
      <c r="L148" s="6">
        <v>19.64</v>
      </c>
      <c r="M148" s="6">
        <v>19.64</v>
      </c>
      <c r="N148" s="6">
        <v>19.64</v>
      </c>
      <c r="O148" s="6">
        <v>19.64</v>
      </c>
      <c r="P148" s="6">
        <v>0</v>
      </c>
      <c r="Q148" s="4" t="s">
        <v>26</v>
      </c>
      <c r="R148" s="4">
        <v>0</v>
      </c>
      <c r="S148" s="4" t="s">
        <v>158</v>
      </c>
      <c r="T148" s="4" t="s">
        <v>447</v>
      </c>
      <c r="U148" s="4">
        <v>9</v>
      </c>
      <c r="V148" s="4">
        <v>12</v>
      </c>
      <c r="W148" s="4">
        <v>38</v>
      </c>
    </row>
    <row r="149" spans="1:23" ht="11.25" customHeight="1" x14ac:dyDescent="0.3">
      <c r="A149" s="4" t="s">
        <v>21</v>
      </c>
      <c r="B149" s="4" t="s">
        <v>39</v>
      </c>
      <c r="C149" s="4" t="s">
        <v>40</v>
      </c>
      <c r="D149" s="4" t="s">
        <v>38</v>
      </c>
      <c r="E149" s="4" t="s">
        <v>25</v>
      </c>
      <c r="F149" s="4" t="s">
        <v>25</v>
      </c>
      <c r="G149" s="4" t="s">
        <v>25</v>
      </c>
      <c r="H149" s="4" t="s">
        <v>34</v>
      </c>
      <c r="I149" s="5">
        <v>44531</v>
      </c>
      <c r="J149" s="6">
        <v>12404</v>
      </c>
      <c r="K149" s="6">
        <v>12404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4" t="s">
        <v>55</v>
      </c>
      <c r="R149" s="4">
        <v>0</v>
      </c>
      <c r="S149" s="4" t="s">
        <v>158</v>
      </c>
      <c r="U149" s="4">
        <v>9</v>
      </c>
      <c r="V149" s="4">
        <v>0</v>
      </c>
      <c r="W149" s="4">
        <v>0</v>
      </c>
    </row>
    <row r="150" spans="1:23" ht="11.25" customHeight="1" x14ac:dyDescent="0.3">
      <c r="A150" s="4" t="s">
        <v>21</v>
      </c>
      <c r="B150" s="4" t="s">
        <v>39</v>
      </c>
      <c r="C150" s="4" t="s">
        <v>40</v>
      </c>
      <c r="D150" s="4" t="s">
        <v>38</v>
      </c>
      <c r="E150" s="4" t="s">
        <v>25</v>
      </c>
      <c r="F150" s="4" t="s">
        <v>25</v>
      </c>
      <c r="G150" s="4" t="s">
        <v>25</v>
      </c>
      <c r="H150" s="4" t="s">
        <v>34</v>
      </c>
      <c r="I150" s="5">
        <v>44562</v>
      </c>
      <c r="J150" s="6">
        <v>603</v>
      </c>
      <c r="K150" s="6">
        <v>603</v>
      </c>
      <c r="L150" s="6">
        <v>25.567</v>
      </c>
      <c r="M150" s="6">
        <v>25.567</v>
      </c>
      <c r="N150" s="6">
        <v>25.567</v>
      </c>
      <c r="O150" s="6">
        <v>25.567</v>
      </c>
      <c r="P150" s="6">
        <v>0</v>
      </c>
      <c r="Q150" s="4" t="s">
        <v>26</v>
      </c>
      <c r="R150" s="4">
        <v>0</v>
      </c>
      <c r="S150" s="4" t="s">
        <v>159</v>
      </c>
      <c r="T150" s="4" t="s">
        <v>448</v>
      </c>
      <c r="U150" s="4">
        <v>9</v>
      </c>
      <c r="V150" s="4">
        <v>12</v>
      </c>
      <c r="W150" s="4">
        <v>38</v>
      </c>
    </row>
    <row r="151" spans="1:23" ht="11.25" customHeight="1" x14ac:dyDescent="0.3">
      <c r="A151" s="4" t="s">
        <v>21</v>
      </c>
      <c r="B151" s="4" t="s">
        <v>39</v>
      </c>
      <c r="C151" s="4" t="s">
        <v>40</v>
      </c>
      <c r="D151" s="4" t="s">
        <v>38</v>
      </c>
      <c r="E151" s="4" t="s">
        <v>25</v>
      </c>
      <c r="F151" s="4" t="s">
        <v>25</v>
      </c>
      <c r="G151" s="4" t="s">
        <v>25</v>
      </c>
      <c r="H151" s="4" t="s">
        <v>34</v>
      </c>
      <c r="I151" s="5">
        <v>44562</v>
      </c>
      <c r="J151" s="6">
        <v>12551</v>
      </c>
      <c r="K151" s="6">
        <v>12551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4" t="s">
        <v>55</v>
      </c>
      <c r="R151" s="4">
        <v>0</v>
      </c>
      <c r="S151" s="4" t="s">
        <v>159</v>
      </c>
      <c r="U151" s="4">
        <v>9</v>
      </c>
      <c r="V151" s="4">
        <v>0</v>
      </c>
      <c r="W151" s="4">
        <v>0</v>
      </c>
    </row>
    <row r="152" spans="1:23" ht="11.25" customHeight="1" x14ac:dyDescent="0.3">
      <c r="A152" s="4" t="s">
        <v>21</v>
      </c>
      <c r="B152" s="4" t="s">
        <v>39</v>
      </c>
      <c r="C152" s="4" t="s">
        <v>40</v>
      </c>
      <c r="D152" s="4" t="s">
        <v>38</v>
      </c>
      <c r="E152" s="4" t="s">
        <v>25</v>
      </c>
      <c r="F152" s="4" t="s">
        <v>25</v>
      </c>
      <c r="G152" s="4" t="s">
        <v>25</v>
      </c>
      <c r="H152" s="4" t="s">
        <v>34</v>
      </c>
      <c r="I152" s="5">
        <v>44593</v>
      </c>
      <c r="J152" s="6">
        <v>689</v>
      </c>
      <c r="K152" s="6">
        <v>689</v>
      </c>
      <c r="L152" s="6">
        <v>30.913</v>
      </c>
      <c r="M152" s="6">
        <v>30.913</v>
      </c>
      <c r="N152" s="6">
        <v>30.913</v>
      </c>
      <c r="O152" s="6">
        <v>30.913</v>
      </c>
      <c r="P152" s="6">
        <v>0</v>
      </c>
      <c r="Q152" s="4" t="s">
        <v>26</v>
      </c>
      <c r="R152" s="4">
        <v>0</v>
      </c>
      <c r="S152" s="4" t="s">
        <v>160</v>
      </c>
      <c r="T152" s="4" t="s">
        <v>449</v>
      </c>
      <c r="U152" s="4">
        <v>9</v>
      </c>
      <c r="V152" s="4">
        <v>12</v>
      </c>
      <c r="W152" s="4">
        <v>38</v>
      </c>
    </row>
    <row r="153" spans="1:23" ht="11.25" customHeight="1" x14ac:dyDescent="0.3">
      <c r="A153" s="4" t="s">
        <v>21</v>
      </c>
      <c r="B153" s="4" t="s">
        <v>39</v>
      </c>
      <c r="C153" s="4" t="s">
        <v>40</v>
      </c>
      <c r="D153" s="4" t="s">
        <v>38</v>
      </c>
      <c r="E153" s="4" t="s">
        <v>25</v>
      </c>
      <c r="F153" s="4" t="s">
        <v>25</v>
      </c>
      <c r="G153" s="4" t="s">
        <v>25</v>
      </c>
      <c r="H153" s="4" t="s">
        <v>34</v>
      </c>
      <c r="I153" s="5">
        <v>44593</v>
      </c>
      <c r="J153" s="6">
        <v>12584</v>
      </c>
      <c r="K153" s="6">
        <v>12584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4" t="s">
        <v>55</v>
      </c>
      <c r="R153" s="4">
        <v>0</v>
      </c>
      <c r="S153" s="4" t="s">
        <v>160</v>
      </c>
      <c r="U153" s="4">
        <v>9</v>
      </c>
      <c r="V153" s="4">
        <v>0</v>
      </c>
      <c r="W153" s="4">
        <v>0</v>
      </c>
    </row>
    <row r="154" spans="1:23" ht="11.25" customHeight="1" x14ac:dyDescent="0.3">
      <c r="A154" s="4" t="s">
        <v>21</v>
      </c>
      <c r="B154" s="4" t="s">
        <v>39</v>
      </c>
      <c r="C154" s="4" t="s">
        <v>40</v>
      </c>
      <c r="D154" s="4" t="s">
        <v>38</v>
      </c>
      <c r="E154" s="4" t="s">
        <v>25</v>
      </c>
      <c r="F154" s="4" t="s">
        <v>25</v>
      </c>
      <c r="G154" s="4" t="s">
        <v>25</v>
      </c>
      <c r="H154" s="4" t="s">
        <v>34</v>
      </c>
      <c r="I154" s="5">
        <v>44621</v>
      </c>
      <c r="J154" s="6">
        <v>619</v>
      </c>
      <c r="K154" s="6">
        <v>619</v>
      </c>
      <c r="L154" s="6">
        <v>23.544</v>
      </c>
      <c r="M154" s="6">
        <v>23.544</v>
      </c>
      <c r="N154" s="6">
        <v>23.544</v>
      </c>
      <c r="O154" s="6">
        <v>23.544</v>
      </c>
      <c r="P154" s="6">
        <v>0</v>
      </c>
      <c r="Q154" s="4" t="s">
        <v>26</v>
      </c>
      <c r="R154" s="4">
        <v>0</v>
      </c>
      <c r="S154" s="4" t="s">
        <v>161</v>
      </c>
      <c r="T154" s="4" t="s">
        <v>450</v>
      </c>
      <c r="U154" s="4">
        <v>9</v>
      </c>
      <c r="V154" s="4">
        <v>12</v>
      </c>
      <c r="W154" s="4">
        <v>38</v>
      </c>
    </row>
    <row r="155" spans="1:23" ht="11.25" customHeight="1" x14ac:dyDescent="0.3">
      <c r="A155" s="4" t="s">
        <v>21</v>
      </c>
      <c r="B155" s="4" t="s">
        <v>39</v>
      </c>
      <c r="C155" s="4" t="s">
        <v>40</v>
      </c>
      <c r="D155" s="4" t="s">
        <v>38</v>
      </c>
      <c r="E155" s="4" t="s">
        <v>25</v>
      </c>
      <c r="F155" s="4" t="s">
        <v>25</v>
      </c>
      <c r="G155" s="4" t="s">
        <v>25</v>
      </c>
      <c r="H155" s="4" t="s">
        <v>34</v>
      </c>
      <c r="I155" s="5">
        <v>44621</v>
      </c>
      <c r="J155" s="6">
        <v>10384</v>
      </c>
      <c r="K155" s="6">
        <v>10384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4" t="s">
        <v>55</v>
      </c>
      <c r="R155" s="4">
        <v>0</v>
      </c>
      <c r="S155" s="4" t="s">
        <v>161</v>
      </c>
      <c r="U155" s="4">
        <v>9</v>
      </c>
      <c r="V155" s="4">
        <v>0</v>
      </c>
      <c r="W155" s="4">
        <v>0</v>
      </c>
    </row>
    <row r="156" spans="1:23" ht="11.25" customHeight="1" x14ac:dyDescent="0.3">
      <c r="A156" s="4" t="s">
        <v>21</v>
      </c>
      <c r="B156" s="4" t="s">
        <v>39</v>
      </c>
      <c r="C156" s="4" t="s">
        <v>40</v>
      </c>
      <c r="D156" s="4" t="s">
        <v>38</v>
      </c>
      <c r="E156" s="4" t="s">
        <v>25</v>
      </c>
      <c r="F156" s="4" t="s">
        <v>25</v>
      </c>
      <c r="G156" s="4" t="s">
        <v>25</v>
      </c>
      <c r="H156" s="4" t="s">
        <v>34</v>
      </c>
      <c r="I156" s="5">
        <v>44652</v>
      </c>
      <c r="J156" s="6">
        <v>648</v>
      </c>
      <c r="K156" s="6">
        <v>648</v>
      </c>
      <c r="L156" s="6">
        <v>32.863999999999997</v>
      </c>
      <c r="M156" s="6">
        <v>32.863999999999997</v>
      </c>
      <c r="N156" s="6">
        <v>32.863999999999997</v>
      </c>
      <c r="O156" s="6">
        <v>32.863999999999997</v>
      </c>
      <c r="P156" s="6">
        <v>0</v>
      </c>
      <c r="Q156" s="4" t="s">
        <v>26</v>
      </c>
      <c r="R156" s="4">
        <v>0</v>
      </c>
      <c r="S156" s="4" t="s">
        <v>162</v>
      </c>
      <c r="T156" s="4" t="s">
        <v>451</v>
      </c>
      <c r="U156" s="4">
        <v>9</v>
      </c>
      <c r="V156" s="4">
        <v>12</v>
      </c>
      <c r="W156" s="4">
        <v>38</v>
      </c>
    </row>
    <row r="157" spans="1:23" ht="11.25" customHeight="1" x14ac:dyDescent="0.3">
      <c r="A157" s="4" t="s">
        <v>21</v>
      </c>
      <c r="B157" s="4" t="s">
        <v>39</v>
      </c>
      <c r="C157" s="4" t="s">
        <v>40</v>
      </c>
      <c r="D157" s="4" t="s">
        <v>38</v>
      </c>
      <c r="E157" s="4" t="s">
        <v>25</v>
      </c>
      <c r="F157" s="4" t="s">
        <v>25</v>
      </c>
      <c r="G157" s="4" t="s">
        <v>25</v>
      </c>
      <c r="H157" s="4" t="s">
        <v>34</v>
      </c>
      <c r="I157" s="5">
        <v>44652</v>
      </c>
      <c r="J157" s="6">
        <v>10358</v>
      </c>
      <c r="K157" s="6">
        <v>10358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4" t="s">
        <v>55</v>
      </c>
      <c r="R157" s="4">
        <v>0</v>
      </c>
      <c r="S157" s="4" t="s">
        <v>162</v>
      </c>
      <c r="U157" s="4">
        <v>9</v>
      </c>
      <c r="V157" s="4">
        <v>0</v>
      </c>
      <c r="W157" s="4">
        <v>0</v>
      </c>
    </row>
    <row r="158" spans="1:23" ht="11.25" customHeight="1" x14ac:dyDescent="0.3">
      <c r="A158" s="4" t="s">
        <v>21</v>
      </c>
      <c r="B158" s="4" t="s">
        <v>39</v>
      </c>
      <c r="C158" s="4" t="s">
        <v>40</v>
      </c>
      <c r="D158" s="4" t="s">
        <v>38</v>
      </c>
      <c r="E158" s="4" t="s">
        <v>25</v>
      </c>
      <c r="F158" s="4" t="s">
        <v>25</v>
      </c>
      <c r="G158" s="4" t="s">
        <v>25</v>
      </c>
      <c r="H158" s="4" t="s">
        <v>34</v>
      </c>
      <c r="I158" s="5">
        <v>44682</v>
      </c>
      <c r="J158" s="6">
        <v>653</v>
      </c>
      <c r="K158" s="6">
        <v>653</v>
      </c>
      <c r="L158" s="6">
        <v>24.268999999999998</v>
      </c>
      <c r="M158" s="6">
        <v>24.268999999999998</v>
      </c>
      <c r="N158" s="6">
        <v>24.268999999999998</v>
      </c>
      <c r="O158" s="6">
        <v>24.268999999999998</v>
      </c>
      <c r="P158" s="6">
        <v>0</v>
      </c>
      <c r="Q158" s="4" t="s">
        <v>26</v>
      </c>
      <c r="R158" s="4">
        <v>0</v>
      </c>
      <c r="S158" s="4" t="s">
        <v>163</v>
      </c>
      <c r="T158" s="4" t="s">
        <v>452</v>
      </c>
      <c r="U158" s="4">
        <v>9</v>
      </c>
      <c r="V158" s="4">
        <v>12</v>
      </c>
      <c r="W158" s="4">
        <v>38</v>
      </c>
    </row>
    <row r="159" spans="1:23" ht="11.25" customHeight="1" x14ac:dyDescent="0.3">
      <c r="A159" s="4" t="s">
        <v>21</v>
      </c>
      <c r="B159" s="4" t="s">
        <v>39</v>
      </c>
      <c r="C159" s="4" t="s">
        <v>40</v>
      </c>
      <c r="D159" s="4" t="s">
        <v>38</v>
      </c>
      <c r="E159" s="4" t="s">
        <v>25</v>
      </c>
      <c r="F159" s="4" t="s">
        <v>25</v>
      </c>
      <c r="G159" s="4" t="s">
        <v>25</v>
      </c>
      <c r="H159" s="4" t="s">
        <v>34</v>
      </c>
      <c r="I159" s="5">
        <v>44682</v>
      </c>
      <c r="J159" s="6">
        <v>11220</v>
      </c>
      <c r="K159" s="6">
        <v>11220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4" t="s">
        <v>55</v>
      </c>
      <c r="R159" s="4">
        <v>0</v>
      </c>
      <c r="S159" s="4" t="s">
        <v>163</v>
      </c>
      <c r="U159" s="4">
        <v>9</v>
      </c>
      <c r="V159" s="4">
        <v>0</v>
      </c>
      <c r="W159" s="4">
        <v>0</v>
      </c>
    </row>
    <row r="160" spans="1:23" ht="11.25" customHeight="1" x14ac:dyDescent="0.3">
      <c r="A160" s="4" t="s">
        <v>21</v>
      </c>
      <c r="B160" s="4" t="s">
        <v>39</v>
      </c>
      <c r="C160" s="4" t="s">
        <v>40</v>
      </c>
      <c r="D160" s="4" t="s">
        <v>38</v>
      </c>
      <c r="E160" s="4" t="s">
        <v>25</v>
      </c>
      <c r="F160" s="4" t="s">
        <v>25</v>
      </c>
      <c r="G160" s="4" t="s">
        <v>25</v>
      </c>
      <c r="H160" s="4" t="s">
        <v>34</v>
      </c>
      <c r="I160" s="5">
        <v>44713</v>
      </c>
      <c r="J160" s="6">
        <v>677</v>
      </c>
      <c r="K160" s="6">
        <v>677</v>
      </c>
      <c r="L160" s="6">
        <v>32.128</v>
      </c>
      <c r="M160" s="6">
        <v>32.128</v>
      </c>
      <c r="N160" s="6">
        <v>32.128</v>
      </c>
      <c r="O160" s="6">
        <v>32.128</v>
      </c>
      <c r="P160" s="6">
        <v>0</v>
      </c>
      <c r="Q160" s="4" t="s">
        <v>26</v>
      </c>
      <c r="R160" s="4">
        <v>0</v>
      </c>
      <c r="S160" s="4" t="s">
        <v>164</v>
      </c>
      <c r="T160" s="4" t="s">
        <v>453</v>
      </c>
      <c r="U160" s="4">
        <v>9</v>
      </c>
      <c r="V160" s="4">
        <v>12</v>
      </c>
      <c r="W160" s="4">
        <v>38</v>
      </c>
    </row>
    <row r="161" spans="1:23" ht="11.25" customHeight="1" x14ac:dyDescent="0.3">
      <c r="A161" s="4" t="s">
        <v>21</v>
      </c>
      <c r="B161" s="4" t="s">
        <v>39</v>
      </c>
      <c r="C161" s="4" t="s">
        <v>40</v>
      </c>
      <c r="D161" s="4" t="s">
        <v>38</v>
      </c>
      <c r="E161" s="4" t="s">
        <v>25</v>
      </c>
      <c r="F161" s="4" t="s">
        <v>25</v>
      </c>
      <c r="G161" s="4" t="s">
        <v>25</v>
      </c>
      <c r="H161" s="4" t="s">
        <v>34</v>
      </c>
      <c r="I161" s="5">
        <v>44713</v>
      </c>
      <c r="J161" s="6">
        <v>10990</v>
      </c>
      <c r="K161" s="6">
        <v>10990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4" t="s">
        <v>55</v>
      </c>
      <c r="R161" s="4">
        <v>0</v>
      </c>
      <c r="S161" s="4" t="s">
        <v>164</v>
      </c>
      <c r="U161" s="4">
        <v>9</v>
      </c>
      <c r="V161" s="4">
        <v>0</v>
      </c>
      <c r="W161" s="4">
        <v>0</v>
      </c>
    </row>
    <row r="162" spans="1:23" ht="11.25" customHeight="1" x14ac:dyDescent="0.3">
      <c r="A162" s="4" t="s">
        <v>21</v>
      </c>
      <c r="B162" s="4" t="s">
        <v>39</v>
      </c>
      <c r="C162" s="4" t="s">
        <v>40</v>
      </c>
      <c r="D162" s="4" t="s">
        <v>38</v>
      </c>
      <c r="E162" s="4" t="s">
        <v>25</v>
      </c>
      <c r="F162" s="4" t="s">
        <v>25</v>
      </c>
      <c r="G162" s="4" t="s">
        <v>25</v>
      </c>
      <c r="H162" s="4" t="s">
        <v>34</v>
      </c>
      <c r="I162" s="5">
        <v>44743</v>
      </c>
      <c r="J162" s="6">
        <v>654</v>
      </c>
      <c r="K162" s="6">
        <v>654</v>
      </c>
      <c r="L162" s="6">
        <v>17.777000000000001</v>
      </c>
      <c r="M162" s="6">
        <v>17.777000000000001</v>
      </c>
      <c r="N162" s="6">
        <v>17.777000000000001</v>
      </c>
      <c r="O162" s="6">
        <v>17.777000000000001</v>
      </c>
      <c r="P162" s="6">
        <v>0</v>
      </c>
      <c r="Q162" s="4" t="s">
        <v>26</v>
      </c>
      <c r="R162" s="4">
        <v>0</v>
      </c>
      <c r="S162" s="4" t="s">
        <v>165</v>
      </c>
      <c r="T162" s="4" t="s">
        <v>454</v>
      </c>
      <c r="U162" s="4">
        <v>9</v>
      </c>
      <c r="V162" s="4">
        <v>12</v>
      </c>
      <c r="W162" s="4">
        <v>38</v>
      </c>
    </row>
    <row r="163" spans="1:23" ht="11.25" customHeight="1" x14ac:dyDescent="0.3">
      <c r="A163" s="4" t="s">
        <v>21</v>
      </c>
      <c r="B163" s="4" t="s">
        <v>39</v>
      </c>
      <c r="C163" s="4" t="s">
        <v>40</v>
      </c>
      <c r="D163" s="4" t="s">
        <v>38</v>
      </c>
      <c r="E163" s="4" t="s">
        <v>25</v>
      </c>
      <c r="F163" s="4" t="s">
        <v>25</v>
      </c>
      <c r="G163" s="4" t="s">
        <v>25</v>
      </c>
      <c r="H163" s="4" t="s">
        <v>34</v>
      </c>
      <c r="I163" s="5">
        <v>44743</v>
      </c>
      <c r="J163" s="6">
        <v>11005</v>
      </c>
      <c r="K163" s="6">
        <v>11005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4" t="s">
        <v>55</v>
      </c>
      <c r="R163" s="4">
        <v>0</v>
      </c>
      <c r="S163" s="4" t="s">
        <v>165</v>
      </c>
      <c r="U163" s="4">
        <v>9</v>
      </c>
      <c r="V163" s="4">
        <v>0</v>
      </c>
      <c r="W163" s="4">
        <v>0</v>
      </c>
    </row>
    <row r="164" spans="1:23" ht="11.25" customHeight="1" x14ac:dyDescent="0.3">
      <c r="A164" s="4" t="s">
        <v>21</v>
      </c>
      <c r="B164" s="4" t="s">
        <v>39</v>
      </c>
      <c r="C164" s="4" t="s">
        <v>40</v>
      </c>
      <c r="D164" s="4" t="s">
        <v>38</v>
      </c>
      <c r="E164" s="4" t="s">
        <v>25</v>
      </c>
      <c r="F164" s="4" t="s">
        <v>25</v>
      </c>
      <c r="G164" s="4" t="s">
        <v>25</v>
      </c>
      <c r="H164" s="4" t="s">
        <v>34</v>
      </c>
      <c r="I164" s="5">
        <v>44774</v>
      </c>
      <c r="J164" s="6">
        <v>650</v>
      </c>
      <c r="K164" s="6">
        <v>650</v>
      </c>
      <c r="L164" s="6">
        <v>30.539000000000001</v>
      </c>
      <c r="M164" s="6">
        <v>30.539000000000001</v>
      </c>
      <c r="N164" s="6">
        <v>30.539000000000001</v>
      </c>
      <c r="O164" s="6">
        <v>30.539000000000001</v>
      </c>
      <c r="P164" s="6">
        <v>0</v>
      </c>
      <c r="Q164" s="4" t="s">
        <v>26</v>
      </c>
      <c r="R164" s="4">
        <v>0</v>
      </c>
      <c r="S164" s="4" t="s">
        <v>166</v>
      </c>
      <c r="T164" s="4" t="s">
        <v>455</v>
      </c>
      <c r="U164" s="4">
        <v>9</v>
      </c>
      <c r="V164" s="4">
        <v>12</v>
      </c>
      <c r="W164" s="4">
        <v>38</v>
      </c>
    </row>
    <row r="165" spans="1:23" ht="11.25" customHeight="1" x14ac:dyDescent="0.3">
      <c r="A165" s="4" t="s">
        <v>21</v>
      </c>
      <c r="B165" s="4" t="s">
        <v>39</v>
      </c>
      <c r="C165" s="4" t="s">
        <v>40</v>
      </c>
      <c r="D165" s="4" t="s">
        <v>38</v>
      </c>
      <c r="E165" s="4" t="s">
        <v>25</v>
      </c>
      <c r="F165" s="4" t="s">
        <v>25</v>
      </c>
      <c r="G165" s="4" t="s">
        <v>25</v>
      </c>
      <c r="H165" s="4" t="s">
        <v>34</v>
      </c>
      <c r="I165" s="5">
        <v>44774</v>
      </c>
      <c r="J165" s="6">
        <v>10478</v>
      </c>
      <c r="K165" s="6">
        <v>10478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4" t="s">
        <v>55</v>
      </c>
      <c r="R165" s="4">
        <v>0</v>
      </c>
      <c r="S165" s="4" t="s">
        <v>166</v>
      </c>
      <c r="U165" s="4">
        <v>9</v>
      </c>
      <c r="V165" s="4">
        <v>0</v>
      </c>
      <c r="W165" s="4">
        <v>0</v>
      </c>
    </row>
    <row r="166" spans="1:23" ht="11.25" customHeight="1" x14ac:dyDescent="0.3">
      <c r="A166" s="4" t="s">
        <v>21</v>
      </c>
      <c r="B166" s="4" t="s">
        <v>39</v>
      </c>
      <c r="C166" s="4" t="s">
        <v>40</v>
      </c>
      <c r="D166" s="4" t="s">
        <v>38</v>
      </c>
      <c r="E166" s="4" t="s">
        <v>25</v>
      </c>
      <c r="F166" s="4" t="s">
        <v>25</v>
      </c>
      <c r="G166" s="4" t="s">
        <v>25</v>
      </c>
      <c r="H166" s="4" t="s">
        <v>34</v>
      </c>
      <c r="I166" s="5">
        <v>44805</v>
      </c>
      <c r="J166" s="6">
        <v>658</v>
      </c>
      <c r="K166" s="6">
        <v>658</v>
      </c>
      <c r="L166" s="6">
        <v>33.716999999999999</v>
      </c>
      <c r="M166" s="6">
        <v>33.716999999999999</v>
      </c>
      <c r="N166" s="6">
        <v>33.716999999999999</v>
      </c>
      <c r="O166" s="6">
        <v>33.716999999999999</v>
      </c>
      <c r="P166" s="6">
        <v>0</v>
      </c>
      <c r="Q166" s="4" t="s">
        <v>26</v>
      </c>
      <c r="R166" s="4">
        <v>0</v>
      </c>
      <c r="S166" s="4" t="s">
        <v>167</v>
      </c>
      <c r="T166" s="4" t="s">
        <v>456</v>
      </c>
      <c r="U166" s="4">
        <v>9</v>
      </c>
      <c r="V166" s="4">
        <v>12</v>
      </c>
      <c r="W166" s="4">
        <v>38</v>
      </c>
    </row>
    <row r="167" spans="1:23" ht="11.25" customHeight="1" x14ac:dyDescent="0.3">
      <c r="A167" s="4" t="s">
        <v>21</v>
      </c>
      <c r="B167" s="4" t="s">
        <v>39</v>
      </c>
      <c r="C167" s="4" t="s">
        <v>40</v>
      </c>
      <c r="D167" s="4" t="s">
        <v>38</v>
      </c>
      <c r="E167" s="4" t="s">
        <v>25</v>
      </c>
      <c r="F167" s="4" t="s">
        <v>25</v>
      </c>
      <c r="G167" s="4" t="s">
        <v>25</v>
      </c>
      <c r="H167" s="4" t="s">
        <v>34</v>
      </c>
      <c r="I167" s="5">
        <v>44805</v>
      </c>
      <c r="J167" s="6">
        <v>11864</v>
      </c>
      <c r="K167" s="6">
        <v>11864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4" t="s">
        <v>55</v>
      </c>
      <c r="R167" s="4">
        <v>0</v>
      </c>
      <c r="S167" s="4" t="s">
        <v>167</v>
      </c>
      <c r="U167" s="4">
        <v>9</v>
      </c>
      <c r="V167" s="4">
        <v>0</v>
      </c>
      <c r="W167" s="4">
        <v>0</v>
      </c>
    </row>
    <row r="168" spans="1:23" ht="11.25" customHeight="1" x14ac:dyDescent="0.3">
      <c r="A168" s="4" t="s">
        <v>53</v>
      </c>
      <c r="B168" s="4" t="s">
        <v>39</v>
      </c>
      <c r="C168" s="4" t="s">
        <v>40</v>
      </c>
      <c r="D168" s="4" t="s">
        <v>38</v>
      </c>
      <c r="E168" s="4" t="s">
        <v>25</v>
      </c>
      <c r="F168" s="4" t="s">
        <v>25</v>
      </c>
      <c r="G168" s="4" t="s">
        <v>25</v>
      </c>
      <c r="H168" s="4" t="s">
        <v>34</v>
      </c>
      <c r="I168" s="5">
        <v>44835</v>
      </c>
      <c r="J168" s="6">
        <v>658</v>
      </c>
      <c r="K168" s="6">
        <v>658</v>
      </c>
      <c r="L168" s="6">
        <v>33.716999999999999</v>
      </c>
      <c r="M168" s="6">
        <v>33.716999999999999</v>
      </c>
      <c r="N168" s="6">
        <v>33.716999999999999</v>
      </c>
      <c r="O168" s="6">
        <v>33.716999999999999</v>
      </c>
      <c r="P168" s="6">
        <v>0</v>
      </c>
      <c r="Q168" s="4" t="s">
        <v>26</v>
      </c>
      <c r="R168" s="4">
        <v>0</v>
      </c>
      <c r="S168" s="4" t="s">
        <v>168</v>
      </c>
      <c r="T168" s="4" t="s">
        <v>457</v>
      </c>
      <c r="U168" s="4">
        <v>9</v>
      </c>
      <c r="V168" s="4">
        <v>12</v>
      </c>
      <c r="W168" s="4">
        <v>38</v>
      </c>
    </row>
    <row r="169" spans="1:23" ht="11.25" customHeight="1" x14ac:dyDescent="0.3">
      <c r="A169" s="4" t="s">
        <v>53</v>
      </c>
      <c r="B169" s="4" t="s">
        <v>39</v>
      </c>
      <c r="C169" s="4" t="s">
        <v>40</v>
      </c>
      <c r="D169" s="4" t="s">
        <v>38</v>
      </c>
      <c r="E169" s="4" t="s">
        <v>25</v>
      </c>
      <c r="F169" s="4" t="s">
        <v>25</v>
      </c>
      <c r="G169" s="4" t="s">
        <v>25</v>
      </c>
      <c r="H169" s="4" t="s">
        <v>34</v>
      </c>
      <c r="I169" s="5">
        <v>44835</v>
      </c>
      <c r="J169" s="6">
        <v>11864</v>
      </c>
      <c r="K169" s="6">
        <v>11864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4" t="s">
        <v>55</v>
      </c>
      <c r="R169" s="4">
        <v>0</v>
      </c>
      <c r="S169" s="4" t="s">
        <v>168</v>
      </c>
      <c r="U169" s="4">
        <v>9</v>
      </c>
      <c r="V169" s="4">
        <v>0</v>
      </c>
      <c r="W169" s="4">
        <v>0</v>
      </c>
    </row>
    <row r="170" spans="1:23" ht="11.25" customHeight="1" x14ac:dyDescent="0.3">
      <c r="A170" s="4" t="s">
        <v>21</v>
      </c>
      <c r="B170" s="4" t="s">
        <v>39</v>
      </c>
      <c r="C170" s="4" t="s">
        <v>40</v>
      </c>
      <c r="D170" s="4" t="s">
        <v>50</v>
      </c>
      <c r="E170" s="4" t="s">
        <v>51</v>
      </c>
      <c r="F170" s="4" t="s">
        <v>25</v>
      </c>
      <c r="G170" s="4" t="s">
        <v>25</v>
      </c>
      <c r="H170" s="4" t="s">
        <v>35</v>
      </c>
      <c r="I170" s="5">
        <v>44501</v>
      </c>
      <c r="J170" s="6">
        <v>210</v>
      </c>
      <c r="K170" s="6">
        <v>197.39999999999998</v>
      </c>
      <c r="L170" s="6">
        <v>97.087000000000003</v>
      </c>
      <c r="M170" s="6">
        <v>91.261780000000002</v>
      </c>
      <c r="N170" s="6">
        <v>97.087000000000003</v>
      </c>
      <c r="O170" s="6">
        <v>91.261780000000002</v>
      </c>
      <c r="P170" s="6">
        <v>0</v>
      </c>
      <c r="Q170" s="4" t="s">
        <v>26</v>
      </c>
      <c r="R170" s="4">
        <v>0</v>
      </c>
      <c r="S170" s="4" t="s">
        <v>145</v>
      </c>
      <c r="T170" s="4" t="s">
        <v>434</v>
      </c>
      <c r="U170" s="4">
        <v>22</v>
      </c>
      <c r="V170" s="4">
        <v>12</v>
      </c>
      <c r="W170" s="4">
        <v>61</v>
      </c>
    </row>
    <row r="171" spans="1:23" ht="11.25" customHeight="1" x14ac:dyDescent="0.3">
      <c r="A171" s="4" t="s">
        <v>21</v>
      </c>
      <c r="B171" s="4" t="s">
        <v>39</v>
      </c>
      <c r="C171" s="4" t="s">
        <v>40</v>
      </c>
      <c r="D171" s="4" t="s">
        <v>50</v>
      </c>
      <c r="E171" s="4" t="s">
        <v>51</v>
      </c>
      <c r="F171" s="4" t="s">
        <v>25</v>
      </c>
      <c r="G171" s="4" t="s">
        <v>25</v>
      </c>
      <c r="H171" s="4" t="s">
        <v>35</v>
      </c>
      <c r="I171" s="5">
        <v>44531</v>
      </c>
      <c r="J171" s="6">
        <v>210</v>
      </c>
      <c r="K171" s="6">
        <v>197.39999999999998</v>
      </c>
      <c r="L171" s="6">
        <v>93.664000000000001</v>
      </c>
      <c r="M171" s="6">
        <v>88.044159999999991</v>
      </c>
      <c r="N171" s="6">
        <v>93.664000000000001</v>
      </c>
      <c r="O171" s="6">
        <v>88.044159999999991</v>
      </c>
      <c r="P171" s="6">
        <v>0</v>
      </c>
      <c r="Q171" s="4" t="s">
        <v>26</v>
      </c>
      <c r="R171" s="4">
        <v>0</v>
      </c>
      <c r="S171" s="4" t="s">
        <v>146</v>
      </c>
      <c r="T171" s="4" t="s">
        <v>435</v>
      </c>
      <c r="U171" s="4">
        <v>22</v>
      </c>
      <c r="V171" s="4">
        <v>12</v>
      </c>
      <c r="W171" s="4">
        <v>61</v>
      </c>
    </row>
    <row r="172" spans="1:23" ht="11.25" customHeight="1" x14ac:dyDescent="0.3">
      <c r="A172" s="4" t="s">
        <v>21</v>
      </c>
      <c r="B172" s="4" t="s">
        <v>39</v>
      </c>
      <c r="C172" s="4" t="s">
        <v>40</v>
      </c>
      <c r="D172" s="4" t="s">
        <v>50</v>
      </c>
      <c r="E172" s="4" t="s">
        <v>51</v>
      </c>
      <c r="F172" s="4" t="s">
        <v>25</v>
      </c>
      <c r="G172" s="4" t="s">
        <v>25</v>
      </c>
      <c r="H172" s="4" t="s">
        <v>35</v>
      </c>
      <c r="I172" s="5">
        <v>44562</v>
      </c>
      <c r="J172" s="6">
        <v>210</v>
      </c>
      <c r="K172" s="6">
        <v>197.4</v>
      </c>
      <c r="L172" s="6">
        <v>106.041</v>
      </c>
      <c r="M172" s="6">
        <v>99.678539999999998</v>
      </c>
      <c r="N172" s="6">
        <v>106.041</v>
      </c>
      <c r="O172" s="6">
        <v>99.678539999999998</v>
      </c>
      <c r="P172" s="6">
        <v>0</v>
      </c>
      <c r="Q172" s="4" t="s">
        <v>26</v>
      </c>
      <c r="R172" s="4">
        <v>0</v>
      </c>
      <c r="S172" s="4" t="s">
        <v>147</v>
      </c>
      <c r="T172" s="4" t="s">
        <v>436</v>
      </c>
      <c r="U172" s="4">
        <v>22</v>
      </c>
      <c r="V172" s="4">
        <v>12</v>
      </c>
      <c r="W172" s="4">
        <v>61</v>
      </c>
    </row>
    <row r="173" spans="1:23" ht="11.25" customHeight="1" x14ac:dyDescent="0.3">
      <c r="A173" s="4" t="s">
        <v>21</v>
      </c>
      <c r="B173" s="4" t="s">
        <v>39</v>
      </c>
      <c r="C173" s="4" t="s">
        <v>40</v>
      </c>
      <c r="D173" s="4" t="s">
        <v>50</v>
      </c>
      <c r="E173" s="4" t="s">
        <v>51</v>
      </c>
      <c r="F173" s="4" t="s">
        <v>25</v>
      </c>
      <c r="G173" s="4" t="s">
        <v>25</v>
      </c>
      <c r="H173" s="4" t="s">
        <v>35</v>
      </c>
      <c r="I173" s="5">
        <v>44593</v>
      </c>
      <c r="J173" s="6">
        <v>210</v>
      </c>
      <c r="K173" s="6">
        <v>197.4</v>
      </c>
      <c r="L173" s="6">
        <v>103.517</v>
      </c>
      <c r="M173" s="6">
        <v>97.305980000000005</v>
      </c>
      <c r="N173" s="6">
        <v>103.517</v>
      </c>
      <c r="O173" s="6">
        <v>97.305980000000005</v>
      </c>
      <c r="P173" s="6">
        <v>0</v>
      </c>
      <c r="Q173" s="4" t="s">
        <v>26</v>
      </c>
      <c r="R173" s="4">
        <v>0</v>
      </c>
      <c r="S173" s="4" t="s">
        <v>148</v>
      </c>
      <c r="T173" s="4" t="s">
        <v>437</v>
      </c>
      <c r="U173" s="4">
        <v>22</v>
      </c>
      <c r="V173" s="4">
        <v>12</v>
      </c>
      <c r="W173" s="4">
        <v>61</v>
      </c>
    </row>
    <row r="174" spans="1:23" ht="11.25" customHeight="1" x14ac:dyDescent="0.3">
      <c r="A174" s="4" t="s">
        <v>21</v>
      </c>
      <c r="B174" s="4" t="s">
        <v>39</v>
      </c>
      <c r="C174" s="4" t="s">
        <v>40</v>
      </c>
      <c r="D174" s="4" t="s">
        <v>50</v>
      </c>
      <c r="E174" s="4" t="s">
        <v>51</v>
      </c>
      <c r="F174" s="4" t="s">
        <v>25</v>
      </c>
      <c r="G174" s="4" t="s">
        <v>25</v>
      </c>
      <c r="H174" s="4" t="s">
        <v>35</v>
      </c>
      <c r="I174" s="5">
        <v>44621</v>
      </c>
      <c r="J174" s="6">
        <v>210</v>
      </c>
      <c r="K174" s="6">
        <v>197.4</v>
      </c>
      <c r="L174" s="6">
        <v>91.92</v>
      </c>
      <c r="M174" s="6">
        <v>86.404799999999994</v>
      </c>
      <c r="N174" s="6">
        <v>91.92</v>
      </c>
      <c r="O174" s="6">
        <v>86.404799999999994</v>
      </c>
      <c r="P174" s="6">
        <v>0</v>
      </c>
      <c r="Q174" s="4" t="s">
        <v>26</v>
      </c>
      <c r="R174" s="4">
        <v>0</v>
      </c>
      <c r="S174" s="4" t="s">
        <v>149</v>
      </c>
      <c r="T174" s="4" t="s">
        <v>438</v>
      </c>
      <c r="U174" s="4">
        <v>22</v>
      </c>
      <c r="V174" s="4">
        <v>12</v>
      </c>
      <c r="W174" s="4">
        <v>61</v>
      </c>
    </row>
    <row r="175" spans="1:23" ht="11.25" customHeight="1" x14ac:dyDescent="0.3">
      <c r="A175" s="4" t="s">
        <v>21</v>
      </c>
      <c r="B175" s="4" t="s">
        <v>39</v>
      </c>
      <c r="C175" s="4" t="s">
        <v>40</v>
      </c>
      <c r="D175" s="4" t="s">
        <v>50</v>
      </c>
      <c r="E175" s="4" t="s">
        <v>51</v>
      </c>
      <c r="F175" s="4" t="s">
        <v>25</v>
      </c>
      <c r="G175" s="4" t="s">
        <v>25</v>
      </c>
      <c r="H175" s="4" t="s">
        <v>35</v>
      </c>
      <c r="I175" s="5">
        <v>44652</v>
      </c>
      <c r="J175" s="6">
        <v>210</v>
      </c>
      <c r="K175" s="6">
        <v>197.4</v>
      </c>
      <c r="L175" s="6">
        <v>99.093999999999994</v>
      </c>
      <c r="M175" s="6">
        <v>93.148359999999997</v>
      </c>
      <c r="N175" s="6">
        <v>99.093999999999994</v>
      </c>
      <c r="O175" s="6">
        <v>93.148359999999997</v>
      </c>
      <c r="P175" s="6">
        <v>0</v>
      </c>
      <c r="Q175" s="4" t="s">
        <v>26</v>
      </c>
      <c r="R175" s="4">
        <v>0</v>
      </c>
      <c r="S175" s="4" t="s">
        <v>150</v>
      </c>
      <c r="T175" s="4" t="s">
        <v>439</v>
      </c>
      <c r="U175" s="4">
        <v>22</v>
      </c>
      <c r="V175" s="4">
        <v>12</v>
      </c>
      <c r="W175" s="4">
        <v>61</v>
      </c>
    </row>
    <row r="176" spans="1:23" ht="11.25" customHeight="1" x14ac:dyDescent="0.3">
      <c r="A176" s="4" t="s">
        <v>21</v>
      </c>
      <c r="B176" s="4" t="s">
        <v>39</v>
      </c>
      <c r="C176" s="4" t="s">
        <v>40</v>
      </c>
      <c r="D176" s="4" t="s">
        <v>50</v>
      </c>
      <c r="E176" s="4" t="s">
        <v>51</v>
      </c>
      <c r="F176" s="4" t="s">
        <v>25</v>
      </c>
      <c r="G176" s="4" t="s">
        <v>25</v>
      </c>
      <c r="H176" s="4" t="s">
        <v>35</v>
      </c>
      <c r="I176" s="5">
        <v>44682</v>
      </c>
      <c r="J176" s="6">
        <v>210</v>
      </c>
      <c r="K176" s="6">
        <v>197.4</v>
      </c>
      <c r="L176" s="6">
        <v>100.63</v>
      </c>
      <c r="M176" s="6">
        <v>94.592200000000005</v>
      </c>
      <c r="N176" s="6">
        <v>100.63</v>
      </c>
      <c r="O176" s="6">
        <v>94.592200000000005</v>
      </c>
      <c r="P176" s="6">
        <v>0</v>
      </c>
      <c r="Q176" s="4" t="s">
        <v>26</v>
      </c>
      <c r="R176" s="4">
        <v>0</v>
      </c>
      <c r="S176" s="4" t="s">
        <v>151</v>
      </c>
      <c r="T176" s="4" t="s">
        <v>440</v>
      </c>
      <c r="U176" s="4">
        <v>22</v>
      </c>
      <c r="V176" s="4">
        <v>12</v>
      </c>
      <c r="W176" s="4">
        <v>61</v>
      </c>
    </row>
    <row r="177" spans="1:23" ht="11.25" customHeight="1" x14ac:dyDescent="0.3">
      <c r="A177" s="4" t="s">
        <v>21</v>
      </c>
      <c r="B177" s="4" t="s">
        <v>39</v>
      </c>
      <c r="C177" s="4" t="s">
        <v>40</v>
      </c>
      <c r="D177" s="4" t="s">
        <v>50</v>
      </c>
      <c r="E177" s="4" t="s">
        <v>51</v>
      </c>
      <c r="F177" s="4" t="s">
        <v>25</v>
      </c>
      <c r="G177" s="4" t="s">
        <v>25</v>
      </c>
      <c r="H177" s="4" t="s">
        <v>35</v>
      </c>
      <c r="I177" s="5">
        <v>44713</v>
      </c>
      <c r="J177" s="6">
        <v>210</v>
      </c>
      <c r="K177" s="6">
        <v>197.4</v>
      </c>
      <c r="L177" s="6">
        <v>98.918999999999997</v>
      </c>
      <c r="M177" s="6">
        <v>92.983860000000007</v>
      </c>
      <c r="N177" s="6">
        <v>98.918999999999997</v>
      </c>
      <c r="O177" s="6">
        <v>92.983860000000007</v>
      </c>
      <c r="P177" s="6">
        <v>0</v>
      </c>
      <c r="Q177" s="4" t="s">
        <v>26</v>
      </c>
      <c r="R177" s="4">
        <v>0</v>
      </c>
      <c r="S177" s="4" t="s">
        <v>152</v>
      </c>
      <c r="T177" s="4" t="s">
        <v>441</v>
      </c>
      <c r="U177" s="4">
        <v>22</v>
      </c>
      <c r="V177" s="4">
        <v>12</v>
      </c>
      <c r="W177" s="4">
        <v>61</v>
      </c>
    </row>
    <row r="178" spans="1:23" ht="11.25" customHeight="1" x14ac:dyDescent="0.3">
      <c r="A178" s="4" t="s">
        <v>21</v>
      </c>
      <c r="B178" s="4" t="s">
        <v>39</v>
      </c>
      <c r="C178" s="4" t="s">
        <v>40</v>
      </c>
      <c r="D178" s="4" t="s">
        <v>50</v>
      </c>
      <c r="E178" s="4" t="s">
        <v>51</v>
      </c>
      <c r="F178" s="4" t="s">
        <v>25</v>
      </c>
      <c r="G178" s="4" t="s">
        <v>25</v>
      </c>
      <c r="H178" s="4" t="s">
        <v>35</v>
      </c>
      <c r="I178" s="5">
        <v>44743</v>
      </c>
      <c r="J178" s="6">
        <v>210</v>
      </c>
      <c r="K178" s="6">
        <v>197.4</v>
      </c>
      <c r="L178" s="6">
        <v>93.923000000000002</v>
      </c>
      <c r="M178" s="6">
        <v>88.287620000000004</v>
      </c>
      <c r="N178" s="6">
        <v>93.923000000000002</v>
      </c>
      <c r="O178" s="6">
        <v>88.287620000000004</v>
      </c>
      <c r="P178" s="6">
        <v>0</v>
      </c>
      <c r="Q178" s="4" t="s">
        <v>26</v>
      </c>
      <c r="R178" s="4">
        <v>0</v>
      </c>
      <c r="S178" s="4" t="s">
        <v>153</v>
      </c>
      <c r="T178" s="4" t="s">
        <v>442</v>
      </c>
      <c r="U178" s="4">
        <v>22</v>
      </c>
      <c r="V178" s="4">
        <v>12</v>
      </c>
      <c r="W178" s="4">
        <v>61</v>
      </c>
    </row>
    <row r="179" spans="1:23" ht="11.25" customHeight="1" x14ac:dyDescent="0.3">
      <c r="A179" s="4" t="s">
        <v>21</v>
      </c>
      <c r="B179" s="4" t="s">
        <v>39</v>
      </c>
      <c r="C179" s="4" t="s">
        <v>40</v>
      </c>
      <c r="D179" s="4" t="s">
        <v>50</v>
      </c>
      <c r="E179" s="4" t="s">
        <v>51</v>
      </c>
      <c r="F179" s="4" t="s">
        <v>25</v>
      </c>
      <c r="G179" s="4" t="s">
        <v>25</v>
      </c>
      <c r="H179" s="4" t="s">
        <v>35</v>
      </c>
      <c r="I179" s="5">
        <v>44774</v>
      </c>
      <c r="J179" s="6">
        <v>210</v>
      </c>
      <c r="K179" s="6">
        <v>197.4</v>
      </c>
      <c r="L179" s="6">
        <v>98.531999999999996</v>
      </c>
      <c r="M179" s="6">
        <v>92.620080000000002</v>
      </c>
      <c r="N179" s="6">
        <v>98.531999999999996</v>
      </c>
      <c r="O179" s="6">
        <v>92.620080000000002</v>
      </c>
      <c r="P179" s="6">
        <v>0</v>
      </c>
      <c r="Q179" s="4" t="s">
        <v>26</v>
      </c>
      <c r="R179" s="4">
        <v>0</v>
      </c>
      <c r="S179" s="4" t="s">
        <v>154</v>
      </c>
      <c r="T179" s="4" t="s">
        <v>443</v>
      </c>
      <c r="U179" s="4">
        <v>22</v>
      </c>
      <c r="V179" s="4">
        <v>12</v>
      </c>
      <c r="W179" s="4">
        <v>61</v>
      </c>
    </row>
    <row r="180" spans="1:23" ht="11.25" customHeight="1" x14ac:dyDescent="0.3">
      <c r="A180" s="4" t="s">
        <v>21</v>
      </c>
      <c r="B180" s="4" t="s">
        <v>39</v>
      </c>
      <c r="C180" s="4" t="s">
        <v>40</v>
      </c>
      <c r="D180" s="4" t="s">
        <v>50</v>
      </c>
      <c r="E180" s="4" t="s">
        <v>51</v>
      </c>
      <c r="F180" s="4" t="s">
        <v>25</v>
      </c>
      <c r="G180" s="4" t="s">
        <v>25</v>
      </c>
      <c r="H180" s="4" t="s">
        <v>35</v>
      </c>
      <c r="I180" s="5">
        <v>44805</v>
      </c>
      <c r="J180" s="6">
        <v>210</v>
      </c>
      <c r="K180" s="6">
        <v>197.4</v>
      </c>
      <c r="L180" s="6">
        <v>97.796999999999997</v>
      </c>
      <c r="M180" s="6">
        <v>91.929180000000002</v>
      </c>
      <c r="N180" s="6">
        <v>97.796999999999997</v>
      </c>
      <c r="O180" s="6">
        <v>91.929180000000002</v>
      </c>
      <c r="P180" s="6">
        <v>0</v>
      </c>
      <c r="Q180" s="4" t="s">
        <v>26</v>
      </c>
      <c r="R180" s="4">
        <v>0</v>
      </c>
      <c r="S180" s="4" t="s">
        <v>155</v>
      </c>
      <c r="T180" s="4" t="s">
        <v>444</v>
      </c>
      <c r="U180" s="4">
        <v>22</v>
      </c>
      <c r="V180" s="4">
        <v>12</v>
      </c>
      <c r="W180" s="4">
        <v>61</v>
      </c>
    </row>
    <row r="181" spans="1:23" ht="11.25" customHeight="1" x14ac:dyDescent="0.3">
      <c r="A181" s="4" t="s">
        <v>53</v>
      </c>
      <c r="B181" s="4" t="s">
        <v>39</v>
      </c>
      <c r="C181" s="4" t="s">
        <v>40</v>
      </c>
      <c r="D181" s="4" t="s">
        <v>50</v>
      </c>
      <c r="E181" s="4" t="s">
        <v>51</v>
      </c>
      <c r="F181" s="4" t="s">
        <v>25</v>
      </c>
      <c r="G181" s="4" t="s">
        <v>25</v>
      </c>
      <c r="H181" s="4" t="s">
        <v>35</v>
      </c>
      <c r="I181" s="5">
        <v>44835</v>
      </c>
      <c r="J181" s="6">
        <v>210</v>
      </c>
      <c r="K181" s="6">
        <v>197.4</v>
      </c>
      <c r="L181" s="6">
        <v>97.796999999999997</v>
      </c>
      <c r="M181" s="6">
        <v>91.929180000000002</v>
      </c>
      <c r="N181" s="6">
        <v>97.796999999999997</v>
      </c>
      <c r="O181" s="6">
        <v>91.929180000000002</v>
      </c>
      <c r="P181" s="6">
        <v>0</v>
      </c>
      <c r="Q181" s="4" t="s">
        <v>26</v>
      </c>
      <c r="R181" s="4">
        <v>0</v>
      </c>
      <c r="S181" s="4" t="s">
        <v>156</v>
      </c>
      <c r="T181" s="4" t="s">
        <v>445</v>
      </c>
      <c r="U181" s="4">
        <v>22</v>
      </c>
      <c r="V181" s="4">
        <v>12</v>
      </c>
      <c r="W181" s="4">
        <v>61</v>
      </c>
    </row>
    <row r="182" spans="1:23" ht="11.25" customHeight="1" x14ac:dyDescent="0.3">
      <c r="A182" s="4" t="s">
        <v>21</v>
      </c>
      <c r="B182" s="4" t="s">
        <v>39</v>
      </c>
      <c r="C182" s="4" t="s">
        <v>40</v>
      </c>
      <c r="D182" s="4" t="s">
        <v>50</v>
      </c>
      <c r="E182" s="4" t="s">
        <v>51</v>
      </c>
      <c r="F182" s="4" t="s">
        <v>25</v>
      </c>
      <c r="G182" s="4" t="s">
        <v>25</v>
      </c>
      <c r="H182" s="4" t="s">
        <v>34</v>
      </c>
      <c r="I182" s="5">
        <v>44501</v>
      </c>
      <c r="J182" s="6">
        <v>210</v>
      </c>
      <c r="K182" s="6">
        <v>197.39999999999998</v>
      </c>
      <c r="L182" s="6">
        <v>8.58</v>
      </c>
      <c r="M182" s="6">
        <v>8.065199999999999</v>
      </c>
      <c r="N182" s="6">
        <v>8.58</v>
      </c>
      <c r="O182" s="6">
        <v>8.065199999999999</v>
      </c>
      <c r="P182" s="6">
        <v>0</v>
      </c>
      <c r="Q182" s="4" t="s">
        <v>26</v>
      </c>
      <c r="R182" s="4">
        <v>0</v>
      </c>
      <c r="S182" s="4" t="s">
        <v>157</v>
      </c>
      <c r="T182" s="4" t="s">
        <v>446</v>
      </c>
      <c r="U182" s="4">
        <v>9</v>
      </c>
      <c r="V182" s="4">
        <v>12</v>
      </c>
      <c r="W182" s="4">
        <v>38</v>
      </c>
    </row>
    <row r="183" spans="1:23" ht="11.25" customHeight="1" x14ac:dyDescent="0.3">
      <c r="A183" s="4" t="s">
        <v>21</v>
      </c>
      <c r="B183" s="4" t="s">
        <v>39</v>
      </c>
      <c r="C183" s="4" t="s">
        <v>40</v>
      </c>
      <c r="D183" s="4" t="s">
        <v>50</v>
      </c>
      <c r="E183" s="4" t="s">
        <v>51</v>
      </c>
      <c r="F183" s="4" t="s">
        <v>25</v>
      </c>
      <c r="G183" s="4" t="s">
        <v>25</v>
      </c>
      <c r="H183" s="4" t="s">
        <v>34</v>
      </c>
      <c r="I183" s="5">
        <v>44531</v>
      </c>
      <c r="J183" s="6">
        <v>210</v>
      </c>
      <c r="K183" s="6">
        <v>197.39999999999998</v>
      </c>
      <c r="L183" s="6">
        <v>8.7170000000000005</v>
      </c>
      <c r="M183" s="6">
        <v>8.1939799999999998</v>
      </c>
      <c r="N183" s="6">
        <v>8.7170000000000005</v>
      </c>
      <c r="O183" s="6">
        <v>8.1939799999999998</v>
      </c>
      <c r="P183" s="6">
        <v>0</v>
      </c>
      <c r="Q183" s="4" t="s">
        <v>26</v>
      </c>
      <c r="R183" s="4">
        <v>0</v>
      </c>
      <c r="S183" s="4" t="s">
        <v>158</v>
      </c>
      <c r="T183" s="4" t="s">
        <v>447</v>
      </c>
      <c r="U183" s="4">
        <v>9</v>
      </c>
      <c r="V183" s="4">
        <v>12</v>
      </c>
      <c r="W183" s="4">
        <v>38</v>
      </c>
    </row>
    <row r="184" spans="1:23" ht="11.25" customHeight="1" x14ac:dyDescent="0.3">
      <c r="A184" s="4" t="s">
        <v>21</v>
      </c>
      <c r="B184" s="4" t="s">
        <v>39</v>
      </c>
      <c r="C184" s="4" t="s">
        <v>40</v>
      </c>
      <c r="D184" s="4" t="s">
        <v>50</v>
      </c>
      <c r="E184" s="4" t="s">
        <v>51</v>
      </c>
      <c r="F184" s="4" t="s">
        <v>25</v>
      </c>
      <c r="G184" s="4" t="s">
        <v>25</v>
      </c>
      <c r="H184" s="4" t="s">
        <v>34</v>
      </c>
      <c r="I184" s="5">
        <v>44562</v>
      </c>
      <c r="J184" s="6">
        <v>210</v>
      </c>
      <c r="K184" s="6">
        <v>197.4</v>
      </c>
      <c r="L184" s="6">
        <v>11.147</v>
      </c>
      <c r="M184" s="6">
        <v>10.47818</v>
      </c>
      <c r="N184" s="6">
        <v>11.147</v>
      </c>
      <c r="O184" s="6">
        <v>10.47818</v>
      </c>
      <c r="P184" s="6">
        <v>0</v>
      </c>
      <c r="Q184" s="4" t="s">
        <v>26</v>
      </c>
      <c r="R184" s="4">
        <v>0</v>
      </c>
      <c r="S184" s="4" t="s">
        <v>159</v>
      </c>
      <c r="T184" s="4" t="s">
        <v>448</v>
      </c>
      <c r="U184" s="4">
        <v>9</v>
      </c>
      <c r="V184" s="4">
        <v>12</v>
      </c>
      <c r="W184" s="4">
        <v>38</v>
      </c>
    </row>
    <row r="185" spans="1:23" ht="11.25" customHeight="1" x14ac:dyDescent="0.3">
      <c r="A185" s="4" t="s">
        <v>21</v>
      </c>
      <c r="B185" s="4" t="s">
        <v>39</v>
      </c>
      <c r="C185" s="4" t="s">
        <v>40</v>
      </c>
      <c r="D185" s="4" t="s">
        <v>50</v>
      </c>
      <c r="E185" s="4" t="s">
        <v>51</v>
      </c>
      <c r="F185" s="4" t="s">
        <v>25</v>
      </c>
      <c r="G185" s="4" t="s">
        <v>25</v>
      </c>
      <c r="H185" s="4" t="s">
        <v>34</v>
      </c>
      <c r="I185" s="5">
        <v>44593</v>
      </c>
      <c r="J185" s="6">
        <v>210</v>
      </c>
      <c r="K185" s="6">
        <v>197.4</v>
      </c>
      <c r="L185" s="6">
        <v>9.7609999999999992</v>
      </c>
      <c r="M185" s="6">
        <v>9.1753400000000003</v>
      </c>
      <c r="N185" s="6">
        <v>9.7609999999999992</v>
      </c>
      <c r="O185" s="6">
        <v>9.1753400000000003</v>
      </c>
      <c r="P185" s="6">
        <v>0</v>
      </c>
      <c r="Q185" s="4" t="s">
        <v>26</v>
      </c>
      <c r="R185" s="4">
        <v>0</v>
      </c>
      <c r="S185" s="4" t="s">
        <v>160</v>
      </c>
      <c r="T185" s="4" t="s">
        <v>449</v>
      </c>
      <c r="U185" s="4">
        <v>9</v>
      </c>
      <c r="V185" s="4">
        <v>12</v>
      </c>
      <c r="W185" s="4">
        <v>38</v>
      </c>
    </row>
    <row r="186" spans="1:23" ht="11.25" customHeight="1" x14ac:dyDescent="0.3">
      <c r="A186" s="4" t="s">
        <v>21</v>
      </c>
      <c r="B186" s="4" t="s">
        <v>39</v>
      </c>
      <c r="C186" s="4" t="s">
        <v>40</v>
      </c>
      <c r="D186" s="4" t="s">
        <v>50</v>
      </c>
      <c r="E186" s="4" t="s">
        <v>51</v>
      </c>
      <c r="F186" s="4" t="s">
        <v>25</v>
      </c>
      <c r="G186" s="4" t="s">
        <v>25</v>
      </c>
      <c r="H186" s="4" t="s">
        <v>34</v>
      </c>
      <c r="I186" s="5">
        <v>44621</v>
      </c>
      <c r="J186" s="6">
        <v>210</v>
      </c>
      <c r="K186" s="6">
        <v>197.4</v>
      </c>
      <c r="L186" s="6">
        <v>10.478999999999999</v>
      </c>
      <c r="M186" s="6">
        <v>9.8502600000000005</v>
      </c>
      <c r="N186" s="6">
        <v>10.478999999999999</v>
      </c>
      <c r="O186" s="6">
        <v>9.8502600000000005</v>
      </c>
      <c r="P186" s="6">
        <v>0</v>
      </c>
      <c r="Q186" s="4" t="s">
        <v>26</v>
      </c>
      <c r="R186" s="4">
        <v>0</v>
      </c>
      <c r="S186" s="4" t="s">
        <v>161</v>
      </c>
      <c r="T186" s="4" t="s">
        <v>450</v>
      </c>
      <c r="U186" s="4">
        <v>9</v>
      </c>
      <c r="V186" s="4">
        <v>12</v>
      </c>
      <c r="W186" s="4">
        <v>38</v>
      </c>
    </row>
    <row r="187" spans="1:23" ht="11.25" customHeight="1" x14ac:dyDescent="0.3">
      <c r="A187" s="4" t="s">
        <v>21</v>
      </c>
      <c r="B187" s="4" t="s">
        <v>39</v>
      </c>
      <c r="C187" s="4" t="s">
        <v>40</v>
      </c>
      <c r="D187" s="4" t="s">
        <v>50</v>
      </c>
      <c r="E187" s="4" t="s">
        <v>51</v>
      </c>
      <c r="F187" s="4" t="s">
        <v>25</v>
      </c>
      <c r="G187" s="4" t="s">
        <v>25</v>
      </c>
      <c r="H187" s="4" t="s">
        <v>34</v>
      </c>
      <c r="I187" s="5">
        <v>44652</v>
      </c>
      <c r="J187" s="6">
        <v>210</v>
      </c>
      <c r="K187" s="6">
        <v>197.4</v>
      </c>
      <c r="L187" s="6">
        <v>9.7949999999999999</v>
      </c>
      <c r="M187" s="6">
        <v>9.2073</v>
      </c>
      <c r="N187" s="6">
        <v>9.7949999999999999</v>
      </c>
      <c r="O187" s="6">
        <v>9.2073</v>
      </c>
      <c r="P187" s="6">
        <v>0</v>
      </c>
      <c r="Q187" s="4" t="s">
        <v>26</v>
      </c>
      <c r="R187" s="4">
        <v>0</v>
      </c>
      <c r="S187" s="4" t="s">
        <v>162</v>
      </c>
      <c r="T187" s="4" t="s">
        <v>451</v>
      </c>
      <c r="U187" s="4">
        <v>9</v>
      </c>
      <c r="V187" s="4">
        <v>12</v>
      </c>
      <c r="W187" s="4">
        <v>38</v>
      </c>
    </row>
    <row r="188" spans="1:23" ht="11.25" customHeight="1" x14ac:dyDescent="0.3">
      <c r="A188" s="4" t="s">
        <v>21</v>
      </c>
      <c r="B188" s="4" t="s">
        <v>39</v>
      </c>
      <c r="C188" s="4" t="s">
        <v>40</v>
      </c>
      <c r="D188" s="4" t="s">
        <v>50</v>
      </c>
      <c r="E188" s="4" t="s">
        <v>51</v>
      </c>
      <c r="F188" s="4" t="s">
        <v>25</v>
      </c>
      <c r="G188" s="4" t="s">
        <v>25</v>
      </c>
      <c r="H188" s="4" t="s">
        <v>34</v>
      </c>
      <c r="I188" s="5">
        <v>44682</v>
      </c>
      <c r="J188" s="6">
        <v>210</v>
      </c>
      <c r="K188" s="6">
        <v>197.4</v>
      </c>
      <c r="L188" s="6">
        <v>10.18</v>
      </c>
      <c r="M188" s="6">
        <v>9.5692000000000004</v>
      </c>
      <c r="N188" s="6">
        <v>10.18</v>
      </c>
      <c r="O188" s="6">
        <v>9.5692000000000004</v>
      </c>
      <c r="P188" s="6">
        <v>0</v>
      </c>
      <c r="Q188" s="4" t="s">
        <v>26</v>
      </c>
      <c r="R188" s="4">
        <v>0</v>
      </c>
      <c r="S188" s="4" t="s">
        <v>163</v>
      </c>
      <c r="T188" s="4" t="s">
        <v>452</v>
      </c>
      <c r="U188" s="4">
        <v>9</v>
      </c>
      <c r="V188" s="4">
        <v>12</v>
      </c>
      <c r="W188" s="4">
        <v>38</v>
      </c>
    </row>
    <row r="189" spans="1:23" ht="11.25" customHeight="1" x14ac:dyDescent="0.3">
      <c r="A189" s="4" t="s">
        <v>21</v>
      </c>
      <c r="B189" s="4" t="s">
        <v>39</v>
      </c>
      <c r="C189" s="4" t="s">
        <v>40</v>
      </c>
      <c r="D189" s="4" t="s">
        <v>50</v>
      </c>
      <c r="E189" s="4" t="s">
        <v>51</v>
      </c>
      <c r="F189" s="4" t="s">
        <v>25</v>
      </c>
      <c r="G189" s="4" t="s">
        <v>25</v>
      </c>
      <c r="H189" s="4" t="s">
        <v>34</v>
      </c>
      <c r="I189" s="5">
        <v>44713</v>
      </c>
      <c r="J189" s="6">
        <v>210</v>
      </c>
      <c r="K189" s="6">
        <v>197.4</v>
      </c>
      <c r="L189" s="6">
        <v>10.914</v>
      </c>
      <c r="M189" s="6">
        <v>10.25916</v>
      </c>
      <c r="N189" s="6">
        <v>10.914</v>
      </c>
      <c r="O189" s="6">
        <v>10.25916</v>
      </c>
      <c r="P189" s="6">
        <v>0</v>
      </c>
      <c r="Q189" s="4" t="s">
        <v>26</v>
      </c>
      <c r="R189" s="4">
        <v>0</v>
      </c>
      <c r="S189" s="4" t="s">
        <v>164</v>
      </c>
      <c r="T189" s="4" t="s">
        <v>453</v>
      </c>
      <c r="U189" s="4">
        <v>9</v>
      </c>
      <c r="V189" s="4">
        <v>12</v>
      </c>
      <c r="W189" s="4">
        <v>38</v>
      </c>
    </row>
    <row r="190" spans="1:23" ht="11.25" customHeight="1" x14ac:dyDescent="0.3">
      <c r="A190" s="4" t="s">
        <v>21</v>
      </c>
      <c r="B190" s="4" t="s">
        <v>39</v>
      </c>
      <c r="C190" s="4" t="s">
        <v>40</v>
      </c>
      <c r="D190" s="4" t="s">
        <v>50</v>
      </c>
      <c r="E190" s="4" t="s">
        <v>51</v>
      </c>
      <c r="F190" s="4" t="s">
        <v>25</v>
      </c>
      <c r="G190" s="4" t="s">
        <v>25</v>
      </c>
      <c r="H190" s="4" t="s">
        <v>34</v>
      </c>
      <c r="I190" s="5">
        <v>44743</v>
      </c>
      <c r="J190" s="6">
        <v>210</v>
      </c>
      <c r="K190" s="6">
        <v>197.4</v>
      </c>
      <c r="L190" s="6">
        <v>10.762</v>
      </c>
      <c r="M190" s="6">
        <v>10.11628</v>
      </c>
      <c r="N190" s="6">
        <v>10.762</v>
      </c>
      <c r="O190" s="6">
        <v>10.11628</v>
      </c>
      <c r="P190" s="6">
        <v>0</v>
      </c>
      <c r="Q190" s="4" t="s">
        <v>26</v>
      </c>
      <c r="R190" s="4">
        <v>0</v>
      </c>
      <c r="S190" s="4" t="s">
        <v>165</v>
      </c>
      <c r="T190" s="4" t="s">
        <v>454</v>
      </c>
      <c r="U190" s="4">
        <v>9</v>
      </c>
      <c r="V190" s="4">
        <v>12</v>
      </c>
      <c r="W190" s="4">
        <v>38</v>
      </c>
    </row>
    <row r="191" spans="1:23" ht="11.25" customHeight="1" x14ac:dyDescent="0.3">
      <c r="A191" s="4" t="s">
        <v>21</v>
      </c>
      <c r="B191" s="4" t="s">
        <v>39</v>
      </c>
      <c r="C191" s="4" t="s">
        <v>40</v>
      </c>
      <c r="D191" s="4" t="s">
        <v>50</v>
      </c>
      <c r="E191" s="4" t="s">
        <v>51</v>
      </c>
      <c r="F191" s="4" t="s">
        <v>25</v>
      </c>
      <c r="G191" s="4" t="s">
        <v>25</v>
      </c>
      <c r="H191" s="4" t="s">
        <v>34</v>
      </c>
      <c r="I191" s="5">
        <v>44774</v>
      </c>
      <c r="J191" s="6">
        <v>210</v>
      </c>
      <c r="K191" s="6">
        <v>197.4</v>
      </c>
      <c r="L191" s="6">
        <v>10.159000000000001</v>
      </c>
      <c r="M191" s="6">
        <v>9.5494599999999998</v>
      </c>
      <c r="N191" s="6">
        <v>10.159000000000001</v>
      </c>
      <c r="O191" s="6">
        <v>9.5494599999999998</v>
      </c>
      <c r="P191" s="6">
        <v>0</v>
      </c>
      <c r="Q191" s="4" t="s">
        <v>26</v>
      </c>
      <c r="R191" s="4">
        <v>0</v>
      </c>
      <c r="S191" s="4" t="s">
        <v>166</v>
      </c>
      <c r="T191" s="4" t="s">
        <v>455</v>
      </c>
      <c r="U191" s="4">
        <v>9</v>
      </c>
      <c r="V191" s="4">
        <v>12</v>
      </c>
      <c r="W191" s="4">
        <v>38</v>
      </c>
    </row>
    <row r="192" spans="1:23" ht="11.25" customHeight="1" x14ac:dyDescent="0.3">
      <c r="A192" s="4" t="s">
        <v>21</v>
      </c>
      <c r="B192" s="4" t="s">
        <v>39</v>
      </c>
      <c r="C192" s="4" t="s">
        <v>40</v>
      </c>
      <c r="D192" s="4" t="s">
        <v>50</v>
      </c>
      <c r="E192" s="4" t="s">
        <v>51</v>
      </c>
      <c r="F192" s="4" t="s">
        <v>25</v>
      </c>
      <c r="G192" s="4" t="s">
        <v>25</v>
      </c>
      <c r="H192" s="4" t="s">
        <v>34</v>
      </c>
      <c r="I192" s="5">
        <v>44805</v>
      </c>
      <c r="J192" s="6">
        <v>210</v>
      </c>
      <c r="K192" s="6">
        <v>197.4</v>
      </c>
      <c r="L192" s="6">
        <v>10.811999999999999</v>
      </c>
      <c r="M192" s="6">
        <v>10.16328</v>
      </c>
      <c r="N192" s="6">
        <v>10.811999999999999</v>
      </c>
      <c r="O192" s="6">
        <v>10.16328</v>
      </c>
      <c r="P192" s="6">
        <v>0</v>
      </c>
      <c r="Q192" s="4" t="s">
        <v>26</v>
      </c>
      <c r="R192" s="4">
        <v>0</v>
      </c>
      <c r="S192" s="4" t="s">
        <v>167</v>
      </c>
      <c r="T192" s="4" t="s">
        <v>456</v>
      </c>
      <c r="U192" s="4">
        <v>9</v>
      </c>
      <c r="V192" s="4">
        <v>12</v>
      </c>
      <c r="W192" s="4">
        <v>38</v>
      </c>
    </row>
    <row r="193" spans="1:23" ht="11.25" customHeight="1" x14ac:dyDescent="0.3">
      <c r="A193" s="4" t="s">
        <v>53</v>
      </c>
      <c r="B193" s="4" t="s">
        <v>39</v>
      </c>
      <c r="C193" s="4" t="s">
        <v>40</v>
      </c>
      <c r="D193" s="4" t="s">
        <v>50</v>
      </c>
      <c r="E193" s="4" t="s">
        <v>51</v>
      </c>
      <c r="F193" s="4" t="s">
        <v>25</v>
      </c>
      <c r="G193" s="4" t="s">
        <v>25</v>
      </c>
      <c r="H193" s="4" t="s">
        <v>34</v>
      </c>
      <c r="I193" s="5">
        <v>44835</v>
      </c>
      <c r="J193" s="6">
        <v>210</v>
      </c>
      <c r="K193" s="6">
        <v>197.4</v>
      </c>
      <c r="L193" s="6">
        <v>10.811999999999999</v>
      </c>
      <c r="M193" s="6">
        <v>10.16328</v>
      </c>
      <c r="N193" s="6">
        <v>10.811999999999999</v>
      </c>
      <c r="O193" s="6">
        <v>10.16328</v>
      </c>
      <c r="P193" s="6">
        <v>0</v>
      </c>
      <c r="Q193" s="4" t="s">
        <v>26</v>
      </c>
      <c r="R193" s="4">
        <v>0</v>
      </c>
      <c r="S193" s="4" t="s">
        <v>168</v>
      </c>
      <c r="T193" s="4" t="s">
        <v>457</v>
      </c>
      <c r="U193" s="4">
        <v>9</v>
      </c>
      <c r="V193" s="4">
        <v>12</v>
      </c>
      <c r="W193" s="4">
        <v>38</v>
      </c>
    </row>
    <row r="194" spans="1:23" ht="11.25" customHeight="1" x14ac:dyDescent="0.3">
      <c r="A194" s="4" t="s">
        <v>21</v>
      </c>
      <c r="B194" s="4" t="s">
        <v>39</v>
      </c>
      <c r="C194" s="4" t="s">
        <v>57</v>
      </c>
      <c r="D194" s="4" t="s">
        <v>25</v>
      </c>
      <c r="E194" s="4" t="s">
        <v>25</v>
      </c>
      <c r="F194" s="4" t="s">
        <v>25</v>
      </c>
      <c r="G194" s="4" t="s">
        <v>58</v>
      </c>
      <c r="H194" s="4" t="s">
        <v>25</v>
      </c>
      <c r="I194" s="5">
        <v>44501</v>
      </c>
      <c r="J194" s="6">
        <v>8780</v>
      </c>
      <c r="K194" s="6">
        <v>8780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4" t="s">
        <v>59</v>
      </c>
      <c r="R194" s="4">
        <v>109</v>
      </c>
      <c r="S194" s="4" t="s">
        <v>181</v>
      </c>
      <c r="U194" s="4">
        <v>17</v>
      </c>
      <c r="V194" s="4">
        <v>0</v>
      </c>
      <c r="W194" s="4">
        <v>0</v>
      </c>
    </row>
    <row r="195" spans="1:23" ht="11.25" customHeight="1" x14ac:dyDescent="0.3">
      <c r="A195" s="4" t="s">
        <v>21</v>
      </c>
      <c r="B195" s="4" t="s">
        <v>39</v>
      </c>
      <c r="C195" s="4" t="s">
        <v>57</v>
      </c>
      <c r="D195" s="4" t="s">
        <v>25</v>
      </c>
      <c r="E195" s="4" t="s">
        <v>25</v>
      </c>
      <c r="F195" s="4" t="s">
        <v>25</v>
      </c>
      <c r="G195" s="4" t="s">
        <v>58</v>
      </c>
      <c r="H195" s="4" t="s">
        <v>25</v>
      </c>
      <c r="I195" s="5">
        <v>44531</v>
      </c>
      <c r="J195" s="6">
        <v>8780</v>
      </c>
      <c r="K195" s="6">
        <v>8780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4" t="s">
        <v>59</v>
      </c>
      <c r="R195" s="4">
        <v>109</v>
      </c>
      <c r="S195" s="4" t="s">
        <v>182</v>
      </c>
      <c r="U195" s="4">
        <v>17</v>
      </c>
      <c r="V195" s="4">
        <v>0</v>
      </c>
      <c r="W195" s="4">
        <v>0</v>
      </c>
    </row>
    <row r="196" spans="1:23" ht="11.25" customHeight="1" x14ac:dyDescent="0.3">
      <c r="A196" s="4" t="s">
        <v>21</v>
      </c>
      <c r="B196" s="4" t="s">
        <v>39</v>
      </c>
      <c r="C196" s="4" t="s">
        <v>57</v>
      </c>
      <c r="D196" s="4" t="s">
        <v>25</v>
      </c>
      <c r="E196" s="4" t="s">
        <v>25</v>
      </c>
      <c r="F196" s="4" t="s">
        <v>25</v>
      </c>
      <c r="G196" s="4" t="s">
        <v>58</v>
      </c>
      <c r="H196" s="4" t="s">
        <v>25</v>
      </c>
      <c r="I196" s="5">
        <v>44562</v>
      </c>
      <c r="J196" s="6">
        <v>8780</v>
      </c>
      <c r="K196" s="6">
        <v>8780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4" t="s">
        <v>59</v>
      </c>
      <c r="R196" s="4">
        <v>109</v>
      </c>
      <c r="S196" s="4" t="s">
        <v>183</v>
      </c>
      <c r="U196" s="4">
        <v>17</v>
      </c>
      <c r="V196" s="4">
        <v>0</v>
      </c>
      <c r="W196" s="4">
        <v>0</v>
      </c>
    </row>
    <row r="197" spans="1:23" ht="11.25" customHeight="1" x14ac:dyDescent="0.3">
      <c r="A197" s="4" t="s">
        <v>21</v>
      </c>
      <c r="B197" s="4" t="s">
        <v>39</v>
      </c>
      <c r="C197" s="4" t="s">
        <v>57</v>
      </c>
      <c r="D197" s="4" t="s">
        <v>25</v>
      </c>
      <c r="E197" s="4" t="s">
        <v>25</v>
      </c>
      <c r="F197" s="4" t="s">
        <v>25</v>
      </c>
      <c r="G197" s="4" t="s">
        <v>58</v>
      </c>
      <c r="H197" s="4" t="s">
        <v>25</v>
      </c>
      <c r="I197" s="5">
        <v>44593</v>
      </c>
      <c r="J197" s="6">
        <v>8780</v>
      </c>
      <c r="K197" s="6">
        <v>8780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4" t="s">
        <v>59</v>
      </c>
      <c r="R197" s="4">
        <v>109</v>
      </c>
      <c r="S197" s="4" t="s">
        <v>184</v>
      </c>
      <c r="U197" s="4">
        <v>17</v>
      </c>
      <c r="V197" s="4">
        <v>0</v>
      </c>
      <c r="W197" s="4">
        <v>0</v>
      </c>
    </row>
    <row r="198" spans="1:23" ht="11.25" customHeight="1" x14ac:dyDescent="0.3">
      <c r="A198" s="4" t="s">
        <v>21</v>
      </c>
      <c r="B198" s="4" t="s">
        <v>39</v>
      </c>
      <c r="C198" s="4" t="s">
        <v>57</v>
      </c>
      <c r="D198" s="4" t="s">
        <v>25</v>
      </c>
      <c r="E198" s="4" t="s">
        <v>25</v>
      </c>
      <c r="F198" s="4" t="s">
        <v>25</v>
      </c>
      <c r="G198" s="4" t="s">
        <v>58</v>
      </c>
      <c r="H198" s="4" t="s">
        <v>25</v>
      </c>
      <c r="I198" s="5">
        <v>44621</v>
      </c>
      <c r="J198" s="6">
        <v>8780</v>
      </c>
      <c r="K198" s="6">
        <v>8780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4" t="s">
        <v>59</v>
      </c>
      <c r="R198" s="4">
        <v>109</v>
      </c>
      <c r="S198" s="4" t="s">
        <v>185</v>
      </c>
      <c r="U198" s="4">
        <v>17</v>
      </c>
      <c r="V198" s="4">
        <v>0</v>
      </c>
      <c r="W198" s="4">
        <v>0</v>
      </c>
    </row>
    <row r="199" spans="1:23" ht="11.25" customHeight="1" x14ac:dyDescent="0.3">
      <c r="A199" s="4" t="s">
        <v>21</v>
      </c>
      <c r="B199" s="4" t="s">
        <v>39</v>
      </c>
      <c r="C199" s="4" t="s">
        <v>57</v>
      </c>
      <c r="D199" s="4" t="s">
        <v>25</v>
      </c>
      <c r="E199" s="4" t="s">
        <v>25</v>
      </c>
      <c r="F199" s="4" t="s">
        <v>25</v>
      </c>
      <c r="G199" s="4" t="s">
        <v>58</v>
      </c>
      <c r="H199" s="4" t="s">
        <v>25</v>
      </c>
      <c r="I199" s="5">
        <v>44652</v>
      </c>
      <c r="J199" s="6">
        <v>8780</v>
      </c>
      <c r="K199" s="6">
        <v>8780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4" t="s">
        <v>59</v>
      </c>
      <c r="R199" s="4">
        <v>109</v>
      </c>
      <c r="S199" s="4" t="s">
        <v>186</v>
      </c>
      <c r="U199" s="4">
        <v>17</v>
      </c>
      <c r="V199" s="4">
        <v>0</v>
      </c>
      <c r="W199" s="4">
        <v>0</v>
      </c>
    </row>
    <row r="200" spans="1:23" ht="11.25" customHeight="1" x14ac:dyDescent="0.3">
      <c r="A200" s="4" t="s">
        <v>21</v>
      </c>
      <c r="B200" s="4" t="s">
        <v>39</v>
      </c>
      <c r="C200" s="4" t="s">
        <v>57</v>
      </c>
      <c r="D200" s="4" t="s">
        <v>25</v>
      </c>
      <c r="E200" s="4" t="s">
        <v>25</v>
      </c>
      <c r="F200" s="4" t="s">
        <v>25</v>
      </c>
      <c r="G200" s="4" t="s">
        <v>58</v>
      </c>
      <c r="H200" s="4" t="s">
        <v>25</v>
      </c>
      <c r="I200" s="5">
        <v>44682</v>
      </c>
      <c r="J200" s="6">
        <v>8780</v>
      </c>
      <c r="K200" s="6">
        <v>8780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4" t="s">
        <v>59</v>
      </c>
      <c r="R200" s="4">
        <v>109</v>
      </c>
      <c r="S200" s="4" t="s">
        <v>187</v>
      </c>
      <c r="U200" s="4">
        <v>17</v>
      </c>
      <c r="V200" s="4">
        <v>0</v>
      </c>
      <c r="W200" s="4">
        <v>0</v>
      </c>
    </row>
    <row r="201" spans="1:23" ht="11.25" customHeight="1" x14ac:dyDescent="0.3">
      <c r="A201" s="4" t="s">
        <v>21</v>
      </c>
      <c r="B201" s="4" t="s">
        <v>39</v>
      </c>
      <c r="C201" s="4" t="s">
        <v>57</v>
      </c>
      <c r="D201" s="4" t="s">
        <v>25</v>
      </c>
      <c r="E201" s="4" t="s">
        <v>25</v>
      </c>
      <c r="F201" s="4" t="s">
        <v>25</v>
      </c>
      <c r="G201" s="4" t="s">
        <v>58</v>
      </c>
      <c r="H201" s="4" t="s">
        <v>25</v>
      </c>
      <c r="I201" s="5">
        <v>44713</v>
      </c>
      <c r="J201" s="6">
        <v>8780</v>
      </c>
      <c r="K201" s="6">
        <v>8780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4" t="s">
        <v>59</v>
      </c>
      <c r="R201" s="4">
        <v>109</v>
      </c>
      <c r="S201" s="4" t="s">
        <v>188</v>
      </c>
      <c r="U201" s="4">
        <v>17</v>
      </c>
      <c r="V201" s="4">
        <v>0</v>
      </c>
      <c r="W201" s="4">
        <v>0</v>
      </c>
    </row>
    <row r="202" spans="1:23" ht="11.25" customHeight="1" x14ac:dyDescent="0.3">
      <c r="A202" s="4" t="s">
        <v>21</v>
      </c>
      <c r="B202" s="4" t="s">
        <v>39</v>
      </c>
      <c r="C202" s="4" t="s">
        <v>57</v>
      </c>
      <c r="D202" s="4" t="s">
        <v>25</v>
      </c>
      <c r="E202" s="4" t="s">
        <v>25</v>
      </c>
      <c r="F202" s="4" t="s">
        <v>25</v>
      </c>
      <c r="G202" s="4" t="s">
        <v>58</v>
      </c>
      <c r="H202" s="4" t="s">
        <v>25</v>
      </c>
      <c r="I202" s="5">
        <v>44743</v>
      </c>
      <c r="J202" s="6">
        <v>8780</v>
      </c>
      <c r="K202" s="6">
        <v>8780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4" t="s">
        <v>59</v>
      </c>
      <c r="R202" s="4">
        <v>109</v>
      </c>
      <c r="S202" s="4" t="s">
        <v>189</v>
      </c>
      <c r="U202" s="4">
        <v>17</v>
      </c>
      <c r="V202" s="4">
        <v>0</v>
      </c>
      <c r="W202" s="4">
        <v>0</v>
      </c>
    </row>
    <row r="203" spans="1:23" ht="11.25" customHeight="1" x14ac:dyDescent="0.3">
      <c r="A203" s="4" t="s">
        <v>21</v>
      </c>
      <c r="B203" s="4" t="s">
        <v>39</v>
      </c>
      <c r="C203" s="4" t="s">
        <v>57</v>
      </c>
      <c r="D203" s="4" t="s">
        <v>25</v>
      </c>
      <c r="E203" s="4" t="s">
        <v>25</v>
      </c>
      <c r="F203" s="4" t="s">
        <v>25</v>
      </c>
      <c r="G203" s="4" t="s">
        <v>58</v>
      </c>
      <c r="H203" s="4" t="s">
        <v>25</v>
      </c>
      <c r="I203" s="5">
        <v>44774</v>
      </c>
      <c r="J203" s="6">
        <v>8780</v>
      </c>
      <c r="K203" s="6">
        <v>8780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4" t="s">
        <v>59</v>
      </c>
      <c r="R203" s="4">
        <v>109</v>
      </c>
      <c r="S203" s="4" t="s">
        <v>190</v>
      </c>
      <c r="U203" s="4">
        <v>17</v>
      </c>
      <c r="V203" s="4">
        <v>0</v>
      </c>
      <c r="W203" s="4">
        <v>0</v>
      </c>
    </row>
    <row r="204" spans="1:23" ht="11.25" customHeight="1" x14ac:dyDescent="0.3">
      <c r="A204" s="4" t="s">
        <v>21</v>
      </c>
      <c r="B204" s="4" t="s">
        <v>39</v>
      </c>
      <c r="C204" s="4" t="s">
        <v>57</v>
      </c>
      <c r="D204" s="4" t="s">
        <v>25</v>
      </c>
      <c r="E204" s="4" t="s">
        <v>25</v>
      </c>
      <c r="F204" s="4" t="s">
        <v>25</v>
      </c>
      <c r="G204" s="4" t="s">
        <v>58</v>
      </c>
      <c r="H204" s="4" t="s">
        <v>25</v>
      </c>
      <c r="I204" s="5">
        <v>44805</v>
      </c>
      <c r="J204" s="6">
        <v>8780</v>
      </c>
      <c r="K204" s="6">
        <v>8780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4" t="s">
        <v>59</v>
      </c>
      <c r="R204" s="4">
        <v>109</v>
      </c>
      <c r="S204" s="4" t="s">
        <v>191</v>
      </c>
      <c r="U204" s="4">
        <v>17</v>
      </c>
      <c r="V204" s="4">
        <v>0</v>
      </c>
      <c r="W204" s="4">
        <v>0</v>
      </c>
    </row>
    <row r="205" spans="1:23" ht="11.25" customHeight="1" x14ac:dyDescent="0.3">
      <c r="A205" s="4" t="s">
        <v>53</v>
      </c>
      <c r="B205" s="4" t="s">
        <v>39</v>
      </c>
      <c r="C205" s="4" t="s">
        <v>57</v>
      </c>
      <c r="D205" s="4" t="s">
        <v>25</v>
      </c>
      <c r="E205" s="4" t="s">
        <v>25</v>
      </c>
      <c r="F205" s="4" t="s">
        <v>25</v>
      </c>
      <c r="G205" s="4" t="s">
        <v>58</v>
      </c>
      <c r="H205" s="4" t="s">
        <v>25</v>
      </c>
      <c r="I205" s="5">
        <v>44835</v>
      </c>
      <c r="J205" s="6">
        <v>8780</v>
      </c>
      <c r="K205" s="6">
        <v>8780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4" t="s">
        <v>59</v>
      </c>
      <c r="R205" s="4">
        <v>109</v>
      </c>
      <c r="S205" s="4" t="s">
        <v>192</v>
      </c>
      <c r="U205" s="4">
        <v>17</v>
      </c>
      <c r="V205" s="4">
        <v>0</v>
      </c>
      <c r="W205" s="4">
        <v>0</v>
      </c>
    </row>
    <row r="206" spans="1:23" ht="11.25" customHeight="1" x14ac:dyDescent="0.3">
      <c r="A206" s="4" t="s">
        <v>21</v>
      </c>
      <c r="B206" s="4" t="s">
        <v>39</v>
      </c>
      <c r="C206" s="4" t="s">
        <v>41</v>
      </c>
      <c r="D206" s="4" t="s">
        <v>42</v>
      </c>
      <c r="E206" s="4" t="s">
        <v>25</v>
      </c>
      <c r="F206" s="4" t="s">
        <v>25</v>
      </c>
      <c r="G206" s="4" t="s">
        <v>25</v>
      </c>
      <c r="H206" s="4" t="s">
        <v>35</v>
      </c>
      <c r="I206" s="5">
        <v>44501</v>
      </c>
      <c r="J206" s="6">
        <v>0</v>
      </c>
      <c r="K206" s="6">
        <v>0</v>
      </c>
      <c r="L206" s="6">
        <v>1435.654</v>
      </c>
      <c r="M206" s="6">
        <v>1435.654</v>
      </c>
      <c r="N206" s="6">
        <v>1435.654</v>
      </c>
      <c r="O206" s="6">
        <v>1435.654</v>
      </c>
      <c r="P206" s="6">
        <v>0</v>
      </c>
      <c r="Q206" s="4" t="s">
        <v>26</v>
      </c>
      <c r="R206" s="4">
        <v>0</v>
      </c>
      <c r="S206" s="4" t="s">
        <v>193</v>
      </c>
      <c r="T206" s="4" t="s">
        <v>434</v>
      </c>
      <c r="U206" s="4">
        <v>0</v>
      </c>
      <c r="V206" s="4">
        <v>6</v>
      </c>
      <c r="W206" s="4">
        <v>61</v>
      </c>
    </row>
    <row r="207" spans="1:23" ht="11.25" customHeight="1" x14ac:dyDescent="0.3">
      <c r="A207" s="4" t="s">
        <v>28</v>
      </c>
      <c r="B207" s="4" t="s">
        <v>39</v>
      </c>
      <c r="C207" s="4" t="s">
        <v>41</v>
      </c>
      <c r="D207" s="4" t="s">
        <v>42</v>
      </c>
      <c r="E207" s="4" t="s">
        <v>25</v>
      </c>
      <c r="F207" s="4" t="s">
        <v>25</v>
      </c>
      <c r="G207" s="4" t="s">
        <v>25</v>
      </c>
      <c r="H207" s="4" t="s">
        <v>35</v>
      </c>
      <c r="I207" s="5">
        <v>44501</v>
      </c>
      <c r="J207" s="6">
        <v>0</v>
      </c>
      <c r="K207" s="6">
        <v>0</v>
      </c>
      <c r="L207" s="6">
        <v>13.231999999999999</v>
      </c>
      <c r="M207" s="6">
        <v>13.231999999999999</v>
      </c>
      <c r="N207" s="6">
        <v>13.231999999999999</v>
      </c>
      <c r="O207" s="6">
        <v>13.231999999999999</v>
      </c>
      <c r="P207" s="6">
        <v>0</v>
      </c>
      <c r="Q207" s="4" t="s">
        <v>26</v>
      </c>
      <c r="R207" s="4">
        <v>0</v>
      </c>
      <c r="S207" s="4" t="s">
        <v>193</v>
      </c>
      <c r="T207" s="4" t="s">
        <v>434</v>
      </c>
      <c r="U207" s="4">
        <v>0</v>
      </c>
      <c r="V207" s="4">
        <v>6</v>
      </c>
      <c r="W207" s="4">
        <v>61</v>
      </c>
    </row>
    <row r="208" spans="1:23" ht="11.25" customHeight="1" x14ac:dyDescent="0.3">
      <c r="A208" s="4" t="s">
        <v>21</v>
      </c>
      <c r="B208" s="4" t="s">
        <v>39</v>
      </c>
      <c r="C208" s="4" t="s">
        <v>41</v>
      </c>
      <c r="D208" s="4" t="s">
        <v>42</v>
      </c>
      <c r="E208" s="4" t="s">
        <v>25</v>
      </c>
      <c r="F208" s="4" t="s">
        <v>25</v>
      </c>
      <c r="G208" s="4" t="s">
        <v>25</v>
      </c>
      <c r="H208" s="4" t="s">
        <v>35</v>
      </c>
      <c r="I208" s="5">
        <v>44531</v>
      </c>
      <c r="J208" s="6">
        <v>0</v>
      </c>
      <c r="K208" s="6">
        <v>0</v>
      </c>
      <c r="L208" s="6">
        <v>1438.761</v>
      </c>
      <c r="M208" s="6">
        <v>1438.761</v>
      </c>
      <c r="N208" s="6">
        <v>1438.761</v>
      </c>
      <c r="O208" s="6">
        <v>1438.761</v>
      </c>
      <c r="P208" s="6">
        <v>0</v>
      </c>
      <c r="Q208" s="4" t="s">
        <v>26</v>
      </c>
      <c r="R208" s="4">
        <v>0</v>
      </c>
      <c r="S208" s="4" t="s">
        <v>194</v>
      </c>
      <c r="T208" s="4" t="s">
        <v>435</v>
      </c>
      <c r="U208" s="4">
        <v>0</v>
      </c>
      <c r="V208" s="4">
        <v>6</v>
      </c>
      <c r="W208" s="4">
        <v>61</v>
      </c>
    </row>
    <row r="209" spans="1:23" ht="11.25" customHeight="1" x14ac:dyDescent="0.3">
      <c r="A209" s="4" t="s">
        <v>28</v>
      </c>
      <c r="B209" s="4" t="s">
        <v>39</v>
      </c>
      <c r="C209" s="4" t="s">
        <v>41</v>
      </c>
      <c r="D209" s="4" t="s">
        <v>42</v>
      </c>
      <c r="E209" s="4" t="s">
        <v>25</v>
      </c>
      <c r="F209" s="4" t="s">
        <v>25</v>
      </c>
      <c r="G209" s="4" t="s">
        <v>25</v>
      </c>
      <c r="H209" s="4" t="s">
        <v>35</v>
      </c>
      <c r="I209" s="5">
        <v>44531</v>
      </c>
      <c r="J209" s="6">
        <v>0</v>
      </c>
      <c r="K209" s="6">
        <v>0</v>
      </c>
      <c r="L209" s="6">
        <v>9.1479999999999997</v>
      </c>
      <c r="M209" s="6">
        <v>9.1479999999999997</v>
      </c>
      <c r="N209" s="6">
        <v>9.1479999999999997</v>
      </c>
      <c r="O209" s="6">
        <v>9.1479999999999997</v>
      </c>
      <c r="P209" s="6">
        <v>0</v>
      </c>
      <c r="Q209" s="4" t="s">
        <v>26</v>
      </c>
      <c r="R209" s="4">
        <v>0</v>
      </c>
      <c r="S209" s="4" t="s">
        <v>194</v>
      </c>
      <c r="T209" s="4" t="s">
        <v>435</v>
      </c>
      <c r="U209" s="4">
        <v>0</v>
      </c>
      <c r="V209" s="4">
        <v>6</v>
      </c>
      <c r="W209" s="4">
        <v>61</v>
      </c>
    </row>
    <row r="210" spans="1:23" ht="11.25" customHeight="1" x14ac:dyDescent="0.3">
      <c r="A210" s="4" t="s">
        <v>21</v>
      </c>
      <c r="B210" s="4" t="s">
        <v>39</v>
      </c>
      <c r="C210" s="4" t="s">
        <v>41</v>
      </c>
      <c r="D210" s="4" t="s">
        <v>42</v>
      </c>
      <c r="E210" s="4" t="s">
        <v>25</v>
      </c>
      <c r="F210" s="4" t="s">
        <v>25</v>
      </c>
      <c r="G210" s="4" t="s">
        <v>25</v>
      </c>
      <c r="H210" s="4" t="s">
        <v>35</v>
      </c>
      <c r="I210" s="5">
        <v>44562</v>
      </c>
      <c r="J210" s="6">
        <v>0</v>
      </c>
      <c r="K210" s="6">
        <v>0</v>
      </c>
      <c r="L210" s="6">
        <v>1416.777</v>
      </c>
      <c r="M210" s="6">
        <v>1416.777</v>
      </c>
      <c r="N210" s="6">
        <v>1416.777</v>
      </c>
      <c r="O210" s="6">
        <v>1416.777</v>
      </c>
      <c r="P210" s="6">
        <v>0</v>
      </c>
      <c r="Q210" s="4" t="s">
        <v>26</v>
      </c>
      <c r="R210" s="4">
        <v>0</v>
      </c>
      <c r="S210" s="4" t="s">
        <v>195</v>
      </c>
      <c r="T210" s="4" t="s">
        <v>436</v>
      </c>
      <c r="U210" s="4">
        <v>0</v>
      </c>
      <c r="V210" s="4">
        <v>6</v>
      </c>
      <c r="W210" s="4">
        <v>61</v>
      </c>
    </row>
    <row r="211" spans="1:23" ht="11.25" customHeight="1" x14ac:dyDescent="0.3">
      <c r="A211" s="4" t="s">
        <v>28</v>
      </c>
      <c r="B211" s="4" t="s">
        <v>39</v>
      </c>
      <c r="C211" s="4" t="s">
        <v>41</v>
      </c>
      <c r="D211" s="4" t="s">
        <v>42</v>
      </c>
      <c r="E211" s="4" t="s">
        <v>25</v>
      </c>
      <c r="F211" s="4" t="s">
        <v>25</v>
      </c>
      <c r="G211" s="4" t="s">
        <v>25</v>
      </c>
      <c r="H211" s="4" t="s">
        <v>35</v>
      </c>
      <c r="I211" s="5">
        <v>44562</v>
      </c>
      <c r="J211" s="6">
        <v>0</v>
      </c>
      <c r="K211" s="6">
        <v>0</v>
      </c>
      <c r="L211" s="6">
        <v>11.494999999999999</v>
      </c>
      <c r="M211" s="6">
        <v>11.494999999999999</v>
      </c>
      <c r="N211" s="6">
        <v>11.494999999999999</v>
      </c>
      <c r="O211" s="6">
        <v>11.494999999999999</v>
      </c>
      <c r="P211" s="6">
        <v>0</v>
      </c>
      <c r="Q211" s="4" t="s">
        <v>26</v>
      </c>
      <c r="R211" s="4">
        <v>0</v>
      </c>
      <c r="S211" s="4" t="s">
        <v>195</v>
      </c>
      <c r="T211" s="4" t="s">
        <v>436</v>
      </c>
      <c r="U211" s="4">
        <v>0</v>
      </c>
      <c r="V211" s="4">
        <v>6</v>
      </c>
      <c r="W211" s="4">
        <v>61</v>
      </c>
    </row>
    <row r="212" spans="1:23" ht="11.25" customHeight="1" x14ac:dyDescent="0.3">
      <c r="A212" s="4" t="s">
        <v>21</v>
      </c>
      <c r="B212" s="4" t="s">
        <v>39</v>
      </c>
      <c r="C212" s="4" t="s">
        <v>41</v>
      </c>
      <c r="D212" s="4" t="s">
        <v>42</v>
      </c>
      <c r="E212" s="4" t="s">
        <v>25</v>
      </c>
      <c r="F212" s="4" t="s">
        <v>25</v>
      </c>
      <c r="G212" s="4" t="s">
        <v>25</v>
      </c>
      <c r="H212" s="4" t="s">
        <v>35</v>
      </c>
      <c r="I212" s="5">
        <v>44593</v>
      </c>
      <c r="J212" s="6">
        <v>0</v>
      </c>
      <c r="K212" s="6">
        <v>0</v>
      </c>
      <c r="L212" s="6">
        <v>1439.9069999999999</v>
      </c>
      <c r="M212" s="6">
        <v>1439.9069999999999</v>
      </c>
      <c r="N212" s="6">
        <v>1439.9069999999999</v>
      </c>
      <c r="O212" s="6">
        <v>1439.9069999999999</v>
      </c>
      <c r="P212" s="6">
        <v>0</v>
      </c>
      <c r="Q212" s="4" t="s">
        <v>26</v>
      </c>
      <c r="R212" s="4">
        <v>0</v>
      </c>
      <c r="S212" s="4" t="s">
        <v>196</v>
      </c>
      <c r="T212" s="4" t="s">
        <v>437</v>
      </c>
      <c r="U212" s="4">
        <v>0</v>
      </c>
      <c r="V212" s="4">
        <v>6</v>
      </c>
      <c r="W212" s="4">
        <v>61</v>
      </c>
    </row>
    <row r="213" spans="1:23" ht="11.25" customHeight="1" x14ac:dyDescent="0.3">
      <c r="A213" s="4" t="s">
        <v>27</v>
      </c>
      <c r="B213" s="4" t="s">
        <v>39</v>
      </c>
      <c r="C213" s="4" t="s">
        <v>41</v>
      </c>
      <c r="D213" s="4" t="s">
        <v>42</v>
      </c>
      <c r="E213" s="4" t="s">
        <v>25</v>
      </c>
      <c r="F213" s="4" t="s">
        <v>25</v>
      </c>
      <c r="G213" s="4" t="s">
        <v>25</v>
      </c>
      <c r="H213" s="4" t="s">
        <v>35</v>
      </c>
      <c r="I213" s="5">
        <v>44593</v>
      </c>
      <c r="J213" s="6">
        <v>0</v>
      </c>
      <c r="K213" s="6">
        <v>0</v>
      </c>
      <c r="L213" s="6">
        <v>-8.548</v>
      </c>
      <c r="M213" s="6">
        <v>-8.548</v>
      </c>
      <c r="N213" s="6">
        <v>-8.548</v>
      </c>
      <c r="O213" s="6">
        <v>-8.548</v>
      </c>
      <c r="P213" s="6">
        <v>0</v>
      </c>
      <c r="Q213" s="4" t="s">
        <v>26</v>
      </c>
      <c r="R213" s="4">
        <v>0</v>
      </c>
      <c r="S213" s="4" t="s">
        <v>196</v>
      </c>
      <c r="T213" s="4" t="s">
        <v>437</v>
      </c>
      <c r="U213" s="4">
        <v>0</v>
      </c>
      <c r="V213" s="4">
        <v>6</v>
      </c>
      <c r="W213" s="4">
        <v>61</v>
      </c>
    </row>
    <row r="214" spans="1:23" ht="11.25" customHeight="1" x14ac:dyDescent="0.3">
      <c r="A214" s="4" t="s">
        <v>28</v>
      </c>
      <c r="B214" s="4" t="s">
        <v>39</v>
      </c>
      <c r="C214" s="4" t="s">
        <v>41</v>
      </c>
      <c r="D214" s="4" t="s">
        <v>42</v>
      </c>
      <c r="E214" s="4" t="s">
        <v>25</v>
      </c>
      <c r="F214" s="4" t="s">
        <v>25</v>
      </c>
      <c r="G214" s="4" t="s">
        <v>25</v>
      </c>
      <c r="H214" s="4" t="s">
        <v>35</v>
      </c>
      <c r="I214" s="5">
        <v>44593</v>
      </c>
      <c r="J214" s="6">
        <v>0</v>
      </c>
      <c r="K214" s="6">
        <v>0</v>
      </c>
      <c r="L214" s="6">
        <v>13.712</v>
      </c>
      <c r="M214" s="6">
        <v>13.712</v>
      </c>
      <c r="N214" s="6">
        <v>13.712</v>
      </c>
      <c r="O214" s="6">
        <v>13.712</v>
      </c>
      <c r="P214" s="6">
        <v>0</v>
      </c>
      <c r="Q214" s="4" t="s">
        <v>26</v>
      </c>
      <c r="R214" s="4">
        <v>0</v>
      </c>
      <c r="S214" s="4" t="s">
        <v>196</v>
      </c>
      <c r="T214" s="4" t="s">
        <v>437</v>
      </c>
      <c r="U214" s="4">
        <v>0</v>
      </c>
      <c r="V214" s="4">
        <v>6</v>
      </c>
      <c r="W214" s="4">
        <v>61</v>
      </c>
    </row>
    <row r="215" spans="1:23" ht="11.25" customHeight="1" x14ac:dyDescent="0.3">
      <c r="A215" s="4" t="s">
        <v>21</v>
      </c>
      <c r="B215" s="4" t="s">
        <v>39</v>
      </c>
      <c r="C215" s="4" t="s">
        <v>41</v>
      </c>
      <c r="D215" s="4" t="s">
        <v>42</v>
      </c>
      <c r="E215" s="4" t="s">
        <v>25</v>
      </c>
      <c r="F215" s="4" t="s">
        <v>25</v>
      </c>
      <c r="G215" s="4" t="s">
        <v>25</v>
      </c>
      <c r="H215" s="4" t="s">
        <v>35</v>
      </c>
      <c r="I215" s="5">
        <v>44621</v>
      </c>
      <c r="J215" s="6">
        <v>0</v>
      </c>
      <c r="K215" s="6">
        <v>0</v>
      </c>
      <c r="L215" s="6">
        <v>1239.104</v>
      </c>
      <c r="M215" s="6">
        <v>1239.104</v>
      </c>
      <c r="N215" s="6">
        <v>1239.104</v>
      </c>
      <c r="O215" s="6">
        <v>1239.104</v>
      </c>
      <c r="P215" s="6">
        <v>0</v>
      </c>
      <c r="Q215" s="4" t="s">
        <v>26</v>
      </c>
      <c r="R215" s="4">
        <v>0</v>
      </c>
      <c r="S215" s="4" t="s">
        <v>197</v>
      </c>
      <c r="T215" s="4" t="s">
        <v>438</v>
      </c>
      <c r="U215" s="4">
        <v>0</v>
      </c>
      <c r="V215" s="4">
        <v>6</v>
      </c>
      <c r="W215" s="4">
        <v>61</v>
      </c>
    </row>
    <row r="216" spans="1:23" ht="11.25" customHeight="1" x14ac:dyDescent="0.3">
      <c r="A216" s="4" t="s">
        <v>28</v>
      </c>
      <c r="B216" s="4" t="s">
        <v>39</v>
      </c>
      <c r="C216" s="4" t="s">
        <v>41</v>
      </c>
      <c r="D216" s="4" t="s">
        <v>42</v>
      </c>
      <c r="E216" s="4" t="s">
        <v>25</v>
      </c>
      <c r="F216" s="4" t="s">
        <v>25</v>
      </c>
      <c r="G216" s="4" t="s">
        <v>25</v>
      </c>
      <c r="H216" s="4" t="s">
        <v>35</v>
      </c>
      <c r="I216" s="5">
        <v>44621</v>
      </c>
      <c r="J216" s="6">
        <v>0</v>
      </c>
      <c r="K216" s="6">
        <v>0</v>
      </c>
      <c r="L216" s="6">
        <v>10.787000000000001</v>
      </c>
      <c r="M216" s="6">
        <v>10.787000000000001</v>
      </c>
      <c r="N216" s="6">
        <v>10.787000000000001</v>
      </c>
      <c r="O216" s="6">
        <v>10.787000000000001</v>
      </c>
      <c r="P216" s="6">
        <v>0</v>
      </c>
      <c r="Q216" s="4" t="s">
        <v>26</v>
      </c>
      <c r="R216" s="4">
        <v>0</v>
      </c>
      <c r="S216" s="4" t="s">
        <v>197</v>
      </c>
      <c r="T216" s="4" t="s">
        <v>438</v>
      </c>
      <c r="U216" s="4">
        <v>0</v>
      </c>
      <c r="V216" s="4">
        <v>6</v>
      </c>
      <c r="W216" s="4">
        <v>61</v>
      </c>
    </row>
    <row r="217" spans="1:23" ht="11.25" customHeight="1" x14ac:dyDescent="0.3">
      <c r="A217" s="4" t="s">
        <v>21</v>
      </c>
      <c r="B217" s="4" t="s">
        <v>39</v>
      </c>
      <c r="C217" s="4" t="s">
        <v>41</v>
      </c>
      <c r="D217" s="4" t="s">
        <v>42</v>
      </c>
      <c r="E217" s="4" t="s">
        <v>25</v>
      </c>
      <c r="F217" s="4" t="s">
        <v>25</v>
      </c>
      <c r="G217" s="4" t="s">
        <v>25</v>
      </c>
      <c r="H217" s="4" t="s">
        <v>35</v>
      </c>
      <c r="I217" s="5">
        <v>44652</v>
      </c>
      <c r="J217" s="6">
        <v>0</v>
      </c>
      <c r="K217" s="6">
        <v>0</v>
      </c>
      <c r="L217" s="6">
        <v>1221.414</v>
      </c>
      <c r="M217" s="6">
        <v>1221.414</v>
      </c>
      <c r="N217" s="6">
        <v>1221.414</v>
      </c>
      <c r="O217" s="6">
        <v>1221.414</v>
      </c>
      <c r="P217" s="6">
        <v>0</v>
      </c>
      <c r="Q217" s="4" t="s">
        <v>26</v>
      </c>
      <c r="R217" s="4">
        <v>0</v>
      </c>
      <c r="S217" s="4" t="s">
        <v>198</v>
      </c>
      <c r="T217" s="4" t="s">
        <v>439</v>
      </c>
      <c r="U217" s="4">
        <v>0</v>
      </c>
      <c r="V217" s="4">
        <v>6</v>
      </c>
      <c r="W217" s="4">
        <v>61</v>
      </c>
    </row>
    <row r="218" spans="1:23" ht="11.25" customHeight="1" x14ac:dyDescent="0.3">
      <c r="A218" s="4" t="s">
        <v>28</v>
      </c>
      <c r="B218" s="4" t="s">
        <v>39</v>
      </c>
      <c r="C218" s="4" t="s">
        <v>41</v>
      </c>
      <c r="D218" s="4" t="s">
        <v>42</v>
      </c>
      <c r="E218" s="4" t="s">
        <v>25</v>
      </c>
      <c r="F218" s="4" t="s">
        <v>25</v>
      </c>
      <c r="G218" s="4" t="s">
        <v>25</v>
      </c>
      <c r="H218" s="4" t="s">
        <v>35</v>
      </c>
      <c r="I218" s="5">
        <v>44652</v>
      </c>
      <c r="J218" s="6">
        <v>0</v>
      </c>
      <c r="K218" s="6">
        <v>0</v>
      </c>
      <c r="L218" s="6">
        <v>11.592000000000001</v>
      </c>
      <c r="M218" s="6">
        <v>11.592000000000001</v>
      </c>
      <c r="N218" s="6">
        <v>11.592000000000001</v>
      </c>
      <c r="O218" s="6">
        <v>11.592000000000001</v>
      </c>
      <c r="P218" s="6">
        <v>0</v>
      </c>
      <c r="Q218" s="4" t="s">
        <v>26</v>
      </c>
      <c r="R218" s="4">
        <v>0</v>
      </c>
      <c r="S218" s="4" t="s">
        <v>198</v>
      </c>
      <c r="T218" s="4" t="s">
        <v>439</v>
      </c>
      <c r="U218" s="4">
        <v>0</v>
      </c>
      <c r="V218" s="4">
        <v>6</v>
      </c>
      <c r="W218" s="4">
        <v>61</v>
      </c>
    </row>
    <row r="219" spans="1:23" ht="11.25" customHeight="1" x14ac:dyDescent="0.3">
      <c r="A219" s="4" t="s">
        <v>21</v>
      </c>
      <c r="B219" s="4" t="s">
        <v>39</v>
      </c>
      <c r="C219" s="4" t="s">
        <v>41</v>
      </c>
      <c r="D219" s="4" t="s">
        <v>42</v>
      </c>
      <c r="E219" s="4" t="s">
        <v>25</v>
      </c>
      <c r="F219" s="4" t="s">
        <v>25</v>
      </c>
      <c r="G219" s="4" t="s">
        <v>25</v>
      </c>
      <c r="H219" s="4" t="s">
        <v>35</v>
      </c>
      <c r="I219" s="5">
        <v>44682</v>
      </c>
      <c r="J219" s="6">
        <v>0</v>
      </c>
      <c r="K219" s="6">
        <v>0</v>
      </c>
      <c r="L219" s="6">
        <v>1104.9069999999999</v>
      </c>
      <c r="M219" s="6">
        <v>1104.9069999999999</v>
      </c>
      <c r="N219" s="6">
        <v>1104.9069999999999</v>
      </c>
      <c r="O219" s="6">
        <v>1104.9069999999999</v>
      </c>
      <c r="P219" s="6">
        <v>0</v>
      </c>
      <c r="Q219" s="4" t="s">
        <v>26</v>
      </c>
      <c r="R219" s="4">
        <v>0</v>
      </c>
      <c r="S219" s="4" t="s">
        <v>199</v>
      </c>
      <c r="T219" s="4" t="s">
        <v>440</v>
      </c>
      <c r="U219" s="4">
        <v>0</v>
      </c>
      <c r="V219" s="4">
        <v>6</v>
      </c>
      <c r="W219" s="4">
        <v>61</v>
      </c>
    </row>
    <row r="220" spans="1:23" ht="11.25" customHeight="1" x14ac:dyDescent="0.3">
      <c r="A220" s="4" t="s">
        <v>28</v>
      </c>
      <c r="B220" s="4" t="s">
        <v>39</v>
      </c>
      <c r="C220" s="4" t="s">
        <v>41</v>
      </c>
      <c r="D220" s="4" t="s">
        <v>42</v>
      </c>
      <c r="E220" s="4" t="s">
        <v>25</v>
      </c>
      <c r="F220" s="4" t="s">
        <v>25</v>
      </c>
      <c r="G220" s="4" t="s">
        <v>25</v>
      </c>
      <c r="H220" s="4" t="s">
        <v>35</v>
      </c>
      <c r="I220" s="5">
        <v>44682</v>
      </c>
      <c r="J220" s="6">
        <v>0</v>
      </c>
      <c r="K220" s="6">
        <v>0</v>
      </c>
      <c r="L220" s="6">
        <v>10.664999999999999</v>
      </c>
      <c r="M220" s="6">
        <v>10.664999999999999</v>
      </c>
      <c r="N220" s="6">
        <v>10.664999999999999</v>
      </c>
      <c r="O220" s="6">
        <v>10.664999999999999</v>
      </c>
      <c r="P220" s="6">
        <v>0</v>
      </c>
      <c r="Q220" s="4" t="s">
        <v>26</v>
      </c>
      <c r="R220" s="4">
        <v>0</v>
      </c>
      <c r="S220" s="4" t="s">
        <v>199</v>
      </c>
      <c r="T220" s="4" t="s">
        <v>440</v>
      </c>
      <c r="U220" s="4">
        <v>0</v>
      </c>
      <c r="V220" s="4">
        <v>6</v>
      </c>
      <c r="W220" s="4">
        <v>61</v>
      </c>
    </row>
    <row r="221" spans="1:23" ht="11.25" customHeight="1" x14ac:dyDescent="0.3">
      <c r="A221" s="4" t="s">
        <v>21</v>
      </c>
      <c r="B221" s="4" t="s">
        <v>39</v>
      </c>
      <c r="C221" s="4" t="s">
        <v>41</v>
      </c>
      <c r="D221" s="4" t="s">
        <v>42</v>
      </c>
      <c r="E221" s="4" t="s">
        <v>25</v>
      </c>
      <c r="F221" s="4" t="s">
        <v>25</v>
      </c>
      <c r="G221" s="4" t="s">
        <v>25</v>
      </c>
      <c r="H221" s="4" t="s">
        <v>35</v>
      </c>
      <c r="I221" s="5">
        <v>44713</v>
      </c>
      <c r="J221" s="6">
        <v>0</v>
      </c>
      <c r="K221" s="6">
        <v>0</v>
      </c>
      <c r="L221" s="6">
        <v>1036.903</v>
      </c>
      <c r="M221" s="6">
        <v>1036.903</v>
      </c>
      <c r="N221" s="6">
        <v>1036.903</v>
      </c>
      <c r="O221" s="6">
        <v>1036.903</v>
      </c>
      <c r="P221" s="6">
        <v>0</v>
      </c>
      <c r="Q221" s="4" t="s">
        <v>26</v>
      </c>
      <c r="R221" s="4">
        <v>0</v>
      </c>
      <c r="S221" s="4" t="s">
        <v>200</v>
      </c>
      <c r="T221" s="4" t="s">
        <v>441</v>
      </c>
      <c r="U221" s="4">
        <v>0</v>
      </c>
      <c r="V221" s="4">
        <v>6</v>
      </c>
      <c r="W221" s="4">
        <v>61</v>
      </c>
    </row>
    <row r="222" spans="1:23" ht="11.25" customHeight="1" x14ac:dyDescent="0.3">
      <c r="A222" s="4" t="s">
        <v>28</v>
      </c>
      <c r="B222" s="4" t="s">
        <v>39</v>
      </c>
      <c r="C222" s="4" t="s">
        <v>41</v>
      </c>
      <c r="D222" s="4" t="s">
        <v>42</v>
      </c>
      <c r="E222" s="4" t="s">
        <v>25</v>
      </c>
      <c r="F222" s="4" t="s">
        <v>25</v>
      </c>
      <c r="G222" s="4" t="s">
        <v>25</v>
      </c>
      <c r="H222" s="4" t="s">
        <v>35</v>
      </c>
      <c r="I222" s="5">
        <v>44713</v>
      </c>
      <c r="J222" s="6">
        <v>0</v>
      </c>
      <c r="K222" s="6">
        <v>0</v>
      </c>
      <c r="L222" s="6">
        <v>11.119</v>
      </c>
      <c r="M222" s="6">
        <v>11.119</v>
      </c>
      <c r="N222" s="6">
        <v>11.119</v>
      </c>
      <c r="O222" s="6">
        <v>11.119</v>
      </c>
      <c r="P222" s="6">
        <v>0</v>
      </c>
      <c r="Q222" s="4" t="s">
        <v>26</v>
      </c>
      <c r="R222" s="4">
        <v>0</v>
      </c>
      <c r="S222" s="4" t="s">
        <v>200</v>
      </c>
      <c r="T222" s="4" t="s">
        <v>441</v>
      </c>
      <c r="U222" s="4">
        <v>0</v>
      </c>
      <c r="V222" s="4">
        <v>6</v>
      </c>
      <c r="W222" s="4">
        <v>61</v>
      </c>
    </row>
    <row r="223" spans="1:23" ht="11.25" customHeight="1" x14ac:dyDescent="0.3">
      <c r="A223" s="4" t="s">
        <v>21</v>
      </c>
      <c r="B223" s="4" t="s">
        <v>39</v>
      </c>
      <c r="C223" s="4" t="s">
        <v>41</v>
      </c>
      <c r="D223" s="4" t="s">
        <v>42</v>
      </c>
      <c r="E223" s="4" t="s">
        <v>25</v>
      </c>
      <c r="F223" s="4" t="s">
        <v>25</v>
      </c>
      <c r="G223" s="4" t="s">
        <v>25</v>
      </c>
      <c r="H223" s="4" t="s">
        <v>35</v>
      </c>
      <c r="I223" s="5">
        <v>44743</v>
      </c>
      <c r="J223" s="6">
        <v>0</v>
      </c>
      <c r="K223" s="6">
        <v>0</v>
      </c>
      <c r="L223" s="6">
        <v>970.10500000000002</v>
      </c>
      <c r="M223" s="6">
        <v>970.10500000000002</v>
      </c>
      <c r="N223" s="6">
        <v>970.10500000000002</v>
      </c>
      <c r="O223" s="6">
        <v>970.10500000000002</v>
      </c>
      <c r="P223" s="6">
        <v>0</v>
      </c>
      <c r="Q223" s="4" t="s">
        <v>26</v>
      </c>
      <c r="R223" s="4">
        <v>0</v>
      </c>
      <c r="S223" s="4" t="s">
        <v>201</v>
      </c>
      <c r="T223" s="4" t="s">
        <v>442</v>
      </c>
      <c r="U223" s="4">
        <v>0</v>
      </c>
      <c r="V223" s="4">
        <v>6</v>
      </c>
      <c r="W223" s="4">
        <v>61</v>
      </c>
    </row>
    <row r="224" spans="1:23" ht="11.25" customHeight="1" x14ac:dyDescent="0.3">
      <c r="A224" s="4" t="s">
        <v>21</v>
      </c>
      <c r="B224" s="4" t="s">
        <v>39</v>
      </c>
      <c r="C224" s="4" t="s">
        <v>41</v>
      </c>
      <c r="D224" s="4" t="s">
        <v>42</v>
      </c>
      <c r="E224" s="4" t="s">
        <v>25</v>
      </c>
      <c r="F224" s="4" t="s">
        <v>25</v>
      </c>
      <c r="G224" s="4" t="s">
        <v>25</v>
      </c>
      <c r="H224" s="4" t="s">
        <v>35</v>
      </c>
      <c r="I224" s="5">
        <v>44774</v>
      </c>
      <c r="J224" s="6">
        <v>0</v>
      </c>
      <c r="K224" s="6">
        <v>0</v>
      </c>
      <c r="L224" s="6">
        <v>1034.615</v>
      </c>
      <c r="M224" s="6">
        <v>1034.615</v>
      </c>
      <c r="N224" s="6">
        <v>1034.615</v>
      </c>
      <c r="O224" s="6">
        <v>1034.615</v>
      </c>
      <c r="P224" s="6">
        <v>0</v>
      </c>
      <c r="Q224" s="4" t="s">
        <v>26</v>
      </c>
      <c r="R224" s="4">
        <v>0</v>
      </c>
      <c r="S224" s="4" t="s">
        <v>202</v>
      </c>
      <c r="T224" s="4" t="s">
        <v>443</v>
      </c>
      <c r="U224" s="4">
        <v>0</v>
      </c>
      <c r="V224" s="4">
        <v>6</v>
      </c>
      <c r="W224" s="4">
        <v>61</v>
      </c>
    </row>
    <row r="225" spans="1:23" ht="11.25" customHeight="1" x14ac:dyDescent="0.3">
      <c r="A225" s="4" t="s">
        <v>28</v>
      </c>
      <c r="B225" s="4" t="s">
        <v>39</v>
      </c>
      <c r="C225" s="4" t="s">
        <v>41</v>
      </c>
      <c r="D225" s="4" t="s">
        <v>42</v>
      </c>
      <c r="E225" s="4" t="s">
        <v>25</v>
      </c>
      <c r="F225" s="4" t="s">
        <v>25</v>
      </c>
      <c r="G225" s="4" t="s">
        <v>25</v>
      </c>
      <c r="H225" s="4" t="s">
        <v>35</v>
      </c>
      <c r="I225" s="5">
        <v>44774</v>
      </c>
      <c r="J225" s="6">
        <v>0</v>
      </c>
      <c r="K225" s="6">
        <v>0</v>
      </c>
      <c r="L225" s="6">
        <v>13.989000000000001</v>
      </c>
      <c r="M225" s="6">
        <v>13.989000000000001</v>
      </c>
      <c r="N225" s="6">
        <v>13.989000000000001</v>
      </c>
      <c r="O225" s="6">
        <v>13.989000000000001</v>
      </c>
      <c r="P225" s="6">
        <v>0</v>
      </c>
      <c r="Q225" s="4" t="s">
        <v>26</v>
      </c>
      <c r="R225" s="4">
        <v>0</v>
      </c>
      <c r="S225" s="4" t="s">
        <v>202</v>
      </c>
      <c r="T225" s="4" t="s">
        <v>443</v>
      </c>
      <c r="U225" s="4">
        <v>0</v>
      </c>
      <c r="V225" s="4">
        <v>6</v>
      </c>
      <c r="W225" s="4">
        <v>61</v>
      </c>
    </row>
    <row r="226" spans="1:23" ht="11.25" customHeight="1" x14ac:dyDescent="0.3">
      <c r="A226" s="4" t="s">
        <v>21</v>
      </c>
      <c r="B226" s="4" t="s">
        <v>39</v>
      </c>
      <c r="C226" s="4" t="s">
        <v>41</v>
      </c>
      <c r="D226" s="4" t="s">
        <v>42</v>
      </c>
      <c r="E226" s="4" t="s">
        <v>25</v>
      </c>
      <c r="F226" s="4" t="s">
        <v>25</v>
      </c>
      <c r="G226" s="4" t="s">
        <v>25</v>
      </c>
      <c r="H226" s="4" t="s">
        <v>35</v>
      </c>
      <c r="I226" s="5">
        <v>44805</v>
      </c>
      <c r="J226" s="6">
        <v>0</v>
      </c>
      <c r="K226" s="6">
        <v>0</v>
      </c>
      <c r="L226" s="6">
        <v>1028.8389999999999</v>
      </c>
      <c r="M226" s="6">
        <v>1028.8389999999999</v>
      </c>
      <c r="N226" s="6">
        <v>1028.8389999999999</v>
      </c>
      <c r="O226" s="6">
        <v>1028.8389999999999</v>
      </c>
      <c r="P226" s="6">
        <v>0</v>
      </c>
      <c r="Q226" s="4" t="s">
        <v>26</v>
      </c>
      <c r="R226" s="4">
        <v>0</v>
      </c>
      <c r="S226" s="4" t="s">
        <v>203</v>
      </c>
      <c r="T226" s="4" t="s">
        <v>444</v>
      </c>
      <c r="U226" s="4">
        <v>0</v>
      </c>
      <c r="V226" s="4">
        <v>6</v>
      </c>
      <c r="W226" s="4">
        <v>61</v>
      </c>
    </row>
    <row r="227" spans="1:23" ht="11.25" customHeight="1" x14ac:dyDescent="0.3">
      <c r="A227" s="4" t="s">
        <v>27</v>
      </c>
      <c r="B227" s="4" t="s">
        <v>39</v>
      </c>
      <c r="C227" s="4" t="s">
        <v>41</v>
      </c>
      <c r="D227" s="4" t="s">
        <v>42</v>
      </c>
      <c r="E227" s="4" t="s">
        <v>25</v>
      </c>
      <c r="F227" s="4" t="s">
        <v>25</v>
      </c>
      <c r="G227" s="4" t="s">
        <v>25</v>
      </c>
      <c r="H227" s="4" t="s">
        <v>35</v>
      </c>
      <c r="I227" s="5">
        <v>44805</v>
      </c>
      <c r="J227" s="6">
        <v>0</v>
      </c>
      <c r="K227" s="6">
        <v>0</v>
      </c>
      <c r="L227" s="6">
        <v>-2.077</v>
      </c>
      <c r="M227" s="6">
        <v>-2.077</v>
      </c>
      <c r="N227" s="6">
        <v>-2.077</v>
      </c>
      <c r="O227" s="6">
        <v>-2.077</v>
      </c>
      <c r="P227" s="6">
        <v>0</v>
      </c>
      <c r="Q227" s="4" t="s">
        <v>26</v>
      </c>
      <c r="R227" s="4">
        <v>0</v>
      </c>
      <c r="S227" s="4" t="s">
        <v>203</v>
      </c>
      <c r="T227" s="4" t="s">
        <v>444</v>
      </c>
      <c r="U227" s="4">
        <v>0</v>
      </c>
      <c r="V227" s="4">
        <v>6</v>
      </c>
      <c r="W227" s="4">
        <v>61</v>
      </c>
    </row>
    <row r="228" spans="1:23" ht="11.25" customHeight="1" x14ac:dyDescent="0.3">
      <c r="A228" s="4" t="s">
        <v>28</v>
      </c>
      <c r="B228" s="4" t="s">
        <v>39</v>
      </c>
      <c r="C228" s="4" t="s">
        <v>41</v>
      </c>
      <c r="D228" s="4" t="s">
        <v>42</v>
      </c>
      <c r="E228" s="4" t="s">
        <v>25</v>
      </c>
      <c r="F228" s="4" t="s">
        <v>25</v>
      </c>
      <c r="G228" s="4" t="s">
        <v>25</v>
      </c>
      <c r="H228" s="4" t="s">
        <v>35</v>
      </c>
      <c r="I228" s="5">
        <v>44805</v>
      </c>
      <c r="J228" s="6">
        <v>0</v>
      </c>
      <c r="K228" s="6">
        <v>0</v>
      </c>
      <c r="L228" s="6">
        <v>14.489000000000001</v>
      </c>
      <c r="M228" s="6">
        <v>14.489000000000001</v>
      </c>
      <c r="N228" s="6">
        <v>14.489000000000001</v>
      </c>
      <c r="O228" s="6">
        <v>14.489000000000001</v>
      </c>
      <c r="P228" s="6">
        <v>0</v>
      </c>
      <c r="Q228" s="4" t="s">
        <v>26</v>
      </c>
      <c r="R228" s="4">
        <v>0</v>
      </c>
      <c r="S228" s="4" t="s">
        <v>203</v>
      </c>
      <c r="T228" s="4" t="s">
        <v>444</v>
      </c>
      <c r="U228" s="4">
        <v>0</v>
      </c>
      <c r="V228" s="4">
        <v>6</v>
      </c>
      <c r="W228" s="4">
        <v>61</v>
      </c>
    </row>
    <row r="229" spans="1:23" ht="11.25" customHeight="1" x14ac:dyDescent="0.3">
      <c r="A229" s="4" t="s">
        <v>53</v>
      </c>
      <c r="B229" s="4" t="s">
        <v>39</v>
      </c>
      <c r="C229" s="4" t="s">
        <v>41</v>
      </c>
      <c r="D229" s="4" t="s">
        <v>42</v>
      </c>
      <c r="E229" s="4" t="s">
        <v>25</v>
      </c>
      <c r="F229" s="4" t="s">
        <v>25</v>
      </c>
      <c r="G229" s="4" t="s">
        <v>25</v>
      </c>
      <c r="H229" s="4" t="s">
        <v>35</v>
      </c>
      <c r="I229" s="5">
        <v>44835</v>
      </c>
      <c r="J229" s="6">
        <v>0</v>
      </c>
      <c r="K229" s="6">
        <v>0</v>
      </c>
      <c r="L229" s="6">
        <v>1028.8389999999999</v>
      </c>
      <c r="M229" s="6">
        <v>1028.8389999999999</v>
      </c>
      <c r="N229" s="6">
        <v>1028.8389999999999</v>
      </c>
      <c r="O229" s="6">
        <v>1028.8389999999999</v>
      </c>
      <c r="P229" s="6">
        <v>0</v>
      </c>
      <c r="Q229" s="4" t="s">
        <v>26</v>
      </c>
      <c r="R229" s="4">
        <v>0</v>
      </c>
      <c r="S229" s="4" t="s">
        <v>204</v>
      </c>
      <c r="T229" s="4" t="s">
        <v>445</v>
      </c>
      <c r="U229" s="4">
        <v>0</v>
      </c>
      <c r="V229" s="4">
        <v>6</v>
      </c>
      <c r="W229" s="4">
        <v>61</v>
      </c>
    </row>
    <row r="230" spans="1:23" ht="11.25" customHeight="1" x14ac:dyDescent="0.3">
      <c r="A230" s="4" t="s">
        <v>53</v>
      </c>
      <c r="B230" s="4" t="s">
        <v>39</v>
      </c>
      <c r="C230" s="4" t="s">
        <v>41</v>
      </c>
      <c r="D230" s="4" t="s">
        <v>42</v>
      </c>
      <c r="E230" s="4" t="s">
        <v>25</v>
      </c>
      <c r="F230" s="4" t="s">
        <v>25</v>
      </c>
      <c r="G230" s="4" t="s">
        <v>25</v>
      </c>
      <c r="H230" s="4" t="s">
        <v>35</v>
      </c>
      <c r="I230" s="5">
        <v>44835</v>
      </c>
      <c r="J230" s="6">
        <v>0</v>
      </c>
      <c r="K230" s="6">
        <v>0</v>
      </c>
      <c r="L230" s="6">
        <v>-2.077</v>
      </c>
      <c r="M230" s="6">
        <v>-2.077</v>
      </c>
      <c r="N230" s="6">
        <v>-2.077</v>
      </c>
      <c r="O230" s="6">
        <v>-2.077</v>
      </c>
      <c r="P230" s="6">
        <v>0</v>
      </c>
      <c r="Q230" s="4" t="s">
        <v>26</v>
      </c>
      <c r="R230" s="4">
        <v>0</v>
      </c>
      <c r="S230" s="4" t="s">
        <v>204</v>
      </c>
      <c r="T230" s="4" t="s">
        <v>445</v>
      </c>
      <c r="U230" s="4">
        <v>0</v>
      </c>
      <c r="V230" s="4">
        <v>6</v>
      </c>
      <c r="W230" s="4">
        <v>61</v>
      </c>
    </row>
    <row r="231" spans="1:23" ht="11.25" customHeight="1" x14ac:dyDescent="0.3">
      <c r="A231" s="4" t="s">
        <v>53</v>
      </c>
      <c r="B231" s="4" t="s">
        <v>39</v>
      </c>
      <c r="C231" s="4" t="s">
        <v>41</v>
      </c>
      <c r="D231" s="4" t="s">
        <v>42</v>
      </c>
      <c r="E231" s="4" t="s">
        <v>25</v>
      </c>
      <c r="F231" s="4" t="s">
        <v>25</v>
      </c>
      <c r="G231" s="4" t="s">
        <v>25</v>
      </c>
      <c r="H231" s="4" t="s">
        <v>35</v>
      </c>
      <c r="I231" s="5">
        <v>44835</v>
      </c>
      <c r="J231" s="6">
        <v>0</v>
      </c>
      <c r="K231" s="6">
        <v>0</v>
      </c>
      <c r="L231" s="6">
        <v>14.489000000000001</v>
      </c>
      <c r="M231" s="6">
        <v>14.489000000000001</v>
      </c>
      <c r="N231" s="6">
        <v>14.489000000000001</v>
      </c>
      <c r="O231" s="6">
        <v>14.489000000000001</v>
      </c>
      <c r="P231" s="6">
        <v>0</v>
      </c>
      <c r="Q231" s="4" t="s">
        <v>26</v>
      </c>
      <c r="R231" s="4">
        <v>0</v>
      </c>
      <c r="S231" s="4" t="s">
        <v>204</v>
      </c>
      <c r="T231" s="4" t="s">
        <v>445</v>
      </c>
      <c r="U231" s="4">
        <v>0</v>
      </c>
      <c r="V231" s="4">
        <v>6</v>
      </c>
      <c r="W231" s="4">
        <v>61</v>
      </c>
    </row>
    <row r="232" spans="1:23" ht="11.25" customHeight="1" x14ac:dyDescent="0.3">
      <c r="A232" s="4" t="s">
        <v>21</v>
      </c>
      <c r="B232" s="4" t="s">
        <v>39</v>
      </c>
      <c r="C232" s="4" t="s">
        <v>41</v>
      </c>
      <c r="D232" s="4" t="s">
        <v>42</v>
      </c>
      <c r="E232" s="4" t="s">
        <v>25</v>
      </c>
      <c r="F232" s="4" t="s">
        <v>25</v>
      </c>
      <c r="G232" s="4" t="s">
        <v>25</v>
      </c>
      <c r="H232" s="4" t="s">
        <v>25</v>
      </c>
      <c r="I232" s="5">
        <v>44501</v>
      </c>
      <c r="J232" s="6">
        <v>7387</v>
      </c>
      <c r="K232" s="6">
        <v>7387</v>
      </c>
      <c r="L232" s="6">
        <v>0</v>
      </c>
      <c r="M232" s="6">
        <v>0</v>
      </c>
      <c r="N232" s="6">
        <v>0</v>
      </c>
      <c r="O232" s="6">
        <v>0</v>
      </c>
      <c r="P232" s="6">
        <v>64</v>
      </c>
      <c r="Q232" s="4" t="s">
        <v>26</v>
      </c>
      <c r="R232" s="4">
        <v>0</v>
      </c>
      <c r="S232" s="4" t="s">
        <v>205</v>
      </c>
      <c r="U232" s="4">
        <v>20</v>
      </c>
      <c r="V232" s="4">
        <v>0</v>
      </c>
      <c r="W232" s="4">
        <v>0</v>
      </c>
    </row>
    <row r="233" spans="1:23" ht="11.25" customHeight="1" x14ac:dyDescent="0.3">
      <c r="A233" s="4" t="s">
        <v>28</v>
      </c>
      <c r="B233" s="4" t="s">
        <v>39</v>
      </c>
      <c r="C233" s="4" t="s">
        <v>41</v>
      </c>
      <c r="D233" s="4" t="s">
        <v>42</v>
      </c>
      <c r="E233" s="4" t="s">
        <v>25</v>
      </c>
      <c r="F233" s="4" t="s">
        <v>25</v>
      </c>
      <c r="G233" s="4" t="s">
        <v>25</v>
      </c>
      <c r="H233" s="4" t="s">
        <v>25</v>
      </c>
      <c r="I233" s="5">
        <v>44501</v>
      </c>
      <c r="J233" s="6">
        <v>135</v>
      </c>
      <c r="K233" s="6">
        <v>135</v>
      </c>
      <c r="L233" s="6">
        <v>0</v>
      </c>
      <c r="M233" s="6">
        <v>0</v>
      </c>
      <c r="N233" s="6">
        <v>0</v>
      </c>
      <c r="O233" s="6">
        <v>0</v>
      </c>
      <c r="P233" s="6">
        <v>2</v>
      </c>
      <c r="Q233" s="4" t="s">
        <v>26</v>
      </c>
      <c r="R233" s="4">
        <v>0</v>
      </c>
      <c r="S233" s="4" t="s">
        <v>205</v>
      </c>
      <c r="U233" s="4">
        <v>20</v>
      </c>
      <c r="V233" s="4">
        <v>0</v>
      </c>
      <c r="W233" s="4">
        <v>0</v>
      </c>
    </row>
    <row r="234" spans="1:23" ht="11.25" customHeight="1" x14ac:dyDescent="0.3">
      <c r="A234" s="4" t="s">
        <v>21</v>
      </c>
      <c r="B234" s="4" t="s">
        <v>39</v>
      </c>
      <c r="C234" s="4" t="s">
        <v>41</v>
      </c>
      <c r="D234" s="4" t="s">
        <v>42</v>
      </c>
      <c r="E234" s="4" t="s">
        <v>25</v>
      </c>
      <c r="F234" s="4" t="s">
        <v>25</v>
      </c>
      <c r="G234" s="4" t="s">
        <v>25</v>
      </c>
      <c r="H234" s="4" t="s">
        <v>25</v>
      </c>
      <c r="I234" s="5">
        <v>44531</v>
      </c>
      <c r="J234" s="6">
        <v>7520</v>
      </c>
      <c r="K234" s="6">
        <v>7520</v>
      </c>
      <c r="L234" s="6">
        <v>0</v>
      </c>
      <c r="M234" s="6">
        <v>0</v>
      </c>
      <c r="N234" s="6">
        <v>0</v>
      </c>
      <c r="O234" s="6">
        <v>0</v>
      </c>
      <c r="P234" s="6">
        <v>64</v>
      </c>
      <c r="Q234" s="4" t="s">
        <v>26</v>
      </c>
      <c r="R234" s="4">
        <v>0</v>
      </c>
      <c r="S234" s="4" t="s">
        <v>206</v>
      </c>
      <c r="U234" s="4">
        <v>20</v>
      </c>
      <c r="V234" s="4">
        <v>0</v>
      </c>
      <c r="W234" s="4">
        <v>0</v>
      </c>
    </row>
    <row r="235" spans="1:23" ht="11.25" customHeight="1" x14ac:dyDescent="0.3">
      <c r="A235" s="4" t="s">
        <v>28</v>
      </c>
      <c r="B235" s="4" t="s">
        <v>39</v>
      </c>
      <c r="C235" s="4" t="s">
        <v>41</v>
      </c>
      <c r="D235" s="4" t="s">
        <v>42</v>
      </c>
      <c r="E235" s="4" t="s">
        <v>25</v>
      </c>
      <c r="F235" s="4" t="s">
        <v>25</v>
      </c>
      <c r="G235" s="4" t="s">
        <v>25</v>
      </c>
      <c r="H235" s="4" t="s">
        <v>25</v>
      </c>
      <c r="I235" s="5">
        <v>44531</v>
      </c>
      <c r="J235" s="6">
        <v>135</v>
      </c>
      <c r="K235" s="6">
        <v>135</v>
      </c>
      <c r="L235" s="6">
        <v>0</v>
      </c>
      <c r="M235" s="6">
        <v>0</v>
      </c>
      <c r="N235" s="6">
        <v>0</v>
      </c>
      <c r="O235" s="6">
        <v>0</v>
      </c>
      <c r="P235" s="6">
        <v>2</v>
      </c>
      <c r="Q235" s="4" t="s">
        <v>26</v>
      </c>
      <c r="R235" s="4">
        <v>0</v>
      </c>
      <c r="S235" s="4" t="s">
        <v>206</v>
      </c>
      <c r="U235" s="4">
        <v>20</v>
      </c>
      <c r="V235" s="4">
        <v>0</v>
      </c>
      <c r="W235" s="4">
        <v>0</v>
      </c>
    </row>
    <row r="236" spans="1:23" ht="11.25" customHeight="1" x14ac:dyDescent="0.3">
      <c r="A236" s="4" t="s">
        <v>21</v>
      </c>
      <c r="B236" s="4" t="s">
        <v>39</v>
      </c>
      <c r="C236" s="4" t="s">
        <v>41</v>
      </c>
      <c r="D236" s="4" t="s">
        <v>42</v>
      </c>
      <c r="E236" s="4" t="s">
        <v>25</v>
      </c>
      <c r="F236" s="4" t="s">
        <v>25</v>
      </c>
      <c r="G236" s="4" t="s">
        <v>25</v>
      </c>
      <c r="H236" s="4" t="s">
        <v>25</v>
      </c>
      <c r="I236" s="5">
        <v>44562</v>
      </c>
      <c r="J236" s="6">
        <v>7146</v>
      </c>
      <c r="K236" s="6">
        <v>7146</v>
      </c>
      <c r="L236" s="6">
        <v>0</v>
      </c>
      <c r="M236" s="6">
        <v>0</v>
      </c>
      <c r="N236" s="6">
        <v>0</v>
      </c>
      <c r="O236" s="6">
        <v>0</v>
      </c>
      <c r="P236" s="6">
        <v>62</v>
      </c>
      <c r="Q236" s="4" t="s">
        <v>26</v>
      </c>
      <c r="R236" s="4">
        <v>0</v>
      </c>
      <c r="S236" s="4" t="s">
        <v>207</v>
      </c>
      <c r="U236" s="4">
        <v>20</v>
      </c>
      <c r="V236" s="4">
        <v>0</v>
      </c>
      <c r="W236" s="4">
        <v>0</v>
      </c>
    </row>
    <row r="237" spans="1:23" ht="11.25" customHeight="1" x14ac:dyDescent="0.3">
      <c r="A237" s="4" t="s">
        <v>28</v>
      </c>
      <c r="B237" s="4" t="s">
        <v>39</v>
      </c>
      <c r="C237" s="4" t="s">
        <v>41</v>
      </c>
      <c r="D237" s="4" t="s">
        <v>42</v>
      </c>
      <c r="E237" s="4" t="s">
        <v>25</v>
      </c>
      <c r="F237" s="4" t="s">
        <v>25</v>
      </c>
      <c r="G237" s="4" t="s">
        <v>25</v>
      </c>
      <c r="H237" s="4" t="s">
        <v>25</v>
      </c>
      <c r="I237" s="5">
        <v>44562</v>
      </c>
      <c r="J237" s="6">
        <v>135</v>
      </c>
      <c r="K237" s="6">
        <v>135</v>
      </c>
      <c r="L237" s="6">
        <v>0</v>
      </c>
      <c r="M237" s="6">
        <v>0</v>
      </c>
      <c r="N237" s="6">
        <v>0</v>
      </c>
      <c r="O237" s="6">
        <v>0</v>
      </c>
      <c r="P237" s="6">
        <v>2</v>
      </c>
      <c r="Q237" s="4" t="s">
        <v>26</v>
      </c>
      <c r="R237" s="4">
        <v>0</v>
      </c>
      <c r="S237" s="4" t="s">
        <v>207</v>
      </c>
      <c r="U237" s="4">
        <v>20</v>
      </c>
      <c r="V237" s="4">
        <v>0</v>
      </c>
      <c r="W237" s="4">
        <v>0</v>
      </c>
    </row>
    <row r="238" spans="1:23" ht="11.25" customHeight="1" x14ac:dyDescent="0.3">
      <c r="A238" s="4" t="s">
        <v>21</v>
      </c>
      <c r="B238" s="4" t="s">
        <v>39</v>
      </c>
      <c r="C238" s="4" t="s">
        <v>41</v>
      </c>
      <c r="D238" s="4" t="s">
        <v>42</v>
      </c>
      <c r="E238" s="4" t="s">
        <v>25</v>
      </c>
      <c r="F238" s="4" t="s">
        <v>25</v>
      </c>
      <c r="G238" s="4" t="s">
        <v>25</v>
      </c>
      <c r="H238" s="4" t="s">
        <v>25</v>
      </c>
      <c r="I238" s="5">
        <v>44593</v>
      </c>
      <c r="J238" s="6">
        <v>7182</v>
      </c>
      <c r="K238" s="6">
        <v>7182</v>
      </c>
      <c r="L238" s="6">
        <v>0</v>
      </c>
      <c r="M238" s="6">
        <v>0</v>
      </c>
      <c r="N238" s="6">
        <v>0</v>
      </c>
      <c r="O238" s="6">
        <v>0</v>
      </c>
      <c r="P238" s="6">
        <v>62</v>
      </c>
      <c r="Q238" s="4" t="s">
        <v>26</v>
      </c>
      <c r="R238" s="4">
        <v>0</v>
      </c>
      <c r="S238" s="4" t="s">
        <v>208</v>
      </c>
      <c r="U238" s="4">
        <v>20</v>
      </c>
      <c r="V238" s="4">
        <v>0</v>
      </c>
      <c r="W238" s="4">
        <v>0</v>
      </c>
    </row>
    <row r="239" spans="1:23" ht="11.25" customHeight="1" x14ac:dyDescent="0.3">
      <c r="A239" s="4" t="s">
        <v>27</v>
      </c>
      <c r="B239" s="4" t="s">
        <v>39</v>
      </c>
      <c r="C239" s="4" t="s">
        <v>41</v>
      </c>
      <c r="D239" s="4" t="s">
        <v>42</v>
      </c>
      <c r="E239" s="4" t="s">
        <v>25</v>
      </c>
      <c r="F239" s="4" t="s">
        <v>25</v>
      </c>
      <c r="G239" s="4" t="s">
        <v>25</v>
      </c>
      <c r="H239" s="4" t="s">
        <v>25</v>
      </c>
      <c r="I239" s="5">
        <v>44593</v>
      </c>
      <c r="J239" s="6">
        <v>-9</v>
      </c>
      <c r="K239" s="6">
        <v>-9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4" t="s">
        <v>26</v>
      </c>
      <c r="R239" s="4">
        <v>0</v>
      </c>
      <c r="S239" s="4" t="s">
        <v>208</v>
      </c>
      <c r="U239" s="4">
        <v>20</v>
      </c>
      <c r="V239" s="4">
        <v>0</v>
      </c>
      <c r="W239" s="4">
        <v>0</v>
      </c>
    </row>
    <row r="240" spans="1:23" ht="11.25" customHeight="1" x14ac:dyDescent="0.3">
      <c r="A240" s="4" t="s">
        <v>28</v>
      </c>
      <c r="B240" s="4" t="s">
        <v>39</v>
      </c>
      <c r="C240" s="4" t="s">
        <v>41</v>
      </c>
      <c r="D240" s="4" t="s">
        <v>42</v>
      </c>
      <c r="E240" s="4" t="s">
        <v>25</v>
      </c>
      <c r="F240" s="4" t="s">
        <v>25</v>
      </c>
      <c r="G240" s="4" t="s">
        <v>25</v>
      </c>
      <c r="H240" s="4" t="s">
        <v>25</v>
      </c>
      <c r="I240" s="5">
        <v>44593</v>
      </c>
      <c r="J240" s="6">
        <v>135</v>
      </c>
      <c r="K240" s="6">
        <v>135</v>
      </c>
      <c r="L240" s="6">
        <v>0</v>
      </c>
      <c r="M240" s="6">
        <v>0</v>
      </c>
      <c r="N240" s="6">
        <v>0</v>
      </c>
      <c r="O240" s="6">
        <v>0</v>
      </c>
      <c r="P240" s="6">
        <v>2</v>
      </c>
      <c r="Q240" s="4" t="s">
        <v>26</v>
      </c>
      <c r="R240" s="4">
        <v>0</v>
      </c>
      <c r="S240" s="4" t="s">
        <v>208</v>
      </c>
      <c r="U240" s="4">
        <v>20</v>
      </c>
      <c r="V240" s="4">
        <v>0</v>
      </c>
      <c r="W240" s="4">
        <v>0</v>
      </c>
    </row>
    <row r="241" spans="1:23" ht="11.25" customHeight="1" x14ac:dyDescent="0.3">
      <c r="A241" s="4" t="s">
        <v>21</v>
      </c>
      <c r="B241" s="4" t="s">
        <v>39</v>
      </c>
      <c r="C241" s="4" t="s">
        <v>41</v>
      </c>
      <c r="D241" s="4" t="s">
        <v>42</v>
      </c>
      <c r="E241" s="4" t="s">
        <v>25</v>
      </c>
      <c r="F241" s="4" t="s">
        <v>25</v>
      </c>
      <c r="G241" s="4" t="s">
        <v>25</v>
      </c>
      <c r="H241" s="4" t="s">
        <v>25</v>
      </c>
      <c r="I241" s="5">
        <v>44621</v>
      </c>
      <c r="J241" s="6">
        <v>7102</v>
      </c>
      <c r="K241" s="6">
        <v>7102</v>
      </c>
      <c r="L241" s="6">
        <v>0</v>
      </c>
      <c r="M241" s="6">
        <v>0</v>
      </c>
      <c r="N241" s="6">
        <v>0</v>
      </c>
      <c r="O241" s="6">
        <v>0</v>
      </c>
      <c r="P241" s="6">
        <v>62</v>
      </c>
      <c r="Q241" s="4" t="s">
        <v>26</v>
      </c>
      <c r="R241" s="4">
        <v>0</v>
      </c>
      <c r="S241" s="4" t="s">
        <v>209</v>
      </c>
      <c r="U241" s="4">
        <v>20</v>
      </c>
      <c r="V241" s="4">
        <v>0</v>
      </c>
      <c r="W241" s="4">
        <v>0</v>
      </c>
    </row>
    <row r="242" spans="1:23" ht="11.25" customHeight="1" x14ac:dyDescent="0.3">
      <c r="A242" s="4" t="s">
        <v>28</v>
      </c>
      <c r="B242" s="4" t="s">
        <v>39</v>
      </c>
      <c r="C242" s="4" t="s">
        <v>41</v>
      </c>
      <c r="D242" s="4" t="s">
        <v>42</v>
      </c>
      <c r="E242" s="4" t="s">
        <v>25</v>
      </c>
      <c r="F242" s="4" t="s">
        <v>25</v>
      </c>
      <c r="G242" s="4" t="s">
        <v>25</v>
      </c>
      <c r="H242" s="4" t="s">
        <v>25</v>
      </c>
      <c r="I242" s="5">
        <v>44621</v>
      </c>
      <c r="J242" s="6">
        <v>135</v>
      </c>
      <c r="K242" s="6">
        <v>135</v>
      </c>
      <c r="L242" s="6">
        <v>0</v>
      </c>
      <c r="M242" s="6">
        <v>0</v>
      </c>
      <c r="N242" s="6">
        <v>0</v>
      </c>
      <c r="O242" s="6">
        <v>0</v>
      </c>
      <c r="P242" s="6">
        <v>2</v>
      </c>
      <c r="Q242" s="4" t="s">
        <v>26</v>
      </c>
      <c r="R242" s="4">
        <v>0</v>
      </c>
      <c r="S242" s="4" t="s">
        <v>209</v>
      </c>
      <c r="U242" s="4">
        <v>20</v>
      </c>
      <c r="V242" s="4">
        <v>0</v>
      </c>
      <c r="W242" s="4">
        <v>0</v>
      </c>
    </row>
    <row r="243" spans="1:23" ht="11.25" customHeight="1" x14ac:dyDescent="0.3">
      <c r="A243" s="4" t="s">
        <v>21</v>
      </c>
      <c r="B243" s="4" t="s">
        <v>39</v>
      </c>
      <c r="C243" s="4" t="s">
        <v>41</v>
      </c>
      <c r="D243" s="4" t="s">
        <v>42</v>
      </c>
      <c r="E243" s="4" t="s">
        <v>25</v>
      </c>
      <c r="F243" s="4" t="s">
        <v>25</v>
      </c>
      <c r="G243" s="4" t="s">
        <v>25</v>
      </c>
      <c r="H243" s="4" t="s">
        <v>25</v>
      </c>
      <c r="I243" s="5">
        <v>44652</v>
      </c>
      <c r="J243" s="6">
        <v>6776</v>
      </c>
      <c r="K243" s="6">
        <v>6776</v>
      </c>
      <c r="L243" s="6">
        <v>0</v>
      </c>
      <c r="M243" s="6">
        <v>0</v>
      </c>
      <c r="N243" s="6">
        <v>0</v>
      </c>
      <c r="O243" s="6">
        <v>0</v>
      </c>
      <c r="P243" s="6">
        <v>60</v>
      </c>
      <c r="Q243" s="4" t="s">
        <v>26</v>
      </c>
      <c r="R243" s="4">
        <v>0</v>
      </c>
      <c r="S243" s="4" t="s">
        <v>210</v>
      </c>
      <c r="U243" s="4">
        <v>20</v>
      </c>
      <c r="V243" s="4">
        <v>0</v>
      </c>
      <c r="W243" s="4">
        <v>0</v>
      </c>
    </row>
    <row r="244" spans="1:23" ht="11.25" customHeight="1" x14ac:dyDescent="0.3">
      <c r="A244" s="4" t="s">
        <v>28</v>
      </c>
      <c r="B244" s="4" t="s">
        <v>39</v>
      </c>
      <c r="C244" s="4" t="s">
        <v>41</v>
      </c>
      <c r="D244" s="4" t="s">
        <v>42</v>
      </c>
      <c r="E244" s="4" t="s">
        <v>25</v>
      </c>
      <c r="F244" s="4" t="s">
        <v>25</v>
      </c>
      <c r="G244" s="4" t="s">
        <v>25</v>
      </c>
      <c r="H244" s="4" t="s">
        <v>25</v>
      </c>
      <c r="I244" s="5">
        <v>44652</v>
      </c>
      <c r="J244" s="6">
        <v>135</v>
      </c>
      <c r="K244" s="6">
        <v>135</v>
      </c>
      <c r="L244" s="6">
        <v>0</v>
      </c>
      <c r="M244" s="6">
        <v>0</v>
      </c>
      <c r="N244" s="6">
        <v>0</v>
      </c>
      <c r="O244" s="6">
        <v>0</v>
      </c>
      <c r="P244" s="6">
        <v>2</v>
      </c>
      <c r="Q244" s="4" t="s">
        <v>26</v>
      </c>
      <c r="R244" s="4">
        <v>0</v>
      </c>
      <c r="S244" s="4" t="s">
        <v>210</v>
      </c>
      <c r="U244" s="4">
        <v>20</v>
      </c>
      <c r="V244" s="4">
        <v>0</v>
      </c>
      <c r="W244" s="4">
        <v>0</v>
      </c>
    </row>
    <row r="245" spans="1:23" ht="11.25" customHeight="1" x14ac:dyDescent="0.3">
      <c r="A245" s="4" t="s">
        <v>21</v>
      </c>
      <c r="B245" s="4" t="s">
        <v>39</v>
      </c>
      <c r="C245" s="4" t="s">
        <v>41</v>
      </c>
      <c r="D245" s="4" t="s">
        <v>42</v>
      </c>
      <c r="E245" s="4" t="s">
        <v>25</v>
      </c>
      <c r="F245" s="4" t="s">
        <v>25</v>
      </c>
      <c r="G245" s="4" t="s">
        <v>25</v>
      </c>
      <c r="H245" s="4" t="s">
        <v>25</v>
      </c>
      <c r="I245" s="5">
        <v>44682</v>
      </c>
      <c r="J245" s="6">
        <v>6662</v>
      </c>
      <c r="K245" s="6">
        <v>6662</v>
      </c>
      <c r="L245" s="6">
        <v>0</v>
      </c>
      <c r="M245" s="6">
        <v>0</v>
      </c>
      <c r="N245" s="6">
        <v>0</v>
      </c>
      <c r="O245" s="6">
        <v>0</v>
      </c>
      <c r="P245" s="6">
        <v>60</v>
      </c>
      <c r="Q245" s="4" t="s">
        <v>26</v>
      </c>
      <c r="R245" s="4">
        <v>0</v>
      </c>
      <c r="S245" s="4" t="s">
        <v>211</v>
      </c>
      <c r="U245" s="4">
        <v>20</v>
      </c>
      <c r="V245" s="4">
        <v>0</v>
      </c>
      <c r="W245" s="4">
        <v>0</v>
      </c>
    </row>
    <row r="246" spans="1:23" ht="11.25" customHeight="1" x14ac:dyDescent="0.3">
      <c r="A246" s="4" t="s">
        <v>28</v>
      </c>
      <c r="B246" s="4" t="s">
        <v>39</v>
      </c>
      <c r="C246" s="4" t="s">
        <v>41</v>
      </c>
      <c r="D246" s="4" t="s">
        <v>42</v>
      </c>
      <c r="E246" s="4" t="s">
        <v>25</v>
      </c>
      <c r="F246" s="4" t="s">
        <v>25</v>
      </c>
      <c r="G246" s="4" t="s">
        <v>25</v>
      </c>
      <c r="H246" s="4" t="s">
        <v>25</v>
      </c>
      <c r="I246" s="5">
        <v>44682</v>
      </c>
      <c r="J246" s="6">
        <v>195</v>
      </c>
      <c r="K246" s="6">
        <v>195</v>
      </c>
      <c r="L246" s="6">
        <v>0</v>
      </c>
      <c r="M246" s="6">
        <v>0</v>
      </c>
      <c r="N246" s="6">
        <v>0</v>
      </c>
      <c r="O246" s="6">
        <v>0</v>
      </c>
      <c r="P246" s="6">
        <v>3</v>
      </c>
      <c r="Q246" s="4" t="s">
        <v>26</v>
      </c>
      <c r="R246" s="4">
        <v>0</v>
      </c>
      <c r="S246" s="4" t="s">
        <v>211</v>
      </c>
      <c r="U246" s="4">
        <v>20</v>
      </c>
      <c r="V246" s="4">
        <v>0</v>
      </c>
      <c r="W246" s="4">
        <v>0</v>
      </c>
    </row>
    <row r="247" spans="1:23" ht="11.25" customHeight="1" x14ac:dyDescent="0.3">
      <c r="A247" s="4" t="s">
        <v>21</v>
      </c>
      <c r="B247" s="4" t="s">
        <v>39</v>
      </c>
      <c r="C247" s="4" t="s">
        <v>41</v>
      </c>
      <c r="D247" s="4" t="s">
        <v>42</v>
      </c>
      <c r="E247" s="4" t="s">
        <v>25</v>
      </c>
      <c r="F247" s="4" t="s">
        <v>25</v>
      </c>
      <c r="G247" s="4" t="s">
        <v>25</v>
      </c>
      <c r="H247" s="4" t="s">
        <v>25</v>
      </c>
      <c r="I247" s="5">
        <v>44713</v>
      </c>
      <c r="J247" s="6">
        <v>6581</v>
      </c>
      <c r="K247" s="6">
        <v>6581</v>
      </c>
      <c r="L247" s="6">
        <v>0</v>
      </c>
      <c r="M247" s="6">
        <v>0</v>
      </c>
      <c r="N247" s="6">
        <v>0</v>
      </c>
      <c r="O247" s="6">
        <v>0</v>
      </c>
      <c r="P247" s="6">
        <v>59</v>
      </c>
      <c r="Q247" s="4" t="s">
        <v>26</v>
      </c>
      <c r="R247" s="4">
        <v>0</v>
      </c>
      <c r="S247" s="4" t="s">
        <v>212</v>
      </c>
      <c r="U247" s="4">
        <v>20</v>
      </c>
      <c r="V247" s="4">
        <v>0</v>
      </c>
      <c r="W247" s="4">
        <v>0</v>
      </c>
    </row>
    <row r="248" spans="1:23" ht="11.25" customHeight="1" x14ac:dyDescent="0.3">
      <c r="A248" s="4" t="s">
        <v>28</v>
      </c>
      <c r="B248" s="4" t="s">
        <v>39</v>
      </c>
      <c r="C248" s="4" t="s">
        <v>41</v>
      </c>
      <c r="D248" s="4" t="s">
        <v>42</v>
      </c>
      <c r="E248" s="4" t="s">
        <v>25</v>
      </c>
      <c r="F248" s="4" t="s">
        <v>25</v>
      </c>
      <c r="G248" s="4" t="s">
        <v>25</v>
      </c>
      <c r="H248" s="4" t="s">
        <v>25</v>
      </c>
      <c r="I248" s="5">
        <v>44713</v>
      </c>
      <c r="J248" s="6">
        <v>225</v>
      </c>
      <c r="K248" s="6">
        <v>225</v>
      </c>
      <c r="L248" s="6">
        <v>0</v>
      </c>
      <c r="M248" s="6">
        <v>0</v>
      </c>
      <c r="N248" s="6">
        <v>0</v>
      </c>
      <c r="O248" s="6">
        <v>0</v>
      </c>
      <c r="P248" s="6">
        <v>4</v>
      </c>
      <c r="Q248" s="4" t="s">
        <v>26</v>
      </c>
      <c r="R248" s="4">
        <v>0</v>
      </c>
      <c r="S248" s="4" t="s">
        <v>212</v>
      </c>
      <c r="U248" s="4">
        <v>20</v>
      </c>
      <c r="V248" s="4">
        <v>0</v>
      </c>
      <c r="W248" s="4">
        <v>0</v>
      </c>
    </row>
    <row r="249" spans="1:23" ht="11.25" customHeight="1" x14ac:dyDescent="0.3">
      <c r="A249" s="4" t="s">
        <v>21</v>
      </c>
      <c r="B249" s="4" t="s">
        <v>39</v>
      </c>
      <c r="C249" s="4" t="s">
        <v>41</v>
      </c>
      <c r="D249" s="4" t="s">
        <v>42</v>
      </c>
      <c r="E249" s="4" t="s">
        <v>25</v>
      </c>
      <c r="F249" s="4" t="s">
        <v>25</v>
      </c>
      <c r="G249" s="4" t="s">
        <v>25</v>
      </c>
      <c r="H249" s="4" t="s">
        <v>25</v>
      </c>
      <c r="I249" s="5">
        <v>44743</v>
      </c>
      <c r="J249" s="6">
        <v>6430</v>
      </c>
      <c r="K249" s="6">
        <v>6430</v>
      </c>
      <c r="L249" s="6">
        <v>0</v>
      </c>
      <c r="M249" s="6">
        <v>0</v>
      </c>
      <c r="N249" s="6">
        <v>0</v>
      </c>
      <c r="O249" s="6">
        <v>0</v>
      </c>
      <c r="P249" s="6">
        <v>59</v>
      </c>
      <c r="Q249" s="4" t="s">
        <v>26</v>
      </c>
      <c r="R249" s="4">
        <v>0</v>
      </c>
      <c r="S249" s="4" t="s">
        <v>213</v>
      </c>
      <c r="U249" s="4">
        <v>20</v>
      </c>
      <c r="V249" s="4">
        <v>0</v>
      </c>
      <c r="W249" s="4">
        <v>0</v>
      </c>
    </row>
    <row r="250" spans="1:23" ht="11.25" customHeight="1" x14ac:dyDescent="0.3">
      <c r="A250" s="4" t="s">
        <v>21</v>
      </c>
      <c r="B250" s="4" t="s">
        <v>39</v>
      </c>
      <c r="C250" s="4" t="s">
        <v>41</v>
      </c>
      <c r="D250" s="4" t="s">
        <v>42</v>
      </c>
      <c r="E250" s="4" t="s">
        <v>25</v>
      </c>
      <c r="F250" s="4" t="s">
        <v>25</v>
      </c>
      <c r="G250" s="4" t="s">
        <v>25</v>
      </c>
      <c r="H250" s="4" t="s">
        <v>25</v>
      </c>
      <c r="I250" s="5">
        <v>44774</v>
      </c>
      <c r="J250" s="6">
        <v>6420</v>
      </c>
      <c r="K250" s="6">
        <v>6420</v>
      </c>
      <c r="L250" s="6">
        <v>0</v>
      </c>
      <c r="M250" s="6">
        <v>0</v>
      </c>
      <c r="N250" s="6">
        <v>0</v>
      </c>
      <c r="O250" s="6">
        <v>0</v>
      </c>
      <c r="P250" s="6">
        <v>58</v>
      </c>
      <c r="Q250" s="4" t="s">
        <v>26</v>
      </c>
      <c r="R250" s="4">
        <v>0</v>
      </c>
      <c r="S250" s="4" t="s">
        <v>214</v>
      </c>
      <c r="U250" s="4">
        <v>20</v>
      </c>
      <c r="V250" s="4">
        <v>0</v>
      </c>
      <c r="W250" s="4">
        <v>0</v>
      </c>
    </row>
    <row r="251" spans="1:23" ht="11.25" customHeight="1" x14ac:dyDescent="0.3">
      <c r="A251" s="4" t="s">
        <v>28</v>
      </c>
      <c r="B251" s="4" t="s">
        <v>39</v>
      </c>
      <c r="C251" s="4" t="s">
        <v>41</v>
      </c>
      <c r="D251" s="4" t="s">
        <v>42</v>
      </c>
      <c r="E251" s="4" t="s">
        <v>25</v>
      </c>
      <c r="F251" s="4" t="s">
        <v>25</v>
      </c>
      <c r="G251" s="4" t="s">
        <v>25</v>
      </c>
      <c r="H251" s="4" t="s">
        <v>25</v>
      </c>
      <c r="I251" s="5">
        <v>44774</v>
      </c>
      <c r="J251" s="6">
        <v>472</v>
      </c>
      <c r="K251" s="6">
        <v>472</v>
      </c>
      <c r="L251" s="6">
        <v>0</v>
      </c>
      <c r="M251" s="6">
        <v>0</v>
      </c>
      <c r="N251" s="6">
        <v>0</v>
      </c>
      <c r="O251" s="6">
        <v>0</v>
      </c>
      <c r="P251" s="6">
        <v>5</v>
      </c>
      <c r="Q251" s="4" t="s">
        <v>26</v>
      </c>
      <c r="R251" s="4">
        <v>0</v>
      </c>
      <c r="S251" s="4" t="s">
        <v>214</v>
      </c>
      <c r="U251" s="4">
        <v>20</v>
      </c>
      <c r="V251" s="4">
        <v>0</v>
      </c>
      <c r="W251" s="4">
        <v>0</v>
      </c>
    </row>
    <row r="252" spans="1:23" ht="11.25" customHeight="1" x14ac:dyDescent="0.3">
      <c r="A252" s="4" t="s">
        <v>21</v>
      </c>
      <c r="B252" s="4" t="s">
        <v>39</v>
      </c>
      <c r="C252" s="4" t="s">
        <v>41</v>
      </c>
      <c r="D252" s="4" t="s">
        <v>42</v>
      </c>
      <c r="E252" s="4" t="s">
        <v>25</v>
      </c>
      <c r="F252" s="4" t="s">
        <v>25</v>
      </c>
      <c r="G252" s="4" t="s">
        <v>25</v>
      </c>
      <c r="H252" s="4" t="s">
        <v>25</v>
      </c>
      <c r="I252" s="5">
        <v>44805</v>
      </c>
      <c r="J252" s="6">
        <v>6420</v>
      </c>
      <c r="K252" s="6">
        <v>6420</v>
      </c>
      <c r="L252" s="6">
        <v>0</v>
      </c>
      <c r="M252" s="6">
        <v>0</v>
      </c>
      <c r="N252" s="6">
        <v>0</v>
      </c>
      <c r="O252" s="6">
        <v>0</v>
      </c>
      <c r="P252" s="6">
        <v>59</v>
      </c>
      <c r="Q252" s="4" t="s">
        <v>26</v>
      </c>
      <c r="R252" s="4">
        <v>0</v>
      </c>
      <c r="S252" s="4" t="s">
        <v>215</v>
      </c>
      <c r="U252" s="4">
        <v>20</v>
      </c>
      <c r="V252" s="4">
        <v>0</v>
      </c>
      <c r="W252" s="4">
        <v>0</v>
      </c>
    </row>
    <row r="253" spans="1:23" ht="11.25" customHeight="1" x14ac:dyDescent="0.3">
      <c r="A253" s="4" t="s">
        <v>28</v>
      </c>
      <c r="B253" s="4" t="s">
        <v>39</v>
      </c>
      <c r="C253" s="4" t="s">
        <v>41</v>
      </c>
      <c r="D253" s="4" t="s">
        <v>42</v>
      </c>
      <c r="E253" s="4" t="s">
        <v>25</v>
      </c>
      <c r="F253" s="4" t="s">
        <v>25</v>
      </c>
      <c r="G253" s="4" t="s">
        <v>25</v>
      </c>
      <c r="H253" s="4" t="s">
        <v>25</v>
      </c>
      <c r="I253" s="5">
        <v>44805</v>
      </c>
      <c r="J253" s="6">
        <v>472</v>
      </c>
      <c r="K253" s="6">
        <v>472</v>
      </c>
      <c r="L253" s="6">
        <v>0</v>
      </c>
      <c r="M253" s="6">
        <v>0</v>
      </c>
      <c r="N253" s="6">
        <v>0</v>
      </c>
      <c r="O253" s="6">
        <v>0</v>
      </c>
      <c r="P253" s="6">
        <v>5</v>
      </c>
      <c r="Q253" s="4" t="s">
        <v>26</v>
      </c>
      <c r="R253" s="4">
        <v>0</v>
      </c>
      <c r="S253" s="4" t="s">
        <v>215</v>
      </c>
      <c r="U253" s="4">
        <v>20</v>
      </c>
      <c r="V253" s="4">
        <v>0</v>
      </c>
      <c r="W253" s="4">
        <v>0</v>
      </c>
    </row>
    <row r="254" spans="1:23" ht="11.25" customHeight="1" x14ac:dyDescent="0.3">
      <c r="A254" s="4" t="s">
        <v>53</v>
      </c>
      <c r="B254" s="4" t="s">
        <v>39</v>
      </c>
      <c r="C254" s="4" t="s">
        <v>41</v>
      </c>
      <c r="D254" s="4" t="s">
        <v>42</v>
      </c>
      <c r="E254" s="4" t="s">
        <v>25</v>
      </c>
      <c r="F254" s="4" t="s">
        <v>25</v>
      </c>
      <c r="G254" s="4" t="s">
        <v>25</v>
      </c>
      <c r="H254" s="4" t="s">
        <v>25</v>
      </c>
      <c r="I254" s="5">
        <v>44835</v>
      </c>
      <c r="J254" s="6">
        <v>6420</v>
      </c>
      <c r="K254" s="6">
        <v>6420</v>
      </c>
      <c r="L254" s="6">
        <v>0</v>
      </c>
      <c r="M254" s="6">
        <v>0</v>
      </c>
      <c r="N254" s="6">
        <v>0</v>
      </c>
      <c r="O254" s="6">
        <v>0</v>
      </c>
      <c r="P254" s="6">
        <v>59</v>
      </c>
      <c r="Q254" s="4" t="s">
        <v>26</v>
      </c>
      <c r="R254" s="4">
        <v>0</v>
      </c>
      <c r="S254" s="4" t="s">
        <v>216</v>
      </c>
      <c r="U254" s="4">
        <v>20</v>
      </c>
      <c r="V254" s="4">
        <v>0</v>
      </c>
      <c r="W254" s="4">
        <v>0</v>
      </c>
    </row>
    <row r="255" spans="1:23" ht="11.25" customHeight="1" x14ac:dyDescent="0.3">
      <c r="A255" s="4" t="s">
        <v>53</v>
      </c>
      <c r="B255" s="4" t="s">
        <v>39</v>
      </c>
      <c r="C255" s="4" t="s">
        <v>41</v>
      </c>
      <c r="D255" s="4" t="s">
        <v>42</v>
      </c>
      <c r="E255" s="4" t="s">
        <v>25</v>
      </c>
      <c r="F255" s="4" t="s">
        <v>25</v>
      </c>
      <c r="G255" s="4" t="s">
        <v>25</v>
      </c>
      <c r="H255" s="4" t="s">
        <v>25</v>
      </c>
      <c r="I255" s="5">
        <v>44835</v>
      </c>
      <c r="J255" s="6">
        <v>472</v>
      </c>
      <c r="K255" s="6">
        <v>472</v>
      </c>
      <c r="L255" s="6">
        <v>0</v>
      </c>
      <c r="M255" s="6">
        <v>0</v>
      </c>
      <c r="N255" s="6">
        <v>0</v>
      </c>
      <c r="O255" s="6">
        <v>0</v>
      </c>
      <c r="P255" s="6">
        <v>5</v>
      </c>
      <c r="Q255" s="4" t="s">
        <v>26</v>
      </c>
      <c r="R255" s="4">
        <v>0</v>
      </c>
      <c r="S255" s="4" t="s">
        <v>216</v>
      </c>
      <c r="U255" s="4">
        <v>20</v>
      </c>
      <c r="V255" s="4">
        <v>0</v>
      </c>
      <c r="W255" s="4">
        <v>0</v>
      </c>
    </row>
    <row r="256" spans="1:23" ht="11.25" customHeight="1" x14ac:dyDescent="0.3">
      <c r="A256" s="4" t="s">
        <v>21</v>
      </c>
      <c r="B256" s="4" t="s">
        <v>39</v>
      </c>
      <c r="C256" s="4" t="s">
        <v>41</v>
      </c>
      <c r="D256" s="4" t="s">
        <v>42</v>
      </c>
      <c r="E256" s="4" t="s">
        <v>25</v>
      </c>
      <c r="F256" s="4" t="s">
        <v>25</v>
      </c>
      <c r="G256" s="4" t="s">
        <v>25</v>
      </c>
      <c r="H256" s="4" t="s">
        <v>34</v>
      </c>
      <c r="I256" s="5">
        <v>44501</v>
      </c>
      <c r="J256" s="6">
        <v>0</v>
      </c>
      <c r="K256" s="6">
        <v>0</v>
      </c>
      <c r="L256" s="6">
        <v>111.202</v>
      </c>
      <c r="M256" s="6">
        <v>111.202</v>
      </c>
      <c r="N256" s="6">
        <v>111.202</v>
      </c>
      <c r="O256" s="6">
        <v>111.202</v>
      </c>
      <c r="P256" s="6">
        <v>0</v>
      </c>
      <c r="Q256" s="4" t="s">
        <v>26</v>
      </c>
      <c r="R256" s="4">
        <v>0</v>
      </c>
      <c r="S256" s="4" t="s">
        <v>217</v>
      </c>
      <c r="T256" s="4" t="s">
        <v>446</v>
      </c>
      <c r="U256" s="4">
        <v>0</v>
      </c>
      <c r="V256" s="4">
        <v>8</v>
      </c>
      <c r="W256" s="4">
        <v>38</v>
      </c>
    </row>
    <row r="257" spans="1:23" ht="11.25" customHeight="1" x14ac:dyDescent="0.3">
      <c r="A257" s="4" t="s">
        <v>28</v>
      </c>
      <c r="B257" s="4" t="s">
        <v>39</v>
      </c>
      <c r="C257" s="4" t="s">
        <v>41</v>
      </c>
      <c r="D257" s="4" t="s">
        <v>42</v>
      </c>
      <c r="E257" s="4" t="s">
        <v>25</v>
      </c>
      <c r="F257" s="4" t="s">
        <v>25</v>
      </c>
      <c r="G257" s="4" t="s">
        <v>25</v>
      </c>
      <c r="H257" s="4" t="s">
        <v>34</v>
      </c>
      <c r="I257" s="5">
        <v>44501</v>
      </c>
      <c r="J257" s="6">
        <v>0</v>
      </c>
      <c r="K257" s="6">
        <v>0</v>
      </c>
      <c r="L257" s="6">
        <v>2.8340000000000001</v>
      </c>
      <c r="M257" s="6">
        <v>2.8340000000000001</v>
      </c>
      <c r="N257" s="6">
        <v>2.8340000000000001</v>
      </c>
      <c r="O257" s="6">
        <v>2.8340000000000001</v>
      </c>
      <c r="P257" s="6">
        <v>0</v>
      </c>
      <c r="Q257" s="4" t="s">
        <v>26</v>
      </c>
      <c r="R257" s="4">
        <v>0</v>
      </c>
      <c r="S257" s="4" t="s">
        <v>217</v>
      </c>
      <c r="T257" s="4" t="s">
        <v>446</v>
      </c>
      <c r="U257" s="4">
        <v>0</v>
      </c>
      <c r="V257" s="4">
        <v>8</v>
      </c>
      <c r="W257" s="4">
        <v>38</v>
      </c>
    </row>
    <row r="258" spans="1:23" ht="11.25" customHeight="1" x14ac:dyDescent="0.3">
      <c r="A258" s="4" t="s">
        <v>21</v>
      </c>
      <c r="B258" s="4" t="s">
        <v>39</v>
      </c>
      <c r="C258" s="4" t="s">
        <v>41</v>
      </c>
      <c r="D258" s="4" t="s">
        <v>42</v>
      </c>
      <c r="E258" s="4" t="s">
        <v>25</v>
      </c>
      <c r="F258" s="4" t="s">
        <v>25</v>
      </c>
      <c r="G258" s="4" t="s">
        <v>25</v>
      </c>
      <c r="H258" s="4" t="s">
        <v>34</v>
      </c>
      <c r="I258" s="5">
        <v>44531</v>
      </c>
      <c r="J258" s="6">
        <v>0</v>
      </c>
      <c r="K258" s="6">
        <v>0</v>
      </c>
      <c r="L258" s="6">
        <v>127.17</v>
      </c>
      <c r="M258" s="6">
        <v>127.17</v>
      </c>
      <c r="N258" s="6">
        <v>127.17</v>
      </c>
      <c r="O258" s="6">
        <v>127.17</v>
      </c>
      <c r="P258" s="6">
        <v>0</v>
      </c>
      <c r="Q258" s="4" t="s">
        <v>26</v>
      </c>
      <c r="R258" s="4">
        <v>0</v>
      </c>
      <c r="S258" s="4" t="s">
        <v>218</v>
      </c>
      <c r="T258" s="4" t="s">
        <v>447</v>
      </c>
      <c r="U258" s="4">
        <v>0</v>
      </c>
      <c r="V258" s="4">
        <v>8</v>
      </c>
      <c r="W258" s="4">
        <v>38</v>
      </c>
    </row>
    <row r="259" spans="1:23" ht="11.25" customHeight="1" x14ac:dyDescent="0.3">
      <c r="A259" s="4" t="s">
        <v>28</v>
      </c>
      <c r="B259" s="4" t="s">
        <v>39</v>
      </c>
      <c r="C259" s="4" t="s">
        <v>41</v>
      </c>
      <c r="D259" s="4" t="s">
        <v>42</v>
      </c>
      <c r="E259" s="4" t="s">
        <v>25</v>
      </c>
      <c r="F259" s="4" t="s">
        <v>25</v>
      </c>
      <c r="G259" s="4" t="s">
        <v>25</v>
      </c>
      <c r="H259" s="4" t="s">
        <v>34</v>
      </c>
      <c r="I259" s="5">
        <v>44531</v>
      </c>
      <c r="J259" s="6">
        <v>0</v>
      </c>
      <c r="K259" s="6">
        <v>0</v>
      </c>
      <c r="L259" s="6">
        <v>2.5609999999999999</v>
      </c>
      <c r="M259" s="6">
        <v>2.5609999999999999</v>
      </c>
      <c r="N259" s="6">
        <v>2.5609999999999999</v>
      </c>
      <c r="O259" s="6">
        <v>2.5609999999999999</v>
      </c>
      <c r="P259" s="6">
        <v>0</v>
      </c>
      <c r="Q259" s="4" t="s">
        <v>26</v>
      </c>
      <c r="R259" s="4">
        <v>0</v>
      </c>
      <c r="S259" s="4" t="s">
        <v>218</v>
      </c>
      <c r="T259" s="4" t="s">
        <v>447</v>
      </c>
      <c r="U259" s="4">
        <v>0</v>
      </c>
      <c r="V259" s="4">
        <v>8</v>
      </c>
      <c r="W259" s="4">
        <v>38</v>
      </c>
    </row>
    <row r="260" spans="1:23" ht="11.25" customHeight="1" x14ac:dyDescent="0.3">
      <c r="A260" s="4" t="s">
        <v>21</v>
      </c>
      <c r="B260" s="4" t="s">
        <v>39</v>
      </c>
      <c r="C260" s="4" t="s">
        <v>41</v>
      </c>
      <c r="D260" s="4" t="s">
        <v>42</v>
      </c>
      <c r="E260" s="4" t="s">
        <v>25</v>
      </c>
      <c r="F260" s="4" t="s">
        <v>25</v>
      </c>
      <c r="G260" s="4" t="s">
        <v>25</v>
      </c>
      <c r="H260" s="4" t="s">
        <v>34</v>
      </c>
      <c r="I260" s="5">
        <v>44562</v>
      </c>
      <c r="J260" s="6">
        <v>0</v>
      </c>
      <c r="K260" s="6">
        <v>0</v>
      </c>
      <c r="L260" s="6">
        <v>131.60499999999999</v>
      </c>
      <c r="M260" s="6">
        <v>131.60499999999999</v>
      </c>
      <c r="N260" s="6">
        <v>131.60499999999999</v>
      </c>
      <c r="O260" s="6">
        <v>131.60499999999999</v>
      </c>
      <c r="P260" s="6">
        <v>0</v>
      </c>
      <c r="Q260" s="4" t="s">
        <v>26</v>
      </c>
      <c r="R260" s="4">
        <v>0</v>
      </c>
      <c r="S260" s="4" t="s">
        <v>219</v>
      </c>
      <c r="T260" s="4" t="s">
        <v>448</v>
      </c>
      <c r="U260" s="4">
        <v>0</v>
      </c>
      <c r="V260" s="4">
        <v>8</v>
      </c>
      <c r="W260" s="4">
        <v>38</v>
      </c>
    </row>
    <row r="261" spans="1:23" ht="11.25" customHeight="1" x14ac:dyDescent="0.3">
      <c r="A261" s="4" t="s">
        <v>28</v>
      </c>
      <c r="B261" s="4" t="s">
        <v>39</v>
      </c>
      <c r="C261" s="4" t="s">
        <v>41</v>
      </c>
      <c r="D261" s="4" t="s">
        <v>42</v>
      </c>
      <c r="E261" s="4" t="s">
        <v>25</v>
      </c>
      <c r="F261" s="4" t="s">
        <v>25</v>
      </c>
      <c r="G261" s="4" t="s">
        <v>25</v>
      </c>
      <c r="H261" s="4" t="s">
        <v>34</v>
      </c>
      <c r="I261" s="5">
        <v>44562</v>
      </c>
      <c r="J261" s="6">
        <v>0</v>
      </c>
      <c r="K261" s="6">
        <v>0</v>
      </c>
      <c r="L261" s="6">
        <v>3.1579999999999999</v>
      </c>
      <c r="M261" s="6">
        <v>3.1579999999999999</v>
      </c>
      <c r="N261" s="6">
        <v>3.1579999999999999</v>
      </c>
      <c r="O261" s="6">
        <v>3.1579999999999999</v>
      </c>
      <c r="P261" s="6">
        <v>0</v>
      </c>
      <c r="Q261" s="4" t="s">
        <v>26</v>
      </c>
      <c r="R261" s="4">
        <v>0</v>
      </c>
      <c r="S261" s="4" t="s">
        <v>219</v>
      </c>
      <c r="T261" s="4" t="s">
        <v>448</v>
      </c>
      <c r="U261" s="4">
        <v>0</v>
      </c>
      <c r="V261" s="4">
        <v>8</v>
      </c>
      <c r="W261" s="4">
        <v>38</v>
      </c>
    </row>
    <row r="262" spans="1:23" ht="11.25" customHeight="1" x14ac:dyDescent="0.3">
      <c r="A262" s="4" t="s">
        <v>21</v>
      </c>
      <c r="B262" s="4" t="s">
        <v>39</v>
      </c>
      <c r="C262" s="4" t="s">
        <v>41</v>
      </c>
      <c r="D262" s="4" t="s">
        <v>42</v>
      </c>
      <c r="E262" s="4" t="s">
        <v>25</v>
      </c>
      <c r="F262" s="4" t="s">
        <v>25</v>
      </c>
      <c r="G262" s="4" t="s">
        <v>25</v>
      </c>
      <c r="H262" s="4" t="s">
        <v>34</v>
      </c>
      <c r="I262" s="5">
        <v>44593</v>
      </c>
      <c r="J262" s="6">
        <v>0</v>
      </c>
      <c r="K262" s="6">
        <v>0</v>
      </c>
      <c r="L262" s="6">
        <v>125.58199999999999</v>
      </c>
      <c r="M262" s="6">
        <v>125.58199999999999</v>
      </c>
      <c r="N262" s="6">
        <v>125.58199999999999</v>
      </c>
      <c r="O262" s="6">
        <v>125.58199999999999</v>
      </c>
      <c r="P262" s="6">
        <v>0</v>
      </c>
      <c r="Q262" s="4" t="s">
        <v>26</v>
      </c>
      <c r="R262" s="4">
        <v>0</v>
      </c>
      <c r="S262" s="4" t="s">
        <v>220</v>
      </c>
      <c r="T262" s="4" t="s">
        <v>449</v>
      </c>
      <c r="U262" s="4">
        <v>0</v>
      </c>
      <c r="V262" s="4">
        <v>8</v>
      </c>
      <c r="W262" s="4">
        <v>38</v>
      </c>
    </row>
    <row r="263" spans="1:23" ht="11.25" customHeight="1" x14ac:dyDescent="0.3">
      <c r="A263" s="4" t="s">
        <v>27</v>
      </c>
      <c r="B263" s="4" t="s">
        <v>39</v>
      </c>
      <c r="C263" s="4" t="s">
        <v>41</v>
      </c>
      <c r="D263" s="4" t="s">
        <v>42</v>
      </c>
      <c r="E263" s="4" t="s">
        <v>25</v>
      </c>
      <c r="F263" s="4" t="s">
        <v>25</v>
      </c>
      <c r="G263" s="4" t="s">
        <v>25</v>
      </c>
      <c r="H263" s="4" t="s">
        <v>34</v>
      </c>
      <c r="I263" s="5">
        <v>44593</v>
      </c>
      <c r="J263" s="6">
        <v>0</v>
      </c>
      <c r="K263" s="6">
        <v>0</v>
      </c>
      <c r="L263" s="6">
        <v>-0.183</v>
      </c>
      <c r="M263" s="6">
        <v>-0.183</v>
      </c>
      <c r="N263" s="6">
        <v>-0.183</v>
      </c>
      <c r="O263" s="6">
        <v>-0.183</v>
      </c>
      <c r="P263" s="6">
        <v>0</v>
      </c>
      <c r="Q263" s="4" t="s">
        <v>26</v>
      </c>
      <c r="R263" s="4">
        <v>0</v>
      </c>
      <c r="S263" s="4" t="s">
        <v>220</v>
      </c>
      <c r="T263" s="4" t="s">
        <v>449</v>
      </c>
      <c r="U263" s="4">
        <v>0</v>
      </c>
      <c r="V263" s="4">
        <v>8</v>
      </c>
      <c r="W263" s="4">
        <v>38</v>
      </c>
    </row>
    <row r="264" spans="1:23" ht="11.25" customHeight="1" x14ac:dyDescent="0.3">
      <c r="A264" s="4" t="s">
        <v>28</v>
      </c>
      <c r="B264" s="4" t="s">
        <v>39</v>
      </c>
      <c r="C264" s="4" t="s">
        <v>41</v>
      </c>
      <c r="D264" s="4" t="s">
        <v>42</v>
      </c>
      <c r="E264" s="4" t="s">
        <v>25</v>
      </c>
      <c r="F264" s="4" t="s">
        <v>25</v>
      </c>
      <c r="G264" s="4" t="s">
        <v>25</v>
      </c>
      <c r="H264" s="4" t="s">
        <v>34</v>
      </c>
      <c r="I264" s="5">
        <v>44593</v>
      </c>
      <c r="J264" s="6">
        <v>0</v>
      </c>
      <c r="K264" s="6">
        <v>0</v>
      </c>
      <c r="L264" s="6">
        <v>2.9790000000000001</v>
      </c>
      <c r="M264" s="6">
        <v>2.9790000000000001</v>
      </c>
      <c r="N264" s="6">
        <v>2.9790000000000001</v>
      </c>
      <c r="O264" s="6">
        <v>2.9790000000000001</v>
      </c>
      <c r="P264" s="6">
        <v>0</v>
      </c>
      <c r="Q264" s="4" t="s">
        <v>26</v>
      </c>
      <c r="R264" s="4">
        <v>0</v>
      </c>
      <c r="S264" s="4" t="s">
        <v>220</v>
      </c>
      <c r="T264" s="4" t="s">
        <v>449</v>
      </c>
      <c r="U264" s="4">
        <v>0</v>
      </c>
      <c r="V264" s="4">
        <v>8</v>
      </c>
      <c r="W264" s="4">
        <v>38</v>
      </c>
    </row>
    <row r="265" spans="1:23" ht="11.25" customHeight="1" x14ac:dyDescent="0.3">
      <c r="A265" s="4" t="s">
        <v>21</v>
      </c>
      <c r="B265" s="4" t="s">
        <v>39</v>
      </c>
      <c r="C265" s="4" t="s">
        <v>41</v>
      </c>
      <c r="D265" s="4" t="s">
        <v>42</v>
      </c>
      <c r="E265" s="4" t="s">
        <v>25</v>
      </c>
      <c r="F265" s="4" t="s">
        <v>25</v>
      </c>
      <c r="G265" s="4" t="s">
        <v>25</v>
      </c>
      <c r="H265" s="4" t="s">
        <v>34</v>
      </c>
      <c r="I265" s="5">
        <v>44621</v>
      </c>
      <c r="J265" s="6">
        <v>0</v>
      </c>
      <c r="K265" s="6">
        <v>0</v>
      </c>
      <c r="L265" s="6">
        <v>104.45</v>
      </c>
      <c r="M265" s="6">
        <v>104.45</v>
      </c>
      <c r="N265" s="6">
        <v>104.45</v>
      </c>
      <c r="O265" s="6">
        <v>104.45</v>
      </c>
      <c r="P265" s="6">
        <v>0</v>
      </c>
      <c r="Q265" s="4" t="s">
        <v>26</v>
      </c>
      <c r="R265" s="4">
        <v>0</v>
      </c>
      <c r="S265" s="4" t="s">
        <v>221</v>
      </c>
      <c r="T265" s="4" t="s">
        <v>450</v>
      </c>
      <c r="U265" s="4">
        <v>0</v>
      </c>
      <c r="V265" s="4">
        <v>8</v>
      </c>
      <c r="W265" s="4">
        <v>38</v>
      </c>
    </row>
    <row r="266" spans="1:23" ht="11.25" customHeight="1" x14ac:dyDescent="0.3">
      <c r="A266" s="4" t="s">
        <v>28</v>
      </c>
      <c r="B266" s="4" t="s">
        <v>39</v>
      </c>
      <c r="C266" s="4" t="s">
        <v>41</v>
      </c>
      <c r="D266" s="4" t="s">
        <v>42</v>
      </c>
      <c r="E266" s="4" t="s">
        <v>25</v>
      </c>
      <c r="F266" s="4" t="s">
        <v>25</v>
      </c>
      <c r="G266" s="4" t="s">
        <v>25</v>
      </c>
      <c r="H266" s="4" t="s">
        <v>34</v>
      </c>
      <c r="I266" s="5">
        <v>44621</v>
      </c>
      <c r="J266" s="6">
        <v>0</v>
      </c>
      <c r="K266" s="6">
        <v>0</v>
      </c>
      <c r="L266" s="6">
        <v>2.8170000000000002</v>
      </c>
      <c r="M266" s="6">
        <v>2.8170000000000002</v>
      </c>
      <c r="N266" s="6">
        <v>2.8170000000000002</v>
      </c>
      <c r="O266" s="6">
        <v>2.8170000000000002</v>
      </c>
      <c r="P266" s="6">
        <v>0</v>
      </c>
      <c r="Q266" s="4" t="s">
        <v>26</v>
      </c>
      <c r="R266" s="4">
        <v>0</v>
      </c>
      <c r="S266" s="4" t="s">
        <v>221</v>
      </c>
      <c r="T266" s="4" t="s">
        <v>450</v>
      </c>
      <c r="U266" s="4">
        <v>0</v>
      </c>
      <c r="V266" s="4">
        <v>8</v>
      </c>
      <c r="W266" s="4">
        <v>38</v>
      </c>
    </row>
    <row r="267" spans="1:23" ht="11.25" customHeight="1" x14ac:dyDescent="0.3">
      <c r="A267" s="4" t="s">
        <v>21</v>
      </c>
      <c r="B267" s="4" t="s">
        <v>39</v>
      </c>
      <c r="C267" s="4" t="s">
        <v>41</v>
      </c>
      <c r="D267" s="4" t="s">
        <v>42</v>
      </c>
      <c r="E267" s="4" t="s">
        <v>25</v>
      </c>
      <c r="F267" s="4" t="s">
        <v>25</v>
      </c>
      <c r="G267" s="4" t="s">
        <v>25</v>
      </c>
      <c r="H267" s="4" t="s">
        <v>34</v>
      </c>
      <c r="I267" s="5">
        <v>44652</v>
      </c>
      <c r="J267" s="6">
        <v>0</v>
      </c>
      <c r="K267" s="6">
        <v>0</v>
      </c>
      <c r="L267" s="6">
        <v>95.438999999999993</v>
      </c>
      <c r="M267" s="6">
        <v>95.438999999999993</v>
      </c>
      <c r="N267" s="6">
        <v>95.438999999999993</v>
      </c>
      <c r="O267" s="6">
        <v>95.438999999999993</v>
      </c>
      <c r="P267" s="6">
        <v>0</v>
      </c>
      <c r="Q267" s="4" t="s">
        <v>26</v>
      </c>
      <c r="R267" s="4">
        <v>0</v>
      </c>
      <c r="S267" s="4" t="s">
        <v>222</v>
      </c>
      <c r="T267" s="4" t="s">
        <v>451</v>
      </c>
      <c r="U267" s="4">
        <v>0</v>
      </c>
      <c r="V267" s="4">
        <v>8</v>
      </c>
      <c r="W267" s="4">
        <v>38</v>
      </c>
    </row>
    <row r="268" spans="1:23" ht="11.25" customHeight="1" x14ac:dyDescent="0.3">
      <c r="A268" s="4" t="s">
        <v>28</v>
      </c>
      <c r="B268" s="4" t="s">
        <v>39</v>
      </c>
      <c r="C268" s="4" t="s">
        <v>41</v>
      </c>
      <c r="D268" s="4" t="s">
        <v>42</v>
      </c>
      <c r="E268" s="4" t="s">
        <v>25</v>
      </c>
      <c r="F268" s="4" t="s">
        <v>25</v>
      </c>
      <c r="G268" s="4" t="s">
        <v>25</v>
      </c>
      <c r="H268" s="4" t="s">
        <v>34</v>
      </c>
      <c r="I268" s="5">
        <v>44652</v>
      </c>
      <c r="J268" s="6">
        <v>0</v>
      </c>
      <c r="K268" s="6">
        <v>0</v>
      </c>
      <c r="L268" s="6">
        <v>3.2559999999999998</v>
      </c>
      <c r="M268" s="6">
        <v>3.2559999999999998</v>
      </c>
      <c r="N268" s="6">
        <v>3.2559999999999998</v>
      </c>
      <c r="O268" s="6">
        <v>3.2559999999999998</v>
      </c>
      <c r="P268" s="6">
        <v>0</v>
      </c>
      <c r="Q268" s="4" t="s">
        <v>26</v>
      </c>
      <c r="R268" s="4">
        <v>0</v>
      </c>
      <c r="S268" s="4" t="s">
        <v>222</v>
      </c>
      <c r="T268" s="4" t="s">
        <v>451</v>
      </c>
      <c r="U268" s="4">
        <v>0</v>
      </c>
      <c r="V268" s="4">
        <v>8</v>
      </c>
      <c r="W268" s="4">
        <v>38</v>
      </c>
    </row>
    <row r="269" spans="1:23" ht="11.25" customHeight="1" x14ac:dyDescent="0.3">
      <c r="A269" s="4" t="s">
        <v>21</v>
      </c>
      <c r="B269" s="4" t="s">
        <v>39</v>
      </c>
      <c r="C269" s="4" t="s">
        <v>41</v>
      </c>
      <c r="D269" s="4" t="s">
        <v>42</v>
      </c>
      <c r="E269" s="4" t="s">
        <v>25</v>
      </c>
      <c r="F269" s="4" t="s">
        <v>25</v>
      </c>
      <c r="G269" s="4" t="s">
        <v>25</v>
      </c>
      <c r="H269" s="4" t="s">
        <v>34</v>
      </c>
      <c r="I269" s="5">
        <v>44682</v>
      </c>
      <c r="J269" s="6">
        <v>0</v>
      </c>
      <c r="K269" s="6">
        <v>0</v>
      </c>
      <c r="L269" s="6">
        <v>81.887</v>
      </c>
      <c r="M269" s="6">
        <v>81.887</v>
      </c>
      <c r="N269" s="6">
        <v>81.887</v>
      </c>
      <c r="O269" s="6">
        <v>81.887</v>
      </c>
      <c r="P269" s="6">
        <v>0</v>
      </c>
      <c r="Q269" s="4" t="s">
        <v>26</v>
      </c>
      <c r="R269" s="4">
        <v>0</v>
      </c>
      <c r="S269" s="4" t="s">
        <v>223</v>
      </c>
      <c r="T269" s="4" t="s">
        <v>452</v>
      </c>
      <c r="U269" s="4">
        <v>0</v>
      </c>
      <c r="V269" s="4">
        <v>8</v>
      </c>
      <c r="W269" s="4">
        <v>38</v>
      </c>
    </row>
    <row r="270" spans="1:23" ht="11.25" customHeight="1" x14ac:dyDescent="0.3">
      <c r="A270" s="4" t="s">
        <v>28</v>
      </c>
      <c r="B270" s="4" t="s">
        <v>39</v>
      </c>
      <c r="C270" s="4" t="s">
        <v>41</v>
      </c>
      <c r="D270" s="4" t="s">
        <v>42</v>
      </c>
      <c r="E270" s="4" t="s">
        <v>25</v>
      </c>
      <c r="F270" s="4" t="s">
        <v>25</v>
      </c>
      <c r="G270" s="4" t="s">
        <v>25</v>
      </c>
      <c r="H270" s="4" t="s">
        <v>34</v>
      </c>
      <c r="I270" s="5">
        <v>44682</v>
      </c>
      <c r="J270" s="6">
        <v>0</v>
      </c>
      <c r="K270" s="6">
        <v>0</v>
      </c>
      <c r="L270" s="6">
        <v>2.8359999999999999</v>
      </c>
      <c r="M270" s="6">
        <v>2.8359999999999999</v>
      </c>
      <c r="N270" s="6">
        <v>2.8359999999999999</v>
      </c>
      <c r="O270" s="6">
        <v>2.8359999999999999</v>
      </c>
      <c r="P270" s="6">
        <v>0</v>
      </c>
      <c r="Q270" s="4" t="s">
        <v>26</v>
      </c>
      <c r="R270" s="4">
        <v>0</v>
      </c>
      <c r="S270" s="4" t="s">
        <v>223</v>
      </c>
      <c r="T270" s="4" t="s">
        <v>452</v>
      </c>
      <c r="U270" s="4">
        <v>0</v>
      </c>
      <c r="V270" s="4">
        <v>8</v>
      </c>
      <c r="W270" s="4">
        <v>38</v>
      </c>
    </row>
    <row r="271" spans="1:23" ht="11.25" customHeight="1" x14ac:dyDescent="0.3">
      <c r="A271" s="4" t="s">
        <v>21</v>
      </c>
      <c r="B271" s="4" t="s">
        <v>39</v>
      </c>
      <c r="C271" s="4" t="s">
        <v>41</v>
      </c>
      <c r="D271" s="4" t="s">
        <v>42</v>
      </c>
      <c r="E271" s="4" t="s">
        <v>25</v>
      </c>
      <c r="F271" s="4" t="s">
        <v>25</v>
      </c>
      <c r="G271" s="4" t="s">
        <v>25</v>
      </c>
      <c r="H271" s="4" t="s">
        <v>34</v>
      </c>
      <c r="I271" s="5">
        <v>44713</v>
      </c>
      <c r="J271" s="6">
        <v>0</v>
      </c>
      <c r="K271" s="6">
        <v>0</v>
      </c>
      <c r="L271" s="6">
        <v>85.778999999999996</v>
      </c>
      <c r="M271" s="6">
        <v>85.778999999999996</v>
      </c>
      <c r="N271" s="6">
        <v>85.778999999999996</v>
      </c>
      <c r="O271" s="6">
        <v>85.778999999999996</v>
      </c>
      <c r="P271" s="6">
        <v>0</v>
      </c>
      <c r="Q271" s="4" t="s">
        <v>26</v>
      </c>
      <c r="R271" s="4">
        <v>0</v>
      </c>
      <c r="S271" s="4" t="s">
        <v>224</v>
      </c>
      <c r="T271" s="4" t="s">
        <v>453</v>
      </c>
      <c r="U271" s="4">
        <v>0</v>
      </c>
      <c r="V271" s="4">
        <v>8</v>
      </c>
      <c r="W271" s="4">
        <v>38</v>
      </c>
    </row>
    <row r="272" spans="1:23" ht="11.25" customHeight="1" x14ac:dyDescent="0.3">
      <c r="A272" s="4" t="s">
        <v>28</v>
      </c>
      <c r="B272" s="4" t="s">
        <v>39</v>
      </c>
      <c r="C272" s="4" t="s">
        <v>41</v>
      </c>
      <c r="D272" s="4" t="s">
        <v>42</v>
      </c>
      <c r="E272" s="4" t="s">
        <v>25</v>
      </c>
      <c r="F272" s="4" t="s">
        <v>25</v>
      </c>
      <c r="G272" s="4" t="s">
        <v>25</v>
      </c>
      <c r="H272" s="4" t="s">
        <v>34</v>
      </c>
      <c r="I272" s="5">
        <v>44713</v>
      </c>
      <c r="J272" s="6">
        <v>0</v>
      </c>
      <c r="K272" s="6">
        <v>0</v>
      </c>
      <c r="L272" s="6">
        <v>2.7690000000000001</v>
      </c>
      <c r="M272" s="6">
        <v>2.7690000000000001</v>
      </c>
      <c r="N272" s="6">
        <v>2.7690000000000001</v>
      </c>
      <c r="O272" s="6">
        <v>2.7690000000000001</v>
      </c>
      <c r="P272" s="6">
        <v>0</v>
      </c>
      <c r="Q272" s="4" t="s">
        <v>26</v>
      </c>
      <c r="R272" s="4">
        <v>0</v>
      </c>
      <c r="S272" s="4" t="s">
        <v>224</v>
      </c>
      <c r="T272" s="4" t="s">
        <v>453</v>
      </c>
      <c r="U272" s="4">
        <v>0</v>
      </c>
      <c r="V272" s="4">
        <v>8</v>
      </c>
      <c r="W272" s="4">
        <v>38</v>
      </c>
    </row>
    <row r="273" spans="1:23" ht="11.25" customHeight="1" x14ac:dyDescent="0.3">
      <c r="A273" s="4" t="s">
        <v>21</v>
      </c>
      <c r="B273" s="4" t="s">
        <v>39</v>
      </c>
      <c r="C273" s="4" t="s">
        <v>41</v>
      </c>
      <c r="D273" s="4" t="s">
        <v>42</v>
      </c>
      <c r="E273" s="4" t="s">
        <v>25</v>
      </c>
      <c r="F273" s="4" t="s">
        <v>25</v>
      </c>
      <c r="G273" s="4" t="s">
        <v>25</v>
      </c>
      <c r="H273" s="4" t="s">
        <v>34</v>
      </c>
      <c r="I273" s="5">
        <v>44743</v>
      </c>
      <c r="J273" s="6">
        <v>0</v>
      </c>
      <c r="K273" s="6">
        <v>0</v>
      </c>
      <c r="L273" s="6">
        <v>81.951999999999998</v>
      </c>
      <c r="M273" s="6">
        <v>81.951999999999998</v>
      </c>
      <c r="N273" s="6">
        <v>81.951999999999998</v>
      </c>
      <c r="O273" s="6">
        <v>81.951999999999998</v>
      </c>
      <c r="P273" s="6">
        <v>0</v>
      </c>
      <c r="Q273" s="4" t="s">
        <v>26</v>
      </c>
      <c r="R273" s="4">
        <v>0</v>
      </c>
      <c r="S273" s="4" t="s">
        <v>225</v>
      </c>
      <c r="T273" s="4" t="s">
        <v>454</v>
      </c>
      <c r="U273" s="4">
        <v>0</v>
      </c>
      <c r="V273" s="4">
        <v>8</v>
      </c>
      <c r="W273" s="4">
        <v>38</v>
      </c>
    </row>
    <row r="274" spans="1:23" ht="11.25" customHeight="1" x14ac:dyDescent="0.3">
      <c r="A274" s="4" t="s">
        <v>21</v>
      </c>
      <c r="B274" s="4" t="s">
        <v>39</v>
      </c>
      <c r="C274" s="4" t="s">
        <v>41</v>
      </c>
      <c r="D274" s="4" t="s">
        <v>42</v>
      </c>
      <c r="E274" s="4" t="s">
        <v>25</v>
      </c>
      <c r="F274" s="4" t="s">
        <v>25</v>
      </c>
      <c r="G274" s="4" t="s">
        <v>25</v>
      </c>
      <c r="H274" s="4" t="s">
        <v>34</v>
      </c>
      <c r="I274" s="5">
        <v>44774</v>
      </c>
      <c r="J274" s="6">
        <v>0</v>
      </c>
      <c r="K274" s="6">
        <v>0</v>
      </c>
      <c r="L274" s="6">
        <v>84.757999999999996</v>
      </c>
      <c r="M274" s="6">
        <v>84.757999999999996</v>
      </c>
      <c r="N274" s="6">
        <v>84.757999999999996</v>
      </c>
      <c r="O274" s="6">
        <v>84.757999999999996</v>
      </c>
      <c r="P274" s="6">
        <v>0</v>
      </c>
      <c r="Q274" s="4" t="s">
        <v>26</v>
      </c>
      <c r="R274" s="4">
        <v>0</v>
      </c>
      <c r="S274" s="4" t="s">
        <v>226</v>
      </c>
      <c r="T274" s="4" t="s">
        <v>455</v>
      </c>
      <c r="U274" s="4">
        <v>0</v>
      </c>
      <c r="V274" s="4">
        <v>8</v>
      </c>
      <c r="W274" s="4">
        <v>38</v>
      </c>
    </row>
    <row r="275" spans="1:23" ht="11.25" customHeight="1" x14ac:dyDescent="0.3">
      <c r="A275" s="4" t="s">
        <v>28</v>
      </c>
      <c r="B275" s="4" t="s">
        <v>39</v>
      </c>
      <c r="C275" s="4" t="s">
        <v>41</v>
      </c>
      <c r="D275" s="4" t="s">
        <v>42</v>
      </c>
      <c r="E275" s="4" t="s">
        <v>25</v>
      </c>
      <c r="F275" s="4" t="s">
        <v>25</v>
      </c>
      <c r="G275" s="4" t="s">
        <v>25</v>
      </c>
      <c r="H275" s="4" t="s">
        <v>34</v>
      </c>
      <c r="I275" s="5">
        <v>44774</v>
      </c>
      <c r="J275" s="6">
        <v>0</v>
      </c>
      <c r="K275" s="6">
        <v>0</v>
      </c>
      <c r="L275" s="6">
        <v>2.94</v>
      </c>
      <c r="M275" s="6">
        <v>2.94</v>
      </c>
      <c r="N275" s="6">
        <v>2.94</v>
      </c>
      <c r="O275" s="6">
        <v>2.94</v>
      </c>
      <c r="P275" s="6">
        <v>0</v>
      </c>
      <c r="Q275" s="4" t="s">
        <v>26</v>
      </c>
      <c r="R275" s="4">
        <v>0</v>
      </c>
      <c r="S275" s="4" t="s">
        <v>226</v>
      </c>
      <c r="T275" s="4" t="s">
        <v>455</v>
      </c>
      <c r="U275" s="4">
        <v>0</v>
      </c>
      <c r="V275" s="4">
        <v>8</v>
      </c>
      <c r="W275" s="4">
        <v>38</v>
      </c>
    </row>
    <row r="276" spans="1:23" ht="11.25" customHeight="1" x14ac:dyDescent="0.3">
      <c r="A276" s="4" t="s">
        <v>21</v>
      </c>
      <c r="B276" s="4" t="s">
        <v>39</v>
      </c>
      <c r="C276" s="4" t="s">
        <v>41</v>
      </c>
      <c r="D276" s="4" t="s">
        <v>42</v>
      </c>
      <c r="E276" s="4" t="s">
        <v>25</v>
      </c>
      <c r="F276" s="4" t="s">
        <v>25</v>
      </c>
      <c r="G276" s="4" t="s">
        <v>25</v>
      </c>
      <c r="H276" s="4" t="s">
        <v>34</v>
      </c>
      <c r="I276" s="5">
        <v>44805</v>
      </c>
      <c r="J276" s="6">
        <v>0</v>
      </c>
      <c r="K276" s="6">
        <v>0</v>
      </c>
      <c r="L276" s="6">
        <v>83.126999999999995</v>
      </c>
      <c r="M276" s="6">
        <v>83.126999999999995</v>
      </c>
      <c r="N276" s="6">
        <v>83.126999999999995</v>
      </c>
      <c r="O276" s="6">
        <v>83.126999999999995</v>
      </c>
      <c r="P276" s="6">
        <v>0</v>
      </c>
      <c r="Q276" s="4" t="s">
        <v>26</v>
      </c>
      <c r="R276" s="4">
        <v>0</v>
      </c>
      <c r="S276" s="4" t="s">
        <v>227</v>
      </c>
      <c r="T276" s="4" t="s">
        <v>456</v>
      </c>
      <c r="U276" s="4">
        <v>0</v>
      </c>
      <c r="V276" s="4">
        <v>8</v>
      </c>
      <c r="W276" s="4">
        <v>38</v>
      </c>
    </row>
    <row r="277" spans="1:23" ht="11.25" customHeight="1" x14ac:dyDescent="0.3">
      <c r="A277" s="4" t="s">
        <v>27</v>
      </c>
      <c r="B277" s="4" t="s">
        <v>39</v>
      </c>
      <c r="C277" s="4" t="s">
        <v>41</v>
      </c>
      <c r="D277" s="4" t="s">
        <v>42</v>
      </c>
      <c r="E277" s="4" t="s">
        <v>25</v>
      </c>
      <c r="F277" s="4" t="s">
        <v>25</v>
      </c>
      <c r="G277" s="4" t="s">
        <v>25</v>
      </c>
      <c r="H277" s="4" t="s">
        <v>34</v>
      </c>
      <c r="I277" s="5">
        <v>44805</v>
      </c>
      <c r="J277" s="6">
        <v>0</v>
      </c>
      <c r="K277" s="6">
        <v>0</v>
      </c>
      <c r="L277" s="6">
        <v>-0.36899999999999999</v>
      </c>
      <c r="M277" s="6">
        <v>-0.36899999999999999</v>
      </c>
      <c r="N277" s="6">
        <v>-0.36899999999999999</v>
      </c>
      <c r="O277" s="6">
        <v>-0.36899999999999999</v>
      </c>
      <c r="P277" s="6">
        <v>0</v>
      </c>
      <c r="Q277" s="4" t="s">
        <v>26</v>
      </c>
      <c r="R277" s="4">
        <v>0</v>
      </c>
      <c r="S277" s="4" t="s">
        <v>227</v>
      </c>
      <c r="T277" s="4" t="s">
        <v>456</v>
      </c>
      <c r="U277" s="4">
        <v>0</v>
      </c>
      <c r="V277" s="4">
        <v>8</v>
      </c>
      <c r="W277" s="4">
        <v>38</v>
      </c>
    </row>
    <row r="278" spans="1:23" ht="11.25" customHeight="1" x14ac:dyDescent="0.3">
      <c r="A278" s="4" t="s">
        <v>28</v>
      </c>
      <c r="B278" s="4" t="s">
        <v>39</v>
      </c>
      <c r="C278" s="4" t="s">
        <v>41</v>
      </c>
      <c r="D278" s="4" t="s">
        <v>42</v>
      </c>
      <c r="E278" s="4" t="s">
        <v>25</v>
      </c>
      <c r="F278" s="4" t="s">
        <v>25</v>
      </c>
      <c r="G278" s="4" t="s">
        <v>25</v>
      </c>
      <c r="H278" s="4" t="s">
        <v>34</v>
      </c>
      <c r="I278" s="5">
        <v>44805</v>
      </c>
      <c r="J278" s="6">
        <v>0</v>
      </c>
      <c r="K278" s="6">
        <v>0</v>
      </c>
      <c r="L278" s="6">
        <v>3.1859999999999999</v>
      </c>
      <c r="M278" s="6">
        <v>3.1859999999999999</v>
      </c>
      <c r="N278" s="6">
        <v>3.1859999999999999</v>
      </c>
      <c r="O278" s="6">
        <v>3.1859999999999999</v>
      </c>
      <c r="P278" s="6">
        <v>0</v>
      </c>
      <c r="Q278" s="4" t="s">
        <v>26</v>
      </c>
      <c r="R278" s="4">
        <v>0</v>
      </c>
      <c r="S278" s="4" t="s">
        <v>227</v>
      </c>
      <c r="T278" s="4" t="s">
        <v>456</v>
      </c>
      <c r="U278" s="4">
        <v>0</v>
      </c>
      <c r="V278" s="4">
        <v>8</v>
      </c>
      <c r="W278" s="4">
        <v>38</v>
      </c>
    </row>
    <row r="279" spans="1:23" ht="11.25" customHeight="1" x14ac:dyDescent="0.3">
      <c r="A279" s="4" t="s">
        <v>53</v>
      </c>
      <c r="B279" s="4" t="s">
        <v>39</v>
      </c>
      <c r="C279" s="4" t="s">
        <v>41</v>
      </c>
      <c r="D279" s="4" t="s">
        <v>42</v>
      </c>
      <c r="E279" s="4" t="s">
        <v>25</v>
      </c>
      <c r="F279" s="4" t="s">
        <v>25</v>
      </c>
      <c r="G279" s="4" t="s">
        <v>25</v>
      </c>
      <c r="H279" s="4" t="s">
        <v>34</v>
      </c>
      <c r="I279" s="5">
        <v>44835</v>
      </c>
      <c r="J279" s="6">
        <v>0</v>
      </c>
      <c r="K279" s="6">
        <v>0</v>
      </c>
      <c r="L279" s="6">
        <v>83.126999999999995</v>
      </c>
      <c r="M279" s="6">
        <v>83.126999999999995</v>
      </c>
      <c r="N279" s="6">
        <v>83.126999999999995</v>
      </c>
      <c r="O279" s="6">
        <v>83.126999999999995</v>
      </c>
      <c r="P279" s="6">
        <v>0</v>
      </c>
      <c r="Q279" s="4" t="s">
        <v>26</v>
      </c>
      <c r="R279" s="4">
        <v>0</v>
      </c>
      <c r="S279" s="4" t="s">
        <v>228</v>
      </c>
      <c r="T279" s="4" t="s">
        <v>457</v>
      </c>
      <c r="U279" s="4">
        <v>0</v>
      </c>
      <c r="V279" s="4">
        <v>8</v>
      </c>
      <c r="W279" s="4">
        <v>38</v>
      </c>
    </row>
    <row r="280" spans="1:23" ht="11.25" customHeight="1" x14ac:dyDescent="0.3">
      <c r="A280" s="4" t="s">
        <v>53</v>
      </c>
      <c r="B280" s="4" t="s">
        <v>39</v>
      </c>
      <c r="C280" s="4" t="s">
        <v>41</v>
      </c>
      <c r="D280" s="4" t="s">
        <v>42</v>
      </c>
      <c r="E280" s="4" t="s">
        <v>25</v>
      </c>
      <c r="F280" s="4" t="s">
        <v>25</v>
      </c>
      <c r="G280" s="4" t="s">
        <v>25</v>
      </c>
      <c r="H280" s="4" t="s">
        <v>34</v>
      </c>
      <c r="I280" s="5">
        <v>44835</v>
      </c>
      <c r="J280" s="6">
        <v>0</v>
      </c>
      <c r="K280" s="6">
        <v>0</v>
      </c>
      <c r="L280" s="6">
        <v>-0.36899999999999999</v>
      </c>
      <c r="M280" s="6">
        <v>-0.36899999999999999</v>
      </c>
      <c r="N280" s="6">
        <v>-0.36899999999999999</v>
      </c>
      <c r="O280" s="6">
        <v>-0.36899999999999999</v>
      </c>
      <c r="P280" s="6">
        <v>0</v>
      </c>
      <c r="Q280" s="4" t="s">
        <v>26</v>
      </c>
      <c r="R280" s="4">
        <v>0</v>
      </c>
      <c r="S280" s="4" t="s">
        <v>228</v>
      </c>
      <c r="T280" s="4" t="s">
        <v>457</v>
      </c>
      <c r="U280" s="4">
        <v>0</v>
      </c>
      <c r="V280" s="4">
        <v>8</v>
      </c>
      <c r="W280" s="4">
        <v>38</v>
      </c>
    </row>
    <row r="281" spans="1:23" ht="11.25" customHeight="1" x14ac:dyDescent="0.3">
      <c r="A281" s="4" t="s">
        <v>53</v>
      </c>
      <c r="B281" s="4" t="s">
        <v>39</v>
      </c>
      <c r="C281" s="4" t="s">
        <v>41</v>
      </c>
      <c r="D281" s="4" t="s">
        <v>42</v>
      </c>
      <c r="E281" s="4" t="s">
        <v>25</v>
      </c>
      <c r="F281" s="4" t="s">
        <v>25</v>
      </c>
      <c r="G281" s="4" t="s">
        <v>25</v>
      </c>
      <c r="H281" s="4" t="s">
        <v>34</v>
      </c>
      <c r="I281" s="5">
        <v>44835</v>
      </c>
      <c r="J281" s="6">
        <v>0</v>
      </c>
      <c r="K281" s="6">
        <v>0</v>
      </c>
      <c r="L281" s="6">
        <v>3.1859999999999999</v>
      </c>
      <c r="M281" s="6">
        <v>3.1859999999999999</v>
      </c>
      <c r="N281" s="6">
        <v>3.1859999999999999</v>
      </c>
      <c r="O281" s="6">
        <v>3.1859999999999999</v>
      </c>
      <c r="P281" s="6">
        <v>0</v>
      </c>
      <c r="Q281" s="4" t="s">
        <v>26</v>
      </c>
      <c r="R281" s="4">
        <v>0</v>
      </c>
      <c r="S281" s="4" t="s">
        <v>228</v>
      </c>
      <c r="T281" s="4" t="s">
        <v>457</v>
      </c>
      <c r="U281" s="4">
        <v>0</v>
      </c>
      <c r="V281" s="4">
        <v>8</v>
      </c>
      <c r="W281" s="4">
        <v>38</v>
      </c>
    </row>
    <row r="282" spans="1:23" ht="11.25" customHeight="1" x14ac:dyDescent="0.3">
      <c r="A282" s="4" t="s">
        <v>21</v>
      </c>
      <c r="B282" s="4" t="s">
        <v>39</v>
      </c>
      <c r="C282" s="4" t="s">
        <v>41</v>
      </c>
      <c r="D282" s="4" t="s">
        <v>52</v>
      </c>
      <c r="E282" s="4" t="s">
        <v>25</v>
      </c>
      <c r="F282" s="4" t="s">
        <v>25</v>
      </c>
      <c r="G282" s="4" t="s">
        <v>25</v>
      </c>
      <c r="H282" s="4" t="s">
        <v>35</v>
      </c>
      <c r="I282" s="5">
        <v>44501</v>
      </c>
      <c r="J282" s="6">
        <v>0</v>
      </c>
      <c r="K282" s="6">
        <v>0</v>
      </c>
      <c r="L282" s="6">
        <v>44.383000000000003</v>
      </c>
      <c r="M282" s="6">
        <v>44.383000000000003</v>
      </c>
      <c r="N282" s="6">
        <v>44.383000000000003</v>
      </c>
      <c r="O282" s="6">
        <v>44.383000000000003</v>
      </c>
      <c r="P282" s="6">
        <v>0</v>
      </c>
      <c r="Q282" s="4" t="s">
        <v>26</v>
      </c>
      <c r="R282" s="4">
        <v>0</v>
      </c>
      <c r="S282" s="4" t="s">
        <v>193</v>
      </c>
      <c r="T282" s="4" t="s">
        <v>434</v>
      </c>
      <c r="U282" s="4">
        <v>0</v>
      </c>
      <c r="V282" s="4">
        <v>6</v>
      </c>
      <c r="W282" s="4">
        <v>61</v>
      </c>
    </row>
    <row r="283" spans="1:23" ht="11.25" customHeight="1" x14ac:dyDescent="0.3">
      <c r="A283" s="4" t="s">
        <v>21</v>
      </c>
      <c r="B283" s="4" t="s">
        <v>39</v>
      </c>
      <c r="C283" s="4" t="s">
        <v>41</v>
      </c>
      <c r="D283" s="4" t="s">
        <v>52</v>
      </c>
      <c r="E283" s="4" t="s">
        <v>25</v>
      </c>
      <c r="F283" s="4" t="s">
        <v>25</v>
      </c>
      <c r="G283" s="4" t="s">
        <v>25</v>
      </c>
      <c r="H283" s="4" t="s">
        <v>35</v>
      </c>
      <c r="I283" s="5">
        <v>44531</v>
      </c>
      <c r="J283" s="6">
        <v>0</v>
      </c>
      <c r="K283" s="6">
        <v>0</v>
      </c>
      <c r="L283" s="6">
        <v>41.969000000000001</v>
      </c>
      <c r="M283" s="6">
        <v>41.969000000000001</v>
      </c>
      <c r="N283" s="6">
        <v>41.969000000000001</v>
      </c>
      <c r="O283" s="6">
        <v>41.969000000000001</v>
      </c>
      <c r="P283" s="6">
        <v>0</v>
      </c>
      <c r="Q283" s="4" t="s">
        <v>26</v>
      </c>
      <c r="R283" s="4">
        <v>0</v>
      </c>
      <c r="S283" s="4" t="s">
        <v>194</v>
      </c>
      <c r="T283" s="4" t="s">
        <v>435</v>
      </c>
      <c r="U283" s="4">
        <v>0</v>
      </c>
      <c r="V283" s="4">
        <v>6</v>
      </c>
      <c r="W283" s="4">
        <v>61</v>
      </c>
    </row>
    <row r="284" spans="1:23" ht="11.25" customHeight="1" x14ac:dyDescent="0.3">
      <c r="A284" s="4" t="s">
        <v>21</v>
      </c>
      <c r="B284" s="4" t="s">
        <v>39</v>
      </c>
      <c r="C284" s="4" t="s">
        <v>41</v>
      </c>
      <c r="D284" s="4" t="s">
        <v>52</v>
      </c>
      <c r="E284" s="4" t="s">
        <v>25</v>
      </c>
      <c r="F284" s="4" t="s">
        <v>25</v>
      </c>
      <c r="G284" s="4" t="s">
        <v>25</v>
      </c>
      <c r="H284" s="4" t="s">
        <v>35</v>
      </c>
      <c r="I284" s="5">
        <v>44562</v>
      </c>
      <c r="J284" s="6">
        <v>0</v>
      </c>
      <c r="K284" s="6">
        <v>0</v>
      </c>
      <c r="L284" s="6">
        <v>46.014000000000003</v>
      </c>
      <c r="M284" s="6">
        <v>46.014000000000003</v>
      </c>
      <c r="N284" s="6">
        <v>46.014000000000003</v>
      </c>
      <c r="O284" s="6">
        <v>46.014000000000003</v>
      </c>
      <c r="P284" s="6">
        <v>0</v>
      </c>
      <c r="Q284" s="4" t="s">
        <v>26</v>
      </c>
      <c r="R284" s="4">
        <v>0</v>
      </c>
      <c r="S284" s="4" t="s">
        <v>195</v>
      </c>
      <c r="T284" s="4" t="s">
        <v>436</v>
      </c>
      <c r="U284" s="4">
        <v>0</v>
      </c>
      <c r="V284" s="4">
        <v>6</v>
      </c>
      <c r="W284" s="4">
        <v>61</v>
      </c>
    </row>
    <row r="285" spans="1:23" ht="11.25" customHeight="1" x14ac:dyDescent="0.3">
      <c r="A285" s="4" t="s">
        <v>21</v>
      </c>
      <c r="B285" s="4" t="s">
        <v>39</v>
      </c>
      <c r="C285" s="4" t="s">
        <v>41</v>
      </c>
      <c r="D285" s="4" t="s">
        <v>52</v>
      </c>
      <c r="E285" s="4" t="s">
        <v>25</v>
      </c>
      <c r="F285" s="4" t="s">
        <v>25</v>
      </c>
      <c r="G285" s="4" t="s">
        <v>25</v>
      </c>
      <c r="H285" s="4" t="s">
        <v>35</v>
      </c>
      <c r="I285" s="5">
        <v>44593</v>
      </c>
      <c r="J285" s="6">
        <v>0</v>
      </c>
      <c r="K285" s="6">
        <v>0</v>
      </c>
      <c r="L285" s="6">
        <v>46.798999999999999</v>
      </c>
      <c r="M285" s="6">
        <v>46.798999999999999</v>
      </c>
      <c r="N285" s="6">
        <v>46.798999999999999</v>
      </c>
      <c r="O285" s="6">
        <v>46.798999999999999</v>
      </c>
      <c r="P285" s="6">
        <v>0</v>
      </c>
      <c r="Q285" s="4" t="s">
        <v>26</v>
      </c>
      <c r="R285" s="4">
        <v>0</v>
      </c>
      <c r="S285" s="4" t="s">
        <v>196</v>
      </c>
      <c r="T285" s="4" t="s">
        <v>437</v>
      </c>
      <c r="U285" s="4">
        <v>0</v>
      </c>
      <c r="V285" s="4">
        <v>6</v>
      </c>
      <c r="W285" s="4">
        <v>61</v>
      </c>
    </row>
    <row r="286" spans="1:23" ht="11.25" customHeight="1" x14ac:dyDescent="0.3">
      <c r="A286" s="4" t="s">
        <v>21</v>
      </c>
      <c r="B286" s="4" t="s">
        <v>39</v>
      </c>
      <c r="C286" s="4" t="s">
        <v>41</v>
      </c>
      <c r="D286" s="4" t="s">
        <v>52</v>
      </c>
      <c r="E286" s="4" t="s">
        <v>25</v>
      </c>
      <c r="F286" s="4" t="s">
        <v>25</v>
      </c>
      <c r="G286" s="4" t="s">
        <v>25</v>
      </c>
      <c r="H286" s="4" t="s">
        <v>35</v>
      </c>
      <c r="I286" s="5">
        <v>44621</v>
      </c>
      <c r="J286" s="6">
        <v>0</v>
      </c>
      <c r="K286" s="6">
        <v>0</v>
      </c>
      <c r="L286" s="6">
        <v>41.585000000000001</v>
      </c>
      <c r="M286" s="6">
        <v>41.585000000000001</v>
      </c>
      <c r="N286" s="6">
        <v>41.585000000000001</v>
      </c>
      <c r="O286" s="6">
        <v>41.585000000000001</v>
      </c>
      <c r="P286" s="6">
        <v>0</v>
      </c>
      <c r="Q286" s="4" t="s">
        <v>26</v>
      </c>
      <c r="R286" s="4">
        <v>0</v>
      </c>
      <c r="S286" s="4" t="s">
        <v>197</v>
      </c>
      <c r="T286" s="4" t="s">
        <v>438</v>
      </c>
      <c r="U286" s="4">
        <v>0</v>
      </c>
      <c r="V286" s="4">
        <v>6</v>
      </c>
      <c r="W286" s="4">
        <v>61</v>
      </c>
    </row>
    <row r="287" spans="1:23" ht="11.25" customHeight="1" x14ac:dyDescent="0.3">
      <c r="A287" s="4" t="s">
        <v>21</v>
      </c>
      <c r="B287" s="4" t="s">
        <v>39</v>
      </c>
      <c r="C287" s="4" t="s">
        <v>41</v>
      </c>
      <c r="D287" s="4" t="s">
        <v>52</v>
      </c>
      <c r="E287" s="4" t="s">
        <v>25</v>
      </c>
      <c r="F287" s="4" t="s">
        <v>25</v>
      </c>
      <c r="G287" s="4" t="s">
        <v>25</v>
      </c>
      <c r="H287" s="4" t="s">
        <v>35</v>
      </c>
      <c r="I287" s="5">
        <v>44652</v>
      </c>
      <c r="J287" s="6">
        <v>0</v>
      </c>
      <c r="K287" s="6">
        <v>0</v>
      </c>
      <c r="L287" s="6">
        <v>47.45</v>
      </c>
      <c r="M287" s="6">
        <v>47.45</v>
      </c>
      <c r="N287" s="6">
        <v>47.45</v>
      </c>
      <c r="O287" s="6">
        <v>47.45</v>
      </c>
      <c r="P287" s="6">
        <v>0</v>
      </c>
      <c r="Q287" s="4" t="s">
        <v>26</v>
      </c>
      <c r="R287" s="4">
        <v>0</v>
      </c>
      <c r="S287" s="4" t="s">
        <v>198</v>
      </c>
      <c r="T287" s="4" t="s">
        <v>439</v>
      </c>
      <c r="U287" s="4">
        <v>0</v>
      </c>
      <c r="V287" s="4">
        <v>6</v>
      </c>
      <c r="W287" s="4">
        <v>61</v>
      </c>
    </row>
    <row r="288" spans="1:23" ht="11.25" customHeight="1" x14ac:dyDescent="0.3">
      <c r="A288" s="4" t="s">
        <v>21</v>
      </c>
      <c r="B288" s="4" t="s">
        <v>39</v>
      </c>
      <c r="C288" s="4" t="s">
        <v>41</v>
      </c>
      <c r="D288" s="4" t="s">
        <v>52</v>
      </c>
      <c r="E288" s="4" t="s">
        <v>25</v>
      </c>
      <c r="F288" s="4" t="s">
        <v>25</v>
      </c>
      <c r="G288" s="4" t="s">
        <v>25</v>
      </c>
      <c r="H288" s="4" t="s">
        <v>35</v>
      </c>
      <c r="I288" s="5">
        <v>44682</v>
      </c>
      <c r="J288" s="6">
        <v>0</v>
      </c>
      <c r="K288" s="6">
        <v>0</v>
      </c>
      <c r="L288" s="6">
        <v>46.521000000000001</v>
      </c>
      <c r="M288" s="6">
        <v>46.521000000000001</v>
      </c>
      <c r="N288" s="6">
        <v>46.521000000000001</v>
      </c>
      <c r="O288" s="6">
        <v>46.521000000000001</v>
      </c>
      <c r="P288" s="6">
        <v>0</v>
      </c>
      <c r="Q288" s="4" t="s">
        <v>26</v>
      </c>
      <c r="R288" s="4">
        <v>0</v>
      </c>
      <c r="S288" s="4" t="s">
        <v>199</v>
      </c>
      <c r="T288" s="4" t="s">
        <v>440</v>
      </c>
      <c r="U288" s="4">
        <v>0</v>
      </c>
      <c r="V288" s="4">
        <v>6</v>
      </c>
      <c r="W288" s="4">
        <v>61</v>
      </c>
    </row>
    <row r="289" spans="1:23" ht="11.25" customHeight="1" x14ac:dyDescent="0.3">
      <c r="A289" s="4" t="s">
        <v>21</v>
      </c>
      <c r="B289" s="4" t="s">
        <v>39</v>
      </c>
      <c r="C289" s="4" t="s">
        <v>41</v>
      </c>
      <c r="D289" s="4" t="s">
        <v>52</v>
      </c>
      <c r="E289" s="4" t="s">
        <v>25</v>
      </c>
      <c r="F289" s="4" t="s">
        <v>25</v>
      </c>
      <c r="G289" s="4" t="s">
        <v>25</v>
      </c>
      <c r="H289" s="4" t="s">
        <v>35</v>
      </c>
      <c r="I289" s="5">
        <v>44713</v>
      </c>
      <c r="J289" s="6">
        <v>0</v>
      </c>
      <c r="K289" s="6">
        <v>0</v>
      </c>
      <c r="L289" s="6">
        <v>45.906999999999996</v>
      </c>
      <c r="M289" s="6">
        <v>45.906999999999996</v>
      </c>
      <c r="N289" s="6">
        <v>45.906999999999996</v>
      </c>
      <c r="O289" s="6">
        <v>45.906999999999996</v>
      </c>
      <c r="P289" s="6">
        <v>0</v>
      </c>
      <c r="Q289" s="4" t="s">
        <v>26</v>
      </c>
      <c r="R289" s="4">
        <v>0</v>
      </c>
      <c r="S289" s="4" t="s">
        <v>200</v>
      </c>
      <c r="T289" s="4" t="s">
        <v>441</v>
      </c>
      <c r="U289" s="4">
        <v>0</v>
      </c>
      <c r="V289" s="4">
        <v>6</v>
      </c>
      <c r="W289" s="4">
        <v>61</v>
      </c>
    </row>
    <row r="290" spans="1:23" ht="11.25" customHeight="1" x14ac:dyDescent="0.3">
      <c r="A290" s="4" t="s">
        <v>21</v>
      </c>
      <c r="B290" s="4" t="s">
        <v>39</v>
      </c>
      <c r="C290" s="4" t="s">
        <v>41</v>
      </c>
      <c r="D290" s="4" t="s">
        <v>52</v>
      </c>
      <c r="E290" s="4" t="s">
        <v>25</v>
      </c>
      <c r="F290" s="4" t="s">
        <v>25</v>
      </c>
      <c r="G290" s="4" t="s">
        <v>25</v>
      </c>
      <c r="H290" s="4" t="s">
        <v>35</v>
      </c>
      <c r="I290" s="5">
        <v>44743</v>
      </c>
      <c r="J290" s="6">
        <v>0</v>
      </c>
      <c r="K290" s="6">
        <v>0</v>
      </c>
      <c r="L290" s="6">
        <v>42.271999999999998</v>
      </c>
      <c r="M290" s="6">
        <v>42.271999999999998</v>
      </c>
      <c r="N290" s="6">
        <v>42.271999999999998</v>
      </c>
      <c r="O290" s="6">
        <v>42.271999999999998</v>
      </c>
      <c r="P290" s="6">
        <v>0</v>
      </c>
      <c r="Q290" s="4" t="s">
        <v>26</v>
      </c>
      <c r="R290" s="4">
        <v>0</v>
      </c>
      <c r="S290" s="4" t="s">
        <v>201</v>
      </c>
      <c r="T290" s="4" t="s">
        <v>442</v>
      </c>
      <c r="U290" s="4">
        <v>0</v>
      </c>
      <c r="V290" s="4">
        <v>6</v>
      </c>
      <c r="W290" s="4">
        <v>61</v>
      </c>
    </row>
    <row r="291" spans="1:23" ht="11.25" customHeight="1" x14ac:dyDescent="0.3">
      <c r="A291" s="4" t="s">
        <v>21</v>
      </c>
      <c r="B291" s="4" t="s">
        <v>39</v>
      </c>
      <c r="C291" s="4" t="s">
        <v>41</v>
      </c>
      <c r="D291" s="4" t="s">
        <v>52</v>
      </c>
      <c r="E291" s="4" t="s">
        <v>25</v>
      </c>
      <c r="F291" s="4" t="s">
        <v>25</v>
      </c>
      <c r="G291" s="4" t="s">
        <v>25</v>
      </c>
      <c r="H291" s="4" t="s">
        <v>35</v>
      </c>
      <c r="I291" s="5">
        <v>44774</v>
      </c>
      <c r="J291" s="6">
        <v>0</v>
      </c>
      <c r="K291" s="6">
        <v>0</v>
      </c>
      <c r="L291" s="6">
        <v>47.389000000000003</v>
      </c>
      <c r="M291" s="6">
        <v>47.389000000000003</v>
      </c>
      <c r="N291" s="6">
        <v>47.389000000000003</v>
      </c>
      <c r="O291" s="6">
        <v>47.389000000000003</v>
      </c>
      <c r="P291" s="6">
        <v>0</v>
      </c>
      <c r="Q291" s="4" t="s">
        <v>26</v>
      </c>
      <c r="R291" s="4">
        <v>0</v>
      </c>
      <c r="S291" s="4" t="s">
        <v>202</v>
      </c>
      <c r="T291" s="4" t="s">
        <v>443</v>
      </c>
      <c r="U291" s="4">
        <v>0</v>
      </c>
      <c r="V291" s="4">
        <v>6</v>
      </c>
      <c r="W291" s="4">
        <v>61</v>
      </c>
    </row>
    <row r="292" spans="1:23" ht="11.25" customHeight="1" x14ac:dyDescent="0.3">
      <c r="A292" s="4" t="s">
        <v>21</v>
      </c>
      <c r="B292" s="4" t="s">
        <v>39</v>
      </c>
      <c r="C292" s="4" t="s">
        <v>41</v>
      </c>
      <c r="D292" s="4" t="s">
        <v>52</v>
      </c>
      <c r="E292" s="4" t="s">
        <v>25</v>
      </c>
      <c r="F292" s="4" t="s">
        <v>25</v>
      </c>
      <c r="G292" s="4" t="s">
        <v>25</v>
      </c>
      <c r="H292" s="4" t="s">
        <v>35</v>
      </c>
      <c r="I292" s="5">
        <v>44805</v>
      </c>
      <c r="J292" s="6">
        <v>0</v>
      </c>
      <c r="K292" s="6">
        <v>0</v>
      </c>
      <c r="L292" s="6">
        <v>46.94</v>
      </c>
      <c r="M292" s="6">
        <v>46.94</v>
      </c>
      <c r="N292" s="6">
        <v>46.94</v>
      </c>
      <c r="O292" s="6">
        <v>46.94</v>
      </c>
      <c r="P292" s="6">
        <v>0</v>
      </c>
      <c r="Q292" s="4" t="s">
        <v>26</v>
      </c>
      <c r="R292" s="4">
        <v>0</v>
      </c>
      <c r="S292" s="4" t="s">
        <v>203</v>
      </c>
      <c r="T292" s="4" t="s">
        <v>444</v>
      </c>
      <c r="U292" s="4">
        <v>0</v>
      </c>
      <c r="V292" s="4">
        <v>6</v>
      </c>
      <c r="W292" s="4">
        <v>61</v>
      </c>
    </row>
    <row r="293" spans="1:23" ht="11.25" customHeight="1" x14ac:dyDescent="0.3">
      <c r="A293" s="4" t="s">
        <v>53</v>
      </c>
      <c r="B293" s="4" t="s">
        <v>39</v>
      </c>
      <c r="C293" s="4" t="s">
        <v>41</v>
      </c>
      <c r="D293" s="4" t="s">
        <v>52</v>
      </c>
      <c r="E293" s="4" t="s">
        <v>25</v>
      </c>
      <c r="F293" s="4" t="s">
        <v>25</v>
      </c>
      <c r="G293" s="4" t="s">
        <v>25</v>
      </c>
      <c r="H293" s="4" t="s">
        <v>35</v>
      </c>
      <c r="I293" s="5">
        <v>44835</v>
      </c>
      <c r="J293" s="6">
        <v>0</v>
      </c>
      <c r="K293" s="6">
        <v>0</v>
      </c>
      <c r="L293" s="6">
        <v>46.94</v>
      </c>
      <c r="M293" s="6">
        <v>46.94</v>
      </c>
      <c r="N293" s="6">
        <v>46.94</v>
      </c>
      <c r="O293" s="6">
        <v>46.94</v>
      </c>
      <c r="P293" s="6">
        <v>0</v>
      </c>
      <c r="Q293" s="4" t="s">
        <v>26</v>
      </c>
      <c r="R293" s="4">
        <v>0</v>
      </c>
      <c r="S293" s="4" t="s">
        <v>204</v>
      </c>
      <c r="T293" s="4" t="s">
        <v>445</v>
      </c>
      <c r="U293" s="4">
        <v>0</v>
      </c>
      <c r="V293" s="4">
        <v>6</v>
      </c>
      <c r="W293" s="4">
        <v>61</v>
      </c>
    </row>
    <row r="294" spans="1:23" ht="11.25" customHeight="1" x14ac:dyDescent="0.3">
      <c r="A294" s="4" t="s">
        <v>21</v>
      </c>
      <c r="B294" s="4" t="s">
        <v>39</v>
      </c>
      <c r="C294" s="4" t="s">
        <v>41</v>
      </c>
      <c r="D294" s="4" t="s">
        <v>52</v>
      </c>
      <c r="E294" s="4" t="s">
        <v>25</v>
      </c>
      <c r="F294" s="4" t="s">
        <v>25</v>
      </c>
      <c r="G294" s="4" t="s">
        <v>25</v>
      </c>
      <c r="H294" s="4" t="s">
        <v>25</v>
      </c>
      <c r="I294" s="5">
        <v>44501</v>
      </c>
      <c r="J294" s="6">
        <v>257</v>
      </c>
      <c r="K294" s="6">
        <v>257</v>
      </c>
      <c r="L294" s="6">
        <v>0</v>
      </c>
      <c r="M294" s="6">
        <v>0</v>
      </c>
      <c r="N294" s="6">
        <v>0</v>
      </c>
      <c r="O294" s="6">
        <v>0</v>
      </c>
      <c r="P294" s="6">
        <v>7</v>
      </c>
      <c r="Q294" s="4" t="s">
        <v>26</v>
      </c>
      <c r="R294" s="4">
        <v>0</v>
      </c>
      <c r="S294" s="4" t="s">
        <v>205</v>
      </c>
      <c r="U294" s="4">
        <v>20</v>
      </c>
      <c r="V294" s="4">
        <v>0</v>
      </c>
      <c r="W294" s="4">
        <v>0</v>
      </c>
    </row>
    <row r="295" spans="1:23" ht="11.25" customHeight="1" x14ac:dyDescent="0.3">
      <c r="A295" s="4" t="s">
        <v>21</v>
      </c>
      <c r="B295" s="4" t="s">
        <v>39</v>
      </c>
      <c r="C295" s="4" t="s">
        <v>41</v>
      </c>
      <c r="D295" s="4" t="s">
        <v>52</v>
      </c>
      <c r="E295" s="4" t="s">
        <v>25</v>
      </c>
      <c r="F295" s="4" t="s">
        <v>25</v>
      </c>
      <c r="G295" s="4" t="s">
        <v>25</v>
      </c>
      <c r="H295" s="4" t="s">
        <v>25</v>
      </c>
      <c r="I295" s="5">
        <v>44531</v>
      </c>
      <c r="J295" s="6">
        <v>263</v>
      </c>
      <c r="K295" s="6">
        <v>263</v>
      </c>
      <c r="L295" s="6">
        <v>0</v>
      </c>
      <c r="M295" s="6">
        <v>0</v>
      </c>
      <c r="N295" s="6">
        <v>0</v>
      </c>
      <c r="O295" s="6">
        <v>0</v>
      </c>
      <c r="P295" s="6">
        <v>7</v>
      </c>
      <c r="Q295" s="4" t="s">
        <v>26</v>
      </c>
      <c r="R295" s="4">
        <v>0</v>
      </c>
      <c r="S295" s="4" t="s">
        <v>206</v>
      </c>
      <c r="U295" s="4">
        <v>20</v>
      </c>
      <c r="V295" s="4">
        <v>0</v>
      </c>
      <c r="W295" s="4">
        <v>0</v>
      </c>
    </row>
    <row r="296" spans="1:23" ht="11.25" customHeight="1" x14ac:dyDescent="0.3">
      <c r="A296" s="4" t="s">
        <v>21</v>
      </c>
      <c r="B296" s="4" t="s">
        <v>39</v>
      </c>
      <c r="C296" s="4" t="s">
        <v>41</v>
      </c>
      <c r="D296" s="4" t="s">
        <v>52</v>
      </c>
      <c r="E296" s="4" t="s">
        <v>25</v>
      </c>
      <c r="F296" s="4" t="s">
        <v>25</v>
      </c>
      <c r="G296" s="4" t="s">
        <v>25</v>
      </c>
      <c r="H296" s="4" t="s">
        <v>25</v>
      </c>
      <c r="I296" s="5">
        <v>44562</v>
      </c>
      <c r="J296" s="6">
        <v>256</v>
      </c>
      <c r="K296" s="6">
        <v>256</v>
      </c>
      <c r="L296" s="6">
        <v>0</v>
      </c>
      <c r="M296" s="6">
        <v>0</v>
      </c>
      <c r="N296" s="6">
        <v>0</v>
      </c>
      <c r="O296" s="6">
        <v>0</v>
      </c>
      <c r="P296" s="6">
        <v>7</v>
      </c>
      <c r="Q296" s="4" t="s">
        <v>26</v>
      </c>
      <c r="R296" s="4">
        <v>0</v>
      </c>
      <c r="S296" s="4" t="s">
        <v>207</v>
      </c>
      <c r="U296" s="4">
        <v>20</v>
      </c>
      <c r="V296" s="4">
        <v>0</v>
      </c>
      <c r="W296" s="4">
        <v>0</v>
      </c>
    </row>
    <row r="297" spans="1:23" ht="11.25" customHeight="1" x14ac:dyDescent="0.3">
      <c r="A297" s="4" t="s">
        <v>21</v>
      </c>
      <c r="B297" s="4" t="s">
        <v>39</v>
      </c>
      <c r="C297" s="4" t="s">
        <v>41</v>
      </c>
      <c r="D297" s="4" t="s">
        <v>52</v>
      </c>
      <c r="E297" s="4" t="s">
        <v>25</v>
      </c>
      <c r="F297" s="4" t="s">
        <v>25</v>
      </c>
      <c r="G297" s="4" t="s">
        <v>25</v>
      </c>
      <c r="H297" s="4" t="s">
        <v>25</v>
      </c>
      <c r="I297" s="5">
        <v>44593</v>
      </c>
      <c r="J297" s="6">
        <v>260</v>
      </c>
      <c r="K297" s="6">
        <v>260</v>
      </c>
      <c r="L297" s="6">
        <v>0</v>
      </c>
      <c r="M297" s="6">
        <v>0</v>
      </c>
      <c r="N297" s="6">
        <v>0</v>
      </c>
      <c r="O297" s="6">
        <v>0</v>
      </c>
      <c r="P297" s="6">
        <v>7</v>
      </c>
      <c r="Q297" s="4" t="s">
        <v>26</v>
      </c>
      <c r="R297" s="4">
        <v>0</v>
      </c>
      <c r="S297" s="4" t="s">
        <v>208</v>
      </c>
      <c r="U297" s="4">
        <v>20</v>
      </c>
      <c r="V297" s="4">
        <v>0</v>
      </c>
      <c r="W297" s="4">
        <v>0</v>
      </c>
    </row>
    <row r="298" spans="1:23" ht="11.25" customHeight="1" x14ac:dyDescent="0.3">
      <c r="A298" s="4" t="s">
        <v>21</v>
      </c>
      <c r="B298" s="4" t="s">
        <v>39</v>
      </c>
      <c r="C298" s="4" t="s">
        <v>41</v>
      </c>
      <c r="D298" s="4" t="s">
        <v>52</v>
      </c>
      <c r="E298" s="4" t="s">
        <v>25</v>
      </c>
      <c r="F298" s="4" t="s">
        <v>25</v>
      </c>
      <c r="G298" s="4" t="s">
        <v>25</v>
      </c>
      <c r="H298" s="4" t="s">
        <v>25</v>
      </c>
      <c r="I298" s="5">
        <v>44621</v>
      </c>
      <c r="J298" s="6">
        <v>258</v>
      </c>
      <c r="K298" s="6">
        <v>258</v>
      </c>
      <c r="L298" s="6">
        <v>0</v>
      </c>
      <c r="M298" s="6">
        <v>0</v>
      </c>
      <c r="N298" s="6">
        <v>0</v>
      </c>
      <c r="O298" s="6">
        <v>0</v>
      </c>
      <c r="P298" s="6">
        <v>7</v>
      </c>
      <c r="Q298" s="4" t="s">
        <v>26</v>
      </c>
      <c r="R298" s="4">
        <v>0</v>
      </c>
      <c r="S298" s="4" t="s">
        <v>209</v>
      </c>
      <c r="U298" s="4">
        <v>20</v>
      </c>
      <c r="V298" s="4">
        <v>0</v>
      </c>
      <c r="W298" s="4">
        <v>0</v>
      </c>
    </row>
    <row r="299" spans="1:23" ht="11.25" customHeight="1" x14ac:dyDescent="0.3">
      <c r="A299" s="4" t="s">
        <v>21</v>
      </c>
      <c r="B299" s="4" t="s">
        <v>39</v>
      </c>
      <c r="C299" s="4" t="s">
        <v>41</v>
      </c>
      <c r="D299" s="4" t="s">
        <v>52</v>
      </c>
      <c r="E299" s="4" t="s">
        <v>25</v>
      </c>
      <c r="F299" s="4" t="s">
        <v>25</v>
      </c>
      <c r="G299" s="4" t="s">
        <v>25</v>
      </c>
      <c r="H299" s="4" t="s">
        <v>25</v>
      </c>
      <c r="I299" s="5">
        <v>44652</v>
      </c>
      <c r="J299" s="6">
        <v>253</v>
      </c>
      <c r="K299" s="6">
        <v>253</v>
      </c>
      <c r="L299" s="6">
        <v>0</v>
      </c>
      <c r="M299" s="6">
        <v>0</v>
      </c>
      <c r="N299" s="6">
        <v>0</v>
      </c>
      <c r="O299" s="6">
        <v>0</v>
      </c>
      <c r="P299" s="6">
        <v>7</v>
      </c>
      <c r="Q299" s="4" t="s">
        <v>26</v>
      </c>
      <c r="R299" s="4">
        <v>0</v>
      </c>
      <c r="S299" s="4" t="s">
        <v>210</v>
      </c>
      <c r="U299" s="4">
        <v>20</v>
      </c>
      <c r="V299" s="4">
        <v>0</v>
      </c>
      <c r="W299" s="4">
        <v>0</v>
      </c>
    </row>
    <row r="300" spans="1:23" ht="11.25" customHeight="1" x14ac:dyDescent="0.3">
      <c r="A300" s="4" t="s">
        <v>21</v>
      </c>
      <c r="B300" s="4" t="s">
        <v>39</v>
      </c>
      <c r="C300" s="4" t="s">
        <v>41</v>
      </c>
      <c r="D300" s="4" t="s">
        <v>52</v>
      </c>
      <c r="E300" s="4" t="s">
        <v>25</v>
      </c>
      <c r="F300" s="4" t="s">
        <v>25</v>
      </c>
      <c r="G300" s="4" t="s">
        <v>25</v>
      </c>
      <c r="H300" s="4" t="s">
        <v>25</v>
      </c>
      <c r="I300" s="5">
        <v>44682</v>
      </c>
      <c r="J300" s="6">
        <v>249</v>
      </c>
      <c r="K300" s="6">
        <v>249</v>
      </c>
      <c r="L300" s="6">
        <v>0</v>
      </c>
      <c r="M300" s="6">
        <v>0</v>
      </c>
      <c r="N300" s="6">
        <v>0</v>
      </c>
      <c r="O300" s="6">
        <v>0</v>
      </c>
      <c r="P300" s="6">
        <v>7</v>
      </c>
      <c r="Q300" s="4" t="s">
        <v>26</v>
      </c>
      <c r="R300" s="4">
        <v>0</v>
      </c>
      <c r="S300" s="4" t="s">
        <v>211</v>
      </c>
      <c r="U300" s="4">
        <v>20</v>
      </c>
      <c r="V300" s="4">
        <v>0</v>
      </c>
      <c r="W300" s="4">
        <v>0</v>
      </c>
    </row>
    <row r="301" spans="1:23" ht="11.25" customHeight="1" x14ac:dyDescent="0.3">
      <c r="A301" s="4" t="s">
        <v>21</v>
      </c>
      <c r="B301" s="4" t="s">
        <v>39</v>
      </c>
      <c r="C301" s="4" t="s">
        <v>41</v>
      </c>
      <c r="D301" s="4" t="s">
        <v>52</v>
      </c>
      <c r="E301" s="4" t="s">
        <v>25</v>
      </c>
      <c r="F301" s="4" t="s">
        <v>25</v>
      </c>
      <c r="G301" s="4" t="s">
        <v>25</v>
      </c>
      <c r="H301" s="4" t="s">
        <v>25</v>
      </c>
      <c r="I301" s="5">
        <v>44713</v>
      </c>
      <c r="J301" s="6">
        <v>249</v>
      </c>
      <c r="K301" s="6">
        <v>249</v>
      </c>
      <c r="L301" s="6">
        <v>0</v>
      </c>
      <c r="M301" s="6">
        <v>0</v>
      </c>
      <c r="N301" s="6">
        <v>0</v>
      </c>
      <c r="O301" s="6">
        <v>0</v>
      </c>
      <c r="P301" s="6">
        <v>7</v>
      </c>
      <c r="Q301" s="4" t="s">
        <v>26</v>
      </c>
      <c r="R301" s="4">
        <v>0</v>
      </c>
      <c r="S301" s="4" t="s">
        <v>212</v>
      </c>
      <c r="U301" s="4">
        <v>20</v>
      </c>
      <c r="V301" s="4">
        <v>0</v>
      </c>
      <c r="W301" s="4">
        <v>0</v>
      </c>
    </row>
    <row r="302" spans="1:23" ht="11.25" customHeight="1" x14ac:dyDescent="0.3">
      <c r="A302" s="4" t="s">
        <v>21</v>
      </c>
      <c r="B302" s="4" t="s">
        <v>39</v>
      </c>
      <c r="C302" s="4" t="s">
        <v>41</v>
      </c>
      <c r="D302" s="4" t="s">
        <v>52</v>
      </c>
      <c r="E302" s="4" t="s">
        <v>25</v>
      </c>
      <c r="F302" s="4" t="s">
        <v>25</v>
      </c>
      <c r="G302" s="4" t="s">
        <v>25</v>
      </c>
      <c r="H302" s="4" t="s">
        <v>25</v>
      </c>
      <c r="I302" s="5">
        <v>44743</v>
      </c>
      <c r="J302" s="6">
        <v>254</v>
      </c>
      <c r="K302" s="6">
        <v>254</v>
      </c>
      <c r="L302" s="6">
        <v>0</v>
      </c>
      <c r="M302" s="6">
        <v>0</v>
      </c>
      <c r="N302" s="6">
        <v>0</v>
      </c>
      <c r="O302" s="6">
        <v>0</v>
      </c>
      <c r="P302" s="6">
        <v>7</v>
      </c>
      <c r="Q302" s="4" t="s">
        <v>26</v>
      </c>
      <c r="R302" s="4">
        <v>0</v>
      </c>
      <c r="S302" s="4" t="s">
        <v>213</v>
      </c>
      <c r="U302" s="4">
        <v>20</v>
      </c>
      <c r="V302" s="4">
        <v>0</v>
      </c>
      <c r="W302" s="4">
        <v>0</v>
      </c>
    </row>
    <row r="303" spans="1:23" ht="11.25" customHeight="1" x14ac:dyDescent="0.3">
      <c r="A303" s="4" t="s">
        <v>21</v>
      </c>
      <c r="B303" s="4" t="s">
        <v>39</v>
      </c>
      <c r="C303" s="4" t="s">
        <v>41</v>
      </c>
      <c r="D303" s="4" t="s">
        <v>52</v>
      </c>
      <c r="E303" s="4" t="s">
        <v>25</v>
      </c>
      <c r="F303" s="4" t="s">
        <v>25</v>
      </c>
      <c r="G303" s="4" t="s">
        <v>25</v>
      </c>
      <c r="H303" s="4" t="s">
        <v>25</v>
      </c>
      <c r="I303" s="5">
        <v>44774</v>
      </c>
      <c r="J303" s="6">
        <v>285</v>
      </c>
      <c r="K303" s="6">
        <v>285</v>
      </c>
      <c r="L303" s="6">
        <v>0</v>
      </c>
      <c r="M303" s="6">
        <v>0</v>
      </c>
      <c r="N303" s="6">
        <v>0</v>
      </c>
      <c r="O303" s="6">
        <v>0</v>
      </c>
      <c r="P303" s="6">
        <v>7</v>
      </c>
      <c r="Q303" s="4" t="s">
        <v>26</v>
      </c>
      <c r="R303" s="4">
        <v>0</v>
      </c>
      <c r="S303" s="4" t="s">
        <v>214</v>
      </c>
      <c r="U303" s="4">
        <v>20</v>
      </c>
      <c r="V303" s="4">
        <v>0</v>
      </c>
      <c r="W303" s="4">
        <v>0</v>
      </c>
    </row>
    <row r="304" spans="1:23" ht="11.25" customHeight="1" x14ac:dyDescent="0.3">
      <c r="A304" s="4" t="s">
        <v>21</v>
      </c>
      <c r="B304" s="4" t="s">
        <v>39</v>
      </c>
      <c r="C304" s="4" t="s">
        <v>41</v>
      </c>
      <c r="D304" s="4" t="s">
        <v>52</v>
      </c>
      <c r="E304" s="4" t="s">
        <v>25</v>
      </c>
      <c r="F304" s="4" t="s">
        <v>25</v>
      </c>
      <c r="G304" s="4" t="s">
        <v>25</v>
      </c>
      <c r="H304" s="4" t="s">
        <v>25</v>
      </c>
      <c r="I304" s="5">
        <v>44805</v>
      </c>
      <c r="J304" s="6">
        <v>253</v>
      </c>
      <c r="K304" s="6">
        <v>253</v>
      </c>
      <c r="L304" s="6">
        <v>0</v>
      </c>
      <c r="M304" s="6">
        <v>0</v>
      </c>
      <c r="N304" s="6">
        <v>0</v>
      </c>
      <c r="O304" s="6">
        <v>0</v>
      </c>
      <c r="P304" s="6">
        <v>7</v>
      </c>
      <c r="Q304" s="4" t="s">
        <v>26</v>
      </c>
      <c r="R304" s="4">
        <v>0</v>
      </c>
      <c r="S304" s="4" t="s">
        <v>215</v>
      </c>
      <c r="U304" s="4">
        <v>20</v>
      </c>
      <c r="V304" s="4">
        <v>0</v>
      </c>
      <c r="W304" s="4">
        <v>0</v>
      </c>
    </row>
    <row r="305" spans="1:23" ht="11.25" customHeight="1" x14ac:dyDescent="0.3">
      <c r="A305" s="4" t="s">
        <v>53</v>
      </c>
      <c r="B305" s="4" t="s">
        <v>39</v>
      </c>
      <c r="C305" s="4" t="s">
        <v>41</v>
      </c>
      <c r="D305" s="4" t="s">
        <v>52</v>
      </c>
      <c r="E305" s="4" t="s">
        <v>25</v>
      </c>
      <c r="F305" s="4" t="s">
        <v>25</v>
      </c>
      <c r="G305" s="4" t="s">
        <v>25</v>
      </c>
      <c r="H305" s="4" t="s">
        <v>25</v>
      </c>
      <c r="I305" s="5">
        <v>44835</v>
      </c>
      <c r="J305" s="6">
        <v>253</v>
      </c>
      <c r="K305" s="6">
        <v>253</v>
      </c>
      <c r="L305" s="6">
        <v>0</v>
      </c>
      <c r="M305" s="6">
        <v>0</v>
      </c>
      <c r="N305" s="6">
        <v>0</v>
      </c>
      <c r="O305" s="6">
        <v>0</v>
      </c>
      <c r="P305" s="6">
        <v>7</v>
      </c>
      <c r="Q305" s="4" t="s">
        <v>26</v>
      </c>
      <c r="R305" s="4">
        <v>0</v>
      </c>
      <c r="S305" s="4" t="s">
        <v>216</v>
      </c>
      <c r="U305" s="4">
        <v>20</v>
      </c>
      <c r="V305" s="4">
        <v>0</v>
      </c>
      <c r="W305" s="4">
        <v>0</v>
      </c>
    </row>
    <row r="306" spans="1:23" ht="11.25" customHeight="1" x14ac:dyDescent="0.3">
      <c r="A306" s="4" t="s">
        <v>21</v>
      </c>
      <c r="B306" s="4" t="s">
        <v>39</v>
      </c>
      <c r="C306" s="4" t="s">
        <v>41</v>
      </c>
      <c r="D306" s="4" t="s">
        <v>52</v>
      </c>
      <c r="E306" s="4" t="s">
        <v>25</v>
      </c>
      <c r="F306" s="4" t="s">
        <v>25</v>
      </c>
      <c r="G306" s="4" t="s">
        <v>25</v>
      </c>
      <c r="H306" s="4" t="s">
        <v>34</v>
      </c>
      <c r="I306" s="5">
        <v>44501</v>
      </c>
      <c r="J306" s="6">
        <v>0</v>
      </c>
      <c r="K306" s="6">
        <v>0</v>
      </c>
      <c r="L306" s="6">
        <v>4.4749999999999996</v>
      </c>
      <c r="M306" s="6">
        <v>4.4749999999999996</v>
      </c>
      <c r="N306" s="6">
        <v>4.4749999999999996</v>
      </c>
      <c r="O306" s="6">
        <v>4.4749999999999996</v>
      </c>
      <c r="P306" s="6">
        <v>0</v>
      </c>
      <c r="Q306" s="4" t="s">
        <v>26</v>
      </c>
      <c r="R306" s="4">
        <v>0</v>
      </c>
      <c r="S306" s="4" t="s">
        <v>217</v>
      </c>
      <c r="T306" s="4" t="s">
        <v>446</v>
      </c>
      <c r="U306" s="4">
        <v>0</v>
      </c>
      <c r="V306" s="4">
        <v>8</v>
      </c>
      <c r="W306" s="4">
        <v>38</v>
      </c>
    </row>
    <row r="307" spans="1:23" ht="11.25" customHeight="1" x14ac:dyDescent="0.3">
      <c r="A307" s="4" t="s">
        <v>21</v>
      </c>
      <c r="B307" s="4" t="s">
        <v>39</v>
      </c>
      <c r="C307" s="4" t="s">
        <v>41</v>
      </c>
      <c r="D307" s="4" t="s">
        <v>52</v>
      </c>
      <c r="E307" s="4" t="s">
        <v>25</v>
      </c>
      <c r="F307" s="4" t="s">
        <v>25</v>
      </c>
      <c r="G307" s="4" t="s">
        <v>25</v>
      </c>
      <c r="H307" s="4" t="s">
        <v>34</v>
      </c>
      <c r="I307" s="5">
        <v>44531</v>
      </c>
      <c r="J307" s="6">
        <v>0</v>
      </c>
      <c r="K307" s="6">
        <v>0</v>
      </c>
      <c r="L307" s="6">
        <v>4.2549999999999999</v>
      </c>
      <c r="M307" s="6">
        <v>4.2549999999999999</v>
      </c>
      <c r="N307" s="6">
        <v>4.2549999999999999</v>
      </c>
      <c r="O307" s="6">
        <v>4.2549999999999999</v>
      </c>
      <c r="P307" s="6">
        <v>0</v>
      </c>
      <c r="Q307" s="4" t="s">
        <v>26</v>
      </c>
      <c r="R307" s="4">
        <v>0</v>
      </c>
      <c r="S307" s="4" t="s">
        <v>218</v>
      </c>
      <c r="T307" s="4" t="s">
        <v>447</v>
      </c>
      <c r="U307" s="4">
        <v>0</v>
      </c>
      <c r="V307" s="4">
        <v>8</v>
      </c>
      <c r="W307" s="4">
        <v>38</v>
      </c>
    </row>
    <row r="308" spans="1:23" ht="11.25" customHeight="1" x14ac:dyDescent="0.3">
      <c r="A308" s="4" t="s">
        <v>21</v>
      </c>
      <c r="B308" s="4" t="s">
        <v>39</v>
      </c>
      <c r="C308" s="4" t="s">
        <v>41</v>
      </c>
      <c r="D308" s="4" t="s">
        <v>52</v>
      </c>
      <c r="E308" s="4" t="s">
        <v>25</v>
      </c>
      <c r="F308" s="4" t="s">
        <v>25</v>
      </c>
      <c r="G308" s="4" t="s">
        <v>25</v>
      </c>
      <c r="H308" s="4" t="s">
        <v>34</v>
      </c>
      <c r="I308" s="5">
        <v>44562</v>
      </c>
      <c r="J308" s="6">
        <v>0</v>
      </c>
      <c r="K308" s="6">
        <v>0</v>
      </c>
      <c r="L308" s="6">
        <v>5.1749999999999998</v>
      </c>
      <c r="M308" s="6">
        <v>5.1749999999999998</v>
      </c>
      <c r="N308" s="6">
        <v>5.1749999999999998</v>
      </c>
      <c r="O308" s="6">
        <v>5.1749999999999998</v>
      </c>
      <c r="P308" s="6">
        <v>0</v>
      </c>
      <c r="Q308" s="4" t="s">
        <v>26</v>
      </c>
      <c r="R308" s="4">
        <v>0</v>
      </c>
      <c r="S308" s="4" t="s">
        <v>219</v>
      </c>
      <c r="T308" s="4" t="s">
        <v>448</v>
      </c>
      <c r="U308" s="4">
        <v>0</v>
      </c>
      <c r="V308" s="4">
        <v>8</v>
      </c>
      <c r="W308" s="4">
        <v>38</v>
      </c>
    </row>
    <row r="309" spans="1:23" ht="11.25" customHeight="1" x14ac:dyDescent="0.3">
      <c r="A309" s="4" t="s">
        <v>21</v>
      </c>
      <c r="B309" s="4" t="s">
        <v>39</v>
      </c>
      <c r="C309" s="4" t="s">
        <v>41</v>
      </c>
      <c r="D309" s="4" t="s">
        <v>52</v>
      </c>
      <c r="E309" s="4" t="s">
        <v>25</v>
      </c>
      <c r="F309" s="4" t="s">
        <v>25</v>
      </c>
      <c r="G309" s="4" t="s">
        <v>25</v>
      </c>
      <c r="H309" s="4" t="s">
        <v>34</v>
      </c>
      <c r="I309" s="5">
        <v>44593</v>
      </c>
      <c r="J309" s="6">
        <v>0</v>
      </c>
      <c r="K309" s="6">
        <v>0</v>
      </c>
      <c r="L309" s="6">
        <v>4.7939999999999996</v>
      </c>
      <c r="M309" s="6">
        <v>4.7939999999999996</v>
      </c>
      <c r="N309" s="6">
        <v>4.7939999999999996</v>
      </c>
      <c r="O309" s="6">
        <v>4.7939999999999996</v>
      </c>
      <c r="P309" s="6">
        <v>0</v>
      </c>
      <c r="Q309" s="4" t="s">
        <v>26</v>
      </c>
      <c r="R309" s="4">
        <v>0</v>
      </c>
      <c r="S309" s="4" t="s">
        <v>220</v>
      </c>
      <c r="T309" s="4" t="s">
        <v>449</v>
      </c>
      <c r="U309" s="4">
        <v>0</v>
      </c>
      <c r="V309" s="4">
        <v>8</v>
      </c>
      <c r="W309" s="4">
        <v>38</v>
      </c>
    </row>
    <row r="310" spans="1:23" ht="11.25" customHeight="1" x14ac:dyDescent="0.3">
      <c r="A310" s="4" t="s">
        <v>21</v>
      </c>
      <c r="B310" s="4" t="s">
        <v>39</v>
      </c>
      <c r="C310" s="4" t="s">
        <v>41</v>
      </c>
      <c r="D310" s="4" t="s">
        <v>52</v>
      </c>
      <c r="E310" s="4" t="s">
        <v>25</v>
      </c>
      <c r="F310" s="4" t="s">
        <v>25</v>
      </c>
      <c r="G310" s="4" t="s">
        <v>25</v>
      </c>
      <c r="H310" s="4" t="s">
        <v>34</v>
      </c>
      <c r="I310" s="5">
        <v>44621</v>
      </c>
      <c r="J310" s="6">
        <v>0</v>
      </c>
      <c r="K310" s="6">
        <v>0</v>
      </c>
      <c r="L310" s="6">
        <v>4.569</v>
      </c>
      <c r="M310" s="6">
        <v>4.569</v>
      </c>
      <c r="N310" s="6">
        <v>4.569</v>
      </c>
      <c r="O310" s="6">
        <v>4.569</v>
      </c>
      <c r="P310" s="6">
        <v>0</v>
      </c>
      <c r="Q310" s="4" t="s">
        <v>26</v>
      </c>
      <c r="R310" s="4">
        <v>0</v>
      </c>
      <c r="S310" s="4" t="s">
        <v>221</v>
      </c>
      <c r="T310" s="4" t="s">
        <v>450</v>
      </c>
      <c r="U310" s="4">
        <v>0</v>
      </c>
      <c r="V310" s="4">
        <v>8</v>
      </c>
      <c r="W310" s="4">
        <v>38</v>
      </c>
    </row>
    <row r="311" spans="1:23" ht="11.25" customHeight="1" x14ac:dyDescent="0.3">
      <c r="A311" s="4" t="s">
        <v>21</v>
      </c>
      <c r="B311" s="4" t="s">
        <v>39</v>
      </c>
      <c r="C311" s="4" t="s">
        <v>41</v>
      </c>
      <c r="D311" s="4" t="s">
        <v>52</v>
      </c>
      <c r="E311" s="4" t="s">
        <v>25</v>
      </c>
      <c r="F311" s="4" t="s">
        <v>25</v>
      </c>
      <c r="G311" s="4" t="s">
        <v>25</v>
      </c>
      <c r="H311" s="4" t="s">
        <v>34</v>
      </c>
      <c r="I311" s="5">
        <v>44652</v>
      </c>
      <c r="J311" s="6">
        <v>0</v>
      </c>
      <c r="K311" s="6">
        <v>0</v>
      </c>
      <c r="L311" s="6">
        <v>5.274</v>
      </c>
      <c r="M311" s="6">
        <v>5.274</v>
      </c>
      <c r="N311" s="6">
        <v>5.274</v>
      </c>
      <c r="O311" s="6">
        <v>5.274</v>
      </c>
      <c r="P311" s="6">
        <v>0</v>
      </c>
      <c r="Q311" s="4" t="s">
        <v>26</v>
      </c>
      <c r="R311" s="4">
        <v>0</v>
      </c>
      <c r="S311" s="4" t="s">
        <v>222</v>
      </c>
      <c r="T311" s="4" t="s">
        <v>451</v>
      </c>
      <c r="U311" s="4">
        <v>0</v>
      </c>
      <c r="V311" s="4">
        <v>8</v>
      </c>
      <c r="W311" s="4">
        <v>38</v>
      </c>
    </row>
    <row r="312" spans="1:23" ht="11.25" customHeight="1" x14ac:dyDescent="0.3">
      <c r="A312" s="4" t="s">
        <v>21</v>
      </c>
      <c r="B312" s="4" t="s">
        <v>39</v>
      </c>
      <c r="C312" s="4" t="s">
        <v>41</v>
      </c>
      <c r="D312" s="4" t="s">
        <v>52</v>
      </c>
      <c r="E312" s="4" t="s">
        <v>25</v>
      </c>
      <c r="F312" s="4" t="s">
        <v>25</v>
      </c>
      <c r="G312" s="4" t="s">
        <v>25</v>
      </c>
      <c r="H312" s="4" t="s">
        <v>34</v>
      </c>
      <c r="I312" s="5">
        <v>44682</v>
      </c>
      <c r="J312" s="6">
        <v>0</v>
      </c>
      <c r="K312" s="6">
        <v>0</v>
      </c>
      <c r="L312" s="6">
        <v>4.6159999999999997</v>
      </c>
      <c r="M312" s="6">
        <v>4.6159999999999997</v>
      </c>
      <c r="N312" s="6">
        <v>4.6159999999999997</v>
      </c>
      <c r="O312" s="6">
        <v>4.6159999999999997</v>
      </c>
      <c r="P312" s="6">
        <v>0</v>
      </c>
      <c r="Q312" s="4" t="s">
        <v>26</v>
      </c>
      <c r="R312" s="4">
        <v>0</v>
      </c>
      <c r="S312" s="4" t="s">
        <v>223</v>
      </c>
      <c r="T312" s="4" t="s">
        <v>452</v>
      </c>
      <c r="U312" s="4">
        <v>0</v>
      </c>
      <c r="V312" s="4">
        <v>8</v>
      </c>
      <c r="W312" s="4">
        <v>38</v>
      </c>
    </row>
    <row r="313" spans="1:23" ht="11.25" customHeight="1" x14ac:dyDescent="0.3">
      <c r="A313" s="4" t="s">
        <v>21</v>
      </c>
      <c r="B313" s="4" t="s">
        <v>39</v>
      </c>
      <c r="C313" s="4" t="s">
        <v>41</v>
      </c>
      <c r="D313" s="4" t="s">
        <v>52</v>
      </c>
      <c r="E313" s="4" t="s">
        <v>25</v>
      </c>
      <c r="F313" s="4" t="s">
        <v>25</v>
      </c>
      <c r="G313" s="4" t="s">
        <v>25</v>
      </c>
      <c r="H313" s="4" t="s">
        <v>34</v>
      </c>
      <c r="I313" s="5">
        <v>44713</v>
      </c>
      <c r="J313" s="6">
        <v>0</v>
      </c>
      <c r="K313" s="6">
        <v>0</v>
      </c>
      <c r="L313" s="6">
        <v>5.0890000000000004</v>
      </c>
      <c r="M313" s="6">
        <v>5.0890000000000004</v>
      </c>
      <c r="N313" s="6">
        <v>5.0890000000000004</v>
      </c>
      <c r="O313" s="6">
        <v>5.0890000000000004</v>
      </c>
      <c r="P313" s="6">
        <v>0</v>
      </c>
      <c r="Q313" s="4" t="s">
        <v>26</v>
      </c>
      <c r="R313" s="4">
        <v>0</v>
      </c>
      <c r="S313" s="4" t="s">
        <v>224</v>
      </c>
      <c r="T313" s="4" t="s">
        <v>453</v>
      </c>
      <c r="U313" s="4">
        <v>0</v>
      </c>
      <c r="V313" s="4">
        <v>8</v>
      </c>
      <c r="W313" s="4">
        <v>38</v>
      </c>
    </row>
    <row r="314" spans="1:23" ht="11.25" customHeight="1" x14ac:dyDescent="0.3">
      <c r="A314" s="4" t="s">
        <v>21</v>
      </c>
      <c r="B314" s="4" t="s">
        <v>39</v>
      </c>
      <c r="C314" s="4" t="s">
        <v>41</v>
      </c>
      <c r="D314" s="4" t="s">
        <v>52</v>
      </c>
      <c r="E314" s="4" t="s">
        <v>25</v>
      </c>
      <c r="F314" s="4" t="s">
        <v>25</v>
      </c>
      <c r="G314" s="4" t="s">
        <v>25</v>
      </c>
      <c r="H314" s="4" t="s">
        <v>34</v>
      </c>
      <c r="I314" s="5">
        <v>44743</v>
      </c>
      <c r="J314" s="6">
        <v>0</v>
      </c>
      <c r="K314" s="6">
        <v>0</v>
      </c>
      <c r="L314" s="6">
        <v>4.7629999999999999</v>
      </c>
      <c r="M314" s="6">
        <v>4.7629999999999999</v>
      </c>
      <c r="N314" s="6">
        <v>4.7629999999999999</v>
      </c>
      <c r="O314" s="6">
        <v>4.7629999999999999</v>
      </c>
      <c r="P314" s="6">
        <v>0</v>
      </c>
      <c r="Q314" s="4" t="s">
        <v>26</v>
      </c>
      <c r="R314" s="4">
        <v>0</v>
      </c>
      <c r="S314" s="4" t="s">
        <v>225</v>
      </c>
      <c r="T314" s="4" t="s">
        <v>454</v>
      </c>
      <c r="U314" s="4">
        <v>0</v>
      </c>
      <c r="V314" s="4">
        <v>8</v>
      </c>
      <c r="W314" s="4">
        <v>38</v>
      </c>
    </row>
    <row r="315" spans="1:23" ht="11.25" customHeight="1" x14ac:dyDescent="0.3">
      <c r="A315" s="4" t="s">
        <v>21</v>
      </c>
      <c r="B315" s="4" t="s">
        <v>39</v>
      </c>
      <c r="C315" s="4" t="s">
        <v>41</v>
      </c>
      <c r="D315" s="4" t="s">
        <v>52</v>
      </c>
      <c r="E315" s="4" t="s">
        <v>25</v>
      </c>
      <c r="F315" s="4" t="s">
        <v>25</v>
      </c>
      <c r="G315" s="4" t="s">
        <v>25</v>
      </c>
      <c r="H315" s="4" t="s">
        <v>34</v>
      </c>
      <c r="I315" s="5">
        <v>44774</v>
      </c>
      <c r="J315" s="6">
        <v>0</v>
      </c>
      <c r="K315" s="6">
        <v>0</v>
      </c>
      <c r="L315" s="6">
        <v>4.9459999999999997</v>
      </c>
      <c r="M315" s="6">
        <v>4.9459999999999997</v>
      </c>
      <c r="N315" s="6">
        <v>4.9459999999999997</v>
      </c>
      <c r="O315" s="6">
        <v>4.9459999999999997</v>
      </c>
      <c r="P315" s="6">
        <v>0</v>
      </c>
      <c r="Q315" s="4" t="s">
        <v>26</v>
      </c>
      <c r="R315" s="4">
        <v>0</v>
      </c>
      <c r="S315" s="4" t="s">
        <v>226</v>
      </c>
      <c r="T315" s="4" t="s">
        <v>455</v>
      </c>
      <c r="U315" s="4">
        <v>0</v>
      </c>
      <c r="V315" s="4">
        <v>8</v>
      </c>
      <c r="W315" s="4">
        <v>38</v>
      </c>
    </row>
    <row r="316" spans="1:23" ht="11.25" customHeight="1" x14ac:dyDescent="0.3">
      <c r="A316" s="4" t="s">
        <v>21</v>
      </c>
      <c r="B316" s="4" t="s">
        <v>39</v>
      </c>
      <c r="C316" s="4" t="s">
        <v>41</v>
      </c>
      <c r="D316" s="4" t="s">
        <v>52</v>
      </c>
      <c r="E316" s="4" t="s">
        <v>25</v>
      </c>
      <c r="F316" s="4" t="s">
        <v>25</v>
      </c>
      <c r="G316" s="4" t="s">
        <v>25</v>
      </c>
      <c r="H316" s="4" t="s">
        <v>34</v>
      </c>
      <c r="I316" s="5">
        <v>44805</v>
      </c>
      <c r="J316" s="6">
        <v>0</v>
      </c>
      <c r="K316" s="6">
        <v>0</v>
      </c>
      <c r="L316" s="6">
        <v>5.39</v>
      </c>
      <c r="M316" s="6">
        <v>5.39</v>
      </c>
      <c r="N316" s="6">
        <v>5.39</v>
      </c>
      <c r="O316" s="6">
        <v>5.39</v>
      </c>
      <c r="P316" s="6">
        <v>0</v>
      </c>
      <c r="Q316" s="4" t="s">
        <v>26</v>
      </c>
      <c r="R316" s="4">
        <v>0</v>
      </c>
      <c r="S316" s="4" t="s">
        <v>227</v>
      </c>
      <c r="T316" s="4" t="s">
        <v>456</v>
      </c>
      <c r="U316" s="4">
        <v>0</v>
      </c>
      <c r="V316" s="4">
        <v>8</v>
      </c>
      <c r="W316" s="4">
        <v>38</v>
      </c>
    </row>
    <row r="317" spans="1:23" ht="11.25" customHeight="1" x14ac:dyDescent="0.3">
      <c r="A317" s="4" t="s">
        <v>53</v>
      </c>
      <c r="B317" s="4" t="s">
        <v>39</v>
      </c>
      <c r="C317" s="4" t="s">
        <v>41</v>
      </c>
      <c r="D317" s="4" t="s">
        <v>52</v>
      </c>
      <c r="E317" s="4" t="s">
        <v>25</v>
      </c>
      <c r="F317" s="4" t="s">
        <v>25</v>
      </c>
      <c r="G317" s="4" t="s">
        <v>25</v>
      </c>
      <c r="H317" s="4" t="s">
        <v>34</v>
      </c>
      <c r="I317" s="5">
        <v>44835</v>
      </c>
      <c r="J317" s="6">
        <v>0</v>
      </c>
      <c r="K317" s="6">
        <v>0</v>
      </c>
      <c r="L317" s="6">
        <v>5.39</v>
      </c>
      <c r="M317" s="6">
        <v>5.39</v>
      </c>
      <c r="N317" s="6">
        <v>5.39</v>
      </c>
      <c r="O317" s="6">
        <v>5.39</v>
      </c>
      <c r="P317" s="6">
        <v>0</v>
      </c>
      <c r="Q317" s="4" t="s">
        <v>26</v>
      </c>
      <c r="R317" s="4">
        <v>0</v>
      </c>
      <c r="S317" s="4" t="s">
        <v>228</v>
      </c>
      <c r="T317" s="4" t="s">
        <v>457</v>
      </c>
      <c r="U317" s="4">
        <v>0</v>
      </c>
      <c r="V317" s="4">
        <v>8</v>
      </c>
      <c r="W317" s="4">
        <v>38</v>
      </c>
    </row>
    <row r="318" spans="1:23" ht="11.25" customHeight="1" x14ac:dyDescent="0.3">
      <c r="A318" s="4" t="s">
        <v>21</v>
      </c>
      <c r="B318" s="4" t="s">
        <v>39</v>
      </c>
      <c r="C318" s="4" t="s">
        <v>41</v>
      </c>
      <c r="D318" s="4" t="s">
        <v>38</v>
      </c>
      <c r="E318" s="4" t="s">
        <v>25</v>
      </c>
      <c r="F318" s="4" t="s">
        <v>56</v>
      </c>
      <c r="G318" s="4" t="s">
        <v>25</v>
      </c>
      <c r="H318" s="4" t="s">
        <v>35</v>
      </c>
      <c r="I318" s="5">
        <v>44501</v>
      </c>
      <c r="J318" s="6">
        <v>0</v>
      </c>
      <c r="K318" s="6">
        <v>0</v>
      </c>
      <c r="L318" s="6">
        <v>1753.7190000000001</v>
      </c>
      <c r="M318" s="6">
        <v>1753.7190000000001</v>
      </c>
      <c r="N318" s="6">
        <v>0</v>
      </c>
      <c r="O318" s="6">
        <v>0</v>
      </c>
      <c r="P318" s="6">
        <v>0</v>
      </c>
      <c r="Q318" s="4" t="s">
        <v>55</v>
      </c>
      <c r="R318" s="4">
        <v>0</v>
      </c>
      <c r="S318" s="4" t="s">
        <v>193</v>
      </c>
      <c r="U318" s="4">
        <v>0</v>
      </c>
      <c r="V318" s="4">
        <v>6</v>
      </c>
      <c r="W318" s="4">
        <v>0</v>
      </c>
    </row>
    <row r="319" spans="1:23" ht="11.25" customHeight="1" x14ac:dyDescent="0.3">
      <c r="A319" s="4" t="s">
        <v>21</v>
      </c>
      <c r="B319" s="4" t="s">
        <v>39</v>
      </c>
      <c r="C319" s="4" t="s">
        <v>41</v>
      </c>
      <c r="D319" s="4" t="s">
        <v>38</v>
      </c>
      <c r="E319" s="4" t="s">
        <v>25</v>
      </c>
      <c r="F319" s="4" t="s">
        <v>56</v>
      </c>
      <c r="G319" s="4" t="s">
        <v>25</v>
      </c>
      <c r="H319" s="4" t="s">
        <v>35</v>
      </c>
      <c r="I319" s="5">
        <v>44531</v>
      </c>
      <c r="J319" s="6">
        <v>0</v>
      </c>
      <c r="K319" s="6">
        <v>0</v>
      </c>
      <c r="L319" s="6">
        <v>1678.8050000000001</v>
      </c>
      <c r="M319" s="6">
        <v>1678.8050000000001</v>
      </c>
      <c r="N319" s="6">
        <v>0</v>
      </c>
      <c r="O319" s="6">
        <v>0</v>
      </c>
      <c r="P319" s="6">
        <v>0</v>
      </c>
      <c r="Q319" s="4" t="s">
        <v>55</v>
      </c>
      <c r="R319" s="4">
        <v>0</v>
      </c>
      <c r="S319" s="4" t="s">
        <v>194</v>
      </c>
      <c r="U319" s="4">
        <v>0</v>
      </c>
      <c r="V319" s="4">
        <v>6</v>
      </c>
      <c r="W319" s="4">
        <v>0</v>
      </c>
    </row>
    <row r="320" spans="1:23" ht="11.25" customHeight="1" x14ac:dyDescent="0.3">
      <c r="A320" s="4" t="s">
        <v>21</v>
      </c>
      <c r="B320" s="4" t="s">
        <v>39</v>
      </c>
      <c r="C320" s="4" t="s">
        <v>41</v>
      </c>
      <c r="D320" s="4" t="s">
        <v>38</v>
      </c>
      <c r="E320" s="4" t="s">
        <v>25</v>
      </c>
      <c r="F320" s="4" t="s">
        <v>56</v>
      </c>
      <c r="G320" s="4" t="s">
        <v>25</v>
      </c>
      <c r="H320" s="4" t="s">
        <v>35</v>
      </c>
      <c r="I320" s="5">
        <v>44562</v>
      </c>
      <c r="J320" s="6">
        <v>0</v>
      </c>
      <c r="K320" s="6">
        <v>0</v>
      </c>
      <c r="L320" s="6">
        <v>1693.835</v>
      </c>
      <c r="M320" s="6">
        <v>1693.835</v>
      </c>
      <c r="N320" s="6">
        <v>0</v>
      </c>
      <c r="O320" s="6">
        <v>0</v>
      </c>
      <c r="P320" s="6">
        <v>0</v>
      </c>
      <c r="Q320" s="4" t="s">
        <v>55</v>
      </c>
      <c r="R320" s="4">
        <v>0</v>
      </c>
      <c r="S320" s="4" t="s">
        <v>195</v>
      </c>
      <c r="U320" s="4">
        <v>0</v>
      </c>
      <c r="V320" s="4">
        <v>6</v>
      </c>
      <c r="W320" s="4">
        <v>0</v>
      </c>
    </row>
    <row r="321" spans="1:23" ht="11.25" customHeight="1" x14ac:dyDescent="0.3">
      <c r="A321" s="4" t="s">
        <v>21</v>
      </c>
      <c r="B321" s="4" t="s">
        <v>39</v>
      </c>
      <c r="C321" s="4" t="s">
        <v>41</v>
      </c>
      <c r="D321" s="4" t="s">
        <v>38</v>
      </c>
      <c r="E321" s="4" t="s">
        <v>25</v>
      </c>
      <c r="F321" s="4" t="s">
        <v>56</v>
      </c>
      <c r="G321" s="4" t="s">
        <v>25</v>
      </c>
      <c r="H321" s="4" t="s">
        <v>35</v>
      </c>
      <c r="I321" s="5">
        <v>44593</v>
      </c>
      <c r="J321" s="6">
        <v>0</v>
      </c>
      <c r="K321" s="6">
        <v>0</v>
      </c>
      <c r="L321" s="6">
        <v>1820.998</v>
      </c>
      <c r="M321" s="6">
        <v>1820.998</v>
      </c>
      <c r="N321" s="6">
        <v>0</v>
      </c>
      <c r="O321" s="6">
        <v>0</v>
      </c>
      <c r="P321" s="6">
        <v>0</v>
      </c>
      <c r="Q321" s="4" t="s">
        <v>55</v>
      </c>
      <c r="R321" s="4">
        <v>0</v>
      </c>
      <c r="S321" s="4" t="s">
        <v>196</v>
      </c>
      <c r="U321" s="4">
        <v>0</v>
      </c>
      <c r="V321" s="4">
        <v>6</v>
      </c>
      <c r="W321" s="4">
        <v>0</v>
      </c>
    </row>
    <row r="322" spans="1:23" ht="11.25" customHeight="1" x14ac:dyDescent="0.3">
      <c r="A322" s="4" t="s">
        <v>21</v>
      </c>
      <c r="B322" s="4" t="s">
        <v>39</v>
      </c>
      <c r="C322" s="4" t="s">
        <v>41</v>
      </c>
      <c r="D322" s="4" t="s">
        <v>38</v>
      </c>
      <c r="E322" s="4" t="s">
        <v>25</v>
      </c>
      <c r="F322" s="4" t="s">
        <v>56</v>
      </c>
      <c r="G322" s="4" t="s">
        <v>25</v>
      </c>
      <c r="H322" s="4" t="s">
        <v>35</v>
      </c>
      <c r="I322" s="5">
        <v>44621</v>
      </c>
      <c r="J322" s="6">
        <v>0</v>
      </c>
      <c r="K322" s="6">
        <v>0</v>
      </c>
      <c r="L322" s="6">
        <v>1778.502</v>
      </c>
      <c r="M322" s="6">
        <v>1778.502</v>
      </c>
      <c r="N322" s="6">
        <v>0</v>
      </c>
      <c r="O322" s="6">
        <v>0</v>
      </c>
      <c r="P322" s="6">
        <v>0</v>
      </c>
      <c r="Q322" s="4" t="s">
        <v>55</v>
      </c>
      <c r="R322" s="4">
        <v>0</v>
      </c>
      <c r="S322" s="4" t="s">
        <v>197</v>
      </c>
      <c r="U322" s="4">
        <v>0</v>
      </c>
      <c r="V322" s="4">
        <v>6</v>
      </c>
      <c r="W322" s="4">
        <v>0</v>
      </c>
    </row>
    <row r="323" spans="1:23" ht="11.25" customHeight="1" x14ac:dyDescent="0.3">
      <c r="A323" s="4" t="s">
        <v>21</v>
      </c>
      <c r="B323" s="4" t="s">
        <v>39</v>
      </c>
      <c r="C323" s="4" t="s">
        <v>41</v>
      </c>
      <c r="D323" s="4" t="s">
        <v>38</v>
      </c>
      <c r="E323" s="4" t="s">
        <v>25</v>
      </c>
      <c r="F323" s="4" t="s">
        <v>56</v>
      </c>
      <c r="G323" s="4" t="s">
        <v>25</v>
      </c>
      <c r="H323" s="4" t="s">
        <v>35</v>
      </c>
      <c r="I323" s="5">
        <v>44652</v>
      </c>
      <c r="J323" s="6">
        <v>0</v>
      </c>
      <c r="K323" s="6">
        <v>0</v>
      </c>
      <c r="L323" s="6">
        <v>2134.7739999999999</v>
      </c>
      <c r="M323" s="6">
        <v>2134.7739999999999</v>
      </c>
      <c r="N323" s="6">
        <v>0</v>
      </c>
      <c r="O323" s="6">
        <v>0</v>
      </c>
      <c r="P323" s="6">
        <v>0</v>
      </c>
      <c r="Q323" s="4" t="s">
        <v>55</v>
      </c>
      <c r="R323" s="4">
        <v>0</v>
      </c>
      <c r="S323" s="4" t="s">
        <v>198</v>
      </c>
      <c r="U323" s="4">
        <v>0</v>
      </c>
      <c r="V323" s="4">
        <v>6</v>
      </c>
      <c r="W323" s="4">
        <v>0</v>
      </c>
    </row>
    <row r="324" spans="1:23" ht="11.25" customHeight="1" x14ac:dyDescent="0.3">
      <c r="A324" s="4" t="s">
        <v>21</v>
      </c>
      <c r="B324" s="4" t="s">
        <v>39</v>
      </c>
      <c r="C324" s="4" t="s">
        <v>41</v>
      </c>
      <c r="D324" s="4" t="s">
        <v>38</v>
      </c>
      <c r="E324" s="4" t="s">
        <v>25</v>
      </c>
      <c r="F324" s="4" t="s">
        <v>56</v>
      </c>
      <c r="G324" s="4" t="s">
        <v>25</v>
      </c>
      <c r="H324" s="4" t="s">
        <v>35</v>
      </c>
      <c r="I324" s="5">
        <v>44682</v>
      </c>
      <c r="J324" s="6">
        <v>0</v>
      </c>
      <c r="K324" s="6">
        <v>0</v>
      </c>
      <c r="L324" s="6">
        <v>1901.9580000000001</v>
      </c>
      <c r="M324" s="6">
        <v>1901.9580000000001</v>
      </c>
      <c r="N324" s="6">
        <v>0</v>
      </c>
      <c r="O324" s="6">
        <v>0</v>
      </c>
      <c r="P324" s="6">
        <v>0</v>
      </c>
      <c r="Q324" s="4" t="s">
        <v>55</v>
      </c>
      <c r="R324" s="4">
        <v>0</v>
      </c>
      <c r="S324" s="4" t="s">
        <v>199</v>
      </c>
      <c r="U324" s="4">
        <v>0</v>
      </c>
      <c r="V324" s="4">
        <v>6</v>
      </c>
      <c r="W324" s="4">
        <v>0</v>
      </c>
    </row>
    <row r="325" spans="1:23" ht="11.25" customHeight="1" x14ac:dyDescent="0.3">
      <c r="A325" s="4" t="s">
        <v>21</v>
      </c>
      <c r="B325" s="4" t="s">
        <v>39</v>
      </c>
      <c r="C325" s="4" t="s">
        <v>41</v>
      </c>
      <c r="D325" s="4" t="s">
        <v>38</v>
      </c>
      <c r="E325" s="4" t="s">
        <v>25</v>
      </c>
      <c r="F325" s="4" t="s">
        <v>56</v>
      </c>
      <c r="G325" s="4" t="s">
        <v>25</v>
      </c>
      <c r="H325" s="4" t="s">
        <v>35</v>
      </c>
      <c r="I325" s="5">
        <v>44713</v>
      </c>
      <c r="J325" s="6">
        <v>0</v>
      </c>
      <c r="K325" s="6">
        <v>0</v>
      </c>
      <c r="L325" s="6">
        <v>1849.085</v>
      </c>
      <c r="M325" s="6">
        <v>1849.085</v>
      </c>
      <c r="N325" s="6">
        <v>0</v>
      </c>
      <c r="O325" s="6">
        <v>0</v>
      </c>
      <c r="P325" s="6">
        <v>0</v>
      </c>
      <c r="Q325" s="4" t="s">
        <v>55</v>
      </c>
      <c r="R325" s="4">
        <v>0</v>
      </c>
      <c r="S325" s="4" t="s">
        <v>200</v>
      </c>
      <c r="U325" s="4">
        <v>0</v>
      </c>
      <c r="V325" s="4">
        <v>6</v>
      </c>
      <c r="W325" s="4">
        <v>0</v>
      </c>
    </row>
    <row r="326" spans="1:23" ht="11.25" customHeight="1" x14ac:dyDescent="0.3">
      <c r="A326" s="4" t="s">
        <v>21</v>
      </c>
      <c r="B326" s="4" t="s">
        <v>39</v>
      </c>
      <c r="C326" s="4" t="s">
        <v>41</v>
      </c>
      <c r="D326" s="4" t="s">
        <v>38</v>
      </c>
      <c r="E326" s="4" t="s">
        <v>25</v>
      </c>
      <c r="F326" s="4" t="s">
        <v>56</v>
      </c>
      <c r="G326" s="4" t="s">
        <v>25</v>
      </c>
      <c r="H326" s="4" t="s">
        <v>35</v>
      </c>
      <c r="I326" s="5">
        <v>44743</v>
      </c>
      <c r="J326" s="6">
        <v>0</v>
      </c>
      <c r="K326" s="6">
        <v>0</v>
      </c>
      <c r="L326" s="6">
        <v>1817.01</v>
      </c>
      <c r="M326" s="6">
        <v>1817.01</v>
      </c>
      <c r="N326" s="6">
        <v>0</v>
      </c>
      <c r="O326" s="6">
        <v>0</v>
      </c>
      <c r="P326" s="6">
        <v>0</v>
      </c>
      <c r="Q326" s="4" t="s">
        <v>55</v>
      </c>
      <c r="R326" s="4">
        <v>0</v>
      </c>
      <c r="S326" s="4" t="s">
        <v>201</v>
      </c>
      <c r="U326" s="4">
        <v>0</v>
      </c>
      <c r="V326" s="4">
        <v>6</v>
      </c>
      <c r="W326" s="4">
        <v>0</v>
      </c>
    </row>
    <row r="327" spans="1:23" ht="11.25" customHeight="1" x14ac:dyDescent="0.3">
      <c r="A327" s="4" t="s">
        <v>21</v>
      </c>
      <c r="B327" s="4" t="s">
        <v>39</v>
      </c>
      <c r="C327" s="4" t="s">
        <v>41</v>
      </c>
      <c r="D327" s="4" t="s">
        <v>38</v>
      </c>
      <c r="E327" s="4" t="s">
        <v>25</v>
      </c>
      <c r="F327" s="4" t="s">
        <v>56</v>
      </c>
      <c r="G327" s="4" t="s">
        <v>25</v>
      </c>
      <c r="H327" s="4" t="s">
        <v>35</v>
      </c>
      <c r="I327" s="5">
        <v>44774</v>
      </c>
      <c r="J327" s="6">
        <v>0</v>
      </c>
      <c r="K327" s="6">
        <v>0</v>
      </c>
      <c r="L327" s="6">
        <v>1863.682</v>
      </c>
      <c r="M327" s="6">
        <v>1863.682</v>
      </c>
      <c r="N327" s="6">
        <v>0</v>
      </c>
      <c r="O327" s="6">
        <v>0</v>
      </c>
      <c r="P327" s="6">
        <v>0</v>
      </c>
      <c r="Q327" s="4" t="s">
        <v>55</v>
      </c>
      <c r="R327" s="4">
        <v>0</v>
      </c>
      <c r="S327" s="4" t="s">
        <v>202</v>
      </c>
      <c r="U327" s="4">
        <v>0</v>
      </c>
      <c r="V327" s="4">
        <v>6</v>
      </c>
      <c r="W327" s="4">
        <v>0</v>
      </c>
    </row>
    <row r="328" spans="1:23" ht="11.25" customHeight="1" x14ac:dyDescent="0.3">
      <c r="A328" s="4" t="s">
        <v>21</v>
      </c>
      <c r="B328" s="4" t="s">
        <v>39</v>
      </c>
      <c r="C328" s="4" t="s">
        <v>41</v>
      </c>
      <c r="D328" s="4" t="s">
        <v>38</v>
      </c>
      <c r="E328" s="4" t="s">
        <v>25</v>
      </c>
      <c r="F328" s="4" t="s">
        <v>56</v>
      </c>
      <c r="G328" s="4" t="s">
        <v>25</v>
      </c>
      <c r="H328" s="4" t="s">
        <v>35</v>
      </c>
      <c r="I328" s="5">
        <v>44805</v>
      </c>
      <c r="J328" s="6">
        <v>0</v>
      </c>
      <c r="K328" s="6">
        <v>0</v>
      </c>
      <c r="L328" s="6">
        <v>1955.509</v>
      </c>
      <c r="M328" s="6">
        <v>1955.509</v>
      </c>
      <c r="N328" s="6">
        <v>0</v>
      </c>
      <c r="O328" s="6">
        <v>0</v>
      </c>
      <c r="P328" s="6">
        <v>0</v>
      </c>
      <c r="Q328" s="4" t="s">
        <v>55</v>
      </c>
      <c r="R328" s="4">
        <v>0</v>
      </c>
      <c r="S328" s="4" t="s">
        <v>203</v>
      </c>
      <c r="U328" s="4">
        <v>0</v>
      </c>
      <c r="V328" s="4">
        <v>6</v>
      </c>
      <c r="W328" s="4">
        <v>0</v>
      </c>
    </row>
    <row r="329" spans="1:23" ht="11.25" customHeight="1" x14ac:dyDescent="0.3">
      <c r="A329" s="4" t="s">
        <v>53</v>
      </c>
      <c r="B329" s="4" t="s">
        <v>39</v>
      </c>
      <c r="C329" s="4" t="s">
        <v>41</v>
      </c>
      <c r="D329" s="4" t="s">
        <v>38</v>
      </c>
      <c r="E329" s="4" t="s">
        <v>25</v>
      </c>
      <c r="F329" s="4" t="s">
        <v>56</v>
      </c>
      <c r="G329" s="4" t="s">
        <v>25</v>
      </c>
      <c r="H329" s="4" t="s">
        <v>35</v>
      </c>
      <c r="I329" s="5">
        <v>44835</v>
      </c>
      <c r="J329" s="6">
        <v>0</v>
      </c>
      <c r="K329" s="6">
        <v>0</v>
      </c>
      <c r="L329" s="6">
        <v>1955.509</v>
      </c>
      <c r="M329" s="6">
        <v>1955.509</v>
      </c>
      <c r="N329" s="6">
        <v>0</v>
      </c>
      <c r="O329" s="6">
        <v>0</v>
      </c>
      <c r="P329" s="6">
        <v>0</v>
      </c>
      <c r="Q329" s="4" t="s">
        <v>55</v>
      </c>
      <c r="R329" s="4">
        <v>0</v>
      </c>
      <c r="S329" s="4" t="s">
        <v>204</v>
      </c>
      <c r="U329" s="4">
        <v>0</v>
      </c>
      <c r="V329" s="4">
        <v>6</v>
      </c>
      <c r="W329" s="4">
        <v>0</v>
      </c>
    </row>
    <row r="330" spans="1:23" ht="11.25" customHeight="1" x14ac:dyDescent="0.3">
      <c r="A330" s="4" t="s">
        <v>21</v>
      </c>
      <c r="B330" s="4" t="s">
        <v>39</v>
      </c>
      <c r="C330" s="4" t="s">
        <v>41</v>
      </c>
      <c r="D330" s="4" t="s">
        <v>38</v>
      </c>
      <c r="E330" s="4" t="s">
        <v>25</v>
      </c>
      <c r="F330" s="4" t="s">
        <v>56</v>
      </c>
      <c r="G330" s="4" t="s">
        <v>25</v>
      </c>
      <c r="H330" s="4" t="s">
        <v>25</v>
      </c>
      <c r="I330" s="5">
        <v>44501</v>
      </c>
      <c r="J330" s="6">
        <v>5385</v>
      </c>
      <c r="K330" s="6">
        <v>4382.6265147000004</v>
      </c>
      <c r="L330" s="6">
        <v>0</v>
      </c>
      <c r="M330" s="6">
        <v>0</v>
      </c>
      <c r="N330" s="6">
        <v>0</v>
      </c>
      <c r="O330" s="6">
        <v>0</v>
      </c>
      <c r="P330" s="6">
        <v>9</v>
      </c>
      <c r="Q330" s="4" t="s">
        <v>55</v>
      </c>
      <c r="R330" s="4">
        <v>0</v>
      </c>
      <c r="S330" s="4" t="s">
        <v>205</v>
      </c>
      <c r="U330" s="4">
        <v>20</v>
      </c>
      <c r="V330" s="4">
        <v>0</v>
      </c>
      <c r="W330" s="4">
        <v>0</v>
      </c>
    </row>
    <row r="331" spans="1:23" ht="11.25" customHeight="1" x14ac:dyDescent="0.3">
      <c r="A331" s="4" t="s">
        <v>21</v>
      </c>
      <c r="B331" s="4" t="s">
        <v>39</v>
      </c>
      <c r="C331" s="4" t="s">
        <v>41</v>
      </c>
      <c r="D331" s="4" t="s">
        <v>38</v>
      </c>
      <c r="E331" s="4" t="s">
        <v>25</v>
      </c>
      <c r="F331" s="4" t="s">
        <v>56</v>
      </c>
      <c r="G331" s="4" t="s">
        <v>25</v>
      </c>
      <c r="H331" s="4" t="s">
        <v>25</v>
      </c>
      <c r="I331" s="5">
        <v>44531</v>
      </c>
      <c r="J331" s="6">
        <v>5464</v>
      </c>
      <c r="K331" s="6">
        <v>2639.6861571200002</v>
      </c>
      <c r="L331" s="6">
        <v>0</v>
      </c>
      <c r="M331" s="6">
        <v>0</v>
      </c>
      <c r="N331" s="6">
        <v>0</v>
      </c>
      <c r="O331" s="6">
        <v>0</v>
      </c>
      <c r="P331" s="6">
        <v>9</v>
      </c>
      <c r="Q331" s="4" t="s">
        <v>55</v>
      </c>
      <c r="R331" s="4">
        <v>0</v>
      </c>
      <c r="S331" s="4" t="s">
        <v>206</v>
      </c>
      <c r="U331" s="4">
        <v>20</v>
      </c>
      <c r="V331" s="4">
        <v>0</v>
      </c>
      <c r="W331" s="4">
        <v>0</v>
      </c>
    </row>
    <row r="332" spans="1:23" ht="11.25" customHeight="1" x14ac:dyDescent="0.3">
      <c r="A332" s="4" t="s">
        <v>21</v>
      </c>
      <c r="B332" s="4" t="s">
        <v>39</v>
      </c>
      <c r="C332" s="4" t="s">
        <v>41</v>
      </c>
      <c r="D332" s="4" t="s">
        <v>38</v>
      </c>
      <c r="E332" s="4" t="s">
        <v>25</v>
      </c>
      <c r="F332" s="4" t="s">
        <v>56</v>
      </c>
      <c r="G332" s="4" t="s">
        <v>25</v>
      </c>
      <c r="H332" s="4" t="s">
        <v>25</v>
      </c>
      <c r="I332" s="5">
        <v>44562</v>
      </c>
      <c r="J332" s="6">
        <v>5699</v>
      </c>
      <c r="K332" s="6">
        <v>1816.6392844300001</v>
      </c>
      <c r="L332" s="6">
        <v>0</v>
      </c>
      <c r="M332" s="6">
        <v>0</v>
      </c>
      <c r="N332" s="6">
        <v>0</v>
      </c>
      <c r="O332" s="6">
        <v>0</v>
      </c>
      <c r="P332" s="6">
        <v>11</v>
      </c>
      <c r="Q332" s="4" t="s">
        <v>55</v>
      </c>
      <c r="R332" s="4">
        <v>0</v>
      </c>
      <c r="S332" s="4" t="s">
        <v>207</v>
      </c>
      <c r="U332" s="4">
        <v>20</v>
      </c>
      <c r="V332" s="4">
        <v>0</v>
      </c>
      <c r="W332" s="4">
        <v>0</v>
      </c>
    </row>
    <row r="333" spans="1:23" ht="11.25" customHeight="1" x14ac:dyDescent="0.3">
      <c r="A333" s="4" t="s">
        <v>21</v>
      </c>
      <c r="B333" s="4" t="s">
        <v>39</v>
      </c>
      <c r="C333" s="4" t="s">
        <v>41</v>
      </c>
      <c r="D333" s="4" t="s">
        <v>38</v>
      </c>
      <c r="E333" s="4" t="s">
        <v>25</v>
      </c>
      <c r="F333" s="4" t="s">
        <v>56</v>
      </c>
      <c r="G333" s="4" t="s">
        <v>25</v>
      </c>
      <c r="H333" s="4" t="s">
        <v>25</v>
      </c>
      <c r="I333" s="5">
        <v>44593</v>
      </c>
      <c r="J333" s="6">
        <v>6247</v>
      </c>
      <c r="K333" s="6">
        <v>3020.874284</v>
      </c>
      <c r="L333" s="6">
        <v>0</v>
      </c>
      <c r="M333" s="6">
        <v>0</v>
      </c>
      <c r="N333" s="6">
        <v>0</v>
      </c>
      <c r="O333" s="6">
        <v>0</v>
      </c>
      <c r="P333" s="6">
        <v>12</v>
      </c>
      <c r="Q333" s="4" t="s">
        <v>55</v>
      </c>
      <c r="R333" s="4">
        <v>0</v>
      </c>
      <c r="S333" s="4" t="s">
        <v>208</v>
      </c>
      <c r="U333" s="4">
        <v>20</v>
      </c>
      <c r="V333" s="4">
        <v>0</v>
      </c>
      <c r="W333" s="4">
        <v>0</v>
      </c>
    </row>
    <row r="334" spans="1:23" ht="11.25" customHeight="1" x14ac:dyDescent="0.3">
      <c r="A334" s="4" t="s">
        <v>21</v>
      </c>
      <c r="B334" s="4" t="s">
        <v>39</v>
      </c>
      <c r="C334" s="4" t="s">
        <v>41</v>
      </c>
      <c r="D334" s="4" t="s">
        <v>38</v>
      </c>
      <c r="E334" s="4" t="s">
        <v>25</v>
      </c>
      <c r="F334" s="4" t="s">
        <v>56</v>
      </c>
      <c r="G334" s="4" t="s">
        <v>25</v>
      </c>
      <c r="H334" s="4" t="s">
        <v>25</v>
      </c>
      <c r="I334" s="5">
        <v>44621</v>
      </c>
      <c r="J334" s="6">
        <v>6434</v>
      </c>
      <c r="K334" s="6">
        <v>3202.3385868400001</v>
      </c>
      <c r="L334" s="6">
        <v>0</v>
      </c>
      <c r="M334" s="6">
        <v>0</v>
      </c>
      <c r="N334" s="6">
        <v>0</v>
      </c>
      <c r="O334" s="6">
        <v>0</v>
      </c>
      <c r="P334" s="6">
        <v>13</v>
      </c>
      <c r="Q334" s="4" t="s">
        <v>55</v>
      </c>
      <c r="R334" s="4">
        <v>0</v>
      </c>
      <c r="S334" s="4" t="s">
        <v>209</v>
      </c>
      <c r="U334" s="4">
        <v>20</v>
      </c>
      <c r="V334" s="4">
        <v>0</v>
      </c>
      <c r="W334" s="4">
        <v>0</v>
      </c>
    </row>
    <row r="335" spans="1:23" ht="11.25" customHeight="1" x14ac:dyDescent="0.3">
      <c r="A335" s="4" t="s">
        <v>21</v>
      </c>
      <c r="B335" s="4" t="s">
        <v>39</v>
      </c>
      <c r="C335" s="4" t="s">
        <v>41</v>
      </c>
      <c r="D335" s="4" t="s">
        <v>38</v>
      </c>
      <c r="E335" s="4" t="s">
        <v>25</v>
      </c>
      <c r="F335" s="4" t="s">
        <v>56</v>
      </c>
      <c r="G335" s="4" t="s">
        <v>25</v>
      </c>
      <c r="H335" s="4" t="s">
        <v>25</v>
      </c>
      <c r="I335" s="5">
        <v>44652</v>
      </c>
      <c r="J335" s="6">
        <v>6719</v>
      </c>
      <c r="K335" s="6">
        <v>3187.2271244600001</v>
      </c>
      <c r="L335" s="6">
        <v>0</v>
      </c>
      <c r="M335" s="6">
        <v>0</v>
      </c>
      <c r="N335" s="6">
        <v>0</v>
      </c>
      <c r="O335" s="6">
        <v>0</v>
      </c>
      <c r="P335" s="6">
        <v>15</v>
      </c>
      <c r="Q335" s="4" t="s">
        <v>55</v>
      </c>
      <c r="R335" s="4">
        <v>0</v>
      </c>
      <c r="S335" s="4" t="s">
        <v>210</v>
      </c>
      <c r="U335" s="4">
        <v>20</v>
      </c>
      <c r="V335" s="4">
        <v>0</v>
      </c>
      <c r="W335" s="4">
        <v>0</v>
      </c>
    </row>
    <row r="336" spans="1:23" ht="11.25" customHeight="1" x14ac:dyDescent="0.3">
      <c r="A336" s="4" t="s">
        <v>21</v>
      </c>
      <c r="B336" s="4" t="s">
        <v>39</v>
      </c>
      <c r="C336" s="4" t="s">
        <v>41</v>
      </c>
      <c r="D336" s="4" t="s">
        <v>38</v>
      </c>
      <c r="E336" s="4" t="s">
        <v>25</v>
      </c>
      <c r="F336" s="4" t="s">
        <v>56</v>
      </c>
      <c r="G336" s="4" t="s">
        <v>25</v>
      </c>
      <c r="H336" s="4" t="s">
        <v>25</v>
      </c>
      <c r="I336" s="5">
        <v>44682</v>
      </c>
      <c r="J336" s="6">
        <v>6697</v>
      </c>
      <c r="K336" s="6">
        <v>3460.6249912899998</v>
      </c>
      <c r="L336" s="6">
        <v>0</v>
      </c>
      <c r="M336" s="6">
        <v>0</v>
      </c>
      <c r="N336" s="6">
        <v>0</v>
      </c>
      <c r="O336" s="6">
        <v>0</v>
      </c>
      <c r="P336" s="6">
        <v>15</v>
      </c>
      <c r="Q336" s="4" t="s">
        <v>55</v>
      </c>
      <c r="R336" s="4">
        <v>0</v>
      </c>
      <c r="S336" s="4" t="s">
        <v>211</v>
      </c>
      <c r="U336" s="4">
        <v>20</v>
      </c>
      <c r="V336" s="4">
        <v>0</v>
      </c>
      <c r="W336" s="4">
        <v>0</v>
      </c>
    </row>
    <row r="337" spans="1:23" ht="11.25" customHeight="1" x14ac:dyDescent="0.3">
      <c r="A337" s="4" t="s">
        <v>21</v>
      </c>
      <c r="B337" s="4" t="s">
        <v>39</v>
      </c>
      <c r="C337" s="4" t="s">
        <v>41</v>
      </c>
      <c r="D337" s="4" t="s">
        <v>38</v>
      </c>
      <c r="E337" s="4" t="s">
        <v>25</v>
      </c>
      <c r="F337" s="4" t="s">
        <v>56</v>
      </c>
      <c r="G337" s="4" t="s">
        <v>25</v>
      </c>
      <c r="H337" s="4" t="s">
        <v>25</v>
      </c>
      <c r="I337" s="5">
        <v>44713</v>
      </c>
      <c r="J337" s="6">
        <v>7006</v>
      </c>
      <c r="K337" s="6">
        <v>3237.26858528</v>
      </c>
      <c r="L337" s="6">
        <v>0</v>
      </c>
      <c r="M337" s="6">
        <v>0</v>
      </c>
      <c r="N337" s="6">
        <v>0</v>
      </c>
      <c r="O337" s="6">
        <v>0</v>
      </c>
      <c r="P337" s="6">
        <v>16</v>
      </c>
      <c r="Q337" s="4" t="s">
        <v>55</v>
      </c>
      <c r="R337" s="4">
        <v>0</v>
      </c>
      <c r="S337" s="4" t="s">
        <v>212</v>
      </c>
      <c r="U337" s="4">
        <v>20</v>
      </c>
      <c r="V337" s="4">
        <v>0</v>
      </c>
      <c r="W337" s="4">
        <v>0</v>
      </c>
    </row>
    <row r="338" spans="1:23" ht="11.25" customHeight="1" x14ac:dyDescent="0.3">
      <c r="A338" s="4" t="s">
        <v>21</v>
      </c>
      <c r="B338" s="4" t="s">
        <v>39</v>
      </c>
      <c r="C338" s="4" t="s">
        <v>41</v>
      </c>
      <c r="D338" s="4" t="s">
        <v>38</v>
      </c>
      <c r="E338" s="4" t="s">
        <v>25</v>
      </c>
      <c r="F338" s="4" t="s">
        <v>56</v>
      </c>
      <c r="G338" s="4" t="s">
        <v>25</v>
      </c>
      <c r="H338" s="4" t="s">
        <v>25</v>
      </c>
      <c r="I338" s="5">
        <v>44743</v>
      </c>
      <c r="J338" s="6">
        <v>7138</v>
      </c>
      <c r="K338" s="6">
        <v>3276.37140856</v>
      </c>
      <c r="L338" s="6">
        <v>0</v>
      </c>
      <c r="M338" s="6">
        <v>0</v>
      </c>
      <c r="N338" s="6">
        <v>0</v>
      </c>
      <c r="O338" s="6">
        <v>0</v>
      </c>
      <c r="P338" s="6">
        <v>16</v>
      </c>
      <c r="Q338" s="4" t="s">
        <v>55</v>
      </c>
      <c r="R338" s="4">
        <v>0</v>
      </c>
      <c r="S338" s="4" t="s">
        <v>213</v>
      </c>
      <c r="U338" s="4">
        <v>20</v>
      </c>
      <c r="V338" s="4">
        <v>0</v>
      </c>
      <c r="W338" s="4">
        <v>0</v>
      </c>
    </row>
    <row r="339" spans="1:23" ht="11.25" customHeight="1" x14ac:dyDescent="0.3">
      <c r="A339" s="4" t="s">
        <v>21</v>
      </c>
      <c r="B339" s="4" t="s">
        <v>39</v>
      </c>
      <c r="C339" s="4" t="s">
        <v>41</v>
      </c>
      <c r="D339" s="4" t="s">
        <v>38</v>
      </c>
      <c r="E339" s="4" t="s">
        <v>25</v>
      </c>
      <c r="F339" s="4" t="s">
        <v>56</v>
      </c>
      <c r="G339" s="4" t="s">
        <v>25</v>
      </c>
      <c r="H339" s="4" t="s">
        <v>25</v>
      </c>
      <c r="I339" s="5">
        <v>44774</v>
      </c>
      <c r="J339" s="6">
        <v>7158</v>
      </c>
      <c r="K339" s="6">
        <v>3383.4035699400001</v>
      </c>
      <c r="L339" s="6">
        <v>0</v>
      </c>
      <c r="M339" s="6">
        <v>0</v>
      </c>
      <c r="N339" s="6">
        <v>0</v>
      </c>
      <c r="O339" s="6">
        <v>0</v>
      </c>
      <c r="P339" s="6">
        <v>16</v>
      </c>
      <c r="Q339" s="4" t="s">
        <v>55</v>
      </c>
      <c r="R339" s="4">
        <v>0</v>
      </c>
      <c r="S339" s="4" t="s">
        <v>214</v>
      </c>
      <c r="U339" s="4">
        <v>20</v>
      </c>
      <c r="V339" s="4">
        <v>0</v>
      </c>
      <c r="W339" s="4">
        <v>0</v>
      </c>
    </row>
    <row r="340" spans="1:23" ht="11.25" customHeight="1" x14ac:dyDescent="0.3">
      <c r="A340" s="4" t="s">
        <v>21</v>
      </c>
      <c r="B340" s="4" t="s">
        <v>39</v>
      </c>
      <c r="C340" s="4" t="s">
        <v>41</v>
      </c>
      <c r="D340" s="4" t="s">
        <v>38</v>
      </c>
      <c r="E340" s="4" t="s">
        <v>25</v>
      </c>
      <c r="F340" s="4" t="s">
        <v>56</v>
      </c>
      <c r="G340" s="4" t="s">
        <v>25</v>
      </c>
      <c r="H340" s="4" t="s">
        <v>25</v>
      </c>
      <c r="I340" s="5">
        <v>44805</v>
      </c>
      <c r="J340" s="6">
        <v>7177</v>
      </c>
      <c r="K340" s="6">
        <v>3390.3400156600001</v>
      </c>
      <c r="L340" s="6">
        <v>0</v>
      </c>
      <c r="M340" s="6">
        <v>0</v>
      </c>
      <c r="N340" s="6">
        <v>0</v>
      </c>
      <c r="O340" s="6">
        <v>0</v>
      </c>
      <c r="P340" s="6">
        <v>16</v>
      </c>
      <c r="Q340" s="4" t="s">
        <v>55</v>
      </c>
      <c r="R340" s="4">
        <v>0</v>
      </c>
      <c r="S340" s="4" t="s">
        <v>215</v>
      </c>
      <c r="U340" s="4">
        <v>20</v>
      </c>
      <c r="V340" s="4">
        <v>0</v>
      </c>
      <c r="W340" s="4">
        <v>0</v>
      </c>
    </row>
    <row r="341" spans="1:23" ht="11.25" customHeight="1" x14ac:dyDescent="0.3">
      <c r="A341" s="4" t="s">
        <v>53</v>
      </c>
      <c r="B341" s="4" t="s">
        <v>39</v>
      </c>
      <c r="C341" s="4" t="s">
        <v>41</v>
      </c>
      <c r="D341" s="4" t="s">
        <v>38</v>
      </c>
      <c r="E341" s="4" t="s">
        <v>25</v>
      </c>
      <c r="F341" s="4" t="s">
        <v>56</v>
      </c>
      <c r="G341" s="4" t="s">
        <v>25</v>
      </c>
      <c r="H341" s="4" t="s">
        <v>25</v>
      </c>
      <c r="I341" s="5">
        <v>44835</v>
      </c>
      <c r="J341" s="6">
        <v>7177</v>
      </c>
      <c r="K341" s="6">
        <v>3390.3400156600001</v>
      </c>
      <c r="L341" s="6">
        <v>0</v>
      </c>
      <c r="M341" s="6">
        <v>0</v>
      </c>
      <c r="N341" s="6">
        <v>0</v>
      </c>
      <c r="O341" s="6">
        <v>0</v>
      </c>
      <c r="P341" s="6">
        <v>16</v>
      </c>
      <c r="Q341" s="4" t="s">
        <v>55</v>
      </c>
      <c r="R341" s="4">
        <v>0</v>
      </c>
      <c r="S341" s="4" t="s">
        <v>216</v>
      </c>
      <c r="U341" s="4">
        <v>20</v>
      </c>
      <c r="V341" s="4">
        <v>0</v>
      </c>
      <c r="W341" s="4">
        <v>0</v>
      </c>
    </row>
    <row r="342" spans="1:23" ht="11.25" customHeight="1" x14ac:dyDescent="0.3">
      <c r="A342" s="4" t="s">
        <v>21</v>
      </c>
      <c r="B342" s="4" t="s">
        <v>39</v>
      </c>
      <c r="C342" s="4" t="s">
        <v>41</v>
      </c>
      <c r="D342" s="4" t="s">
        <v>38</v>
      </c>
      <c r="E342" s="4" t="s">
        <v>25</v>
      </c>
      <c r="F342" s="4" t="s">
        <v>56</v>
      </c>
      <c r="G342" s="4" t="s">
        <v>25</v>
      </c>
      <c r="H342" s="4" t="s">
        <v>34</v>
      </c>
      <c r="I342" s="5">
        <v>44501</v>
      </c>
      <c r="J342" s="6">
        <v>0</v>
      </c>
      <c r="K342" s="6">
        <v>0</v>
      </c>
      <c r="L342" s="6">
        <v>121.318</v>
      </c>
      <c r="M342" s="6">
        <v>108.06427661278001</v>
      </c>
      <c r="N342" s="6">
        <v>0</v>
      </c>
      <c r="O342" s="6">
        <v>0</v>
      </c>
      <c r="P342" s="6">
        <v>0</v>
      </c>
      <c r="Q342" s="4" t="s">
        <v>55</v>
      </c>
      <c r="R342" s="4">
        <v>0</v>
      </c>
      <c r="S342" s="4" t="s">
        <v>217</v>
      </c>
      <c r="U342" s="4">
        <v>0</v>
      </c>
      <c r="V342" s="4">
        <v>8</v>
      </c>
      <c r="W342" s="4">
        <v>0</v>
      </c>
    </row>
    <row r="343" spans="1:23" ht="11.25" customHeight="1" x14ac:dyDescent="0.3">
      <c r="A343" s="4" t="s">
        <v>21</v>
      </c>
      <c r="B343" s="4" t="s">
        <v>39</v>
      </c>
      <c r="C343" s="4" t="s">
        <v>41</v>
      </c>
      <c r="D343" s="4" t="s">
        <v>38</v>
      </c>
      <c r="E343" s="4" t="s">
        <v>25</v>
      </c>
      <c r="F343" s="4" t="s">
        <v>56</v>
      </c>
      <c r="G343" s="4" t="s">
        <v>25</v>
      </c>
      <c r="H343" s="4" t="s">
        <v>34</v>
      </c>
      <c r="I343" s="5">
        <v>44531</v>
      </c>
      <c r="J343" s="6">
        <v>0</v>
      </c>
      <c r="K343" s="6">
        <v>0</v>
      </c>
      <c r="L343" s="6">
        <v>138.202</v>
      </c>
      <c r="M343" s="6">
        <v>73.546681935999999</v>
      </c>
      <c r="N343" s="6">
        <v>0</v>
      </c>
      <c r="O343" s="6">
        <v>0</v>
      </c>
      <c r="P343" s="6">
        <v>0</v>
      </c>
      <c r="Q343" s="4" t="s">
        <v>55</v>
      </c>
      <c r="R343" s="4">
        <v>0</v>
      </c>
      <c r="S343" s="4" t="s">
        <v>218</v>
      </c>
      <c r="U343" s="4">
        <v>0</v>
      </c>
      <c r="V343" s="4">
        <v>8</v>
      </c>
      <c r="W343" s="4">
        <v>0</v>
      </c>
    </row>
    <row r="344" spans="1:23" ht="11.25" customHeight="1" x14ac:dyDescent="0.3">
      <c r="A344" s="4" t="s">
        <v>21</v>
      </c>
      <c r="B344" s="4" t="s">
        <v>39</v>
      </c>
      <c r="C344" s="4" t="s">
        <v>41</v>
      </c>
      <c r="D344" s="4" t="s">
        <v>38</v>
      </c>
      <c r="E344" s="4" t="s">
        <v>25</v>
      </c>
      <c r="F344" s="4" t="s">
        <v>56</v>
      </c>
      <c r="G344" s="4" t="s">
        <v>25</v>
      </c>
      <c r="H344" s="4" t="s">
        <v>34</v>
      </c>
      <c r="I344" s="5">
        <v>44562</v>
      </c>
      <c r="J344" s="6">
        <v>0</v>
      </c>
      <c r="K344" s="6">
        <v>0</v>
      </c>
      <c r="L344" s="6">
        <v>183.863</v>
      </c>
      <c r="M344" s="6">
        <v>82.91051747457</v>
      </c>
      <c r="N344" s="6">
        <v>0</v>
      </c>
      <c r="O344" s="6">
        <v>0</v>
      </c>
      <c r="P344" s="6">
        <v>0</v>
      </c>
      <c r="Q344" s="4" t="s">
        <v>55</v>
      </c>
      <c r="R344" s="4">
        <v>0</v>
      </c>
      <c r="S344" s="4" t="s">
        <v>219</v>
      </c>
      <c r="U344" s="4">
        <v>0</v>
      </c>
      <c r="V344" s="4">
        <v>8</v>
      </c>
      <c r="W344" s="4">
        <v>0</v>
      </c>
    </row>
    <row r="345" spans="1:23" ht="11.25" customHeight="1" x14ac:dyDescent="0.3">
      <c r="A345" s="4" t="s">
        <v>21</v>
      </c>
      <c r="B345" s="4" t="s">
        <v>39</v>
      </c>
      <c r="C345" s="4" t="s">
        <v>41</v>
      </c>
      <c r="D345" s="4" t="s">
        <v>38</v>
      </c>
      <c r="E345" s="4" t="s">
        <v>25</v>
      </c>
      <c r="F345" s="4" t="s">
        <v>56</v>
      </c>
      <c r="G345" s="4" t="s">
        <v>25</v>
      </c>
      <c r="H345" s="4" t="s">
        <v>34</v>
      </c>
      <c r="I345" s="5">
        <v>44593</v>
      </c>
      <c r="J345" s="6">
        <v>0</v>
      </c>
      <c r="K345" s="6">
        <v>0</v>
      </c>
      <c r="L345" s="6">
        <v>176.209</v>
      </c>
      <c r="M345" s="6">
        <v>94.779071372480004</v>
      </c>
      <c r="N345" s="6">
        <v>0</v>
      </c>
      <c r="O345" s="6">
        <v>0</v>
      </c>
      <c r="P345" s="6">
        <v>0</v>
      </c>
      <c r="Q345" s="4" t="s">
        <v>55</v>
      </c>
      <c r="R345" s="4">
        <v>0</v>
      </c>
      <c r="S345" s="4" t="s">
        <v>220</v>
      </c>
      <c r="U345" s="4">
        <v>0</v>
      </c>
      <c r="V345" s="4">
        <v>8</v>
      </c>
      <c r="W345" s="4">
        <v>0</v>
      </c>
    </row>
    <row r="346" spans="1:23" ht="11.25" customHeight="1" x14ac:dyDescent="0.3">
      <c r="A346" s="4" t="s">
        <v>21</v>
      </c>
      <c r="B346" s="4" t="s">
        <v>39</v>
      </c>
      <c r="C346" s="4" t="s">
        <v>41</v>
      </c>
      <c r="D346" s="4" t="s">
        <v>38</v>
      </c>
      <c r="E346" s="4" t="s">
        <v>25</v>
      </c>
      <c r="F346" s="4" t="s">
        <v>56</v>
      </c>
      <c r="G346" s="4" t="s">
        <v>25</v>
      </c>
      <c r="H346" s="4" t="s">
        <v>34</v>
      </c>
      <c r="I346" s="5">
        <v>44621</v>
      </c>
      <c r="J346" s="6">
        <v>0</v>
      </c>
      <c r="K346" s="6">
        <v>0</v>
      </c>
      <c r="L346" s="6">
        <v>182.48099999999999</v>
      </c>
      <c r="M346" s="6">
        <v>98.261492971199999</v>
      </c>
      <c r="N346" s="6">
        <v>0</v>
      </c>
      <c r="O346" s="6">
        <v>0</v>
      </c>
      <c r="P346" s="6">
        <v>0</v>
      </c>
      <c r="Q346" s="4" t="s">
        <v>55</v>
      </c>
      <c r="R346" s="4">
        <v>0</v>
      </c>
      <c r="S346" s="4" t="s">
        <v>221</v>
      </c>
      <c r="U346" s="4">
        <v>0</v>
      </c>
      <c r="V346" s="4">
        <v>8</v>
      </c>
      <c r="W346" s="4">
        <v>0</v>
      </c>
    </row>
    <row r="347" spans="1:23" ht="11.25" customHeight="1" x14ac:dyDescent="0.3">
      <c r="A347" s="4" t="s">
        <v>21</v>
      </c>
      <c r="B347" s="4" t="s">
        <v>39</v>
      </c>
      <c r="C347" s="4" t="s">
        <v>41</v>
      </c>
      <c r="D347" s="4" t="s">
        <v>38</v>
      </c>
      <c r="E347" s="4" t="s">
        <v>25</v>
      </c>
      <c r="F347" s="4" t="s">
        <v>56</v>
      </c>
      <c r="G347" s="4" t="s">
        <v>25</v>
      </c>
      <c r="H347" s="4" t="s">
        <v>34</v>
      </c>
      <c r="I347" s="5">
        <v>44652</v>
      </c>
      <c r="J347" s="6">
        <v>0</v>
      </c>
      <c r="K347" s="6">
        <v>0</v>
      </c>
      <c r="L347" s="6">
        <v>216.84899999999999</v>
      </c>
      <c r="M347" s="6">
        <v>113.59783189716001</v>
      </c>
      <c r="N347" s="6">
        <v>0</v>
      </c>
      <c r="O347" s="6">
        <v>0</v>
      </c>
      <c r="P347" s="6">
        <v>0</v>
      </c>
      <c r="Q347" s="4" t="s">
        <v>55</v>
      </c>
      <c r="R347" s="4">
        <v>0</v>
      </c>
      <c r="S347" s="4" t="s">
        <v>222</v>
      </c>
      <c r="U347" s="4">
        <v>0</v>
      </c>
      <c r="V347" s="4">
        <v>8</v>
      </c>
      <c r="W347" s="4">
        <v>0</v>
      </c>
    </row>
    <row r="348" spans="1:23" ht="11.25" customHeight="1" x14ac:dyDescent="0.3">
      <c r="A348" s="4" t="s">
        <v>21</v>
      </c>
      <c r="B348" s="4" t="s">
        <v>39</v>
      </c>
      <c r="C348" s="4" t="s">
        <v>41</v>
      </c>
      <c r="D348" s="4" t="s">
        <v>38</v>
      </c>
      <c r="E348" s="4" t="s">
        <v>25</v>
      </c>
      <c r="F348" s="4" t="s">
        <v>56</v>
      </c>
      <c r="G348" s="4" t="s">
        <v>25</v>
      </c>
      <c r="H348" s="4" t="s">
        <v>34</v>
      </c>
      <c r="I348" s="5">
        <v>44682</v>
      </c>
      <c r="J348" s="6">
        <v>0</v>
      </c>
      <c r="K348" s="6">
        <v>0</v>
      </c>
      <c r="L348" s="6">
        <v>175.78700000000001</v>
      </c>
      <c r="M348" s="6">
        <v>98.715021550540001</v>
      </c>
      <c r="N348" s="6">
        <v>0</v>
      </c>
      <c r="O348" s="6">
        <v>0</v>
      </c>
      <c r="P348" s="6">
        <v>0</v>
      </c>
      <c r="Q348" s="4" t="s">
        <v>55</v>
      </c>
      <c r="R348" s="4">
        <v>0</v>
      </c>
      <c r="S348" s="4" t="s">
        <v>223</v>
      </c>
      <c r="U348" s="4">
        <v>0</v>
      </c>
      <c r="V348" s="4">
        <v>8</v>
      </c>
      <c r="W348" s="4">
        <v>0</v>
      </c>
    </row>
    <row r="349" spans="1:23" ht="11.25" customHeight="1" x14ac:dyDescent="0.3">
      <c r="A349" s="4" t="s">
        <v>21</v>
      </c>
      <c r="B349" s="4" t="s">
        <v>39</v>
      </c>
      <c r="C349" s="4" t="s">
        <v>41</v>
      </c>
      <c r="D349" s="4" t="s">
        <v>38</v>
      </c>
      <c r="E349" s="4" t="s">
        <v>25</v>
      </c>
      <c r="F349" s="4" t="s">
        <v>56</v>
      </c>
      <c r="G349" s="4" t="s">
        <v>25</v>
      </c>
      <c r="H349" s="4" t="s">
        <v>34</v>
      </c>
      <c r="I349" s="5">
        <v>44713</v>
      </c>
      <c r="J349" s="6">
        <v>0</v>
      </c>
      <c r="K349" s="6">
        <v>0</v>
      </c>
      <c r="L349" s="6">
        <v>188.727</v>
      </c>
      <c r="M349" s="6">
        <v>100.25089915764001</v>
      </c>
      <c r="N349" s="6">
        <v>0</v>
      </c>
      <c r="O349" s="6">
        <v>0</v>
      </c>
      <c r="P349" s="6">
        <v>0</v>
      </c>
      <c r="Q349" s="4" t="s">
        <v>55</v>
      </c>
      <c r="R349" s="4">
        <v>0</v>
      </c>
      <c r="S349" s="4" t="s">
        <v>224</v>
      </c>
      <c r="U349" s="4">
        <v>0</v>
      </c>
      <c r="V349" s="4">
        <v>8</v>
      </c>
      <c r="W349" s="4">
        <v>0</v>
      </c>
    </row>
    <row r="350" spans="1:23" ht="11.25" customHeight="1" x14ac:dyDescent="0.3">
      <c r="A350" s="4" t="s">
        <v>21</v>
      </c>
      <c r="B350" s="4" t="s">
        <v>39</v>
      </c>
      <c r="C350" s="4" t="s">
        <v>41</v>
      </c>
      <c r="D350" s="4" t="s">
        <v>38</v>
      </c>
      <c r="E350" s="4" t="s">
        <v>25</v>
      </c>
      <c r="F350" s="4" t="s">
        <v>56</v>
      </c>
      <c r="G350" s="4" t="s">
        <v>25</v>
      </c>
      <c r="H350" s="4" t="s">
        <v>34</v>
      </c>
      <c r="I350" s="5">
        <v>44743</v>
      </c>
      <c r="J350" s="6">
        <v>0</v>
      </c>
      <c r="K350" s="6">
        <v>0</v>
      </c>
      <c r="L350" s="6">
        <v>179.56100000000001</v>
      </c>
      <c r="M350" s="6">
        <v>92.625512965469994</v>
      </c>
      <c r="N350" s="6">
        <v>0</v>
      </c>
      <c r="O350" s="6">
        <v>0</v>
      </c>
      <c r="P350" s="6">
        <v>0</v>
      </c>
      <c r="Q350" s="4" t="s">
        <v>55</v>
      </c>
      <c r="R350" s="4">
        <v>0</v>
      </c>
      <c r="S350" s="4" t="s">
        <v>225</v>
      </c>
      <c r="U350" s="4">
        <v>0</v>
      </c>
      <c r="V350" s="4">
        <v>8</v>
      </c>
      <c r="W350" s="4">
        <v>0</v>
      </c>
    </row>
    <row r="351" spans="1:23" ht="11.25" customHeight="1" x14ac:dyDescent="0.3">
      <c r="A351" s="4" t="s">
        <v>21</v>
      </c>
      <c r="B351" s="4" t="s">
        <v>39</v>
      </c>
      <c r="C351" s="4" t="s">
        <v>41</v>
      </c>
      <c r="D351" s="4" t="s">
        <v>38</v>
      </c>
      <c r="E351" s="4" t="s">
        <v>25</v>
      </c>
      <c r="F351" s="4" t="s">
        <v>56</v>
      </c>
      <c r="G351" s="4" t="s">
        <v>25</v>
      </c>
      <c r="H351" s="4" t="s">
        <v>34</v>
      </c>
      <c r="I351" s="5">
        <v>44774</v>
      </c>
      <c r="J351" s="6">
        <v>0</v>
      </c>
      <c r="K351" s="6">
        <v>0</v>
      </c>
      <c r="L351" s="6">
        <v>167.62700000000001</v>
      </c>
      <c r="M351" s="6">
        <v>88.032715173019994</v>
      </c>
      <c r="N351" s="6">
        <v>0</v>
      </c>
      <c r="O351" s="6">
        <v>0</v>
      </c>
      <c r="P351" s="6">
        <v>0</v>
      </c>
      <c r="Q351" s="4" t="s">
        <v>55</v>
      </c>
      <c r="R351" s="4">
        <v>0</v>
      </c>
      <c r="S351" s="4" t="s">
        <v>226</v>
      </c>
      <c r="U351" s="4">
        <v>0</v>
      </c>
      <c r="V351" s="4">
        <v>8</v>
      </c>
      <c r="W351" s="4">
        <v>0</v>
      </c>
    </row>
    <row r="352" spans="1:23" ht="11.25" customHeight="1" x14ac:dyDescent="0.3">
      <c r="A352" s="4" t="s">
        <v>21</v>
      </c>
      <c r="B352" s="4" t="s">
        <v>39</v>
      </c>
      <c r="C352" s="4" t="s">
        <v>41</v>
      </c>
      <c r="D352" s="4" t="s">
        <v>38</v>
      </c>
      <c r="E352" s="4" t="s">
        <v>25</v>
      </c>
      <c r="F352" s="4" t="s">
        <v>56</v>
      </c>
      <c r="G352" s="4" t="s">
        <v>25</v>
      </c>
      <c r="H352" s="4" t="s">
        <v>34</v>
      </c>
      <c r="I352" s="5">
        <v>44805</v>
      </c>
      <c r="J352" s="6">
        <v>0</v>
      </c>
      <c r="K352" s="6">
        <v>0</v>
      </c>
      <c r="L352" s="6">
        <v>201.63499999999999</v>
      </c>
      <c r="M352" s="6">
        <v>106.0584009527</v>
      </c>
      <c r="N352" s="6">
        <v>0</v>
      </c>
      <c r="O352" s="6">
        <v>0</v>
      </c>
      <c r="P352" s="6">
        <v>0</v>
      </c>
      <c r="Q352" s="4" t="s">
        <v>55</v>
      </c>
      <c r="R352" s="4">
        <v>0</v>
      </c>
      <c r="S352" s="4" t="s">
        <v>227</v>
      </c>
      <c r="U352" s="4">
        <v>0</v>
      </c>
      <c r="V352" s="4">
        <v>8</v>
      </c>
      <c r="W352" s="4">
        <v>0</v>
      </c>
    </row>
    <row r="353" spans="1:23" ht="11.25" customHeight="1" x14ac:dyDescent="0.3">
      <c r="A353" s="4" t="s">
        <v>53</v>
      </c>
      <c r="B353" s="4" t="s">
        <v>39</v>
      </c>
      <c r="C353" s="4" t="s">
        <v>41</v>
      </c>
      <c r="D353" s="4" t="s">
        <v>38</v>
      </c>
      <c r="E353" s="4" t="s">
        <v>25</v>
      </c>
      <c r="F353" s="4" t="s">
        <v>56</v>
      </c>
      <c r="G353" s="4" t="s">
        <v>25</v>
      </c>
      <c r="H353" s="4" t="s">
        <v>34</v>
      </c>
      <c r="I353" s="5">
        <v>44835</v>
      </c>
      <c r="J353" s="6">
        <v>0</v>
      </c>
      <c r="K353" s="6">
        <v>0</v>
      </c>
      <c r="L353" s="6">
        <v>201.63499999999999</v>
      </c>
      <c r="M353" s="6">
        <v>106.0584009527</v>
      </c>
      <c r="N353" s="6">
        <v>0</v>
      </c>
      <c r="O353" s="6">
        <v>0</v>
      </c>
      <c r="P353" s="6">
        <v>0</v>
      </c>
      <c r="Q353" s="4" t="s">
        <v>55</v>
      </c>
      <c r="R353" s="4">
        <v>0</v>
      </c>
      <c r="S353" s="4" t="s">
        <v>228</v>
      </c>
      <c r="U353" s="4">
        <v>0</v>
      </c>
      <c r="V353" s="4">
        <v>8</v>
      </c>
      <c r="W353" s="4">
        <v>0</v>
      </c>
    </row>
    <row r="354" spans="1:23" ht="11.25" customHeight="1" x14ac:dyDescent="0.3">
      <c r="A354" s="4" t="s">
        <v>21</v>
      </c>
      <c r="B354" s="4" t="s">
        <v>39</v>
      </c>
      <c r="C354" s="4" t="s">
        <v>41</v>
      </c>
      <c r="D354" s="4" t="s">
        <v>38</v>
      </c>
      <c r="E354" s="4" t="s">
        <v>25</v>
      </c>
      <c r="F354" s="4" t="s">
        <v>25</v>
      </c>
      <c r="G354" s="4" t="s">
        <v>25</v>
      </c>
      <c r="H354" s="4" t="s">
        <v>35</v>
      </c>
      <c r="I354" s="5">
        <v>44501</v>
      </c>
      <c r="J354" s="6">
        <v>0</v>
      </c>
      <c r="K354" s="6">
        <v>0</v>
      </c>
      <c r="L354" s="6">
        <v>1978.3230000000001</v>
      </c>
      <c r="M354" s="6">
        <v>1978.3230000000001</v>
      </c>
      <c r="N354" s="6">
        <v>1978.3230000000001</v>
      </c>
      <c r="O354" s="6">
        <v>1978.3230000000001</v>
      </c>
      <c r="P354" s="6">
        <v>0</v>
      </c>
      <c r="Q354" s="4" t="s">
        <v>26</v>
      </c>
      <c r="R354" s="4">
        <v>0</v>
      </c>
      <c r="S354" s="4" t="s">
        <v>193</v>
      </c>
      <c r="T354" s="4" t="s">
        <v>434</v>
      </c>
      <c r="U354" s="4">
        <v>0</v>
      </c>
      <c r="V354" s="4">
        <v>6</v>
      </c>
      <c r="W354" s="4">
        <v>61</v>
      </c>
    </row>
    <row r="355" spans="1:23" ht="11.25" customHeight="1" x14ac:dyDescent="0.3">
      <c r="A355" s="4" t="s">
        <v>21</v>
      </c>
      <c r="B355" s="4" t="s">
        <v>39</v>
      </c>
      <c r="C355" s="4" t="s">
        <v>41</v>
      </c>
      <c r="D355" s="4" t="s">
        <v>38</v>
      </c>
      <c r="E355" s="4" t="s">
        <v>25</v>
      </c>
      <c r="F355" s="4" t="s">
        <v>25</v>
      </c>
      <c r="G355" s="4" t="s">
        <v>25</v>
      </c>
      <c r="H355" s="4" t="s">
        <v>35</v>
      </c>
      <c r="I355" s="5">
        <v>44501</v>
      </c>
      <c r="J355" s="6">
        <v>0</v>
      </c>
      <c r="K355" s="6">
        <v>0</v>
      </c>
      <c r="L355" s="6">
        <v>685.279</v>
      </c>
      <c r="M355" s="6">
        <v>685.279</v>
      </c>
      <c r="N355" s="6">
        <v>0</v>
      </c>
      <c r="O355" s="6">
        <v>0</v>
      </c>
      <c r="P355" s="6">
        <v>0</v>
      </c>
      <c r="Q355" s="4" t="s">
        <v>55</v>
      </c>
      <c r="R355" s="4">
        <v>0</v>
      </c>
      <c r="S355" s="4" t="s">
        <v>193</v>
      </c>
      <c r="U355" s="4">
        <v>0</v>
      </c>
      <c r="V355" s="4">
        <v>6</v>
      </c>
      <c r="W355" s="4">
        <v>0</v>
      </c>
    </row>
    <row r="356" spans="1:23" ht="11.25" customHeight="1" x14ac:dyDescent="0.3">
      <c r="A356" s="4" t="s">
        <v>21</v>
      </c>
      <c r="B356" s="4" t="s">
        <v>39</v>
      </c>
      <c r="C356" s="4" t="s">
        <v>41</v>
      </c>
      <c r="D356" s="4" t="s">
        <v>38</v>
      </c>
      <c r="E356" s="4" t="s">
        <v>25</v>
      </c>
      <c r="F356" s="4" t="s">
        <v>25</v>
      </c>
      <c r="G356" s="4" t="s">
        <v>25</v>
      </c>
      <c r="H356" s="4" t="s">
        <v>35</v>
      </c>
      <c r="I356" s="5">
        <v>44531</v>
      </c>
      <c r="J356" s="6">
        <v>0</v>
      </c>
      <c r="K356" s="6">
        <v>0</v>
      </c>
      <c r="L356" s="6">
        <v>1941.5260000000001</v>
      </c>
      <c r="M356" s="6">
        <v>1941.5260000000001</v>
      </c>
      <c r="N356" s="6">
        <v>1941.5260000000001</v>
      </c>
      <c r="O356" s="6">
        <v>1941.5260000000001</v>
      </c>
      <c r="P356" s="6">
        <v>0</v>
      </c>
      <c r="Q356" s="4" t="s">
        <v>26</v>
      </c>
      <c r="R356" s="4">
        <v>0</v>
      </c>
      <c r="S356" s="4" t="s">
        <v>194</v>
      </c>
      <c r="T356" s="4" t="s">
        <v>435</v>
      </c>
      <c r="U356" s="4">
        <v>0</v>
      </c>
      <c r="V356" s="4">
        <v>6</v>
      </c>
      <c r="W356" s="4">
        <v>61</v>
      </c>
    </row>
    <row r="357" spans="1:23" ht="11.25" customHeight="1" x14ac:dyDescent="0.3">
      <c r="A357" s="4" t="s">
        <v>21</v>
      </c>
      <c r="B357" s="4" t="s">
        <v>39</v>
      </c>
      <c r="C357" s="4" t="s">
        <v>41</v>
      </c>
      <c r="D357" s="4" t="s">
        <v>38</v>
      </c>
      <c r="E357" s="4" t="s">
        <v>25</v>
      </c>
      <c r="F357" s="4" t="s">
        <v>25</v>
      </c>
      <c r="G357" s="4" t="s">
        <v>25</v>
      </c>
      <c r="H357" s="4" t="s">
        <v>35</v>
      </c>
      <c r="I357" s="5">
        <v>44531</v>
      </c>
      <c r="J357" s="6">
        <v>0</v>
      </c>
      <c r="K357" s="6">
        <v>0</v>
      </c>
      <c r="L357" s="6">
        <v>693.53800000000001</v>
      </c>
      <c r="M357" s="6">
        <v>693.53800000000001</v>
      </c>
      <c r="N357" s="6">
        <v>0</v>
      </c>
      <c r="O357" s="6">
        <v>0</v>
      </c>
      <c r="P357" s="6">
        <v>0</v>
      </c>
      <c r="Q357" s="4" t="s">
        <v>55</v>
      </c>
      <c r="R357" s="4">
        <v>0</v>
      </c>
      <c r="S357" s="4" t="s">
        <v>194</v>
      </c>
      <c r="U357" s="4">
        <v>0</v>
      </c>
      <c r="V357" s="4">
        <v>6</v>
      </c>
      <c r="W357" s="4">
        <v>0</v>
      </c>
    </row>
    <row r="358" spans="1:23" ht="11.25" customHeight="1" x14ac:dyDescent="0.3">
      <c r="A358" s="4" t="s">
        <v>21</v>
      </c>
      <c r="B358" s="4" t="s">
        <v>39</v>
      </c>
      <c r="C358" s="4" t="s">
        <v>41</v>
      </c>
      <c r="D358" s="4" t="s">
        <v>38</v>
      </c>
      <c r="E358" s="4" t="s">
        <v>25</v>
      </c>
      <c r="F358" s="4" t="s">
        <v>25</v>
      </c>
      <c r="G358" s="4" t="s">
        <v>25</v>
      </c>
      <c r="H358" s="4" t="s">
        <v>35</v>
      </c>
      <c r="I358" s="5">
        <v>44562</v>
      </c>
      <c r="J358" s="6">
        <v>0</v>
      </c>
      <c r="K358" s="6">
        <v>0</v>
      </c>
      <c r="L358" s="6">
        <v>1775.636</v>
      </c>
      <c r="M358" s="6">
        <v>1775.636</v>
      </c>
      <c r="N358" s="6">
        <v>1775.636</v>
      </c>
      <c r="O358" s="6">
        <v>1775.636</v>
      </c>
      <c r="P358" s="6">
        <v>0</v>
      </c>
      <c r="Q358" s="4" t="s">
        <v>26</v>
      </c>
      <c r="R358" s="4">
        <v>0</v>
      </c>
      <c r="S358" s="4" t="s">
        <v>195</v>
      </c>
      <c r="T358" s="4" t="s">
        <v>436</v>
      </c>
      <c r="U358" s="4">
        <v>0</v>
      </c>
      <c r="V358" s="4">
        <v>6</v>
      </c>
      <c r="W358" s="4">
        <v>61</v>
      </c>
    </row>
    <row r="359" spans="1:23" ht="11.25" customHeight="1" x14ac:dyDescent="0.3">
      <c r="A359" s="4" t="s">
        <v>21</v>
      </c>
      <c r="B359" s="4" t="s">
        <v>39</v>
      </c>
      <c r="C359" s="4" t="s">
        <v>41</v>
      </c>
      <c r="D359" s="4" t="s">
        <v>38</v>
      </c>
      <c r="E359" s="4" t="s">
        <v>25</v>
      </c>
      <c r="F359" s="4" t="s">
        <v>25</v>
      </c>
      <c r="G359" s="4" t="s">
        <v>25</v>
      </c>
      <c r="H359" s="4" t="s">
        <v>35</v>
      </c>
      <c r="I359" s="5">
        <v>44562</v>
      </c>
      <c r="J359" s="6">
        <v>0</v>
      </c>
      <c r="K359" s="6">
        <v>0</v>
      </c>
      <c r="L359" s="6">
        <v>545.86</v>
      </c>
      <c r="M359" s="6">
        <v>545.86</v>
      </c>
      <c r="N359" s="6">
        <v>0</v>
      </c>
      <c r="O359" s="6">
        <v>0</v>
      </c>
      <c r="P359" s="6">
        <v>0</v>
      </c>
      <c r="Q359" s="4" t="s">
        <v>55</v>
      </c>
      <c r="R359" s="4">
        <v>0</v>
      </c>
      <c r="S359" s="4" t="s">
        <v>195</v>
      </c>
      <c r="U359" s="4">
        <v>0</v>
      </c>
      <c r="V359" s="4">
        <v>6</v>
      </c>
      <c r="W359" s="4">
        <v>0</v>
      </c>
    </row>
    <row r="360" spans="1:23" ht="11.25" customHeight="1" x14ac:dyDescent="0.3">
      <c r="A360" s="4" t="s">
        <v>21</v>
      </c>
      <c r="B360" s="4" t="s">
        <v>39</v>
      </c>
      <c r="C360" s="4" t="s">
        <v>41</v>
      </c>
      <c r="D360" s="4" t="s">
        <v>38</v>
      </c>
      <c r="E360" s="4" t="s">
        <v>25</v>
      </c>
      <c r="F360" s="4" t="s">
        <v>25</v>
      </c>
      <c r="G360" s="4" t="s">
        <v>25</v>
      </c>
      <c r="H360" s="4" t="s">
        <v>35</v>
      </c>
      <c r="I360" s="5">
        <v>44593</v>
      </c>
      <c r="J360" s="6">
        <v>0</v>
      </c>
      <c r="K360" s="6">
        <v>0</v>
      </c>
      <c r="L360" s="6">
        <v>1727.298</v>
      </c>
      <c r="M360" s="6">
        <v>1727.298</v>
      </c>
      <c r="N360" s="6">
        <v>1727.298</v>
      </c>
      <c r="O360" s="6">
        <v>1727.298</v>
      </c>
      <c r="P360" s="6">
        <v>0</v>
      </c>
      <c r="Q360" s="4" t="s">
        <v>26</v>
      </c>
      <c r="R360" s="4">
        <v>0</v>
      </c>
      <c r="S360" s="4" t="s">
        <v>196</v>
      </c>
      <c r="T360" s="4" t="s">
        <v>437</v>
      </c>
      <c r="U360" s="4">
        <v>0</v>
      </c>
      <c r="V360" s="4">
        <v>6</v>
      </c>
      <c r="W360" s="4">
        <v>61</v>
      </c>
    </row>
    <row r="361" spans="1:23" ht="11.25" customHeight="1" x14ac:dyDescent="0.3">
      <c r="A361" s="4" t="s">
        <v>28</v>
      </c>
      <c r="B361" s="4" t="s">
        <v>39</v>
      </c>
      <c r="C361" s="4" t="s">
        <v>41</v>
      </c>
      <c r="D361" s="4" t="s">
        <v>38</v>
      </c>
      <c r="E361" s="4" t="s">
        <v>25</v>
      </c>
      <c r="F361" s="4" t="s">
        <v>25</v>
      </c>
      <c r="G361" s="4" t="s">
        <v>25</v>
      </c>
      <c r="H361" s="4" t="s">
        <v>35</v>
      </c>
      <c r="I361" s="5">
        <v>44593</v>
      </c>
      <c r="J361" s="6">
        <v>0</v>
      </c>
      <c r="K361" s="6">
        <v>0</v>
      </c>
      <c r="L361" s="6">
        <v>20.742999999999999</v>
      </c>
      <c r="M361" s="6">
        <v>20.742999999999999</v>
      </c>
      <c r="N361" s="6">
        <v>20.742999999999999</v>
      </c>
      <c r="O361" s="6">
        <v>20.742999999999999</v>
      </c>
      <c r="P361" s="6">
        <v>0</v>
      </c>
      <c r="Q361" s="4" t="s">
        <v>26</v>
      </c>
      <c r="R361" s="4">
        <v>0</v>
      </c>
      <c r="S361" s="4" t="s">
        <v>196</v>
      </c>
      <c r="T361" s="4" t="s">
        <v>437</v>
      </c>
      <c r="U361" s="4">
        <v>0</v>
      </c>
      <c r="V361" s="4">
        <v>6</v>
      </c>
      <c r="W361" s="4">
        <v>61</v>
      </c>
    </row>
    <row r="362" spans="1:23" ht="11.25" customHeight="1" x14ac:dyDescent="0.3">
      <c r="A362" s="4" t="s">
        <v>21</v>
      </c>
      <c r="B362" s="4" t="s">
        <v>39</v>
      </c>
      <c r="C362" s="4" t="s">
        <v>41</v>
      </c>
      <c r="D362" s="4" t="s">
        <v>38</v>
      </c>
      <c r="E362" s="4" t="s">
        <v>25</v>
      </c>
      <c r="F362" s="4" t="s">
        <v>25</v>
      </c>
      <c r="G362" s="4" t="s">
        <v>25</v>
      </c>
      <c r="H362" s="4" t="s">
        <v>35</v>
      </c>
      <c r="I362" s="5">
        <v>44593</v>
      </c>
      <c r="J362" s="6">
        <v>0</v>
      </c>
      <c r="K362" s="6">
        <v>0</v>
      </c>
      <c r="L362" s="6">
        <v>651.76800000000003</v>
      </c>
      <c r="M362" s="6">
        <v>651.76800000000003</v>
      </c>
      <c r="N362" s="6">
        <v>0</v>
      </c>
      <c r="O362" s="6">
        <v>0</v>
      </c>
      <c r="P362" s="6">
        <v>0</v>
      </c>
      <c r="Q362" s="4" t="s">
        <v>55</v>
      </c>
      <c r="R362" s="4">
        <v>0</v>
      </c>
      <c r="S362" s="4" t="s">
        <v>196</v>
      </c>
      <c r="U362" s="4">
        <v>0</v>
      </c>
      <c r="V362" s="4">
        <v>6</v>
      </c>
      <c r="W362" s="4">
        <v>0</v>
      </c>
    </row>
    <row r="363" spans="1:23" ht="11.25" customHeight="1" x14ac:dyDescent="0.3">
      <c r="A363" s="4" t="s">
        <v>21</v>
      </c>
      <c r="B363" s="4" t="s">
        <v>39</v>
      </c>
      <c r="C363" s="4" t="s">
        <v>41</v>
      </c>
      <c r="D363" s="4" t="s">
        <v>38</v>
      </c>
      <c r="E363" s="4" t="s">
        <v>25</v>
      </c>
      <c r="F363" s="4" t="s">
        <v>25</v>
      </c>
      <c r="G363" s="4" t="s">
        <v>25</v>
      </c>
      <c r="H363" s="4" t="s">
        <v>35</v>
      </c>
      <c r="I363" s="5">
        <v>44621</v>
      </c>
      <c r="J363" s="6">
        <v>0</v>
      </c>
      <c r="K363" s="6">
        <v>0</v>
      </c>
      <c r="L363" s="6">
        <v>1756.01</v>
      </c>
      <c r="M363" s="6">
        <v>1756.01</v>
      </c>
      <c r="N363" s="6">
        <v>1756.01</v>
      </c>
      <c r="O363" s="6">
        <v>1756.01</v>
      </c>
      <c r="P363" s="6">
        <v>0</v>
      </c>
      <c r="Q363" s="4" t="s">
        <v>26</v>
      </c>
      <c r="R363" s="4">
        <v>0</v>
      </c>
      <c r="S363" s="4" t="s">
        <v>197</v>
      </c>
      <c r="T363" s="4" t="s">
        <v>438</v>
      </c>
      <c r="U363" s="4">
        <v>0</v>
      </c>
      <c r="V363" s="4">
        <v>6</v>
      </c>
      <c r="W363" s="4">
        <v>61</v>
      </c>
    </row>
    <row r="364" spans="1:23" ht="11.25" customHeight="1" x14ac:dyDescent="0.3">
      <c r="A364" s="4" t="s">
        <v>28</v>
      </c>
      <c r="B364" s="4" t="s">
        <v>39</v>
      </c>
      <c r="C364" s="4" t="s">
        <v>41</v>
      </c>
      <c r="D364" s="4" t="s">
        <v>38</v>
      </c>
      <c r="E364" s="4" t="s">
        <v>25</v>
      </c>
      <c r="F364" s="4" t="s">
        <v>25</v>
      </c>
      <c r="G364" s="4" t="s">
        <v>25</v>
      </c>
      <c r="H364" s="4" t="s">
        <v>35</v>
      </c>
      <c r="I364" s="5">
        <v>44621</v>
      </c>
      <c r="J364" s="6">
        <v>0</v>
      </c>
      <c r="K364" s="6">
        <v>0</v>
      </c>
      <c r="L364" s="6">
        <v>10.256</v>
      </c>
      <c r="M364" s="6">
        <v>10.256</v>
      </c>
      <c r="N364" s="6">
        <v>10.256</v>
      </c>
      <c r="O364" s="6">
        <v>10.256</v>
      </c>
      <c r="P364" s="6">
        <v>0</v>
      </c>
      <c r="Q364" s="4" t="s">
        <v>26</v>
      </c>
      <c r="R364" s="4">
        <v>0</v>
      </c>
      <c r="S364" s="4" t="s">
        <v>197</v>
      </c>
      <c r="T364" s="4" t="s">
        <v>438</v>
      </c>
      <c r="U364" s="4">
        <v>0</v>
      </c>
      <c r="V364" s="4">
        <v>6</v>
      </c>
      <c r="W364" s="4">
        <v>61</v>
      </c>
    </row>
    <row r="365" spans="1:23" ht="11.25" customHeight="1" x14ac:dyDescent="0.3">
      <c r="A365" s="4" t="s">
        <v>21</v>
      </c>
      <c r="B365" s="4" t="s">
        <v>39</v>
      </c>
      <c r="C365" s="4" t="s">
        <v>41</v>
      </c>
      <c r="D365" s="4" t="s">
        <v>38</v>
      </c>
      <c r="E365" s="4" t="s">
        <v>25</v>
      </c>
      <c r="F365" s="4" t="s">
        <v>25</v>
      </c>
      <c r="G365" s="4" t="s">
        <v>25</v>
      </c>
      <c r="H365" s="4" t="s">
        <v>35</v>
      </c>
      <c r="I365" s="5">
        <v>44621</v>
      </c>
      <c r="J365" s="6">
        <v>0</v>
      </c>
      <c r="K365" s="6">
        <v>0</v>
      </c>
      <c r="L365" s="6">
        <v>652.69399999999996</v>
      </c>
      <c r="M365" s="6">
        <v>652.69399999999996</v>
      </c>
      <c r="N365" s="6">
        <v>0</v>
      </c>
      <c r="O365" s="6">
        <v>0</v>
      </c>
      <c r="P365" s="6">
        <v>0</v>
      </c>
      <c r="Q365" s="4" t="s">
        <v>55</v>
      </c>
      <c r="R365" s="4">
        <v>0</v>
      </c>
      <c r="S365" s="4" t="s">
        <v>197</v>
      </c>
      <c r="U365" s="4">
        <v>0</v>
      </c>
      <c r="V365" s="4">
        <v>6</v>
      </c>
      <c r="W365" s="4">
        <v>0</v>
      </c>
    </row>
    <row r="366" spans="1:23" ht="11.25" customHeight="1" x14ac:dyDescent="0.3">
      <c r="A366" s="4" t="s">
        <v>21</v>
      </c>
      <c r="B366" s="4" t="s">
        <v>39</v>
      </c>
      <c r="C366" s="4" t="s">
        <v>41</v>
      </c>
      <c r="D366" s="4" t="s">
        <v>38</v>
      </c>
      <c r="E366" s="4" t="s">
        <v>25</v>
      </c>
      <c r="F366" s="4" t="s">
        <v>25</v>
      </c>
      <c r="G366" s="4" t="s">
        <v>25</v>
      </c>
      <c r="H366" s="4" t="s">
        <v>35</v>
      </c>
      <c r="I366" s="5">
        <v>44652</v>
      </c>
      <c r="J366" s="6">
        <v>0</v>
      </c>
      <c r="K366" s="6">
        <v>0</v>
      </c>
      <c r="L366" s="6">
        <v>1979.059</v>
      </c>
      <c r="M366" s="6">
        <v>1979.059</v>
      </c>
      <c r="N366" s="6">
        <v>1979.059</v>
      </c>
      <c r="O366" s="6">
        <v>1979.059</v>
      </c>
      <c r="P366" s="6">
        <v>0</v>
      </c>
      <c r="Q366" s="4" t="s">
        <v>26</v>
      </c>
      <c r="R366" s="4">
        <v>0</v>
      </c>
      <c r="S366" s="4" t="s">
        <v>198</v>
      </c>
      <c r="T366" s="4" t="s">
        <v>439</v>
      </c>
      <c r="U366" s="4">
        <v>0</v>
      </c>
      <c r="V366" s="4">
        <v>6</v>
      </c>
      <c r="W366" s="4">
        <v>61</v>
      </c>
    </row>
    <row r="367" spans="1:23" ht="11.25" customHeight="1" x14ac:dyDescent="0.3">
      <c r="A367" s="4" t="s">
        <v>28</v>
      </c>
      <c r="B367" s="4" t="s">
        <v>39</v>
      </c>
      <c r="C367" s="4" t="s">
        <v>41</v>
      </c>
      <c r="D367" s="4" t="s">
        <v>38</v>
      </c>
      <c r="E367" s="4" t="s">
        <v>25</v>
      </c>
      <c r="F367" s="4" t="s">
        <v>25</v>
      </c>
      <c r="G367" s="4" t="s">
        <v>25</v>
      </c>
      <c r="H367" s="4" t="s">
        <v>35</v>
      </c>
      <c r="I367" s="5">
        <v>44652</v>
      </c>
      <c r="J367" s="6">
        <v>0</v>
      </c>
      <c r="K367" s="6">
        <v>0</v>
      </c>
      <c r="L367" s="6">
        <v>9.3640000000000008</v>
      </c>
      <c r="M367" s="6">
        <v>9.3640000000000008</v>
      </c>
      <c r="N367" s="6">
        <v>9.3640000000000008</v>
      </c>
      <c r="O367" s="6">
        <v>9.3640000000000008</v>
      </c>
      <c r="P367" s="6">
        <v>0</v>
      </c>
      <c r="Q367" s="4" t="s">
        <v>26</v>
      </c>
      <c r="R367" s="4">
        <v>0</v>
      </c>
      <c r="S367" s="4" t="s">
        <v>198</v>
      </c>
      <c r="T367" s="4" t="s">
        <v>439</v>
      </c>
      <c r="U367" s="4">
        <v>0</v>
      </c>
      <c r="V367" s="4">
        <v>6</v>
      </c>
      <c r="W367" s="4">
        <v>61</v>
      </c>
    </row>
    <row r="368" spans="1:23" ht="11.25" customHeight="1" x14ac:dyDescent="0.3">
      <c r="A368" s="4" t="s">
        <v>21</v>
      </c>
      <c r="B368" s="4" t="s">
        <v>39</v>
      </c>
      <c r="C368" s="4" t="s">
        <v>41</v>
      </c>
      <c r="D368" s="4" t="s">
        <v>38</v>
      </c>
      <c r="E368" s="4" t="s">
        <v>25</v>
      </c>
      <c r="F368" s="4" t="s">
        <v>25</v>
      </c>
      <c r="G368" s="4" t="s">
        <v>25</v>
      </c>
      <c r="H368" s="4" t="s">
        <v>35</v>
      </c>
      <c r="I368" s="5">
        <v>44652</v>
      </c>
      <c r="J368" s="6">
        <v>0</v>
      </c>
      <c r="K368" s="6">
        <v>0</v>
      </c>
      <c r="L368" s="6">
        <v>755.45600000000002</v>
      </c>
      <c r="M368" s="6">
        <v>755.45600000000002</v>
      </c>
      <c r="N368" s="6">
        <v>0</v>
      </c>
      <c r="O368" s="6">
        <v>0</v>
      </c>
      <c r="P368" s="6">
        <v>0</v>
      </c>
      <c r="Q368" s="4" t="s">
        <v>55</v>
      </c>
      <c r="R368" s="4">
        <v>0</v>
      </c>
      <c r="S368" s="4" t="s">
        <v>198</v>
      </c>
      <c r="U368" s="4">
        <v>0</v>
      </c>
      <c r="V368" s="4">
        <v>6</v>
      </c>
      <c r="W368" s="4">
        <v>0</v>
      </c>
    </row>
    <row r="369" spans="1:23" ht="11.25" customHeight="1" x14ac:dyDescent="0.3">
      <c r="A369" s="4" t="s">
        <v>21</v>
      </c>
      <c r="B369" s="4" t="s">
        <v>39</v>
      </c>
      <c r="C369" s="4" t="s">
        <v>41</v>
      </c>
      <c r="D369" s="4" t="s">
        <v>38</v>
      </c>
      <c r="E369" s="4" t="s">
        <v>25</v>
      </c>
      <c r="F369" s="4" t="s">
        <v>25</v>
      </c>
      <c r="G369" s="4" t="s">
        <v>25</v>
      </c>
      <c r="H369" s="4" t="s">
        <v>35</v>
      </c>
      <c r="I369" s="5">
        <v>44682</v>
      </c>
      <c r="J369" s="6">
        <v>0</v>
      </c>
      <c r="K369" s="6">
        <v>0</v>
      </c>
      <c r="L369" s="6">
        <v>1812.2260000000001</v>
      </c>
      <c r="M369" s="6">
        <v>1812.2260000000001</v>
      </c>
      <c r="N369" s="6">
        <v>1812.2260000000001</v>
      </c>
      <c r="O369" s="6">
        <v>1812.2260000000001</v>
      </c>
      <c r="P369" s="6">
        <v>0</v>
      </c>
      <c r="Q369" s="4" t="s">
        <v>26</v>
      </c>
      <c r="R369" s="4">
        <v>0</v>
      </c>
      <c r="S369" s="4" t="s">
        <v>199</v>
      </c>
      <c r="T369" s="4" t="s">
        <v>440</v>
      </c>
      <c r="U369" s="4">
        <v>0</v>
      </c>
      <c r="V369" s="4">
        <v>6</v>
      </c>
      <c r="W369" s="4">
        <v>61</v>
      </c>
    </row>
    <row r="370" spans="1:23" ht="11.25" customHeight="1" x14ac:dyDescent="0.3">
      <c r="A370" s="4" t="s">
        <v>28</v>
      </c>
      <c r="B370" s="4" t="s">
        <v>39</v>
      </c>
      <c r="C370" s="4" t="s">
        <v>41</v>
      </c>
      <c r="D370" s="4" t="s">
        <v>38</v>
      </c>
      <c r="E370" s="4" t="s">
        <v>25</v>
      </c>
      <c r="F370" s="4" t="s">
        <v>25</v>
      </c>
      <c r="G370" s="4" t="s">
        <v>25</v>
      </c>
      <c r="H370" s="4" t="s">
        <v>35</v>
      </c>
      <c r="I370" s="5">
        <v>44682</v>
      </c>
      <c r="J370" s="6">
        <v>0</v>
      </c>
      <c r="K370" s="6">
        <v>0</v>
      </c>
      <c r="L370" s="6">
        <v>4.0359999999999996</v>
      </c>
      <c r="M370" s="6">
        <v>4.0359999999999996</v>
      </c>
      <c r="N370" s="6">
        <v>4.0359999999999996</v>
      </c>
      <c r="O370" s="6">
        <v>4.0359999999999996</v>
      </c>
      <c r="P370" s="6">
        <v>0</v>
      </c>
      <c r="Q370" s="4" t="s">
        <v>26</v>
      </c>
      <c r="R370" s="4">
        <v>0</v>
      </c>
      <c r="S370" s="4" t="s">
        <v>199</v>
      </c>
      <c r="T370" s="4" t="s">
        <v>440</v>
      </c>
      <c r="U370" s="4">
        <v>0</v>
      </c>
      <c r="V370" s="4">
        <v>6</v>
      </c>
      <c r="W370" s="4">
        <v>61</v>
      </c>
    </row>
    <row r="371" spans="1:23" ht="11.25" customHeight="1" x14ac:dyDescent="0.3">
      <c r="A371" s="4" t="s">
        <v>21</v>
      </c>
      <c r="B371" s="4" t="s">
        <v>39</v>
      </c>
      <c r="C371" s="4" t="s">
        <v>41</v>
      </c>
      <c r="D371" s="4" t="s">
        <v>38</v>
      </c>
      <c r="E371" s="4" t="s">
        <v>25</v>
      </c>
      <c r="F371" s="4" t="s">
        <v>25</v>
      </c>
      <c r="G371" s="4" t="s">
        <v>25</v>
      </c>
      <c r="H371" s="4" t="s">
        <v>35</v>
      </c>
      <c r="I371" s="5">
        <v>44682</v>
      </c>
      <c r="J371" s="6">
        <v>0</v>
      </c>
      <c r="K371" s="6">
        <v>0</v>
      </c>
      <c r="L371" s="6">
        <v>676.995</v>
      </c>
      <c r="M371" s="6">
        <v>676.995</v>
      </c>
      <c r="N371" s="6">
        <v>0</v>
      </c>
      <c r="O371" s="6">
        <v>0</v>
      </c>
      <c r="P371" s="6">
        <v>0</v>
      </c>
      <c r="Q371" s="4" t="s">
        <v>55</v>
      </c>
      <c r="R371" s="4">
        <v>0</v>
      </c>
      <c r="S371" s="4" t="s">
        <v>199</v>
      </c>
      <c r="U371" s="4">
        <v>0</v>
      </c>
      <c r="V371" s="4">
        <v>6</v>
      </c>
      <c r="W371" s="4">
        <v>0</v>
      </c>
    </row>
    <row r="372" spans="1:23" ht="11.25" customHeight="1" x14ac:dyDescent="0.3">
      <c r="A372" s="4" t="s">
        <v>21</v>
      </c>
      <c r="B372" s="4" t="s">
        <v>39</v>
      </c>
      <c r="C372" s="4" t="s">
        <v>41</v>
      </c>
      <c r="D372" s="4" t="s">
        <v>38</v>
      </c>
      <c r="E372" s="4" t="s">
        <v>25</v>
      </c>
      <c r="F372" s="4" t="s">
        <v>25</v>
      </c>
      <c r="G372" s="4" t="s">
        <v>25</v>
      </c>
      <c r="H372" s="4" t="s">
        <v>35</v>
      </c>
      <c r="I372" s="5">
        <v>44713</v>
      </c>
      <c r="J372" s="6">
        <v>0</v>
      </c>
      <c r="K372" s="6">
        <v>0</v>
      </c>
      <c r="L372" s="6">
        <v>1918.991</v>
      </c>
      <c r="M372" s="6">
        <v>1918.991</v>
      </c>
      <c r="N372" s="6">
        <v>1918.991</v>
      </c>
      <c r="O372" s="6">
        <v>1918.991</v>
      </c>
      <c r="P372" s="6">
        <v>0</v>
      </c>
      <c r="Q372" s="4" t="s">
        <v>26</v>
      </c>
      <c r="R372" s="4">
        <v>0</v>
      </c>
      <c r="S372" s="4" t="s">
        <v>200</v>
      </c>
      <c r="T372" s="4" t="s">
        <v>441</v>
      </c>
      <c r="U372" s="4">
        <v>0</v>
      </c>
      <c r="V372" s="4">
        <v>6</v>
      </c>
      <c r="W372" s="4">
        <v>61</v>
      </c>
    </row>
    <row r="373" spans="1:23" ht="11.25" customHeight="1" x14ac:dyDescent="0.3">
      <c r="A373" s="4" t="s">
        <v>28</v>
      </c>
      <c r="B373" s="4" t="s">
        <v>39</v>
      </c>
      <c r="C373" s="4" t="s">
        <v>41</v>
      </c>
      <c r="D373" s="4" t="s">
        <v>38</v>
      </c>
      <c r="E373" s="4" t="s">
        <v>25</v>
      </c>
      <c r="F373" s="4" t="s">
        <v>25</v>
      </c>
      <c r="G373" s="4" t="s">
        <v>25</v>
      </c>
      <c r="H373" s="4" t="s">
        <v>35</v>
      </c>
      <c r="I373" s="5">
        <v>44713</v>
      </c>
      <c r="J373" s="6">
        <v>0</v>
      </c>
      <c r="K373" s="6">
        <v>0</v>
      </c>
      <c r="L373" s="6">
        <v>11.496</v>
      </c>
      <c r="M373" s="6">
        <v>11.496</v>
      </c>
      <c r="N373" s="6">
        <v>11.496</v>
      </c>
      <c r="O373" s="6">
        <v>11.496</v>
      </c>
      <c r="P373" s="6">
        <v>0</v>
      </c>
      <c r="Q373" s="4" t="s">
        <v>26</v>
      </c>
      <c r="R373" s="4">
        <v>0</v>
      </c>
      <c r="S373" s="4" t="s">
        <v>200</v>
      </c>
      <c r="T373" s="4" t="s">
        <v>441</v>
      </c>
      <c r="U373" s="4">
        <v>0</v>
      </c>
      <c r="V373" s="4">
        <v>6</v>
      </c>
      <c r="W373" s="4">
        <v>61</v>
      </c>
    </row>
    <row r="374" spans="1:23" ht="11.25" customHeight="1" x14ac:dyDescent="0.3">
      <c r="A374" s="4" t="s">
        <v>21</v>
      </c>
      <c r="B374" s="4" t="s">
        <v>39</v>
      </c>
      <c r="C374" s="4" t="s">
        <v>41</v>
      </c>
      <c r="D374" s="4" t="s">
        <v>38</v>
      </c>
      <c r="E374" s="4" t="s">
        <v>25</v>
      </c>
      <c r="F374" s="4" t="s">
        <v>25</v>
      </c>
      <c r="G374" s="4" t="s">
        <v>25</v>
      </c>
      <c r="H374" s="4" t="s">
        <v>35</v>
      </c>
      <c r="I374" s="5">
        <v>44713</v>
      </c>
      <c r="J374" s="6">
        <v>0</v>
      </c>
      <c r="K374" s="6">
        <v>0</v>
      </c>
      <c r="L374" s="6">
        <v>693.12900000000002</v>
      </c>
      <c r="M374" s="6">
        <v>693.12900000000002</v>
      </c>
      <c r="N374" s="6">
        <v>0</v>
      </c>
      <c r="O374" s="6">
        <v>0</v>
      </c>
      <c r="P374" s="6">
        <v>0</v>
      </c>
      <c r="Q374" s="4" t="s">
        <v>55</v>
      </c>
      <c r="R374" s="4">
        <v>0</v>
      </c>
      <c r="S374" s="4" t="s">
        <v>200</v>
      </c>
      <c r="U374" s="4">
        <v>0</v>
      </c>
      <c r="V374" s="4">
        <v>6</v>
      </c>
      <c r="W374" s="4">
        <v>0</v>
      </c>
    </row>
    <row r="375" spans="1:23" ht="11.25" customHeight="1" x14ac:dyDescent="0.3">
      <c r="A375" s="4" t="s">
        <v>21</v>
      </c>
      <c r="B375" s="4" t="s">
        <v>39</v>
      </c>
      <c r="C375" s="4" t="s">
        <v>41</v>
      </c>
      <c r="D375" s="4" t="s">
        <v>38</v>
      </c>
      <c r="E375" s="4" t="s">
        <v>25</v>
      </c>
      <c r="F375" s="4" t="s">
        <v>25</v>
      </c>
      <c r="G375" s="4" t="s">
        <v>25</v>
      </c>
      <c r="H375" s="4" t="s">
        <v>35</v>
      </c>
      <c r="I375" s="5">
        <v>44743</v>
      </c>
      <c r="J375" s="6">
        <v>0</v>
      </c>
      <c r="K375" s="6">
        <v>0</v>
      </c>
      <c r="L375" s="6">
        <v>1802.39</v>
      </c>
      <c r="M375" s="6">
        <v>1802.39</v>
      </c>
      <c r="N375" s="6">
        <v>1802.39</v>
      </c>
      <c r="O375" s="6">
        <v>1802.39</v>
      </c>
      <c r="P375" s="6">
        <v>0</v>
      </c>
      <c r="Q375" s="4" t="s">
        <v>26</v>
      </c>
      <c r="R375" s="4">
        <v>0</v>
      </c>
      <c r="S375" s="4" t="s">
        <v>201</v>
      </c>
      <c r="T375" s="4" t="s">
        <v>442</v>
      </c>
      <c r="U375" s="4">
        <v>0</v>
      </c>
      <c r="V375" s="4">
        <v>6</v>
      </c>
      <c r="W375" s="4">
        <v>61</v>
      </c>
    </row>
    <row r="376" spans="1:23" ht="11.25" customHeight="1" x14ac:dyDescent="0.3">
      <c r="A376" s="4" t="s">
        <v>21</v>
      </c>
      <c r="B376" s="4" t="s">
        <v>39</v>
      </c>
      <c r="C376" s="4" t="s">
        <v>41</v>
      </c>
      <c r="D376" s="4" t="s">
        <v>38</v>
      </c>
      <c r="E376" s="4" t="s">
        <v>25</v>
      </c>
      <c r="F376" s="4" t="s">
        <v>25</v>
      </c>
      <c r="G376" s="4" t="s">
        <v>25</v>
      </c>
      <c r="H376" s="4" t="s">
        <v>35</v>
      </c>
      <c r="I376" s="5">
        <v>44743</v>
      </c>
      <c r="J376" s="6">
        <v>0</v>
      </c>
      <c r="K376" s="6">
        <v>0</v>
      </c>
      <c r="L376" s="6">
        <v>454.67399999999998</v>
      </c>
      <c r="M376" s="6">
        <v>454.67399999999998</v>
      </c>
      <c r="N376" s="6">
        <v>0</v>
      </c>
      <c r="O376" s="6">
        <v>0</v>
      </c>
      <c r="P376" s="6">
        <v>0</v>
      </c>
      <c r="Q376" s="4" t="s">
        <v>55</v>
      </c>
      <c r="R376" s="4">
        <v>0</v>
      </c>
      <c r="S376" s="4" t="s">
        <v>201</v>
      </c>
      <c r="U376" s="4">
        <v>0</v>
      </c>
      <c r="V376" s="4">
        <v>6</v>
      </c>
      <c r="W376" s="4">
        <v>0</v>
      </c>
    </row>
    <row r="377" spans="1:23" ht="11.25" customHeight="1" x14ac:dyDescent="0.3">
      <c r="A377" s="4" t="s">
        <v>21</v>
      </c>
      <c r="B377" s="4" t="s">
        <v>39</v>
      </c>
      <c r="C377" s="4" t="s">
        <v>41</v>
      </c>
      <c r="D377" s="4" t="s">
        <v>38</v>
      </c>
      <c r="E377" s="4" t="s">
        <v>25</v>
      </c>
      <c r="F377" s="4" t="s">
        <v>25</v>
      </c>
      <c r="G377" s="4" t="s">
        <v>25</v>
      </c>
      <c r="H377" s="4" t="s">
        <v>35</v>
      </c>
      <c r="I377" s="5">
        <v>44774</v>
      </c>
      <c r="J377" s="6">
        <v>0</v>
      </c>
      <c r="K377" s="6">
        <v>0</v>
      </c>
      <c r="L377" s="6">
        <v>1938.971</v>
      </c>
      <c r="M377" s="6">
        <v>1938.971</v>
      </c>
      <c r="N377" s="6">
        <v>1938.971</v>
      </c>
      <c r="O377" s="6">
        <v>1938.971</v>
      </c>
      <c r="P377" s="6">
        <v>0</v>
      </c>
      <c r="Q377" s="4" t="s">
        <v>26</v>
      </c>
      <c r="R377" s="4">
        <v>0</v>
      </c>
      <c r="S377" s="4" t="s">
        <v>202</v>
      </c>
      <c r="T377" s="4" t="s">
        <v>443</v>
      </c>
      <c r="U377" s="4">
        <v>0</v>
      </c>
      <c r="V377" s="4">
        <v>6</v>
      </c>
      <c r="W377" s="4">
        <v>61</v>
      </c>
    </row>
    <row r="378" spans="1:23" ht="11.25" customHeight="1" x14ac:dyDescent="0.3">
      <c r="A378" s="4" t="s">
        <v>27</v>
      </c>
      <c r="B378" s="4" t="s">
        <v>39</v>
      </c>
      <c r="C378" s="4" t="s">
        <v>41</v>
      </c>
      <c r="D378" s="4" t="s">
        <v>38</v>
      </c>
      <c r="E378" s="4" t="s">
        <v>25</v>
      </c>
      <c r="F378" s="4" t="s">
        <v>25</v>
      </c>
      <c r="G378" s="4" t="s">
        <v>25</v>
      </c>
      <c r="H378" s="4" t="s">
        <v>35</v>
      </c>
      <c r="I378" s="5">
        <v>44774</v>
      </c>
      <c r="J378" s="6">
        <v>0</v>
      </c>
      <c r="K378" s="6">
        <v>0</v>
      </c>
      <c r="L378" s="6">
        <v>9.6170000000000009</v>
      </c>
      <c r="M378" s="6">
        <v>9.6170000000000009</v>
      </c>
      <c r="N378" s="6">
        <v>9.6170000000000009</v>
      </c>
      <c r="O378" s="6">
        <v>9.6170000000000009</v>
      </c>
      <c r="P378" s="6">
        <v>0</v>
      </c>
      <c r="Q378" s="4" t="s">
        <v>26</v>
      </c>
      <c r="R378" s="4">
        <v>0</v>
      </c>
      <c r="S378" s="4" t="s">
        <v>202</v>
      </c>
      <c r="T378" s="4" t="s">
        <v>443</v>
      </c>
      <c r="U378" s="4">
        <v>0</v>
      </c>
      <c r="V378" s="4">
        <v>6</v>
      </c>
      <c r="W378" s="4">
        <v>61</v>
      </c>
    </row>
    <row r="379" spans="1:23" ht="11.25" customHeight="1" x14ac:dyDescent="0.3">
      <c r="A379" s="4" t="s">
        <v>28</v>
      </c>
      <c r="B379" s="4" t="s">
        <v>39</v>
      </c>
      <c r="C379" s="4" t="s">
        <v>41</v>
      </c>
      <c r="D379" s="4" t="s">
        <v>38</v>
      </c>
      <c r="E379" s="4" t="s">
        <v>25</v>
      </c>
      <c r="F379" s="4" t="s">
        <v>25</v>
      </c>
      <c r="G379" s="4" t="s">
        <v>25</v>
      </c>
      <c r="H379" s="4" t="s">
        <v>35</v>
      </c>
      <c r="I379" s="5">
        <v>44774</v>
      </c>
      <c r="J379" s="6">
        <v>0</v>
      </c>
      <c r="K379" s="6">
        <v>0</v>
      </c>
      <c r="L379" s="6">
        <v>16.373999999999999</v>
      </c>
      <c r="M379" s="6">
        <v>16.373999999999999</v>
      </c>
      <c r="N379" s="6">
        <v>16.373999999999999</v>
      </c>
      <c r="O379" s="6">
        <v>16.373999999999999</v>
      </c>
      <c r="P379" s="6">
        <v>0</v>
      </c>
      <c r="Q379" s="4" t="s">
        <v>26</v>
      </c>
      <c r="R379" s="4">
        <v>0</v>
      </c>
      <c r="S379" s="4" t="s">
        <v>202</v>
      </c>
      <c r="T379" s="4" t="s">
        <v>443</v>
      </c>
      <c r="U379" s="4">
        <v>0</v>
      </c>
      <c r="V379" s="4">
        <v>6</v>
      </c>
      <c r="W379" s="4">
        <v>61</v>
      </c>
    </row>
    <row r="380" spans="1:23" ht="11.25" customHeight="1" x14ac:dyDescent="0.3">
      <c r="A380" s="4" t="s">
        <v>21</v>
      </c>
      <c r="B380" s="4" t="s">
        <v>39</v>
      </c>
      <c r="C380" s="4" t="s">
        <v>41</v>
      </c>
      <c r="D380" s="4" t="s">
        <v>38</v>
      </c>
      <c r="E380" s="4" t="s">
        <v>25</v>
      </c>
      <c r="F380" s="4" t="s">
        <v>25</v>
      </c>
      <c r="G380" s="4" t="s">
        <v>25</v>
      </c>
      <c r="H380" s="4" t="s">
        <v>35</v>
      </c>
      <c r="I380" s="5">
        <v>44774</v>
      </c>
      <c r="J380" s="6">
        <v>0</v>
      </c>
      <c r="K380" s="6">
        <v>0</v>
      </c>
      <c r="L380" s="6">
        <v>660.92499999999995</v>
      </c>
      <c r="M380" s="6">
        <v>660.92499999999995</v>
      </c>
      <c r="N380" s="6">
        <v>0</v>
      </c>
      <c r="O380" s="6">
        <v>0</v>
      </c>
      <c r="P380" s="6">
        <v>0</v>
      </c>
      <c r="Q380" s="4" t="s">
        <v>55</v>
      </c>
      <c r="R380" s="4">
        <v>0</v>
      </c>
      <c r="S380" s="4" t="s">
        <v>202</v>
      </c>
      <c r="U380" s="4">
        <v>0</v>
      </c>
      <c r="V380" s="4">
        <v>6</v>
      </c>
      <c r="W380" s="4">
        <v>0</v>
      </c>
    </row>
    <row r="381" spans="1:23" ht="11.25" customHeight="1" x14ac:dyDescent="0.3">
      <c r="A381" s="4" t="s">
        <v>21</v>
      </c>
      <c r="B381" s="4" t="s">
        <v>39</v>
      </c>
      <c r="C381" s="4" t="s">
        <v>41</v>
      </c>
      <c r="D381" s="4" t="s">
        <v>38</v>
      </c>
      <c r="E381" s="4" t="s">
        <v>25</v>
      </c>
      <c r="F381" s="4" t="s">
        <v>25</v>
      </c>
      <c r="G381" s="4" t="s">
        <v>25</v>
      </c>
      <c r="H381" s="4" t="s">
        <v>35</v>
      </c>
      <c r="I381" s="5">
        <v>44805</v>
      </c>
      <c r="J381" s="6">
        <v>0</v>
      </c>
      <c r="K381" s="6">
        <v>0</v>
      </c>
      <c r="L381" s="6">
        <v>2059.8589999999999</v>
      </c>
      <c r="M381" s="6">
        <v>2059.8589999999999</v>
      </c>
      <c r="N381" s="6">
        <v>2059.8589999999999</v>
      </c>
      <c r="O381" s="6">
        <v>2059.8589999999999</v>
      </c>
      <c r="P381" s="6">
        <v>0</v>
      </c>
      <c r="Q381" s="4" t="s">
        <v>26</v>
      </c>
      <c r="R381" s="4">
        <v>0</v>
      </c>
      <c r="S381" s="4" t="s">
        <v>203</v>
      </c>
      <c r="T381" s="4" t="s">
        <v>444</v>
      </c>
      <c r="U381" s="4">
        <v>0</v>
      </c>
      <c r="V381" s="4">
        <v>6</v>
      </c>
      <c r="W381" s="4">
        <v>61</v>
      </c>
    </row>
    <row r="382" spans="1:23" ht="11.25" customHeight="1" x14ac:dyDescent="0.3">
      <c r="A382" s="4" t="s">
        <v>28</v>
      </c>
      <c r="B382" s="4" t="s">
        <v>39</v>
      </c>
      <c r="C382" s="4" t="s">
        <v>41</v>
      </c>
      <c r="D382" s="4" t="s">
        <v>38</v>
      </c>
      <c r="E382" s="4" t="s">
        <v>25</v>
      </c>
      <c r="F382" s="4" t="s">
        <v>25</v>
      </c>
      <c r="G382" s="4" t="s">
        <v>25</v>
      </c>
      <c r="H382" s="4" t="s">
        <v>35</v>
      </c>
      <c r="I382" s="5">
        <v>44805</v>
      </c>
      <c r="J382" s="6">
        <v>0</v>
      </c>
      <c r="K382" s="6">
        <v>0</v>
      </c>
      <c r="L382" s="6">
        <v>15.010999999999999</v>
      </c>
      <c r="M382" s="6">
        <v>15.010999999999999</v>
      </c>
      <c r="N382" s="6">
        <v>15.010999999999999</v>
      </c>
      <c r="O382" s="6">
        <v>15.010999999999999</v>
      </c>
      <c r="P382" s="6">
        <v>0</v>
      </c>
      <c r="Q382" s="4" t="s">
        <v>26</v>
      </c>
      <c r="R382" s="4">
        <v>0</v>
      </c>
      <c r="S382" s="4" t="s">
        <v>203</v>
      </c>
      <c r="T382" s="4" t="s">
        <v>444</v>
      </c>
      <c r="U382" s="4">
        <v>0</v>
      </c>
      <c r="V382" s="4">
        <v>6</v>
      </c>
      <c r="W382" s="4">
        <v>61</v>
      </c>
    </row>
    <row r="383" spans="1:23" ht="11.25" customHeight="1" x14ac:dyDescent="0.3">
      <c r="A383" s="4" t="s">
        <v>21</v>
      </c>
      <c r="B383" s="4" t="s">
        <v>39</v>
      </c>
      <c r="C383" s="4" t="s">
        <v>41</v>
      </c>
      <c r="D383" s="4" t="s">
        <v>38</v>
      </c>
      <c r="E383" s="4" t="s">
        <v>25</v>
      </c>
      <c r="F383" s="4" t="s">
        <v>25</v>
      </c>
      <c r="G383" s="4" t="s">
        <v>25</v>
      </c>
      <c r="H383" s="4" t="s">
        <v>35</v>
      </c>
      <c r="I383" s="5">
        <v>44805</v>
      </c>
      <c r="J383" s="6">
        <v>0</v>
      </c>
      <c r="K383" s="6">
        <v>0</v>
      </c>
      <c r="L383" s="6">
        <v>669.56600000000003</v>
      </c>
      <c r="M383" s="6">
        <v>669.56600000000003</v>
      </c>
      <c r="N383" s="6">
        <v>0</v>
      </c>
      <c r="O383" s="6">
        <v>0</v>
      </c>
      <c r="P383" s="6">
        <v>0</v>
      </c>
      <c r="Q383" s="4" t="s">
        <v>55</v>
      </c>
      <c r="R383" s="4">
        <v>0</v>
      </c>
      <c r="S383" s="4" t="s">
        <v>203</v>
      </c>
      <c r="U383" s="4">
        <v>0</v>
      </c>
      <c r="V383" s="4">
        <v>6</v>
      </c>
      <c r="W383" s="4">
        <v>0</v>
      </c>
    </row>
    <row r="384" spans="1:23" ht="11.25" customHeight="1" x14ac:dyDescent="0.3">
      <c r="A384" s="4" t="s">
        <v>53</v>
      </c>
      <c r="B384" s="4" t="s">
        <v>39</v>
      </c>
      <c r="C384" s="4" t="s">
        <v>41</v>
      </c>
      <c r="D384" s="4" t="s">
        <v>38</v>
      </c>
      <c r="E384" s="4" t="s">
        <v>25</v>
      </c>
      <c r="F384" s="4" t="s">
        <v>25</v>
      </c>
      <c r="G384" s="4" t="s">
        <v>25</v>
      </c>
      <c r="H384" s="4" t="s">
        <v>35</v>
      </c>
      <c r="I384" s="5">
        <v>44835</v>
      </c>
      <c r="J384" s="6">
        <v>0</v>
      </c>
      <c r="K384" s="6">
        <v>0</v>
      </c>
      <c r="L384" s="6">
        <v>2059.8589999999999</v>
      </c>
      <c r="M384" s="6">
        <v>2059.8589999999999</v>
      </c>
      <c r="N384" s="6">
        <v>2059.8589999999999</v>
      </c>
      <c r="O384" s="6">
        <v>2059.8589999999999</v>
      </c>
      <c r="P384" s="6">
        <v>0</v>
      </c>
      <c r="Q384" s="4" t="s">
        <v>26</v>
      </c>
      <c r="R384" s="4">
        <v>0</v>
      </c>
      <c r="S384" s="4" t="s">
        <v>204</v>
      </c>
      <c r="T384" s="4" t="s">
        <v>445</v>
      </c>
      <c r="U384" s="4">
        <v>0</v>
      </c>
      <c r="V384" s="4">
        <v>6</v>
      </c>
      <c r="W384" s="4">
        <v>61</v>
      </c>
    </row>
    <row r="385" spans="1:23" ht="11.25" customHeight="1" x14ac:dyDescent="0.3">
      <c r="A385" s="4" t="s">
        <v>53</v>
      </c>
      <c r="B385" s="4" t="s">
        <v>39</v>
      </c>
      <c r="C385" s="4" t="s">
        <v>41</v>
      </c>
      <c r="D385" s="4" t="s">
        <v>38</v>
      </c>
      <c r="E385" s="4" t="s">
        <v>25</v>
      </c>
      <c r="F385" s="4" t="s">
        <v>25</v>
      </c>
      <c r="G385" s="4" t="s">
        <v>25</v>
      </c>
      <c r="H385" s="4" t="s">
        <v>35</v>
      </c>
      <c r="I385" s="5">
        <v>44835</v>
      </c>
      <c r="J385" s="6">
        <v>0</v>
      </c>
      <c r="K385" s="6">
        <v>0</v>
      </c>
      <c r="L385" s="6">
        <v>15.010999999999999</v>
      </c>
      <c r="M385" s="6">
        <v>15.010999999999999</v>
      </c>
      <c r="N385" s="6">
        <v>15.010999999999999</v>
      </c>
      <c r="O385" s="6">
        <v>15.010999999999999</v>
      </c>
      <c r="P385" s="6">
        <v>0</v>
      </c>
      <c r="Q385" s="4" t="s">
        <v>26</v>
      </c>
      <c r="R385" s="4">
        <v>0</v>
      </c>
      <c r="S385" s="4" t="s">
        <v>204</v>
      </c>
      <c r="T385" s="4" t="s">
        <v>445</v>
      </c>
      <c r="U385" s="4">
        <v>0</v>
      </c>
      <c r="V385" s="4">
        <v>6</v>
      </c>
      <c r="W385" s="4">
        <v>61</v>
      </c>
    </row>
    <row r="386" spans="1:23" ht="11.25" customHeight="1" x14ac:dyDescent="0.3">
      <c r="A386" s="4" t="s">
        <v>53</v>
      </c>
      <c r="B386" s="4" t="s">
        <v>39</v>
      </c>
      <c r="C386" s="4" t="s">
        <v>41</v>
      </c>
      <c r="D386" s="4" t="s">
        <v>38</v>
      </c>
      <c r="E386" s="4" t="s">
        <v>25</v>
      </c>
      <c r="F386" s="4" t="s">
        <v>25</v>
      </c>
      <c r="G386" s="4" t="s">
        <v>25</v>
      </c>
      <c r="H386" s="4" t="s">
        <v>35</v>
      </c>
      <c r="I386" s="5">
        <v>44835</v>
      </c>
      <c r="J386" s="6">
        <v>0</v>
      </c>
      <c r="K386" s="6">
        <v>0</v>
      </c>
      <c r="L386" s="6">
        <v>669.56600000000003</v>
      </c>
      <c r="M386" s="6">
        <v>669.56600000000003</v>
      </c>
      <c r="N386" s="6">
        <v>0</v>
      </c>
      <c r="O386" s="6">
        <v>0</v>
      </c>
      <c r="P386" s="6">
        <v>0</v>
      </c>
      <c r="Q386" s="4" t="s">
        <v>55</v>
      </c>
      <c r="R386" s="4">
        <v>0</v>
      </c>
      <c r="S386" s="4" t="s">
        <v>204</v>
      </c>
      <c r="U386" s="4">
        <v>0</v>
      </c>
      <c r="V386" s="4">
        <v>6</v>
      </c>
      <c r="W386" s="4">
        <v>0</v>
      </c>
    </row>
    <row r="387" spans="1:23" ht="11.25" customHeight="1" x14ac:dyDescent="0.3">
      <c r="A387" s="4" t="s">
        <v>21</v>
      </c>
      <c r="B387" s="4" t="s">
        <v>39</v>
      </c>
      <c r="C387" s="4" t="s">
        <v>41</v>
      </c>
      <c r="D387" s="4" t="s">
        <v>38</v>
      </c>
      <c r="E387" s="4" t="s">
        <v>25</v>
      </c>
      <c r="F387" s="4" t="s">
        <v>25</v>
      </c>
      <c r="G387" s="4" t="s">
        <v>25</v>
      </c>
      <c r="H387" s="4" t="s">
        <v>25</v>
      </c>
      <c r="I387" s="5">
        <v>44501</v>
      </c>
      <c r="J387" s="6">
        <v>9109</v>
      </c>
      <c r="K387" s="6">
        <v>9109</v>
      </c>
      <c r="L387" s="6">
        <v>0</v>
      </c>
      <c r="M387" s="6">
        <v>0</v>
      </c>
      <c r="N387" s="6">
        <v>0</v>
      </c>
      <c r="O387" s="6">
        <v>0</v>
      </c>
      <c r="P387" s="6">
        <v>39</v>
      </c>
      <c r="Q387" s="4" t="s">
        <v>26</v>
      </c>
      <c r="R387" s="4">
        <v>0</v>
      </c>
      <c r="S387" s="4" t="s">
        <v>205</v>
      </c>
      <c r="U387" s="4">
        <v>20</v>
      </c>
      <c r="V387" s="4">
        <v>0</v>
      </c>
      <c r="W387" s="4">
        <v>0</v>
      </c>
    </row>
    <row r="388" spans="1:23" ht="11.25" customHeight="1" x14ac:dyDescent="0.3">
      <c r="A388" s="4" t="s">
        <v>21</v>
      </c>
      <c r="B388" s="4" t="s">
        <v>39</v>
      </c>
      <c r="C388" s="4" t="s">
        <v>41</v>
      </c>
      <c r="D388" s="4" t="s">
        <v>38</v>
      </c>
      <c r="E388" s="4" t="s">
        <v>25</v>
      </c>
      <c r="F388" s="4" t="s">
        <v>25</v>
      </c>
      <c r="G388" s="4" t="s">
        <v>25</v>
      </c>
      <c r="H388" s="4" t="s">
        <v>25</v>
      </c>
      <c r="I388" s="5">
        <v>44501</v>
      </c>
      <c r="J388" s="6">
        <v>2000</v>
      </c>
      <c r="K388" s="6">
        <v>2000</v>
      </c>
      <c r="L388" s="6">
        <v>0</v>
      </c>
      <c r="M388" s="6">
        <v>0</v>
      </c>
      <c r="N388" s="6">
        <v>0</v>
      </c>
      <c r="O388" s="6">
        <v>0</v>
      </c>
      <c r="P388" s="6">
        <v>1</v>
      </c>
      <c r="Q388" s="4" t="s">
        <v>55</v>
      </c>
      <c r="R388" s="4">
        <v>0</v>
      </c>
      <c r="S388" s="4" t="s">
        <v>205</v>
      </c>
      <c r="U388" s="4">
        <v>20</v>
      </c>
      <c r="V388" s="4">
        <v>0</v>
      </c>
      <c r="W388" s="4">
        <v>0</v>
      </c>
    </row>
    <row r="389" spans="1:23" ht="11.25" customHeight="1" x14ac:dyDescent="0.3">
      <c r="A389" s="4" t="s">
        <v>21</v>
      </c>
      <c r="B389" s="4" t="s">
        <v>39</v>
      </c>
      <c r="C389" s="4" t="s">
        <v>41</v>
      </c>
      <c r="D389" s="4" t="s">
        <v>38</v>
      </c>
      <c r="E389" s="4" t="s">
        <v>25</v>
      </c>
      <c r="F389" s="4" t="s">
        <v>25</v>
      </c>
      <c r="G389" s="4" t="s">
        <v>25</v>
      </c>
      <c r="H389" s="4" t="s">
        <v>25</v>
      </c>
      <c r="I389" s="5">
        <v>44531</v>
      </c>
      <c r="J389" s="6">
        <v>9064</v>
      </c>
      <c r="K389" s="6">
        <v>9064</v>
      </c>
      <c r="L389" s="6">
        <v>0</v>
      </c>
      <c r="M389" s="6">
        <v>0</v>
      </c>
      <c r="N389" s="6">
        <v>0</v>
      </c>
      <c r="O389" s="6">
        <v>0</v>
      </c>
      <c r="P389" s="6">
        <v>39</v>
      </c>
      <c r="Q389" s="4" t="s">
        <v>26</v>
      </c>
      <c r="R389" s="4">
        <v>0</v>
      </c>
      <c r="S389" s="4" t="s">
        <v>206</v>
      </c>
      <c r="U389" s="4">
        <v>20</v>
      </c>
      <c r="V389" s="4">
        <v>0</v>
      </c>
      <c r="W389" s="4">
        <v>0</v>
      </c>
    </row>
    <row r="390" spans="1:23" ht="11.25" customHeight="1" x14ac:dyDescent="0.3">
      <c r="A390" s="4" t="s">
        <v>21</v>
      </c>
      <c r="B390" s="4" t="s">
        <v>39</v>
      </c>
      <c r="C390" s="4" t="s">
        <v>41</v>
      </c>
      <c r="D390" s="4" t="s">
        <v>38</v>
      </c>
      <c r="E390" s="4" t="s">
        <v>25</v>
      </c>
      <c r="F390" s="4" t="s">
        <v>25</v>
      </c>
      <c r="G390" s="4" t="s">
        <v>25</v>
      </c>
      <c r="H390" s="4" t="s">
        <v>25</v>
      </c>
      <c r="I390" s="5">
        <v>44531</v>
      </c>
      <c r="J390" s="6">
        <v>2000</v>
      </c>
      <c r="K390" s="6">
        <v>2000</v>
      </c>
      <c r="L390" s="6">
        <v>0</v>
      </c>
      <c r="M390" s="6">
        <v>0</v>
      </c>
      <c r="N390" s="6">
        <v>0</v>
      </c>
      <c r="O390" s="6">
        <v>0</v>
      </c>
      <c r="P390" s="6">
        <v>1</v>
      </c>
      <c r="Q390" s="4" t="s">
        <v>55</v>
      </c>
      <c r="R390" s="4">
        <v>0</v>
      </c>
      <c r="S390" s="4" t="s">
        <v>206</v>
      </c>
      <c r="U390" s="4">
        <v>20</v>
      </c>
      <c r="V390" s="4">
        <v>0</v>
      </c>
      <c r="W390" s="4">
        <v>0</v>
      </c>
    </row>
    <row r="391" spans="1:23" ht="11.25" customHeight="1" x14ac:dyDescent="0.3">
      <c r="A391" s="4" t="s">
        <v>21</v>
      </c>
      <c r="B391" s="4" t="s">
        <v>39</v>
      </c>
      <c r="C391" s="4" t="s">
        <v>41</v>
      </c>
      <c r="D391" s="4" t="s">
        <v>38</v>
      </c>
      <c r="E391" s="4" t="s">
        <v>25</v>
      </c>
      <c r="F391" s="4" t="s">
        <v>25</v>
      </c>
      <c r="G391" s="4" t="s">
        <v>25</v>
      </c>
      <c r="H391" s="4" t="s">
        <v>25</v>
      </c>
      <c r="I391" s="5">
        <v>44562</v>
      </c>
      <c r="J391" s="6">
        <v>8998</v>
      </c>
      <c r="K391" s="6">
        <v>8998</v>
      </c>
      <c r="L391" s="6">
        <v>0</v>
      </c>
      <c r="M391" s="6">
        <v>0</v>
      </c>
      <c r="N391" s="6">
        <v>0</v>
      </c>
      <c r="O391" s="6">
        <v>0</v>
      </c>
      <c r="P391" s="6">
        <v>39</v>
      </c>
      <c r="Q391" s="4" t="s">
        <v>26</v>
      </c>
      <c r="R391" s="4">
        <v>0</v>
      </c>
      <c r="S391" s="4" t="s">
        <v>207</v>
      </c>
      <c r="U391" s="4">
        <v>20</v>
      </c>
      <c r="V391" s="4">
        <v>0</v>
      </c>
      <c r="W391" s="4">
        <v>0</v>
      </c>
    </row>
    <row r="392" spans="1:23" ht="11.25" customHeight="1" x14ac:dyDescent="0.3">
      <c r="A392" s="4" t="s">
        <v>21</v>
      </c>
      <c r="B392" s="4" t="s">
        <v>39</v>
      </c>
      <c r="C392" s="4" t="s">
        <v>41</v>
      </c>
      <c r="D392" s="4" t="s">
        <v>38</v>
      </c>
      <c r="E392" s="4" t="s">
        <v>25</v>
      </c>
      <c r="F392" s="4" t="s">
        <v>25</v>
      </c>
      <c r="G392" s="4" t="s">
        <v>25</v>
      </c>
      <c r="H392" s="4" t="s">
        <v>25</v>
      </c>
      <c r="I392" s="5">
        <v>44562</v>
      </c>
      <c r="J392" s="6">
        <v>2000</v>
      </c>
      <c r="K392" s="6">
        <v>2000</v>
      </c>
      <c r="L392" s="6">
        <v>0</v>
      </c>
      <c r="M392" s="6">
        <v>0</v>
      </c>
      <c r="N392" s="6">
        <v>0</v>
      </c>
      <c r="O392" s="6">
        <v>0</v>
      </c>
      <c r="P392" s="6">
        <v>1</v>
      </c>
      <c r="Q392" s="4" t="s">
        <v>55</v>
      </c>
      <c r="R392" s="4">
        <v>0</v>
      </c>
      <c r="S392" s="4" t="s">
        <v>207</v>
      </c>
      <c r="U392" s="4">
        <v>20</v>
      </c>
      <c r="V392" s="4">
        <v>0</v>
      </c>
      <c r="W392" s="4">
        <v>0</v>
      </c>
    </row>
    <row r="393" spans="1:23" ht="11.25" customHeight="1" x14ac:dyDescent="0.3">
      <c r="A393" s="4" t="s">
        <v>21</v>
      </c>
      <c r="B393" s="4" t="s">
        <v>39</v>
      </c>
      <c r="C393" s="4" t="s">
        <v>41</v>
      </c>
      <c r="D393" s="4" t="s">
        <v>38</v>
      </c>
      <c r="E393" s="4" t="s">
        <v>25</v>
      </c>
      <c r="F393" s="4" t="s">
        <v>25</v>
      </c>
      <c r="G393" s="4" t="s">
        <v>25</v>
      </c>
      <c r="H393" s="4" t="s">
        <v>25</v>
      </c>
      <c r="I393" s="5">
        <v>44593</v>
      </c>
      <c r="J393" s="6">
        <v>8411</v>
      </c>
      <c r="K393" s="6">
        <v>8411</v>
      </c>
      <c r="L393" s="6">
        <v>0</v>
      </c>
      <c r="M393" s="6">
        <v>0</v>
      </c>
      <c r="N393" s="6">
        <v>0</v>
      </c>
      <c r="O393" s="6">
        <v>0</v>
      </c>
      <c r="P393" s="6">
        <v>37</v>
      </c>
      <c r="Q393" s="4" t="s">
        <v>26</v>
      </c>
      <c r="R393" s="4">
        <v>0</v>
      </c>
      <c r="S393" s="4" t="s">
        <v>208</v>
      </c>
      <c r="U393" s="4">
        <v>20</v>
      </c>
      <c r="V393" s="4">
        <v>0</v>
      </c>
      <c r="W393" s="4">
        <v>0</v>
      </c>
    </row>
    <row r="394" spans="1:23" ht="11.25" customHeight="1" x14ac:dyDescent="0.3">
      <c r="A394" s="4" t="s">
        <v>28</v>
      </c>
      <c r="B394" s="4" t="s">
        <v>39</v>
      </c>
      <c r="C394" s="4" t="s">
        <v>41</v>
      </c>
      <c r="D394" s="4" t="s">
        <v>38</v>
      </c>
      <c r="E394" s="4" t="s">
        <v>25</v>
      </c>
      <c r="F394" s="4" t="s">
        <v>25</v>
      </c>
      <c r="G394" s="4" t="s">
        <v>25</v>
      </c>
      <c r="H394" s="4" t="s">
        <v>25</v>
      </c>
      <c r="I394" s="5">
        <v>44593</v>
      </c>
      <c r="J394" s="6">
        <v>162</v>
      </c>
      <c r="K394" s="6">
        <v>162</v>
      </c>
      <c r="L394" s="6">
        <v>0</v>
      </c>
      <c r="M394" s="6">
        <v>0</v>
      </c>
      <c r="N394" s="6">
        <v>0</v>
      </c>
      <c r="O394" s="6">
        <v>0</v>
      </c>
      <c r="P394" s="6">
        <v>1</v>
      </c>
      <c r="Q394" s="4" t="s">
        <v>26</v>
      </c>
      <c r="R394" s="4">
        <v>0</v>
      </c>
      <c r="S394" s="4" t="s">
        <v>208</v>
      </c>
      <c r="U394" s="4">
        <v>20</v>
      </c>
      <c r="V394" s="4">
        <v>0</v>
      </c>
      <c r="W394" s="4">
        <v>0</v>
      </c>
    </row>
    <row r="395" spans="1:23" ht="11.25" customHeight="1" x14ac:dyDescent="0.3">
      <c r="A395" s="4" t="s">
        <v>21</v>
      </c>
      <c r="B395" s="4" t="s">
        <v>39</v>
      </c>
      <c r="C395" s="4" t="s">
        <v>41</v>
      </c>
      <c r="D395" s="4" t="s">
        <v>38</v>
      </c>
      <c r="E395" s="4" t="s">
        <v>25</v>
      </c>
      <c r="F395" s="4" t="s">
        <v>25</v>
      </c>
      <c r="G395" s="4" t="s">
        <v>25</v>
      </c>
      <c r="H395" s="4" t="s">
        <v>25</v>
      </c>
      <c r="I395" s="5">
        <v>44593</v>
      </c>
      <c r="J395" s="6">
        <v>2000</v>
      </c>
      <c r="K395" s="6">
        <v>2000</v>
      </c>
      <c r="L395" s="6">
        <v>0</v>
      </c>
      <c r="M395" s="6">
        <v>0</v>
      </c>
      <c r="N395" s="6">
        <v>0</v>
      </c>
      <c r="O395" s="6">
        <v>0</v>
      </c>
      <c r="P395" s="6">
        <v>1</v>
      </c>
      <c r="Q395" s="4" t="s">
        <v>55</v>
      </c>
      <c r="R395" s="4">
        <v>0</v>
      </c>
      <c r="S395" s="4" t="s">
        <v>208</v>
      </c>
      <c r="U395" s="4">
        <v>20</v>
      </c>
      <c r="V395" s="4">
        <v>0</v>
      </c>
      <c r="W395" s="4">
        <v>0</v>
      </c>
    </row>
    <row r="396" spans="1:23" ht="11.25" customHeight="1" x14ac:dyDescent="0.3">
      <c r="A396" s="4" t="s">
        <v>21</v>
      </c>
      <c r="B396" s="4" t="s">
        <v>39</v>
      </c>
      <c r="C396" s="4" t="s">
        <v>41</v>
      </c>
      <c r="D396" s="4" t="s">
        <v>38</v>
      </c>
      <c r="E396" s="4" t="s">
        <v>25</v>
      </c>
      <c r="F396" s="4" t="s">
        <v>25</v>
      </c>
      <c r="G396" s="4" t="s">
        <v>25</v>
      </c>
      <c r="H396" s="4" t="s">
        <v>25</v>
      </c>
      <c r="I396" s="5">
        <v>44621</v>
      </c>
      <c r="J396" s="6">
        <v>8139</v>
      </c>
      <c r="K396" s="6">
        <v>8139</v>
      </c>
      <c r="L396" s="6">
        <v>0</v>
      </c>
      <c r="M396" s="6">
        <v>0</v>
      </c>
      <c r="N396" s="6">
        <v>0</v>
      </c>
      <c r="O396" s="6">
        <v>0</v>
      </c>
      <c r="P396" s="6">
        <v>35</v>
      </c>
      <c r="Q396" s="4" t="s">
        <v>26</v>
      </c>
      <c r="R396" s="4">
        <v>0</v>
      </c>
      <c r="S396" s="4" t="s">
        <v>209</v>
      </c>
      <c r="U396" s="4">
        <v>20</v>
      </c>
      <c r="V396" s="4">
        <v>0</v>
      </c>
      <c r="W396" s="4">
        <v>0</v>
      </c>
    </row>
    <row r="397" spans="1:23" ht="11.25" customHeight="1" x14ac:dyDescent="0.3">
      <c r="A397" s="4" t="s">
        <v>28</v>
      </c>
      <c r="B397" s="4" t="s">
        <v>39</v>
      </c>
      <c r="C397" s="4" t="s">
        <v>41</v>
      </c>
      <c r="D397" s="4" t="s">
        <v>38</v>
      </c>
      <c r="E397" s="4" t="s">
        <v>25</v>
      </c>
      <c r="F397" s="4" t="s">
        <v>25</v>
      </c>
      <c r="G397" s="4" t="s">
        <v>25</v>
      </c>
      <c r="H397" s="4" t="s">
        <v>25</v>
      </c>
      <c r="I397" s="5">
        <v>44621</v>
      </c>
      <c r="J397" s="6">
        <v>328</v>
      </c>
      <c r="K397" s="6">
        <v>328</v>
      </c>
      <c r="L397" s="6">
        <v>0</v>
      </c>
      <c r="M397" s="6">
        <v>0</v>
      </c>
      <c r="N397" s="6">
        <v>0</v>
      </c>
      <c r="O397" s="6">
        <v>0</v>
      </c>
      <c r="P397" s="6">
        <v>2</v>
      </c>
      <c r="Q397" s="4" t="s">
        <v>26</v>
      </c>
      <c r="R397" s="4">
        <v>0</v>
      </c>
      <c r="S397" s="4" t="s">
        <v>209</v>
      </c>
      <c r="U397" s="4">
        <v>20</v>
      </c>
      <c r="V397" s="4">
        <v>0</v>
      </c>
      <c r="W397" s="4">
        <v>0</v>
      </c>
    </row>
    <row r="398" spans="1:23" ht="11.25" customHeight="1" x14ac:dyDescent="0.3">
      <c r="A398" s="4" t="s">
        <v>21</v>
      </c>
      <c r="B398" s="4" t="s">
        <v>39</v>
      </c>
      <c r="C398" s="4" t="s">
        <v>41</v>
      </c>
      <c r="D398" s="4" t="s">
        <v>38</v>
      </c>
      <c r="E398" s="4" t="s">
        <v>25</v>
      </c>
      <c r="F398" s="4" t="s">
        <v>25</v>
      </c>
      <c r="G398" s="4" t="s">
        <v>25</v>
      </c>
      <c r="H398" s="4" t="s">
        <v>25</v>
      </c>
      <c r="I398" s="5">
        <v>44621</v>
      </c>
      <c r="J398" s="6">
        <v>2000</v>
      </c>
      <c r="K398" s="6">
        <v>2000</v>
      </c>
      <c r="L398" s="6">
        <v>0</v>
      </c>
      <c r="M398" s="6">
        <v>0</v>
      </c>
      <c r="N398" s="6">
        <v>0</v>
      </c>
      <c r="O398" s="6">
        <v>0</v>
      </c>
      <c r="P398" s="6">
        <v>1</v>
      </c>
      <c r="Q398" s="4" t="s">
        <v>55</v>
      </c>
      <c r="R398" s="4">
        <v>0</v>
      </c>
      <c r="S398" s="4" t="s">
        <v>209</v>
      </c>
      <c r="U398" s="4">
        <v>20</v>
      </c>
      <c r="V398" s="4">
        <v>0</v>
      </c>
      <c r="W398" s="4">
        <v>0</v>
      </c>
    </row>
    <row r="399" spans="1:23" ht="11.25" customHeight="1" x14ac:dyDescent="0.3">
      <c r="A399" s="4" t="s">
        <v>21</v>
      </c>
      <c r="B399" s="4" t="s">
        <v>39</v>
      </c>
      <c r="C399" s="4" t="s">
        <v>41</v>
      </c>
      <c r="D399" s="4" t="s">
        <v>38</v>
      </c>
      <c r="E399" s="4" t="s">
        <v>25</v>
      </c>
      <c r="F399" s="4" t="s">
        <v>25</v>
      </c>
      <c r="G399" s="4" t="s">
        <v>25</v>
      </c>
      <c r="H399" s="4" t="s">
        <v>25</v>
      </c>
      <c r="I399" s="5">
        <v>44652</v>
      </c>
      <c r="J399" s="6">
        <v>8033</v>
      </c>
      <c r="K399" s="6">
        <v>8033</v>
      </c>
      <c r="L399" s="6">
        <v>0</v>
      </c>
      <c r="M399" s="6">
        <v>0</v>
      </c>
      <c r="N399" s="6">
        <v>0</v>
      </c>
      <c r="O399" s="6">
        <v>0</v>
      </c>
      <c r="P399" s="6">
        <v>34</v>
      </c>
      <c r="Q399" s="4" t="s">
        <v>26</v>
      </c>
      <c r="R399" s="4">
        <v>0</v>
      </c>
      <c r="S399" s="4" t="s">
        <v>210</v>
      </c>
      <c r="U399" s="4">
        <v>20</v>
      </c>
      <c r="V399" s="4">
        <v>0</v>
      </c>
      <c r="W399" s="4">
        <v>0</v>
      </c>
    </row>
    <row r="400" spans="1:23" ht="11.25" customHeight="1" x14ac:dyDescent="0.3">
      <c r="A400" s="4" t="s">
        <v>28</v>
      </c>
      <c r="B400" s="4" t="s">
        <v>39</v>
      </c>
      <c r="C400" s="4" t="s">
        <v>41</v>
      </c>
      <c r="D400" s="4" t="s">
        <v>38</v>
      </c>
      <c r="E400" s="4" t="s">
        <v>25</v>
      </c>
      <c r="F400" s="4" t="s">
        <v>25</v>
      </c>
      <c r="G400" s="4" t="s">
        <v>25</v>
      </c>
      <c r="H400" s="4" t="s">
        <v>25</v>
      </c>
      <c r="I400" s="5">
        <v>44652</v>
      </c>
      <c r="J400" s="6">
        <v>460</v>
      </c>
      <c r="K400" s="6">
        <v>460</v>
      </c>
      <c r="L400" s="6">
        <v>0</v>
      </c>
      <c r="M400" s="6">
        <v>0</v>
      </c>
      <c r="N400" s="6">
        <v>0</v>
      </c>
      <c r="O400" s="6">
        <v>0</v>
      </c>
      <c r="P400" s="6">
        <v>3</v>
      </c>
      <c r="Q400" s="4" t="s">
        <v>26</v>
      </c>
      <c r="R400" s="4">
        <v>0</v>
      </c>
      <c r="S400" s="4" t="s">
        <v>210</v>
      </c>
      <c r="U400" s="4">
        <v>20</v>
      </c>
      <c r="V400" s="4">
        <v>0</v>
      </c>
      <c r="W400" s="4">
        <v>0</v>
      </c>
    </row>
    <row r="401" spans="1:23" ht="11.25" customHeight="1" x14ac:dyDescent="0.3">
      <c r="A401" s="4" t="s">
        <v>21</v>
      </c>
      <c r="B401" s="4" t="s">
        <v>39</v>
      </c>
      <c r="C401" s="4" t="s">
        <v>41</v>
      </c>
      <c r="D401" s="4" t="s">
        <v>38</v>
      </c>
      <c r="E401" s="4" t="s">
        <v>25</v>
      </c>
      <c r="F401" s="4" t="s">
        <v>25</v>
      </c>
      <c r="G401" s="4" t="s">
        <v>25</v>
      </c>
      <c r="H401" s="4" t="s">
        <v>25</v>
      </c>
      <c r="I401" s="5">
        <v>44652</v>
      </c>
      <c r="J401" s="6">
        <v>2230</v>
      </c>
      <c r="K401" s="6">
        <v>2230</v>
      </c>
      <c r="L401" s="6">
        <v>0</v>
      </c>
      <c r="M401" s="6">
        <v>0</v>
      </c>
      <c r="N401" s="6">
        <v>0</v>
      </c>
      <c r="O401" s="6">
        <v>0</v>
      </c>
      <c r="P401" s="6">
        <v>2</v>
      </c>
      <c r="Q401" s="4" t="s">
        <v>55</v>
      </c>
      <c r="R401" s="4">
        <v>0</v>
      </c>
      <c r="S401" s="4" t="s">
        <v>210</v>
      </c>
      <c r="U401" s="4">
        <v>20</v>
      </c>
      <c r="V401" s="4">
        <v>0</v>
      </c>
      <c r="W401" s="4">
        <v>0</v>
      </c>
    </row>
    <row r="402" spans="1:23" ht="11.25" customHeight="1" x14ac:dyDescent="0.3">
      <c r="A402" s="4" t="s">
        <v>21</v>
      </c>
      <c r="B402" s="4" t="s">
        <v>39</v>
      </c>
      <c r="C402" s="4" t="s">
        <v>41</v>
      </c>
      <c r="D402" s="4" t="s">
        <v>38</v>
      </c>
      <c r="E402" s="4" t="s">
        <v>25</v>
      </c>
      <c r="F402" s="4" t="s">
        <v>25</v>
      </c>
      <c r="G402" s="4" t="s">
        <v>25</v>
      </c>
      <c r="H402" s="4" t="s">
        <v>25</v>
      </c>
      <c r="I402" s="5">
        <v>44682</v>
      </c>
      <c r="J402" s="6">
        <v>8014</v>
      </c>
      <c r="K402" s="6">
        <v>8014</v>
      </c>
      <c r="L402" s="6">
        <v>0</v>
      </c>
      <c r="M402" s="6">
        <v>0</v>
      </c>
      <c r="N402" s="6">
        <v>0</v>
      </c>
      <c r="O402" s="6">
        <v>0</v>
      </c>
      <c r="P402" s="6">
        <v>33</v>
      </c>
      <c r="Q402" s="4" t="s">
        <v>26</v>
      </c>
      <c r="R402" s="4">
        <v>0</v>
      </c>
      <c r="S402" s="4" t="s">
        <v>211</v>
      </c>
      <c r="U402" s="4">
        <v>20</v>
      </c>
      <c r="V402" s="4">
        <v>0</v>
      </c>
      <c r="W402" s="4">
        <v>0</v>
      </c>
    </row>
    <row r="403" spans="1:23" ht="11.25" customHeight="1" x14ac:dyDescent="0.3">
      <c r="A403" s="4" t="s">
        <v>28</v>
      </c>
      <c r="B403" s="4" t="s">
        <v>39</v>
      </c>
      <c r="C403" s="4" t="s">
        <v>41</v>
      </c>
      <c r="D403" s="4" t="s">
        <v>38</v>
      </c>
      <c r="E403" s="4" t="s">
        <v>25</v>
      </c>
      <c r="F403" s="4" t="s">
        <v>25</v>
      </c>
      <c r="G403" s="4" t="s">
        <v>25</v>
      </c>
      <c r="H403" s="4" t="s">
        <v>25</v>
      </c>
      <c r="I403" s="5">
        <v>44682</v>
      </c>
      <c r="J403" s="6">
        <v>460</v>
      </c>
      <c r="K403" s="6">
        <v>460</v>
      </c>
      <c r="L403" s="6">
        <v>0</v>
      </c>
      <c r="M403" s="6">
        <v>0</v>
      </c>
      <c r="N403" s="6">
        <v>0</v>
      </c>
      <c r="O403" s="6">
        <v>0</v>
      </c>
      <c r="P403" s="6">
        <v>3</v>
      </c>
      <c r="Q403" s="4" t="s">
        <v>26</v>
      </c>
      <c r="R403" s="4">
        <v>0</v>
      </c>
      <c r="S403" s="4" t="s">
        <v>211</v>
      </c>
      <c r="U403" s="4">
        <v>20</v>
      </c>
      <c r="V403" s="4">
        <v>0</v>
      </c>
      <c r="W403" s="4">
        <v>0</v>
      </c>
    </row>
    <row r="404" spans="1:23" ht="11.25" customHeight="1" x14ac:dyDescent="0.3">
      <c r="A404" s="4" t="s">
        <v>21</v>
      </c>
      <c r="B404" s="4" t="s">
        <v>39</v>
      </c>
      <c r="C404" s="4" t="s">
        <v>41</v>
      </c>
      <c r="D404" s="4" t="s">
        <v>38</v>
      </c>
      <c r="E404" s="4" t="s">
        <v>25</v>
      </c>
      <c r="F404" s="4" t="s">
        <v>25</v>
      </c>
      <c r="G404" s="4" t="s">
        <v>25</v>
      </c>
      <c r="H404" s="4" t="s">
        <v>25</v>
      </c>
      <c r="I404" s="5">
        <v>44682</v>
      </c>
      <c r="J404" s="6">
        <v>2230</v>
      </c>
      <c r="K404" s="6">
        <v>2230</v>
      </c>
      <c r="L404" s="6">
        <v>0</v>
      </c>
      <c r="M404" s="6">
        <v>0</v>
      </c>
      <c r="N404" s="6">
        <v>0</v>
      </c>
      <c r="O404" s="6">
        <v>0</v>
      </c>
      <c r="P404" s="6">
        <v>2</v>
      </c>
      <c r="Q404" s="4" t="s">
        <v>55</v>
      </c>
      <c r="R404" s="4">
        <v>0</v>
      </c>
      <c r="S404" s="4" t="s">
        <v>211</v>
      </c>
      <c r="U404" s="4">
        <v>20</v>
      </c>
      <c r="V404" s="4">
        <v>0</v>
      </c>
      <c r="W404" s="4">
        <v>0</v>
      </c>
    </row>
    <row r="405" spans="1:23" ht="11.25" customHeight="1" x14ac:dyDescent="0.3">
      <c r="A405" s="4" t="s">
        <v>21</v>
      </c>
      <c r="B405" s="4" t="s">
        <v>39</v>
      </c>
      <c r="C405" s="4" t="s">
        <v>41</v>
      </c>
      <c r="D405" s="4" t="s">
        <v>38</v>
      </c>
      <c r="E405" s="4" t="s">
        <v>25</v>
      </c>
      <c r="F405" s="4" t="s">
        <v>25</v>
      </c>
      <c r="G405" s="4" t="s">
        <v>25</v>
      </c>
      <c r="H405" s="4" t="s">
        <v>25</v>
      </c>
      <c r="I405" s="5">
        <v>44713</v>
      </c>
      <c r="J405" s="6">
        <v>7994</v>
      </c>
      <c r="K405" s="6">
        <v>7994</v>
      </c>
      <c r="L405" s="6">
        <v>0</v>
      </c>
      <c r="M405" s="6">
        <v>0</v>
      </c>
      <c r="N405" s="6">
        <v>0</v>
      </c>
      <c r="O405" s="6">
        <v>0</v>
      </c>
      <c r="P405" s="6">
        <v>33</v>
      </c>
      <c r="Q405" s="4" t="s">
        <v>26</v>
      </c>
      <c r="R405" s="4">
        <v>0</v>
      </c>
      <c r="S405" s="4" t="s">
        <v>212</v>
      </c>
      <c r="U405" s="4">
        <v>20</v>
      </c>
      <c r="V405" s="4">
        <v>0</v>
      </c>
      <c r="W405" s="4">
        <v>0</v>
      </c>
    </row>
    <row r="406" spans="1:23" ht="11.25" customHeight="1" x14ac:dyDescent="0.3">
      <c r="A406" s="4" t="s">
        <v>28</v>
      </c>
      <c r="B406" s="4" t="s">
        <v>39</v>
      </c>
      <c r="C406" s="4" t="s">
        <v>41</v>
      </c>
      <c r="D406" s="4" t="s">
        <v>38</v>
      </c>
      <c r="E406" s="4" t="s">
        <v>25</v>
      </c>
      <c r="F406" s="4" t="s">
        <v>25</v>
      </c>
      <c r="G406" s="4" t="s">
        <v>25</v>
      </c>
      <c r="H406" s="4" t="s">
        <v>25</v>
      </c>
      <c r="I406" s="5">
        <v>44713</v>
      </c>
      <c r="J406" s="6">
        <v>460</v>
      </c>
      <c r="K406" s="6">
        <v>460</v>
      </c>
      <c r="L406" s="6">
        <v>0</v>
      </c>
      <c r="M406" s="6">
        <v>0</v>
      </c>
      <c r="N406" s="6">
        <v>0</v>
      </c>
      <c r="O406" s="6">
        <v>0</v>
      </c>
      <c r="P406" s="6">
        <v>3</v>
      </c>
      <c r="Q406" s="4" t="s">
        <v>26</v>
      </c>
      <c r="R406" s="4">
        <v>0</v>
      </c>
      <c r="S406" s="4" t="s">
        <v>212</v>
      </c>
      <c r="U406" s="4">
        <v>20</v>
      </c>
      <c r="V406" s="4">
        <v>0</v>
      </c>
      <c r="W406" s="4">
        <v>0</v>
      </c>
    </row>
    <row r="407" spans="1:23" ht="11.25" customHeight="1" x14ac:dyDescent="0.3">
      <c r="A407" s="4" t="s">
        <v>21</v>
      </c>
      <c r="B407" s="4" t="s">
        <v>39</v>
      </c>
      <c r="C407" s="4" t="s">
        <v>41</v>
      </c>
      <c r="D407" s="4" t="s">
        <v>38</v>
      </c>
      <c r="E407" s="4" t="s">
        <v>25</v>
      </c>
      <c r="F407" s="4" t="s">
        <v>25</v>
      </c>
      <c r="G407" s="4" t="s">
        <v>25</v>
      </c>
      <c r="H407" s="4" t="s">
        <v>25</v>
      </c>
      <c r="I407" s="5">
        <v>44713</v>
      </c>
      <c r="J407" s="6">
        <v>2000</v>
      </c>
      <c r="K407" s="6">
        <v>2000</v>
      </c>
      <c r="L407" s="6">
        <v>0</v>
      </c>
      <c r="M407" s="6">
        <v>0</v>
      </c>
      <c r="N407" s="6">
        <v>0</v>
      </c>
      <c r="O407" s="6">
        <v>0</v>
      </c>
      <c r="P407" s="6">
        <v>1</v>
      </c>
      <c r="Q407" s="4" t="s">
        <v>55</v>
      </c>
      <c r="R407" s="4">
        <v>0</v>
      </c>
      <c r="S407" s="4" t="s">
        <v>212</v>
      </c>
      <c r="U407" s="4">
        <v>20</v>
      </c>
      <c r="V407" s="4">
        <v>0</v>
      </c>
      <c r="W407" s="4">
        <v>0</v>
      </c>
    </row>
    <row r="408" spans="1:23" ht="11.25" customHeight="1" x14ac:dyDescent="0.3">
      <c r="A408" s="4" t="s">
        <v>21</v>
      </c>
      <c r="B408" s="4" t="s">
        <v>39</v>
      </c>
      <c r="C408" s="4" t="s">
        <v>41</v>
      </c>
      <c r="D408" s="4" t="s">
        <v>38</v>
      </c>
      <c r="E408" s="4" t="s">
        <v>25</v>
      </c>
      <c r="F408" s="4" t="s">
        <v>25</v>
      </c>
      <c r="G408" s="4" t="s">
        <v>25</v>
      </c>
      <c r="H408" s="4" t="s">
        <v>25</v>
      </c>
      <c r="I408" s="5">
        <v>44743</v>
      </c>
      <c r="J408" s="6">
        <v>8102</v>
      </c>
      <c r="K408" s="6">
        <v>8102</v>
      </c>
      <c r="L408" s="6">
        <v>0</v>
      </c>
      <c r="M408" s="6">
        <v>0</v>
      </c>
      <c r="N408" s="6">
        <v>0</v>
      </c>
      <c r="O408" s="6">
        <v>0</v>
      </c>
      <c r="P408" s="6">
        <v>34</v>
      </c>
      <c r="Q408" s="4" t="s">
        <v>26</v>
      </c>
      <c r="R408" s="4">
        <v>0</v>
      </c>
      <c r="S408" s="4" t="s">
        <v>213</v>
      </c>
      <c r="U408" s="4">
        <v>20</v>
      </c>
      <c r="V408" s="4">
        <v>0</v>
      </c>
      <c r="W408" s="4">
        <v>0</v>
      </c>
    </row>
    <row r="409" spans="1:23" ht="11.25" customHeight="1" x14ac:dyDescent="0.3">
      <c r="A409" s="4" t="s">
        <v>21</v>
      </c>
      <c r="B409" s="4" t="s">
        <v>39</v>
      </c>
      <c r="C409" s="4" t="s">
        <v>41</v>
      </c>
      <c r="D409" s="4" t="s">
        <v>38</v>
      </c>
      <c r="E409" s="4" t="s">
        <v>25</v>
      </c>
      <c r="F409" s="4" t="s">
        <v>25</v>
      </c>
      <c r="G409" s="4" t="s">
        <v>25</v>
      </c>
      <c r="H409" s="4" t="s">
        <v>25</v>
      </c>
      <c r="I409" s="5">
        <v>44743</v>
      </c>
      <c r="J409" s="6">
        <v>2000</v>
      </c>
      <c r="K409" s="6">
        <v>2000</v>
      </c>
      <c r="L409" s="6">
        <v>0</v>
      </c>
      <c r="M409" s="6">
        <v>0</v>
      </c>
      <c r="N409" s="6">
        <v>0</v>
      </c>
      <c r="O409" s="6">
        <v>0</v>
      </c>
      <c r="P409" s="6">
        <v>1</v>
      </c>
      <c r="Q409" s="4" t="s">
        <v>55</v>
      </c>
      <c r="R409" s="4">
        <v>0</v>
      </c>
      <c r="S409" s="4" t="s">
        <v>213</v>
      </c>
      <c r="U409" s="4">
        <v>20</v>
      </c>
      <c r="V409" s="4">
        <v>0</v>
      </c>
      <c r="W409" s="4">
        <v>0</v>
      </c>
    </row>
    <row r="410" spans="1:23" ht="11.25" customHeight="1" x14ac:dyDescent="0.3">
      <c r="A410" s="4" t="s">
        <v>21</v>
      </c>
      <c r="B410" s="4" t="s">
        <v>39</v>
      </c>
      <c r="C410" s="4" t="s">
        <v>41</v>
      </c>
      <c r="D410" s="4" t="s">
        <v>38</v>
      </c>
      <c r="E410" s="4" t="s">
        <v>25</v>
      </c>
      <c r="F410" s="4" t="s">
        <v>25</v>
      </c>
      <c r="G410" s="4" t="s">
        <v>25</v>
      </c>
      <c r="H410" s="4" t="s">
        <v>25</v>
      </c>
      <c r="I410" s="5">
        <v>44774</v>
      </c>
      <c r="J410" s="6">
        <v>8075</v>
      </c>
      <c r="K410" s="6">
        <v>8075</v>
      </c>
      <c r="L410" s="6">
        <v>0</v>
      </c>
      <c r="M410" s="6">
        <v>0</v>
      </c>
      <c r="N410" s="6">
        <v>0</v>
      </c>
      <c r="O410" s="6">
        <v>0</v>
      </c>
      <c r="P410" s="6">
        <v>33</v>
      </c>
      <c r="Q410" s="4" t="s">
        <v>26</v>
      </c>
      <c r="R410" s="4">
        <v>0</v>
      </c>
      <c r="S410" s="4" t="s">
        <v>214</v>
      </c>
      <c r="U410" s="4">
        <v>20</v>
      </c>
      <c r="V410" s="4">
        <v>0</v>
      </c>
      <c r="W410" s="4">
        <v>0</v>
      </c>
    </row>
    <row r="411" spans="1:23" ht="11.25" customHeight="1" x14ac:dyDescent="0.3">
      <c r="A411" s="4" t="s">
        <v>28</v>
      </c>
      <c r="B411" s="4" t="s">
        <v>39</v>
      </c>
      <c r="C411" s="4" t="s">
        <v>41</v>
      </c>
      <c r="D411" s="4" t="s">
        <v>38</v>
      </c>
      <c r="E411" s="4" t="s">
        <v>25</v>
      </c>
      <c r="F411" s="4" t="s">
        <v>25</v>
      </c>
      <c r="G411" s="4" t="s">
        <v>25</v>
      </c>
      <c r="H411" s="4" t="s">
        <v>25</v>
      </c>
      <c r="I411" s="5">
        <v>44774</v>
      </c>
      <c r="J411" s="6">
        <v>483</v>
      </c>
      <c r="K411" s="6">
        <v>483</v>
      </c>
      <c r="L411" s="6">
        <v>0</v>
      </c>
      <c r="M411" s="6">
        <v>0</v>
      </c>
      <c r="N411" s="6">
        <v>0</v>
      </c>
      <c r="O411" s="6">
        <v>0</v>
      </c>
      <c r="P411" s="6">
        <v>3</v>
      </c>
      <c r="Q411" s="4" t="s">
        <v>26</v>
      </c>
      <c r="R411" s="4">
        <v>0</v>
      </c>
      <c r="S411" s="4" t="s">
        <v>214</v>
      </c>
      <c r="U411" s="4">
        <v>20</v>
      </c>
      <c r="V411" s="4">
        <v>0</v>
      </c>
      <c r="W411" s="4">
        <v>0</v>
      </c>
    </row>
    <row r="412" spans="1:23" ht="11.25" customHeight="1" x14ac:dyDescent="0.3">
      <c r="A412" s="4" t="s">
        <v>21</v>
      </c>
      <c r="B412" s="4" t="s">
        <v>39</v>
      </c>
      <c r="C412" s="4" t="s">
        <v>41</v>
      </c>
      <c r="D412" s="4" t="s">
        <v>38</v>
      </c>
      <c r="E412" s="4" t="s">
        <v>25</v>
      </c>
      <c r="F412" s="4" t="s">
        <v>25</v>
      </c>
      <c r="G412" s="4" t="s">
        <v>25</v>
      </c>
      <c r="H412" s="4" t="s">
        <v>25</v>
      </c>
      <c r="I412" s="5">
        <v>44774</v>
      </c>
      <c r="J412" s="6">
        <v>2000</v>
      </c>
      <c r="K412" s="6">
        <v>2000</v>
      </c>
      <c r="L412" s="6">
        <v>0</v>
      </c>
      <c r="M412" s="6">
        <v>0</v>
      </c>
      <c r="N412" s="6">
        <v>0</v>
      </c>
      <c r="O412" s="6">
        <v>0</v>
      </c>
      <c r="P412" s="6">
        <v>1</v>
      </c>
      <c r="Q412" s="4" t="s">
        <v>55</v>
      </c>
      <c r="R412" s="4">
        <v>0</v>
      </c>
      <c r="S412" s="4" t="s">
        <v>214</v>
      </c>
      <c r="U412" s="4">
        <v>20</v>
      </c>
      <c r="V412" s="4">
        <v>0</v>
      </c>
      <c r="W412" s="4">
        <v>0</v>
      </c>
    </row>
    <row r="413" spans="1:23" ht="11.25" customHeight="1" x14ac:dyDescent="0.3">
      <c r="A413" s="4" t="s">
        <v>21</v>
      </c>
      <c r="B413" s="4" t="s">
        <v>39</v>
      </c>
      <c r="C413" s="4" t="s">
        <v>41</v>
      </c>
      <c r="D413" s="4" t="s">
        <v>38</v>
      </c>
      <c r="E413" s="4" t="s">
        <v>25</v>
      </c>
      <c r="F413" s="4" t="s">
        <v>25</v>
      </c>
      <c r="G413" s="4" t="s">
        <v>25</v>
      </c>
      <c r="H413" s="4" t="s">
        <v>25</v>
      </c>
      <c r="I413" s="5">
        <v>44805</v>
      </c>
      <c r="J413" s="6">
        <v>8140</v>
      </c>
      <c r="K413" s="6">
        <v>8140</v>
      </c>
      <c r="L413" s="6">
        <v>0</v>
      </c>
      <c r="M413" s="6">
        <v>0</v>
      </c>
      <c r="N413" s="6">
        <v>0</v>
      </c>
      <c r="O413" s="6">
        <v>0</v>
      </c>
      <c r="P413" s="6">
        <v>33</v>
      </c>
      <c r="Q413" s="4" t="s">
        <v>26</v>
      </c>
      <c r="R413" s="4">
        <v>0</v>
      </c>
      <c r="S413" s="4" t="s">
        <v>215</v>
      </c>
      <c r="U413" s="4">
        <v>20</v>
      </c>
      <c r="V413" s="4">
        <v>0</v>
      </c>
      <c r="W413" s="4">
        <v>0</v>
      </c>
    </row>
    <row r="414" spans="1:23" ht="11.25" customHeight="1" x14ac:dyDescent="0.3">
      <c r="A414" s="4" t="s">
        <v>28</v>
      </c>
      <c r="B414" s="4" t="s">
        <v>39</v>
      </c>
      <c r="C414" s="4" t="s">
        <v>41</v>
      </c>
      <c r="D414" s="4" t="s">
        <v>38</v>
      </c>
      <c r="E414" s="4" t="s">
        <v>25</v>
      </c>
      <c r="F414" s="4" t="s">
        <v>25</v>
      </c>
      <c r="G414" s="4" t="s">
        <v>25</v>
      </c>
      <c r="H414" s="4" t="s">
        <v>25</v>
      </c>
      <c r="I414" s="5">
        <v>44805</v>
      </c>
      <c r="J414" s="6">
        <v>420</v>
      </c>
      <c r="K414" s="6">
        <v>420</v>
      </c>
      <c r="L414" s="6">
        <v>0</v>
      </c>
      <c r="M414" s="6">
        <v>0</v>
      </c>
      <c r="N414" s="6">
        <v>0</v>
      </c>
      <c r="O414" s="6">
        <v>0</v>
      </c>
      <c r="P414" s="6">
        <v>2</v>
      </c>
      <c r="Q414" s="4" t="s">
        <v>26</v>
      </c>
      <c r="R414" s="4">
        <v>0</v>
      </c>
      <c r="S414" s="4" t="s">
        <v>215</v>
      </c>
      <c r="U414" s="4">
        <v>20</v>
      </c>
      <c r="V414" s="4">
        <v>0</v>
      </c>
      <c r="W414" s="4">
        <v>0</v>
      </c>
    </row>
    <row r="415" spans="1:23" ht="11.25" customHeight="1" x14ac:dyDescent="0.3">
      <c r="A415" s="4" t="s">
        <v>21</v>
      </c>
      <c r="B415" s="4" t="s">
        <v>39</v>
      </c>
      <c r="C415" s="4" t="s">
        <v>41</v>
      </c>
      <c r="D415" s="4" t="s">
        <v>38</v>
      </c>
      <c r="E415" s="4" t="s">
        <v>25</v>
      </c>
      <c r="F415" s="4" t="s">
        <v>25</v>
      </c>
      <c r="G415" s="4" t="s">
        <v>25</v>
      </c>
      <c r="H415" s="4" t="s">
        <v>25</v>
      </c>
      <c r="I415" s="5">
        <v>44805</v>
      </c>
      <c r="J415" s="6">
        <v>2000</v>
      </c>
      <c r="K415" s="6">
        <v>2000</v>
      </c>
      <c r="L415" s="6">
        <v>0</v>
      </c>
      <c r="M415" s="6">
        <v>0</v>
      </c>
      <c r="N415" s="6">
        <v>0</v>
      </c>
      <c r="O415" s="6">
        <v>0</v>
      </c>
      <c r="P415" s="6">
        <v>1</v>
      </c>
      <c r="Q415" s="4" t="s">
        <v>55</v>
      </c>
      <c r="R415" s="4">
        <v>0</v>
      </c>
      <c r="S415" s="4" t="s">
        <v>215</v>
      </c>
      <c r="U415" s="4">
        <v>20</v>
      </c>
      <c r="V415" s="4">
        <v>0</v>
      </c>
      <c r="W415" s="4">
        <v>0</v>
      </c>
    </row>
    <row r="416" spans="1:23" ht="11.25" customHeight="1" x14ac:dyDescent="0.3">
      <c r="A416" s="4" t="s">
        <v>53</v>
      </c>
      <c r="B416" s="4" t="s">
        <v>39</v>
      </c>
      <c r="C416" s="4" t="s">
        <v>41</v>
      </c>
      <c r="D416" s="4" t="s">
        <v>38</v>
      </c>
      <c r="E416" s="4" t="s">
        <v>25</v>
      </c>
      <c r="F416" s="4" t="s">
        <v>25</v>
      </c>
      <c r="G416" s="4" t="s">
        <v>25</v>
      </c>
      <c r="H416" s="4" t="s">
        <v>25</v>
      </c>
      <c r="I416" s="5">
        <v>44835</v>
      </c>
      <c r="J416" s="6">
        <v>8140</v>
      </c>
      <c r="K416" s="6">
        <v>8140</v>
      </c>
      <c r="L416" s="6">
        <v>0</v>
      </c>
      <c r="M416" s="6">
        <v>0</v>
      </c>
      <c r="N416" s="6">
        <v>0</v>
      </c>
      <c r="O416" s="6">
        <v>0</v>
      </c>
      <c r="P416" s="6">
        <v>33</v>
      </c>
      <c r="Q416" s="4" t="s">
        <v>26</v>
      </c>
      <c r="R416" s="4">
        <v>0</v>
      </c>
      <c r="S416" s="4" t="s">
        <v>216</v>
      </c>
      <c r="U416" s="4">
        <v>20</v>
      </c>
      <c r="V416" s="4">
        <v>0</v>
      </c>
      <c r="W416" s="4">
        <v>0</v>
      </c>
    </row>
    <row r="417" spans="1:23" ht="11.25" customHeight="1" x14ac:dyDescent="0.3">
      <c r="A417" s="4" t="s">
        <v>53</v>
      </c>
      <c r="B417" s="4" t="s">
        <v>39</v>
      </c>
      <c r="C417" s="4" t="s">
        <v>41</v>
      </c>
      <c r="D417" s="4" t="s">
        <v>38</v>
      </c>
      <c r="E417" s="4" t="s">
        <v>25</v>
      </c>
      <c r="F417" s="4" t="s">
        <v>25</v>
      </c>
      <c r="G417" s="4" t="s">
        <v>25</v>
      </c>
      <c r="H417" s="4" t="s">
        <v>25</v>
      </c>
      <c r="I417" s="5">
        <v>44835</v>
      </c>
      <c r="J417" s="6">
        <v>420</v>
      </c>
      <c r="K417" s="6">
        <v>420</v>
      </c>
      <c r="L417" s="6">
        <v>0</v>
      </c>
      <c r="M417" s="6">
        <v>0</v>
      </c>
      <c r="N417" s="6">
        <v>0</v>
      </c>
      <c r="O417" s="6">
        <v>0</v>
      </c>
      <c r="P417" s="6">
        <v>2</v>
      </c>
      <c r="Q417" s="4" t="s">
        <v>26</v>
      </c>
      <c r="R417" s="4">
        <v>0</v>
      </c>
      <c r="S417" s="4" t="s">
        <v>216</v>
      </c>
      <c r="U417" s="4">
        <v>20</v>
      </c>
      <c r="V417" s="4">
        <v>0</v>
      </c>
      <c r="W417" s="4">
        <v>0</v>
      </c>
    </row>
    <row r="418" spans="1:23" ht="11.25" customHeight="1" x14ac:dyDescent="0.3">
      <c r="A418" s="4" t="s">
        <v>53</v>
      </c>
      <c r="B418" s="4" t="s">
        <v>39</v>
      </c>
      <c r="C418" s="4" t="s">
        <v>41</v>
      </c>
      <c r="D418" s="4" t="s">
        <v>38</v>
      </c>
      <c r="E418" s="4" t="s">
        <v>25</v>
      </c>
      <c r="F418" s="4" t="s">
        <v>25</v>
      </c>
      <c r="G418" s="4" t="s">
        <v>25</v>
      </c>
      <c r="H418" s="4" t="s">
        <v>25</v>
      </c>
      <c r="I418" s="5">
        <v>44835</v>
      </c>
      <c r="J418" s="6">
        <v>2000</v>
      </c>
      <c r="K418" s="6">
        <v>2000</v>
      </c>
      <c r="L418" s="6">
        <v>0</v>
      </c>
      <c r="M418" s="6">
        <v>0</v>
      </c>
      <c r="N418" s="6">
        <v>0</v>
      </c>
      <c r="O418" s="6">
        <v>0</v>
      </c>
      <c r="P418" s="6">
        <v>1</v>
      </c>
      <c r="Q418" s="4" t="s">
        <v>55</v>
      </c>
      <c r="R418" s="4">
        <v>0</v>
      </c>
      <c r="S418" s="4" t="s">
        <v>216</v>
      </c>
      <c r="U418" s="4">
        <v>20</v>
      </c>
      <c r="V418" s="4">
        <v>0</v>
      </c>
      <c r="W418" s="4">
        <v>0</v>
      </c>
    </row>
    <row r="419" spans="1:23" ht="11.25" customHeight="1" x14ac:dyDescent="0.3">
      <c r="A419" s="4" t="s">
        <v>21</v>
      </c>
      <c r="B419" s="4" t="s">
        <v>39</v>
      </c>
      <c r="C419" s="4" t="s">
        <v>41</v>
      </c>
      <c r="D419" s="4" t="s">
        <v>38</v>
      </c>
      <c r="E419" s="4" t="s">
        <v>25</v>
      </c>
      <c r="F419" s="4" t="s">
        <v>25</v>
      </c>
      <c r="G419" s="4" t="s">
        <v>25</v>
      </c>
      <c r="H419" s="4" t="s">
        <v>34</v>
      </c>
      <c r="I419" s="5">
        <v>44501</v>
      </c>
      <c r="J419" s="6">
        <v>0</v>
      </c>
      <c r="K419" s="6">
        <v>0</v>
      </c>
      <c r="L419" s="6">
        <v>155.779</v>
      </c>
      <c r="M419" s="6">
        <v>155.779</v>
      </c>
      <c r="N419" s="6">
        <v>155.779</v>
      </c>
      <c r="O419" s="6">
        <v>155.779</v>
      </c>
      <c r="P419" s="6">
        <v>0</v>
      </c>
      <c r="Q419" s="4" t="s">
        <v>26</v>
      </c>
      <c r="R419" s="4">
        <v>0</v>
      </c>
      <c r="S419" s="4" t="s">
        <v>217</v>
      </c>
      <c r="T419" s="4" t="s">
        <v>446</v>
      </c>
      <c r="U419" s="4">
        <v>0</v>
      </c>
      <c r="V419" s="4">
        <v>8</v>
      </c>
      <c r="W419" s="4">
        <v>38</v>
      </c>
    </row>
    <row r="420" spans="1:23" ht="11.25" customHeight="1" x14ac:dyDescent="0.3">
      <c r="A420" s="4" t="s">
        <v>21</v>
      </c>
      <c r="B420" s="4" t="s">
        <v>39</v>
      </c>
      <c r="C420" s="4" t="s">
        <v>41</v>
      </c>
      <c r="D420" s="4" t="s">
        <v>38</v>
      </c>
      <c r="E420" s="4" t="s">
        <v>25</v>
      </c>
      <c r="F420" s="4" t="s">
        <v>25</v>
      </c>
      <c r="G420" s="4" t="s">
        <v>25</v>
      </c>
      <c r="H420" s="4" t="s">
        <v>34</v>
      </c>
      <c r="I420" s="5">
        <v>44501</v>
      </c>
      <c r="J420" s="6">
        <v>0</v>
      </c>
      <c r="K420" s="6">
        <v>0</v>
      </c>
      <c r="L420" s="6">
        <v>87.932000000000002</v>
      </c>
      <c r="M420" s="6">
        <v>87.932000000000002</v>
      </c>
      <c r="N420" s="6">
        <v>0</v>
      </c>
      <c r="O420" s="6">
        <v>0</v>
      </c>
      <c r="P420" s="6">
        <v>0</v>
      </c>
      <c r="Q420" s="4" t="s">
        <v>55</v>
      </c>
      <c r="R420" s="4">
        <v>0</v>
      </c>
      <c r="S420" s="4" t="s">
        <v>217</v>
      </c>
      <c r="U420" s="4">
        <v>0</v>
      </c>
      <c r="V420" s="4">
        <v>8</v>
      </c>
      <c r="W420" s="4">
        <v>0</v>
      </c>
    </row>
    <row r="421" spans="1:23" ht="11.25" customHeight="1" x14ac:dyDescent="0.3">
      <c r="A421" s="4" t="s">
        <v>21</v>
      </c>
      <c r="B421" s="4" t="s">
        <v>39</v>
      </c>
      <c r="C421" s="4" t="s">
        <v>41</v>
      </c>
      <c r="D421" s="4" t="s">
        <v>38</v>
      </c>
      <c r="E421" s="4" t="s">
        <v>25</v>
      </c>
      <c r="F421" s="4" t="s">
        <v>25</v>
      </c>
      <c r="G421" s="4" t="s">
        <v>25</v>
      </c>
      <c r="H421" s="4" t="s">
        <v>34</v>
      </c>
      <c r="I421" s="5">
        <v>44531</v>
      </c>
      <c r="J421" s="6">
        <v>0</v>
      </c>
      <c r="K421" s="6">
        <v>0</v>
      </c>
      <c r="L421" s="6">
        <v>164.52199999999999</v>
      </c>
      <c r="M421" s="6">
        <v>164.52199999999999</v>
      </c>
      <c r="N421" s="6">
        <v>164.52199999999999</v>
      </c>
      <c r="O421" s="6">
        <v>164.52199999999999</v>
      </c>
      <c r="P421" s="6">
        <v>0</v>
      </c>
      <c r="Q421" s="4" t="s">
        <v>26</v>
      </c>
      <c r="R421" s="4">
        <v>0</v>
      </c>
      <c r="S421" s="4" t="s">
        <v>218</v>
      </c>
      <c r="T421" s="4" t="s">
        <v>447</v>
      </c>
      <c r="U421" s="4">
        <v>0</v>
      </c>
      <c r="V421" s="4">
        <v>8</v>
      </c>
      <c r="W421" s="4">
        <v>38</v>
      </c>
    </row>
    <row r="422" spans="1:23" ht="11.25" customHeight="1" x14ac:dyDescent="0.3">
      <c r="A422" s="4" t="s">
        <v>21</v>
      </c>
      <c r="B422" s="4" t="s">
        <v>39</v>
      </c>
      <c r="C422" s="4" t="s">
        <v>41</v>
      </c>
      <c r="D422" s="4" t="s">
        <v>38</v>
      </c>
      <c r="E422" s="4" t="s">
        <v>25</v>
      </c>
      <c r="F422" s="4" t="s">
        <v>25</v>
      </c>
      <c r="G422" s="4" t="s">
        <v>25</v>
      </c>
      <c r="H422" s="4" t="s">
        <v>34</v>
      </c>
      <c r="I422" s="5">
        <v>44531</v>
      </c>
      <c r="J422" s="6">
        <v>0</v>
      </c>
      <c r="K422" s="6">
        <v>0</v>
      </c>
      <c r="L422" s="6">
        <v>78.861000000000004</v>
      </c>
      <c r="M422" s="6">
        <v>78.861000000000004</v>
      </c>
      <c r="N422" s="6">
        <v>0</v>
      </c>
      <c r="O422" s="6">
        <v>0</v>
      </c>
      <c r="P422" s="6">
        <v>0</v>
      </c>
      <c r="Q422" s="4" t="s">
        <v>55</v>
      </c>
      <c r="R422" s="4">
        <v>0</v>
      </c>
      <c r="S422" s="4" t="s">
        <v>218</v>
      </c>
      <c r="U422" s="4">
        <v>0</v>
      </c>
      <c r="V422" s="4">
        <v>8</v>
      </c>
      <c r="W422" s="4">
        <v>0</v>
      </c>
    </row>
    <row r="423" spans="1:23" ht="11.25" customHeight="1" x14ac:dyDescent="0.3">
      <c r="A423" s="4" t="s">
        <v>21</v>
      </c>
      <c r="B423" s="4" t="s">
        <v>39</v>
      </c>
      <c r="C423" s="4" t="s">
        <v>41</v>
      </c>
      <c r="D423" s="4" t="s">
        <v>38</v>
      </c>
      <c r="E423" s="4" t="s">
        <v>25</v>
      </c>
      <c r="F423" s="4" t="s">
        <v>25</v>
      </c>
      <c r="G423" s="4" t="s">
        <v>25</v>
      </c>
      <c r="H423" s="4" t="s">
        <v>34</v>
      </c>
      <c r="I423" s="5">
        <v>44562</v>
      </c>
      <c r="J423" s="6">
        <v>0</v>
      </c>
      <c r="K423" s="6">
        <v>0</v>
      </c>
      <c r="L423" s="6">
        <v>155.499</v>
      </c>
      <c r="M423" s="6">
        <v>155.499</v>
      </c>
      <c r="N423" s="6">
        <v>155.499</v>
      </c>
      <c r="O423" s="6">
        <v>155.499</v>
      </c>
      <c r="P423" s="6">
        <v>0</v>
      </c>
      <c r="Q423" s="4" t="s">
        <v>26</v>
      </c>
      <c r="R423" s="4">
        <v>0</v>
      </c>
      <c r="S423" s="4" t="s">
        <v>219</v>
      </c>
      <c r="T423" s="4" t="s">
        <v>448</v>
      </c>
      <c r="U423" s="4">
        <v>0</v>
      </c>
      <c r="V423" s="4">
        <v>8</v>
      </c>
      <c r="W423" s="4">
        <v>38</v>
      </c>
    </row>
    <row r="424" spans="1:23" ht="11.25" customHeight="1" x14ac:dyDescent="0.3">
      <c r="A424" s="4" t="s">
        <v>21</v>
      </c>
      <c r="B424" s="4" t="s">
        <v>39</v>
      </c>
      <c r="C424" s="4" t="s">
        <v>41</v>
      </c>
      <c r="D424" s="4" t="s">
        <v>38</v>
      </c>
      <c r="E424" s="4" t="s">
        <v>25</v>
      </c>
      <c r="F424" s="4" t="s">
        <v>25</v>
      </c>
      <c r="G424" s="4" t="s">
        <v>25</v>
      </c>
      <c r="H424" s="4" t="s">
        <v>34</v>
      </c>
      <c r="I424" s="5">
        <v>44562</v>
      </c>
      <c r="J424" s="6">
        <v>0</v>
      </c>
      <c r="K424" s="6">
        <v>0</v>
      </c>
      <c r="L424" s="6">
        <v>67.552999999999997</v>
      </c>
      <c r="M424" s="6">
        <v>67.552999999999997</v>
      </c>
      <c r="N424" s="6">
        <v>0</v>
      </c>
      <c r="O424" s="6">
        <v>0</v>
      </c>
      <c r="P424" s="6">
        <v>0</v>
      </c>
      <c r="Q424" s="4" t="s">
        <v>55</v>
      </c>
      <c r="R424" s="4">
        <v>0</v>
      </c>
      <c r="S424" s="4" t="s">
        <v>219</v>
      </c>
      <c r="U424" s="4">
        <v>0</v>
      </c>
      <c r="V424" s="4">
        <v>8</v>
      </c>
      <c r="W424" s="4">
        <v>0</v>
      </c>
    </row>
    <row r="425" spans="1:23" ht="11.25" customHeight="1" x14ac:dyDescent="0.3">
      <c r="A425" s="4" t="s">
        <v>21</v>
      </c>
      <c r="B425" s="4" t="s">
        <v>39</v>
      </c>
      <c r="C425" s="4" t="s">
        <v>41</v>
      </c>
      <c r="D425" s="4" t="s">
        <v>38</v>
      </c>
      <c r="E425" s="4" t="s">
        <v>25</v>
      </c>
      <c r="F425" s="4" t="s">
        <v>25</v>
      </c>
      <c r="G425" s="4" t="s">
        <v>25</v>
      </c>
      <c r="H425" s="4" t="s">
        <v>34</v>
      </c>
      <c r="I425" s="5">
        <v>44593</v>
      </c>
      <c r="J425" s="6">
        <v>0</v>
      </c>
      <c r="K425" s="6">
        <v>0</v>
      </c>
      <c r="L425" s="6">
        <v>148.649</v>
      </c>
      <c r="M425" s="6">
        <v>148.649</v>
      </c>
      <c r="N425" s="6">
        <v>148.649</v>
      </c>
      <c r="O425" s="6">
        <v>148.649</v>
      </c>
      <c r="P425" s="6">
        <v>0</v>
      </c>
      <c r="Q425" s="4" t="s">
        <v>26</v>
      </c>
      <c r="R425" s="4">
        <v>0</v>
      </c>
      <c r="S425" s="4" t="s">
        <v>220</v>
      </c>
      <c r="T425" s="4" t="s">
        <v>449</v>
      </c>
      <c r="U425" s="4">
        <v>0</v>
      </c>
      <c r="V425" s="4">
        <v>8</v>
      </c>
      <c r="W425" s="4">
        <v>38</v>
      </c>
    </row>
    <row r="426" spans="1:23" ht="11.25" customHeight="1" x14ac:dyDescent="0.3">
      <c r="A426" s="4" t="s">
        <v>28</v>
      </c>
      <c r="B426" s="4" t="s">
        <v>39</v>
      </c>
      <c r="C426" s="4" t="s">
        <v>41</v>
      </c>
      <c r="D426" s="4" t="s">
        <v>38</v>
      </c>
      <c r="E426" s="4" t="s">
        <v>25</v>
      </c>
      <c r="F426" s="4" t="s">
        <v>25</v>
      </c>
      <c r="G426" s="4" t="s">
        <v>25</v>
      </c>
      <c r="H426" s="4" t="s">
        <v>34</v>
      </c>
      <c r="I426" s="5">
        <v>44593</v>
      </c>
      <c r="J426" s="6">
        <v>0</v>
      </c>
      <c r="K426" s="6">
        <v>0</v>
      </c>
      <c r="L426" s="6">
        <v>3.7490000000000001</v>
      </c>
      <c r="M426" s="6">
        <v>3.7490000000000001</v>
      </c>
      <c r="N426" s="6">
        <v>3.7490000000000001</v>
      </c>
      <c r="O426" s="6">
        <v>3.7490000000000001</v>
      </c>
      <c r="P426" s="6">
        <v>0</v>
      </c>
      <c r="Q426" s="4" t="s">
        <v>26</v>
      </c>
      <c r="R426" s="4">
        <v>0</v>
      </c>
      <c r="S426" s="4" t="s">
        <v>220</v>
      </c>
      <c r="T426" s="4" t="s">
        <v>449</v>
      </c>
      <c r="U426" s="4">
        <v>0</v>
      </c>
      <c r="V426" s="4">
        <v>8</v>
      </c>
      <c r="W426" s="4">
        <v>38</v>
      </c>
    </row>
    <row r="427" spans="1:23" ht="11.25" customHeight="1" x14ac:dyDescent="0.3">
      <c r="A427" s="4" t="s">
        <v>21</v>
      </c>
      <c r="B427" s="4" t="s">
        <v>39</v>
      </c>
      <c r="C427" s="4" t="s">
        <v>41</v>
      </c>
      <c r="D427" s="4" t="s">
        <v>38</v>
      </c>
      <c r="E427" s="4" t="s">
        <v>25</v>
      </c>
      <c r="F427" s="4" t="s">
        <v>25</v>
      </c>
      <c r="G427" s="4" t="s">
        <v>25</v>
      </c>
      <c r="H427" s="4" t="s">
        <v>34</v>
      </c>
      <c r="I427" s="5">
        <v>44593</v>
      </c>
      <c r="J427" s="6">
        <v>0</v>
      </c>
      <c r="K427" s="6">
        <v>0</v>
      </c>
      <c r="L427" s="6">
        <v>84.46</v>
      </c>
      <c r="M427" s="6">
        <v>84.46</v>
      </c>
      <c r="N427" s="6">
        <v>0</v>
      </c>
      <c r="O427" s="6">
        <v>0</v>
      </c>
      <c r="P427" s="6">
        <v>0</v>
      </c>
      <c r="Q427" s="4" t="s">
        <v>55</v>
      </c>
      <c r="R427" s="4">
        <v>0</v>
      </c>
      <c r="S427" s="4" t="s">
        <v>220</v>
      </c>
      <c r="U427" s="4">
        <v>0</v>
      </c>
      <c r="V427" s="4">
        <v>8</v>
      </c>
      <c r="W427" s="4">
        <v>0</v>
      </c>
    </row>
    <row r="428" spans="1:23" ht="11.25" customHeight="1" x14ac:dyDescent="0.3">
      <c r="A428" s="4" t="s">
        <v>21</v>
      </c>
      <c r="B428" s="4" t="s">
        <v>39</v>
      </c>
      <c r="C428" s="4" t="s">
        <v>41</v>
      </c>
      <c r="D428" s="4" t="s">
        <v>38</v>
      </c>
      <c r="E428" s="4" t="s">
        <v>25</v>
      </c>
      <c r="F428" s="4" t="s">
        <v>25</v>
      </c>
      <c r="G428" s="4" t="s">
        <v>25</v>
      </c>
      <c r="H428" s="4" t="s">
        <v>34</v>
      </c>
      <c r="I428" s="5">
        <v>44621</v>
      </c>
      <c r="J428" s="6">
        <v>0</v>
      </c>
      <c r="K428" s="6">
        <v>0</v>
      </c>
      <c r="L428" s="6">
        <v>162.43</v>
      </c>
      <c r="M428" s="6">
        <v>162.43</v>
      </c>
      <c r="N428" s="6">
        <v>162.43</v>
      </c>
      <c r="O428" s="6">
        <v>162.43</v>
      </c>
      <c r="P428" s="6">
        <v>0</v>
      </c>
      <c r="Q428" s="4" t="s">
        <v>26</v>
      </c>
      <c r="R428" s="4">
        <v>0</v>
      </c>
      <c r="S428" s="4" t="s">
        <v>221</v>
      </c>
      <c r="T428" s="4" t="s">
        <v>450</v>
      </c>
      <c r="U428" s="4">
        <v>0</v>
      </c>
      <c r="V428" s="4">
        <v>8</v>
      </c>
      <c r="W428" s="4">
        <v>38</v>
      </c>
    </row>
    <row r="429" spans="1:23" ht="11.25" customHeight="1" x14ac:dyDescent="0.3">
      <c r="A429" s="4" t="s">
        <v>28</v>
      </c>
      <c r="B429" s="4" t="s">
        <v>39</v>
      </c>
      <c r="C429" s="4" t="s">
        <v>41</v>
      </c>
      <c r="D429" s="4" t="s">
        <v>38</v>
      </c>
      <c r="E429" s="4" t="s">
        <v>25</v>
      </c>
      <c r="F429" s="4" t="s">
        <v>25</v>
      </c>
      <c r="G429" s="4" t="s">
        <v>25</v>
      </c>
      <c r="H429" s="4" t="s">
        <v>34</v>
      </c>
      <c r="I429" s="5">
        <v>44621</v>
      </c>
      <c r="J429" s="6">
        <v>0</v>
      </c>
      <c r="K429" s="6">
        <v>0</v>
      </c>
      <c r="L429" s="6">
        <v>3.5339999999999998</v>
      </c>
      <c r="M429" s="6">
        <v>3.5339999999999998</v>
      </c>
      <c r="N429" s="6">
        <v>3.5339999999999998</v>
      </c>
      <c r="O429" s="6">
        <v>3.5339999999999998</v>
      </c>
      <c r="P429" s="6">
        <v>0</v>
      </c>
      <c r="Q429" s="4" t="s">
        <v>26</v>
      </c>
      <c r="R429" s="4">
        <v>0</v>
      </c>
      <c r="S429" s="4" t="s">
        <v>221</v>
      </c>
      <c r="T429" s="4" t="s">
        <v>450</v>
      </c>
      <c r="U429" s="4">
        <v>0</v>
      </c>
      <c r="V429" s="4">
        <v>8</v>
      </c>
      <c r="W429" s="4">
        <v>38</v>
      </c>
    </row>
    <row r="430" spans="1:23" ht="11.25" customHeight="1" x14ac:dyDescent="0.3">
      <c r="A430" s="4" t="s">
        <v>21</v>
      </c>
      <c r="B430" s="4" t="s">
        <v>39</v>
      </c>
      <c r="C430" s="4" t="s">
        <v>41</v>
      </c>
      <c r="D430" s="4" t="s">
        <v>38</v>
      </c>
      <c r="E430" s="4" t="s">
        <v>25</v>
      </c>
      <c r="F430" s="4" t="s">
        <v>25</v>
      </c>
      <c r="G430" s="4" t="s">
        <v>25</v>
      </c>
      <c r="H430" s="4" t="s">
        <v>34</v>
      </c>
      <c r="I430" s="5">
        <v>44621</v>
      </c>
      <c r="J430" s="6">
        <v>0</v>
      </c>
      <c r="K430" s="6">
        <v>0</v>
      </c>
      <c r="L430" s="6">
        <v>83.861000000000004</v>
      </c>
      <c r="M430" s="6">
        <v>83.861000000000004</v>
      </c>
      <c r="N430" s="6">
        <v>0</v>
      </c>
      <c r="O430" s="6">
        <v>0</v>
      </c>
      <c r="P430" s="6">
        <v>0</v>
      </c>
      <c r="Q430" s="4" t="s">
        <v>55</v>
      </c>
      <c r="R430" s="4">
        <v>0</v>
      </c>
      <c r="S430" s="4" t="s">
        <v>221</v>
      </c>
      <c r="U430" s="4">
        <v>0</v>
      </c>
      <c r="V430" s="4">
        <v>8</v>
      </c>
      <c r="W430" s="4">
        <v>0</v>
      </c>
    </row>
    <row r="431" spans="1:23" ht="11.25" customHeight="1" x14ac:dyDescent="0.3">
      <c r="A431" s="4" t="s">
        <v>21</v>
      </c>
      <c r="B431" s="4" t="s">
        <v>39</v>
      </c>
      <c r="C431" s="4" t="s">
        <v>41</v>
      </c>
      <c r="D431" s="4" t="s">
        <v>38</v>
      </c>
      <c r="E431" s="4" t="s">
        <v>25</v>
      </c>
      <c r="F431" s="4" t="s">
        <v>25</v>
      </c>
      <c r="G431" s="4" t="s">
        <v>25</v>
      </c>
      <c r="H431" s="4" t="s">
        <v>34</v>
      </c>
      <c r="I431" s="5">
        <v>44652</v>
      </c>
      <c r="J431" s="6">
        <v>0</v>
      </c>
      <c r="K431" s="6">
        <v>0</v>
      </c>
      <c r="L431" s="6">
        <v>183.04300000000001</v>
      </c>
      <c r="M431" s="6">
        <v>183.04300000000001</v>
      </c>
      <c r="N431" s="6">
        <v>183.04300000000001</v>
      </c>
      <c r="O431" s="6">
        <v>183.04300000000001</v>
      </c>
      <c r="P431" s="6">
        <v>0</v>
      </c>
      <c r="Q431" s="4" t="s">
        <v>26</v>
      </c>
      <c r="R431" s="4">
        <v>0</v>
      </c>
      <c r="S431" s="4" t="s">
        <v>222</v>
      </c>
      <c r="T431" s="4" t="s">
        <v>451</v>
      </c>
      <c r="U431" s="4">
        <v>0</v>
      </c>
      <c r="V431" s="4">
        <v>8</v>
      </c>
      <c r="W431" s="4">
        <v>38</v>
      </c>
    </row>
    <row r="432" spans="1:23" ht="11.25" customHeight="1" x14ac:dyDescent="0.3">
      <c r="A432" s="4" t="s">
        <v>28</v>
      </c>
      <c r="B432" s="4" t="s">
        <v>39</v>
      </c>
      <c r="C432" s="4" t="s">
        <v>41</v>
      </c>
      <c r="D432" s="4" t="s">
        <v>38</v>
      </c>
      <c r="E432" s="4" t="s">
        <v>25</v>
      </c>
      <c r="F432" s="4" t="s">
        <v>25</v>
      </c>
      <c r="G432" s="4" t="s">
        <v>25</v>
      </c>
      <c r="H432" s="4" t="s">
        <v>34</v>
      </c>
      <c r="I432" s="5">
        <v>44652</v>
      </c>
      <c r="J432" s="6">
        <v>0</v>
      </c>
      <c r="K432" s="6">
        <v>0</v>
      </c>
      <c r="L432" s="6">
        <v>4.609</v>
      </c>
      <c r="M432" s="6">
        <v>4.609</v>
      </c>
      <c r="N432" s="6">
        <v>4.609</v>
      </c>
      <c r="O432" s="6">
        <v>4.609</v>
      </c>
      <c r="P432" s="6">
        <v>0</v>
      </c>
      <c r="Q432" s="4" t="s">
        <v>26</v>
      </c>
      <c r="R432" s="4">
        <v>0</v>
      </c>
      <c r="S432" s="4" t="s">
        <v>222</v>
      </c>
      <c r="T432" s="4" t="s">
        <v>451</v>
      </c>
      <c r="U432" s="4">
        <v>0</v>
      </c>
      <c r="V432" s="4">
        <v>8</v>
      </c>
      <c r="W432" s="4">
        <v>38</v>
      </c>
    </row>
    <row r="433" spans="1:23" ht="11.25" customHeight="1" x14ac:dyDescent="0.3">
      <c r="A433" s="4" t="s">
        <v>21</v>
      </c>
      <c r="B433" s="4" t="s">
        <v>39</v>
      </c>
      <c r="C433" s="4" t="s">
        <v>41</v>
      </c>
      <c r="D433" s="4" t="s">
        <v>38</v>
      </c>
      <c r="E433" s="4" t="s">
        <v>25</v>
      </c>
      <c r="F433" s="4" t="s">
        <v>25</v>
      </c>
      <c r="G433" s="4" t="s">
        <v>25</v>
      </c>
      <c r="H433" s="4" t="s">
        <v>34</v>
      </c>
      <c r="I433" s="5">
        <v>44652</v>
      </c>
      <c r="J433" s="6">
        <v>0</v>
      </c>
      <c r="K433" s="6">
        <v>0</v>
      </c>
      <c r="L433" s="6">
        <v>90.254999999999995</v>
      </c>
      <c r="M433" s="6">
        <v>90.254999999999995</v>
      </c>
      <c r="N433" s="6">
        <v>0</v>
      </c>
      <c r="O433" s="6">
        <v>0</v>
      </c>
      <c r="P433" s="6">
        <v>0</v>
      </c>
      <c r="Q433" s="4" t="s">
        <v>55</v>
      </c>
      <c r="R433" s="4">
        <v>0</v>
      </c>
      <c r="S433" s="4" t="s">
        <v>222</v>
      </c>
      <c r="U433" s="4">
        <v>0</v>
      </c>
      <c r="V433" s="4">
        <v>8</v>
      </c>
      <c r="W433" s="4">
        <v>0</v>
      </c>
    </row>
    <row r="434" spans="1:23" ht="11.25" customHeight="1" x14ac:dyDescent="0.3">
      <c r="A434" s="4" t="s">
        <v>21</v>
      </c>
      <c r="B434" s="4" t="s">
        <v>39</v>
      </c>
      <c r="C434" s="4" t="s">
        <v>41</v>
      </c>
      <c r="D434" s="4" t="s">
        <v>38</v>
      </c>
      <c r="E434" s="4" t="s">
        <v>25</v>
      </c>
      <c r="F434" s="4" t="s">
        <v>25</v>
      </c>
      <c r="G434" s="4" t="s">
        <v>25</v>
      </c>
      <c r="H434" s="4" t="s">
        <v>34</v>
      </c>
      <c r="I434" s="5">
        <v>44682</v>
      </c>
      <c r="J434" s="6">
        <v>0</v>
      </c>
      <c r="K434" s="6">
        <v>0</v>
      </c>
      <c r="L434" s="6">
        <v>153.35499999999999</v>
      </c>
      <c r="M434" s="6">
        <v>153.35499999999999</v>
      </c>
      <c r="N434" s="6">
        <v>153.35499999999999</v>
      </c>
      <c r="O434" s="6">
        <v>153.35499999999999</v>
      </c>
      <c r="P434" s="6">
        <v>0</v>
      </c>
      <c r="Q434" s="4" t="s">
        <v>26</v>
      </c>
      <c r="R434" s="4">
        <v>0</v>
      </c>
      <c r="S434" s="4" t="s">
        <v>223</v>
      </c>
      <c r="T434" s="4" t="s">
        <v>452</v>
      </c>
      <c r="U434" s="4">
        <v>0</v>
      </c>
      <c r="V434" s="4">
        <v>8</v>
      </c>
      <c r="W434" s="4">
        <v>38</v>
      </c>
    </row>
    <row r="435" spans="1:23" ht="11.25" customHeight="1" x14ac:dyDescent="0.3">
      <c r="A435" s="4" t="s">
        <v>28</v>
      </c>
      <c r="B435" s="4" t="s">
        <v>39</v>
      </c>
      <c r="C435" s="4" t="s">
        <v>41</v>
      </c>
      <c r="D435" s="4" t="s">
        <v>38</v>
      </c>
      <c r="E435" s="4" t="s">
        <v>25</v>
      </c>
      <c r="F435" s="4" t="s">
        <v>25</v>
      </c>
      <c r="G435" s="4" t="s">
        <v>25</v>
      </c>
      <c r="H435" s="4" t="s">
        <v>34</v>
      </c>
      <c r="I435" s="5">
        <v>44682</v>
      </c>
      <c r="J435" s="6">
        <v>0</v>
      </c>
      <c r="K435" s="6">
        <v>0</v>
      </c>
      <c r="L435" s="6">
        <v>4.7350000000000003</v>
      </c>
      <c r="M435" s="6">
        <v>4.7350000000000003</v>
      </c>
      <c r="N435" s="6">
        <v>4.7350000000000003</v>
      </c>
      <c r="O435" s="6">
        <v>4.7350000000000003</v>
      </c>
      <c r="P435" s="6">
        <v>0</v>
      </c>
      <c r="Q435" s="4" t="s">
        <v>26</v>
      </c>
      <c r="R435" s="4">
        <v>0</v>
      </c>
      <c r="S435" s="4" t="s">
        <v>223</v>
      </c>
      <c r="T435" s="4" t="s">
        <v>452</v>
      </c>
      <c r="U435" s="4">
        <v>0</v>
      </c>
      <c r="V435" s="4">
        <v>8</v>
      </c>
      <c r="W435" s="4">
        <v>38</v>
      </c>
    </row>
    <row r="436" spans="1:23" ht="11.25" customHeight="1" x14ac:dyDescent="0.3">
      <c r="A436" s="4" t="s">
        <v>21</v>
      </c>
      <c r="B436" s="4" t="s">
        <v>39</v>
      </c>
      <c r="C436" s="4" t="s">
        <v>41</v>
      </c>
      <c r="D436" s="4" t="s">
        <v>38</v>
      </c>
      <c r="E436" s="4" t="s">
        <v>25</v>
      </c>
      <c r="F436" s="4" t="s">
        <v>25</v>
      </c>
      <c r="G436" s="4" t="s">
        <v>25</v>
      </c>
      <c r="H436" s="4" t="s">
        <v>34</v>
      </c>
      <c r="I436" s="5">
        <v>44682</v>
      </c>
      <c r="J436" s="6">
        <v>0</v>
      </c>
      <c r="K436" s="6">
        <v>0</v>
      </c>
      <c r="L436" s="6">
        <v>80.528000000000006</v>
      </c>
      <c r="M436" s="6">
        <v>80.528000000000006</v>
      </c>
      <c r="N436" s="6">
        <v>0</v>
      </c>
      <c r="O436" s="6">
        <v>0</v>
      </c>
      <c r="P436" s="6">
        <v>0</v>
      </c>
      <c r="Q436" s="4" t="s">
        <v>55</v>
      </c>
      <c r="R436" s="4">
        <v>0</v>
      </c>
      <c r="S436" s="4" t="s">
        <v>223</v>
      </c>
      <c r="U436" s="4">
        <v>0</v>
      </c>
      <c r="V436" s="4">
        <v>8</v>
      </c>
      <c r="W436" s="4">
        <v>0</v>
      </c>
    </row>
    <row r="437" spans="1:23" ht="11.25" customHeight="1" x14ac:dyDescent="0.3">
      <c r="A437" s="4" t="s">
        <v>21</v>
      </c>
      <c r="B437" s="4" t="s">
        <v>39</v>
      </c>
      <c r="C437" s="4" t="s">
        <v>41</v>
      </c>
      <c r="D437" s="4" t="s">
        <v>38</v>
      </c>
      <c r="E437" s="4" t="s">
        <v>25</v>
      </c>
      <c r="F437" s="4" t="s">
        <v>25</v>
      </c>
      <c r="G437" s="4" t="s">
        <v>25</v>
      </c>
      <c r="H437" s="4" t="s">
        <v>34</v>
      </c>
      <c r="I437" s="5">
        <v>44713</v>
      </c>
      <c r="J437" s="6">
        <v>0</v>
      </c>
      <c r="K437" s="6">
        <v>0</v>
      </c>
      <c r="L437" s="6">
        <v>176.46600000000001</v>
      </c>
      <c r="M437" s="6">
        <v>176.46600000000001</v>
      </c>
      <c r="N437" s="6">
        <v>176.46600000000001</v>
      </c>
      <c r="O437" s="6">
        <v>176.46600000000001</v>
      </c>
      <c r="P437" s="6">
        <v>0</v>
      </c>
      <c r="Q437" s="4" t="s">
        <v>26</v>
      </c>
      <c r="R437" s="4">
        <v>0</v>
      </c>
      <c r="S437" s="4" t="s">
        <v>224</v>
      </c>
      <c r="T437" s="4" t="s">
        <v>453</v>
      </c>
      <c r="U437" s="4">
        <v>0</v>
      </c>
      <c r="V437" s="4">
        <v>8</v>
      </c>
      <c r="W437" s="4">
        <v>38</v>
      </c>
    </row>
    <row r="438" spans="1:23" ht="11.25" customHeight="1" x14ac:dyDescent="0.3">
      <c r="A438" s="4" t="s">
        <v>28</v>
      </c>
      <c r="B438" s="4" t="s">
        <v>39</v>
      </c>
      <c r="C438" s="4" t="s">
        <v>41</v>
      </c>
      <c r="D438" s="4" t="s">
        <v>38</v>
      </c>
      <c r="E438" s="4" t="s">
        <v>25</v>
      </c>
      <c r="F438" s="4" t="s">
        <v>25</v>
      </c>
      <c r="G438" s="4" t="s">
        <v>25</v>
      </c>
      <c r="H438" s="4" t="s">
        <v>34</v>
      </c>
      <c r="I438" s="5">
        <v>44713</v>
      </c>
      <c r="J438" s="6">
        <v>0</v>
      </c>
      <c r="K438" s="6">
        <v>0</v>
      </c>
      <c r="L438" s="6">
        <v>5.508</v>
      </c>
      <c r="M438" s="6">
        <v>5.508</v>
      </c>
      <c r="N438" s="6">
        <v>5.508</v>
      </c>
      <c r="O438" s="6">
        <v>5.508</v>
      </c>
      <c r="P438" s="6">
        <v>0</v>
      </c>
      <c r="Q438" s="4" t="s">
        <v>26</v>
      </c>
      <c r="R438" s="4">
        <v>0</v>
      </c>
      <c r="S438" s="4" t="s">
        <v>224</v>
      </c>
      <c r="T438" s="4" t="s">
        <v>453</v>
      </c>
      <c r="U438" s="4">
        <v>0</v>
      </c>
      <c r="V438" s="4">
        <v>8</v>
      </c>
      <c r="W438" s="4">
        <v>38</v>
      </c>
    </row>
    <row r="439" spans="1:23" ht="11.25" customHeight="1" x14ac:dyDescent="0.3">
      <c r="A439" s="4" t="s">
        <v>21</v>
      </c>
      <c r="B439" s="4" t="s">
        <v>39</v>
      </c>
      <c r="C439" s="4" t="s">
        <v>41</v>
      </c>
      <c r="D439" s="4" t="s">
        <v>38</v>
      </c>
      <c r="E439" s="4" t="s">
        <v>25</v>
      </c>
      <c r="F439" s="4" t="s">
        <v>25</v>
      </c>
      <c r="G439" s="4" t="s">
        <v>25</v>
      </c>
      <c r="H439" s="4" t="s">
        <v>34</v>
      </c>
      <c r="I439" s="5">
        <v>44713</v>
      </c>
      <c r="J439" s="6">
        <v>0</v>
      </c>
      <c r="K439" s="6">
        <v>0</v>
      </c>
      <c r="L439" s="6">
        <v>89.091999999999999</v>
      </c>
      <c r="M439" s="6">
        <v>89.091999999999999</v>
      </c>
      <c r="N439" s="6">
        <v>0</v>
      </c>
      <c r="O439" s="6">
        <v>0</v>
      </c>
      <c r="P439" s="6">
        <v>0</v>
      </c>
      <c r="Q439" s="4" t="s">
        <v>55</v>
      </c>
      <c r="R439" s="4">
        <v>0</v>
      </c>
      <c r="S439" s="4" t="s">
        <v>224</v>
      </c>
      <c r="U439" s="4">
        <v>0</v>
      </c>
      <c r="V439" s="4">
        <v>8</v>
      </c>
      <c r="W439" s="4">
        <v>0</v>
      </c>
    </row>
    <row r="440" spans="1:23" ht="11.25" customHeight="1" x14ac:dyDescent="0.3">
      <c r="A440" s="4" t="s">
        <v>21</v>
      </c>
      <c r="B440" s="4" t="s">
        <v>39</v>
      </c>
      <c r="C440" s="4" t="s">
        <v>41</v>
      </c>
      <c r="D440" s="4" t="s">
        <v>38</v>
      </c>
      <c r="E440" s="4" t="s">
        <v>25</v>
      </c>
      <c r="F440" s="4" t="s">
        <v>25</v>
      </c>
      <c r="G440" s="4" t="s">
        <v>25</v>
      </c>
      <c r="H440" s="4" t="s">
        <v>34</v>
      </c>
      <c r="I440" s="5">
        <v>44743</v>
      </c>
      <c r="J440" s="6">
        <v>0</v>
      </c>
      <c r="K440" s="6">
        <v>0</v>
      </c>
      <c r="L440" s="6">
        <v>181.10499999999999</v>
      </c>
      <c r="M440" s="6">
        <v>181.10499999999999</v>
      </c>
      <c r="N440" s="6">
        <v>181.10499999999999</v>
      </c>
      <c r="O440" s="6">
        <v>181.10499999999999</v>
      </c>
      <c r="P440" s="6">
        <v>0</v>
      </c>
      <c r="Q440" s="4" t="s">
        <v>26</v>
      </c>
      <c r="R440" s="4">
        <v>0</v>
      </c>
      <c r="S440" s="4" t="s">
        <v>225</v>
      </c>
      <c r="T440" s="4" t="s">
        <v>454</v>
      </c>
      <c r="U440" s="4">
        <v>0</v>
      </c>
      <c r="V440" s="4">
        <v>8</v>
      </c>
      <c r="W440" s="4">
        <v>38</v>
      </c>
    </row>
    <row r="441" spans="1:23" ht="11.25" customHeight="1" x14ac:dyDescent="0.3">
      <c r="A441" s="4" t="s">
        <v>21</v>
      </c>
      <c r="B441" s="4" t="s">
        <v>39</v>
      </c>
      <c r="C441" s="4" t="s">
        <v>41</v>
      </c>
      <c r="D441" s="4" t="s">
        <v>38</v>
      </c>
      <c r="E441" s="4" t="s">
        <v>25</v>
      </c>
      <c r="F441" s="4" t="s">
        <v>25</v>
      </c>
      <c r="G441" s="4" t="s">
        <v>25</v>
      </c>
      <c r="H441" s="4" t="s">
        <v>34</v>
      </c>
      <c r="I441" s="5">
        <v>44743</v>
      </c>
      <c r="J441" s="6">
        <v>0</v>
      </c>
      <c r="K441" s="6">
        <v>0</v>
      </c>
      <c r="L441" s="6">
        <v>54.564</v>
      </c>
      <c r="M441" s="6">
        <v>54.564</v>
      </c>
      <c r="N441" s="6">
        <v>0</v>
      </c>
      <c r="O441" s="6">
        <v>0</v>
      </c>
      <c r="P441" s="6">
        <v>0</v>
      </c>
      <c r="Q441" s="4" t="s">
        <v>55</v>
      </c>
      <c r="R441" s="4">
        <v>0</v>
      </c>
      <c r="S441" s="4" t="s">
        <v>225</v>
      </c>
      <c r="U441" s="4">
        <v>0</v>
      </c>
      <c r="V441" s="4">
        <v>8</v>
      </c>
      <c r="W441" s="4">
        <v>0</v>
      </c>
    </row>
    <row r="442" spans="1:23" ht="11.25" customHeight="1" x14ac:dyDescent="0.3">
      <c r="A442" s="4" t="s">
        <v>21</v>
      </c>
      <c r="B442" s="4" t="s">
        <v>39</v>
      </c>
      <c r="C442" s="4" t="s">
        <v>41</v>
      </c>
      <c r="D442" s="4" t="s">
        <v>38</v>
      </c>
      <c r="E442" s="4" t="s">
        <v>25</v>
      </c>
      <c r="F442" s="4" t="s">
        <v>25</v>
      </c>
      <c r="G442" s="4" t="s">
        <v>25</v>
      </c>
      <c r="H442" s="4" t="s">
        <v>34</v>
      </c>
      <c r="I442" s="5">
        <v>44774</v>
      </c>
      <c r="J442" s="6">
        <v>0</v>
      </c>
      <c r="K442" s="6">
        <v>0</v>
      </c>
      <c r="L442" s="6">
        <v>178.84399999999999</v>
      </c>
      <c r="M442" s="6">
        <v>178.84399999999999</v>
      </c>
      <c r="N442" s="6">
        <v>178.84399999999999</v>
      </c>
      <c r="O442" s="6">
        <v>178.84399999999999</v>
      </c>
      <c r="P442" s="6">
        <v>0</v>
      </c>
      <c r="Q442" s="4" t="s">
        <v>26</v>
      </c>
      <c r="R442" s="4">
        <v>0</v>
      </c>
      <c r="S442" s="4" t="s">
        <v>226</v>
      </c>
      <c r="T442" s="4" t="s">
        <v>455</v>
      </c>
      <c r="U442" s="4">
        <v>0</v>
      </c>
      <c r="V442" s="4">
        <v>8</v>
      </c>
      <c r="W442" s="4">
        <v>38</v>
      </c>
    </row>
    <row r="443" spans="1:23" ht="11.25" customHeight="1" x14ac:dyDescent="0.3">
      <c r="A443" s="4" t="s">
        <v>27</v>
      </c>
      <c r="B443" s="4" t="s">
        <v>39</v>
      </c>
      <c r="C443" s="4" t="s">
        <v>41</v>
      </c>
      <c r="D443" s="4" t="s">
        <v>38</v>
      </c>
      <c r="E443" s="4" t="s">
        <v>25</v>
      </c>
      <c r="F443" s="4" t="s">
        <v>25</v>
      </c>
      <c r="G443" s="4" t="s">
        <v>25</v>
      </c>
      <c r="H443" s="4" t="s">
        <v>34</v>
      </c>
      <c r="I443" s="5">
        <v>44774</v>
      </c>
      <c r="J443" s="6">
        <v>0</v>
      </c>
      <c r="K443" s="6">
        <v>0</v>
      </c>
      <c r="L443" s="6">
        <v>-9.6170000000000009</v>
      </c>
      <c r="M443" s="6">
        <v>-9.6170000000000009</v>
      </c>
      <c r="N443" s="6">
        <v>-9.6170000000000009</v>
      </c>
      <c r="O443" s="6">
        <v>-9.6170000000000009</v>
      </c>
      <c r="P443" s="6">
        <v>0</v>
      </c>
      <c r="Q443" s="4" t="s">
        <v>26</v>
      </c>
      <c r="R443" s="4">
        <v>0</v>
      </c>
      <c r="S443" s="4" t="s">
        <v>226</v>
      </c>
      <c r="T443" s="4" t="s">
        <v>455</v>
      </c>
      <c r="U443" s="4">
        <v>0</v>
      </c>
      <c r="V443" s="4">
        <v>8</v>
      </c>
      <c r="W443" s="4">
        <v>38</v>
      </c>
    </row>
    <row r="444" spans="1:23" ht="11.25" customHeight="1" x14ac:dyDescent="0.3">
      <c r="A444" s="4" t="s">
        <v>28</v>
      </c>
      <c r="B444" s="4" t="s">
        <v>39</v>
      </c>
      <c r="C444" s="4" t="s">
        <v>41</v>
      </c>
      <c r="D444" s="4" t="s">
        <v>38</v>
      </c>
      <c r="E444" s="4" t="s">
        <v>25</v>
      </c>
      <c r="F444" s="4" t="s">
        <v>25</v>
      </c>
      <c r="G444" s="4" t="s">
        <v>25</v>
      </c>
      <c r="H444" s="4" t="s">
        <v>34</v>
      </c>
      <c r="I444" s="5">
        <v>44774</v>
      </c>
      <c r="J444" s="6">
        <v>0</v>
      </c>
      <c r="K444" s="6">
        <v>0</v>
      </c>
      <c r="L444" s="6">
        <v>5.7839999999999998</v>
      </c>
      <c r="M444" s="6">
        <v>5.7839999999999998</v>
      </c>
      <c r="N444" s="6">
        <v>5.7839999999999998</v>
      </c>
      <c r="O444" s="6">
        <v>5.7839999999999998</v>
      </c>
      <c r="P444" s="6">
        <v>0</v>
      </c>
      <c r="Q444" s="4" t="s">
        <v>26</v>
      </c>
      <c r="R444" s="4">
        <v>0</v>
      </c>
      <c r="S444" s="4" t="s">
        <v>226</v>
      </c>
      <c r="T444" s="4" t="s">
        <v>455</v>
      </c>
      <c r="U444" s="4">
        <v>0</v>
      </c>
      <c r="V444" s="4">
        <v>8</v>
      </c>
      <c r="W444" s="4">
        <v>38</v>
      </c>
    </row>
    <row r="445" spans="1:23" ht="11.25" customHeight="1" x14ac:dyDescent="0.3">
      <c r="A445" s="4" t="s">
        <v>21</v>
      </c>
      <c r="B445" s="4" t="s">
        <v>39</v>
      </c>
      <c r="C445" s="4" t="s">
        <v>41</v>
      </c>
      <c r="D445" s="4" t="s">
        <v>38</v>
      </c>
      <c r="E445" s="4" t="s">
        <v>25</v>
      </c>
      <c r="F445" s="4" t="s">
        <v>25</v>
      </c>
      <c r="G445" s="4" t="s">
        <v>25</v>
      </c>
      <c r="H445" s="4" t="s">
        <v>34</v>
      </c>
      <c r="I445" s="5">
        <v>44774</v>
      </c>
      <c r="J445" s="6">
        <v>0</v>
      </c>
      <c r="K445" s="6">
        <v>0</v>
      </c>
      <c r="L445" s="6">
        <v>80.736999999999995</v>
      </c>
      <c r="M445" s="6">
        <v>80.736999999999995</v>
      </c>
      <c r="N445" s="6">
        <v>0</v>
      </c>
      <c r="O445" s="6">
        <v>0</v>
      </c>
      <c r="P445" s="6">
        <v>0</v>
      </c>
      <c r="Q445" s="4" t="s">
        <v>55</v>
      </c>
      <c r="R445" s="4">
        <v>0</v>
      </c>
      <c r="S445" s="4" t="s">
        <v>226</v>
      </c>
      <c r="U445" s="4">
        <v>0</v>
      </c>
      <c r="V445" s="4">
        <v>8</v>
      </c>
      <c r="W445" s="4">
        <v>0</v>
      </c>
    </row>
    <row r="446" spans="1:23" ht="11.25" customHeight="1" x14ac:dyDescent="0.3">
      <c r="A446" s="4" t="s">
        <v>21</v>
      </c>
      <c r="B446" s="4" t="s">
        <v>39</v>
      </c>
      <c r="C446" s="4" t="s">
        <v>41</v>
      </c>
      <c r="D446" s="4" t="s">
        <v>38</v>
      </c>
      <c r="E446" s="4" t="s">
        <v>25</v>
      </c>
      <c r="F446" s="4" t="s">
        <v>25</v>
      </c>
      <c r="G446" s="4" t="s">
        <v>25</v>
      </c>
      <c r="H446" s="4" t="s">
        <v>34</v>
      </c>
      <c r="I446" s="5">
        <v>44805</v>
      </c>
      <c r="J446" s="6">
        <v>0</v>
      </c>
      <c r="K446" s="6">
        <v>0</v>
      </c>
      <c r="L446" s="6">
        <v>196.90899999999999</v>
      </c>
      <c r="M446" s="6">
        <v>196.90899999999999</v>
      </c>
      <c r="N446" s="6">
        <v>196.90899999999999</v>
      </c>
      <c r="O446" s="6">
        <v>196.90899999999999</v>
      </c>
      <c r="P446" s="6">
        <v>0</v>
      </c>
      <c r="Q446" s="4" t="s">
        <v>26</v>
      </c>
      <c r="R446" s="4">
        <v>0</v>
      </c>
      <c r="S446" s="4" t="s">
        <v>227</v>
      </c>
      <c r="T446" s="4" t="s">
        <v>456</v>
      </c>
      <c r="U446" s="4">
        <v>0</v>
      </c>
      <c r="V446" s="4">
        <v>8</v>
      </c>
      <c r="W446" s="4">
        <v>38</v>
      </c>
    </row>
    <row r="447" spans="1:23" ht="11.25" customHeight="1" x14ac:dyDescent="0.3">
      <c r="A447" s="4" t="s">
        <v>28</v>
      </c>
      <c r="B447" s="4" t="s">
        <v>39</v>
      </c>
      <c r="C447" s="4" t="s">
        <v>41</v>
      </c>
      <c r="D447" s="4" t="s">
        <v>38</v>
      </c>
      <c r="E447" s="4" t="s">
        <v>25</v>
      </c>
      <c r="F447" s="4" t="s">
        <v>25</v>
      </c>
      <c r="G447" s="4" t="s">
        <v>25</v>
      </c>
      <c r="H447" s="4" t="s">
        <v>34</v>
      </c>
      <c r="I447" s="5">
        <v>44805</v>
      </c>
      <c r="J447" s="6">
        <v>0</v>
      </c>
      <c r="K447" s="6">
        <v>0</v>
      </c>
      <c r="L447" s="6">
        <v>4.5129999999999999</v>
      </c>
      <c r="M447" s="6">
        <v>4.5129999999999999</v>
      </c>
      <c r="N447" s="6">
        <v>4.5129999999999999</v>
      </c>
      <c r="O447" s="6">
        <v>4.5129999999999999</v>
      </c>
      <c r="P447" s="6">
        <v>0</v>
      </c>
      <c r="Q447" s="4" t="s">
        <v>26</v>
      </c>
      <c r="R447" s="4">
        <v>0</v>
      </c>
      <c r="S447" s="4" t="s">
        <v>227</v>
      </c>
      <c r="T447" s="4" t="s">
        <v>456</v>
      </c>
      <c r="U447" s="4">
        <v>0</v>
      </c>
      <c r="V447" s="4">
        <v>8</v>
      </c>
      <c r="W447" s="4">
        <v>38</v>
      </c>
    </row>
    <row r="448" spans="1:23" ht="11.25" customHeight="1" x14ac:dyDescent="0.3">
      <c r="A448" s="4" t="s">
        <v>21</v>
      </c>
      <c r="B448" s="4" t="s">
        <v>39</v>
      </c>
      <c r="C448" s="4" t="s">
        <v>41</v>
      </c>
      <c r="D448" s="4" t="s">
        <v>38</v>
      </c>
      <c r="E448" s="4" t="s">
        <v>25</v>
      </c>
      <c r="F448" s="4" t="s">
        <v>25</v>
      </c>
      <c r="G448" s="4" t="s">
        <v>25</v>
      </c>
      <c r="H448" s="4" t="s">
        <v>34</v>
      </c>
      <c r="I448" s="5">
        <v>44805</v>
      </c>
      <c r="J448" s="6">
        <v>0</v>
      </c>
      <c r="K448" s="6">
        <v>0</v>
      </c>
      <c r="L448" s="6">
        <v>88.828000000000003</v>
      </c>
      <c r="M448" s="6">
        <v>88.828000000000003</v>
      </c>
      <c r="N448" s="6">
        <v>0</v>
      </c>
      <c r="O448" s="6">
        <v>0</v>
      </c>
      <c r="P448" s="6">
        <v>0</v>
      </c>
      <c r="Q448" s="4" t="s">
        <v>55</v>
      </c>
      <c r="R448" s="4">
        <v>0</v>
      </c>
      <c r="S448" s="4" t="s">
        <v>227</v>
      </c>
      <c r="U448" s="4">
        <v>0</v>
      </c>
      <c r="V448" s="4">
        <v>8</v>
      </c>
      <c r="W448" s="4">
        <v>0</v>
      </c>
    </row>
    <row r="449" spans="1:23" ht="11.25" customHeight="1" x14ac:dyDescent="0.3">
      <c r="A449" s="4" t="s">
        <v>53</v>
      </c>
      <c r="B449" s="4" t="s">
        <v>39</v>
      </c>
      <c r="C449" s="4" t="s">
        <v>41</v>
      </c>
      <c r="D449" s="4" t="s">
        <v>38</v>
      </c>
      <c r="E449" s="4" t="s">
        <v>25</v>
      </c>
      <c r="F449" s="4" t="s">
        <v>25</v>
      </c>
      <c r="G449" s="4" t="s">
        <v>25</v>
      </c>
      <c r="H449" s="4" t="s">
        <v>34</v>
      </c>
      <c r="I449" s="5">
        <v>44835</v>
      </c>
      <c r="J449" s="6">
        <v>0</v>
      </c>
      <c r="K449" s="6">
        <v>0</v>
      </c>
      <c r="L449" s="6">
        <v>196.90899999999999</v>
      </c>
      <c r="M449" s="6">
        <v>196.90899999999999</v>
      </c>
      <c r="N449" s="6">
        <v>196.90899999999999</v>
      </c>
      <c r="O449" s="6">
        <v>196.90899999999999</v>
      </c>
      <c r="P449" s="6">
        <v>0</v>
      </c>
      <c r="Q449" s="4" t="s">
        <v>26</v>
      </c>
      <c r="R449" s="4">
        <v>0</v>
      </c>
      <c r="S449" s="4" t="s">
        <v>228</v>
      </c>
      <c r="T449" s="4" t="s">
        <v>457</v>
      </c>
      <c r="U449" s="4">
        <v>0</v>
      </c>
      <c r="V449" s="4">
        <v>8</v>
      </c>
      <c r="W449" s="4">
        <v>38</v>
      </c>
    </row>
    <row r="450" spans="1:23" ht="11.25" customHeight="1" x14ac:dyDescent="0.3">
      <c r="A450" s="4" t="s">
        <v>53</v>
      </c>
      <c r="B450" s="4" t="s">
        <v>39</v>
      </c>
      <c r="C450" s="4" t="s">
        <v>41</v>
      </c>
      <c r="D450" s="4" t="s">
        <v>38</v>
      </c>
      <c r="E450" s="4" t="s">
        <v>25</v>
      </c>
      <c r="F450" s="4" t="s">
        <v>25</v>
      </c>
      <c r="G450" s="4" t="s">
        <v>25</v>
      </c>
      <c r="H450" s="4" t="s">
        <v>34</v>
      </c>
      <c r="I450" s="5">
        <v>44835</v>
      </c>
      <c r="J450" s="6">
        <v>0</v>
      </c>
      <c r="K450" s="6">
        <v>0</v>
      </c>
      <c r="L450" s="6">
        <v>4.5129999999999999</v>
      </c>
      <c r="M450" s="6">
        <v>4.5129999999999999</v>
      </c>
      <c r="N450" s="6">
        <v>4.5129999999999999</v>
      </c>
      <c r="O450" s="6">
        <v>4.5129999999999999</v>
      </c>
      <c r="P450" s="6">
        <v>0</v>
      </c>
      <c r="Q450" s="4" t="s">
        <v>26</v>
      </c>
      <c r="R450" s="4">
        <v>0</v>
      </c>
      <c r="S450" s="4" t="s">
        <v>228</v>
      </c>
      <c r="T450" s="4" t="s">
        <v>457</v>
      </c>
      <c r="U450" s="4">
        <v>0</v>
      </c>
      <c r="V450" s="4">
        <v>8</v>
      </c>
      <c r="W450" s="4">
        <v>38</v>
      </c>
    </row>
    <row r="451" spans="1:23" ht="11.25" customHeight="1" x14ac:dyDescent="0.3">
      <c r="A451" s="4" t="s">
        <v>53</v>
      </c>
      <c r="B451" s="4" t="s">
        <v>39</v>
      </c>
      <c r="C451" s="4" t="s">
        <v>41</v>
      </c>
      <c r="D451" s="4" t="s">
        <v>38</v>
      </c>
      <c r="E451" s="4" t="s">
        <v>25</v>
      </c>
      <c r="F451" s="4" t="s">
        <v>25</v>
      </c>
      <c r="G451" s="4" t="s">
        <v>25</v>
      </c>
      <c r="H451" s="4" t="s">
        <v>34</v>
      </c>
      <c r="I451" s="5">
        <v>44835</v>
      </c>
      <c r="J451" s="6">
        <v>0</v>
      </c>
      <c r="K451" s="6">
        <v>0</v>
      </c>
      <c r="L451" s="6">
        <v>88.828000000000003</v>
      </c>
      <c r="M451" s="6">
        <v>88.828000000000003</v>
      </c>
      <c r="N451" s="6">
        <v>0</v>
      </c>
      <c r="O451" s="6">
        <v>0</v>
      </c>
      <c r="P451" s="6">
        <v>0</v>
      </c>
      <c r="Q451" s="4" t="s">
        <v>55</v>
      </c>
      <c r="R451" s="4">
        <v>0</v>
      </c>
      <c r="S451" s="4" t="s">
        <v>228</v>
      </c>
      <c r="U451" s="4">
        <v>0</v>
      </c>
      <c r="V451" s="4">
        <v>8</v>
      </c>
      <c r="W451" s="4">
        <v>0</v>
      </c>
    </row>
    <row r="452" spans="1:23" ht="11.25" customHeight="1" x14ac:dyDescent="0.3">
      <c r="A452" s="4" t="s">
        <v>21</v>
      </c>
      <c r="B452" s="4" t="s">
        <v>39</v>
      </c>
      <c r="C452" s="4" t="s">
        <v>41</v>
      </c>
      <c r="D452" s="4" t="s">
        <v>46</v>
      </c>
      <c r="E452" s="4" t="s">
        <v>25</v>
      </c>
      <c r="F452" s="4" t="s">
        <v>25</v>
      </c>
      <c r="G452" s="4" t="s">
        <v>25</v>
      </c>
      <c r="H452" s="4" t="s">
        <v>35</v>
      </c>
      <c r="I452" s="5">
        <v>44501</v>
      </c>
      <c r="J452" s="6">
        <v>0</v>
      </c>
      <c r="K452" s="6">
        <v>0</v>
      </c>
      <c r="L452" s="6">
        <v>42.69</v>
      </c>
      <c r="M452" s="6">
        <v>42.69</v>
      </c>
      <c r="N452" s="6">
        <v>42.69</v>
      </c>
      <c r="O452" s="6">
        <v>42.69</v>
      </c>
      <c r="P452" s="6">
        <v>0</v>
      </c>
      <c r="Q452" s="4" t="s">
        <v>26</v>
      </c>
      <c r="R452" s="4">
        <v>0</v>
      </c>
      <c r="S452" s="4" t="s">
        <v>193</v>
      </c>
      <c r="T452" s="4" t="s">
        <v>434</v>
      </c>
      <c r="U452" s="4">
        <v>0</v>
      </c>
      <c r="V452" s="4">
        <v>6</v>
      </c>
      <c r="W452" s="4">
        <v>61</v>
      </c>
    </row>
    <row r="453" spans="1:23" ht="11.25" customHeight="1" x14ac:dyDescent="0.3">
      <c r="A453" s="4" t="s">
        <v>28</v>
      </c>
      <c r="B453" s="4" t="s">
        <v>39</v>
      </c>
      <c r="C453" s="4" t="s">
        <v>41</v>
      </c>
      <c r="D453" s="4" t="s">
        <v>46</v>
      </c>
      <c r="E453" s="4" t="s">
        <v>25</v>
      </c>
      <c r="F453" s="4" t="s">
        <v>25</v>
      </c>
      <c r="G453" s="4" t="s">
        <v>25</v>
      </c>
      <c r="H453" s="4" t="s">
        <v>35</v>
      </c>
      <c r="I453" s="5">
        <v>44501</v>
      </c>
      <c r="J453" s="6">
        <v>0</v>
      </c>
      <c r="K453" s="6">
        <v>0</v>
      </c>
      <c r="L453" s="6">
        <v>6.8730000000000002</v>
      </c>
      <c r="M453" s="6">
        <v>6.8730000000000002</v>
      </c>
      <c r="N453" s="6">
        <v>6.8730000000000002</v>
      </c>
      <c r="O453" s="6">
        <v>6.8730000000000002</v>
      </c>
      <c r="P453" s="6">
        <v>0</v>
      </c>
      <c r="Q453" s="4" t="s">
        <v>26</v>
      </c>
      <c r="R453" s="4">
        <v>0</v>
      </c>
      <c r="S453" s="4" t="s">
        <v>193</v>
      </c>
      <c r="T453" s="4" t="s">
        <v>434</v>
      </c>
      <c r="U453" s="4">
        <v>0</v>
      </c>
      <c r="V453" s="4">
        <v>6</v>
      </c>
      <c r="W453" s="4">
        <v>61</v>
      </c>
    </row>
    <row r="454" spans="1:23" ht="11.25" customHeight="1" x14ac:dyDescent="0.3">
      <c r="A454" s="4" t="s">
        <v>21</v>
      </c>
      <c r="B454" s="4" t="s">
        <v>39</v>
      </c>
      <c r="C454" s="4" t="s">
        <v>41</v>
      </c>
      <c r="D454" s="4" t="s">
        <v>46</v>
      </c>
      <c r="E454" s="4" t="s">
        <v>25</v>
      </c>
      <c r="F454" s="4" t="s">
        <v>25</v>
      </c>
      <c r="G454" s="4" t="s">
        <v>25</v>
      </c>
      <c r="H454" s="4" t="s">
        <v>35</v>
      </c>
      <c r="I454" s="5">
        <v>44531</v>
      </c>
      <c r="J454" s="6">
        <v>0</v>
      </c>
      <c r="K454" s="6">
        <v>0</v>
      </c>
      <c r="L454" s="6">
        <v>43.225999999999999</v>
      </c>
      <c r="M454" s="6">
        <v>43.225999999999999</v>
      </c>
      <c r="N454" s="6">
        <v>43.225999999999999</v>
      </c>
      <c r="O454" s="6">
        <v>43.225999999999999</v>
      </c>
      <c r="P454" s="6">
        <v>0</v>
      </c>
      <c r="Q454" s="4" t="s">
        <v>26</v>
      </c>
      <c r="R454" s="4">
        <v>0</v>
      </c>
      <c r="S454" s="4" t="s">
        <v>194</v>
      </c>
      <c r="T454" s="4" t="s">
        <v>435</v>
      </c>
      <c r="U454" s="4">
        <v>0</v>
      </c>
      <c r="V454" s="4">
        <v>6</v>
      </c>
      <c r="W454" s="4">
        <v>61</v>
      </c>
    </row>
    <row r="455" spans="1:23" ht="11.25" customHeight="1" x14ac:dyDescent="0.3">
      <c r="A455" s="4" t="s">
        <v>28</v>
      </c>
      <c r="B455" s="4" t="s">
        <v>39</v>
      </c>
      <c r="C455" s="4" t="s">
        <v>41</v>
      </c>
      <c r="D455" s="4" t="s">
        <v>46</v>
      </c>
      <c r="E455" s="4" t="s">
        <v>25</v>
      </c>
      <c r="F455" s="4" t="s">
        <v>25</v>
      </c>
      <c r="G455" s="4" t="s">
        <v>25</v>
      </c>
      <c r="H455" s="4" t="s">
        <v>35</v>
      </c>
      <c r="I455" s="5">
        <v>44531</v>
      </c>
      <c r="J455" s="6">
        <v>0</v>
      </c>
      <c r="K455" s="6">
        <v>0</v>
      </c>
      <c r="L455" s="6">
        <v>5.0629999999999997</v>
      </c>
      <c r="M455" s="6">
        <v>5.0629999999999997</v>
      </c>
      <c r="N455" s="6">
        <v>5.0629999999999997</v>
      </c>
      <c r="O455" s="6">
        <v>5.0629999999999997</v>
      </c>
      <c r="P455" s="6">
        <v>0</v>
      </c>
      <c r="Q455" s="4" t="s">
        <v>26</v>
      </c>
      <c r="R455" s="4">
        <v>0</v>
      </c>
      <c r="S455" s="4" t="s">
        <v>194</v>
      </c>
      <c r="T455" s="4" t="s">
        <v>435</v>
      </c>
      <c r="U455" s="4">
        <v>0</v>
      </c>
      <c r="V455" s="4">
        <v>6</v>
      </c>
      <c r="W455" s="4">
        <v>61</v>
      </c>
    </row>
    <row r="456" spans="1:23" ht="11.25" customHeight="1" x14ac:dyDescent="0.3">
      <c r="A456" s="4" t="s">
        <v>21</v>
      </c>
      <c r="B456" s="4" t="s">
        <v>39</v>
      </c>
      <c r="C456" s="4" t="s">
        <v>41</v>
      </c>
      <c r="D456" s="4" t="s">
        <v>46</v>
      </c>
      <c r="E456" s="4" t="s">
        <v>25</v>
      </c>
      <c r="F456" s="4" t="s">
        <v>25</v>
      </c>
      <c r="G456" s="4" t="s">
        <v>25</v>
      </c>
      <c r="H456" s="4" t="s">
        <v>35</v>
      </c>
      <c r="I456" s="5">
        <v>44562</v>
      </c>
      <c r="J456" s="6">
        <v>0</v>
      </c>
      <c r="K456" s="6">
        <v>0</v>
      </c>
      <c r="L456" s="6">
        <v>41.533000000000001</v>
      </c>
      <c r="M456" s="6">
        <v>41.533000000000001</v>
      </c>
      <c r="N456" s="6">
        <v>41.533000000000001</v>
      </c>
      <c r="O456" s="6">
        <v>41.533000000000001</v>
      </c>
      <c r="P456" s="6">
        <v>0</v>
      </c>
      <c r="Q456" s="4" t="s">
        <v>26</v>
      </c>
      <c r="R456" s="4">
        <v>0</v>
      </c>
      <c r="S456" s="4" t="s">
        <v>195</v>
      </c>
      <c r="T456" s="4" t="s">
        <v>436</v>
      </c>
      <c r="U456" s="4">
        <v>0</v>
      </c>
      <c r="V456" s="4">
        <v>6</v>
      </c>
      <c r="W456" s="4">
        <v>61</v>
      </c>
    </row>
    <row r="457" spans="1:23" ht="11.25" customHeight="1" x14ac:dyDescent="0.3">
      <c r="A457" s="4" t="s">
        <v>28</v>
      </c>
      <c r="B457" s="4" t="s">
        <v>39</v>
      </c>
      <c r="C457" s="4" t="s">
        <v>41</v>
      </c>
      <c r="D457" s="4" t="s">
        <v>46</v>
      </c>
      <c r="E457" s="4" t="s">
        <v>25</v>
      </c>
      <c r="F457" s="4" t="s">
        <v>25</v>
      </c>
      <c r="G457" s="4" t="s">
        <v>25</v>
      </c>
      <c r="H457" s="4" t="s">
        <v>35</v>
      </c>
      <c r="I457" s="5">
        <v>44562</v>
      </c>
      <c r="J457" s="6">
        <v>0</v>
      </c>
      <c r="K457" s="6">
        <v>0</v>
      </c>
      <c r="L457" s="6">
        <v>5.0999999999999996</v>
      </c>
      <c r="M457" s="6">
        <v>5.0999999999999996</v>
      </c>
      <c r="N457" s="6">
        <v>5.0999999999999996</v>
      </c>
      <c r="O457" s="6">
        <v>5.0999999999999996</v>
      </c>
      <c r="P457" s="6">
        <v>0</v>
      </c>
      <c r="Q457" s="4" t="s">
        <v>26</v>
      </c>
      <c r="R457" s="4">
        <v>0</v>
      </c>
      <c r="S457" s="4" t="s">
        <v>195</v>
      </c>
      <c r="T457" s="4" t="s">
        <v>436</v>
      </c>
      <c r="U457" s="4">
        <v>0</v>
      </c>
      <c r="V457" s="4">
        <v>6</v>
      </c>
      <c r="W457" s="4">
        <v>61</v>
      </c>
    </row>
    <row r="458" spans="1:23" ht="11.25" customHeight="1" x14ac:dyDescent="0.3">
      <c r="A458" s="4" t="s">
        <v>21</v>
      </c>
      <c r="B458" s="4" t="s">
        <v>39</v>
      </c>
      <c r="C458" s="4" t="s">
        <v>41</v>
      </c>
      <c r="D458" s="4" t="s">
        <v>46</v>
      </c>
      <c r="E458" s="4" t="s">
        <v>25</v>
      </c>
      <c r="F458" s="4" t="s">
        <v>25</v>
      </c>
      <c r="G458" s="4" t="s">
        <v>25</v>
      </c>
      <c r="H458" s="4" t="s">
        <v>35</v>
      </c>
      <c r="I458" s="5">
        <v>44593</v>
      </c>
      <c r="J458" s="6">
        <v>0</v>
      </c>
      <c r="K458" s="6">
        <v>0</v>
      </c>
      <c r="L458" s="6">
        <v>40.228999999999999</v>
      </c>
      <c r="M458" s="6">
        <v>40.228999999999999</v>
      </c>
      <c r="N458" s="6">
        <v>40.228999999999999</v>
      </c>
      <c r="O458" s="6">
        <v>40.228999999999999</v>
      </c>
      <c r="P458" s="6">
        <v>0</v>
      </c>
      <c r="Q458" s="4" t="s">
        <v>26</v>
      </c>
      <c r="R458" s="4">
        <v>0</v>
      </c>
      <c r="S458" s="4" t="s">
        <v>196</v>
      </c>
      <c r="T458" s="4" t="s">
        <v>437</v>
      </c>
      <c r="U458" s="4">
        <v>0</v>
      </c>
      <c r="V458" s="4">
        <v>6</v>
      </c>
      <c r="W458" s="4">
        <v>61</v>
      </c>
    </row>
    <row r="459" spans="1:23" ht="11.25" customHeight="1" x14ac:dyDescent="0.3">
      <c r="A459" s="4" t="s">
        <v>28</v>
      </c>
      <c r="B459" s="4" t="s">
        <v>39</v>
      </c>
      <c r="C459" s="4" t="s">
        <v>41</v>
      </c>
      <c r="D459" s="4" t="s">
        <v>46</v>
      </c>
      <c r="E459" s="4" t="s">
        <v>25</v>
      </c>
      <c r="F459" s="4" t="s">
        <v>25</v>
      </c>
      <c r="G459" s="4" t="s">
        <v>25</v>
      </c>
      <c r="H459" s="4" t="s">
        <v>35</v>
      </c>
      <c r="I459" s="5">
        <v>44593</v>
      </c>
      <c r="J459" s="6">
        <v>0</v>
      </c>
      <c r="K459" s="6">
        <v>0</v>
      </c>
      <c r="L459" s="6">
        <v>5.3650000000000002</v>
      </c>
      <c r="M459" s="6">
        <v>5.3650000000000002</v>
      </c>
      <c r="N459" s="6">
        <v>5.3650000000000002</v>
      </c>
      <c r="O459" s="6">
        <v>5.3650000000000002</v>
      </c>
      <c r="P459" s="6">
        <v>0</v>
      </c>
      <c r="Q459" s="4" t="s">
        <v>26</v>
      </c>
      <c r="R459" s="4">
        <v>0</v>
      </c>
      <c r="S459" s="4" t="s">
        <v>196</v>
      </c>
      <c r="T459" s="4" t="s">
        <v>437</v>
      </c>
      <c r="U459" s="4">
        <v>0</v>
      </c>
      <c r="V459" s="4">
        <v>6</v>
      </c>
      <c r="W459" s="4">
        <v>61</v>
      </c>
    </row>
    <row r="460" spans="1:23" ht="11.25" customHeight="1" x14ac:dyDescent="0.3">
      <c r="A460" s="4" t="s">
        <v>21</v>
      </c>
      <c r="B460" s="4" t="s">
        <v>39</v>
      </c>
      <c r="C460" s="4" t="s">
        <v>41</v>
      </c>
      <c r="D460" s="4" t="s">
        <v>46</v>
      </c>
      <c r="E460" s="4" t="s">
        <v>25</v>
      </c>
      <c r="F460" s="4" t="s">
        <v>25</v>
      </c>
      <c r="G460" s="4" t="s">
        <v>25</v>
      </c>
      <c r="H460" s="4" t="s">
        <v>35</v>
      </c>
      <c r="I460" s="5">
        <v>44621</v>
      </c>
      <c r="J460" s="6">
        <v>0</v>
      </c>
      <c r="K460" s="6">
        <v>0</v>
      </c>
      <c r="L460" s="6">
        <v>41.337000000000003</v>
      </c>
      <c r="M460" s="6">
        <v>41.337000000000003</v>
      </c>
      <c r="N460" s="6">
        <v>41.337000000000003</v>
      </c>
      <c r="O460" s="6">
        <v>41.337000000000003</v>
      </c>
      <c r="P460" s="6">
        <v>0</v>
      </c>
      <c r="Q460" s="4" t="s">
        <v>26</v>
      </c>
      <c r="R460" s="4">
        <v>0</v>
      </c>
      <c r="S460" s="4" t="s">
        <v>197</v>
      </c>
      <c r="T460" s="4" t="s">
        <v>438</v>
      </c>
      <c r="U460" s="4">
        <v>0</v>
      </c>
      <c r="V460" s="4">
        <v>6</v>
      </c>
      <c r="W460" s="4">
        <v>61</v>
      </c>
    </row>
    <row r="461" spans="1:23" ht="11.25" customHeight="1" x14ac:dyDescent="0.3">
      <c r="A461" s="4" t="s">
        <v>28</v>
      </c>
      <c r="B461" s="4" t="s">
        <v>39</v>
      </c>
      <c r="C461" s="4" t="s">
        <v>41</v>
      </c>
      <c r="D461" s="4" t="s">
        <v>46</v>
      </c>
      <c r="E461" s="4" t="s">
        <v>25</v>
      </c>
      <c r="F461" s="4" t="s">
        <v>25</v>
      </c>
      <c r="G461" s="4" t="s">
        <v>25</v>
      </c>
      <c r="H461" s="4" t="s">
        <v>35</v>
      </c>
      <c r="I461" s="5">
        <v>44621</v>
      </c>
      <c r="J461" s="6">
        <v>0</v>
      </c>
      <c r="K461" s="6">
        <v>0</v>
      </c>
      <c r="L461" s="6">
        <v>4.3250000000000002</v>
      </c>
      <c r="M461" s="6">
        <v>4.3250000000000002</v>
      </c>
      <c r="N461" s="6">
        <v>4.3250000000000002</v>
      </c>
      <c r="O461" s="6">
        <v>4.3250000000000002</v>
      </c>
      <c r="P461" s="6">
        <v>0</v>
      </c>
      <c r="Q461" s="4" t="s">
        <v>26</v>
      </c>
      <c r="R461" s="4">
        <v>0</v>
      </c>
      <c r="S461" s="4" t="s">
        <v>197</v>
      </c>
      <c r="T461" s="4" t="s">
        <v>438</v>
      </c>
      <c r="U461" s="4">
        <v>0</v>
      </c>
      <c r="V461" s="4">
        <v>6</v>
      </c>
      <c r="W461" s="4">
        <v>61</v>
      </c>
    </row>
    <row r="462" spans="1:23" ht="11.25" customHeight="1" x14ac:dyDescent="0.3">
      <c r="A462" s="4" t="s">
        <v>21</v>
      </c>
      <c r="B462" s="4" t="s">
        <v>39</v>
      </c>
      <c r="C462" s="4" t="s">
        <v>41</v>
      </c>
      <c r="D462" s="4" t="s">
        <v>46</v>
      </c>
      <c r="E462" s="4" t="s">
        <v>25</v>
      </c>
      <c r="F462" s="4" t="s">
        <v>25</v>
      </c>
      <c r="G462" s="4" t="s">
        <v>25</v>
      </c>
      <c r="H462" s="4" t="s">
        <v>35</v>
      </c>
      <c r="I462" s="5">
        <v>44652</v>
      </c>
      <c r="J462" s="6">
        <v>0</v>
      </c>
      <c r="K462" s="6">
        <v>0</v>
      </c>
      <c r="L462" s="6">
        <v>50.235999999999997</v>
      </c>
      <c r="M462" s="6">
        <v>50.235999999999997</v>
      </c>
      <c r="N462" s="6">
        <v>50.235999999999997</v>
      </c>
      <c r="O462" s="6">
        <v>50.235999999999997</v>
      </c>
      <c r="P462" s="6">
        <v>0</v>
      </c>
      <c r="Q462" s="4" t="s">
        <v>26</v>
      </c>
      <c r="R462" s="4">
        <v>0</v>
      </c>
      <c r="S462" s="4" t="s">
        <v>198</v>
      </c>
      <c r="T462" s="4" t="s">
        <v>439</v>
      </c>
      <c r="U462" s="4">
        <v>0</v>
      </c>
      <c r="V462" s="4">
        <v>6</v>
      </c>
      <c r="W462" s="4">
        <v>61</v>
      </c>
    </row>
    <row r="463" spans="1:23" ht="11.25" customHeight="1" x14ac:dyDescent="0.3">
      <c r="A463" s="4" t="s">
        <v>28</v>
      </c>
      <c r="B463" s="4" t="s">
        <v>39</v>
      </c>
      <c r="C463" s="4" t="s">
        <v>41</v>
      </c>
      <c r="D463" s="4" t="s">
        <v>46</v>
      </c>
      <c r="E463" s="4" t="s">
        <v>25</v>
      </c>
      <c r="F463" s="4" t="s">
        <v>25</v>
      </c>
      <c r="G463" s="4" t="s">
        <v>25</v>
      </c>
      <c r="H463" s="4" t="s">
        <v>35</v>
      </c>
      <c r="I463" s="5">
        <v>44652</v>
      </c>
      <c r="J463" s="6">
        <v>0</v>
      </c>
      <c r="K463" s="6">
        <v>0</v>
      </c>
      <c r="L463" s="6">
        <v>6.0019999999999998</v>
      </c>
      <c r="M463" s="6">
        <v>6.0019999999999998</v>
      </c>
      <c r="N463" s="6">
        <v>6.0019999999999998</v>
      </c>
      <c r="O463" s="6">
        <v>6.0019999999999998</v>
      </c>
      <c r="P463" s="6">
        <v>0</v>
      </c>
      <c r="Q463" s="4" t="s">
        <v>26</v>
      </c>
      <c r="R463" s="4">
        <v>0</v>
      </c>
      <c r="S463" s="4" t="s">
        <v>198</v>
      </c>
      <c r="T463" s="4" t="s">
        <v>439</v>
      </c>
      <c r="U463" s="4">
        <v>0</v>
      </c>
      <c r="V463" s="4">
        <v>6</v>
      </c>
      <c r="W463" s="4">
        <v>61</v>
      </c>
    </row>
    <row r="464" spans="1:23" ht="11.25" customHeight="1" x14ac:dyDescent="0.3">
      <c r="A464" s="4" t="s">
        <v>21</v>
      </c>
      <c r="B464" s="4" t="s">
        <v>39</v>
      </c>
      <c r="C464" s="4" t="s">
        <v>41</v>
      </c>
      <c r="D464" s="4" t="s">
        <v>46</v>
      </c>
      <c r="E464" s="4" t="s">
        <v>25</v>
      </c>
      <c r="F464" s="4" t="s">
        <v>25</v>
      </c>
      <c r="G464" s="4" t="s">
        <v>25</v>
      </c>
      <c r="H464" s="4" t="s">
        <v>35</v>
      </c>
      <c r="I464" s="5">
        <v>44682</v>
      </c>
      <c r="J464" s="6">
        <v>0</v>
      </c>
      <c r="K464" s="6">
        <v>0</v>
      </c>
      <c r="L464" s="6">
        <v>45.79</v>
      </c>
      <c r="M464" s="6">
        <v>45.79</v>
      </c>
      <c r="N464" s="6">
        <v>45.79</v>
      </c>
      <c r="O464" s="6">
        <v>45.79</v>
      </c>
      <c r="P464" s="6">
        <v>0</v>
      </c>
      <c r="Q464" s="4" t="s">
        <v>26</v>
      </c>
      <c r="R464" s="4">
        <v>0</v>
      </c>
      <c r="S464" s="4" t="s">
        <v>199</v>
      </c>
      <c r="T464" s="4" t="s">
        <v>440</v>
      </c>
      <c r="U464" s="4">
        <v>0</v>
      </c>
      <c r="V464" s="4">
        <v>6</v>
      </c>
      <c r="W464" s="4">
        <v>61</v>
      </c>
    </row>
    <row r="465" spans="1:23" ht="11.25" customHeight="1" x14ac:dyDescent="0.3">
      <c r="A465" s="4" t="s">
        <v>28</v>
      </c>
      <c r="B465" s="4" t="s">
        <v>39</v>
      </c>
      <c r="C465" s="4" t="s">
        <v>41</v>
      </c>
      <c r="D465" s="4" t="s">
        <v>46</v>
      </c>
      <c r="E465" s="4" t="s">
        <v>25</v>
      </c>
      <c r="F465" s="4" t="s">
        <v>25</v>
      </c>
      <c r="G465" s="4" t="s">
        <v>25</v>
      </c>
      <c r="H465" s="4" t="s">
        <v>35</v>
      </c>
      <c r="I465" s="5">
        <v>44682</v>
      </c>
      <c r="J465" s="6">
        <v>0</v>
      </c>
      <c r="K465" s="6">
        <v>0</v>
      </c>
      <c r="L465" s="6">
        <v>5.968</v>
      </c>
      <c r="M465" s="6">
        <v>5.968</v>
      </c>
      <c r="N465" s="6">
        <v>5.968</v>
      </c>
      <c r="O465" s="6">
        <v>5.968</v>
      </c>
      <c r="P465" s="6">
        <v>0</v>
      </c>
      <c r="Q465" s="4" t="s">
        <v>26</v>
      </c>
      <c r="R465" s="4">
        <v>0</v>
      </c>
      <c r="S465" s="4" t="s">
        <v>199</v>
      </c>
      <c r="T465" s="4" t="s">
        <v>440</v>
      </c>
      <c r="U465" s="4">
        <v>0</v>
      </c>
      <c r="V465" s="4">
        <v>6</v>
      </c>
      <c r="W465" s="4">
        <v>61</v>
      </c>
    </row>
    <row r="466" spans="1:23" ht="11.25" customHeight="1" x14ac:dyDescent="0.3">
      <c r="A466" s="4" t="s">
        <v>21</v>
      </c>
      <c r="B466" s="4" t="s">
        <v>39</v>
      </c>
      <c r="C466" s="4" t="s">
        <v>41</v>
      </c>
      <c r="D466" s="4" t="s">
        <v>46</v>
      </c>
      <c r="E466" s="4" t="s">
        <v>25</v>
      </c>
      <c r="F466" s="4" t="s">
        <v>25</v>
      </c>
      <c r="G466" s="4" t="s">
        <v>25</v>
      </c>
      <c r="H466" s="4" t="s">
        <v>35</v>
      </c>
      <c r="I466" s="5">
        <v>44713</v>
      </c>
      <c r="J466" s="6">
        <v>0</v>
      </c>
      <c r="K466" s="6">
        <v>0</v>
      </c>
      <c r="L466" s="6">
        <v>47.131999999999998</v>
      </c>
      <c r="M466" s="6">
        <v>47.131999999999998</v>
      </c>
      <c r="N466" s="6">
        <v>47.131999999999998</v>
      </c>
      <c r="O466" s="6">
        <v>47.131999999999998</v>
      </c>
      <c r="P466" s="6">
        <v>0</v>
      </c>
      <c r="Q466" s="4" t="s">
        <v>26</v>
      </c>
      <c r="R466" s="4">
        <v>0</v>
      </c>
      <c r="S466" s="4" t="s">
        <v>200</v>
      </c>
      <c r="T466" s="4" t="s">
        <v>441</v>
      </c>
      <c r="U466" s="4">
        <v>0</v>
      </c>
      <c r="V466" s="4">
        <v>6</v>
      </c>
      <c r="W466" s="4">
        <v>61</v>
      </c>
    </row>
    <row r="467" spans="1:23" ht="11.25" customHeight="1" x14ac:dyDescent="0.3">
      <c r="A467" s="4" t="s">
        <v>28</v>
      </c>
      <c r="B467" s="4" t="s">
        <v>39</v>
      </c>
      <c r="C467" s="4" t="s">
        <v>41</v>
      </c>
      <c r="D467" s="4" t="s">
        <v>46</v>
      </c>
      <c r="E467" s="4" t="s">
        <v>25</v>
      </c>
      <c r="F467" s="4" t="s">
        <v>25</v>
      </c>
      <c r="G467" s="4" t="s">
        <v>25</v>
      </c>
      <c r="H467" s="4" t="s">
        <v>35</v>
      </c>
      <c r="I467" s="5">
        <v>44713</v>
      </c>
      <c r="J467" s="6">
        <v>0</v>
      </c>
      <c r="K467" s="6">
        <v>0</v>
      </c>
      <c r="L467" s="6">
        <v>7.9249999999999998</v>
      </c>
      <c r="M467" s="6">
        <v>7.9249999999999998</v>
      </c>
      <c r="N467" s="6">
        <v>7.9249999999999998</v>
      </c>
      <c r="O467" s="6">
        <v>7.9249999999999998</v>
      </c>
      <c r="P467" s="6">
        <v>0</v>
      </c>
      <c r="Q467" s="4" t="s">
        <v>26</v>
      </c>
      <c r="R467" s="4">
        <v>0</v>
      </c>
      <c r="S467" s="4" t="s">
        <v>200</v>
      </c>
      <c r="T467" s="4" t="s">
        <v>441</v>
      </c>
      <c r="U467" s="4">
        <v>0</v>
      </c>
      <c r="V467" s="4">
        <v>6</v>
      </c>
      <c r="W467" s="4">
        <v>61</v>
      </c>
    </row>
    <row r="468" spans="1:23" ht="11.25" customHeight="1" x14ac:dyDescent="0.3">
      <c r="A468" s="4" t="s">
        <v>21</v>
      </c>
      <c r="B468" s="4" t="s">
        <v>39</v>
      </c>
      <c r="C468" s="4" t="s">
        <v>41</v>
      </c>
      <c r="D468" s="4" t="s">
        <v>46</v>
      </c>
      <c r="E468" s="4" t="s">
        <v>25</v>
      </c>
      <c r="F468" s="4" t="s">
        <v>25</v>
      </c>
      <c r="G468" s="4" t="s">
        <v>25</v>
      </c>
      <c r="H468" s="4" t="s">
        <v>35</v>
      </c>
      <c r="I468" s="5">
        <v>44743</v>
      </c>
      <c r="J468" s="6">
        <v>0</v>
      </c>
      <c r="K468" s="6">
        <v>0</v>
      </c>
      <c r="L468" s="6">
        <v>46.232999999999997</v>
      </c>
      <c r="M468" s="6">
        <v>46.232999999999997</v>
      </c>
      <c r="N468" s="6">
        <v>46.232999999999997</v>
      </c>
      <c r="O468" s="6">
        <v>46.232999999999997</v>
      </c>
      <c r="P468" s="6">
        <v>0</v>
      </c>
      <c r="Q468" s="4" t="s">
        <v>26</v>
      </c>
      <c r="R468" s="4">
        <v>0</v>
      </c>
      <c r="S468" s="4" t="s">
        <v>201</v>
      </c>
      <c r="T468" s="4" t="s">
        <v>442</v>
      </c>
      <c r="U468" s="4">
        <v>0</v>
      </c>
      <c r="V468" s="4">
        <v>6</v>
      </c>
      <c r="W468" s="4">
        <v>61</v>
      </c>
    </row>
    <row r="469" spans="1:23" ht="11.25" customHeight="1" x14ac:dyDescent="0.3">
      <c r="A469" s="4" t="s">
        <v>21</v>
      </c>
      <c r="B469" s="4" t="s">
        <v>39</v>
      </c>
      <c r="C469" s="4" t="s">
        <v>41</v>
      </c>
      <c r="D469" s="4" t="s">
        <v>46</v>
      </c>
      <c r="E469" s="4" t="s">
        <v>25</v>
      </c>
      <c r="F469" s="4" t="s">
        <v>25</v>
      </c>
      <c r="G469" s="4" t="s">
        <v>25</v>
      </c>
      <c r="H469" s="4" t="s">
        <v>35</v>
      </c>
      <c r="I469" s="5">
        <v>44774</v>
      </c>
      <c r="J469" s="6">
        <v>0</v>
      </c>
      <c r="K469" s="6">
        <v>0</v>
      </c>
      <c r="L469" s="6">
        <v>46.384</v>
      </c>
      <c r="M469" s="6">
        <v>46.384</v>
      </c>
      <c r="N469" s="6">
        <v>46.384</v>
      </c>
      <c r="O469" s="6">
        <v>46.384</v>
      </c>
      <c r="P469" s="6">
        <v>0</v>
      </c>
      <c r="Q469" s="4" t="s">
        <v>26</v>
      </c>
      <c r="R469" s="4">
        <v>0</v>
      </c>
      <c r="S469" s="4" t="s">
        <v>202</v>
      </c>
      <c r="T469" s="4" t="s">
        <v>443</v>
      </c>
      <c r="U469" s="4">
        <v>0</v>
      </c>
      <c r="V469" s="4">
        <v>6</v>
      </c>
      <c r="W469" s="4">
        <v>61</v>
      </c>
    </row>
    <row r="470" spans="1:23" ht="11.25" customHeight="1" x14ac:dyDescent="0.3">
      <c r="A470" s="4" t="s">
        <v>28</v>
      </c>
      <c r="B470" s="4" t="s">
        <v>39</v>
      </c>
      <c r="C470" s="4" t="s">
        <v>41</v>
      </c>
      <c r="D470" s="4" t="s">
        <v>46</v>
      </c>
      <c r="E470" s="4" t="s">
        <v>25</v>
      </c>
      <c r="F470" s="4" t="s">
        <v>25</v>
      </c>
      <c r="G470" s="4" t="s">
        <v>25</v>
      </c>
      <c r="H470" s="4" t="s">
        <v>35</v>
      </c>
      <c r="I470" s="5">
        <v>44774</v>
      </c>
      <c r="J470" s="6">
        <v>0</v>
      </c>
      <c r="K470" s="6">
        <v>0</v>
      </c>
      <c r="L470" s="6">
        <v>12.36</v>
      </c>
      <c r="M470" s="6">
        <v>12.36</v>
      </c>
      <c r="N470" s="6">
        <v>12.36</v>
      </c>
      <c r="O470" s="6">
        <v>12.36</v>
      </c>
      <c r="P470" s="6">
        <v>0</v>
      </c>
      <c r="Q470" s="4" t="s">
        <v>26</v>
      </c>
      <c r="R470" s="4">
        <v>0</v>
      </c>
      <c r="S470" s="4" t="s">
        <v>202</v>
      </c>
      <c r="T470" s="4" t="s">
        <v>443</v>
      </c>
      <c r="U470" s="4">
        <v>0</v>
      </c>
      <c r="V470" s="4">
        <v>6</v>
      </c>
      <c r="W470" s="4">
        <v>61</v>
      </c>
    </row>
    <row r="471" spans="1:23" ht="11.25" customHeight="1" x14ac:dyDescent="0.3">
      <c r="A471" s="4" t="s">
        <v>21</v>
      </c>
      <c r="B471" s="4" t="s">
        <v>39</v>
      </c>
      <c r="C471" s="4" t="s">
        <v>41</v>
      </c>
      <c r="D471" s="4" t="s">
        <v>46</v>
      </c>
      <c r="E471" s="4" t="s">
        <v>25</v>
      </c>
      <c r="F471" s="4" t="s">
        <v>25</v>
      </c>
      <c r="G471" s="4" t="s">
        <v>25</v>
      </c>
      <c r="H471" s="4" t="s">
        <v>35</v>
      </c>
      <c r="I471" s="5">
        <v>44805</v>
      </c>
      <c r="J471" s="6">
        <v>0</v>
      </c>
      <c r="K471" s="6">
        <v>0</v>
      </c>
      <c r="L471" s="6">
        <v>47.414000000000001</v>
      </c>
      <c r="M471" s="6">
        <v>47.414000000000001</v>
      </c>
      <c r="N471" s="6">
        <v>47.414000000000001</v>
      </c>
      <c r="O471" s="6">
        <v>47.414000000000001</v>
      </c>
      <c r="P471" s="6">
        <v>0</v>
      </c>
      <c r="Q471" s="4" t="s">
        <v>26</v>
      </c>
      <c r="R471" s="4">
        <v>0</v>
      </c>
      <c r="S471" s="4" t="s">
        <v>203</v>
      </c>
      <c r="T471" s="4" t="s">
        <v>444</v>
      </c>
      <c r="U471" s="4">
        <v>0</v>
      </c>
      <c r="V471" s="4">
        <v>6</v>
      </c>
      <c r="W471" s="4">
        <v>61</v>
      </c>
    </row>
    <row r="472" spans="1:23" ht="11.25" customHeight="1" x14ac:dyDescent="0.3">
      <c r="A472" s="4" t="s">
        <v>28</v>
      </c>
      <c r="B472" s="4" t="s">
        <v>39</v>
      </c>
      <c r="C472" s="4" t="s">
        <v>41</v>
      </c>
      <c r="D472" s="4" t="s">
        <v>46</v>
      </c>
      <c r="E472" s="4" t="s">
        <v>25</v>
      </c>
      <c r="F472" s="4" t="s">
        <v>25</v>
      </c>
      <c r="G472" s="4" t="s">
        <v>25</v>
      </c>
      <c r="H472" s="4" t="s">
        <v>35</v>
      </c>
      <c r="I472" s="5">
        <v>44805</v>
      </c>
      <c r="J472" s="6">
        <v>0</v>
      </c>
      <c r="K472" s="6">
        <v>0</v>
      </c>
      <c r="L472" s="6">
        <v>13.048999999999999</v>
      </c>
      <c r="M472" s="6">
        <v>13.048999999999999</v>
      </c>
      <c r="N472" s="6">
        <v>13.048999999999999</v>
      </c>
      <c r="O472" s="6">
        <v>13.048999999999999</v>
      </c>
      <c r="P472" s="6">
        <v>0</v>
      </c>
      <c r="Q472" s="4" t="s">
        <v>26</v>
      </c>
      <c r="R472" s="4">
        <v>0</v>
      </c>
      <c r="S472" s="4" t="s">
        <v>203</v>
      </c>
      <c r="T472" s="4" t="s">
        <v>444</v>
      </c>
      <c r="U472" s="4">
        <v>0</v>
      </c>
      <c r="V472" s="4">
        <v>6</v>
      </c>
      <c r="W472" s="4">
        <v>61</v>
      </c>
    </row>
    <row r="473" spans="1:23" ht="11.25" customHeight="1" x14ac:dyDescent="0.3">
      <c r="A473" s="4" t="s">
        <v>53</v>
      </c>
      <c r="B473" s="4" t="s">
        <v>39</v>
      </c>
      <c r="C473" s="4" t="s">
        <v>41</v>
      </c>
      <c r="D473" s="4" t="s">
        <v>46</v>
      </c>
      <c r="E473" s="4" t="s">
        <v>25</v>
      </c>
      <c r="F473" s="4" t="s">
        <v>25</v>
      </c>
      <c r="G473" s="4" t="s">
        <v>25</v>
      </c>
      <c r="H473" s="4" t="s">
        <v>35</v>
      </c>
      <c r="I473" s="5">
        <v>44835</v>
      </c>
      <c r="J473" s="6">
        <v>0</v>
      </c>
      <c r="K473" s="6">
        <v>0</v>
      </c>
      <c r="L473" s="6">
        <v>47.414000000000001</v>
      </c>
      <c r="M473" s="6">
        <v>47.414000000000001</v>
      </c>
      <c r="N473" s="6">
        <v>47.414000000000001</v>
      </c>
      <c r="O473" s="6">
        <v>47.414000000000001</v>
      </c>
      <c r="P473" s="6">
        <v>0</v>
      </c>
      <c r="Q473" s="4" t="s">
        <v>26</v>
      </c>
      <c r="R473" s="4">
        <v>0</v>
      </c>
      <c r="S473" s="4" t="s">
        <v>204</v>
      </c>
      <c r="T473" s="4" t="s">
        <v>445</v>
      </c>
      <c r="U473" s="4">
        <v>0</v>
      </c>
      <c r="V473" s="4">
        <v>6</v>
      </c>
      <c r="W473" s="4">
        <v>61</v>
      </c>
    </row>
    <row r="474" spans="1:23" ht="11.25" customHeight="1" x14ac:dyDescent="0.3">
      <c r="A474" s="4" t="s">
        <v>53</v>
      </c>
      <c r="B474" s="4" t="s">
        <v>39</v>
      </c>
      <c r="C474" s="4" t="s">
        <v>41</v>
      </c>
      <c r="D474" s="4" t="s">
        <v>46</v>
      </c>
      <c r="E474" s="4" t="s">
        <v>25</v>
      </c>
      <c r="F474" s="4" t="s">
        <v>25</v>
      </c>
      <c r="G474" s="4" t="s">
        <v>25</v>
      </c>
      <c r="H474" s="4" t="s">
        <v>35</v>
      </c>
      <c r="I474" s="5">
        <v>44835</v>
      </c>
      <c r="J474" s="6">
        <v>0</v>
      </c>
      <c r="K474" s="6">
        <v>0</v>
      </c>
      <c r="L474" s="6">
        <v>13.048999999999999</v>
      </c>
      <c r="M474" s="6">
        <v>13.048999999999999</v>
      </c>
      <c r="N474" s="6">
        <v>13.048999999999999</v>
      </c>
      <c r="O474" s="6">
        <v>13.048999999999999</v>
      </c>
      <c r="P474" s="6">
        <v>0</v>
      </c>
      <c r="Q474" s="4" t="s">
        <v>26</v>
      </c>
      <c r="R474" s="4">
        <v>0</v>
      </c>
      <c r="S474" s="4" t="s">
        <v>204</v>
      </c>
      <c r="T474" s="4" t="s">
        <v>445</v>
      </c>
      <c r="U474" s="4">
        <v>0</v>
      </c>
      <c r="V474" s="4">
        <v>6</v>
      </c>
      <c r="W474" s="4">
        <v>61</v>
      </c>
    </row>
    <row r="475" spans="1:23" ht="11.25" customHeight="1" x14ac:dyDescent="0.3">
      <c r="A475" s="4" t="s">
        <v>21</v>
      </c>
      <c r="B475" s="4" t="s">
        <v>39</v>
      </c>
      <c r="C475" s="4" t="s">
        <v>41</v>
      </c>
      <c r="D475" s="4" t="s">
        <v>46</v>
      </c>
      <c r="E475" s="4" t="s">
        <v>25</v>
      </c>
      <c r="F475" s="4" t="s">
        <v>25</v>
      </c>
      <c r="G475" s="4" t="s">
        <v>25</v>
      </c>
      <c r="H475" s="4" t="s">
        <v>25</v>
      </c>
      <c r="I475" s="5">
        <v>44501</v>
      </c>
      <c r="J475" s="6">
        <v>559</v>
      </c>
      <c r="K475" s="6">
        <v>559</v>
      </c>
      <c r="L475" s="6">
        <v>0</v>
      </c>
      <c r="M475" s="6">
        <v>0</v>
      </c>
      <c r="N475" s="6">
        <v>0</v>
      </c>
      <c r="O475" s="6">
        <v>0</v>
      </c>
      <c r="P475" s="6">
        <v>12</v>
      </c>
      <c r="Q475" s="4" t="s">
        <v>26</v>
      </c>
      <c r="R475" s="4">
        <v>0</v>
      </c>
      <c r="S475" s="4" t="s">
        <v>205</v>
      </c>
      <c r="U475" s="4">
        <v>20</v>
      </c>
      <c r="V475" s="4">
        <v>0</v>
      </c>
      <c r="W475" s="4">
        <v>0</v>
      </c>
    </row>
    <row r="476" spans="1:23" ht="11.25" customHeight="1" x14ac:dyDescent="0.3">
      <c r="A476" s="4" t="s">
        <v>28</v>
      </c>
      <c r="B476" s="4" t="s">
        <v>39</v>
      </c>
      <c r="C476" s="4" t="s">
        <v>41</v>
      </c>
      <c r="D476" s="4" t="s">
        <v>46</v>
      </c>
      <c r="E476" s="4" t="s">
        <v>25</v>
      </c>
      <c r="F476" s="4" t="s">
        <v>25</v>
      </c>
      <c r="G476" s="4" t="s">
        <v>25</v>
      </c>
      <c r="H476" s="4" t="s">
        <v>25</v>
      </c>
      <c r="I476" s="5">
        <v>44501</v>
      </c>
      <c r="J476" s="6">
        <v>240</v>
      </c>
      <c r="K476" s="6">
        <v>240</v>
      </c>
      <c r="L476" s="6">
        <v>0</v>
      </c>
      <c r="M476" s="6">
        <v>0</v>
      </c>
      <c r="N476" s="6">
        <v>0</v>
      </c>
      <c r="O476" s="6">
        <v>0</v>
      </c>
      <c r="P476" s="6">
        <v>2</v>
      </c>
      <c r="Q476" s="4" t="s">
        <v>26</v>
      </c>
      <c r="R476" s="4">
        <v>0</v>
      </c>
      <c r="S476" s="4" t="s">
        <v>205</v>
      </c>
      <c r="U476" s="4">
        <v>20</v>
      </c>
      <c r="V476" s="4">
        <v>0</v>
      </c>
      <c r="W476" s="4">
        <v>0</v>
      </c>
    </row>
    <row r="477" spans="1:23" ht="11.25" customHeight="1" x14ac:dyDescent="0.3">
      <c r="A477" s="4" t="s">
        <v>21</v>
      </c>
      <c r="B477" s="4" t="s">
        <v>39</v>
      </c>
      <c r="C477" s="4" t="s">
        <v>41</v>
      </c>
      <c r="D477" s="4" t="s">
        <v>46</v>
      </c>
      <c r="E477" s="4" t="s">
        <v>25</v>
      </c>
      <c r="F477" s="4" t="s">
        <v>25</v>
      </c>
      <c r="G477" s="4" t="s">
        <v>25</v>
      </c>
      <c r="H477" s="4" t="s">
        <v>25</v>
      </c>
      <c r="I477" s="5">
        <v>44531</v>
      </c>
      <c r="J477" s="6">
        <v>559</v>
      </c>
      <c r="K477" s="6">
        <v>559</v>
      </c>
      <c r="L477" s="6">
        <v>0</v>
      </c>
      <c r="M477" s="6">
        <v>0</v>
      </c>
      <c r="N477" s="6">
        <v>0</v>
      </c>
      <c r="O477" s="6">
        <v>0</v>
      </c>
      <c r="P477" s="6">
        <v>12</v>
      </c>
      <c r="Q477" s="4" t="s">
        <v>26</v>
      </c>
      <c r="R477" s="4">
        <v>0</v>
      </c>
      <c r="S477" s="4" t="s">
        <v>206</v>
      </c>
      <c r="U477" s="4">
        <v>20</v>
      </c>
      <c r="V477" s="4">
        <v>0</v>
      </c>
      <c r="W477" s="4">
        <v>0</v>
      </c>
    </row>
    <row r="478" spans="1:23" ht="11.25" customHeight="1" x14ac:dyDescent="0.3">
      <c r="A478" s="4" t="s">
        <v>28</v>
      </c>
      <c r="B478" s="4" t="s">
        <v>39</v>
      </c>
      <c r="C478" s="4" t="s">
        <v>41</v>
      </c>
      <c r="D478" s="4" t="s">
        <v>46</v>
      </c>
      <c r="E478" s="4" t="s">
        <v>25</v>
      </c>
      <c r="F478" s="4" t="s">
        <v>25</v>
      </c>
      <c r="G478" s="4" t="s">
        <v>25</v>
      </c>
      <c r="H478" s="4" t="s">
        <v>25</v>
      </c>
      <c r="I478" s="5">
        <v>44531</v>
      </c>
      <c r="J478" s="6">
        <v>240</v>
      </c>
      <c r="K478" s="6">
        <v>240</v>
      </c>
      <c r="L478" s="6">
        <v>0</v>
      </c>
      <c r="M478" s="6">
        <v>0</v>
      </c>
      <c r="N478" s="6">
        <v>0</v>
      </c>
      <c r="O478" s="6">
        <v>0</v>
      </c>
      <c r="P478" s="6">
        <v>2</v>
      </c>
      <c r="Q478" s="4" t="s">
        <v>26</v>
      </c>
      <c r="R478" s="4">
        <v>0</v>
      </c>
      <c r="S478" s="4" t="s">
        <v>206</v>
      </c>
      <c r="U478" s="4">
        <v>20</v>
      </c>
      <c r="V478" s="4">
        <v>0</v>
      </c>
      <c r="W478" s="4">
        <v>0</v>
      </c>
    </row>
    <row r="479" spans="1:23" ht="11.25" customHeight="1" x14ac:dyDescent="0.3">
      <c r="A479" s="4" t="s">
        <v>21</v>
      </c>
      <c r="B479" s="4" t="s">
        <v>39</v>
      </c>
      <c r="C479" s="4" t="s">
        <v>41</v>
      </c>
      <c r="D479" s="4" t="s">
        <v>46</v>
      </c>
      <c r="E479" s="4" t="s">
        <v>25</v>
      </c>
      <c r="F479" s="4" t="s">
        <v>25</v>
      </c>
      <c r="G479" s="4" t="s">
        <v>25</v>
      </c>
      <c r="H479" s="4" t="s">
        <v>25</v>
      </c>
      <c r="I479" s="5">
        <v>44562</v>
      </c>
      <c r="J479" s="6">
        <v>559</v>
      </c>
      <c r="K479" s="6">
        <v>559</v>
      </c>
      <c r="L479" s="6">
        <v>0</v>
      </c>
      <c r="M479" s="6">
        <v>0</v>
      </c>
      <c r="N479" s="6">
        <v>0</v>
      </c>
      <c r="O479" s="6">
        <v>0</v>
      </c>
      <c r="P479" s="6">
        <v>12</v>
      </c>
      <c r="Q479" s="4" t="s">
        <v>26</v>
      </c>
      <c r="R479" s="4">
        <v>0</v>
      </c>
      <c r="S479" s="4" t="s">
        <v>207</v>
      </c>
      <c r="U479" s="4">
        <v>20</v>
      </c>
      <c r="V479" s="4">
        <v>0</v>
      </c>
      <c r="W479" s="4">
        <v>0</v>
      </c>
    </row>
    <row r="480" spans="1:23" ht="11.25" customHeight="1" x14ac:dyDescent="0.3">
      <c r="A480" s="4" t="s">
        <v>28</v>
      </c>
      <c r="B480" s="4" t="s">
        <v>39</v>
      </c>
      <c r="C480" s="4" t="s">
        <v>41</v>
      </c>
      <c r="D480" s="4" t="s">
        <v>46</v>
      </c>
      <c r="E480" s="4" t="s">
        <v>25</v>
      </c>
      <c r="F480" s="4" t="s">
        <v>25</v>
      </c>
      <c r="G480" s="4" t="s">
        <v>25</v>
      </c>
      <c r="H480" s="4" t="s">
        <v>25</v>
      </c>
      <c r="I480" s="5">
        <v>44562</v>
      </c>
      <c r="J480" s="6">
        <v>240</v>
      </c>
      <c r="K480" s="6">
        <v>240</v>
      </c>
      <c r="L480" s="6">
        <v>0</v>
      </c>
      <c r="M480" s="6">
        <v>0</v>
      </c>
      <c r="N480" s="6">
        <v>0</v>
      </c>
      <c r="O480" s="6">
        <v>0</v>
      </c>
      <c r="P480" s="6">
        <v>2</v>
      </c>
      <c r="Q480" s="4" t="s">
        <v>26</v>
      </c>
      <c r="R480" s="4">
        <v>0</v>
      </c>
      <c r="S480" s="4" t="s">
        <v>207</v>
      </c>
      <c r="U480" s="4">
        <v>20</v>
      </c>
      <c r="V480" s="4">
        <v>0</v>
      </c>
      <c r="W480" s="4">
        <v>0</v>
      </c>
    </row>
    <row r="481" spans="1:23" ht="11.25" customHeight="1" x14ac:dyDescent="0.3">
      <c r="A481" s="4" t="s">
        <v>21</v>
      </c>
      <c r="B481" s="4" t="s">
        <v>39</v>
      </c>
      <c r="C481" s="4" t="s">
        <v>41</v>
      </c>
      <c r="D481" s="4" t="s">
        <v>46</v>
      </c>
      <c r="E481" s="4" t="s">
        <v>25</v>
      </c>
      <c r="F481" s="4" t="s">
        <v>25</v>
      </c>
      <c r="G481" s="4" t="s">
        <v>25</v>
      </c>
      <c r="H481" s="4" t="s">
        <v>25</v>
      </c>
      <c r="I481" s="5">
        <v>44593</v>
      </c>
      <c r="J481" s="6">
        <v>562</v>
      </c>
      <c r="K481" s="6">
        <v>562</v>
      </c>
      <c r="L481" s="6">
        <v>0</v>
      </c>
      <c r="M481" s="6">
        <v>0</v>
      </c>
      <c r="N481" s="6">
        <v>0</v>
      </c>
      <c r="O481" s="6">
        <v>0</v>
      </c>
      <c r="P481" s="6">
        <v>12</v>
      </c>
      <c r="Q481" s="4" t="s">
        <v>26</v>
      </c>
      <c r="R481" s="4">
        <v>0</v>
      </c>
      <c r="S481" s="4" t="s">
        <v>208</v>
      </c>
      <c r="U481" s="4">
        <v>20</v>
      </c>
      <c r="V481" s="4">
        <v>0</v>
      </c>
      <c r="W481" s="4">
        <v>0</v>
      </c>
    </row>
    <row r="482" spans="1:23" ht="11.25" customHeight="1" x14ac:dyDescent="0.3">
      <c r="A482" s="4" t="s">
        <v>28</v>
      </c>
      <c r="B482" s="4" t="s">
        <v>39</v>
      </c>
      <c r="C482" s="4" t="s">
        <v>41</v>
      </c>
      <c r="D482" s="4" t="s">
        <v>46</v>
      </c>
      <c r="E482" s="4" t="s">
        <v>25</v>
      </c>
      <c r="F482" s="4" t="s">
        <v>25</v>
      </c>
      <c r="G482" s="4" t="s">
        <v>25</v>
      </c>
      <c r="H482" s="4" t="s">
        <v>25</v>
      </c>
      <c r="I482" s="5">
        <v>44593</v>
      </c>
      <c r="J482" s="6">
        <v>290</v>
      </c>
      <c r="K482" s="6">
        <v>290</v>
      </c>
      <c r="L482" s="6">
        <v>0</v>
      </c>
      <c r="M482" s="6">
        <v>0</v>
      </c>
      <c r="N482" s="6">
        <v>0</v>
      </c>
      <c r="O482" s="6">
        <v>0</v>
      </c>
      <c r="P482" s="6">
        <v>2</v>
      </c>
      <c r="Q482" s="4" t="s">
        <v>26</v>
      </c>
      <c r="R482" s="4">
        <v>0</v>
      </c>
      <c r="S482" s="4" t="s">
        <v>208</v>
      </c>
      <c r="U482" s="4">
        <v>20</v>
      </c>
      <c r="V482" s="4">
        <v>0</v>
      </c>
      <c r="W482" s="4">
        <v>0</v>
      </c>
    </row>
    <row r="483" spans="1:23" ht="11.25" customHeight="1" x14ac:dyDescent="0.3">
      <c r="A483" s="4" t="s">
        <v>21</v>
      </c>
      <c r="B483" s="4" t="s">
        <v>39</v>
      </c>
      <c r="C483" s="4" t="s">
        <v>41</v>
      </c>
      <c r="D483" s="4" t="s">
        <v>46</v>
      </c>
      <c r="E483" s="4" t="s">
        <v>25</v>
      </c>
      <c r="F483" s="4" t="s">
        <v>25</v>
      </c>
      <c r="G483" s="4" t="s">
        <v>25</v>
      </c>
      <c r="H483" s="4" t="s">
        <v>25</v>
      </c>
      <c r="I483" s="5">
        <v>44621</v>
      </c>
      <c r="J483" s="6">
        <v>561</v>
      </c>
      <c r="K483" s="6">
        <v>561</v>
      </c>
      <c r="L483" s="6">
        <v>0</v>
      </c>
      <c r="M483" s="6">
        <v>0</v>
      </c>
      <c r="N483" s="6">
        <v>0</v>
      </c>
      <c r="O483" s="6">
        <v>0</v>
      </c>
      <c r="P483" s="6">
        <v>12</v>
      </c>
      <c r="Q483" s="4" t="s">
        <v>26</v>
      </c>
      <c r="R483" s="4">
        <v>0</v>
      </c>
      <c r="S483" s="4" t="s">
        <v>209</v>
      </c>
      <c r="U483" s="4">
        <v>20</v>
      </c>
      <c r="V483" s="4">
        <v>0</v>
      </c>
      <c r="W483" s="4">
        <v>0</v>
      </c>
    </row>
    <row r="484" spans="1:23" ht="11.25" customHeight="1" x14ac:dyDescent="0.3">
      <c r="A484" s="4" t="s">
        <v>28</v>
      </c>
      <c r="B484" s="4" t="s">
        <v>39</v>
      </c>
      <c r="C484" s="4" t="s">
        <v>41</v>
      </c>
      <c r="D484" s="4" t="s">
        <v>46</v>
      </c>
      <c r="E484" s="4" t="s">
        <v>25</v>
      </c>
      <c r="F484" s="4" t="s">
        <v>25</v>
      </c>
      <c r="G484" s="4" t="s">
        <v>25</v>
      </c>
      <c r="H484" s="4" t="s">
        <v>25</v>
      </c>
      <c r="I484" s="5">
        <v>44621</v>
      </c>
      <c r="J484" s="6">
        <v>290</v>
      </c>
      <c r="K484" s="6">
        <v>290</v>
      </c>
      <c r="L484" s="6">
        <v>0</v>
      </c>
      <c r="M484" s="6">
        <v>0</v>
      </c>
      <c r="N484" s="6">
        <v>0</v>
      </c>
      <c r="O484" s="6">
        <v>0</v>
      </c>
      <c r="P484" s="6">
        <v>2</v>
      </c>
      <c r="Q484" s="4" t="s">
        <v>26</v>
      </c>
      <c r="R484" s="4">
        <v>0</v>
      </c>
      <c r="S484" s="4" t="s">
        <v>209</v>
      </c>
      <c r="U484" s="4">
        <v>20</v>
      </c>
      <c r="V484" s="4">
        <v>0</v>
      </c>
      <c r="W484" s="4">
        <v>0</v>
      </c>
    </row>
    <row r="485" spans="1:23" ht="11.25" customHeight="1" x14ac:dyDescent="0.3">
      <c r="A485" s="4" t="s">
        <v>21</v>
      </c>
      <c r="B485" s="4" t="s">
        <v>39</v>
      </c>
      <c r="C485" s="4" t="s">
        <v>41</v>
      </c>
      <c r="D485" s="4" t="s">
        <v>46</v>
      </c>
      <c r="E485" s="4" t="s">
        <v>25</v>
      </c>
      <c r="F485" s="4" t="s">
        <v>25</v>
      </c>
      <c r="G485" s="4" t="s">
        <v>25</v>
      </c>
      <c r="H485" s="4" t="s">
        <v>25</v>
      </c>
      <c r="I485" s="5">
        <v>44652</v>
      </c>
      <c r="J485" s="6">
        <v>568</v>
      </c>
      <c r="K485" s="6">
        <v>568</v>
      </c>
      <c r="L485" s="6">
        <v>0</v>
      </c>
      <c r="M485" s="6">
        <v>0</v>
      </c>
      <c r="N485" s="6">
        <v>0</v>
      </c>
      <c r="O485" s="6">
        <v>0</v>
      </c>
      <c r="P485" s="6">
        <v>12</v>
      </c>
      <c r="Q485" s="4" t="s">
        <v>26</v>
      </c>
      <c r="R485" s="4">
        <v>0</v>
      </c>
      <c r="S485" s="4" t="s">
        <v>210</v>
      </c>
      <c r="U485" s="4">
        <v>20</v>
      </c>
      <c r="V485" s="4">
        <v>0</v>
      </c>
      <c r="W485" s="4">
        <v>0</v>
      </c>
    </row>
    <row r="486" spans="1:23" ht="11.25" customHeight="1" x14ac:dyDescent="0.3">
      <c r="A486" s="4" t="s">
        <v>28</v>
      </c>
      <c r="B486" s="4" t="s">
        <v>39</v>
      </c>
      <c r="C486" s="4" t="s">
        <v>41</v>
      </c>
      <c r="D486" s="4" t="s">
        <v>46</v>
      </c>
      <c r="E486" s="4" t="s">
        <v>25</v>
      </c>
      <c r="F486" s="4" t="s">
        <v>25</v>
      </c>
      <c r="G486" s="4" t="s">
        <v>25</v>
      </c>
      <c r="H486" s="4" t="s">
        <v>25</v>
      </c>
      <c r="I486" s="5">
        <v>44652</v>
      </c>
      <c r="J486" s="6">
        <v>290</v>
      </c>
      <c r="K486" s="6">
        <v>290</v>
      </c>
      <c r="L486" s="6">
        <v>0</v>
      </c>
      <c r="M486" s="6">
        <v>0</v>
      </c>
      <c r="N486" s="6">
        <v>0</v>
      </c>
      <c r="O486" s="6">
        <v>0</v>
      </c>
      <c r="P486" s="6">
        <v>2</v>
      </c>
      <c r="Q486" s="4" t="s">
        <v>26</v>
      </c>
      <c r="R486" s="4">
        <v>0</v>
      </c>
      <c r="S486" s="4" t="s">
        <v>210</v>
      </c>
      <c r="U486" s="4">
        <v>20</v>
      </c>
      <c r="V486" s="4">
        <v>0</v>
      </c>
      <c r="W486" s="4">
        <v>0</v>
      </c>
    </row>
    <row r="487" spans="1:23" ht="11.25" customHeight="1" x14ac:dyDescent="0.3">
      <c r="A487" s="4" t="s">
        <v>21</v>
      </c>
      <c r="B487" s="4" t="s">
        <v>39</v>
      </c>
      <c r="C487" s="4" t="s">
        <v>41</v>
      </c>
      <c r="D487" s="4" t="s">
        <v>46</v>
      </c>
      <c r="E487" s="4" t="s">
        <v>25</v>
      </c>
      <c r="F487" s="4" t="s">
        <v>25</v>
      </c>
      <c r="G487" s="4" t="s">
        <v>25</v>
      </c>
      <c r="H487" s="4" t="s">
        <v>25</v>
      </c>
      <c r="I487" s="5">
        <v>44682</v>
      </c>
      <c r="J487" s="6">
        <v>565</v>
      </c>
      <c r="K487" s="6">
        <v>565</v>
      </c>
      <c r="L487" s="6">
        <v>0</v>
      </c>
      <c r="M487" s="6">
        <v>0</v>
      </c>
      <c r="N487" s="6">
        <v>0</v>
      </c>
      <c r="O487" s="6">
        <v>0</v>
      </c>
      <c r="P487" s="6">
        <v>12</v>
      </c>
      <c r="Q487" s="4" t="s">
        <v>26</v>
      </c>
      <c r="R487" s="4">
        <v>0</v>
      </c>
      <c r="S487" s="4" t="s">
        <v>211</v>
      </c>
      <c r="U487" s="4">
        <v>20</v>
      </c>
      <c r="V487" s="4">
        <v>0</v>
      </c>
      <c r="W487" s="4">
        <v>0</v>
      </c>
    </row>
    <row r="488" spans="1:23" ht="11.25" customHeight="1" x14ac:dyDescent="0.3">
      <c r="A488" s="4" t="s">
        <v>28</v>
      </c>
      <c r="B488" s="4" t="s">
        <v>39</v>
      </c>
      <c r="C488" s="4" t="s">
        <v>41</v>
      </c>
      <c r="D488" s="4" t="s">
        <v>46</v>
      </c>
      <c r="E488" s="4" t="s">
        <v>25</v>
      </c>
      <c r="F488" s="4" t="s">
        <v>25</v>
      </c>
      <c r="G488" s="4" t="s">
        <v>25</v>
      </c>
      <c r="H488" s="4" t="s">
        <v>25</v>
      </c>
      <c r="I488" s="5">
        <v>44682</v>
      </c>
      <c r="J488" s="6">
        <v>290</v>
      </c>
      <c r="K488" s="6">
        <v>290</v>
      </c>
      <c r="L488" s="6">
        <v>0</v>
      </c>
      <c r="M488" s="6">
        <v>0</v>
      </c>
      <c r="N488" s="6">
        <v>0</v>
      </c>
      <c r="O488" s="6">
        <v>0</v>
      </c>
      <c r="P488" s="6">
        <v>2</v>
      </c>
      <c r="Q488" s="4" t="s">
        <v>26</v>
      </c>
      <c r="R488" s="4">
        <v>0</v>
      </c>
      <c r="S488" s="4" t="s">
        <v>211</v>
      </c>
      <c r="U488" s="4">
        <v>20</v>
      </c>
      <c r="V488" s="4">
        <v>0</v>
      </c>
      <c r="W488" s="4">
        <v>0</v>
      </c>
    </row>
    <row r="489" spans="1:23" ht="11.25" customHeight="1" x14ac:dyDescent="0.3">
      <c r="A489" s="4" t="s">
        <v>21</v>
      </c>
      <c r="B489" s="4" t="s">
        <v>39</v>
      </c>
      <c r="C489" s="4" t="s">
        <v>41</v>
      </c>
      <c r="D489" s="4" t="s">
        <v>46</v>
      </c>
      <c r="E489" s="4" t="s">
        <v>25</v>
      </c>
      <c r="F489" s="4" t="s">
        <v>25</v>
      </c>
      <c r="G489" s="4" t="s">
        <v>25</v>
      </c>
      <c r="H489" s="4" t="s">
        <v>25</v>
      </c>
      <c r="I489" s="5">
        <v>44713</v>
      </c>
      <c r="J489" s="6">
        <v>564</v>
      </c>
      <c r="K489" s="6">
        <v>564</v>
      </c>
      <c r="L489" s="6">
        <v>0</v>
      </c>
      <c r="M489" s="6">
        <v>0</v>
      </c>
      <c r="N489" s="6">
        <v>0</v>
      </c>
      <c r="O489" s="6">
        <v>0</v>
      </c>
      <c r="P489" s="6">
        <v>12</v>
      </c>
      <c r="Q489" s="4" t="s">
        <v>26</v>
      </c>
      <c r="R489" s="4">
        <v>0</v>
      </c>
      <c r="S489" s="4" t="s">
        <v>212</v>
      </c>
      <c r="U489" s="4">
        <v>20</v>
      </c>
      <c r="V489" s="4">
        <v>0</v>
      </c>
      <c r="W489" s="4">
        <v>0</v>
      </c>
    </row>
    <row r="490" spans="1:23" ht="11.25" customHeight="1" x14ac:dyDescent="0.3">
      <c r="A490" s="4" t="s">
        <v>28</v>
      </c>
      <c r="B490" s="4" t="s">
        <v>39</v>
      </c>
      <c r="C490" s="4" t="s">
        <v>41</v>
      </c>
      <c r="D490" s="4" t="s">
        <v>46</v>
      </c>
      <c r="E490" s="4" t="s">
        <v>25</v>
      </c>
      <c r="F490" s="4" t="s">
        <v>25</v>
      </c>
      <c r="G490" s="4" t="s">
        <v>25</v>
      </c>
      <c r="H490" s="4" t="s">
        <v>25</v>
      </c>
      <c r="I490" s="5">
        <v>44713</v>
      </c>
      <c r="J490" s="6">
        <v>290</v>
      </c>
      <c r="K490" s="6">
        <v>290</v>
      </c>
      <c r="L490" s="6">
        <v>0</v>
      </c>
      <c r="M490" s="6">
        <v>0</v>
      </c>
      <c r="N490" s="6">
        <v>0</v>
      </c>
      <c r="O490" s="6">
        <v>0</v>
      </c>
      <c r="P490" s="6">
        <v>2</v>
      </c>
      <c r="Q490" s="4" t="s">
        <v>26</v>
      </c>
      <c r="R490" s="4">
        <v>0</v>
      </c>
      <c r="S490" s="4" t="s">
        <v>212</v>
      </c>
      <c r="U490" s="4">
        <v>20</v>
      </c>
      <c r="V490" s="4">
        <v>0</v>
      </c>
      <c r="W490" s="4">
        <v>0</v>
      </c>
    </row>
    <row r="491" spans="1:23" ht="11.25" customHeight="1" x14ac:dyDescent="0.3">
      <c r="A491" s="4" t="s">
        <v>21</v>
      </c>
      <c r="B491" s="4" t="s">
        <v>39</v>
      </c>
      <c r="C491" s="4" t="s">
        <v>41</v>
      </c>
      <c r="D491" s="4" t="s">
        <v>46</v>
      </c>
      <c r="E491" s="4" t="s">
        <v>25</v>
      </c>
      <c r="F491" s="4" t="s">
        <v>25</v>
      </c>
      <c r="G491" s="4" t="s">
        <v>25</v>
      </c>
      <c r="H491" s="4" t="s">
        <v>25</v>
      </c>
      <c r="I491" s="5">
        <v>44743</v>
      </c>
      <c r="J491" s="6">
        <v>559</v>
      </c>
      <c r="K491" s="6">
        <v>559</v>
      </c>
      <c r="L491" s="6">
        <v>0</v>
      </c>
      <c r="M491" s="6">
        <v>0</v>
      </c>
      <c r="N491" s="6">
        <v>0</v>
      </c>
      <c r="O491" s="6">
        <v>0</v>
      </c>
      <c r="P491" s="6">
        <v>12</v>
      </c>
      <c r="Q491" s="4" t="s">
        <v>26</v>
      </c>
      <c r="R491" s="4">
        <v>0</v>
      </c>
      <c r="S491" s="4" t="s">
        <v>213</v>
      </c>
      <c r="U491" s="4">
        <v>20</v>
      </c>
      <c r="V491" s="4">
        <v>0</v>
      </c>
      <c r="W491" s="4">
        <v>0</v>
      </c>
    </row>
    <row r="492" spans="1:23" ht="11.25" customHeight="1" x14ac:dyDescent="0.3">
      <c r="A492" s="4" t="s">
        <v>21</v>
      </c>
      <c r="B492" s="4" t="s">
        <v>39</v>
      </c>
      <c r="C492" s="4" t="s">
        <v>41</v>
      </c>
      <c r="D492" s="4" t="s">
        <v>46</v>
      </c>
      <c r="E492" s="4" t="s">
        <v>25</v>
      </c>
      <c r="F492" s="4" t="s">
        <v>25</v>
      </c>
      <c r="G492" s="4" t="s">
        <v>25</v>
      </c>
      <c r="H492" s="4" t="s">
        <v>25</v>
      </c>
      <c r="I492" s="5">
        <v>44774</v>
      </c>
      <c r="J492" s="6">
        <v>559</v>
      </c>
      <c r="K492" s="6">
        <v>559</v>
      </c>
      <c r="L492" s="6">
        <v>0</v>
      </c>
      <c r="M492" s="6">
        <v>0</v>
      </c>
      <c r="N492" s="6">
        <v>0</v>
      </c>
      <c r="O492" s="6">
        <v>0</v>
      </c>
      <c r="P492" s="6">
        <v>12</v>
      </c>
      <c r="Q492" s="4" t="s">
        <v>26</v>
      </c>
      <c r="R492" s="4">
        <v>0</v>
      </c>
      <c r="S492" s="4" t="s">
        <v>214</v>
      </c>
      <c r="U492" s="4">
        <v>20</v>
      </c>
      <c r="V492" s="4">
        <v>0</v>
      </c>
      <c r="W492" s="4">
        <v>0</v>
      </c>
    </row>
    <row r="493" spans="1:23" ht="11.25" customHeight="1" x14ac:dyDescent="0.3">
      <c r="A493" s="4" t="s">
        <v>28</v>
      </c>
      <c r="B493" s="4" t="s">
        <v>39</v>
      </c>
      <c r="C493" s="4" t="s">
        <v>41</v>
      </c>
      <c r="D493" s="4" t="s">
        <v>46</v>
      </c>
      <c r="E493" s="4" t="s">
        <v>25</v>
      </c>
      <c r="F493" s="4" t="s">
        <v>25</v>
      </c>
      <c r="G493" s="4" t="s">
        <v>25</v>
      </c>
      <c r="H493" s="4" t="s">
        <v>25</v>
      </c>
      <c r="I493" s="5">
        <v>44774</v>
      </c>
      <c r="J493" s="6">
        <v>290</v>
      </c>
      <c r="K493" s="6">
        <v>290</v>
      </c>
      <c r="L493" s="6">
        <v>0</v>
      </c>
      <c r="M493" s="6">
        <v>0</v>
      </c>
      <c r="N493" s="6">
        <v>0</v>
      </c>
      <c r="O493" s="6">
        <v>0</v>
      </c>
      <c r="P493" s="6">
        <v>2</v>
      </c>
      <c r="Q493" s="4" t="s">
        <v>26</v>
      </c>
      <c r="R493" s="4">
        <v>0</v>
      </c>
      <c r="S493" s="4" t="s">
        <v>214</v>
      </c>
      <c r="U493" s="4">
        <v>20</v>
      </c>
      <c r="V493" s="4">
        <v>0</v>
      </c>
      <c r="W493" s="4">
        <v>0</v>
      </c>
    </row>
    <row r="494" spans="1:23" ht="11.25" customHeight="1" x14ac:dyDescent="0.3">
      <c r="A494" s="4" t="s">
        <v>21</v>
      </c>
      <c r="B494" s="4" t="s">
        <v>39</v>
      </c>
      <c r="C494" s="4" t="s">
        <v>41</v>
      </c>
      <c r="D494" s="4" t="s">
        <v>46</v>
      </c>
      <c r="E494" s="4" t="s">
        <v>25</v>
      </c>
      <c r="F494" s="4" t="s">
        <v>25</v>
      </c>
      <c r="G494" s="4" t="s">
        <v>25</v>
      </c>
      <c r="H494" s="4" t="s">
        <v>25</v>
      </c>
      <c r="I494" s="5">
        <v>44805</v>
      </c>
      <c r="J494" s="6">
        <v>559</v>
      </c>
      <c r="K494" s="6">
        <v>559</v>
      </c>
      <c r="L494" s="6">
        <v>0</v>
      </c>
      <c r="M494" s="6">
        <v>0</v>
      </c>
      <c r="N494" s="6">
        <v>0</v>
      </c>
      <c r="O494" s="6">
        <v>0</v>
      </c>
      <c r="P494" s="6">
        <v>12</v>
      </c>
      <c r="Q494" s="4" t="s">
        <v>26</v>
      </c>
      <c r="R494" s="4">
        <v>0</v>
      </c>
      <c r="S494" s="4" t="s">
        <v>215</v>
      </c>
      <c r="U494" s="4">
        <v>20</v>
      </c>
      <c r="V494" s="4">
        <v>0</v>
      </c>
      <c r="W494" s="4">
        <v>0</v>
      </c>
    </row>
    <row r="495" spans="1:23" ht="11.25" customHeight="1" x14ac:dyDescent="0.3">
      <c r="A495" s="4" t="s">
        <v>28</v>
      </c>
      <c r="B495" s="4" t="s">
        <v>39</v>
      </c>
      <c r="C495" s="4" t="s">
        <v>41</v>
      </c>
      <c r="D495" s="4" t="s">
        <v>46</v>
      </c>
      <c r="E495" s="4" t="s">
        <v>25</v>
      </c>
      <c r="F495" s="4" t="s">
        <v>25</v>
      </c>
      <c r="G495" s="4" t="s">
        <v>25</v>
      </c>
      <c r="H495" s="4" t="s">
        <v>25</v>
      </c>
      <c r="I495" s="5">
        <v>44805</v>
      </c>
      <c r="J495" s="6">
        <v>290</v>
      </c>
      <c r="K495" s="6">
        <v>290</v>
      </c>
      <c r="L495" s="6">
        <v>0</v>
      </c>
      <c r="M495" s="6">
        <v>0</v>
      </c>
      <c r="N495" s="6">
        <v>0</v>
      </c>
      <c r="O495" s="6">
        <v>0</v>
      </c>
      <c r="P495" s="6">
        <v>2</v>
      </c>
      <c r="Q495" s="4" t="s">
        <v>26</v>
      </c>
      <c r="R495" s="4">
        <v>0</v>
      </c>
      <c r="S495" s="4" t="s">
        <v>215</v>
      </c>
      <c r="U495" s="4">
        <v>20</v>
      </c>
      <c r="V495" s="4">
        <v>0</v>
      </c>
      <c r="W495" s="4">
        <v>0</v>
      </c>
    </row>
    <row r="496" spans="1:23" ht="11.25" customHeight="1" x14ac:dyDescent="0.3">
      <c r="A496" s="4" t="s">
        <v>53</v>
      </c>
      <c r="B496" s="4" t="s">
        <v>39</v>
      </c>
      <c r="C496" s="4" t="s">
        <v>41</v>
      </c>
      <c r="D496" s="4" t="s">
        <v>46</v>
      </c>
      <c r="E496" s="4" t="s">
        <v>25</v>
      </c>
      <c r="F496" s="4" t="s">
        <v>25</v>
      </c>
      <c r="G496" s="4" t="s">
        <v>25</v>
      </c>
      <c r="H496" s="4" t="s">
        <v>25</v>
      </c>
      <c r="I496" s="5">
        <v>44835</v>
      </c>
      <c r="J496" s="6">
        <v>559</v>
      </c>
      <c r="K496" s="6">
        <v>559</v>
      </c>
      <c r="L496" s="6">
        <v>0</v>
      </c>
      <c r="M496" s="6">
        <v>0</v>
      </c>
      <c r="N496" s="6">
        <v>0</v>
      </c>
      <c r="O496" s="6">
        <v>0</v>
      </c>
      <c r="P496" s="6">
        <v>12</v>
      </c>
      <c r="Q496" s="4" t="s">
        <v>26</v>
      </c>
      <c r="R496" s="4">
        <v>0</v>
      </c>
      <c r="S496" s="4" t="s">
        <v>216</v>
      </c>
      <c r="U496" s="4">
        <v>20</v>
      </c>
      <c r="V496" s="4">
        <v>0</v>
      </c>
      <c r="W496" s="4">
        <v>0</v>
      </c>
    </row>
    <row r="497" spans="1:23" ht="11.25" customHeight="1" x14ac:dyDescent="0.3">
      <c r="A497" s="4" t="s">
        <v>53</v>
      </c>
      <c r="B497" s="4" t="s">
        <v>39</v>
      </c>
      <c r="C497" s="4" t="s">
        <v>41</v>
      </c>
      <c r="D497" s="4" t="s">
        <v>46</v>
      </c>
      <c r="E497" s="4" t="s">
        <v>25</v>
      </c>
      <c r="F497" s="4" t="s">
        <v>25</v>
      </c>
      <c r="G497" s="4" t="s">
        <v>25</v>
      </c>
      <c r="H497" s="4" t="s">
        <v>25</v>
      </c>
      <c r="I497" s="5">
        <v>44835</v>
      </c>
      <c r="J497" s="6">
        <v>290</v>
      </c>
      <c r="K497" s="6">
        <v>290</v>
      </c>
      <c r="L497" s="6">
        <v>0</v>
      </c>
      <c r="M497" s="6">
        <v>0</v>
      </c>
      <c r="N497" s="6">
        <v>0</v>
      </c>
      <c r="O497" s="6">
        <v>0</v>
      </c>
      <c r="P497" s="6">
        <v>2</v>
      </c>
      <c r="Q497" s="4" t="s">
        <v>26</v>
      </c>
      <c r="R497" s="4">
        <v>0</v>
      </c>
      <c r="S497" s="4" t="s">
        <v>216</v>
      </c>
      <c r="U497" s="4">
        <v>20</v>
      </c>
      <c r="V497" s="4">
        <v>0</v>
      </c>
      <c r="W497" s="4">
        <v>0</v>
      </c>
    </row>
    <row r="498" spans="1:23" ht="11.25" customHeight="1" x14ac:dyDescent="0.3">
      <c r="A498" s="4" t="s">
        <v>21</v>
      </c>
      <c r="B498" s="4" t="s">
        <v>39</v>
      </c>
      <c r="C498" s="4" t="s">
        <v>41</v>
      </c>
      <c r="D498" s="4" t="s">
        <v>46</v>
      </c>
      <c r="E498" s="4" t="s">
        <v>25</v>
      </c>
      <c r="F498" s="4" t="s">
        <v>25</v>
      </c>
      <c r="G498" s="4" t="s">
        <v>25</v>
      </c>
      <c r="H498" s="4" t="s">
        <v>34</v>
      </c>
      <c r="I498" s="5">
        <v>44501</v>
      </c>
      <c r="J498" s="6">
        <v>0</v>
      </c>
      <c r="K498" s="6">
        <v>0</v>
      </c>
      <c r="L498" s="6">
        <v>4.0469999999999997</v>
      </c>
      <c r="M498" s="6">
        <v>4.0469999999999997</v>
      </c>
      <c r="N498" s="6">
        <v>4.0469999999999997</v>
      </c>
      <c r="O498" s="6">
        <v>4.0469999999999997</v>
      </c>
      <c r="P498" s="6">
        <v>0</v>
      </c>
      <c r="Q498" s="4" t="s">
        <v>26</v>
      </c>
      <c r="R498" s="4">
        <v>0</v>
      </c>
      <c r="S498" s="4" t="s">
        <v>217</v>
      </c>
      <c r="T498" s="4" t="s">
        <v>446</v>
      </c>
      <c r="U498" s="4">
        <v>0</v>
      </c>
      <c r="V498" s="4">
        <v>8</v>
      </c>
      <c r="W498" s="4">
        <v>38</v>
      </c>
    </row>
    <row r="499" spans="1:23" ht="11.25" customHeight="1" x14ac:dyDescent="0.3">
      <c r="A499" s="4" t="s">
        <v>28</v>
      </c>
      <c r="B499" s="4" t="s">
        <v>39</v>
      </c>
      <c r="C499" s="4" t="s">
        <v>41</v>
      </c>
      <c r="D499" s="4" t="s">
        <v>46</v>
      </c>
      <c r="E499" s="4" t="s">
        <v>25</v>
      </c>
      <c r="F499" s="4" t="s">
        <v>25</v>
      </c>
      <c r="G499" s="4" t="s">
        <v>25</v>
      </c>
      <c r="H499" s="4" t="s">
        <v>34</v>
      </c>
      <c r="I499" s="5">
        <v>44501</v>
      </c>
      <c r="J499" s="6">
        <v>0</v>
      </c>
      <c r="K499" s="6">
        <v>0</v>
      </c>
      <c r="L499" s="6">
        <v>1.3049999999999999</v>
      </c>
      <c r="M499" s="6">
        <v>1.3049999999999999</v>
      </c>
      <c r="N499" s="6">
        <v>1.3049999999999999</v>
      </c>
      <c r="O499" s="6">
        <v>1.3049999999999999</v>
      </c>
      <c r="P499" s="6">
        <v>0</v>
      </c>
      <c r="Q499" s="4" t="s">
        <v>26</v>
      </c>
      <c r="R499" s="4">
        <v>0</v>
      </c>
      <c r="S499" s="4" t="s">
        <v>217</v>
      </c>
      <c r="T499" s="4" t="s">
        <v>446</v>
      </c>
      <c r="U499" s="4">
        <v>0</v>
      </c>
      <c r="V499" s="4">
        <v>8</v>
      </c>
      <c r="W499" s="4">
        <v>38</v>
      </c>
    </row>
    <row r="500" spans="1:23" ht="11.25" customHeight="1" x14ac:dyDescent="0.3">
      <c r="A500" s="4" t="s">
        <v>21</v>
      </c>
      <c r="B500" s="4" t="s">
        <v>39</v>
      </c>
      <c r="C500" s="4" t="s">
        <v>41</v>
      </c>
      <c r="D500" s="4" t="s">
        <v>46</v>
      </c>
      <c r="E500" s="4" t="s">
        <v>25</v>
      </c>
      <c r="F500" s="4" t="s">
        <v>25</v>
      </c>
      <c r="G500" s="4" t="s">
        <v>25</v>
      </c>
      <c r="H500" s="4" t="s">
        <v>34</v>
      </c>
      <c r="I500" s="5">
        <v>44531</v>
      </c>
      <c r="J500" s="6">
        <v>0</v>
      </c>
      <c r="K500" s="6">
        <v>0</v>
      </c>
      <c r="L500" s="6">
        <v>3.786</v>
      </c>
      <c r="M500" s="6">
        <v>3.786</v>
      </c>
      <c r="N500" s="6">
        <v>3.786</v>
      </c>
      <c r="O500" s="6">
        <v>3.786</v>
      </c>
      <c r="P500" s="6">
        <v>0</v>
      </c>
      <c r="Q500" s="4" t="s">
        <v>26</v>
      </c>
      <c r="R500" s="4">
        <v>0</v>
      </c>
      <c r="S500" s="4" t="s">
        <v>218</v>
      </c>
      <c r="T500" s="4" t="s">
        <v>447</v>
      </c>
      <c r="U500" s="4">
        <v>0</v>
      </c>
      <c r="V500" s="4">
        <v>8</v>
      </c>
      <c r="W500" s="4">
        <v>38</v>
      </c>
    </row>
    <row r="501" spans="1:23" ht="11.25" customHeight="1" x14ac:dyDescent="0.3">
      <c r="A501" s="4" t="s">
        <v>28</v>
      </c>
      <c r="B501" s="4" t="s">
        <v>39</v>
      </c>
      <c r="C501" s="4" t="s">
        <v>41</v>
      </c>
      <c r="D501" s="4" t="s">
        <v>46</v>
      </c>
      <c r="E501" s="4" t="s">
        <v>25</v>
      </c>
      <c r="F501" s="4" t="s">
        <v>25</v>
      </c>
      <c r="G501" s="4" t="s">
        <v>25</v>
      </c>
      <c r="H501" s="4" t="s">
        <v>34</v>
      </c>
      <c r="I501" s="5">
        <v>44531</v>
      </c>
      <c r="J501" s="6">
        <v>0</v>
      </c>
      <c r="K501" s="6">
        <v>0</v>
      </c>
      <c r="L501" s="6">
        <v>1.1319999999999999</v>
      </c>
      <c r="M501" s="6">
        <v>1.1319999999999999</v>
      </c>
      <c r="N501" s="6">
        <v>1.1319999999999999</v>
      </c>
      <c r="O501" s="6">
        <v>1.1319999999999999</v>
      </c>
      <c r="P501" s="6">
        <v>0</v>
      </c>
      <c r="Q501" s="4" t="s">
        <v>26</v>
      </c>
      <c r="R501" s="4">
        <v>0</v>
      </c>
      <c r="S501" s="4" t="s">
        <v>218</v>
      </c>
      <c r="T501" s="4" t="s">
        <v>447</v>
      </c>
      <c r="U501" s="4">
        <v>0</v>
      </c>
      <c r="V501" s="4">
        <v>8</v>
      </c>
      <c r="W501" s="4">
        <v>38</v>
      </c>
    </row>
    <row r="502" spans="1:23" ht="11.25" customHeight="1" x14ac:dyDescent="0.3">
      <c r="A502" s="4" t="s">
        <v>21</v>
      </c>
      <c r="B502" s="4" t="s">
        <v>39</v>
      </c>
      <c r="C502" s="4" t="s">
        <v>41</v>
      </c>
      <c r="D502" s="4" t="s">
        <v>46</v>
      </c>
      <c r="E502" s="4" t="s">
        <v>25</v>
      </c>
      <c r="F502" s="4" t="s">
        <v>25</v>
      </c>
      <c r="G502" s="4" t="s">
        <v>25</v>
      </c>
      <c r="H502" s="4" t="s">
        <v>34</v>
      </c>
      <c r="I502" s="5">
        <v>44562</v>
      </c>
      <c r="J502" s="6">
        <v>0</v>
      </c>
      <c r="K502" s="6">
        <v>0</v>
      </c>
      <c r="L502" s="6">
        <v>3.9630000000000001</v>
      </c>
      <c r="M502" s="6">
        <v>3.9630000000000001</v>
      </c>
      <c r="N502" s="6">
        <v>3.9630000000000001</v>
      </c>
      <c r="O502" s="6">
        <v>3.9630000000000001</v>
      </c>
      <c r="P502" s="6">
        <v>0</v>
      </c>
      <c r="Q502" s="4" t="s">
        <v>26</v>
      </c>
      <c r="R502" s="4">
        <v>0</v>
      </c>
      <c r="S502" s="4" t="s">
        <v>219</v>
      </c>
      <c r="T502" s="4" t="s">
        <v>448</v>
      </c>
      <c r="U502" s="4">
        <v>0</v>
      </c>
      <c r="V502" s="4">
        <v>8</v>
      </c>
      <c r="W502" s="4">
        <v>38</v>
      </c>
    </row>
    <row r="503" spans="1:23" ht="11.25" customHeight="1" x14ac:dyDescent="0.3">
      <c r="A503" s="4" t="s">
        <v>28</v>
      </c>
      <c r="B503" s="4" t="s">
        <v>39</v>
      </c>
      <c r="C503" s="4" t="s">
        <v>41</v>
      </c>
      <c r="D503" s="4" t="s">
        <v>46</v>
      </c>
      <c r="E503" s="4" t="s">
        <v>25</v>
      </c>
      <c r="F503" s="4" t="s">
        <v>25</v>
      </c>
      <c r="G503" s="4" t="s">
        <v>25</v>
      </c>
      <c r="H503" s="4" t="s">
        <v>34</v>
      </c>
      <c r="I503" s="5">
        <v>44562</v>
      </c>
      <c r="J503" s="6">
        <v>0</v>
      </c>
      <c r="K503" s="6">
        <v>0</v>
      </c>
      <c r="L503" s="6">
        <v>0.89100000000000001</v>
      </c>
      <c r="M503" s="6">
        <v>0.89100000000000001</v>
      </c>
      <c r="N503" s="6">
        <v>0.89100000000000001</v>
      </c>
      <c r="O503" s="6">
        <v>0.89100000000000001</v>
      </c>
      <c r="P503" s="6">
        <v>0</v>
      </c>
      <c r="Q503" s="4" t="s">
        <v>26</v>
      </c>
      <c r="R503" s="4">
        <v>0</v>
      </c>
      <c r="S503" s="4" t="s">
        <v>219</v>
      </c>
      <c r="T503" s="4" t="s">
        <v>448</v>
      </c>
      <c r="U503" s="4">
        <v>0</v>
      </c>
      <c r="V503" s="4">
        <v>8</v>
      </c>
      <c r="W503" s="4">
        <v>38</v>
      </c>
    </row>
    <row r="504" spans="1:23" ht="11.25" customHeight="1" x14ac:dyDescent="0.3">
      <c r="A504" s="4" t="s">
        <v>21</v>
      </c>
      <c r="B504" s="4" t="s">
        <v>39</v>
      </c>
      <c r="C504" s="4" t="s">
        <v>41</v>
      </c>
      <c r="D504" s="4" t="s">
        <v>46</v>
      </c>
      <c r="E504" s="4" t="s">
        <v>25</v>
      </c>
      <c r="F504" s="4" t="s">
        <v>25</v>
      </c>
      <c r="G504" s="4" t="s">
        <v>25</v>
      </c>
      <c r="H504" s="4" t="s">
        <v>34</v>
      </c>
      <c r="I504" s="5">
        <v>44593</v>
      </c>
      <c r="J504" s="6">
        <v>0</v>
      </c>
      <c r="K504" s="6">
        <v>0</v>
      </c>
      <c r="L504" s="6">
        <v>3.8090000000000002</v>
      </c>
      <c r="M504" s="6">
        <v>3.8090000000000002</v>
      </c>
      <c r="N504" s="6">
        <v>3.8090000000000002</v>
      </c>
      <c r="O504" s="6">
        <v>3.8090000000000002</v>
      </c>
      <c r="P504" s="6">
        <v>0</v>
      </c>
      <c r="Q504" s="4" t="s">
        <v>26</v>
      </c>
      <c r="R504" s="4">
        <v>0</v>
      </c>
      <c r="S504" s="4" t="s">
        <v>220</v>
      </c>
      <c r="T504" s="4" t="s">
        <v>449</v>
      </c>
      <c r="U504" s="4">
        <v>0</v>
      </c>
      <c r="V504" s="4">
        <v>8</v>
      </c>
      <c r="W504" s="4">
        <v>38</v>
      </c>
    </row>
    <row r="505" spans="1:23" ht="11.25" customHeight="1" x14ac:dyDescent="0.3">
      <c r="A505" s="4" t="s">
        <v>28</v>
      </c>
      <c r="B505" s="4" t="s">
        <v>39</v>
      </c>
      <c r="C505" s="4" t="s">
        <v>41</v>
      </c>
      <c r="D505" s="4" t="s">
        <v>46</v>
      </c>
      <c r="E505" s="4" t="s">
        <v>25</v>
      </c>
      <c r="F505" s="4" t="s">
        <v>25</v>
      </c>
      <c r="G505" s="4" t="s">
        <v>25</v>
      </c>
      <c r="H505" s="4" t="s">
        <v>34</v>
      </c>
      <c r="I505" s="5">
        <v>44593</v>
      </c>
      <c r="J505" s="6">
        <v>0</v>
      </c>
      <c r="K505" s="6">
        <v>0</v>
      </c>
      <c r="L505" s="6">
        <v>0.66700000000000004</v>
      </c>
      <c r="M505" s="6">
        <v>0.66700000000000004</v>
      </c>
      <c r="N505" s="6">
        <v>0.66700000000000004</v>
      </c>
      <c r="O505" s="6">
        <v>0.66700000000000004</v>
      </c>
      <c r="P505" s="6">
        <v>0</v>
      </c>
      <c r="Q505" s="4" t="s">
        <v>26</v>
      </c>
      <c r="R505" s="4">
        <v>0</v>
      </c>
      <c r="S505" s="4" t="s">
        <v>220</v>
      </c>
      <c r="T505" s="4" t="s">
        <v>449</v>
      </c>
      <c r="U505" s="4">
        <v>0</v>
      </c>
      <c r="V505" s="4">
        <v>8</v>
      </c>
      <c r="W505" s="4">
        <v>38</v>
      </c>
    </row>
    <row r="506" spans="1:23" ht="11.25" customHeight="1" x14ac:dyDescent="0.3">
      <c r="A506" s="4" t="s">
        <v>21</v>
      </c>
      <c r="B506" s="4" t="s">
        <v>39</v>
      </c>
      <c r="C506" s="4" t="s">
        <v>41</v>
      </c>
      <c r="D506" s="4" t="s">
        <v>46</v>
      </c>
      <c r="E506" s="4" t="s">
        <v>25</v>
      </c>
      <c r="F506" s="4" t="s">
        <v>25</v>
      </c>
      <c r="G506" s="4" t="s">
        <v>25</v>
      </c>
      <c r="H506" s="4" t="s">
        <v>34</v>
      </c>
      <c r="I506" s="5">
        <v>44621</v>
      </c>
      <c r="J506" s="6">
        <v>0</v>
      </c>
      <c r="K506" s="6">
        <v>0</v>
      </c>
      <c r="L506" s="6">
        <v>4.0229999999999997</v>
      </c>
      <c r="M506" s="6">
        <v>4.0229999999999997</v>
      </c>
      <c r="N506" s="6">
        <v>4.0229999999999997</v>
      </c>
      <c r="O506" s="6">
        <v>4.0229999999999997</v>
      </c>
      <c r="P506" s="6">
        <v>0</v>
      </c>
      <c r="Q506" s="4" t="s">
        <v>26</v>
      </c>
      <c r="R506" s="4">
        <v>0</v>
      </c>
      <c r="S506" s="4" t="s">
        <v>221</v>
      </c>
      <c r="T506" s="4" t="s">
        <v>450</v>
      </c>
      <c r="U506" s="4">
        <v>0</v>
      </c>
      <c r="V506" s="4">
        <v>8</v>
      </c>
      <c r="W506" s="4">
        <v>38</v>
      </c>
    </row>
    <row r="507" spans="1:23" ht="11.25" customHeight="1" x14ac:dyDescent="0.3">
      <c r="A507" s="4" t="s">
        <v>28</v>
      </c>
      <c r="B507" s="4" t="s">
        <v>39</v>
      </c>
      <c r="C507" s="4" t="s">
        <v>41</v>
      </c>
      <c r="D507" s="4" t="s">
        <v>46</v>
      </c>
      <c r="E507" s="4" t="s">
        <v>25</v>
      </c>
      <c r="F507" s="4" t="s">
        <v>25</v>
      </c>
      <c r="G507" s="4" t="s">
        <v>25</v>
      </c>
      <c r="H507" s="4" t="s">
        <v>34</v>
      </c>
      <c r="I507" s="5">
        <v>44621</v>
      </c>
      <c r="J507" s="6">
        <v>0</v>
      </c>
      <c r="K507" s="6">
        <v>0</v>
      </c>
      <c r="L507" s="6">
        <v>1.0129999999999999</v>
      </c>
      <c r="M507" s="6">
        <v>1.0129999999999999</v>
      </c>
      <c r="N507" s="6">
        <v>1.0129999999999999</v>
      </c>
      <c r="O507" s="6">
        <v>1.0129999999999999</v>
      </c>
      <c r="P507" s="6">
        <v>0</v>
      </c>
      <c r="Q507" s="4" t="s">
        <v>26</v>
      </c>
      <c r="R507" s="4">
        <v>0</v>
      </c>
      <c r="S507" s="4" t="s">
        <v>221</v>
      </c>
      <c r="T507" s="4" t="s">
        <v>450</v>
      </c>
      <c r="U507" s="4">
        <v>0</v>
      </c>
      <c r="V507" s="4">
        <v>8</v>
      </c>
      <c r="W507" s="4">
        <v>38</v>
      </c>
    </row>
    <row r="508" spans="1:23" ht="11.25" customHeight="1" x14ac:dyDescent="0.3">
      <c r="A508" s="4" t="s">
        <v>21</v>
      </c>
      <c r="B508" s="4" t="s">
        <v>39</v>
      </c>
      <c r="C508" s="4" t="s">
        <v>41</v>
      </c>
      <c r="D508" s="4" t="s">
        <v>46</v>
      </c>
      <c r="E508" s="4" t="s">
        <v>25</v>
      </c>
      <c r="F508" s="4" t="s">
        <v>25</v>
      </c>
      <c r="G508" s="4" t="s">
        <v>25</v>
      </c>
      <c r="H508" s="4" t="s">
        <v>34</v>
      </c>
      <c r="I508" s="5">
        <v>44652</v>
      </c>
      <c r="J508" s="6">
        <v>0</v>
      </c>
      <c r="K508" s="6">
        <v>0</v>
      </c>
      <c r="L508" s="6">
        <v>4.7590000000000003</v>
      </c>
      <c r="M508" s="6">
        <v>4.7590000000000003</v>
      </c>
      <c r="N508" s="6">
        <v>4.7590000000000003</v>
      </c>
      <c r="O508" s="6">
        <v>4.7590000000000003</v>
      </c>
      <c r="P508" s="6">
        <v>0</v>
      </c>
      <c r="Q508" s="4" t="s">
        <v>26</v>
      </c>
      <c r="R508" s="4">
        <v>0</v>
      </c>
      <c r="S508" s="4" t="s">
        <v>222</v>
      </c>
      <c r="T508" s="4" t="s">
        <v>451</v>
      </c>
      <c r="U508" s="4">
        <v>0</v>
      </c>
      <c r="V508" s="4">
        <v>8</v>
      </c>
      <c r="W508" s="4">
        <v>38</v>
      </c>
    </row>
    <row r="509" spans="1:23" ht="11.25" customHeight="1" x14ac:dyDescent="0.3">
      <c r="A509" s="4" t="s">
        <v>28</v>
      </c>
      <c r="B509" s="4" t="s">
        <v>39</v>
      </c>
      <c r="C509" s="4" t="s">
        <v>41</v>
      </c>
      <c r="D509" s="4" t="s">
        <v>46</v>
      </c>
      <c r="E509" s="4" t="s">
        <v>25</v>
      </c>
      <c r="F509" s="4" t="s">
        <v>25</v>
      </c>
      <c r="G509" s="4" t="s">
        <v>25</v>
      </c>
      <c r="H509" s="4" t="s">
        <v>34</v>
      </c>
      <c r="I509" s="5">
        <v>44652</v>
      </c>
      <c r="J509" s="6">
        <v>0</v>
      </c>
      <c r="K509" s="6">
        <v>0</v>
      </c>
      <c r="L509" s="6">
        <v>1.726</v>
      </c>
      <c r="M509" s="6">
        <v>1.726</v>
      </c>
      <c r="N509" s="6">
        <v>1.726</v>
      </c>
      <c r="O509" s="6">
        <v>1.726</v>
      </c>
      <c r="P509" s="6">
        <v>0</v>
      </c>
      <c r="Q509" s="4" t="s">
        <v>26</v>
      </c>
      <c r="R509" s="4">
        <v>0</v>
      </c>
      <c r="S509" s="4" t="s">
        <v>222</v>
      </c>
      <c r="T509" s="4" t="s">
        <v>451</v>
      </c>
      <c r="U509" s="4">
        <v>0</v>
      </c>
      <c r="V509" s="4">
        <v>8</v>
      </c>
      <c r="W509" s="4">
        <v>38</v>
      </c>
    </row>
    <row r="510" spans="1:23" ht="11.25" customHeight="1" x14ac:dyDescent="0.3">
      <c r="A510" s="4" t="s">
        <v>21</v>
      </c>
      <c r="B510" s="4" t="s">
        <v>39</v>
      </c>
      <c r="C510" s="4" t="s">
        <v>41</v>
      </c>
      <c r="D510" s="4" t="s">
        <v>46</v>
      </c>
      <c r="E510" s="4" t="s">
        <v>25</v>
      </c>
      <c r="F510" s="4" t="s">
        <v>25</v>
      </c>
      <c r="G510" s="4" t="s">
        <v>25</v>
      </c>
      <c r="H510" s="4" t="s">
        <v>34</v>
      </c>
      <c r="I510" s="5">
        <v>44682</v>
      </c>
      <c r="J510" s="6">
        <v>0</v>
      </c>
      <c r="K510" s="6">
        <v>0</v>
      </c>
      <c r="L510" s="6">
        <v>4.3949999999999996</v>
      </c>
      <c r="M510" s="6">
        <v>4.3949999999999996</v>
      </c>
      <c r="N510" s="6">
        <v>4.3949999999999996</v>
      </c>
      <c r="O510" s="6">
        <v>4.3949999999999996</v>
      </c>
      <c r="P510" s="6">
        <v>0</v>
      </c>
      <c r="Q510" s="4" t="s">
        <v>26</v>
      </c>
      <c r="R510" s="4">
        <v>0</v>
      </c>
      <c r="S510" s="4" t="s">
        <v>223</v>
      </c>
      <c r="T510" s="4" t="s">
        <v>452</v>
      </c>
      <c r="U510" s="4">
        <v>0</v>
      </c>
      <c r="V510" s="4">
        <v>8</v>
      </c>
      <c r="W510" s="4">
        <v>38</v>
      </c>
    </row>
    <row r="511" spans="1:23" ht="11.25" customHeight="1" x14ac:dyDescent="0.3">
      <c r="A511" s="4" t="s">
        <v>28</v>
      </c>
      <c r="B511" s="4" t="s">
        <v>39</v>
      </c>
      <c r="C511" s="4" t="s">
        <v>41</v>
      </c>
      <c r="D511" s="4" t="s">
        <v>46</v>
      </c>
      <c r="E511" s="4" t="s">
        <v>25</v>
      </c>
      <c r="F511" s="4" t="s">
        <v>25</v>
      </c>
      <c r="G511" s="4" t="s">
        <v>25</v>
      </c>
      <c r="H511" s="4" t="s">
        <v>34</v>
      </c>
      <c r="I511" s="5">
        <v>44682</v>
      </c>
      <c r="J511" s="6">
        <v>0</v>
      </c>
      <c r="K511" s="6">
        <v>0</v>
      </c>
      <c r="L511" s="6">
        <v>1.68</v>
      </c>
      <c r="M511" s="6">
        <v>1.68</v>
      </c>
      <c r="N511" s="6">
        <v>1.68</v>
      </c>
      <c r="O511" s="6">
        <v>1.68</v>
      </c>
      <c r="P511" s="6">
        <v>0</v>
      </c>
      <c r="Q511" s="4" t="s">
        <v>26</v>
      </c>
      <c r="R511" s="4">
        <v>0</v>
      </c>
      <c r="S511" s="4" t="s">
        <v>223</v>
      </c>
      <c r="T511" s="4" t="s">
        <v>452</v>
      </c>
      <c r="U511" s="4">
        <v>0</v>
      </c>
      <c r="V511" s="4">
        <v>8</v>
      </c>
      <c r="W511" s="4">
        <v>38</v>
      </c>
    </row>
    <row r="512" spans="1:23" ht="11.25" customHeight="1" x14ac:dyDescent="0.3">
      <c r="A512" s="4" t="s">
        <v>21</v>
      </c>
      <c r="B512" s="4" t="s">
        <v>39</v>
      </c>
      <c r="C512" s="4" t="s">
        <v>41</v>
      </c>
      <c r="D512" s="4" t="s">
        <v>46</v>
      </c>
      <c r="E512" s="4" t="s">
        <v>25</v>
      </c>
      <c r="F512" s="4" t="s">
        <v>25</v>
      </c>
      <c r="G512" s="4" t="s">
        <v>25</v>
      </c>
      <c r="H512" s="4" t="s">
        <v>34</v>
      </c>
      <c r="I512" s="5">
        <v>44713</v>
      </c>
      <c r="J512" s="6">
        <v>0</v>
      </c>
      <c r="K512" s="6">
        <v>0</v>
      </c>
      <c r="L512" s="6">
        <v>4.6749999999999998</v>
      </c>
      <c r="M512" s="6">
        <v>4.6749999999999998</v>
      </c>
      <c r="N512" s="6">
        <v>4.6749999999999998</v>
      </c>
      <c r="O512" s="6">
        <v>4.6749999999999998</v>
      </c>
      <c r="P512" s="6">
        <v>0</v>
      </c>
      <c r="Q512" s="4" t="s">
        <v>26</v>
      </c>
      <c r="R512" s="4">
        <v>0</v>
      </c>
      <c r="S512" s="4" t="s">
        <v>224</v>
      </c>
      <c r="T512" s="4" t="s">
        <v>453</v>
      </c>
      <c r="U512" s="4">
        <v>0</v>
      </c>
      <c r="V512" s="4">
        <v>8</v>
      </c>
      <c r="W512" s="4">
        <v>38</v>
      </c>
    </row>
    <row r="513" spans="1:23" ht="11.25" customHeight="1" x14ac:dyDescent="0.3">
      <c r="A513" s="4" t="s">
        <v>28</v>
      </c>
      <c r="B513" s="4" t="s">
        <v>39</v>
      </c>
      <c r="C513" s="4" t="s">
        <v>41</v>
      </c>
      <c r="D513" s="4" t="s">
        <v>46</v>
      </c>
      <c r="E513" s="4" t="s">
        <v>25</v>
      </c>
      <c r="F513" s="4" t="s">
        <v>25</v>
      </c>
      <c r="G513" s="4" t="s">
        <v>25</v>
      </c>
      <c r="H513" s="4" t="s">
        <v>34</v>
      </c>
      <c r="I513" s="5">
        <v>44713</v>
      </c>
      <c r="J513" s="6">
        <v>0</v>
      </c>
      <c r="K513" s="6">
        <v>0</v>
      </c>
      <c r="L513" s="6">
        <v>2.4609999999999999</v>
      </c>
      <c r="M513" s="6">
        <v>2.4609999999999999</v>
      </c>
      <c r="N513" s="6">
        <v>2.4609999999999999</v>
      </c>
      <c r="O513" s="6">
        <v>2.4609999999999999</v>
      </c>
      <c r="P513" s="6">
        <v>0</v>
      </c>
      <c r="Q513" s="4" t="s">
        <v>26</v>
      </c>
      <c r="R513" s="4">
        <v>0</v>
      </c>
      <c r="S513" s="4" t="s">
        <v>224</v>
      </c>
      <c r="T513" s="4" t="s">
        <v>453</v>
      </c>
      <c r="U513" s="4">
        <v>0</v>
      </c>
      <c r="V513" s="4">
        <v>8</v>
      </c>
      <c r="W513" s="4">
        <v>38</v>
      </c>
    </row>
    <row r="514" spans="1:23" ht="11.25" customHeight="1" x14ac:dyDescent="0.3">
      <c r="A514" s="4" t="s">
        <v>21</v>
      </c>
      <c r="B514" s="4" t="s">
        <v>39</v>
      </c>
      <c r="C514" s="4" t="s">
        <v>41</v>
      </c>
      <c r="D514" s="4" t="s">
        <v>46</v>
      </c>
      <c r="E514" s="4" t="s">
        <v>25</v>
      </c>
      <c r="F514" s="4" t="s">
        <v>25</v>
      </c>
      <c r="G514" s="4" t="s">
        <v>25</v>
      </c>
      <c r="H514" s="4" t="s">
        <v>34</v>
      </c>
      <c r="I514" s="5">
        <v>44743</v>
      </c>
      <c r="J514" s="6">
        <v>0</v>
      </c>
      <c r="K514" s="6">
        <v>0</v>
      </c>
      <c r="L514" s="6">
        <v>4.4320000000000004</v>
      </c>
      <c r="M514" s="6">
        <v>4.4320000000000004</v>
      </c>
      <c r="N514" s="6">
        <v>4.4320000000000004</v>
      </c>
      <c r="O514" s="6">
        <v>4.4320000000000004</v>
      </c>
      <c r="P514" s="6">
        <v>0</v>
      </c>
      <c r="Q514" s="4" t="s">
        <v>26</v>
      </c>
      <c r="R514" s="4">
        <v>0</v>
      </c>
      <c r="S514" s="4" t="s">
        <v>225</v>
      </c>
      <c r="T514" s="4" t="s">
        <v>454</v>
      </c>
      <c r="U514" s="4">
        <v>0</v>
      </c>
      <c r="V514" s="4">
        <v>8</v>
      </c>
      <c r="W514" s="4">
        <v>38</v>
      </c>
    </row>
    <row r="515" spans="1:23" ht="11.25" customHeight="1" x14ac:dyDescent="0.3">
      <c r="A515" s="4" t="s">
        <v>21</v>
      </c>
      <c r="B515" s="4" t="s">
        <v>39</v>
      </c>
      <c r="C515" s="4" t="s">
        <v>41</v>
      </c>
      <c r="D515" s="4" t="s">
        <v>46</v>
      </c>
      <c r="E515" s="4" t="s">
        <v>25</v>
      </c>
      <c r="F515" s="4" t="s">
        <v>25</v>
      </c>
      <c r="G515" s="4" t="s">
        <v>25</v>
      </c>
      <c r="H515" s="4" t="s">
        <v>34</v>
      </c>
      <c r="I515" s="5">
        <v>44774</v>
      </c>
      <c r="J515" s="6">
        <v>0</v>
      </c>
      <c r="K515" s="6">
        <v>0</v>
      </c>
      <c r="L515" s="6">
        <v>4.1310000000000002</v>
      </c>
      <c r="M515" s="6">
        <v>4.1310000000000002</v>
      </c>
      <c r="N515" s="6">
        <v>4.1310000000000002</v>
      </c>
      <c r="O515" s="6">
        <v>4.1310000000000002</v>
      </c>
      <c r="P515" s="6">
        <v>0</v>
      </c>
      <c r="Q515" s="4" t="s">
        <v>26</v>
      </c>
      <c r="R515" s="4">
        <v>0</v>
      </c>
      <c r="S515" s="4" t="s">
        <v>226</v>
      </c>
      <c r="T515" s="4" t="s">
        <v>455</v>
      </c>
      <c r="U515" s="4">
        <v>0</v>
      </c>
      <c r="V515" s="4">
        <v>8</v>
      </c>
      <c r="W515" s="4">
        <v>38</v>
      </c>
    </row>
    <row r="516" spans="1:23" ht="11.25" customHeight="1" x14ac:dyDescent="0.3">
      <c r="A516" s="4" t="s">
        <v>28</v>
      </c>
      <c r="B516" s="4" t="s">
        <v>39</v>
      </c>
      <c r="C516" s="4" t="s">
        <v>41</v>
      </c>
      <c r="D516" s="4" t="s">
        <v>46</v>
      </c>
      <c r="E516" s="4" t="s">
        <v>25</v>
      </c>
      <c r="F516" s="4" t="s">
        <v>25</v>
      </c>
      <c r="G516" s="4" t="s">
        <v>25</v>
      </c>
      <c r="H516" s="4" t="s">
        <v>34</v>
      </c>
      <c r="I516" s="5">
        <v>44774</v>
      </c>
      <c r="J516" s="6">
        <v>0</v>
      </c>
      <c r="K516" s="6">
        <v>0</v>
      </c>
      <c r="L516" s="6">
        <v>3.6379999999999999</v>
      </c>
      <c r="M516" s="6">
        <v>3.6379999999999999</v>
      </c>
      <c r="N516" s="6">
        <v>3.6379999999999999</v>
      </c>
      <c r="O516" s="6">
        <v>3.6379999999999999</v>
      </c>
      <c r="P516" s="6">
        <v>0</v>
      </c>
      <c r="Q516" s="4" t="s">
        <v>26</v>
      </c>
      <c r="R516" s="4">
        <v>0</v>
      </c>
      <c r="S516" s="4" t="s">
        <v>226</v>
      </c>
      <c r="T516" s="4" t="s">
        <v>455</v>
      </c>
      <c r="U516" s="4">
        <v>0</v>
      </c>
      <c r="V516" s="4">
        <v>8</v>
      </c>
      <c r="W516" s="4">
        <v>38</v>
      </c>
    </row>
    <row r="517" spans="1:23" ht="11.25" customHeight="1" x14ac:dyDescent="0.3">
      <c r="A517" s="4" t="s">
        <v>21</v>
      </c>
      <c r="B517" s="4" t="s">
        <v>39</v>
      </c>
      <c r="C517" s="4" t="s">
        <v>41</v>
      </c>
      <c r="D517" s="4" t="s">
        <v>46</v>
      </c>
      <c r="E517" s="4" t="s">
        <v>25</v>
      </c>
      <c r="F517" s="4" t="s">
        <v>25</v>
      </c>
      <c r="G517" s="4" t="s">
        <v>25</v>
      </c>
      <c r="H517" s="4" t="s">
        <v>34</v>
      </c>
      <c r="I517" s="5">
        <v>44805</v>
      </c>
      <c r="J517" s="6">
        <v>0</v>
      </c>
      <c r="K517" s="6">
        <v>0</v>
      </c>
      <c r="L517" s="6">
        <v>4.6980000000000004</v>
      </c>
      <c r="M517" s="6">
        <v>4.6980000000000004</v>
      </c>
      <c r="N517" s="6">
        <v>4.6980000000000004</v>
      </c>
      <c r="O517" s="6">
        <v>4.6980000000000004</v>
      </c>
      <c r="P517" s="6">
        <v>0</v>
      </c>
      <c r="Q517" s="4" t="s">
        <v>26</v>
      </c>
      <c r="R517" s="4">
        <v>0</v>
      </c>
      <c r="S517" s="4" t="s">
        <v>227</v>
      </c>
      <c r="T517" s="4" t="s">
        <v>456</v>
      </c>
      <c r="U517" s="4">
        <v>0</v>
      </c>
      <c r="V517" s="4">
        <v>8</v>
      </c>
      <c r="W517" s="4">
        <v>38</v>
      </c>
    </row>
    <row r="518" spans="1:23" ht="11.25" customHeight="1" x14ac:dyDescent="0.3">
      <c r="A518" s="4" t="s">
        <v>28</v>
      </c>
      <c r="B518" s="4" t="s">
        <v>39</v>
      </c>
      <c r="C518" s="4" t="s">
        <v>41</v>
      </c>
      <c r="D518" s="4" t="s">
        <v>46</v>
      </c>
      <c r="E518" s="4" t="s">
        <v>25</v>
      </c>
      <c r="F518" s="4" t="s">
        <v>25</v>
      </c>
      <c r="G518" s="4" t="s">
        <v>25</v>
      </c>
      <c r="H518" s="4" t="s">
        <v>34</v>
      </c>
      <c r="I518" s="5">
        <v>44805</v>
      </c>
      <c r="J518" s="6">
        <v>0</v>
      </c>
      <c r="K518" s="6">
        <v>0</v>
      </c>
      <c r="L518" s="6">
        <v>3.6280000000000001</v>
      </c>
      <c r="M518" s="6">
        <v>3.6280000000000001</v>
      </c>
      <c r="N518" s="6">
        <v>3.6280000000000001</v>
      </c>
      <c r="O518" s="6">
        <v>3.6280000000000001</v>
      </c>
      <c r="P518" s="6">
        <v>0</v>
      </c>
      <c r="Q518" s="4" t="s">
        <v>26</v>
      </c>
      <c r="R518" s="4">
        <v>0</v>
      </c>
      <c r="S518" s="4" t="s">
        <v>227</v>
      </c>
      <c r="T518" s="4" t="s">
        <v>456</v>
      </c>
      <c r="U518" s="4">
        <v>0</v>
      </c>
      <c r="V518" s="4">
        <v>8</v>
      </c>
      <c r="W518" s="4">
        <v>38</v>
      </c>
    </row>
    <row r="519" spans="1:23" ht="11.25" customHeight="1" x14ac:dyDescent="0.3">
      <c r="A519" s="4" t="s">
        <v>53</v>
      </c>
      <c r="B519" s="4" t="s">
        <v>39</v>
      </c>
      <c r="C519" s="4" t="s">
        <v>41</v>
      </c>
      <c r="D519" s="4" t="s">
        <v>46</v>
      </c>
      <c r="E519" s="4" t="s">
        <v>25</v>
      </c>
      <c r="F519" s="4" t="s">
        <v>25</v>
      </c>
      <c r="G519" s="4" t="s">
        <v>25</v>
      </c>
      <c r="H519" s="4" t="s">
        <v>34</v>
      </c>
      <c r="I519" s="5">
        <v>44835</v>
      </c>
      <c r="J519" s="6">
        <v>0</v>
      </c>
      <c r="K519" s="6">
        <v>0</v>
      </c>
      <c r="L519" s="6">
        <v>4.6980000000000004</v>
      </c>
      <c r="M519" s="6">
        <v>4.6980000000000004</v>
      </c>
      <c r="N519" s="6">
        <v>4.6980000000000004</v>
      </c>
      <c r="O519" s="6">
        <v>4.6980000000000004</v>
      </c>
      <c r="P519" s="6">
        <v>0</v>
      </c>
      <c r="Q519" s="4" t="s">
        <v>26</v>
      </c>
      <c r="R519" s="4">
        <v>0</v>
      </c>
      <c r="S519" s="4" t="s">
        <v>228</v>
      </c>
      <c r="T519" s="4" t="s">
        <v>457</v>
      </c>
      <c r="U519" s="4">
        <v>0</v>
      </c>
      <c r="V519" s="4">
        <v>8</v>
      </c>
      <c r="W519" s="4">
        <v>38</v>
      </c>
    </row>
    <row r="520" spans="1:23" ht="11.25" customHeight="1" x14ac:dyDescent="0.3">
      <c r="A520" s="4" t="s">
        <v>53</v>
      </c>
      <c r="B520" s="4" t="s">
        <v>39</v>
      </c>
      <c r="C520" s="4" t="s">
        <v>41</v>
      </c>
      <c r="D520" s="4" t="s">
        <v>46</v>
      </c>
      <c r="E520" s="4" t="s">
        <v>25</v>
      </c>
      <c r="F520" s="4" t="s">
        <v>25</v>
      </c>
      <c r="G520" s="4" t="s">
        <v>25</v>
      </c>
      <c r="H520" s="4" t="s">
        <v>34</v>
      </c>
      <c r="I520" s="5">
        <v>44835</v>
      </c>
      <c r="J520" s="6">
        <v>0</v>
      </c>
      <c r="K520" s="6">
        <v>0</v>
      </c>
      <c r="L520" s="6">
        <v>3.6280000000000001</v>
      </c>
      <c r="M520" s="6">
        <v>3.6280000000000001</v>
      </c>
      <c r="N520" s="6">
        <v>3.6280000000000001</v>
      </c>
      <c r="O520" s="6">
        <v>3.6280000000000001</v>
      </c>
      <c r="P520" s="6">
        <v>0</v>
      </c>
      <c r="Q520" s="4" t="s">
        <v>26</v>
      </c>
      <c r="R520" s="4">
        <v>0</v>
      </c>
      <c r="S520" s="4" t="s">
        <v>228</v>
      </c>
      <c r="T520" s="4" t="s">
        <v>457</v>
      </c>
      <c r="U520" s="4">
        <v>0</v>
      </c>
      <c r="V520" s="4">
        <v>8</v>
      </c>
      <c r="W520" s="4">
        <v>38</v>
      </c>
    </row>
    <row r="521" spans="1:23" ht="11.25" customHeight="1" x14ac:dyDescent="0.3">
      <c r="A521" s="4" t="s">
        <v>21</v>
      </c>
      <c r="B521" s="4" t="s">
        <v>39</v>
      </c>
      <c r="C521" s="4" t="s">
        <v>41</v>
      </c>
      <c r="D521" s="4" t="s">
        <v>45</v>
      </c>
      <c r="E521" s="4" t="s">
        <v>25</v>
      </c>
      <c r="F521" s="4" t="s">
        <v>25</v>
      </c>
      <c r="G521" s="4" t="s">
        <v>25</v>
      </c>
      <c r="H521" s="4" t="s">
        <v>35</v>
      </c>
      <c r="I521" s="5">
        <v>44501</v>
      </c>
      <c r="J521" s="6">
        <v>0</v>
      </c>
      <c r="K521" s="6">
        <v>0</v>
      </c>
      <c r="L521" s="6">
        <v>113.935</v>
      </c>
      <c r="M521" s="6">
        <v>109.3776</v>
      </c>
      <c r="N521" s="6">
        <v>113.935</v>
      </c>
      <c r="O521" s="6">
        <v>109.3776</v>
      </c>
      <c r="P521" s="6">
        <v>0</v>
      </c>
      <c r="Q521" s="4" t="s">
        <v>26</v>
      </c>
      <c r="R521" s="4">
        <v>0</v>
      </c>
      <c r="S521" s="4" t="s">
        <v>193</v>
      </c>
      <c r="T521" s="4" t="s">
        <v>434</v>
      </c>
      <c r="U521" s="4">
        <v>0</v>
      </c>
      <c r="V521" s="4">
        <v>6</v>
      </c>
      <c r="W521" s="4">
        <v>61</v>
      </c>
    </row>
    <row r="522" spans="1:23" ht="11.25" customHeight="1" x14ac:dyDescent="0.3">
      <c r="A522" s="4" t="s">
        <v>21</v>
      </c>
      <c r="B522" s="4" t="s">
        <v>39</v>
      </c>
      <c r="C522" s="4" t="s">
        <v>41</v>
      </c>
      <c r="D522" s="4" t="s">
        <v>45</v>
      </c>
      <c r="E522" s="4" t="s">
        <v>25</v>
      </c>
      <c r="F522" s="4" t="s">
        <v>25</v>
      </c>
      <c r="G522" s="4" t="s">
        <v>25</v>
      </c>
      <c r="H522" s="4" t="s">
        <v>35</v>
      </c>
      <c r="I522" s="5">
        <v>44531</v>
      </c>
      <c r="J522" s="6">
        <v>0</v>
      </c>
      <c r="K522" s="6">
        <v>0</v>
      </c>
      <c r="L522" s="6">
        <v>110.267</v>
      </c>
      <c r="M522" s="6">
        <v>105.85632</v>
      </c>
      <c r="N522" s="6">
        <v>110.267</v>
      </c>
      <c r="O522" s="6">
        <v>105.85632</v>
      </c>
      <c r="P522" s="6">
        <v>0</v>
      </c>
      <c r="Q522" s="4" t="s">
        <v>26</v>
      </c>
      <c r="R522" s="4">
        <v>0</v>
      </c>
      <c r="S522" s="4" t="s">
        <v>194</v>
      </c>
      <c r="T522" s="4" t="s">
        <v>435</v>
      </c>
      <c r="U522" s="4">
        <v>0</v>
      </c>
      <c r="V522" s="4">
        <v>6</v>
      </c>
      <c r="W522" s="4">
        <v>61</v>
      </c>
    </row>
    <row r="523" spans="1:23" ht="11.25" customHeight="1" x14ac:dyDescent="0.3">
      <c r="A523" s="4" t="s">
        <v>21</v>
      </c>
      <c r="B523" s="4" t="s">
        <v>39</v>
      </c>
      <c r="C523" s="4" t="s">
        <v>41</v>
      </c>
      <c r="D523" s="4" t="s">
        <v>45</v>
      </c>
      <c r="E523" s="4" t="s">
        <v>25</v>
      </c>
      <c r="F523" s="4" t="s">
        <v>25</v>
      </c>
      <c r="G523" s="4" t="s">
        <v>25</v>
      </c>
      <c r="H523" s="4" t="s">
        <v>35</v>
      </c>
      <c r="I523" s="5">
        <v>44562</v>
      </c>
      <c r="J523" s="6">
        <v>0</v>
      </c>
      <c r="K523" s="6">
        <v>0</v>
      </c>
      <c r="L523" s="6">
        <v>111.45</v>
      </c>
      <c r="M523" s="6">
        <v>106.992</v>
      </c>
      <c r="N523" s="6">
        <v>111.45</v>
      </c>
      <c r="O523" s="6">
        <v>106.992</v>
      </c>
      <c r="P523" s="6">
        <v>0</v>
      </c>
      <c r="Q523" s="4" t="s">
        <v>26</v>
      </c>
      <c r="R523" s="4">
        <v>0</v>
      </c>
      <c r="S523" s="4" t="s">
        <v>195</v>
      </c>
      <c r="T523" s="4" t="s">
        <v>436</v>
      </c>
      <c r="U523" s="4">
        <v>0</v>
      </c>
      <c r="V523" s="4">
        <v>6</v>
      </c>
      <c r="W523" s="4">
        <v>61</v>
      </c>
    </row>
    <row r="524" spans="1:23" ht="11.25" customHeight="1" x14ac:dyDescent="0.3">
      <c r="A524" s="4" t="s">
        <v>21</v>
      </c>
      <c r="B524" s="4" t="s">
        <v>39</v>
      </c>
      <c r="C524" s="4" t="s">
        <v>41</v>
      </c>
      <c r="D524" s="4" t="s">
        <v>45</v>
      </c>
      <c r="E524" s="4" t="s">
        <v>25</v>
      </c>
      <c r="F524" s="4" t="s">
        <v>25</v>
      </c>
      <c r="G524" s="4" t="s">
        <v>25</v>
      </c>
      <c r="H524" s="4" t="s">
        <v>35</v>
      </c>
      <c r="I524" s="5">
        <v>44593</v>
      </c>
      <c r="J524" s="6">
        <v>0</v>
      </c>
      <c r="K524" s="6">
        <v>0</v>
      </c>
      <c r="L524" s="6">
        <v>107.66800000000001</v>
      </c>
      <c r="M524" s="6">
        <v>103.36127999999999</v>
      </c>
      <c r="N524" s="6">
        <v>107.66800000000001</v>
      </c>
      <c r="O524" s="6">
        <v>103.36127999999999</v>
      </c>
      <c r="P524" s="6">
        <v>0</v>
      </c>
      <c r="Q524" s="4" t="s">
        <v>26</v>
      </c>
      <c r="R524" s="4">
        <v>0</v>
      </c>
      <c r="S524" s="4" t="s">
        <v>196</v>
      </c>
      <c r="T524" s="4" t="s">
        <v>437</v>
      </c>
      <c r="U524" s="4">
        <v>0</v>
      </c>
      <c r="V524" s="4">
        <v>6</v>
      </c>
      <c r="W524" s="4">
        <v>61</v>
      </c>
    </row>
    <row r="525" spans="1:23" ht="11.25" customHeight="1" x14ac:dyDescent="0.3">
      <c r="A525" s="4" t="s">
        <v>21</v>
      </c>
      <c r="B525" s="4" t="s">
        <v>39</v>
      </c>
      <c r="C525" s="4" t="s">
        <v>41</v>
      </c>
      <c r="D525" s="4" t="s">
        <v>45</v>
      </c>
      <c r="E525" s="4" t="s">
        <v>25</v>
      </c>
      <c r="F525" s="4" t="s">
        <v>25</v>
      </c>
      <c r="G525" s="4" t="s">
        <v>25</v>
      </c>
      <c r="H525" s="4" t="s">
        <v>35</v>
      </c>
      <c r="I525" s="5">
        <v>44621</v>
      </c>
      <c r="J525" s="6">
        <v>0</v>
      </c>
      <c r="K525" s="6">
        <v>0</v>
      </c>
      <c r="L525" s="6">
        <v>93.82</v>
      </c>
      <c r="M525" s="6">
        <v>90.0672</v>
      </c>
      <c r="N525" s="6">
        <v>93.82</v>
      </c>
      <c r="O525" s="6">
        <v>90.0672</v>
      </c>
      <c r="P525" s="6">
        <v>0</v>
      </c>
      <c r="Q525" s="4" t="s">
        <v>26</v>
      </c>
      <c r="R525" s="4">
        <v>0</v>
      </c>
      <c r="S525" s="4" t="s">
        <v>197</v>
      </c>
      <c r="T525" s="4" t="s">
        <v>438</v>
      </c>
      <c r="U525" s="4">
        <v>0</v>
      </c>
      <c r="V525" s="4">
        <v>6</v>
      </c>
      <c r="W525" s="4">
        <v>61</v>
      </c>
    </row>
    <row r="526" spans="1:23" ht="11.25" customHeight="1" x14ac:dyDescent="0.3">
      <c r="A526" s="4" t="s">
        <v>21</v>
      </c>
      <c r="B526" s="4" t="s">
        <v>39</v>
      </c>
      <c r="C526" s="4" t="s">
        <v>41</v>
      </c>
      <c r="D526" s="4" t="s">
        <v>45</v>
      </c>
      <c r="E526" s="4" t="s">
        <v>25</v>
      </c>
      <c r="F526" s="4" t="s">
        <v>25</v>
      </c>
      <c r="G526" s="4" t="s">
        <v>25</v>
      </c>
      <c r="H526" s="4" t="s">
        <v>35</v>
      </c>
      <c r="I526" s="5">
        <v>44652</v>
      </c>
      <c r="J526" s="6">
        <v>0</v>
      </c>
      <c r="K526" s="6">
        <v>0</v>
      </c>
      <c r="L526" s="6">
        <v>106.645</v>
      </c>
      <c r="M526" s="6">
        <v>102.3792</v>
      </c>
      <c r="N526" s="6">
        <v>106.645</v>
      </c>
      <c r="O526" s="6">
        <v>102.3792</v>
      </c>
      <c r="P526" s="6">
        <v>0</v>
      </c>
      <c r="Q526" s="4" t="s">
        <v>26</v>
      </c>
      <c r="R526" s="4">
        <v>0</v>
      </c>
      <c r="S526" s="4" t="s">
        <v>198</v>
      </c>
      <c r="T526" s="4" t="s">
        <v>439</v>
      </c>
      <c r="U526" s="4">
        <v>0</v>
      </c>
      <c r="V526" s="4">
        <v>6</v>
      </c>
      <c r="W526" s="4">
        <v>61</v>
      </c>
    </row>
    <row r="527" spans="1:23" ht="11.25" customHeight="1" x14ac:dyDescent="0.3">
      <c r="A527" s="4" t="s">
        <v>21</v>
      </c>
      <c r="B527" s="4" t="s">
        <v>39</v>
      </c>
      <c r="C527" s="4" t="s">
        <v>41</v>
      </c>
      <c r="D527" s="4" t="s">
        <v>45</v>
      </c>
      <c r="E527" s="4" t="s">
        <v>25</v>
      </c>
      <c r="F527" s="4" t="s">
        <v>25</v>
      </c>
      <c r="G527" s="4" t="s">
        <v>25</v>
      </c>
      <c r="H527" s="4" t="s">
        <v>35</v>
      </c>
      <c r="I527" s="5">
        <v>44682</v>
      </c>
      <c r="J527" s="6">
        <v>0</v>
      </c>
      <c r="K527" s="6">
        <v>0</v>
      </c>
      <c r="L527" s="6">
        <v>103.27500000000001</v>
      </c>
      <c r="M527" s="6">
        <v>99.144000000000005</v>
      </c>
      <c r="N527" s="6">
        <v>103.27500000000001</v>
      </c>
      <c r="O527" s="6">
        <v>99.144000000000005</v>
      </c>
      <c r="P527" s="6">
        <v>0</v>
      </c>
      <c r="Q527" s="4" t="s">
        <v>26</v>
      </c>
      <c r="R527" s="4">
        <v>0</v>
      </c>
      <c r="S527" s="4" t="s">
        <v>199</v>
      </c>
      <c r="T527" s="4" t="s">
        <v>440</v>
      </c>
      <c r="U527" s="4">
        <v>0</v>
      </c>
      <c r="V527" s="4">
        <v>6</v>
      </c>
      <c r="W527" s="4">
        <v>61</v>
      </c>
    </row>
    <row r="528" spans="1:23" ht="11.25" customHeight="1" x14ac:dyDescent="0.3">
      <c r="A528" s="4" t="s">
        <v>21</v>
      </c>
      <c r="B528" s="4" t="s">
        <v>39</v>
      </c>
      <c r="C528" s="4" t="s">
        <v>41</v>
      </c>
      <c r="D528" s="4" t="s">
        <v>45</v>
      </c>
      <c r="E528" s="4" t="s">
        <v>25</v>
      </c>
      <c r="F528" s="4" t="s">
        <v>25</v>
      </c>
      <c r="G528" s="4" t="s">
        <v>25</v>
      </c>
      <c r="H528" s="4" t="s">
        <v>35</v>
      </c>
      <c r="I528" s="5">
        <v>44713</v>
      </c>
      <c r="J528" s="6">
        <v>0</v>
      </c>
      <c r="K528" s="6">
        <v>0</v>
      </c>
      <c r="L528" s="6">
        <v>100.271</v>
      </c>
      <c r="M528" s="6">
        <v>96.260159999999999</v>
      </c>
      <c r="N528" s="6">
        <v>100.271</v>
      </c>
      <c r="O528" s="6">
        <v>96.260159999999999</v>
      </c>
      <c r="P528" s="6">
        <v>0</v>
      </c>
      <c r="Q528" s="4" t="s">
        <v>26</v>
      </c>
      <c r="R528" s="4">
        <v>0</v>
      </c>
      <c r="S528" s="4" t="s">
        <v>200</v>
      </c>
      <c r="T528" s="4" t="s">
        <v>441</v>
      </c>
      <c r="U528" s="4">
        <v>0</v>
      </c>
      <c r="V528" s="4">
        <v>6</v>
      </c>
      <c r="W528" s="4">
        <v>61</v>
      </c>
    </row>
    <row r="529" spans="1:23" ht="11.25" customHeight="1" x14ac:dyDescent="0.3">
      <c r="A529" s="4" t="s">
        <v>21</v>
      </c>
      <c r="B529" s="4" t="s">
        <v>39</v>
      </c>
      <c r="C529" s="4" t="s">
        <v>41</v>
      </c>
      <c r="D529" s="4" t="s">
        <v>45</v>
      </c>
      <c r="E529" s="4" t="s">
        <v>25</v>
      </c>
      <c r="F529" s="4" t="s">
        <v>25</v>
      </c>
      <c r="G529" s="4" t="s">
        <v>25</v>
      </c>
      <c r="H529" s="4" t="s">
        <v>35</v>
      </c>
      <c r="I529" s="5">
        <v>44743</v>
      </c>
      <c r="J529" s="6">
        <v>0</v>
      </c>
      <c r="K529" s="6">
        <v>0</v>
      </c>
      <c r="L529" s="6">
        <v>107.95699999999999</v>
      </c>
      <c r="M529" s="6">
        <v>103.63872000000001</v>
      </c>
      <c r="N529" s="6">
        <v>107.95699999999999</v>
      </c>
      <c r="O529" s="6">
        <v>103.63872000000001</v>
      </c>
      <c r="P529" s="6">
        <v>0</v>
      </c>
      <c r="Q529" s="4" t="s">
        <v>26</v>
      </c>
      <c r="R529" s="4">
        <v>0</v>
      </c>
      <c r="S529" s="4" t="s">
        <v>201</v>
      </c>
      <c r="T529" s="4" t="s">
        <v>442</v>
      </c>
      <c r="U529" s="4">
        <v>0</v>
      </c>
      <c r="V529" s="4">
        <v>6</v>
      </c>
      <c r="W529" s="4">
        <v>61</v>
      </c>
    </row>
    <row r="530" spans="1:23" ht="11.25" customHeight="1" x14ac:dyDescent="0.3">
      <c r="A530" s="4" t="s">
        <v>21</v>
      </c>
      <c r="B530" s="4" t="s">
        <v>39</v>
      </c>
      <c r="C530" s="4" t="s">
        <v>41</v>
      </c>
      <c r="D530" s="4" t="s">
        <v>45</v>
      </c>
      <c r="E530" s="4" t="s">
        <v>25</v>
      </c>
      <c r="F530" s="4" t="s">
        <v>25</v>
      </c>
      <c r="G530" s="4" t="s">
        <v>25</v>
      </c>
      <c r="H530" s="4" t="s">
        <v>35</v>
      </c>
      <c r="I530" s="5">
        <v>44774</v>
      </c>
      <c r="J530" s="6">
        <v>0</v>
      </c>
      <c r="K530" s="6">
        <v>0</v>
      </c>
      <c r="L530" s="6">
        <v>102.619</v>
      </c>
      <c r="M530" s="6">
        <v>98.514240000000001</v>
      </c>
      <c r="N530" s="6">
        <v>102.619</v>
      </c>
      <c r="O530" s="6">
        <v>98.514240000000001</v>
      </c>
      <c r="P530" s="6">
        <v>0</v>
      </c>
      <c r="Q530" s="4" t="s">
        <v>26</v>
      </c>
      <c r="R530" s="4">
        <v>0</v>
      </c>
      <c r="S530" s="4" t="s">
        <v>202</v>
      </c>
      <c r="T530" s="4" t="s">
        <v>443</v>
      </c>
      <c r="U530" s="4">
        <v>0</v>
      </c>
      <c r="V530" s="4">
        <v>6</v>
      </c>
      <c r="W530" s="4">
        <v>61</v>
      </c>
    </row>
    <row r="531" spans="1:23" ht="11.25" customHeight="1" x14ac:dyDescent="0.3">
      <c r="A531" s="4" t="s">
        <v>21</v>
      </c>
      <c r="B531" s="4" t="s">
        <v>39</v>
      </c>
      <c r="C531" s="4" t="s">
        <v>41</v>
      </c>
      <c r="D531" s="4" t="s">
        <v>45</v>
      </c>
      <c r="E531" s="4" t="s">
        <v>25</v>
      </c>
      <c r="F531" s="4" t="s">
        <v>25</v>
      </c>
      <c r="G531" s="4" t="s">
        <v>25</v>
      </c>
      <c r="H531" s="4" t="s">
        <v>35</v>
      </c>
      <c r="I531" s="5">
        <v>44805</v>
      </c>
      <c r="J531" s="6">
        <v>0</v>
      </c>
      <c r="K531" s="6">
        <v>0</v>
      </c>
      <c r="L531" s="6">
        <v>160.94</v>
      </c>
      <c r="M531" s="6">
        <v>154.50239999999999</v>
      </c>
      <c r="N531" s="6">
        <v>160.94</v>
      </c>
      <c r="O531" s="6">
        <v>154.50239999999999</v>
      </c>
      <c r="P531" s="6">
        <v>0</v>
      </c>
      <c r="Q531" s="4" t="s">
        <v>26</v>
      </c>
      <c r="R531" s="4">
        <v>0</v>
      </c>
      <c r="S531" s="4" t="s">
        <v>203</v>
      </c>
      <c r="T531" s="4" t="s">
        <v>444</v>
      </c>
      <c r="U531" s="4">
        <v>0</v>
      </c>
      <c r="V531" s="4">
        <v>6</v>
      </c>
      <c r="W531" s="4">
        <v>61</v>
      </c>
    </row>
    <row r="532" spans="1:23" ht="11.25" customHeight="1" x14ac:dyDescent="0.3">
      <c r="A532" s="4" t="s">
        <v>53</v>
      </c>
      <c r="B532" s="4" t="s">
        <v>39</v>
      </c>
      <c r="C532" s="4" t="s">
        <v>41</v>
      </c>
      <c r="D532" s="4" t="s">
        <v>45</v>
      </c>
      <c r="E532" s="4" t="s">
        <v>25</v>
      </c>
      <c r="F532" s="4" t="s">
        <v>25</v>
      </c>
      <c r="G532" s="4" t="s">
        <v>25</v>
      </c>
      <c r="H532" s="4" t="s">
        <v>35</v>
      </c>
      <c r="I532" s="5">
        <v>44835</v>
      </c>
      <c r="J532" s="6">
        <v>0</v>
      </c>
      <c r="K532" s="6">
        <v>0</v>
      </c>
      <c r="L532" s="6">
        <v>160.94</v>
      </c>
      <c r="M532" s="6">
        <v>154.50239999999999</v>
      </c>
      <c r="N532" s="6">
        <v>160.94</v>
      </c>
      <c r="O532" s="6">
        <v>154.50239999999999</v>
      </c>
      <c r="P532" s="6">
        <v>0</v>
      </c>
      <c r="Q532" s="4" t="s">
        <v>26</v>
      </c>
      <c r="R532" s="4">
        <v>0</v>
      </c>
      <c r="S532" s="4" t="s">
        <v>204</v>
      </c>
      <c r="T532" s="4" t="s">
        <v>445</v>
      </c>
      <c r="U532" s="4">
        <v>0</v>
      </c>
      <c r="V532" s="4">
        <v>6</v>
      </c>
      <c r="W532" s="4">
        <v>61</v>
      </c>
    </row>
    <row r="533" spans="1:23" ht="11.25" customHeight="1" x14ac:dyDescent="0.3">
      <c r="A533" s="4" t="s">
        <v>21</v>
      </c>
      <c r="B533" s="4" t="s">
        <v>39</v>
      </c>
      <c r="C533" s="4" t="s">
        <v>41</v>
      </c>
      <c r="D533" s="4" t="s">
        <v>45</v>
      </c>
      <c r="E533" s="4" t="s">
        <v>25</v>
      </c>
      <c r="F533" s="4" t="s">
        <v>25</v>
      </c>
      <c r="G533" s="4" t="s">
        <v>25</v>
      </c>
      <c r="H533" s="4" t="s">
        <v>25</v>
      </c>
      <c r="I533" s="5">
        <v>44501</v>
      </c>
      <c r="J533" s="6">
        <v>517</v>
      </c>
      <c r="K533" s="6">
        <v>496.32</v>
      </c>
      <c r="L533" s="6">
        <v>0</v>
      </c>
      <c r="M533" s="6">
        <v>0</v>
      </c>
      <c r="N533" s="6">
        <v>0</v>
      </c>
      <c r="O533" s="6">
        <v>0</v>
      </c>
      <c r="P533" s="6">
        <v>5</v>
      </c>
      <c r="Q533" s="4" t="s">
        <v>26</v>
      </c>
      <c r="R533" s="4">
        <v>0</v>
      </c>
      <c r="S533" s="4" t="s">
        <v>205</v>
      </c>
      <c r="U533" s="4">
        <v>20</v>
      </c>
      <c r="V533" s="4">
        <v>0</v>
      </c>
      <c r="W533" s="4">
        <v>0</v>
      </c>
    </row>
    <row r="534" spans="1:23" ht="11.25" customHeight="1" x14ac:dyDescent="0.3">
      <c r="A534" s="4" t="s">
        <v>21</v>
      </c>
      <c r="B534" s="4" t="s">
        <v>39</v>
      </c>
      <c r="C534" s="4" t="s">
        <v>41</v>
      </c>
      <c r="D534" s="4" t="s">
        <v>45</v>
      </c>
      <c r="E534" s="4" t="s">
        <v>25</v>
      </c>
      <c r="F534" s="4" t="s">
        <v>25</v>
      </c>
      <c r="G534" s="4" t="s">
        <v>25</v>
      </c>
      <c r="H534" s="4" t="s">
        <v>25</v>
      </c>
      <c r="I534" s="5">
        <v>44531</v>
      </c>
      <c r="J534" s="6">
        <v>376</v>
      </c>
      <c r="K534" s="6">
        <v>360.96</v>
      </c>
      <c r="L534" s="6">
        <v>0</v>
      </c>
      <c r="M534" s="6">
        <v>0</v>
      </c>
      <c r="N534" s="6">
        <v>0</v>
      </c>
      <c r="O534" s="6">
        <v>0</v>
      </c>
      <c r="P534" s="6">
        <v>5</v>
      </c>
      <c r="Q534" s="4" t="s">
        <v>26</v>
      </c>
      <c r="R534" s="4">
        <v>0</v>
      </c>
      <c r="S534" s="4" t="s">
        <v>206</v>
      </c>
      <c r="U534" s="4">
        <v>20</v>
      </c>
      <c r="V534" s="4">
        <v>0</v>
      </c>
      <c r="W534" s="4">
        <v>0</v>
      </c>
    </row>
    <row r="535" spans="1:23" ht="11.25" customHeight="1" x14ac:dyDescent="0.3">
      <c r="A535" s="4" t="s">
        <v>21</v>
      </c>
      <c r="B535" s="4" t="s">
        <v>39</v>
      </c>
      <c r="C535" s="4" t="s">
        <v>41</v>
      </c>
      <c r="D535" s="4" t="s">
        <v>45</v>
      </c>
      <c r="E535" s="4" t="s">
        <v>25</v>
      </c>
      <c r="F535" s="4" t="s">
        <v>25</v>
      </c>
      <c r="G535" s="4" t="s">
        <v>25</v>
      </c>
      <c r="H535" s="4" t="s">
        <v>25</v>
      </c>
      <c r="I535" s="5">
        <v>44562</v>
      </c>
      <c r="J535" s="6">
        <v>401</v>
      </c>
      <c r="K535" s="6">
        <v>384.96</v>
      </c>
      <c r="L535" s="6">
        <v>0</v>
      </c>
      <c r="M535" s="6">
        <v>0</v>
      </c>
      <c r="N535" s="6">
        <v>0</v>
      </c>
      <c r="O535" s="6">
        <v>0</v>
      </c>
      <c r="P535" s="6">
        <v>5</v>
      </c>
      <c r="Q535" s="4" t="s">
        <v>26</v>
      </c>
      <c r="R535" s="4">
        <v>0</v>
      </c>
      <c r="S535" s="4" t="s">
        <v>207</v>
      </c>
      <c r="U535" s="4">
        <v>20</v>
      </c>
      <c r="V535" s="4">
        <v>0</v>
      </c>
      <c r="W535" s="4">
        <v>0</v>
      </c>
    </row>
    <row r="536" spans="1:23" ht="11.25" customHeight="1" x14ac:dyDescent="0.3">
      <c r="A536" s="4" t="s">
        <v>21</v>
      </c>
      <c r="B536" s="4" t="s">
        <v>39</v>
      </c>
      <c r="C536" s="4" t="s">
        <v>41</v>
      </c>
      <c r="D536" s="4" t="s">
        <v>45</v>
      </c>
      <c r="E536" s="4" t="s">
        <v>25</v>
      </c>
      <c r="F536" s="4" t="s">
        <v>25</v>
      </c>
      <c r="G536" s="4" t="s">
        <v>25</v>
      </c>
      <c r="H536" s="4" t="s">
        <v>25</v>
      </c>
      <c r="I536" s="5">
        <v>44593</v>
      </c>
      <c r="J536" s="6">
        <v>395</v>
      </c>
      <c r="K536" s="6">
        <v>379.2</v>
      </c>
      <c r="L536" s="6">
        <v>0</v>
      </c>
      <c r="M536" s="6">
        <v>0</v>
      </c>
      <c r="N536" s="6">
        <v>0</v>
      </c>
      <c r="O536" s="6">
        <v>0</v>
      </c>
      <c r="P536" s="6">
        <v>5</v>
      </c>
      <c r="Q536" s="4" t="s">
        <v>26</v>
      </c>
      <c r="R536" s="4">
        <v>0</v>
      </c>
      <c r="S536" s="4" t="s">
        <v>208</v>
      </c>
      <c r="U536" s="4">
        <v>20</v>
      </c>
      <c r="V536" s="4">
        <v>0</v>
      </c>
      <c r="W536" s="4">
        <v>0</v>
      </c>
    </row>
    <row r="537" spans="1:23" ht="11.25" customHeight="1" x14ac:dyDescent="0.3">
      <c r="A537" s="4" t="s">
        <v>21</v>
      </c>
      <c r="B537" s="4" t="s">
        <v>39</v>
      </c>
      <c r="C537" s="4" t="s">
        <v>41</v>
      </c>
      <c r="D537" s="4" t="s">
        <v>45</v>
      </c>
      <c r="E537" s="4" t="s">
        <v>25</v>
      </c>
      <c r="F537" s="4" t="s">
        <v>25</v>
      </c>
      <c r="G537" s="4" t="s">
        <v>25</v>
      </c>
      <c r="H537" s="4" t="s">
        <v>25</v>
      </c>
      <c r="I537" s="5">
        <v>44621</v>
      </c>
      <c r="J537" s="6">
        <v>365</v>
      </c>
      <c r="K537" s="6">
        <v>350.4</v>
      </c>
      <c r="L537" s="6">
        <v>0</v>
      </c>
      <c r="M537" s="6">
        <v>0</v>
      </c>
      <c r="N537" s="6">
        <v>0</v>
      </c>
      <c r="O537" s="6">
        <v>0</v>
      </c>
      <c r="P537" s="6">
        <v>5</v>
      </c>
      <c r="Q537" s="4" t="s">
        <v>26</v>
      </c>
      <c r="R537" s="4">
        <v>0</v>
      </c>
      <c r="S537" s="4" t="s">
        <v>209</v>
      </c>
      <c r="U537" s="4">
        <v>20</v>
      </c>
      <c r="V537" s="4">
        <v>0</v>
      </c>
      <c r="W537" s="4">
        <v>0</v>
      </c>
    </row>
    <row r="538" spans="1:23" ht="11.25" customHeight="1" x14ac:dyDescent="0.3">
      <c r="A538" s="4" t="s">
        <v>21</v>
      </c>
      <c r="B538" s="4" t="s">
        <v>39</v>
      </c>
      <c r="C538" s="4" t="s">
        <v>41</v>
      </c>
      <c r="D538" s="4" t="s">
        <v>45</v>
      </c>
      <c r="E538" s="4" t="s">
        <v>25</v>
      </c>
      <c r="F538" s="4" t="s">
        <v>25</v>
      </c>
      <c r="G538" s="4" t="s">
        <v>25</v>
      </c>
      <c r="H538" s="4" t="s">
        <v>25</v>
      </c>
      <c r="I538" s="5">
        <v>44652</v>
      </c>
      <c r="J538" s="6">
        <v>422</v>
      </c>
      <c r="K538" s="6">
        <v>405.12</v>
      </c>
      <c r="L538" s="6">
        <v>0</v>
      </c>
      <c r="M538" s="6">
        <v>0</v>
      </c>
      <c r="N538" s="6">
        <v>0</v>
      </c>
      <c r="O538" s="6">
        <v>0</v>
      </c>
      <c r="P538" s="6">
        <v>5</v>
      </c>
      <c r="Q538" s="4" t="s">
        <v>26</v>
      </c>
      <c r="R538" s="4">
        <v>0</v>
      </c>
      <c r="S538" s="4" t="s">
        <v>210</v>
      </c>
      <c r="U538" s="4">
        <v>20</v>
      </c>
      <c r="V538" s="4">
        <v>0</v>
      </c>
      <c r="W538" s="4">
        <v>0</v>
      </c>
    </row>
    <row r="539" spans="1:23" ht="11.25" customHeight="1" x14ac:dyDescent="0.3">
      <c r="A539" s="4" t="s">
        <v>21</v>
      </c>
      <c r="B539" s="4" t="s">
        <v>39</v>
      </c>
      <c r="C539" s="4" t="s">
        <v>41</v>
      </c>
      <c r="D539" s="4" t="s">
        <v>45</v>
      </c>
      <c r="E539" s="4" t="s">
        <v>25</v>
      </c>
      <c r="F539" s="4" t="s">
        <v>25</v>
      </c>
      <c r="G539" s="4" t="s">
        <v>25</v>
      </c>
      <c r="H539" s="4" t="s">
        <v>25</v>
      </c>
      <c r="I539" s="5">
        <v>44682</v>
      </c>
      <c r="J539" s="6">
        <v>403</v>
      </c>
      <c r="K539" s="6">
        <v>386.88</v>
      </c>
      <c r="L539" s="6">
        <v>0</v>
      </c>
      <c r="M539" s="6">
        <v>0</v>
      </c>
      <c r="N539" s="6">
        <v>0</v>
      </c>
      <c r="O539" s="6">
        <v>0</v>
      </c>
      <c r="P539" s="6">
        <v>5</v>
      </c>
      <c r="Q539" s="4" t="s">
        <v>26</v>
      </c>
      <c r="R539" s="4">
        <v>0</v>
      </c>
      <c r="S539" s="4" t="s">
        <v>211</v>
      </c>
      <c r="U539" s="4">
        <v>20</v>
      </c>
      <c r="V539" s="4">
        <v>0</v>
      </c>
      <c r="W539" s="4">
        <v>0</v>
      </c>
    </row>
    <row r="540" spans="1:23" ht="11.25" customHeight="1" x14ac:dyDescent="0.3">
      <c r="A540" s="4" t="s">
        <v>21</v>
      </c>
      <c r="B540" s="4" t="s">
        <v>39</v>
      </c>
      <c r="C540" s="4" t="s">
        <v>41</v>
      </c>
      <c r="D540" s="4" t="s">
        <v>45</v>
      </c>
      <c r="E540" s="4" t="s">
        <v>25</v>
      </c>
      <c r="F540" s="4" t="s">
        <v>25</v>
      </c>
      <c r="G540" s="4" t="s">
        <v>25</v>
      </c>
      <c r="H540" s="4" t="s">
        <v>25</v>
      </c>
      <c r="I540" s="5">
        <v>44713</v>
      </c>
      <c r="J540" s="6">
        <v>365</v>
      </c>
      <c r="K540" s="6">
        <v>350.4</v>
      </c>
      <c r="L540" s="6">
        <v>0</v>
      </c>
      <c r="M540" s="6">
        <v>0</v>
      </c>
      <c r="N540" s="6">
        <v>0</v>
      </c>
      <c r="O540" s="6">
        <v>0</v>
      </c>
      <c r="P540" s="6">
        <v>5</v>
      </c>
      <c r="Q540" s="4" t="s">
        <v>26</v>
      </c>
      <c r="R540" s="4">
        <v>0</v>
      </c>
      <c r="S540" s="4" t="s">
        <v>212</v>
      </c>
      <c r="U540" s="4">
        <v>20</v>
      </c>
      <c r="V540" s="4">
        <v>0</v>
      </c>
      <c r="W540" s="4">
        <v>0</v>
      </c>
    </row>
    <row r="541" spans="1:23" ht="11.25" customHeight="1" x14ac:dyDescent="0.3">
      <c r="A541" s="4" t="s">
        <v>21</v>
      </c>
      <c r="B541" s="4" t="s">
        <v>39</v>
      </c>
      <c r="C541" s="4" t="s">
        <v>41</v>
      </c>
      <c r="D541" s="4" t="s">
        <v>45</v>
      </c>
      <c r="E541" s="4" t="s">
        <v>25</v>
      </c>
      <c r="F541" s="4" t="s">
        <v>25</v>
      </c>
      <c r="G541" s="4" t="s">
        <v>25</v>
      </c>
      <c r="H541" s="4" t="s">
        <v>25</v>
      </c>
      <c r="I541" s="5">
        <v>44743</v>
      </c>
      <c r="J541" s="6">
        <v>416</v>
      </c>
      <c r="K541" s="6">
        <v>399.36</v>
      </c>
      <c r="L541" s="6">
        <v>0</v>
      </c>
      <c r="M541" s="6">
        <v>0</v>
      </c>
      <c r="N541" s="6">
        <v>0</v>
      </c>
      <c r="O541" s="6">
        <v>0</v>
      </c>
      <c r="P541" s="6">
        <v>4</v>
      </c>
      <c r="Q541" s="4" t="s">
        <v>26</v>
      </c>
      <c r="R541" s="4">
        <v>0</v>
      </c>
      <c r="S541" s="4" t="s">
        <v>213</v>
      </c>
      <c r="U541" s="4">
        <v>20</v>
      </c>
      <c r="V541" s="4">
        <v>0</v>
      </c>
      <c r="W541" s="4">
        <v>0</v>
      </c>
    </row>
    <row r="542" spans="1:23" ht="11.25" customHeight="1" x14ac:dyDescent="0.3">
      <c r="A542" s="4" t="s">
        <v>21</v>
      </c>
      <c r="B542" s="4" t="s">
        <v>39</v>
      </c>
      <c r="C542" s="4" t="s">
        <v>41</v>
      </c>
      <c r="D542" s="4" t="s">
        <v>45</v>
      </c>
      <c r="E542" s="4" t="s">
        <v>25</v>
      </c>
      <c r="F542" s="4" t="s">
        <v>25</v>
      </c>
      <c r="G542" s="4" t="s">
        <v>25</v>
      </c>
      <c r="H542" s="4" t="s">
        <v>25</v>
      </c>
      <c r="I542" s="5">
        <v>44774</v>
      </c>
      <c r="J542" s="6">
        <v>366</v>
      </c>
      <c r="K542" s="6">
        <v>351.36</v>
      </c>
      <c r="L542" s="6">
        <v>0</v>
      </c>
      <c r="M542" s="6">
        <v>0</v>
      </c>
      <c r="N542" s="6">
        <v>0</v>
      </c>
      <c r="O542" s="6">
        <v>0</v>
      </c>
      <c r="P542" s="6">
        <v>5</v>
      </c>
      <c r="Q542" s="4" t="s">
        <v>26</v>
      </c>
      <c r="R542" s="4">
        <v>0</v>
      </c>
      <c r="S542" s="4" t="s">
        <v>214</v>
      </c>
      <c r="U542" s="4">
        <v>20</v>
      </c>
      <c r="V542" s="4">
        <v>0</v>
      </c>
      <c r="W542" s="4">
        <v>0</v>
      </c>
    </row>
    <row r="543" spans="1:23" ht="11.25" customHeight="1" x14ac:dyDescent="0.3">
      <c r="A543" s="4" t="s">
        <v>21</v>
      </c>
      <c r="B543" s="4" t="s">
        <v>39</v>
      </c>
      <c r="C543" s="4" t="s">
        <v>41</v>
      </c>
      <c r="D543" s="4" t="s">
        <v>45</v>
      </c>
      <c r="E543" s="4" t="s">
        <v>25</v>
      </c>
      <c r="F543" s="4" t="s">
        <v>25</v>
      </c>
      <c r="G543" s="4" t="s">
        <v>25</v>
      </c>
      <c r="H543" s="4" t="s">
        <v>25</v>
      </c>
      <c r="I543" s="5">
        <v>44805</v>
      </c>
      <c r="J543" s="6">
        <v>838</v>
      </c>
      <c r="K543" s="6">
        <v>804.48</v>
      </c>
      <c r="L543" s="6">
        <v>0</v>
      </c>
      <c r="M543" s="6">
        <v>0</v>
      </c>
      <c r="N543" s="6">
        <v>0</v>
      </c>
      <c r="O543" s="6">
        <v>0</v>
      </c>
      <c r="P543" s="6">
        <v>6</v>
      </c>
      <c r="Q543" s="4" t="s">
        <v>26</v>
      </c>
      <c r="R543" s="4">
        <v>0</v>
      </c>
      <c r="S543" s="4" t="s">
        <v>215</v>
      </c>
      <c r="U543" s="4">
        <v>20</v>
      </c>
      <c r="V543" s="4">
        <v>0</v>
      </c>
      <c r="W543" s="4">
        <v>0</v>
      </c>
    </row>
    <row r="544" spans="1:23" ht="11.25" customHeight="1" x14ac:dyDescent="0.3">
      <c r="A544" s="4" t="s">
        <v>53</v>
      </c>
      <c r="B544" s="4" t="s">
        <v>39</v>
      </c>
      <c r="C544" s="4" t="s">
        <v>41</v>
      </c>
      <c r="D544" s="4" t="s">
        <v>45</v>
      </c>
      <c r="E544" s="4" t="s">
        <v>25</v>
      </c>
      <c r="F544" s="4" t="s">
        <v>25</v>
      </c>
      <c r="G544" s="4" t="s">
        <v>25</v>
      </c>
      <c r="H544" s="4" t="s">
        <v>25</v>
      </c>
      <c r="I544" s="5">
        <v>44835</v>
      </c>
      <c r="J544" s="6">
        <v>838</v>
      </c>
      <c r="K544" s="6">
        <v>804.48</v>
      </c>
      <c r="L544" s="6">
        <v>0</v>
      </c>
      <c r="M544" s="6">
        <v>0</v>
      </c>
      <c r="N544" s="6">
        <v>0</v>
      </c>
      <c r="O544" s="6">
        <v>0</v>
      </c>
      <c r="P544" s="6">
        <v>6</v>
      </c>
      <c r="Q544" s="4" t="s">
        <v>26</v>
      </c>
      <c r="R544" s="4">
        <v>0</v>
      </c>
      <c r="S544" s="4" t="s">
        <v>216</v>
      </c>
      <c r="U544" s="4">
        <v>20</v>
      </c>
      <c r="V544" s="4">
        <v>0</v>
      </c>
      <c r="W544" s="4">
        <v>0</v>
      </c>
    </row>
    <row r="545" spans="1:23" ht="11.25" customHeight="1" x14ac:dyDescent="0.3">
      <c r="A545" s="4" t="s">
        <v>21</v>
      </c>
      <c r="B545" s="4" t="s">
        <v>39</v>
      </c>
      <c r="C545" s="4" t="s">
        <v>41</v>
      </c>
      <c r="D545" s="4" t="s">
        <v>45</v>
      </c>
      <c r="E545" s="4" t="s">
        <v>25</v>
      </c>
      <c r="F545" s="4" t="s">
        <v>25</v>
      </c>
      <c r="G545" s="4" t="s">
        <v>25</v>
      </c>
      <c r="H545" s="4" t="s">
        <v>34</v>
      </c>
      <c r="I545" s="5">
        <v>44501</v>
      </c>
      <c r="J545" s="6">
        <v>0</v>
      </c>
      <c r="K545" s="6">
        <v>0</v>
      </c>
      <c r="L545" s="6">
        <v>9.2420000000000009</v>
      </c>
      <c r="M545" s="6">
        <v>8.8723200000000002</v>
      </c>
      <c r="N545" s="6">
        <v>9.2420000000000009</v>
      </c>
      <c r="O545" s="6">
        <v>8.8723200000000002</v>
      </c>
      <c r="P545" s="6">
        <v>0</v>
      </c>
      <c r="Q545" s="4" t="s">
        <v>26</v>
      </c>
      <c r="R545" s="4">
        <v>0</v>
      </c>
      <c r="S545" s="4" t="s">
        <v>217</v>
      </c>
      <c r="T545" s="4" t="s">
        <v>446</v>
      </c>
      <c r="U545" s="4">
        <v>0</v>
      </c>
      <c r="V545" s="4">
        <v>8</v>
      </c>
      <c r="W545" s="4">
        <v>38</v>
      </c>
    </row>
    <row r="546" spans="1:23" ht="11.25" customHeight="1" x14ac:dyDescent="0.3">
      <c r="A546" s="4" t="s">
        <v>21</v>
      </c>
      <c r="B546" s="4" t="s">
        <v>39</v>
      </c>
      <c r="C546" s="4" t="s">
        <v>41</v>
      </c>
      <c r="D546" s="4" t="s">
        <v>45</v>
      </c>
      <c r="E546" s="4" t="s">
        <v>25</v>
      </c>
      <c r="F546" s="4" t="s">
        <v>25</v>
      </c>
      <c r="G546" s="4" t="s">
        <v>25</v>
      </c>
      <c r="H546" s="4" t="s">
        <v>34</v>
      </c>
      <c r="I546" s="5">
        <v>44531</v>
      </c>
      <c r="J546" s="6">
        <v>0</v>
      </c>
      <c r="K546" s="6">
        <v>0</v>
      </c>
      <c r="L546" s="6">
        <v>9.8689999999999998</v>
      </c>
      <c r="M546" s="6">
        <v>9.47424</v>
      </c>
      <c r="N546" s="6">
        <v>9.8689999999999998</v>
      </c>
      <c r="O546" s="6">
        <v>9.47424</v>
      </c>
      <c r="P546" s="6">
        <v>0</v>
      </c>
      <c r="Q546" s="4" t="s">
        <v>26</v>
      </c>
      <c r="R546" s="4">
        <v>0</v>
      </c>
      <c r="S546" s="4" t="s">
        <v>218</v>
      </c>
      <c r="T546" s="4" t="s">
        <v>447</v>
      </c>
      <c r="U546" s="4">
        <v>0</v>
      </c>
      <c r="V546" s="4">
        <v>8</v>
      </c>
      <c r="W546" s="4">
        <v>38</v>
      </c>
    </row>
    <row r="547" spans="1:23" ht="11.25" customHeight="1" x14ac:dyDescent="0.3">
      <c r="A547" s="4" t="s">
        <v>21</v>
      </c>
      <c r="B547" s="4" t="s">
        <v>39</v>
      </c>
      <c r="C547" s="4" t="s">
        <v>41</v>
      </c>
      <c r="D547" s="4" t="s">
        <v>45</v>
      </c>
      <c r="E547" s="4" t="s">
        <v>25</v>
      </c>
      <c r="F547" s="4" t="s">
        <v>25</v>
      </c>
      <c r="G547" s="4" t="s">
        <v>25</v>
      </c>
      <c r="H547" s="4" t="s">
        <v>34</v>
      </c>
      <c r="I547" s="5">
        <v>44562</v>
      </c>
      <c r="J547" s="6">
        <v>0</v>
      </c>
      <c r="K547" s="6">
        <v>0</v>
      </c>
      <c r="L547" s="6">
        <v>11.326000000000001</v>
      </c>
      <c r="M547" s="6">
        <v>10.872960000000001</v>
      </c>
      <c r="N547" s="6">
        <v>11.326000000000001</v>
      </c>
      <c r="O547" s="6">
        <v>10.872960000000001</v>
      </c>
      <c r="P547" s="6">
        <v>0</v>
      </c>
      <c r="Q547" s="4" t="s">
        <v>26</v>
      </c>
      <c r="R547" s="4">
        <v>0</v>
      </c>
      <c r="S547" s="4" t="s">
        <v>219</v>
      </c>
      <c r="T547" s="4" t="s">
        <v>448</v>
      </c>
      <c r="U547" s="4">
        <v>0</v>
      </c>
      <c r="V547" s="4">
        <v>8</v>
      </c>
      <c r="W547" s="4">
        <v>38</v>
      </c>
    </row>
    <row r="548" spans="1:23" ht="11.25" customHeight="1" x14ac:dyDescent="0.3">
      <c r="A548" s="4" t="s">
        <v>21</v>
      </c>
      <c r="B548" s="4" t="s">
        <v>39</v>
      </c>
      <c r="C548" s="4" t="s">
        <v>41</v>
      </c>
      <c r="D548" s="4" t="s">
        <v>45</v>
      </c>
      <c r="E548" s="4" t="s">
        <v>25</v>
      </c>
      <c r="F548" s="4" t="s">
        <v>25</v>
      </c>
      <c r="G548" s="4" t="s">
        <v>25</v>
      </c>
      <c r="H548" s="4" t="s">
        <v>34</v>
      </c>
      <c r="I548" s="5">
        <v>44593</v>
      </c>
      <c r="J548" s="6">
        <v>0</v>
      </c>
      <c r="K548" s="6">
        <v>0</v>
      </c>
      <c r="L548" s="6">
        <v>10.323</v>
      </c>
      <c r="M548" s="6">
        <v>9.9100800000000007</v>
      </c>
      <c r="N548" s="6">
        <v>10.323</v>
      </c>
      <c r="O548" s="6">
        <v>9.9100800000000007</v>
      </c>
      <c r="P548" s="6">
        <v>0</v>
      </c>
      <c r="Q548" s="4" t="s">
        <v>26</v>
      </c>
      <c r="R548" s="4">
        <v>0</v>
      </c>
      <c r="S548" s="4" t="s">
        <v>220</v>
      </c>
      <c r="T548" s="4" t="s">
        <v>449</v>
      </c>
      <c r="U548" s="4">
        <v>0</v>
      </c>
      <c r="V548" s="4">
        <v>8</v>
      </c>
      <c r="W548" s="4">
        <v>38</v>
      </c>
    </row>
    <row r="549" spans="1:23" ht="11.25" customHeight="1" x14ac:dyDescent="0.3">
      <c r="A549" s="4" t="s">
        <v>21</v>
      </c>
      <c r="B549" s="4" t="s">
        <v>39</v>
      </c>
      <c r="C549" s="4" t="s">
        <v>41</v>
      </c>
      <c r="D549" s="4" t="s">
        <v>45</v>
      </c>
      <c r="E549" s="4" t="s">
        <v>25</v>
      </c>
      <c r="F549" s="4" t="s">
        <v>25</v>
      </c>
      <c r="G549" s="4" t="s">
        <v>25</v>
      </c>
      <c r="H549" s="4" t="s">
        <v>34</v>
      </c>
      <c r="I549" s="5">
        <v>44621</v>
      </c>
      <c r="J549" s="6">
        <v>0</v>
      </c>
      <c r="K549" s="6">
        <v>0</v>
      </c>
      <c r="L549" s="6">
        <v>9.7509999999999994</v>
      </c>
      <c r="M549" s="6">
        <v>9.3609600000000004</v>
      </c>
      <c r="N549" s="6">
        <v>9.7509999999999994</v>
      </c>
      <c r="O549" s="6">
        <v>9.3609600000000004</v>
      </c>
      <c r="P549" s="6">
        <v>0</v>
      </c>
      <c r="Q549" s="4" t="s">
        <v>26</v>
      </c>
      <c r="R549" s="4">
        <v>0</v>
      </c>
      <c r="S549" s="4" t="s">
        <v>221</v>
      </c>
      <c r="T549" s="4" t="s">
        <v>450</v>
      </c>
      <c r="U549" s="4">
        <v>0</v>
      </c>
      <c r="V549" s="4">
        <v>8</v>
      </c>
      <c r="W549" s="4">
        <v>38</v>
      </c>
    </row>
    <row r="550" spans="1:23" ht="11.25" customHeight="1" x14ac:dyDescent="0.3">
      <c r="A550" s="4" t="s">
        <v>21</v>
      </c>
      <c r="B550" s="4" t="s">
        <v>39</v>
      </c>
      <c r="C550" s="4" t="s">
        <v>41</v>
      </c>
      <c r="D550" s="4" t="s">
        <v>45</v>
      </c>
      <c r="E550" s="4" t="s">
        <v>25</v>
      </c>
      <c r="F550" s="4" t="s">
        <v>25</v>
      </c>
      <c r="G550" s="4" t="s">
        <v>25</v>
      </c>
      <c r="H550" s="4" t="s">
        <v>34</v>
      </c>
      <c r="I550" s="5">
        <v>44652</v>
      </c>
      <c r="J550" s="6">
        <v>0</v>
      </c>
      <c r="K550" s="6">
        <v>0</v>
      </c>
      <c r="L550" s="6">
        <v>10.827999999999999</v>
      </c>
      <c r="M550" s="6">
        <v>10.394880000000001</v>
      </c>
      <c r="N550" s="6">
        <v>10.827999999999999</v>
      </c>
      <c r="O550" s="6">
        <v>10.394880000000001</v>
      </c>
      <c r="P550" s="6">
        <v>0</v>
      </c>
      <c r="Q550" s="4" t="s">
        <v>26</v>
      </c>
      <c r="R550" s="4">
        <v>0</v>
      </c>
      <c r="S550" s="4" t="s">
        <v>222</v>
      </c>
      <c r="T550" s="4" t="s">
        <v>451</v>
      </c>
      <c r="U550" s="4">
        <v>0</v>
      </c>
      <c r="V550" s="4">
        <v>8</v>
      </c>
      <c r="W550" s="4">
        <v>38</v>
      </c>
    </row>
    <row r="551" spans="1:23" ht="11.25" customHeight="1" x14ac:dyDescent="0.3">
      <c r="A551" s="4" t="s">
        <v>21</v>
      </c>
      <c r="B551" s="4" t="s">
        <v>39</v>
      </c>
      <c r="C551" s="4" t="s">
        <v>41</v>
      </c>
      <c r="D551" s="4" t="s">
        <v>45</v>
      </c>
      <c r="E551" s="4" t="s">
        <v>25</v>
      </c>
      <c r="F551" s="4" t="s">
        <v>25</v>
      </c>
      <c r="G551" s="4" t="s">
        <v>25</v>
      </c>
      <c r="H551" s="4" t="s">
        <v>34</v>
      </c>
      <c r="I551" s="5">
        <v>44682</v>
      </c>
      <c r="J551" s="6">
        <v>0</v>
      </c>
      <c r="K551" s="6">
        <v>0</v>
      </c>
      <c r="L551" s="6">
        <v>9.1790000000000003</v>
      </c>
      <c r="M551" s="6">
        <v>8.8118400000000001</v>
      </c>
      <c r="N551" s="6">
        <v>9.1790000000000003</v>
      </c>
      <c r="O551" s="6">
        <v>8.8118400000000001</v>
      </c>
      <c r="P551" s="6">
        <v>0</v>
      </c>
      <c r="Q551" s="4" t="s">
        <v>26</v>
      </c>
      <c r="R551" s="4">
        <v>0</v>
      </c>
      <c r="S551" s="4" t="s">
        <v>223</v>
      </c>
      <c r="T551" s="4" t="s">
        <v>452</v>
      </c>
      <c r="U551" s="4">
        <v>0</v>
      </c>
      <c r="V551" s="4">
        <v>8</v>
      </c>
      <c r="W551" s="4">
        <v>38</v>
      </c>
    </row>
    <row r="552" spans="1:23" ht="11.25" customHeight="1" x14ac:dyDescent="0.3">
      <c r="A552" s="4" t="s">
        <v>21</v>
      </c>
      <c r="B552" s="4" t="s">
        <v>39</v>
      </c>
      <c r="C552" s="4" t="s">
        <v>41</v>
      </c>
      <c r="D552" s="4" t="s">
        <v>45</v>
      </c>
      <c r="E552" s="4" t="s">
        <v>25</v>
      </c>
      <c r="F552" s="4" t="s">
        <v>25</v>
      </c>
      <c r="G552" s="4" t="s">
        <v>25</v>
      </c>
      <c r="H552" s="4" t="s">
        <v>34</v>
      </c>
      <c r="I552" s="5">
        <v>44713</v>
      </c>
      <c r="J552" s="6">
        <v>0</v>
      </c>
      <c r="K552" s="6">
        <v>0</v>
      </c>
      <c r="L552" s="6">
        <v>10.166</v>
      </c>
      <c r="M552" s="6">
        <v>9.7593599999999991</v>
      </c>
      <c r="N552" s="6">
        <v>10.166</v>
      </c>
      <c r="O552" s="6">
        <v>9.7593599999999991</v>
      </c>
      <c r="P552" s="6">
        <v>0</v>
      </c>
      <c r="Q552" s="4" t="s">
        <v>26</v>
      </c>
      <c r="R552" s="4">
        <v>0</v>
      </c>
      <c r="S552" s="4" t="s">
        <v>224</v>
      </c>
      <c r="T552" s="4" t="s">
        <v>453</v>
      </c>
      <c r="U552" s="4">
        <v>0</v>
      </c>
      <c r="V552" s="4">
        <v>8</v>
      </c>
      <c r="W552" s="4">
        <v>38</v>
      </c>
    </row>
    <row r="553" spans="1:23" ht="11.25" customHeight="1" x14ac:dyDescent="0.3">
      <c r="A553" s="4" t="s">
        <v>21</v>
      </c>
      <c r="B553" s="4" t="s">
        <v>39</v>
      </c>
      <c r="C553" s="4" t="s">
        <v>41</v>
      </c>
      <c r="D553" s="4" t="s">
        <v>45</v>
      </c>
      <c r="E553" s="4" t="s">
        <v>25</v>
      </c>
      <c r="F553" s="4" t="s">
        <v>25</v>
      </c>
      <c r="G553" s="4" t="s">
        <v>25</v>
      </c>
      <c r="H553" s="4" t="s">
        <v>34</v>
      </c>
      <c r="I553" s="5">
        <v>44743</v>
      </c>
      <c r="J553" s="6">
        <v>0</v>
      </c>
      <c r="K553" s="6">
        <v>0</v>
      </c>
      <c r="L553" s="6">
        <v>11.698</v>
      </c>
      <c r="M553" s="6">
        <v>11.230079999999999</v>
      </c>
      <c r="N553" s="6">
        <v>11.698</v>
      </c>
      <c r="O553" s="6">
        <v>11.230079999999999</v>
      </c>
      <c r="P553" s="6">
        <v>0</v>
      </c>
      <c r="Q553" s="4" t="s">
        <v>26</v>
      </c>
      <c r="R553" s="4">
        <v>0</v>
      </c>
      <c r="S553" s="4" t="s">
        <v>225</v>
      </c>
      <c r="T553" s="4" t="s">
        <v>454</v>
      </c>
      <c r="U553" s="4">
        <v>0</v>
      </c>
      <c r="V553" s="4">
        <v>8</v>
      </c>
      <c r="W553" s="4">
        <v>38</v>
      </c>
    </row>
    <row r="554" spans="1:23" ht="11.25" customHeight="1" x14ac:dyDescent="0.3">
      <c r="A554" s="4" t="s">
        <v>21</v>
      </c>
      <c r="B554" s="4" t="s">
        <v>39</v>
      </c>
      <c r="C554" s="4" t="s">
        <v>41</v>
      </c>
      <c r="D554" s="4" t="s">
        <v>45</v>
      </c>
      <c r="E554" s="4" t="s">
        <v>25</v>
      </c>
      <c r="F554" s="4" t="s">
        <v>25</v>
      </c>
      <c r="G554" s="4" t="s">
        <v>25</v>
      </c>
      <c r="H554" s="4" t="s">
        <v>34</v>
      </c>
      <c r="I554" s="5">
        <v>44774</v>
      </c>
      <c r="J554" s="6">
        <v>0</v>
      </c>
      <c r="K554" s="6">
        <v>0</v>
      </c>
      <c r="L554" s="6">
        <v>11.590999999999999</v>
      </c>
      <c r="M554" s="6">
        <v>11.127359999999999</v>
      </c>
      <c r="N554" s="6">
        <v>11.590999999999999</v>
      </c>
      <c r="O554" s="6">
        <v>11.127359999999999</v>
      </c>
      <c r="P554" s="6">
        <v>0</v>
      </c>
      <c r="Q554" s="4" t="s">
        <v>26</v>
      </c>
      <c r="R554" s="4">
        <v>0</v>
      </c>
      <c r="S554" s="4" t="s">
        <v>226</v>
      </c>
      <c r="T554" s="4" t="s">
        <v>455</v>
      </c>
      <c r="U554" s="4">
        <v>0</v>
      </c>
      <c r="V554" s="4">
        <v>8</v>
      </c>
      <c r="W554" s="4">
        <v>38</v>
      </c>
    </row>
    <row r="555" spans="1:23" ht="11.25" customHeight="1" x14ac:dyDescent="0.3">
      <c r="A555" s="4" t="s">
        <v>21</v>
      </c>
      <c r="B555" s="4" t="s">
        <v>39</v>
      </c>
      <c r="C555" s="4" t="s">
        <v>41</v>
      </c>
      <c r="D555" s="4" t="s">
        <v>45</v>
      </c>
      <c r="E555" s="4" t="s">
        <v>25</v>
      </c>
      <c r="F555" s="4" t="s">
        <v>25</v>
      </c>
      <c r="G555" s="4" t="s">
        <v>25</v>
      </c>
      <c r="H555" s="4" t="s">
        <v>34</v>
      </c>
      <c r="I555" s="5">
        <v>44805</v>
      </c>
      <c r="J555" s="6">
        <v>0</v>
      </c>
      <c r="K555" s="6">
        <v>0</v>
      </c>
      <c r="L555" s="6">
        <v>13.89</v>
      </c>
      <c r="M555" s="6">
        <v>13.3344</v>
      </c>
      <c r="N555" s="6">
        <v>13.89</v>
      </c>
      <c r="O555" s="6">
        <v>13.3344</v>
      </c>
      <c r="P555" s="6">
        <v>0</v>
      </c>
      <c r="Q555" s="4" t="s">
        <v>26</v>
      </c>
      <c r="R555" s="4">
        <v>0</v>
      </c>
      <c r="S555" s="4" t="s">
        <v>227</v>
      </c>
      <c r="T555" s="4" t="s">
        <v>456</v>
      </c>
      <c r="U555" s="4">
        <v>0</v>
      </c>
      <c r="V555" s="4">
        <v>8</v>
      </c>
      <c r="W555" s="4">
        <v>38</v>
      </c>
    </row>
    <row r="556" spans="1:23" ht="11.25" customHeight="1" x14ac:dyDescent="0.3">
      <c r="A556" s="4" t="s">
        <v>53</v>
      </c>
      <c r="B556" s="4" t="s">
        <v>39</v>
      </c>
      <c r="C556" s="4" t="s">
        <v>41</v>
      </c>
      <c r="D556" s="4" t="s">
        <v>45</v>
      </c>
      <c r="E556" s="4" t="s">
        <v>25</v>
      </c>
      <c r="F556" s="4" t="s">
        <v>25</v>
      </c>
      <c r="G556" s="4" t="s">
        <v>25</v>
      </c>
      <c r="H556" s="4" t="s">
        <v>34</v>
      </c>
      <c r="I556" s="5">
        <v>44835</v>
      </c>
      <c r="J556" s="6">
        <v>0</v>
      </c>
      <c r="K556" s="6">
        <v>0</v>
      </c>
      <c r="L556" s="6">
        <v>13.89</v>
      </c>
      <c r="M556" s="6">
        <v>13.3344</v>
      </c>
      <c r="N556" s="6">
        <v>13.89</v>
      </c>
      <c r="O556" s="6">
        <v>13.3344</v>
      </c>
      <c r="P556" s="6">
        <v>0</v>
      </c>
      <c r="Q556" s="4" t="s">
        <v>26</v>
      </c>
      <c r="R556" s="4">
        <v>0</v>
      </c>
      <c r="S556" s="4" t="s">
        <v>228</v>
      </c>
      <c r="T556" s="4" t="s">
        <v>457</v>
      </c>
      <c r="U556" s="4">
        <v>0</v>
      </c>
      <c r="V556" s="4">
        <v>8</v>
      </c>
      <c r="W556" s="4">
        <v>38</v>
      </c>
    </row>
    <row r="557" spans="1:23" ht="11.25" customHeight="1" x14ac:dyDescent="0.3">
      <c r="A557" s="4" t="s">
        <v>21</v>
      </c>
      <c r="B557" s="4" t="s">
        <v>39</v>
      </c>
      <c r="C557" s="4" t="s">
        <v>41</v>
      </c>
      <c r="D557" s="4" t="s">
        <v>50</v>
      </c>
      <c r="E557" s="4" t="s">
        <v>51</v>
      </c>
      <c r="F557" s="4" t="s">
        <v>25</v>
      </c>
      <c r="G557" s="4" t="s">
        <v>25</v>
      </c>
      <c r="H557" s="4" t="s">
        <v>35</v>
      </c>
      <c r="I557" s="5">
        <v>44501</v>
      </c>
      <c r="J557" s="6">
        <v>0</v>
      </c>
      <c r="K557" s="6">
        <v>0</v>
      </c>
      <c r="L557" s="6">
        <v>938.82899999999995</v>
      </c>
      <c r="M557" s="6">
        <v>882.49925999999994</v>
      </c>
      <c r="N557" s="6">
        <v>938.82899999999995</v>
      </c>
      <c r="O557" s="6">
        <v>882.49925999999994</v>
      </c>
      <c r="P557" s="6">
        <v>0</v>
      </c>
      <c r="Q557" s="4" t="s">
        <v>26</v>
      </c>
      <c r="R557" s="4">
        <v>0</v>
      </c>
      <c r="S557" s="4" t="s">
        <v>193</v>
      </c>
      <c r="T557" s="4" t="s">
        <v>434</v>
      </c>
      <c r="U557" s="4">
        <v>0</v>
      </c>
      <c r="V557" s="4">
        <v>6</v>
      </c>
      <c r="W557" s="4">
        <v>61</v>
      </c>
    </row>
    <row r="558" spans="1:23" ht="11.25" customHeight="1" x14ac:dyDescent="0.3">
      <c r="A558" s="4" t="s">
        <v>21</v>
      </c>
      <c r="B558" s="4" t="s">
        <v>39</v>
      </c>
      <c r="C558" s="4" t="s">
        <v>41</v>
      </c>
      <c r="D558" s="4" t="s">
        <v>50</v>
      </c>
      <c r="E558" s="4" t="s">
        <v>51</v>
      </c>
      <c r="F558" s="4" t="s">
        <v>25</v>
      </c>
      <c r="G558" s="4" t="s">
        <v>25</v>
      </c>
      <c r="H558" s="4" t="s">
        <v>35</v>
      </c>
      <c r="I558" s="5">
        <v>44531</v>
      </c>
      <c r="J558" s="6">
        <v>0</v>
      </c>
      <c r="K558" s="6">
        <v>0</v>
      </c>
      <c r="L558" s="6">
        <v>892.47500000000002</v>
      </c>
      <c r="M558" s="6">
        <v>838.92649999999992</v>
      </c>
      <c r="N558" s="6">
        <v>892.47500000000002</v>
      </c>
      <c r="O558" s="6">
        <v>838.92649999999992</v>
      </c>
      <c r="P558" s="6">
        <v>0</v>
      </c>
      <c r="Q558" s="4" t="s">
        <v>26</v>
      </c>
      <c r="R558" s="4">
        <v>0</v>
      </c>
      <c r="S558" s="4" t="s">
        <v>194</v>
      </c>
      <c r="T558" s="4" t="s">
        <v>435</v>
      </c>
      <c r="U558" s="4">
        <v>0</v>
      </c>
      <c r="V558" s="4">
        <v>6</v>
      </c>
      <c r="W558" s="4">
        <v>61</v>
      </c>
    </row>
    <row r="559" spans="1:23" ht="11.25" customHeight="1" x14ac:dyDescent="0.3">
      <c r="A559" s="4" t="s">
        <v>21</v>
      </c>
      <c r="B559" s="4" t="s">
        <v>39</v>
      </c>
      <c r="C559" s="4" t="s">
        <v>41</v>
      </c>
      <c r="D559" s="4" t="s">
        <v>50</v>
      </c>
      <c r="E559" s="4" t="s">
        <v>51</v>
      </c>
      <c r="F559" s="4" t="s">
        <v>25</v>
      </c>
      <c r="G559" s="4" t="s">
        <v>25</v>
      </c>
      <c r="H559" s="4" t="s">
        <v>35</v>
      </c>
      <c r="I559" s="5">
        <v>44562</v>
      </c>
      <c r="J559" s="6">
        <v>0</v>
      </c>
      <c r="K559" s="6">
        <v>0</v>
      </c>
      <c r="L559" s="6">
        <v>895.87800000000004</v>
      </c>
      <c r="M559" s="6">
        <v>842.12531999999999</v>
      </c>
      <c r="N559" s="6">
        <v>895.87800000000004</v>
      </c>
      <c r="O559" s="6">
        <v>842.12531999999999</v>
      </c>
      <c r="P559" s="6">
        <v>0</v>
      </c>
      <c r="Q559" s="4" t="s">
        <v>26</v>
      </c>
      <c r="R559" s="4">
        <v>0</v>
      </c>
      <c r="S559" s="4" t="s">
        <v>195</v>
      </c>
      <c r="T559" s="4" t="s">
        <v>436</v>
      </c>
      <c r="U559" s="4">
        <v>0</v>
      </c>
      <c r="V559" s="4">
        <v>6</v>
      </c>
      <c r="W559" s="4">
        <v>61</v>
      </c>
    </row>
    <row r="560" spans="1:23" ht="11.25" customHeight="1" x14ac:dyDescent="0.3">
      <c r="A560" s="4" t="s">
        <v>21</v>
      </c>
      <c r="B560" s="4" t="s">
        <v>39</v>
      </c>
      <c r="C560" s="4" t="s">
        <v>41</v>
      </c>
      <c r="D560" s="4" t="s">
        <v>50</v>
      </c>
      <c r="E560" s="4" t="s">
        <v>51</v>
      </c>
      <c r="F560" s="4" t="s">
        <v>25</v>
      </c>
      <c r="G560" s="4" t="s">
        <v>25</v>
      </c>
      <c r="H560" s="4" t="s">
        <v>35</v>
      </c>
      <c r="I560" s="5">
        <v>44593</v>
      </c>
      <c r="J560" s="6">
        <v>0</v>
      </c>
      <c r="K560" s="6">
        <v>0</v>
      </c>
      <c r="L560" s="6">
        <v>890.16</v>
      </c>
      <c r="M560" s="6">
        <v>836.75040000000001</v>
      </c>
      <c r="N560" s="6">
        <v>890.16</v>
      </c>
      <c r="O560" s="6">
        <v>836.75040000000001</v>
      </c>
      <c r="P560" s="6">
        <v>0</v>
      </c>
      <c r="Q560" s="4" t="s">
        <v>26</v>
      </c>
      <c r="R560" s="4">
        <v>0</v>
      </c>
      <c r="S560" s="4" t="s">
        <v>196</v>
      </c>
      <c r="T560" s="4" t="s">
        <v>437</v>
      </c>
      <c r="U560" s="4">
        <v>0</v>
      </c>
      <c r="V560" s="4">
        <v>6</v>
      </c>
      <c r="W560" s="4">
        <v>61</v>
      </c>
    </row>
    <row r="561" spans="1:23" ht="11.25" customHeight="1" x14ac:dyDescent="0.3">
      <c r="A561" s="4" t="s">
        <v>21</v>
      </c>
      <c r="B561" s="4" t="s">
        <v>39</v>
      </c>
      <c r="C561" s="4" t="s">
        <v>41</v>
      </c>
      <c r="D561" s="4" t="s">
        <v>50</v>
      </c>
      <c r="E561" s="4" t="s">
        <v>51</v>
      </c>
      <c r="F561" s="4" t="s">
        <v>25</v>
      </c>
      <c r="G561" s="4" t="s">
        <v>25</v>
      </c>
      <c r="H561" s="4" t="s">
        <v>35</v>
      </c>
      <c r="I561" s="5">
        <v>44621</v>
      </c>
      <c r="J561" s="6">
        <v>0</v>
      </c>
      <c r="K561" s="6">
        <v>0</v>
      </c>
      <c r="L561" s="6">
        <v>841.64800000000002</v>
      </c>
      <c r="M561" s="6">
        <v>791.14912000000004</v>
      </c>
      <c r="N561" s="6">
        <v>841.64800000000002</v>
      </c>
      <c r="O561" s="6">
        <v>791.14912000000004</v>
      </c>
      <c r="P561" s="6">
        <v>0</v>
      </c>
      <c r="Q561" s="4" t="s">
        <v>26</v>
      </c>
      <c r="R561" s="4">
        <v>0</v>
      </c>
      <c r="S561" s="4" t="s">
        <v>197</v>
      </c>
      <c r="T561" s="4" t="s">
        <v>438</v>
      </c>
      <c r="U561" s="4">
        <v>0</v>
      </c>
      <c r="V561" s="4">
        <v>6</v>
      </c>
      <c r="W561" s="4">
        <v>61</v>
      </c>
    </row>
    <row r="562" spans="1:23" ht="11.25" customHeight="1" x14ac:dyDescent="0.3">
      <c r="A562" s="4" t="s">
        <v>21</v>
      </c>
      <c r="B562" s="4" t="s">
        <v>39</v>
      </c>
      <c r="C562" s="4" t="s">
        <v>41</v>
      </c>
      <c r="D562" s="4" t="s">
        <v>50</v>
      </c>
      <c r="E562" s="4" t="s">
        <v>51</v>
      </c>
      <c r="F562" s="4" t="s">
        <v>25</v>
      </c>
      <c r="G562" s="4" t="s">
        <v>25</v>
      </c>
      <c r="H562" s="4" t="s">
        <v>35</v>
      </c>
      <c r="I562" s="5">
        <v>44652</v>
      </c>
      <c r="J562" s="6">
        <v>0</v>
      </c>
      <c r="K562" s="6">
        <v>0</v>
      </c>
      <c r="L562" s="6">
        <v>936.846</v>
      </c>
      <c r="M562" s="6">
        <v>880.63523999999995</v>
      </c>
      <c r="N562" s="6">
        <v>936.846</v>
      </c>
      <c r="O562" s="6">
        <v>880.63523999999995</v>
      </c>
      <c r="P562" s="6">
        <v>0</v>
      </c>
      <c r="Q562" s="4" t="s">
        <v>26</v>
      </c>
      <c r="R562" s="4">
        <v>0</v>
      </c>
      <c r="S562" s="4" t="s">
        <v>198</v>
      </c>
      <c r="T562" s="4" t="s">
        <v>439</v>
      </c>
      <c r="U562" s="4">
        <v>0</v>
      </c>
      <c r="V562" s="4">
        <v>6</v>
      </c>
      <c r="W562" s="4">
        <v>61</v>
      </c>
    </row>
    <row r="563" spans="1:23" ht="11.25" customHeight="1" x14ac:dyDescent="0.3">
      <c r="A563" s="4" t="s">
        <v>21</v>
      </c>
      <c r="B563" s="4" t="s">
        <v>39</v>
      </c>
      <c r="C563" s="4" t="s">
        <v>41</v>
      </c>
      <c r="D563" s="4" t="s">
        <v>50</v>
      </c>
      <c r="E563" s="4" t="s">
        <v>51</v>
      </c>
      <c r="F563" s="4" t="s">
        <v>25</v>
      </c>
      <c r="G563" s="4" t="s">
        <v>25</v>
      </c>
      <c r="H563" s="4" t="s">
        <v>35</v>
      </c>
      <c r="I563" s="5">
        <v>44682</v>
      </c>
      <c r="J563" s="6">
        <v>0</v>
      </c>
      <c r="K563" s="6">
        <v>0</v>
      </c>
      <c r="L563" s="6">
        <v>896.63499999999999</v>
      </c>
      <c r="M563" s="6">
        <v>842.83690000000001</v>
      </c>
      <c r="N563" s="6">
        <v>896.63499999999999</v>
      </c>
      <c r="O563" s="6">
        <v>842.83690000000001</v>
      </c>
      <c r="P563" s="6">
        <v>0</v>
      </c>
      <c r="Q563" s="4" t="s">
        <v>26</v>
      </c>
      <c r="R563" s="4">
        <v>0</v>
      </c>
      <c r="S563" s="4" t="s">
        <v>199</v>
      </c>
      <c r="T563" s="4" t="s">
        <v>440</v>
      </c>
      <c r="U563" s="4">
        <v>0</v>
      </c>
      <c r="V563" s="4">
        <v>6</v>
      </c>
      <c r="W563" s="4">
        <v>61</v>
      </c>
    </row>
    <row r="564" spans="1:23" ht="11.25" customHeight="1" x14ac:dyDescent="0.3">
      <c r="A564" s="4" t="s">
        <v>21</v>
      </c>
      <c r="B564" s="4" t="s">
        <v>39</v>
      </c>
      <c r="C564" s="4" t="s">
        <v>41</v>
      </c>
      <c r="D564" s="4" t="s">
        <v>50</v>
      </c>
      <c r="E564" s="4" t="s">
        <v>51</v>
      </c>
      <c r="F564" s="4" t="s">
        <v>25</v>
      </c>
      <c r="G564" s="4" t="s">
        <v>25</v>
      </c>
      <c r="H564" s="4" t="s">
        <v>35</v>
      </c>
      <c r="I564" s="5">
        <v>44713</v>
      </c>
      <c r="J564" s="6">
        <v>0</v>
      </c>
      <c r="K564" s="6">
        <v>0</v>
      </c>
      <c r="L564" s="6">
        <v>902.27800000000002</v>
      </c>
      <c r="M564" s="6">
        <v>848.14131999999995</v>
      </c>
      <c r="N564" s="6">
        <v>902.27800000000002</v>
      </c>
      <c r="O564" s="6">
        <v>848.14131999999995</v>
      </c>
      <c r="P564" s="6">
        <v>0</v>
      </c>
      <c r="Q564" s="4" t="s">
        <v>26</v>
      </c>
      <c r="R564" s="4">
        <v>0</v>
      </c>
      <c r="S564" s="4" t="s">
        <v>200</v>
      </c>
      <c r="T564" s="4" t="s">
        <v>441</v>
      </c>
      <c r="U564" s="4">
        <v>0</v>
      </c>
      <c r="V564" s="4">
        <v>6</v>
      </c>
      <c r="W564" s="4">
        <v>61</v>
      </c>
    </row>
    <row r="565" spans="1:23" ht="11.25" customHeight="1" x14ac:dyDescent="0.3">
      <c r="A565" s="4" t="s">
        <v>21</v>
      </c>
      <c r="B565" s="4" t="s">
        <v>39</v>
      </c>
      <c r="C565" s="4" t="s">
        <v>41</v>
      </c>
      <c r="D565" s="4" t="s">
        <v>50</v>
      </c>
      <c r="E565" s="4" t="s">
        <v>51</v>
      </c>
      <c r="F565" s="4" t="s">
        <v>25</v>
      </c>
      <c r="G565" s="4" t="s">
        <v>25</v>
      </c>
      <c r="H565" s="4" t="s">
        <v>35</v>
      </c>
      <c r="I565" s="5">
        <v>44743</v>
      </c>
      <c r="J565" s="6">
        <v>0</v>
      </c>
      <c r="K565" s="6">
        <v>0</v>
      </c>
      <c r="L565" s="6">
        <v>879.01599999999996</v>
      </c>
      <c r="M565" s="6">
        <v>826.27503999999999</v>
      </c>
      <c r="N565" s="6">
        <v>879.01599999999996</v>
      </c>
      <c r="O565" s="6">
        <v>826.27503999999999</v>
      </c>
      <c r="P565" s="6">
        <v>0</v>
      </c>
      <c r="Q565" s="4" t="s">
        <v>26</v>
      </c>
      <c r="R565" s="4">
        <v>0</v>
      </c>
      <c r="S565" s="4" t="s">
        <v>201</v>
      </c>
      <c r="T565" s="4" t="s">
        <v>442</v>
      </c>
      <c r="U565" s="4">
        <v>0</v>
      </c>
      <c r="V565" s="4">
        <v>6</v>
      </c>
      <c r="W565" s="4">
        <v>61</v>
      </c>
    </row>
    <row r="566" spans="1:23" ht="11.25" customHeight="1" x14ac:dyDescent="0.3">
      <c r="A566" s="4" t="s">
        <v>21</v>
      </c>
      <c r="B566" s="4" t="s">
        <v>39</v>
      </c>
      <c r="C566" s="4" t="s">
        <v>41</v>
      </c>
      <c r="D566" s="4" t="s">
        <v>50</v>
      </c>
      <c r="E566" s="4" t="s">
        <v>51</v>
      </c>
      <c r="F566" s="4" t="s">
        <v>25</v>
      </c>
      <c r="G566" s="4" t="s">
        <v>25</v>
      </c>
      <c r="H566" s="4" t="s">
        <v>35</v>
      </c>
      <c r="I566" s="5">
        <v>44774</v>
      </c>
      <c r="J566" s="6">
        <v>0</v>
      </c>
      <c r="K566" s="6">
        <v>0</v>
      </c>
      <c r="L566" s="6">
        <v>926.07299999999998</v>
      </c>
      <c r="M566" s="6">
        <v>870.50861999999995</v>
      </c>
      <c r="N566" s="6">
        <v>926.07299999999998</v>
      </c>
      <c r="O566" s="6">
        <v>870.50861999999995</v>
      </c>
      <c r="P566" s="6">
        <v>0</v>
      </c>
      <c r="Q566" s="4" t="s">
        <v>26</v>
      </c>
      <c r="R566" s="4">
        <v>0</v>
      </c>
      <c r="S566" s="4" t="s">
        <v>202</v>
      </c>
      <c r="T566" s="4" t="s">
        <v>443</v>
      </c>
      <c r="U566" s="4">
        <v>0</v>
      </c>
      <c r="V566" s="4">
        <v>6</v>
      </c>
      <c r="W566" s="4">
        <v>61</v>
      </c>
    </row>
    <row r="567" spans="1:23" ht="11.25" customHeight="1" x14ac:dyDescent="0.3">
      <c r="A567" s="4" t="s">
        <v>21</v>
      </c>
      <c r="B567" s="4" t="s">
        <v>39</v>
      </c>
      <c r="C567" s="4" t="s">
        <v>41</v>
      </c>
      <c r="D567" s="4" t="s">
        <v>50</v>
      </c>
      <c r="E567" s="4" t="s">
        <v>51</v>
      </c>
      <c r="F567" s="4" t="s">
        <v>25</v>
      </c>
      <c r="G567" s="4" t="s">
        <v>25</v>
      </c>
      <c r="H567" s="4" t="s">
        <v>35</v>
      </c>
      <c r="I567" s="5">
        <v>44805</v>
      </c>
      <c r="J567" s="6">
        <v>0</v>
      </c>
      <c r="K567" s="6">
        <v>0</v>
      </c>
      <c r="L567" s="6">
        <v>928.22900000000004</v>
      </c>
      <c r="M567" s="6">
        <v>872.53525999999999</v>
      </c>
      <c r="N567" s="6">
        <v>928.22900000000004</v>
      </c>
      <c r="O567" s="6">
        <v>872.53525999999999</v>
      </c>
      <c r="P567" s="6">
        <v>0</v>
      </c>
      <c r="Q567" s="4" t="s">
        <v>26</v>
      </c>
      <c r="R567" s="4">
        <v>0</v>
      </c>
      <c r="S567" s="4" t="s">
        <v>203</v>
      </c>
      <c r="T567" s="4" t="s">
        <v>444</v>
      </c>
      <c r="U567" s="4">
        <v>0</v>
      </c>
      <c r="V567" s="4">
        <v>6</v>
      </c>
      <c r="W567" s="4">
        <v>61</v>
      </c>
    </row>
    <row r="568" spans="1:23" ht="11.25" customHeight="1" x14ac:dyDescent="0.3">
      <c r="A568" s="4" t="s">
        <v>53</v>
      </c>
      <c r="B568" s="4" t="s">
        <v>39</v>
      </c>
      <c r="C568" s="4" t="s">
        <v>41</v>
      </c>
      <c r="D568" s="4" t="s">
        <v>50</v>
      </c>
      <c r="E568" s="4" t="s">
        <v>51</v>
      </c>
      <c r="F568" s="4" t="s">
        <v>25</v>
      </c>
      <c r="G568" s="4" t="s">
        <v>25</v>
      </c>
      <c r="H568" s="4" t="s">
        <v>35</v>
      </c>
      <c r="I568" s="5">
        <v>44835</v>
      </c>
      <c r="J568" s="6">
        <v>0</v>
      </c>
      <c r="K568" s="6">
        <v>0</v>
      </c>
      <c r="L568" s="6">
        <v>928.22900000000004</v>
      </c>
      <c r="M568" s="6">
        <v>872.53525999999999</v>
      </c>
      <c r="N568" s="6">
        <v>928.22900000000004</v>
      </c>
      <c r="O568" s="6">
        <v>872.53525999999999</v>
      </c>
      <c r="P568" s="6">
        <v>0</v>
      </c>
      <c r="Q568" s="4" t="s">
        <v>26</v>
      </c>
      <c r="R568" s="4">
        <v>0</v>
      </c>
      <c r="S568" s="4" t="s">
        <v>204</v>
      </c>
      <c r="T568" s="4" t="s">
        <v>445</v>
      </c>
      <c r="U568" s="4">
        <v>0</v>
      </c>
      <c r="V568" s="4">
        <v>6</v>
      </c>
      <c r="W568" s="4">
        <v>61</v>
      </c>
    </row>
    <row r="569" spans="1:23" ht="11.25" customHeight="1" x14ac:dyDescent="0.3">
      <c r="A569" s="4" t="s">
        <v>21</v>
      </c>
      <c r="B569" s="4" t="s">
        <v>39</v>
      </c>
      <c r="C569" s="4" t="s">
        <v>41</v>
      </c>
      <c r="D569" s="4" t="s">
        <v>50</v>
      </c>
      <c r="E569" s="4" t="s">
        <v>51</v>
      </c>
      <c r="F569" s="4" t="s">
        <v>25</v>
      </c>
      <c r="G569" s="4" t="s">
        <v>25</v>
      </c>
      <c r="H569" s="4" t="s">
        <v>25</v>
      </c>
      <c r="I569" s="5">
        <v>44501</v>
      </c>
      <c r="J569" s="6">
        <v>2053</v>
      </c>
      <c r="K569" s="6">
        <v>1929.82</v>
      </c>
      <c r="L569" s="6">
        <v>0</v>
      </c>
      <c r="M569" s="6">
        <v>0</v>
      </c>
      <c r="N569" s="6">
        <v>0</v>
      </c>
      <c r="O569" s="6">
        <v>0</v>
      </c>
      <c r="P569" s="6">
        <v>15</v>
      </c>
      <c r="Q569" s="4" t="s">
        <v>26</v>
      </c>
      <c r="R569" s="4">
        <v>0</v>
      </c>
      <c r="S569" s="4" t="s">
        <v>205</v>
      </c>
      <c r="U569" s="4">
        <v>20</v>
      </c>
      <c r="V569" s="4">
        <v>0</v>
      </c>
      <c r="W569" s="4">
        <v>0</v>
      </c>
    </row>
    <row r="570" spans="1:23" ht="11.25" customHeight="1" x14ac:dyDescent="0.3">
      <c r="A570" s="4" t="s">
        <v>21</v>
      </c>
      <c r="B570" s="4" t="s">
        <v>39</v>
      </c>
      <c r="C570" s="4" t="s">
        <v>41</v>
      </c>
      <c r="D570" s="4" t="s">
        <v>50</v>
      </c>
      <c r="E570" s="4" t="s">
        <v>51</v>
      </c>
      <c r="F570" s="4" t="s">
        <v>25</v>
      </c>
      <c r="G570" s="4" t="s">
        <v>25</v>
      </c>
      <c r="H570" s="4" t="s">
        <v>25</v>
      </c>
      <c r="I570" s="5">
        <v>44531</v>
      </c>
      <c r="J570" s="6">
        <v>2047</v>
      </c>
      <c r="K570" s="6">
        <v>1924.1799999999998</v>
      </c>
      <c r="L570" s="6">
        <v>0</v>
      </c>
      <c r="M570" s="6">
        <v>0</v>
      </c>
      <c r="N570" s="6">
        <v>0</v>
      </c>
      <c r="O570" s="6">
        <v>0</v>
      </c>
      <c r="P570" s="6">
        <v>15</v>
      </c>
      <c r="Q570" s="4" t="s">
        <v>26</v>
      </c>
      <c r="R570" s="4">
        <v>0</v>
      </c>
      <c r="S570" s="4" t="s">
        <v>206</v>
      </c>
      <c r="U570" s="4">
        <v>20</v>
      </c>
      <c r="V570" s="4">
        <v>0</v>
      </c>
      <c r="W570" s="4">
        <v>0</v>
      </c>
    </row>
    <row r="571" spans="1:23" ht="11.25" customHeight="1" x14ac:dyDescent="0.3">
      <c r="A571" s="4" t="s">
        <v>21</v>
      </c>
      <c r="B571" s="4" t="s">
        <v>39</v>
      </c>
      <c r="C571" s="4" t="s">
        <v>41</v>
      </c>
      <c r="D571" s="4" t="s">
        <v>50</v>
      </c>
      <c r="E571" s="4" t="s">
        <v>51</v>
      </c>
      <c r="F571" s="4" t="s">
        <v>25</v>
      </c>
      <c r="G571" s="4" t="s">
        <v>25</v>
      </c>
      <c r="H571" s="4" t="s">
        <v>25</v>
      </c>
      <c r="I571" s="5">
        <v>44562</v>
      </c>
      <c r="J571" s="6">
        <v>2026</v>
      </c>
      <c r="K571" s="6">
        <v>1904.44</v>
      </c>
      <c r="L571" s="6">
        <v>0</v>
      </c>
      <c r="M571" s="6">
        <v>0</v>
      </c>
      <c r="N571" s="6">
        <v>0</v>
      </c>
      <c r="O571" s="6">
        <v>0</v>
      </c>
      <c r="P571" s="6">
        <v>14</v>
      </c>
      <c r="Q571" s="4" t="s">
        <v>26</v>
      </c>
      <c r="R571" s="4">
        <v>0</v>
      </c>
      <c r="S571" s="4" t="s">
        <v>207</v>
      </c>
      <c r="U571" s="4">
        <v>20</v>
      </c>
      <c r="V571" s="4">
        <v>0</v>
      </c>
      <c r="W571" s="4">
        <v>0</v>
      </c>
    </row>
    <row r="572" spans="1:23" ht="11.25" customHeight="1" x14ac:dyDescent="0.3">
      <c r="A572" s="4" t="s">
        <v>21</v>
      </c>
      <c r="B572" s="4" t="s">
        <v>39</v>
      </c>
      <c r="C572" s="4" t="s">
        <v>41</v>
      </c>
      <c r="D572" s="4" t="s">
        <v>50</v>
      </c>
      <c r="E572" s="4" t="s">
        <v>51</v>
      </c>
      <c r="F572" s="4" t="s">
        <v>25</v>
      </c>
      <c r="G572" s="4" t="s">
        <v>25</v>
      </c>
      <c r="H572" s="4" t="s">
        <v>25</v>
      </c>
      <c r="I572" s="5">
        <v>44593</v>
      </c>
      <c r="J572" s="6">
        <v>2048</v>
      </c>
      <c r="K572" s="6">
        <v>1925.12</v>
      </c>
      <c r="L572" s="6">
        <v>0</v>
      </c>
      <c r="M572" s="6">
        <v>0</v>
      </c>
      <c r="N572" s="6">
        <v>0</v>
      </c>
      <c r="O572" s="6">
        <v>0</v>
      </c>
      <c r="P572" s="6">
        <v>14</v>
      </c>
      <c r="Q572" s="4" t="s">
        <v>26</v>
      </c>
      <c r="R572" s="4">
        <v>0</v>
      </c>
      <c r="S572" s="4" t="s">
        <v>208</v>
      </c>
      <c r="U572" s="4">
        <v>20</v>
      </c>
      <c r="V572" s="4">
        <v>0</v>
      </c>
      <c r="W572" s="4">
        <v>0</v>
      </c>
    </row>
    <row r="573" spans="1:23" ht="11.25" customHeight="1" x14ac:dyDescent="0.3">
      <c r="A573" s="4" t="s">
        <v>21</v>
      </c>
      <c r="B573" s="4" t="s">
        <v>39</v>
      </c>
      <c r="C573" s="4" t="s">
        <v>41</v>
      </c>
      <c r="D573" s="4" t="s">
        <v>50</v>
      </c>
      <c r="E573" s="4" t="s">
        <v>51</v>
      </c>
      <c r="F573" s="4" t="s">
        <v>25</v>
      </c>
      <c r="G573" s="4" t="s">
        <v>25</v>
      </c>
      <c r="H573" s="4" t="s">
        <v>25</v>
      </c>
      <c r="I573" s="5">
        <v>44621</v>
      </c>
      <c r="J573" s="6">
        <v>2056</v>
      </c>
      <c r="K573" s="6">
        <v>1932.64</v>
      </c>
      <c r="L573" s="6">
        <v>0</v>
      </c>
      <c r="M573" s="6">
        <v>0</v>
      </c>
      <c r="N573" s="6">
        <v>0</v>
      </c>
      <c r="O573" s="6">
        <v>0</v>
      </c>
      <c r="P573" s="6">
        <v>14</v>
      </c>
      <c r="Q573" s="4" t="s">
        <v>26</v>
      </c>
      <c r="R573" s="4">
        <v>0</v>
      </c>
      <c r="S573" s="4" t="s">
        <v>209</v>
      </c>
      <c r="U573" s="4">
        <v>20</v>
      </c>
      <c r="V573" s="4">
        <v>0</v>
      </c>
      <c r="W573" s="4">
        <v>0</v>
      </c>
    </row>
    <row r="574" spans="1:23" ht="11.25" customHeight="1" x14ac:dyDescent="0.3">
      <c r="A574" s="4" t="s">
        <v>21</v>
      </c>
      <c r="B574" s="4" t="s">
        <v>39</v>
      </c>
      <c r="C574" s="4" t="s">
        <v>41</v>
      </c>
      <c r="D574" s="4" t="s">
        <v>50</v>
      </c>
      <c r="E574" s="4" t="s">
        <v>51</v>
      </c>
      <c r="F574" s="4" t="s">
        <v>25</v>
      </c>
      <c r="G574" s="4" t="s">
        <v>25</v>
      </c>
      <c r="H574" s="4" t="s">
        <v>25</v>
      </c>
      <c r="I574" s="5">
        <v>44652</v>
      </c>
      <c r="J574" s="6">
        <v>2050</v>
      </c>
      <c r="K574" s="6">
        <v>1927</v>
      </c>
      <c r="L574" s="6">
        <v>0</v>
      </c>
      <c r="M574" s="6">
        <v>0</v>
      </c>
      <c r="N574" s="6">
        <v>0</v>
      </c>
      <c r="O574" s="6">
        <v>0</v>
      </c>
      <c r="P574" s="6">
        <v>14</v>
      </c>
      <c r="Q574" s="4" t="s">
        <v>26</v>
      </c>
      <c r="R574" s="4">
        <v>0</v>
      </c>
      <c r="S574" s="4" t="s">
        <v>210</v>
      </c>
      <c r="U574" s="4">
        <v>20</v>
      </c>
      <c r="V574" s="4">
        <v>0</v>
      </c>
      <c r="W574" s="4">
        <v>0</v>
      </c>
    </row>
    <row r="575" spans="1:23" ht="11.25" customHeight="1" x14ac:dyDescent="0.3">
      <c r="A575" s="4" t="s">
        <v>21</v>
      </c>
      <c r="B575" s="4" t="s">
        <v>39</v>
      </c>
      <c r="C575" s="4" t="s">
        <v>41</v>
      </c>
      <c r="D575" s="4" t="s">
        <v>50</v>
      </c>
      <c r="E575" s="4" t="s">
        <v>51</v>
      </c>
      <c r="F575" s="4" t="s">
        <v>25</v>
      </c>
      <c r="G575" s="4" t="s">
        <v>25</v>
      </c>
      <c r="H575" s="4" t="s">
        <v>25</v>
      </c>
      <c r="I575" s="5">
        <v>44682</v>
      </c>
      <c r="J575" s="6">
        <v>2072</v>
      </c>
      <c r="K575" s="6">
        <v>1947.68</v>
      </c>
      <c r="L575" s="6">
        <v>0</v>
      </c>
      <c r="M575" s="6">
        <v>0</v>
      </c>
      <c r="N575" s="6">
        <v>0</v>
      </c>
      <c r="O575" s="6">
        <v>0</v>
      </c>
      <c r="P575" s="6">
        <v>14</v>
      </c>
      <c r="Q575" s="4" t="s">
        <v>26</v>
      </c>
      <c r="R575" s="4">
        <v>0</v>
      </c>
      <c r="S575" s="4" t="s">
        <v>211</v>
      </c>
      <c r="U575" s="4">
        <v>20</v>
      </c>
      <c r="V575" s="4">
        <v>0</v>
      </c>
      <c r="W575" s="4">
        <v>0</v>
      </c>
    </row>
    <row r="576" spans="1:23" ht="11.25" customHeight="1" x14ac:dyDescent="0.3">
      <c r="A576" s="4" t="s">
        <v>21</v>
      </c>
      <c r="B576" s="4" t="s">
        <v>39</v>
      </c>
      <c r="C576" s="4" t="s">
        <v>41</v>
      </c>
      <c r="D576" s="4" t="s">
        <v>50</v>
      </c>
      <c r="E576" s="4" t="s">
        <v>51</v>
      </c>
      <c r="F576" s="4" t="s">
        <v>25</v>
      </c>
      <c r="G576" s="4" t="s">
        <v>25</v>
      </c>
      <c r="H576" s="4" t="s">
        <v>25</v>
      </c>
      <c r="I576" s="5">
        <v>44713</v>
      </c>
      <c r="J576" s="6">
        <v>2061</v>
      </c>
      <c r="K576" s="6">
        <v>1937.34</v>
      </c>
      <c r="L576" s="6">
        <v>0</v>
      </c>
      <c r="M576" s="6">
        <v>0</v>
      </c>
      <c r="N576" s="6">
        <v>0</v>
      </c>
      <c r="O576" s="6">
        <v>0</v>
      </c>
      <c r="P576" s="6">
        <v>14</v>
      </c>
      <c r="Q576" s="4" t="s">
        <v>26</v>
      </c>
      <c r="R576" s="4">
        <v>0</v>
      </c>
      <c r="S576" s="4" t="s">
        <v>212</v>
      </c>
      <c r="U576" s="4">
        <v>20</v>
      </c>
      <c r="V576" s="4">
        <v>0</v>
      </c>
      <c r="W576" s="4">
        <v>0</v>
      </c>
    </row>
    <row r="577" spans="1:23" ht="11.25" customHeight="1" x14ac:dyDescent="0.3">
      <c r="A577" s="4" t="s">
        <v>21</v>
      </c>
      <c r="B577" s="4" t="s">
        <v>39</v>
      </c>
      <c r="C577" s="4" t="s">
        <v>41</v>
      </c>
      <c r="D577" s="4" t="s">
        <v>50</v>
      </c>
      <c r="E577" s="4" t="s">
        <v>51</v>
      </c>
      <c r="F577" s="4" t="s">
        <v>25</v>
      </c>
      <c r="G577" s="4" t="s">
        <v>25</v>
      </c>
      <c r="H577" s="4" t="s">
        <v>25</v>
      </c>
      <c r="I577" s="5">
        <v>44743</v>
      </c>
      <c r="J577" s="6">
        <v>2081</v>
      </c>
      <c r="K577" s="6">
        <v>1956.14</v>
      </c>
      <c r="L577" s="6">
        <v>0</v>
      </c>
      <c r="M577" s="6">
        <v>0</v>
      </c>
      <c r="N577" s="6">
        <v>0</v>
      </c>
      <c r="O577" s="6">
        <v>0</v>
      </c>
      <c r="P577" s="6">
        <v>14</v>
      </c>
      <c r="Q577" s="4" t="s">
        <v>26</v>
      </c>
      <c r="R577" s="4">
        <v>0</v>
      </c>
      <c r="S577" s="4" t="s">
        <v>213</v>
      </c>
      <c r="U577" s="4">
        <v>20</v>
      </c>
      <c r="V577" s="4">
        <v>0</v>
      </c>
      <c r="W577" s="4">
        <v>0</v>
      </c>
    </row>
    <row r="578" spans="1:23" ht="11.25" customHeight="1" x14ac:dyDescent="0.3">
      <c r="A578" s="4" t="s">
        <v>21</v>
      </c>
      <c r="B578" s="4" t="s">
        <v>39</v>
      </c>
      <c r="C578" s="4" t="s">
        <v>41</v>
      </c>
      <c r="D578" s="4" t="s">
        <v>50</v>
      </c>
      <c r="E578" s="4" t="s">
        <v>51</v>
      </c>
      <c r="F578" s="4" t="s">
        <v>25</v>
      </c>
      <c r="G578" s="4" t="s">
        <v>25</v>
      </c>
      <c r="H578" s="4" t="s">
        <v>25</v>
      </c>
      <c r="I578" s="5">
        <v>44774</v>
      </c>
      <c r="J578" s="6">
        <v>2090</v>
      </c>
      <c r="K578" s="6">
        <v>1964.6</v>
      </c>
      <c r="L578" s="6">
        <v>0</v>
      </c>
      <c r="M578" s="6">
        <v>0</v>
      </c>
      <c r="N578" s="6">
        <v>0</v>
      </c>
      <c r="O578" s="6">
        <v>0</v>
      </c>
      <c r="P578" s="6">
        <v>14</v>
      </c>
      <c r="Q578" s="4" t="s">
        <v>26</v>
      </c>
      <c r="R578" s="4">
        <v>0</v>
      </c>
      <c r="S578" s="4" t="s">
        <v>214</v>
      </c>
      <c r="U578" s="4">
        <v>20</v>
      </c>
      <c r="V578" s="4">
        <v>0</v>
      </c>
      <c r="W578" s="4">
        <v>0</v>
      </c>
    </row>
    <row r="579" spans="1:23" ht="11.25" customHeight="1" x14ac:dyDescent="0.3">
      <c r="A579" s="4" t="s">
        <v>21</v>
      </c>
      <c r="B579" s="4" t="s">
        <v>39</v>
      </c>
      <c r="C579" s="4" t="s">
        <v>41</v>
      </c>
      <c r="D579" s="4" t="s">
        <v>50</v>
      </c>
      <c r="E579" s="4" t="s">
        <v>51</v>
      </c>
      <c r="F579" s="4" t="s">
        <v>25</v>
      </c>
      <c r="G579" s="4" t="s">
        <v>25</v>
      </c>
      <c r="H579" s="4" t="s">
        <v>25</v>
      </c>
      <c r="I579" s="5">
        <v>44805</v>
      </c>
      <c r="J579" s="6">
        <v>2091</v>
      </c>
      <c r="K579" s="6">
        <v>1965.54</v>
      </c>
      <c r="L579" s="6">
        <v>0</v>
      </c>
      <c r="M579" s="6">
        <v>0</v>
      </c>
      <c r="N579" s="6">
        <v>0</v>
      </c>
      <c r="O579" s="6">
        <v>0</v>
      </c>
      <c r="P579" s="6">
        <v>14</v>
      </c>
      <c r="Q579" s="4" t="s">
        <v>26</v>
      </c>
      <c r="R579" s="4">
        <v>0</v>
      </c>
      <c r="S579" s="4" t="s">
        <v>215</v>
      </c>
      <c r="U579" s="4">
        <v>20</v>
      </c>
      <c r="V579" s="4">
        <v>0</v>
      </c>
      <c r="W579" s="4">
        <v>0</v>
      </c>
    </row>
    <row r="580" spans="1:23" ht="11.25" customHeight="1" x14ac:dyDescent="0.3">
      <c r="A580" s="4" t="s">
        <v>53</v>
      </c>
      <c r="B580" s="4" t="s">
        <v>39</v>
      </c>
      <c r="C580" s="4" t="s">
        <v>41</v>
      </c>
      <c r="D580" s="4" t="s">
        <v>50</v>
      </c>
      <c r="E580" s="4" t="s">
        <v>51</v>
      </c>
      <c r="F580" s="4" t="s">
        <v>25</v>
      </c>
      <c r="G580" s="4" t="s">
        <v>25</v>
      </c>
      <c r="H580" s="4" t="s">
        <v>25</v>
      </c>
      <c r="I580" s="5">
        <v>44835</v>
      </c>
      <c r="J580" s="6">
        <v>2091</v>
      </c>
      <c r="K580" s="6">
        <v>1965.54</v>
      </c>
      <c r="L580" s="6">
        <v>0</v>
      </c>
      <c r="M580" s="6">
        <v>0</v>
      </c>
      <c r="N580" s="6">
        <v>0</v>
      </c>
      <c r="O580" s="6">
        <v>0</v>
      </c>
      <c r="P580" s="6">
        <v>14</v>
      </c>
      <c r="Q580" s="4" t="s">
        <v>26</v>
      </c>
      <c r="R580" s="4">
        <v>0</v>
      </c>
      <c r="S580" s="4" t="s">
        <v>216</v>
      </c>
      <c r="U580" s="4">
        <v>20</v>
      </c>
      <c r="V580" s="4">
        <v>0</v>
      </c>
      <c r="W580" s="4">
        <v>0</v>
      </c>
    </row>
    <row r="581" spans="1:23" ht="11.25" customHeight="1" x14ac:dyDescent="0.3">
      <c r="A581" s="4" t="s">
        <v>21</v>
      </c>
      <c r="B581" s="4" t="s">
        <v>39</v>
      </c>
      <c r="C581" s="4" t="s">
        <v>41</v>
      </c>
      <c r="D581" s="4" t="s">
        <v>50</v>
      </c>
      <c r="E581" s="4" t="s">
        <v>51</v>
      </c>
      <c r="F581" s="4" t="s">
        <v>25</v>
      </c>
      <c r="G581" s="4" t="s">
        <v>25</v>
      </c>
      <c r="H581" s="4" t="s">
        <v>34</v>
      </c>
      <c r="I581" s="5">
        <v>44501</v>
      </c>
      <c r="J581" s="6">
        <v>0</v>
      </c>
      <c r="K581" s="6">
        <v>0</v>
      </c>
      <c r="L581" s="6">
        <v>49.845999999999997</v>
      </c>
      <c r="M581" s="6">
        <v>46.855239999999995</v>
      </c>
      <c r="N581" s="6">
        <v>49.845999999999997</v>
      </c>
      <c r="O581" s="6">
        <v>46.855239999999995</v>
      </c>
      <c r="P581" s="6">
        <v>0</v>
      </c>
      <c r="Q581" s="4" t="s">
        <v>26</v>
      </c>
      <c r="R581" s="4">
        <v>0</v>
      </c>
      <c r="S581" s="4" t="s">
        <v>217</v>
      </c>
      <c r="T581" s="4" t="s">
        <v>446</v>
      </c>
      <c r="U581" s="4">
        <v>0</v>
      </c>
      <c r="V581" s="4">
        <v>8</v>
      </c>
      <c r="W581" s="4">
        <v>38</v>
      </c>
    </row>
    <row r="582" spans="1:23" ht="11.25" customHeight="1" x14ac:dyDescent="0.3">
      <c r="A582" s="4" t="s">
        <v>21</v>
      </c>
      <c r="B582" s="4" t="s">
        <v>39</v>
      </c>
      <c r="C582" s="4" t="s">
        <v>41</v>
      </c>
      <c r="D582" s="4" t="s">
        <v>50</v>
      </c>
      <c r="E582" s="4" t="s">
        <v>51</v>
      </c>
      <c r="F582" s="4" t="s">
        <v>25</v>
      </c>
      <c r="G582" s="4" t="s">
        <v>25</v>
      </c>
      <c r="H582" s="4" t="s">
        <v>34</v>
      </c>
      <c r="I582" s="5">
        <v>44531</v>
      </c>
      <c r="J582" s="6">
        <v>0</v>
      </c>
      <c r="K582" s="6">
        <v>0</v>
      </c>
      <c r="L582" s="6">
        <v>41.014000000000003</v>
      </c>
      <c r="M582" s="6">
        <v>38.553159999999998</v>
      </c>
      <c r="N582" s="6">
        <v>41.014000000000003</v>
      </c>
      <c r="O582" s="6">
        <v>38.553159999999998</v>
      </c>
      <c r="P582" s="6">
        <v>0</v>
      </c>
      <c r="Q582" s="4" t="s">
        <v>26</v>
      </c>
      <c r="R582" s="4">
        <v>0</v>
      </c>
      <c r="S582" s="4" t="s">
        <v>218</v>
      </c>
      <c r="T582" s="4" t="s">
        <v>447</v>
      </c>
      <c r="U582" s="4">
        <v>0</v>
      </c>
      <c r="V582" s="4">
        <v>8</v>
      </c>
      <c r="W582" s="4">
        <v>38</v>
      </c>
    </row>
    <row r="583" spans="1:23" ht="11.25" customHeight="1" x14ac:dyDescent="0.3">
      <c r="A583" s="4" t="s">
        <v>21</v>
      </c>
      <c r="B583" s="4" t="s">
        <v>39</v>
      </c>
      <c r="C583" s="4" t="s">
        <v>41</v>
      </c>
      <c r="D583" s="4" t="s">
        <v>50</v>
      </c>
      <c r="E583" s="4" t="s">
        <v>51</v>
      </c>
      <c r="F583" s="4" t="s">
        <v>25</v>
      </c>
      <c r="G583" s="4" t="s">
        <v>25</v>
      </c>
      <c r="H583" s="4" t="s">
        <v>34</v>
      </c>
      <c r="I583" s="5">
        <v>44562</v>
      </c>
      <c r="J583" s="6">
        <v>0</v>
      </c>
      <c r="K583" s="6">
        <v>0</v>
      </c>
      <c r="L583" s="6">
        <v>50.685000000000002</v>
      </c>
      <c r="M583" s="6">
        <v>47.643900000000002</v>
      </c>
      <c r="N583" s="6">
        <v>50.685000000000002</v>
      </c>
      <c r="O583" s="6">
        <v>47.643900000000002</v>
      </c>
      <c r="P583" s="6">
        <v>0</v>
      </c>
      <c r="Q583" s="4" t="s">
        <v>26</v>
      </c>
      <c r="R583" s="4">
        <v>0</v>
      </c>
      <c r="S583" s="4" t="s">
        <v>219</v>
      </c>
      <c r="T583" s="4" t="s">
        <v>448</v>
      </c>
      <c r="U583" s="4">
        <v>0</v>
      </c>
      <c r="V583" s="4">
        <v>8</v>
      </c>
      <c r="W583" s="4">
        <v>38</v>
      </c>
    </row>
    <row r="584" spans="1:23" ht="11.25" customHeight="1" x14ac:dyDescent="0.3">
      <c r="A584" s="4" t="s">
        <v>21</v>
      </c>
      <c r="B584" s="4" t="s">
        <v>39</v>
      </c>
      <c r="C584" s="4" t="s">
        <v>41</v>
      </c>
      <c r="D584" s="4" t="s">
        <v>50</v>
      </c>
      <c r="E584" s="4" t="s">
        <v>51</v>
      </c>
      <c r="F584" s="4" t="s">
        <v>25</v>
      </c>
      <c r="G584" s="4" t="s">
        <v>25</v>
      </c>
      <c r="H584" s="4" t="s">
        <v>34</v>
      </c>
      <c r="I584" s="5">
        <v>44593</v>
      </c>
      <c r="J584" s="6">
        <v>0</v>
      </c>
      <c r="K584" s="6">
        <v>0</v>
      </c>
      <c r="L584" s="6">
        <v>43.015000000000001</v>
      </c>
      <c r="M584" s="6">
        <v>40.434100000000001</v>
      </c>
      <c r="N584" s="6">
        <v>43.015000000000001</v>
      </c>
      <c r="O584" s="6">
        <v>40.434100000000001</v>
      </c>
      <c r="P584" s="6">
        <v>0</v>
      </c>
      <c r="Q584" s="4" t="s">
        <v>26</v>
      </c>
      <c r="R584" s="4">
        <v>0</v>
      </c>
      <c r="S584" s="4" t="s">
        <v>220</v>
      </c>
      <c r="T584" s="4" t="s">
        <v>449</v>
      </c>
      <c r="U584" s="4">
        <v>0</v>
      </c>
      <c r="V584" s="4">
        <v>8</v>
      </c>
      <c r="W584" s="4">
        <v>38</v>
      </c>
    </row>
    <row r="585" spans="1:23" ht="11.25" customHeight="1" x14ac:dyDescent="0.3">
      <c r="A585" s="4" t="s">
        <v>21</v>
      </c>
      <c r="B585" s="4" t="s">
        <v>39</v>
      </c>
      <c r="C585" s="4" t="s">
        <v>41</v>
      </c>
      <c r="D585" s="4" t="s">
        <v>50</v>
      </c>
      <c r="E585" s="4" t="s">
        <v>51</v>
      </c>
      <c r="F585" s="4" t="s">
        <v>25</v>
      </c>
      <c r="G585" s="4" t="s">
        <v>25</v>
      </c>
      <c r="H585" s="4" t="s">
        <v>34</v>
      </c>
      <c r="I585" s="5">
        <v>44621</v>
      </c>
      <c r="J585" s="6">
        <v>0</v>
      </c>
      <c r="K585" s="6">
        <v>0</v>
      </c>
      <c r="L585" s="6">
        <v>38.561</v>
      </c>
      <c r="M585" s="6">
        <v>36.247340000000001</v>
      </c>
      <c r="N585" s="6">
        <v>38.561</v>
      </c>
      <c r="O585" s="6">
        <v>36.247340000000001</v>
      </c>
      <c r="P585" s="6">
        <v>0</v>
      </c>
      <c r="Q585" s="4" t="s">
        <v>26</v>
      </c>
      <c r="R585" s="4">
        <v>0</v>
      </c>
      <c r="S585" s="4" t="s">
        <v>221</v>
      </c>
      <c r="T585" s="4" t="s">
        <v>450</v>
      </c>
      <c r="U585" s="4">
        <v>0</v>
      </c>
      <c r="V585" s="4">
        <v>8</v>
      </c>
      <c r="W585" s="4">
        <v>38</v>
      </c>
    </row>
    <row r="586" spans="1:23" ht="11.25" customHeight="1" x14ac:dyDescent="0.3">
      <c r="A586" s="4" t="s">
        <v>21</v>
      </c>
      <c r="B586" s="4" t="s">
        <v>39</v>
      </c>
      <c r="C586" s="4" t="s">
        <v>41</v>
      </c>
      <c r="D586" s="4" t="s">
        <v>50</v>
      </c>
      <c r="E586" s="4" t="s">
        <v>51</v>
      </c>
      <c r="F586" s="4" t="s">
        <v>25</v>
      </c>
      <c r="G586" s="4" t="s">
        <v>25</v>
      </c>
      <c r="H586" s="4" t="s">
        <v>34</v>
      </c>
      <c r="I586" s="5">
        <v>44652</v>
      </c>
      <c r="J586" s="6">
        <v>0</v>
      </c>
      <c r="K586" s="6">
        <v>0</v>
      </c>
      <c r="L586" s="6">
        <v>44.167000000000002</v>
      </c>
      <c r="M586" s="6">
        <v>41.516979999999997</v>
      </c>
      <c r="N586" s="6">
        <v>44.167000000000002</v>
      </c>
      <c r="O586" s="6">
        <v>41.516979999999997</v>
      </c>
      <c r="P586" s="6">
        <v>0</v>
      </c>
      <c r="Q586" s="4" t="s">
        <v>26</v>
      </c>
      <c r="R586" s="4">
        <v>0</v>
      </c>
      <c r="S586" s="4" t="s">
        <v>222</v>
      </c>
      <c r="T586" s="4" t="s">
        <v>451</v>
      </c>
      <c r="U586" s="4">
        <v>0</v>
      </c>
      <c r="V586" s="4">
        <v>8</v>
      </c>
      <c r="W586" s="4">
        <v>38</v>
      </c>
    </row>
    <row r="587" spans="1:23" ht="11.25" customHeight="1" x14ac:dyDescent="0.3">
      <c r="A587" s="4" t="s">
        <v>21</v>
      </c>
      <c r="B587" s="4" t="s">
        <v>39</v>
      </c>
      <c r="C587" s="4" t="s">
        <v>41</v>
      </c>
      <c r="D587" s="4" t="s">
        <v>50</v>
      </c>
      <c r="E587" s="4" t="s">
        <v>51</v>
      </c>
      <c r="F587" s="4" t="s">
        <v>25</v>
      </c>
      <c r="G587" s="4" t="s">
        <v>25</v>
      </c>
      <c r="H587" s="4" t="s">
        <v>34</v>
      </c>
      <c r="I587" s="5">
        <v>44682</v>
      </c>
      <c r="J587" s="6">
        <v>0</v>
      </c>
      <c r="K587" s="6">
        <v>0</v>
      </c>
      <c r="L587" s="6">
        <v>38.438000000000002</v>
      </c>
      <c r="M587" s="6">
        <v>36.131720000000001</v>
      </c>
      <c r="N587" s="6">
        <v>38.438000000000002</v>
      </c>
      <c r="O587" s="6">
        <v>36.131720000000001</v>
      </c>
      <c r="P587" s="6">
        <v>0</v>
      </c>
      <c r="Q587" s="4" t="s">
        <v>26</v>
      </c>
      <c r="R587" s="4">
        <v>0</v>
      </c>
      <c r="S587" s="4" t="s">
        <v>223</v>
      </c>
      <c r="T587" s="4" t="s">
        <v>452</v>
      </c>
      <c r="U587" s="4">
        <v>0</v>
      </c>
      <c r="V587" s="4">
        <v>8</v>
      </c>
      <c r="W587" s="4">
        <v>38</v>
      </c>
    </row>
    <row r="588" spans="1:23" ht="11.25" customHeight="1" x14ac:dyDescent="0.3">
      <c r="A588" s="4" t="s">
        <v>21</v>
      </c>
      <c r="B588" s="4" t="s">
        <v>39</v>
      </c>
      <c r="C588" s="4" t="s">
        <v>41</v>
      </c>
      <c r="D588" s="4" t="s">
        <v>50</v>
      </c>
      <c r="E588" s="4" t="s">
        <v>51</v>
      </c>
      <c r="F588" s="4" t="s">
        <v>25</v>
      </c>
      <c r="G588" s="4" t="s">
        <v>25</v>
      </c>
      <c r="H588" s="4" t="s">
        <v>34</v>
      </c>
      <c r="I588" s="5">
        <v>44713</v>
      </c>
      <c r="J588" s="6">
        <v>0</v>
      </c>
      <c r="K588" s="6">
        <v>0</v>
      </c>
      <c r="L588" s="6">
        <v>42.649000000000001</v>
      </c>
      <c r="M588" s="6">
        <v>40.090060000000001</v>
      </c>
      <c r="N588" s="6">
        <v>42.649000000000001</v>
      </c>
      <c r="O588" s="6">
        <v>40.090060000000001</v>
      </c>
      <c r="P588" s="6">
        <v>0</v>
      </c>
      <c r="Q588" s="4" t="s">
        <v>26</v>
      </c>
      <c r="R588" s="4">
        <v>0</v>
      </c>
      <c r="S588" s="4" t="s">
        <v>224</v>
      </c>
      <c r="T588" s="4" t="s">
        <v>453</v>
      </c>
      <c r="U588" s="4">
        <v>0</v>
      </c>
      <c r="V588" s="4">
        <v>8</v>
      </c>
      <c r="W588" s="4">
        <v>38</v>
      </c>
    </row>
    <row r="589" spans="1:23" ht="11.25" customHeight="1" x14ac:dyDescent="0.3">
      <c r="A589" s="4" t="s">
        <v>21</v>
      </c>
      <c r="B589" s="4" t="s">
        <v>39</v>
      </c>
      <c r="C589" s="4" t="s">
        <v>41</v>
      </c>
      <c r="D589" s="4" t="s">
        <v>50</v>
      </c>
      <c r="E589" s="4" t="s">
        <v>51</v>
      </c>
      <c r="F589" s="4" t="s">
        <v>25</v>
      </c>
      <c r="G589" s="4" t="s">
        <v>25</v>
      </c>
      <c r="H589" s="4" t="s">
        <v>34</v>
      </c>
      <c r="I589" s="5">
        <v>44743</v>
      </c>
      <c r="J589" s="6">
        <v>0</v>
      </c>
      <c r="K589" s="6">
        <v>0</v>
      </c>
      <c r="L589" s="6">
        <v>38.14</v>
      </c>
      <c r="M589" s="6">
        <v>35.851599999999998</v>
      </c>
      <c r="N589" s="6">
        <v>38.14</v>
      </c>
      <c r="O589" s="6">
        <v>35.851599999999998</v>
      </c>
      <c r="P589" s="6">
        <v>0</v>
      </c>
      <c r="Q589" s="4" t="s">
        <v>26</v>
      </c>
      <c r="R589" s="4">
        <v>0</v>
      </c>
      <c r="S589" s="4" t="s">
        <v>225</v>
      </c>
      <c r="T589" s="4" t="s">
        <v>454</v>
      </c>
      <c r="U589" s="4">
        <v>0</v>
      </c>
      <c r="V589" s="4">
        <v>8</v>
      </c>
      <c r="W589" s="4">
        <v>38</v>
      </c>
    </row>
    <row r="590" spans="1:23" ht="11.25" customHeight="1" x14ac:dyDescent="0.3">
      <c r="A590" s="4" t="s">
        <v>21</v>
      </c>
      <c r="B590" s="4" t="s">
        <v>39</v>
      </c>
      <c r="C590" s="4" t="s">
        <v>41</v>
      </c>
      <c r="D590" s="4" t="s">
        <v>50</v>
      </c>
      <c r="E590" s="4" t="s">
        <v>51</v>
      </c>
      <c r="F590" s="4" t="s">
        <v>25</v>
      </c>
      <c r="G590" s="4" t="s">
        <v>25</v>
      </c>
      <c r="H590" s="4" t="s">
        <v>34</v>
      </c>
      <c r="I590" s="5">
        <v>44774</v>
      </c>
      <c r="J590" s="6">
        <v>0</v>
      </c>
      <c r="K590" s="6">
        <v>0</v>
      </c>
      <c r="L590" s="6">
        <v>42.067</v>
      </c>
      <c r="M590" s="6">
        <v>39.54298</v>
      </c>
      <c r="N590" s="6">
        <v>42.067</v>
      </c>
      <c r="O590" s="6">
        <v>39.54298</v>
      </c>
      <c r="P590" s="6">
        <v>0</v>
      </c>
      <c r="Q590" s="4" t="s">
        <v>26</v>
      </c>
      <c r="R590" s="4">
        <v>0</v>
      </c>
      <c r="S590" s="4" t="s">
        <v>226</v>
      </c>
      <c r="T590" s="4" t="s">
        <v>455</v>
      </c>
      <c r="U590" s="4">
        <v>0</v>
      </c>
      <c r="V590" s="4">
        <v>8</v>
      </c>
      <c r="W590" s="4">
        <v>38</v>
      </c>
    </row>
    <row r="591" spans="1:23" ht="11.25" customHeight="1" x14ac:dyDescent="0.3">
      <c r="A591" s="4" t="s">
        <v>21</v>
      </c>
      <c r="B591" s="4" t="s">
        <v>39</v>
      </c>
      <c r="C591" s="4" t="s">
        <v>41</v>
      </c>
      <c r="D591" s="4" t="s">
        <v>50</v>
      </c>
      <c r="E591" s="4" t="s">
        <v>51</v>
      </c>
      <c r="F591" s="4" t="s">
        <v>25</v>
      </c>
      <c r="G591" s="4" t="s">
        <v>25</v>
      </c>
      <c r="H591" s="4" t="s">
        <v>34</v>
      </c>
      <c r="I591" s="5">
        <v>44805</v>
      </c>
      <c r="J591" s="6">
        <v>0</v>
      </c>
      <c r="K591" s="6">
        <v>0</v>
      </c>
      <c r="L591" s="6">
        <v>40.218000000000004</v>
      </c>
      <c r="M591" s="6">
        <v>37.804920000000003</v>
      </c>
      <c r="N591" s="6">
        <v>40.218000000000004</v>
      </c>
      <c r="O591" s="6">
        <v>37.804920000000003</v>
      </c>
      <c r="P591" s="6">
        <v>0</v>
      </c>
      <c r="Q591" s="4" t="s">
        <v>26</v>
      </c>
      <c r="R591" s="4">
        <v>0</v>
      </c>
      <c r="S591" s="4" t="s">
        <v>227</v>
      </c>
      <c r="T591" s="4" t="s">
        <v>456</v>
      </c>
      <c r="U591" s="4">
        <v>0</v>
      </c>
      <c r="V591" s="4">
        <v>8</v>
      </c>
      <c r="W591" s="4">
        <v>38</v>
      </c>
    </row>
    <row r="592" spans="1:23" ht="11.25" customHeight="1" x14ac:dyDescent="0.3">
      <c r="A592" s="4" t="s">
        <v>53</v>
      </c>
      <c r="B592" s="4" t="s">
        <v>39</v>
      </c>
      <c r="C592" s="4" t="s">
        <v>41</v>
      </c>
      <c r="D592" s="4" t="s">
        <v>50</v>
      </c>
      <c r="E592" s="4" t="s">
        <v>51</v>
      </c>
      <c r="F592" s="4" t="s">
        <v>25</v>
      </c>
      <c r="G592" s="4" t="s">
        <v>25</v>
      </c>
      <c r="H592" s="4" t="s">
        <v>34</v>
      </c>
      <c r="I592" s="5">
        <v>44835</v>
      </c>
      <c r="J592" s="6">
        <v>0</v>
      </c>
      <c r="K592" s="6">
        <v>0</v>
      </c>
      <c r="L592" s="6">
        <v>40.218000000000004</v>
      </c>
      <c r="M592" s="6">
        <v>37.804920000000003</v>
      </c>
      <c r="N592" s="6">
        <v>40.218000000000004</v>
      </c>
      <c r="O592" s="6">
        <v>37.804920000000003</v>
      </c>
      <c r="P592" s="6">
        <v>0</v>
      </c>
      <c r="Q592" s="4" t="s">
        <v>26</v>
      </c>
      <c r="R592" s="4">
        <v>0</v>
      </c>
      <c r="S592" s="4" t="s">
        <v>228</v>
      </c>
      <c r="T592" s="4" t="s">
        <v>457</v>
      </c>
      <c r="U592" s="4">
        <v>0</v>
      </c>
      <c r="V592" s="4">
        <v>8</v>
      </c>
      <c r="W592" s="4">
        <v>38</v>
      </c>
    </row>
    <row r="593" spans="1:23" ht="11.25" customHeight="1" x14ac:dyDescent="0.3">
      <c r="A593" s="4" t="s">
        <v>21</v>
      </c>
      <c r="B593" s="4" t="s">
        <v>43</v>
      </c>
      <c r="C593" s="4" t="s">
        <v>41</v>
      </c>
      <c r="D593" s="4" t="s">
        <v>42</v>
      </c>
      <c r="E593" s="4" t="s">
        <v>25</v>
      </c>
      <c r="F593" s="4" t="s">
        <v>25</v>
      </c>
      <c r="G593" s="4" t="s">
        <v>25</v>
      </c>
      <c r="H593" s="4" t="s">
        <v>35</v>
      </c>
      <c r="I593" s="5">
        <v>44501</v>
      </c>
      <c r="J593" s="6">
        <v>0</v>
      </c>
      <c r="K593" s="6">
        <v>0</v>
      </c>
      <c r="L593" s="6">
        <v>48.823999999999998</v>
      </c>
      <c r="M593" s="6">
        <v>48.823999999999998</v>
      </c>
      <c r="N593" s="6">
        <v>48.823999999999998</v>
      </c>
      <c r="O593" s="6">
        <v>48.823999999999998</v>
      </c>
      <c r="P593" s="6">
        <v>0</v>
      </c>
      <c r="Q593" s="4" t="s">
        <v>26</v>
      </c>
      <c r="R593" s="4">
        <v>0</v>
      </c>
      <c r="S593" s="4" t="s">
        <v>229</v>
      </c>
      <c r="T593" s="4" t="s">
        <v>462</v>
      </c>
      <c r="U593" s="4">
        <v>0</v>
      </c>
      <c r="V593" s="4">
        <v>45</v>
      </c>
      <c r="W593" s="4">
        <v>70</v>
      </c>
    </row>
    <row r="594" spans="1:23" ht="11.25" customHeight="1" x14ac:dyDescent="0.3">
      <c r="A594" s="4" t="s">
        <v>21</v>
      </c>
      <c r="B594" s="4" t="s">
        <v>43</v>
      </c>
      <c r="C594" s="4" t="s">
        <v>41</v>
      </c>
      <c r="D594" s="4" t="s">
        <v>42</v>
      </c>
      <c r="E594" s="4" t="s">
        <v>25</v>
      </c>
      <c r="F594" s="4" t="s">
        <v>25</v>
      </c>
      <c r="G594" s="4" t="s">
        <v>25</v>
      </c>
      <c r="H594" s="4" t="s">
        <v>35</v>
      </c>
      <c r="I594" s="5">
        <v>44531</v>
      </c>
      <c r="J594" s="6">
        <v>0</v>
      </c>
      <c r="K594" s="6">
        <v>0</v>
      </c>
      <c r="L594" s="6">
        <v>21.030999999999999</v>
      </c>
      <c r="M594" s="6">
        <v>21.030999999999999</v>
      </c>
      <c r="N594" s="6">
        <v>21.030999999999999</v>
      </c>
      <c r="O594" s="6">
        <v>21.030999999999999</v>
      </c>
      <c r="P594" s="6">
        <v>0</v>
      </c>
      <c r="Q594" s="4" t="s">
        <v>26</v>
      </c>
      <c r="R594" s="4">
        <v>0</v>
      </c>
      <c r="S594" s="4" t="s">
        <v>230</v>
      </c>
      <c r="T594" s="4" t="s">
        <v>463</v>
      </c>
      <c r="U594" s="4">
        <v>0</v>
      </c>
      <c r="V594" s="4">
        <v>45</v>
      </c>
      <c r="W594" s="4">
        <v>70</v>
      </c>
    </row>
    <row r="595" spans="1:23" ht="11.25" customHeight="1" x14ac:dyDescent="0.3">
      <c r="A595" s="4" t="s">
        <v>21</v>
      </c>
      <c r="B595" s="4" t="s">
        <v>43</v>
      </c>
      <c r="C595" s="4" t="s">
        <v>41</v>
      </c>
      <c r="D595" s="4" t="s">
        <v>42</v>
      </c>
      <c r="E595" s="4" t="s">
        <v>25</v>
      </c>
      <c r="F595" s="4" t="s">
        <v>25</v>
      </c>
      <c r="G595" s="4" t="s">
        <v>25</v>
      </c>
      <c r="H595" s="4" t="s">
        <v>35</v>
      </c>
      <c r="I595" s="5">
        <v>44562</v>
      </c>
      <c r="J595" s="6">
        <v>0</v>
      </c>
      <c r="K595" s="6">
        <v>0</v>
      </c>
      <c r="L595" s="6">
        <v>21.280999999999999</v>
      </c>
      <c r="M595" s="6">
        <v>21.280999999999999</v>
      </c>
      <c r="N595" s="6">
        <v>21.280999999999999</v>
      </c>
      <c r="O595" s="6">
        <v>21.280999999999999</v>
      </c>
      <c r="P595" s="6">
        <v>0</v>
      </c>
      <c r="Q595" s="4" t="s">
        <v>26</v>
      </c>
      <c r="R595" s="4">
        <v>0</v>
      </c>
      <c r="S595" s="4" t="s">
        <v>231</v>
      </c>
      <c r="T595" s="4" t="s">
        <v>464</v>
      </c>
      <c r="U595" s="4">
        <v>0</v>
      </c>
      <c r="V595" s="4">
        <v>45</v>
      </c>
      <c r="W595" s="4">
        <v>70</v>
      </c>
    </row>
    <row r="596" spans="1:23" ht="11.25" customHeight="1" x14ac:dyDescent="0.3">
      <c r="A596" s="4" t="s">
        <v>21</v>
      </c>
      <c r="B596" s="4" t="s">
        <v>43</v>
      </c>
      <c r="C596" s="4" t="s">
        <v>41</v>
      </c>
      <c r="D596" s="4" t="s">
        <v>42</v>
      </c>
      <c r="E596" s="4" t="s">
        <v>25</v>
      </c>
      <c r="F596" s="4" t="s">
        <v>25</v>
      </c>
      <c r="G596" s="4" t="s">
        <v>25</v>
      </c>
      <c r="H596" s="4" t="s">
        <v>35</v>
      </c>
      <c r="I596" s="5">
        <v>44593</v>
      </c>
      <c r="J596" s="6">
        <v>0</v>
      </c>
      <c r="K596" s="6">
        <v>0</v>
      </c>
      <c r="L596" s="6">
        <v>21.846</v>
      </c>
      <c r="M596" s="6">
        <v>21.846</v>
      </c>
      <c r="N596" s="6">
        <v>21.846</v>
      </c>
      <c r="O596" s="6">
        <v>21.846</v>
      </c>
      <c r="P596" s="6">
        <v>0</v>
      </c>
      <c r="Q596" s="4" t="s">
        <v>26</v>
      </c>
      <c r="R596" s="4">
        <v>0</v>
      </c>
      <c r="S596" s="4" t="s">
        <v>232</v>
      </c>
      <c r="T596" s="4" t="s">
        <v>465</v>
      </c>
      <c r="U596" s="4">
        <v>0</v>
      </c>
      <c r="V596" s="4">
        <v>45</v>
      </c>
      <c r="W596" s="4">
        <v>70</v>
      </c>
    </row>
    <row r="597" spans="1:23" ht="11.25" customHeight="1" x14ac:dyDescent="0.3">
      <c r="A597" s="4" t="s">
        <v>21</v>
      </c>
      <c r="B597" s="4" t="s">
        <v>43</v>
      </c>
      <c r="C597" s="4" t="s">
        <v>41</v>
      </c>
      <c r="D597" s="4" t="s">
        <v>42</v>
      </c>
      <c r="E597" s="4" t="s">
        <v>25</v>
      </c>
      <c r="F597" s="4" t="s">
        <v>25</v>
      </c>
      <c r="G597" s="4" t="s">
        <v>25</v>
      </c>
      <c r="H597" s="4" t="s">
        <v>35</v>
      </c>
      <c r="I597" s="5">
        <v>44621</v>
      </c>
      <c r="J597" s="6">
        <v>0</v>
      </c>
      <c r="K597" s="6">
        <v>0</v>
      </c>
      <c r="L597" s="6">
        <v>18.599</v>
      </c>
      <c r="M597" s="6">
        <v>18.599</v>
      </c>
      <c r="N597" s="6">
        <v>18.599</v>
      </c>
      <c r="O597" s="6">
        <v>18.599</v>
      </c>
      <c r="P597" s="6">
        <v>0</v>
      </c>
      <c r="Q597" s="4" t="s">
        <v>26</v>
      </c>
      <c r="R597" s="4">
        <v>0</v>
      </c>
      <c r="S597" s="4" t="s">
        <v>233</v>
      </c>
      <c r="T597" s="4" t="s">
        <v>466</v>
      </c>
      <c r="U597" s="4">
        <v>0</v>
      </c>
      <c r="V597" s="4">
        <v>45</v>
      </c>
      <c r="W597" s="4">
        <v>70</v>
      </c>
    </row>
    <row r="598" spans="1:23" ht="11.25" customHeight="1" x14ac:dyDescent="0.3">
      <c r="A598" s="4" t="s">
        <v>21</v>
      </c>
      <c r="B598" s="4" t="s">
        <v>43</v>
      </c>
      <c r="C598" s="4" t="s">
        <v>41</v>
      </c>
      <c r="D598" s="4" t="s">
        <v>42</v>
      </c>
      <c r="E598" s="4" t="s">
        <v>25</v>
      </c>
      <c r="F598" s="4" t="s">
        <v>25</v>
      </c>
      <c r="G598" s="4" t="s">
        <v>25</v>
      </c>
      <c r="H598" s="4" t="s">
        <v>35</v>
      </c>
      <c r="I598" s="5">
        <v>44652</v>
      </c>
      <c r="J598" s="6">
        <v>0</v>
      </c>
      <c r="K598" s="6">
        <v>0</v>
      </c>
      <c r="L598" s="6">
        <v>23.963999999999999</v>
      </c>
      <c r="M598" s="6">
        <v>23.963999999999999</v>
      </c>
      <c r="N598" s="6">
        <v>23.963999999999999</v>
      </c>
      <c r="O598" s="6">
        <v>23.963999999999999</v>
      </c>
      <c r="P598" s="6">
        <v>0</v>
      </c>
      <c r="Q598" s="4" t="s">
        <v>26</v>
      </c>
      <c r="R598" s="4">
        <v>0</v>
      </c>
      <c r="S598" s="4" t="s">
        <v>234</v>
      </c>
      <c r="T598" s="4" t="s">
        <v>467</v>
      </c>
      <c r="U598" s="4">
        <v>0</v>
      </c>
      <c r="V598" s="4">
        <v>45</v>
      </c>
      <c r="W598" s="4">
        <v>70</v>
      </c>
    </row>
    <row r="599" spans="1:23" ht="11.25" customHeight="1" x14ac:dyDescent="0.3">
      <c r="A599" s="4" t="s">
        <v>21</v>
      </c>
      <c r="B599" s="4" t="s">
        <v>43</v>
      </c>
      <c r="C599" s="4" t="s">
        <v>41</v>
      </c>
      <c r="D599" s="4" t="s">
        <v>42</v>
      </c>
      <c r="E599" s="4" t="s">
        <v>25</v>
      </c>
      <c r="F599" s="4" t="s">
        <v>25</v>
      </c>
      <c r="G599" s="4" t="s">
        <v>25</v>
      </c>
      <c r="H599" s="4" t="s">
        <v>35</v>
      </c>
      <c r="I599" s="5">
        <v>44682</v>
      </c>
      <c r="J599" s="6">
        <v>0</v>
      </c>
      <c r="K599" s="6">
        <v>0</v>
      </c>
      <c r="L599" s="6">
        <v>20.87</v>
      </c>
      <c r="M599" s="6">
        <v>20.87</v>
      </c>
      <c r="N599" s="6">
        <v>20.87</v>
      </c>
      <c r="O599" s="6">
        <v>20.87</v>
      </c>
      <c r="P599" s="6">
        <v>0</v>
      </c>
      <c r="Q599" s="4" t="s">
        <v>26</v>
      </c>
      <c r="R599" s="4">
        <v>0</v>
      </c>
      <c r="S599" s="4" t="s">
        <v>235</v>
      </c>
      <c r="T599" s="4" t="s">
        <v>468</v>
      </c>
      <c r="U599" s="4">
        <v>0</v>
      </c>
      <c r="V599" s="4">
        <v>45</v>
      </c>
      <c r="W599" s="4">
        <v>70</v>
      </c>
    </row>
    <row r="600" spans="1:23" ht="11.25" customHeight="1" x14ac:dyDescent="0.3">
      <c r="A600" s="4" t="s">
        <v>21</v>
      </c>
      <c r="B600" s="4" t="s">
        <v>43</v>
      </c>
      <c r="C600" s="4" t="s">
        <v>41</v>
      </c>
      <c r="D600" s="4" t="s">
        <v>42</v>
      </c>
      <c r="E600" s="4" t="s">
        <v>25</v>
      </c>
      <c r="F600" s="4" t="s">
        <v>25</v>
      </c>
      <c r="G600" s="4" t="s">
        <v>25</v>
      </c>
      <c r="H600" s="4" t="s">
        <v>35</v>
      </c>
      <c r="I600" s="5">
        <v>44713</v>
      </c>
      <c r="J600" s="6">
        <v>0</v>
      </c>
      <c r="K600" s="6">
        <v>0</v>
      </c>
      <c r="L600" s="6">
        <v>14.413</v>
      </c>
      <c r="M600" s="6">
        <v>14.413</v>
      </c>
      <c r="N600" s="6">
        <v>14.413</v>
      </c>
      <c r="O600" s="6">
        <v>14.413</v>
      </c>
      <c r="P600" s="6">
        <v>0</v>
      </c>
      <c r="Q600" s="4" t="s">
        <v>26</v>
      </c>
      <c r="R600" s="4">
        <v>0</v>
      </c>
      <c r="S600" s="4" t="s">
        <v>236</v>
      </c>
      <c r="T600" s="4" t="s">
        <v>469</v>
      </c>
      <c r="U600" s="4">
        <v>0</v>
      </c>
      <c r="V600" s="4">
        <v>45</v>
      </c>
      <c r="W600" s="4">
        <v>70</v>
      </c>
    </row>
    <row r="601" spans="1:23" ht="11.25" customHeight="1" x14ac:dyDescent="0.3">
      <c r="A601" s="4" t="s">
        <v>21</v>
      </c>
      <c r="B601" s="4" t="s">
        <v>43</v>
      </c>
      <c r="C601" s="4" t="s">
        <v>41</v>
      </c>
      <c r="D601" s="4" t="s">
        <v>42</v>
      </c>
      <c r="E601" s="4" t="s">
        <v>25</v>
      </c>
      <c r="F601" s="4" t="s">
        <v>25</v>
      </c>
      <c r="G601" s="4" t="s">
        <v>25</v>
      </c>
      <c r="H601" s="4" t="s">
        <v>35</v>
      </c>
      <c r="I601" s="5">
        <v>44743</v>
      </c>
      <c r="J601" s="6">
        <v>0</v>
      </c>
      <c r="K601" s="6">
        <v>0</v>
      </c>
      <c r="L601" s="6">
        <v>13.066000000000001</v>
      </c>
      <c r="M601" s="6">
        <v>13.066000000000001</v>
      </c>
      <c r="N601" s="6">
        <v>13.066000000000001</v>
      </c>
      <c r="O601" s="6">
        <v>13.066000000000001</v>
      </c>
      <c r="P601" s="6">
        <v>0</v>
      </c>
      <c r="Q601" s="4" t="s">
        <v>26</v>
      </c>
      <c r="R601" s="4">
        <v>0</v>
      </c>
      <c r="S601" s="4" t="s">
        <v>237</v>
      </c>
      <c r="T601" s="4" t="s">
        <v>470</v>
      </c>
      <c r="U601" s="4">
        <v>0</v>
      </c>
      <c r="V601" s="4">
        <v>45</v>
      </c>
      <c r="W601" s="4">
        <v>70</v>
      </c>
    </row>
    <row r="602" spans="1:23" ht="11.25" customHeight="1" x14ac:dyDescent="0.3">
      <c r="A602" s="4" t="s">
        <v>21</v>
      </c>
      <c r="B602" s="4" t="s">
        <v>43</v>
      </c>
      <c r="C602" s="4" t="s">
        <v>41</v>
      </c>
      <c r="D602" s="4" t="s">
        <v>42</v>
      </c>
      <c r="E602" s="4" t="s">
        <v>25</v>
      </c>
      <c r="F602" s="4" t="s">
        <v>25</v>
      </c>
      <c r="G602" s="4" t="s">
        <v>25</v>
      </c>
      <c r="H602" s="4" t="s">
        <v>35</v>
      </c>
      <c r="I602" s="5">
        <v>44774</v>
      </c>
      <c r="J602" s="6">
        <v>0</v>
      </c>
      <c r="K602" s="6">
        <v>0</v>
      </c>
      <c r="L602" s="6">
        <v>13.843</v>
      </c>
      <c r="M602" s="6">
        <v>13.843</v>
      </c>
      <c r="N602" s="6">
        <v>13.843</v>
      </c>
      <c r="O602" s="6">
        <v>13.843</v>
      </c>
      <c r="P602" s="6">
        <v>0</v>
      </c>
      <c r="Q602" s="4" t="s">
        <v>26</v>
      </c>
      <c r="R602" s="4">
        <v>0</v>
      </c>
      <c r="S602" s="4" t="s">
        <v>238</v>
      </c>
      <c r="T602" s="4" t="s">
        <v>471</v>
      </c>
      <c r="U602" s="4">
        <v>0</v>
      </c>
      <c r="V602" s="4">
        <v>45</v>
      </c>
      <c r="W602" s="4">
        <v>70</v>
      </c>
    </row>
    <row r="603" spans="1:23" ht="11.25" customHeight="1" x14ac:dyDescent="0.3">
      <c r="A603" s="4" t="s">
        <v>21</v>
      </c>
      <c r="B603" s="4" t="s">
        <v>43</v>
      </c>
      <c r="C603" s="4" t="s">
        <v>41</v>
      </c>
      <c r="D603" s="4" t="s">
        <v>42</v>
      </c>
      <c r="E603" s="4" t="s">
        <v>25</v>
      </c>
      <c r="F603" s="4" t="s">
        <v>25</v>
      </c>
      <c r="G603" s="4" t="s">
        <v>25</v>
      </c>
      <c r="H603" s="4" t="s">
        <v>35</v>
      </c>
      <c r="I603" s="5">
        <v>44805</v>
      </c>
      <c r="J603" s="6">
        <v>0</v>
      </c>
      <c r="K603" s="6">
        <v>0</v>
      </c>
      <c r="L603" s="6">
        <v>14.516</v>
      </c>
      <c r="M603" s="6">
        <v>14.516</v>
      </c>
      <c r="N603" s="6">
        <v>14.516</v>
      </c>
      <c r="O603" s="6">
        <v>14.516</v>
      </c>
      <c r="P603" s="6">
        <v>0</v>
      </c>
      <c r="Q603" s="4" t="s">
        <v>26</v>
      </c>
      <c r="R603" s="4">
        <v>0</v>
      </c>
      <c r="S603" s="4" t="s">
        <v>239</v>
      </c>
      <c r="T603" s="4" t="s">
        <v>472</v>
      </c>
      <c r="U603" s="4">
        <v>0</v>
      </c>
      <c r="V603" s="4">
        <v>45</v>
      </c>
      <c r="W603" s="4">
        <v>70</v>
      </c>
    </row>
    <row r="604" spans="1:23" ht="11.25" customHeight="1" x14ac:dyDescent="0.3">
      <c r="A604" s="4" t="s">
        <v>53</v>
      </c>
      <c r="B604" s="4" t="s">
        <v>43</v>
      </c>
      <c r="C604" s="4" t="s">
        <v>41</v>
      </c>
      <c r="D604" s="4" t="s">
        <v>42</v>
      </c>
      <c r="E604" s="4" t="s">
        <v>25</v>
      </c>
      <c r="F604" s="4" t="s">
        <v>25</v>
      </c>
      <c r="G604" s="4" t="s">
        <v>25</v>
      </c>
      <c r="H604" s="4" t="s">
        <v>35</v>
      </c>
      <c r="I604" s="5">
        <v>44835</v>
      </c>
      <c r="J604" s="6">
        <v>0</v>
      </c>
      <c r="K604" s="6">
        <v>0</v>
      </c>
      <c r="L604" s="6">
        <v>14.516</v>
      </c>
      <c r="M604" s="6">
        <v>14.516</v>
      </c>
      <c r="N604" s="6">
        <v>14.516</v>
      </c>
      <c r="O604" s="6">
        <v>14.516</v>
      </c>
      <c r="P604" s="6">
        <v>0</v>
      </c>
      <c r="Q604" s="4" t="s">
        <v>26</v>
      </c>
      <c r="R604" s="4">
        <v>0</v>
      </c>
      <c r="S604" s="4" t="s">
        <v>240</v>
      </c>
      <c r="T604" s="4" t="s">
        <v>473</v>
      </c>
      <c r="U604" s="4">
        <v>0</v>
      </c>
      <c r="V604" s="4">
        <v>45</v>
      </c>
      <c r="W604" s="4">
        <v>70</v>
      </c>
    </row>
    <row r="605" spans="1:23" ht="11.25" customHeight="1" x14ac:dyDescent="0.3">
      <c r="A605" s="4" t="s">
        <v>21</v>
      </c>
      <c r="B605" s="4" t="s">
        <v>43</v>
      </c>
      <c r="C605" s="4" t="s">
        <v>41</v>
      </c>
      <c r="D605" s="4" t="s">
        <v>42</v>
      </c>
      <c r="E605" s="4" t="s">
        <v>25</v>
      </c>
      <c r="F605" s="4" t="s">
        <v>25</v>
      </c>
      <c r="G605" s="4" t="s">
        <v>25</v>
      </c>
      <c r="H605" s="4" t="s">
        <v>25</v>
      </c>
      <c r="I605" s="5">
        <v>44501</v>
      </c>
      <c r="J605" s="6">
        <v>241</v>
      </c>
      <c r="K605" s="6">
        <v>241</v>
      </c>
      <c r="L605" s="6">
        <v>0</v>
      </c>
      <c r="M605" s="6">
        <v>0</v>
      </c>
      <c r="N605" s="6">
        <v>0</v>
      </c>
      <c r="O605" s="6">
        <v>0</v>
      </c>
      <c r="P605" s="6">
        <v>3</v>
      </c>
      <c r="Q605" s="4" t="s">
        <v>26</v>
      </c>
      <c r="R605" s="4">
        <v>0</v>
      </c>
      <c r="S605" s="4" t="s">
        <v>241</v>
      </c>
      <c r="U605" s="4">
        <v>13</v>
      </c>
      <c r="V605" s="4">
        <v>0</v>
      </c>
      <c r="W605" s="4">
        <v>0</v>
      </c>
    </row>
    <row r="606" spans="1:23" ht="11.25" customHeight="1" x14ac:dyDescent="0.3">
      <c r="A606" s="4" t="s">
        <v>21</v>
      </c>
      <c r="B606" s="4" t="s">
        <v>43</v>
      </c>
      <c r="C606" s="4" t="s">
        <v>41</v>
      </c>
      <c r="D606" s="4" t="s">
        <v>42</v>
      </c>
      <c r="E606" s="4" t="s">
        <v>25</v>
      </c>
      <c r="F606" s="4" t="s">
        <v>25</v>
      </c>
      <c r="G606" s="4" t="s">
        <v>25</v>
      </c>
      <c r="H606" s="4" t="s">
        <v>25</v>
      </c>
      <c r="I606" s="5">
        <v>44531</v>
      </c>
      <c r="J606" s="6">
        <v>140</v>
      </c>
      <c r="K606" s="6">
        <v>140</v>
      </c>
      <c r="L606" s="6">
        <v>0</v>
      </c>
      <c r="M606" s="6">
        <v>0</v>
      </c>
      <c r="N606" s="6">
        <v>0</v>
      </c>
      <c r="O606" s="6">
        <v>0</v>
      </c>
      <c r="P606" s="6">
        <v>2</v>
      </c>
      <c r="Q606" s="4" t="s">
        <v>26</v>
      </c>
      <c r="R606" s="4">
        <v>0</v>
      </c>
      <c r="S606" s="4" t="s">
        <v>242</v>
      </c>
      <c r="U606" s="4">
        <v>13</v>
      </c>
      <c r="V606" s="4">
        <v>0</v>
      </c>
      <c r="W606" s="4">
        <v>0</v>
      </c>
    </row>
    <row r="607" spans="1:23" ht="11.25" customHeight="1" x14ac:dyDescent="0.3">
      <c r="A607" s="4" t="s">
        <v>21</v>
      </c>
      <c r="B607" s="4" t="s">
        <v>43</v>
      </c>
      <c r="C607" s="4" t="s">
        <v>41</v>
      </c>
      <c r="D607" s="4" t="s">
        <v>42</v>
      </c>
      <c r="E607" s="4" t="s">
        <v>25</v>
      </c>
      <c r="F607" s="4" t="s">
        <v>25</v>
      </c>
      <c r="G607" s="4" t="s">
        <v>25</v>
      </c>
      <c r="H607" s="4" t="s">
        <v>25</v>
      </c>
      <c r="I607" s="5">
        <v>44562</v>
      </c>
      <c r="J607" s="6">
        <v>140</v>
      </c>
      <c r="K607" s="6">
        <v>140</v>
      </c>
      <c r="L607" s="6">
        <v>0</v>
      </c>
      <c r="M607" s="6">
        <v>0</v>
      </c>
      <c r="N607" s="6">
        <v>0</v>
      </c>
      <c r="O607" s="6">
        <v>0</v>
      </c>
      <c r="P607" s="6">
        <v>2</v>
      </c>
      <c r="Q607" s="4" t="s">
        <v>26</v>
      </c>
      <c r="R607" s="4">
        <v>0</v>
      </c>
      <c r="S607" s="4" t="s">
        <v>243</v>
      </c>
      <c r="U607" s="4">
        <v>13</v>
      </c>
      <c r="V607" s="4">
        <v>0</v>
      </c>
      <c r="W607" s="4">
        <v>0</v>
      </c>
    </row>
    <row r="608" spans="1:23" ht="11.25" customHeight="1" x14ac:dyDescent="0.3">
      <c r="A608" s="4" t="s">
        <v>21</v>
      </c>
      <c r="B608" s="4" t="s">
        <v>43</v>
      </c>
      <c r="C608" s="4" t="s">
        <v>41</v>
      </c>
      <c r="D608" s="4" t="s">
        <v>42</v>
      </c>
      <c r="E608" s="4" t="s">
        <v>25</v>
      </c>
      <c r="F608" s="4" t="s">
        <v>25</v>
      </c>
      <c r="G608" s="4" t="s">
        <v>25</v>
      </c>
      <c r="H608" s="4" t="s">
        <v>25</v>
      </c>
      <c r="I608" s="5">
        <v>44593</v>
      </c>
      <c r="J608" s="6">
        <v>140</v>
      </c>
      <c r="K608" s="6">
        <v>140</v>
      </c>
      <c r="L608" s="6">
        <v>0</v>
      </c>
      <c r="M608" s="6">
        <v>0</v>
      </c>
      <c r="N608" s="6">
        <v>0</v>
      </c>
      <c r="O608" s="6">
        <v>0</v>
      </c>
      <c r="P608" s="6">
        <v>2</v>
      </c>
      <c r="Q608" s="4" t="s">
        <v>26</v>
      </c>
      <c r="R608" s="4">
        <v>0</v>
      </c>
      <c r="S608" s="4" t="s">
        <v>244</v>
      </c>
      <c r="U608" s="4">
        <v>13</v>
      </c>
      <c r="V608" s="4">
        <v>0</v>
      </c>
      <c r="W608" s="4">
        <v>0</v>
      </c>
    </row>
    <row r="609" spans="1:23" ht="11.25" customHeight="1" x14ac:dyDescent="0.3">
      <c r="A609" s="4" t="s">
        <v>21</v>
      </c>
      <c r="B609" s="4" t="s">
        <v>43</v>
      </c>
      <c r="C609" s="4" t="s">
        <v>41</v>
      </c>
      <c r="D609" s="4" t="s">
        <v>42</v>
      </c>
      <c r="E609" s="4" t="s">
        <v>25</v>
      </c>
      <c r="F609" s="4" t="s">
        <v>25</v>
      </c>
      <c r="G609" s="4" t="s">
        <v>25</v>
      </c>
      <c r="H609" s="4" t="s">
        <v>25</v>
      </c>
      <c r="I609" s="5">
        <v>44621</v>
      </c>
      <c r="J609" s="6">
        <v>140</v>
      </c>
      <c r="K609" s="6">
        <v>140</v>
      </c>
      <c r="L609" s="6">
        <v>0</v>
      </c>
      <c r="M609" s="6">
        <v>0</v>
      </c>
      <c r="N609" s="6">
        <v>0</v>
      </c>
      <c r="O609" s="6">
        <v>0</v>
      </c>
      <c r="P609" s="6">
        <v>2</v>
      </c>
      <c r="Q609" s="4" t="s">
        <v>26</v>
      </c>
      <c r="R609" s="4">
        <v>0</v>
      </c>
      <c r="S609" s="4" t="s">
        <v>245</v>
      </c>
      <c r="U609" s="4">
        <v>13</v>
      </c>
      <c r="V609" s="4">
        <v>0</v>
      </c>
      <c r="W609" s="4">
        <v>0</v>
      </c>
    </row>
    <row r="610" spans="1:23" ht="11.25" customHeight="1" x14ac:dyDescent="0.3">
      <c r="A610" s="4" t="s">
        <v>21</v>
      </c>
      <c r="B610" s="4" t="s">
        <v>43</v>
      </c>
      <c r="C610" s="4" t="s">
        <v>41</v>
      </c>
      <c r="D610" s="4" t="s">
        <v>42</v>
      </c>
      <c r="E610" s="4" t="s">
        <v>25</v>
      </c>
      <c r="F610" s="4" t="s">
        <v>25</v>
      </c>
      <c r="G610" s="4" t="s">
        <v>25</v>
      </c>
      <c r="H610" s="4" t="s">
        <v>25</v>
      </c>
      <c r="I610" s="5">
        <v>44652</v>
      </c>
      <c r="J610" s="6">
        <v>140</v>
      </c>
      <c r="K610" s="6">
        <v>140</v>
      </c>
      <c r="L610" s="6">
        <v>0</v>
      </c>
      <c r="M610" s="6">
        <v>0</v>
      </c>
      <c r="N610" s="6">
        <v>0</v>
      </c>
      <c r="O610" s="6">
        <v>0</v>
      </c>
      <c r="P610" s="6">
        <v>2</v>
      </c>
      <c r="Q610" s="4" t="s">
        <v>26</v>
      </c>
      <c r="R610" s="4">
        <v>0</v>
      </c>
      <c r="S610" s="4" t="s">
        <v>246</v>
      </c>
      <c r="U610" s="4">
        <v>13</v>
      </c>
      <c r="V610" s="4">
        <v>0</v>
      </c>
      <c r="W610" s="4">
        <v>0</v>
      </c>
    </row>
    <row r="611" spans="1:23" ht="11.25" customHeight="1" x14ac:dyDescent="0.3">
      <c r="A611" s="4" t="s">
        <v>21</v>
      </c>
      <c r="B611" s="4" t="s">
        <v>43</v>
      </c>
      <c r="C611" s="4" t="s">
        <v>41</v>
      </c>
      <c r="D611" s="4" t="s">
        <v>42</v>
      </c>
      <c r="E611" s="4" t="s">
        <v>25</v>
      </c>
      <c r="F611" s="4" t="s">
        <v>25</v>
      </c>
      <c r="G611" s="4" t="s">
        <v>25</v>
      </c>
      <c r="H611" s="4" t="s">
        <v>25</v>
      </c>
      <c r="I611" s="5">
        <v>44682</v>
      </c>
      <c r="J611" s="6">
        <v>140</v>
      </c>
      <c r="K611" s="6">
        <v>140</v>
      </c>
      <c r="L611" s="6">
        <v>0</v>
      </c>
      <c r="M611" s="6">
        <v>0</v>
      </c>
      <c r="N611" s="6">
        <v>0</v>
      </c>
      <c r="O611" s="6">
        <v>0</v>
      </c>
      <c r="P611" s="6">
        <v>2</v>
      </c>
      <c r="Q611" s="4" t="s">
        <v>26</v>
      </c>
      <c r="R611" s="4">
        <v>0</v>
      </c>
      <c r="S611" s="4" t="s">
        <v>247</v>
      </c>
      <c r="U611" s="4">
        <v>13</v>
      </c>
      <c r="V611" s="4">
        <v>0</v>
      </c>
      <c r="W611" s="4">
        <v>0</v>
      </c>
    </row>
    <row r="612" spans="1:23" ht="11.25" customHeight="1" x14ac:dyDescent="0.3">
      <c r="A612" s="4" t="s">
        <v>21</v>
      </c>
      <c r="B612" s="4" t="s">
        <v>43</v>
      </c>
      <c r="C612" s="4" t="s">
        <v>41</v>
      </c>
      <c r="D612" s="4" t="s">
        <v>42</v>
      </c>
      <c r="E612" s="4" t="s">
        <v>25</v>
      </c>
      <c r="F612" s="4" t="s">
        <v>25</v>
      </c>
      <c r="G612" s="4" t="s">
        <v>25</v>
      </c>
      <c r="H612" s="4" t="s">
        <v>25</v>
      </c>
      <c r="I612" s="5">
        <v>44713</v>
      </c>
      <c r="J612" s="6">
        <v>140</v>
      </c>
      <c r="K612" s="6">
        <v>140</v>
      </c>
      <c r="L612" s="6">
        <v>0</v>
      </c>
      <c r="M612" s="6">
        <v>0</v>
      </c>
      <c r="N612" s="6">
        <v>0</v>
      </c>
      <c r="O612" s="6">
        <v>0</v>
      </c>
      <c r="P612" s="6">
        <v>2</v>
      </c>
      <c r="Q612" s="4" t="s">
        <v>26</v>
      </c>
      <c r="R612" s="4">
        <v>0</v>
      </c>
      <c r="S612" s="4" t="s">
        <v>248</v>
      </c>
      <c r="U612" s="4">
        <v>13</v>
      </c>
      <c r="V612" s="4">
        <v>0</v>
      </c>
      <c r="W612" s="4">
        <v>0</v>
      </c>
    </row>
    <row r="613" spans="1:23" ht="11.25" customHeight="1" x14ac:dyDescent="0.3">
      <c r="A613" s="4" t="s">
        <v>21</v>
      </c>
      <c r="B613" s="4" t="s">
        <v>43</v>
      </c>
      <c r="C613" s="4" t="s">
        <v>41</v>
      </c>
      <c r="D613" s="4" t="s">
        <v>42</v>
      </c>
      <c r="E613" s="4" t="s">
        <v>25</v>
      </c>
      <c r="F613" s="4" t="s">
        <v>25</v>
      </c>
      <c r="G613" s="4" t="s">
        <v>25</v>
      </c>
      <c r="H613" s="4" t="s">
        <v>25</v>
      </c>
      <c r="I613" s="5">
        <v>44743</v>
      </c>
      <c r="J613" s="6">
        <v>140</v>
      </c>
      <c r="K613" s="6">
        <v>140</v>
      </c>
      <c r="L613" s="6">
        <v>0</v>
      </c>
      <c r="M613" s="6">
        <v>0</v>
      </c>
      <c r="N613" s="6">
        <v>0</v>
      </c>
      <c r="O613" s="6">
        <v>0</v>
      </c>
      <c r="P613" s="6">
        <v>2</v>
      </c>
      <c r="Q613" s="4" t="s">
        <v>26</v>
      </c>
      <c r="R613" s="4">
        <v>0</v>
      </c>
      <c r="S613" s="4" t="s">
        <v>249</v>
      </c>
      <c r="U613" s="4">
        <v>13</v>
      </c>
      <c r="V613" s="4">
        <v>0</v>
      </c>
      <c r="W613" s="4">
        <v>0</v>
      </c>
    </row>
    <row r="614" spans="1:23" ht="11.25" customHeight="1" x14ac:dyDescent="0.3">
      <c r="A614" s="4" t="s">
        <v>21</v>
      </c>
      <c r="B614" s="4" t="s">
        <v>43</v>
      </c>
      <c r="C614" s="4" t="s">
        <v>41</v>
      </c>
      <c r="D614" s="4" t="s">
        <v>42</v>
      </c>
      <c r="E614" s="4" t="s">
        <v>25</v>
      </c>
      <c r="F614" s="4" t="s">
        <v>25</v>
      </c>
      <c r="G614" s="4" t="s">
        <v>25</v>
      </c>
      <c r="H614" s="4" t="s">
        <v>25</v>
      </c>
      <c r="I614" s="5">
        <v>44774</v>
      </c>
      <c r="J614" s="6">
        <v>140</v>
      </c>
      <c r="K614" s="6">
        <v>140</v>
      </c>
      <c r="L614" s="6">
        <v>0</v>
      </c>
      <c r="M614" s="6">
        <v>0</v>
      </c>
      <c r="N614" s="6">
        <v>0</v>
      </c>
      <c r="O614" s="6">
        <v>0</v>
      </c>
      <c r="P614" s="6">
        <v>2</v>
      </c>
      <c r="Q614" s="4" t="s">
        <v>26</v>
      </c>
      <c r="R614" s="4">
        <v>0</v>
      </c>
      <c r="S614" s="4" t="s">
        <v>250</v>
      </c>
      <c r="U614" s="4">
        <v>13</v>
      </c>
      <c r="V614" s="4">
        <v>0</v>
      </c>
      <c r="W614" s="4">
        <v>0</v>
      </c>
    </row>
    <row r="615" spans="1:23" ht="11.25" customHeight="1" x14ac:dyDescent="0.3">
      <c r="A615" s="4" t="s">
        <v>21</v>
      </c>
      <c r="B615" s="4" t="s">
        <v>43</v>
      </c>
      <c r="C615" s="4" t="s">
        <v>41</v>
      </c>
      <c r="D615" s="4" t="s">
        <v>42</v>
      </c>
      <c r="E615" s="4" t="s">
        <v>25</v>
      </c>
      <c r="F615" s="4" t="s">
        <v>25</v>
      </c>
      <c r="G615" s="4" t="s">
        <v>25</v>
      </c>
      <c r="H615" s="4" t="s">
        <v>25</v>
      </c>
      <c r="I615" s="5">
        <v>44805</v>
      </c>
      <c r="J615" s="6">
        <v>140</v>
      </c>
      <c r="K615" s="6">
        <v>140</v>
      </c>
      <c r="L615" s="6">
        <v>0</v>
      </c>
      <c r="M615" s="6">
        <v>0</v>
      </c>
      <c r="N615" s="6">
        <v>0</v>
      </c>
      <c r="O615" s="6">
        <v>0</v>
      </c>
      <c r="P615" s="6">
        <v>2</v>
      </c>
      <c r="Q615" s="4" t="s">
        <v>26</v>
      </c>
      <c r="R615" s="4">
        <v>0</v>
      </c>
      <c r="S615" s="4" t="s">
        <v>251</v>
      </c>
      <c r="U615" s="4">
        <v>13</v>
      </c>
      <c r="V615" s="4">
        <v>0</v>
      </c>
      <c r="W615" s="4">
        <v>0</v>
      </c>
    </row>
    <row r="616" spans="1:23" ht="11.25" customHeight="1" x14ac:dyDescent="0.3">
      <c r="A616" s="4" t="s">
        <v>53</v>
      </c>
      <c r="B616" s="4" t="s">
        <v>43</v>
      </c>
      <c r="C616" s="4" t="s">
        <v>41</v>
      </c>
      <c r="D616" s="4" t="s">
        <v>42</v>
      </c>
      <c r="E616" s="4" t="s">
        <v>25</v>
      </c>
      <c r="F616" s="4" t="s">
        <v>25</v>
      </c>
      <c r="G616" s="4" t="s">
        <v>25</v>
      </c>
      <c r="H616" s="4" t="s">
        <v>25</v>
      </c>
      <c r="I616" s="5">
        <v>44835</v>
      </c>
      <c r="J616" s="6">
        <v>140</v>
      </c>
      <c r="K616" s="6">
        <v>140</v>
      </c>
      <c r="L616" s="6">
        <v>0</v>
      </c>
      <c r="M616" s="6">
        <v>0</v>
      </c>
      <c r="N616" s="6">
        <v>0</v>
      </c>
      <c r="O616" s="6">
        <v>0</v>
      </c>
      <c r="P616" s="6">
        <v>2</v>
      </c>
      <c r="Q616" s="4" t="s">
        <v>26</v>
      </c>
      <c r="R616" s="4">
        <v>0</v>
      </c>
      <c r="S616" s="4" t="s">
        <v>252</v>
      </c>
      <c r="U616" s="4">
        <v>13</v>
      </c>
      <c r="V616" s="4">
        <v>0</v>
      </c>
      <c r="W616" s="4">
        <v>0</v>
      </c>
    </row>
    <row r="617" spans="1:23" ht="11.25" customHeight="1" x14ac:dyDescent="0.3">
      <c r="A617" s="4" t="s">
        <v>21</v>
      </c>
      <c r="B617" s="4" t="s">
        <v>43</v>
      </c>
      <c r="C617" s="4" t="s">
        <v>41</v>
      </c>
      <c r="D617" s="4" t="s">
        <v>42</v>
      </c>
      <c r="E617" s="4" t="s">
        <v>25</v>
      </c>
      <c r="F617" s="4" t="s">
        <v>25</v>
      </c>
      <c r="G617" s="4" t="s">
        <v>25</v>
      </c>
      <c r="H617" s="4" t="s">
        <v>34</v>
      </c>
      <c r="I617" s="5">
        <v>44501</v>
      </c>
      <c r="J617" s="6">
        <v>0</v>
      </c>
      <c r="K617" s="6">
        <v>0</v>
      </c>
      <c r="L617" s="6">
        <v>4.8680000000000003</v>
      </c>
      <c r="M617" s="6">
        <v>4.8680000000000003</v>
      </c>
      <c r="N617" s="6">
        <v>4.8680000000000003</v>
      </c>
      <c r="O617" s="6">
        <v>4.8680000000000003</v>
      </c>
      <c r="P617" s="6">
        <v>0</v>
      </c>
      <c r="Q617" s="4" t="s">
        <v>26</v>
      </c>
      <c r="R617" s="4">
        <v>0</v>
      </c>
      <c r="S617" s="4" t="s">
        <v>253</v>
      </c>
      <c r="T617" s="4" t="s">
        <v>475</v>
      </c>
      <c r="U617" s="4">
        <v>0</v>
      </c>
      <c r="V617" s="4">
        <v>32</v>
      </c>
      <c r="W617" s="4">
        <v>92</v>
      </c>
    </row>
    <row r="618" spans="1:23" ht="11.25" customHeight="1" x14ac:dyDescent="0.3">
      <c r="A618" s="4" t="s">
        <v>21</v>
      </c>
      <c r="B618" s="4" t="s">
        <v>43</v>
      </c>
      <c r="C618" s="4" t="s">
        <v>41</v>
      </c>
      <c r="D618" s="4" t="s">
        <v>42</v>
      </c>
      <c r="E618" s="4" t="s">
        <v>25</v>
      </c>
      <c r="F618" s="4" t="s">
        <v>25</v>
      </c>
      <c r="G618" s="4" t="s">
        <v>25</v>
      </c>
      <c r="H618" s="4" t="s">
        <v>34</v>
      </c>
      <c r="I618" s="5">
        <v>44531</v>
      </c>
      <c r="J618" s="6">
        <v>0</v>
      </c>
      <c r="K618" s="6">
        <v>0</v>
      </c>
      <c r="L618" s="6">
        <v>1.2549999999999999</v>
      </c>
      <c r="M618" s="6">
        <v>1.2549999999999999</v>
      </c>
      <c r="N618" s="6">
        <v>1.2549999999999999</v>
      </c>
      <c r="O618" s="6">
        <v>1.2549999999999999</v>
      </c>
      <c r="P618" s="6">
        <v>0</v>
      </c>
      <c r="Q618" s="4" t="s">
        <v>26</v>
      </c>
      <c r="R618" s="4">
        <v>0</v>
      </c>
      <c r="S618" s="4" t="s">
        <v>254</v>
      </c>
      <c r="T618" s="4" t="s">
        <v>476</v>
      </c>
      <c r="U618" s="4">
        <v>0</v>
      </c>
      <c r="V618" s="4">
        <v>32</v>
      </c>
      <c r="W618" s="4">
        <v>92</v>
      </c>
    </row>
    <row r="619" spans="1:23" ht="11.25" customHeight="1" x14ac:dyDescent="0.3">
      <c r="A619" s="4" t="s">
        <v>21</v>
      </c>
      <c r="B619" s="4" t="s">
        <v>43</v>
      </c>
      <c r="C619" s="4" t="s">
        <v>41</v>
      </c>
      <c r="D619" s="4" t="s">
        <v>42</v>
      </c>
      <c r="E619" s="4" t="s">
        <v>25</v>
      </c>
      <c r="F619" s="4" t="s">
        <v>25</v>
      </c>
      <c r="G619" s="4" t="s">
        <v>25</v>
      </c>
      <c r="H619" s="4" t="s">
        <v>34</v>
      </c>
      <c r="I619" s="5">
        <v>44562</v>
      </c>
      <c r="J619" s="6">
        <v>0</v>
      </c>
      <c r="K619" s="6">
        <v>0</v>
      </c>
      <c r="L619" s="6">
        <v>1.3480000000000001</v>
      </c>
      <c r="M619" s="6">
        <v>1.3480000000000001</v>
      </c>
      <c r="N619" s="6">
        <v>1.3480000000000001</v>
      </c>
      <c r="O619" s="6">
        <v>1.3480000000000001</v>
      </c>
      <c r="P619" s="6">
        <v>0</v>
      </c>
      <c r="Q619" s="4" t="s">
        <v>26</v>
      </c>
      <c r="R619" s="4">
        <v>0</v>
      </c>
      <c r="S619" s="4" t="s">
        <v>255</v>
      </c>
      <c r="T619" s="4" t="s">
        <v>477</v>
      </c>
      <c r="U619" s="4">
        <v>0</v>
      </c>
      <c r="V619" s="4">
        <v>32</v>
      </c>
      <c r="W619" s="4">
        <v>92</v>
      </c>
    </row>
    <row r="620" spans="1:23" ht="11.25" customHeight="1" x14ac:dyDescent="0.3">
      <c r="A620" s="4" t="s">
        <v>21</v>
      </c>
      <c r="B620" s="4" t="s">
        <v>43</v>
      </c>
      <c r="C620" s="4" t="s">
        <v>41</v>
      </c>
      <c r="D620" s="4" t="s">
        <v>42</v>
      </c>
      <c r="E620" s="4" t="s">
        <v>25</v>
      </c>
      <c r="F620" s="4" t="s">
        <v>25</v>
      </c>
      <c r="G620" s="4" t="s">
        <v>25</v>
      </c>
      <c r="H620" s="4" t="s">
        <v>34</v>
      </c>
      <c r="I620" s="5">
        <v>44593</v>
      </c>
      <c r="J620" s="6">
        <v>0</v>
      </c>
      <c r="K620" s="6">
        <v>0</v>
      </c>
      <c r="L620" s="6">
        <v>1.35</v>
      </c>
      <c r="M620" s="6">
        <v>1.35</v>
      </c>
      <c r="N620" s="6">
        <v>1.35</v>
      </c>
      <c r="O620" s="6">
        <v>1.35</v>
      </c>
      <c r="P620" s="6">
        <v>0</v>
      </c>
      <c r="Q620" s="4" t="s">
        <v>26</v>
      </c>
      <c r="R620" s="4">
        <v>0</v>
      </c>
      <c r="S620" s="4" t="s">
        <v>256</v>
      </c>
      <c r="T620" s="4" t="s">
        <v>478</v>
      </c>
      <c r="U620" s="4">
        <v>0</v>
      </c>
      <c r="V620" s="4">
        <v>32</v>
      </c>
      <c r="W620" s="4">
        <v>92</v>
      </c>
    </row>
    <row r="621" spans="1:23" ht="11.25" customHeight="1" x14ac:dyDescent="0.3">
      <c r="A621" s="4" t="s">
        <v>21</v>
      </c>
      <c r="B621" s="4" t="s">
        <v>43</v>
      </c>
      <c r="C621" s="4" t="s">
        <v>41</v>
      </c>
      <c r="D621" s="4" t="s">
        <v>42</v>
      </c>
      <c r="E621" s="4" t="s">
        <v>25</v>
      </c>
      <c r="F621" s="4" t="s">
        <v>25</v>
      </c>
      <c r="G621" s="4" t="s">
        <v>25</v>
      </c>
      <c r="H621" s="4" t="s">
        <v>34</v>
      </c>
      <c r="I621" s="5">
        <v>44621</v>
      </c>
      <c r="J621" s="6">
        <v>0</v>
      </c>
      <c r="K621" s="6">
        <v>0</v>
      </c>
      <c r="L621" s="6">
        <v>1.1910000000000001</v>
      </c>
      <c r="M621" s="6">
        <v>1.1910000000000001</v>
      </c>
      <c r="N621" s="6">
        <v>1.1910000000000001</v>
      </c>
      <c r="O621" s="6">
        <v>1.1910000000000001</v>
      </c>
      <c r="P621" s="6">
        <v>0</v>
      </c>
      <c r="Q621" s="4" t="s">
        <v>26</v>
      </c>
      <c r="R621" s="4">
        <v>0</v>
      </c>
      <c r="S621" s="4" t="s">
        <v>257</v>
      </c>
      <c r="T621" s="4" t="s">
        <v>479</v>
      </c>
      <c r="U621" s="4">
        <v>0</v>
      </c>
      <c r="V621" s="4">
        <v>32</v>
      </c>
      <c r="W621" s="4">
        <v>92</v>
      </c>
    </row>
    <row r="622" spans="1:23" ht="11.25" customHeight="1" x14ac:dyDescent="0.3">
      <c r="A622" s="4" t="s">
        <v>21</v>
      </c>
      <c r="B622" s="4" t="s">
        <v>43</v>
      </c>
      <c r="C622" s="4" t="s">
        <v>41</v>
      </c>
      <c r="D622" s="4" t="s">
        <v>42</v>
      </c>
      <c r="E622" s="4" t="s">
        <v>25</v>
      </c>
      <c r="F622" s="4" t="s">
        <v>25</v>
      </c>
      <c r="G622" s="4" t="s">
        <v>25</v>
      </c>
      <c r="H622" s="4" t="s">
        <v>34</v>
      </c>
      <c r="I622" s="5">
        <v>44652</v>
      </c>
      <c r="J622" s="6">
        <v>0</v>
      </c>
      <c r="K622" s="6">
        <v>0</v>
      </c>
      <c r="L622" s="6">
        <v>1.3779999999999999</v>
      </c>
      <c r="M622" s="6">
        <v>1.3779999999999999</v>
      </c>
      <c r="N622" s="6">
        <v>1.3779999999999999</v>
      </c>
      <c r="O622" s="6">
        <v>1.3779999999999999</v>
      </c>
      <c r="P622" s="6">
        <v>0</v>
      </c>
      <c r="Q622" s="4" t="s">
        <v>26</v>
      </c>
      <c r="R622" s="4">
        <v>0</v>
      </c>
      <c r="S622" s="4" t="s">
        <v>258</v>
      </c>
      <c r="T622" s="4" t="s">
        <v>480</v>
      </c>
      <c r="U622" s="4">
        <v>0</v>
      </c>
      <c r="V622" s="4">
        <v>32</v>
      </c>
      <c r="W622" s="4">
        <v>92</v>
      </c>
    </row>
    <row r="623" spans="1:23" ht="11.25" customHeight="1" x14ac:dyDescent="0.3">
      <c r="A623" s="4" t="s">
        <v>21</v>
      </c>
      <c r="B623" s="4" t="s">
        <v>43</v>
      </c>
      <c r="C623" s="4" t="s">
        <v>41</v>
      </c>
      <c r="D623" s="4" t="s">
        <v>42</v>
      </c>
      <c r="E623" s="4" t="s">
        <v>25</v>
      </c>
      <c r="F623" s="4" t="s">
        <v>25</v>
      </c>
      <c r="G623" s="4" t="s">
        <v>25</v>
      </c>
      <c r="H623" s="4" t="s">
        <v>34</v>
      </c>
      <c r="I623" s="5">
        <v>44682</v>
      </c>
      <c r="J623" s="6">
        <v>0</v>
      </c>
      <c r="K623" s="6">
        <v>0</v>
      </c>
      <c r="L623" s="6">
        <v>1.228</v>
      </c>
      <c r="M623" s="6">
        <v>1.228</v>
      </c>
      <c r="N623" s="6">
        <v>1.228</v>
      </c>
      <c r="O623" s="6">
        <v>1.228</v>
      </c>
      <c r="P623" s="6">
        <v>0</v>
      </c>
      <c r="Q623" s="4" t="s">
        <v>26</v>
      </c>
      <c r="R623" s="4">
        <v>0</v>
      </c>
      <c r="S623" s="4" t="s">
        <v>259</v>
      </c>
      <c r="T623" s="4" t="s">
        <v>481</v>
      </c>
      <c r="U623" s="4">
        <v>0</v>
      </c>
      <c r="V623" s="4">
        <v>32</v>
      </c>
      <c r="W623" s="4">
        <v>92</v>
      </c>
    </row>
    <row r="624" spans="1:23" ht="11.25" customHeight="1" x14ac:dyDescent="0.3">
      <c r="A624" s="4" t="s">
        <v>21</v>
      </c>
      <c r="B624" s="4" t="s">
        <v>43</v>
      </c>
      <c r="C624" s="4" t="s">
        <v>41</v>
      </c>
      <c r="D624" s="4" t="s">
        <v>42</v>
      </c>
      <c r="E624" s="4" t="s">
        <v>25</v>
      </c>
      <c r="F624" s="4" t="s">
        <v>25</v>
      </c>
      <c r="G624" s="4" t="s">
        <v>25</v>
      </c>
      <c r="H624" s="4" t="s">
        <v>34</v>
      </c>
      <c r="I624" s="5">
        <v>44713</v>
      </c>
      <c r="J624" s="6">
        <v>0</v>
      </c>
      <c r="K624" s="6">
        <v>0</v>
      </c>
      <c r="L624" s="6">
        <v>1.1259999999999999</v>
      </c>
      <c r="M624" s="6">
        <v>1.1259999999999999</v>
      </c>
      <c r="N624" s="6">
        <v>1.1259999999999999</v>
      </c>
      <c r="O624" s="6">
        <v>1.1259999999999999</v>
      </c>
      <c r="P624" s="6">
        <v>0</v>
      </c>
      <c r="Q624" s="4" t="s">
        <v>26</v>
      </c>
      <c r="R624" s="4">
        <v>0</v>
      </c>
      <c r="S624" s="4" t="s">
        <v>260</v>
      </c>
      <c r="T624" s="4" t="s">
        <v>482</v>
      </c>
      <c r="U624" s="4">
        <v>0</v>
      </c>
      <c r="V624" s="4">
        <v>32</v>
      </c>
      <c r="W624" s="4">
        <v>92</v>
      </c>
    </row>
    <row r="625" spans="1:23" ht="11.25" customHeight="1" x14ac:dyDescent="0.3">
      <c r="A625" s="4" t="s">
        <v>21</v>
      </c>
      <c r="B625" s="4" t="s">
        <v>43</v>
      </c>
      <c r="C625" s="4" t="s">
        <v>41</v>
      </c>
      <c r="D625" s="4" t="s">
        <v>42</v>
      </c>
      <c r="E625" s="4" t="s">
        <v>25</v>
      </c>
      <c r="F625" s="4" t="s">
        <v>25</v>
      </c>
      <c r="G625" s="4" t="s">
        <v>25</v>
      </c>
      <c r="H625" s="4" t="s">
        <v>34</v>
      </c>
      <c r="I625" s="5">
        <v>44743</v>
      </c>
      <c r="J625" s="6">
        <v>0</v>
      </c>
      <c r="K625" s="6">
        <v>0</v>
      </c>
      <c r="L625" s="6">
        <v>0.96099999999999997</v>
      </c>
      <c r="M625" s="6">
        <v>0.96099999999999997</v>
      </c>
      <c r="N625" s="6">
        <v>0.96099999999999997</v>
      </c>
      <c r="O625" s="6">
        <v>0.96099999999999997</v>
      </c>
      <c r="P625" s="6">
        <v>0</v>
      </c>
      <c r="Q625" s="4" t="s">
        <v>26</v>
      </c>
      <c r="R625" s="4">
        <v>0</v>
      </c>
      <c r="S625" s="4" t="s">
        <v>261</v>
      </c>
      <c r="T625" s="4" t="s">
        <v>483</v>
      </c>
      <c r="U625" s="4">
        <v>0</v>
      </c>
      <c r="V625" s="4">
        <v>32</v>
      </c>
      <c r="W625" s="4">
        <v>92</v>
      </c>
    </row>
    <row r="626" spans="1:23" ht="11.25" customHeight="1" x14ac:dyDescent="0.3">
      <c r="A626" s="4" t="s">
        <v>21</v>
      </c>
      <c r="B626" s="4" t="s">
        <v>43</v>
      </c>
      <c r="C626" s="4" t="s">
        <v>41</v>
      </c>
      <c r="D626" s="4" t="s">
        <v>42</v>
      </c>
      <c r="E626" s="4" t="s">
        <v>25</v>
      </c>
      <c r="F626" s="4" t="s">
        <v>25</v>
      </c>
      <c r="G626" s="4" t="s">
        <v>25</v>
      </c>
      <c r="H626" s="4" t="s">
        <v>34</v>
      </c>
      <c r="I626" s="5">
        <v>44774</v>
      </c>
      <c r="J626" s="6">
        <v>0</v>
      </c>
      <c r="K626" s="6">
        <v>0</v>
      </c>
      <c r="L626" s="6">
        <v>1.034</v>
      </c>
      <c r="M626" s="6">
        <v>1.034</v>
      </c>
      <c r="N626" s="6">
        <v>1.034</v>
      </c>
      <c r="O626" s="6">
        <v>1.034</v>
      </c>
      <c r="P626" s="6">
        <v>0</v>
      </c>
      <c r="Q626" s="4" t="s">
        <v>26</v>
      </c>
      <c r="R626" s="4">
        <v>0</v>
      </c>
      <c r="S626" s="4" t="s">
        <v>262</v>
      </c>
      <c r="T626" s="4" t="s">
        <v>484</v>
      </c>
      <c r="U626" s="4">
        <v>0</v>
      </c>
      <c r="V626" s="4">
        <v>32</v>
      </c>
      <c r="W626" s="4">
        <v>92</v>
      </c>
    </row>
    <row r="627" spans="1:23" ht="11.25" customHeight="1" x14ac:dyDescent="0.3">
      <c r="A627" s="4" t="s">
        <v>21</v>
      </c>
      <c r="B627" s="4" t="s">
        <v>43</v>
      </c>
      <c r="C627" s="4" t="s">
        <v>41</v>
      </c>
      <c r="D627" s="4" t="s">
        <v>42</v>
      </c>
      <c r="E627" s="4" t="s">
        <v>25</v>
      </c>
      <c r="F627" s="4" t="s">
        <v>25</v>
      </c>
      <c r="G627" s="4" t="s">
        <v>25</v>
      </c>
      <c r="H627" s="4" t="s">
        <v>34</v>
      </c>
      <c r="I627" s="5">
        <v>44805</v>
      </c>
      <c r="J627" s="6">
        <v>0</v>
      </c>
      <c r="K627" s="6">
        <v>0</v>
      </c>
      <c r="L627" s="6">
        <v>1.216</v>
      </c>
      <c r="M627" s="6">
        <v>1.216</v>
      </c>
      <c r="N627" s="6">
        <v>1.216</v>
      </c>
      <c r="O627" s="6">
        <v>1.216</v>
      </c>
      <c r="P627" s="6">
        <v>0</v>
      </c>
      <c r="Q627" s="4" t="s">
        <v>26</v>
      </c>
      <c r="R627" s="4">
        <v>0</v>
      </c>
      <c r="S627" s="4" t="s">
        <v>263</v>
      </c>
      <c r="T627" s="4" t="s">
        <v>485</v>
      </c>
      <c r="U627" s="4">
        <v>0</v>
      </c>
      <c r="V627" s="4">
        <v>32</v>
      </c>
      <c r="W627" s="4">
        <v>92</v>
      </c>
    </row>
    <row r="628" spans="1:23" ht="11.25" customHeight="1" x14ac:dyDescent="0.3">
      <c r="A628" s="4" t="s">
        <v>53</v>
      </c>
      <c r="B628" s="4" t="s">
        <v>43</v>
      </c>
      <c r="C628" s="4" t="s">
        <v>41</v>
      </c>
      <c r="D628" s="4" t="s">
        <v>42</v>
      </c>
      <c r="E628" s="4" t="s">
        <v>25</v>
      </c>
      <c r="F628" s="4" t="s">
        <v>25</v>
      </c>
      <c r="G628" s="4" t="s">
        <v>25</v>
      </c>
      <c r="H628" s="4" t="s">
        <v>34</v>
      </c>
      <c r="I628" s="5">
        <v>44835</v>
      </c>
      <c r="J628" s="6">
        <v>0</v>
      </c>
      <c r="K628" s="6">
        <v>0</v>
      </c>
      <c r="L628" s="6">
        <v>1.216</v>
      </c>
      <c r="M628" s="6">
        <v>1.216</v>
      </c>
      <c r="N628" s="6">
        <v>1.216</v>
      </c>
      <c r="O628" s="6">
        <v>1.216</v>
      </c>
      <c r="P628" s="6">
        <v>0</v>
      </c>
      <c r="Q628" s="4" t="s">
        <v>26</v>
      </c>
      <c r="R628" s="4">
        <v>0</v>
      </c>
      <c r="S628" s="4" t="s">
        <v>264</v>
      </c>
      <c r="T628" s="4" t="s">
        <v>486</v>
      </c>
      <c r="U628" s="4">
        <v>0</v>
      </c>
      <c r="V628" s="4">
        <v>32</v>
      </c>
      <c r="W628" s="4">
        <v>92</v>
      </c>
    </row>
    <row r="629" spans="1:23" ht="11.25" customHeight="1" x14ac:dyDescent="0.3">
      <c r="A629" s="4" t="s">
        <v>21</v>
      </c>
      <c r="B629" s="4" t="s">
        <v>43</v>
      </c>
      <c r="C629" s="4" t="s">
        <v>41</v>
      </c>
      <c r="D629" s="4" t="s">
        <v>38</v>
      </c>
      <c r="E629" s="4" t="s">
        <v>25</v>
      </c>
      <c r="F629" s="4" t="s">
        <v>56</v>
      </c>
      <c r="G629" s="4" t="s">
        <v>25</v>
      </c>
      <c r="H629" s="4" t="s">
        <v>35</v>
      </c>
      <c r="I629" s="5">
        <v>44531</v>
      </c>
      <c r="J629" s="6">
        <v>0</v>
      </c>
      <c r="K629" s="6">
        <v>0</v>
      </c>
      <c r="L629" s="6">
        <v>27.018000000000001</v>
      </c>
      <c r="M629" s="6">
        <v>27.018000000000001</v>
      </c>
      <c r="N629" s="6">
        <v>0</v>
      </c>
      <c r="O629" s="6">
        <v>0</v>
      </c>
      <c r="P629" s="6">
        <v>0</v>
      </c>
      <c r="Q629" s="4" t="s">
        <v>55</v>
      </c>
      <c r="R629" s="4">
        <v>0</v>
      </c>
      <c r="S629" s="4" t="s">
        <v>230</v>
      </c>
      <c r="U629" s="4">
        <v>0</v>
      </c>
      <c r="V629" s="4">
        <v>45</v>
      </c>
      <c r="W629" s="4">
        <v>0</v>
      </c>
    </row>
    <row r="630" spans="1:23" ht="11.25" customHeight="1" x14ac:dyDescent="0.3">
      <c r="A630" s="4" t="s">
        <v>21</v>
      </c>
      <c r="B630" s="4" t="s">
        <v>43</v>
      </c>
      <c r="C630" s="4" t="s">
        <v>41</v>
      </c>
      <c r="D630" s="4" t="s">
        <v>38</v>
      </c>
      <c r="E630" s="4" t="s">
        <v>25</v>
      </c>
      <c r="F630" s="4" t="s">
        <v>56</v>
      </c>
      <c r="G630" s="4" t="s">
        <v>25</v>
      </c>
      <c r="H630" s="4" t="s">
        <v>35</v>
      </c>
      <c r="I630" s="5">
        <v>44562</v>
      </c>
      <c r="J630" s="6">
        <v>0</v>
      </c>
      <c r="K630" s="6">
        <v>0</v>
      </c>
      <c r="L630" s="6">
        <v>27.103999999999999</v>
      </c>
      <c r="M630" s="6">
        <v>27.103999999999999</v>
      </c>
      <c r="N630" s="6">
        <v>0</v>
      </c>
      <c r="O630" s="6">
        <v>0</v>
      </c>
      <c r="P630" s="6">
        <v>0</v>
      </c>
      <c r="Q630" s="4" t="s">
        <v>55</v>
      </c>
      <c r="R630" s="4">
        <v>0</v>
      </c>
      <c r="S630" s="4" t="s">
        <v>231</v>
      </c>
      <c r="U630" s="4">
        <v>0</v>
      </c>
      <c r="V630" s="4">
        <v>45</v>
      </c>
      <c r="W630" s="4">
        <v>0</v>
      </c>
    </row>
    <row r="631" spans="1:23" ht="11.25" customHeight="1" x14ac:dyDescent="0.3">
      <c r="A631" s="4" t="s">
        <v>21</v>
      </c>
      <c r="B631" s="4" t="s">
        <v>43</v>
      </c>
      <c r="C631" s="4" t="s">
        <v>41</v>
      </c>
      <c r="D631" s="4" t="s">
        <v>38</v>
      </c>
      <c r="E631" s="4" t="s">
        <v>25</v>
      </c>
      <c r="F631" s="4" t="s">
        <v>56</v>
      </c>
      <c r="G631" s="4" t="s">
        <v>25</v>
      </c>
      <c r="H631" s="4" t="s">
        <v>35</v>
      </c>
      <c r="I631" s="5">
        <v>44593</v>
      </c>
      <c r="J631" s="6">
        <v>0</v>
      </c>
      <c r="K631" s="6">
        <v>0</v>
      </c>
      <c r="L631" s="6">
        <v>26.242000000000001</v>
      </c>
      <c r="M631" s="6">
        <v>26.242000000000001</v>
      </c>
      <c r="N631" s="6">
        <v>0</v>
      </c>
      <c r="O631" s="6">
        <v>0</v>
      </c>
      <c r="P631" s="6">
        <v>0</v>
      </c>
      <c r="Q631" s="4" t="s">
        <v>55</v>
      </c>
      <c r="R631" s="4">
        <v>0</v>
      </c>
      <c r="S631" s="4" t="s">
        <v>232</v>
      </c>
      <c r="U631" s="4">
        <v>0</v>
      </c>
      <c r="V631" s="4">
        <v>45</v>
      </c>
      <c r="W631" s="4">
        <v>0</v>
      </c>
    </row>
    <row r="632" spans="1:23" ht="11.25" customHeight="1" x14ac:dyDescent="0.3">
      <c r="A632" s="4" t="s">
        <v>21</v>
      </c>
      <c r="B632" s="4" t="s">
        <v>43</v>
      </c>
      <c r="C632" s="4" t="s">
        <v>41</v>
      </c>
      <c r="D632" s="4" t="s">
        <v>38</v>
      </c>
      <c r="E632" s="4" t="s">
        <v>25</v>
      </c>
      <c r="F632" s="4" t="s">
        <v>56</v>
      </c>
      <c r="G632" s="4" t="s">
        <v>25</v>
      </c>
      <c r="H632" s="4" t="s">
        <v>35</v>
      </c>
      <c r="I632" s="5">
        <v>44621</v>
      </c>
      <c r="J632" s="6">
        <v>0</v>
      </c>
      <c r="K632" s="6">
        <v>0</v>
      </c>
      <c r="L632" s="6">
        <v>24.724</v>
      </c>
      <c r="M632" s="6">
        <v>24.724</v>
      </c>
      <c r="N632" s="6">
        <v>0</v>
      </c>
      <c r="O632" s="6">
        <v>0</v>
      </c>
      <c r="P632" s="6">
        <v>0</v>
      </c>
      <c r="Q632" s="4" t="s">
        <v>55</v>
      </c>
      <c r="R632" s="4">
        <v>0</v>
      </c>
      <c r="S632" s="4" t="s">
        <v>233</v>
      </c>
      <c r="U632" s="4">
        <v>0</v>
      </c>
      <c r="V632" s="4">
        <v>45</v>
      </c>
      <c r="W632" s="4">
        <v>0</v>
      </c>
    </row>
    <row r="633" spans="1:23" ht="11.25" customHeight="1" x14ac:dyDescent="0.3">
      <c r="A633" s="4" t="s">
        <v>21</v>
      </c>
      <c r="B633" s="4" t="s">
        <v>43</v>
      </c>
      <c r="C633" s="4" t="s">
        <v>41</v>
      </c>
      <c r="D633" s="4" t="s">
        <v>38</v>
      </c>
      <c r="E633" s="4" t="s">
        <v>25</v>
      </c>
      <c r="F633" s="4" t="s">
        <v>56</v>
      </c>
      <c r="G633" s="4" t="s">
        <v>25</v>
      </c>
      <c r="H633" s="4" t="s">
        <v>35</v>
      </c>
      <c r="I633" s="5">
        <v>44652</v>
      </c>
      <c r="J633" s="6">
        <v>0</v>
      </c>
      <c r="K633" s="6">
        <v>0</v>
      </c>
      <c r="L633" s="6">
        <v>28.736000000000001</v>
      </c>
      <c r="M633" s="6">
        <v>28.736000000000001</v>
      </c>
      <c r="N633" s="6">
        <v>0</v>
      </c>
      <c r="O633" s="6">
        <v>0</v>
      </c>
      <c r="P633" s="6">
        <v>0</v>
      </c>
      <c r="Q633" s="4" t="s">
        <v>55</v>
      </c>
      <c r="R633" s="4">
        <v>0</v>
      </c>
      <c r="S633" s="4" t="s">
        <v>234</v>
      </c>
      <c r="U633" s="4">
        <v>0</v>
      </c>
      <c r="V633" s="4">
        <v>45</v>
      </c>
      <c r="W633" s="4">
        <v>0</v>
      </c>
    </row>
    <row r="634" spans="1:23" ht="11.25" customHeight="1" x14ac:dyDescent="0.3">
      <c r="A634" s="4" t="s">
        <v>21</v>
      </c>
      <c r="B634" s="4" t="s">
        <v>43</v>
      </c>
      <c r="C634" s="4" t="s">
        <v>41</v>
      </c>
      <c r="D634" s="4" t="s">
        <v>38</v>
      </c>
      <c r="E634" s="4" t="s">
        <v>25</v>
      </c>
      <c r="F634" s="4" t="s">
        <v>56</v>
      </c>
      <c r="G634" s="4" t="s">
        <v>25</v>
      </c>
      <c r="H634" s="4" t="s">
        <v>35</v>
      </c>
      <c r="I634" s="5">
        <v>44682</v>
      </c>
      <c r="J634" s="6">
        <v>0</v>
      </c>
      <c r="K634" s="6">
        <v>0</v>
      </c>
      <c r="L634" s="6">
        <v>25.777999999999999</v>
      </c>
      <c r="M634" s="6">
        <v>25.777999999999999</v>
      </c>
      <c r="N634" s="6">
        <v>0</v>
      </c>
      <c r="O634" s="6">
        <v>0</v>
      </c>
      <c r="P634" s="6">
        <v>0</v>
      </c>
      <c r="Q634" s="4" t="s">
        <v>55</v>
      </c>
      <c r="R634" s="4">
        <v>0</v>
      </c>
      <c r="S634" s="4" t="s">
        <v>235</v>
      </c>
      <c r="U634" s="4">
        <v>0</v>
      </c>
      <c r="V634" s="4">
        <v>45</v>
      </c>
      <c r="W634" s="4">
        <v>0</v>
      </c>
    </row>
    <row r="635" spans="1:23" ht="11.25" customHeight="1" x14ac:dyDescent="0.3">
      <c r="A635" s="4" t="s">
        <v>21</v>
      </c>
      <c r="B635" s="4" t="s">
        <v>43</v>
      </c>
      <c r="C635" s="4" t="s">
        <v>41</v>
      </c>
      <c r="D635" s="4" t="s">
        <v>38</v>
      </c>
      <c r="E635" s="4" t="s">
        <v>25</v>
      </c>
      <c r="F635" s="4" t="s">
        <v>56</v>
      </c>
      <c r="G635" s="4" t="s">
        <v>25</v>
      </c>
      <c r="H635" s="4" t="s">
        <v>35</v>
      </c>
      <c r="I635" s="5">
        <v>44713</v>
      </c>
      <c r="J635" s="6">
        <v>0</v>
      </c>
      <c r="K635" s="6">
        <v>0</v>
      </c>
      <c r="L635" s="6">
        <v>18.988</v>
      </c>
      <c r="M635" s="6">
        <v>18.988</v>
      </c>
      <c r="N635" s="6">
        <v>0</v>
      </c>
      <c r="O635" s="6">
        <v>0</v>
      </c>
      <c r="P635" s="6">
        <v>0</v>
      </c>
      <c r="Q635" s="4" t="s">
        <v>55</v>
      </c>
      <c r="R635" s="4">
        <v>0</v>
      </c>
      <c r="S635" s="4" t="s">
        <v>236</v>
      </c>
      <c r="U635" s="4">
        <v>0</v>
      </c>
      <c r="V635" s="4">
        <v>45</v>
      </c>
      <c r="W635" s="4">
        <v>0</v>
      </c>
    </row>
    <row r="636" spans="1:23" ht="11.25" customHeight="1" x14ac:dyDescent="0.3">
      <c r="A636" s="4" t="s">
        <v>21</v>
      </c>
      <c r="B636" s="4" t="s">
        <v>43</v>
      </c>
      <c r="C636" s="4" t="s">
        <v>41</v>
      </c>
      <c r="D636" s="4" t="s">
        <v>38</v>
      </c>
      <c r="E636" s="4" t="s">
        <v>25</v>
      </c>
      <c r="F636" s="4" t="s">
        <v>56</v>
      </c>
      <c r="G636" s="4" t="s">
        <v>25</v>
      </c>
      <c r="H636" s="4" t="s">
        <v>35</v>
      </c>
      <c r="I636" s="5">
        <v>44743</v>
      </c>
      <c r="J636" s="6">
        <v>0</v>
      </c>
      <c r="K636" s="6">
        <v>0</v>
      </c>
      <c r="L636" s="6">
        <v>17.864999999999998</v>
      </c>
      <c r="M636" s="6">
        <v>17.864999999999998</v>
      </c>
      <c r="N636" s="6">
        <v>0</v>
      </c>
      <c r="O636" s="6">
        <v>0</v>
      </c>
      <c r="P636" s="6">
        <v>0</v>
      </c>
      <c r="Q636" s="4" t="s">
        <v>55</v>
      </c>
      <c r="R636" s="4">
        <v>0</v>
      </c>
      <c r="S636" s="4" t="s">
        <v>237</v>
      </c>
      <c r="U636" s="4">
        <v>0</v>
      </c>
      <c r="V636" s="4">
        <v>45</v>
      </c>
      <c r="W636" s="4">
        <v>0</v>
      </c>
    </row>
    <row r="637" spans="1:23" ht="11.25" customHeight="1" x14ac:dyDescent="0.3">
      <c r="A637" s="4" t="s">
        <v>21</v>
      </c>
      <c r="B637" s="4" t="s">
        <v>43</v>
      </c>
      <c r="C637" s="4" t="s">
        <v>41</v>
      </c>
      <c r="D637" s="4" t="s">
        <v>38</v>
      </c>
      <c r="E637" s="4" t="s">
        <v>25</v>
      </c>
      <c r="F637" s="4" t="s">
        <v>56</v>
      </c>
      <c r="G637" s="4" t="s">
        <v>25</v>
      </c>
      <c r="H637" s="4" t="s">
        <v>35</v>
      </c>
      <c r="I637" s="5">
        <v>44774</v>
      </c>
      <c r="J637" s="6">
        <v>0</v>
      </c>
      <c r="K637" s="6">
        <v>0</v>
      </c>
      <c r="L637" s="6">
        <v>20.734000000000002</v>
      </c>
      <c r="M637" s="6">
        <v>20.734000000000002</v>
      </c>
      <c r="N637" s="6">
        <v>0</v>
      </c>
      <c r="O637" s="6">
        <v>0</v>
      </c>
      <c r="P637" s="6">
        <v>0</v>
      </c>
      <c r="Q637" s="4" t="s">
        <v>55</v>
      </c>
      <c r="R637" s="4">
        <v>0</v>
      </c>
      <c r="S637" s="4" t="s">
        <v>238</v>
      </c>
      <c r="U637" s="4">
        <v>0</v>
      </c>
      <c r="V637" s="4">
        <v>45</v>
      </c>
      <c r="W637" s="4">
        <v>0</v>
      </c>
    </row>
    <row r="638" spans="1:23" ht="11.25" customHeight="1" x14ac:dyDescent="0.3">
      <c r="A638" s="4" t="s">
        <v>21</v>
      </c>
      <c r="B638" s="4" t="s">
        <v>43</v>
      </c>
      <c r="C638" s="4" t="s">
        <v>41</v>
      </c>
      <c r="D638" s="4" t="s">
        <v>38</v>
      </c>
      <c r="E638" s="4" t="s">
        <v>25</v>
      </c>
      <c r="F638" s="4" t="s">
        <v>56</v>
      </c>
      <c r="G638" s="4" t="s">
        <v>25</v>
      </c>
      <c r="H638" s="4" t="s">
        <v>35</v>
      </c>
      <c r="I638" s="5">
        <v>44805</v>
      </c>
      <c r="J638" s="6">
        <v>0</v>
      </c>
      <c r="K638" s="6">
        <v>0</v>
      </c>
      <c r="L638" s="6">
        <v>22.969000000000001</v>
      </c>
      <c r="M638" s="6">
        <v>22.969000000000001</v>
      </c>
      <c r="N638" s="6">
        <v>0</v>
      </c>
      <c r="O638" s="6">
        <v>0</v>
      </c>
      <c r="P638" s="6">
        <v>0</v>
      </c>
      <c r="Q638" s="4" t="s">
        <v>55</v>
      </c>
      <c r="R638" s="4">
        <v>0</v>
      </c>
      <c r="S638" s="4" t="s">
        <v>239</v>
      </c>
      <c r="U638" s="4">
        <v>0</v>
      </c>
      <c r="V638" s="4">
        <v>45</v>
      </c>
      <c r="W638" s="4">
        <v>0</v>
      </c>
    </row>
    <row r="639" spans="1:23" ht="11.25" customHeight="1" x14ac:dyDescent="0.3">
      <c r="A639" s="4" t="s">
        <v>53</v>
      </c>
      <c r="B639" s="4" t="s">
        <v>43</v>
      </c>
      <c r="C639" s="4" t="s">
        <v>41</v>
      </c>
      <c r="D639" s="4" t="s">
        <v>38</v>
      </c>
      <c r="E639" s="4" t="s">
        <v>25</v>
      </c>
      <c r="F639" s="4" t="s">
        <v>56</v>
      </c>
      <c r="G639" s="4" t="s">
        <v>25</v>
      </c>
      <c r="H639" s="4" t="s">
        <v>35</v>
      </c>
      <c r="I639" s="5">
        <v>44835</v>
      </c>
      <c r="J639" s="6">
        <v>0</v>
      </c>
      <c r="K639" s="6">
        <v>0</v>
      </c>
      <c r="L639" s="6">
        <v>22.969000000000001</v>
      </c>
      <c r="M639" s="6">
        <v>22.969000000000001</v>
      </c>
      <c r="N639" s="6">
        <v>0</v>
      </c>
      <c r="O639" s="6">
        <v>0</v>
      </c>
      <c r="P639" s="6">
        <v>0</v>
      </c>
      <c r="Q639" s="4" t="s">
        <v>55</v>
      </c>
      <c r="R639" s="4">
        <v>0</v>
      </c>
      <c r="S639" s="4" t="s">
        <v>240</v>
      </c>
      <c r="U639" s="4">
        <v>0</v>
      </c>
      <c r="V639" s="4">
        <v>45</v>
      </c>
      <c r="W639" s="4">
        <v>0</v>
      </c>
    </row>
    <row r="640" spans="1:23" ht="11.25" customHeight="1" x14ac:dyDescent="0.3">
      <c r="A640" s="4" t="s">
        <v>21</v>
      </c>
      <c r="B640" s="4" t="s">
        <v>43</v>
      </c>
      <c r="C640" s="4" t="s">
        <v>41</v>
      </c>
      <c r="D640" s="4" t="s">
        <v>38</v>
      </c>
      <c r="E640" s="4" t="s">
        <v>25</v>
      </c>
      <c r="F640" s="4" t="s">
        <v>56</v>
      </c>
      <c r="G640" s="4" t="s">
        <v>25</v>
      </c>
      <c r="H640" s="4" t="s">
        <v>25</v>
      </c>
      <c r="I640" s="5">
        <v>44531</v>
      </c>
      <c r="J640" s="6">
        <v>101</v>
      </c>
      <c r="K640" s="6">
        <v>50.5</v>
      </c>
      <c r="L640" s="6">
        <v>0</v>
      </c>
      <c r="M640" s="6">
        <v>0</v>
      </c>
      <c r="N640" s="6">
        <v>0</v>
      </c>
      <c r="O640" s="6">
        <v>0</v>
      </c>
      <c r="P640" s="6">
        <v>1</v>
      </c>
      <c r="Q640" s="4" t="s">
        <v>55</v>
      </c>
      <c r="R640" s="4">
        <v>0</v>
      </c>
      <c r="S640" s="4" t="s">
        <v>242</v>
      </c>
      <c r="U640" s="4">
        <v>13</v>
      </c>
      <c r="V640" s="4">
        <v>0</v>
      </c>
      <c r="W640" s="4">
        <v>0</v>
      </c>
    </row>
    <row r="641" spans="1:23" ht="11.25" customHeight="1" x14ac:dyDescent="0.3">
      <c r="A641" s="4" t="s">
        <v>21</v>
      </c>
      <c r="B641" s="4" t="s">
        <v>43</v>
      </c>
      <c r="C641" s="4" t="s">
        <v>41</v>
      </c>
      <c r="D641" s="4" t="s">
        <v>38</v>
      </c>
      <c r="E641" s="4" t="s">
        <v>25</v>
      </c>
      <c r="F641" s="4" t="s">
        <v>56</v>
      </c>
      <c r="G641" s="4" t="s">
        <v>25</v>
      </c>
      <c r="H641" s="4" t="s">
        <v>25</v>
      </c>
      <c r="I641" s="5">
        <v>44562</v>
      </c>
      <c r="J641" s="6">
        <v>101</v>
      </c>
      <c r="K641" s="6">
        <v>50.5</v>
      </c>
      <c r="L641" s="6">
        <v>0</v>
      </c>
      <c r="M641" s="6">
        <v>0</v>
      </c>
      <c r="N641" s="6">
        <v>0</v>
      </c>
      <c r="O641" s="6">
        <v>0</v>
      </c>
      <c r="P641" s="6">
        <v>1</v>
      </c>
      <c r="Q641" s="4" t="s">
        <v>55</v>
      </c>
      <c r="R641" s="4">
        <v>0</v>
      </c>
      <c r="S641" s="4" t="s">
        <v>243</v>
      </c>
      <c r="U641" s="4">
        <v>13</v>
      </c>
      <c r="V641" s="4">
        <v>0</v>
      </c>
      <c r="W641" s="4">
        <v>0</v>
      </c>
    </row>
    <row r="642" spans="1:23" ht="11.25" customHeight="1" x14ac:dyDescent="0.3">
      <c r="A642" s="4" t="s">
        <v>21</v>
      </c>
      <c r="B642" s="4" t="s">
        <v>43</v>
      </c>
      <c r="C642" s="4" t="s">
        <v>41</v>
      </c>
      <c r="D642" s="4" t="s">
        <v>38</v>
      </c>
      <c r="E642" s="4" t="s">
        <v>25</v>
      </c>
      <c r="F642" s="4" t="s">
        <v>56</v>
      </c>
      <c r="G642" s="4" t="s">
        <v>25</v>
      </c>
      <c r="H642" s="4" t="s">
        <v>25</v>
      </c>
      <c r="I642" s="5">
        <v>44593</v>
      </c>
      <c r="J642" s="6">
        <v>101</v>
      </c>
      <c r="K642" s="6">
        <v>50.614991529999998</v>
      </c>
      <c r="L642" s="6">
        <v>0</v>
      </c>
      <c r="M642" s="6">
        <v>0</v>
      </c>
      <c r="N642" s="6">
        <v>0</v>
      </c>
      <c r="O642" s="6">
        <v>0</v>
      </c>
      <c r="P642" s="6">
        <v>1</v>
      </c>
      <c r="Q642" s="4" t="s">
        <v>55</v>
      </c>
      <c r="R642" s="4">
        <v>0</v>
      </c>
      <c r="S642" s="4" t="s">
        <v>244</v>
      </c>
      <c r="U642" s="4">
        <v>13</v>
      </c>
      <c r="V642" s="4">
        <v>0</v>
      </c>
      <c r="W642" s="4">
        <v>0</v>
      </c>
    </row>
    <row r="643" spans="1:23" ht="11.25" customHeight="1" x14ac:dyDescent="0.3">
      <c r="A643" s="4" t="s">
        <v>21</v>
      </c>
      <c r="B643" s="4" t="s">
        <v>43</v>
      </c>
      <c r="C643" s="4" t="s">
        <v>41</v>
      </c>
      <c r="D643" s="4" t="s">
        <v>38</v>
      </c>
      <c r="E643" s="4" t="s">
        <v>25</v>
      </c>
      <c r="F643" s="4" t="s">
        <v>56</v>
      </c>
      <c r="G643" s="4" t="s">
        <v>25</v>
      </c>
      <c r="H643" s="4" t="s">
        <v>25</v>
      </c>
      <c r="I643" s="5">
        <v>44621</v>
      </c>
      <c r="J643" s="6">
        <v>101</v>
      </c>
      <c r="K643" s="6">
        <v>50.574105719999999</v>
      </c>
      <c r="L643" s="6">
        <v>0</v>
      </c>
      <c r="M643" s="6">
        <v>0</v>
      </c>
      <c r="N643" s="6">
        <v>0</v>
      </c>
      <c r="O643" s="6">
        <v>0</v>
      </c>
      <c r="P643" s="6">
        <v>1</v>
      </c>
      <c r="Q643" s="4" t="s">
        <v>55</v>
      </c>
      <c r="R643" s="4">
        <v>0</v>
      </c>
      <c r="S643" s="4" t="s">
        <v>245</v>
      </c>
      <c r="U643" s="4">
        <v>13</v>
      </c>
      <c r="V643" s="4">
        <v>0</v>
      </c>
      <c r="W643" s="4">
        <v>0</v>
      </c>
    </row>
    <row r="644" spans="1:23" ht="11.25" customHeight="1" x14ac:dyDescent="0.3">
      <c r="A644" s="4" t="s">
        <v>21</v>
      </c>
      <c r="B644" s="4" t="s">
        <v>43</v>
      </c>
      <c r="C644" s="4" t="s">
        <v>41</v>
      </c>
      <c r="D644" s="4" t="s">
        <v>38</v>
      </c>
      <c r="E644" s="4" t="s">
        <v>25</v>
      </c>
      <c r="F644" s="4" t="s">
        <v>56</v>
      </c>
      <c r="G644" s="4" t="s">
        <v>25</v>
      </c>
      <c r="H644" s="4" t="s">
        <v>25</v>
      </c>
      <c r="I644" s="5">
        <v>44652</v>
      </c>
      <c r="J644" s="6">
        <v>101</v>
      </c>
      <c r="K644" s="6">
        <v>50.563032079999999</v>
      </c>
      <c r="L644" s="6">
        <v>0</v>
      </c>
      <c r="M644" s="6">
        <v>0</v>
      </c>
      <c r="N644" s="6">
        <v>0</v>
      </c>
      <c r="O644" s="6">
        <v>0</v>
      </c>
      <c r="P644" s="6">
        <v>1</v>
      </c>
      <c r="Q644" s="4" t="s">
        <v>55</v>
      </c>
      <c r="R644" s="4">
        <v>0</v>
      </c>
      <c r="S644" s="4" t="s">
        <v>246</v>
      </c>
      <c r="U644" s="4">
        <v>13</v>
      </c>
      <c r="V644" s="4">
        <v>0</v>
      </c>
      <c r="W644" s="4">
        <v>0</v>
      </c>
    </row>
    <row r="645" spans="1:23" ht="11.25" customHeight="1" x14ac:dyDescent="0.3">
      <c r="A645" s="4" t="s">
        <v>21</v>
      </c>
      <c r="B645" s="4" t="s">
        <v>43</v>
      </c>
      <c r="C645" s="4" t="s">
        <v>41</v>
      </c>
      <c r="D645" s="4" t="s">
        <v>38</v>
      </c>
      <c r="E645" s="4" t="s">
        <v>25</v>
      </c>
      <c r="F645" s="4" t="s">
        <v>56</v>
      </c>
      <c r="G645" s="4" t="s">
        <v>25</v>
      </c>
      <c r="H645" s="4" t="s">
        <v>25</v>
      </c>
      <c r="I645" s="5">
        <v>44682</v>
      </c>
      <c r="J645" s="6">
        <v>101</v>
      </c>
      <c r="K645" s="6">
        <v>50.617546830000002</v>
      </c>
      <c r="L645" s="6">
        <v>0</v>
      </c>
      <c r="M645" s="6">
        <v>0</v>
      </c>
      <c r="N645" s="6">
        <v>0</v>
      </c>
      <c r="O645" s="6">
        <v>0</v>
      </c>
      <c r="P645" s="6">
        <v>1</v>
      </c>
      <c r="Q645" s="4" t="s">
        <v>55</v>
      </c>
      <c r="R645" s="4">
        <v>0</v>
      </c>
      <c r="S645" s="4" t="s">
        <v>247</v>
      </c>
      <c r="U645" s="4">
        <v>13</v>
      </c>
      <c r="V645" s="4">
        <v>0</v>
      </c>
      <c r="W645" s="4">
        <v>0</v>
      </c>
    </row>
    <row r="646" spans="1:23" ht="11.25" customHeight="1" x14ac:dyDescent="0.3">
      <c r="A646" s="4" t="s">
        <v>21</v>
      </c>
      <c r="B646" s="4" t="s">
        <v>43</v>
      </c>
      <c r="C646" s="4" t="s">
        <v>41</v>
      </c>
      <c r="D646" s="4" t="s">
        <v>38</v>
      </c>
      <c r="E646" s="4" t="s">
        <v>25</v>
      </c>
      <c r="F646" s="4" t="s">
        <v>56</v>
      </c>
      <c r="G646" s="4" t="s">
        <v>25</v>
      </c>
      <c r="H646" s="4" t="s">
        <v>25</v>
      </c>
      <c r="I646" s="5">
        <v>44713</v>
      </c>
      <c r="J646" s="6">
        <v>101</v>
      </c>
      <c r="K646" s="6">
        <v>56.66269175</v>
      </c>
      <c r="L646" s="6">
        <v>0</v>
      </c>
      <c r="M646" s="6">
        <v>0</v>
      </c>
      <c r="N646" s="6">
        <v>0</v>
      </c>
      <c r="O646" s="6">
        <v>0</v>
      </c>
      <c r="P646" s="6">
        <v>1</v>
      </c>
      <c r="Q646" s="4" t="s">
        <v>55</v>
      </c>
      <c r="R646" s="4">
        <v>0</v>
      </c>
      <c r="S646" s="4" t="s">
        <v>248</v>
      </c>
      <c r="U646" s="4">
        <v>13</v>
      </c>
      <c r="V646" s="4">
        <v>0</v>
      </c>
      <c r="W646" s="4">
        <v>0</v>
      </c>
    </row>
    <row r="647" spans="1:23" ht="11.25" customHeight="1" x14ac:dyDescent="0.3">
      <c r="A647" s="4" t="s">
        <v>21</v>
      </c>
      <c r="B647" s="4" t="s">
        <v>43</v>
      </c>
      <c r="C647" s="4" t="s">
        <v>41</v>
      </c>
      <c r="D647" s="4" t="s">
        <v>38</v>
      </c>
      <c r="E647" s="4" t="s">
        <v>25</v>
      </c>
      <c r="F647" s="4" t="s">
        <v>56</v>
      </c>
      <c r="G647" s="4" t="s">
        <v>25</v>
      </c>
      <c r="H647" s="4" t="s">
        <v>25</v>
      </c>
      <c r="I647" s="5">
        <v>44743</v>
      </c>
      <c r="J647" s="6">
        <v>101</v>
      </c>
      <c r="K647" s="6">
        <v>50.520443409999999</v>
      </c>
      <c r="L647" s="6">
        <v>0</v>
      </c>
      <c r="M647" s="6">
        <v>0</v>
      </c>
      <c r="N647" s="6">
        <v>0</v>
      </c>
      <c r="O647" s="6">
        <v>0</v>
      </c>
      <c r="P647" s="6">
        <v>1</v>
      </c>
      <c r="Q647" s="4" t="s">
        <v>55</v>
      </c>
      <c r="R647" s="4">
        <v>0</v>
      </c>
      <c r="S647" s="4" t="s">
        <v>249</v>
      </c>
      <c r="U647" s="4">
        <v>13</v>
      </c>
      <c r="V647" s="4">
        <v>0</v>
      </c>
      <c r="W647" s="4">
        <v>0</v>
      </c>
    </row>
    <row r="648" spans="1:23" ht="11.25" customHeight="1" x14ac:dyDescent="0.3">
      <c r="A648" s="4" t="s">
        <v>21</v>
      </c>
      <c r="B648" s="4" t="s">
        <v>43</v>
      </c>
      <c r="C648" s="4" t="s">
        <v>41</v>
      </c>
      <c r="D648" s="4" t="s">
        <v>38</v>
      </c>
      <c r="E648" s="4" t="s">
        <v>25</v>
      </c>
      <c r="F648" s="4" t="s">
        <v>56</v>
      </c>
      <c r="G648" s="4" t="s">
        <v>25</v>
      </c>
      <c r="H648" s="4" t="s">
        <v>25</v>
      </c>
      <c r="I648" s="5">
        <v>44774</v>
      </c>
      <c r="J648" s="6">
        <v>101</v>
      </c>
      <c r="K648" s="6">
        <v>47.413117810000003</v>
      </c>
      <c r="L648" s="6">
        <v>0</v>
      </c>
      <c r="M648" s="6">
        <v>0</v>
      </c>
      <c r="N648" s="6">
        <v>0</v>
      </c>
      <c r="O648" s="6">
        <v>0</v>
      </c>
      <c r="P648" s="6">
        <v>1</v>
      </c>
      <c r="Q648" s="4" t="s">
        <v>55</v>
      </c>
      <c r="R648" s="4">
        <v>0</v>
      </c>
      <c r="S648" s="4" t="s">
        <v>250</v>
      </c>
      <c r="U648" s="4">
        <v>13</v>
      </c>
      <c r="V648" s="4">
        <v>0</v>
      </c>
      <c r="W648" s="4">
        <v>0</v>
      </c>
    </row>
    <row r="649" spans="1:23" ht="11.25" customHeight="1" x14ac:dyDescent="0.3">
      <c r="A649" s="4" t="s">
        <v>21</v>
      </c>
      <c r="B649" s="4" t="s">
        <v>43</v>
      </c>
      <c r="C649" s="4" t="s">
        <v>41</v>
      </c>
      <c r="D649" s="4" t="s">
        <v>38</v>
      </c>
      <c r="E649" s="4" t="s">
        <v>25</v>
      </c>
      <c r="F649" s="4" t="s">
        <v>56</v>
      </c>
      <c r="G649" s="4" t="s">
        <v>25</v>
      </c>
      <c r="H649" s="4" t="s">
        <v>25</v>
      </c>
      <c r="I649" s="5">
        <v>44805</v>
      </c>
      <c r="J649" s="6">
        <v>101</v>
      </c>
      <c r="K649" s="6">
        <v>50.495740830000003</v>
      </c>
      <c r="L649" s="6">
        <v>0</v>
      </c>
      <c r="M649" s="6">
        <v>0</v>
      </c>
      <c r="N649" s="6">
        <v>0</v>
      </c>
      <c r="O649" s="6">
        <v>0</v>
      </c>
      <c r="P649" s="6">
        <v>1</v>
      </c>
      <c r="Q649" s="4" t="s">
        <v>55</v>
      </c>
      <c r="R649" s="4">
        <v>0</v>
      </c>
      <c r="S649" s="4" t="s">
        <v>251</v>
      </c>
      <c r="U649" s="4">
        <v>13</v>
      </c>
      <c r="V649" s="4">
        <v>0</v>
      </c>
      <c r="W649" s="4">
        <v>0</v>
      </c>
    </row>
    <row r="650" spans="1:23" ht="11.25" customHeight="1" x14ac:dyDescent="0.3">
      <c r="A650" s="4" t="s">
        <v>53</v>
      </c>
      <c r="B650" s="4" t="s">
        <v>43</v>
      </c>
      <c r="C650" s="4" t="s">
        <v>41</v>
      </c>
      <c r="D650" s="4" t="s">
        <v>38</v>
      </c>
      <c r="E650" s="4" t="s">
        <v>25</v>
      </c>
      <c r="F650" s="4" t="s">
        <v>56</v>
      </c>
      <c r="G650" s="4" t="s">
        <v>25</v>
      </c>
      <c r="H650" s="4" t="s">
        <v>25</v>
      </c>
      <c r="I650" s="5">
        <v>44835</v>
      </c>
      <c r="J650" s="6">
        <v>101</v>
      </c>
      <c r="K650" s="6">
        <v>50.495740830000003</v>
      </c>
      <c r="L650" s="6">
        <v>0</v>
      </c>
      <c r="M650" s="6">
        <v>0</v>
      </c>
      <c r="N650" s="6">
        <v>0</v>
      </c>
      <c r="O650" s="6">
        <v>0</v>
      </c>
      <c r="P650" s="6">
        <v>1</v>
      </c>
      <c r="Q650" s="4" t="s">
        <v>55</v>
      </c>
      <c r="R650" s="4">
        <v>0</v>
      </c>
      <c r="S650" s="4" t="s">
        <v>252</v>
      </c>
      <c r="U650" s="4">
        <v>13</v>
      </c>
      <c r="V650" s="4">
        <v>0</v>
      </c>
      <c r="W650" s="4">
        <v>0</v>
      </c>
    </row>
    <row r="651" spans="1:23" ht="11.25" customHeight="1" x14ac:dyDescent="0.3">
      <c r="A651" s="4" t="s">
        <v>21</v>
      </c>
      <c r="B651" s="4" t="s">
        <v>43</v>
      </c>
      <c r="C651" s="4" t="s">
        <v>41</v>
      </c>
      <c r="D651" s="4" t="s">
        <v>38</v>
      </c>
      <c r="E651" s="4" t="s">
        <v>25</v>
      </c>
      <c r="F651" s="4" t="s">
        <v>56</v>
      </c>
      <c r="G651" s="4" t="s">
        <v>25</v>
      </c>
      <c r="H651" s="4" t="s">
        <v>34</v>
      </c>
      <c r="I651" s="5">
        <v>44531</v>
      </c>
      <c r="J651" s="6">
        <v>0</v>
      </c>
      <c r="K651" s="6">
        <v>0</v>
      </c>
      <c r="L651" s="6">
        <v>3.5529999999999999</v>
      </c>
      <c r="M651" s="6">
        <v>1.8846817795299999</v>
      </c>
      <c r="N651" s="6">
        <v>0</v>
      </c>
      <c r="O651" s="6">
        <v>0</v>
      </c>
      <c r="P651" s="6">
        <v>0</v>
      </c>
      <c r="Q651" s="4" t="s">
        <v>55</v>
      </c>
      <c r="R651" s="4">
        <v>0</v>
      </c>
      <c r="S651" s="4" t="s">
        <v>254</v>
      </c>
      <c r="U651" s="4">
        <v>0</v>
      </c>
      <c r="V651" s="4">
        <v>32</v>
      </c>
      <c r="W651" s="4">
        <v>0</v>
      </c>
    </row>
    <row r="652" spans="1:23" ht="11.25" customHeight="1" x14ac:dyDescent="0.3">
      <c r="A652" s="4" t="s">
        <v>21</v>
      </c>
      <c r="B652" s="4" t="s">
        <v>43</v>
      </c>
      <c r="C652" s="4" t="s">
        <v>41</v>
      </c>
      <c r="D652" s="4" t="s">
        <v>38</v>
      </c>
      <c r="E652" s="4" t="s">
        <v>25</v>
      </c>
      <c r="F652" s="4" t="s">
        <v>56</v>
      </c>
      <c r="G652" s="4" t="s">
        <v>25</v>
      </c>
      <c r="H652" s="4" t="s">
        <v>34</v>
      </c>
      <c r="I652" s="5">
        <v>44562</v>
      </c>
      <c r="J652" s="6">
        <v>0</v>
      </c>
      <c r="K652" s="6">
        <v>0</v>
      </c>
      <c r="L652" s="6">
        <v>4.0090000000000003</v>
      </c>
      <c r="M652" s="6">
        <v>2.13658183697</v>
      </c>
      <c r="N652" s="6">
        <v>0</v>
      </c>
      <c r="O652" s="6">
        <v>0</v>
      </c>
      <c r="P652" s="6">
        <v>0</v>
      </c>
      <c r="Q652" s="4" t="s">
        <v>55</v>
      </c>
      <c r="R652" s="4">
        <v>0</v>
      </c>
      <c r="S652" s="4" t="s">
        <v>255</v>
      </c>
      <c r="U652" s="4">
        <v>0</v>
      </c>
      <c r="V652" s="4">
        <v>32</v>
      </c>
      <c r="W652" s="4">
        <v>0</v>
      </c>
    </row>
    <row r="653" spans="1:23" ht="11.25" customHeight="1" x14ac:dyDescent="0.3">
      <c r="A653" s="4" t="s">
        <v>21</v>
      </c>
      <c r="B653" s="4" t="s">
        <v>43</v>
      </c>
      <c r="C653" s="4" t="s">
        <v>41</v>
      </c>
      <c r="D653" s="4" t="s">
        <v>38</v>
      </c>
      <c r="E653" s="4" t="s">
        <v>25</v>
      </c>
      <c r="F653" s="4" t="s">
        <v>56</v>
      </c>
      <c r="G653" s="4" t="s">
        <v>25</v>
      </c>
      <c r="H653" s="4" t="s">
        <v>34</v>
      </c>
      <c r="I653" s="5">
        <v>44593</v>
      </c>
      <c r="J653" s="6">
        <v>0</v>
      </c>
      <c r="K653" s="6">
        <v>0</v>
      </c>
      <c r="L653" s="6">
        <v>3.74</v>
      </c>
      <c r="M653" s="6">
        <v>1.997052101</v>
      </c>
      <c r="N653" s="6">
        <v>0</v>
      </c>
      <c r="O653" s="6">
        <v>0</v>
      </c>
      <c r="P653" s="6">
        <v>0</v>
      </c>
      <c r="Q653" s="4" t="s">
        <v>55</v>
      </c>
      <c r="R653" s="4">
        <v>0</v>
      </c>
      <c r="S653" s="4" t="s">
        <v>256</v>
      </c>
      <c r="U653" s="4">
        <v>0</v>
      </c>
      <c r="V653" s="4">
        <v>32</v>
      </c>
      <c r="W653" s="4">
        <v>0</v>
      </c>
    </row>
    <row r="654" spans="1:23" ht="11.25" customHeight="1" x14ac:dyDescent="0.3">
      <c r="A654" s="4" t="s">
        <v>21</v>
      </c>
      <c r="B654" s="4" t="s">
        <v>43</v>
      </c>
      <c r="C654" s="4" t="s">
        <v>41</v>
      </c>
      <c r="D654" s="4" t="s">
        <v>38</v>
      </c>
      <c r="E654" s="4" t="s">
        <v>25</v>
      </c>
      <c r="F654" s="4" t="s">
        <v>56</v>
      </c>
      <c r="G654" s="4" t="s">
        <v>25</v>
      </c>
      <c r="H654" s="4" t="s">
        <v>34</v>
      </c>
      <c r="I654" s="5">
        <v>44621</v>
      </c>
      <c r="J654" s="6">
        <v>0</v>
      </c>
      <c r="K654" s="6">
        <v>0</v>
      </c>
      <c r="L654" s="6">
        <v>3.448</v>
      </c>
      <c r="M654" s="6">
        <v>1.84013581184</v>
      </c>
      <c r="N654" s="6">
        <v>0</v>
      </c>
      <c r="O654" s="6">
        <v>0</v>
      </c>
      <c r="P654" s="6">
        <v>0</v>
      </c>
      <c r="Q654" s="4" t="s">
        <v>55</v>
      </c>
      <c r="R654" s="4">
        <v>0</v>
      </c>
      <c r="S654" s="4" t="s">
        <v>257</v>
      </c>
      <c r="U654" s="4">
        <v>0</v>
      </c>
      <c r="V654" s="4">
        <v>32</v>
      </c>
      <c r="W654" s="4">
        <v>0</v>
      </c>
    </row>
    <row r="655" spans="1:23" ht="11.25" customHeight="1" x14ac:dyDescent="0.3">
      <c r="A655" s="4" t="s">
        <v>21</v>
      </c>
      <c r="B655" s="4" t="s">
        <v>43</v>
      </c>
      <c r="C655" s="4" t="s">
        <v>41</v>
      </c>
      <c r="D655" s="4" t="s">
        <v>38</v>
      </c>
      <c r="E655" s="4" t="s">
        <v>25</v>
      </c>
      <c r="F655" s="4" t="s">
        <v>56</v>
      </c>
      <c r="G655" s="4" t="s">
        <v>25</v>
      </c>
      <c r="H655" s="4" t="s">
        <v>34</v>
      </c>
      <c r="I655" s="5">
        <v>44652</v>
      </c>
      <c r="J655" s="6">
        <v>0</v>
      </c>
      <c r="K655" s="6">
        <v>0</v>
      </c>
      <c r="L655" s="6">
        <v>4.17</v>
      </c>
      <c r="M655" s="6">
        <v>2.2247637216</v>
      </c>
      <c r="N655" s="6">
        <v>0</v>
      </c>
      <c r="O655" s="6">
        <v>0</v>
      </c>
      <c r="P655" s="6">
        <v>0</v>
      </c>
      <c r="Q655" s="4" t="s">
        <v>55</v>
      </c>
      <c r="R655" s="4">
        <v>0</v>
      </c>
      <c r="S655" s="4" t="s">
        <v>258</v>
      </c>
      <c r="U655" s="4">
        <v>0</v>
      </c>
      <c r="V655" s="4">
        <v>32</v>
      </c>
      <c r="W655" s="4">
        <v>0</v>
      </c>
    </row>
    <row r="656" spans="1:23" ht="11.25" customHeight="1" x14ac:dyDescent="0.3">
      <c r="A656" s="4" t="s">
        <v>21</v>
      </c>
      <c r="B656" s="4" t="s">
        <v>43</v>
      </c>
      <c r="C656" s="4" t="s">
        <v>41</v>
      </c>
      <c r="D656" s="4" t="s">
        <v>38</v>
      </c>
      <c r="E656" s="4" t="s">
        <v>25</v>
      </c>
      <c r="F656" s="4" t="s">
        <v>56</v>
      </c>
      <c r="G656" s="4" t="s">
        <v>25</v>
      </c>
      <c r="H656" s="4" t="s">
        <v>34</v>
      </c>
      <c r="I656" s="5">
        <v>44682</v>
      </c>
      <c r="J656" s="6">
        <v>0</v>
      </c>
      <c r="K656" s="6">
        <v>0</v>
      </c>
      <c r="L656" s="6">
        <v>3.2719999999999998</v>
      </c>
      <c r="M656" s="6">
        <v>1.74741762048</v>
      </c>
      <c r="N656" s="6">
        <v>0</v>
      </c>
      <c r="O656" s="6">
        <v>0</v>
      </c>
      <c r="P656" s="6">
        <v>0</v>
      </c>
      <c r="Q656" s="4" t="s">
        <v>55</v>
      </c>
      <c r="R656" s="4">
        <v>0</v>
      </c>
      <c r="S656" s="4" t="s">
        <v>259</v>
      </c>
      <c r="U656" s="4">
        <v>0</v>
      </c>
      <c r="V656" s="4">
        <v>32</v>
      </c>
      <c r="W656" s="4">
        <v>0</v>
      </c>
    </row>
    <row r="657" spans="1:23" ht="11.25" customHeight="1" x14ac:dyDescent="0.3">
      <c r="A657" s="4" t="s">
        <v>21</v>
      </c>
      <c r="B657" s="4" t="s">
        <v>43</v>
      </c>
      <c r="C657" s="4" t="s">
        <v>41</v>
      </c>
      <c r="D657" s="4" t="s">
        <v>38</v>
      </c>
      <c r="E657" s="4" t="s">
        <v>25</v>
      </c>
      <c r="F657" s="4" t="s">
        <v>56</v>
      </c>
      <c r="G657" s="4" t="s">
        <v>25</v>
      </c>
      <c r="H657" s="4" t="s">
        <v>34</v>
      </c>
      <c r="I657" s="5">
        <v>44713</v>
      </c>
      <c r="J657" s="6">
        <v>0</v>
      </c>
      <c r="K657" s="6">
        <v>0</v>
      </c>
      <c r="L657" s="6">
        <v>2.6539999999999999</v>
      </c>
      <c r="M657" s="6">
        <v>1.6084939090799999</v>
      </c>
      <c r="N657" s="6">
        <v>0</v>
      </c>
      <c r="O657" s="6">
        <v>0</v>
      </c>
      <c r="P657" s="6">
        <v>0</v>
      </c>
      <c r="Q657" s="4" t="s">
        <v>55</v>
      </c>
      <c r="R657" s="4">
        <v>0</v>
      </c>
      <c r="S657" s="4" t="s">
        <v>260</v>
      </c>
      <c r="U657" s="4">
        <v>0</v>
      </c>
      <c r="V657" s="4">
        <v>32</v>
      </c>
      <c r="W657" s="4">
        <v>0</v>
      </c>
    </row>
    <row r="658" spans="1:23" ht="11.25" customHeight="1" x14ac:dyDescent="0.3">
      <c r="A658" s="4" t="s">
        <v>21</v>
      </c>
      <c r="B658" s="4" t="s">
        <v>43</v>
      </c>
      <c r="C658" s="4" t="s">
        <v>41</v>
      </c>
      <c r="D658" s="4" t="s">
        <v>38</v>
      </c>
      <c r="E658" s="4" t="s">
        <v>25</v>
      </c>
      <c r="F658" s="4" t="s">
        <v>56</v>
      </c>
      <c r="G658" s="4" t="s">
        <v>25</v>
      </c>
      <c r="H658" s="4" t="s">
        <v>34</v>
      </c>
      <c r="I658" s="5">
        <v>44743</v>
      </c>
      <c r="J658" s="6">
        <v>0</v>
      </c>
      <c r="K658" s="6">
        <v>0</v>
      </c>
      <c r="L658" s="6">
        <v>2.7570000000000001</v>
      </c>
      <c r="M658" s="6">
        <v>1.4697052819500001</v>
      </c>
      <c r="N658" s="6">
        <v>0</v>
      </c>
      <c r="O658" s="6">
        <v>0</v>
      </c>
      <c r="P658" s="6">
        <v>0</v>
      </c>
      <c r="Q658" s="4" t="s">
        <v>55</v>
      </c>
      <c r="R658" s="4">
        <v>0</v>
      </c>
      <c r="S658" s="4" t="s">
        <v>261</v>
      </c>
      <c r="U658" s="4">
        <v>0</v>
      </c>
      <c r="V658" s="4">
        <v>32</v>
      </c>
      <c r="W658" s="4">
        <v>0</v>
      </c>
    </row>
    <row r="659" spans="1:23" ht="11.25" customHeight="1" x14ac:dyDescent="0.3">
      <c r="A659" s="4" t="s">
        <v>21</v>
      </c>
      <c r="B659" s="4" t="s">
        <v>43</v>
      </c>
      <c r="C659" s="4" t="s">
        <v>41</v>
      </c>
      <c r="D659" s="4" t="s">
        <v>38</v>
      </c>
      <c r="E659" s="4" t="s">
        <v>25</v>
      </c>
      <c r="F659" s="4" t="s">
        <v>56</v>
      </c>
      <c r="G659" s="4" t="s">
        <v>25</v>
      </c>
      <c r="H659" s="4" t="s">
        <v>34</v>
      </c>
      <c r="I659" s="5">
        <v>44774</v>
      </c>
      <c r="J659" s="6">
        <v>0</v>
      </c>
      <c r="K659" s="6">
        <v>0</v>
      </c>
      <c r="L659" s="6">
        <v>2.895</v>
      </c>
      <c r="M659" s="6">
        <v>1.4671483649999999</v>
      </c>
      <c r="N659" s="6">
        <v>0</v>
      </c>
      <c r="O659" s="6">
        <v>0</v>
      </c>
      <c r="P659" s="6">
        <v>0</v>
      </c>
      <c r="Q659" s="4" t="s">
        <v>55</v>
      </c>
      <c r="R659" s="4">
        <v>0</v>
      </c>
      <c r="S659" s="4" t="s">
        <v>262</v>
      </c>
      <c r="U659" s="4">
        <v>0</v>
      </c>
      <c r="V659" s="4">
        <v>32</v>
      </c>
      <c r="W659" s="4">
        <v>0</v>
      </c>
    </row>
    <row r="660" spans="1:23" ht="11.25" customHeight="1" x14ac:dyDescent="0.3">
      <c r="A660" s="4" t="s">
        <v>21</v>
      </c>
      <c r="B660" s="4" t="s">
        <v>43</v>
      </c>
      <c r="C660" s="4" t="s">
        <v>41</v>
      </c>
      <c r="D660" s="4" t="s">
        <v>38</v>
      </c>
      <c r="E660" s="4" t="s">
        <v>25</v>
      </c>
      <c r="F660" s="4" t="s">
        <v>56</v>
      </c>
      <c r="G660" s="4" t="s">
        <v>25</v>
      </c>
      <c r="H660" s="4" t="s">
        <v>34</v>
      </c>
      <c r="I660" s="5">
        <v>44805</v>
      </c>
      <c r="J660" s="6">
        <v>0</v>
      </c>
      <c r="K660" s="6">
        <v>0</v>
      </c>
      <c r="L660" s="6">
        <v>3.3159999999999998</v>
      </c>
      <c r="M660" s="6">
        <v>1.7672610393999999</v>
      </c>
      <c r="N660" s="6">
        <v>0</v>
      </c>
      <c r="O660" s="6">
        <v>0</v>
      </c>
      <c r="P660" s="6">
        <v>0</v>
      </c>
      <c r="Q660" s="4" t="s">
        <v>55</v>
      </c>
      <c r="R660" s="4">
        <v>0</v>
      </c>
      <c r="S660" s="4" t="s">
        <v>263</v>
      </c>
      <c r="U660" s="4">
        <v>0</v>
      </c>
      <c r="V660" s="4">
        <v>32</v>
      </c>
      <c r="W660" s="4">
        <v>0</v>
      </c>
    </row>
    <row r="661" spans="1:23" ht="11.25" customHeight="1" x14ac:dyDescent="0.3">
      <c r="A661" s="4" t="s">
        <v>53</v>
      </c>
      <c r="B661" s="4" t="s">
        <v>43</v>
      </c>
      <c r="C661" s="4" t="s">
        <v>41</v>
      </c>
      <c r="D661" s="4" t="s">
        <v>38</v>
      </c>
      <c r="E661" s="4" t="s">
        <v>25</v>
      </c>
      <c r="F661" s="4" t="s">
        <v>56</v>
      </c>
      <c r="G661" s="4" t="s">
        <v>25</v>
      </c>
      <c r="H661" s="4" t="s">
        <v>34</v>
      </c>
      <c r="I661" s="5">
        <v>44835</v>
      </c>
      <c r="J661" s="6">
        <v>0</v>
      </c>
      <c r="K661" s="6">
        <v>0</v>
      </c>
      <c r="L661" s="6">
        <v>3.3159999999999998</v>
      </c>
      <c r="M661" s="6">
        <v>1.7672610393999999</v>
      </c>
      <c r="N661" s="6">
        <v>0</v>
      </c>
      <c r="O661" s="6">
        <v>0</v>
      </c>
      <c r="P661" s="6">
        <v>0</v>
      </c>
      <c r="Q661" s="4" t="s">
        <v>55</v>
      </c>
      <c r="R661" s="4">
        <v>0</v>
      </c>
      <c r="S661" s="4" t="s">
        <v>264</v>
      </c>
      <c r="U661" s="4">
        <v>0</v>
      </c>
      <c r="V661" s="4">
        <v>32</v>
      </c>
      <c r="W661" s="4">
        <v>0</v>
      </c>
    </row>
    <row r="662" spans="1:23" ht="11.25" customHeight="1" x14ac:dyDescent="0.3">
      <c r="A662" s="4" t="s">
        <v>21</v>
      </c>
      <c r="B662" s="4" t="s">
        <v>22</v>
      </c>
      <c r="C662" s="4" t="s">
        <v>33</v>
      </c>
      <c r="D662" s="4" t="s">
        <v>24</v>
      </c>
      <c r="E662" s="4" t="s">
        <v>24</v>
      </c>
      <c r="F662" s="4" t="s">
        <v>25</v>
      </c>
      <c r="G662" s="4" t="s">
        <v>25</v>
      </c>
      <c r="H662" s="4" t="s">
        <v>35</v>
      </c>
      <c r="I662" s="5">
        <v>44501</v>
      </c>
      <c r="J662" s="6">
        <v>0</v>
      </c>
      <c r="K662" s="6">
        <v>0</v>
      </c>
      <c r="L662" s="6">
        <v>12.271000000000001</v>
      </c>
      <c r="M662" s="6">
        <v>12.271000000000001</v>
      </c>
      <c r="N662" s="6">
        <v>12.271000000000001</v>
      </c>
      <c r="O662" s="6">
        <v>12.271000000000001</v>
      </c>
      <c r="P662" s="6">
        <v>0</v>
      </c>
      <c r="Q662" s="4" t="s">
        <v>26</v>
      </c>
      <c r="R662" s="4">
        <v>0</v>
      </c>
      <c r="S662" s="4" t="s">
        <v>265</v>
      </c>
      <c r="T662" s="4" t="s">
        <v>487</v>
      </c>
      <c r="U662" s="4">
        <v>0</v>
      </c>
      <c r="V662" s="4">
        <v>57</v>
      </c>
      <c r="W662" s="4">
        <v>90</v>
      </c>
    </row>
    <row r="663" spans="1:23" ht="11.25" customHeight="1" x14ac:dyDescent="0.3">
      <c r="A663" s="4" t="s">
        <v>21</v>
      </c>
      <c r="B663" s="4" t="s">
        <v>22</v>
      </c>
      <c r="C663" s="4" t="s">
        <v>33</v>
      </c>
      <c r="D663" s="4" t="s">
        <v>24</v>
      </c>
      <c r="E663" s="4" t="s">
        <v>24</v>
      </c>
      <c r="F663" s="4" t="s">
        <v>25</v>
      </c>
      <c r="G663" s="4" t="s">
        <v>25</v>
      </c>
      <c r="H663" s="4" t="s">
        <v>35</v>
      </c>
      <c r="I663" s="5">
        <v>44531</v>
      </c>
      <c r="J663" s="6">
        <v>0</v>
      </c>
      <c r="K663" s="6">
        <v>0</v>
      </c>
      <c r="L663" s="6">
        <v>12.132999999999999</v>
      </c>
      <c r="M663" s="6">
        <v>12.132999999999999</v>
      </c>
      <c r="N663" s="6">
        <v>12.132999999999999</v>
      </c>
      <c r="O663" s="6">
        <v>12.132999999999999</v>
      </c>
      <c r="P663" s="6">
        <v>0</v>
      </c>
      <c r="Q663" s="4" t="s">
        <v>26</v>
      </c>
      <c r="R663" s="4">
        <v>0</v>
      </c>
      <c r="S663" s="4" t="s">
        <v>266</v>
      </c>
      <c r="T663" s="4" t="s">
        <v>488</v>
      </c>
      <c r="U663" s="4">
        <v>0</v>
      </c>
      <c r="V663" s="4">
        <v>57</v>
      </c>
      <c r="W663" s="4">
        <v>90</v>
      </c>
    </row>
    <row r="664" spans="1:23" ht="11.25" customHeight="1" x14ac:dyDescent="0.3">
      <c r="A664" s="4" t="s">
        <v>28</v>
      </c>
      <c r="B664" s="4" t="s">
        <v>22</v>
      </c>
      <c r="C664" s="4" t="s">
        <v>33</v>
      </c>
      <c r="D664" s="4" t="s">
        <v>24</v>
      </c>
      <c r="E664" s="4" t="s">
        <v>24</v>
      </c>
      <c r="F664" s="4" t="s">
        <v>25</v>
      </c>
      <c r="G664" s="4" t="s">
        <v>25</v>
      </c>
      <c r="H664" s="4" t="s">
        <v>35</v>
      </c>
      <c r="I664" s="5">
        <v>44531</v>
      </c>
      <c r="J664" s="6">
        <v>0</v>
      </c>
      <c r="K664" s="6">
        <v>0</v>
      </c>
      <c r="L664" s="6">
        <v>6.0999999999999999E-2</v>
      </c>
      <c r="M664" s="6">
        <v>6.0999999999999999E-2</v>
      </c>
      <c r="N664" s="6">
        <v>6.0999999999999999E-2</v>
      </c>
      <c r="O664" s="6">
        <v>6.0999999999999999E-2</v>
      </c>
      <c r="P664" s="6">
        <v>0</v>
      </c>
      <c r="Q664" s="4" t="s">
        <v>26</v>
      </c>
      <c r="R664" s="4">
        <v>0</v>
      </c>
      <c r="S664" s="4" t="s">
        <v>266</v>
      </c>
      <c r="T664" s="4" t="s">
        <v>488</v>
      </c>
      <c r="U664" s="4">
        <v>0</v>
      </c>
      <c r="V664" s="4">
        <v>57</v>
      </c>
      <c r="W664" s="4">
        <v>90</v>
      </c>
    </row>
    <row r="665" spans="1:23" ht="11.25" customHeight="1" x14ac:dyDescent="0.3">
      <c r="A665" s="4" t="s">
        <v>21</v>
      </c>
      <c r="B665" s="4" t="s">
        <v>22</v>
      </c>
      <c r="C665" s="4" t="s">
        <v>33</v>
      </c>
      <c r="D665" s="4" t="s">
        <v>24</v>
      </c>
      <c r="E665" s="4" t="s">
        <v>24</v>
      </c>
      <c r="F665" s="4" t="s">
        <v>25</v>
      </c>
      <c r="G665" s="4" t="s">
        <v>25</v>
      </c>
      <c r="H665" s="4" t="s">
        <v>35</v>
      </c>
      <c r="I665" s="5">
        <v>44562</v>
      </c>
      <c r="J665" s="6">
        <v>0</v>
      </c>
      <c r="K665" s="6">
        <v>0</v>
      </c>
      <c r="L665" s="6">
        <v>13.625999999999999</v>
      </c>
      <c r="M665" s="6">
        <v>13.625999999999999</v>
      </c>
      <c r="N665" s="6">
        <v>13.625999999999999</v>
      </c>
      <c r="O665" s="6">
        <v>13.625999999999999</v>
      </c>
      <c r="P665" s="6">
        <v>0</v>
      </c>
      <c r="Q665" s="4" t="s">
        <v>26</v>
      </c>
      <c r="R665" s="4">
        <v>0</v>
      </c>
      <c r="S665" s="4" t="s">
        <v>267</v>
      </c>
      <c r="T665" s="4" t="s">
        <v>489</v>
      </c>
      <c r="U665" s="4">
        <v>0</v>
      </c>
      <c r="V665" s="4">
        <v>57</v>
      </c>
      <c r="W665" s="4">
        <v>90</v>
      </c>
    </row>
    <row r="666" spans="1:23" ht="11.25" customHeight="1" x14ac:dyDescent="0.3">
      <c r="A666" s="4" t="s">
        <v>21</v>
      </c>
      <c r="B666" s="4" t="s">
        <v>22</v>
      </c>
      <c r="C666" s="4" t="s">
        <v>33</v>
      </c>
      <c r="D666" s="4" t="s">
        <v>24</v>
      </c>
      <c r="E666" s="4" t="s">
        <v>24</v>
      </c>
      <c r="F666" s="4" t="s">
        <v>25</v>
      </c>
      <c r="G666" s="4" t="s">
        <v>25</v>
      </c>
      <c r="H666" s="4" t="s">
        <v>35</v>
      </c>
      <c r="I666" s="5">
        <v>44593</v>
      </c>
      <c r="J666" s="6">
        <v>0</v>
      </c>
      <c r="K666" s="6">
        <v>0</v>
      </c>
      <c r="L666" s="6">
        <v>12.567</v>
      </c>
      <c r="M666" s="6">
        <v>12.567</v>
      </c>
      <c r="N666" s="6">
        <v>12.567</v>
      </c>
      <c r="O666" s="6">
        <v>12.567</v>
      </c>
      <c r="P666" s="6">
        <v>0</v>
      </c>
      <c r="Q666" s="4" t="s">
        <v>26</v>
      </c>
      <c r="R666" s="4">
        <v>0</v>
      </c>
      <c r="S666" s="4" t="s">
        <v>268</v>
      </c>
      <c r="T666" s="4" t="s">
        <v>490</v>
      </c>
      <c r="U666" s="4">
        <v>0</v>
      </c>
      <c r="V666" s="4">
        <v>57</v>
      </c>
      <c r="W666" s="4">
        <v>90</v>
      </c>
    </row>
    <row r="667" spans="1:23" ht="11.25" customHeight="1" x14ac:dyDescent="0.3">
      <c r="A667" s="4" t="s">
        <v>28</v>
      </c>
      <c r="B667" s="4" t="s">
        <v>22</v>
      </c>
      <c r="C667" s="4" t="s">
        <v>33</v>
      </c>
      <c r="D667" s="4" t="s">
        <v>24</v>
      </c>
      <c r="E667" s="4" t="s">
        <v>24</v>
      </c>
      <c r="F667" s="4" t="s">
        <v>25</v>
      </c>
      <c r="G667" s="4" t="s">
        <v>25</v>
      </c>
      <c r="H667" s="4" t="s">
        <v>35</v>
      </c>
      <c r="I667" s="5">
        <v>44593</v>
      </c>
      <c r="J667" s="6">
        <v>0</v>
      </c>
      <c r="K667" s="6">
        <v>0</v>
      </c>
      <c r="L667" s="6">
        <v>1.2999999999999999E-2</v>
      </c>
      <c r="M667" s="6">
        <v>1.2999999999999999E-2</v>
      </c>
      <c r="N667" s="6">
        <v>1.2999999999999999E-2</v>
      </c>
      <c r="O667" s="6">
        <v>1.2999999999999999E-2</v>
      </c>
      <c r="P667" s="6">
        <v>0</v>
      </c>
      <c r="Q667" s="4" t="s">
        <v>26</v>
      </c>
      <c r="R667" s="4">
        <v>0</v>
      </c>
      <c r="S667" s="4" t="s">
        <v>268</v>
      </c>
      <c r="T667" s="4" t="s">
        <v>490</v>
      </c>
      <c r="U667" s="4">
        <v>0</v>
      </c>
      <c r="V667" s="4">
        <v>57</v>
      </c>
      <c r="W667" s="4">
        <v>90</v>
      </c>
    </row>
    <row r="668" spans="1:23" ht="11.25" customHeight="1" x14ac:dyDescent="0.3">
      <c r="A668" s="4" t="s">
        <v>21</v>
      </c>
      <c r="B668" s="4" t="s">
        <v>22</v>
      </c>
      <c r="C668" s="4" t="s">
        <v>33</v>
      </c>
      <c r="D668" s="4" t="s">
        <v>24</v>
      </c>
      <c r="E668" s="4" t="s">
        <v>24</v>
      </c>
      <c r="F668" s="4" t="s">
        <v>25</v>
      </c>
      <c r="G668" s="4" t="s">
        <v>25</v>
      </c>
      <c r="H668" s="4" t="s">
        <v>35</v>
      </c>
      <c r="I668" s="5">
        <v>44621</v>
      </c>
      <c r="J668" s="6">
        <v>0</v>
      </c>
      <c r="K668" s="6">
        <v>0</v>
      </c>
      <c r="L668" s="6">
        <v>13.433999999999999</v>
      </c>
      <c r="M668" s="6">
        <v>13.433999999999999</v>
      </c>
      <c r="N668" s="6">
        <v>13.433999999999999</v>
      </c>
      <c r="O668" s="6">
        <v>13.433999999999999</v>
      </c>
      <c r="P668" s="6">
        <v>0</v>
      </c>
      <c r="Q668" s="4" t="s">
        <v>26</v>
      </c>
      <c r="R668" s="4">
        <v>0</v>
      </c>
      <c r="S668" s="4" t="s">
        <v>269</v>
      </c>
      <c r="T668" s="4" t="s">
        <v>491</v>
      </c>
      <c r="U668" s="4">
        <v>0</v>
      </c>
      <c r="V668" s="4">
        <v>57</v>
      </c>
      <c r="W668" s="4">
        <v>90</v>
      </c>
    </row>
    <row r="669" spans="1:23" ht="11.25" customHeight="1" x14ac:dyDescent="0.3">
      <c r="A669" s="4" t="s">
        <v>21</v>
      </c>
      <c r="B669" s="4" t="s">
        <v>22</v>
      </c>
      <c r="C669" s="4" t="s">
        <v>33</v>
      </c>
      <c r="D669" s="4" t="s">
        <v>24</v>
      </c>
      <c r="E669" s="4" t="s">
        <v>24</v>
      </c>
      <c r="F669" s="4" t="s">
        <v>25</v>
      </c>
      <c r="G669" s="4" t="s">
        <v>25</v>
      </c>
      <c r="H669" s="4" t="s">
        <v>35</v>
      </c>
      <c r="I669" s="5">
        <v>44652</v>
      </c>
      <c r="J669" s="6">
        <v>0</v>
      </c>
      <c r="K669" s="6">
        <v>0</v>
      </c>
      <c r="L669" s="6">
        <v>10.221</v>
      </c>
      <c r="M669" s="6">
        <v>10.221</v>
      </c>
      <c r="N669" s="6">
        <v>10.221</v>
      </c>
      <c r="O669" s="6">
        <v>10.221</v>
      </c>
      <c r="P669" s="6">
        <v>0</v>
      </c>
      <c r="Q669" s="4" t="s">
        <v>26</v>
      </c>
      <c r="R669" s="4">
        <v>0</v>
      </c>
      <c r="S669" s="4" t="s">
        <v>270</v>
      </c>
      <c r="T669" s="4" t="s">
        <v>492</v>
      </c>
      <c r="U669" s="4">
        <v>0</v>
      </c>
      <c r="V669" s="4">
        <v>57</v>
      </c>
      <c r="W669" s="4">
        <v>90</v>
      </c>
    </row>
    <row r="670" spans="1:23" ht="11.25" customHeight="1" x14ac:dyDescent="0.3">
      <c r="A670" s="4" t="s">
        <v>28</v>
      </c>
      <c r="B670" s="4" t="s">
        <v>22</v>
      </c>
      <c r="C670" s="4" t="s">
        <v>33</v>
      </c>
      <c r="D670" s="4" t="s">
        <v>24</v>
      </c>
      <c r="E670" s="4" t="s">
        <v>24</v>
      </c>
      <c r="F670" s="4" t="s">
        <v>25</v>
      </c>
      <c r="G670" s="4" t="s">
        <v>25</v>
      </c>
      <c r="H670" s="4" t="s">
        <v>35</v>
      </c>
      <c r="I670" s="5">
        <v>44652</v>
      </c>
      <c r="J670" s="6">
        <v>0</v>
      </c>
      <c r="K670" s="6">
        <v>0</v>
      </c>
      <c r="L670" s="6">
        <v>1.2999999999999999E-2</v>
      </c>
      <c r="M670" s="6">
        <v>1.2999999999999999E-2</v>
      </c>
      <c r="N670" s="6">
        <v>1.2999999999999999E-2</v>
      </c>
      <c r="O670" s="6">
        <v>1.2999999999999999E-2</v>
      </c>
      <c r="P670" s="6">
        <v>0</v>
      </c>
      <c r="Q670" s="4" t="s">
        <v>26</v>
      </c>
      <c r="R670" s="4">
        <v>0</v>
      </c>
      <c r="S670" s="4" t="s">
        <v>270</v>
      </c>
      <c r="T670" s="4" t="s">
        <v>492</v>
      </c>
      <c r="U670" s="4">
        <v>0</v>
      </c>
      <c r="V670" s="4">
        <v>57</v>
      </c>
      <c r="W670" s="4">
        <v>90</v>
      </c>
    </row>
    <row r="671" spans="1:23" ht="11.25" customHeight="1" x14ac:dyDescent="0.3">
      <c r="A671" s="4" t="s">
        <v>21</v>
      </c>
      <c r="B671" s="4" t="s">
        <v>22</v>
      </c>
      <c r="C671" s="4" t="s">
        <v>33</v>
      </c>
      <c r="D671" s="4" t="s">
        <v>24</v>
      </c>
      <c r="E671" s="4" t="s">
        <v>24</v>
      </c>
      <c r="F671" s="4" t="s">
        <v>25</v>
      </c>
      <c r="G671" s="4" t="s">
        <v>25</v>
      </c>
      <c r="H671" s="4" t="s">
        <v>35</v>
      </c>
      <c r="I671" s="5">
        <v>44682</v>
      </c>
      <c r="J671" s="6">
        <v>0</v>
      </c>
      <c r="K671" s="6">
        <v>0</v>
      </c>
      <c r="L671" s="6">
        <v>9.9890000000000008</v>
      </c>
      <c r="M671" s="6">
        <v>9.9890000000000008</v>
      </c>
      <c r="N671" s="6">
        <v>9.9890000000000008</v>
      </c>
      <c r="O671" s="6">
        <v>9.9890000000000008</v>
      </c>
      <c r="P671" s="6">
        <v>0</v>
      </c>
      <c r="Q671" s="4" t="s">
        <v>26</v>
      </c>
      <c r="R671" s="4">
        <v>0</v>
      </c>
      <c r="S671" s="4" t="s">
        <v>271</v>
      </c>
      <c r="T671" s="4" t="s">
        <v>493</v>
      </c>
      <c r="U671" s="4">
        <v>0</v>
      </c>
      <c r="V671" s="4">
        <v>57</v>
      </c>
      <c r="W671" s="4">
        <v>90</v>
      </c>
    </row>
    <row r="672" spans="1:23" ht="11.25" customHeight="1" x14ac:dyDescent="0.3">
      <c r="A672" s="4" t="s">
        <v>28</v>
      </c>
      <c r="B672" s="4" t="s">
        <v>22</v>
      </c>
      <c r="C672" s="4" t="s">
        <v>33</v>
      </c>
      <c r="D672" s="4" t="s">
        <v>24</v>
      </c>
      <c r="E672" s="4" t="s">
        <v>24</v>
      </c>
      <c r="F672" s="4" t="s">
        <v>25</v>
      </c>
      <c r="G672" s="4" t="s">
        <v>25</v>
      </c>
      <c r="H672" s="4" t="s">
        <v>35</v>
      </c>
      <c r="I672" s="5">
        <v>44682</v>
      </c>
      <c r="J672" s="6">
        <v>0</v>
      </c>
      <c r="K672" s="6">
        <v>0</v>
      </c>
      <c r="L672" s="6">
        <v>4.5999999999999999E-2</v>
      </c>
      <c r="M672" s="6">
        <v>4.5999999999999999E-2</v>
      </c>
      <c r="N672" s="6">
        <v>4.5999999999999999E-2</v>
      </c>
      <c r="O672" s="6">
        <v>4.5999999999999999E-2</v>
      </c>
      <c r="P672" s="6">
        <v>0</v>
      </c>
      <c r="Q672" s="4" t="s">
        <v>26</v>
      </c>
      <c r="R672" s="4">
        <v>0</v>
      </c>
      <c r="S672" s="4" t="s">
        <v>271</v>
      </c>
      <c r="T672" s="4" t="s">
        <v>493</v>
      </c>
      <c r="U672" s="4">
        <v>0</v>
      </c>
      <c r="V672" s="4">
        <v>57</v>
      </c>
      <c r="W672" s="4">
        <v>90</v>
      </c>
    </row>
    <row r="673" spans="1:23" ht="11.25" customHeight="1" x14ac:dyDescent="0.3">
      <c r="A673" s="4" t="s">
        <v>21</v>
      </c>
      <c r="B673" s="4" t="s">
        <v>22</v>
      </c>
      <c r="C673" s="4" t="s">
        <v>33</v>
      </c>
      <c r="D673" s="4" t="s">
        <v>24</v>
      </c>
      <c r="E673" s="4" t="s">
        <v>24</v>
      </c>
      <c r="F673" s="4" t="s">
        <v>25</v>
      </c>
      <c r="G673" s="4" t="s">
        <v>25</v>
      </c>
      <c r="H673" s="4" t="s">
        <v>35</v>
      </c>
      <c r="I673" s="5">
        <v>44713</v>
      </c>
      <c r="J673" s="6">
        <v>0</v>
      </c>
      <c r="K673" s="6">
        <v>0</v>
      </c>
      <c r="L673" s="6">
        <v>8.548</v>
      </c>
      <c r="M673" s="6">
        <v>8.548</v>
      </c>
      <c r="N673" s="6">
        <v>8.548</v>
      </c>
      <c r="O673" s="6">
        <v>8.548</v>
      </c>
      <c r="P673" s="6">
        <v>0</v>
      </c>
      <c r="Q673" s="4" t="s">
        <v>26</v>
      </c>
      <c r="R673" s="4">
        <v>0</v>
      </c>
      <c r="S673" s="4" t="s">
        <v>272</v>
      </c>
      <c r="T673" s="4" t="s">
        <v>494</v>
      </c>
      <c r="U673" s="4">
        <v>0</v>
      </c>
      <c r="V673" s="4">
        <v>57</v>
      </c>
      <c r="W673" s="4">
        <v>90</v>
      </c>
    </row>
    <row r="674" spans="1:23" ht="11.25" customHeight="1" x14ac:dyDescent="0.3">
      <c r="A674" s="4" t="s">
        <v>28</v>
      </c>
      <c r="B674" s="4" t="s">
        <v>22</v>
      </c>
      <c r="C674" s="4" t="s">
        <v>33</v>
      </c>
      <c r="D674" s="4" t="s">
        <v>24</v>
      </c>
      <c r="E674" s="4" t="s">
        <v>24</v>
      </c>
      <c r="F674" s="4" t="s">
        <v>25</v>
      </c>
      <c r="G674" s="4" t="s">
        <v>25</v>
      </c>
      <c r="H674" s="4" t="s">
        <v>35</v>
      </c>
      <c r="I674" s="5">
        <v>44713</v>
      </c>
      <c r="J674" s="6">
        <v>0</v>
      </c>
      <c r="K674" s="6">
        <v>0</v>
      </c>
      <c r="L674" s="6">
        <v>6.8000000000000005E-2</v>
      </c>
      <c r="M674" s="6">
        <v>6.8000000000000005E-2</v>
      </c>
      <c r="N674" s="6">
        <v>6.8000000000000005E-2</v>
      </c>
      <c r="O674" s="6">
        <v>6.8000000000000005E-2</v>
      </c>
      <c r="P674" s="6">
        <v>0</v>
      </c>
      <c r="Q674" s="4" t="s">
        <v>26</v>
      </c>
      <c r="R674" s="4">
        <v>0</v>
      </c>
      <c r="S674" s="4" t="s">
        <v>272</v>
      </c>
      <c r="T674" s="4" t="s">
        <v>494</v>
      </c>
      <c r="U674" s="4">
        <v>0</v>
      </c>
      <c r="V674" s="4">
        <v>57</v>
      </c>
      <c r="W674" s="4">
        <v>90</v>
      </c>
    </row>
    <row r="675" spans="1:23" ht="11.25" customHeight="1" x14ac:dyDescent="0.3">
      <c r="A675" s="4" t="s">
        <v>21</v>
      </c>
      <c r="B675" s="4" t="s">
        <v>22</v>
      </c>
      <c r="C675" s="4" t="s">
        <v>33</v>
      </c>
      <c r="D675" s="4" t="s">
        <v>24</v>
      </c>
      <c r="E675" s="4" t="s">
        <v>24</v>
      </c>
      <c r="F675" s="4" t="s">
        <v>25</v>
      </c>
      <c r="G675" s="4" t="s">
        <v>25</v>
      </c>
      <c r="H675" s="4" t="s">
        <v>35</v>
      </c>
      <c r="I675" s="5">
        <v>44743</v>
      </c>
      <c r="J675" s="6">
        <v>0</v>
      </c>
      <c r="K675" s="6">
        <v>0</v>
      </c>
      <c r="L675" s="6">
        <v>9.0470000000000006</v>
      </c>
      <c r="M675" s="6">
        <v>9.0470000000000006</v>
      </c>
      <c r="N675" s="6">
        <v>9.0470000000000006</v>
      </c>
      <c r="O675" s="6">
        <v>9.0470000000000006</v>
      </c>
      <c r="P675" s="6">
        <v>0</v>
      </c>
      <c r="Q675" s="4" t="s">
        <v>26</v>
      </c>
      <c r="R675" s="4">
        <v>0</v>
      </c>
      <c r="S675" s="4" t="s">
        <v>273</v>
      </c>
      <c r="T675" s="4" t="s">
        <v>495</v>
      </c>
      <c r="U675" s="4">
        <v>0</v>
      </c>
      <c r="V675" s="4">
        <v>57</v>
      </c>
      <c r="W675" s="4">
        <v>90</v>
      </c>
    </row>
    <row r="676" spans="1:23" ht="11.25" customHeight="1" x14ac:dyDescent="0.3">
      <c r="A676" s="4" t="s">
        <v>21</v>
      </c>
      <c r="B676" s="4" t="s">
        <v>22</v>
      </c>
      <c r="C676" s="4" t="s">
        <v>33</v>
      </c>
      <c r="D676" s="4" t="s">
        <v>24</v>
      </c>
      <c r="E676" s="4" t="s">
        <v>24</v>
      </c>
      <c r="F676" s="4" t="s">
        <v>25</v>
      </c>
      <c r="G676" s="4" t="s">
        <v>25</v>
      </c>
      <c r="H676" s="4" t="s">
        <v>35</v>
      </c>
      <c r="I676" s="5">
        <v>44774</v>
      </c>
      <c r="J676" s="6">
        <v>0</v>
      </c>
      <c r="K676" s="6">
        <v>0</v>
      </c>
      <c r="L676" s="6">
        <v>8.2789999999999999</v>
      </c>
      <c r="M676" s="6">
        <v>8.2789999999999999</v>
      </c>
      <c r="N676" s="6">
        <v>8.2789999999999999</v>
      </c>
      <c r="O676" s="6">
        <v>8.2789999999999999</v>
      </c>
      <c r="P676" s="6">
        <v>0</v>
      </c>
      <c r="Q676" s="4" t="s">
        <v>26</v>
      </c>
      <c r="R676" s="4">
        <v>0</v>
      </c>
      <c r="S676" s="4" t="s">
        <v>274</v>
      </c>
      <c r="T676" s="4" t="s">
        <v>496</v>
      </c>
      <c r="U676" s="4">
        <v>0</v>
      </c>
      <c r="V676" s="4">
        <v>57</v>
      </c>
      <c r="W676" s="4">
        <v>90</v>
      </c>
    </row>
    <row r="677" spans="1:23" ht="11.25" customHeight="1" x14ac:dyDescent="0.3">
      <c r="A677" s="4" t="s">
        <v>28</v>
      </c>
      <c r="B677" s="4" t="s">
        <v>22</v>
      </c>
      <c r="C677" s="4" t="s">
        <v>33</v>
      </c>
      <c r="D677" s="4" t="s">
        <v>24</v>
      </c>
      <c r="E677" s="4" t="s">
        <v>24</v>
      </c>
      <c r="F677" s="4" t="s">
        <v>25</v>
      </c>
      <c r="G677" s="4" t="s">
        <v>25</v>
      </c>
      <c r="H677" s="4" t="s">
        <v>35</v>
      </c>
      <c r="I677" s="5">
        <v>44774</v>
      </c>
      <c r="J677" s="6">
        <v>0</v>
      </c>
      <c r="K677" s="6">
        <v>0</v>
      </c>
      <c r="L677" s="6">
        <v>7.5999999999999998E-2</v>
      </c>
      <c r="M677" s="6">
        <v>7.5999999999999998E-2</v>
      </c>
      <c r="N677" s="6">
        <v>7.5999999999999998E-2</v>
      </c>
      <c r="O677" s="6">
        <v>7.5999999999999998E-2</v>
      </c>
      <c r="P677" s="6">
        <v>0</v>
      </c>
      <c r="Q677" s="4" t="s">
        <v>26</v>
      </c>
      <c r="R677" s="4">
        <v>0</v>
      </c>
      <c r="S677" s="4" t="s">
        <v>274</v>
      </c>
      <c r="T677" s="4" t="s">
        <v>496</v>
      </c>
      <c r="U677" s="4">
        <v>0</v>
      </c>
      <c r="V677" s="4">
        <v>57</v>
      </c>
      <c r="W677" s="4">
        <v>90</v>
      </c>
    </row>
    <row r="678" spans="1:23" ht="11.25" customHeight="1" x14ac:dyDescent="0.3">
      <c r="A678" s="4" t="s">
        <v>21</v>
      </c>
      <c r="B678" s="4" t="s">
        <v>22</v>
      </c>
      <c r="C678" s="4" t="s">
        <v>33</v>
      </c>
      <c r="D678" s="4" t="s">
        <v>24</v>
      </c>
      <c r="E678" s="4" t="s">
        <v>24</v>
      </c>
      <c r="F678" s="4" t="s">
        <v>25</v>
      </c>
      <c r="G678" s="4" t="s">
        <v>25</v>
      </c>
      <c r="H678" s="4" t="s">
        <v>35</v>
      </c>
      <c r="I678" s="5">
        <v>44805</v>
      </c>
      <c r="J678" s="6">
        <v>0</v>
      </c>
      <c r="K678" s="6">
        <v>0</v>
      </c>
      <c r="L678" s="6">
        <v>8.6419999999999995</v>
      </c>
      <c r="M678" s="6">
        <v>8.6419999999999995</v>
      </c>
      <c r="N678" s="6">
        <v>8.6419999999999995</v>
      </c>
      <c r="O678" s="6">
        <v>8.6419999999999995</v>
      </c>
      <c r="P678" s="6">
        <v>0</v>
      </c>
      <c r="Q678" s="4" t="s">
        <v>26</v>
      </c>
      <c r="R678" s="4">
        <v>0</v>
      </c>
      <c r="S678" s="4" t="s">
        <v>275</v>
      </c>
      <c r="T678" s="4" t="s">
        <v>497</v>
      </c>
      <c r="U678" s="4">
        <v>0</v>
      </c>
      <c r="V678" s="4">
        <v>57</v>
      </c>
      <c r="W678" s="4">
        <v>90</v>
      </c>
    </row>
    <row r="679" spans="1:23" ht="11.25" customHeight="1" x14ac:dyDescent="0.3">
      <c r="A679" s="4" t="s">
        <v>28</v>
      </c>
      <c r="B679" s="4" t="s">
        <v>22</v>
      </c>
      <c r="C679" s="4" t="s">
        <v>33</v>
      </c>
      <c r="D679" s="4" t="s">
        <v>24</v>
      </c>
      <c r="E679" s="4" t="s">
        <v>24</v>
      </c>
      <c r="F679" s="4" t="s">
        <v>25</v>
      </c>
      <c r="G679" s="4" t="s">
        <v>25</v>
      </c>
      <c r="H679" s="4" t="s">
        <v>35</v>
      </c>
      <c r="I679" s="5">
        <v>44805</v>
      </c>
      <c r="J679" s="6">
        <v>0</v>
      </c>
      <c r="K679" s="6">
        <v>0</v>
      </c>
      <c r="L679" s="6">
        <v>4.4999999999999998E-2</v>
      </c>
      <c r="M679" s="6">
        <v>4.4999999999999998E-2</v>
      </c>
      <c r="N679" s="6">
        <v>4.4999999999999998E-2</v>
      </c>
      <c r="O679" s="6">
        <v>4.4999999999999998E-2</v>
      </c>
      <c r="P679" s="6">
        <v>0</v>
      </c>
      <c r="Q679" s="4" t="s">
        <v>26</v>
      </c>
      <c r="R679" s="4">
        <v>0</v>
      </c>
      <c r="S679" s="4" t="s">
        <v>275</v>
      </c>
      <c r="T679" s="4" t="s">
        <v>497</v>
      </c>
      <c r="U679" s="4">
        <v>0</v>
      </c>
      <c r="V679" s="4">
        <v>57</v>
      </c>
      <c r="W679" s="4">
        <v>90</v>
      </c>
    </row>
    <row r="680" spans="1:23" ht="11.25" customHeight="1" x14ac:dyDescent="0.3">
      <c r="A680" s="4" t="s">
        <v>53</v>
      </c>
      <c r="B680" s="4" t="s">
        <v>22</v>
      </c>
      <c r="C680" s="4" t="s">
        <v>33</v>
      </c>
      <c r="D680" s="4" t="s">
        <v>24</v>
      </c>
      <c r="E680" s="4" t="s">
        <v>24</v>
      </c>
      <c r="F680" s="4" t="s">
        <v>25</v>
      </c>
      <c r="G680" s="4" t="s">
        <v>25</v>
      </c>
      <c r="H680" s="4" t="s">
        <v>35</v>
      </c>
      <c r="I680" s="5">
        <v>44835</v>
      </c>
      <c r="J680" s="6">
        <v>0</v>
      </c>
      <c r="K680" s="6">
        <v>0</v>
      </c>
      <c r="L680" s="6">
        <v>8.6419999999999995</v>
      </c>
      <c r="M680" s="6">
        <v>8.6419999999999995</v>
      </c>
      <c r="N680" s="6">
        <v>8.6419999999999995</v>
      </c>
      <c r="O680" s="6">
        <v>8.6419999999999995</v>
      </c>
      <c r="P680" s="6">
        <v>0</v>
      </c>
      <c r="Q680" s="4" t="s">
        <v>26</v>
      </c>
      <c r="R680" s="4">
        <v>0</v>
      </c>
      <c r="S680" s="4" t="s">
        <v>276</v>
      </c>
      <c r="T680" s="4" t="s">
        <v>498</v>
      </c>
      <c r="U680" s="4">
        <v>0</v>
      </c>
      <c r="V680" s="4">
        <v>57</v>
      </c>
      <c r="W680" s="4">
        <v>90</v>
      </c>
    </row>
    <row r="681" spans="1:23" ht="11.25" customHeight="1" x14ac:dyDescent="0.3">
      <c r="A681" s="4" t="s">
        <v>53</v>
      </c>
      <c r="B681" s="4" t="s">
        <v>22</v>
      </c>
      <c r="C681" s="4" t="s">
        <v>33</v>
      </c>
      <c r="D681" s="4" t="s">
        <v>24</v>
      </c>
      <c r="E681" s="4" t="s">
        <v>24</v>
      </c>
      <c r="F681" s="4" t="s">
        <v>25</v>
      </c>
      <c r="G681" s="4" t="s">
        <v>25</v>
      </c>
      <c r="H681" s="4" t="s">
        <v>35</v>
      </c>
      <c r="I681" s="5">
        <v>44835</v>
      </c>
      <c r="J681" s="6">
        <v>0</v>
      </c>
      <c r="K681" s="6">
        <v>0</v>
      </c>
      <c r="L681" s="6">
        <v>4.4999999999999998E-2</v>
      </c>
      <c r="M681" s="6">
        <v>4.4999999999999998E-2</v>
      </c>
      <c r="N681" s="6">
        <v>4.4999999999999998E-2</v>
      </c>
      <c r="O681" s="6">
        <v>4.4999999999999998E-2</v>
      </c>
      <c r="P681" s="6">
        <v>0</v>
      </c>
      <c r="Q681" s="4" t="s">
        <v>26</v>
      </c>
      <c r="R681" s="4">
        <v>0</v>
      </c>
      <c r="S681" s="4" t="s">
        <v>276</v>
      </c>
      <c r="T681" s="4" t="s">
        <v>498</v>
      </c>
      <c r="U681" s="4">
        <v>0</v>
      </c>
      <c r="V681" s="4">
        <v>57</v>
      </c>
      <c r="W681" s="4">
        <v>90</v>
      </c>
    </row>
    <row r="682" spans="1:23" ht="11.25" customHeight="1" x14ac:dyDescent="0.3">
      <c r="A682" s="4" t="s">
        <v>21</v>
      </c>
      <c r="B682" s="4" t="s">
        <v>22</v>
      </c>
      <c r="C682" s="4" t="s">
        <v>33</v>
      </c>
      <c r="D682" s="4" t="s">
        <v>24</v>
      </c>
      <c r="E682" s="4" t="s">
        <v>24</v>
      </c>
      <c r="F682" s="4" t="s">
        <v>25</v>
      </c>
      <c r="G682" s="4" t="s">
        <v>25</v>
      </c>
      <c r="H682" s="4" t="s">
        <v>36</v>
      </c>
      <c r="I682" s="5">
        <v>44501</v>
      </c>
      <c r="J682" s="6">
        <v>0</v>
      </c>
      <c r="K682" s="6">
        <v>0</v>
      </c>
      <c r="L682" s="6">
        <v>0.72499999999999998</v>
      </c>
      <c r="M682" s="6">
        <v>0.72499999999999998</v>
      </c>
      <c r="N682" s="6">
        <v>0.72499999999999998</v>
      </c>
      <c r="O682" s="6">
        <v>0.72499999999999998</v>
      </c>
      <c r="P682" s="6">
        <v>0</v>
      </c>
      <c r="Q682" s="4" t="s">
        <v>26</v>
      </c>
      <c r="R682" s="4">
        <v>0</v>
      </c>
      <c r="S682" s="4" t="s">
        <v>277</v>
      </c>
      <c r="T682" s="4" t="s">
        <v>499</v>
      </c>
      <c r="U682" s="4">
        <v>0</v>
      </c>
      <c r="V682" s="4">
        <v>65</v>
      </c>
      <c r="W682" s="4">
        <v>86</v>
      </c>
    </row>
    <row r="683" spans="1:23" ht="11.25" customHeight="1" x14ac:dyDescent="0.3">
      <c r="A683" s="4" t="s">
        <v>21</v>
      </c>
      <c r="B683" s="4" t="s">
        <v>22</v>
      </c>
      <c r="C683" s="4" t="s">
        <v>33</v>
      </c>
      <c r="D683" s="4" t="s">
        <v>24</v>
      </c>
      <c r="E683" s="4" t="s">
        <v>24</v>
      </c>
      <c r="F683" s="4" t="s">
        <v>25</v>
      </c>
      <c r="G683" s="4" t="s">
        <v>25</v>
      </c>
      <c r="H683" s="4" t="s">
        <v>36</v>
      </c>
      <c r="I683" s="5">
        <v>44531</v>
      </c>
      <c r="J683" s="6">
        <v>0</v>
      </c>
      <c r="K683" s="6">
        <v>0</v>
      </c>
      <c r="L683" s="6">
        <v>0.78200000000000003</v>
      </c>
      <c r="M683" s="6">
        <v>0.78200000000000003</v>
      </c>
      <c r="N683" s="6">
        <v>0.78200000000000003</v>
      </c>
      <c r="O683" s="6">
        <v>0.78200000000000003</v>
      </c>
      <c r="P683" s="6">
        <v>0</v>
      </c>
      <c r="Q683" s="4" t="s">
        <v>26</v>
      </c>
      <c r="R683" s="4">
        <v>0</v>
      </c>
      <c r="S683" s="4" t="s">
        <v>278</v>
      </c>
      <c r="T683" s="4" t="s">
        <v>500</v>
      </c>
      <c r="U683" s="4">
        <v>0</v>
      </c>
      <c r="V683" s="4">
        <v>65</v>
      </c>
      <c r="W683" s="4">
        <v>86</v>
      </c>
    </row>
    <row r="684" spans="1:23" ht="11.25" customHeight="1" x14ac:dyDescent="0.3">
      <c r="A684" s="4" t="s">
        <v>21</v>
      </c>
      <c r="B684" s="4" t="s">
        <v>22</v>
      </c>
      <c r="C684" s="4" t="s">
        <v>33</v>
      </c>
      <c r="D684" s="4" t="s">
        <v>24</v>
      </c>
      <c r="E684" s="4" t="s">
        <v>24</v>
      </c>
      <c r="F684" s="4" t="s">
        <v>25</v>
      </c>
      <c r="G684" s="4" t="s">
        <v>25</v>
      </c>
      <c r="H684" s="4" t="s">
        <v>36</v>
      </c>
      <c r="I684" s="5">
        <v>44562</v>
      </c>
      <c r="J684" s="6">
        <v>0</v>
      </c>
      <c r="K684" s="6">
        <v>0</v>
      </c>
      <c r="L684" s="6">
        <v>0.89500000000000002</v>
      </c>
      <c r="M684" s="6">
        <v>0.89500000000000002</v>
      </c>
      <c r="N684" s="6">
        <v>0.89500000000000002</v>
      </c>
      <c r="O684" s="6">
        <v>0.89500000000000002</v>
      </c>
      <c r="P684" s="6">
        <v>0</v>
      </c>
      <c r="Q684" s="4" t="s">
        <v>26</v>
      </c>
      <c r="R684" s="4">
        <v>0</v>
      </c>
      <c r="S684" s="4" t="s">
        <v>279</v>
      </c>
      <c r="T684" s="4" t="s">
        <v>501</v>
      </c>
      <c r="U684" s="4">
        <v>0</v>
      </c>
      <c r="V684" s="4">
        <v>65</v>
      </c>
      <c r="W684" s="4">
        <v>86</v>
      </c>
    </row>
    <row r="685" spans="1:23" ht="11.25" customHeight="1" x14ac:dyDescent="0.3">
      <c r="A685" s="4" t="s">
        <v>28</v>
      </c>
      <c r="B685" s="4" t="s">
        <v>22</v>
      </c>
      <c r="C685" s="4" t="s">
        <v>33</v>
      </c>
      <c r="D685" s="4" t="s">
        <v>24</v>
      </c>
      <c r="E685" s="4" t="s">
        <v>24</v>
      </c>
      <c r="F685" s="4" t="s">
        <v>25</v>
      </c>
      <c r="G685" s="4" t="s">
        <v>25</v>
      </c>
      <c r="H685" s="4" t="s">
        <v>36</v>
      </c>
      <c r="I685" s="5">
        <v>44562</v>
      </c>
      <c r="J685" s="6">
        <v>0</v>
      </c>
      <c r="K685" s="6">
        <v>0</v>
      </c>
      <c r="L685" s="6">
        <v>9.1999999999999998E-2</v>
      </c>
      <c r="M685" s="6">
        <v>9.1999999999999998E-2</v>
      </c>
      <c r="N685" s="6">
        <v>9.1999999999999998E-2</v>
      </c>
      <c r="O685" s="6">
        <v>9.1999999999999998E-2</v>
      </c>
      <c r="P685" s="6">
        <v>0</v>
      </c>
      <c r="Q685" s="4" t="s">
        <v>26</v>
      </c>
      <c r="R685" s="4">
        <v>0</v>
      </c>
      <c r="S685" s="4" t="s">
        <v>279</v>
      </c>
      <c r="T685" s="4" t="s">
        <v>501</v>
      </c>
      <c r="U685" s="4">
        <v>0</v>
      </c>
      <c r="V685" s="4">
        <v>65</v>
      </c>
      <c r="W685" s="4">
        <v>86</v>
      </c>
    </row>
    <row r="686" spans="1:23" ht="11.25" customHeight="1" x14ac:dyDescent="0.3">
      <c r="A686" s="4" t="s">
        <v>21</v>
      </c>
      <c r="B686" s="4" t="s">
        <v>22</v>
      </c>
      <c r="C686" s="4" t="s">
        <v>33</v>
      </c>
      <c r="D686" s="4" t="s">
        <v>24</v>
      </c>
      <c r="E686" s="4" t="s">
        <v>24</v>
      </c>
      <c r="F686" s="4" t="s">
        <v>25</v>
      </c>
      <c r="G686" s="4" t="s">
        <v>25</v>
      </c>
      <c r="H686" s="4" t="s">
        <v>36</v>
      </c>
      <c r="I686" s="5">
        <v>44593</v>
      </c>
      <c r="J686" s="6">
        <v>0</v>
      </c>
      <c r="K686" s="6">
        <v>0</v>
      </c>
      <c r="L686" s="6">
        <v>0.84899999999999998</v>
      </c>
      <c r="M686" s="6">
        <v>0.84899999999999998</v>
      </c>
      <c r="N686" s="6">
        <v>0.84899999999999998</v>
      </c>
      <c r="O686" s="6">
        <v>0.84899999999999998</v>
      </c>
      <c r="P686" s="6">
        <v>0</v>
      </c>
      <c r="Q686" s="4" t="s">
        <v>26</v>
      </c>
      <c r="R686" s="4">
        <v>0</v>
      </c>
      <c r="S686" s="4" t="s">
        <v>280</v>
      </c>
      <c r="T686" s="4" t="s">
        <v>502</v>
      </c>
      <c r="U686" s="4">
        <v>0</v>
      </c>
      <c r="V686" s="4">
        <v>65</v>
      </c>
      <c r="W686" s="4">
        <v>86</v>
      </c>
    </row>
    <row r="687" spans="1:23" ht="11.25" customHeight="1" x14ac:dyDescent="0.3">
      <c r="A687" s="4" t="s">
        <v>28</v>
      </c>
      <c r="B687" s="4" t="s">
        <v>22</v>
      </c>
      <c r="C687" s="4" t="s">
        <v>33</v>
      </c>
      <c r="D687" s="4" t="s">
        <v>24</v>
      </c>
      <c r="E687" s="4" t="s">
        <v>24</v>
      </c>
      <c r="F687" s="4" t="s">
        <v>25</v>
      </c>
      <c r="G687" s="4" t="s">
        <v>25</v>
      </c>
      <c r="H687" s="4" t="s">
        <v>36</v>
      </c>
      <c r="I687" s="5">
        <v>44593</v>
      </c>
      <c r="J687" s="6">
        <v>0</v>
      </c>
      <c r="K687" s="6">
        <v>0</v>
      </c>
      <c r="L687" s="6">
        <v>9.6000000000000002E-2</v>
      </c>
      <c r="M687" s="6">
        <v>9.6000000000000002E-2</v>
      </c>
      <c r="N687" s="6">
        <v>9.6000000000000002E-2</v>
      </c>
      <c r="O687" s="6">
        <v>9.6000000000000002E-2</v>
      </c>
      <c r="P687" s="6">
        <v>0</v>
      </c>
      <c r="Q687" s="4" t="s">
        <v>26</v>
      </c>
      <c r="R687" s="4">
        <v>0</v>
      </c>
      <c r="S687" s="4" t="s">
        <v>280</v>
      </c>
      <c r="T687" s="4" t="s">
        <v>502</v>
      </c>
      <c r="U687" s="4">
        <v>0</v>
      </c>
      <c r="V687" s="4">
        <v>65</v>
      </c>
      <c r="W687" s="4">
        <v>86</v>
      </c>
    </row>
    <row r="688" spans="1:23" ht="11.25" customHeight="1" x14ac:dyDescent="0.3">
      <c r="A688" s="4" t="s">
        <v>21</v>
      </c>
      <c r="B688" s="4" t="s">
        <v>22</v>
      </c>
      <c r="C688" s="4" t="s">
        <v>33</v>
      </c>
      <c r="D688" s="4" t="s">
        <v>24</v>
      </c>
      <c r="E688" s="4" t="s">
        <v>24</v>
      </c>
      <c r="F688" s="4" t="s">
        <v>25</v>
      </c>
      <c r="G688" s="4" t="s">
        <v>25</v>
      </c>
      <c r="H688" s="4" t="s">
        <v>36</v>
      </c>
      <c r="I688" s="5">
        <v>44621</v>
      </c>
      <c r="J688" s="6">
        <v>0</v>
      </c>
      <c r="K688" s="6">
        <v>0</v>
      </c>
      <c r="L688" s="6">
        <v>0.84099999999999997</v>
      </c>
      <c r="M688" s="6">
        <v>0.84099999999999997</v>
      </c>
      <c r="N688" s="6">
        <v>0.84099999999999997</v>
      </c>
      <c r="O688" s="6">
        <v>0.84099999999999997</v>
      </c>
      <c r="P688" s="6">
        <v>0</v>
      </c>
      <c r="Q688" s="4" t="s">
        <v>26</v>
      </c>
      <c r="R688" s="4">
        <v>0</v>
      </c>
      <c r="S688" s="4" t="s">
        <v>281</v>
      </c>
      <c r="T688" s="4" t="s">
        <v>503</v>
      </c>
      <c r="U688" s="4">
        <v>0</v>
      </c>
      <c r="V688" s="4">
        <v>65</v>
      </c>
      <c r="W688" s="4">
        <v>86</v>
      </c>
    </row>
    <row r="689" spans="1:23" ht="11.25" customHeight="1" x14ac:dyDescent="0.3">
      <c r="A689" s="4" t="s">
        <v>28</v>
      </c>
      <c r="B689" s="4" t="s">
        <v>22</v>
      </c>
      <c r="C689" s="4" t="s">
        <v>33</v>
      </c>
      <c r="D689" s="4" t="s">
        <v>24</v>
      </c>
      <c r="E689" s="4" t="s">
        <v>24</v>
      </c>
      <c r="F689" s="4" t="s">
        <v>25</v>
      </c>
      <c r="G689" s="4" t="s">
        <v>25</v>
      </c>
      <c r="H689" s="4" t="s">
        <v>36</v>
      </c>
      <c r="I689" s="5">
        <v>44621</v>
      </c>
      <c r="J689" s="6">
        <v>0</v>
      </c>
      <c r="K689" s="6">
        <v>0</v>
      </c>
      <c r="L689" s="6">
        <v>7.9000000000000001E-2</v>
      </c>
      <c r="M689" s="6">
        <v>7.9000000000000001E-2</v>
      </c>
      <c r="N689" s="6">
        <v>7.9000000000000001E-2</v>
      </c>
      <c r="O689" s="6">
        <v>7.9000000000000001E-2</v>
      </c>
      <c r="P689" s="6">
        <v>0</v>
      </c>
      <c r="Q689" s="4" t="s">
        <v>26</v>
      </c>
      <c r="R689" s="4">
        <v>0</v>
      </c>
      <c r="S689" s="4" t="s">
        <v>281</v>
      </c>
      <c r="T689" s="4" t="s">
        <v>503</v>
      </c>
      <c r="U689" s="4">
        <v>0</v>
      </c>
      <c r="V689" s="4">
        <v>65</v>
      </c>
      <c r="W689" s="4">
        <v>86</v>
      </c>
    </row>
    <row r="690" spans="1:23" ht="11.25" customHeight="1" x14ac:dyDescent="0.3">
      <c r="A690" s="4" t="s">
        <v>21</v>
      </c>
      <c r="B690" s="4" t="s">
        <v>22</v>
      </c>
      <c r="C690" s="4" t="s">
        <v>33</v>
      </c>
      <c r="D690" s="4" t="s">
        <v>24</v>
      </c>
      <c r="E690" s="4" t="s">
        <v>24</v>
      </c>
      <c r="F690" s="4" t="s">
        <v>25</v>
      </c>
      <c r="G690" s="4" t="s">
        <v>25</v>
      </c>
      <c r="H690" s="4" t="s">
        <v>36</v>
      </c>
      <c r="I690" s="5">
        <v>44652</v>
      </c>
      <c r="J690" s="6">
        <v>0</v>
      </c>
      <c r="K690" s="6">
        <v>0</v>
      </c>
      <c r="L690" s="6">
        <v>0.78700000000000003</v>
      </c>
      <c r="M690" s="6">
        <v>0.78700000000000003</v>
      </c>
      <c r="N690" s="6">
        <v>0.78700000000000003</v>
      </c>
      <c r="O690" s="6">
        <v>0.78700000000000003</v>
      </c>
      <c r="P690" s="6">
        <v>0</v>
      </c>
      <c r="Q690" s="4" t="s">
        <v>26</v>
      </c>
      <c r="R690" s="4">
        <v>0</v>
      </c>
      <c r="S690" s="4" t="s">
        <v>282</v>
      </c>
      <c r="T690" s="4" t="s">
        <v>504</v>
      </c>
      <c r="U690" s="4">
        <v>0</v>
      </c>
      <c r="V690" s="4">
        <v>65</v>
      </c>
      <c r="W690" s="4">
        <v>86</v>
      </c>
    </row>
    <row r="691" spans="1:23" ht="11.25" customHeight="1" x14ac:dyDescent="0.3">
      <c r="A691" s="4" t="s">
        <v>28</v>
      </c>
      <c r="B691" s="4" t="s">
        <v>22</v>
      </c>
      <c r="C691" s="4" t="s">
        <v>33</v>
      </c>
      <c r="D691" s="4" t="s">
        <v>24</v>
      </c>
      <c r="E691" s="4" t="s">
        <v>24</v>
      </c>
      <c r="F691" s="4" t="s">
        <v>25</v>
      </c>
      <c r="G691" s="4" t="s">
        <v>25</v>
      </c>
      <c r="H691" s="4" t="s">
        <v>36</v>
      </c>
      <c r="I691" s="5">
        <v>44652</v>
      </c>
      <c r="J691" s="6">
        <v>0</v>
      </c>
      <c r="K691" s="6">
        <v>0</v>
      </c>
      <c r="L691" s="6">
        <v>8.5999999999999993E-2</v>
      </c>
      <c r="M691" s="6">
        <v>8.5999999999999993E-2</v>
      </c>
      <c r="N691" s="6">
        <v>8.5999999999999993E-2</v>
      </c>
      <c r="O691" s="6">
        <v>8.5999999999999993E-2</v>
      </c>
      <c r="P691" s="6">
        <v>0</v>
      </c>
      <c r="Q691" s="4" t="s">
        <v>26</v>
      </c>
      <c r="R691" s="4">
        <v>0</v>
      </c>
      <c r="S691" s="4" t="s">
        <v>282</v>
      </c>
      <c r="T691" s="4" t="s">
        <v>504</v>
      </c>
      <c r="U691" s="4">
        <v>0</v>
      </c>
      <c r="V691" s="4">
        <v>65</v>
      </c>
      <c r="W691" s="4">
        <v>86</v>
      </c>
    </row>
    <row r="692" spans="1:23" ht="11.25" customHeight="1" x14ac:dyDescent="0.3">
      <c r="A692" s="4" t="s">
        <v>21</v>
      </c>
      <c r="B692" s="4" t="s">
        <v>22</v>
      </c>
      <c r="C692" s="4" t="s">
        <v>33</v>
      </c>
      <c r="D692" s="4" t="s">
        <v>24</v>
      </c>
      <c r="E692" s="4" t="s">
        <v>24</v>
      </c>
      <c r="F692" s="4" t="s">
        <v>25</v>
      </c>
      <c r="G692" s="4" t="s">
        <v>25</v>
      </c>
      <c r="H692" s="4" t="s">
        <v>36</v>
      </c>
      <c r="I692" s="5">
        <v>44682</v>
      </c>
      <c r="J692" s="6">
        <v>0</v>
      </c>
      <c r="K692" s="6">
        <v>0</v>
      </c>
      <c r="L692" s="6">
        <v>1.282</v>
      </c>
      <c r="M692" s="6">
        <v>1.282</v>
      </c>
      <c r="N692" s="6">
        <v>1.282</v>
      </c>
      <c r="O692" s="6">
        <v>1.282</v>
      </c>
      <c r="P692" s="6">
        <v>0</v>
      </c>
      <c r="Q692" s="4" t="s">
        <v>26</v>
      </c>
      <c r="R692" s="4">
        <v>0</v>
      </c>
      <c r="S692" s="4" t="s">
        <v>283</v>
      </c>
      <c r="T692" s="4" t="s">
        <v>505</v>
      </c>
      <c r="U692" s="4">
        <v>0</v>
      </c>
      <c r="V692" s="4">
        <v>65</v>
      </c>
      <c r="W692" s="4">
        <v>86</v>
      </c>
    </row>
    <row r="693" spans="1:23" ht="11.25" customHeight="1" x14ac:dyDescent="0.3">
      <c r="A693" s="4" t="s">
        <v>28</v>
      </c>
      <c r="B693" s="4" t="s">
        <v>22</v>
      </c>
      <c r="C693" s="4" t="s">
        <v>33</v>
      </c>
      <c r="D693" s="4" t="s">
        <v>24</v>
      </c>
      <c r="E693" s="4" t="s">
        <v>24</v>
      </c>
      <c r="F693" s="4" t="s">
        <v>25</v>
      </c>
      <c r="G693" s="4" t="s">
        <v>25</v>
      </c>
      <c r="H693" s="4" t="s">
        <v>36</v>
      </c>
      <c r="I693" s="5">
        <v>44682</v>
      </c>
      <c r="J693" s="6">
        <v>0</v>
      </c>
      <c r="K693" s="6">
        <v>0</v>
      </c>
      <c r="L693" s="6">
        <v>0.11</v>
      </c>
      <c r="M693" s="6">
        <v>0.11</v>
      </c>
      <c r="N693" s="6">
        <v>0.11</v>
      </c>
      <c r="O693" s="6">
        <v>0.11</v>
      </c>
      <c r="P693" s="6">
        <v>0</v>
      </c>
      <c r="Q693" s="4" t="s">
        <v>26</v>
      </c>
      <c r="R693" s="4">
        <v>0</v>
      </c>
      <c r="S693" s="4" t="s">
        <v>283</v>
      </c>
      <c r="T693" s="4" t="s">
        <v>505</v>
      </c>
      <c r="U693" s="4">
        <v>0</v>
      </c>
      <c r="V693" s="4">
        <v>65</v>
      </c>
      <c r="W693" s="4">
        <v>86</v>
      </c>
    </row>
    <row r="694" spans="1:23" ht="11.25" customHeight="1" x14ac:dyDescent="0.3">
      <c r="A694" s="4" t="s">
        <v>21</v>
      </c>
      <c r="B694" s="4" t="s">
        <v>22</v>
      </c>
      <c r="C694" s="4" t="s">
        <v>33</v>
      </c>
      <c r="D694" s="4" t="s">
        <v>24</v>
      </c>
      <c r="E694" s="4" t="s">
        <v>24</v>
      </c>
      <c r="F694" s="4" t="s">
        <v>25</v>
      </c>
      <c r="G694" s="4" t="s">
        <v>25</v>
      </c>
      <c r="H694" s="4" t="s">
        <v>36</v>
      </c>
      <c r="I694" s="5">
        <v>44713</v>
      </c>
      <c r="J694" s="6">
        <v>0</v>
      </c>
      <c r="K694" s="6">
        <v>0</v>
      </c>
      <c r="L694" s="6">
        <v>0.621</v>
      </c>
      <c r="M694" s="6">
        <v>0.621</v>
      </c>
      <c r="N694" s="6">
        <v>0.621</v>
      </c>
      <c r="O694" s="6">
        <v>0.621</v>
      </c>
      <c r="P694" s="6">
        <v>0</v>
      </c>
      <c r="Q694" s="4" t="s">
        <v>26</v>
      </c>
      <c r="R694" s="4">
        <v>0</v>
      </c>
      <c r="S694" s="4" t="s">
        <v>284</v>
      </c>
      <c r="T694" s="4" t="s">
        <v>506</v>
      </c>
      <c r="U694" s="4">
        <v>0</v>
      </c>
      <c r="V694" s="4">
        <v>65</v>
      </c>
      <c r="W694" s="4">
        <v>86</v>
      </c>
    </row>
    <row r="695" spans="1:23" ht="11.25" customHeight="1" x14ac:dyDescent="0.3">
      <c r="A695" s="4" t="s">
        <v>28</v>
      </c>
      <c r="B695" s="4" t="s">
        <v>22</v>
      </c>
      <c r="C695" s="4" t="s">
        <v>33</v>
      </c>
      <c r="D695" s="4" t="s">
        <v>24</v>
      </c>
      <c r="E695" s="4" t="s">
        <v>24</v>
      </c>
      <c r="F695" s="4" t="s">
        <v>25</v>
      </c>
      <c r="G695" s="4" t="s">
        <v>25</v>
      </c>
      <c r="H695" s="4" t="s">
        <v>36</v>
      </c>
      <c r="I695" s="5">
        <v>44713</v>
      </c>
      <c r="J695" s="6">
        <v>0</v>
      </c>
      <c r="K695" s="6">
        <v>0</v>
      </c>
      <c r="L695" s="6">
        <v>0.11700000000000001</v>
      </c>
      <c r="M695" s="6">
        <v>0.11700000000000001</v>
      </c>
      <c r="N695" s="6">
        <v>0.11700000000000001</v>
      </c>
      <c r="O695" s="6">
        <v>0.11700000000000001</v>
      </c>
      <c r="P695" s="6">
        <v>0</v>
      </c>
      <c r="Q695" s="4" t="s">
        <v>26</v>
      </c>
      <c r="R695" s="4">
        <v>0</v>
      </c>
      <c r="S695" s="4" t="s">
        <v>284</v>
      </c>
      <c r="T695" s="4" t="s">
        <v>506</v>
      </c>
      <c r="U695" s="4">
        <v>0</v>
      </c>
      <c r="V695" s="4">
        <v>65</v>
      </c>
      <c r="W695" s="4">
        <v>86</v>
      </c>
    </row>
    <row r="696" spans="1:23" ht="11.25" customHeight="1" x14ac:dyDescent="0.3">
      <c r="A696" s="4" t="s">
        <v>21</v>
      </c>
      <c r="B696" s="4" t="s">
        <v>22</v>
      </c>
      <c r="C696" s="4" t="s">
        <v>33</v>
      </c>
      <c r="D696" s="4" t="s">
        <v>24</v>
      </c>
      <c r="E696" s="4" t="s">
        <v>24</v>
      </c>
      <c r="F696" s="4" t="s">
        <v>25</v>
      </c>
      <c r="G696" s="4" t="s">
        <v>25</v>
      </c>
      <c r="H696" s="4" t="s">
        <v>36</v>
      </c>
      <c r="I696" s="5">
        <v>44743</v>
      </c>
      <c r="J696" s="6">
        <v>0</v>
      </c>
      <c r="K696" s="6">
        <v>0</v>
      </c>
      <c r="L696" s="6">
        <v>1.0229999999999999</v>
      </c>
      <c r="M696" s="6">
        <v>1.0229999999999999</v>
      </c>
      <c r="N696" s="6">
        <v>1.0229999999999999</v>
      </c>
      <c r="O696" s="6">
        <v>1.0229999999999999</v>
      </c>
      <c r="P696" s="6">
        <v>0</v>
      </c>
      <c r="Q696" s="4" t="s">
        <v>26</v>
      </c>
      <c r="R696" s="4">
        <v>0</v>
      </c>
      <c r="S696" s="4" t="s">
        <v>285</v>
      </c>
      <c r="T696" s="4" t="s">
        <v>507</v>
      </c>
      <c r="U696" s="4">
        <v>0</v>
      </c>
      <c r="V696" s="4">
        <v>65</v>
      </c>
      <c r="W696" s="4">
        <v>86</v>
      </c>
    </row>
    <row r="697" spans="1:23" ht="11.25" customHeight="1" x14ac:dyDescent="0.3">
      <c r="A697" s="4" t="s">
        <v>21</v>
      </c>
      <c r="B697" s="4" t="s">
        <v>22</v>
      </c>
      <c r="C697" s="4" t="s">
        <v>33</v>
      </c>
      <c r="D697" s="4" t="s">
        <v>24</v>
      </c>
      <c r="E697" s="4" t="s">
        <v>24</v>
      </c>
      <c r="F697" s="4" t="s">
        <v>25</v>
      </c>
      <c r="G697" s="4" t="s">
        <v>25</v>
      </c>
      <c r="H697" s="4" t="s">
        <v>36</v>
      </c>
      <c r="I697" s="5">
        <v>44774</v>
      </c>
      <c r="J697" s="6">
        <v>0</v>
      </c>
      <c r="K697" s="6">
        <v>0</v>
      </c>
      <c r="L697" s="6">
        <v>0.70899999999999996</v>
      </c>
      <c r="M697" s="6">
        <v>0.70899999999999996</v>
      </c>
      <c r="N697" s="6">
        <v>0.70899999999999996</v>
      </c>
      <c r="O697" s="6">
        <v>0.70899999999999996</v>
      </c>
      <c r="P697" s="6">
        <v>0</v>
      </c>
      <c r="Q697" s="4" t="s">
        <v>26</v>
      </c>
      <c r="R697" s="4">
        <v>0</v>
      </c>
      <c r="S697" s="4" t="s">
        <v>286</v>
      </c>
      <c r="T697" s="4" t="s">
        <v>508</v>
      </c>
      <c r="U697" s="4">
        <v>0</v>
      </c>
      <c r="V697" s="4">
        <v>65</v>
      </c>
      <c r="W697" s="4">
        <v>86</v>
      </c>
    </row>
    <row r="698" spans="1:23" ht="11.25" customHeight="1" x14ac:dyDescent="0.3">
      <c r="A698" s="4" t="s">
        <v>28</v>
      </c>
      <c r="B698" s="4" t="s">
        <v>22</v>
      </c>
      <c r="C698" s="4" t="s">
        <v>33</v>
      </c>
      <c r="D698" s="4" t="s">
        <v>24</v>
      </c>
      <c r="E698" s="4" t="s">
        <v>24</v>
      </c>
      <c r="F698" s="4" t="s">
        <v>25</v>
      </c>
      <c r="G698" s="4" t="s">
        <v>25</v>
      </c>
      <c r="H698" s="4" t="s">
        <v>36</v>
      </c>
      <c r="I698" s="5">
        <v>44774</v>
      </c>
      <c r="J698" s="6">
        <v>0</v>
      </c>
      <c r="K698" s="6">
        <v>0</v>
      </c>
      <c r="L698" s="6">
        <v>0.09</v>
      </c>
      <c r="M698" s="6">
        <v>0.09</v>
      </c>
      <c r="N698" s="6">
        <v>0.09</v>
      </c>
      <c r="O698" s="6">
        <v>0.09</v>
      </c>
      <c r="P698" s="6">
        <v>0</v>
      </c>
      <c r="Q698" s="4" t="s">
        <v>26</v>
      </c>
      <c r="R698" s="4">
        <v>0</v>
      </c>
      <c r="S698" s="4" t="s">
        <v>286</v>
      </c>
      <c r="T698" s="4" t="s">
        <v>508</v>
      </c>
      <c r="U698" s="4">
        <v>0</v>
      </c>
      <c r="V698" s="4">
        <v>65</v>
      </c>
      <c r="W698" s="4">
        <v>86</v>
      </c>
    </row>
    <row r="699" spans="1:23" ht="11.25" customHeight="1" x14ac:dyDescent="0.3">
      <c r="A699" s="4" t="s">
        <v>21</v>
      </c>
      <c r="B699" s="4" t="s">
        <v>22</v>
      </c>
      <c r="C699" s="4" t="s">
        <v>33</v>
      </c>
      <c r="D699" s="4" t="s">
        <v>24</v>
      </c>
      <c r="E699" s="4" t="s">
        <v>24</v>
      </c>
      <c r="F699" s="4" t="s">
        <v>25</v>
      </c>
      <c r="G699" s="4" t="s">
        <v>25</v>
      </c>
      <c r="H699" s="4" t="s">
        <v>36</v>
      </c>
      <c r="I699" s="5">
        <v>44805</v>
      </c>
      <c r="J699" s="6">
        <v>0</v>
      </c>
      <c r="K699" s="6">
        <v>0</v>
      </c>
      <c r="L699" s="6">
        <v>0.747</v>
      </c>
      <c r="M699" s="6">
        <v>0.747</v>
      </c>
      <c r="N699" s="6">
        <v>0.747</v>
      </c>
      <c r="O699" s="6">
        <v>0.747</v>
      </c>
      <c r="P699" s="6">
        <v>0</v>
      </c>
      <c r="Q699" s="4" t="s">
        <v>26</v>
      </c>
      <c r="R699" s="4">
        <v>0</v>
      </c>
      <c r="S699" s="4" t="s">
        <v>287</v>
      </c>
      <c r="T699" s="4" t="s">
        <v>509</v>
      </c>
      <c r="U699" s="4">
        <v>0</v>
      </c>
      <c r="V699" s="4">
        <v>65</v>
      </c>
      <c r="W699" s="4">
        <v>86</v>
      </c>
    </row>
    <row r="700" spans="1:23" ht="11.25" customHeight="1" x14ac:dyDescent="0.3">
      <c r="A700" s="4" t="s">
        <v>28</v>
      </c>
      <c r="B700" s="4" t="s">
        <v>22</v>
      </c>
      <c r="C700" s="4" t="s">
        <v>33</v>
      </c>
      <c r="D700" s="4" t="s">
        <v>24</v>
      </c>
      <c r="E700" s="4" t="s">
        <v>24</v>
      </c>
      <c r="F700" s="4" t="s">
        <v>25</v>
      </c>
      <c r="G700" s="4" t="s">
        <v>25</v>
      </c>
      <c r="H700" s="4" t="s">
        <v>36</v>
      </c>
      <c r="I700" s="5">
        <v>44805</v>
      </c>
      <c r="J700" s="6">
        <v>0</v>
      </c>
      <c r="K700" s="6">
        <v>0</v>
      </c>
      <c r="L700" s="6">
        <v>0.111</v>
      </c>
      <c r="M700" s="6">
        <v>0.111</v>
      </c>
      <c r="N700" s="6">
        <v>0.111</v>
      </c>
      <c r="O700" s="6">
        <v>0.111</v>
      </c>
      <c r="P700" s="6">
        <v>0</v>
      </c>
      <c r="Q700" s="4" t="s">
        <v>26</v>
      </c>
      <c r="R700" s="4">
        <v>0</v>
      </c>
      <c r="S700" s="4" t="s">
        <v>287</v>
      </c>
      <c r="T700" s="4" t="s">
        <v>509</v>
      </c>
      <c r="U700" s="4">
        <v>0</v>
      </c>
      <c r="V700" s="4">
        <v>65</v>
      </c>
      <c r="W700" s="4">
        <v>86</v>
      </c>
    </row>
    <row r="701" spans="1:23" ht="11.25" customHeight="1" x14ac:dyDescent="0.3">
      <c r="A701" s="4" t="s">
        <v>53</v>
      </c>
      <c r="B701" s="4" t="s">
        <v>22</v>
      </c>
      <c r="C701" s="4" t="s">
        <v>33</v>
      </c>
      <c r="D701" s="4" t="s">
        <v>24</v>
      </c>
      <c r="E701" s="4" t="s">
        <v>24</v>
      </c>
      <c r="F701" s="4" t="s">
        <v>25</v>
      </c>
      <c r="G701" s="4" t="s">
        <v>25</v>
      </c>
      <c r="H701" s="4" t="s">
        <v>36</v>
      </c>
      <c r="I701" s="5">
        <v>44835</v>
      </c>
      <c r="J701" s="6">
        <v>0</v>
      </c>
      <c r="K701" s="6">
        <v>0</v>
      </c>
      <c r="L701" s="6">
        <v>0.747</v>
      </c>
      <c r="M701" s="6">
        <v>0.747</v>
      </c>
      <c r="N701" s="6">
        <v>0.747</v>
      </c>
      <c r="O701" s="6">
        <v>0.747</v>
      </c>
      <c r="P701" s="6">
        <v>0</v>
      </c>
      <c r="Q701" s="4" t="s">
        <v>26</v>
      </c>
      <c r="R701" s="4">
        <v>0</v>
      </c>
      <c r="S701" s="4" t="s">
        <v>288</v>
      </c>
      <c r="T701" s="4" t="s">
        <v>510</v>
      </c>
      <c r="U701" s="4">
        <v>0</v>
      </c>
      <c r="V701" s="4">
        <v>65</v>
      </c>
      <c r="W701" s="4">
        <v>86</v>
      </c>
    </row>
    <row r="702" spans="1:23" ht="11.25" customHeight="1" x14ac:dyDescent="0.3">
      <c r="A702" s="4" t="s">
        <v>53</v>
      </c>
      <c r="B702" s="4" t="s">
        <v>22</v>
      </c>
      <c r="C702" s="4" t="s">
        <v>33</v>
      </c>
      <c r="D702" s="4" t="s">
        <v>24</v>
      </c>
      <c r="E702" s="4" t="s">
        <v>24</v>
      </c>
      <c r="F702" s="4" t="s">
        <v>25</v>
      </c>
      <c r="G702" s="4" t="s">
        <v>25</v>
      </c>
      <c r="H702" s="4" t="s">
        <v>36</v>
      </c>
      <c r="I702" s="5">
        <v>44835</v>
      </c>
      <c r="J702" s="6">
        <v>0</v>
      </c>
      <c r="K702" s="6">
        <v>0</v>
      </c>
      <c r="L702" s="6">
        <v>0.111</v>
      </c>
      <c r="M702" s="6">
        <v>0.111</v>
      </c>
      <c r="N702" s="6">
        <v>0.111</v>
      </c>
      <c r="O702" s="6">
        <v>0.111</v>
      </c>
      <c r="P702" s="6">
        <v>0</v>
      </c>
      <c r="Q702" s="4" t="s">
        <v>26</v>
      </c>
      <c r="R702" s="4">
        <v>0</v>
      </c>
      <c r="S702" s="4" t="s">
        <v>288</v>
      </c>
      <c r="T702" s="4" t="s">
        <v>510</v>
      </c>
      <c r="U702" s="4">
        <v>0</v>
      </c>
      <c r="V702" s="4">
        <v>65</v>
      </c>
      <c r="W702" s="4">
        <v>86</v>
      </c>
    </row>
    <row r="703" spans="1:23" ht="11.25" customHeight="1" x14ac:dyDescent="0.3">
      <c r="A703" s="4" t="s">
        <v>21</v>
      </c>
      <c r="B703" s="4" t="s">
        <v>22</v>
      </c>
      <c r="C703" s="4" t="s">
        <v>33</v>
      </c>
      <c r="D703" s="4" t="s">
        <v>24</v>
      </c>
      <c r="E703" s="4" t="s">
        <v>24</v>
      </c>
      <c r="F703" s="4" t="s">
        <v>25</v>
      </c>
      <c r="G703" s="4" t="s">
        <v>25</v>
      </c>
      <c r="H703" s="4" t="s">
        <v>34</v>
      </c>
      <c r="I703" s="5">
        <v>44501</v>
      </c>
      <c r="J703" s="6">
        <v>0</v>
      </c>
      <c r="K703" s="6">
        <v>0</v>
      </c>
      <c r="L703" s="6">
        <v>1.581</v>
      </c>
      <c r="M703" s="6">
        <v>1.581</v>
      </c>
      <c r="N703" s="6">
        <v>1.581</v>
      </c>
      <c r="O703" s="6">
        <v>1.581</v>
      </c>
      <c r="P703" s="6">
        <v>0</v>
      </c>
      <c r="Q703" s="4" t="s">
        <v>26</v>
      </c>
      <c r="R703" s="4">
        <v>0</v>
      </c>
      <c r="S703" s="4" t="s">
        <v>289</v>
      </c>
      <c r="T703" s="4" t="s">
        <v>511</v>
      </c>
      <c r="U703" s="4">
        <v>0</v>
      </c>
      <c r="V703" s="4">
        <v>43</v>
      </c>
      <c r="W703" s="4">
        <v>68</v>
      </c>
    </row>
    <row r="704" spans="1:23" ht="11.25" customHeight="1" x14ac:dyDescent="0.3">
      <c r="A704" s="4" t="s">
        <v>21</v>
      </c>
      <c r="B704" s="4" t="s">
        <v>22</v>
      </c>
      <c r="C704" s="4" t="s">
        <v>33</v>
      </c>
      <c r="D704" s="4" t="s">
        <v>24</v>
      </c>
      <c r="E704" s="4" t="s">
        <v>24</v>
      </c>
      <c r="F704" s="4" t="s">
        <v>25</v>
      </c>
      <c r="G704" s="4" t="s">
        <v>25</v>
      </c>
      <c r="H704" s="4" t="s">
        <v>34</v>
      </c>
      <c r="I704" s="5">
        <v>44531</v>
      </c>
      <c r="J704" s="6">
        <v>0</v>
      </c>
      <c r="K704" s="6">
        <v>0</v>
      </c>
      <c r="L704" s="6">
        <v>1.591</v>
      </c>
      <c r="M704" s="6">
        <v>1.591</v>
      </c>
      <c r="N704" s="6">
        <v>1.591</v>
      </c>
      <c r="O704" s="6">
        <v>1.591</v>
      </c>
      <c r="P704" s="6">
        <v>0</v>
      </c>
      <c r="Q704" s="4" t="s">
        <v>26</v>
      </c>
      <c r="R704" s="4">
        <v>0</v>
      </c>
      <c r="S704" s="4" t="s">
        <v>290</v>
      </c>
      <c r="T704" s="4" t="s">
        <v>512</v>
      </c>
      <c r="U704" s="4">
        <v>0</v>
      </c>
      <c r="V704" s="4">
        <v>43</v>
      </c>
      <c r="W704" s="4">
        <v>68</v>
      </c>
    </row>
    <row r="705" spans="1:23" ht="11.25" customHeight="1" x14ac:dyDescent="0.3">
      <c r="A705" s="4" t="s">
        <v>21</v>
      </c>
      <c r="B705" s="4" t="s">
        <v>22</v>
      </c>
      <c r="C705" s="4" t="s">
        <v>33</v>
      </c>
      <c r="D705" s="4" t="s">
        <v>24</v>
      </c>
      <c r="E705" s="4" t="s">
        <v>24</v>
      </c>
      <c r="F705" s="4" t="s">
        <v>25</v>
      </c>
      <c r="G705" s="4" t="s">
        <v>25</v>
      </c>
      <c r="H705" s="4" t="s">
        <v>34</v>
      </c>
      <c r="I705" s="5">
        <v>44562</v>
      </c>
      <c r="J705" s="6">
        <v>0</v>
      </c>
      <c r="K705" s="6">
        <v>0</v>
      </c>
      <c r="L705" s="6">
        <v>1.758</v>
      </c>
      <c r="M705" s="6">
        <v>1.758</v>
      </c>
      <c r="N705" s="6">
        <v>1.758</v>
      </c>
      <c r="O705" s="6">
        <v>1.758</v>
      </c>
      <c r="P705" s="6">
        <v>0</v>
      </c>
      <c r="Q705" s="4" t="s">
        <v>26</v>
      </c>
      <c r="R705" s="4">
        <v>0</v>
      </c>
      <c r="S705" s="4" t="s">
        <v>291</v>
      </c>
      <c r="T705" s="4" t="s">
        <v>513</v>
      </c>
      <c r="U705" s="4">
        <v>0</v>
      </c>
      <c r="V705" s="4">
        <v>43</v>
      </c>
      <c r="W705" s="4">
        <v>68</v>
      </c>
    </row>
    <row r="706" spans="1:23" ht="11.25" customHeight="1" x14ac:dyDescent="0.3">
      <c r="A706" s="4" t="s">
        <v>21</v>
      </c>
      <c r="B706" s="4" t="s">
        <v>22</v>
      </c>
      <c r="C706" s="4" t="s">
        <v>33</v>
      </c>
      <c r="D706" s="4" t="s">
        <v>24</v>
      </c>
      <c r="E706" s="4" t="s">
        <v>24</v>
      </c>
      <c r="F706" s="4" t="s">
        <v>25</v>
      </c>
      <c r="G706" s="4" t="s">
        <v>25</v>
      </c>
      <c r="H706" s="4" t="s">
        <v>34</v>
      </c>
      <c r="I706" s="5">
        <v>44593</v>
      </c>
      <c r="J706" s="6">
        <v>0</v>
      </c>
      <c r="K706" s="6">
        <v>0</v>
      </c>
      <c r="L706" s="6">
        <v>1.68</v>
      </c>
      <c r="M706" s="6">
        <v>1.68</v>
      </c>
      <c r="N706" s="6">
        <v>1.68</v>
      </c>
      <c r="O706" s="6">
        <v>1.68</v>
      </c>
      <c r="P706" s="6">
        <v>0</v>
      </c>
      <c r="Q706" s="4" t="s">
        <v>26</v>
      </c>
      <c r="R706" s="4">
        <v>0</v>
      </c>
      <c r="S706" s="4" t="s">
        <v>292</v>
      </c>
      <c r="T706" s="4" t="s">
        <v>514</v>
      </c>
      <c r="U706" s="4">
        <v>0</v>
      </c>
      <c r="V706" s="4">
        <v>43</v>
      </c>
      <c r="W706" s="4">
        <v>68</v>
      </c>
    </row>
    <row r="707" spans="1:23" ht="11.25" customHeight="1" x14ac:dyDescent="0.3">
      <c r="A707" s="4" t="s">
        <v>28</v>
      </c>
      <c r="B707" s="4" t="s">
        <v>22</v>
      </c>
      <c r="C707" s="4" t="s">
        <v>33</v>
      </c>
      <c r="D707" s="4" t="s">
        <v>24</v>
      </c>
      <c r="E707" s="4" t="s">
        <v>24</v>
      </c>
      <c r="F707" s="4" t="s">
        <v>25</v>
      </c>
      <c r="G707" s="4" t="s">
        <v>25</v>
      </c>
      <c r="H707" s="4" t="s">
        <v>34</v>
      </c>
      <c r="I707" s="5">
        <v>44593</v>
      </c>
      <c r="J707" s="6">
        <v>0</v>
      </c>
      <c r="K707" s="6">
        <v>0</v>
      </c>
      <c r="L707" s="6">
        <v>4.9000000000000002E-2</v>
      </c>
      <c r="M707" s="6">
        <v>4.9000000000000002E-2</v>
      </c>
      <c r="N707" s="6">
        <v>4.9000000000000002E-2</v>
      </c>
      <c r="O707" s="6">
        <v>4.9000000000000002E-2</v>
      </c>
      <c r="P707" s="6">
        <v>0</v>
      </c>
      <c r="Q707" s="4" t="s">
        <v>26</v>
      </c>
      <c r="R707" s="4">
        <v>0</v>
      </c>
      <c r="S707" s="4" t="s">
        <v>292</v>
      </c>
      <c r="T707" s="4" t="s">
        <v>514</v>
      </c>
      <c r="U707" s="4">
        <v>0</v>
      </c>
      <c r="V707" s="4">
        <v>43</v>
      </c>
      <c r="W707" s="4">
        <v>68</v>
      </c>
    </row>
    <row r="708" spans="1:23" ht="11.25" customHeight="1" x14ac:dyDescent="0.3">
      <c r="A708" s="4" t="s">
        <v>21</v>
      </c>
      <c r="B708" s="4" t="s">
        <v>22</v>
      </c>
      <c r="C708" s="4" t="s">
        <v>33</v>
      </c>
      <c r="D708" s="4" t="s">
        <v>24</v>
      </c>
      <c r="E708" s="4" t="s">
        <v>24</v>
      </c>
      <c r="F708" s="4" t="s">
        <v>25</v>
      </c>
      <c r="G708" s="4" t="s">
        <v>25</v>
      </c>
      <c r="H708" s="4" t="s">
        <v>34</v>
      </c>
      <c r="I708" s="5">
        <v>44621</v>
      </c>
      <c r="J708" s="6">
        <v>0</v>
      </c>
      <c r="K708" s="6">
        <v>0</v>
      </c>
      <c r="L708" s="6">
        <v>1.843</v>
      </c>
      <c r="M708" s="6">
        <v>1.843</v>
      </c>
      <c r="N708" s="6">
        <v>1.843</v>
      </c>
      <c r="O708" s="6">
        <v>1.843</v>
      </c>
      <c r="P708" s="6">
        <v>0</v>
      </c>
      <c r="Q708" s="4" t="s">
        <v>26</v>
      </c>
      <c r="R708" s="4">
        <v>0</v>
      </c>
      <c r="S708" s="4" t="s">
        <v>293</v>
      </c>
      <c r="T708" s="4" t="s">
        <v>515</v>
      </c>
      <c r="U708" s="4">
        <v>0</v>
      </c>
      <c r="V708" s="4">
        <v>43</v>
      </c>
      <c r="W708" s="4">
        <v>68</v>
      </c>
    </row>
    <row r="709" spans="1:23" ht="11.25" customHeight="1" x14ac:dyDescent="0.3">
      <c r="A709" s="4" t="s">
        <v>28</v>
      </c>
      <c r="B709" s="4" t="s">
        <v>22</v>
      </c>
      <c r="C709" s="4" t="s">
        <v>33</v>
      </c>
      <c r="D709" s="4" t="s">
        <v>24</v>
      </c>
      <c r="E709" s="4" t="s">
        <v>24</v>
      </c>
      <c r="F709" s="4" t="s">
        <v>25</v>
      </c>
      <c r="G709" s="4" t="s">
        <v>25</v>
      </c>
      <c r="H709" s="4" t="s">
        <v>34</v>
      </c>
      <c r="I709" s="5">
        <v>44621</v>
      </c>
      <c r="J709" s="6">
        <v>0</v>
      </c>
      <c r="K709" s="6">
        <v>0</v>
      </c>
      <c r="L709" s="6">
        <v>0.05</v>
      </c>
      <c r="M709" s="6">
        <v>0.05</v>
      </c>
      <c r="N709" s="6">
        <v>0.05</v>
      </c>
      <c r="O709" s="6">
        <v>0.05</v>
      </c>
      <c r="P709" s="6">
        <v>0</v>
      </c>
      <c r="Q709" s="4" t="s">
        <v>26</v>
      </c>
      <c r="R709" s="4">
        <v>0</v>
      </c>
      <c r="S709" s="4" t="s">
        <v>293</v>
      </c>
      <c r="T709" s="4" t="s">
        <v>515</v>
      </c>
      <c r="U709" s="4">
        <v>0</v>
      </c>
      <c r="V709" s="4">
        <v>43</v>
      </c>
      <c r="W709" s="4">
        <v>68</v>
      </c>
    </row>
    <row r="710" spans="1:23" ht="11.25" customHeight="1" x14ac:dyDescent="0.3">
      <c r="A710" s="4" t="s">
        <v>21</v>
      </c>
      <c r="B710" s="4" t="s">
        <v>22</v>
      </c>
      <c r="C710" s="4" t="s">
        <v>33</v>
      </c>
      <c r="D710" s="4" t="s">
        <v>24</v>
      </c>
      <c r="E710" s="4" t="s">
        <v>24</v>
      </c>
      <c r="F710" s="4" t="s">
        <v>25</v>
      </c>
      <c r="G710" s="4" t="s">
        <v>25</v>
      </c>
      <c r="H710" s="4" t="s">
        <v>34</v>
      </c>
      <c r="I710" s="5">
        <v>44652</v>
      </c>
      <c r="J710" s="6">
        <v>0</v>
      </c>
      <c r="K710" s="6">
        <v>0</v>
      </c>
      <c r="L710" s="6">
        <v>1.212</v>
      </c>
      <c r="M710" s="6">
        <v>1.212</v>
      </c>
      <c r="N710" s="6">
        <v>1.212</v>
      </c>
      <c r="O710" s="6">
        <v>1.212</v>
      </c>
      <c r="P710" s="6">
        <v>0</v>
      </c>
      <c r="Q710" s="4" t="s">
        <v>26</v>
      </c>
      <c r="R710" s="4">
        <v>0</v>
      </c>
      <c r="S710" s="4" t="s">
        <v>294</v>
      </c>
      <c r="T710" s="4" t="s">
        <v>516</v>
      </c>
      <c r="U710" s="4">
        <v>0</v>
      </c>
      <c r="V710" s="4">
        <v>43</v>
      </c>
      <c r="W710" s="4">
        <v>68</v>
      </c>
    </row>
    <row r="711" spans="1:23" ht="11.25" customHeight="1" x14ac:dyDescent="0.3">
      <c r="A711" s="4" t="s">
        <v>28</v>
      </c>
      <c r="B711" s="4" t="s">
        <v>22</v>
      </c>
      <c r="C711" s="4" t="s">
        <v>33</v>
      </c>
      <c r="D711" s="4" t="s">
        <v>24</v>
      </c>
      <c r="E711" s="4" t="s">
        <v>24</v>
      </c>
      <c r="F711" s="4" t="s">
        <v>25</v>
      </c>
      <c r="G711" s="4" t="s">
        <v>25</v>
      </c>
      <c r="H711" s="4" t="s">
        <v>34</v>
      </c>
      <c r="I711" s="5">
        <v>44652</v>
      </c>
      <c r="J711" s="6">
        <v>0</v>
      </c>
      <c r="K711" s="6">
        <v>0</v>
      </c>
      <c r="L711" s="6">
        <v>5.0999999999999997E-2</v>
      </c>
      <c r="M711" s="6">
        <v>5.0999999999999997E-2</v>
      </c>
      <c r="N711" s="6">
        <v>5.0999999999999997E-2</v>
      </c>
      <c r="O711" s="6">
        <v>5.0999999999999997E-2</v>
      </c>
      <c r="P711" s="6">
        <v>0</v>
      </c>
      <c r="Q711" s="4" t="s">
        <v>26</v>
      </c>
      <c r="R711" s="4">
        <v>0</v>
      </c>
      <c r="S711" s="4" t="s">
        <v>294</v>
      </c>
      <c r="T711" s="4" t="s">
        <v>516</v>
      </c>
      <c r="U711" s="4">
        <v>0</v>
      </c>
      <c r="V711" s="4">
        <v>43</v>
      </c>
      <c r="W711" s="4">
        <v>68</v>
      </c>
    </row>
    <row r="712" spans="1:23" ht="11.25" customHeight="1" x14ac:dyDescent="0.3">
      <c r="A712" s="4" t="s">
        <v>21</v>
      </c>
      <c r="B712" s="4" t="s">
        <v>22</v>
      </c>
      <c r="C712" s="4" t="s">
        <v>33</v>
      </c>
      <c r="D712" s="4" t="s">
        <v>24</v>
      </c>
      <c r="E712" s="4" t="s">
        <v>24</v>
      </c>
      <c r="F712" s="4" t="s">
        <v>25</v>
      </c>
      <c r="G712" s="4" t="s">
        <v>25</v>
      </c>
      <c r="H712" s="4" t="s">
        <v>34</v>
      </c>
      <c r="I712" s="5">
        <v>44682</v>
      </c>
      <c r="J712" s="6">
        <v>0</v>
      </c>
      <c r="K712" s="6">
        <v>0</v>
      </c>
      <c r="L712" s="6">
        <v>1.0229999999999999</v>
      </c>
      <c r="M712" s="6">
        <v>1.0229999999999999</v>
      </c>
      <c r="N712" s="6">
        <v>1.0229999999999999</v>
      </c>
      <c r="O712" s="6">
        <v>1.0229999999999999</v>
      </c>
      <c r="P712" s="6">
        <v>0</v>
      </c>
      <c r="Q712" s="4" t="s">
        <v>26</v>
      </c>
      <c r="R712" s="4">
        <v>0</v>
      </c>
      <c r="S712" s="4" t="s">
        <v>295</v>
      </c>
      <c r="T712" s="4" t="s">
        <v>517</v>
      </c>
      <c r="U712" s="4">
        <v>0</v>
      </c>
      <c r="V712" s="4">
        <v>43</v>
      </c>
      <c r="W712" s="4">
        <v>68</v>
      </c>
    </row>
    <row r="713" spans="1:23" ht="11.25" customHeight="1" x14ac:dyDescent="0.3">
      <c r="A713" s="4" t="s">
        <v>28</v>
      </c>
      <c r="B713" s="4" t="s">
        <v>22</v>
      </c>
      <c r="C713" s="4" t="s">
        <v>33</v>
      </c>
      <c r="D713" s="4" t="s">
        <v>24</v>
      </c>
      <c r="E713" s="4" t="s">
        <v>24</v>
      </c>
      <c r="F713" s="4" t="s">
        <v>25</v>
      </c>
      <c r="G713" s="4" t="s">
        <v>25</v>
      </c>
      <c r="H713" s="4" t="s">
        <v>34</v>
      </c>
      <c r="I713" s="5">
        <v>44682</v>
      </c>
      <c r="J713" s="6">
        <v>0</v>
      </c>
      <c r="K713" s="6">
        <v>0</v>
      </c>
      <c r="L713" s="6">
        <v>5.8999999999999997E-2</v>
      </c>
      <c r="M713" s="6">
        <v>5.8999999999999997E-2</v>
      </c>
      <c r="N713" s="6">
        <v>5.8999999999999997E-2</v>
      </c>
      <c r="O713" s="6">
        <v>5.8999999999999997E-2</v>
      </c>
      <c r="P713" s="6">
        <v>0</v>
      </c>
      <c r="Q713" s="4" t="s">
        <v>26</v>
      </c>
      <c r="R713" s="4">
        <v>0</v>
      </c>
      <c r="S713" s="4" t="s">
        <v>295</v>
      </c>
      <c r="T713" s="4" t="s">
        <v>517</v>
      </c>
      <c r="U713" s="4">
        <v>0</v>
      </c>
      <c r="V713" s="4">
        <v>43</v>
      </c>
      <c r="W713" s="4">
        <v>68</v>
      </c>
    </row>
    <row r="714" spans="1:23" ht="11.25" customHeight="1" x14ac:dyDescent="0.3">
      <c r="A714" s="4" t="s">
        <v>21</v>
      </c>
      <c r="B714" s="4" t="s">
        <v>22</v>
      </c>
      <c r="C714" s="4" t="s">
        <v>33</v>
      </c>
      <c r="D714" s="4" t="s">
        <v>24</v>
      </c>
      <c r="E714" s="4" t="s">
        <v>24</v>
      </c>
      <c r="F714" s="4" t="s">
        <v>25</v>
      </c>
      <c r="G714" s="4" t="s">
        <v>25</v>
      </c>
      <c r="H714" s="4" t="s">
        <v>34</v>
      </c>
      <c r="I714" s="5">
        <v>44713</v>
      </c>
      <c r="J714" s="6">
        <v>0</v>
      </c>
      <c r="K714" s="6">
        <v>0</v>
      </c>
      <c r="L714" s="6">
        <v>1.0589999999999999</v>
      </c>
      <c r="M714" s="6">
        <v>1.0589999999999999</v>
      </c>
      <c r="N714" s="6">
        <v>1.0589999999999999</v>
      </c>
      <c r="O714" s="6">
        <v>1.0589999999999999</v>
      </c>
      <c r="P714" s="6">
        <v>0</v>
      </c>
      <c r="Q714" s="4" t="s">
        <v>26</v>
      </c>
      <c r="R714" s="4">
        <v>0</v>
      </c>
      <c r="S714" s="4" t="s">
        <v>296</v>
      </c>
      <c r="T714" s="4" t="s">
        <v>518</v>
      </c>
      <c r="U714" s="4">
        <v>0</v>
      </c>
      <c r="V714" s="4">
        <v>43</v>
      </c>
      <c r="W714" s="4">
        <v>68</v>
      </c>
    </row>
    <row r="715" spans="1:23" ht="11.25" customHeight="1" x14ac:dyDescent="0.3">
      <c r="A715" s="4" t="s">
        <v>28</v>
      </c>
      <c r="B715" s="4" t="s">
        <v>22</v>
      </c>
      <c r="C715" s="4" t="s">
        <v>33</v>
      </c>
      <c r="D715" s="4" t="s">
        <v>24</v>
      </c>
      <c r="E715" s="4" t="s">
        <v>24</v>
      </c>
      <c r="F715" s="4" t="s">
        <v>25</v>
      </c>
      <c r="G715" s="4" t="s">
        <v>25</v>
      </c>
      <c r="H715" s="4" t="s">
        <v>34</v>
      </c>
      <c r="I715" s="5">
        <v>44713</v>
      </c>
      <c r="J715" s="6">
        <v>0</v>
      </c>
      <c r="K715" s="6">
        <v>0</v>
      </c>
      <c r="L715" s="6">
        <v>7.6999999999999999E-2</v>
      </c>
      <c r="M715" s="6">
        <v>7.6999999999999999E-2</v>
      </c>
      <c r="N715" s="6">
        <v>7.6999999999999999E-2</v>
      </c>
      <c r="O715" s="6">
        <v>7.6999999999999999E-2</v>
      </c>
      <c r="P715" s="6">
        <v>0</v>
      </c>
      <c r="Q715" s="4" t="s">
        <v>26</v>
      </c>
      <c r="R715" s="4">
        <v>0</v>
      </c>
      <c r="S715" s="4" t="s">
        <v>296</v>
      </c>
      <c r="T715" s="4" t="s">
        <v>518</v>
      </c>
      <c r="U715" s="4">
        <v>0</v>
      </c>
      <c r="V715" s="4">
        <v>43</v>
      </c>
      <c r="W715" s="4">
        <v>68</v>
      </c>
    </row>
    <row r="716" spans="1:23" ht="11.25" customHeight="1" x14ac:dyDescent="0.3">
      <c r="A716" s="4" t="s">
        <v>21</v>
      </c>
      <c r="B716" s="4" t="s">
        <v>22</v>
      </c>
      <c r="C716" s="4" t="s">
        <v>33</v>
      </c>
      <c r="D716" s="4" t="s">
        <v>24</v>
      </c>
      <c r="E716" s="4" t="s">
        <v>24</v>
      </c>
      <c r="F716" s="4" t="s">
        <v>25</v>
      </c>
      <c r="G716" s="4" t="s">
        <v>25</v>
      </c>
      <c r="H716" s="4" t="s">
        <v>34</v>
      </c>
      <c r="I716" s="5">
        <v>44743</v>
      </c>
      <c r="J716" s="6">
        <v>0</v>
      </c>
      <c r="K716" s="6">
        <v>0</v>
      </c>
      <c r="L716" s="6">
        <v>1.6060000000000001</v>
      </c>
      <c r="M716" s="6">
        <v>1.6060000000000001</v>
      </c>
      <c r="N716" s="6">
        <v>1.6060000000000001</v>
      </c>
      <c r="O716" s="6">
        <v>1.6060000000000001</v>
      </c>
      <c r="P716" s="6">
        <v>0</v>
      </c>
      <c r="Q716" s="4" t="s">
        <v>26</v>
      </c>
      <c r="R716" s="4">
        <v>0</v>
      </c>
      <c r="S716" s="4" t="s">
        <v>297</v>
      </c>
      <c r="T716" s="4" t="s">
        <v>519</v>
      </c>
      <c r="U716" s="4">
        <v>0</v>
      </c>
      <c r="V716" s="4">
        <v>43</v>
      </c>
      <c r="W716" s="4">
        <v>68</v>
      </c>
    </row>
    <row r="717" spans="1:23" ht="11.25" customHeight="1" x14ac:dyDescent="0.3">
      <c r="A717" s="4" t="s">
        <v>21</v>
      </c>
      <c r="B717" s="4" t="s">
        <v>22</v>
      </c>
      <c r="C717" s="4" t="s">
        <v>33</v>
      </c>
      <c r="D717" s="4" t="s">
        <v>24</v>
      </c>
      <c r="E717" s="4" t="s">
        <v>24</v>
      </c>
      <c r="F717" s="4" t="s">
        <v>25</v>
      </c>
      <c r="G717" s="4" t="s">
        <v>25</v>
      </c>
      <c r="H717" s="4" t="s">
        <v>34</v>
      </c>
      <c r="I717" s="5">
        <v>44774</v>
      </c>
      <c r="J717" s="6">
        <v>0</v>
      </c>
      <c r="K717" s="6">
        <v>0</v>
      </c>
      <c r="L717" s="6">
        <v>1.123</v>
      </c>
      <c r="M717" s="6">
        <v>1.123</v>
      </c>
      <c r="N717" s="6">
        <v>1.123</v>
      </c>
      <c r="O717" s="6">
        <v>1.123</v>
      </c>
      <c r="P717" s="6">
        <v>0</v>
      </c>
      <c r="Q717" s="4" t="s">
        <v>26</v>
      </c>
      <c r="R717" s="4">
        <v>0</v>
      </c>
      <c r="S717" s="4" t="s">
        <v>298</v>
      </c>
      <c r="T717" s="4" t="s">
        <v>520</v>
      </c>
      <c r="U717" s="4">
        <v>0</v>
      </c>
      <c r="V717" s="4">
        <v>43</v>
      </c>
      <c r="W717" s="4">
        <v>68</v>
      </c>
    </row>
    <row r="718" spans="1:23" ht="11.25" customHeight="1" x14ac:dyDescent="0.3">
      <c r="A718" s="4" t="s">
        <v>28</v>
      </c>
      <c r="B718" s="4" t="s">
        <v>22</v>
      </c>
      <c r="C718" s="4" t="s">
        <v>33</v>
      </c>
      <c r="D718" s="4" t="s">
        <v>24</v>
      </c>
      <c r="E718" s="4" t="s">
        <v>24</v>
      </c>
      <c r="F718" s="4" t="s">
        <v>25</v>
      </c>
      <c r="G718" s="4" t="s">
        <v>25</v>
      </c>
      <c r="H718" s="4" t="s">
        <v>34</v>
      </c>
      <c r="I718" s="5">
        <v>44774</v>
      </c>
      <c r="J718" s="6">
        <v>0</v>
      </c>
      <c r="K718" s="6">
        <v>0</v>
      </c>
      <c r="L718" s="6">
        <v>6.9000000000000006E-2</v>
      </c>
      <c r="M718" s="6">
        <v>6.9000000000000006E-2</v>
      </c>
      <c r="N718" s="6">
        <v>6.9000000000000006E-2</v>
      </c>
      <c r="O718" s="6">
        <v>6.9000000000000006E-2</v>
      </c>
      <c r="P718" s="6">
        <v>0</v>
      </c>
      <c r="Q718" s="4" t="s">
        <v>26</v>
      </c>
      <c r="R718" s="4">
        <v>0</v>
      </c>
      <c r="S718" s="4" t="s">
        <v>298</v>
      </c>
      <c r="T718" s="4" t="s">
        <v>520</v>
      </c>
      <c r="U718" s="4">
        <v>0</v>
      </c>
      <c r="V718" s="4">
        <v>43</v>
      </c>
      <c r="W718" s="4">
        <v>68</v>
      </c>
    </row>
    <row r="719" spans="1:23" ht="11.25" customHeight="1" x14ac:dyDescent="0.3">
      <c r="A719" s="4" t="s">
        <v>21</v>
      </c>
      <c r="B719" s="4" t="s">
        <v>22</v>
      </c>
      <c r="C719" s="4" t="s">
        <v>33</v>
      </c>
      <c r="D719" s="4" t="s">
        <v>24</v>
      </c>
      <c r="E719" s="4" t="s">
        <v>24</v>
      </c>
      <c r="F719" s="4" t="s">
        <v>25</v>
      </c>
      <c r="G719" s="4" t="s">
        <v>25</v>
      </c>
      <c r="H719" s="4" t="s">
        <v>34</v>
      </c>
      <c r="I719" s="5">
        <v>44805</v>
      </c>
      <c r="J719" s="6">
        <v>0</v>
      </c>
      <c r="K719" s="6">
        <v>0</v>
      </c>
      <c r="L719" s="6">
        <v>0.99399999999999999</v>
      </c>
      <c r="M719" s="6">
        <v>0.99399999999999999</v>
      </c>
      <c r="N719" s="6">
        <v>0.99399999999999999</v>
      </c>
      <c r="O719" s="6">
        <v>0.99399999999999999</v>
      </c>
      <c r="P719" s="6">
        <v>0</v>
      </c>
      <c r="Q719" s="4" t="s">
        <v>26</v>
      </c>
      <c r="R719" s="4">
        <v>0</v>
      </c>
      <c r="S719" s="4" t="s">
        <v>299</v>
      </c>
      <c r="T719" s="4" t="s">
        <v>521</v>
      </c>
      <c r="U719" s="4">
        <v>0</v>
      </c>
      <c r="V719" s="4">
        <v>43</v>
      </c>
      <c r="W719" s="4">
        <v>68</v>
      </c>
    </row>
    <row r="720" spans="1:23" ht="11.25" customHeight="1" x14ac:dyDescent="0.3">
      <c r="A720" s="4" t="s">
        <v>28</v>
      </c>
      <c r="B720" s="4" t="s">
        <v>22</v>
      </c>
      <c r="C720" s="4" t="s">
        <v>33</v>
      </c>
      <c r="D720" s="4" t="s">
        <v>24</v>
      </c>
      <c r="E720" s="4" t="s">
        <v>24</v>
      </c>
      <c r="F720" s="4" t="s">
        <v>25</v>
      </c>
      <c r="G720" s="4" t="s">
        <v>25</v>
      </c>
      <c r="H720" s="4" t="s">
        <v>34</v>
      </c>
      <c r="I720" s="5">
        <v>44805</v>
      </c>
      <c r="J720" s="6">
        <v>0</v>
      </c>
      <c r="K720" s="6">
        <v>0</v>
      </c>
      <c r="L720" s="6">
        <v>8.7999999999999995E-2</v>
      </c>
      <c r="M720" s="6">
        <v>8.7999999999999995E-2</v>
      </c>
      <c r="N720" s="6">
        <v>8.7999999999999995E-2</v>
      </c>
      <c r="O720" s="6">
        <v>8.7999999999999995E-2</v>
      </c>
      <c r="P720" s="6">
        <v>0</v>
      </c>
      <c r="Q720" s="4" t="s">
        <v>26</v>
      </c>
      <c r="R720" s="4">
        <v>0</v>
      </c>
      <c r="S720" s="4" t="s">
        <v>299</v>
      </c>
      <c r="T720" s="4" t="s">
        <v>521</v>
      </c>
      <c r="U720" s="4">
        <v>0</v>
      </c>
      <c r="V720" s="4">
        <v>43</v>
      </c>
      <c r="W720" s="4">
        <v>68</v>
      </c>
    </row>
    <row r="721" spans="1:23" ht="11.25" customHeight="1" x14ac:dyDescent="0.3">
      <c r="A721" s="4" t="s">
        <v>53</v>
      </c>
      <c r="B721" s="4" t="s">
        <v>22</v>
      </c>
      <c r="C721" s="4" t="s">
        <v>33</v>
      </c>
      <c r="D721" s="4" t="s">
        <v>24</v>
      </c>
      <c r="E721" s="4" t="s">
        <v>24</v>
      </c>
      <c r="F721" s="4" t="s">
        <v>25</v>
      </c>
      <c r="G721" s="4" t="s">
        <v>25</v>
      </c>
      <c r="H721" s="4" t="s">
        <v>34</v>
      </c>
      <c r="I721" s="5">
        <v>44835</v>
      </c>
      <c r="J721" s="6">
        <v>0</v>
      </c>
      <c r="K721" s="6">
        <v>0</v>
      </c>
      <c r="L721" s="6">
        <v>0.99399999999999999</v>
      </c>
      <c r="M721" s="6">
        <v>0.99399999999999999</v>
      </c>
      <c r="N721" s="6">
        <v>0.99399999999999999</v>
      </c>
      <c r="O721" s="6">
        <v>0.99399999999999999</v>
      </c>
      <c r="P721" s="6">
        <v>0</v>
      </c>
      <c r="Q721" s="4" t="s">
        <v>26</v>
      </c>
      <c r="R721" s="4">
        <v>0</v>
      </c>
      <c r="S721" s="4" t="s">
        <v>300</v>
      </c>
      <c r="T721" s="4" t="s">
        <v>522</v>
      </c>
      <c r="U721" s="4">
        <v>0</v>
      </c>
      <c r="V721" s="4">
        <v>43</v>
      </c>
      <c r="W721" s="4">
        <v>68</v>
      </c>
    </row>
    <row r="722" spans="1:23" ht="11.25" customHeight="1" x14ac:dyDescent="0.3">
      <c r="A722" s="4" t="s">
        <v>53</v>
      </c>
      <c r="B722" s="4" t="s">
        <v>22</v>
      </c>
      <c r="C722" s="4" t="s">
        <v>33</v>
      </c>
      <c r="D722" s="4" t="s">
        <v>24</v>
      </c>
      <c r="E722" s="4" t="s">
        <v>24</v>
      </c>
      <c r="F722" s="4" t="s">
        <v>25</v>
      </c>
      <c r="G722" s="4" t="s">
        <v>25</v>
      </c>
      <c r="H722" s="4" t="s">
        <v>34</v>
      </c>
      <c r="I722" s="5">
        <v>44835</v>
      </c>
      <c r="J722" s="6">
        <v>0</v>
      </c>
      <c r="K722" s="6">
        <v>0</v>
      </c>
      <c r="L722" s="6">
        <v>8.7999999999999995E-2</v>
      </c>
      <c r="M722" s="6">
        <v>8.7999999999999995E-2</v>
      </c>
      <c r="N722" s="6">
        <v>8.7999999999999995E-2</v>
      </c>
      <c r="O722" s="6">
        <v>8.7999999999999995E-2</v>
      </c>
      <c r="P722" s="6">
        <v>0</v>
      </c>
      <c r="Q722" s="4" t="s">
        <v>26</v>
      </c>
      <c r="R722" s="4">
        <v>0</v>
      </c>
      <c r="S722" s="4" t="s">
        <v>300</v>
      </c>
      <c r="T722" s="4" t="s">
        <v>522</v>
      </c>
      <c r="U722" s="4">
        <v>0</v>
      </c>
      <c r="V722" s="4">
        <v>43</v>
      </c>
      <c r="W722" s="4">
        <v>68</v>
      </c>
    </row>
    <row r="723" spans="1:23" ht="11.25" customHeight="1" x14ac:dyDescent="0.3">
      <c r="A723" s="4" t="s">
        <v>21</v>
      </c>
      <c r="B723" s="4" t="s">
        <v>22</v>
      </c>
      <c r="C723" s="4" t="s">
        <v>23</v>
      </c>
      <c r="D723" s="4" t="s">
        <v>24</v>
      </c>
      <c r="E723" s="4" t="s">
        <v>24</v>
      </c>
      <c r="F723" s="4" t="s">
        <v>25</v>
      </c>
      <c r="G723" s="4" t="s">
        <v>25</v>
      </c>
      <c r="H723" s="4" t="s">
        <v>25</v>
      </c>
      <c r="I723" s="5">
        <v>44501</v>
      </c>
      <c r="J723" s="6">
        <v>0</v>
      </c>
      <c r="K723" s="6">
        <v>0</v>
      </c>
      <c r="L723" s="6">
        <v>10420.1</v>
      </c>
      <c r="M723" s="6">
        <v>10420.1</v>
      </c>
      <c r="N723" s="6">
        <v>10420.1</v>
      </c>
      <c r="O723" s="6">
        <v>10420.1</v>
      </c>
      <c r="P723" s="6">
        <v>68790</v>
      </c>
      <c r="Q723" s="4" t="s">
        <v>26</v>
      </c>
      <c r="R723" s="4">
        <v>0</v>
      </c>
      <c r="S723" s="4" t="s">
        <v>301</v>
      </c>
      <c r="T723" s="4" t="s">
        <v>523</v>
      </c>
      <c r="U723" s="4">
        <v>0</v>
      </c>
      <c r="V723" s="4">
        <v>46</v>
      </c>
      <c r="W723" s="4">
        <v>111</v>
      </c>
    </row>
    <row r="724" spans="1:23" ht="11.25" customHeight="1" x14ac:dyDescent="0.3">
      <c r="A724" s="4" t="s">
        <v>27</v>
      </c>
      <c r="B724" s="4" t="s">
        <v>22</v>
      </c>
      <c r="C724" s="4" t="s">
        <v>23</v>
      </c>
      <c r="D724" s="4" t="s">
        <v>24</v>
      </c>
      <c r="E724" s="4" t="s">
        <v>24</v>
      </c>
      <c r="F724" s="4" t="s">
        <v>25</v>
      </c>
      <c r="G724" s="4" t="s">
        <v>25</v>
      </c>
      <c r="H724" s="4" t="s">
        <v>25</v>
      </c>
      <c r="I724" s="5">
        <v>44501</v>
      </c>
      <c r="J724" s="6">
        <v>0</v>
      </c>
      <c r="K724" s="6">
        <v>0</v>
      </c>
      <c r="L724" s="6">
        <v>-5.1719999999999997</v>
      </c>
      <c r="M724" s="6">
        <v>-5.1719999999999997</v>
      </c>
      <c r="N724" s="6">
        <v>-5.1719999999999997</v>
      </c>
      <c r="O724" s="6">
        <v>-5.1719999999999997</v>
      </c>
      <c r="P724" s="6">
        <v>0</v>
      </c>
      <c r="Q724" s="4" t="s">
        <v>26</v>
      </c>
      <c r="R724" s="4">
        <v>0</v>
      </c>
      <c r="S724" s="4" t="s">
        <v>301</v>
      </c>
      <c r="T724" s="4" t="s">
        <v>523</v>
      </c>
      <c r="U724" s="4">
        <v>0</v>
      </c>
      <c r="V724" s="4">
        <v>46</v>
      </c>
      <c r="W724" s="4">
        <v>111</v>
      </c>
    </row>
    <row r="725" spans="1:23" ht="11.25" customHeight="1" x14ac:dyDescent="0.3">
      <c r="A725" s="4" t="s">
        <v>28</v>
      </c>
      <c r="B725" s="4" t="s">
        <v>22</v>
      </c>
      <c r="C725" s="4" t="s">
        <v>23</v>
      </c>
      <c r="D725" s="4" t="s">
        <v>24</v>
      </c>
      <c r="E725" s="4" t="s">
        <v>24</v>
      </c>
      <c r="F725" s="4" t="s">
        <v>25</v>
      </c>
      <c r="G725" s="4" t="s">
        <v>25</v>
      </c>
      <c r="H725" s="4" t="s">
        <v>25</v>
      </c>
      <c r="I725" s="5">
        <v>44501</v>
      </c>
      <c r="J725" s="6">
        <v>0</v>
      </c>
      <c r="K725" s="6">
        <v>0</v>
      </c>
      <c r="L725" s="6">
        <v>55.469000000000001</v>
      </c>
      <c r="M725" s="6">
        <v>55.469000000000001</v>
      </c>
      <c r="N725" s="6">
        <v>55.469000000000001</v>
      </c>
      <c r="O725" s="6">
        <v>55.469000000000001</v>
      </c>
      <c r="P725" s="6">
        <v>424</v>
      </c>
      <c r="Q725" s="4" t="s">
        <v>26</v>
      </c>
      <c r="R725" s="4">
        <v>0</v>
      </c>
      <c r="S725" s="4" t="s">
        <v>301</v>
      </c>
      <c r="T725" s="4" t="s">
        <v>523</v>
      </c>
      <c r="U725" s="4">
        <v>0</v>
      </c>
      <c r="V725" s="4">
        <v>46</v>
      </c>
      <c r="W725" s="4">
        <v>111</v>
      </c>
    </row>
    <row r="726" spans="1:23" ht="11.25" customHeight="1" x14ac:dyDescent="0.3">
      <c r="A726" s="4" t="s">
        <v>28</v>
      </c>
      <c r="B726" s="4" t="s">
        <v>22</v>
      </c>
      <c r="C726" s="4" t="s">
        <v>23</v>
      </c>
      <c r="D726" s="4" t="s">
        <v>24</v>
      </c>
      <c r="E726" s="4" t="s">
        <v>24</v>
      </c>
      <c r="F726" s="4" t="s">
        <v>25</v>
      </c>
      <c r="G726" s="4" t="s">
        <v>25</v>
      </c>
      <c r="H726" s="4" t="s">
        <v>25</v>
      </c>
      <c r="I726" s="5">
        <v>44501</v>
      </c>
      <c r="J726" s="6">
        <v>0</v>
      </c>
      <c r="K726" s="6">
        <v>0</v>
      </c>
      <c r="L726" s="6">
        <v>-4.0000000000000001E-3</v>
      </c>
      <c r="M726" s="6">
        <v>-4.0000000000000001E-3</v>
      </c>
      <c r="N726" s="6">
        <v>-4.0000000000000001E-3</v>
      </c>
      <c r="O726" s="6">
        <v>-4.0000000000000001E-3</v>
      </c>
      <c r="P726" s="6">
        <v>4</v>
      </c>
      <c r="Q726" s="4" t="s">
        <v>26</v>
      </c>
      <c r="R726" s="4">
        <v>0</v>
      </c>
      <c r="S726" s="4" t="s">
        <v>301</v>
      </c>
      <c r="T726" s="4" t="s">
        <v>523</v>
      </c>
      <c r="U726" s="4">
        <v>0</v>
      </c>
      <c r="V726" s="4">
        <v>46</v>
      </c>
      <c r="W726" s="4">
        <v>111</v>
      </c>
    </row>
    <row r="727" spans="1:23" ht="11.25" customHeight="1" x14ac:dyDescent="0.3">
      <c r="A727" s="4" t="s">
        <v>21</v>
      </c>
      <c r="B727" s="4" t="s">
        <v>22</v>
      </c>
      <c r="C727" s="4" t="s">
        <v>23</v>
      </c>
      <c r="D727" s="4" t="s">
        <v>24</v>
      </c>
      <c r="E727" s="4" t="s">
        <v>24</v>
      </c>
      <c r="F727" s="4" t="s">
        <v>25</v>
      </c>
      <c r="G727" s="4" t="s">
        <v>25</v>
      </c>
      <c r="H727" s="4" t="s">
        <v>25</v>
      </c>
      <c r="I727" s="5">
        <v>44531</v>
      </c>
      <c r="J727" s="6">
        <v>0</v>
      </c>
      <c r="K727" s="6">
        <v>0</v>
      </c>
      <c r="L727" s="6">
        <v>10009.361000000001</v>
      </c>
      <c r="M727" s="6">
        <v>10009.361000000001</v>
      </c>
      <c r="N727" s="6">
        <v>10009.361000000001</v>
      </c>
      <c r="O727" s="6">
        <v>10009.361000000001</v>
      </c>
      <c r="P727" s="6">
        <v>68502</v>
      </c>
      <c r="Q727" s="4" t="s">
        <v>26</v>
      </c>
      <c r="R727" s="4">
        <v>0</v>
      </c>
      <c r="S727" s="4" t="s">
        <v>302</v>
      </c>
      <c r="T727" s="4" t="s">
        <v>524</v>
      </c>
      <c r="U727" s="4">
        <v>0</v>
      </c>
      <c r="V727" s="4">
        <v>46</v>
      </c>
      <c r="W727" s="4">
        <v>111</v>
      </c>
    </row>
    <row r="728" spans="1:23" ht="11.25" customHeight="1" x14ac:dyDescent="0.3">
      <c r="A728" s="4" t="s">
        <v>27</v>
      </c>
      <c r="B728" s="4" t="s">
        <v>22</v>
      </c>
      <c r="C728" s="4" t="s">
        <v>23</v>
      </c>
      <c r="D728" s="4" t="s">
        <v>24</v>
      </c>
      <c r="E728" s="4" t="s">
        <v>24</v>
      </c>
      <c r="F728" s="4" t="s">
        <v>25</v>
      </c>
      <c r="G728" s="4" t="s">
        <v>25</v>
      </c>
      <c r="H728" s="4" t="s">
        <v>25</v>
      </c>
      <c r="I728" s="5">
        <v>44531</v>
      </c>
      <c r="J728" s="6">
        <v>0</v>
      </c>
      <c r="K728" s="6">
        <v>0</v>
      </c>
      <c r="L728" s="6">
        <v>-12.653</v>
      </c>
      <c r="M728" s="6">
        <v>-12.653</v>
      </c>
      <c r="N728" s="6">
        <v>-12.653</v>
      </c>
      <c r="O728" s="6">
        <v>-12.653</v>
      </c>
      <c r="P728" s="6">
        <v>0</v>
      </c>
      <c r="Q728" s="4" t="s">
        <v>26</v>
      </c>
      <c r="R728" s="4">
        <v>0</v>
      </c>
      <c r="S728" s="4" t="s">
        <v>302</v>
      </c>
      <c r="T728" s="4" t="s">
        <v>524</v>
      </c>
      <c r="U728" s="4">
        <v>0</v>
      </c>
      <c r="V728" s="4">
        <v>46</v>
      </c>
      <c r="W728" s="4">
        <v>111</v>
      </c>
    </row>
    <row r="729" spans="1:23" ht="11.25" customHeight="1" x14ac:dyDescent="0.3">
      <c r="A729" s="4" t="s">
        <v>28</v>
      </c>
      <c r="B729" s="4" t="s">
        <v>22</v>
      </c>
      <c r="C729" s="4" t="s">
        <v>23</v>
      </c>
      <c r="D729" s="4" t="s">
        <v>24</v>
      </c>
      <c r="E729" s="4" t="s">
        <v>24</v>
      </c>
      <c r="F729" s="4" t="s">
        <v>25</v>
      </c>
      <c r="G729" s="4" t="s">
        <v>25</v>
      </c>
      <c r="H729" s="4" t="s">
        <v>25</v>
      </c>
      <c r="I729" s="5">
        <v>44531</v>
      </c>
      <c r="J729" s="6">
        <v>0</v>
      </c>
      <c r="K729" s="6">
        <v>0</v>
      </c>
      <c r="L729" s="6">
        <v>54.781999999999996</v>
      </c>
      <c r="M729" s="6">
        <v>54.781999999999996</v>
      </c>
      <c r="N729" s="6">
        <v>54.781999999999996</v>
      </c>
      <c r="O729" s="6">
        <v>54.781999999999996</v>
      </c>
      <c r="P729" s="6">
        <v>468</v>
      </c>
      <c r="Q729" s="4" t="s">
        <v>26</v>
      </c>
      <c r="R729" s="4">
        <v>0</v>
      </c>
      <c r="S729" s="4" t="s">
        <v>302</v>
      </c>
      <c r="T729" s="4" t="s">
        <v>524</v>
      </c>
      <c r="U729" s="4">
        <v>0</v>
      </c>
      <c r="V729" s="4">
        <v>46</v>
      </c>
      <c r="W729" s="4">
        <v>111</v>
      </c>
    </row>
    <row r="730" spans="1:23" ht="11.25" customHeight="1" x14ac:dyDescent="0.3">
      <c r="A730" s="4" t="s">
        <v>21</v>
      </c>
      <c r="B730" s="4" t="s">
        <v>22</v>
      </c>
      <c r="C730" s="4" t="s">
        <v>23</v>
      </c>
      <c r="D730" s="4" t="s">
        <v>24</v>
      </c>
      <c r="E730" s="4" t="s">
        <v>24</v>
      </c>
      <c r="F730" s="4" t="s">
        <v>25</v>
      </c>
      <c r="G730" s="4" t="s">
        <v>25</v>
      </c>
      <c r="H730" s="4" t="s">
        <v>25</v>
      </c>
      <c r="I730" s="5">
        <v>44562</v>
      </c>
      <c r="J730" s="6">
        <v>0</v>
      </c>
      <c r="K730" s="6">
        <v>0</v>
      </c>
      <c r="L730" s="6">
        <v>10963.914000000001</v>
      </c>
      <c r="M730" s="6">
        <v>10963.914000000001</v>
      </c>
      <c r="N730" s="6">
        <v>10963.914000000001</v>
      </c>
      <c r="O730" s="6">
        <v>10963.914000000001</v>
      </c>
      <c r="P730" s="6">
        <v>68877</v>
      </c>
      <c r="Q730" s="4" t="s">
        <v>26</v>
      </c>
      <c r="R730" s="4">
        <v>0</v>
      </c>
      <c r="S730" s="4" t="s">
        <v>303</v>
      </c>
      <c r="T730" s="4" t="s">
        <v>525</v>
      </c>
      <c r="U730" s="4">
        <v>0</v>
      </c>
      <c r="V730" s="4">
        <v>46</v>
      </c>
      <c r="W730" s="4">
        <v>111</v>
      </c>
    </row>
    <row r="731" spans="1:23" ht="11.25" customHeight="1" x14ac:dyDescent="0.3">
      <c r="A731" s="4" t="s">
        <v>27</v>
      </c>
      <c r="B731" s="4" t="s">
        <v>22</v>
      </c>
      <c r="C731" s="4" t="s">
        <v>23</v>
      </c>
      <c r="D731" s="4" t="s">
        <v>24</v>
      </c>
      <c r="E731" s="4" t="s">
        <v>24</v>
      </c>
      <c r="F731" s="4" t="s">
        <v>25</v>
      </c>
      <c r="G731" s="4" t="s">
        <v>25</v>
      </c>
      <c r="H731" s="4" t="s">
        <v>25</v>
      </c>
      <c r="I731" s="5">
        <v>44562</v>
      </c>
      <c r="J731" s="6">
        <v>0</v>
      </c>
      <c r="K731" s="6">
        <v>0</v>
      </c>
      <c r="L731" s="6">
        <v>-8.2059999999999995</v>
      </c>
      <c r="M731" s="6">
        <v>-8.2059999999999995</v>
      </c>
      <c r="N731" s="6">
        <v>-8.2059999999999995</v>
      </c>
      <c r="O731" s="6">
        <v>-8.2059999999999995</v>
      </c>
      <c r="P731" s="6">
        <v>0</v>
      </c>
      <c r="Q731" s="4" t="s">
        <v>26</v>
      </c>
      <c r="R731" s="4">
        <v>0</v>
      </c>
      <c r="S731" s="4" t="s">
        <v>303</v>
      </c>
      <c r="T731" s="4" t="s">
        <v>525</v>
      </c>
      <c r="U731" s="4">
        <v>0</v>
      </c>
      <c r="V731" s="4">
        <v>46</v>
      </c>
      <c r="W731" s="4">
        <v>111</v>
      </c>
    </row>
    <row r="732" spans="1:23" ht="11.25" customHeight="1" x14ac:dyDescent="0.3">
      <c r="A732" s="4" t="s">
        <v>28</v>
      </c>
      <c r="B732" s="4" t="s">
        <v>22</v>
      </c>
      <c r="C732" s="4" t="s">
        <v>23</v>
      </c>
      <c r="D732" s="4" t="s">
        <v>24</v>
      </c>
      <c r="E732" s="4" t="s">
        <v>24</v>
      </c>
      <c r="F732" s="4" t="s">
        <v>25</v>
      </c>
      <c r="G732" s="4" t="s">
        <v>25</v>
      </c>
      <c r="H732" s="4" t="s">
        <v>25</v>
      </c>
      <c r="I732" s="5">
        <v>44562</v>
      </c>
      <c r="J732" s="6">
        <v>0</v>
      </c>
      <c r="K732" s="6">
        <v>0</v>
      </c>
      <c r="L732" s="6">
        <v>68.164000000000001</v>
      </c>
      <c r="M732" s="6">
        <v>68.164000000000001</v>
      </c>
      <c r="N732" s="6">
        <v>68.164000000000001</v>
      </c>
      <c r="O732" s="6">
        <v>68.164000000000001</v>
      </c>
      <c r="P732" s="6">
        <v>514</v>
      </c>
      <c r="Q732" s="4" t="s">
        <v>26</v>
      </c>
      <c r="R732" s="4">
        <v>0</v>
      </c>
      <c r="S732" s="4" t="s">
        <v>303</v>
      </c>
      <c r="T732" s="4" t="s">
        <v>525</v>
      </c>
      <c r="U732" s="4">
        <v>0</v>
      </c>
      <c r="V732" s="4">
        <v>46</v>
      </c>
      <c r="W732" s="4">
        <v>111</v>
      </c>
    </row>
    <row r="733" spans="1:23" ht="11.25" customHeight="1" x14ac:dyDescent="0.3">
      <c r="A733" s="4" t="s">
        <v>21</v>
      </c>
      <c r="B733" s="4" t="s">
        <v>22</v>
      </c>
      <c r="C733" s="4" t="s">
        <v>23</v>
      </c>
      <c r="D733" s="4" t="s">
        <v>24</v>
      </c>
      <c r="E733" s="4" t="s">
        <v>24</v>
      </c>
      <c r="F733" s="4" t="s">
        <v>25</v>
      </c>
      <c r="G733" s="4" t="s">
        <v>25</v>
      </c>
      <c r="H733" s="4" t="s">
        <v>25</v>
      </c>
      <c r="I733" s="5">
        <v>44593</v>
      </c>
      <c r="J733" s="6">
        <v>0</v>
      </c>
      <c r="K733" s="6">
        <v>0</v>
      </c>
      <c r="L733" s="6">
        <v>10112.392</v>
      </c>
      <c r="M733" s="6">
        <v>10112.392</v>
      </c>
      <c r="N733" s="6">
        <v>10112.392</v>
      </c>
      <c r="O733" s="6">
        <v>10112.392</v>
      </c>
      <c r="P733" s="6">
        <v>68436</v>
      </c>
      <c r="Q733" s="4" t="s">
        <v>26</v>
      </c>
      <c r="R733" s="4">
        <v>0</v>
      </c>
      <c r="S733" s="4" t="s">
        <v>304</v>
      </c>
      <c r="T733" s="4" t="s">
        <v>526</v>
      </c>
      <c r="U733" s="4">
        <v>0</v>
      </c>
      <c r="V733" s="4">
        <v>46</v>
      </c>
      <c r="W733" s="4">
        <v>111</v>
      </c>
    </row>
    <row r="734" spans="1:23" ht="11.25" customHeight="1" x14ac:dyDescent="0.3">
      <c r="A734" s="4" t="s">
        <v>27</v>
      </c>
      <c r="B734" s="4" t="s">
        <v>22</v>
      </c>
      <c r="C734" s="4" t="s">
        <v>23</v>
      </c>
      <c r="D734" s="4" t="s">
        <v>24</v>
      </c>
      <c r="E734" s="4" t="s">
        <v>24</v>
      </c>
      <c r="F734" s="4" t="s">
        <v>25</v>
      </c>
      <c r="G734" s="4" t="s">
        <v>25</v>
      </c>
      <c r="H734" s="4" t="s">
        <v>25</v>
      </c>
      <c r="I734" s="5">
        <v>44593</v>
      </c>
      <c r="J734" s="6">
        <v>0</v>
      </c>
      <c r="K734" s="6">
        <v>0</v>
      </c>
      <c r="L734" s="6">
        <v>-17.277000000000001</v>
      </c>
      <c r="M734" s="6">
        <v>-17.277000000000001</v>
      </c>
      <c r="N734" s="6">
        <v>-17.277000000000001</v>
      </c>
      <c r="O734" s="6">
        <v>-17.277000000000001</v>
      </c>
      <c r="P734" s="6">
        <v>0</v>
      </c>
      <c r="Q734" s="4" t="s">
        <v>26</v>
      </c>
      <c r="R734" s="4">
        <v>0</v>
      </c>
      <c r="S734" s="4" t="s">
        <v>304</v>
      </c>
      <c r="T734" s="4" t="s">
        <v>526</v>
      </c>
      <c r="U734" s="4">
        <v>0</v>
      </c>
      <c r="V734" s="4">
        <v>46</v>
      </c>
      <c r="W734" s="4">
        <v>111</v>
      </c>
    </row>
    <row r="735" spans="1:23" ht="11.25" customHeight="1" x14ac:dyDescent="0.3">
      <c r="A735" s="4" t="s">
        <v>28</v>
      </c>
      <c r="B735" s="4" t="s">
        <v>22</v>
      </c>
      <c r="C735" s="4" t="s">
        <v>23</v>
      </c>
      <c r="D735" s="4" t="s">
        <v>24</v>
      </c>
      <c r="E735" s="4" t="s">
        <v>24</v>
      </c>
      <c r="F735" s="4" t="s">
        <v>25</v>
      </c>
      <c r="G735" s="4" t="s">
        <v>25</v>
      </c>
      <c r="H735" s="4" t="s">
        <v>25</v>
      </c>
      <c r="I735" s="5">
        <v>44593</v>
      </c>
      <c r="J735" s="6">
        <v>0</v>
      </c>
      <c r="K735" s="6">
        <v>0</v>
      </c>
      <c r="L735" s="6">
        <v>68.451999999999998</v>
      </c>
      <c r="M735" s="6">
        <v>68.451999999999998</v>
      </c>
      <c r="N735" s="6">
        <v>68.451999999999998</v>
      </c>
      <c r="O735" s="6">
        <v>68.451999999999998</v>
      </c>
      <c r="P735" s="6">
        <v>547</v>
      </c>
      <c r="Q735" s="4" t="s">
        <v>26</v>
      </c>
      <c r="R735" s="4">
        <v>0</v>
      </c>
      <c r="S735" s="4" t="s">
        <v>304</v>
      </c>
      <c r="T735" s="4" t="s">
        <v>526</v>
      </c>
      <c r="U735" s="4">
        <v>0</v>
      </c>
      <c r="V735" s="4">
        <v>46</v>
      </c>
      <c r="W735" s="4">
        <v>111</v>
      </c>
    </row>
    <row r="736" spans="1:23" ht="11.25" customHeight="1" x14ac:dyDescent="0.3">
      <c r="A736" s="4" t="s">
        <v>21</v>
      </c>
      <c r="B736" s="4" t="s">
        <v>22</v>
      </c>
      <c r="C736" s="4" t="s">
        <v>23</v>
      </c>
      <c r="D736" s="4" t="s">
        <v>24</v>
      </c>
      <c r="E736" s="4" t="s">
        <v>24</v>
      </c>
      <c r="F736" s="4" t="s">
        <v>25</v>
      </c>
      <c r="G736" s="4" t="s">
        <v>25</v>
      </c>
      <c r="H736" s="4" t="s">
        <v>25</v>
      </c>
      <c r="I736" s="5">
        <v>44621</v>
      </c>
      <c r="J736" s="6">
        <v>0</v>
      </c>
      <c r="K736" s="6">
        <v>0</v>
      </c>
      <c r="L736" s="6">
        <v>10232.031000000001</v>
      </c>
      <c r="M736" s="6">
        <v>10232.031000000001</v>
      </c>
      <c r="N736" s="6">
        <v>10232.031000000001</v>
      </c>
      <c r="O736" s="6">
        <v>10232.031000000001</v>
      </c>
      <c r="P736" s="6">
        <v>68550</v>
      </c>
      <c r="Q736" s="4" t="s">
        <v>26</v>
      </c>
      <c r="R736" s="4">
        <v>0</v>
      </c>
      <c r="S736" s="4" t="s">
        <v>305</v>
      </c>
      <c r="T736" s="4" t="s">
        <v>527</v>
      </c>
      <c r="U736" s="4">
        <v>0</v>
      </c>
      <c r="V736" s="4">
        <v>46</v>
      </c>
      <c r="W736" s="4">
        <v>111</v>
      </c>
    </row>
    <row r="737" spans="1:23" ht="11.25" customHeight="1" x14ac:dyDescent="0.3">
      <c r="A737" s="4" t="s">
        <v>27</v>
      </c>
      <c r="B737" s="4" t="s">
        <v>22</v>
      </c>
      <c r="C737" s="4" t="s">
        <v>23</v>
      </c>
      <c r="D737" s="4" t="s">
        <v>24</v>
      </c>
      <c r="E737" s="4" t="s">
        <v>24</v>
      </c>
      <c r="F737" s="4" t="s">
        <v>25</v>
      </c>
      <c r="G737" s="4" t="s">
        <v>25</v>
      </c>
      <c r="H737" s="4" t="s">
        <v>25</v>
      </c>
      <c r="I737" s="5">
        <v>44621</v>
      </c>
      <c r="J737" s="6">
        <v>0</v>
      </c>
      <c r="K737" s="6">
        <v>0</v>
      </c>
      <c r="L737" s="6">
        <v>-10.598000000000001</v>
      </c>
      <c r="M737" s="6">
        <v>-10.598000000000001</v>
      </c>
      <c r="N737" s="6">
        <v>-10.598000000000001</v>
      </c>
      <c r="O737" s="6">
        <v>-10.598000000000001</v>
      </c>
      <c r="P737" s="6">
        <v>0</v>
      </c>
      <c r="Q737" s="4" t="s">
        <v>26</v>
      </c>
      <c r="R737" s="4">
        <v>0</v>
      </c>
      <c r="S737" s="4" t="s">
        <v>305</v>
      </c>
      <c r="T737" s="4" t="s">
        <v>527</v>
      </c>
      <c r="U737" s="4">
        <v>0</v>
      </c>
      <c r="V737" s="4">
        <v>46</v>
      </c>
      <c r="W737" s="4">
        <v>111</v>
      </c>
    </row>
    <row r="738" spans="1:23" ht="11.25" customHeight="1" x14ac:dyDescent="0.3">
      <c r="A738" s="4" t="s">
        <v>28</v>
      </c>
      <c r="B738" s="4" t="s">
        <v>22</v>
      </c>
      <c r="C738" s="4" t="s">
        <v>23</v>
      </c>
      <c r="D738" s="4" t="s">
        <v>24</v>
      </c>
      <c r="E738" s="4" t="s">
        <v>24</v>
      </c>
      <c r="F738" s="4" t="s">
        <v>25</v>
      </c>
      <c r="G738" s="4" t="s">
        <v>25</v>
      </c>
      <c r="H738" s="4" t="s">
        <v>25</v>
      </c>
      <c r="I738" s="5">
        <v>44621</v>
      </c>
      <c r="J738" s="6">
        <v>0</v>
      </c>
      <c r="K738" s="6">
        <v>0</v>
      </c>
      <c r="L738" s="6">
        <v>70.27</v>
      </c>
      <c r="M738" s="6">
        <v>70.27</v>
      </c>
      <c r="N738" s="6">
        <v>70.27</v>
      </c>
      <c r="O738" s="6">
        <v>70.27</v>
      </c>
      <c r="P738" s="6">
        <v>587</v>
      </c>
      <c r="Q738" s="4" t="s">
        <v>26</v>
      </c>
      <c r="R738" s="4">
        <v>0</v>
      </c>
      <c r="S738" s="4" t="s">
        <v>305</v>
      </c>
      <c r="T738" s="4" t="s">
        <v>527</v>
      </c>
      <c r="U738" s="4">
        <v>0</v>
      </c>
      <c r="V738" s="4">
        <v>46</v>
      </c>
      <c r="W738" s="4">
        <v>111</v>
      </c>
    </row>
    <row r="739" spans="1:23" ht="11.25" customHeight="1" x14ac:dyDescent="0.3">
      <c r="A739" s="4" t="s">
        <v>28</v>
      </c>
      <c r="B739" s="4" t="s">
        <v>22</v>
      </c>
      <c r="C739" s="4" t="s">
        <v>23</v>
      </c>
      <c r="D739" s="4" t="s">
        <v>24</v>
      </c>
      <c r="E739" s="4" t="s">
        <v>24</v>
      </c>
      <c r="F739" s="4" t="s">
        <v>25</v>
      </c>
      <c r="G739" s="4" t="s">
        <v>25</v>
      </c>
      <c r="H739" s="4" t="s">
        <v>25</v>
      </c>
      <c r="I739" s="5">
        <v>44621</v>
      </c>
      <c r="J739" s="6">
        <v>0</v>
      </c>
      <c r="K739" s="6">
        <v>0</v>
      </c>
      <c r="L739" s="6">
        <v>0.309</v>
      </c>
      <c r="M739" s="6">
        <v>0.309</v>
      </c>
      <c r="N739" s="6">
        <v>0.309</v>
      </c>
      <c r="O739" s="6">
        <v>0.309</v>
      </c>
      <c r="P739" s="6">
        <v>7</v>
      </c>
      <c r="Q739" s="4" t="s">
        <v>26</v>
      </c>
      <c r="R739" s="4">
        <v>0</v>
      </c>
      <c r="S739" s="4" t="s">
        <v>305</v>
      </c>
      <c r="T739" s="4" t="s">
        <v>527</v>
      </c>
      <c r="U739" s="4">
        <v>0</v>
      </c>
      <c r="V739" s="4">
        <v>46</v>
      </c>
      <c r="W739" s="4">
        <v>111</v>
      </c>
    </row>
    <row r="740" spans="1:23" ht="11.25" customHeight="1" x14ac:dyDescent="0.3">
      <c r="A740" s="4" t="s">
        <v>21</v>
      </c>
      <c r="B740" s="4" t="s">
        <v>22</v>
      </c>
      <c r="C740" s="4" t="s">
        <v>23</v>
      </c>
      <c r="D740" s="4" t="s">
        <v>24</v>
      </c>
      <c r="E740" s="4" t="s">
        <v>24</v>
      </c>
      <c r="F740" s="4" t="s">
        <v>25</v>
      </c>
      <c r="G740" s="4" t="s">
        <v>25</v>
      </c>
      <c r="H740" s="4" t="s">
        <v>25</v>
      </c>
      <c r="I740" s="5">
        <v>44652</v>
      </c>
      <c r="J740" s="6">
        <v>0</v>
      </c>
      <c r="K740" s="6">
        <v>0</v>
      </c>
      <c r="L740" s="6">
        <v>10453.558000000001</v>
      </c>
      <c r="M740" s="6">
        <v>10453.558000000001</v>
      </c>
      <c r="N740" s="6">
        <v>10453.558000000001</v>
      </c>
      <c r="O740" s="6">
        <v>10453.558000000001</v>
      </c>
      <c r="P740" s="6">
        <v>68685</v>
      </c>
      <c r="Q740" s="4" t="s">
        <v>26</v>
      </c>
      <c r="R740" s="4">
        <v>0</v>
      </c>
      <c r="S740" s="4" t="s">
        <v>306</v>
      </c>
      <c r="T740" s="4" t="s">
        <v>528</v>
      </c>
      <c r="U740" s="4">
        <v>0</v>
      </c>
      <c r="V740" s="4">
        <v>46</v>
      </c>
      <c r="W740" s="4">
        <v>111</v>
      </c>
    </row>
    <row r="741" spans="1:23" ht="11.25" customHeight="1" x14ac:dyDescent="0.3">
      <c r="A741" s="4" t="s">
        <v>27</v>
      </c>
      <c r="B741" s="4" t="s">
        <v>22</v>
      </c>
      <c r="C741" s="4" t="s">
        <v>23</v>
      </c>
      <c r="D741" s="4" t="s">
        <v>24</v>
      </c>
      <c r="E741" s="4" t="s">
        <v>24</v>
      </c>
      <c r="F741" s="4" t="s">
        <v>25</v>
      </c>
      <c r="G741" s="4" t="s">
        <v>25</v>
      </c>
      <c r="H741" s="4" t="s">
        <v>25</v>
      </c>
      <c r="I741" s="5">
        <v>44652</v>
      </c>
      <c r="J741" s="6">
        <v>0</v>
      </c>
      <c r="K741" s="6">
        <v>0</v>
      </c>
      <c r="L741" s="6">
        <v>-8.4649999999999999</v>
      </c>
      <c r="M741" s="6">
        <v>-8.4649999999999999</v>
      </c>
      <c r="N741" s="6">
        <v>-8.4649999999999999</v>
      </c>
      <c r="O741" s="6">
        <v>-8.4649999999999999</v>
      </c>
      <c r="P741" s="6">
        <v>0</v>
      </c>
      <c r="Q741" s="4" t="s">
        <v>26</v>
      </c>
      <c r="R741" s="4">
        <v>0</v>
      </c>
      <c r="S741" s="4" t="s">
        <v>306</v>
      </c>
      <c r="T741" s="4" t="s">
        <v>528</v>
      </c>
      <c r="U741" s="4">
        <v>0</v>
      </c>
      <c r="V741" s="4">
        <v>46</v>
      </c>
      <c r="W741" s="4">
        <v>111</v>
      </c>
    </row>
    <row r="742" spans="1:23" ht="11.25" customHeight="1" x14ac:dyDescent="0.3">
      <c r="A742" s="4" t="s">
        <v>28</v>
      </c>
      <c r="B742" s="4" t="s">
        <v>22</v>
      </c>
      <c r="C742" s="4" t="s">
        <v>23</v>
      </c>
      <c r="D742" s="4" t="s">
        <v>24</v>
      </c>
      <c r="E742" s="4" t="s">
        <v>24</v>
      </c>
      <c r="F742" s="4" t="s">
        <v>25</v>
      </c>
      <c r="G742" s="4" t="s">
        <v>25</v>
      </c>
      <c r="H742" s="4" t="s">
        <v>25</v>
      </c>
      <c r="I742" s="5">
        <v>44652</v>
      </c>
      <c r="J742" s="6">
        <v>0</v>
      </c>
      <c r="K742" s="6">
        <v>0</v>
      </c>
      <c r="L742" s="6">
        <v>82.573999999999998</v>
      </c>
      <c r="M742" s="6">
        <v>82.573999999999998</v>
      </c>
      <c r="N742" s="6">
        <v>82.573999999999998</v>
      </c>
      <c r="O742" s="6">
        <v>82.573999999999998</v>
      </c>
      <c r="P742" s="6">
        <v>632</v>
      </c>
      <c r="Q742" s="4" t="s">
        <v>26</v>
      </c>
      <c r="R742" s="4">
        <v>0</v>
      </c>
      <c r="S742" s="4" t="s">
        <v>306</v>
      </c>
      <c r="T742" s="4" t="s">
        <v>528</v>
      </c>
      <c r="U742" s="4">
        <v>0</v>
      </c>
      <c r="V742" s="4">
        <v>46</v>
      </c>
      <c r="W742" s="4">
        <v>111</v>
      </c>
    </row>
    <row r="743" spans="1:23" ht="11.25" customHeight="1" x14ac:dyDescent="0.3">
      <c r="A743" s="4" t="s">
        <v>21</v>
      </c>
      <c r="B743" s="4" t="s">
        <v>22</v>
      </c>
      <c r="C743" s="4" t="s">
        <v>23</v>
      </c>
      <c r="D743" s="4" t="s">
        <v>24</v>
      </c>
      <c r="E743" s="4" t="s">
        <v>24</v>
      </c>
      <c r="F743" s="4" t="s">
        <v>25</v>
      </c>
      <c r="G743" s="4" t="s">
        <v>25</v>
      </c>
      <c r="H743" s="4" t="s">
        <v>25</v>
      </c>
      <c r="I743" s="5">
        <v>44682</v>
      </c>
      <c r="J743" s="6">
        <v>0</v>
      </c>
      <c r="K743" s="6">
        <v>0</v>
      </c>
      <c r="L743" s="6">
        <v>10255.894</v>
      </c>
      <c r="M743" s="6">
        <v>10255.894</v>
      </c>
      <c r="N743" s="6">
        <v>10255.894</v>
      </c>
      <c r="O743" s="6">
        <v>10255.894</v>
      </c>
      <c r="P743" s="6">
        <v>68699</v>
      </c>
      <c r="Q743" s="4" t="s">
        <v>26</v>
      </c>
      <c r="R743" s="4">
        <v>0</v>
      </c>
      <c r="S743" s="4" t="s">
        <v>307</v>
      </c>
      <c r="T743" s="4" t="s">
        <v>529</v>
      </c>
      <c r="U743" s="4">
        <v>0</v>
      </c>
      <c r="V743" s="4">
        <v>46</v>
      </c>
      <c r="W743" s="4">
        <v>111</v>
      </c>
    </row>
    <row r="744" spans="1:23" ht="11.25" customHeight="1" x14ac:dyDescent="0.3">
      <c r="A744" s="4" t="s">
        <v>27</v>
      </c>
      <c r="B744" s="4" t="s">
        <v>22</v>
      </c>
      <c r="C744" s="4" t="s">
        <v>23</v>
      </c>
      <c r="D744" s="4" t="s">
        <v>24</v>
      </c>
      <c r="E744" s="4" t="s">
        <v>24</v>
      </c>
      <c r="F744" s="4" t="s">
        <v>25</v>
      </c>
      <c r="G744" s="4" t="s">
        <v>25</v>
      </c>
      <c r="H744" s="4" t="s">
        <v>25</v>
      </c>
      <c r="I744" s="5">
        <v>44682</v>
      </c>
      <c r="J744" s="6">
        <v>0</v>
      </c>
      <c r="K744" s="6">
        <v>0</v>
      </c>
      <c r="L744" s="6">
        <v>-19.370999999999999</v>
      </c>
      <c r="M744" s="6">
        <v>-19.370999999999999</v>
      </c>
      <c r="N744" s="6">
        <v>-19.370999999999999</v>
      </c>
      <c r="O744" s="6">
        <v>-19.370999999999999</v>
      </c>
      <c r="P744" s="6">
        <v>0</v>
      </c>
      <c r="Q744" s="4" t="s">
        <v>26</v>
      </c>
      <c r="R744" s="4">
        <v>0</v>
      </c>
      <c r="S744" s="4" t="s">
        <v>307</v>
      </c>
      <c r="T744" s="4" t="s">
        <v>529</v>
      </c>
      <c r="U744" s="4">
        <v>0</v>
      </c>
      <c r="V744" s="4">
        <v>46</v>
      </c>
      <c r="W744" s="4">
        <v>111</v>
      </c>
    </row>
    <row r="745" spans="1:23" ht="11.25" customHeight="1" x14ac:dyDescent="0.3">
      <c r="A745" s="4" t="s">
        <v>28</v>
      </c>
      <c r="B745" s="4" t="s">
        <v>22</v>
      </c>
      <c r="C745" s="4" t="s">
        <v>23</v>
      </c>
      <c r="D745" s="4" t="s">
        <v>24</v>
      </c>
      <c r="E745" s="4" t="s">
        <v>24</v>
      </c>
      <c r="F745" s="4" t="s">
        <v>25</v>
      </c>
      <c r="G745" s="4" t="s">
        <v>25</v>
      </c>
      <c r="H745" s="4" t="s">
        <v>25</v>
      </c>
      <c r="I745" s="5">
        <v>44682</v>
      </c>
      <c r="J745" s="6">
        <v>0</v>
      </c>
      <c r="K745" s="6">
        <v>0</v>
      </c>
      <c r="L745" s="6">
        <v>85.396000000000001</v>
      </c>
      <c r="M745" s="6">
        <v>85.396000000000001</v>
      </c>
      <c r="N745" s="6">
        <v>85.396000000000001</v>
      </c>
      <c r="O745" s="6">
        <v>85.396000000000001</v>
      </c>
      <c r="P745" s="6">
        <v>664</v>
      </c>
      <c r="Q745" s="4" t="s">
        <v>26</v>
      </c>
      <c r="R745" s="4">
        <v>0</v>
      </c>
      <c r="S745" s="4" t="s">
        <v>307</v>
      </c>
      <c r="T745" s="4" t="s">
        <v>529</v>
      </c>
      <c r="U745" s="4">
        <v>0</v>
      </c>
      <c r="V745" s="4">
        <v>46</v>
      </c>
      <c r="W745" s="4">
        <v>111</v>
      </c>
    </row>
    <row r="746" spans="1:23" ht="11.25" customHeight="1" x14ac:dyDescent="0.3">
      <c r="A746" s="4" t="s">
        <v>28</v>
      </c>
      <c r="B746" s="4" t="s">
        <v>22</v>
      </c>
      <c r="C746" s="4" t="s">
        <v>23</v>
      </c>
      <c r="D746" s="4" t="s">
        <v>24</v>
      </c>
      <c r="E746" s="4" t="s">
        <v>24</v>
      </c>
      <c r="F746" s="4" t="s">
        <v>25</v>
      </c>
      <c r="G746" s="4" t="s">
        <v>25</v>
      </c>
      <c r="H746" s="4" t="s">
        <v>25</v>
      </c>
      <c r="I746" s="5">
        <v>44682</v>
      </c>
      <c r="J746" s="6">
        <v>0</v>
      </c>
      <c r="K746" s="6">
        <v>0</v>
      </c>
      <c r="L746" s="6">
        <v>0.05</v>
      </c>
      <c r="M746" s="6">
        <v>0.05</v>
      </c>
      <c r="N746" s="6">
        <v>0.05</v>
      </c>
      <c r="O746" s="6">
        <v>0.05</v>
      </c>
      <c r="P746" s="6">
        <v>1</v>
      </c>
      <c r="Q746" s="4" t="s">
        <v>26</v>
      </c>
      <c r="R746" s="4">
        <v>0</v>
      </c>
      <c r="S746" s="4" t="s">
        <v>307</v>
      </c>
      <c r="T746" s="4" t="s">
        <v>529</v>
      </c>
      <c r="U746" s="4">
        <v>0</v>
      </c>
      <c r="V746" s="4">
        <v>46</v>
      </c>
      <c r="W746" s="4">
        <v>111</v>
      </c>
    </row>
    <row r="747" spans="1:23" ht="11.25" customHeight="1" x14ac:dyDescent="0.3">
      <c r="A747" s="4" t="s">
        <v>21</v>
      </c>
      <c r="B747" s="4" t="s">
        <v>22</v>
      </c>
      <c r="C747" s="4" t="s">
        <v>23</v>
      </c>
      <c r="D747" s="4" t="s">
        <v>24</v>
      </c>
      <c r="E747" s="4" t="s">
        <v>24</v>
      </c>
      <c r="F747" s="4" t="s">
        <v>25</v>
      </c>
      <c r="G747" s="4" t="s">
        <v>25</v>
      </c>
      <c r="H747" s="4" t="s">
        <v>25</v>
      </c>
      <c r="I747" s="5">
        <v>44713</v>
      </c>
      <c r="J747" s="6">
        <v>0</v>
      </c>
      <c r="K747" s="6">
        <v>0</v>
      </c>
      <c r="L747" s="6">
        <v>10322.447</v>
      </c>
      <c r="M747" s="6">
        <v>10322.447</v>
      </c>
      <c r="N747" s="6">
        <v>10322.447</v>
      </c>
      <c r="O747" s="6">
        <v>10322.447</v>
      </c>
      <c r="P747" s="6">
        <v>68914</v>
      </c>
      <c r="Q747" s="4" t="s">
        <v>26</v>
      </c>
      <c r="R747" s="4">
        <v>0</v>
      </c>
      <c r="S747" s="4" t="s">
        <v>308</v>
      </c>
      <c r="T747" s="4" t="s">
        <v>530</v>
      </c>
      <c r="U747" s="4">
        <v>0</v>
      </c>
      <c r="V747" s="4">
        <v>46</v>
      </c>
      <c r="W747" s="4">
        <v>111</v>
      </c>
    </row>
    <row r="748" spans="1:23" ht="11.25" customHeight="1" x14ac:dyDescent="0.3">
      <c r="A748" s="4" t="s">
        <v>27</v>
      </c>
      <c r="B748" s="4" t="s">
        <v>22</v>
      </c>
      <c r="C748" s="4" t="s">
        <v>23</v>
      </c>
      <c r="D748" s="4" t="s">
        <v>24</v>
      </c>
      <c r="E748" s="4" t="s">
        <v>24</v>
      </c>
      <c r="F748" s="4" t="s">
        <v>25</v>
      </c>
      <c r="G748" s="4" t="s">
        <v>25</v>
      </c>
      <c r="H748" s="4" t="s">
        <v>25</v>
      </c>
      <c r="I748" s="5">
        <v>44713</v>
      </c>
      <c r="J748" s="6">
        <v>0</v>
      </c>
      <c r="K748" s="6">
        <v>0</v>
      </c>
      <c r="L748" s="6">
        <v>-6.7450000000000001</v>
      </c>
      <c r="M748" s="6">
        <v>-6.7450000000000001</v>
      </c>
      <c r="N748" s="6">
        <v>-6.7450000000000001</v>
      </c>
      <c r="O748" s="6">
        <v>-6.7450000000000001</v>
      </c>
      <c r="P748" s="6">
        <v>0</v>
      </c>
      <c r="Q748" s="4" t="s">
        <v>26</v>
      </c>
      <c r="R748" s="4">
        <v>0</v>
      </c>
      <c r="S748" s="4" t="s">
        <v>308</v>
      </c>
      <c r="T748" s="4" t="s">
        <v>530</v>
      </c>
      <c r="U748" s="4">
        <v>0</v>
      </c>
      <c r="V748" s="4">
        <v>46</v>
      </c>
      <c r="W748" s="4">
        <v>111</v>
      </c>
    </row>
    <row r="749" spans="1:23" ht="11.25" customHeight="1" x14ac:dyDescent="0.3">
      <c r="A749" s="4" t="s">
        <v>28</v>
      </c>
      <c r="B749" s="4" t="s">
        <v>22</v>
      </c>
      <c r="C749" s="4" t="s">
        <v>23</v>
      </c>
      <c r="D749" s="4" t="s">
        <v>24</v>
      </c>
      <c r="E749" s="4" t="s">
        <v>24</v>
      </c>
      <c r="F749" s="4" t="s">
        <v>25</v>
      </c>
      <c r="G749" s="4" t="s">
        <v>25</v>
      </c>
      <c r="H749" s="4" t="s">
        <v>25</v>
      </c>
      <c r="I749" s="5">
        <v>44713</v>
      </c>
      <c r="J749" s="6">
        <v>0</v>
      </c>
      <c r="K749" s="6">
        <v>0</v>
      </c>
      <c r="L749" s="6">
        <v>111.227</v>
      </c>
      <c r="M749" s="6">
        <v>111.227</v>
      </c>
      <c r="N749" s="6">
        <v>111.227</v>
      </c>
      <c r="O749" s="6">
        <v>111.227</v>
      </c>
      <c r="P749" s="6">
        <v>717</v>
      </c>
      <c r="Q749" s="4" t="s">
        <v>26</v>
      </c>
      <c r="R749" s="4">
        <v>0</v>
      </c>
      <c r="S749" s="4" t="s">
        <v>308</v>
      </c>
      <c r="T749" s="4" t="s">
        <v>530</v>
      </c>
      <c r="U749" s="4">
        <v>0</v>
      </c>
      <c r="V749" s="4">
        <v>46</v>
      </c>
      <c r="W749" s="4">
        <v>111</v>
      </c>
    </row>
    <row r="750" spans="1:23" ht="11.25" customHeight="1" x14ac:dyDescent="0.3">
      <c r="A750" s="4" t="s">
        <v>28</v>
      </c>
      <c r="B750" s="4" t="s">
        <v>22</v>
      </c>
      <c r="C750" s="4" t="s">
        <v>23</v>
      </c>
      <c r="D750" s="4" t="s">
        <v>24</v>
      </c>
      <c r="E750" s="4" t="s">
        <v>24</v>
      </c>
      <c r="F750" s="4" t="s">
        <v>25</v>
      </c>
      <c r="G750" s="4" t="s">
        <v>25</v>
      </c>
      <c r="H750" s="4" t="s">
        <v>25</v>
      </c>
      <c r="I750" s="5">
        <v>44713</v>
      </c>
      <c r="J750" s="6">
        <v>0</v>
      </c>
      <c r="K750" s="6">
        <v>0</v>
      </c>
      <c r="L750" s="6">
        <v>0.17799999999999999</v>
      </c>
      <c r="M750" s="6">
        <v>0.17799999999999999</v>
      </c>
      <c r="N750" s="6">
        <v>0.17799999999999999</v>
      </c>
      <c r="O750" s="6">
        <v>0.17799999999999999</v>
      </c>
      <c r="P750" s="6">
        <v>1</v>
      </c>
      <c r="Q750" s="4" t="s">
        <v>26</v>
      </c>
      <c r="R750" s="4">
        <v>0</v>
      </c>
      <c r="S750" s="4" t="s">
        <v>308</v>
      </c>
      <c r="T750" s="4" t="s">
        <v>530</v>
      </c>
      <c r="U750" s="4">
        <v>0</v>
      </c>
      <c r="V750" s="4">
        <v>46</v>
      </c>
      <c r="W750" s="4">
        <v>111</v>
      </c>
    </row>
    <row r="751" spans="1:23" ht="11.25" customHeight="1" x14ac:dyDescent="0.3">
      <c r="A751" s="4" t="s">
        <v>21</v>
      </c>
      <c r="B751" s="4" t="s">
        <v>22</v>
      </c>
      <c r="C751" s="4" t="s">
        <v>23</v>
      </c>
      <c r="D751" s="4" t="s">
        <v>24</v>
      </c>
      <c r="E751" s="4" t="s">
        <v>24</v>
      </c>
      <c r="F751" s="4" t="s">
        <v>25</v>
      </c>
      <c r="G751" s="4" t="s">
        <v>25</v>
      </c>
      <c r="H751" s="4" t="s">
        <v>25</v>
      </c>
      <c r="I751" s="5">
        <v>44743</v>
      </c>
      <c r="J751" s="6">
        <v>0</v>
      </c>
      <c r="K751" s="6">
        <v>0</v>
      </c>
      <c r="L751" s="6">
        <v>10725.651</v>
      </c>
      <c r="M751" s="6">
        <v>10725.651</v>
      </c>
      <c r="N751" s="6">
        <v>10725.651</v>
      </c>
      <c r="O751" s="6">
        <v>10725.651</v>
      </c>
      <c r="P751" s="6">
        <v>69330</v>
      </c>
      <c r="Q751" s="4" t="s">
        <v>26</v>
      </c>
      <c r="R751" s="4">
        <v>0</v>
      </c>
      <c r="S751" s="4" t="s">
        <v>309</v>
      </c>
      <c r="T751" s="4" t="s">
        <v>531</v>
      </c>
      <c r="U751" s="4">
        <v>0</v>
      </c>
      <c r="V751" s="4">
        <v>46</v>
      </c>
      <c r="W751" s="4">
        <v>111</v>
      </c>
    </row>
    <row r="752" spans="1:23" ht="11.25" customHeight="1" x14ac:dyDescent="0.3">
      <c r="A752" s="4" t="s">
        <v>21</v>
      </c>
      <c r="B752" s="4" t="s">
        <v>22</v>
      </c>
      <c r="C752" s="4" t="s">
        <v>23</v>
      </c>
      <c r="D752" s="4" t="s">
        <v>24</v>
      </c>
      <c r="E752" s="4" t="s">
        <v>24</v>
      </c>
      <c r="F752" s="4" t="s">
        <v>25</v>
      </c>
      <c r="G752" s="4" t="s">
        <v>25</v>
      </c>
      <c r="H752" s="4" t="s">
        <v>25</v>
      </c>
      <c r="I752" s="5">
        <v>44774</v>
      </c>
      <c r="J752" s="6">
        <v>0</v>
      </c>
      <c r="K752" s="6">
        <v>0</v>
      </c>
      <c r="L752" s="6">
        <v>10090.436</v>
      </c>
      <c r="M752" s="6">
        <v>10090.436</v>
      </c>
      <c r="N752" s="6">
        <v>10090.436</v>
      </c>
      <c r="O752" s="6">
        <v>10090.436</v>
      </c>
      <c r="P752" s="6">
        <v>69121</v>
      </c>
      <c r="Q752" s="4" t="s">
        <v>26</v>
      </c>
      <c r="R752" s="4">
        <v>0</v>
      </c>
      <c r="S752" s="4" t="s">
        <v>310</v>
      </c>
      <c r="T752" s="4" t="s">
        <v>532</v>
      </c>
      <c r="U752" s="4">
        <v>0</v>
      </c>
      <c r="V752" s="4">
        <v>46</v>
      </c>
      <c r="W752" s="4">
        <v>111</v>
      </c>
    </row>
    <row r="753" spans="1:23" ht="11.25" customHeight="1" x14ac:dyDescent="0.3">
      <c r="A753" s="4" t="s">
        <v>27</v>
      </c>
      <c r="B753" s="4" t="s">
        <v>22</v>
      </c>
      <c r="C753" s="4" t="s">
        <v>23</v>
      </c>
      <c r="D753" s="4" t="s">
        <v>24</v>
      </c>
      <c r="E753" s="4" t="s">
        <v>24</v>
      </c>
      <c r="F753" s="4" t="s">
        <v>25</v>
      </c>
      <c r="G753" s="4" t="s">
        <v>25</v>
      </c>
      <c r="H753" s="4" t="s">
        <v>25</v>
      </c>
      <c r="I753" s="5">
        <v>44774</v>
      </c>
      <c r="J753" s="6">
        <v>0</v>
      </c>
      <c r="K753" s="6">
        <v>0</v>
      </c>
      <c r="L753" s="6">
        <v>-6.5289999999999999</v>
      </c>
      <c r="M753" s="6">
        <v>-6.5289999999999999</v>
      </c>
      <c r="N753" s="6">
        <v>-6.5289999999999999</v>
      </c>
      <c r="O753" s="6">
        <v>-6.5289999999999999</v>
      </c>
      <c r="P753" s="6">
        <v>0</v>
      </c>
      <c r="Q753" s="4" t="s">
        <v>26</v>
      </c>
      <c r="R753" s="4">
        <v>0</v>
      </c>
      <c r="S753" s="4" t="s">
        <v>310</v>
      </c>
      <c r="T753" s="4" t="s">
        <v>532</v>
      </c>
      <c r="U753" s="4">
        <v>0</v>
      </c>
      <c r="V753" s="4">
        <v>46</v>
      </c>
      <c r="W753" s="4">
        <v>111</v>
      </c>
    </row>
    <row r="754" spans="1:23" ht="11.25" customHeight="1" x14ac:dyDescent="0.3">
      <c r="A754" s="4" t="s">
        <v>28</v>
      </c>
      <c r="B754" s="4" t="s">
        <v>22</v>
      </c>
      <c r="C754" s="4" t="s">
        <v>23</v>
      </c>
      <c r="D754" s="4" t="s">
        <v>24</v>
      </c>
      <c r="E754" s="4" t="s">
        <v>24</v>
      </c>
      <c r="F754" s="4" t="s">
        <v>25</v>
      </c>
      <c r="G754" s="4" t="s">
        <v>25</v>
      </c>
      <c r="H754" s="4" t="s">
        <v>25</v>
      </c>
      <c r="I754" s="5">
        <v>44774</v>
      </c>
      <c r="J754" s="6">
        <v>0</v>
      </c>
      <c r="K754" s="6">
        <v>0</v>
      </c>
      <c r="L754" s="6">
        <v>102.729</v>
      </c>
      <c r="M754" s="6">
        <v>102.729</v>
      </c>
      <c r="N754" s="6">
        <v>102.729</v>
      </c>
      <c r="O754" s="6">
        <v>102.729</v>
      </c>
      <c r="P754" s="6">
        <v>809</v>
      </c>
      <c r="Q754" s="4" t="s">
        <v>26</v>
      </c>
      <c r="R754" s="4">
        <v>0</v>
      </c>
      <c r="S754" s="4" t="s">
        <v>310</v>
      </c>
      <c r="T754" s="4" t="s">
        <v>532</v>
      </c>
      <c r="U754" s="4">
        <v>0</v>
      </c>
      <c r="V754" s="4">
        <v>46</v>
      </c>
      <c r="W754" s="4">
        <v>111</v>
      </c>
    </row>
    <row r="755" spans="1:23" ht="11.25" customHeight="1" x14ac:dyDescent="0.3">
      <c r="A755" s="4" t="s">
        <v>28</v>
      </c>
      <c r="B755" s="4" t="s">
        <v>22</v>
      </c>
      <c r="C755" s="4" t="s">
        <v>23</v>
      </c>
      <c r="D755" s="4" t="s">
        <v>24</v>
      </c>
      <c r="E755" s="4" t="s">
        <v>24</v>
      </c>
      <c r="F755" s="4" t="s">
        <v>25</v>
      </c>
      <c r="G755" s="4" t="s">
        <v>25</v>
      </c>
      <c r="H755" s="4" t="s">
        <v>25</v>
      </c>
      <c r="I755" s="5">
        <v>44774</v>
      </c>
      <c r="J755" s="6">
        <v>0</v>
      </c>
      <c r="K755" s="6">
        <v>0</v>
      </c>
      <c r="L755" s="6">
        <v>-9.1999999999999998E-2</v>
      </c>
      <c r="M755" s="6">
        <v>-9.1999999999999998E-2</v>
      </c>
      <c r="N755" s="6">
        <v>-9.1999999999999998E-2</v>
      </c>
      <c r="O755" s="6">
        <v>-9.1999999999999998E-2</v>
      </c>
      <c r="P755" s="6">
        <v>4</v>
      </c>
      <c r="Q755" s="4" t="s">
        <v>26</v>
      </c>
      <c r="R755" s="4">
        <v>0</v>
      </c>
      <c r="S755" s="4" t="s">
        <v>310</v>
      </c>
      <c r="T755" s="4" t="s">
        <v>532</v>
      </c>
      <c r="U755" s="4">
        <v>0</v>
      </c>
      <c r="V755" s="4">
        <v>46</v>
      </c>
      <c r="W755" s="4">
        <v>111</v>
      </c>
    </row>
    <row r="756" spans="1:23" ht="11.25" customHeight="1" x14ac:dyDescent="0.3">
      <c r="A756" s="4" t="s">
        <v>21</v>
      </c>
      <c r="B756" s="4" t="s">
        <v>22</v>
      </c>
      <c r="C756" s="4" t="s">
        <v>23</v>
      </c>
      <c r="D756" s="4" t="s">
        <v>24</v>
      </c>
      <c r="E756" s="4" t="s">
        <v>24</v>
      </c>
      <c r="F756" s="4" t="s">
        <v>25</v>
      </c>
      <c r="G756" s="4" t="s">
        <v>25</v>
      </c>
      <c r="H756" s="4" t="s">
        <v>25</v>
      </c>
      <c r="I756" s="5">
        <v>44805</v>
      </c>
      <c r="J756" s="6">
        <v>0</v>
      </c>
      <c r="K756" s="6">
        <v>0</v>
      </c>
      <c r="L756" s="6">
        <v>11077.602999999999</v>
      </c>
      <c r="M756" s="6">
        <v>11077.602999999999</v>
      </c>
      <c r="N756" s="6">
        <v>11077.602999999999</v>
      </c>
      <c r="O756" s="6">
        <v>11077.602999999999</v>
      </c>
      <c r="P756" s="6">
        <v>69259</v>
      </c>
      <c r="Q756" s="4" t="s">
        <v>26</v>
      </c>
      <c r="R756" s="4">
        <v>0</v>
      </c>
      <c r="S756" s="4" t="s">
        <v>311</v>
      </c>
      <c r="T756" s="4" t="s">
        <v>533</v>
      </c>
      <c r="U756" s="4">
        <v>0</v>
      </c>
      <c r="V756" s="4">
        <v>46</v>
      </c>
      <c r="W756" s="4">
        <v>111</v>
      </c>
    </row>
    <row r="757" spans="1:23" ht="11.25" customHeight="1" x14ac:dyDescent="0.3">
      <c r="A757" s="4" t="s">
        <v>27</v>
      </c>
      <c r="B757" s="4" t="s">
        <v>22</v>
      </c>
      <c r="C757" s="4" t="s">
        <v>23</v>
      </c>
      <c r="D757" s="4" t="s">
        <v>24</v>
      </c>
      <c r="E757" s="4" t="s">
        <v>24</v>
      </c>
      <c r="F757" s="4" t="s">
        <v>25</v>
      </c>
      <c r="G757" s="4" t="s">
        <v>25</v>
      </c>
      <c r="H757" s="4" t="s">
        <v>25</v>
      </c>
      <c r="I757" s="5">
        <v>44805</v>
      </c>
      <c r="J757" s="6">
        <v>0</v>
      </c>
      <c r="K757" s="6">
        <v>0</v>
      </c>
      <c r="L757" s="6">
        <v>-10.504</v>
      </c>
      <c r="M757" s="6">
        <v>-10.504</v>
      </c>
      <c r="N757" s="6">
        <v>-10.504</v>
      </c>
      <c r="O757" s="6">
        <v>-10.504</v>
      </c>
      <c r="P757" s="6">
        <v>0</v>
      </c>
      <c r="Q757" s="4" t="s">
        <v>26</v>
      </c>
      <c r="R757" s="4">
        <v>0</v>
      </c>
      <c r="S757" s="4" t="s">
        <v>311</v>
      </c>
      <c r="T757" s="4" t="s">
        <v>533</v>
      </c>
      <c r="U757" s="4">
        <v>0</v>
      </c>
      <c r="V757" s="4">
        <v>46</v>
      </c>
      <c r="W757" s="4">
        <v>111</v>
      </c>
    </row>
    <row r="758" spans="1:23" ht="11.25" customHeight="1" x14ac:dyDescent="0.3">
      <c r="A758" s="4" t="s">
        <v>28</v>
      </c>
      <c r="B758" s="4" t="s">
        <v>22</v>
      </c>
      <c r="C758" s="4" t="s">
        <v>23</v>
      </c>
      <c r="D758" s="4" t="s">
        <v>24</v>
      </c>
      <c r="E758" s="4" t="s">
        <v>24</v>
      </c>
      <c r="F758" s="4" t="s">
        <v>25</v>
      </c>
      <c r="G758" s="4" t="s">
        <v>25</v>
      </c>
      <c r="H758" s="4" t="s">
        <v>25</v>
      </c>
      <c r="I758" s="5">
        <v>44805</v>
      </c>
      <c r="J758" s="6">
        <v>0</v>
      </c>
      <c r="K758" s="6">
        <v>0</v>
      </c>
      <c r="L758" s="6">
        <v>115.226</v>
      </c>
      <c r="M758" s="6">
        <v>115.226</v>
      </c>
      <c r="N758" s="6">
        <v>115.226</v>
      </c>
      <c r="O758" s="6">
        <v>115.226</v>
      </c>
      <c r="P758" s="6">
        <v>873</v>
      </c>
      <c r="Q758" s="4" t="s">
        <v>26</v>
      </c>
      <c r="R758" s="4">
        <v>0</v>
      </c>
      <c r="S758" s="4" t="s">
        <v>311</v>
      </c>
      <c r="T758" s="4" t="s">
        <v>533</v>
      </c>
      <c r="U758" s="4">
        <v>0</v>
      </c>
      <c r="V758" s="4">
        <v>46</v>
      </c>
      <c r="W758" s="4">
        <v>111</v>
      </c>
    </row>
    <row r="759" spans="1:23" ht="11.25" customHeight="1" x14ac:dyDescent="0.3">
      <c r="A759" s="4" t="s">
        <v>53</v>
      </c>
      <c r="B759" s="4" t="s">
        <v>22</v>
      </c>
      <c r="C759" s="4" t="s">
        <v>23</v>
      </c>
      <c r="D759" s="4" t="s">
        <v>24</v>
      </c>
      <c r="E759" s="4" t="s">
        <v>24</v>
      </c>
      <c r="F759" s="4" t="s">
        <v>25</v>
      </c>
      <c r="G759" s="4" t="s">
        <v>25</v>
      </c>
      <c r="H759" s="4" t="s">
        <v>25</v>
      </c>
      <c r="I759" s="5">
        <v>44835</v>
      </c>
      <c r="J759" s="6">
        <v>0</v>
      </c>
      <c r="K759" s="6">
        <v>0</v>
      </c>
      <c r="L759" s="6">
        <v>11077.602999999999</v>
      </c>
      <c r="M759" s="6">
        <v>11077.602999999999</v>
      </c>
      <c r="N759" s="6">
        <v>11077.602999999999</v>
      </c>
      <c r="O759" s="6">
        <v>11077.602999999999</v>
      </c>
      <c r="P759" s="6">
        <v>69259</v>
      </c>
      <c r="Q759" s="4" t="s">
        <v>26</v>
      </c>
      <c r="R759" s="4">
        <v>0</v>
      </c>
      <c r="S759" s="4" t="s">
        <v>312</v>
      </c>
      <c r="T759" s="4" t="s">
        <v>534</v>
      </c>
      <c r="U759" s="4">
        <v>0</v>
      </c>
      <c r="V759" s="4">
        <v>46</v>
      </c>
      <c r="W759" s="4">
        <v>111</v>
      </c>
    </row>
    <row r="760" spans="1:23" ht="11.25" customHeight="1" x14ac:dyDescent="0.3">
      <c r="A760" s="4" t="s">
        <v>53</v>
      </c>
      <c r="B760" s="4" t="s">
        <v>22</v>
      </c>
      <c r="C760" s="4" t="s">
        <v>23</v>
      </c>
      <c r="D760" s="4" t="s">
        <v>24</v>
      </c>
      <c r="E760" s="4" t="s">
        <v>24</v>
      </c>
      <c r="F760" s="4" t="s">
        <v>25</v>
      </c>
      <c r="G760" s="4" t="s">
        <v>25</v>
      </c>
      <c r="H760" s="4" t="s">
        <v>25</v>
      </c>
      <c r="I760" s="5">
        <v>44835</v>
      </c>
      <c r="J760" s="6">
        <v>0</v>
      </c>
      <c r="K760" s="6">
        <v>0</v>
      </c>
      <c r="L760" s="6">
        <v>-10.504</v>
      </c>
      <c r="M760" s="6">
        <v>-10.504</v>
      </c>
      <c r="N760" s="6">
        <v>-10.504</v>
      </c>
      <c r="O760" s="6">
        <v>-10.504</v>
      </c>
      <c r="P760" s="6">
        <v>0</v>
      </c>
      <c r="Q760" s="4" t="s">
        <v>26</v>
      </c>
      <c r="R760" s="4">
        <v>0</v>
      </c>
      <c r="S760" s="4" t="s">
        <v>312</v>
      </c>
      <c r="T760" s="4" t="s">
        <v>534</v>
      </c>
      <c r="U760" s="4">
        <v>0</v>
      </c>
      <c r="V760" s="4">
        <v>46</v>
      </c>
      <c r="W760" s="4">
        <v>111</v>
      </c>
    </row>
    <row r="761" spans="1:23" ht="11.25" customHeight="1" x14ac:dyDescent="0.3">
      <c r="A761" s="4" t="s">
        <v>53</v>
      </c>
      <c r="B761" s="4" t="s">
        <v>22</v>
      </c>
      <c r="C761" s="4" t="s">
        <v>23</v>
      </c>
      <c r="D761" s="4" t="s">
        <v>24</v>
      </c>
      <c r="E761" s="4" t="s">
        <v>24</v>
      </c>
      <c r="F761" s="4" t="s">
        <v>25</v>
      </c>
      <c r="G761" s="4" t="s">
        <v>25</v>
      </c>
      <c r="H761" s="4" t="s">
        <v>25</v>
      </c>
      <c r="I761" s="5">
        <v>44835</v>
      </c>
      <c r="J761" s="6">
        <v>0</v>
      </c>
      <c r="K761" s="6">
        <v>0</v>
      </c>
      <c r="L761" s="6">
        <v>115.226</v>
      </c>
      <c r="M761" s="6">
        <v>115.226</v>
      </c>
      <c r="N761" s="6">
        <v>115.226</v>
      </c>
      <c r="O761" s="6">
        <v>115.226</v>
      </c>
      <c r="P761" s="6">
        <v>873</v>
      </c>
      <c r="Q761" s="4" t="s">
        <v>26</v>
      </c>
      <c r="R761" s="4">
        <v>0</v>
      </c>
      <c r="S761" s="4" t="s">
        <v>312</v>
      </c>
      <c r="T761" s="4" t="s">
        <v>534</v>
      </c>
      <c r="U761" s="4">
        <v>0</v>
      </c>
      <c r="V761" s="4">
        <v>46</v>
      </c>
      <c r="W761" s="4">
        <v>111</v>
      </c>
    </row>
    <row r="762" spans="1:23" ht="11.25" customHeight="1" x14ac:dyDescent="0.3">
      <c r="A762" s="4" t="s">
        <v>21</v>
      </c>
      <c r="B762" s="4" t="s">
        <v>22</v>
      </c>
      <c r="C762" s="4" t="s">
        <v>23</v>
      </c>
      <c r="D762" s="4" t="s">
        <v>24</v>
      </c>
      <c r="E762" s="4" t="s">
        <v>29</v>
      </c>
      <c r="F762" s="4" t="s">
        <v>25</v>
      </c>
      <c r="G762" s="4" t="s">
        <v>25</v>
      </c>
      <c r="H762" s="4" t="s">
        <v>25</v>
      </c>
      <c r="I762" s="5">
        <v>44501</v>
      </c>
      <c r="J762" s="6">
        <v>0</v>
      </c>
      <c r="K762" s="6">
        <v>0</v>
      </c>
      <c r="L762" s="6">
        <v>161.34700000000001</v>
      </c>
      <c r="M762" s="6">
        <v>161.34700000000001</v>
      </c>
      <c r="N762" s="6">
        <v>161.34700000000001</v>
      </c>
      <c r="O762" s="6">
        <v>161.34700000000001</v>
      </c>
      <c r="P762" s="6">
        <v>141</v>
      </c>
      <c r="Q762" s="4" t="s">
        <v>26</v>
      </c>
      <c r="R762" s="4">
        <v>0</v>
      </c>
      <c r="S762" s="4" t="s">
        <v>313</v>
      </c>
      <c r="T762" s="4" t="s">
        <v>535</v>
      </c>
      <c r="U762" s="4">
        <v>0</v>
      </c>
      <c r="V762" s="4">
        <v>39</v>
      </c>
      <c r="W762" s="4">
        <v>98</v>
      </c>
    </row>
    <row r="763" spans="1:23" ht="11.25" customHeight="1" x14ac:dyDescent="0.3">
      <c r="A763" s="4" t="s">
        <v>27</v>
      </c>
      <c r="B763" s="4" t="s">
        <v>22</v>
      </c>
      <c r="C763" s="4" t="s">
        <v>23</v>
      </c>
      <c r="D763" s="4" t="s">
        <v>24</v>
      </c>
      <c r="E763" s="4" t="s">
        <v>29</v>
      </c>
      <c r="F763" s="4" t="s">
        <v>25</v>
      </c>
      <c r="G763" s="4" t="s">
        <v>25</v>
      </c>
      <c r="H763" s="4" t="s">
        <v>25</v>
      </c>
      <c r="I763" s="5">
        <v>44501</v>
      </c>
      <c r="J763" s="6">
        <v>0</v>
      </c>
      <c r="K763" s="6">
        <v>0</v>
      </c>
      <c r="L763" s="6">
        <v>-0.03</v>
      </c>
      <c r="M763" s="6">
        <v>-0.03</v>
      </c>
      <c r="N763" s="6">
        <v>-0.03</v>
      </c>
      <c r="O763" s="6">
        <v>-0.03</v>
      </c>
      <c r="P763" s="6">
        <v>0</v>
      </c>
      <c r="Q763" s="4" t="s">
        <v>26</v>
      </c>
      <c r="R763" s="4">
        <v>0</v>
      </c>
      <c r="S763" s="4" t="s">
        <v>313</v>
      </c>
      <c r="T763" s="4" t="s">
        <v>535</v>
      </c>
      <c r="U763" s="4">
        <v>0</v>
      </c>
      <c r="V763" s="4">
        <v>39</v>
      </c>
      <c r="W763" s="4">
        <v>98</v>
      </c>
    </row>
    <row r="764" spans="1:23" ht="11.25" customHeight="1" x14ac:dyDescent="0.3">
      <c r="A764" s="4" t="s">
        <v>28</v>
      </c>
      <c r="B764" s="4" t="s">
        <v>22</v>
      </c>
      <c r="C764" s="4" t="s">
        <v>23</v>
      </c>
      <c r="D764" s="4" t="s">
        <v>24</v>
      </c>
      <c r="E764" s="4" t="s">
        <v>29</v>
      </c>
      <c r="F764" s="4" t="s">
        <v>25</v>
      </c>
      <c r="G764" s="4" t="s">
        <v>25</v>
      </c>
      <c r="H764" s="4" t="s">
        <v>25</v>
      </c>
      <c r="I764" s="5">
        <v>44501</v>
      </c>
      <c r="J764" s="6">
        <v>0</v>
      </c>
      <c r="K764" s="6">
        <v>0</v>
      </c>
      <c r="L764" s="6">
        <v>0.06</v>
      </c>
      <c r="M764" s="6">
        <v>-1.7999999999999999E-2</v>
      </c>
      <c r="N764" s="6">
        <v>0.06</v>
      </c>
      <c r="O764" s="6">
        <v>-1.7999999999999999E-2</v>
      </c>
      <c r="P764" s="6">
        <v>0</v>
      </c>
      <c r="Q764" s="4" t="s">
        <v>26</v>
      </c>
      <c r="R764" s="4">
        <v>0</v>
      </c>
      <c r="S764" s="4" t="s">
        <v>313</v>
      </c>
      <c r="T764" s="4" t="s">
        <v>535</v>
      </c>
      <c r="U764" s="4">
        <v>0</v>
      </c>
      <c r="V764" s="4">
        <v>39</v>
      </c>
      <c r="W764" s="4">
        <v>98</v>
      </c>
    </row>
    <row r="765" spans="1:23" ht="11.25" customHeight="1" x14ac:dyDescent="0.3">
      <c r="A765" s="4" t="s">
        <v>21</v>
      </c>
      <c r="B765" s="4" t="s">
        <v>22</v>
      </c>
      <c r="C765" s="4" t="s">
        <v>23</v>
      </c>
      <c r="D765" s="4" t="s">
        <v>24</v>
      </c>
      <c r="E765" s="4" t="s">
        <v>29</v>
      </c>
      <c r="F765" s="4" t="s">
        <v>25</v>
      </c>
      <c r="G765" s="4" t="s">
        <v>25</v>
      </c>
      <c r="H765" s="4" t="s">
        <v>25</v>
      </c>
      <c r="I765" s="5">
        <v>44531</v>
      </c>
      <c r="J765" s="6">
        <v>0</v>
      </c>
      <c r="K765" s="6">
        <v>0</v>
      </c>
      <c r="L765" s="6">
        <v>169.458</v>
      </c>
      <c r="M765" s="6">
        <v>169.458</v>
      </c>
      <c r="N765" s="6">
        <v>169.458</v>
      </c>
      <c r="O765" s="6">
        <v>169.458</v>
      </c>
      <c r="P765" s="6">
        <v>165</v>
      </c>
      <c r="Q765" s="4" t="s">
        <v>26</v>
      </c>
      <c r="R765" s="4">
        <v>0</v>
      </c>
      <c r="S765" s="4" t="s">
        <v>314</v>
      </c>
      <c r="T765" s="4" t="s">
        <v>536</v>
      </c>
      <c r="U765" s="4">
        <v>0</v>
      </c>
      <c r="V765" s="4">
        <v>39</v>
      </c>
      <c r="W765" s="4">
        <v>98</v>
      </c>
    </row>
    <row r="766" spans="1:23" ht="11.25" customHeight="1" x14ac:dyDescent="0.3">
      <c r="A766" s="4" t="s">
        <v>27</v>
      </c>
      <c r="B766" s="4" t="s">
        <v>22</v>
      </c>
      <c r="C766" s="4" t="s">
        <v>23</v>
      </c>
      <c r="D766" s="4" t="s">
        <v>24</v>
      </c>
      <c r="E766" s="4" t="s">
        <v>29</v>
      </c>
      <c r="F766" s="4" t="s">
        <v>25</v>
      </c>
      <c r="G766" s="4" t="s">
        <v>25</v>
      </c>
      <c r="H766" s="4" t="s">
        <v>25</v>
      </c>
      <c r="I766" s="5">
        <v>44531</v>
      </c>
      <c r="J766" s="6">
        <v>0</v>
      </c>
      <c r="K766" s="6">
        <v>0</v>
      </c>
      <c r="L766" s="6">
        <v>0.15</v>
      </c>
      <c r="M766" s="6">
        <v>0.15</v>
      </c>
      <c r="N766" s="6">
        <v>0.15</v>
      </c>
      <c r="O766" s="6">
        <v>0.15</v>
      </c>
      <c r="P766" s="6">
        <v>0</v>
      </c>
      <c r="Q766" s="4" t="s">
        <v>26</v>
      </c>
      <c r="R766" s="4">
        <v>0</v>
      </c>
      <c r="S766" s="4" t="s">
        <v>314</v>
      </c>
      <c r="T766" s="4" t="s">
        <v>536</v>
      </c>
      <c r="U766" s="4">
        <v>0</v>
      </c>
      <c r="V766" s="4">
        <v>39</v>
      </c>
      <c r="W766" s="4">
        <v>98</v>
      </c>
    </row>
    <row r="767" spans="1:23" ht="11.25" customHeight="1" x14ac:dyDescent="0.3">
      <c r="A767" s="4" t="s">
        <v>28</v>
      </c>
      <c r="B767" s="4" t="s">
        <v>22</v>
      </c>
      <c r="C767" s="4" t="s">
        <v>23</v>
      </c>
      <c r="D767" s="4" t="s">
        <v>24</v>
      </c>
      <c r="E767" s="4" t="s">
        <v>29</v>
      </c>
      <c r="F767" s="4" t="s">
        <v>25</v>
      </c>
      <c r="G767" s="4" t="s">
        <v>25</v>
      </c>
      <c r="H767" s="4" t="s">
        <v>25</v>
      </c>
      <c r="I767" s="5">
        <v>44531</v>
      </c>
      <c r="J767" s="6">
        <v>0</v>
      </c>
      <c r="K767" s="6">
        <v>0</v>
      </c>
      <c r="L767" s="6">
        <v>0.06</v>
      </c>
      <c r="M767" s="6">
        <v>-1.7999999999999999E-2</v>
      </c>
      <c r="N767" s="6">
        <v>0.06</v>
      </c>
      <c r="O767" s="6">
        <v>-1.7999999999999999E-2</v>
      </c>
      <c r="P767" s="6">
        <v>0</v>
      </c>
      <c r="Q767" s="4" t="s">
        <v>26</v>
      </c>
      <c r="R767" s="4">
        <v>0</v>
      </c>
      <c r="S767" s="4" t="s">
        <v>314</v>
      </c>
      <c r="T767" s="4" t="s">
        <v>536</v>
      </c>
      <c r="U767" s="4">
        <v>0</v>
      </c>
      <c r="V767" s="4">
        <v>39</v>
      </c>
      <c r="W767" s="4">
        <v>98</v>
      </c>
    </row>
    <row r="768" spans="1:23" ht="11.25" customHeight="1" x14ac:dyDescent="0.3">
      <c r="A768" s="4" t="s">
        <v>21</v>
      </c>
      <c r="B768" s="4" t="s">
        <v>22</v>
      </c>
      <c r="C768" s="4" t="s">
        <v>23</v>
      </c>
      <c r="D768" s="4" t="s">
        <v>24</v>
      </c>
      <c r="E768" s="4" t="s">
        <v>29</v>
      </c>
      <c r="F768" s="4" t="s">
        <v>25</v>
      </c>
      <c r="G768" s="4" t="s">
        <v>25</v>
      </c>
      <c r="H768" s="4" t="s">
        <v>25</v>
      </c>
      <c r="I768" s="5">
        <v>44562</v>
      </c>
      <c r="J768" s="6">
        <v>0</v>
      </c>
      <c r="K768" s="6">
        <v>0</v>
      </c>
      <c r="L768" s="6">
        <v>163.94200000000001</v>
      </c>
      <c r="M768" s="6">
        <v>163.94200000000001</v>
      </c>
      <c r="N768" s="6">
        <v>163.94200000000001</v>
      </c>
      <c r="O768" s="6">
        <v>163.94200000000001</v>
      </c>
      <c r="P768" s="6">
        <v>144</v>
      </c>
      <c r="Q768" s="4" t="s">
        <v>26</v>
      </c>
      <c r="R768" s="4">
        <v>0</v>
      </c>
      <c r="S768" s="4" t="s">
        <v>315</v>
      </c>
      <c r="T768" s="4" t="s">
        <v>537</v>
      </c>
      <c r="U768" s="4">
        <v>0</v>
      </c>
      <c r="V768" s="4">
        <v>39</v>
      </c>
      <c r="W768" s="4">
        <v>98</v>
      </c>
    </row>
    <row r="769" spans="1:23" ht="11.25" customHeight="1" x14ac:dyDescent="0.3">
      <c r="A769" s="4" t="s">
        <v>28</v>
      </c>
      <c r="B769" s="4" t="s">
        <v>22</v>
      </c>
      <c r="C769" s="4" t="s">
        <v>23</v>
      </c>
      <c r="D769" s="4" t="s">
        <v>24</v>
      </c>
      <c r="E769" s="4" t="s">
        <v>29</v>
      </c>
      <c r="F769" s="4" t="s">
        <v>25</v>
      </c>
      <c r="G769" s="4" t="s">
        <v>25</v>
      </c>
      <c r="H769" s="4" t="s">
        <v>25</v>
      </c>
      <c r="I769" s="5">
        <v>44562</v>
      </c>
      <c r="J769" s="6">
        <v>0</v>
      </c>
      <c r="K769" s="6">
        <v>0</v>
      </c>
      <c r="L769" s="6">
        <v>0.06</v>
      </c>
      <c r="M769" s="6">
        <v>-1.7999999999999999E-2</v>
      </c>
      <c r="N769" s="6">
        <v>0.06</v>
      </c>
      <c r="O769" s="6">
        <v>-1.7999999999999999E-2</v>
      </c>
      <c r="P769" s="6">
        <v>0</v>
      </c>
      <c r="Q769" s="4" t="s">
        <v>26</v>
      </c>
      <c r="R769" s="4">
        <v>0</v>
      </c>
      <c r="S769" s="4" t="s">
        <v>315</v>
      </c>
      <c r="T769" s="4" t="s">
        <v>537</v>
      </c>
      <c r="U769" s="4">
        <v>0</v>
      </c>
      <c r="V769" s="4">
        <v>39</v>
      </c>
      <c r="W769" s="4">
        <v>98</v>
      </c>
    </row>
    <row r="770" spans="1:23" ht="11.25" customHeight="1" x14ac:dyDescent="0.3">
      <c r="A770" s="4" t="s">
        <v>21</v>
      </c>
      <c r="B770" s="4" t="s">
        <v>22</v>
      </c>
      <c r="C770" s="4" t="s">
        <v>23</v>
      </c>
      <c r="D770" s="4" t="s">
        <v>24</v>
      </c>
      <c r="E770" s="4" t="s">
        <v>29</v>
      </c>
      <c r="F770" s="4" t="s">
        <v>25</v>
      </c>
      <c r="G770" s="4" t="s">
        <v>25</v>
      </c>
      <c r="H770" s="4" t="s">
        <v>25</v>
      </c>
      <c r="I770" s="5">
        <v>44593</v>
      </c>
      <c r="J770" s="6">
        <v>0</v>
      </c>
      <c r="K770" s="6">
        <v>0</v>
      </c>
      <c r="L770" s="6">
        <v>182.23699999999999</v>
      </c>
      <c r="M770" s="6">
        <v>182.23699999999999</v>
      </c>
      <c r="N770" s="6">
        <v>182.23699999999999</v>
      </c>
      <c r="O770" s="6">
        <v>182.23699999999999</v>
      </c>
      <c r="P770" s="6">
        <v>196</v>
      </c>
      <c r="Q770" s="4" t="s">
        <v>26</v>
      </c>
      <c r="R770" s="4">
        <v>0</v>
      </c>
      <c r="S770" s="4" t="s">
        <v>316</v>
      </c>
      <c r="T770" s="4" t="s">
        <v>538</v>
      </c>
      <c r="U770" s="4">
        <v>0</v>
      </c>
      <c r="V770" s="4">
        <v>39</v>
      </c>
      <c r="W770" s="4">
        <v>98</v>
      </c>
    </row>
    <row r="771" spans="1:23" ht="11.25" customHeight="1" x14ac:dyDescent="0.3">
      <c r="A771" s="4" t="s">
        <v>28</v>
      </c>
      <c r="B771" s="4" t="s">
        <v>22</v>
      </c>
      <c r="C771" s="4" t="s">
        <v>23</v>
      </c>
      <c r="D771" s="4" t="s">
        <v>24</v>
      </c>
      <c r="E771" s="4" t="s">
        <v>29</v>
      </c>
      <c r="F771" s="4" t="s">
        <v>25</v>
      </c>
      <c r="G771" s="4" t="s">
        <v>25</v>
      </c>
      <c r="H771" s="4" t="s">
        <v>25</v>
      </c>
      <c r="I771" s="5">
        <v>44593</v>
      </c>
      <c r="J771" s="6">
        <v>0</v>
      </c>
      <c r="K771" s="6">
        <v>0</v>
      </c>
      <c r="L771" s="6">
        <v>0.06</v>
      </c>
      <c r="M771" s="6">
        <v>-1.7999999999999999E-2</v>
      </c>
      <c r="N771" s="6">
        <v>0.06</v>
      </c>
      <c r="O771" s="6">
        <v>-1.7999999999999999E-2</v>
      </c>
      <c r="P771" s="6">
        <v>0</v>
      </c>
      <c r="Q771" s="4" t="s">
        <v>26</v>
      </c>
      <c r="R771" s="4">
        <v>0</v>
      </c>
      <c r="S771" s="4" t="s">
        <v>316</v>
      </c>
      <c r="T771" s="4" t="s">
        <v>538</v>
      </c>
      <c r="U771" s="4">
        <v>0</v>
      </c>
      <c r="V771" s="4">
        <v>39</v>
      </c>
      <c r="W771" s="4">
        <v>98</v>
      </c>
    </row>
    <row r="772" spans="1:23" ht="11.25" customHeight="1" x14ac:dyDescent="0.3">
      <c r="A772" s="4" t="s">
        <v>21</v>
      </c>
      <c r="B772" s="4" t="s">
        <v>22</v>
      </c>
      <c r="C772" s="4" t="s">
        <v>23</v>
      </c>
      <c r="D772" s="4" t="s">
        <v>24</v>
      </c>
      <c r="E772" s="4" t="s">
        <v>29</v>
      </c>
      <c r="F772" s="4" t="s">
        <v>25</v>
      </c>
      <c r="G772" s="4" t="s">
        <v>25</v>
      </c>
      <c r="H772" s="4" t="s">
        <v>25</v>
      </c>
      <c r="I772" s="5">
        <v>44621</v>
      </c>
      <c r="J772" s="6">
        <v>0</v>
      </c>
      <c r="K772" s="6">
        <v>0</v>
      </c>
      <c r="L772" s="6">
        <v>188.01499999999999</v>
      </c>
      <c r="M772" s="6">
        <v>188.01499999999999</v>
      </c>
      <c r="N772" s="6">
        <v>188.01499999999999</v>
      </c>
      <c r="O772" s="6">
        <v>188.01499999999999</v>
      </c>
      <c r="P772" s="6">
        <v>182</v>
      </c>
      <c r="Q772" s="4" t="s">
        <v>26</v>
      </c>
      <c r="R772" s="4">
        <v>0</v>
      </c>
      <c r="S772" s="4" t="s">
        <v>317</v>
      </c>
      <c r="T772" s="4" t="s">
        <v>539</v>
      </c>
      <c r="U772" s="4">
        <v>0</v>
      </c>
      <c r="V772" s="4">
        <v>39</v>
      </c>
      <c r="W772" s="4">
        <v>98</v>
      </c>
    </row>
    <row r="773" spans="1:23" ht="11.25" customHeight="1" x14ac:dyDescent="0.3">
      <c r="A773" s="4" t="s">
        <v>28</v>
      </c>
      <c r="B773" s="4" t="s">
        <v>22</v>
      </c>
      <c r="C773" s="4" t="s">
        <v>23</v>
      </c>
      <c r="D773" s="4" t="s">
        <v>24</v>
      </c>
      <c r="E773" s="4" t="s">
        <v>29</v>
      </c>
      <c r="F773" s="4" t="s">
        <v>25</v>
      </c>
      <c r="G773" s="4" t="s">
        <v>25</v>
      </c>
      <c r="H773" s="4" t="s">
        <v>25</v>
      </c>
      <c r="I773" s="5">
        <v>44621</v>
      </c>
      <c r="J773" s="6">
        <v>0</v>
      </c>
      <c r="K773" s="6">
        <v>0</v>
      </c>
      <c r="L773" s="6">
        <v>0.06</v>
      </c>
      <c r="M773" s="6">
        <v>-1.7999999999999999E-2</v>
      </c>
      <c r="N773" s="6">
        <v>0.06</v>
      </c>
      <c r="O773" s="6">
        <v>-1.7999999999999999E-2</v>
      </c>
      <c r="P773" s="6">
        <v>0</v>
      </c>
      <c r="Q773" s="4" t="s">
        <v>26</v>
      </c>
      <c r="R773" s="4">
        <v>0</v>
      </c>
      <c r="S773" s="4" t="s">
        <v>317</v>
      </c>
      <c r="T773" s="4" t="s">
        <v>539</v>
      </c>
      <c r="U773" s="4">
        <v>0</v>
      </c>
      <c r="V773" s="4">
        <v>39</v>
      </c>
      <c r="W773" s="4">
        <v>98</v>
      </c>
    </row>
    <row r="774" spans="1:23" ht="11.25" customHeight="1" x14ac:dyDescent="0.3">
      <c r="A774" s="4" t="s">
        <v>21</v>
      </c>
      <c r="B774" s="4" t="s">
        <v>22</v>
      </c>
      <c r="C774" s="4" t="s">
        <v>23</v>
      </c>
      <c r="D774" s="4" t="s">
        <v>24</v>
      </c>
      <c r="E774" s="4" t="s">
        <v>29</v>
      </c>
      <c r="F774" s="4" t="s">
        <v>25</v>
      </c>
      <c r="G774" s="4" t="s">
        <v>25</v>
      </c>
      <c r="H774" s="4" t="s">
        <v>25</v>
      </c>
      <c r="I774" s="5">
        <v>44652</v>
      </c>
      <c r="J774" s="6">
        <v>0</v>
      </c>
      <c r="K774" s="6">
        <v>0</v>
      </c>
      <c r="L774" s="6">
        <v>189.18700000000001</v>
      </c>
      <c r="M774" s="6">
        <v>189.18700000000001</v>
      </c>
      <c r="N774" s="6">
        <v>189.18700000000001</v>
      </c>
      <c r="O774" s="6">
        <v>189.18700000000001</v>
      </c>
      <c r="P774" s="6">
        <v>195</v>
      </c>
      <c r="Q774" s="4" t="s">
        <v>26</v>
      </c>
      <c r="R774" s="4">
        <v>0</v>
      </c>
      <c r="S774" s="4" t="s">
        <v>318</v>
      </c>
      <c r="T774" s="4" t="s">
        <v>540</v>
      </c>
      <c r="U774" s="4">
        <v>0</v>
      </c>
      <c r="V774" s="4">
        <v>39</v>
      </c>
      <c r="W774" s="4">
        <v>98</v>
      </c>
    </row>
    <row r="775" spans="1:23" ht="11.25" customHeight="1" x14ac:dyDescent="0.3">
      <c r="A775" s="4" t="s">
        <v>27</v>
      </c>
      <c r="B775" s="4" t="s">
        <v>22</v>
      </c>
      <c r="C775" s="4" t="s">
        <v>23</v>
      </c>
      <c r="D775" s="4" t="s">
        <v>24</v>
      </c>
      <c r="E775" s="4" t="s">
        <v>29</v>
      </c>
      <c r="F775" s="4" t="s">
        <v>25</v>
      </c>
      <c r="G775" s="4" t="s">
        <v>25</v>
      </c>
      <c r="H775" s="4" t="s">
        <v>25</v>
      </c>
      <c r="I775" s="5">
        <v>44652</v>
      </c>
      <c r="J775" s="6">
        <v>0</v>
      </c>
      <c r="K775" s="6">
        <v>0</v>
      </c>
      <c r="L775" s="6">
        <v>0.09</v>
      </c>
      <c r="M775" s="6">
        <v>0.09</v>
      </c>
      <c r="N775" s="6">
        <v>0.09</v>
      </c>
      <c r="O775" s="6">
        <v>0.09</v>
      </c>
      <c r="P775" s="6">
        <v>0</v>
      </c>
      <c r="Q775" s="4" t="s">
        <v>26</v>
      </c>
      <c r="R775" s="4">
        <v>0</v>
      </c>
      <c r="S775" s="4" t="s">
        <v>318</v>
      </c>
      <c r="T775" s="4" t="s">
        <v>540</v>
      </c>
      <c r="U775" s="4">
        <v>0</v>
      </c>
      <c r="V775" s="4">
        <v>39</v>
      </c>
      <c r="W775" s="4">
        <v>98</v>
      </c>
    </row>
    <row r="776" spans="1:23" ht="11.25" customHeight="1" x14ac:dyDescent="0.3">
      <c r="A776" s="4" t="s">
        <v>28</v>
      </c>
      <c r="B776" s="4" t="s">
        <v>22</v>
      </c>
      <c r="C776" s="4" t="s">
        <v>23</v>
      </c>
      <c r="D776" s="4" t="s">
        <v>24</v>
      </c>
      <c r="E776" s="4" t="s">
        <v>29</v>
      </c>
      <c r="F776" s="4" t="s">
        <v>25</v>
      </c>
      <c r="G776" s="4" t="s">
        <v>25</v>
      </c>
      <c r="H776" s="4" t="s">
        <v>25</v>
      </c>
      <c r="I776" s="5">
        <v>44652</v>
      </c>
      <c r="J776" s="6">
        <v>0</v>
      </c>
      <c r="K776" s="6">
        <v>0</v>
      </c>
      <c r="L776" s="6">
        <v>0.03</v>
      </c>
      <c r="M776" s="6">
        <v>-8.9999999999999993E-3</v>
      </c>
      <c r="N776" s="6">
        <v>0.03</v>
      </c>
      <c r="O776" s="6">
        <v>-8.9999999999999993E-3</v>
      </c>
      <c r="P776" s="6">
        <v>0</v>
      </c>
      <c r="Q776" s="4" t="s">
        <v>26</v>
      </c>
      <c r="R776" s="4">
        <v>0</v>
      </c>
      <c r="S776" s="4" t="s">
        <v>318</v>
      </c>
      <c r="T776" s="4" t="s">
        <v>540</v>
      </c>
      <c r="U776" s="4">
        <v>0</v>
      </c>
      <c r="V776" s="4">
        <v>39</v>
      </c>
      <c r="W776" s="4">
        <v>98</v>
      </c>
    </row>
    <row r="777" spans="1:23" ht="11.25" customHeight="1" x14ac:dyDescent="0.3">
      <c r="A777" s="4" t="s">
        <v>21</v>
      </c>
      <c r="B777" s="4" t="s">
        <v>22</v>
      </c>
      <c r="C777" s="4" t="s">
        <v>23</v>
      </c>
      <c r="D777" s="4" t="s">
        <v>24</v>
      </c>
      <c r="E777" s="4" t="s">
        <v>29</v>
      </c>
      <c r="F777" s="4" t="s">
        <v>25</v>
      </c>
      <c r="G777" s="4" t="s">
        <v>25</v>
      </c>
      <c r="H777" s="4" t="s">
        <v>25</v>
      </c>
      <c r="I777" s="5">
        <v>44682</v>
      </c>
      <c r="J777" s="6">
        <v>0</v>
      </c>
      <c r="K777" s="6">
        <v>0</v>
      </c>
      <c r="L777" s="6">
        <v>193.66300000000001</v>
      </c>
      <c r="M777" s="6">
        <v>193.66300000000001</v>
      </c>
      <c r="N777" s="6">
        <v>193.66300000000001</v>
      </c>
      <c r="O777" s="6">
        <v>193.66300000000001</v>
      </c>
      <c r="P777" s="6">
        <v>213</v>
      </c>
      <c r="Q777" s="4" t="s">
        <v>26</v>
      </c>
      <c r="R777" s="4">
        <v>0</v>
      </c>
      <c r="S777" s="4" t="s">
        <v>319</v>
      </c>
      <c r="T777" s="4" t="s">
        <v>541</v>
      </c>
      <c r="U777" s="4">
        <v>0</v>
      </c>
      <c r="V777" s="4">
        <v>39</v>
      </c>
      <c r="W777" s="4">
        <v>98</v>
      </c>
    </row>
    <row r="778" spans="1:23" ht="11.25" customHeight="1" x14ac:dyDescent="0.3">
      <c r="A778" s="4" t="s">
        <v>28</v>
      </c>
      <c r="B778" s="4" t="s">
        <v>22</v>
      </c>
      <c r="C778" s="4" t="s">
        <v>23</v>
      </c>
      <c r="D778" s="4" t="s">
        <v>24</v>
      </c>
      <c r="E778" s="4" t="s">
        <v>29</v>
      </c>
      <c r="F778" s="4" t="s">
        <v>25</v>
      </c>
      <c r="G778" s="4" t="s">
        <v>25</v>
      </c>
      <c r="H778" s="4" t="s">
        <v>25</v>
      </c>
      <c r="I778" s="5">
        <v>44682</v>
      </c>
      <c r="J778" s="6">
        <v>0</v>
      </c>
      <c r="K778" s="6">
        <v>0</v>
      </c>
      <c r="L778" s="6">
        <v>5.0999999999999997E-2</v>
      </c>
      <c r="M778" s="6">
        <v>-1.5299999999999999E-2</v>
      </c>
      <c r="N778" s="6">
        <v>5.0999999999999997E-2</v>
      </c>
      <c r="O778" s="6">
        <v>-1.5299999999999999E-2</v>
      </c>
      <c r="P778" s="6">
        <v>0</v>
      </c>
      <c r="Q778" s="4" t="s">
        <v>26</v>
      </c>
      <c r="R778" s="4">
        <v>0</v>
      </c>
      <c r="S778" s="4" t="s">
        <v>319</v>
      </c>
      <c r="T778" s="4" t="s">
        <v>541</v>
      </c>
      <c r="U778" s="4">
        <v>0</v>
      </c>
      <c r="V778" s="4">
        <v>39</v>
      </c>
      <c r="W778" s="4">
        <v>98</v>
      </c>
    </row>
    <row r="779" spans="1:23" ht="11.25" customHeight="1" x14ac:dyDescent="0.3">
      <c r="A779" s="4" t="s">
        <v>21</v>
      </c>
      <c r="B779" s="4" t="s">
        <v>22</v>
      </c>
      <c r="C779" s="4" t="s">
        <v>23</v>
      </c>
      <c r="D779" s="4" t="s">
        <v>24</v>
      </c>
      <c r="E779" s="4" t="s">
        <v>29</v>
      </c>
      <c r="F779" s="4" t="s">
        <v>25</v>
      </c>
      <c r="G779" s="4" t="s">
        <v>25</v>
      </c>
      <c r="H779" s="4" t="s">
        <v>25</v>
      </c>
      <c r="I779" s="5">
        <v>44713</v>
      </c>
      <c r="J779" s="6">
        <v>0</v>
      </c>
      <c r="K779" s="6">
        <v>0</v>
      </c>
      <c r="L779" s="6">
        <v>187.27</v>
      </c>
      <c r="M779" s="6">
        <v>187.27</v>
      </c>
      <c r="N779" s="6">
        <v>187.27</v>
      </c>
      <c r="O779" s="6">
        <v>187.27</v>
      </c>
      <c r="P779" s="6">
        <v>228</v>
      </c>
      <c r="Q779" s="4" t="s">
        <v>26</v>
      </c>
      <c r="R779" s="4">
        <v>0</v>
      </c>
      <c r="S779" s="4" t="s">
        <v>320</v>
      </c>
      <c r="T779" s="4" t="s">
        <v>542</v>
      </c>
      <c r="U779" s="4">
        <v>0</v>
      </c>
      <c r="V779" s="4">
        <v>39</v>
      </c>
      <c r="W779" s="4">
        <v>98</v>
      </c>
    </row>
    <row r="780" spans="1:23" ht="11.25" customHeight="1" x14ac:dyDescent="0.3">
      <c r="A780" s="4" t="s">
        <v>28</v>
      </c>
      <c r="B780" s="4" t="s">
        <v>22</v>
      </c>
      <c r="C780" s="4" t="s">
        <v>23</v>
      </c>
      <c r="D780" s="4" t="s">
        <v>24</v>
      </c>
      <c r="E780" s="4" t="s">
        <v>29</v>
      </c>
      <c r="F780" s="4" t="s">
        <v>25</v>
      </c>
      <c r="G780" s="4" t="s">
        <v>25</v>
      </c>
      <c r="H780" s="4" t="s">
        <v>25</v>
      </c>
      <c r="I780" s="5">
        <v>44713</v>
      </c>
      <c r="J780" s="6">
        <v>0</v>
      </c>
      <c r="K780" s="6">
        <v>0</v>
      </c>
      <c r="L780" s="6">
        <v>2.5999999999999999E-2</v>
      </c>
      <c r="M780" s="6">
        <v>-7.7999999999999996E-3</v>
      </c>
      <c r="N780" s="6">
        <v>2.5999999999999999E-2</v>
      </c>
      <c r="O780" s="6">
        <v>-7.7999999999999996E-3</v>
      </c>
      <c r="P780" s="6">
        <v>0</v>
      </c>
      <c r="Q780" s="4" t="s">
        <v>26</v>
      </c>
      <c r="R780" s="4">
        <v>0</v>
      </c>
      <c r="S780" s="4" t="s">
        <v>320</v>
      </c>
      <c r="T780" s="4" t="s">
        <v>542</v>
      </c>
      <c r="U780" s="4">
        <v>0</v>
      </c>
      <c r="V780" s="4">
        <v>39</v>
      </c>
      <c r="W780" s="4">
        <v>98</v>
      </c>
    </row>
    <row r="781" spans="1:23" ht="11.25" customHeight="1" x14ac:dyDescent="0.3">
      <c r="A781" s="4" t="s">
        <v>21</v>
      </c>
      <c r="B781" s="4" t="s">
        <v>22</v>
      </c>
      <c r="C781" s="4" t="s">
        <v>23</v>
      </c>
      <c r="D781" s="4" t="s">
        <v>24</v>
      </c>
      <c r="E781" s="4" t="s">
        <v>29</v>
      </c>
      <c r="F781" s="4" t="s">
        <v>25</v>
      </c>
      <c r="G781" s="4" t="s">
        <v>25</v>
      </c>
      <c r="H781" s="4" t="s">
        <v>25</v>
      </c>
      <c r="I781" s="5">
        <v>44743</v>
      </c>
      <c r="J781" s="6">
        <v>0</v>
      </c>
      <c r="K781" s="6">
        <v>0</v>
      </c>
      <c r="L781" s="6">
        <v>177.684</v>
      </c>
      <c r="M781" s="6">
        <v>177.684</v>
      </c>
      <c r="N781" s="6">
        <v>177.684</v>
      </c>
      <c r="O781" s="6">
        <v>177.684</v>
      </c>
      <c r="P781" s="6">
        <v>231</v>
      </c>
      <c r="Q781" s="4" t="s">
        <v>26</v>
      </c>
      <c r="R781" s="4">
        <v>0</v>
      </c>
      <c r="S781" s="4" t="s">
        <v>321</v>
      </c>
      <c r="T781" s="4" t="s">
        <v>543</v>
      </c>
      <c r="U781" s="4">
        <v>0</v>
      </c>
      <c r="V781" s="4">
        <v>39</v>
      </c>
      <c r="W781" s="4">
        <v>98</v>
      </c>
    </row>
    <row r="782" spans="1:23" ht="11.25" customHeight="1" x14ac:dyDescent="0.3">
      <c r="A782" s="4" t="s">
        <v>21</v>
      </c>
      <c r="B782" s="4" t="s">
        <v>22</v>
      </c>
      <c r="C782" s="4" t="s">
        <v>23</v>
      </c>
      <c r="D782" s="4" t="s">
        <v>24</v>
      </c>
      <c r="E782" s="4" t="s">
        <v>29</v>
      </c>
      <c r="F782" s="4" t="s">
        <v>25</v>
      </c>
      <c r="G782" s="4" t="s">
        <v>25</v>
      </c>
      <c r="H782" s="4" t="s">
        <v>25</v>
      </c>
      <c r="I782" s="5">
        <v>44774</v>
      </c>
      <c r="J782" s="6">
        <v>0</v>
      </c>
      <c r="K782" s="6">
        <v>0</v>
      </c>
      <c r="L782" s="6">
        <v>183.559</v>
      </c>
      <c r="M782" s="6">
        <v>183.559</v>
      </c>
      <c r="N782" s="6">
        <v>183.559</v>
      </c>
      <c r="O782" s="6">
        <v>183.559</v>
      </c>
      <c r="P782" s="6">
        <v>233</v>
      </c>
      <c r="Q782" s="4" t="s">
        <v>26</v>
      </c>
      <c r="R782" s="4">
        <v>0</v>
      </c>
      <c r="S782" s="4" t="s">
        <v>322</v>
      </c>
      <c r="T782" s="4" t="s">
        <v>544</v>
      </c>
      <c r="U782" s="4">
        <v>0</v>
      </c>
      <c r="V782" s="4">
        <v>39</v>
      </c>
      <c r="W782" s="4">
        <v>98</v>
      </c>
    </row>
    <row r="783" spans="1:23" ht="11.25" customHeight="1" x14ac:dyDescent="0.3">
      <c r="A783" s="4" t="s">
        <v>27</v>
      </c>
      <c r="B783" s="4" t="s">
        <v>22</v>
      </c>
      <c r="C783" s="4" t="s">
        <v>23</v>
      </c>
      <c r="D783" s="4" t="s">
        <v>24</v>
      </c>
      <c r="E783" s="4" t="s">
        <v>29</v>
      </c>
      <c r="F783" s="4" t="s">
        <v>25</v>
      </c>
      <c r="G783" s="4" t="s">
        <v>25</v>
      </c>
      <c r="H783" s="4" t="s">
        <v>25</v>
      </c>
      <c r="I783" s="5">
        <v>44774</v>
      </c>
      <c r="J783" s="6">
        <v>0</v>
      </c>
      <c r="K783" s="6">
        <v>0</v>
      </c>
      <c r="L783" s="6">
        <v>-0.03</v>
      </c>
      <c r="M783" s="6">
        <v>-0.03</v>
      </c>
      <c r="N783" s="6">
        <v>-0.03</v>
      </c>
      <c r="O783" s="6">
        <v>-0.03</v>
      </c>
      <c r="P783" s="6">
        <v>0</v>
      </c>
      <c r="Q783" s="4" t="s">
        <v>26</v>
      </c>
      <c r="R783" s="4">
        <v>0</v>
      </c>
      <c r="S783" s="4" t="s">
        <v>322</v>
      </c>
      <c r="T783" s="4" t="s">
        <v>544</v>
      </c>
      <c r="U783" s="4">
        <v>0</v>
      </c>
      <c r="V783" s="4">
        <v>39</v>
      </c>
      <c r="W783" s="4">
        <v>98</v>
      </c>
    </row>
    <row r="784" spans="1:23" ht="11.25" customHeight="1" x14ac:dyDescent="0.3">
      <c r="A784" s="4" t="s">
        <v>28</v>
      </c>
      <c r="B784" s="4" t="s">
        <v>22</v>
      </c>
      <c r="C784" s="4" t="s">
        <v>23</v>
      </c>
      <c r="D784" s="4" t="s">
        <v>24</v>
      </c>
      <c r="E784" s="4" t="s">
        <v>29</v>
      </c>
      <c r="F784" s="4" t="s">
        <v>25</v>
      </c>
      <c r="G784" s="4" t="s">
        <v>25</v>
      </c>
      <c r="H784" s="4" t="s">
        <v>25</v>
      </c>
      <c r="I784" s="5">
        <v>44774</v>
      </c>
      <c r="J784" s="6">
        <v>0</v>
      </c>
      <c r="K784" s="6">
        <v>0</v>
      </c>
      <c r="L784" s="6">
        <v>1.7000000000000001E-2</v>
      </c>
      <c r="M784" s="6">
        <v>5.9500000000000004E-3</v>
      </c>
      <c r="N784" s="6">
        <v>1.7000000000000001E-2</v>
      </c>
      <c r="O784" s="6">
        <v>5.9500000000000004E-3</v>
      </c>
      <c r="P784" s="6">
        <v>0</v>
      </c>
      <c r="Q784" s="4" t="s">
        <v>26</v>
      </c>
      <c r="R784" s="4">
        <v>0</v>
      </c>
      <c r="S784" s="4" t="s">
        <v>322</v>
      </c>
      <c r="T784" s="4" t="s">
        <v>544</v>
      </c>
      <c r="U784" s="4">
        <v>0</v>
      </c>
      <c r="V784" s="4">
        <v>39</v>
      </c>
      <c r="W784" s="4">
        <v>98</v>
      </c>
    </row>
    <row r="785" spans="1:23" ht="11.25" customHeight="1" x14ac:dyDescent="0.3">
      <c r="A785" s="4" t="s">
        <v>21</v>
      </c>
      <c r="B785" s="4" t="s">
        <v>22</v>
      </c>
      <c r="C785" s="4" t="s">
        <v>23</v>
      </c>
      <c r="D785" s="4" t="s">
        <v>24</v>
      </c>
      <c r="E785" s="4" t="s">
        <v>29</v>
      </c>
      <c r="F785" s="4" t="s">
        <v>25</v>
      </c>
      <c r="G785" s="4" t="s">
        <v>25</v>
      </c>
      <c r="H785" s="4" t="s">
        <v>25</v>
      </c>
      <c r="I785" s="5">
        <v>44805</v>
      </c>
      <c r="J785" s="6">
        <v>0</v>
      </c>
      <c r="K785" s="6">
        <v>0</v>
      </c>
      <c r="L785" s="6">
        <v>183.197</v>
      </c>
      <c r="M785" s="6">
        <v>183.197</v>
      </c>
      <c r="N785" s="6">
        <v>183.197</v>
      </c>
      <c r="O785" s="6">
        <v>183.197</v>
      </c>
      <c r="P785" s="6">
        <v>202</v>
      </c>
      <c r="Q785" s="4" t="s">
        <v>26</v>
      </c>
      <c r="R785" s="4">
        <v>0</v>
      </c>
      <c r="S785" s="4" t="s">
        <v>323</v>
      </c>
      <c r="T785" s="4" t="s">
        <v>545</v>
      </c>
      <c r="U785" s="4">
        <v>0</v>
      </c>
      <c r="V785" s="4">
        <v>39</v>
      </c>
      <c r="W785" s="4">
        <v>98</v>
      </c>
    </row>
    <row r="786" spans="1:23" ht="11.25" customHeight="1" x14ac:dyDescent="0.3">
      <c r="A786" s="4" t="s">
        <v>27</v>
      </c>
      <c r="B786" s="4" t="s">
        <v>22</v>
      </c>
      <c r="C786" s="4" t="s">
        <v>23</v>
      </c>
      <c r="D786" s="4" t="s">
        <v>24</v>
      </c>
      <c r="E786" s="4" t="s">
        <v>29</v>
      </c>
      <c r="F786" s="4" t="s">
        <v>25</v>
      </c>
      <c r="G786" s="4" t="s">
        <v>25</v>
      </c>
      <c r="H786" s="4" t="s">
        <v>25</v>
      </c>
      <c r="I786" s="5">
        <v>44805</v>
      </c>
      <c r="J786" s="6">
        <v>0</v>
      </c>
      <c r="K786" s="6">
        <v>0</v>
      </c>
      <c r="L786" s="6">
        <v>-0.06</v>
      </c>
      <c r="M786" s="6">
        <v>-0.06</v>
      </c>
      <c r="N786" s="6">
        <v>-0.06</v>
      </c>
      <c r="O786" s="6">
        <v>-0.06</v>
      </c>
      <c r="P786" s="6">
        <v>0</v>
      </c>
      <c r="Q786" s="4" t="s">
        <v>26</v>
      </c>
      <c r="R786" s="4">
        <v>0</v>
      </c>
      <c r="S786" s="4" t="s">
        <v>323</v>
      </c>
      <c r="T786" s="4" t="s">
        <v>545</v>
      </c>
      <c r="U786" s="4">
        <v>0</v>
      </c>
      <c r="V786" s="4">
        <v>39</v>
      </c>
      <c r="W786" s="4">
        <v>98</v>
      </c>
    </row>
    <row r="787" spans="1:23" ht="11.25" customHeight="1" x14ac:dyDescent="0.3">
      <c r="A787" s="4" t="s">
        <v>28</v>
      </c>
      <c r="B787" s="4" t="s">
        <v>22</v>
      </c>
      <c r="C787" s="4" t="s">
        <v>23</v>
      </c>
      <c r="D787" s="4" t="s">
        <v>24</v>
      </c>
      <c r="E787" s="4" t="s">
        <v>29</v>
      </c>
      <c r="F787" s="4" t="s">
        <v>25</v>
      </c>
      <c r="G787" s="4" t="s">
        <v>25</v>
      </c>
      <c r="H787" s="4" t="s">
        <v>25</v>
      </c>
      <c r="I787" s="5">
        <v>44805</v>
      </c>
      <c r="J787" s="6">
        <v>0</v>
      </c>
      <c r="K787" s="6">
        <v>0</v>
      </c>
      <c r="L787" s="6">
        <v>3.5000000000000003E-2</v>
      </c>
      <c r="M787" s="6">
        <v>1.225E-2</v>
      </c>
      <c r="N787" s="6">
        <v>3.5000000000000003E-2</v>
      </c>
      <c r="O787" s="6">
        <v>1.225E-2</v>
      </c>
      <c r="P787" s="6">
        <v>0</v>
      </c>
      <c r="Q787" s="4" t="s">
        <v>26</v>
      </c>
      <c r="R787" s="4">
        <v>0</v>
      </c>
      <c r="S787" s="4" t="s">
        <v>323</v>
      </c>
      <c r="T787" s="4" t="s">
        <v>545</v>
      </c>
      <c r="U787" s="4">
        <v>0</v>
      </c>
      <c r="V787" s="4">
        <v>39</v>
      </c>
      <c r="W787" s="4">
        <v>98</v>
      </c>
    </row>
    <row r="788" spans="1:23" ht="11.25" customHeight="1" x14ac:dyDescent="0.3">
      <c r="A788" s="4" t="s">
        <v>53</v>
      </c>
      <c r="B788" s="4" t="s">
        <v>22</v>
      </c>
      <c r="C788" s="4" t="s">
        <v>23</v>
      </c>
      <c r="D788" s="4" t="s">
        <v>24</v>
      </c>
      <c r="E788" s="4" t="s">
        <v>29</v>
      </c>
      <c r="F788" s="4" t="s">
        <v>25</v>
      </c>
      <c r="G788" s="4" t="s">
        <v>25</v>
      </c>
      <c r="H788" s="4" t="s">
        <v>25</v>
      </c>
      <c r="I788" s="5">
        <v>44835</v>
      </c>
      <c r="J788" s="6">
        <v>0</v>
      </c>
      <c r="K788" s="6">
        <v>0</v>
      </c>
      <c r="L788" s="6">
        <v>183.197</v>
      </c>
      <c r="M788" s="6">
        <v>183.197</v>
      </c>
      <c r="N788" s="6">
        <v>183.197</v>
      </c>
      <c r="O788" s="6">
        <v>183.197</v>
      </c>
      <c r="P788" s="6">
        <v>202</v>
      </c>
      <c r="Q788" s="4" t="s">
        <v>26</v>
      </c>
      <c r="R788" s="4">
        <v>0</v>
      </c>
      <c r="S788" s="4" t="s">
        <v>324</v>
      </c>
      <c r="T788" s="4" t="s">
        <v>546</v>
      </c>
      <c r="U788" s="4">
        <v>0</v>
      </c>
      <c r="V788" s="4">
        <v>39</v>
      </c>
      <c r="W788" s="4">
        <v>98</v>
      </c>
    </row>
    <row r="789" spans="1:23" ht="11.25" customHeight="1" x14ac:dyDescent="0.3">
      <c r="A789" s="4" t="s">
        <v>53</v>
      </c>
      <c r="B789" s="4" t="s">
        <v>22</v>
      </c>
      <c r="C789" s="4" t="s">
        <v>23</v>
      </c>
      <c r="D789" s="4" t="s">
        <v>24</v>
      </c>
      <c r="E789" s="4" t="s">
        <v>29</v>
      </c>
      <c r="F789" s="4" t="s">
        <v>25</v>
      </c>
      <c r="G789" s="4" t="s">
        <v>25</v>
      </c>
      <c r="H789" s="4" t="s">
        <v>25</v>
      </c>
      <c r="I789" s="5">
        <v>44835</v>
      </c>
      <c r="J789" s="6">
        <v>0</v>
      </c>
      <c r="K789" s="6">
        <v>0</v>
      </c>
      <c r="L789" s="6">
        <v>-0.06</v>
      </c>
      <c r="M789" s="6">
        <v>-0.06</v>
      </c>
      <c r="N789" s="6">
        <v>-0.06</v>
      </c>
      <c r="O789" s="6">
        <v>-0.06</v>
      </c>
      <c r="P789" s="6">
        <v>0</v>
      </c>
      <c r="Q789" s="4" t="s">
        <v>26</v>
      </c>
      <c r="R789" s="4">
        <v>0</v>
      </c>
      <c r="S789" s="4" t="s">
        <v>324</v>
      </c>
      <c r="T789" s="4" t="s">
        <v>546</v>
      </c>
      <c r="U789" s="4">
        <v>0</v>
      </c>
      <c r="V789" s="4">
        <v>39</v>
      </c>
      <c r="W789" s="4">
        <v>98</v>
      </c>
    </row>
    <row r="790" spans="1:23" ht="11.25" customHeight="1" x14ac:dyDescent="0.3">
      <c r="A790" s="4" t="s">
        <v>53</v>
      </c>
      <c r="B790" s="4" t="s">
        <v>22</v>
      </c>
      <c r="C790" s="4" t="s">
        <v>23</v>
      </c>
      <c r="D790" s="4" t="s">
        <v>24</v>
      </c>
      <c r="E790" s="4" t="s">
        <v>29</v>
      </c>
      <c r="F790" s="4" t="s">
        <v>25</v>
      </c>
      <c r="G790" s="4" t="s">
        <v>25</v>
      </c>
      <c r="H790" s="4" t="s">
        <v>25</v>
      </c>
      <c r="I790" s="5">
        <v>44835</v>
      </c>
      <c r="J790" s="6">
        <v>0</v>
      </c>
      <c r="K790" s="6">
        <v>0</v>
      </c>
      <c r="L790" s="6">
        <v>3.5000000000000003E-2</v>
      </c>
      <c r="M790" s="6">
        <v>1.225E-2</v>
      </c>
      <c r="N790" s="6">
        <v>3.5000000000000003E-2</v>
      </c>
      <c r="O790" s="6">
        <v>1.225E-2</v>
      </c>
      <c r="P790" s="6">
        <v>0</v>
      </c>
      <c r="Q790" s="4" t="s">
        <v>26</v>
      </c>
      <c r="R790" s="4">
        <v>0</v>
      </c>
      <c r="S790" s="4" t="s">
        <v>324</v>
      </c>
      <c r="T790" s="4" t="s">
        <v>546</v>
      </c>
      <c r="U790" s="4">
        <v>0</v>
      </c>
      <c r="V790" s="4">
        <v>39</v>
      </c>
      <c r="W790" s="4">
        <v>98</v>
      </c>
    </row>
    <row r="791" spans="1:23" ht="11.25" customHeight="1" x14ac:dyDescent="0.3">
      <c r="A791" s="4" t="s">
        <v>21</v>
      </c>
      <c r="B791" s="4" t="s">
        <v>22</v>
      </c>
      <c r="C791" s="4" t="s">
        <v>23</v>
      </c>
      <c r="D791" s="4" t="s">
        <v>24</v>
      </c>
      <c r="E791" s="4" t="s">
        <v>30</v>
      </c>
      <c r="F791" s="4" t="s">
        <v>25</v>
      </c>
      <c r="G791" s="4" t="s">
        <v>25</v>
      </c>
      <c r="H791" s="4" t="s">
        <v>25</v>
      </c>
      <c r="I791" s="5">
        <v>44501</v>
      </c>
      <c r="J791" s="6">
        <v>0</v>
      </c>
      <c r="K791" s="6">
        <v>0</v>
      </c>
      <c r="L791" s="6">
        <v>327.26100000000002</v>
      </c>
      <c r="M791" s="6">
        <v>327.26100000000002</v>
      </c>
      <c r="N791" s="6">
        <v>327.26100000000002</v>
      </c>
      <c r="O791" s="6">
        <v>327.26100000000002</v>
      </c>
      <c r="P791" s="6">
        <v>1478</v>
      </c>
      <c r="Q791" s="4" t="s">
        <v>26</v>
      </c>
      <c r="R791" s="4">
        <v>0</v>
      </c>
      <c r="S791" s="4" t="s">
        <v>325</v>
      </c>
      <c r="T791" s="4" t="s">
        <v>547</v>
      </c>
      <c r="U791" s="4">
        <v>0</v>
      </c>
      <c r="V791" s="4">
        <v>34</v>
      </c>
      <c r="W791" s="4">
        <v>75</v>
      </c>
    </row>
    <row r="792" spans="1:23" ht="11.25" customHeight="1" x14ac:dyDescent="0.3">
      <c r="A792" s="4" t="s">
        <v>27</v>
      </c>
      <c r="B792" s="4" t="s">
        <v>22</v>
      </c>
      <c r="C792" s="4" t="s">
        <v>23</v>
      </c>
      <c r="D792" s="4" t="s">
        <v>24</v>
      </c>
      <c r="E792" s="4" t="s">
        <v>30</v>
      </c>
      <c r="F792" s="4" t="s">
        <v>25</v>
      </c>
      <c r="G792" s="4" t="s">
        <v>25</v>
      </c>
      <c r="H792" s="4" t="s">
        <v>25</v>
      </c>
      <c r="I792" s="5">
        <v>44501</v>
      </c>
      <c r="J792" s="6">
        <v>0</v>
      </c>
      <c r="K792" s="6">
        <v>0</v>
      </c>
      <c r="L792" s="6">
        <v>-0.11600000000000001</v>
      </c>
      <c r="M792" s="6">
        <v>-0.11600000000000001</v>
      </c>
      <c r="N792" s="6">
        <v>-0.11600000000000001</v>
      </c>
      <c r="O792" s="6">
        <v>-0.11600000000000001</v>
      </c>
      <c r="P792" s="6">
        <v>0</v>
      </c>
      <c r="Q792" s="4" t="s">
        <v>26</v>
      </c>
      <c r="R792" s="4">
        <v>0</v>
      </c>
      <c r="S792" s="4" t="s">
        <v>325</v>
      </c>
      <c r="T792" s="4" t="s">
        <v>547</v>
      </c>
      <c r="U792" s="4">
        <v>0</v>
      </c>
      <c r="V792" s="4">
        <v>34</v>
      </c>
      <c r="W792" s="4">
        <v>75</v>
      </c>
    </row>
    <row r="793" spans="1:23" ht="11.25" customHeight="1" x14ac:dyDescent="0.3">
      <c r="A793" s="4" t="s">
        <v>28</v>
      </c>
      <c r="B793" s="4" t="s">
        <v>22</v>
      </c>
      <c r="C793" s="4" t="s">
        <v>23</v>
      </c>
      <c r="D793" s="4" t="s">
        <v>24</v>
      </c>
      <c r="E793" s="4" t="s">
        <v>30</v>
      </c>
      <c r="F793" s="4" t="s">
        <v>25</v>
      </c>
      <c r="G793" s="4" t="s">
        <v>25</v>
      </c>
      <c r="H793" s="4" t="s">
        <v>25</v>
      </c>
      <c r="I793" s="5">
        <v>44501</v>
      </c>
      <c r="J793" s="6">
        <v>0</v>
      </c>
      <c r="K793" s="6">
        <v>0</v>
      </c>
      <c r="L793" s="6">
        <v>0.1</v>
      </c>
      <c r="M793" s="6">
        <v>0.02</v>
      </c>
      <c r="N793" s="6">
        <v>0.1</v>
      </c>
      <c r="O793" s="6">
        <v>0.02</v>
      </c>
      <c r="P793" s="6">
        <v>1</v>
      </c>
      <c r="Q793" s="4" t="s">
        <v>26</v>
      </c>
      <c r="R793" s="4">
        <v>0</v>
      </c>
      <c r="S793" s="4" t="s">
        <v>325</v>
      </c>
      <c r="T793" s="4" t="s">
        <v>547</v>
      </c>
      <c r="U793" s="4">
        <v>0</v>
      </c>
      <c r="V793" s="4">
        <v>34</v>
      </c>
      <c r="W793" s="4">
        <v>75</v>
      </c>
    </row>
    <row r="794" spans="1:23" ht="11.25" customHeight="1" x14ac:dyDescent="0.3">
      <c r="A794" s="4" t="s">
        <v>21</v>
      </c>
      <c r="B794" s="4" t="s">
        <v>22</v>
      </c>
      <c r="C794" s="4" t="s">
        <v>23</v>
      </c>
      <c r="D794" s="4" t="s">
        <v>24</v>
      </c>
      <c r="E794" s="4" t="s">
        <v>30</v>
      </c>
      <c r="F794" s="4" t="s">
        <v>25</v>
      </c>
      <c r="G794" s="4" t="s">
        <v>25</v>
      </c>
      <c r="H794" s="4" t="s">
        <v>25</v>
      </c>
      <c r="I794" s="5">
        <v>44531</v>
      </c>
      <c r="J794" s="6">
        <v>0</v>
      </c>
      <c r="K794" s="6">
        <v>0</v>
      </c>
      <c r="L794" s="6">
        <v>339.59699999999998</v>
      </c>
      <c r="M794" s="6">
        <v>339.59699999999998</v>
      </c>
      <c r="N794" s="6">
        <v>339.59699999999998</v>
      </c>
      <c r="O794" s="6">
        <v>339.59699999999998</v>
      </c>
      <c r="P794" s="6">
        <v>1674</v>
      </c>
      <c r="Q794" s="4" t="s">
        <v>26</v>
      </c>
      <c r="R794" s="4">
        <v>0</v>
      </c>
      <c r="S794" s="4" t="s">
        <v>326</v>
      </c>
      <c r="T794" s="4" t="s">
        <v>548</v>
      </c>
      <c r="U794" s="4">
        <v>0</v>
      </c>
      <c r="V794" s="4">
        <v>34</v>
      </c>
      <c r="W794" s="4">
        <v>75</v>
      </c>
    </row>
    <row r="795" spans="1:23" ht="11.25" customHeight="1" x14ac:dyDescent="0.3">
      <c r="A795" s="4" t="s">
        <v>27</v>
      </c>
      <c r="B795" s="4" t="s">
        <v>22</v>
      </c>
      <c r="C795" s="4" t="s">
        <v>23</v>
      </c>
      <c r="D795" s="4" t="s">
        <v>24</v>
      </c>
      <c r="E795" s="4" t="s">
        <v>30</v>
      </c>
      <c r="F795" s="4" t="s">
        <v>25</v>
      </c>
      <c r="G795" s="4" t="s">
        <v>25</v>
      </c>
      <c r="H795" s="4" t="s">
        <v>25</v>
      </c>
      <c r="I795" s="5">
        <v>44531</v>
      </c>
      <c r="J795" s="6">
        <v>0</v>
      </c>
      <c r="K795" s="6">
        <v>0</v>
      </c>
      <c r="L795" s="6">
        <v>0.35</v>
      </c>
      <c r="M795" s="6">
        <v>0.35</v>
      </c>
      <c r="N795" s="6">
        <v>0.35</v>
      </c>
      <c r="O795" s="6">
        <v>0.35</v>
      </c>
      <c r="P795" s="6">
        <v>0</v>
      </c>
      <c r="Q795" s="4" t="s">
        <v>26</v>
      </c>
      <c r="R795" s="4">
        <v>0</v>
      </c>
      <c r="S795" s="4" t="s">
        <v>326</v>
      </c>
      <c r="T795" s="4" t="s">
        <v>548</v>
      </c>
      <c r="U795" s="4">
        <v>0</v>
      </c>
      <c r="V795" s="4">
        <v>34</v>
      </c>
      <c r="W795" s="4">
        <v>75</v>
      </c>
    </row>
    <row r="796" spans="1:23" ht="11.25" customHeight="1" x14ac:dyDescent="0.3">
      <c r="A796" s="4" t="s">
        <v>28</v>
      </c>
      <c r="B796" s="4" t="s">
        <v>22</v>
      </c>
      <c r="C796" s="4" t="s">
        <v>23</v>
      </c>
      <c r="D796" s="4" t="s">
        <v>24</v>
      </c>
      <c r="E796" s="4" t="s">
        <v>30</v>
      </c>
      <c r="F796" s="4" t="s">
        <v>25</v>
      </c>
      <c r="G796" s="4" t="s">
        <v>25</v>
      </c>
      <c r="H796" s="4" t="s">
        <v>25</v>
      </c>
      <c r="I796" s="5">
        <v>44531</v>
      </c>
      <c r="J796" s="6">
        <v>0</v>
      </c>
      <c r="K796" s="6">
        <v>0</v>
      </c>
      <c r="L796" s="6">
        <v>0.11600000000000001</v>
      </c>
      <c r="M796" s="6">
        <v>2.3199999999999998E-2</v>
      </c>
      <c r="N796" s="6">
        <v>0.11600000000000001</v>
      </c>
      <c r="O796" s="6">
        <v>2.3199999999999998E-2</v>
      </c>
      <c r="P796" s="6">
        <v>1</v>
      </c>
      <c r="Q796" s="4" t="s">
        <v>26</v>
      </c>
      <c r="R796" s="4">
        <v>0</v>
      </c>
      <c r="S796" s="4" t="s">
        <v>326</v>
      </c>
      <c r="T796" s="4" t="s">
        <v>548</v>
      </c>
      <c r="U796" s="4">
        <v>0</v>
      </c>
      <c r="V796" s="4">
        <v>34</v>
      </c>
      <c r="W796" s="4">
        <v>75</v>
      </c>
    </row>
    <row r="797" spans="1:23" ht="11.25" customHeight="1" x14ac:dyDescent="0.3">
      <c r="A797" s="4" t="s">
        <v>21</v>
      </c>
      <c r="B797" s="4" t="s">
        <v>22</v>
      </c>
      <c r="C797" s="4" t="s">
        <v>23</v>
      </c>
      <c r="D797" s="4" t="s">
        <v>24</v>
      </c>
      <c r="E797" s="4" t="s">
        <v>30</v>
      </c>
      <c r="F797" s="4" t="s">
        <v>25</v>
      </c>
      <c r="G797" s="4" t="s">
        <v>25</v>
      </c>
      <c r="H797" s="4" t="s">
        <v>25</v>
      </c>
      <c r="I797" s="5">
        <v>44562</v>
      </c>
      <c r="J797" s="6">
        <v>0</v>
      </c>
      <c r="K797" s="6">
        <v>0</v>
      </c>
      <c r="L797" s="6">
        <v>336.00400000000002</v>
      </c>
      <c r="M797" s="6">
        <v>336.00400000000002</v>
      </c>
      <c r="N797" s="6">
        <v>336.00400000000002</v>
      </c>
      <c r="O797" s="6">
        <v>336.00400000000002</v>
      </c>
      <c r="P797" s="6">
        <v>1365</v>
      </c>
      <c r="Q797" s="4" t="s">
        <v>26</v>
      </c>
      <c r="R797" s="4">
        <v>0</v>
      </c>
      <c r="S797" s="4" t="s">
        <v>327</v>
      </c>
      <c r="T797" s="4" t="s">
        <v>549</v>
      </c>
      <c r="U797" s="4">
        <v>0</v>
      </c>
      <c r="V797" s="4">
        <v>34</v>
      </c>
      <c r="W797" s="4">
        <v>75</v>
      </c>
    </row>
    <row r="798" spans="1:23" ht="11.25" customHeight="1" x14ac:dyDescent="0.3">
      <c r="A798" s="4" t="s">
        <v>27</v>
      </c>
      <c r="B798" s="4" t="s">
        <v>22</v>
      </c>
      <c r="C798" s="4" t="s">
        <v>23</v>
      </c>
      <c r="D798" s="4" t="s">
        <v>24</v>
      </c>
      <c r="E798" s="4" t="s">
        <v>30</v>
      </c>
      <c r="F798" s="4" t="s">
        <v>25</v>
      </c>
      <c r="G798" s="4" t="s">
        <v>25</v>
      </c>
      <c r="H798" s="4" t="s">
        <v>25</v>
      </c>
      <c r="I798" s="5">
        <v>44562</v>
      </c>
      <c r="J798" s="6">
        <v>0</v>
      </c>
      <c r="K798" s="6">
        <v>0</v>
      </c>
      <c r="L798" s="6">
        <v>-0.107</v>
      </c>
      <c r="M798" s="6">
        <v>-0.107</v>
      </c>
      <c r="N798" s="6">
        <v>-0.107</v>
      </c>
      <c r="O798" s="6">
        <v>-0.107</v>
      </c>
      <c r="P798" s="6">
        <v>0</v>
      </c>
      <c r="Q798" s="4" t="s">
        <v>26</v>
      </c>
      <c r="R798" s="4">
        <v>0</v>
      </c>
      <c r="S798" s="4" t="s">
        <v>327</v>
      </c>
      <c r="T798" s="4" t="s">
        <v>549</v>
      </c>
      <c r="U798" s="4">
        <v>0</v>
      </c>
      <c r="V798" s="4">
        <v>34</v>
      </c>
      <c r="W798" s="4">
        <v>75</v>
      </c>
    </row>
    <row r="799" spans="1:23" ht="11.25" customHeight="1" x14ac:dyDescent="0.3">
      <c r="A799" s="4" t="s">
        <v>28</v>
      </c>
      <c r="B799" s="4" t="s">
        <v>22</v>
      </c>
      <c r="C799" s="4" t="s">
        <v>23</v>
      </c>
      <c r="D799" s="4" t="s">
        <v>24</v>
      </c>
      <c r="E799" s="4" t="s">
        <v>30</v>
      </c>
      <c r="F799" s="4" t="s">
        <v>25</v>
      </c>
      <c r="G799" s="4" t="s">
        <v>25</v>
      </c>
      <c r="H799" s="4" t="s">
        <v>25</v>
      </c>
      <c r="I799" s="5">
        <v>44562</v>
      </c>
      <c r="J799" s="6">
        <v>0</v>
      </c>
      <c r="K799" s="6">
        <v>0</v>
      </c>
      <c r="L799" s="6">
        <v>8.6999999999999994E-2</v>
      </c>
      <c r="M799" s="6">
        <v>1.7399999999999999E-2</v>
      </c>
      <c r="N799" s="6">
        <v>8.6999999999999994E-2</v>
      </c>
      <c r="O799" s="6">
        <v>1.7399999999999999E-2</v>
      </c>
      <c r="P799" s="6">
        <v>1</v>
      </c>
      <c r="Q799" s="4" t="s">
        <v>26</v>
      </c>
      <c r="R799" s="4">
        <v>0</v>
      </c>
      <c r="S799" s="4" t="s">
        <v>327</v>
      </c>
      <c r="T799" s="4" t="s">
        <v>549</v>
      </c>
      <c r="U799" s="4">
        <v>0</v>
      </c>
      <c r="V799" s="4">
        <v>34</v>
      </c>
      <c r="W799" s="4">
        <v>75</v>
      </c>
    </row>
    <row r="800" spans="1:23" ht="11.25" customHeight="1" x14ac:dyDescent="0.3">
      <c r="A800" s="4" t="s">
        <v>21</v>
      </c>
      <c r="B800" s="4" t="s">
        <v>22</v>
      </c>
      <c r="C800" s="4" t="s">
        <v>23</v>
      </c>
      <c r="D800" s="4" t="s">
        <v>24</v>
      </c>
      <c r="E800" s="4" t="s">
        <v>30</v>
      </c>
      <c r="F800" s="4" t="s">
        <v>25</v>
      </c>
      <c r="G800" s="4" t="s">
        <v>25</v>
      </c>
      <c r="H800" s="4" t="s">
        <v>25</v>
      </c>
      <c r="I800" s="5">
        <v>44593</v>
      </c>
      <c r="J800" s="6">
        <v>0</v>
      </c>
      <c r="K800" s="6">
        <v>0</v>
      </c>
      <c r="L800" s="6">
        <v>363.202</v>
      </c>
      <c r="M800" s="6">
        <v>363.202</v>
      </c>
      <c r="N800" s="6">
        <v>363.202</v>
      </c>
      <c r="O800" s="6">
        <v>363.202</v>
      </c>
      <c r="P800" s="6">
        <v>1779</v>
      </c>
      <c r="Q800" s="4" t="s">
        <v>26</v>
      </c>
      <c r="R800" s="4">
        <v>0</v>
      </c>
      <c r="S800" s="4" t="s">
        <v>328</v>
      </c>
      <c r="T800" s="4" t="s">
        <v>550</v>
      </c>
      <c r="U800" s="4">
        <v>0</v>
      </c>
      <c r="V800" s="4">
        <v>34</v>
      </c>
      <c r="W800" s="4">
        <v>75</v>
      </c>
    </row>
    <row r="801" spans="1:23" ht="11.25" customHeight="1" x14ac:dyDescent="0.3">
      <c r="A801" s="4" t="s">
        <v>27</v>
      </c>
      <c r="B801" s="4" t="s">
        <v>22</v>
      </c>
      <c r="C801" s="4" t="s">
        <v>23</v>
      </c>
      <c r="D801" s="4" t="s">
        <v>24</v>
      </c>
      <c r="E801" s="4" t="s">
        <v>30</v>
      </c>
      <c r="F801" s="4" t="s">
        <v>25</v>
      </c>
      <c r="G801" s="4" t="s">
        <v>25</v>
      </c>
      <c r="H801" s="4" t="s">
        <v>25</v>
      </c>
      <c r="I801" s="5">
        <v>44593</v>
      </c>
      <c r="J801" s="6">
        <v>0</v>
      </c>
      <c r="K801" s="6">
        <v>0</v>
      </c>
      <c r="L801" s="6">
        <v>1.6E-2</v>
      </c>
      <c r="M801" s="6">
        <v>1.6E-2</v>
      </c>
      <c r="N801" s="6">
        <v>1.6E-2</v>
      </c>
      <c r="O801" s="6">
        <v>1.6E-2</v>
      </c>
      <c r="P801" s="6">
        <v>0</v>
      </c>
      <c r="Q801" s="4" t="s">
        <v>26</v>
      </c>
      <c r="R801" s="4">
        <v>0</v>
      </c>
      <c r="S801" s="4" t="s">
        <v>328</v>
      </c>
      <c r="T801" s="4" t="s">
        <v>550</v>
      </c>
      <c r="U801" s="4">
        <v>0</v>
      </c>
      <c r="V801" s="4">
        <v>34</v>
      </c>
      <c r="W801" s="4">
        <v>75</v>
      </c>
    </row>
    <row r="802" spans="1:23" ht="11.25" customHeight="1" x14ac:dyDescent="0.3">
      <c r="A802" s="4" t="s">
        <v>28</v>
      </c>
      <c r="B802" s="4" t="s">
        <v>22</v>
      </c>
      <c r="C802" s="4" t="s">
        <v>23</v>
      </c>
      <c r="D802" s="4" t="s">
        <v>24</v>
      </c>
      <c r="E802" s="4" t="s">
        <v>30</v>
      </c>
      <c r="F802" s="4" t="s">
        <v>25</v>
      </c>
      <c r="G802" s="4" t="s">
        <v>25</v>
      </c>
      <c r="H802" s="4" t="s">
        <v>25</v>
      </c>
      <c r="I802" s="5">
        <v>44593</v>
      </c>
      <c r="J802" s="6">
        <v>0</v>
      </c>
      <c r="K802" s="6">
        <v>0</v>
      </c>
      <c r="L802" s="6">
        <v>9.9000000000000005E-2</v>
      </c>
      <c r="M802" s="6">
        <v>1.9800000000000002E-2</v>
      </c>
      <c r="N802" s="6">
        <v>9.9000000000000005E-2</v>
      </c>
      <c r="O802" s="6">
        <v>1.9800000000000002E-2</v>
      </c>
      <c r="P802" s="6">
        <v>1</v>
      </c>
      <c r="Q802" s="4" t="s">
        <v>26</v>
      </c>
      <c r="R802" s="4">
        <v>0</v>
      </c>
      <c r="S802" s="4" t="s">
        <v>328</v>
      </c>
      <c r="T802" s="4" t="s">
        <v>550</v>
      </c>
      <c r="U802" s="4">
        <v>0</v>
      </c>
      <c r="V802" s="4">
        <v>34</v>
      </c>
      <c r="W802" s="4">
        <v>75</v>
      </c>
    </row>
    <row r="803" spans="1:23" ht="11.25" customHeight="1" x14ac:dyDescent="0.3">
      <c r="A803" s="4" t="s">
        <v>21</v>
      </c>
      <c r="B803" s="4" t="s">
        <v>22</v>
      </c>
      <c r="C803" s="4" t="s">
        <v>23</v>
      </c>
      <c r="D803" s="4" t="s">
        <v>24</v>
      </c>
      <c r="E803" s="4" t="s">
        <v>30</v>
      </c>
      <c r="F803" s="4" t="s">
        <v>25</v>
      </c>
      <c r="G803" s="4" t="s">
        <v>25</v>
      </c>
      <c r="H803" s="4" t="s">
        <v>25</v>
      </c>
      <c r="I803" s="5">
        <v>44621</v>
      </c>
      <c r="J803" s="6">
        <v>0</v>
      </c>
      <c r="K803" s="6">
        <v>0</v>
      </c>
      <c r="L803" s="6">
        <v>380.16800000000001</v>
      </c>
      <c r="M803" s="6">
        <v>380.16800000000001</v>
      </c>
      <c r="N803" s="6">
        <v>380.16800000000001</v>
      </c>
      <c r="O803" s="6">
        <v>380.16800000000001</v>
      </c>
      <c r="P803" s="6">
        <v>1716</v>
      </c>
      <c r="Q803" s="4" t="s">
        <v>26</v>
      </c>
      <c r="R803" s="4">
        <v>0</v>
      </c>
      <c r="S803" s="4" t="s">
        <v>329</v>
      </c>
      <c r="T803" s="4" t="s">
        <v>551</v>
      </c>
      <c r="U803" s="4">
        <v>0</v>
      </c>
      <c r="V803" s="4">
        <v>34</v>
      </c>
      <c r="W803" s="4">
        <v>75</v>
      </c>
    </row>
    <row r="804" spans="1:23" ht="11.25" customHeight="1" x14ac:dyDescent="0.3">
      <c r="A804" s="4" t="s">
        <v>27</v>
      </c>
      <c r="B804" s="4" t="s">
        <v>22</v>
      </c>
      <c r="C804" s="4" t="s">
        <v>23</v>
      </c>
      <c r="D804" s="4" t="s">
        <v>24</v>
      </c>
      <c r="E804" s="4" t="s">
        <v>30</v>
      </c>
      <c r="F804" s="4" t="s">
        <v>25</v>
      </c>
      <c r="G804" s="4" t="s">
        <v>25</v>
      </c>
      <c r="H804" s="4" t="s">
        <v>25</v>
      </c>
      <c r="I804" s="5">
        <v>44621</v>
      </c>
      <c r="J804" s="6">
        <v>0</v>
      </c>
      <c r="K804" s="6">
        <v>0</v>
      </c>
      <c r="L804" s="6">
        <v>-6.0999999999999999E-2</v>
      </c>
      <c r="M804" s="6">
        <v>-6.0999999999999999E-2</v>
      </c>
      <c r="N804" s="6">
        <v>-6.0999999999999999E-2</v>
      </c>
      <c r="O804" s="6">
        <v>-6.0999999999999999E-2</v>
      </c>
      <c r="P804" s="6">
        <v>0</v>
      </c>
      <c r="Q804" s="4" t="s">
        <v>26</v>
      </c>
      <c r="R804" s="4">
        <v>0</v>
      </c>
      <c r="S804" s="4" t="s">
        <v>329</v>
      </c>
      <c r="T804" s="4" t="s">
        <v>551</v>
      </c>
      <c r="U804" s="4">
        <v>0</v>
      </c>
      <c r="V804" s="4">
        <v>34</v>
      </c>
      <c r="W804" s="4">
        <v>75</v>
      </c>
    </row>
    <row r="805" spans="1:23" ht="11.25" customHeight="1" x14ac:dyDescent="0.3">
      <c r="A805" s="4" t="s">
        <v>28</v>
      </c>
      <c r="B805" s="4" t="s">
        <v>22</v>
      </c>
      <c r="C805" s="4" t="s">
        <v>23</v>
      </c>
      <c r="D805" s="4" t="s">
        <v>24</v>
      </c>
      <c r="E805" s="4" t="s">
        <v>30</v>
      </c>
      <c r="F805" s="4" t="s">
        <v>25</v>
      </c>
      <c r="G805" s="4" t="s">
        <v>25</v>
      </c>
      <c r="H805" s="4" t="s">
        <v>25</v>
      </c>
      <c r="I805" s="5">
        <v>44621</v>
      </c>
      <c r="J805" s="6">
        <v>0</v>
      </c>
      <c r="K805" s="6">
        <v>0</v>
      </c>
      <c r="L805" s="6">
        <v>9.8000000000000004E-2</v>
      </c>
      <c r="M805" s="6">
        <v>1.9599999999999999E-2</v>
      </c>
      <c r="N805" s="6">
        <v>9.8000000000000004E-2</v>
      </c>
      <c r="O805" s="6">
        <v>1.9599999999999999E-2</v>
      </c>
      <c r="P805" s="6">
        <v>1</v>
      </c>
      <c r="Q805" s="4" t="s">
        <v>26</v>
      </c>
      <c r="R805" s="4">
        <v>0</v>
      </c>
      <c r="S805" s="4" t="s">
        <v>329</v>
      </c>
      <c r="T805" s="4" t="s">
        <v>551</v>
      </c>
      <c r="U805" s="4">
        <v>0</v>
      </c>
      <c r="V805" s="4">
        <v>34</v>
      </c>
      <c r="W805" s="4">
        <v>75</v>
      </c>
    </row>
    <row r="806" spans="1:23" ht="11.25" customHeight="1" x14ac:dyDescent="0.3">
      <c r="A806" s="4" t="s">
        <v>21</v>
      </c>
      <c r="B806" s="4" t="s">
        <v>22</v>
      </c>
      <c r="C806" s="4" t="s">
        <v>23</v>
      </c>
      <c r="D806" s="4" t="s">
        <v>24</v>
      </c>
      <c r="E806" s="4" t="s">
        <v>30</v>
      </c>
      <c r="F806" s="4" t="s">
        <v>25</v>
      </c>
      <c r="G806" s="4" t="s">
        <v>25</v>
      </c>
      <c r="H806" s="4" t="s">
        <v>25</v>
      </c>
      <c r="I806" s="5">
        <v>44652</v>
      </c>
      <c r="J806" s="6">
        <v>0</v>
      </c>
      <c r="K806" s="6">
        <v>0</v>
      </c>
      <c r="L806" s="6">
        <v>379.97199999999998</v>
      </c>
      <c r="M806" s="6">
        <v>379.97199999999998</v>
      </c>
      <c r="N806" s="6">
        <v>379.97199999999998</v>
      </c>
      <c r="O806" s="6">
        <v>379.97199999999998</v>
      </c>
      <c r="P806" s="6">
        <v>1776</v>
      </c>
      <c r="Q806" s="4" t="s">
        <v>26</v>
      </c>
      <c r="R806" s="4">
        <v>0</v>
      </c>
      <c r="S806" s="4" t="s">
        <v>330</v>
      </c>
      <c r="T806" s="4" t="s">
        <v>552</v>
      </c>
      <c r="U806" s="4">
        <v>0</v>
      </c>
      <c r="V806" s="4">
        <v>34</v>
      </c>
      <c r="W806" s="4">
        <v>75</v>
      </c>
    </row>
    <row r="807" spans="1:23" ht="11.25" customHeight="1" x14ac:dyDescent="0.3">
      <c r="A807" s="4" t="s">
        <v>27</v>
      </c>
      <c r="B807" s="4" t="s">
        <v>22</v>
      </c>
      <c r="C807" s="4" t="s">
        <v>23</v>
      </c>
      <c r="D807" s="4" t="s">
        <v>24</v>
      </c>
      <c r="E807" s="4" t="s">
        <v>30</v>
      </c>
      <c r="F807" s="4" t="s">
        <v>25</v>
      </c>
      <c r="G807" s="4" t="s">
        <v>25</v>
      </c>
      <c r="H807" s="4" t="s">
        <v>25</v>
      </c>
      <c r="I807" s="5">
        <v>44652</v>
      </c>
      <c r="J807" s="6">
        <v>0</v>
      </c>
      <c r="K807" s="6">
        <v>0</v>
      </c>
      <c r="L807" s="6">
        <v>0.11</v>
      </c>
      <c r="M807" s="6">
        <v>0.11</v>
      </c>
      <c r="N807" s="6">
        <v>0.11</v>
      </c>
      <c r="O807" s="6">
        <v>0.11</v>
      </c>
      <c r="P807" s="6">
        <v>0</v>
      </c>
      <c r="Q807" s="4" t="s">
        <v>26</v>
      </c>
      <c r="R807" s="4">
        <v>0</v>
      </c>
      <c r="S807" s="4" t="s">
        <v>330</v>
      </c>
      <c r="T807" s="4" t="s">
        <v>552</v>
      </c>
      <c r="U807" s="4">
        <v>0</v>
      </c>
      <c r="V807" s="4">
        <v>34</v>
      </c>
      <c r="W807" s="4">
        <v>75</v>
      </c>
    </row>
    <row r="808" spans="1:23" ht="11.25" customHeight="1" x14ac:dyDescent="0.3">
      <c r="A808" s="4" t="s">
        <v>28</v>
      </c>
      <c r="B808" s="4" t="s">
        <v>22</v>
      </c>
      <c r="C808" s="4" t="s">
        <v>23</v>
      </c>
      <c r="D808" s="4" t="s">
        <v>24</v>
      </c>
      <c r="E808" s="4" t="s">
        <v>30</v>
      </c>
      <c r="F808" s="4" t="s">
        <v>25</v>
      </c>
      <c r="G808" s="4" t="s">
        <v>25</v>
      </c>
      <c r="H808" s="4" t="s">
        <v>25</v>
      </c>
      <c r="I808" s="5">
        <v>44652</v>
      </c>
      <c r="J808" s="6">
        <v>0</v>
      </c>
      <c r="K808" s="6">
        <v>0</v>
      </c>
      <c r="L808" s="6">
        <v>6.2E-2</v>
      </c>
      <c r="M808" s="6">
        <v>1.24E-2</v>
      </c>
      <c r="N808" s="6">
        <v>6.2E-2</v>
      </c>
      <c r="O808" s="6">
        <v>1.24E-2</v>
      </c>
      <c r="P808" s="6">
        <v>0</v>
      </c>
      <c r="Q808" s="4" t="s">
        <v>26</v>
      </c>
      <c r="R808" s="4">
        <v>0</v>
      </c>
      <c r="S808" s="4" t="s">
        <v>330</v>
      </c>
      <c r="T808" s="4" t="s">
        <v>552</v>
      </c>
      <c r="U808" s="4">
        <v>0</v>
      </c>
      <c r="V808" s="4">
        <v>34</v>
      </c>
      <c r="W808" s="4">
        <v>75</v>
      </c>
    </row>
    <row r="809" spans="1:23" ht="11.25" customHeight="1" x14ac:dyDescent="0.3">
      <c r="A809" s="4" t="s">
        <v>21</v>
      </c>
      <c r="B809" s="4" t="s">
        <v>22</v>
      </c>
      <c r="C809" s="4" t="s">
        <v>23</v>
      </c>
      <c r="D809" s="4" t="s">
        <v>24</v>
      </c>
      <c r="E809" s="4" t="s">
        <v>30</v>
      </c>
      <c r="F809" s="4" t="s">
        <v>25</v>
      </c>
      <c r="G809" s="4" t="s">
        <v>25</v>
      </c>
      <c r="H809" s="4" t="s">
        <v>25</v>
      </c>
      <c r="I809" s="5">
        <v>44682</v>
      </c>
      <c r="J809" s="6">
        <v>0</v>
      </c>
      <c r="K809" s="6">
        <v>0</v>
      </c>
      <c r="L809" s="6">
        <v>388.15800000000002</v>
      </c>
      <c r="M809" s="6">
        <v>388.15800000000002</v>
      </c>
      <c r="N809" s="6">
        <v>388.15800000000002</v>
      </c>
      <c r="O809" s="6">
        <v>388.15800000000002</v>
      </c>
      <c r="P809" s="6">
        <v>1811</v>
      </c>
      <c r="Q809" s="4" t="s">
        <v>26</v>
      </c>
      <c r="R809" s="4">
        <v>0</v>
      </c>
      <c r="S809" s="4" t="s">
        <v>331</v>
      </c>
      <c r="T809" s="4" t="s">
        <v>553</v>
      </c>
      <c r="U809" s="4">
        <v>0</v>
      </c>
      <c r="V809" s="4">
        <v>34</v>
      </c>
      <c r="W809" s="4">
        <v>75</v>
      </c>
    </row>
    <row r="810" spans="1:23" ht="11.25" customHeight="1" x14ac:dyDescent="0.3">
      <c r="A810" s="4" t="s">
        <v>28</v>
      </c>
      <c r="B810" s="4" t="s">
        <v>22</v>
      </c>
      <c r="C810" s="4" t="s">
        <v>23</v>
      </c>
      <c r="D810" s="4" t="s">
        <v>24</v>
      </c>
      <c r="E810" s="4" t="s">
        <v>30</v>
      </c>
      <c r="F810" s="4" t="s">
        <v>25</v>
      </c>
      <c r="G810" s="4" t="s">
        <v>25</v>
      </c>
      <c r="H810" s="4" t="s">
        <v>25</v>
      </c>
      <c r="I810" s="5">
        <v>44682</v>
      </c>
      <c r="J810" s="6">
        <v>0</v>
      </c>
      <c r="K810" s="6">
        <v>0</v>
      </c>
      <c r="L810" s="6">
        <v>2E-3</v>
      </c>
      <c r="M810" s="6">
        <v>4.0000000000000002E-4</v>
      </c>
      <c r="N810" s="6">
        <v>2E-3</v>
      </c>
      <c r="O810" s="6">
        <v>4.0000000000000002E-4</v>
      </c>
      <c r="P810" s="6">
        <v>1</v>
      </c>
      <c r="Q810" s="4" t="s">
        <v>26</v>
      </c>
      <c r="R810" s="4">
        <v>0</v>
      </c>
      <c r="S810" s="4" t="s">
        <v>331</v>
      </c>
      <c r="T810" s="4" t="s">
        <v>553</v>
      </c>
      <c r="U810" s="4">
        <v>0</v>
      </c>
      <c r="V810" s="4">
        <v>34</v>
      </c>
      <c r="W810" s="4">
        <v>75</v>
      </c>
    </row>
    <row r="811" spans="1:23" ht="11.25" customHeight="1" x14ac:dyDescent="0.3">
      <c r="A811" s="4" t="s">
        <v>21</v>
      </c>
      <c r="B811" s="4" t="s">
        <v>22</v>
      </c>
      <c r="C811" s="4" t="s">
        <v>23</v>
      </c>
      <c r="D811" s="4" t="s">
        <v>24</v>
      </c>
      <c r="E811" s="4" t="s">
        <v>30</v>
      </c>
      <c r="F811" s="4" t="s">
        <v>25</v>
      </c>
      <c r="G811" s="4" t="s">
        <v>25</v>
      </c>
      <c r="H811" s="4" t="s">
        <v>25</v>
      </c>
      <c r="I811" s="5">
        <v>44713</v>
      </c>
      <c r="J811" s="6">
        <v>0</v>
      </c>
      <c r="K811" s="6">
        <v>0</v>
      </c>
      <c r="L811" s="6">
        <v>367.43200000000002</v>
      </c>
      <c r="M811" s="6">
        <v>367.43200000000002</v>
      </c>
      <c r="N811" s="6">
        <v>367.43200000000002</v>
      </c>
      <c r="O811" s="6">
        <v>367.43200000000002</v>
      </c>
      <c r="P811" s="6">
        <v>1917</v>
      </c>
      <c r="Q811" s="4" t="s">
        <v>26</v>
      </c>
      <c r="R811" s="4">
        <v>0</v>
      </c>
      <c r="S811" s="4" t="s">
        <v>332</v>
      </c>
      <c r="T811" s="4" t="s">
        <v>554</v>
      </c>
      <c r="U811" s="4">
        <v>0</v>
      </c>
      <c r="V811" s="4">
        <v>34</v>
      </c>
      <c r="W811" s="4">
        <v>75</v>
      </c>
    </row>
    <row r="812" spans="1:23" ht="11.25" customHeight="1" x14ac:dyDescent="0.3">
      <c r="A812" s="4" t="s">
        <v>27</v>
      </c>
      <c r="B812" s="4" t="s">
        <v>22</v>
      </c>
      <c r="C812" s="4" t="s">
        <v>23</v>
      </c>
      <c r="D812" s="4" t="s">
        <v>24</v>
      </c>
      <c r="E812" s="4" t="s">
        <v>30</v>
      </c>
      <c r="F812" s="4" t="s">
        <v>25</v>
      </c>
      <c r="G812" s="4" t="s">
        <v>25</v>
      </c>
      <c r="H812" s="4" t="s">
        <v>25</v>
      </c>
      <c r="I812" s="5">
        <v>44713</v>
      </c>
      <c r="J812" s="6">
        <v>0</v>
      </c>
      <c r="K812" s="6">
        <v>0</v>
      </c>
      <c r="L812" s="6">
        <v>-5.0000000000000001E-3</v>
      </c>
      <c r="M812" s="6">
        <v>-5.0000000000000001E-3</v>
      </c>
      <c r="N812" s="6">
        <v>-5.0000000000000001E-3</v>
      </c>
      <c r="O812" s="6">
        <v>-5.0000000000000001E-3</v>
      </c>
      <c r="P812" s="6">
        <v>0</v>
      </c>
      <c r="Q812" s="4" t="s">
        <v>26</v>
      </c>
      <c r="R812" s="4">
        <v>0</v>
      </c>
      <c r="S812" s="4" t="s">
        <v>332</v>
      </c>
      <c r="T812" s="4" t="s">
        <v>554</v>
      </c>
      <c r="U812" s="4">
        <v>0</v>
      </c>
      <c r="V812" s="4">
        <v>34</v>
      </c>
      <c r="W812" s="4">
        <v>75</v>
      </c>
    </row>
    <row r="813" spans="1:23" ht="11.25" customHeight="1" x14ac:dyDescent="0.3">
      <c r="A813" s="4" t="s">
        <v>21</v>
      </c>
      <c r="B813" s="4" t="s">
        <v>22</v>
      </c>
      <c r="C813" s="4" t="s">
        <v>23</v>
      </c>
      <c r="D813" s="4" t="s">
        <v>24</v>
      </c>
      <c r="E813" s="4" t="s">
        <v>30</v>
      </c>
      <c r="F813" s="4" t="s">
        <v>25</v>
      </c>
      <c r="G813" s="4" t="s">
        <v>25</v>
      </c>
      <c r="H813" s="4" t="s">
        <v>25</v>
      </c>
      <c r="I813" s="5">
        <v>44743</v>
      </c>
      <c r="J813" s="6">
        <v>0</v>
      </c>
      <c r="K813" s="6">
        <v>0</v>
      </c>
      <c r="L813" s="6">
        <v>347.49299999999999</v>
      </c>
      <c r="M813" s="6">
        <v>347.49299999999999</v>
      </c>
      <c r="N813" s="6">
        <v>347.49299999999999</v>
      </c>
      <c r="O813" s="6">
        <v>347.49299999999999</v>
      </c>
      <c r="P813" s="6">
        <v>1797</v>
      </c>
      <c r="Q813" s="4" t="s">
        <v>26</v>
      </c>
      <c r="R813" s="4">
        <v>0</v>
      </c>
      <c r="S813" s="4" t="s">
        <v>333</v>
      </c>
      <c r="T813" s="4" t="s">
        <v>555</v>
      </c>
      <c r="U813" s="4">
        <v>0</v>
      </c>
      <c r="V813" s="4">
        <v>34</v>
      </c>
      <c r="W813" s="4">
        <v>75</v>
      </c>
    </row>
    <row r="814" spans="1:23" ht="11.25" customHeight="1" x14ac:dyDescent="0.3">
      <c r="A814" s="4" t="s">
        <v>21</v>
      </c>
      <c r="B814" s="4" t="s">
        <v>22</v>
      </c>
      <c r="C814" s="4" t="s">
        <v>23</v>
      </c>
      <c r="D814" s="4" t="s">
        <v>24</v>
      </c>
      <c r="E814" s="4" t="s">
        <v>30</v>
      </c>
      <c r="F814" s="4" t="s">
        <v>25</v>
      </c>
      <c r="G814" s="4" t="s">
        <v>25</v>
      </c>
      <c r="H814" s="4" t="s">
        <v>25</v>
      </c>
      <c r="I814" s="5">
        <v>44774</v>
      </c>
      <c r="J814" s="6">
        <v>0</v>
      </c>
      <c r="K814" s="6">
        <v>0</v>
      </c>
      <c r="L814" s="6">
        <v>358.733</v>
      </c>
      <c r="M814" s="6">
        <v>358.733</v>
      </c>
      <c r="N814" s="6">
        <v>358.733</v>
      </c>
      <c r="O814" s="6">
        <v>358.733</v>
      </c>
      <c r="P814" s="6">
        <v>1872</v>
      </c>
      <c r="Q814" s="4" t="s">
        <v>26</v>
      </c>
      <c r="R814" s="4">
        <v>0</v>
      </c>
      <c r="S814" s="4" t="s">
        <v>334</v>
      </c>
      <c r="T814" s="4" t="s">
        <v>556</v>
      </c>
      <c r="U814" s="4">
        <v>0</v>
      </c>
      <c r="V814" s="4">
        <v>34</v>
      </c>
      <c r="W814" s="4">
        <v>75</v>
      </c>
    </row>
    <row r="815" spans="1:23" ht="11.25" customHeight="1" x14ac:dyDescent="0.3">
      <c r="A815" s="4" t="s">
        <v>27</v>
      </c>
      <c r="B815" s="4" t="s">
        <v>22</v>
      </c>
      <c r="C815" s="4" t="s">
        <v>23</v>
      </c>
      <c r="D815" s="4" t="s">
        <v>24</v>
      </c>
      <c r="E815" s="4" t="s">
        <v>30</v>
      </c>
      <c r="F815" s="4" t="s">
        <v>25</v>
      </c>
      <c r="G815" s="4" t="s">
        <v>25</v>
      </c>
      <c r="H815" s="4" t="s">
        <v>25</v>
      </c>
      <c r="I815" s="5">
        <v>44774</v>
      </c>
      <c r="J815" s="6">
        <v>0</v>
      </c>
      <c r="K815" s="6">
        <v>0</v>
      </c>
      <c r="L815" s="6">
        <v>-1.0999999999999999E-2</v>
      </c>
      <c r="M815" s="6">
        <v>-1.0999999999999999E-2</v>
      </c>
      <c r="N815" s="6">
        <v>-1.0999999999999999E-2</v>
      </c>
      <c r="O815" s="6">
        <v>-1.0999999999999999E-2</v>
      </c>
      <c r="P815" s="6">
        <v>0</v>
      </c>
      <c r="Q815" s="4" t="s">
        <v>26</v>
      </c>
      <c r="R815" s="4">
        <v>0</v>
      </c>
      <c r="S815" s="4" t="s">
        <v>334</v>
      </c>
      <c r="T815" s="4" t="s">
        <v>556</v>
      </c>
      <c r="U815" s="4">
        <v>0</v>
      </c>
      <c r="V815" s="4">
        <v>34</v>
      </c>
      <c r="W815" s="4">
        <v>75</v>
      </c>
    </row>
    <row r="816" spans="1:23" ht="11.25" customHeight="1" x14ac:dyDescent="0.3">
      <c r="A816" s="4" t="s">
        <v>21</v>
      </c>
      <c r="B816" s="4" t="s">
        <v>22</v>
      </c>
      <c r="C816" s="4" t="s">
        <v>23</v>
      </c>
      <c r="D816" s="4" t="s">
        <v>24</v>
      </c>
      <c r="E816" s="4" t="s">
        <v>30</v>
      </c>
      <c r="F816" s="4" t="s">
        <v>25</v>
      </c>
      <c r="G816" s="4" t="s">
        <v>25</v>
      </c>
      <c r="H816" s="4" t="s">
        <v>25</v>
      </c>
      <c r="I816" s="5">
        <v>44805</v>
      </c>
      <c r="J816" s="6">
        <v>0</v>
      </c>
      <c r="K816" s="6">
        <v>0</v>
      </c>
      <c r="L816" s="6">
        <v>370.30599999999998</v>
      </c>
      <c r="M816" s="6">
        <v>370.30599999999998</v>
      </c>
      <c r="N816" s="6">
        <v>370.30599999999998</v>
      </c>
      <c r="O816" s="6">
        <v>370.30599999999998</v>
      </c>
      <c r="P816" s="6">
        <v>1559</v>
      </c>
      <c r="Q816" s="4" t="s">
        <v>26</v>
      </c>
      <c r="R816" s="4">
        <v>0</v>
      </c>
      <c r="S816" s="4" t="s">
        <v>335</v>
      </c>
      <c r="T816" s="4" t="s">
        <v>557</v>
      </c>
      <c r="U816" s="4">
        <v>0</v>
      </c>
      <c r="V816" s="4">
        <v>34</v>
      </c>
      <c r="W816" s="4">
        <v>75</v>
      </c>
    </row>
    <row r="817" spans="1:23" ht="11.25" customHeight="1" x14ac:dyDescent="0.3">
      <c r="A817" s="4" t="s">
        <v>27</v>
      </c>
      <c r="B817" s="4" t="s">
        <v>22</v>
      </c>
      <c r="C817" s="4" t="s">
        <v>23</v>
      </c>
      <c r="D817" s="4" t="s">
        <v>24</v>
      </c>
      <c r="E817" s="4" t="s">
        <v>30</v>
      </c>
      <c r="F817" s="4" t="s">
        <v>25</v>
      </c>
      <c r="G817" s="4" t="s">
        <v>25</v>
      </c>
      <c r="H817" s="4" t="s">
        <v>25</v>
      </c>
      <c r="I817" s="5">
        <v>44805</v>
      </c>
      <c r="J817" s="6">
        <v>0</v>
      </c>
      <c r="K817" s="6">
        <v>0</v>
      </c>
      <c r="L817" s="6">
        <v>-0.13500000000000001</v>
      </c>
      <c r="M817" s="6">
        <v>-0.13500000000000001</v>
      </c>
      <c r="N817" s="6">
        <v>-0.13500000000000001</v>
      </c>
      <c r="O817" s="6">
        <v>-0.13500000000000001</v>
      </c>
      <c r="P817" s="6">
        <v>0</v>
      </c>
      <c r="Q817" s="4" t="s">
        <v>26</v>
      </c>
      <c r="R817" s="4">
        <v>0</v>
      </c>
      <c r="S817" s="4" t="s">
        <v>335</v>
      </c>
      <c r="T817" s="4" t="s">
        <v>557</v>
      </c>
      <c r="U817" s="4">
        <v>0</v>
      </c>
      <c r="V817" s="4">
        <v>34</v>
      </c>
      <c r="W817" s="4">
        <v>75</v>
      </c>
    </row>
    <row r="818" spans="1:23" ht="11.25" customHeight="1" x14ac:dyDescent="0.3">
      <c r="A818" s="4" t="s">
        <v>28</v>
      </c>
      <c r="B818" s="4" t="s">
        <v>22</v>
      </c>
      <c r="C818" s="4" t="s">
        <v>23</v>
      </c>
      <c r="D818" s="4" t="s">
        <v>24</v>
      </c>
      <c r="E818" s="4" t="s">
        <v>30</v>
      </c>
      <c r="F818" s="4" t="s">
        <v>25</v>
      </c>
      <c r="G818" s="4" t="s">
        <v>25</v>
      </c>
      <c r="H818" s="4" t="s">
        <v>25</v>
      </c>
      <c r="I818" s="5">
        <v>44805</v>
      </c>
      <c r="J818" s="6">
        <v>0</v>
      </c>
      <c r="K818" s="6">
        <v>0</v>
      </c>
      <c r="L818" s="6">
        <v>7.0000000000000007E-2</v>
      </c>
      <c r="M818" s="6">
        <v>4.2000000000000003E-2</v>
      </c>
      <c r="N818" s="6">
        <v>7.0000000000000007E-2</v>
      </c>
      <c r="O818" s="6">
        <v>4.2000000000000003E-2</v>
      </c>
      <c r="P818" s="6">
        <v>1</v>
      </c>
      <c r="Q818" s="4" t="s">
        <v>26</v>
      </c>
      <c r="R818" s="4">
        <v>0</v>
      </c>
      <c r="S818" s="4" t="s">
        <v>335</v>
      </c>
      <c r="T818" s="4" t="s">
        <v>557</v>
      </c>
      <c r="U818" s="4">
        <v>0</v>
      </c>
      <c r="V818" s="4">
        <v>34</v>
      </c>
      <c r="W818" s="4">
        <v>75</v>
      </c>
    </row>
    <row r="819" spans="1:23" ht="11.25" customHeight="1" x14ac:dyDescent="0.3">
      <c r="A819" s="4" t="s">
        <v>53</v>
      </c>
      <c r="B819" s="4" t="s">
        <v>22</v>
      </c>
      <c r="C819" s="4" t="s">
        <v>23</v>
      </c>
      <c r="D819" s="4" t="s">
        <v>24</v>
      </c>
      <c r="E819" s="4" t="s">
        <v>30</v>
      </c>
      <c r="F819" s="4" t="s">
        <v>25</v>
      </c>
      <c r="G819" s="4" t="s">
        <v>25</v>
      </c>
      <c r="H819" s="4" t="s">
        <v>25</v>
      </c>
      <c r="I819" s="5">
        <v>44835</v>
      </c>
      <c r="J819" s="6">
        <v>0</v>
      </c>
      <c r="K819" s="6">
        <v>0</v>
      </c>
      <c r="L819" s="6">
        <v>370.30599999999998</v>
      </c>
      <c r="M819" s="6">
        <v>370.30599999999998</v>
      </c>
      <c r="N819" s="6">
        <v>370.30599999999998</v>
      </c>
      <c r="O819" s="6">
        <v>370.30599999999998</v>
      </c>
      <c r="P819" s="6">
        <v>1559</v>
      </c>
      <c r="Q819" s="4" t="s">
        <v>26</v>
      </c>
      <c r="R819" s="4">
        <v>0</v>
      </c>
      <c r="S819" s="4" t="s">
        <v>336</v>
      </c>
      <c r="T819" s="4" t="s">
        <v>558</v>
      </c>
      <c r="U819" s="4">
        <v>0</v>
      </c>
      <c r="V819" s="4">
        <v>34</v>
      </c>
      <c r="W819" s="4">
        <v>75</v>
      </c>
    </row>
    <row r="820" spans="1:23" ht="11.25" customHeight="1" x14ac:dyDescent="0.3">
      <c r="A820" s="4" t="s">
        <v>53</v>
      </c>
      <c r="B820" s="4" t="s">
        <v>22</v>
      </c>
      <c r="C820" s="4" t="s">
        <v>23</v>
      </c>
      <c r="D820" s="4" t="s">
        <v>24</v>
      </c>
      <c r="E820" s="4" t="s">
        <v>30</v>
      </c>
      <c r="F820" s="4" t="s">
        <v>25</v>
      </c>
      <c r="G820" s="4" t="s">
        <v>25</v>
      </c>
      <c r="H820" s="4" t="s">
        <v>25</v>
      </c>
      <c r="I820" s="5">
        <v>44835</v>
      </c>
      <c r="J820" s="6">
        <v>0</v>
      </c>
      <c r="K820" s="6">
        <v>0</v>
      </c>
      <c r="L820" s="6">
        <v>-0.13500000000000001</v>
      </c>
      <c r="M820" s="6">
        <v>-0.13500000000000001</v>
      </c>
      <c r="N820" s="6">
        <v>-0.13500000000000001</v>
      </c>
      <c r="O820" s="6">
        <v>-0.13500000000000001</v>
      </c>
      <c r="P820" s="6">
        <v>0</v>
      </c>
      <c r="Q820" s="4" t="s">
        <v>26</v>
      </c>
      <c r="R820" s="4">
        <v>0</v>
      </c>
      <c r="S820" s="4" t="s">
        <v>336</v>
      </c>
      <c r="T820" s="4" t="s">
        <v>558</v>
      </c>
      <c r="U820" s="4">
        <v>0</v>
      </c>
      <c r="V820" s="4">
        <v>34</v>
      </c>
      <c r="W820" s="4">
        <v>75</v>
      </c>
    </row>
    <row r="821" spans="1:23" ht="11.25" customHeight="1" x14ac:dyDescent="0.3">
      <c r="A821" s="4" t="s">
        <v>53</v>
      </c>
      <c r="B821" s="4" t="s">
        <v>22</v>
      </c>
      <c r="C821" s="4" t="s">
        <v>23</v>
      </c>
      <c r="D821" s="4" t="s">
        <v>24</v>
      </c>
      <c r="E821" s="4" t="s">
        <v>30</v>
      </c>
      <c r="F821" s="4" t="s">
        <v>25</v>
      </c>
      <c r="G821" s="4" t="s">
        <v>25</v>
      </c>
      <c r="H821" s="4" t="s">
        <v>25</v>
      </c>
      <c r="I821" s="5">
        <v>44835</v>
      </c>
      <c r="J821" s="6">
        <v>0</v>
      </c>
      <c r="K821" s="6">
        <v>0</v>
      </c>
      <c r="L821" s="6">
        <v>7.0000000000000007E-2</v>
      </c>
      <c r="M821" s="6">
        <v>4.2000000000000003E-2</v>
      </c>
      <c r="N821" s="6">
        <v>7.0000000000000007E-2</v>
      </c>
      <c r="O821" s="6">
        <v>4.2000000000000003E-2</v>
      </c>
      <c r="P821" s="6">
        <v>1</v>
      </c>
      <c r="Q821" s="4" t="s">
        <v>26</v>
      </c>
      <c r="R821" s="4">
        <v>0</v>
      </c>
      <c r="S821" s="4" t="s">
        <v>336</v>
      </c>
      <c r="T821" s="4" t="s">
        <v>558</v>
      </c>
      <c r="U821" s="4">
        <v>0</v>
      </c>
      <c r="V821" s="4">
        <v>34</v>
      </c>
      <c r="W821" s="4">
        <v>75</v>
      </c>
    </row>
    <row r="822" spans="1:23" ht="11.25" customHeight="1" x14ac:dyDescent="0.3">
      <c r="A822" s="4" t="s">
        <v>21</v>
      </c>
      <c r="B822" s="4" t="s">
        <v>22</v>
      </c>
      <c r="C822" s="4" t="s">
        <v>23</v>
      </c>
      <c r="D822" s="4" t="s">
        <v>24</v>
      </c>
      <c r="E822" s="4" t="s">
        <v>31</v>
      </c>
      <c r="F822" s="4" t="s">
        <v>25</v>
      </c>
      <c r="G822" s="4" t="s">
        <v>25</v>
      </c>
      <c r="H822" s="4" t="s">
        <v>25</v>
      </c>
      <c r="I822" s="5">
        <v>44501</v>
      </c>
      <c r="J822" s="6">
        <v>0</v>
      </c>
      <c r="K822" s="6">
        <v>0</v>
      </c>
      <c r="L822" s="6">
        <v>240.071</v>
      </c>
      <c r="M822" s="6">
        <v>240.071</v>
      </c>
      <c r="N822" s="6">
        <v>240.071</v>
      </c>
      <c r="O822" s="6">
        <v>240.071</v>
      </c>
      <c r="P822" s="6">
        <v>3045</v>
      </c>
      <c r="Q822" s="4" t="s">
        <v>26</v>
      </c>
      <c r="R822" s="4">
        <v>0</v>
      </c>
      <c r="S822" s="4" t="s">
        <v>337</v>
      </c>
      <c r="T822" s="4" t="s">
        <v>559</v>
      </c>
      <c r="U822" s="4">
        <v>0</v>
      </c>
      <c r="V822" s="4">
        <v>41</v>
      </c>
      <c r="W822" s="4">
        <v>78</v>
      </c>
    </row>
    <row r="823" spans="1:23" ht="11.25" customHeight="1" x14ac:dyDescent="0.3">
      <c r="A823" s="4" t="s">
        <v>27</v>
      </c>
      <c r="B823" s="4" t="s">
        <v>22</v>
      </c>
      <c r="C823" s="4" t="s">
        <v>23</v>
      </c>
      <c r="D823" s="4" t="s">
        <v>24</v>
      </c>
      <c r="E823" s="4" t="s">
        <v>31</v>
      </c>
      <c r="F823" s="4" t="s">
        <v>25</v>
      </c>
      <c r="G823" s="4" t="s">
        <v>25</v>
      </c>
      <c r="H823" s="4" t="s">
        <v>25</v>
      </c>
      <c r="I823" s="5">
        <v>44501</v>
      </c>
      <c r="J823" s="6">
        <v>0</v>
      </c>
      <c r="K823" s="6">
        <v>0</v>
      </c>
      <c r="L823" s="6">
        <v>-1.7000000000000001E-2</v>
      </c>
      <c r="M823" s="6">
        <v>-1.7000000000000001E-2</v>
      </c>
      <c r="N823" s="6">
        <v>-1.7000000000000001E-2</v>
      </c>
      <c r="O823" s="6">
        <v>-1.7000000000000001E-2</v>
      </c>
      <c r="P823" s="6">
        <v>0</v>
      </c>
      <c r="Q823" s="4" t="s">
        <v>26</v>
      </c>
      <c r="R823" s="4">
        <v>0</v>
      </c>
      <c r="S823" s="4" t="s">
        <v>337</v>
      </c>
      <c r="T823" s="4" t="s">
        <v>559</v>
      </c>
      <c r="U823" s="4">
        <v>0</v>
      </c>
      <c r="V823" s="4">
        <v>41</v>
      </c>
      <c r="W823" s="4">
        <v>78</v>
      </c>
    </row>
    <row r="824" spans="1:23" ht="11.25" customHeight="1" x14ac:dyDescent="0.3">
      <c r="A824" s="4" t="s">
        <v>21</v>
      </c>
      <c r="B824" s="4" t="s">
        <v>22</v>
      </c>
      <c r="C824" s="4" t="s">
        <v>23</v>
      </c>
      <c r="D824" s="4" t="s">
        <v>24</v>
      </c>
      <c r="E824" s="4" t="s">
        <v>31</v>
      </c>
      <c r="F824" s="4" t="s">
        <v>25</v>
      </c>
      <c r="G824" s="4" t="s">
        <v>25</v>
      </c>
      <c r="H824" s="4" t="s">
        <v>25</v>
      </c>
      <c r="I824" s="5">
        <v>44531</v>
      </c>
      <c r="J824" s="6">
        <v>0</v>
      </c>
      <c r="K824" s="6">
        <v>0</v>
      </c>
      <c r="L824" s="6">
        <v>231.04</v>
      </c>
      <c r="M824" s="6">
        <v>231.04</v>
      </c>
      <c r="N824" s="6">
        <v>231.04</v>
      </c>
      <c r="O824" s="6">
        <v>231.04</v>
      </c>
      <c r="P824" s="6">
        <v>3203</v>
      </c>
      <c r="Q824" s="4" t="s">
        <v>26</v>
      </c>
      <c r="R824" s="4">
        <v>0</v>
      </c>
      <c r="S824" s="4" t="s">
        <v>338</v>
      </c>
      <c r="T824" s="4" t="s">
        <v>560</v>
      </c>
      <c r="U824" s="4">
        <v>0</v>
      </c>
      <c r="V824" s="4">
        <v>41</v>
      </c>
      <c r="W824" s="4">
        <v>78</v>
      </c>
    </row>
    <row r="825" spans="1:23" ht="11.25" customHeight="1" x14ac:dyDescent="0.3">
      <c r="A825" s="4" t="s">
        <v>27</v>
      </c>
      <c r="B825" s="4" t="s">
        <v>22</v>
      </c>
      <c r="C825" s="4" t="s">
        <v>23</v>
      </c>
      <c r="D825" s="4" t="s">
        <v>24</v>
      </c>
      <c r="E825" s="4" t="s">
        <v>31</v>
      </c>
      <c r="F825" s="4" t="s">
        <v>25</v>
      </c>
      <c r="G825" s="4" t="s">
        <v>25</v>
      </c>
      <c r="H825" s="4" t="s">
        <v>25</v>
      </c>
      <c r="I825" s="5">
        <v>44531</v>
      </c>
      <c r="J825" s="6">
        <v>0</v>
      </c>
      <c r="K825" s="6">
        <v>0</v>
      </c>
      <c r="L825" s="6">
        <v>6.3E-2</v>
      </c>
      <c r="M825" s="6">
        <v>6.3E-2</v>
      </c>
      <c r="N825" s="6">
        <v>6.3E-2</v>
      </c>
      <c r="O825" s="6">
        <v>6.3E-2</v>
      </c>
      <c r="P825" s="6">
        <v>0</v>
      </c>
      <c r="Q825" s="4" t="s">
        <v>26</v>
      </c>
      <c r="R825" s="4">
        <v>0</v>
      </c>
      <c r="S825" s="4" t="s">
        <v>338</v>
      </c>
      <c r="T825" s="4" t="s">
        <v>560</v>
      </c>
      <c r="U825" s="4">
        <v>0</v>
      </c>
      <c r="V825" s="4">
        <v>41</v>
      </c>
      <c r="W825" s="4">
        <v>78</v>
      </c>
    </row>
    <row r="826" spans="1:23" ht="11.25" customHeight="1" x14ac:dyDescent="0.3">
      <c r="A826" s="4" t="s">
        <v>28</v>
      </c>
      <c r="B826" s="4" t="s">
        <v>22</v>
      </c>
      <c r="C826" s="4" t="s">
        <v>23</v>
      </c>
      <c r="D826" s="4" t="s">
        <v>24</v>
      </c>
      <c r="E826" s="4" t="s">
        <v>31</v>
      </c>
      <c r="F826" s="4" t="s">
        <v>25</v>
      </c>
      <c r="G826" s="4" t="s">
        <v>25</v>
      </c>
      <c r="H826" s="4" t="s">
        <v>25</v>
      </c>
      <c r="I826" s="5">
        <v>44531</v>
      </c>
      <c r="J826" s="6">
        <v>0</v>
      </c>
      <c r="K826" s="6">
        <v>0</v>
      </c>
      <c r="L826" s="6">
        <v>2.5000000000000001E-2</v>
      </c>
      <c r="M826" s="6">
        <v>2.2499999999999999E-2</v>
      </c>
      <c r="N826" s="6">
        <v>2.5000000000000001E-2</v>
      </c>
      <c r="O826" s="6">
        <v>2.2499999999999999E-2</v>
      </c>
      <c r="P826" s="6">
        <v>1</v>
      </c>
      <c r="Q826" s="4" t="s">
        <v>26</v>
      </c>
      <c r="R826" s="4">
        <v>0</v>
      </c>
      <c r="S826" s="4" t="s">
        <v>338</v>
      </c>
      <c r="T826" s="4" t="s">
        <v>560</v>
      </c>
      <c r="U826" s="4">
        <v>0</v>
      </c>
      <c r="V826" s="4">
        <v>41</v>
      </c>
      <c r="W826" s="4">
        <v>78</v>
      </c>
    </row>
    <row r="827" spans="1:23" ht="11.25" customHeight="1" x14ac:dyDescent="0.3">
      <c r="A827" s="4" t="s">
        <v>21</v>
      </c>
      <c r="B827" s="4" t="s">
        <v>22</v>
      </c>
      <c r="C827" s="4" t="s">
        <v>23</v>
      </c>
      <c r="D827" s="4" t="s">
        <v>24</v>
      </c>
      <c r="E827" s="4" t="s">
        <v>31</v>
      </c>
      <c r="F827" s="4" t="s">
        <v>25</v>
      </c>
      <c r="G827" s="4" t="s">
        <v>25</v>
      </c>
      <c r="H827" s="4" t="s">
        <v>25</v>
      </c>
      <c r="I827" s="5">
        <v>44562</v>
      </c>
      <c r="J827" s="6">
        <v>0</v>
      </c>
      <c r="K827" s="6">
        <v>0</v>
      </c>
      <c r="L827" s="6">
        <v>264.75400000000002</v>
      </c>
      <c r="M827" s="6">
        <v>264.75400000000002</v>
      </c>
      <c r="N827" s="6">
        <v>264.75400000000002</v>
      </c>
      <c r="O827" s="6">
        <v>264.75400000000002</v>
      </c>
      <c r="P827" s="6">
        <v>3105</v>
      </c>
      <c r="Q827" s="4" t="s">
        <v>26</v>
      </c>
      <c r="R827" s="4">
        <v>0</v>
      </c>
      <c r="S827" s="4" t="s">
        <v>339</v>
      </c>
      <c r="T827" s="4" t="s">
        <v>561</v>
      </c>
      <c r="U827" s="4">
        <v>0</v>
      </c>
      <c r="V827" s="4">
        <v>41</v>
      </c>
      <c r="W827" s="4">
        <v>78</v>
      </c>
    </row>
    <row r="828" spans="1:23" ht="11.25" customHeight="1" x14ac:dyDescent="0.3">
      <c r="A828" s="4" t="s">
        <v>27</v>
      </c>
      <c r="B828" s="4" t="s">
        <v>22</v>
      </c>
      <c r="C828" s="4" t="s">
        <v>23</v>
      </c>
      <c r="D828" s="4" t="s">
        <v>24</v>
      </c>
      <c r="E828" s="4" t="s">
        <v>31</v>
      </c>
      <c r="F828" s="4" t="s">
        <v>25</v>
      </c>
      <c r="G828" s="4" t="s">
        <v>25</v>
      </c>
      <c r="H828" s="4" t="s">
        <v>25</v>
      </c>
      <c r="I828" s="5">
        <v>44562</v>
      </c>
      <c r="J828" s="6">
        <v>0</v>
      </c>
      <c r="K828" s="6">
        <v>0</v>
      </c>
      <c r="L828" s="6">
        <v>-5.5E-2</v>
      </c>
      <c r="M828" s="6">
        <v>-5.5E-2</v>
      </c>
      <c r="N828" s="6">
        <v>-5.5E-2</v>
      </c>
      <c r="O828" s="6">
        <v>-5.5E-2</v>
      </c>
      <c r="P828" s="6">
        <v>0</v>
      </c>
      <c r="Q828" s="4" t="s">
        <v>26</v>
      </c>
      <c r="R828" s="4">
        <v>0</v>
      </c>
      <c r="S828" s="4" t="s">
        <v>339</v>
      </c>
      <c r="T828" s="4" t="s">
        <v>561</v>
      </c>
      <c r="U828" s="4">
        <v>0</v>
      </c>
      <c r="V828" s="4">
        <v>41</v>
      </c>
      <c r="W828" s="4">
        <v>78</v>
      </c>
    </row>
    <row r="829" spans="1:23" ht="11.25" customHeight="1" x14ac:dyDescent="0.3">
      <c r="A829" s="4" t="s">
        <v>28</v>
      </c>
      <c r="B829" s="4" t="s">
        <v>22</v>
      </c>
      <c r="C829" s="4" t="s">
        <v>23</v>
      </c>
      <c r="D829" s="4" t="s">
        <v>24</v>
      </c>
      <c r="E829" s="4" t="s">
        <v>31</v>
      </c>
      <c r="F829" s="4" t="s">
        <v>25</v>
      </c>
      <c r="G829" s="4" t="s">
        <v>25</v>
      </c>
      <c r="H829" s="4" t="s">
        <v>25</v>
      </c>
      <c r="I829" s="5">
        <v>44562</v>
      </c>
      <c r="J829" s="6">
        <v>0</v>
      </c>
      <c r="K829" s="6">
        <v>0</v>
      </c>
      <c r="L829" s="6">
        <v>4.4999999999999998E-2</v>
      </c>
      <c r="M829" s="6">
        <v>4.0500000000000001E-2</v>
      </c>
      <c r="N829" s="6">
        <v>4.4999999999999998E-2</v>
      </c>
      <c r="O829" s="6">
        <v>4.0500000000000001E-2</v>
      </c>
      <c r="P829" s="6">
        <v>1</v>
      </c>
      <c r="Q829" s="4" t="s">
        <v>26</v>
      </c>
      <c r="R829" s="4">
        <v>0</v>
      </c>
      <c r="S829" s="4" t="s">
        <v>339</v>
      </c>
      <c r="T829" s="4" t="s">
        <v>561</v>
      </c>
      <c r="U829" s="4">
        <v>0</v>
      </c>
      <c r="V829" s="4">
        <v>41</v>
      </c>
      <c r="W829" s="4">
        <v>78</v>
      </c>
    </row>
    <row r="830" spans="1:23" ht="11.25" customHeight="1" x14ac:dyDescent="0.3">
      <c r="A830" s="4" t="s">
        <v>21</v>
      </c>
      <c r="B830" s="4" t="s">
        <v>22</v>
      </c>
      <c r="C830" s="4" t="s">
        <v>23</v>
      </c>
      <c r="D830" s="4" t="s">
        <v>24</v>
      </c>
      <c r="E830" s="4" t="s">
        <v>31</v>
      </c>
      <c r="F830" s="4" t="s">
        <v>25</v>
      </c>
      <c r="G830" s="4" t="s">
        <v>25</v>
      </c>
      <c r="H830" s="4" t="s">
        <v>25</v>
      </c>
      <c r="I830" s="5">
        <v>44593</v>
      </c>
      <c r="J830" s="6">
        <v>0</v>
      </c>
      <c r="K830" s="6">
        <v>0</v>
      </c>
      <c r="L830" s="6">
        <v>250.215</v>
      </c>
      <c r="M830" s="6">
        <v>250.215</v>
      </c>
      <c r="N830" s="6">
        <v>250.215</v>
      </c>
      <c r="O830" s="6">
        <v>250.215</v>
      </c>
      <c r="P830" s="6">
        <v>3403</v>
      </c>
      <c r="Q830" s="4" t="s">
        <v>26</v>
      </c>
      <c r="R830" s="4">
        <v>0</v>
      </c>
      <c r="S830" s="4" t="s">
        <v>340</v>
      </c>
      <c r="T830" s="4" t="s">
        <v>562</v>
      </c>
      <c r="U830" s="4">
        <v>0</v>
      </c>
      <c r="V830" s="4">
        <v>41</v>
      </c>
      <c r="W830" s="4">
        <v>78</v>
      </c>
    </row>
    <row r="831" spans="1:23" ht="11.25" customHeight="1" x14ac:dyDescent="0.3">
      <c r="A831" s="4" t="s">
        <v>27</v>
      </c>
      <c r="B831" s="4" t="s">
        <v>22</v>
      </c>
      <c r="C831" s="4" t="s">
        <v>23</v>
      </c>
      <c r="D831" s="4" t="s">
        <v>24</v>
      </c>
      <c r="E831" s="4" t="s">
        <v>31</v>
      </c>
      <c r="F831" s="4" t="s">
        <v>25</v>
      </c>
      <c r="G831" s="4" t="s">
        <v>25</v>
      </c>
      <c r="H831" s="4" t="s">
        <v>25</v>
      </c>
      <c r="I831" s="5">
        <v>44593</v>
      </c>
      <c r="J831" s="6">
        <v>0</v>
      </c>
      <c r="K831" s="6">
        <v>0</v>
      </c>
      <c r="L831" s="6">
        <v>-4.4999999999999998E-2</v>
      </c>
      <c r="M831" s="6">
        <v>-4.4999999999999998E-2</v>
      </c>
      <c r="N831" s="6">
        <v>-4.4999999999999998E-2</v>
      </c>
      <c r="O831" s="6">
        <v>-4.4999999999999998E-2</v>
      </c>
      <c r="P831" s="6">
        <v>0</v>
      </c>
      <c r="Q831" s="4" t="s">
        <v>26</v>
      </c>
      <c r="R831" s="4">
        <v>0</v>
      </c>
      <c r="S831" s="4" t="s">
        <v>340</v>
      </c>
      <c r="T831" s="4" t="s">
        <v>562</v>
      </c>
      <c r="U831" s="4">
        <v>0</v>
      </c>
      <c r="V831" s="4">
        <v>41</v>
      </c>
      <c r="W831" s="4">
        <v>78</v>
      </c>
    </row>
    <row r="832" spans="1:23" ht="11.25" customHeight="1" x14ac:dyDescent="0.3">
      <c r="A832" s="4" t="s">
        <v>28</v>
      </c>
      <c r="B832" s="4" t="s">
        <v>22</v>
      </c>
      <c r="C832" s="4" t="s">
        <v>23</v>
      </c>
      <c r="D832" s="4" t="s">
        <v>24</v>
      </c>
      <c r="E832" s="4" t="s">
        <v>31</v>
      </c>
      <c r="F832" s="4" t="s">
        <v>25</v>
      </c>
      <c r="G832" s="4" t="s">
        <v>25</v>
      </c>
      <c r="H832" s="4" t="s">
        <v>25</v>
      </c>
      <c r="I832" s="5">
        <v>44593</v>
      </c>
      <c r="J832" s="6">
        <v>0</v>
      </c>
      <c r="K832" s="6">
        <v>0</v>
      </c>
      <c r="L832" s="6">
        <v>9.0999999999999998E-2</v>
      </c>
      <c r="M832" s="6">
        <v>8.1900000000000001E-2</v>
      </c>
      <c r="N832" s="6">
        <v>9.0999999999999998E-2</v>
      </c>
      <c r="O832" s="6">
        <v>8.1900000000000001E-2</v>
      </c>
      <c r="P832" s="6">
        <v>1</v>
      </c>
      <c r="Q832" s="4" t="s">
        <v>26</v>
      </c>
      <c r="R832" s="4">
        <v>0</v>
      </c>
      <c r="S832" s="4" t="s">
        <v>340</v>
      </c>
      <c r="T832" s="4" t="s">
        <v>562</v>
      </c>
      <c r="U832" s="4">
        <v>0</v>
      </c>
      <c r="V832" s="4">
        <v>41</v>
      </c>
      <c r="W832" s="4">
        <v>78</v>
      </c>
    </row>
    <row r="833" spans="1:23" ht="11.25" customHeight="1" x14ac:dyDescent="0.3">
      <c r="A833" s="4" t="s">
        <v>21</v>
      </c>
      <c r="B833" s="4" t="s">
        <v>22</v>
      </c>
      <c r="C833" s="4" t="s">
        <v>23</v>
      </c>
      <c r="D833" s="4" t="s">
        <v>24</v>
      </c>
      <c r="E833" s="4" t="s">
        <v>31</v>
      </c>
      <c r="F833" s="4" t="s">
        <v>25</v>
      </c>
      <c r="G833" s="4" t="s">
        <v>25</v>
      </c>
      <c r="H833" s="4" t="s">
        <v>25</v>
      </c>
      <c r="I833" s="5">
        <v>44621</v>
      </c>
      <c r="J833" s="6">
        <v>0</v>
      </c>
      <c r="K833" s="6">
        <v>0</v>
      </c>
      <c r="L833" s="6">
        <v>274.15199999999999</v>
      </c>
      <c r="M833" s="6">
        <v>274.15199999999999</v>
      </c>
      <c r="N833" s="6">
        <v>274.15199999999999</v>
      </c>
      <c r="O833" s="6">
        <v>274.15199999999999</v>
      </c>
      <c r="P833" s="6">
        <v>3552</v>
      </c>
      <c r="Q833" s="4" t="s">
        <v>26</v>
      </c>
      <c r="R833" s="4">
        <v>0</v>
      </c>
      <c r="S833" s="4" t="s">
        <v>341</v>
      </c>
      <c r="T833" s="4" t="s">
        <v>563</v>
      </c>
      <c r="U833" s="4">
        <v>0</v>
      </c>
      <c r="V833" s="4">
        <v>41</v>
      </c>
      <c r="W833" s="4">
        <v>78</v>
      </c>
    </row>
    <row r="834" spans="1:23" ht="11.25" customHeight="1" x14ac:dyDescent="0.3">
      <c r="A834" s="4" t="s">
        <v>27</v>
      </c>
      <c r="B834" s="4" t="s">
        <v>22</v>
      </c>
      <c r="C834" s="4" t="s">
        <v>23</v>
      </c>
      <c r="D834" s="4" t="s">
        <v>24</v>
      </c>
      <c r="E834" s="4" t="s">
        <v>31</v>
      </c>
      <c r="F834" s="4" t="s">
        <v>25</v>
      </c>
      <c r="G834" s="4" t="s">
        <v>25</v>
      </c>
      <c r="H834" s="4" t="s">
        <v>25</v>
      </c>
      <c r="I834" s="5">
        <v>44621</v>
      </c>
      <c r="J834" s="6">
        <v>0</v>
      </c>
      <c r="K834" s="6">
        <v>0</v>
      </c>
      <c r="L834" s="6">
        <v>-0.13</v>
      </c>
      <c r="M834" s="6">
        <v>-0.13</v>
      </c>
      <c r="N834" s="6">
        <v>-0.13</v>
      </c>
      <c r="O834" s="6">
        <v>-0.13</v>
      </c>
      <c r="P834" s="6">
        <v>0</v>
      </c>
      <c r="Q834" s="4" t="s">
        <v>26</v>
      </c>
      <c r="R834" s="4">
        <v>0</v>
      </c>
      <c r="S834" s="4" t="s">
        <v>341</v>
      </c>
      <c r="T834" s="4" t="s">
        <v>563</v>
      </c>
      <c r="U834" s="4">
        <v>0</v>
      </c>
      <c r="V834" s="4">
        <v>41</v>
      </c>
      <c r="W834" s="4">
        <v>78</v>
      </c>
    </row>
    <row r="835" spans="1:23" ht="11.25" customHeight="1" x14ac:dyDescent="0.3">
      <c r="A835" s="4" t="s">
        <v>28</v>
      </c>
      <c r="B835" s="4" t="s">
        <v>22</v>
      </c>
      <c r="C835" s="4" t="s">
        <v>23</v>
      </c>
      <c r="D835" s="4" t="s">
        <v>24</v>
      </c>
      <c r="E835" s="4" t="s">
        <v>31</v>
      </c>
      <c r="F835" s="4" t="s">
        <v>25</v>
      </c>
      <c r="G835" s="4" t="s">
        <v>25</v>
      </c>
      <c r="H835" s="4" t="s">
        <v>25</v>
      </c>
      <c r="I835" s="5">
        <v>44621</v>
      </c>
      <c r="J835" s="6">
        <v>0</v>
      </c>
      <c r="K835" s="6">
        <v>0</v>
      </c>
      <c r="L835" s="6">
        <v>6.0999999999999999E-2</v>
      </c>
      <c r="M835" s="6">
        <v>5.4899999999999997E-2</v>
      </c>
      <c r="N835" s="6">
        <v>6.0999999999999999E-2</v>
      </c>
      <c r="O835" s="6">
        <v>5.4899999999999997E-2</v>
      </c>
      <c r="P835" s="6">
        <v>1</v>
      </c>
      <c r="Q835" s="4" t="s">
        <v>26</v>
      </c>
      <c r="R835" s="4">
        <v>0</v>
      </c>
      <c r="S835" s="4" t="s">
        <v>341</v>
      </c>
      <c r="T835" s="4" t="s">
        <v>563</v>
      </c>
      <c r="U835" s="4">
        <v>0</v>
      </c>
      <c r="V835" s="4">
        <v>41</v>
      </c>
      <c r="W835" s="4">
        <v>78</v>
      </c>
    </row>
    <row r="836" spans="1:23" ht="11.25" customHeight="1" x14ac:dyDescent="0.3">
      <c r="A836" s="4" t="s">
        <v>21</v>
      </c>
      <c r="B836" s="4" t="s">
        <v>22</v>
      </c>
      <c r="C836" s="4" t="s">
        <v>23</v>
      </c>
      <c r="D836" s="4" t="s">
        <v>24</v>
      </c>
      <c r="E836" s="4" t="s">
        <v>31</v>
      </c>
      <c r="F836" s="4" t="s">
        <v>25</v>
      </c>
      <c r="G836" s="4" t="s">
        <v>25</v>
      </c>
      <c r="H836" s="4" t="s">
        <v>25</v>
      </c>
      <c r="I836" s="5">
        <v>44652</v>
      </c>
      <c r="J836" s="6">
        <v>0</v>
      </c>
      <c r="K836" s="6">
        <v>0</v>
      </c>
      <c r="L836" s="6">
        <v>274.327</v>
      </c>
      <c r="M836" s="6">
        <v>274.327</v>
      </c>
      <c r="N836" s="6">
        <v>274.327</v>
      </c>
      <c r="O836" s="6">
        <v>274.327</v>
      </c>
      <c r="P836" s="6">
        <v>3519</v>
      </c>
      <c r="Q836" s="4" t="s">
        <v>26</v>
      </c>
      <c r="R836" s="4">
        <v>0</v>
      </c>
      <c r="S836" s="4" t="s">
        <v>342</v>
      </c>
      <c r="T836" s="4" t="s">
        <v>564</v>
      </c>
      <c r="U836" s="4">
        <v>0</v>
      </c>
      <c r="V836" s="4">
        <v>41</v>
      </c>
      <c r="W836" s="4">
        <v>78</v>
      </c>
    </row>
    <row r="837" spans="1:23" ht="11.25" customHeight="1" x14ac:dyDescent="0.3">
      <c r="A837" s="4" t="s">
        <v>27</v>
      </c>
      <c r="B837" s="4" t="s">
        <v>22</v>
      </c>
      <c r="C837" s="4" t="s">
        <v>23</v>
      </c>
      <c r="D837" s="4" t="s">
        <v>24</v>
      </c>
      <c r="E837" s="4" t="s">
        <v>31</v>
      </c>
      <c r="F837" s="4" t="s">
        <v>25</v>
      </c>
      <c r="G837" s="4" t="s">
        <v>25</v>
      </c>
      <c r="H837" s="4" t="s">
        <v>25</v>
      </c>
      <c r="I837" s="5">
        <v>44652</v>
      </c>
      <c r="J837" s="6">
        <v>0</v>
      </c>
      <c r="K837" s="6">
        <v>0</v>
      </c>
      <c r="L837" s="6">
        <v>0.21099999999999999</v>
      </c>
      <c r="M837" s="6">
        <v>0.21099999999999999</v>
      </c>
      <c r="N837" s="6">
        <v>0.21099999999999999</v>
      </c>
      <c r="O837" s="6">
        <v>0.21099999999999999</v>
      </c>
      <c r="P837" s="6">
        <v>0</v>
      </c>
      <c r="Q837" s="4" t="s">
        <v>26</v>
      </c>
      <c r="R837" s="4">
        <v>0</v>
      </c>
      <c r="S837" s="4" t="s">
        <v>342</v>
      </c>
      <c r="T837" s="4" t="s">
        <v>564</v>
      </c>
      <c r="U837" s="4">
        <v>0</v>
      </c>
      <c r="V837" s="4">
        <v>41</v>
      </c>
      <c r="W837" s="4">
        <v>78</v>
      </c>
    </row>
    <row r="838" spans="1:23" ht="11.25" customHeight="1" x14ac:dyDescent="0.3">
      <c r="A838" s="4" t="s">
        <v>21</v>
      </c>
      <c r="B838" s="4" t="s">
        <v>22</v>
      </c>
      <c r="C838" s="4" t="s">
        <v>23</v>
      </c>
      <c r="D838" s="4" t="s">
        <v>24</v>
      </c>
      <c r="E838" s="4" t="s">
        <v>31</v>
      </c>
      <c r="F838" s="4" t="s">
        <v>25</v>
      </c>
      <c r="G838" s="4" t="s">
        <v>25</v>
      </c>
      <c r="H838" s="4" t="s">
        <v>25</v>
      </c>
      <c r="I838" s="5">
        <v>44682</v>
      </c>
      <c r="J838" s="6">
        <v>0</v>
      </c>
      <c r="K838" s="6">
        <v>0</v>
      </c>
      <c r="L838" s="6">
        <v>287.44</v>
      </c>
      <c r="M838" s="6">
        <v>287.44</v>
      </c>
      <c r="N838" s="6">
        <v>287.44</v>
      </c>
      <c r="O838" s="6">
        <v>287.44</v>
      </c>
      <c r="P838" s="6">
        <v>3527</v>
      </c>
      <c r="Q838" s="4" t="s">
        <v>26</v>
      </c>
      <c r="R838" s="4">
        <v>0</v>
      </c>
      <c r="S838" s="4" t="s">
        <v>343</v>
      </c>
      <c r="T838" s="4" t="s">
        <v>565</v>
      </c>
      <c r="U838" s="4">
        <v>0</v>
      </c>
      <c r="V838" s="4">
        <v>41</v>
      </c>
      <c r="W838" s="4">
        <v>78</v>
      </c>
    </row>
    <row r="839" spans="1:23" ht="11.25" customHeight="1" x14ac:dyDescent="0.3">
      <c r="A839" s="4" t="s">
        <v>27</v>
      </c>
      <c r="B839" s="4" t="s">
        <v>22</v>
      </c>
      <c r="C839" s="4" t="s">
        <v>23</v>
      </c>
      <c r="D839" s="4" t="s">
        <v>24</v>
      </c>
      <c r="E839" s="4" t="s">
        <v>31</v>
      </c>
      <c r="F839" s="4" t="s">
        <v>25</v>
      </c>
      <c r="G839" s="4" t="s">
        <v>25</v>
      </c>
      <c r="H839" s="4" t="s">
        <v>25</v>
      </c>
      <c r="I839" s="5">
        <v>44682</v>
      </c>
      <c r="J839" s="6">
        <v>0</v>
      </c>
      <c r="K839" s="6">
        <v>0</v>
      </c>
      <c r="L839" s="6">
        <v>-0.114</v>
      </c>
      <c r="M839" s="6">
        <v>-0.114</v>
      </c>
      <c r="N839" s="6">
        <v>-0.114</v>
      </c>
      <c r="O839" s="6">
        <v>-0.114</v>
      </c>
      <c r="P839" s="6">
        <v>0</v>
      </c>
      <c r="Q839" s="4" t="s">
        <v>26</v>
      </c>
      <c r="R839" s="4">
        <v>0</v>
      </c>
      <c r="S839" s="4" t="s">
        <v>343</v>
      </c>
      <c r="T839" s="4" t="s">
        <v>565</v>
      </c>
      <c r="U839" s="4">
        <v>0</v>
      </c>
      <c r="V839" s="4">
        <v>41</v>
      </c>
      <c r="W839" s="4">
        <v>78</v>
      </c>
    </row>
    <row r="840" spans="1:23" ht="11.25" customHeight="1" x14ac:dyDescent="0.3">
      <c r="A840" s="4" t="s">
        <v>21</v>
      </c>
      <c r="B840" s="4" t="s">
        <v>22</v>
      </c>
      <c r="C840" s="4" t="s">
        <v>23</v>
      </c>
      <c r="D840" s="4" t="s">
        <v>24</v>
      </c>
      <c r="E840" s="4" t="s">
        <v>31</v>
      </c>
      <c r="F840" s="4" t="s">
        <v>25</v>
      </c>
      <c r="G840" s="4" t="s">
        <v>25</v>
      </c>
      <c r="H840" s="4" t="s">
        <v>25</v>
      </c>
      <c r="I840" s="5">
        <v>44713</v>
      </c>
      <c r="J840" s="6">
        <v>0</v>
      </c>
      <c r="K840" s="6">
        <v>0</v>
      </c>
      <c r="L840" s="6">
        <v>268.04700000000003</v>
      </c>
      <c r="M840" s="6">
        <v>268.04700000000003</v>
      </c>
      <c r="N840" s="6">
        <v>268.04700000000003</v>
      </c>
      <c r="O840" s="6">
        <v>268.04700000000003</v>
      </c>
      <c r="P840" s="6">
        <v>3259</v>
      </c>
      <c r="Q840" s="4" t="s">
        <v>26</v>
      </c>
      <c r="R840" s="4">
        <v>0</v>
      </c>
      <c r="S840" s="4" t="s">
        <v>344</v>
      </c>
      <c r="T840" s="4" t="s">
        <v>566</v>
      </c>
      <c r="U840" s="4">
        <v>0</v>
      </c>
      <c r="V840" s="4">
        <v>41</v>
      </c>
      <c r="W840" s="4">
        <v>78</v>
      </c>
    </row>
    <row r="841" spans="1:23" ht="11.25" customHeight="1" x14ac:dyDescent="0.3">
      <c r="A841" s="4" t="s">
        <v>27</v>
      </c>
      <c r="B841" s="4" t="s">
        <v>22</v>
      </c>
      <c r="C841" s="4" t="s">
        <v>23</v>
      </c>
      <c r="D841" s="4" t="s">
        <v>24</v>
      </c>
      <c r="E841" s="4" t="s">
        <v>31</v>
      </c>
      <c r="F841" s="4" t="s">
        <v>25</v>
      </c>
      <c r="G841" s="4" t="s">
        <v>25</v>
      </c>
      <c r="H841" s="4" t="s">
        <v>25</v>
      </c>
      <c r="I841" s="5">
        <v>44713</v>
      </c>
      <c r="J841" s="6">
        <v>0</v>
      </c>
      <c r="K841" s="6">
        <v>0</v>
      </c>
      <c r="L841" s="6">
        <v>-3.5999999999999997E-2</v>
      </c>
      <c r="M841" s="6">
        <v>-3.5999999999999997E-2</v>
      </c>
      <c r="N841" s="6">
        <v>-3.5999999999999997E-2</v>
      </c>
      <c r="O841" s="6">
        <v>-3.5999999999999997E-2</v>
      </c>
      <c r="P841" s="6">
        <v>0</v>
      </c>
      <c r="Q841" s="4" t="s">
        <v>26</v>
      </c>
      <c r="R841" s="4">
        <v>0</v>
      </c>
      <c r="S841" s="4" t="s">
        <v>344</v>
      </c>
      <c r="T841" s="4" t="s">
        <v>566</v>
      </c>
      <c r="U841" s="4">
        <v>0</v>
      </c>
      <c r="V841" s="4">
        <v>41</v>
      </c>
      <c r="W841" s="4">
        <v>78</v>
      </c>
    </row>
    <row r="842" spans="1:23" ht="11.25" customHeight="1" x14ac:dyDescent="0.3">
      <c r="A842" s="4" t="s">
        <v>21</v>
      </c>
      <c r="B842" s="4" t="s">
        <v>22</v>
      </c>
      <c r="C842" s="4" t="s">
        <v>23</v>
      </c>
      <c r="D842" s="4" t="s">
        <v>24</v>
      </c>
      <c r="E842" s="4" t="s">
        <v>31</v>
      </c>
      <c r="F842" s="4" t="s">
        <v>25</v>
      </c>
      <c r="G842" s="4" t="s">
        <v>25</v>
      </c>
      <c r="H842" s="4" t="s">
        <v>25</v>
      </c>
      <c r="I842" s="5">
        <v>44743</v>
      </c>
      <c r="J842" s="6">
        <v>0</v>
      </c>
      <c r="K842" s="6">
        <v>0</v>
      </c>
      <c r="L842" s="6">
        <v>266.54399999999998</v>
      </c>
      <c r="M842" s="6">
        <v>266.54399999999998</v>
      </c>
      <c r="N842" s="6">
        <v>266.54399999999998</v>
      </c>
      <c r="O842" s="6">
        <v>266.54399999999998</v>
      </c>
      <c r="P842" s="6">
        <v>2982</v>
      </c>
      <c r="Q842" s="4" t="s">
        <v>26</v>
      </c>
      <c r="R842" s="4">
        <v>0</v>
      </c>
      <c r="S842" s="4" t="s">
        <v>345</v>
      </c>
      <c r="T842" s="4" t="s">
        <v>567</v>
      </c>
      <c r="U842" s="4">
        <v>0</v>
      </c>
      <c r="V842" s="4">
        <v>41</v>
      </c>
      <c r="W842" s="4">
        <v>78</v>
      </c>
    </row>
    <row r="843" spans="1:23" ht="11.25" customHeight="1" x14ac:dyDescent="0.3">
      <c r="A843" s="4" t="s">
        <v>21</v>
      </c>
      <c r="B843" s="4" t="s">
        <v>22</v>
      </c>
      <c r="C843" s="4" t="s">
        <v>23</v>
      </c>
      <c r="D843" s="4" t="s">
        <v>24</v>
      </c>
      <c r="E843" s="4" t="s">
        <v>31</v>
      </c>
      <c r="F843" s="4" t="s">
        <v>25</v>
      </c>
      <c r="G843" s="4" t="s">
        <v>25</v>
      </c>
      <c r="H843" s="4" t="s">
        <v>25</v>
      </c>
      <c r="I843" s="5">
        <v>44774</v>
      </c>
      <c r="J843" s="6">
        <v>0</v>
      </c>
      <c r="K843" s="6">
        <v>0</v>
      </c>
      <c r="L843" s="6">
        <v>265.86900000000003</v>
      </c>
      <c r="M843" s="6">
        <v>265.86900000000003</v>
      </c>
      <c r="N843" s="6">
        <v>265.86900000000003</v>
      </c>
      <c r="O843" s="6">
        <v>265.86900000000003</v>
      </c>
      <c r="P843" s="6">
        <v>3152</v>
      </c>
      <c r="Q843" s="4" t="s">
        <v>26</v>
      </c>
      <c r="R843" s="4">
        <v>0</v>
      </c>
      <c r="S843" s="4" t="s">
        <v>346</v>
      </c>
      <c r="T843" s="4" t="s">
        <v>568</v>
      </c>
      <c r="U843" s="4">
        <v>0</v>
      </c>
      <c r="V843" s="4">
        <v>41</v>
      </c>
      <c r="W843" s="4">
        <v>78</v>
      </c>
    </row>
    <row r="844" spans="1:23" ht="11.25" customHeight="1" x14ac:dyDescent="0.3">
      <c r="A844" s="4" t="s">
        <v>27</v>
      </c>
      <c r="B844" s="4" t="s">
        <v>22</v>
      </c>
      <c r="C844" s="4" t="s">
        <v>23</v>
      </c>
      <c r="D844" s="4" t="s">
        <v>24</v>
      </c>
      <c r="E844" s="4" t="s">
        <v>31</v>
      </c>
      <c r="F844" s="4" t="s">
        <v>25</v>
      </c>
      <c r="G844" s="4" t="s">
        <v>25</v>
      </c>
      <c r="H844" s="4" t="s">
        <v>25</v>
      </c>
      <c r="I844" s="5">
        <v>44774</v>
      </c>
      <c r="J844" s="6">
        <v>0</v>
      </c>
      <c r="K844" s="6">
        <v>0</v>
      </c>
      <c r="L844" s="6">
        <v>-5.0999999999999997E-2</v>
      </c>
      <c r="M844" s="6">
        <v>-5.0999999999999997E-2</v>
      </c>
      <c r="N844" s="6">
        <v>-5.0999999999999997E-2</v>
      </c>
      <c r="O844" s="6">
        <v>-5.0999999999999997E-2</v>
      </c>
      <c r="P844" s="6">
        <v>0</v>
      </c>
      <c r="Q844" s="4" t="s">
        <v>26</v>
      </c>
      <c r="R844" s="4">
        <v>0</v>
      </c>
      <c r="S844" s="4" t="s">
        <v>346</v>
      </c>
      <c r="T844" s="4" t="s">
        <v>568</v>
      </c>
      <c r="U844" s="4">
        <v>0</v>
      </c>
      <c r="V844" s="4">
        <v>41</v>
      </c>
      <c r="W844" s="4">
        <v>78</v>
      </c>
    </row>
    <row r="845" spans="1:23" ht="11.25" customHeight="1" x14ac:dyDescent="0.3">
      <c r="A845" s="4" t="s">
        <v>21</v>
      </c>
      <c r="B845" s="4" t="s">
        <v>22</v>
      </c>
      <c r="C845" s="4" t="s">
        <v>23</v>
      </c>
      <c r="D845" s="4" t="s">
        <v>24</v>
      </c>
      <c r="E845" s="4" t="s">
        <v>31</v>
      </c>
      <c r="F845" s="4" t="s">
        <v>25</v>
      </c>
      <c r="G845" s="4" t="s">
        <v>25</v>
      </c>
      <c r="H845" s="4" t="s">
        <v>25</v>
      </c>
      <c r="I845" s="5">
        <v>44805</v>
      </c>
      <c r="J845" s="6">
        <v>0</v>
      </c>
      <c r="K845" s="6">
        <v>0</v>
      </c>
      <c r="L845" s="6">
        <v>307.63299999999998</v>
      </c>
      <c r="M845" s="6">
        <v>307.63299999999998</v>
      </c>
      <c r="N845" s="6">
        <v>307.63299999999998</v>
      </c>
      <c r="O845" s="6">
        <v>307.63299999999998</v>
      </c>
      <c r="P845" s="6">
        <v>3223</v>
      </c>
      <c r="Q845" s="4" t="s">
        <v>26</v>
      </c>
      <c r="R845" s="4">
        <v>0</v>
      </c>
      <c r="S845" s="4" t="s">
        <v>347</v>
      </c>
      <c r="T845" s="4" t="s">
        <v>569</v>
      </c>
      <c r="U845" s="4">
        <v>0</v>
      </c>
      <c r="V845" s="4">
        <v>41</v>
      </c>
      <c r="W845" s="4">
        <v>78</v>
      </c>
    </row>
    <row r="846" spans="1:23" ht="11.25" customHeight="1" x14ac:dyDescent="0.3">
      <c r="A846" s="4" t="s">
        <v>27</v>
      </c>
      <c r="B846" s="4" t="s">
        <v>22</v>
      </c>
      <c r="C846" s="4" t="s">
        <v>23</v>
      </c>
      <c r="D846" s="4" t="s">
        <v>24</v>
      </c>
      <c r="E846" s="4" t="s">
        <v>31</v>
      </c>
      <c r="F846" s="4" t="s">
        <v>25</v>
      </c>
      <c r="G846" s="4" t="s">
        <v>25</v>
      </c>
      <c r="H846" s="4" t="s">
        <v>25</v>
      </c>
      <c r="I846" s="5">
        <v>44805</v>
      </c>
      <c r="J846" s="6">
        <v>0</v>
      </c>
      <c r="K846" s="6">
        <v>0</v>
      </c>
      <c r="L846" s="6">
        <v>-7.4999999999999997E-2</v>
      </c>
      <c r="M846" s="6">
        <v>-7.4999999999999997E-2</v>
      </c>
      <c r="N846" s="6">
        <v>-7.4999999999999997E-2</v>
      </c>
      <c r="O846" s="6">
        <v>-7.4999999999999997E-2</v>
      </c>
      <c r="P846" s="6">
        <v>0</v>
      </c>
      <c r="Q846" s="4" t="s">
        <v>26</v>
      </c>
      <c r="R846" s="4">
        <v>0</v>
      </c>
      <c r="S846" s="4" t="s">
        <v>347</v>
      </c>
      <c r="T846" s="4" t="s">
        <v>569</v>
      </c>
      <c r="U846" s="4">
        <v>0</v>
      </c>
      <c r="V846" s="4">
        <v>41</v>
      </c>
      <c r="W846" s="4">
        <v>78</v>
      </c>
    </row>
    <row r="847" spans="1:23" ht="11.25" customHeight="1" x14ac:dyDescent="0.3">
      <c r="A847" s="4" t="s">
        <v>28</v>
      </c>
      <c r="B847" s="4" t="s">
        <v>22</v>
      </c>
      <c r="C847" s="4" t="s">
        <v>23</v>
      </c>
      <c r="D847" s="4" t="s">
        <v>24</v>
      </c>
      <c r="E847" s="4" t="s">
        <v>31</v>
      </c>
      <c r="F847" s="4" t="s">
        <v>25</v>
      </c>
      <c r="G847" s="4" t="s">
        <v>25</v>
      </c>
      <c r="H847" s="4" t="s">
        <v>25</v>
      </c>
      <c r="I847" s="5">
        <v>44805</v>
      </c>
      <c r="J847" s="6">
        <v>0</v>
      </c>
      <c r="K847" s="6">
        <v>0</v>
      </c>
      <c r="L847" s="6">
        <v>0.114</v>
      </c>
      <c r="M847" s="6">
        <v>0.1026</v>
      </c>
      <c r="N847" s="6">
        <v>0.114</v>
      </c>
      <c r="O847" s="6">
        <v>0.1026</v>
      </c>
      <c r="P847" s="6">
        <v>1</v>
      </c>
      <c r="Q847" s="4" t="s">
        <v>26</v>
      </c>
      <c r="R847" s="4">
        <v>0</v>
      </c>
      <c r="S847" s="4" t="s">
        <v>347</v>
      </c>
      <c r="T847" s="4" t="s">
        <v>569</v>
      </c>
      <c r="U847" s="4">
        <v>0</v>
      </c>
      <c r="V847" s="4">
        <v>41</v>
      </c>
      <c r="W847" s="4">
        <v>78</v>
      </c>
    </row>
    <row r="848" spans="1:23" ht="11.25" customHeight="1" x14ac:dyDescent="0.3">
      <c r="A848" s="4" t="s">
        <v>53</v>
      </c>
      <c r="B848" s="4" t="s">
        <v>22</v>
      </c>
      <c r="C848" s="4" t="s">
        <v>23</v>
      </c>
      <c r="D848" s="4" t="s">
        <v>24</v>
      </c>
      <c r="E848" s="4" t="s">
        <v>31</v>
      </c>
      <c r="F848" s="4" t="s">
        <v>25</v>
      </c>
      <c r="G848" s="4" t="s">
        <v>25</v>
      </c>
      <c r="H848" s="4" t="s">
        <v>25</v>
      </c>
      <c r="I848" s="5">
        <v>44835</v>
      </c>
      <c r="J848" s="6">
        <v>0</v>
      </c>
      <c r="K848" s="6">
        <v>0</v>
      </c>
      <c r="L848" s="6">
        <v>307.63299999999998</v>
      </c>
      <c r="M848" s="6">
        <v>307.63299999999998</v>
      </c>
      <c r="N848" s="6">
        <v>307.63299999999998</v>
      </c>
      <c r="O848" s="6">
        <v>307.63299999999998</v>
      </c>
      <c r="P848" s="6">
        <v>3223</v>
      </c>
      <c r="Q848" s="4" t="s">
        <v>26</v>
      </c>
      <c r="R848" s="4">
        <v>0</v>
      </c>
      <c r="S848" s="4" t="s">
        <v>348</v>
      </c>
      <c r="T848" s="4" t="s">
        <v>570</v>
      </c>
      <c r="U848" s="4">
        <v>0</v>
      </c>
      <c r="V848" s="4">
        <v>41</v>
      </c>
      <c r="W848" s="4">
        <v>78</v>
      </c>
    </row>
    <row r="849" spans="1:23" ht="11.25" customHeight="1" x14ac:dyDescent="0.3">
      <c r="A849" s="4" t="s">
        <v>53</v>
      </c>
      <c r="B849" s="4" t="s">
        <v>22</v>
      </c>
      <c r="C849" s="4" t="s">
        <v>23</v>
      </c>
      <c r="D849" s="4" t="s">
        <v>24</v>
      </c>
      <c r="E849" s="4" t="s">
        <v>31</v>
      </c>
      <c r="F849" s="4" t="s">
        <v>25</v>
      </c>
      <c r="G849" s="4" t="s">
        <v>25</v>
      </c>
      <c r="H849" s="4" t="s">
        <v>25</v>
      </c>
      <c r="I849" s="5">
        <v>44835</v>
      </c>
      <c r="J849" s="6">
        <v>0</v>
      </c>
      <c r="K849" s="6">
        <v>0</v>
      </c>
      <c r="L849" s="6">
        <v>-7.4999999999999997E-2</v>
      </c>
      <c r="M849" s="6">
        <v>-7.4999999999999997E-2</v>
      </c>
      <c r="N849" s="6">
        <v>-7.4999999999999997E-2</v>
      </c>
      <c r="O849" s="6">
        <v>-7.4999999999999997E-2</v>
      </c>
      <c r="P849" s="6">
        <v>0</v>
      </c>
      <c r="Q849" s="4" t="s">
        <v>26</v>
      </c>
      <c r="R849" s="4">
        <v>0</v>
      </c>
      <c r="S849" s="4" t="s">
        <v>348</v>
      </c>
      <c r="T849" s="4" t="s">
        <v>570</v>
      </c>
      <c r="U849" s="4">
        <v>0</v>
      </c>
      <c r="V849" s="4">
        <v>41</v>
      </c>
      <c r="W849" s="4">
        <v>78</v>
      </c>
    </row>
    <row r="850" spans="1:23" ht="11.25" customHeight="1" x14ac:dyDescent="0.3">
      <c r="A850" s="4" t="s">
        <v>53</v>
      </c>
      <c r="B850" s="4" t="s">
        <v>22</v>
      </c>
      <c r="C850" s="4" t="s">
        <v>23</v>
      </c>
      <c r="D850" s="4" t="s">
        <v>24</v>
      </c>
      <c r="E850" s="4" t="s">
        <v>31</v>
      </c>
      <c r="F850" s="4" t="s">
        <v>25</v>
      </c>
      <c r="G850" s="4" t="s">
        <v>25</v>
      </c>
      <c r="H850" s="4" t="s">
        <v>25</v>
      </c>
      <c r="I850" s="5">
        <v>44835</v>
      </c>
      <c r="J850" s="6">
        <v>0</v>
      </c>
      <c r="K850" s="6">
        <v>0</v>
      </c>
      <c r="L850" s="6">
        <v>0.114</v>
      </c>
      <c r="M850" s="6">
        <v>0.1026</v>
      </c>
      <c r="N850" s="6">
        <v>0.114</v>
      </c>
      <c r="O850" s="6">
        <v>0.1026</v>
      </c>
      <c r="P850" s="6">
        <v>1</v>
      </c>
      <c r="Q850" s="4" t="s">
        <v>26</v>
      </c>
      <c r="R850" s="4">
        <v>0</v>
      </c>
      <c r="S850" s="4" t="s">
        <v>348</v>
      </c>
      <c r="T850" s="4" t="s">
        <v>570</v>
      </c>
      <c r="U850" s="4">
        <v>0</v>
      </c>
      <c r="V850" s="4">
        <v>41</v>
      </c>
      <c r="W850" s="4">
        <v>78</v>
      </c>
    </row>
    <row r="851" spans="1:23" ht="11.25" customHeight="1" x14ac:dyDescent="0.3">
      <c r="A851" s="4" t="s">
        <v>21</v>
      </c>
      <c r="B851" s="4" t="s">
        <v>22</v>
      </c>
      <c r="C851" s="4" t="s">
        <v>23</v>
      </c>
      <c r="D851" s="4" t="s">
        <v>24</v>
      </c>
      <c r="E851" s="4" t="s">
        <v>32</v>
      </c>
      <c r="F851" s="4" t="s">
        <v>25</v>
      </c>
      <c r="G851" s="4" t="s">
        <v>25</v>
      </c>
      <c r="H851" s="4" t="s">
        <v>25</v>
      </c>
      <c r="I851" s="5">
        <v>44501</v>
      </c>
      <c r="J851" s="6">
        <v>0</v>
      </c>
      <c r="K851" s="6">
        <v>0</v>
      </c>
      <c r="L851" s="6">
        <v>40.136000000000003</v>
      </c>
      <c r="M851" s="6">
        <v>40.136000000000003</v>
      </c>
      <c r="N851" s="6">
        <v>40.136000000000003</v>
      </c>
      <c r="O851" s="6">
        <v>40.136000000000003</v>
      </c>
      <c r="P851" s="6">
        <v>707</v>
      </c>
      <c r="Q851" s="4" t="s">
        <v>26</v>
      </c>
      <c r="R851" s="4">
        <v>0</v>
      </c>
      <c r="S851" s="4" t="s">
        <v>349</v>
      </c>
      <c r="T851" s="4" t="s">
        <v>571</v>
      </c>
      <c r="U851" s="4">
        <v>0</v>
      </c>
      <c r="V851" s="4">
        <v>49</v>
      </c>
      <c r="W851" s="4">
        <v>55</v>
      </c>
    </row>
    <row r="852" spans="1:23" ht="11.25" customHeight="1" x14ac:dyDescent="0.3">
      <c r="A852" s="4" t="s">
        <v>27</v>
      </c>
      <c r="B852" s="4" t="s">
        <v>22</v>
      </c>
      <c r="C852" s="4" t="s">
        <v>23</v>
      </c>
      <c r="D852" s="4" t="s">
        <v>24</v>
      </c>
      <c r="E852" s="4" t="s">
        <v>32</v>
      </c>
      <c r="F852" s="4" t="s">
        <v>25</v>
      </c>
      <c r="G852" s="4" t="s">
        <v>25</v>
      </c>
      <c r="H852" s="4" t="s">
        <v>25</v>
      </c>
      <c r="I852" s="5">
        <v>44501</v>
      </c>
      <c r="J852" s="6">
        <v>0</v>
      </c>
      <c r="K852" s="6">
        <v>0</v>
      </c>
      <c r="L852" s="6">
        <v>-0.185</v>
      </c>
      <c r="M852" s="6">
        <v>-0.185</v>
      </c>
      <c r="N852" s="6">
        <v>-0.185</v>
      </c>
      <c r="O852" s="6">
        <v>-0.185</v>
      </c>
      <c r="P852" s="6">
        <v>0</v>
      </c>
      <c r="Q852" s="4" t="s">
        <v>26</v>
      </c>
      <c r="R852" s="4">
        <v>0</v>
      </c>
      <c r="S852" s="4" t="s">
        <v>349</v>
      </c>
      <c r="T852" s="4" t="s">
        <v>571</v>
      </c>
      <c r="U852" s="4">
        <v>0</v>
      </c>
      <c r="V852" s="4">
        <v>49</v>
      </c>
      <c r="W852" s="4">
        <v>55</v>
      </c>
    </row>
    <row r="853" spans="1:23" ht="11.25" customHeight="1" x14ac:dyDescent="0.3">
      <c r="A853" s="4" t="s">
        <v>21</v>
      </c>
      <c r="B853" s="4" t="s">
        <v>22</v>
      </c>
      <c r="C853" s="4" t="s">
        <v>23</v>
      </c>
      <c r="D853" s="4" t="s">
        <v>24</v>
      </c>
      <c r="E853" s="4" t="s">
        <v>32</v>
      </c>
      <c r="F853" s="4" t="s">
        <v>25</v>
      </c>
      <c r="G853" s="4" t="s">
        <v>25</v>
      </c>
      <c r="H853" s="4" t="s">
        <v>25</v>
      </c>
      <c r="I853" s="5">
        <v>44531</v>
      </c>
      <c r="J853" s="6">
        <v>0</v>
      </c>
      <c r="K853" s="6">
        <v>0</v>
      </c>
      <c r="L853" s="6">
        <v>35.610999999999997</v>
      </c>
      <c r="M853" s="6">
        <v>35.610999999999997</v>
      </c>
      <c r="N853" s="6">
        <v>35.610999999999997</v>
      </c>
      <c r="O853" s="6">
        <v>35.610999999999997</v>
      </c>
      <c r="P853" s="6">
        <v>603</v>
      </c>
      <c r="Q853" s="4" t="s">
        <v>26</v>
      </c>
      <c r="R853" s="4">
        <v>0</v>
      </c>
      <c r="S853" s="4" t="s">
        <v>350</v>
      </c>
      <c r="T853" s="4" t="s">
        <v>572</v>
      </c>
      <c r="U853" s="4">
        <v>0</v>
      </c>
      <c r="V853" s="4">
        <v>49</v>
      </c>
      <c r="W853" s="4">
        <v>55</v>
      </c>
    </row>
    <row r="854" spans="1:23" ht="11.25" customHeight="1" x14ac:dyDescent="0.3">
      <c r="A854" s="4" t="s">
        <v>27</v>
      </c>
      <c r="B854" s="4" t="s">
        <v>22</v>
      </c>
      <c r="C854" s="4" t="s">
        <v>23</v>
      </c>
      <c r="D854" s="4" t="s">
        <v>24</v>
      </c>
      <c r="E854" s="4" t="s">
        <v>32</v>
      </c>
      <c r="F854" s="4" t="s">
        <v>25</v>
      </c>
      <c r="G854" s="4" t="s">
        <v>25</v>
      </c>
      <c r="H854" s="4" t="s">
        <v>25</v>
      </c>
      <c r="I854" s="5">
        <v>44531</v>
      </c>
      <c r="J854" s="6">
        <v>0</v>
      </c>
      <c r="K854" s="6">
        <v>0</v>
      </c>
      <c r="L854" s="6">
        <v>-3.6999999999999998E-2</v>
      </c>
      <c r="M854" s="6">
        <v>-3.6999999999999998E-2</v>
      </c>
      <c r="N854" s="6">
        <v>-3.6999999999999998E-2</v>
      </c>
      <c r="O854" s="6">
        <v>-3.6999999999999998E-2</v>
      </c>
      <c r="P854" s="6">
        <v>0</v>
      </c>
      <c r="Q854" s="4" t="s">
        <v>26</v>
      </c>
      <c r="R854" s="4">
        <v>0</v>
      </c>
      <c r="S854" s="4" t="s">
        <v>350</v>
      </c>
      <c r="T854" s="4" t="s">
        <v>572</v>
      </c>
      <c r="U854" s="4">
        <v>0</v>
      </c>
      <c r="V854" s="4">
        <v>49</v>
      </c>
      <c r="W854" s="4">
        <v>55</v>
      </c>
    </row>
    <row r="855" spans="1:23" ht="11.25" customHeight="1" x14ac:dyDescent="0.3">
      <c r="A855" s="4" t="s">
        <v>21</v>
      </c>
      <c r="B855" s="4" t="s">
        <v>22</v>
      </c>
      <c r="C855" s="4" t="s">
        <v>23</v>
      </c>
      <c r="D855" s="4" t="s">
        <v>24</v>
      </c>
      <c r="E855" s="4" t="s">
        <v>32</v>
      </c>
      <c r="F855" s="4" t="s">
        <v>25</v>
      </c>
      <c r="G855" s="4" t="s">
        <v>25</v>
      </c>
      <c r="H855" s="4" t="s">
        <v>25</v>
      </c>
      <c r="I855" s="5">
        <v>44562</v>
      </c>
      <c r="J855" s="6">
        <v>0</v>
      </c>
      <c r="K855" s="6">
        <v>0</v>
      </c>
      <c r="L855" s="6">
        <v>54.076999999999998</v>
      </c>
      <c r="M855" s="6">
        <v>54.076999999999998</v>
      </c>
      <c r="N855" s="6">
        <v>54.076999999999998</v>
      </c>
      <c r="O855" s="6">
        <v>54.076999999999998</v>
      </c>
      <c r="P855" s="6">
        <v>842</v>
      </c>
      <c r="Q855" s="4" t="s">
        <v>26</v>
      </c>
      <c r="R855" s="4">
        <v>0</v>
      </c>
      <c r="S855" s="4" t="s">
        <v>351</v>
      </c>
      <c r="T855" s="4" t="s">
        <v>573</v>
      </c>
      <c r="U855" s="4">
        <v>0</v>
      </c>
      <c r="V855" s="4">
        <v>49</v>
      </c>
      <c r="W855" s="4">
        <v>55</v>
      </c>
    </row>
    <row r="856" spans="1:23" ht="11.25" customHeight="1" x14ac:dyDescent="0.3">
      <c r="A856" s="4" t="s">
        <v>27</v>
      </c>
      <c r="B856" s="4" t="s">
        <v>22</v>
      </c>
      <c r="C856" s="4" t="s">
        <v>23</v>
      </c>
      <c r="D856" s="4" t="s">
        <v>24</v>
      </c>
      <c r="E856" s="4" t="s">
        <v>32</v>
      </c>
      <c r="F856" s="4" t="s">
        <v>25</v>
      </c>
      <c r="G856" s="4" t="s">
        <v>25</v>
      </c>
      <c r="H856" s="4" t="s">
        <v>25</v>
      </c>
      <c r="I856" s="5">
        <v>44562</v>
      </c>
      <c r="J856" s="6">
        <v>0</v>
      </c>
      <c r="K856" s="6">
        <v>0</v>
      </c>
      <c r="L856" s="6">
        <v>-0.54900000000000004</v>
      </c>
      <c r="M856" s="6">
        <v>-0.54900000000000004</v>
      </c>
      <c r="N856" s="6">
        <v>-0.54900000000000004</v>
      </c>
      <c r="O856" s="6">
        <v>-0.54900000000000004</v>
      </c>
      <c r="P856" s="6">
        <v>0</v>
      </c>
      <c r="Q856" s="4" t="s">
        <v>26</v>
      </c>
      <c r="R856" s="4">
        <v>0</v>
      </c>
      <c r="S856" s="4" t="s">
        <v>351</v>
      </c>
      <c r="T856" s="4" t="s">
        <v>573</v>
      </c>
      <c r="U856" s="4">
        <v>0</v>
      </c>
      <c r="V856" s="4">
        <v>49</v>
      </c>
      <c r="W856" s="4">
        <v>55</v>
      </c>
    </row>
    <row r="857" spans="1:23" ht="11.25" customHeight="1" x14ac:dyDescent="0.3">
      <c r="A857" s="4" t="s">
        <v>21</v>
      </c>
      <c r="B857" s="4" t="s">
        <v>22</v>
      </c>
      <c r="C857" s="4" t="s">
        <v>23</v>
      </c>
      <c r="D857" s="4" t="s">
        <v>24</v>
      </c>
      <c r="E857" s="4" t="s">
        <v>32</v>
      </c>
      <c r="F857" s="4" t="s">
        <v>25</v>
      </c>
      <c r="G857" s="4" t="s">
        <v>25</v>
      </c>
      <c r="H857" s="4" t="s">
        <v>25</v>
      </c>
      <c r="I857" s="5">
        <v>44593</v>
      </c>
      <c r="J857" s="6">
        <v>0</v>
      </c>
      <c r="K857" s="6">
        <v>0</v>
      </c>
      <c r="L857" s="6">
        <v>41.75</v>
      </c>
      <c r="M857" s="6">
        <v>41.75</v>
      </c>
      <c r="N857" s="6">
        <v>41.75</v>
      </c>
      <c r="O857" s="6">
        <v>41.75</v>
      </c>
      <c r="P857" s="6">
        <v>685</v>
      </c>
      <c r="Q857" s="4" t="s">
        <v>26</v>
      </c>
      <c r="R857" s="4">
        <v>0</v>
      </c>
      <c r="S857" s="4" t="s">
        <v>352</v>
      </c>
      <c r="T857" s="4" t="s">
        <v>574</v>
      </c>
      <c r="U857" s="4">
        <v>0</v>
      </c>
      <c r="V857" s="4">
        <v>49</v>
      </c>
      <c r="W857" s="4">
        <v>55</v>
      </c>
    </row>
    <row r="858" spans="1:23" ht="11.25" customHeight="1" x14ac:dyDescent="0.3">
      <c r="A858" s="4" t="s">
        <v>21</v>
      </c>
      <c r="B858" s="4" t="s">
        <v>22</v>
      </c>
      <c r="C858" s="4" t="s">
        <v>23</v>
      </c>
      <c r="D858" s="4" t="s">
        <v>24</v>
      </c>
      <c r="E858" s="4" t="s">
        <v>32</v>
      </c>
      <c r="F858" s="4" t="s">
        <v>25</v>
      </c>
      <c r="G858" s="4" t="s">
        <v>25</v>
      </c>
      <c r="H858" s="4" t="s">
        <v>25</v>
      </c>
      <c r="I858" s="5">
        <v>44621</v>
      </c>
      <c r="J858" s="6">
        <v>0</v>
      </c>
      <c r="K858" s="6">
        <v>0</v>
      </c>
      <c r="L858" s="6">
        <v>48.390999999999998</v>
      </c>
      <c r="M858" s="6">
        <v>48.390999999999998</v>
      </c>
      <c r="N858" s="6">
        <v>48.390999999999998</v>
      </c>
      <c r="O858" s="6">
        <v>48.390999999999998</v>
      </c>
      <c r="P858" s="6">
        <v>805</v>
      </c>
      <c r="Q858" s="4" t="s">
        <v>26</v>
      </c>
      <c r="R858" s="4">
        <v>0</v>
      </c>
      <c r="S858" s="4" t="s">
        <v>353</v>
      </c>
      <c r="T858" s="4" t="s">
        <v>575</v>
      </c>
      <c r="U858" s="4">
        <v>0</v>
      </c>
      <c r="V858" s="4">
        <v>49</v>
      </c>
      <c r="W858" s="4">
        <v>55</v>
      </c>
    </row>
    <row r="859" spans="1:23" ht="11.25" customHeight="1" x14ac:dyDescent="0.3">
      <c r="A859" s="4" t="s">
        <v>21</v>
      </c>
      <c r="B859" s="4" t="s">
        <v>22</v>
      </c>
      <c r="C859" s="4" t="s">
        <v>23</v>
      </c>
      <c r="D859" s="4" t="s">
        <v>24</v>
      </c>
      <c r="E859" s="4" t="s">
        <v>32</v>
      </c>
      <c r="F859" s="4" t="s">
        <v>25</v>
      </c>
      <c r="G859" s="4" t="s">
        <v>25</v>
      </c>
      <c r="H859" s="4" t="s">
        <v>25</v>
      </c>
      <c r="I859" s="5">
        <v>44652</v>
      </c>
      <c r="J859" s="6">
        <v>0</v>
      </c>
      <c r="K859" s="6">
        <v>0</v>
      </c>
      <c r="L859" s="6">
        <v>49.868000000000002</v>
      </c>
      <c r="M859" s="6">
        <v>49.868000000000002</v>
      </c>
      <c r="N859" s="6">
        <v>49.868000000000002</v>
      </c>
      <c r="O859" s="6">
        <v>49.868000000000002</v>
      </c>
      <c r="P859" s="6">
        <v>805</v>
      </c>
      <c r="Q859" s="4" t="s">
        <v>26</v>
      </c>
      <c r="R859" s="4">
        <v>0</v>
      </c>
      <c r="S859" s="4" t="s">
        <v>354</v>
      </c>
      <c r="T859" s="4" t="s">
        <v>576</v>
      </c>
      <c r="U859" s="4">
        <v>0</v>
      </c>
      <c r="V859" s="4">
        <v>49</v>
      </c>
      <c r="W859" s="4">
        <v>55</v>
      </c>
    </row>
    <row r="860" spans="1:23" ht="11.25" customHeight="1" x14ac:dyDescent="0.3">
      <c r="A860" s="4" t="s">
        <v>27</v>
      </c>
      <c r="B860" s="4" t="s">
        <v>22</v>
      </c>
      <c r="C860" s="4" t="s">
        <v>23</v>
      </c>
      <c r="D860" s="4" t="s">
        <v>24</v>
      </c>
      <c r="E860" s="4" t="s">
        <v>32</v>
      </c>
      <c r="F860" s="4" t="s">
        <v>25</v>
      </c>
      <c r="G860" s="4" t="s">
        <v>25</v>
      </c>
      <c r="H860" s="4" t="s">
        <v>25</v>
      </c>
      <c r="I860" s="5">
        <v>44652</v>
      </c>
      <c r="J860" s="6">
        <v>0</v>
      </c>
      <c r="K860" s="6">
        <v>0</v>
      </c>
      <c r="L860" s="6">
        <v>0.316</v>
      </c>
      <c r="M860" s="6">
        <v>0.316</v>
      </c>
      <c r="N860" s="6">
        <v>0.316</v>
      </c>
      <c r="O860" s="6">
        <v>0.316</v>
      </c>
      <c r="P860" s="6">
        <v>0</v>
      </c>
      <c r="Q860" s="4" t="s">
        <v>26</v>
      </c>
      <c r="R860" s="4">
        <v>0</v>
      </c>
      <c r="S860" s="4" t="s">
        <v>354</v>
      </c>
      <c r="T860" s="4" t="s">
        <v>576</v>
      </c>
      <c r="U860" s="4">
        <v>0</v>
      </c>
      <c r="V860" s="4">
        <v>49</v>
      </c>
      <c r="W860" s="4">
        <v>55</v>
      </c>
    </row>
    <row r="861" spans="1:23" ht="11.25" customHeight="1" x14ac:dyDescent="0.3">
      <c r="A861" s="4" t="s">
        <v>21</v>
      </c>
      <c r="B861" s="4" t="s">
        <v>22</v>
      </c>
      <c r="C861" s="4" t="s">
        <v>23</v>
      </c>
      <c r="D861" s="4" t="s">
        <v>24</v>
      </c>
      <c r="E861" s="4" t="s">
        <v>32</v>
      </c>
      <c r="F861" s="4" t="s">
        <v>25</v>
      </c>
      <c r="G861" s="4" t="s">
        <v>25</v>
      </c>
      <c r="H861" s="4" t="s">
        <v>25</v>
      </c>
      <c r="I861" s="5">
        <v>44682</v>
      </c>
      <c r="J861" s="6">
        <v>0</v>
      </c>
      <c r="K861" s="6">
        <v>0</v>
      </c>
      <c r="L861" s="6">
        <v>54.363999999999997</v>
      </c>
      <c r="M861" s="6">
        <v>54.363999999999997</v>
      </c>
      <c r="N861" s="6">
        <v>54.363999999999997</v>
      </c>
      <c r="O861" s="6">
        <v>54.363999999999997</v>
      </c>
      <c r="P861" s="6">
        <v>895</v>
      </c>
      <c r="Q861" s="4" t="s">
        <v>26</v>
      </c>
      <c r="R861" s="4">
        <v>0</v>
      </c>
      <c r="S861" s="4" t="s">
        <v>355</v>
      </c>
      <c r="T861" s="4" t="s">
        <v>577</v>
      </c>
      <c r="U861" s="4">
        <v>0</v>
      </c>
      <c r="V861" s="4">
        <v>49</v>
      </c>
      <c r="W861" s="4">
        <v>55</v>
      </c>
    </row>
    <row r="862" spans="1:23" ht="11.25" customHeight="1" x14ac:dyDescent="0.3">
      <c r="A862" s="4" t="s">
        <v>27</v>
      </c>
      <c r="B862" s="4" t="s">
        <v>22</v>
      </c>
      <c r="C862" s="4" t="s">
        <v>23</v>
      </c>
      <c r="D862" s="4" t="s">
        <v>24</v>
      </c>
      <c r="E862" s="4" t="s">
        <v>32</v>
      </c>
      <c r="F862" s="4" t="s">
        <v>25</v>
      </c>
      <c r="G862" s="4" t="s">
        <v>25</v>
      </c>
      <c r="H862" s="4" t="s">
        <v>25</v>
      </c>
      <c r="I862" s="5">
        <v>44682</v>
      </c>
      <c r="J862" s="6">
        <v>0</v>
      </c>
      <c r="K862" s="6">
        <v>0</v>
      </c>
      <c r="L862" s="6">
        <v>-0.17899999999999999</v>
      </c>
      <c r="M862" s="6">
        <v>-0.17899999999999999</v>
      </c>
      <c r="N862" s="6">
        <v>-0.17899999999999999</v>
      </c>
      <c r="O862" s="6">
        <v>-0.17899999999999999</v>
      </c>
      <c r="P862" s="6">
        <v>0</v>
      </c>
      <c r="Q862" s="4" t="s">
        <v>26</v>
      </c>
      <c r="R862" s="4">
        <v>0</v>
      </c>
      <c r="S862" s="4" t="s">
        <v>355</v>
      </c>
      <c r="T862" s="4" t="s">
        <v>577</v>
      </c>
      <c r="U862" s="4">
        <v>0</v>
      </c>
      <c r="V862" s="4">
        <v>49</v>
      </c>
      <c r="W862" s="4">
        <v>55</v>
      </c>
    </row>
    <row r="863" spans="1:23" ht="11.25" customHeight="1" x14ac:dyDescent="0.3">
      <c r="A863" s="4" t="s">
        <v>21</v>
      </c>
      <c r="B863" s="4" t="s">
        <v>22</v>
      </c>
      <c r="C863" s="4" t="s">
        <v>23</v>
      </c>
      <c r="D863" s="4" t="s">
        <v>24</v>
      </c>
      <c r="E863" s="4" t="s">
        <v>32</v>
      </c>
      <c r="F863" s="4" t="s">
        <v>25</v>
      </c>
      <c r="G863" s="4" t="s">
        <v>25</v>
      </c>
      <c r="H863" s="4" t="s">
        <v>25</v>
      </c>
      <c r="I863" s="5">
        <v>44713</v>
      </c>
      <c r="J863" s="6">
        <v>0</v>
      </c>
      <c r="K863" s="6">
        <v>0</v>
      </c>
      <c r="L863" s="6">
        <v>53.680999999999997</v>
      </c>
      <c r="M863" s="6">
        <v>53.680999999999997</v>
      </c>
      <c r="N863" s="6">
        <v>53.680999999999997</v>
      </c>
      <c r="O863" s="6">
        <v>53.680999999999997</v>
      </c>
      <c r="P863" s="6">
        <v>833</v>
      </c>
      <c r="Q863" s="4" t="s">
        <v>26</v>
      </c>
      <c r="R863" s="4">
        <v>0</v>
      </c>
      <c r="S863" s="4" t="s">
        <v>356</v>
      </c>
      <c r="T863" s="4" t="s">
        <v>578</v>
      </c>
      <c r="U863" s="4">
        <v>0</v>
      </c>
      <c r="V863" s="4">
        <v>49</v>
      </c>
      <c r="W863" s="4">
        <v>55</v>
      </c>
    </row>
    <row r="864" spans="1:23" ht="11.25" customHeight="1" x14ac:dyDescent="0.3">
      <c r="A864" s="4" t="s">
        <v>21</v>
      </c>
      <c r="B864" s="4" t="s">
        <v>22</v>
      </c>
      <c r="C864" s="4" t="s">
        <v>23</v>
      </c>
      <c r="D864" s="4" t="s">
        <v>24</v>
      </c>
      <c r="E864" s="4" t="s">
        <v>32</v>
      </c>
      <c r="F864" s="4" t="s">
        <v>25</v>
      </c>
      <c r="G864" s="4" t="s">
        <v>25</v>
      </c>
      <c r="H864" s="4" t="s">
        <v>25</v>
      </c>
      <c r="I864" s="5">
        <v>44743</v>
      </c>
      <c r="J864" s="6">
        <v>0</v>
      </c>
      <c r="K864" s="6">
        <v>0</v>
      </c>
      <c r="L864" s="6">
        <v>59.723999999999997</v>
      </c>
      <c r="M864" s="6">
        <v>59.723999999999997</v>
      </c>
      <c r="N864" s="6">
        <v>59.723999999999997</v>
      </c>
      <c r="O864" s="6">
        <v>59.723999999999997</v>
      </c>
      <c r="P864" s="6">
        <v>905</v>
      </c>
      <c r="Q864" s="4" t="s">
        <v>26</v>
      </c>
      <c r="R864" s="4">
        <v>0</v>
      </c>
      <c r="S864" s="4" t="s">
        <v>357</v>
      </c>
      <c r="T864" s="4" t="s">
        <v>579</v>
      </c>
      <c r="U864" s="4">
        <v>0</v>
      </c>
      <c r="V864" s="4">
        <v>49</v>
      </c>
      <c r="W864" s="4">
        <v>55</v>
      </c>
    </row>
    <row r="865" spans="1:23" ht="11.25" customHeight="1" x14ac:dyDescent="0.3">
      <c r="A865" s="4" t="s">
        <v>21</v>
      </c>
      <c r="B865" s="4" t="s">
        <v>22</v>
      </c>
      <c r="C865" s="4" t="s">
        <v>23</v>
      </c>
      <c r="D865" s="4" t="s">
        <v>24</v>
      </c>
      <c r="E865" s="4" t="s">
        <v>32</v>
      </c>
      <c r="F865" s="4" t="s">
        <v>25</v>
      </c>
      <c r="G865" s="4" t="s">
        <v>25</v>
      </c>
      <c r="H865" s="4" t="s">
        <v>25</v>
      </c>
      <c r="I865" s="5">
        <v>44774</v>
      </c>
      <c r="J865" s="6">
        <v>0</v>
      </c>
      <c r="K865" s="6">
        <v>0</v>
      </c>
      <c r="L865" s="6">
        <v>51.945999999999998</v>
      </c>
      <c r="M865" s="6">
        <v>51.945999999999998</v>
      </c>
      <c r="N865" s="6">
        <v>51.945999999999998</v>
      </c>
      <c r="O865" s="6">
        <v>51.945999999999998</v>
      </c>
      <c r="P865" s="6">
        <v>847</v>
      </c>
      <c r="Q865" s="4" t="s">
        <v>26</v>
      </c>
      <c r="R865" s="4">
        <v>0</v>
      </c>
      <c r="S865" s="4" t="s">
        <v>358</v>
      </c>
      <c r="T865" s="4" t="s">
        <v>580</v>
      </c>
      <c r="U865" s="4">
        <v>0</v>
      </c>
      <c r="V865" s="4">
        <v>49</v>
      </c>
      <c r="W865" s="4">
        <v>55</v>
      </c>
    </row>
    <row r="866" spans="1:23" ht="11.25" customHeight="1" x14ac:dyDescent="0.3">
      <c r="A866" s="4" t="s">
        <v>27</v>
      </c>
      <c r="B866" s="4" t="s">
        <v>22</v>
      </c>
      <c r="C866" s="4" t="s">
        <v>23</v>
      </c>
      <c r="D866" s="4" t="s">
        <v>24</v>
      </c>
      <c r="E866" s="4" t="s">
        <v>32</v>
      </c>
      <c r="F866" s="4" t="s">
        <v>25</v>
      </c>
      <c r="G866" s="4" t="s">
        <v>25</v>
      </c>
      <c r="H866" s="4" t="s">
        <v>25</v>
      </c>
      <c r="I866" s="5">
        <v>44774</v>
      </c>
      <c r="J866" s="6">
        <v>0</v>
      </c>
      <c r="K866" s="6">
        <v>0</v>
      </c>
      <c r="L866" s="6">
        <v>-0.115</v>
      </c>
      <c r="M866" s="6">
        <v>-0.115</v>
      </c>
      <c r="N866" s="6">
        <v>-0.115</v>
      </c>
      <c r="O866" s="6">
        <v>-0.115</v>
      </c>
      <c r="P866" s="6">
        <v>0</v>
      </c>
      <c r="Q866" s="4" t="s">
        <v>26</v>
      </c>
      <c r="R866" s="4">
        <v>0</v>
      </c>
      <c r="S866" s="4" t="s">
        <v>358</v>
      </c>
      <c r="T866" s="4" t="s">
        <v>580</v>
      </c>
      <c r="U866" s="4">
        <v>0</v>
      </c>
      <c r="V866" s="4">
        <v>49</v>
      </c>
      <c r="W866" s="4">
        <v>55</v>
      </c>
    </row>
    <row r="867" spans="1:23" ht="11.25" customHeight="1" x14ac:dyDescent="0.3">
      <c r="A867" s="4" t="s">
        <v>21</v>
      </c>
      <c r="B867" s="4" t="s">
        <v>22</v>
      </c>
      <c r="C867" s="4" t="s">
        <v>23</v>
      </c>
      <c r="D867" s="4" t="s">
        <v>24</v>
      </c>
      <c r="E867" s="4" t="s">
        <v>32</v>
      </c>
      <c r="F867" s="4" t="s">
        <v>25</v>
      </c>
      <c r="G867" s="4" t="s">
        <v>25</v>
      </c>
      <c r="H867" s="4" t="s">
        <v>25</v>
      </c>
      <c r="I867" s="5">
        <v>44805</v>
      </c>
      <c r="J867" s="6">
        <v>0</v>
      </c>
      <c r="K867" s="6">
        <v>0</v>
      </c>
      <c r="L867" s="6">
        <v>72.566999999999993</v>
      </c>
      <c r="M867" s="6">
        <v>72.566999999999993</v>
      </c>
      <c r="N867" s="6">
        <v>72.566999999999993</v>
      </c>
      <c r="O867" s="6">
        <v>72.566999999999993</v>
      </c>
      <c r="P867" s="6">
        <v>1110</v>
      </c>
      <c r="Q867" s="4" t="s">
        <v>26</v>
      </c>
      <c r="R867" s="4">
        <v>0</v>
      </c>
      <c r="S867" s="4" t="s">
        <v>359</v>
      </c>
      <c r="T867" s="4" t="s">
        <v>581</v>
      </c>
      <c r="U867" s="4">
        <v>0</v>
      </c>
      <c r="V867" s="4">
        <v>49</v>
      </c>
      <c r="W867" s="4">
        <v>55</v>
      </c>
    </row>
    <row r="868" spans="1:23" ht="11.25" customHeight="1" x14ac:dyDescent="0.3">
      <c r="A868" s="4" t="s">
        <v>53</v>
      </c>
      <c r="B868" s="4" t="s">
        <v>22</v>
      </c>
      <c r="C868" s="4" t="s">
        <v>23</v>
      </c>
      <c r="D868" s="4" t="s">
        <v>24</v>
      </c>
      <c r="E868" s="4" t="s">
        <v>32</v>
      </c>
      <c r="F868" s="4" t="s">
        <v>25</v>
      </c>
      <c r="G868" s="4" t="s">
        <v>25</v>
      </c>
      <c r="H868" s="4" t="s">
        <v>25</v>
      </c>
      <c r="I868" s="5">
        <v>44835</v>
      </c>
      <c r="J868" s="6">
        <v>0</v>
      </c>
      <c r="K868" s="6">
        <v>0</v>
      </c>
      <c r="L868" s="6">
        <v>72.566999999999993</v>
      </c>
      <c r="M868" s="6">
        <v>72.566999999999993</v>
      </c>
      <c r="N868" s="6">
        <v>72.566999999999993</v>
      </c>
      <c r="O868" s="6">
        <v>72.566999999999993</v>
      </c>
      <c r="P868" s="6">
        <v>1110</v>
      </c>
      <c r="Q868" s="4" t="s">
        <v>26</v>
      </c>
      <c r="R868" s="4">
        <v>0</v>
      </c>
      <c r="S868" s="4" t="s">
        <v>360</v>
      </c>
      <c r="T868" s="4" t="s">
        <v>582</v>
      </c>
      <c r="U868" s="4">
        <v>0</v>
      </c>
      <c r="V868" s="4">
        <v>49</v>
      </c>
      <c r="W868" s="4">
        <v>55</v>
      </c>
    </row>
    <row r="869" spans="1:23" ht="11.25" customHeight="1" x14ac:dyDescent="0.3">
      <c r="A869" s="4" t="s">
        <v>21</v>
      </c>
      <c r="B869" s="4" t="s">
        <v>44</v>
      </c>
      <c r="C869" s="4" t="s">
        <v>23</v>
      </c>
      <c r="D869" s="4" t="s">
        <v>45</v>
      </c>
      <c r="E869" s="4" t="s">
        <v>25</v>
      </c>
      <c r="F869" s="4" t="s">
        <v>25</v>
      </c>
      <c r="G869" s="4" t="s">
        <v>25</v>
      </c>
      <c r="H869" s="4" t="s">
        <v>25</v>
      </c>
      <c r="I869" s="5">
        <v>44501</v>
      </c>
      <c r="J869" s="6">
        <v>0</v>
      </c>
      <c r="K869" s="6">
        <v>0</v>
      </c>
      <c r="L869" s="6">
        <v>300.41300000000001</v>
      </c>
      <c r="M869" s="6">
        <v>300.41300000000001</v>
      </c>
      <c r="N869" s="6">
        <v>300.41300000000001</v>
      </c>
      <c r="O869" s="6">
        <v>300.41300000000001</v>
      </c>
      <c r="P869" s="6">
        <v>449</v>
      </c>
      <c r="Q869" s="4" t="s">
        <v>26</v>
      </c>
      <c r="R869" s="4">
        <v>0</v>
      </c>
      <c r="S869" s="4" t="s">
        <v>361</v>
      </c>
      <c r="T869" s="4" t="s">
        <v>583</v>
      </c>
      <c r="U869" s="4">
        <v>0</v>
      </c>
      <c r="V869" s="4">
        <v>47</v>
      </c>
      <c r="W869" s="4">
        <v>109</v>
      </c>
    </row>
    <row r="870" spans="1:23" ht="11.25" customHeight="1" x14ac:dyDescent="0.3">
      <c r="A870" s="4" t="s">
        <v>27</v>
      </c>
      <c r="B870" s="4" t="s">
        <v>44</v>
      </c>
      <c r="C870" s="4" t="s">
        <v>23</v>
      </c>
      <c r="D870" s="4" t="s">
        <v>45</v>
      </c>
      <c r="E870" s="4" t="s">
        <v>25</v>
      </c>
      <c r="F870" s="4" t="s">
        <v>25</v>
      </c>
      <c r="G870" s="4" t="s">
        <v>25</v>
      </c>
      <c r="H870" s="4" t="s">
        <v>25</v>
      </c>
      <c r="I870" s="5">
        <v>44501</v>
      </c>
      <c r="J870" s="6">
        <v>0</v>
      </c>
      <c r="K870" s="6">
        <v>0</v>
      </c>
      <c r="L870" s="6">
        <v>-2.4</v>
      </c>
      <c r="M870" s="6">
        <v>-2.4</v>
      </c>
      <c r="N870" s="6">
        <v>-2.4</v>
      </c>
      <c r="O870" s="6">
        <v>-2.4</v>
      </c>
      <c r="P870" s="6">
        <v>0</v>
      </c>
      <c r="Q870" s="4" t="s">
        <v>26</v>
      </c>
      <c r="R870" s="4">
        <v>0</v>
      </c>
      <c r="S870" s="4" t="s">
        <v>361</v>
      </c>
      <c r="T870" s="4" t="s">
        <v>583</v>
      </c>
      <c r="U870" s="4">
        <v>0</v>
      </c>
      <c r="V870" s="4">
        <v>47</v>
      </c>
      <c r="W870" s="4">
        <v>109</v>
      </c>
    </row>
    <row r="871" spans="1:23" ht="11.25" customHeight="1" x14ac:dyDescent="0.3">
      <c r="A871" s="4" t="s">
        <v>28</v>
      </c>
      <c r="B871" s="4" t="s">
        <v>44</v>
      </c>
      <c r="C871" s="4" t="s">
        <v>23</v>
      </c>
      <c r="D871" s="4" t="s">
        <v>45</v>
      </c>
      <c r="E871" s="4" t="s">
        <v>25</v>
      </c>
      <c r="F871" s="4" t="s">
        <v>25</v>
      </c>
      <c r="G871" s="4" t="s">
        <v>25</v>
      </c>
      <c r="H871" s="4" t="s">
        <v>25</v>
      </c>
      <c r="I871" s="5">
        <v>44501</v>
      </c>
      <c r="J871" s="6">
        <v>0</v>
      </c>
      <c r="K871" s="6">
        <v>0</v>
      </c>
      <c r="L871" s="6">
        <v>6.0369999999999999</v>
      </c>
      <c r="M871" s="6">
        <v>6.0369999999999999</v>
      </c>
      <c r="N871" s="6">
        <v>6.0369999999999999</v>
      </c>
      <c r="O871" s="6">
        <v>6.0369999999999999</v>
      </c>
      <c r="P871" s="6">
        <v>25</v>
      </c>
      <c r="Q871" s="4" t="s">
        <v>26</v>
      </c>
      <c r="R871" s="4">
        <v>0</v>
      </c>
      <c r="S871" s="4" t="s">
        <v>361</v>
      </c>
      <c r="T871" s="4" t="s">
        <v>583</v>
      </c>
      <c r="U871" s="4">
        <v>0</v>
      </c>
      <c r="V871" s="4">
        <v>47</v>
      </c>
      <c r="W871" s="4">
        <v>109</v>
      </c>
    </row>
    <row r="872" spans="1:23" ht="11.25" customHeight="1" x14ac:dyDescent="0.3">
      <c r="A872" s="4" t="s">
        <v>28</v>
      </c>
      <c r="B872" s="4" t="s">
        <v>44</v>
      </c>
      <c r="C872" s="4" t="s">
        <v>23</v>
      </c>
      <c r="D872" s="4" t="s">
        <v>45</v>
      </c>
      <c r="E872" s="4" t="s">
        <v>25</v>
      </c>
      <c r="F872" s="4" t="s">
        <v>25</v>
      </c>
      <c r="G872" s="4" t="s">
        <v>25</v>
      </c>
      <c r="H872" s="4" t="s">
        <v>25</v>
      </c>
      <c r="I872" s="5">
        <v>44501</v>
      </c>
      <c r="J872" s="6">
        <v>0</v>
      </c>
      <c r="K872" s="6">
        <v>0</v>
      </c>
      <c r="L872" s="6">
        <v>1.08</v>
      </c>
      <c r="M872" s="6">
        <v>1.08</v>
      </c>
      <c r="N872" s="6">
        <v>1.08</v>
      </c>
      <c r="O872" s="6">
        <v>1.08</v>
      </c>
      <c r="P872" s="6">
        <v>1</v>
      </c>
      <c r="Q872" s="4" t="s">
        <v>26</v>
      </c>
      <c r="R872" s="4">
        <v>0</v>
      </c>
      <c r="S872" s="4" t="s">
        <v>361</v>
      </c>
      <c r="T872" s="4" t="s">
        <v>583</v>
      </c>
      <c r="U872" s="4">
        <v>0</v>
      </c>
      <c r="V872" s="4">
        <v>47</v>
      </c>
      <c r="W872" s="4">
        <v>109</v>
      </c>
    </row>
    <row r="873" spans="1:23" ht="11.25" customHeight="1" x14ac:dyDescent="0.3">
      <c r="A873" s="4" t="s">
        <v>21</v>
      </c>
      <c r="B873" s="4" t="s">
        <v>44</v>
      </c>
      <c r="C873" s="4" t="s">
        <v>23</v>
      </c>
      <c r="D873" s="4" t="s">
        <v>45</v>
      </c>
      <c r="E873" s="4" t="s">
        <v>25</v>
      </c>
      <c r="F873" s="4" t="s">
        <v>25</v>
      </c>
      <c r="G873" s="4" t="s">
        <v>25</v>
      </c>
      <c r="H873" s="4" t="s">
        <v>25</v>
      </c>
      <c r="I873" s="5">
        <v>44531</v>
      </c>
      <c r="J873" s="6">
        <v>0</v>
      </c>
      <c r="K873" s="6">
        <v>0</v>
      </c>
      <c r="L873" s="6">
        <v>289.67899999999997</v>
      </c>
      <c r="M873" s="6">
        <v>289.67899999999997</v>
      </c>
      <c r="N873" s="6">
        <v>289.67899999999997</v>
      </c>
      <c r="O873" s="6">
        <v>289.67899999999997</v>
      </c>
      <c r="P873" s="6">
        <v>448</v>
      </c>
      <c r="Q873" s="4" t="s">
        <v>26</v>
      </c>
      <c r="R873" s="4">
        <v>0</v>
      </c>
      <c r="S873" s="4" t="s">
        <v>362</v>
      </c>
      <c r="T873" s="4" t="s">
        <v>584</v>
      </c>
      <c r="U873" s="4">
        <v>0</v>
      </c>
      <c r="V873" s="4">
        <v>47</v>
      </c>
      <c r="W873" s="4">
        <v>109</v>
      </c>
    </row>
    <row r="874" spans="1:23" ht="11.25" customHeight="1" x14ac:dyDescent="0.3">
      <c r="A874" s="4" t="s">
        <v>27</v>
      </c>
      <c r="B874" s="4" t="s">
        <v>44</v>
      </c>
      <c r="C874" s="4" t="s">
        <v>23</v>
      </c>
      <c r="D874" s="4" t="s">
        <v>45</v>
      </c>
      <c r="E874" s="4" t="s">
        <v>25</v>
      </c>
      <c r="F874" s="4" t="s">
        <v>25</v>
      </c>
      <c r="G874" s="4" t="s">
        <v>25</v>
      </c>
      <c r="H874" s="4" t="s">
        <v>25</v>
      </c>
      <c r="I874" s="5">
        <v>44531</v>
      </c>
      <c r="J874" s="6">
        <v>0</v>
      </c>
      <c r="K874" s="6">
        <v>0</v>
      </c>
      <c r="L874" s="6">
        <v>-0.74</v>
      </c>
      <c r="M874" s="6">
        <v>-0.74</v>
      </c>
      <c r="N874" s="6">
        <v>-0.74</v>
      </c>
      <c r="O874" s="6">
        <v>-0.74</v>
      </c>
      <c r="P874" s="6">
        <v>0</v>
      </c>
      <c r="Q874" s="4" t="s">
        <v>26</v>
      </c>
      <c r="R874" s="4">
        <v>0</v>
      </c>
      <c r="S874" s="4" t="s">
        <v>362</v>
      </c>
      <c r="T874" s="4" t="s">
        <v>584</v>
      </c>
      <c r="U874" s="4">
        <v>0</v>
      </c>
      <c r="V874" s="4">
        <v>47</v>
      </c>
      <c r="W874" s="4">
        <v>109</v>
      </c>
    </row>
    <row r="875" spans="1:23" ht="11.25" customHeight="1" x14ac:dyDescent="0.3">
      <c r="A875" s="4" t="s">
        <v>28</v>
      </c>
      <c r="B875" s="4" t="s">
        <v>44</v>
      </c>
      <c r="C875" s="4" t="s">
        <v>23</v>
      </c>
      <c r="D875" s="4" t="s">
        <v>45</v>
      </c>
      <c r="E875" s="4" t="s">
        <v>25</v>
      </c>
      <c r="F875" s="4" t="s">
        <v>25</v>
      </c>
      <c r="G875" s="4" t="s">
        <v>25</v>
      </c>
      <c r="H875" s="4" t="s">
        <v>25</v>
      </c>
      <c r="I875" s="5">
        <v>44531</v>
      </c>
      <c r="J875" s="6">
        <v>0</v>
      </c>
      <c r="K875" s="6">
        <v>0</v>
      </c>
      <c r="L875" s="6">
        <v>6.6429999999999998</v>
      </c>
      <c r="M875" s="6">
        <v>6.6429999999999998</v>
      </c>
      <c r="N875" s="6">
        <v>6.6429999999999998</v>
      </c>
      <c r="O875" s="6">
        <v>6.6429999999999998</v>
      </c>
      <c r="P875" s="6">
        <v>26</v>
      </c>
      <c r="Q875" s="4" t="s">
        <v>26</v>
      </c>
      <c r="R875" s="4">
        <v>0</v>
      </c>
      <c r="S875" s="4" t="s">
        <v>362</v>
      </c>
      <c r="T875" s="4" t="s">
        <v>584</v>
      </c>
      <c r="U875" s="4">
        <v>0</v>
      </c>
      <c r="V875" s="4">
        <v>47</v>
      </c>
      <c r="W875" s="4">
        <v>109</v>
      </c>
    </row>
    <row r="876" spans="1:23" ht="11.25" customHeight="1" x14ac:dyDescent="0.3">
      <c r="A876" s="4" t="s">
        <v>28</v>
      </c>
      <c r="B876" s="4" t="s">
        <v>44</v>
      </c>
      <c r="C876" s="4" t="s">
        <v>23</v>
      </c>
      <c r="D876" s="4" t="s">
        <v>45</v>
      </c>
      <c r="E876" s="4" t="s">
        <v>25</v>
      </c>
      <c r="F876" s="4" t="s">
        <v>25</v>
      </c>
      <c r="G876" s="4" t="s">
        <v>25</v>
      </c>
      <c r="H876" s="4" t="s">
        <v>25</v>
      </c>
      <c r="I876" s="5">
        <v>44531</v>
      </c>
      <c r="J876" s="6">
        <v>0</v>
      </c>
      <c r="K876" s="6">
        <v>0</v>
      </c>
      <c r="L876" s="6">
        <v>0.05</v>
      </c>
      <c r="M876" s="6">
        <v>0.05</v>
      </c>
      <c r="N876" s="6">
        <v>0.05</v>
      </c>
      <c r="O876" s="6">
        <v>0.05</v>
      </c>
      <c r="P876" s="6">
        <v>1</v>
      </c>
      <c r="Q876" s="4" t="s">
        <v>26</v>
      </c>
      <c r="R876" s="4">
        <v>0</v>
      </c>
      <c r="S876" s="4" t="s">
        <v>362</v>
      </c>
      <c r="T876" s="4" t="s">
        <v>584</v>
      </c>
      <c r="U876" s="4">
        <v>0</v>
      </c>
      <c r="V876" s="4">
        <v>47</v>
      </c>
      <c r="W876" s="4">
        <v>109</v>
      </c>
    </row>
    <row r="877" spans="1:23" ht="11.25" customHeight="1" x14ac:dyDescent="0.3">
      <c r="A877" s="4" t="s">
        <v>21</v>
      </c>
      <c r="B877" s="4" t="s">
        <v>44</v>
      </c>
      <c r="C877" s="4" t="s">
        <v>23</v>
      </c>
      <c r="D877" s="4" t="s">
        <v>45</v>
      </c>
      <c r="E877" s="4" t="s">
        <v>25</v>
      </c>
      <c r="F877" s="4" t="s">
        <v>25</v>
      </c>
      <c r="G877" s="4" t="s">
        <v>25</v>
      </c>
      <c r="H877" s="4" t="s">
        <v>25</v>
      </c>
      <c r="I877" s="5">
        <v>44562</v>
      </c>
      <c r="J877" s="6">
        <v>0</v>
      </c>
      <c r="K877" s="6">
        <v>0</v>
      </c>
      <c r="L877" s="6">
        <v>317.97500000000002</v>
      </c>
      <c r="M877" s="6">
        <v>317.97500000000002</v>
      </c>
      <c r="N877" s="6">
        <v>317.97500000000002</v>
      </c>
      <c r="O877" s="6">
        <v>317.97500000000002</v>
      </c>
      <c r="P877" s="6">
        <v>444</v>
      </c>
      <c r="Q877" s="4" t="s">
        <v>26</v>
      </c>
      <c r="R877" s="4">
        <v>0</v>
      </c>
      <c r="S877" s="4" t="s">
        <v>363</v>
      </c>
      <c r="T877" s="4" t="s">
        <v>585</v>
      </c>
      <c r="U877" s="4">
        <v>0</v>
      </c>
      <c r="V877" s="4">
        <v>47</v>
      </c>
      <c r="W877" s="4">
        <v>109</v>
      </c>
    </row>
    <row r="878" spans="1:23" ht="11.25" customHeight="1" x14ac:dyDescent="0.3">
      <c r="A878" s="4" t="s">
        <v>27</v>
      </c>
      <c r="B878" s="4" t="s">
        <v>44</v>
      </c>
      <c r="C878" s="4" t="s">
        <v>23</v>
      </c>
      <c r="D878" s="4" t="s">
        <v>45</v>
      </c>
      <c r="E878" s="4" t="s">
        <v>25</v>
      </c>
      <c r="F878" s="4" t="s">
        <v>25</v>
      </c>
      <c r="G878" s="4" t="s">
        <v>25</v>
      </c>
      <c r="H878" s="4" t="s">
        <v>25</v>
      </c>
      <c r="I878" s="5">
        <v>44562</v>
      </c>
      <c r="J878" s="6">
        <v>0</v>
      </c>
      <c r="K878" s="6">
        <v>0</v>
      </c>
      <c r="L878" s="6">
        <v>-0.99299999999999999</v>
      </c>
      <c r="M878" s="6">
        <v>-0.99299999999999999</v>
      </c>
      <c r="N878" s="6">
        <v>-0.99299999999999999</v>
      </c>
      <c r="O878" s="6">
        <v>-0.99299999999999999</v>
      </c>
      <c r="P878" s="6">
        <v>0</v>
      </c>
      <c r="Q878" s="4" t="s">
        <v>26</v>
      </c>
      <c r="R878" s="4">
        <v>0</v>
      </c>
      <c r="S878" s="4" t="s">
        <v>363</v>
      </c>
      <c r="T878" s="4" t="s">
        <v>585</v>
      </c>
      <c r="U878" s="4">
        <v>0</v>
      </c>
      <c r="V878" s="4">
        <v>47</v>
      </c>
      <c r="W878" s="4">
        <v>109</v>
      </c>
    </row>
    <row r="879" spans="1:23" ht="11.25" customHeight="1" x14ac:dyDescent="0.3">
      <c r="A879" s="4" t="s">
        <v>28</v>
      </c>
      <c r="B879" s="4" t="s">
        <v>44</v>
      </c>
      <c r="C879" s="4" t="s">
        <v>23</v>
      </c>
      <c r="D879" s="4" t="s">
        <v>45</v>
      </c>
      <c r="E879" s="4" t="s">
        <v>25</v>
      </c>
      <c r="F879" s="4" t="s">
        <v>25</v>
      </c>
      <c r="G879" s="4" t="s">
        <v>25</v>
      </c>
      <c r="H879" s="4" t="s">
        <v>25</v>
      </c>
      <c r="I879" s="5">
        <v>44562</v>
      </c>
      <c r="J879" s="6">
        <v>0</v>
      </c>
      <c r="K879" s="6">
        <v>0</v>
      </c>
      <c r="L879" s="6">
        <v>8.84</v>
      </c>
      <c r="M879" s="6">
        <v>8.84</v>
      </c>
      <c r="N879" s="6">
        <v>8.84</v>
      </c>
      <c r="O879" s="6">
        <v>8.84</v>
      </c>
      <c r="P879" s="6">
        <v>31</v>
      </c>
      <c r="Q879" s="4" t="s">
        <v>26</v>
      </c>
      <c r="R879" s="4">
        <v>0</v>
      </c>
      <c r="S879" s="4" t="s">
        <v>363</v>
      </c>
      <c r="T879" s="4" t="s">
        <v>585</v>
      </c>
      <c r="U879" s="4">
        <v>0</v>
      </c>
      <c r="V879" s="4">
        <v>47</v>
      </c>
      <c r="W879" s="4">
        <v>109</v>
      </c>
    </row>
    <row r="880" spans="1:23" ht="11.25" customHeight="1" x14ac:dyDescent="0.3">
      <c r="A880" s="4" t="s">
        <v>21</v>
      </c>
      <c r="B880" s="4" t="s">
        <v>44</v>
      </c>
      <c r="C880" s="4" t="s">
        <v>23</v>
      </c>
      <c r="D880" s="4" t="s">
        <v>45</v>
      </c>
      <c r="E880" s="4" t="s">
        <v>25</v>
      </c>
      <c r="F880" s="4" t="s">
        <v>25</v>
      </c>
      <c r="G880" s="4" t="s">
        <v>25</v>
      </c>
      <c r="H880" s="4" t="s">
        <v>25</v>
      </c>
      <c r="I880" s="5">
        <v>44593</v>
      </c>
      <c r="J880" s="6">
        <v>0</v>
      </c>
      <c r="K880" s="6">
        <v>0</v>
      </c>
      <c r="L880" s="6">
        <v>277.06900000000002</v>
      </c>
      <c r="M880" s="6">
        <v>277.06900000000002</v>
      </c>
      <c r="N880" s="6">
        <v>277.06900000000002</v>
      </c>
      <c r="O880" s="6">
        <v>277.06900000000002</v>
      </c>
      <c r="P880" s="6">
        <v>440</v>
      </c>
      <c r="Q880" s="4" t="s">
        <v>26</v>
      </c>
      <c r="R880" s="4">
        <v>0</v>
      </c>
      <c r="S880" s="4" t="s">
        <v>364</v>
      </c>
      <c r="T880" s="4" t="s">
        <v>586</v>
      </c>
      <c r="U880" s="4">
        <v>0</v>
      </c>
      <c r="V880" s="4">
        <v>47</v>
      </c>
      <c r="W880" s="4">
        <v>109</v>
      </c>
    </row>
    <row r="881" spans="1:23" ht="11.25" customHeight="1" x14ac:dyDescent="0.3">
      <c r="A881" s="4" t="s">
        <v>27</v>
      </c>
      <c r="B881" s="4" t="s">
        <v>44</v>
      </c>
      <c r="C881" s="4" t="s">
        <v>23</v>
      </c>
      <c r="D881" s="4" t="s">
        <v>45</v>
      </c>
      <c r="E881" s="4" t="s">
        <v>25</v>
      </c>
      <c r="F881" s="4" t="s">
        <v>25</v>
      </c>
      <c r="G881" s="4" t="s">
        <v>25</v>
      </c>
      <c r="H881" s="4" t="s">
        <v>25</v>
      </c>
      <c r="I881" s="5">
        <v>44593</v>
      </c>
      <c r="J881" s="6">
        <v>0</v>
      </c>
      <c r="K881" s="6">
        <v>0</v>
      </c>
      <c r="L881" s="6">
        <v>-0.38600000000000001</v>
      </c>
      <c r="M881" s="6">
        <v>-0.38600000000000001</v>
      </c>
      <c r="N881" s="6">
        <v>-0.38600000000000001</v>
      </c>
      <c r="O881" s="6">
        <v>-0.38600000000000001</v>
      </c>
      <c r="P881" s="6">
        <v>0</v>
      </c>
      <c r="Q881" s="4" t="s">
        <v>26</v>
      </c>
      <c r="R881" s="4">
        <v>0</v>
      </c>
      <c r="S881" s="4" t="s">
        <v>364</v>
      </c>
      <c r="T881" s="4" t="s">
        <v>586</v>
      </c>
      <c r="U881" s="4">
        <v>0</v>
      </c>
      <c r="V881" s="4">
        <v>47</v>
      </c>
      <c r="W881" s="4">
        <v>109</v>
      </c>
    </row>
    <row r="882" spans="1:23" ht="11.25" customHeight="1" x14ac:dyDescent="0.3">
      <c r="A882" s="4" t="s">
        <v>28</v>
      </c>
      <c r="B882" s="4" t="s">
        <v>44</v>
      </c>
      <c r="C882" s="4" t="s">
        <v>23</v>
      </c>
      <c r="D882" s="4" t="s">
        <v>45</v>
      </c>
      <c r="E882" s="4" t="s">
        <v>25</v>
      </c>
      <c r="F882" s="4" t="s">
        <v>25</v>
      </c>
      <c r="G882" s="4" t="s">
        <v>25</v>
      </c>
      <c r="H882" s="4" t="s">
        <v>25</v>
      </c>
      <c r="I882" s="5">
        <v>44593</v>
      </c>
      <c r="J882" s="6">
        <v>0</v>
      </c>
      <c r="K882" s="6">
        <v>0</v>
      </c>
      <c r="L882" s="6">
        <v>7.6260000000000003</v>
      </c>
      <c r="M882" s="6">
        <v>7.6260000000000003</v>
      </c>
      <c r="N882" s="6">
        <v>7.6260000000000003</v>
      </c>
      <c r="O882" s="6">
        <v>7.6260000000000003</v>
      </c>
      <c r="P882" s="6">
        <v>34</v>
      </c>
      <c r="Q882" s="4" t="s">
        <v>26</v>
      </c>
      <c r="R882" s="4">
        <v>0</v>
      </c>
      <c r="S882" s="4" t="s">
        <v>364</v>
      </c>
      <c r="T882" s="4" t="s">
        <v>586</v>
      </c>
      <c r="U882" s="4">
        <v>0</v>
      </c>
      <c r="V882" s="4">
        <v>47</v>
      </c>
      <c r="W882" s="4">
        <v>109</v>
      </c>
    </row>
    <row r="883" spans="1:23" ht="11.25" customHeight="1" x14ac:dyDescent="0.3">
      <c r="A883" s="4" t="s">
        <v>28</v>
      </c>
      <c r="B883" s="4" t="s">
        <v>44</v>
      </c>
      <c r="C883" s="4" t="s">
        <v>23</v>
      </c>
      <c r="D883" s="4" t="s">
        <v>45</v>
      </c>
      <c r="E883" s="4" t="s">
        <v>25</v>
      </c>
      <c r="F883" s="4" t="s">
        <v>25</v>
      </c>
      <c r="G883" s="4" t="s">
        <v>25</v>
      </c>
      <c r="H883" s="4" t="s">
        <v>25</v>
      </c>
      <c r="I883" s="5">
        <v>44593</v>
      </c>
      <c r="J883" s="6">
        <v>0</v>
      </c>
      <c r="K883" s="6">
        <v>0</v>
      </c>
      <c r="L883" s="6">
        <v>0.1</v>
      </c>
      <c r="M883" s="6">
        <v>0.1</v>
      </c>
      <c r="N883" s="6">
        <v>0.1</v>
      </c>
      <c r="O883" s="6">
        <v>0.1</v>
      </c>
      <c r="P883" s="6">
        <v>1</v>
      </c>
      <c r="Q883" s="4" t="s">
        <v>26</v>
      </c>
      <c r="R883" s="4">
        <v>0</v>
      </c>
      <c r="S883" s="4" t="s">
        <v>364</v>
      </c>
      <c r="T883" s="4" t="s">
        <v>586</v>
      </c>
      <c r="U883" s="4">
        <v>0</v>
      </c>
      <c r="V883" s="4">
        <v>47</v>
      </c>
      <c r="W883" s="4">
        <v>109</v>
      </c>
    </row>
    <row r="884" spans="1:23" ht="11.25" customHeight="1" x14ac:dyDescent="0.3">
      <c r="A884" s="4" t="s">
        <v>21</v>
      </c>
      <c r="B884" s="4" t="s">
        <v>44</v>
      </c>
      <c r="C884" s="4" t="s">
        <v>23</v>
      </c>
      <c r="D884" s="4" t="s">
        <v>45</v>
      </c>
      <c r="E884" s="4" t="s">
        <v>25</v>
      </c>
      <c r="F884" s="4" t="s">
        <v>25</v>
      </c>
      <c r="G884" s="4" t="s">
        <v>25</v>
      </c>
      <c r="H884" s="4" t="s">
        <v>25</v>
      </c>
      <c r="I884" s="5">
        <v>44621</v>
      </c>
      <c r="J884" s="6">
        <v>0</v>
      </c>
      <c r="K884" s="6">
        <v>0</v>
      </c>
      <c r="L884" s="6">
        <v>287.67899999999997</v>
      </c>
      <c r="M884" s="6">
        <v>287.67899999999997</v>
      </c>
      <c r="N884" s="6">
        <v>287.67899999999997</v>
      </c>
      <c r="O884" s="6">
        <v>287.67899999999997</v>
      </c>
      <c r="P884" s="6">
        <v>437</v>
      </c>
      <c r="Q884" s="4" t="s">
        <v>26</v>
      </c>
      <c r="R884" s="4">
        <v>0</v>
      </c>
      <c r="S884" s="4" t="s">
        <v>365</v>
      </c>
      <c r="T884" s="4" t="s">
        <v>587</v>
      </c>
      <c r="U884" s="4">
        <v>0</v>
      </c>
      <c r="V884" s="4">
        <v>47</v>
      </c>
      <c r="W884" s="4">
        <v>109</v>
      </c>
    </row>
    <row r="885" spans="1:23" ht="11.25" customHeight="1" x14ac:dyDescent="0.3">
      <c r="A885" s="4" t="s">
        <v>27</v>
      </c>
      <c r="B885" s="4" t="s">
        <v>44</v>
      </c>
      <c r="C885" s="4" t="s">
        <v>23</v>
      </c>
      <c r="D885" s="4" t="s">
        <v>45</v>
      </c>
      <c r="E885" s="4" t="s">
        <v>25</v>
      </c>
      <c r="F885" s="4" t="s">
        <v>25</v>
      </c>
      <c r="G885" s="4" t="s">
        <v>25</v>
      </c>
      <c r="H885" s="4" t="s">
        <v>25</v>
      </c>
      <c r="I885" s="5">
        <v>44621</v>
      </c>
      <c r="J885" s="6">
        <v>0</v>
      </c>
      <c r="K885" s="6">
        <v>0</v>
      </c>
      <c r="L885" s="6">
        <v>-1.06</v>
      </c>
      <c r="M885" s="6">
        <v>-1.06</v>
      </c>
      <c r="N885" s="6">
        <v>-1.06</v>
      </c>
      <c r="O885" s="6">
        <v>-1.06</v>
      </c>
      <c r="P885" s="6">
        <v>0</v>
      </c>
      <c r="Q885" s="4" t="s">
        <v>26</v>
      </c>
      <c r="R885" s="4">
        <v>0</v>
      </c>
      <c r="S885" s="4" t="s">
        <v>365</v>
      </c>
      <c r="T885" s="4" t="s">
        <v>587</v>
      </c>
      <c r="U885" s="4">
        <v>0</v>
      </c>
      <c r="V885" s="4">
        <v>47</v>
      </c>
      <c r="W885" s="4">
        <v>109</v>
      </c>
    </row>
    <row r="886" spans="1:23" ht="11.25" customHeight="1" x14ac:dyDescent="0.3">
      <c r="A886" s="4" t="s">
        <v>28</v>
      </c>
      <c r="B886" s="4" t="s">
        <v>44</v>
      </c>
      <c r="C886" s="4" t="s">
        <v>23</v>
      </c>
      <c r="D886" s="4" t="s">
        <v>45</v>
      </c>
      <c r="E886" s="4" t="s">
        <v>25</v>
      </c>
      <c r="F886" s="4" t="s">
        <v>25</v>
      </c>
      <c r="G886" s="4" t="s">
        <v>25</v>
      </c>
      <c r="H886" s="4" t="s">
        <v>25</v>
      </c>
      <c r="I886" s="5">
        <v>44621</v>
      </c>
      <c r="J886" s="6">
        <v>0</v>
      </c>
      <c r="K886" s="6">
        <v>0</v>
      </c>
      <c r="L886" s="6">
        <v>8.6259999999999994</v>
      </c>
      <c r="M886" s="6">
        <v>8.6259999999999994</v>
      </c>
      <c r="N886" s="6">
        <v>8.6259999999999994</v>
      </c>
      <c r="O886" s="6">
        <v>8.6259999999999994</v>
      </c>
      <c r="P886" s="6">
        <v>36</v>
      </c>
      <c r="Q886" s="4" t="s">
        <v>26</v>
      </c>
      <c r="R886" s="4">
        <v>0</v>
      </c>
      <c r="S886" s="4" t="s">
        <v>365</v>
      </c>
      <c r="T886" s="4" t="s">
        <v>587</v>
      </c>
      <c r="U886" s="4">
        <v>0</v>
      </c>
      <c r="V886" s="4">
        <v>47</v>
      </c>
      <c r="W886" s="4">
        <v>109</v>
      </c>
    </row>
    <row r="887" spans="1:23" ht="11.25" customHeight="1" x14ac:dyDescent="0.3">
      <c r="A887" s="4" t="s">
        <v>21</v>
      </c>
      <c r="B887" s="4" t="s">
        <v>44</v>
      </c>
      <c r="C887" s="4" t="s">
        <v>23</v>
      </c>
      <c r="D887" s="4" t="s">
        <v>45</v>
      </c>
      <c r="E887" s="4" t="s">
        <v>25</v>
      </c>
      <c r="F887" s="4" t="s">
        <v>25</v>
      </c>
      <c r="G887" s="4" t="s">
        <v>25</v>
      </c>
      <c r="H887" s="4" t="s">
        <v>25</v>
      </c>
      <c r="I887" s="5">
        <v>44652</v>
      </c>
      <c r="J887" s="6">
        <v>0</v>
      </c>
      <c r="K887" s="6">
        <v>0</v>
      </c>
      <c r="L887" s="6">
        <v>277.33300000000003</v>
      </c>
      <c r="M887" s="6">
        <v>277.33300000000003</v>
      </c>
      <c r="N887" s="6">
        <v>277.33300000000003</v>
      </c>
      <c r="O887" s="6">
        <v>277.33300000000003</v>
      </c>
      <c r="P887" s="6">
        <v>435</v>
      </c>
      <c r="Q887" s="4" t="s">
        <v>26</v>
      </c>
      <c r="R887" s="4">
        <v>0</v>
      </c>
      <c r="S887" s="4" t="s">
        <v>366</v>
      </c>
      <c r="T887" s="4" t="s">
        <v>588</v>
      </c>
      <c r="U887" s="4">
        <v>0</v>
      </c>
      <c r="V887" s="4">
        <v>47</v>
      </c>
      <c r="W887" s="4">
        <v>109</v>
      </c>
    </row>
    <row r="888" spans="1:23" ht="11.25" customHeight="1" x14ac:dyDescent="0.3">
      <c r="A888" s="4" t="s">
        <v>28</v>
      </c>
      <c r="B888" s="4" t="s">
        <v>44</v>
      </c>
      <c r="C888" s="4" t="s">
        <v>23</v>
      </c>
      <c r="D888" s="4" t="s">
        <v>45</v>
      </c>
      <c r="E888" s="4" t="s">
        <v>25</v>
      </c>
      <c r="F888" s="4" t="s">
        <v>25</v>
      </c>
      <c r="G888" s="4" t="s">
        <v>25</v>
      </c>
      <c r="H888" s="4" t="s">
        <v>25</v>
      </c>
      <c r="I888" s="5">
        <v>44652</v>
      </c>
      <c r="J888" s="6">
        <v>0</v>
      </c>
      <c r="K888" s="6">
        <v>0</v>
      </c>
      <c r="L888" s="6">
        <v>7.6239999999999997</v>
      </c>
      <c r="M888" s="6">
        <v>7.6239999999999997</v>
      </c>
      <c r="N888" s="6">
        <v>7.6239999999999997</v>
      </c>
      <c r="O888" s="6">
        <v>7.6239999999999997</v>
      </c>
      <c r="P888" s="6">
        <v>37</v>
      </c>
      <c r="Q888" s="4" t="s">
        <v>26</v>
      </c>
      <c r="R888" s="4">
        <v>0</v>
      </c>
      <c r="S888" s="4" t="s">
        <v>366</v>
      </c>
      <c r="T888" s="4" t="s">
        <v>588</v>
      </c>
      <c r="U888" s="4">
        <v>0</v>
      </c>
      <c r="V888" s="4">
        <v>47</v>
      </c>
      <c r="W888" s="4">
        <v>109</v>
      </c>
    </row>
    <row r="889" spans="1:23" ht="11.25" customHeight="1" x14ac:dyDescent="0.3">
      <c r="A889" s="4" t="s">
        <v>21</v>
      </c>
      <c r="B889" s="4" t="s">
        <v>44</v>
      </c>
      <c r="C889" s="4" t="s">
        <v>23</v>
      </c>
      <c r="D889" s="4" t="s">
        <v>45</v>
      </c>
      <c r="E889" s="4" t="s">
        <v>25</v>
      </c>
      <c r="F889" s="4" t="s">
        <v>25</v>
      </c>
      <c r="G889" s="4" t="s">
        <v>25</v>
      </c>
      <c r="H889" s="4" t="s">
        <v>25</v>
      </c>
      <c r="I889" s="5">
        <v>44682</v>
      </c>
      <c r="J889" s="6">
        <v>0</v>
      </c>
      <c r="K889" s="6">
        <v>0</v>
      </c>
      <c r="L889" s="6">
        <v>296.34100000000001</v>
      </c>
      <c r="M889" s="6">
        <v>296.34100000000001</v>
      </c>
      <c r="N889" s="6">
        <v>296.34100000000001</v>
      </c>
      <c r="O889" s="6">
        <v>296.34100000000001</v>
      </c>
      <c r="P889" s="6">
        <v>435</v>
      </c>
      <c r="Q889" s="4" t="s">
        <v>26</v>
      </c>
      <c r="R889" s="4">
        <v>0</v>
      </c>
      <c r="S889" s="4" t="s">
        <v>367</v>
      </c>
      <c r="T889" s="4" t="s">
        <v>589</v>
      </c>
      <c r="U889" s="4">
        <v>0</v>
      </c>
      <c r="V889" s="4">
        <v>47</v>
      </c>
      <c r="W889" s="4">
        <v>109</v>
      </c>
    </row>
    <row r="890" spans="1:23" ht="11.25" customHeight="1" x14ac:dyDescent="0.3">
      <c r="A890" s="4" t="s">
        <v>27</v>
      </c>
      <c r="B890" s="4" t="s">
        <v>44</v>
      </c>
      <c r="C890" s="4" t="s">
        <v>23</v>
      </c>
      <c r="D890" s="4" t="s">
        <v>45</v>
      </c>
      <c r="E890" s="4" t="s">
        <v>25</v>
      </c>
      <c r="F890" s="4" t="s">
        <v>25</v>
      </c>
      <c r="G890" s="4" t="s">
        <v>25</v>
      </c>
      <c r="H890" s="4" t="s">
        <v>25</v>
      </c>
      <c r="I890" s="5">
        <v>44682</v>
      </c>
      <c r="J890" s="6">
        <v>0</v>
      </c>
      <c r="K890" s="6">
        <v>0</v>
      </c>
      <c r="L890" s="6">
        <v>-0.35899999999999999</v>
      </c>
      <c r="M890" s="6">
        <v>-0.35899999999999999</v>
      </c>
      <c r="N890" s="6">
        <v>-0.35899999999999999</v>
      </c>
      <c r="O890" s="6">
        <v>-0.35899999999999999</v>
      </c>
      <c r="P890" s="6">
        <v>0</v>
      </c>
      <c r="Q890" s="4" t="s">
        <v>26</v>
      </c>
      <c r="R890" s="4">
        <v>0</v>
      </c>
      <c r="S890" s="4" t="s">
        <v>367</v>
      </c>
      <c r="T890" s="4" t="s">
        <v>589</v>
      </c>
      <c r="U890" s="4">
        <v>0</v>
      </c>
      <c r="V890" s="4">
        <v>47</v>
      </c>
      <c r="W890" s="4">
        <v>109</v>
      </c>
    </row>
    <row r="891" spans="1:23" ht="11.25" customHeight="1" x14ac:dyDescent="0.3">
      <c r="A891" s="4" t="s">
        <v>28</v>
      </c>
      <c r="B891" s="4" t="s">
        <v>44</v>
      </c>
      <c r="C891" s="4" t="s">
        <v>23</v>
      </c>
      <c r="D891" s="4" t="s">
        <v>45</v>
      </c>
      <c r="E891" s="4" t="s">
        <v>25</v>
      </c>
      <c r="F891" s="4" t="s">
        <v>25</v>
      </c>
      <c r="G891" s="4" t="s">
        <v>25</v>
      </c>
      <c r="H891" s="4" t="s">
        <v>25</v>
      </c>
      <c r="I891" s="5">
        <v>44682</v>
      </c>
      <c r="J891" s="6">
        <v>0</v>
      </c>
      <c r="K891" s="6">
        <v>0</v>
      </c>
      <c r="L891" s="6">
        <v>7.7039999999999997</v>
      </c>
      <c r="M891" s="6">
        <v>7.7039999999999997</v>
      </c>
      <c r="N891" s="6">
        <v>7.7039999999999997</v>
      </c>
      <c r="O891" s="6">
        <v>7.7039999999999997</v>
      </c>
      <c r="P891" s="6">
        <v>37</v>
      </c>
      <c r="Q891" s="4" t="s">
        <v>26</v>
      </c>
      <c r="R891" s="4">
        <v>0</v>
      </c>
      <c r="S891" s="4" t="s">
        <v>367</v>
      </c>
      <c r="T891" s="4" t="s">
        <v>589</v>
      </c>
      <c r="U891" s="4">
        <v>0</v>
      </c>
      <c r="V891" s="4">
        <v>47</v>
      </c>
      <c r="W891" s="4">
        <v>109</v>
      </c>
    </row>
    <row r="892" spans="1:23" ht="11.25" customHeight="1" x14ac:dyDescent="0.3">
      <c r="A892" s="4" t="s">
        <v>28</v>
      </c>
      <c r="B892" s="4" t="s">
        <v>44</v>
      </c>
      <c r="C892" s="4" t="s">
        <v>23</v>
      </c>
      <c r="D892" s="4" t="s">
        <v>45</v>
      </c>
      <c r="E892" s="4" t="s">
        <v>25</v>
      </c>
      <c r="F892" s="4" t="s">
        <v>25</v>
      </c>
      <c r="G892" s="4" t="s">
        <v>25</v>
      </c>
      <c r="H892" s="4" t="s">
        <v>25</v>
      </c>
      <c r="I892" s="5">
        <v>44682</v>
      </c>
      <c r="J892" s="6">
        <v>0</v>
      </c>
      <c r="K892" s="6">
        <v>0</v>
      </c>
      <c r="L892" s="6">
        <v>0.13600000000000001</v>
      </c>
      <c r="M892" s="6">
        <v>0.13600000000000001</v>
      </c>
      <c r="N892" s="6">
        <v>0.13600000000000001</v>
      </c>
      <c r="O892" s="6">
        <v>0.13600000000000001</v>
      </c>
      <c r="P892" s="6">
        <v>1</v>
      </c>
      <c r="Q892" s="4" t="s">
        <v>26</v>
      </c>
      <c r="R892" s="4">
        <v>0</v>
      </c>
      <c r="S892" s="4" t="s">
        <v>367</v>
      </c>
      <c r="T892" s="4" t="s">
        <v>589</v>
      </c>
      <c r="U892" s="4">
        <v>0</v>
      </c>
      <c r="V892" s="4">
        <v>47</v>
      </c>
      <c r="W892" s="4">
        <v>109</v>
      </c>
    </row>
    <row r="893" spans="1:23" ht="11.25" customHeight="1" x14ac:dyDescent="0.3">
      <c r="A893" s="4" t="s">
        <v>21</v>
      </c>
      <c r="B893" s="4" t="s">
        <v>44</v>
      </c>
      <c r="C893" s="4" t="s">
        <v>23</v>
      </c>
      <c r="D893" s="4" t="s">
        <v>45</v>
      </c>
      <c r="E893" s="4" t="s">
        <v>25</v>
      </c>
      <c r="F893" s="4" t="s">
        <v>25</v>
      </c>
      <c r="G893" s="4" t="s">
        <v>25</v>
      </c>
      <c r="H893" s="4" t="s">
        <v>25</v>
      </c>
      <c r="I893" s="5">
        <v>44713</v>
      </c>
      <c r="J893" s="6">
        <v>0</v>
      </c>
      <c r="K893" s="6">
        <v>0</v>
      </c>
      <c r="L893" s="6">
        <v>313.52600000000001</v>
      </c>
      <c r="M893" s="6">
        <v>313.52600000000001</v>
      </c>
      <c r="N893" s="6">
        <v>313.52600000000001</v>
      </c>
      <c r="O893" s="6">
        <v>313.52600000000001</v>
      </c>
      <c r="P893" s="6">
        <v>430</v>
      </c>
      <c r="Q893" s="4" t="s">
        <v>26</v>
      </c>
      <c r="R893" s="4">
        <v>0</v>
      </c>
      <c r="S893" s="4" t="s">
        <v>368</v>
      </c>
      <c r="T893" s="4" t="s">
        <v>590</v>
      </c>
      <c r="U893" s="4">
        <v>0</v>
      </c>
      <c r="V893" s="4">
        <v>47</v>
      </c>
      <c r="W893" s="4">
        <v>109</v>
      </c>
    </row>
    <row r="894" spans="1:23" ht="11.25" customHeight="1" x14ac:dyDescent="0.3">
      <c r="A894" s="4" t="s">
        <v>28</v>
      </c>
      <c r="B894" s="4" t="s">
        <v>44</v>
      </c>
      <c r="C894" s="4" t="s">
        <v>23</v>
      </c>
      <c r="D894" s="4" t="s">
        <v>45</v>
      </c>
      <c r="E894" s="4" t="s">
        <v>25</v>
      </c>
      <c r="F894" s="4" t="s">
        <v>25</v>
      </c>
      <c r="G894" s="4" t="s">
        <v>25</v>
      </c>
      <c r="H894" s="4" t="s">
        <v>25</v>
      </c>
      <c r="I894" s="5">
        <v>44713</v>
      </c>
      <c r="J894" s="6">
        <v>0</v>
      </c>
      <c r="K894" s="6">
        <v>0</v>
      </c>
      <c r="L894" s="6">
        <v>9.5090000000000003</v>
      </c>
      <c r="M894" s="6">
        <v>9.5090000000000003</v>
      </c>
      <c r="N894" s="6">
        <v>9.5090000000000003</v>
      </c>
      <c r="O894" s="6">
        <v>9.5090000000000003</v>
      </c>
      <c r="P894" s="6">
        <v>41</v>
      </c>
      <c r="Q894" s="4" t="s">
        <v>26</v>
      </c>
      <c r="R894" s="4">
        <v>0</v>
      </c>
      <c r="S894" s="4" t="s">
        <v>368</v>
      </c>
      <c r="T894" s="4" t="s">
        <v>590</v>
      </c>
      <c r="U894" s="4">
        <v>0</v>
      </c>
      <c r="V894" s="4">
        <v>47</v>
      </c>
      <c r="W894" s="4">
        <v>109</v>
      </c>
    </row>
    <row r="895" spans="1:23" ht="11.25" customHeight="1" x14ac:dyDescent="0.3">
      <c r="A895" s="4" t="s">
        <v>21</v>
      </c>
      <c r="B895" s="4" t="s">
        <v>44</v>
      </c>
      <c r="C895" s="4" t="s">
        <v>23</v>
      </c>
      <c r="D895" s="4" t="s">
        <v>45</v>
      </c>
      <c r="E895" s="4" t="s">
        <v>25</v>
      </c>
      <c r="F895" s="4" t="s">
        <v>25</v>
      </c>
      <c r="G895" s="4" t="s">
        <v>25</v>
      </c>
      <c r="H895" s="4" t="s">
        <v>25</v>
      </c>
      <c r="I895" s="5">
        <v>44743</v>
      </c>
      <c r="J895" s="6">
        <v>0</v>
      </c>
      <c r="K895" s="6">
        <v>0</v>
      </c>
      <c r="L895" s="6">
        <v>338.08600000000001</v>
      </c>
      <c r="M895" s="6">
        <v>338.08600000000001</v>
      </c>
      <c r="N895" s="6">
        <v>338.08600000000001</v>
      </c>
      <c r="O895" s="6">
        <v>338.08600000000001</v>
      </c>
      <c r="P895" s="6">
        <v>435</v>
      </c>
      <c r="Q895" s="4" t="s">
        <v>26</v>
      </c>
      <c r="R895" s="4">
        <v>0</v>
      </c>
      <c r="S895" s="4" t="s">
        <v>369</v>
      </c>
      <c r="T895" s="4" t="s">
        <v>591</v>
      </c>
      <c r="U895" s="4">
        <v>0</v>
      </c>
      <c r="V895" s="4">
        <v>47</v>
      </c>
      <c r="W895" s="4">
        <v>109</v>
      </c>
    </row>
    <row r="896" spans="1:23" ht="11.25" customHeight="1" x14ac:dyDescent="0.3">
      <c r="A896" s="4" t="s">
        <v>21</v>
      </c>
      <c r="B896" s="4" t="s">
        <v>44</v>
      </c>
      <c r="C896" s="4" t="s">
        <v>23</v>
      </c>
      <c r="D896" s="4" t="s">
        <v>45</v>
      </c>
      <c r="E896" s="4" t="s">
        <v>25</v>
      </c>
      <c r="F896" s="4" t="s">
        <v>25</v>
      </c>
      <c r="G896" s="4" t="s">
        <v>25</v>
      </c>
      <c r="H896" s="4" t="s">
        <v>25</v>
      </c>
      <c r="I896" s="5">
        <v>44774</v>
      </c>
      <c r="J896" s="6">
        <v>0</v>
      </c>
      <c r="K896" s="6">
        <v>0</v>
      </c>
      <c r="L896" s="6">
        <v>336.291</v>
      </c>
      <c r="M896" s="6">
        <v>336.291</v>
      </c>
      <c r="N896" s="6">
        <v>336.291</v>
      </c>
      <c r="O896" s="6">
        <v>336.291</v>
      </c>
      <c r="P896" s="6">
        <v>433</v>
      </c>
      <c r="Q896" s="4" t="s">
        <v>26</v>
      </c>
      <c r="R896" s="4">
        <v>0</v>
      </c>
      <c r="S896" s="4" t="s">
        <v>370</v>
      </c>
      <c r="T896" s="4" t="s">
        <v>592</v>
      </c>
      <c r="U896" s="4">
        <v>0</v>
      </c>
      <c r="V896" s="4">
        <v>47</v>
      </c>
      <c r="W896" s="4">
        <v>109</v>
      </c>
    </row>
    <row r="897" spans="1:23" ht="11.25" customHeight="1" x14ac:dyDescent="0.3">
      <c r="A897" s="4" t="s">
        <v>27</v>
      </c>
      <c r="B897" s="4" t="s">
        <v>44</v>
      </c>
      <c r="C897" s="4" t="s">
        <v>23</v>
      </c>
      <c r="D897" s="4" t="s">
        <v>45</v>
      </c>
      <c r="E897" s="4" t="s">
        <v>25</v>
      </c>
      <c r="F897" s="4" t="s">
        <v>25</v>
      </c>
      <c r="G897" s="4" t="s">
        <v>25</v>
      </c>
      <c r="H897" s="4" t="s">
        <v>25</v>
      </c>
      <c r="I897" s="5">
        <v>44774</v>
      </c>
      <c r="J897" s="6">
        <v>0</v>
      </c>
      <c r="K897" s="6">
        <v>0</v>
      </c>
      <c r="L897" s="6">
        <v>-2.8610000000000002</v>
      </c>
      <c r="M897" s="6">
        <v>-2.8610000000000002</v>
      </c>
      <c r="N897" s="6">
        <v>-2.8610000000000002</v>
      </c>
      <c r="O897" s="6">
        <v>-2.8610000000000002</v>
      </c>
      <c r="P897" s="6">
        <v>0</v>
      </c>
      <c r="Q897" s="4" t="s">
        <v>26</v>
      </c>
      <c r="R897" s="4">
        <v>0</v>
      </c>
      <c r="S897" s="4" t="s">
        <v>370</v>
      </c>
      <c r="T897" s="4" t="s">
        <v>592</v>
      </c>
      <c r="U897" s="4">
        <v>0</v>
      </c>
      <c r="V897" s="4">
        <v>47</v>
      </c>
      <c r="W897" s="4">
        <v>109</v>
      </c>
    </row>
    <row r="898" spans="1:23" ht="11.25" customHeight="1" x14ac:dyDescent="0.3">
      <c r="A898" s="4" t="s">
        <v>28</v>
      </c>
      <c r="B898" s="4" t="s">
        <v>44</v>
      </c>
      <c r="C898" s="4" t="s">
        <v>23</v>
      </c>
      <c r="D898" s="4" t="s">
        <v>45</v>
      </c>
      <c r="E898" s="4" t="s">
        <v>25</v>
      </c>
      <c r="F898" s="4" t="s">
        <v>25</v>
      </c>
      <c r="G898" s="4" t="s">
        <v>25</v>
      </c>
      <c r="H898" s="4" t="s">
        <v>25</v>
      </c>
      <c r="I898" s="5">
        <v>44774</v>
      </c>
      <c r="J898" s="6">
        <v>0</v>
      </c>
      <c r="K898" s="6">
        <v>0</v>
      </c>
      <c r="L898" s="6">
        <v>9.6790000000000003</v>
      </c>
      <c r="M898" s="6">
        <v>9.6790000000000003</v>
      </c>
      <c r="N898" s="6">
        <v>9.6790000000000003</v>
      </c>
      <c r="O898" s="6">
        <v>9.6790000000000003</v>
      </c>
      <c r="P898" s="6">
        <v>41</v>
      </c>
      <c r="Q898" s="4" t="s">
        <v>26</v>
      </c>
      <c r="R898" s="4">
        <v>0</v>
      </c>
      <c r="S898" s="4" t="s">
        <v>370</v>
      </c>
      <c r="T898" s="4" t="s">
        <v>592</v>
      </c>
      <c r="U898" s="4">
        <v>0</v>
      </c>
      <c r="V898" s="4">
        <v>47</v>
      </c>
      <c r="W898" s="4">
        <v>109</v>
      </c>
    </row>
    <row r="899" spans="1:23" ht="11.25" customHeight="1" x14ac:dyDescent="0.3">
      <c r="A899" s="4" t="s">
        <v>21</v>
      </c>
      <c r="B899" s="4" t="s">
        <v>44</v>
      </c>
      <c r="C899" s="4" t="s">
        <v>23</v>
      </c>
      <c r="D899" s="4" t="s">
        <v>45</v>
      </c>
      <c r="E899" s="4" t="s">
        <v>25</v>
      </c>
      <c r="F899" s="4" t="s">
        <v>25</v>
      </c>
      <c r="G899" s="4" t="s">
        <v>25</v>
      </c>
      <c r="H899" s="4" t="s">
        <v>25</v>
      </c>
      <c r="I899" s="5">
        <v>44805</v>
      </c>
      <c r="J899" s="6">
        <v>0</v>
      </c>
      <c r="K899" s="6">
        <v>0</v>
      </c>
      <c r="L899" s="6">
        <v>330.00200000000001</v>
      </c>
      <c r="M899" s="6">
        <v>330.00200000000001</v>
      </c>
      <c r="N899" s="6">
        <v>330.00200000000001</v>
      </c>
      <c r="O899" s="6">
        <v>330.00200000000001</v>
      </c>
      <c r="P899" s="6">
        <v>433</v>
      </c>
      <c r="Q899" s="4" t="s">
        <v>26</v>
      </c>
      <c r="R899" s="4">
        <v>0</v>
      </c>
      <c r="S899" s="4" t="s">
        <v>371</v>
      </c>
      <c r="T899" s="4" t="s">
        <v>593</v>
      </c>
      <c r="U899" s="4">
        <v>0</v>
      </c>
      <c r="V899" s="4">
        <v>47</v>
      </c>
      <c r="W899" s="4">
        <v>109</v>
      </c>
    </row>
    <row r="900" spans="1:23" ht="11.25" customHeight="1" x14ac:dyDescent="0.3">
      <c r="A900" s="4" t="s">
        <v>27</v>
      </c>
      <c r="B900" s="4" t="s">
        <v>44</v>
      </c>
      <c r="C900" s="4" t="s">
        <v>23</v>
      </c>
      <c r="D900" s="4" t="s">
        <v>45</v>
      </c>
      <c r="E900" s="4" t="s">
        <v>25</v>
      </c>
      <c r="F900" s="4" t="s">
        <v>25</v>
      </c>
      <c r="G900" s="4" t="s">
        <v>25</v>
      </c>
      <c r="H900" s="4" t="s">
        <v>25</v>
      </c>
      <c r="I900" s="5">
        <v>44805</v>
      </c>
      <c r="J900" s="6">
        <v>0</v>
      </c>
      <c r="K900" s="6">
        <v>0</v>
      </c>
      <c r="L900" s="6">
        <v>-1.2410000000000001</v>
      </c>
      <c r="M900" s="6">
        <v>-1.2410000000000001</v>
      </c>
      <c r="N900" s="6">
        <v>-1.2410000000000001</v>
      </c>
      <c r="O900" s="6">
        <v>-1.2410000000000001</v>
      </c>
      <c r="P900" s="6">
        <v>0</v>
      </c>
      <c r="Q900" s="4" t="s">
        <v>26</v>
      </c>
      <c r="R900" s="4">
        <v>0</v>
      </c>
      <c r="S900" s="4" t="s">
        <v>371</v>
      </c>
      <c r="T900" s="4" t="s">
        <v>593</v>
      </c>
      <c r="U900" s="4">
        <v>0</v>
      </c>
      <c r="V900" s="4">
        <v>47</v>
      </c>
      <c r="W900" s="4">
        <v>109</v>
      </c>
    </row>
    <row r="901" spans="1:23" ht="11.25" customHeight="1" x14ac:dyDescent="0.3">
      <c r="A901" s="4" t="s">
        <v>28</v>
      </c>
      <c r="B901" s="4" t="s">
        <v>44</v>
      </c>
      <c r="C901" s="4" t="s">
        <v>23</v>
      </c>
      <c r="D901" s="4" t="s">
        <v>45</v>
      </c>
      <c r="E901" s="4" t="s">
        <v>25</v>
      </c>
      <c r="F901" s="4" t="s">
        <v>25</v>
      </c>
      <c r="G901" s="4" t="s">
        <v>25</v>
      </c>
      <c r="H901" s="4" t="s">
        <v>25</v>
      </c>
      <c r="I901" s="5">
        <v>44805</v>
      </c>
      <c r="J901" s="6">
        <v>0</v>
      </c>
      <c r="K901" s="6">
        <v>0</v>
      </c>
      <c r="L901" s="6">
        <v>8.4589999999999996</v>
      </c>
      <c r="M901" s="6">
        <v>8.4589999999999996</v>
      </c>
      <c r="N901" s="6">
        <v>8.4589999999999996</v>
      </c>
      <c r="O901" s="6">
        <v>8.4589999999999996</v>
      </c>
      <c r="P901" s="6">
        <v>40</v>
      </c>
      <c r="Q901" s="4" t="s">
        <v>26</v>
      </c>
      <c r="R901" s="4">
        <v>0</v>
      </c>
      <c r="S901" s="4" t="s">
        <v>371</v>
      </c>
      <c r="T901" s="4" t="s">
        <v>593</v>
      </c>
      <c r="U901" s="4">
        <v>0</v>
      </c>
      <c r="V901" s="4">
        <v>47</v>
      </c>
      <c r="W901" s="4">
        <v>109</v>
      </c>
    </row>
    <row r="902" spans="1:23" ht="11.25" customHeight="1" x14ac:dyDescent="0.3">
      <c r="A902" s="4" t="s">
        <v>53</v>
      </c>
      <c r="B902" s="4" t="s">
        <v>44</v>
      </c>
      <c r="C902" s="4" t="s">
        <v>23</v>
      </c>
      <c r="D902" s="4" t="s">
        <v>45</v>
      </c>
      <c r="E902" s="4" t="s">
        <v>25</v>
      </c>
      <c r="F902" s="4" t="s">
        <v>25</v>
      </c>
      <c r="G902" s="4" t="s">
        <v>25</v>
      </c>
      <c r="H902" s="4" t="s">
        <v>25</v>
      </c>
      <c r="I902" s="5">
        <v>44835</v>
      </c>
      <c r="J902" s="6">
        <v>0</v>
      </c>
      <c r="K902" s="6">
        <v>0</v>
      </c>
      <c r="L902" s="6">
        <v>330.00200000000001</v>
      </c>
      <c r="M902" s="6">
        <v>330.00200000000001</v>
      </c>
      <c r="N902" s="6">
        <v>330.00200000000001</v>
      </c>
      <c r="O902" s="6">
        <v>330.00200000000001</v>
      </c>
      <c r="P902" s="6">
        <v>433</v>
      </c>
      <c r="Q902" s="4" t="s">
        <v>26</v>
      </c>
      <c r="R902" s="4">
        <v>0</v>
      </c>
      <c r="S902" s="4" t="s">
        <v>372</v>
      </c>
      <c r="T902" s="4" t="s">
        <v>594</v>
      </c>
      <c r="U902" s="4">
        <v>0</v>
      </c>
      <c r="V902" s="4">
        <v>47</v>
      </c>
      <c r="W902" s="4">
        <v>109</v>
      </c>
    </row>
    <row r="903" spans="1:23" ht="11.25" customHeight="1" x14ac:dyDescent="0.3">
      <c r="A903" s="4" t="s">
        <v>53</v>
      </c>
      <c r="B903" s="4" t="s">
        <v>44</v>
      </c>
      <c r="C903" s="4" t="s">
        <v>23</v>
      </c>
      <c r="D903" s="4" t="s">
        <v>45</v>
      </c>
      <c r="E903" s="4" t="s">
        <v>25</v>
      </c>
      <c r="F903" s="4" t="s">
        <v>25</v>
      </c>
      <c r="G903" s="4" t="s">
        <v>25</v>
      </c>
      <c r="H903" s="4" t="s">
        <v>25</v>
      </c>
      <c r="I903" s="5">
        <v>44835</v>
      </c>
      <c r="J903" s="6">
        <v>0</v>
      </c>
      <c r="K903" s="6">
        <v>0</v>
      </c>
      <c r="L903" s="6">
        <v>-1.2410000000000001</v>
      </c>
      <c r="M903" s="6">
        <v>-1.2410000000000001</v>
      </c>
      <c r="N903" s="6">
        <v>-1.2410000000000001</v>
      </c>
      <c r="O903" s="6">
        <v>-1.2410000000000001</v>
      </c>
      <c r="P903" s="6">
        <v>0</v>
      </c>
      <c r="Q903" s="4" t="s">
        <v>26</v>
      </c>
      <c r="R903" s="4">
        <v>0</v>
      </c>
      <c r="S903" s="4" t="s">
        <v>372</v>
      </c>
      <c r="T903" s="4" t="s">
        <v>594</v>
      </c>
      <c r="U903" s="4">
        <v>0</v>
      </c>
      <c r="V903" s="4">
        <v>47</v>
      </c>
      <c r="W903" s="4">
        <v>109</v>
      </c>
    </row>
    <row r="904" spans="1:23" ht="11.25" customHeight="1" x14ac:dyDescent="0.3">
      <c r="A904" s="4" t="s">
        <v>53</v>
      </c>
      <c r="B904" s="4" t="s">
        <v>44</v>
      </c>
      <c r="C904" s="4" t="s">
        <v>23</v>
      </c>
      <c r="D904" s="4" t="s">
        <v>45</v>
      </c>
      <c r="E904" s="4" t="s">
        <v>25</v>
      </c>
      <c r="F904" s="4" t="s">
        <v>25</v>
      </c>
      <c r="G904" s="4" t="s">
        <v>25</v>
      </c>
      <c r="H904" s="4" t="s">
        <v>25</v>
      </c>
      <c r="I904" s="5">
        <v>44835</v>
      </c>
      <c r="J904" s="6">
        <v>0</v>
      </c>
      <c r="K904" s="6">
        <v>0</v>
      </c>
      <c r="L904" s="6">
        <v>8.4589999999999996</v>
      </c>
      <c r="M904" s="6">
        <v>8.4589999999999996</v>
      </c>
      <c r="N904" s="6">
        <v>8.4589999999999996</v>
      </c>
      <c r="O904" s="6">
        <v>8.4589999999999996</v>
      </c>
      <c r="P904" s="6">
        <v>40</v>
      </c>
      <c r="Q904" s="4" t="s">
        <v>26</v>
      </c>
      <c r="R904" s="4">
        <v>0</v>
      </c>
      <c r="S904" s="4" t="s">
        <v>372</v>
      </c>
      <c r="T904" s="4" t="s">
        <v>594</v>
      </c>
      <c r="U904" s="4">
        <v>0</v>
      </c>
      <c r="V904" s="4">
        <v>47</v>
      </c>
      <c r="W904" s="4">
        <v>109</v>
      </c>
    </row>
    <row r="905" spans="1:23" ht="11.25" customHeight="1" x14ac:dyDescent="0.3">
      <c r="A905" s="4" t="s">
        <v>21</v>
      </c>
      <c r="B905" s="4" t="s">
        <v>37</v>
      </c>
      <c r="C905" s="4" t="s">
        <v>33</v>
      </c>
      <c r="D905" s="4" t="s">
        <v>42</v>
      </c>
      <c r="E905" s="4" t="s">
        <v>25</v>
      </c>
      <c r="F905" s="4" t="s">
        <v>25</v>
      </c>
      <c r="G905" s="4" t="s">
        <v>25</v>
      </c>
      <c r="H905" s="4" t="s">
        <v>35</v>
      </c>
      <c r="I905" s="5">
        <v>44501</v>
      </c>
      <c r="J905" s="6">
        <v>0</v>
      </c>
      <c r="K905" s="6">
        <v>0</v>
      </c>
      <c r="L905" s="6">
        <v>23.803999999999998</v>
      </c>
      <c r="M905" s="6">
        <v>23.803999999999998</v>
      </c>
      <c r="N905" s="6">
        <v>23.803999999999998</v>
      </c>
      <c r="O905" s="6">
        <v>23.803999999999998</v>
      </c>
      <c r="P905" s="6">
        <v>0</v>
      </c>
      <c r="Q905" s="4" t="s">
        <v>26</v>
      </c>
      <c r="R905" s="4">
        <v>0</v>
      </c>
      <c r="S905" s="4" t="s">
        <v>373</v>
      </c>
      <c r="T905" s="4" t="s">
        <v>595</v>
      </c>
      <c r="U905" s="4">
        <v>0</v>
      </c>
      <c r="V905" s="4">
        <v>69</v>
      </c>
      <c r="W905" s="4">
        <v>105</v>
      </c>
    </row>
    <row r="906" spans="1:23" ht="11.25" customHeight="1" x14ac:dyDescent="0.3">
      <c r="A906" s="4" t="s">
        <v>28</v>
      </c>
      <c r="B906" s="4" t="s">
        <v>37</v>
      </c>
      <c r="C906" s="4" t="s">
        <v>33</v>
      </c>
      <c r="D906" s="4" t="s">
        <v>42</v>
      </c>
      <c r="E906" s="4" t="s">
        <v>25</v>
      </c>
      <c r="F906" s="4" t="s">
        <v>25</v>
      </c>
      <c r="G906" s="4" t="s">
        <v>25</v>
      </c>
      <c r="H906" s="4" t="s">
        <v>35</v>
      </c>
      <c r="I906" s="5">
        <v>44501</v>
      </c>
      <c r="J906" s="6">
        <v>0</v>
      </c>
      <c r="K906" s="6">
        <v>0</v>
      </c>
      <c r="L906" s="6">
        <v>7.1970000000000001</v>
      </c>
      <c r="M906" s="6">
        <v>7.1970000000000001</v>
      </c>
      <c r="N906" s="6">
        <v>7.1970000000000001</v>
      </c>
      <c r="O906" s="6">
        <v>7.1970000000000001</v>
      </c>
      <c r="P906" s="6">
        <v>0</v>
      </c>
      <c r="Q906" s="4" t="s">
        <v>26</v>
      </c>
      <c r="R906" s="4">
        <v>0</v>
      </c>
      <c r="S906" s="4" t="s">
        <v>373</v>
      </c>
      <c r="T906" s="4" t="s">
        <v>595</v>
      </c>
      <c r="U906" s="4">
        <v>0</v>
      </c>
      <c r="V906" s="4">
        <v>69</v>
      </c>
      <c r="W906" s="4">
        <v>105</v>
      </c>
    </row>
    <row r="907" spans="1:23" ht="11.25" customHeight="1" x14ac:dyDescent="0.3">
      <c r="A907" s="4" t="s">
        <v>21</v>
      </c>
      <c r="B907" s="4" t="s">
        <v>37</v>
      </c>
      <c r="C907" s="4" t="s">
        <v>33</v>
      </c>
      <c r="D907" s="4" t="s">
        <v>42</v>
      </c>
      <c r="E907" s="4" t="s">
        <v>25</v>
      </c>
      <c r="F907" s="4" t="s">
        <v>25</v>
      </c>
      <c r="G907" s="4" t="s">
        <v>25</v>
      </c>
      <c r="H907" s="4" t="s">
        <v>35</v>
      </c>
      <c r="I907" s="5">
        <v>44531</v>
      </c>
      <c r="J907" s="6">
        <v>0</v>
      </c>
      <c r="K907" s="6">
        <v>0</v>
      </c>
      <c r="L907" s="6">
        <v>23.663</v>
      </c>
      <c r="M907" s="6">
        <v>23.663</v>
      </c>
      <c r="N907" s="6">
        <v>23.663</v>
      </c>
      <c r="O907" s="6">
        <v>23.663</v>
      </c>
      <c r="P907" s="6">
        <v>0</v>
      </c>
      <c r="Q907" s="4" t="s">
        <v>26</v>
      </c>
      <c r="R907" s="4">
        <v>0</v>
      </c>
      <c r="S907" s="4" t="s">
        <v>374</v>
      </c>
      <c r="T907" s="4" t="s">
        <v>596</v>
      </c>
      <c r="U907" s="4">
        <v>0</v>
      </c>
      <c r="V907" s="4">
        <v>69</v>
      </c>
      <c r="W907" s="4">
        <v>105</v>
      </c>
    </row>
    <row r="908" spans="1:23" ht="11.25" customHeight="1" x14ac:dyDescent="0.3">
      <c r="A908" s="4" t="s">
        <v>28</v>
      </c>
      <c r="B908" s="4" t="s">
        <v>37</v>
      </c>
      <c r="C908" s="4" t="s">
        <v>33</v>
      </c>
      <c r="D908" s="4" t="s">
        <v>42</v>
      </c>
      <c r="E908" s="4" t="s">
        <v>25</v>
      </c>
      <c r="F908" s="4" t="s">
        <v>25</v>
      </c>
      <c r="G908" s="4" t="s">
        <v>25</v>
      </c>
      <c r="H908" s="4" t="s">
        <v>35</v>
      </c>
      <c r="I908" s="5">
        <v>44531</v>
      </c>
      <c r="J908" s="6">
        <v>0</v>
      </c>
      <c r="K908" s="6">
        <v>0</v>
      </c>
      <c r="L908" s="6">
        <v>6.6520000000000001</v>
      </c>
      <c r="M908" s="6">
        <v>6.6520000000000001</v>
      </c>
      <c r="N908" s="6">
        <v>6.6520000000000001</v>
      </c>
      <c r="O908" s="6">
        <v>6.6520000000000001</v>
      </c>
      <c r="P908" s="6">
        <v>0</v>
      </c>
      <c r="Q908" s="4" t="s">
        <v>26</v>
      </c>
      <c r="R908" s="4">
        <v>0</v>
      </c>
      <c r="S908" s="4" t="s">
        <v>374</v>
      </c>
      <c r="T908" s="4" t="s">
        <v>596</v>
      </c>
      <c r="U908" s="4">
        <v>0</v>
      </c>
      <c r="V908" s="4">
        <v>69</v>
      </c>
      <c r="W908" s="4">
        <v>105</v>
      </c>
    </row>
    <row r="909" spans="1:23" ht="11.25" customHeight="1" x14ac:dyDescent="0.3">
      <c r="A909" s="4" t="s">
        <v>21</v>
      </c>
      <c r="B909" s="4" t="s">
        <v>37</v>
      </c>
      <c r="C909" s="4" t="s">
        <v>33</v>
      </c>
      <c r="D909" s="4" t="s">
        <v>42</v>
      </c>
      <c r="E909" s="4" t="s">
        <v>25</v>
      </c>
      <c r="F909" s="4" t="s">
        <v>25</v>
      </c>
      <c r="G909" s="4" t="s">
        <v>25</v>
      </c>
      <c r="H909" s="4" t="s">
        <v>35</v>
      </c>
      <c r="I909" s="5">
        <v>44562</v>
      </c>
      <c r="J909" s="6">
        <v>0</v>
      </c>
      <c r="K909" s="6">
        <v>0</v>
      </c>
      <c r="L909" s="6">
        <v>23.891999999999999</v>
      </c>
      <c r="M909" s="6">
        <v>23.891999999999999</v>
      </c>
      <c r="N909" s="6">
        <v>23.891999999999999</v>
      </c>
      <c r="O909" s="6">
        <v>23.891999999999999</v>
      </c>
      <c r="P909" s="6">
        <v>0</v>
      </c>
      <c r="Q909" s="4" t="s">
        <v>26</v>
      </c>
      <c r="R909" s="4">
        <v>0</v>
      </c>
      <c r="S909" s="4" t="s">
        <v>375</v>
      </c>
      <c r="T909" s="4" t="s">
        <v>597</v>
      </c>
      <c r="U909" s="4">
        <v>0</v>
      </c>
      <c r="V909" s="4">
        <v>69</v>
      </c>
      <c r="W909" s="4">
        <v>105</v>
      </c>
    </row>
    <row r="910" spans="1:23" ht="11.25" customHeight="1" x14ac:dyDescent="0.3">
      <c r="A910" s="4" t="s">
        <v>28</v>
      </c>
      <c r="B910" s="4" t="s">
        <v>37</v>
      </c>
      <c r="C910" s="4" t="s">
        <v>33</v>
      </c>
      <c r="D910" s="4" t="s">
        <v>42</v>
      </c>
      <c r="E910" s="4" t="s">
        <v>25</v>
      </c>
      <c r="F910" s="4" t="s">
        <v>25</v>
      </c>
      <c r="G910" s="4" t="s">
        <v>25</v>
      </c>
      <c r="H910" s="4" t="s">
        <v>35</v>
      </c>
      <c r="I910" s="5">
        <v>44562</v>
      </c>
      <c r="J910" s="6">
        <v>0</v>
      </c>
      <c r="K910" s="6">
        <v>0</v>
      </c>
      <c r="L910" s="6">
        <v>8.4640000000000004</v>
      </c>
      <c r="M910" s="6">
        <v>8.4640000000000004</v>
      </c>
      <c r="N910" s="6">
        <v>8.4640000000000004</v>
      </c>
      <c r="O910" s="6">
        <v>8.4640000000000004</v>
      </c>
      <c r="P910" s="6">
        <v>0</v>
      </c>
      <c r="Q910" s="4" t="s">
        <v>26</v>
      </c>
      <c r="R910" s="4">
        <v>0</v>
      </c>
      <c r="S910" s="4" t="s">
        <v>375</v>
      </c>
      <c r="T910" s="4" t="s">
        <v>597</v>
      </c>
      <c r="U910" s="4">
        <v>0</v>
      </c>
      <c r="V910" s="4">
        <v>69</v>
      </c>
      <c r="W910" s="4">
        <v>105</v>
      </c>
    </row>
    <row r="911" spans="1:23" ht="11.25" customHeight="1" x14ac:dyDescent="0.3">
      <c r="A911" s="4" t="s">
        <v>21</v>
      </c>
      <c r="B911" s="4" t="s">
        <v>37</v>
      </c>
      <c r="C911" s="4" t="s">
        <v>33</v>
      </c>
      <c r="D911" s="4" t="s">
        <v>42</v>
      </c>
      <c r="E911" s="4" t="s">
        <v>25</v>
      </c>
      <c r="F911" s="4" t="s">
        <v>25</v>
      </c>
      <c r="G911" s="4" t="s">
        <v>25</v>
      </c>
      <c r="H911" s="4" t="s">
        <v>35</v>
      </c>
      <c r="I911" s="5">
        <v>44593</v>
      </c>
      <c r="J911" s="6">
        <v>0</v>
      </c>
      <c r="K911" s="6">
        <v>0</v>
      </c>
      <c r="L911" s="6">
        <v>29.81</v>
      </c>
      <c r="M911" s="6">
        <v>29.81</v>
      </c>
      <c r="N911" s="6">
        <v>29.81</v>
      </c>
      <c r="O911" s="6">
        <v>29.81</v>
      </c>
      <c r="P911" s="6">
        <v>0</v>
      </c>
      <c r="Q911" s="4" t="s">
        <v>26</v>
      </c>
      <c r="R911" s="4">
        <v>0</v>
      </c>
      <c r="S911" s="4" t="s">
        <v>376</v>
      </c>
      <c r="T911" s="4" t="s">
        <v>598</v>
      </c>
      <c r="U911" s="4">
        <v>0</v>
      </c>
      <c r="V911" s="4">
        <v>69</v>
      </c>
      <c r="W911" s="4">
        <v>105</v>
      </c>
    </row>
    <row r="912" spans="1:23" ht="11.25" customHeight="1" x14ac:dyDescent="0.3">
      <c r="A912" s="4" t="s">
        <v>28</v>
      </c>
      <c r="B912" s="4" t="s">
        <v>37</v>
      </c>
      <c r="C912" s="4" t="s">
        <v>33</v>
      </c>
      <c r="D912" s="4" t="s">
        <v>42</v>
      </c>
      <c r="E912" s="4" t="s">
        <v>25</v>
      </c>
      <c r="F912" s="4" t="s">
        <v>25</v>
      </c>
      <c r="G912" s="4" t="s">
        <v>25</v>
      </c>
      <c r="H912" s="4" t="s">
        <v>35</v>
      </c>
      <c r="I912" s="5">
        <v>44593</v>
      </c>
      <c r="J912" s="6">
        <v>0</v>
      </c>
      <c r="K912" s="6">
        <v>0</v>
      </c>
      <c r="L912" s="6">
        <v>5.8000000000000003E-2</v>
      </c>
      <c r="M912" s="6">
        <v>5.8000000000000003E-2</v>
      </c>
      <c r="N912" s="6">
        <v>5.8000000000000003E-2</v>
      </c>
      <c r="O912" s="6">
        <v>5.8000000000000003E-2</v>
      </c>
      <c r="P912" s="6">
        <v>0</v>
      </c>
      <c r="Q912" s="4" t="s">
        <v>26</v>
      </c>
      <c r="R912" s="4">
        <v>0</v>
      </c>
      <c r="S912" s="4" t="s">
        <v>376</v>
      </c>
      <c r="T912" s="4" t="s">
        <v>598</v>
      </c>
      <c r="U912" s="4">
        <v>0</v>
      </c>
      <c r="V912" s="4">
        <v>69</v>
      </c>
      <c r="W912" s="4">
        <v>105</v>
      </c>
    </row>
    <row r="913" spans="1:23" ht="11.25" customHeight="1" x14ac:dyDescent="0.3">
      <c r="A913" s="4" t="s">
        <v>21</v>
      </c>
      <c r="B913" s="4" t="s">
        <v>37</v>
      </c>
      <c r="C913" s="4" t="s">
        <v>33</v>
      </c>
      <c r="D913" s="4" t="s">
        <v>42</v>
      </c>
      <c r="E913" s="4" t="s">
        <v>25</v>
      </c>
      <c r="F913" s="4" t="s">
        <v>25</v>
      </c>
      <c r="G913" s="4" t="s">
        <v>25</v>
      </c>
      <c r="H913" s="4" t="s">
        <v>35</v>
      </c>
      <c r="I913" s="5">
        <v>44621</v>
      </c>
      <c r="J913" s="6">
        <v>0</v>
      </c>
      <c r="K913" s="6">
        <v>0</v>
      </c>
      <c r="L913" s="6">
        <v>24.454000000000001</v>
      </c>
      <c r="M913" s="6">
        <v>24.454000000000001</v>
      </c>
      <c r="N913" s="6">
        <v>24.454000000000001</v>
      </c>
      <c r="O913" s="6">
        <v>24.454000000000001</v>
      </c>
      <c r="P913" s="6">
        <v>0</v>
      </c>
      <c r="Q913" s="4" t="s">
        <v>26</v>
      </c>
      <c r="R913" s="4">
        <v>0</v>
      </c>
      <c r="S913" s="4" t="s">
        <v>377</v>
      </c>
      <c r="T913" s="4" t="s">
        <v>599</v>
      </c>
      <c r="U913" s="4">
        <v>0</v>
      </c>
      <c r="V913" s="4">
        <v>69</v>
      </c>
      <c r="W913" s="4">
        <v>105</v>
      </c>
    </row>
    <row r="914" spans="1:23" ht="11.25" customHeight="1" x14ac:dyDescent="0.3">
      <c r="A914" s="4" t="s">
        <v>28</v>
      </c>
      <c r="B914" s="4" t="s">
        <v>37</v>
      </c>
      <c r="C914" s="4" t="s">
        <v>33</v>
      </c>
      <c r="D914" s="4" t="s">
        <v>42</v>
      </c>
      <c r="E914" s="4" t="s">
        <v>25</v>
      </c>
      <c r="F914" s="4" t="s">
        <v>25</v>
      </c>
      <c r="G914" s="4" t="s">
        <v>25</v>
      </c>
      <c r="H914" s="4" t="s">
        <v>35</v>
      </c>
      <c r="I914" s="5">
        <v>44621</v>
      </c>
      <c r="J914" s="6">
        <v>0</v>
      </c>
      <c r="K914" s="6">
        <v>0</v>
      </c>
      <c r="L914" s="6">
        <v>6.7770000000000001</v>
      </c>
      <c r="M914" s="6">
        <v>6.7770000000000001</v>
      </c>
      <c r="N914" s="6">
        <v>6.7770000000000001</v>
      </c>
      <c r="O914" s="6">
        <v>6.7770000000000001</v>
      </c>
      <c r="P914" s="6">
        <v>0</v>
      </c>
      <c r="Q914" s="4" t="s">
        <v>26</v>
      </c>
      <c r="R914" s="4">
        <v>0</v>
      </c>
      <c r="S914" s="4" t="s">
        <v>377</v>
      </c>
      <c r="T914" s="4" t="s">
        <v>599</v>
      </c>
      <c r="U914" s="4">
        <v>0</v>
      </c>
      <c r="V914" s="4">
        <v>69</v>
      </c>
      <c r="W914" s="4">
        <v>105</v>
      </c>
    </row>
    <row r="915" spans="1:23" ht="11.25" customHeight="1" x14ac:dyDescent="0.3">
      <c r="A915" s="4" t="s">
        <v>21</v>
      </c>
      <c r="B915" s="4" t="s">
        <v>37</v>
      </c>
      <c r="C915" s="4" t="s">
        <v>33</v>
      </c>
      <c r="D915" s="4" t="s">
        <v>42</v>
      </c>
      <c r="E915" s="4" t="s">
        <v>25</v>
      </c>
      <c r="F915" s="4" t="s">
        <v>25</v>
      </c>
      <c r="G915" s="4" t="s">
        <v>25</v>
      </c>
      <c r="H915" s="4" t="s">
        <v>35</v>
      </c>
      <c r="I915" s="5">
        <v>44652</v>
      </c>
      <c r="J915" s="6">
        <v>0</v>
      </c>
      <c r="K915" s="6">
        <v>0</v>
      </c>
      <c r="L915" s="6">
        <v>36.942999999999998</v>
      </c>
      <c r="M915" s="6">
        <v>36.942999999999998</v>
      </c>
      <c r="N915" s="6">
        <v>36.942999999999998</v>
      </c>
      <c r="O915" s="6">
        <v>36.942999999999998</v>
      </c>
      <c r="P915" s="6">
        <v>0</v>
      </c>
      <c r="Q915" s="4" t="s">
        <v>26</v>
      </c>
      <c r="R915" s="4">
        <v>0</v>
      </c>
      <c r="S915" s="4" t="s">
        <v>378</v>
      </c>
      <c r="T915" s="4" t="s">
        <v>600</v>
      </c>
      <c r="U915" s="4">
        <v>0</v>
      </c>
      <c r="V915" s="4">
        <v>69</v>
      </c>
      <c r="W915" s="4">
        <v>105</v>
      </c>
    </row>
    <row r="916" spans="1:23" ht="11.25" customHeight="1" x14ac:dyDescent="0.3">
      <c r="A916" s="4" t="s">
        <v>21</v>
      </c>
      <c r="B916" s="4" t="s">
        <v>37</v>
      </c>
      <c r="C916" s="4" t="s">
        <v>33</v>
      </c>
      <c r="D916" s="4" t="s">
        <v>42</v>
      </c>
      <c r="E916" s="4" t="s">
        <v>25</v>
      </c>
      <c r="F916" s="4" t="s">
        <v>25</v>
      </c>
      <c r="G916" s="4" t="s">
        <v>25</v>
      </c>
      <c r="H916" s="4" t="s">
        <v>35</v>
      </c>
      <c r="I916" s="5">
        <v>44682</v>
      </c>
      <c r="J916" s="6">
        <v>0</v>
      </c>
      <c r="K916" s="6">
        <v>0</v>
      </c>
      <c r="L916" s="6">
        <v>25.99</v>
      </c>
      <c r="M916" s="6">
        <v>25.99</v>
      </c>
      <c r="N916" s="6">
        <v>25.99</v>
      </c>
      <c r="O916" s="6">
        <v>25.99</v>
      </c>
      <c r="P916" s="6">
        <v>0</v>
      </c>
      <c r="Q916" s="4" t="s">
        <v>26</v>
      </c>
      <c r="R916" s="4">
        <v>0</v>
      </c>
      <c r="S916" s="4" t="s">
        <v>379</v>
      </c>
      <c r="T916" s="4" t="s">
        <v>601</v>
      </c>
      <c r="U916" s="4">
        <v>0</v>
      </c>
      <c r="V916" s="4">
        <v>69</v>
      </c>
      <c r="W916" s="4">
        <v>105</v>
      </c>
    </row>
    <row r="917" spans="1:23" ht="11.25" customHeight="1" x14ac:dyDescent="0.3">
      <c r="A917" s="4" t="s">
        <v>28</v>
      </c>
      <c r="B917" s="4" t="s">
        <v>37</v>
      </c>
      <c r="C917" s="4" t="s">
        <v>33</v>
      </c>
      <c r="D917" s="4" t="s">
        <v>42</v>
      </c>
      <c r="E917" s="4" t="s">
        <v>25</v>
      </c>
      <c r="F917" s="4" t="s">
        <v>25</v>
      </c>
      <c r="G917" s="4" t="s">
        <v>25</v>
      </c>
      <c r="H917" s="4" t="s">
        <v>35</v>
      </c>
      <c r="I917" s="5">
        <v>44682</v>
      </c>
      <c r="J917" s="6">
        <v>0</v>
      </c>
      <c r="K917" s="6">
        <v>0</v>
      </c>
      <c r="L917" s="6">
        <v>6.4850000000000003</v>
      </c>
      <c r="M917" s="6">
        <v>6.4850000000000003</v>
      </c>
      <c r="N917" s="6">
        <v>6.4850000000000003</v>
      </c>
      <c r="O917" s="6">
        <v>6.4850000000000003</v>
      </c>
      <c r="P917" s="6">
        <v>0</v>
      </c>
      <c r="Q917" s="4" t="s">
        <v>26</v>
      </c>
      <c r="R917" s="4">
        <v>0</v>
      </c>
      <c r="S917" s="4" t="s">
        <v>379</v>
      </c>
      <c r="T917" s="4" t="s">
        <v>601</v>
      </c>
      <c r="U917" s="4">
        <v>0</v>
      </c>
      <c r="V917" s="4">
        <v>69</v>
      </c>
      <c r="W917" s="4">
        <v>105</v>
      </c>
    </row>
    <row r="918" spans="1:23" ht="11.25" customHeight="1" x14ac:dyDescent="0.3">
      <c r="A918" s="4" t="s">
        <v>21</v>
      </c>
      <c r="B918" s="4" t="s">
        <v>37</v>
      </c>
      <c r="C918" s="4" t="s">
        <v>33</v>
      </c>
      <c r="D918" s="4" t="s">
        <v>42</v>
      </c>
      <c r="E918" s="4" t="s">
        <v>25</v>
      </c>
      <c r="F918" s="4" t="s">
        <v>25</v>
      </c>
      <c r="G918" s="4" t="s">
        <v>25</v>
      </c>
      <c r="H918" s="4" t="s">
        <v>35</v>
      </c>
      <c r="I918" s="5">
        <v>44713</v>
      </c>
      <c r="J918" s="6">
        <v>0</v>
      </c>
      <c r="K918" s="6">
        <v>0</v>
      </c>
      <c r="L918" s="6">
        <v>24.417000000000002</v>
      </c>
      <c r="M918" s="6">
        <v>24.417000000000002</v>
      </c>
      <c r="N918" s="6">
        <v>24.417000000000002</v>
      </c>
      <c r="O918" s="6">
        <v>24.417000000000002</v>
      </c>
      <c r="P918" s="6">
        <v>0</v>
      </c>
      <c r="Q918" s="4" t="s">
        <v>26</v>
      </c>
      <c r="R918" s="4">
        <v>0</v>
      </c>
      <c r="S918" s="4" t="s">
        <v>380</v>
      </c>
      <c r="T918" s="4" t="s">
        <v>602</v>
      </c>
      <c r="U918" s="4">
        <v>0</v>
      </c>
      <c r="V918" s="4">
        <v>69</v>
      </c>
      <c r="W918" s="4">
        <v>105</v>
      </c>
    </row>
    <row r="919" spans="1:23" ht="11.25" customHeight="1" x14ac:dyDescent="0.3">
      <c r="A919" s="4" t="s">
        <v>28</v>
      </c>
      <c r="B919" s="4" t="s">
        <v>37</v>
      </c>
      <c r="C919" s="4" t="s">
        <v>33</v>
      </c>
      <c r="D919" s="4" t="s">
        <v>42</v>
      </c>
      <c r="E919" s="4" t="s">
        <v>25</v>
      </c>
      <c r="F919" s="4" t="s">
        <v>25</v>
      </c>
      <c r="G919" s="4" t="s">
        <v>25</v>
      </c>
      <c r="H919" s="4" t="s">
        <v>35</v>
      </c>
      <c r="I919" s="5">
        <v>44713</v>
      </c>
      <c r="J919" s="6">
        <v>0</v>
      </c>
      <c r="K919" s="6">
        <v>0</v>
      </c>
      <c r="L919" s="6">
        <v>6.0650000000000004</v>
      </c>
      <c r="M919" s="6">
        <v>6.0650000000000004</v>
      </c>
      <c r="N919" s="6">
        <v>6.0650000000000004</v>
      </c>
      <c r="O919" s="6">
        <v>6.0650000000000004</v>
      </c>
      <c r="P919" s="6">
        <v>0</v>
      </c>
      <c r="Q919" s="4" t="s">
        <v>26</v>
      </c>
      <c r="R919" s="4">
        <v>0</v>
      </c>
      <c r="S919" s="4" t="s">
        <v>380</v>
      </c>
      <c r="T919" s="4" t="s">
        <v>602</v>
      </c>
      <c r="U919" s="4">
        <v>0</v>
      </c>
      <c r="V919" s="4">
        <v>69</v>
      </c>
      <c r="W919" s="4">
        <v>105</v>
      </c>
    </row>
    <row r="920" spans="1:23" ht="11.25" customHeight="1" x14ac:dyDescent="0.3">
      <c r="A920" s="4" t="s">
        <v>21</v>
      </c>
      <c r="B920" s="4" t="s">
        <v>37</v>
      </c>
      <c r="C920" s="4" t="s">
        <v>33</v>
      </c>
      <c r="D920" s="4" t="s">
        <v>42</v>
      </c>
      <c r="E920" s="4" t="s">
        <v>25</v>
      </c>
      <c r="F920" s="4" t="s">
        <v>25</v>
      </c>
      <c r="G920" s="4" t="s">
        <v>25</v>
      </c>
      <c r="H920" s="4" t="s">
        <v>35</v>
      </c>
      <c r="I920" s="5">
        <v>44743</v>
      </c>
      <c r="J920" s="6">
        <v>0</v>
      </c>
      <c r="K920" s="6">
        <v>0</v>
      </c>
      <c r="L920" s="6">
        <v>32.880000000000003</v>
      </c>
      <c r="M920" s="6">
        <v>32.880000000000003</v>
      </c>
      <c r="N920" s="6">
        <v>32.880000000000003</v>
      </c>
      <c r="O920" s="6">
        <v>32.880000000000003</v>
      </c>
      <c r="P920" s="6">
        <v>0</v>
      </c>
      <c r="Q920" s="4" t="s">
        <v>26</v>
      </c>
      <c r="R920" s="4">
        <v>0</v>
      </c>
      <c r="S920" s="4" t="s">
        <v>381</v>
      </c>
      <c r="T920" s="4" t="s">
        <v>603</v>
      </c>
      <c r="U920" s="4">
        <v>0</v>
      </c>
      <c r="V920" s="4">
        <v>69</v>
      </c>
      <c r="W920" s="4">
        <v>105</v>
      </c>
    </row>
    <row r="921" spans="1:23" ht="11.25" customHeight="1" x14ac:dyDescent="0.3">
      <c r="A921" s="4" t="s">
        <v>21</v>
      </c>
      <c r="B921" s="4" t="s">
        <v>37</v>
      </c>
      <c r="C921" s="4" t="s">
        <v>33</v>
      </c>
      <c r="D921" s="4" t="s">
        <v>42</v>
      </c>
      <c r="E921" s="4" t="s">
        <v>25</v>
      </c>
      <c r="F921" s="4" t="s">
        <v>25</v>
      </c>
      <c r="G921" s="4" t="s">
        <v>25</v>
      </c>
      <c r="H921" s="4" t="s">
        <v>35</v>
      </c>
      <c r="I921" s="5">
        <v>44774</v>
      </c>
      <c r="J921" s="6">
        <v>0</v>
      </c>
      <c r="K921" s="6">
        <v>0</v>
      </c>
      <c r="L921" s="6">
        <v>25.122</v>
      </c>
      <c r="M921" s="6">
        <v>25.122</v>
      </c>
      <c r="N921" s="6">
        <v>25.122</v>
      </c>
      <c r="O921" s="6">
        <v>25.122</v>
      </c>
      <c r="P921" s="6">
        <v>0</v>
      </c>
      <c r="Q921" s="4" t="s">
        <v>26</v>
      </c>
      <c r="R921" s="4">
        <v>0</v>
      </c>
      <c r="S921" s="4" t="s">
        <v>382</v>
      </c>
      <c r="T921" s="4" t="s">
        <v>604</v>
      </c>
      <c r="U921" s="4">
        <v>0</v>
      </c>
      <c r="V921" s="4">
        <v>69</v>
      </c>
      <c r="W921" s="4">
        <v>105</v>
      </c>
    </row>
    <row r="922" spans="1:23" ht="11.25" customHeight="1" x14ac:dyDescent="0.3">
      <c r="A922" s="4" t="s">
        <v>28</v>
      </c>
      <c r="B922" s="4" t="s">
        <v>37</v>
      </c>
      <c r="C922" s="4" t="s">
        <v>33</v>
      </c>
      <c r="D922" s="4" t="s">
        <v>42</v>
      </c>
      <c r="E922" s="4" t="s">
        <v>25</v>
      </c>
      <c r="F922" s="4" t="s">
        <v>25</v>
      </c>
      <c r="G922" s="4" t="s">
        <v>25</v>
      </c>
      <c r="H922" s="4" t="s">
        <v>35</v>
      </c>
      <c r="I922" s="5">
        <v>44774</v>
      </c>
      <c r="J922" s="6">
        <v>0</v>
      </c>
      <c r="K922" s="6">
        <v>0</v>
      </c>
      <c r="L922" s="6">
        <v>6.2770000000000001</v>
      </c>
      <c r="M922" s="6">
        <v>6.2770000000000001</v>
      </c>
      <c r="N922" s="6">
        <v>6.2770000000000001</v>
      </c>
      <c r="O922" s="6">
        <v>6.2770000000000001</v>
      </c>
      <c r="P922" s="6">
        <v>0</v>
      </c>
      <c r="Q922" s="4" t="s">
        <v>26</v>
      </c>
      <c r="R922" s="4">
        <v>0</v>
      </c>
      <c r="S922" s="4" t="s">
        <v>382</v>
      </c>
      <c r="T922" s="4" t="s">
        <v>604</v>
      </c>
      <c r="U922" s="4">
        <v>0</v>
      </c>
      <c r="V922" s="4">
        <v>69</v>
      </c>
      <c r="W922" s="4">
        <v>105</v>
      </c>
    </row>
    <row r="923" spans="1:23" ht="11.25" customHeight="1" x14ac:dyDescent="0.3">
      <c r="A923" s="4" t="s">
        <v>21</v>
      </c>
      <c r="B923" s="4" t="s">
        <v>37</v>
      </c>
      <c r="C923" s="4" t="s">
        <v>33</v>
      </c>
      <c r="D923" s="4" t="s">
        <v>42</v>
      </c>
      <c r="E923" s="4" t="s">
        <v>25</v>
      </c>
      <c r="F923" s="4" t="s">
        <v>25</v>
      </c>
      <c r="G923" s="4" t="s">
        <v>25</v>
      </c>
      <c r="H923" s="4" t="s">
        <v>35</v>
      </c>
      <c r="I923" s="5">
        <v>44805</v>
      </c>
      <c r="J923" s="6">
        <v>0</v>
      </c>
      <c r="K923" s="6">
        <v>0</v>
      </c>
      <c r="L923" s="6">
        <v>24.431999999999999</v>
      </c>
      <c r="M923" s="6">
        <v>24.431999999999999</v>
      </c>
      <c r="N923" s="6">
        <v>24.431999999999999</v>
      </c>
      <c r="O923" s="6">
        <v>24.431999999999999</v>
      </c>
      <c r="P923" s="6">
        <v>0</v>
      </c>
      <c r="Q923" s="4" t="s">
        <v>26</v>
      </c>
      <c r="R923" s="4">
        <v>0</v>
      </c>
      <c r="S923" s="4" t="s">
        <v>383</v>
      </c>
      <c r="T923" s="4" t="s">
        <v>605</v>
      </c>
      <c r="U923" s="4">
        <v>0</v>
      </c>
      <c r="V923" s="4">
        <v>69</v>
      </c>
      <c r="W923" s="4">
        <v>105</v>
      </c>
    </row>
    <row r="924" spans="1:23" ht="11.25" customHeight="1" x14ac:dyDescent="0.3">
      <c r="A924" s="4" t="s">
        <v>28</v>
      </c>
      <c r="B924" s="4" t="s">
        <v>37</v>
      </c>
      <c r="C924" s="4" t="s">
        <v>33</v>
      </c>
      <c r="D924" s="4" t="s">
        <v>42</v>
      </c>
      <c r="E924" s="4" t="s">
        <v>25</v>
      </c>
      <c r="F924" s="4" t="s">
        <v>25</v>
      </c>
      <c r="G924" s="4" t="s">
        <v>25</v>
      </c>
      <c r="H924" s="4" t="s">
        <v>35</v>
      </c>
      <c r="I924" s="5">
        <v>44805</v>
      </c>
      <c r="J924" s="6">
        <v>0</v>
      </c>
      <c r="K924" s="6">
        <v>0</v>
      </c>
      <c r="L924" s="6">
        <v>3.9849999999999999</v>
      </c>
      <c r="M924" s="6">
        <v>3.9849999999999999</v>
      </c>
      <c r="N924" s="6">
        <v>3.9849999999999999</v>
      </c>
      <c r="O924" s="6">
        <v>3.9849999999999999</v>
      </c>
      <c r="P924" s="6">
        <v>0</v>
      </c>
      <c r="Q924" s="4" t="s">
        <v>26</v>
      </c>
      <c r="R924" s="4">
        <v>0</v>
      </c>
      <c r="S924" s="4" t="s">
        <v>383</v>
      </c>
      <c r="T924" s="4" t="s">
        <v>605</v>
      </c>
      <c r="U924" s="4">
        <v>0</v>
      </c>
      <c r="V924" s="4">
        <v>69</v>
      </c>
      <c r="W924" s="4">
        <v>105</v>
      </c>
    </row>
    <row r="925" spans="1:23" ht="11.25" customHeight="1" x14ac:dyDescent="0.3">
      <c r="A925" s="4" t="s">
        <v>53</v>
      </c>
      <c r="B925" s="4" t="s">
        <v>37</v>
      </c>
      <c r="C925" s="4" t="s">
        <v>33</v>
      </c>
      <c r="D925" s="4" t="s">
        <v>42</v>
      </c>
      <c r="E925" s="4" t="s">
        <v>25</v>
      </c>
      <c r="F925" s="4" t="s">
        <v>25</v>
      </c>
      <c r="G925" s="4" t="s">
        <v>25</v>
      </c>
      <c r="H925" s="4" t="s">
        <v>35</v>
      </c>
      <c r="I925" s="5">
        <v>44835</v>
      </c>
      <c r="J925" s="6">
        <v>0</v>
      </c>
      <c r="K925" s="6">
        <v>0</v>
      </c>
      <c r="L925" s="6">
        <v>24.431999999999999</v>
      </c>
      <c r="M925" s="6">
        <v>24.431999999999999</v>
      </c>
      <c r="N925" s="6">
        <v>24.431999999999999</v>
      </c>
      <c r="O925" s="6">
        <v>24.431999999999999</v>
      </c>
      <c r="P925" s="6">
        <v>0</v>
      </c>
      <c r="Q925" s="4" t="s">
        <v>26</v>
      </c>
      <c r="R925" s="4">
        <v>0</v>
      </c>
      <c r="S925" s="4" t="s">
        <v>384</v>
      </c>
      <c r="T925" s="4" t="s">
        <v>606</v>
      </c>
      <c r="U925" s="4">
        <v>0</v>
      </c>
      <c r="V925" s="4">
        <v>69</v>
      </c>
      <c r="W925" s="4">
        <v>105</v>
      </c>
    </row>
    <row r="926" spans="1:23" ht="11.25" customHeight="1" x14ac:dyDescent="0.3">
      <c r="A926" s="4" t="s">
        <v>53</v>
      </c>
      <c r="B926" s="4" t="s">
        <v>37</v>
      </c>
      <c r="C926" s="4" t="s">
        <v>33</v>
      </c>
      <c r="D926" s="4" t="s">
        <v>42</v>
      </c>
      <c r="E926" s="4" t="s">
        <v>25</v>
      </c>
      <c r="F926" s="4" t="s">
        <v>25</v>
      </c>
      <c r="G926" s="4" t="s">
        <v>25</v>
      </c>
      <c r="H926" s="4" t="s">
        <v>35</v>
      </c>
      <c r="I926" s="5">
        <v>44835</v>
      </c>
      <c r="J926" s="6">
        <v>0</v>
      </c>
      <c r="K926" s="6">
        <v>0</v>
      </c>
      <c r="L926" s="6">
        <v>3.9849999999999999</v>
      </c>
      <c r="M926" s="6">
        <v>3.9849999999999999</v>
      </c>
      <c r="N926" s="6">
        <v>3.9849999999999999</v>
      </c>
      <c r="O926" s="6">
        <v>3.9849999999999999</v>
      </c>
      <c r="P926" s="6">
        <v>0</v>
      </c>
      <c r="Q926" s="4" t="s">
        <v>26</v>
      </c>
      <c r="R926" s="4">
        <v>0</v>
      </c>
      <c r="S926" s="4" t="s">
        <v>384</v>
      </c>
      <c r="T926" s="4" t="s">
        <v>606</v>
      </c>
      <c r="U926" s="4">
        <v>0</v>
      </c>
      <c r="V926" s="4">
        <v>69</v>
      </c>
      <c r="W926" s="4">
        <v>105</v>
      </c>
    </row>
    <row r="927" spans="1:23" ht="11.25" customHeight="1" x14ac:dyDescent="0.3">
      <c r="A927" s="4" t="s">
        <v>21</v>
      </c>
      <c r="B927" s="4" t="s">
        <v>37</v>
      </c>
      <c r="C927" s="4" t="s">
        <v>33</v>
      </c>
      <c r="D927" s="4" t="s">
        <v>42</v>
      </c>
      <c r="E927" s="4" t="s">
        <v>25</v>
      </c>
      <c r="F927" s="4" t="s">
        <v>25</v>
      </c>
      <c r="G927" s="4" t="s">
        <v>25</v>
      </c>
      <c r="H927" s="4" t="s">
        <v>36</v>
      </c>
      <c r="I927" s="5">
        <v>44501</v>
      </c>
      <c r="J927" s="6">
        <v>0</v>
      </c>
      <c r="K927" s="6">
        <v>0</v>
      </c>
      <c r="L927" s="6">
        <v>1.2170000000000001</v>
      </c>
      <c r="M927" s="6">
        <v>1.2170000000000001</v>
      </c>
      <c r="N927" s="6">
        <v>1.2170000000000001</v>
      </c>
      <c r="O927" s="6">
        <v>1.2170000000000001</v>
      </c>
      <c r="P927" s="6">
        <v>0</v>
      </c>
      <c r="Q927" s="4" t="s">
        <v>26</v>
      </c>
      <c r="R927" s="4">
        <v>0</v>
      </c>
      <c r="S927" s="4" t="s">
        <v>385</v>
      </c>
      <c r="T927" s="4" t="s">
        <v>607</v>
      </c>
      <c r="U927" s="4">
        <v>0</v>
      </c>
      <c r="V927" s="4">
        <v>82</v>
      </c>
      <c r="W927" s="4">
        <v>110</v>
      </c>
    </row>
    <row r="928" spans="1:23" ht="11.25" customHeight="1" x14ac:dyDescent="0.3">
      <c r="A928" s="4" t="s">
        <v>28</v>
      </c>
      <c r="B928" s="4" t="s">
        <v>37</v>
      </c>
      <c r="C928" s="4" t="s">
        <v>33</v>
      </c>
      <c r="D928" s="4" t="s">
        <v>42</v>
      </c>
      <c r="E928" s="4" t="s">
        <v>25</v>
      </c>
      <c r="F928" s="4" t="s">
        <v>25</v>
      </c>
      <c r="G928" s="4" t="s">
        <v>25</v>
      </c>
      <c r="H928" s="4" t="s">
        <v>36</v>
      </c>
      <c r="I928" s="5">
        <v>44501</v>
      </c>
      <c r="J928" s="6">
        <v>0</v>
      </c>
      <c r="K928" s="6">
        <v>0</v>
      </c>
      <c r="L928" s="6">
        <v>0.54700000000000004</v>
      </c>
      <c r="M928" s="6">
        <v>0.54700000000000004</v>
      </c>
      <c r="N928" s="6">
        <v>0.54700000000000004</v>
      </c>
      <c r="O928" s="6">
        <v>0.54700000000000004</v>
      </c>
      <c r="P928" s="6">
        <v>0</v>
      </c>
      <c r="Q928" s="4" t="s">
        <v>26</v>
      </c>
      <c r="R928" s="4">
        <v>0</v>
      </c>
      <c r="S928" s="4" t="s">
        <v>385</v>
      </c>
      <c r="T928" s="4" t="s">
        <v>607</v>
      </c>
      <c r="U928" s="4">
        <v>0</v>
      </c>
      <c r="V928" s="4">
        <v>82</v>
      </c>
      <c r="W928" s="4">
        <v>110</v>
      </c>
    </row>
    <row r="929" spans="1:23" ht="11.25" customHeight="1" x14ac:dyDescent="0.3">
      <c r="A929" s="4" t="s">
        <v>21</v>
      </c>
      <c r="B929" s="4" t="s">
        <v>37</v>
      </c>
      <c r="C929" s="4" t="s">
        <v>33</v>
      </c>
      <c r="D929" s="4" t="s">
        <v>42</v>
      </c>
      <c r="E929" s="4" t="s">
        <v>25</v>
      </c>
      <c r="F929" s="4" t="s">
        <v>25</v>
      </c>
      <c r="G929" s="4" t="s">
        <v>25</v>
      </c>
      <c r="H929" s="4" t="s">
        <v>36</v>
      </c>
      <c r="I929" s="5">
        <v>44531</v>
      </c>
      <c r="J929" s="6">
        <v>0</v>
      </c>
      <c r="K929" s="6">
        <v>0</v>
      </c>
      <c r="L929" s="6">
        <v>1.2889999999999999</v>
      </c>
      <c r="M929" s="6">
        <v>1.2889999999999999</v>
      </c>
      <c r="N929" s="6">
        <v>1.2889999999999999</v>
      </c>
      <c r="O929" s="6">
        <v>1.2889999999999999</v>
      </c>
      <c r="P929" s="6">
        <v>0</v>
      </c>
      <c r="Q929" s="4" t="s">
        <v>26</v>
      </c>
      <c r="R929" s="4">
        <v>0</v>
      </c>
      <c r="S929" s="4" t="s">
        <v>386</v>
      </c>
      <c r="T929" s="4" t="s">
        <v>608</v>
      </c>
      <c r="U929" s="4">
        <v>0</v>
      </c>
      <c r="V929" s="4">
        <v>82</v>
      </c>
      <c r="W929" s="4">
        <v>110</v>
      </c>
    </row>
    <row r="930" spans="1:23" ht="11.25" customHeight="1" x14ac:dyDescent="0.3">
      <c r="A930" s="4" t="s">
        <v>28</v>
      </c>
      <c r="B930" s="4" t="s">
        <v>37</v>
      </c>
      <c r="C930" s="4" t="s">
        <v>33</v>
      </c>
      <c r="D930" s="4" t="s">
        <v>42</v>
      </c>
      <c r="E930" s="4" t="s">
        <v>25</v>
      </c>
      <c r="F930" s="4" t="s">
        <v>25</v>
      </c>
      <c r="G930" s="4" t="s">
        <v>25</v>
      </c>
      <c r="H930" s="4" t="s">
        <v>36</v>
      </c>
      <c r="I930" s="5">
        <v>44531</v>
      </c>
      <c r="J930" s="6">
        <v>0</v>
      </c>
      <c r="K930" s="6">
        <v>0</v>
      </c>
      <c r="L930" s="6">
        <v>0.53300000000000003</v>
      </c>
      <c r="M930" s="6">
        <v>0.53300000000000003</v>
      </c>
      <c r="N930" s="6">
        <v>0.53300000000000003</v>
      </c>
      <c r="O930" s="6">
        <v>0.53300000000000003</v>
      </c>
      <c r="P930" s="6">
        <v>0</v>
      </c>
      <c r="Q930" s="4" t="s">
        <v>26</v>
      </c>
      <c r="R930" s="4">
        <v>0</v>
      </c>
      <c r="S930" s="4" t="s">
        <v>386</v>
      </c>
      <c r="T930" s="4" t="s">
        <v>608</v>
      </c>
      <c r="U930" s="4">
        <v>0</v>
      </c>
      <c r="V930" s="4">
        <v>82</v>
      </c>
      <c r="W930" s="4">
        <v>110</v>
      </c>
    </row>
    <row r="931" spans="1:23" ht="11.25" customHeight="1" x14ac:dyDescent="0.3">
      <c r="A931" s="4" t="s">
        <v>21</v>
      </c>
      <c r="B931" s="4" t="s">
        <v>37</v>
      </c>
      <c r="C931" s="4" t="s">
        <v>33</v>
      </c>
      <c r="D931" s="4" t="s">
        <v>42</v>
      </c>
      <c r="E931" s="4" t="s">
        <v>25</v>
      </c>
      <c r="F931" s="4" t="s">
        <v>25</v>
      </c>
      <c r="G931" s="4" t="s">
        <v>25</v>
      </c>
      <c r="H931" s="4" t="s">
        <v>36</v>
      </c>
      <c r="I931" s="5">
        <v>44562</v>
      </c>
      <c r="J931" s="6">
        <v>0</v>
      </c>
      <c r="K931" s="6">
        <v>0</v>
      </c>
      <c r="L931" s="6">
        <v>1.244</v>
      </c>
      <c r="M931" s="6">
        <v>1.244</v>
      </c>
      <c r="N931" s="6">
        <v>1.244</v>
      </c>
      <c r="O931" s="6">
        <v>1.244</v>
      </c>
      <c r="P931" s="6">
        <v>0</v>
      </c>
      <c r="Q931" s="4" t="s">
        <v>26</v>
      </c>
      <c r="R931" s="4">
        <v>0</v>
      </c>
      <c r="S931" s="4" t="s">
        <v>387</v>
      </c>
      <c r="T931" s="4" t="s">
        <v>609</v>
      </c>
      <c r="U931" s="4">
        <v>0</v>
      </c>
      <c r="V931" s="4">
        <v>82</v>
      </c>
      <c r="W931" s="4">
        <v>110</v>
      </c>
    </row>
    <row r="932" spans="1:23" ht="11.25" customHeight="1" x14ac:dyDescent="0.3">
      <c r="A932" s="4" t="s">
        <v>28</v>
      </c>
      <c r="B932" s="4" t="s">
        <v>37</v>
      </c>
      <c r="C932" s="4" t="s">
        <v>33</v>
      </c>
      <c r="D932" s="4" t="s">
        <v>42</v>
      </c>
      <c r="E932" s="4" t="s">
        <v>25</v>
      </c>
      <c r="F932" s="4" t="s">
        <v>25</v>
      </c>
      <c r="G932" s="4" t="s">
        <v>25</v>
      </c>
      <c r="H932" s="4" t="s">
        <v>36</v>
      </c>
      <c r="I932" s="5">
        <v>44562</v>
      </c>
      <c r="J932" s="6">
        <v>0</v>
      </c>
      <c r="K932" s="6">
        <v>0</v>
      </c>
      <c r="L932" s="6">
        <v>0.61</v>
      </c>
      <c r="M932" s="6">
        <v>0.61</v>
      </c>
      <c r="N932" s="6">
        <v>0.61</v>
      </c>
      <c r="O932" s="6">
        <v>0.61</v>
      </c>
      <c r="P932" s="6">
        <v>0</v>
      </c>
      <c r="Q932" s="4" t="s">
        <v>26</v>
      </c>
      <c r="R932" s="4">
        <v>0</v>
      </c>
      <c r="S932" s="4" t="s">
        <v>387</v>
      </c>
      <c r="T932" s="4" t="s">
        <v>609</v>
      </c>
      <c r="U932" s="4">
        <v>0</v>
      </c>
      <c r="V932" s="4">
        <v>82</v>
      </c>
      <c r="W932" s="4">
        <v>110</v>
      </c>
    </row>
    <row r="933" spans="1:23" ht="11.25" customHeight="1" x14ac:dyDescent="0.3">
      <c r="A933" s="4" t="s">
        <v>21</v>
      </c>
      <c r="B933" s="4" t="s">
        <v>37</v>
      </c>
      <c r="C933" s="4" t="s">
        <v>33</v>
      </c>
      <c r="D933" s="4" t="s">
        <v>42</v>
      </c>
      <c r="E933" s="4" t="s">
        <v>25</v>
      </c>
      <c r="F933" s="4" t="s">
        <v>25</v>
      </c>
      <c r="G933" s="4" t="s">
        <v>25</v>
      </c>
      <c r="H933" s="4" t="s">
        <v>36</v>
      </c>
      <c r="I933" s="5">
        <v>44593</v>
      </c>
      <c r="J933" s="6">
        <v>0</v>
      </c>
      <c r="K933" s="6">
        <v>0</v>
      </c>
      <c r="L933" s="6">
        <v>1.968</v>
      </c>
      <c r="M933" s="6">
        <v>1.968</v>
      </c>
      <c r="N933" s="6">
        <v>1.968</v>
      </c>
      <c r="O933" s="6">
        <v>1.968</v>
      </c>
      <c r="P933" s="6">
        <v>0</v>
      </c>
      <c r="Q933" s="4" t="s">
        <v>26</v>
      </c>
      <c r="R933" s="4">
        <v>0</v>
      </c>
      <c r="S933" s="4" t="s">
        <v>388</v>
      </c>
      <c r="T933" s="4" t="s">
        <v>610</v>
      </c>
      <c r="U933" s="4">
        <v>0</v>
      </c>
      <c r="V933" s="4">
        <v>82</v>
      </c>
      <c r="W933" s="4">
        <v>110</v>
      </c>
    </row>
    <row r="934" spans="1:23" ht="11.25" customHeight="1" x14ac:dyDescent="0.3">
      <c r="A934" s="4" t="s">
        <v>21</v>
      </c>
      <c r="B934" s="4" t="s">
        <v>37</v>
      </c>
      <c r="C934" s="4" t="s">
        <v>33</v>
      </c>
      <c r="D934" s="4" t="s">
        <v>42</v>
      </c>
      <c r="E934" s="4" t="s">
        <v>25</v>
      </c>
      <c r="F934" s="4" t="s">
        <v>25</v>
      </c>
      <c r="G934" s="4" t="s">
        <v>25</v>
      </c>
      <c r="H934" s="4" t="s">
        <v>36</v>
      </c>
      <c r="I934" s="5">
        <v>44621</v>
      </c>
      <c r="J934" s="6">
        <v>0</v>
      </c>
      <c r="K934" s="6">
        <v>0</v>
      </c>
      <c r="L934" s="6">
        <v>1.3009999999999999</v>
      </c>
      <c r="M934" s="6">
        <v>1.3009999999999999</v>
      </c>
      <c r="N934" s="6">
        <v>1.3009999999999999</v>
      </c>
      <c r="O934" s="6">
        <v>1.3009999999999999</v>
      </c>
      <c r="P934" s="6">
        <v>0</v>
      </c>
      <c r="Q934" s="4" t="s">
        <v>26</v>
      </c>
      <c r="R934" s="4">
        <v>0</v>
      </c>
      <c r="S934" s="4" t="s">
        <v>389</v>
      </c>
      <c r="T934" s="4" t="s">
        <v>611</v>
      </c>
      <c r="U934" s="4">
        <v>0</v>
      </c>
      <c r="V934" s="4">
        <v>82</v>
      </c>
      <c r="W934" s="4">
        <v>110</v>
      </c>
    </row>
    <row r="935" spans="1:23" ht="11.25" customHeight="1" x14ac:dyDescent="0.3">
      <c r="A935" s="4" t="s">
        <v>28</v>
      </c>
      <c r="B935" s="4" t="s">
        <v>37</v>
      </c>
      <c r="C935" s="4" t="s">
        <v>33</v>
      </c>
      <c r="D935" s="4" t="s">
        <v>42</v>
      </c>
      <c r="E935" s="4" t="s">
        <v>25</v>
      </c>
      <c r="F935" s="4" t="s">
        <v>25</v>
      </c>
      <c r="G935" s="4" t="s">
        <v>25</v>
      </c>
      <c r="H935" s="4" t="s">
        <v>36</v>
      </c>
      <c r="I935" s="5">
        <v>44621</v>
      </c>
      <c r="J935" s="6">
        <v>0</v>
      </c>
      <c r="K935" s="6">
        <v>0</v>
      </c>
      <c r="L935" s="6">
        <v>0.59099999999999997</v>
      </c>
      <c r="M935" s="6">
        <v>0.59099999999999997</v>
      </c>
      <c r="N935" s="6">
        <v>0.59099999999999997</v>
      </c>
      <c r="O935" s="6">
        <v>0.59099999999999997</v>
      </c>
      <c r="P935" s="6">
        <v>0</v>
      </c>
      <c r="Q935" s="4" t="s">
        <v>26</v>
      </c>
      <c r="R935" s="4">
        <v>0</v>
      </c>
      <c r="S935" s="4" t="s">
        <v>389</v>
      </c>
      <c r="T935" s="4" t="s">
        <v>611</v>
      </c>
      <c r="U935" s="4">
        <v>0</v>
      </c>
      <c r="V935" s="4">
        <v>82</v>
      </c>
      <c r="W935" s="4">
        <v>110</v>
      </c>
    </row>
    <row r="936" spans="1:23" ht="11.25" customHeight="1" x14ac:dyDescent="0.3">
      <c r="A936" s="4" t="s">
        <v>21</v>
      </c>
      <c r="B936" s="4" t="s">
        <v>37</v>
      </c>
      <c r="C936" s="4" t="s">
        <v>33</v>
      </c>
      <c r="D936" s="4" t="s">
        <v>42</v>
      </c>
      <c r="E936" s="4" t="s">
        <v>25</v>
      </c>
      <c r="F936" s="4" t="s">
        <v>25</v>
      </c>
      <c r="G936" s="4" t="s">
        <v>25</v>
      </c>
      <c r="H936" s="4" t="s">
        <v>36</v>
      </c>
      <c r="I936" s="5">
        <v>44652</v>
      </c>
      <c r="J936" s="6">
        <v>0</v>
      </c>
      <c r="K936" s="6">
        <v>0</v>
      </c>
      <c r="L936" s="6">
        <v>1.915</v>
      </c>
      <c r="M936" s="6">
        <v>1.915</v>
      </c>
      <c r="N936" s="6">
        <v>1.915</v>
      </c>
      <c r="O936" s="6">
        <v>1.915</v>
      </c>
      <c r="P936" s="6">
        <v>0</v>
      </c>
      <c r="Q936" s="4" t="s">
        <v>26</v>
      </c>
      <c r="R936" s="4">
        <v>0</v>
      </c>
      <c r="S936" s="4" t="s">
        <v>390</v>
      </c>
      <c r="T936" s="4" t="s">
        <v>612</v>
      </c>
      <c r="U936" s="4">
        <v>0</v>
      </c>
      <c r="V936" s="4">
        <v>82</v>
      </c>
      <c r="W936" s="4">
        <v>110</v>
      </c>
    </row>
    <row r="937" spans="1:23" ht="11.25" customHeight="1" x14ac:dyDescent="0.3">
      <c r="A937" s="4" t="s">
        <v>21</v>
      </c>
      <c r="B937" s="4" t="s">
        <v>37</v>
      </c>
      <c r="C937" s="4" t="s">
        <v>33</v>
      </c>
      <c r="D937" s="4" t="s">
        <v>42</v>
      </c>
      <c r="E937" s="4" t="s">
        <v>25</v>
      </c>
      <c r="F937" s="4" t="s">
        <v>25</v>
      </c>
      <c r="G937" s="4" t="s">
        <v>25</v>
      </c>
      <c r="H937" s="4" t="s">
        <v>36</v>
      </c>
      <c r="I937" s="5">
        <v>44682</v>
      </c>
      <c r="J937" s="6">
        <v>0</v>
      </c>
      <c r="K937" s="6">
        <v>0</v>
      </c>
      <c r="L937" s="6">
        <v>1.349</v>
      </c>
      <c r="M937" s="6">
        <v>1.349</v>
      </c>
      <c r="N937" s="6">
        <v>1.349</v>
      </c>
      <c r="O937" s="6">
        <v>1.349</v>
      </c>
      <c r="P937" s="6">
        <v>0</v>
      </c>
      <c r="Q937" s="4" t="s">
        <v>26</v>
      </c>
      <c r="R937" s="4">
        <v>0</v>
      </c>
      <c r="S937" s="4" t="s">
        <v>391</v>
      </c>
      <c r="T937" s="4" t="s">
        <v>613</v>
      </c>
      <c r="U937" s="4">
        <v>0</v>
      </c>
      <c r="V937" s="4">
        <v>82</v>
      </c>
      <c r="W937" s="4">
        <v>110</v>
      </c>
    </row>
    <row r="938" spans="1:23" ht="11.25" customHeight="1" x14ac:dyDescent="0.3">
      <c r="A938" s="4" t="s">
        <v>28</v>
      </c>
      <c r="B938" s="4" t="s">
        <v>37</v>
      </c>
      <c r="C938" s="4" t="s">
        <v>33</v>
      </c>
      <c r="D938" s="4" t="s">
        <v>42</v>
      </c>
      <c r="E938" s="4" t="s">
        <v>25</v>
      </c>
      <c r="F938" s="4" t="s">
        <v>25</v>
      </c>
      <c r="G938" s="4" t="s">
        <v>25</v>
      </c>
      <c r="H938" s="4" t="s">
        <v>36</v>
      </c>
      <c r="I938" s="5">
        <v>44682</v>
      </c>
      <c r="J938" s="6">
        <v>0</v>
      </c>
      <c r="K938" s="6">
        <v>0</v>
      </c>
      <c r="L938" s="6">
        <v>0.56299999999999994</v>
      </c>
      <c r="M938" s="6">
        <v>0.56299999999999994</v>
      </c>
      <c r="N938" s="6">
        <v>0.56299999999999994</v>
      </c>
      <c r="O938" s="6">
        <v>0.56299999999999994</v>
      </c>
      <c r="P938" s="6">
        <v>0</v>
      </c>
      <c r="Q938" s="4" t="s">
        <v>26</v>
      </c>
      <c r="R938" s="4">
        <v>0</v>
      </c>
      <c r="S938" s="4" t="s">
        <v>391</v>
      </c>
      <c r="T938" s="4" t="s">
        <v>613</v>
      </c>
      <c r="U938" s="4">
        <v>0</v>
      </c>
      <c r="V938" s="4">
        <v>82</v>
      </c>
      <c r="W938" s="4">
        <v>110</v>
      </c>
    </row>
    <row r="939" spans="1:23" ht="11.25" customHeight="1" x14ac:dyDescent="0.3">
      <c r="A939" s="4" t="s">
        <v>21</v>
      </c>
      <c r="B939" s="4" t="s">
        <v>37</v>
      </c>
      <c r="C939" s="4" t="s">
        <v>33</v>
      </c>
      <c r="D939" s="4" t="s">
        <v>42</v>
      </c>
      <c r="E939" s="4" t="s">
        <v>25</v>
      </c>
      <c r="F939" s="4" t="s">
        <v>25</v>
      </c>
      <c r="G939" s="4" t="s">
        <v>25</v>
      </c>
      <c r="H939" s="4" t="s">
        <v>36</v>
      </c>
      <c r="I939" s="5">
        <v>44713</v>
      </c>
      <c r="J939" s="6">
        <v>0</v>
      </c>
      <c r="K939" s="6">
        <v>0</v>
      </c>
      <c r="L939" s="6">
        <v>0.67200000000000004</v>
      </c>
      <c r="M939" s="6">
        <v>0.67200000000000004</v>
      </c>
      <c r="N939" s="6">
        <v>0.67200000000000004</v>
      </c>
      <c r="O939" s="6">
        <v>0.67200000000000004</v>
      </c>
      <c r="P939" s="6">
        <v>0</v>
      </c>
      <c r="Q939" s="4" t="s">
        <v>26</v>
      </c>
      <c r="R939" s="4">
        <v>0</v>
      </c>
      <c r="S939" s="4" t="s">
        <v>392</v>
      </c>
      <c r="T939" s="4" t="s">
        <v>614</v>
      </c>
      <c r="U939" s="4">
        <v>0</v>
      </c>
      <c r="V939" s="4">
        <v>82</v>
      </c>
      <c r="W939" s="4">
        <v>110</v>
      </c>
    </row>
    <row r="940" spans="1:23" ht="11.25" customHeight="1" x14ac:dyDescent="0.3">
      <c r="A940" s="4" t="s">
        <v>28</v>
      </c>
      <c r="B940" s="4" t="s">
        <v>37</v>
      </c>
      <c r="C940" s="4" t="s">
        <v>33</v>
      </c>
      <c r="D940" s="4" t="s">
        <v>42</v>
      </c>
      <c r="E940" s="4" t="s">
        <v>25</v>
      </c>
      <c r="F940" s="4" t="s">
        <v>25</v>
      </c>
      <c r="G940" s="4" t="s">
        <v>25</v>
      </c>
      <c r="H940" s="4" t="s">
        <v>36</v>
      </c>
      <c r="I940" s="5">
        <v>44713</v>
      </c>
      <c r="J940" s="6">
        <v>0</v>
      </c>
      <c r="K940" s="6">
        <v>0</v>
      </c>
      <c r="L940" s="6">
        <v>0.55300000000000005</v>
      </c>
      <c r="M940" s="6">
        <v>0.55300000000000005</v>
      </c>
      <c r="N940" s="6">
        <v>0.55300000000000005</v>
      </c>
      <c r="O940" s="6">
        <v>0.55300000000000005</v>
      </c>
      <c r="P940" s="6">
        <v>0</v>
      </c>
      <c r="Q940" s="4" t="s">
        <v>26</v>
      </c>
      <c r="R940" s="4">
        <v>0</v>
      </c>
      <c r="S940" s="4" t="s">
        <v>392</v>
      </c>
      <c r="T940" s="4" t="s">
        <v>614</v>
      </c>
      <c r="U940" s="4">
        <v>0</v>
      </c>
      <c r="V940" s="4">
        <v>82</v>
      </c>
      <c r="W940" s="4">
        <v>110</v>
      </c>
    </row>
    <row r="941" spans="1:23" ht="11.25" customHeight="1" x14ac:dyDescent="0.3">
      <c r="A941" s="4" t="s">
        <v>21</v>
      </c>
      <c r="B941" s="4" t="s">
        <v>37</v>
      </c>
      <c r="C941" s="4" t="s">
        <v>33</v>
      </c>
      <c r="D941" s="4" t="s">
        <v>42</v>
      </c>
      <c r="E941" s="4" t="s">
        <v>25</v>
      </c>
      <c r="F941" s="4" t="s">
        <v>25</v>
      </c>
      <c r="G941" s="4" t="s">
        <v>25</v>
      </c>
      <c r="H941" s="4" t="s">
        <v>36</v>
      </c>
      <c r="I941" s="5">
        <v>44743</v>
      </c>
      <c r="J941" s="6">
        <v>0</v>
      </c>
      <c r="K941" s="6">
        <v>0</v>
      </c>
      <c r="L941" s="6">
        <v>2.024</v>
      </c>
      <c r="M941" s="6">
        <v>2.024</v>
      </c>
      <c r="N941" s="6">
        <v>2.024</v>
      </c>
      <c r="O941" s="6">
        <v>2.024</v>
      </c>
      <c r="P941" s="6">
        <v>0</v>
      </c>
      <c r="Q941" s="4" t="s">
        <v>26</v>
      </c>
      <c r="R941" s="4">
        <v>0</v>
      </c>
      <c r="S941" s="4" t="s">
        <v>393</v>
      </c>
      <c r="T941" s="4" t="s">
        <v>615</v>
      </c>
      <c r="U941" s="4">
        <v>0</v>
      </c>
      <c r="V941" s="4">
        <v>82</v>
      </c>
      <c r="W941" s="4">
        <v>110</v>
      </c>
    </row>
    <row r="942" spans="1:23" ht="11.25" customHeight="1" x14ac:dyDescent="0.3">
      <c r="A942" s="4" t="s">
        <v>21</v>
      </c>
      <c r="B942" s="4" t="s">
        <v>37</v>
      </c>
      <c r="C942" s="4" t="s">
        <v>33</v>
      </c>
      <c r="D942" s="4" t="s">
        <v>42</v>
      </c>
      <c r="E942" s="4" t="s">
        <v>25</v>
      </c>
      <c r="F942" s="4" t="s">
        <v>25</v>
      </c>
      <c r="G942" s="4" t="s">
        <v>25</v>
      </c>
      <c r="H942" s="4" t="s">
        <v>36</v>
      </c>
      <c r="I942" s="5">
        <v>44774</v>
      </c>
      <c r="J942" s="6">
        <v>0</v>
      </c>
      <c r="K942" s="6">
        <v>0</v>
      </c>
      <c r="L942" s="6">
        <v>1.1299999999999999</v>
      </c>
      <c r="M942" s="6">
        <v>1.1299999999999999</v>
      </c>
      <c r="N942" s="6">
        <v>1.1299999999999999</v>
      </c>
      <c r="O942" s="6">
        <v>1.1299999999999999</v>
      </c>
      <c r="P942" s="6">
        <v>0</v>
      </c>
      <c r="Q942" s="4" t="s">
        <v>26</v>
      </c>
      <c r="R942" s="4">
        <v>0</v>
      </c>
      <c r="S942" s="4" t="s">
        <v>394</v>
      </c>
      <c r="T942" s="4" t="s">
        <v>616</v>
      </c>
      <c r="U942" s="4">
        <v>0</v>
      </c>
      <c r="V942" s="4">
        <v>82</v>
      </c>
      <c r="W942" s="4">
        <v>110</v>
      </c>
    </row>
    <row r="943" spans="1:23" ht="11.25" customHeight="1" x14ac:dyDescent="0.3">
      <c r="A943" s="4" t="s">
        <v>28</v>
      </c>
      <c r="B943" s="4" t="s">
        <v>37</v>
      </c>
      <c r="C943" s="4" t="s">
        <v>33</v>
      </c>
      <c r="D943" s="4" t="s">
        <v>42</v>
      </c>
      <c r="E943" s="4" t="s">
        <v>25</v>
      </c>
      <c r="F943" s="4" t="s">
        <v>25</v>
      </c>
      <c r="G943" s="4" t="s">
        <v>25</v>
      </c>
      <c r="H943" s="4" t="s">
        <v>36</v>
      </c>
      <c r="I943" s="5">
        <v>44774</v>
      </c>
      <c r="J943" s="6">
        <v>0</v>
      </c>
      <c r="K943" s="6">
        <v>0</v>
      </c>
      <c r="L943" s="6">
        <v>0.498</v>
      </c>
      <c r="M943" s="6">
        <v>0.498</v>
      </c>
      <c r="N943" s="6">
        <v>0.498</v>
      </c>
      <c r="O943" s="6">
        <v>0.498</v>
      </c>
      <c r="P943" s="6">
        <v>0</v>
      </c>
      <c r="Q943" s="4" t="s">
        <v>26</v>
      </c>
      <c r="R943" s="4">
        <v>0</v>
      </c>
      <c r="S943" s="4" t="s">
        <v>394</v>
      </c>
      <c r="T943" s="4" t="s">
        <v>616</v>
      </c>
      <c r="U943" s="4">
        <v>0</v>
      </c>
      <c r="V943" s="4">
        <v>82</v>
      </c>
      <c r="W943" s="4">
        <v>110</v>
      </c>
    </row>
    <row r="944" spans="1:23" ht="11.25" customHeight="1" x14ac:dyDescent="0.3">
      <c r="A944" s="4" t="s">
        <v>21</v>
      </c>
      <c r="B944" s="4" t="s">
        <v>37</v>
      </c>
      <c r="C944" s="4" t="s">
        <v>33</v>
      </c>
      <c r="D944" s="4" t="s">
        <v>42</v>
      </c>
      <c r="E944" s="4" t="s">
        <v>25</v>
      </c>
      <c r="F944" s="4" t="s">
        <v>25</v>
      </c>
      <c r="G944" s="4" t="s">
        <v>25</v>
      </c>
      <c r="H944" s="4" t="s">
        <v>36</v>
      </c>
      <c r="I944" s="5">
        <v>44805</v>
      </c>
      <c r="J944" s="6">
        <v>0</v>
      </c>
      <c r="K944" s="6">
        <v>0</v>
      </c>
      <c r="L944" s="6">
        <v>1.181</v>
      </c>
      <c r="M944" s="6">
        <v>1.181</v>
      </c>
      <c r="N944" s="6">
        <v>1.181</v>
      </c>
      <c r="O944" s="6">
        <v>1.181</v>
      </c>
      <c r="P944" s="6">
        <v>0</v>
      </c>
      <c r="Q944" s="4" t="s">
        <v>26</v>
      </c>
      <c r="R944" s="4">
        <v>0</v>
      </c>
      <c r="S944" s="4" t="s">
        <v>395</v>
      </c>
      <c r="T944" s="4" t="s">
        <v>617</v>
      </c>
      <c r="U944" s="4">
        <v>0</v>
      </c>
      <c r="V944" s="4">
        <v>82</v>
      </c>
      <c r="W944" s="4">
        <v>110</v>
      </c>
    </row>
    <row r="945" spans="1:23" ht="11.25" customHeight="1" x14ac:dyDescent="0.3">
      <c r="A945" s="4" t="s">
        <v>28</v>
      </c>
      <c r="B945" s="4" t="s">
        <v>37</v>
      </c>
      <c r="C945" s="4" t="s">
        <v>33</v>
      </c>
      <c r="D945" s="4" t="s">
        <v>42</v>
      </c>
      <c r="E945" s="4" t="s">
        <v>25</v>
      </c>
      <c r="F945" s="4" t="s">
        <v>25</v>
      </c>
      <c r="G945" s="4" t="s">
        <v>25</v>
      </c>
      <c r="H945" s="4" t="s">
        <v>36</v>
      </c>
      <c r="I945" s="5">
        <v>44805</v>
      </c>
      <c r="J945" s="6">
        <v>0</v>
      </c>
      <c r="K945" s="6">
        <v>0</v>
      </c>
      <c r="L945" s="6">
        <v>0.48499999999999999</v>
      </c>
      <c r="M945" s="6">
        <v>0.48499999999999999</v>
      </c>
      <c r="N945" s="6">
        <v>0.48499999999999999</v>
      </c>
      <c r="O945" s="6">
        <v>0.48499999999999999</v>
      </c>
      <c r="P945" s="6">
        <v>0</v>
      </c>
      <c r="Q945" s="4" t="s">
        <v>26</v>
      </c>
      <c r="R945" s="4">
        <v>0</v>
      </c>
      <c r="S945" s="4" t="s">
        <v>395</v>
      </c>
      <c r="T945" s="4" t="s">
        <v>617</v>
      </c>
      <c r="U945" s="4">
        <v>0</v>
      </c>
      <c r="V945" s="4">
        <v>82</v>
      </c>
      <c r="W945" s="4">
        <v>110</v>
      </c>
    </row>
    <row r="946" spans="1:23" ht="11.25" customHeight="1" x14ac:dyDescent="0.3">
      <c r="A946" s="4" t="s">
        <v>53</v>
      </c>
      <c r="B946" s="4" t="s">
        <v>37</v>
      </c>
      <c r="C946" s="4" t="s">
        <v>33</v>
      </c>
      <c r="D946" s="4" t="s">
        <v>42</v>
      </c>
      <c r="E946" s="4" t="s">
        <v>25</v>
      </c>
      <c r="F946" s="4" t="s">
        <v>25</v>
      </c>
      <c r="G946" s="4" t="s">
        <v>25</v>
      </c>
      <c r="H946" s="4" t="s">
        <v>36</v>
      </c>
      <c r="I946" s="5">
        <v>44835</v>
      </c>
      <c r="J946" s="6">
        <v>0</v>
      </c>
      <c r="K946" s="6">
        <v>0</v>
      </c>
      <c r="L946" s="6">
        <v>1.181</v>
      </c>
      <c r="M946" s="6">
        <v>1.181</v>
      </c>
      <c r="N946" s="6">
        <v>1.181</v>
      </c>
      <c r="O946" s="6">
        <v>1.181</v>
      </c>
      <c r="P946" s="6">
        <v>0</v>
      </c>
      <c r="Q946" s="4" t="s">
        <v>26</v>
      </c>
      <c r="R946" s="4">
        <v>0</v>
      </c>
      <c r="S946" s="4" t="s">
        <v>396</v>
      </c>
      <c r="T946" s="4" t="s">
        <v>618</v>
      </c>
      <c r="U946" s="4">
        <v>0</v>
      </c>
      <c r="V946" s="4">
        <v>82</v>
      </c>
      <c r="W946" s="4">
        <v>110</v>
      </c>
    </row>
    <row r="947" spans="1:23" ht="11.25" customHeight="1" x14ac:dyDescent="0.3">
      <c r="A947" s="4" t="s">
        <v>53</v>
      </c>
      <c r="B947" s="4" t="s">
        <v>37</v>
      </c>
      <c r="C947" s="4" t="s">
        <v>33</v>
      </c>
      <c r="D947" s="4" t="s">
        <v>42</v>
      </c>
      <c r="E947" s="4" t="s">
        <v>25</v>
      </c>
      <c r="F947" s="4" t="s">
        <v>25</v>
      </c>
      <c r="G947" s="4" t="s">
        <v>25</v>
      </c>
      <c r="H947" s="4" t="s">
        <v>36</v>
      </c>
      <c r="I947" s="5">
        <v>44835</v>
      </c>
      <c r="J947" s="6">
        <v>0</v>
      </c>
      <c r="K947" s="6">
        <v>0</v>
      </c>
      <c r="L947" s="6">
        <v>0.48499999999999999</v>
      </c>
      <c r="M947" s="6">
        <v>0.48499999999999999</v>
      </c>
      <c r="N947" s="6">
        <v>0.48499999999999999</v>
      </c>
      <c r="O947" s="6">
        <v>0.48499999999999999</v>
      </c>
      <c r="P947" s="6">
        <v>0</v>
      </c>
      <c r="Q947" s="4" t="s">
        <v>26</v>
      </c>
      <c r="R947" s="4">
        <v>0</v>
      </c>
      <c r="S947" s="4" t="s">
        <v>396</v>
      </c>
      <c r="T947" s="4" t="s">
        <v>618</v>
      </c>
      <c r="U947" s="4">
        <v>0</v>
      </c>
      <c r="V947" s="4">
        <v>82</v>
      </c>
      <c r="W947" s="4">
        <v>110</v>
      </c>
    </row>
    <row r="948" spans="1:23" ht="11.25" customHeight="1" x14ac:dyDescent="0.3">
      <c r="A948" s="4" t="s">
        <v>21</v>
      </c>
      <c r="B948" s="4" t="s">
        <v>37</v>
      </c>
      <c r="C948" s="4" t="s">
        <v>33</v>
      </c>
      <c r="D948" s="4" t="s">
        <v>42</v>
      </c>
      <c r="E948" s="4" t="s">
        <v>25</v>
      </c>
      <c r="F948" s="4" t="s">
        <v>25</v>
      </c>
      <c r="G948" s="4" t="s">
        <v>25</v>
      </c>
      <c r="H948" s="4" t="s">
        <v>34</v>
      </c>
      <c r="I948" s="5">
        <v>44501</v>
      </c>
      <c r="J948" s="6">
        <v>0</v>
      </c>
      <c r="K948" s="6">
        <v>0</v>
      </c>
      <c r="L948" s="6">
        <v>1.625</v>
      </c>
      <c r="M948" s="6">
        <v>1.625</v>
      </c>
      <c r="N948" s="6">
        <v>1.625</v>
      </c>
      <c r="O948" s="6">
        <v>1.625</v>
      </c>
      <c r="P948" s="6">
        <v>0</v>
      </c>
      <c r="Q948" s="4" t="s">
        <v>26</v>
      </c>
      <c r="R948" s="4">
        <v>0</v>
      </c>
      <c r="S948" s="4" t="s">
        <v>397</v>
      </c>
      <c r="T948" s="4" t="s">
        <v>619</v>
      </c>
      <c r="U948" s="4">
        <v>0</v>
      </c>
      <c r="V948" s="4">
        <v>83</v>
      </c>
      <c r="W948" s="4">
        <v>106</v>
      </c>
    </row>
    <row r="949" spans="1:23" ht="11.25" customHeight="1" x14ac:dyDescent="0.3">
      <c r="A949" s="4" t="s">
        <v>28</v>
      </c>
      <c r="B949" s="4" t="s">
        <v>37</v>
      </c>
      <c r="C949" s="4" t="s">
        <v>33</v>
      </c>
      <c r="D949" s="4" t="s">
        <v>42</v>
      </c>
      <c r="E949" s="4" t="s">
        <v>25</v>
      </c>
      <c r="F949" s="4" t="s">
        <v>25</v>
      </c>
      <c r="G949" s="4" t="s">
        <v>25</v>
      </c>
      <c r="H949" s="4" t="s">
        <v>34</v>
      </c>
      <c r="I949" s="5">
        <v>44501</v>
      </c>
      <c r="J949" s="6">
        <v>0</v>
      </c>
      <c r="K949" s="6">
        <v>0</v>
      </c>
      <c r="L949" s="6">
        <v>0.23400000000000001</v>
      </c>
      <c r="M949" s="6">
        <v>0.23400000000000001</v>
      </c>
      <c r="N949" s="6">
        <v>0.23400000000000001</v>
      </c>
      <c r="O949" s="6">
        <v>0.23400000000000001</v>
      </c>
      <c r="P949" s="6">
        <v>0</v>
      </c>
      <c r="Q949" s="4" t="s">
        <v>26</v>
      </c>
      <c r="R949" s="4">
        <v>0</v>
      </c>
      <c r="S949" s="4" t="s">
        <v>397</v>
      </c>
      <c r="T949" s="4" t="s">
        <v>619</v>
      </c>
      <c r="U949" s="4">
        <v>0</v>
      </c>
      <c r="V949" s="4">
        <v>83</v>
      </c>
      <c r="W949" s="4">
        <v>106</v>
      </c>
    </row>
    <row r="950" spans="1:23" ht="11.25" customHeight="1" x14ac:dyDescent="0.3">
      <c r="A950" s="4" t="s">
        <v>21</v>
      </c>
      <c r="B950" s="4" t="s">
        <v>37</v>
      </c>
      <c r="C950" s="4" t="s">
        <v>33</v>
      </c>
      <c r="D950" s="4" t="s">
        <v>42</v>
      </c>
      <c r="E950" s="4" t="s">
        <v>25</v>
      </c>
      <c r="F950" s="4" t="s">
        <v>25</v>
      </c>
      <c r="G950" s="4" t="s">
        <v>25</v>
      </c>
      <c r="H950" s="4" t="s">
        <v>34</v>
      </c>
      <c r="I950" s="5">
        <v>44531</v>
      </c>
      <c r="J950" s="6">
        <v>0</v>
      </c>
      <c r="K950" s="6">
        <v>0</v>
      </c>
      <c r="L950" s="6">
        <v>1.3879999999999999</v>
      </c>
      <c r="M950" s="6">
        <v>1.3879999999999999</v>
      </c>
      <c r="N950" s="6">
        <v>1.3879999999999999</v>
      </c>
      <c r="O950" s="6">
        <v>1.3879999999999999</v>
      </c>
      <c r="P950" s="6">
        <v>0</v>
      </c>
      <c r="Q950" s="4" t="s">
        <v>26</v>
      </c>
      <c r="R950" s="4">
        <v>0</v>
      </c>
      <c r="S950" s="4" t="s">
        <v>398</v>
      </c>
      <c r="T950" s="4" t="s">
        <v>620</v>
      </c>
      <c r="U950" s="4">
        <v>0</v>
      </c>
      <c r="V950" s="4">
        <v>83</v>
      </c>
      <c r="W950" s="4">
        <v>106</v>
      </c>
    </row>
    <row r="951" spans="1:23" ht="11.25" customHeight="1" x14ac:dyDescent="0.3">
      <c r="A951" s="4" t="s">
        <v>28</v>
      </c>
      <c r="B951" s="4" t="s">
        <v>37</v>
      </c>
      <c r="C951" s="4" t="s">
        <v>33</v>
      </c>
      <c r="D951" s="4" t="s">
        <v>42</v>
      </c>
      <c r="E951" s="4" t="s">
        <v>25</v>
      </c>
      <c r="F951" s="4" t="s">
        <v>25</v>
      </c>
      <c r="G951" s="4" t="s">
        <v>25</v>
      </c>
      <c r="H951" s="4" t="s">
        <v>34</v>
      </c>
      <c r="I951" s="5">
        <v>44531</v>
      </c>
      <c r="J951" s="6">
        <v>0</v>
      </c>
      <c r="K951" s="6">
        <v>0</v>
      </c>
      <c r="L951" s="6">
        <v>0.14899999999999999</v>
      </c>
      <c r="M951" s="6">
        <v>0.14899999999999999</v>
      </c>
      <c r="N951" s="6">
        <v>0.14899999999999999</v>
      </c>
      <c r="O951" s="6">
        <v>0.14899999999999999</v>
      </c>
      <c r="P951" s="6">
        <v>0</v>
      </c>
      <c r="Q951" s="4" t="s">
        <v>26</v>
      </c>
      <c r="R951" s="4">
        <v>0</v>
      </c>
      <c r="S951" s="4" t="s">
        <v>398</v>
      </c>
      <c r="T951" s="4" t="s">
        <v>620</v>
      </c>
      <c r="U951" s="4">
        <v>0</v>
      </c>
      <c r="V951" s="4">
        <v>83</v>
      </c>
      <c r="W951" s="4">
        <v>106</v>
      </c>
    </row>
    <row r="952" spans="1:23" ht="11.25" customHeight="1" x14ac:dyDescent="0.3">
      <c r="A952" s="4" t="s">
        <v>21</v>
      </c>
      <c r="B952" s="4" t="s">
        <v>37</v>
      </c>
      <c r="C952" s="4" t="s">
        <v>33</v>
      </c>
      <c r="D952" s="4" t="s">
        <v>42</v>
      </c>
      <c r="E952" s="4" t="s">
        <v>25</v>
      </c>
      <c r="F952" s="4" t="s">
        <v>25</v>
      </c>
      <c r="G952" s="4" t="s">
        <v>25</v>
      </c>
      <c r="H952" s="4" t="s">
        <v>34</v>
      </c>
      <c r="I952" s="5">
        <v>44562</v>
      </c>
      <c r="J952" s="6">
        <v>0</v>
      </c>
      <c r="K952" s="6">
        <v>0</v>
      </c>
      <c r="L952" s="6">
        <v>1.387</v>
      </c>
      <c r="M952" s="6">
        <v>1.387</v>
      </c>
      <c r="N952" s="6">
        <v>1.387</v>
      </c>
      <c r="O952" s="6">
        <v>1.387</v>
      </c>
      <c r="P952" s="6">
        <v>0</v>
      </c>
      <c r="Q952" s="4" t="s">
        <v>26</v>
      </c>
      <c r="R952" s="4">
        <v>0</v>
      </c>
      <c r="S952" s="4" t="s">
        <v>399</v>
      </c>
      <c r="T952" s="4" t="s">
        <v>621</v>
      </c>
      <c r="U952" s="4">
        <v>0</v>
      </c>
      <c r="V952" s="4">
        <v>83</v>
      </c>
      <c r="W952" s="4">
        <v>106</v>
      </c>
    </row>
    <row r="953" spans="1:23" ht="11.25" customHeight="1" x14ac:dyDescent="0.3">
      <c r="A953" s="4" t="s">
        <v>28</v>
      </c>
      <c r="B953" s="4" t="s">
        <v>37</v>
      </c>
      <c r="C953" s="4" t="s">
        <v>33</v>
      </c>
      <c r="D953" s="4" t="s">
        <v>42</v>
      </c>
      <c r="E953" s="4" t="s">
        <v>25</v>
      </c>
      <c r="F953" s="4" t="s">
        <v>25</v>
      </c>
      <c r="G953" s="4" t="s">
        <v>25</v>
      </c>
      <c r="H953" s="4" t="s">
        <v>34</v>
      </c>
      <c r="I953" s="5">
        <v>44562</v>
      </c>
      <c r="J953" s="6">
        <v>0</v>
      </c>
      <c r="K953" s="6">
        <v>0</v>
      </c>
      <c r="L953" s="6">
        <v>0.28499999999999998</v>
      </c>
      <c r="M953" s="6">
        <v>0.28499999999999998</v>
      </c>
      <c r="N953" s="6">
        <v>0.28499999999999998</v>
      </c>
      <c r="O953" s="6">
        <v>0.28499999999999998</v>
      </c>
      <c r="P953" s="6">
        <v>0</v>
      </c>
      <c r="Q953" s="4" t="s">
        <v>26</v>
      </c>
      <c r="R953" s="4">
        <v>0</v>
      </c>
      <c r="S953" s="4" t="s">
        <v>399</v>
      </c>
      <c r="T953" s="4" t="s">
        <v>621</v>
      </c>
      <c r="U953" s="4">
        <v>0</v>
      </c>
      <c r="V953" s="4">
        <v>83</v>
      </c>
      <c r="W953" s="4">
        <v>106</v>
      </c>
    </row>
    <row r="954" spans="1:23" ht="11.25" customHeight="1" x14ac:dyDescent="0.3">
      <c r="A954" s="4" t="s">
        <v>21</v>
      </c>
      <c r="B954" s="4" t="s">
        <v>37</v>
      </c>
      <c r="C954" s="4" t="s">
        <v>33</v>
      </c>
      <c r="D954" s="4" t="s">
        <v>42</v>
      </c>
      <c r="E954" s="4" t="s">
        <v>25</v>
      </c>
      <c r="F954" s="4" t="s">
        <v>25</v>
      </c>
      <c r="G954" s="4" t="s">
        <v>25</v>
      </c>
      <c r="H954" s="4" t="s">
        <v>34</v>
      </c>
      <c r="I954" s="5">
        <v>44593</v>
      </c>
      <c r="J954" s="6">
        <v>0</v>
      </c>
      <c r="K954" s="6">
        <v>0</v>
      </c>
      <c r="L954" s="6">
        <v>1.5649999999999999</v>
      </c>
      <c r="M954" s="6">
        <v>1.5649999999999999</v>
      </c>
      <c r="N954" s="6">
        <v>1.5649999999999999</v>
      </c>
      <c r="O954" s="6">
        <v>1.5649999999999999</v>
      </c>
      <c r="P954" s="6">
        <v>0</v>
      </c>
      <c r="Q954" s="4" t="s">
        <v>26</v>
      </c>
      <c r="R954" s="4">
        <v>0</v>
      </c>
      <c r="S954" s="4" t="s">
        <v>400</v>
      </c>
      <c r="T954" s="4" t="s">
        <v>622</v>
      </c>
      <c r="U954" s="4">
        <v>0</v>
      </c>
      <c r="V954" s="4">
        <v>83</v>
      </c>
      <c r="W954" s="4">
        <v>106</v>
      </c>
    </row>
    <row r="955" spans="1:23" ht="11.25" customHeight="1" x14ac:dyDescent="0.3">
      <c r="A955" s="4" t="s">
        <v>21</v>
      </c>
      <c r="B955" s="4" t="s">
        <v>37</v>
      </c>
      <c r="C955" s="4" t="s">
        <v>33</v>
      </c>
      <c r="D955" s="4" t="s">
        <v>42</v>
      </c>
      <c r="E955" s="4" t="s">
        <v>25</v>
      </c>
      <c r="F955" s="4" t="s">
        <v>25</v>
      </c>
      <c r="G955" s="4" t="s">
        <v>25</v>
      </c>
      <c r="H955" s="4" t="s">
        <v>34</v>
      </c>
      <c r="I955" s="5">
        <v>44621</v>
      </c>
      <c r="J955" s="6">
        <v>0</v>
      </c>
      <c r="K955" s="6">
        <v>0</v>
      </c>
      <c r="L955" s="6">
        <v>1.391</v>
      </c>
      <c r="M955" s="6">
        <v>1.391</v>
      </c>
      <c r="N955" s="6">
        <v>1.391</v>
      </c>
      <c r="O955" s="6">
        <v>1.391</v>
      </c>
      <c r="P955" s="6">
        <v>0</v>
      </c>
      <c r="Q955" s="4" t="s">
        <v>26</v>
      </c>
      <c r="R955" s="4">
        <v>0</v>
      </c>
      <c r="S955" s="4" t="s">
        <v>401</v>
      </c>
      <c r="T955" s="4" t="s">
        <v>623</v>
      </c>
      <c r="U955" s="4">
        <v>0</v>
      </c>
      <c r="V955" s="4">
        <v>83</v>
      </c>
      <c r="W955" s="4">
        <v>106</v>
      </c>
    </row>
    <row r="956" spans="1:23" ht="11.25" customHeight="1" x14ac:dyDescent="0.3">
      <c r="A956" s="4" t="s">
        <v>28</v>
      </c>
      <c r="B956" s="4" t="s">
        <v>37</v>
      </c>
      <c r="C956" s="4" t="s">
        <v>33</v>
      </c>
      <c r="D956" s="4" t="s">
        <v>42</v>
      </c>
      <c r="E956" s="4" t="s">
        <v>25</v>
      </c>
      <c r="F956" s="4" t="s">
        <v>25</v>
      </c>
      <c r="G956" s="4" t="s">
        <v>25</v>
      </c>
      <c r="H956" s="4" t="s">
        <v>34</v>
      </c>
      <c r="I956" s="5">
        <v>44621</v>
      </c>
      <c r="J956" s="6">
        <v>0</v>
      </c>
      <c r="K956" s="6">
        <v>0</v>
      </c>
      <c r="L956" s="6">
        <v>0.115</v>
      </c>
      <c r="M956" s="6">
        <v>0.115</v>
      </c>
      <c r="N956" s="6">
        <v>0.115</v>
      </c>
      <c r="O956" s="6">
        <v>0.115</v>
      </c>
      <c r="P956" s="6">
        <v>0</v>
      </c>
      <c r="Q956" s="4" t="s">
        <v>26</v>
      </c>
      <c r="R956" s="4">
        <v>0</v>
      </c>
      <c r="S956" s="4" t="s">
        <v>401</v>
      </c>
      <c r="T956" s="4" t="s">
        <v>623</v>
      </c>
      <c r="U956" s="4">
        <v>0</v>
      </c>
      <c r="V956" s="4">
        <v>83</v>
      </c>
      <c r="W956" s="4">
        <v>106</v>
      </c>
    </row>
    <row r="957" spans="1:23" ht="11.25" customHeight="1" x14ac:dyDescent="0.3">
      <c r="A957" s="4" t="s">
        <v>21</v>
      </c>
      <c r="B957" s="4" t="s">
        <v>37</v>
      </c>
      <c r="C957" s="4" t="s">
        <v>33</v>
      </c>
      <c r="D957" s="4" t="s">
        <v>42</v>
      </c>
      <c r="E957" s="4" t="s">
        <v>25</v>
      </c>
      <c r="F957" s="4" t="s">
        <v>25</v>
      </c>
      <c r="G957" s="4" t="s">
        <v>25</v>
      </c>
      <c r="H957" s="4" t="s">
        <v>34</v>
      </c>
      <c r="I957" s="5">
        <v>44652</v>
      </c>
      <c r="J957" s="6">
        <v>0</v>
      </c>
      <c r="K957" s="6">
        <v>0</v>
      </c>
      <c r="L957" s="6">
        <v>1.4039999999999999</v>
      </c>
      <c r="M957" s="6">
        <v>1.4039999999999999</v>
      </c>
      <c r="N957" s="6">
        <v>1.4039999999999999</v>
      </c>
      <c r="O957" s="6">
        <v>1.4039999999999999</v>
      </c>
      <c r="P957" s="6">
        <v>0</v>
      </c>
      <c r="Q957" s="4" t="s">
        <v>26</v>
      </c>
      <c r="R957" s="4">
        <v>0</v>
      </c>
      <c r="S957" s="4" t="s">
        <v>402</v>
      </c>
      <c r="T957" s="4" t="s">
        <v>624</v>
      </c>
      <c r="U957" s="4">
        <v>0</v>
      </c>
      <c r="V957" s="4">
        <v>83</v>
      </c>
      <c r="W957" s="4">
        <v>106</v>
      </c>
    </row>
    <row r="958" spans="1:23" ht="11.25" customHeight="1" x14ac:dyDescent="0.3">
      <c r="A958" s="4" t="s">
        <v>21</v>
      </c>
      <c r="B958" s="4" t="s">
        <v>37</v>
      </c>
      <c r="C958" s="4" t="s">
        <v>33</v>
      </c>
      <c r="D958" s="4" t="s">
        <v>42</v>
      </c>
      <c r="E958" s="4" t="s">
        <v>25</v>
      </c>
      <c r="F958" s="4" t="s">
        <v>25</v>
      </c>
      <c r="G958" s="4" t="s">
        <v>25</v>
      </c>
      <c r="H958" s="4" t="s">
        <v>34</v>
      </c>
      <c r="I958" s="5">
        <v>44682</v>
      </c>
      <c r="J958" s="6">
        <v>0</v>
      </c>
      <c r="K958" s="6">
        <v>0</v>
      </c>
      <c r="L958" s="6">
        <v>1.667</v>
      </c>
      <c r="M958" s="6">
        <v>1.667</v>
      </c>
      <c r="N958" s="6">
        <v>1.667</v>
      </c>
      <c r="O958" s="6">
        <v>1.667</v>
      </c>
      <c r="P958" s="6">
        <v>0</v>
      </c>
      <c r="Q958" s="4" t="s">
        <v>26</v>
      </c>
      <c r="R958" s="4">
        <v>0</v>
      </c>
      <c r="S958" s="4" t="s">
        <v>403</v>
      </c>
      <c r="T958" s="4" t="s">
        <v>625</v>
      </c>
      <c r="U958" s="4">
        <v>0</v>
      </c>
      <c r="V958" s="4">
        <v>83</v>
      </c>
      <c r="W958" s="4">
        <v>106</v>
      </c>
    </row>
    <row r="959" spans="1:23" ht="11.25" customHeight="1" x14ac:dyDescent="0.3">
      <c r="A959" s="4" t="s">
        <v>28</v>
      </c>
      <c r="B959" s="4" t="s">
        <v>37</v>
      </c>
      <c r="C959" s="4" t="s">
        <v>33</v>
      </c>
      <c r="D959" s="4" t="s">
        <v>42</v>
      </c>
      <c r="E959" s="4" t="s">
        <v>25</v>
      </c>
      <c r="F959" s="4" t="s">
        <v>25</v>
      </c>
      <c r="G959" s="4" t="s">
        <v>25</v>
      </c>
      <c r="H959" s="4" t="s">
        <v>34</v>
      </c>
      <c r="I959" s="5">
        <v>44682</v>
      </c>
      <c r="J959" s="6">
        <v>0</v>
      </c>
      <c r="K959" s="6">
        <v>0</v>
      </c>
      <c r="L959" s="6">
        <v>0.10100000000000001</v>
      </c>
      <c r="M959" s="6">
        <v>0.10100000000000001</v>
      </c>
      <c r="N959" s="6">
        <v>0.10100000000000001</v>
      </c>
      <c r="O959" s="6">
        <v>0.10100000000000001</v>
      </c>
      <c r="P959" s="6">
        <v>0</v>
      </c>
      <c r="Q959" s="4" t="s">
        <v>26</v>
      </c>
      <c r="R959" s="4">
        <v>0</v>
      </c>
      <c r="S959" s="4" t="s">
        <v>403</v>
      </c>
      <c r="T959" s="4" t="s">
        <v>625</v>
      </c>
      <c r="U959" s="4">
        <v>0</v>
      </c>
      <c r="V959" s="4">
        <v>83</v>
      </c>
      <c r="W959" s="4">
        <v>106</v>
      </c>
    </row>
    <row r="960" spans="1:23" ht="11.25" customHeight="1" x14ac:dyDescent="0.3">
      <c r="A960" s="4" t="s">
        <v>21</v>
      </c>
      <c r="B960" s="4" t="s">
        <v>37</v>
      </c>
      <c r="C960" s="4" t="s">
        <v>33</v>
      </c>
      <c r="D960" s="4" t="s">
        <v>42</v>
      </c>
      <c r="E960" s="4" t="s">
        <v>25</v>
      </c>
      <c r="F960" s="4" t="s">
        <v>25</v>
      </c>
      <c r="G960" s="4" t="s">
        <v>25</v>
      </c>
      <c r="H960" s="4" t="s">
        <v>34</v>
      </c>
      <c r="I960" s="5">
        <v>44713</v>
      </c>
      <c r="J960" s="6">
        <v>0</v>
      </c>
      <c r="K960" s="6">
        <v>0</v>
      </c>
      <c r="L960" s="6">
        <v>1.145</v>
      </c>
      <c r="M960" s="6">
        <v>1.145</v>
      </c>
      <c r="N960" s="6">
        <v>1.145</v>
      </c>
      <c r="O960" s="6">
        <v>1.145</v>
      </c>
      <c r="P960" s="6">
        <v>0</v>
      </c>
      <c r="Q960" s="4" t="s">
        <v>26</v>
      </c>
      <c r="R960" s="4">
        <v>0</v>
      </c>
      <c r="S960" s="4" t="s">
        <v>404</v>
      </c>
      <c r="T960" s="4" t="s">
        <v>626</v>
      </c>
      <c r="U960" s="4">
        <v>0</v>
      </c>
      <c r="V960" s="4">
        <v>83</v>
      </c>
      <c r="W960" s="4">
        <v>106</v>
      </c>
    </row>
    <row r="961" spans="1:23" ht="11.25" customHeight="1" x14ac:dyDescent="0.3">
      <c r="A961" s="4" t="s">
        <v>28</v>
      </c>
      <c r="B961" s="4" t="s">
        <v>37</v>
      </c>
      <c r="C961" s="4" t="s">
        <v>33</v>
      </c>
      <c r="D961" s="4" t="s">
        <v>42</v>
      </c>
      <c r="E961" s="4" t="s">
        <v>25</v>
      </c>
      <c r="F961" s="4" t="s">
        <v>25</v>
      </c>
      <c r="G961" s="4" t="s">
        <v>25</v>
      </c>
      <c r="H961" s="4" t="s">
        <v>34</v>
      </c>
      <c r="I961" s="5">
        <v>44713</v>
      </c>
      <c r="J961" s="6">
        <v>0</v>
      </c>
      <c r="K961" s="6">
        <v>0</v>
      </c>
      <c r="L961" s="6">
        <v>9.2999999999999999E-2</v>
      </c>
      <c r="M961" s="6">
        <v>9.2999999999999999E-2</v>
      </c>
      <c r="N961" s="6">
        <v>9.2999999999999999E-2</v>
      </c>
      <c r="O961" s="6">
        <v>9.2999999999999999E-2</v>
      </c>
      <c r="P961" s="6">
        <v>0</v>
      </c>
      <c r="Q961" s="4" t="s">
        <v>26</v>
      </c>
      <c r="R961" s="4">
        <v>0</v>
      </c>
      <c r="S961" s="4" t="s">
        <v>404</v>
      </c>
      <c r="T961" s="4" t="s">
        <v>626</v>
      </c>
      <c r="U961" s="4">
        <v>0</v>
      </c>
      <c r="V961" s="4">
        <v>83</v>
      </c>
      <c r="W961" s="4">
        <v>106</v>
      </c>
    </row>
    <row r="962" spans="1:23" ht="11.25" customHeight="1" x14ac:dyDescent="0.3">
      <c r="A962" s="4" t="s">
        <v>21</v>
      </c>
      <c r="B962" s="4" t="s">
        <v>37</v>
      </c>
      <c r="C962" s="4" t="s">
        <v>33</v>
      </c>
      <c r="D962" s="4" t="s">
        <v>42</v>
      </c>
      <c r="E962" s="4" t="s">
        <v>25</v>
      </c>
      <c r="F962" s="4" t="s">
        <v>25</v>
      </c>
      <c r="G962" s="4" t="s">
        <v>25</v>
      </c>
      <c r="H962" s="4" t="s">
        <v>34</v>
      </c>
      <c r="I962" s="5">
        <v>44743</v>
      </c>
      <c r="J962" s="6">
        <v>0</v>
      </c>
      <c r="K962" s="6">
        <v>0</v>
      </c>
      <c r="L962" s="6">
        <v>1.9890000000000001</v>
      </c>
      <c r="M962" s="6">
        <v>1.9890000000000001</v>
      </c>
      <c r="N962" s="6">
        <v>1.9890000000000001</v>
      </c>
      <c r="O962" s="6">
        <v>1.9890000000000001</v>
      </c>
      <c r="P962" s="6">
        <v>0</v>
      </c>
      <c r="Q962" s="4" t="s">
        <v>26</v>
      </c>
      <c r="R962" s="4">
        <v>0</v>
      </c>
      <c r="S962" s="4" t="s">
        <v>405</v>
      </c>
      <c r="T962" s="4" t="s">
        <v>627</v>
      </c>
      <c r="U962" s="4">
        <v>0</v>
      </c>
      <c r="V962" s="4">
        <v>83</v>
      </c>
      <c r="W962" s="4">
        <v>106</v>
      </c>
    </row>
    <row r="963" spans="1:23" ht="11.25" customHeight="1" x14ac:dyDescent="0.3">
      <c r="A963" s="4" t="s">
        <v>21</v>
      </c>
      <c r="B963" s="4" t="s">
        <v>37</v>
      </c>
      <c r="C963" s="4" t="s">
        <v>33</v>
      </c>
      <c r="D963" s="4" t="s">
        <v>42</v>
      </c>
      <c r="E963" s="4" t="s">
        <v>25</v>
      </c>
      <c r="F963" s="4" t="s">
        <v>25</v>
      </c>
      <c r="G963" s="4" t="s">
        <v>25</v>
      </c>
      <c r="H963" s="4" t="s">
        <v>34</v>
      </c>
      <c r="I963" s="5">
        <v>44774</v>
      </c>
      <c r="J963" s="6">
        <v>0</v>
      </c>
      <c r="K963" s="6">
        <v>0</v>
      </c>
      <c r="L963" s="6">
        <v>1.6950000000000001</v>
      </c>
      <c r="M963" s="6">
        <v>1.6950000000000001</v>
      </c>
      <c r="N963" s="6">
        <v>1.6950000000000001</v>
      </c>
      <c r="O963" s="6">
        <v>1.6950000000000001</v>
      </c>
      <c r="P963" s="6">
        <v>0</v>
      </c>
      <c r="Q963" s="4" t="s">
        <v>26</v>
      </c>
      <c r="R963" s="4">
        <v>0</v>
      </c>
      <c r="S963" s="4" t="s">
        <v>406</v>
      </c>
      <c r="T963" s="4" t="s">
        <v>628</v>
      </c>
      <c r="U963" s="4">
        <v>0</v>
      </c>
      <c r="V963" s="4">
        <v>83</v>
      </c>
      <c r="W963" s="4">
        <v>106</v>
      </c>
    </row>
    <row r="964" spans="1:23" ht="11.25" customHeight="1" x14ac:dyDescent="0.3">
      <c r="A964" s="4" t="s">
        <v>28</v>
      </c>
      <c r="B964" s="4" t="s">
        <v>37</v>
      </c>
      <c r="C964" s="4" t="s">
        <v>33</v>
      </c>
      <c r="D964" s="4" t="s">
        <v>42</v>
      </c>
      <c r="E964" s="4" t="s">
        <v>25</v>
      </c>
      <c r="F964" s="4" t="s">
        <v>25</v>
      </c>
      <c r="G964" s="4" t="s">
        <v>25</v>
      </c>
      <c r="H964" s="4" t="s">
        <v>34</v>
      </c>
      <c r="I964" s="5">
        <v>44774</v>
      </c>
      <c r="J964" s="6">
        <v>0</v>
      </c>
      <c r="K964" s="6">
        <v>0</v>
      </c>
      <c r="L964" s="6">
        <v>0.14199999999999999</v>
      </c>
      <c r="M964" s="6">
        <v>0.14199999999999999</v>
      </c>
      <c r="N964" s="6">
        <v>0.14199999999999999</v>
      </c>
      <c r="O964" s="6">
        <v>0.14199999999999999</v>
      </c>
      <c r="P964" s="6">
        <v>0</v>
      </c>
      <c r="Q964" s="4" t="s">
        <v>26</v>
      </c>
      <c r="R964" s="4">
        <v>0</v>
      </c>
      <c r="S964" s="4" t="s">
        <v>406</v>
      </c>
      <c r="T964" s="4" t="s">
        <v>628</v>
      </c>
      <c r="U964" s="4">
        <v>0</v>
      </c>
      <c r="V964" s="4">
        <v>83</v>
      </c>
      <c r="W964" s="4">
        <v>106</v>
      </c>
    </row>
    <row r="965" spans="1:23" ht="11.25" customHeight="1" x14ac:dyDescent="0.3">
      <c r="A965" s="4" t="s">
        <v>21</v>
      </c>
      <c r="B965" s="4" t="s">
        <v>37</v>
      </c>
      <c r="C965" s="4" t="s">
        <v>33</v>
      </c>
      <c r="D965" s="4" t="s">
        <v>42</v>
      </c>
      <c r="E965" s="4" t="s">
        <v>25</v>
      </c>
      <c r="F965" s="4" t="s">
        <v>25</v>
      </c>
      <c r="G965" s="4" t="s">
        <v>25</v>
      </c>
      <c r="H965" s="4" t="s">
        <v>34</v>
      </c>
      <c r="I965" s="5">
        <v>44805</v>
      </c>
      <c r="J965" s="6">
        <v>0</v>
      </c>
      <c r="K965" s="6">
        <v>0</v>
      </c>
      <c r="L965" s="6">
        <v>1.5189999999999999</v>
      </c>
      <c r="M965" s="6">
        <v>1.5189999999999999</v>
      </c>
      <c r="N965" s="6">
        <v>1.5189999999999999</v>
      </c>
      <c r="O965" s="6">
        <v>1.5189999999999999</v>
      </c>
      <c r="P965" s="6">
        <v>0</v>
      </c>
      <c r="Q965" s="4" t="s">
        <v>26</v>
      </c>
      <c r="R965" s="4">
        <v>0</v>
      </c>
      <c r="S965" s="4" t="s">
        <v>407</v>
      </c>
      <c r="T965" s="4" t="s">
        <v>629</v>
      </c>
      <c r="U965" s="4">
        <v>0</v>
      </c>
      <c r="V965" s="4">
        <v>83</v>
      </c>
      <c r="W965" s="4">
        <v>106</v>
      </c>
    </row>
    <row r="966" spans="1:23" ht="11.25" customHeight="1" x14ac:dyDescent="0.3">
      <c r="A966" s="4" t="s">
        <v>28</v>
      </c>
      <c r="B966" s="4" t="s">
        <v>37</v>
      </c>
      <c r="C966" s="4" t="s">
        <v>33</v>
      </c>
      <c r="D966" s="4" t="s">
        <v>42</v>
      </c>
      <c r="E966" s="4" t="s">
        <v>25</v>
      </c>
      <c r="F966" s="4" t="s">
        <v>25</v>
      </c>
      <c r="G966" s="4" t="s">
        <v>25</v>
      </c>
      <c r="H966" s="4" t="s">
        <v>34</v>
      </c>
      <c r="I966" s="5">
        <v>44805</v>
      </c>
      <c r="J966" s="6">
        <v>0</v>
      </c>
      <c r="K966" s="6">
        <v>0</v>
      </c>
      <c r="L966" s="6">
        <v>0.156</v>
      </c>
      <c r="M966" s="6">
        <v>0.156</v>
      </c>
      <c r="N966" s="6">
        <v>0.156</v>
      </c>
      <c r="O966" s="6">
        <v>0.156</v>
      </c>
      <c r="P966" s="6">
        <v>0</v>
      </c>
      <c r="Q966" s="4" t="s">
        <v>26</v>
      </c>
      <c r="R966" s="4">
        <v>0</v>
      </c>
      <c r="S966" s="4" t="s">
        <v>407</v>
      </c>
      <c r="T966" s="4" t="s">
        <v>629</v>
      </c>
      <c r="U966" s="4">
        <v>0</v>
      </c>
      <c r="V966" s="4">
        <v>83</v>
      </c>
      <c r="W966" s="4">
        <v>106</v>
      </c>
    </row>
    <row r="967" spans="1:23" ht="11.25" customHeight="1" x14ac:dyDescent="0.3">
      <c r="A967" s="4" t="s">
        <v>53</v>
      </c>
      <c r="B967" s="4" t="s">
        <v>37</v>
      </c>
      <c r="C967" s="4" t="s">
        <v>33</v>
      </c>
      <c r="D967" s="4" t="s">
        <v>42</v>
      </c>
      <c r="E967" s="4" t="s">
        <v>25</v>
      </c>
      <c r="F967" s="4" t="s">
        <v>25</v>
      </c>
      <c r="G967" s="4" t="s">
        <v>25</v>
      </c>
      <c r="H967" s="4" t="s">
        <v>34</v>
      </c>
      <c r="I967" s="5">
        <v>44835</v>
      </c>
      <c r="J967" s="6">
        <v>0</v>
      </c>
      <c r="K967" s="6">
        <v>0</v>
      </c>
      <c r="L967" s="6">
        <v>1.5189999999999999</v>
      </c>
      <c r="M967" s="6">
        <v>1.5189999999999999</v>
      </c>
      <c r="N967" s="6">
        <v>1.5189999999999999</v>
      </c>
      <c r="O967" s="6">
        <v>1.5189999999999999</v>
      </c>
      <c r="P967" s="6">
        <v>0</v>
      </c>
      <c r="Q967" s="4" t="s">
        <v>26</v>
      </c>
      <c r="R967" s="4">
        <v>0</v>
      </c>
      <c r="S967" s="4" t="s">
        <v>408</v>
      </c>
      <c r="T967" s="4" t="s">
        <v>630</v>
      </c>
      <c r="U967" s="4">
        <v>0</v>
      </c>
      <c r="V967" s="4">
        <v>83</v>
      </c>
      <c r="W967" s="4">
        <v>106</v>
      </c>
    </row>
    <row r="968" spans="1:23" ht="11.25" customHeight="1" x14ac:dyDescent="0.3">
      <c r="A968" s="4" t="s">
        <v>53</v>
      </c>
      <c r="B968" s="4" t="s">
        <v>37</v>
      </c>
      <c r="C968" s="4" t="s">
        <v>33</v>
      </c>
      <c r="D968" s="4" t="s">
        <v>42</v>
      </c>
      <c r="E968" s="4" t="s">
        <v>25</v>
      </c>
      <c r="F968" s="4" t="s">
        <v>25</v>
      </c>
      <c r="G968" s="4" t="s">
        <v>25</v>
      </c>
      <c r="H968" s="4" t="s">
        <v>34</v>
      </c>
      <c r="I968" s="5">
        <v>44835</v>
      </c>
      <c r="J968" s="6">
        <v>0</v>
      </c>
      <c r="K968" s="6">
        <v>0</v>
      </c>
      <c r="L968" s="6">
        <v>0.156</v>
      </c>
      <c r="M968" s="6">
        <v>0.156</v>
      </c>
      <c r="N968" s="6">
        <v>0.156</v>
      </c>
      <c r="O968" s="6">
        <v>0.156</v>
      </c>
      <c r="P968" s="6">
        <v>0</v>
      </c>
      <c r="Q968" s="4" t="s">
        <v>26</v>
      </c>
      <c r="R968" s="4">
        <v>0</v>
      </c>
      <c r="S968" s="4" t="s">
        <v>408</v>
      </c>
      <c r="T968" s="4" t="s">
        <v>630</v>
      </c>
      <c r="U968" s="4">
        <v>0</v>
      </c>
      <c r="V968" s="4">
        <v>83</v>
      </c>
      <c r="W968" s="4">
        <v>106</v>
      </c>
    </row>
    <row r="969" spans="1:23" ht="11.25" customHeight="1" x14ac:dyDescent="0.3">
      <c r="A969" s="4" t="s">
        <v>21</v>
      </c>
      <c r="B969" s="4" t="s">
        <v>37</v>
      </c>
      <c r="C969" s="4" t="s">
        <v>33</v>
      </c>
      <c r="D969" s="4" t="s">
        <v>38</v>
      </c>
      <c r="E969" s="4" t="s">
        <v>25</v>
      </c>
      <c r="F969" s="4" t="s">
        <v>25</v>
      </c>
      <c r="G969" s="4" t="s">
        <v>25</v>
      </c>
      <c r="H969" s="4" t="s">
        <v>35</v>
      </c>
      <c r="I969" s="5">
        <v>44501</v>
      </c>
      <c r="J969" s="6">
        <v>0</v>
      </c>
      <c r="K969" s="6">
        <v>0</v>
      </c>
      <c r="L969" s="6">
        <v>6.65</v>
      </c>
      <c r="M969" s="6">
        <v>6.65</v>
      </c>
      <c r="N969" s="6">
        <v>6.65</v>
      </c>
      <c r="O969" s="6">
        <v>6.65</v>
      </c>
      <c r="P969" s="6">
        <v>0</v>
      </c>
      <c r="Q969" s="4" t="s">
        <v>26</v>
      </c>
      <c r="R969" s="4">
        <v>0</v>
      </c>
      <c r="S969" s="4" t="s">
        <v>373</v>
      </c>
      <c r="T969" s="4" t="s">
        <v>595</v>
      </c>
      <c r="U969" s="4">
        <v>0</v>
      </c>
      <c r="V969" s="4">
        <v>69</v>
      </c>
      <c r="W969" s="4">
        <v>105</v>
      </c>
    </row>
    <row r="970" spans="1:23" ht="11.25" customHeight="1" x14ac:dyDescent="0.3">
      <c r="A970" s="4" t="s">
        <v>28</v>
      </c>
      <c r="B970" s="4" t="s">
        <v>37</v>
      </c>
      <c r="C970" s="4" t="s">
        <v>33</v>
      </c>
      <c r="D970" s="4" t="s">
        <v>38</v>
      </c>
      <c r="E970" s="4" t="s">
        <v>25</v>
      </c>
      <c r="F970" s="4" t="s">
        <v>25</v>
      </c>
      <c r="G970" s="4" t="s">
        <v>25</v>
      </c>
      <c r="H970" s="4" t="s">
        <v>35</v>
      </c>
      <c r="I970" s="5">
        <v>44501</v>
      </c>
      <c r="J970" s="6">
        <v>0</v>
      </c>
      <c r="K970" s="6">
        <v>0</v>
      </c>
      <c r="L970" s="6">
        <v>1.0999999999999999E-2</v>
      </c>
      <c r="M970" s="6">
        <v>1.0999999999999999E-2</v>
      </c>
      <c r="N970" s="6">
        <v>1.0999999999999999E-2</v>
      </c>
      <c r="O970" s="6">
        <v>1.0999999999999999E-2</v>
      </c>
      <c r="P970" s="6">
        <v>0</v>
      </c>
      <c r="Q970" s="4" t="s">
        <v>26</v>
      </c>
      <c r="R970" s="4">
        <v>0</v>
      </c>
      <c r="S970" s="4" t="s">
        <v>373</v>
      </c>
      <c r="T970" s="4" t="s">
        <v>595</v>
      </c>
      <c r="U970" s="4">
        <v>0</v>
      </c>
      <c r="V970" s="4">
        <v>69</v>
      </c>
      <c r="W970" s="4">
        <v>105</v>
      </c>
    </row>
    <row r="971" spans="1:23" ht="11.25" customHeight="1" x14ac:dyDescent="0.3">
      <c r="A971" s="4" t="s">
        <v>21</v>
      </c>
      <c r="B971" s="4" t="s">
        <v>37</v>
      </c>
      <c r="C971" s="4" t="s">
        <v>33</v>
      </c>
      <c r="D971" s="4" t="s">
        <v>38</v>
      </c>
      <c r="E971" s="4" t="s">
        <v>25</v>
      </c>
      <c r="F971" s="4" t="s">
        <v>25</v>
      </c>
      <c r="G971" s="4" t="s">
        <v>25</v>
      </c>
      <c r="H971" s="4" t="s">
        <v>35</v>
      </c>
      <c r="I971" s="5">
        <v>44531</v>
      </c>
      <c r="J971" s="6">
        <v>0</v>
      </c>
      <c r="K971" s="6">
        <v>0</v>
      </c>
      <c r="L971" s="6">
        <v>7.35</v>
      </c>
      <c r="M971" s="6">
        <v>7.35</v>
      </c>
      <c r="N971" s="6">
        <v>7.35</v>
      </c>
      <c r="O971" s="6">
        <v>7.35</v>
      </c>
      <c r="P971" s="6">
        <v>0</v>
      </c>
      <c r="Q971" s="4" t="s">
        <v>26</v>
      </c>
      <c r="R971" s="4">
        <v>0</v>
      </c>
      <c r="S971" s="4" t="s">
        <v>374</v>
      </c>
      <c r="T971" s="4" t="s">
        <v>596</v>
      </c>
      <c r="U971" s="4">
        <v>0</v>
      </c>
      <c r="V971" s="4">
        <v>69</v>
      </c>
      <c r="W971" s="4">
        <v>105</v>
      </c>
    </row>
    <row r="972" spans="1:23" ht="11.25" customHeight="1" x14ac:dyDescent="0.3">
      <c r="A972" s="4" t="s">
        <v>28</v>
      </c>
      <c r="B972" s="4" t="s">
        <v>37</v>
      </c>
      <c r="C972" s="4" t="s">
        <v>33</v>
      </c>
      <c r="D972" s="4" t="s">
        <v>38</v>
      </c>
      <c r="E972" s="4" t="s">
        <v>25</v>
      </c>
      <c r="F972" s="4" t="s">
        <v>25</v>
      </c>
      <c r="G972" s="4" t="s">
        <v>25</v>
      </c>
      <c r="H972" s="4" t="s">
        <v>35</v>
      </c>
      <c r="I972" s="5">
        <v>44531</v>
      </c>
      <c r="J972" s="6">
        <v>0</v>
      </c>
      <c r="K972" s="6">
        <v>0</v>
      </c>
      <c r="L972" s="6">
        <v>7.3999999999999996E-2</v>
      </c>
      <c r="M972" s="6">
        <v>7.3999999999999996E-2</v>
      </c>
      <c r="N972" s="6">
        <v>7.3999999999999996E-2</v>
      </c>
      <c r="O972" s="6">
        <v>7.3999999999999996E-2</v>
      </c>
      <c r="P972" s="6">
        <v>0</v>
      </c>
      <c r="Q972" s="4" t="s">
        <v>26</v>
      </c>
      <c r="R972" s="4">
        <v>0</v>
      </c>
      <c r="S972" s="4" t="s">
        <v>374</v>
      </c>
      <c r="T972" s="4" t="s">
        <v>596</v>
      </c>
      <c r="U972" s="4">
        <v>0</v>
      </c>
      <c r="V972" s="4">
        <v>69</v>
      </c>
      <c r="W972" s="4">
        <v>105</v>
      </c>
    </row>
    <row r="973" spans="1:23" ht="11.25" customHeight="1" x14ac:dyDescent="0.3">
      <c r="A973" s="4" t="s">
        <v>21</v>
      </c>
      <c r="B973" s="4" t="s">
        <v>37</v>
      </c>
      <c r="C973" s="4" t="s">
        <v>33</v>
      </c>
      <c r="D973" s="4" t="s">
        <v>38</v>
      </c>
      <c r="E973" s="4" t="s">
        <v>25</v>
      </c>
      <c r="F973" s="4" t="s">
        <v>25</v>
      </c>
      <c r="G973" s="4" t="s">
        <v>25</v>
      </c>
      <c r="H973" s="4" t="s">
        <v>35</v>
      </c>
      <c r="I973" s="5">
        <v>44562</v>
      </c>
      <c r="J973" s="6">
        <v>0</v>
      </c>
      <c r="K973" s="6">
        <v>0</v>
      </c>
      <c r="L973" s="6">
        <v>7.4</v>
      </c>
      <c r="M973" s="6">
        <v>7.4</v>
      </c>
      <c r="N973" s="6">
        <v>7.4</v>
      </c>
      <c r="O973" s="6">
        <v>7.4</v>
      </c>
      <c r="P973" s="6">
        <v>0</v>
      </c>
      <c r="Q973" s="4" t="s">
        <v>26</v>
      </c>
      <c r="R973" s="4">
        <v>0</v>
      </c>
      <c r="S973" s="4" t="s">
        <v>375</v>
      </c>
      <c r="T973" s="4" t="s">
        <v>597</v>
      </c>
      <c r="U973" s="4">
        <v>0</v>
      </c>
      <c r="V973" s="4">
        <v>69</v>
      </c>
      <c r="W973" s="4">
        <v>105</v>
      </c>
    </row>
    <row r="974" spans="1:23" ht="11.25" customHeight="1" x14ac:dyDescent="0.3">
      <c r="A974" s="4" t="s">
        <v>28</v>
      </c>
      <c r="B974" s="4" t="s">
        <v>37</v>
      </c>
      <c r="C974" s="4" t="s">
        <v>33</v>
      </c>
      <c r="D974" s="4" t="s">
        <v>38</v>
      </c>
      <c r="E974" s="4" t="s">
        <v>25</v>
      </c>
      <c r="F974" s="4" t="s">
        <v>25</v>
      </c>
      <c r="G974" s="4" t="s">
        <v>25</v>
      </c>
      <c r="H974" s="4" t="s">
        <v>35</v>
      </c>
      <c r="I974" s="5">
        <v>44562</v>
      </c>
      <c r="J974" s="6">
        <v>0</v>
      </c>
      <c r="K974" s="6">
        <v>0</v>
      </c>
      <c r="L974" s="6">
        <v>0.22</v>
      </c>
      <c r="M974" s="6">
        <v>0.22</v>
      </c>
      <c r="N974" s="6">
        <v>0.22</v>
      </c>
      <c r="O974" s="6">
        <v>0.22</v>
      </c>
      <c r="P974" s="6">
        <v>0</v>
      </c>
      <c r="Q974" s="4" t="s">
        <v>26</v>
      </c>
      <c r="R974" s="4">
        <v>0</v>
      </c>
      <c r="S974" s="4" t="s">
        <v>375</v>
      </c>
      <c r="T974" s="4" t="s">
        <v>597</v>
      </c>
      <c r="U974" s="4">
        <v>0</v>
      </c>
      <c r="V974" s="4">
        <v>69</v>
      </c>
      <c r="W974" s="4">
        <v>105</v>
      </c>
    </row>
    <row r="975" spans="1:23" ht="11.25" customHeight="1" x14ac:dyDescent="0.3">
      <c r="A975" s="4" t="s">
        <v>21</v>
      </c>
      <c r="B975" s="4" t="s">
        <v>37</v>
      </c>
      <c r="C975" s="4" t="s">
        <v>33</v>
      </c>
      <c r="D975" s="4" t="s">
        <v>38</v>
      </c>
      <c r="E975" s="4" t="s">
        <v>25</v>
      </c>
      <c r="F975" s="4" t="s">
        <v>25</v>
      </c>
      <c r="G975" s="4" t="s">
        <v>25</v>
      </c>
      <c r="H975" s="4" t="s">
        <v>35</v>
      </c>
      <c r="I975" s="5">
        <v>44593</v>
      </c>
      <c r="J975" s="6">
        <v>0</v>
      </c>
      <c r="K975" s="6">
        <v>0</v>
      </c>
      <c r="L975" s="6">
        <v>8.0500000000000007</v>
      </c>
      <c r="M975" s="6">
        <v>8.0500000000000007</v>
      </c>
      <c r="N975" s="6">
        <v>8.0500000000000007</v>
      </c>
      <c r="O975" s="6">
        <v>8.0500000000000007</v>
      </c>
      <c r="P975" s="6">
        <v>0</v>
      </c>
      <c r="Q975" s="4" t="s">
        <v>26</v>
      </c>
      <c r="R975" s="4">
        <v>0</v>
      </c>
      <c r="S975" s="4" t="s">
        <v>376</v>
      </c>
      <c r="T975" s="4" t="s">
        <v>598</v>
      </c>
      <c r="U975" s="4">
        <v>0</v>
      </c>
      <c r="V975" s="4">
        <v>69</v>
      </c>
      <c r="W975" s="4">
        <v>105</v>
      </c>
    </row>
    <row r="976" spans="1:23" ht="11.25" customHeight="1" x14ac:dyDescent="0.3">
      <c r="A976" s="4" t="s">
        <v>28</v>
      </c>
      <c r="B976" s="4" t="s">
        <v>37</v>
      </c>
      <c r="C976" s="4" t="s">
        <v>33</v>
      </c>
      <c r="D976" s="4" t="s">
        <v>38</v>
      </c>
      <c r="E976" s="4" t="s">
        <v>25</v>
      </c>
      <c r="F976" s="4" t="s">
        <v>25</v>
      </c>
      <c r="G976" s="4" t="s">
        <v>25</v>
      </c>
      <c r="H976" s="4" t="s">
        <v>35</v>
      </c>
      <c r="I976" s="5">
        <v>44593</v>
      </c>
      <c r="J976" s="6">
        <v>0</v>
      </c>
      <c r="K976" s="6">
        <v>0</v>
      </c>
      <c r="L976" s="6">
        <v>0.214</v>
      </c>
      <c r="M976" s="6">
        <v>0.214</v>
      </c>
      <c r="N976" s="6">
        <v>0.214</v>
      </c>
      <c r="O976" s="6">
        <v>0.214</v>
      </c>
      <c r="P976" s="6">
        <v>0</v>
      </c>
      <c r="Q976" s="4" t="s">
        <v>26</v>
      </c>
      <c r="R976" s="4">
        <v>0</v>
      </c>
      <c r="S976" s="4" t="s">
        <v>376</v>
      </c>
      <c r="T976" s="4" t="s">
        <v>598</v>
      </c>
      <c r="U976" s="4">
        <v>0</v>
      </c>
      <c r="V976" s="4">
        <v>69</v>
      </c>
      <c r="W976" s="4">
        <v>105</v>
      </c>
    </row>
    <row r="977" spans="1:23" ht="11.25" customHeight="1" x14ac:dyDescent="0.3">
      <c r="A977" s="4" t="s">
        <v>21</v>
      </c>
      <c r="B977" s="4" t="s">
        <v>37</v>
      </c>
      <c r="C977" s="4" t="s">
        <v>33</v>
      </c>
      <c r="D977" s="4" t="s">
        <v>38</v>
      </c>
      <c r="E977" s="4" t="s">
        <v>25</v>
      </c>
      <c r="F977" s="4" t="s">
        <v>25</v>
      </c>
      <c r="G977" s="4" t="s">
        <v>25</v>
      </c>
      <c r="H977" s="4" t="s">
        <v>35</v>
      </c>
      <c r="I977" s="5">
        <v>44621</v>
      </c>
      <c r="J977" s="6">
        <v>0</v>
      </c>
      <c r="K977" s="6">
        <v>0</v>
      </c>
      <c r="L977" s="6">
        <v>6.8</v>
      </c>
      <c r="M977" s="6">
        <v>6.8</v>
      </c>
      <c r="N977" s="6">
        <v>6.8</v>
      </c>
      <c r="O977" s="6">
        <v>6.8</v>
      </c>
      <c r="P977" s="6">
        <v>0</v>
      </c>
      <c r="Q977" s="4" t="s">
        <v>26</v>
      </c>
      <c r="R977" s="4">
        <v>0</v>
      </c>
      <c r="S977" s="4" t="s">
        <v>377</v>
      </c>
      <c r="T977" s="4" t="s">
        <v>599</v>
      </c>
      <c r="U977" s="4">
        <v>0</v>
      </c>
      <c r="V977" s="4">
        <v>69</v>
      </c>
      <c r="W977" s="4">
        <v>105</v>
      </c>
    </row>
    <row r="978" spans="1:23" ht="11.25" customHeight="1" x14ac:dyDescent="0.3">
      <c r="A978" s="4" t="s">
        <v>28</v>
      </c>
      <c r="B978" s="4" t="s">
        <v>37</v>
      </c>
      <c r="C978" s="4" t="s">
        <v>33</v>
      </c>
      <c r="D978" s="4" t="s">
        <v>38</v>
      </c>
      <c r="E978" s="4" t="s">
        <v>25</v>
      </c>
      <c r="F978" s="4" t="s">
        <v>25</v>
      </c>
      <c r="G978" s="4" t="s">
        <v>25</v>
      </c>
      <c r="H978" s="4" t="s">
        <v>35</v>
      </c>
      <c r="I978" s="5">
        <v>44621</v>
      </c>
      <c r="J978" s="6">
        <v>0</v>
      </c>
      <c r="K978" s="6">
        <v>0</v>
      </c>
      <c r="L978" s="6">
        <v>0.17899999999999999</v>
      </c>
      <c r="M978" s="6">
        <v>0.17899999999999999</v>
      </c>
      <c r="N978" s="6">
        <v>0.17899999999999999</v>
      </c>
      <c r="O978" s="6">
        <v>0.17899999999999999</v>
      </c>
      <c r="P978" s="6">
        <v>0</v>
      </c>
      <c r="Q978" s="4" t="s">
        <v>26</v>
      </c>
      <c r="R978" s="4">
        <v>0</v>
      </c>
      <c r="S978" s="4" t="s">
        <v>377</v>
      </c>
      <c r="T978" s="4" t="s">
        <v>599</v>
      </c>
      <c r="U978" s="4">
        <v>0</v>
      </c>
      <c r="V978" s="4">
        <v>69</v>
      </c>
      <c r="W978" s="4">
        <v>105</v>
      </c>
    </row>
    <row r="979" spans="1:23" ht="11.25" customHeight="1" x14ac:dyDescent="0.3">
      <c r="A979" s="4" t="s">
        <v>28</v>
      </c>
      <c r="B979" s="4" t="s">
        <v>37</v>
      </c>
      <c r="C979" s="4" t="s">
        <v>33</v>
      </c>
      <c r="D979" s="4" t="s">
        <v>38</v>
      </c>
      <c r="E979" s="4" t="s">
        <v>25</v>
      </c>
      <c r="F979" s="4" t="s">
        <v>25</v>
      </c>
      <c r="G979" s="4" t="s">
        <v>25</v>
      </c>
      <c r="H979" s="4" t="s">
        <v>35</v>
      </c>
      <c r="I979" s="5">
        <v>44652</v>
      </c>
      <c r="J979" s="6">
        <v>0</v>
      </c>
      <c r="K979" s="6">
        <v>0</v>
      </c>
      <c r="L979" s="6">
        <v>0.16700000000000001</v>
      </c>
      <c r="M979" s="6">
        <v>0.16700000000000001</v>
      </c>
      <c r="N979" s="6">
        <v>0.16700000000000001</v>
      </c>
      <c r="O979" s="6">
        <v>0.16700000000000001</v>
      </c>
      <c r="P979" s="6">
        <v>0</v>
      </c>
      <c r="Q979" s="4" t="s">
        <v>26</v>
      </c>
      <c r="R979" s="4">
        <v>0</v>
      </c>
      <c r="S979" s="4" t="s">
        <v>378</v>
      </c>
      <c r="T979" s="4" t="s">
        <v>600</v>
      </c>
      <c r="U979" s="4">
        <v>0</v>
      </c>
      <c r="V979" s="4">
        <v>69</v>
      </c>
      <c r="W979" s="4">
        <v>105</v>
      </c>
    </row>
    <row r="980" spans="1:23" ht="11.25" customHeight="1" x14ac:dyDescent="0.3">
      <c r="A980" s="4" t="s">
        <v>28</v>
      </c>
      <c r="B980" s="4" t="s">
        <v>37</v>
      </c>
      <c r="C980" s="4" t="s">
        <v>33</v>
      </c>
      <c r="D980" s="4" t="s">
        <v>38</v>
      </c>
      <c r="E980" s="4" t="s">
        <v>25</v>
      </c>
      <c r="F980" s="4" t="s">
        <v>25</v>
      </c>
      <c r="G980" s="4" t="s">
        <v>25</v>
      </c>
      <c r="H980" s="4" t="s">
        <v>35</v>
      </c>
      <c r="I980" s="5">
        <v>44682</v>
      </c>
      <c r="J980" s="6">
        <v>0</v>
      </c>
      <c r="K980" s="6">
        <v>0</v>
      </c>
      <c r="L980" s="6">
        <v>0.156</v>
      </c>
      <c r="M980" s="6">
        <v>0.156</v>
      </c>
      <c r="N980" s="6">
        <v>0.156</v>
      </c>
      <c r="O980" s="6">
        <v>0.156</v>
      </c>
      <c r="P980" s="6">
        <v>0</v>
      </c>
      <c r="Q980" s="4" t="s">
        <v>26</v>
      </c>
      <c r="R980" s="4">
        <v>0</v>
      </c>
      <c r="S980" s="4" t="s">
        <v>379</v>
      </c>
      <c r="T980" s="4" t="s">
        <v>601</v>
      </c>
      <c r="U980" s="4">
        <v>0</v>
      </c>
      <c r="V980" s="4">
        <v>69</v>
      </c>
      <c r="W980" s="4">
        <v>105</v>
      </c>
    </row>
    <row r="981" spans="1:23" ht="11.25" customHeight="1" x14ac:dyDescent="0.3">
      <c r="A981" s="4" t="s">
        <v>28</v>
      </c>
      <c r="B981" s="4" t="s">
        <v>37</v>
      </c>
      <c r="C981" s="4" t="s">
        <v>33</v>
      </c>
      <c r="D981" s="4" t="s">
        <v>38</v>
      </c>
      <c r="E981" s="4" t="s">
        <v>25</v>
      </c>
      <c r="F981" s="4" t="s">
        <v>25</v>
      </c>
      <c r="G981" s="4" t="s">
        <v>25</v>
      </c>
      <c r="H981" s="4" t="s">
        <v>35</v>
      </c>
      <c r="I981" s="5">
        <v>44713</v>
      </c>
      <c r="J981" s="6">
        <v>0</v>
      </c>
      <c r="K981" s="6">
        <v>0</v>
      </c>
      <c r="L981" s="6">
        <v>0.14399999999999999</v>
      </c>
      <c r="M981" s="6">
        <v>0.14399999999999999</v>
      </c>
      <c r="N981" s="6">
        <v>0.14399999999999999</v>
      </c>
      <c r="O981" s="6">
        <v>0.14399999999999999</v>
      </c>
      <c r="P981" s="6">
        <v>0</v>
      </c>
      <c r="Q981" s="4" t="s">
        <v>26</v>
      </c>
      <c r="R981" s="4">
        <v>0</v>
      </c>
      <c r="S981" s="4" t="s">
        <v>380</v>
      </c>
      <c r="T981" s="4" t="s">
        <v>602</v>
      </c>
      <c r="U981" s="4">
        <v>0</v>
      </c>
      <c r="V981" s="4">
        <v>69</v>
      </c>
      <c r="W981" s="4">
        <v>105</v>
      </c>
    </row>
    <row r="982" spans="1:23" ht="11.25" customHeight="1" x14ac:dyDescent="0.3">
      <c r="A982" s="4" t="s">
        <v>28</v>
      </c>
      <c r="B982" s="4" t="s">
        <v>37</v>
      </c>
      <c r="C982" s="4" t="s">
        <v>33</v>
      </c>
      <c r="D982" s="4" t="s">
        <v>38</v>
      </c>
      <c r="E982" s="4" t="s">
        <v>25</v>
      </c>
      <c r="F982" s="4" t="s">
        <v>25</v>
      </c>
      <c r="G982" s="4" t="s">
        <v>25</v>
      </c>
      <c r="H982" s="4" t="s">
        <v>35</v>
      </c>
      <c r="I982" s="5">
        <v>44774</v>
      </c>
      <c r="J982" s="6">
        <v>0</v>
      </c>
      <c r="K982" s="6">
        <v>0</v>
      </c>
      <c r="L982" s="6">
        <v>0.23699999999999999</v>
      </c>
      <c r="M982" s="6">
        <v>0.23699999999999999</v>
      </c>
      <c r="N982" s="6">
        <v>0.23699999999999999</v>
      </c>
      <c r="O982" s="6">
        <v>0.23699999999999999</v>
      </c>
      <c r="P982" s="6">
        <v>0</v>
      </c>
      <c r="Q982" s="4" t="s">
        <v>26</v>
      </c>
      <c r="R982" s="4">
        <v>0</v>
      </c>
      <c r="S982" s="4" t="s">
        <v>382</v>
      </c>
      <c r="T982" s="4" t="s">
        <v>604</v>
      </c>
      <c r="U982" s="4">
        <v>0</v>
      </c>
      <c r="V982" s="4">
        <v>69</v>
      </c>
      <c r="W982" s="4">
        <v>105</v>
      </c>
    </row>
    <row r="983" spans="1:23" ht="11.25" customHeight="1" x14ac:dyDescent="0.3">
      <c r="A983" s="4" t="s">
        <v>28</v>
      </c>
      <c r="B983" s="4" t="s">
        <v>37</v>
      </c>
      <c r="C983" s="4" t="s">
        <v>33</v>
      </c>
      <c r="D983" s="4" t="s">
        <v>38</v>
      </c>
      <c r="E983" s="4" t="s">
        <v>25</v>
      </c>
      <c r="F983" s="4" t="s">
        <v>25</v>
      </c>
      <c r="G983" s="4" t="s">
        <v>25</v>
      </c>
      <c r="H983" s="4" t="s">
        <v>35</v>
      </c>
      <c r="I983" s="5">
        <v>44805</v>
      </c>
      <c r="J983" s="6">
        <v>0</v>
      </c>
      <c r="K983" s="6">
        <v>0</v>
      </c>
      <c r="L983" s="6">
        <v>0.318</v>
      </c>
      <c r="M983" s="6">
        <v>0.318</v>
      </c>
      <c r="N983" s="6">
        <v>0.318</v>
      </c>
      <c r="O983" s="6">
        <v>0.318</v>
      </c>
      <c r="P983" s="6">
        <v>0</v>
      </c>
      <c r="Q983" s="4" t="s">
        <v>26</v>
      </c>
      <c r="R983" s="4">
        <v>0</v>
      </c>
      <c r="S983" s="4" t="s">
        <v>383</v>
      </c>
      <c r="T983" s="4" t="s">
        <v>605</v>
      </c>
      <c r="U983" s="4">
        <v>0</v>
      </c>
      <c r="V983" s="4">
        <v>69</v>
      </c>
      <c r="W983" s="4">
        <v>105</v>
      </c>
    </row>
    <row r="984" spans="1:23" ht="11.25" customHeight="1" x14ac:dyDescent="0.3">
      <c r="A984" s="4" t="s">
        <v>53</v>
      </c>
      <c r="B984" s="4" t="s">
        <v>37</v>
      </c>
      <c r="C984" s="4" t="s">
        <v>33</v>
      </c>
      <c r="D984" s="4" t="s">
        <v>38</v>
      </c>
      <c r="E984" s="4" t="s">
        <v>25</v>
      </c>
      <c r="F984" s="4" t="s">
        <v>25</v>
      </c>
      <c r="G984" s="4" t="s">
        <v>25</v>
      </c>
      <c r="H984" s="4" t="s">
        <v>35</v>
      </c>
      <c r="I984" s="5">
        <v>44835</v>
      </c>
      <c r="J984" s="6">
        <v>0</v>
      </c>
      <c r="K984" s="6">
        <v>0</v>
      </c>
      <c r="L984" s="6">
        <v>0.318</v>
      </c>
      <c r="M984" s="6">
        <v>0.318</v>
      </c>
      <c r="N984" s="6">
        <v>0.318</v>
      </c>
      <c r="O984" s="6">
        <v>0.318</v>
      </c>
      <c r="P984" s="6">
        <v>0</v>
      </c>
      <c r="Q984" s="4" t="s">
        <v>26</v>
      </c>
      <c r="R984" s="4">
        <v>0</v>
      </c>
      <c r="S984" s="4" t="s">
        <v>384</v>
      </c>
      <c r="T984" s="4" t="s">
        <v>606</v>
      </c>
      <c r="U984" s="4">
        <v>0</v>
      </c>
      <c r="V984" s="4">
        <v>69</v>
      </c>
      <c r="W984" s="4">
        <v>105</v>
      </c>
    </row>
    <row r="985" spans="1:23" ht="11.25" customHeight="1" x14ac:dyDescent="0.3">
      <c r="A985" s="4" t="s">
        <v>21</v>
      </c>
      <c r="B985" s="4" t="s">
        <v>37</v>
      </c>
      <c r="C985" s="4" t="s">
        <v>33</v>
      </c>
      <c r="D985" s="4" t="s">
        <v>38</v>
      </c>
      <c r="E985" s="4" t="s">
        <v>25</v>
      </c>
      <c r="F985" s="4" t="s">
        <v>25</v>
      </c>
      <c r="G985" s="4" t="s">
        <v>25</v>
      </c>
      <c r="H985" s="4" t="s">
        <v>36</v>
      </c>
      <c r="I985" s="5">
        <v>44501</v>
      </c>
      <c r="J985" s="6">
        <v>0</v>
      </c>
      <c r="K985" s="6">
        <v>0</v>
      </c>
      <c r="L985" s="6">
        <v>0.4</v>
      </c>
      <c r="M985" s="6">
        <v>0.4</v>
      </c>
      <c r="N985" s="6">
        <v>0.4</v>
      </c>
      <c r="O985" s="6">
        <v>0.4</v>
      </c>
      <c r="P985" s="6">
        <v>0</v>
      </c>
      <c r="Q985" s="4" t="s">
        <v>26</v>
      </c>
      <c r="R985" s="4">
        <v>0</v>
      </c>
      <c r="S985" s="4" t="s">
        <v>385</v>
      </c>
      <c r="T985" s="4" t="s">
        <v>607</v>
      </c>
      <c r="U985" s="4">
        <v>0</v>
      </c>
      <c r="V985" s="4">
        <v>82</v>
      </c>
      <c r="W985" s="4">
        <v>110</v>
      </c>
    </row>
    <row r="986" spans="1:23" ht="11.25" customHeight="1" x14ac:dyDescent="0.3">
      <c r="A986" s="4" t="s">
        <v>28</v>
      </c>
      <c r="B986" s="4" t="s">
        <v>37</v>
      </c>
      <c r="C986" s="4" t="s">
        <v>33</v>
      </c>
      <c r="D986" s="4" t="s">
        <v>38</v>
      </c>
      <c r="E986" s="4" t="s">
        <v>25</v>
      </c>
      <c r="F986" s="4" t="s">
        <v>25</v>
      </c>
      <c r="G986" s="4" t="s">
        <v>25</v>
      </c>
      <c r="H986" s="4" t="s">
        <v>36</v>
      </c>
      <c r="I986" s="5">
        <v>44501</v>
      </c>
      <c r="J986" s="6">
        <v>0</v>
      </c>
      <c r="K986" s="6">
        <v>0</v>
      </c>
      <c r="L986" s="6">
        <v>4.2999999999999997E-2</v>
      </c>
      <c r="M986" s="6">
        <v>4.2999999999999997E-2</v>
      </c>
      <c r="N986" s="6">
        <v>4.2999999999999997E-2</v>
      </c>
      <c r="O986" s="6">
        <v>4.2999999999999997E-2</v>
      </c>
      <c r="P986" s="6">
        <v>0</v>
      </c>
      <c r="Q986" s="4" t="s">
        <v>26</v>
      </c>
      <c r="R986" s="4">
        <v>0</v>
      </c>
      <c r="S986" s="4" t="s">
        <v>385</v>
      </c>
      <c r="T986" s="4" t="s">
        <v>607</v>
      </c>
      <c r="U986" s="4">
        <v>0</v>
      </c>
      <c r="V986" s="4">
        <v>82</v>
      </c>
      <c r="W986" s="4">
        <v>110</v>
      </c>
    </row>
    <row r="987" spans="1:23" ht="11.25" customHeight="1" x14ac:dyDescent="0.3">
      <c r="A987" s="4" t="s">
        <v>21</v>
      </c>
      <c r="B987" s="4" t="s">
        <v>37</v>
      </c>
      <c r="C987" s="4" t="s">
        <v>33</v>
      </c>
      <c r="D987" s="4" t="s">
        <v>38</v>
      </c>
      <c r="E987" s="4" t="s">
        <v>25</v>
      </c>
      <c r="F987" s="4" t="s">
        <v>25</v>
      </c>
      <c r="G987" s="4" t="s">
        <v>25</v>
      </c>
      <c r="H987" s="4" t="s">
        <v>36</v>
      </c>
      <c r="I987" s="5">
        <v>44531</v>
      </c>
      <c r="J987" s="6">
        <v>0</v>
      </c>
      <c r="K987" s="6">
        <v>0</v>
      </c>
      <c r="L987" s="6">
        <v>0.5</v>
      </c>
      <c r="M987" s="6">
        <v>0.5</v>
      </c>
      <c r="N987" s="6">
        <v>0.5</v>
      </c>
      <c r="O987" s="6">
        <v>0.5</v>
      </c>
      <c r="P987" s="6">
        <v>0</v>
      </c>
      <c r="Q987" s="4" t="s">
        <v>26</v>
      </c>
      <c r="R987" s="4">
        <v>0</v>
      </c>
      <c r="S987" s="4" t="s">
        <v>386</v>
      </c>
      <c r="T987" s="4" t="s">
        <v>608</v>
      </c>
      <c r="U987" s="4">
        <v>0</v>
      </c>
      <c r="V987" s="4">
        <v>82</v>
      </c>
      <c r="W987" s="4">
        <v>110</v>
      </c>
    </row>
    <row r="988" spans="1:23" ht="11.25" customHeight="1" x14ac:dyDescent="0.3">
      <c r="A988" s="4" t="s">
        <v>28</v>
      </c>
      <c r="B988" s="4" t="s">
        <v>37</v>
      </c>
      <c r="C988" s="4" t="s">
        <v>33</v>
      </c>
      <c r="D988" s="4" t="s">
        <v>38</v>
      </c>
      <c r="E988" s="4" t="s">
        <v>25</v>
      </c>
      <c r="F988" s="4" t="s">
        <v>25</v>
      </c>
      <c r="G988" s="4" t="s">
        <v>25</v>
      </c>
      <c r="H988" s="4" t="s">
        <v>36</v>
      </c>
      <c r="I988" s="5">
        <v>44531</v>
      </c>
      <c r="J988" s="6">
        <v>0</v>
      </c>
      <c r="K988" s="6">
        <v>0</v>
      </c>
      <c r="L988" s="6">
        <v>4.9000000000000002E-2</v>
      </c>
      <c r="M988" s="6">
        <v>4.9000000000000002E-2</v>
      </c>
      <c r="N988" s="6">
        <v>4.9000000000000002E-2</v>
      </c>
      <c r="O988" s="6">
        <v>4.9000000000000002E-2</v>
      </c>
      <c r="P988" s="6">
        <v>0</v>
      </c>
      <c r="Q988" s="4" t="s">
        <v>26</v>
      </c>
      <c r="R988" s="4">
        <v>0</v>
      </c>
      <c r="S988" s="4" t="s">
        <v>386</v>
      </c>
      <c r="T988" s="4" t="s">
        <v>608</v>
      </c>
      <c r="U988" s="4">
        <v>0</v>
      </c>
      <c r="V988" s="4">
        <v>82</v>
      </c>
      <c r="W988" s="4">
        <v>110</v>
      </c>
    </row>
    <row r="989" spans="1:23" ht="11.25" customHeight="1" x14ac:dyDescent="0.3">
      <c r="A989" s="4" t="s">
        <v>21</v>
      </c>
      <c r="B989" s="4" t="s">
        <v>37</v>
      </c>
      <c r="C989" s="4" t="s">
        <v>33</v>
      </c>
      <c r="D989" s="4" t="s">
        <v>38</v>
      </c>
      <c r="E989" s="4" t="s">
        <v>25</v>
      </c>
      <c r="F989" s="4" t="s">
        <v>25</v>
      </c>
      <c r="G989" s="4" t="s">
        <v>25</v>
      </c>
      <c r="H989" s="4" t="s">
        <v>36</v>
      </c>
      <c r="I989" s="5">
        <v>44562</v>
      </c>
      <c r="J989" s="6">
        <v>0</v>
      </c>
      <c r="K989" s="6">
        <v>0</v>
      </c>
      <c r="L989" s="6">
        <v>0.4</v>
      </c>
      <c r="M989" s="6">
        <v>0.4</v>
      </c>
      <c r="N989" s="6">
        <v>0.4</v>
      </c>
      <c r="O989" s="6">
        <v>0.4</v>
      </c>
      <c r="P989" s="6">
        <v>0</v>
      </c>
      <c r="Q989" s="4" t="s">
        <v>26</v>
      </c>
      <c r="R989" s="4">
        <v>0</v>
      </c>
      <c r="S989" s="4" t="s">
        <v>387</v>
      </c>
      <c r="T989" s="4" t="s">
        <v>609</v>
      </c>
      <c r="U989" s="4">
        <v>0</v>
      </c>
      <c r="V989" s="4">
        <v>82</v>
      </c>
      <c r="W989" s="4">
        <v>110</v>
      </c>
    </row>
    <row r="990" spans="1:23" ht="11.25" customHeight="1" x14ac:dyDescent="0.3">
      <c r="A990" s="4" t="s">
        <v>28</v>
      </c>
      <c r="B990" s="4" t="s">
        <v>37</v>
      </c>
      <c r="C990" s="4" t="s">
        <v>33</v>
      </c>
      <c r="D990" s="4" t="s">
        <v>38</v>
      </c>
      <c r="E990" s="4" t="s">
        <v>25</v>
      </c>
      <c r="F990" s="4" t="s">
        <v>25</v>
      </c>
      <c r="G990" s="4" t="s">
        <v>25</v>
      </c>
      <c r="H990" s="4" t="s">
        <v>36</v>
      </c>
      <c r="I990" s="5">
        <v>44562</v>
      </c>
      <c r="J990" s="6">
        <v>0</v>
      </c>
      <c r="K990" s="6">
        <v>0</v>
      </c>
      <c r="L990" s="6">
        <v>5.3999999999999999E-2</v>
      </c>
      <c r="M990" s="6">
        <v>5.3999999999999999E-2</v>
      </c>
      <c r="N990" s="6">
        <v>5.3999999999999999E-2</v>
      </c>
      <c r="O990" s="6">
        <v>5.3999999999999999E-2</v>
      </c>
      <c r="P990" s="6">
        <v>0</v>
      </c>
      <c r="Q990" s="4" t="s">
        <v>26</v>
      </c>
      <c r="R990" s="4">
        <v>0</v>
      </c>
      <c r="S990" s="4" t="s">
        <v>387</v>
      </c>
      <c r="T990" s="4" t="s">
        <v>609</v>
      </c>
      <c r="U990" s="4">
        <v>0</v>
      </c>
      <c r="V990" s="4">
        <v>82</v>
      </c>
      <c r="W990" s="4">
        <v>110</v>
      </c>
    </row>
    <row r="991" spans="1:23" ht="11.25" customHeight="1" x14ac:dyDescent="0.3">
      <c r="A991" s="4" t="s">
        <v>21</v>
      </c>
      <c r="B991" s="4" t="s">
        <v>37</v>
      </c>
      <c r="C991" s="4" t="s">
        <v>33</v>
      </c>
      <c r="D991" s="4" t="s">
        <v>38</v>
      </c>
      <c r="E991" s="4" t="s">
        <v>25</v>
      </c>
      <c r="F991" s="4" t="s">
        <v>25</v>
      </c>
      <c r="G991" s="4" t="s">
        <v>25</v>
      </c>
      <c r="H991" s="4" t="s">
        <v>36</v>
      </c>
      <c r="I991" s="5">
        <v>44593</v>
      </c>
      <c r="J991" s="6">
        <v>0</v>
      </c>
      <c r="K991" s="6">
        <v>0</v>
      </c>
      <c r="L991" s="6">
        <v>0.45</v>
      </c>
      <c r="M991" s="6">
        <v>0.45</v>
      </c>
      <c r="N991" s="6">
        <v>0.45</v>
      </c>
      <c r="O991" s="6">
        <v>0.45</v>
      </c>
      <c r="P991" s="6">
        <v>0</v>
      </c>
      <c r="Q991" s="4" t="s">
        <v>26</v>
      </c>
      <c r="R991" s="4">
        <v>0</v>
      </c>
      <c r="S991" s="4" t="s">
        <v>388</v>
      </c>
      <c r="T991" s="4" t="s">
        <v>610</v>
      </c>
      <c r="U991" s="4">
        <v>0</v>
      </c>
      <c r="V991" s="4">
        <v>82</v>
      </c>
      <c r="W991" s="4">
        <v>110</v>
      </c>
    </row>
    <row r="992" spans="1:23" ht="11.25" customHeight="1" x14ac:dyDescent="0.3">
      <c r="A992" s="4" t="s">
        <v>28</v>
      </c>
      <c r="B992" s="4" t="s">
        <v>37</v>
      </c>
      <c r="C992" s="4" t="s">
        <v>33</v>
      </c>
      <c r="D992" s="4" t="s">
        <v>38</v>
      </c>
      <c r="E992" s="4" t="s">
        <v>25</v>
      </c>
      <c r="F992" s="4" t="s">
        <v>25</v>
      </c>
      <c r="G992" s="4" t="s">
        <v>25</v>
      </c>
      <c r="H992" s="4" t="s">
        <v>36</v>
      </c>
      <c r="I992" s="5">
        <v>44593</v>
      </c>
      <c r="J992" s="6">
        <v>0</v>
      </c>
      <c r="K992" s="6">
        <v>0</v>
      </c>
      <c r="L992" s="6">
        <v>4.2000000000000003E-2</v>
      </c>
      <c r="M992" s="6">
        <v>4.2000000000000003E-2</v>
      </c>
      <c r="N992" s="6">
        <v>4.2000000000000003E-2</v>
      </c>
      <c r="O992" s="6">
        <v>4.2000000000000003E-2</v>
      </c>
      <c r="P992" s="6">
        <v>0</v>
      </c>
      <c r="Q992" s="4" t="s">
        <v>26</v>
      </c>
      <c r="R992" s="4">
        <v>0</v>
      </c>
      <c r="S992" s="4" t="s">
        <v>388</v>
      </c>
      <c r="T992" s="4" t="s">
        <v>610</v>
      </c>
      <c r="U992" s="4">
        <v>0</v>
      </c>
      <c r="V992" s="4">
        <v>82</v>
      </c>
      <c r="W992" s="4">
        <v>110</v>
      </c>
    </row>
    <row r="993" spans="1:23" ht="11.25" customHeight="1" x14ac:dyDescent="0.3">
      <c r="A993" s="4" t="s">
        <v>21</v>
      </c>
      <c r="B993" s="4" t="s">
        <v>37</v>
      </c>
      <c r="C993" s="4" t="s">
        <v>33</v>
      </c>
      <c r="D993" s="4" t="s">
        <v>38</v>
      </c>
      <c r="E993" s="4" t="s">
        <v>25</v>
      </c>
      <c r="F993" s="4" t="s">
        <v>25</v>
      </c>
      <c r="G993" s="4" t="s">
        <v>25</v>
      </c>
      <c r="H993" s="4" t="s">
        <v>36</v>
      </c>
      <c r="I993" s="5">
        <v>44621</v>
      </c>
      <c r="J993" s="6">
        <v>0</v>
      </c>
      <c r="K993" s="6">
        <v>0</v>
      </c>
      <c r="L993" s="6">
        <v>0.45</v>
      </c>
      <c r="M993" s="6">
        <v>0.45</v>
      </c>
      <c r="N993" s="6">
        <v>0.45</v>
      </c>
      <c r="O993" s="6">
        <v>0.45</v>
      </c>
      <c r="P993" s="6">
        <v>0</v>
      </c>
      <c r="Q993" s="4" t="s">
        <v>26</v>
      </c>
      <c r="R993" s="4">
        <v>0</v>
      </c>
      <c r="S993" s="4" t="s">
        <v>389</v>
      </c>
      <c r="T993" s="4" t="s">
        <v>611</v>
      </c>
      <c r="U993" s="4">
        <v>0</v>
      </c>
      <c r="V993" s="4">
        <v>82</v>
      </c>
      <c r="W993" s="4">
        <v>110</v>
      </c>
    </row>
    <row r="994" spans="1:23" ht="11.25" customHeight="1" x14ac:dyDescent="0.3">
      <c r="A994" s="4" t="s">
        <v>28</v>
      </c>
      <c r="B994" s="4" t="s">
        <v>37</v>
      </c>
      <c r="C994" s="4" t="s">
        <v>33</v>
      </c>
      <c r="D994" s="4" t="s">
        <v>38</v>
      </c>
      <c r="E994" s="4" t="s">
        <v>25</v>
      </c>
      <c r="F994" s="4" t="s">
        <v>25</v>
      </c>
      <c r="G994" s="4" t="s">
        <v>25</v>
      </c>
      <c r="H994" s="4" t="s">
        <v>36</v>
      </c>
      <c r="I994" s="5">
        <v>44621</v>
      </c>
      <c r="J994" s="6">
        <v>0</v>
      </c>
      <c r="K994" s="6">
        <v>0</v>
      </c>
      <c r="L994" s="6">
        <v>5.1999999999999998E-2</v>
      </c>
      <c r="M994" s="6">
        <v>5.1999999999999998E-2</v>
      </c>
      <c r="N994" s="6">
        <v>5.1999999999999998E-2</v>
      </c>
      <c r="O994" s="6">
        <v>5.1999999999999998E-2</v>
      </c>
      <c r="P994" s="6">
        <v>0</v>
      </c>
      <c r="Q994" s="4" t="s">
        <v>26</v>
      </c>
      <c r="R994" s="4">
        <v>0</v>
      </c>
      <c r="S994" s="4" t="s">
        <v>389</v>
      </c>
      <c r="T994" s="4" t="s">
        <v>611</v>
      </c>
      <c r="U994" s="4">
        <v>0</v>
      </c>
      <c r="V994" s="4">
        <v>82</v>
      </c>
      <c r="W994" s="4">
        <v>110</v>
      </c>
    </row>
    <row r="995" spans="1:23" ht="11.25" customHeight="1" x14ac:dyDescent="0.3">
      <c r="A995" s="4" t="s">
        <v>28</v>
      </c>
      <c r="B995" s="4" t="s">
        <v>37</v>
      </c>
      <c r="C995" s="4" t="s">
        <v>33</v>
      </c>
      <c r="D995" s="4" t="s">
        <v>38</v>
      </c>
      <c r="E995" s="4" t="s">
        <v>25</v>
      </c>
      <c r="F995" s="4" t="s">
        <v>25</v>
      </c>
      <c r="G995" s="4" t="s">
        <v>25</v>
      </c>
      <c r="H995" s="4" t="s">
        <v>36</v>
      </c>
      <c r="I995" s="5">
        <v>44652</v>
      </c>
      <c r="J995" s="6">
        <v>0</v>
      </c>
      <c r="K995" s="6">
        <v>0</v>
      </c>
      <c r="L995" s="6">
        <v>5.0999999999999997E-2</v>
      </c>
      <c r="M995" s="6">
        <v>5.0999999999999997E-2</v>
      </c>
      <c r="N995" s="6">
        <v>5.0999999999999997E-2</v>
      </c>
      <c r="O995" s="6">
        <v>5.0999999999999997E-2</v>
      </c>
      <c r="P995" s="6">
        <v>0</v>
      </c>
      <c r="Q995" s="4" t="s">
        <v>26</v>
      </c>
      <c r="R995" s="4">
        <v>0</v>
      </c>
      <c r="S995" s="4" t="s">
        <v>390</v>
      </c>
      <c r="T995" s="4" t="s">
        <v>612</v>
      </c>
      <c r="U995" s="4">
        <v>0</v>
      </c>
      <c r="V995" s="4">
        <v>82</v>
      </c>
      <c r="W995" s="4">
        <v>110</v>
      </c>
    </row>
    <row r="996" spans="1:23" ht="11.25" customHeight="1" x14ac:dyDescent="0.3">
      <c r="A996" s="4" t="s">
        <v>28</v>
      </c>
      <c r="B996" s="4" t="s">
        <v>37</v>
      </c>
      <c r="C996" s="4" t="s">
        <v>33</v>
      </c>
      <c r="D996" s="4" t="s">
        <v>38</v>
      </c>
      <c r="E996" s="4" t="s">
        <v>25</v>
      </c>
      <c r="F996" s="4" t="s">
        <v>25</v>
      </c>
      <c r="G996" s="4" t="s">
        <v>25</v>
      </c>
      <c r="H996" s="4" t="s">
        <v>36</v>
      </c>
      <c r="I996" s="5">
        <v>44682</v>
      </c>
      <c r="J996" s="6">
        <v>0</v>
      </c>
      <c r="K996" s="6">
        <v>0</v>
      </c>
      <c r="L996" s="6">
        <v>5.7000000000000002E-2</v>
      </c>
      <c r="M996" s="6">
        <v>5.7000000000000002E-2</v>
      </c>
      <c r="N996" s="6">
        <v>5.7000000000000002E-2</v>
      </c>
      <c r="O996" s="6">
        <v>5.7000000000000002E-2</v>
      </c>
      <c r="P996" s="6">
        <v>0</v>
      </c>
      <c r="Q996" s="4" t="s">
        <v>26</v>
      </c>
      <c r="R996" s="4">
        <v>0</v>
      </c>
      <c r="S996" s="4" t="s">
        <v>391</v>
      </c>
      <c r="T996" s="4" t="s">
        <v>613</v>
      </c>
      <c r="U996" s="4">
        <v>0</v>
      </c>
      <c r="V996" s="4">
        <v>82</v>
      </c>
      <c r="W996" s="4">
        <v>110</v>
      </c>
    </row>
    <row r="997" spans="1:23" ht="11.25" customHeight="1" x14ac:dyDescent="0.3">
      <c r="A997" s="4" t="s">
        <v>28</v>
      </c>
      <c r="B997" s="4" t="s">
        <v>37</v>
      </c>
      <c r="C997" s="4" t="s">
        <v>33</v>
      </c>
      <c r="D997" s="4" t="s">
        <v>38</v>
      </c>
      <c r="E997" s="4" t="s">
        <v>25</v>
      </c>
      <c r="F997" s="4" t="s">
        <v>25</v>
      </c>
      <c r="G997" s="4" t="s">
        <v>25</v>
      </c>
      <c r="H997" s="4" t="s">
        <v>36</v>
      </c>
      <c r="I997" s="5">
        <v>44713</v>
      </c>
      <c r="J997" s="6">
        <v>0</v>
      </c>
      <c r="K997" s="6">
        <v>0</v>
      </c>
      <c r="L997" s="6">
        <v>0.06</v>
      </c>
      <c r="M997" s="6">
        <v>0.06</v>
      </c>
      <c r="N997" s="6">
        <v>0.06</v>
      </c>
      <c r="O997" s="6">
        <v>0.06</v>
      </c>
      <c r="P997" s="6">
        <v>0</v>
      </c>
      <c r="Q997" s="4" t="s">
        <v>26</v>
      </c>
      <c r="R997" s="4">
        <v>0</v>
      </c>
      <c r="S997" s="4" t="s">
        <v>392</v>
      </c>
      <c r="T997" s="4" t="s">
        <v>614</v>
      </c>
      <c r="U997" s="4">
        <v>0</v>
      </c>
      <c r="V997" s="4">
        <v>82</v>
      </c>
      <c r="W997" s="4">
        <v>110</v>
      </c>
    </row>
    <row r="998" spans="1:23" ht="11.25" customHeight="1" x14ac:dyDescent="0.3">
      <c r="A998" s="4" t="s">
        <v>28</v>
      </c>
      <c r="B998" s="4" t="s">
        <v>37</v>
      </c>
      <c r="C998" s="4" t="s">
        <v>33</v>
      </c>
      <c r="D998" s="4" t="s">
        <v>38</v>
      </c>
      <c r="E998" s="4" t="s">
        <v>25</v>
      </c>
      <c r="F998" s="4" t="s">
        <v>25</v>
      </c>
      <c r="G998" s="4" t="s">
        <v>25</v>
      </c>
      <c r="H998" s="4" t="s">
        <v>36</v>
      </c>
      <c r="I998" s="5">
        <v>44774</v>
      </c>
      <c r="J998" s="6">
        <v>0</v>
      </c>
      <c r="K998" s="6">
        <v>0</v>
      </c>
      <c r="L998" s="6">
        <v>6.2E-2</v>
      </c>
      <c r="M998" s="6">
        <v>6.2E-2</v>
      </c>
      <c r="N998" s="6">
        <v>6.2E-2</v>
      </c>
      <c r="O998" s="6">
        <v>6.2E-2</v>
      </c>
      <c r="P998" s="6">
        <v>0</v>
      </c>
      <c r="Q998" s="4" t="s">
        <v>26</v>
      </c>
      <c r="R998" s="4">
        <v>0</v>
      </c>
      <c r="S998" s="4" t="s">
        <v>394</v>
      </c>
      <c r="T998" s="4" t="s">
        <v>616</v>
      </c>
      <c r="U998" s="4">
        <v>0</v>
      </c>
      <c r="V998" s="4">
        <v>82</v>
      </c>
      <c r="W998" s="4">
        <v>110</v>
      </c>
    </row>
    <row r="999" spans="1:23" ht="11.25" customHeight="1" x14ac:dyDescent="0.3">
      <c r="A999" s="4" t="s">
        <v>28</v>
      </c>
      <c r="B999" s="4" t="s">
        <v>37</v>
      </c>
      <c r="C999" s="4" t="s">
        <v>33</v>
      </c>
      <c r="D999" s="4" t="s">
        <v>38</v>
      </c>
      <c r="E999" s="4" t="s">
        <v>25</v>
      </c>
      <c r="F999" s="4" t="s">
        <v>25</v>
      </c>
      <c r="G999" s="4" t="s">
        <v>25</v>
      </c>
      <c r="H999" s="4" t="s">
        <v>36</v>
      </c>
      <c r="I999" s="5">
        <v>44805</v>
      </c>
      <c r="J999" s="6">
        <v>0</v>
      </c>
      <c r="K999" s="6">
        <v>0</v>
      </c>
      <c r="L999" s="6">
        <v>6.5000000000000002E-2</v>
      </c>
      <c r="M999" s="6">
        <v>6.5000000000000002E-2</v>
      </c>
      <c r="N999" s="6">
        <v>6.5000000000000002E-2</v>
      </c>
      <c r="O999" s="6">
        <v>6.5000000000000002E-2</v>
      </c>
      <c r="P999" s="6">
        <v>0</v>
      </c>
      <c r="Q999" s="4" t="s">
        <v>26</v>
      </c>
      <c r="R999" s="4">
        <v>0</v>
      </c>
      <c r="S999" s="4" t="s">
        <v>395</v>
      </c>
      <c r="T999" s="4" t="s">
        <v>617</v>
      </c>
      <c r="U999" s="4">
        <v>0</v>
      </c>
      <c r="V999" s="4">
        <v>82</v>
      </c>
      <c r="W999" s="4">
        <v>110</v>
      </c>
    </row>
    <row r="1000" spans="1:23" ht="11.25" customHeight="1" x14ac:dyDescent="0.3">
      <c r="A1000" s="4" t="s">
        <v>53</v>
      </c>
      <c r="B1000" s="4" t="s">
        <v>37</v>
      </c>
      <c r="C1000" s="4" t="s">
        <v>33</v>
      </c>
      <c r="D1000" s="4" t="s">
        <v>38</v>
      </c>
      <c r="E1000" s="4" t="s">
        <v>25</v>
      </c>
      <c r="F1000" s="4" t="s">
        <v>25</v>
      </c>
      <c r="G1000" s="4" t="s">
        <v>25</v>
      </c>
      <c r="H1000" s="4" t="s">
        <v>36</v>
      </c>
      <c r="I1000" s="5">
        <v>44835</v>
      </c>
      <c r="J1000" s="6">
        <v>0</v>
      </c>
      <c r="K1000" s="6">
        <v>0</v>
      </c>
      <c r="L1000" s="6">
        <v>6.5000000000000002E-2</v>
      </c>
      <c r="M1000" s="6">
        <v>6.5000000000000002E-2</v>
      </c>
      <c r="N1000" s="6">
        <v>6.5000000000000002E-2</v>
      </c>
      <c r="O1000" s="6">
        <v>6.5000000000000002E-2</v>
      </c>
      <c r="P1000" s="6">
        <v>0</v>
      </c>
      <c r="Q1000" s="4" t="s">
        <v>26</v>
      </c>
      <c r="R1000" s="4">
        <v>0</v>
      </c>
      <c r="S1000" s="4" t="s">
        <v>396</v>
      </c>
      <c r="T1000" s="4" t="s">
        <v>618</v>
      </c>
      <c r="U1000" s="4">
        <v>0</v>
      </c>
      <c r="V1000" s="4">
        <v>82</v>
      </c>
      <c r="W1000" s="4">
        <v>110</v>
      </c>
    </row>
    <row r="1001" spans="1:23" ht="11.25" customHeight="1" x14ac:dyDescent="0.3">
      <c r="A1001" s="4" t="s">
        <v>21</v>
      </c>
      <c r="B1001" s="4" t="s">
        <v>37</v>
      </c>
      <c r="C1001" s="4" t="s">
        <v>33</v>
      </c>
      <c r="D1001" s="4" t="s">
        <v>38</v>
      </c>
      <c r="E1001" s="4" t="s">
        <v>25</v>
      </c>
      <c r="F1001" s="4" t="s">
        <v>25</v>
      </c>
      <c r="G1001" s="4" t="s">
        <v>25</v>
      </c>
      <c r="H1001" s="4" t="s">
        <v>34</v>
      </c>
      <c r="I1001" s="5">
        <v>44501</v>
      </c>
      <c r="J1001" s="6">
        <v>0</v>
      </c>
      <c r="K1001" s="6">
        <v>0</v>
      </c>
      <c r="L1001" s="6">
        <v>0.25</v>
      </c>
      <c r="M1001" s="6">
        <v>0.25</v>
      </c>
      <c r="N1001" s="6">
        <v>0.25</v>
      </c>
      <c r="O1001" s="6">
        <v>0.25</v>
      </c>
      <c r="P1001" s="6">
        <v>0</v>
      </c>
      <c r="Q1001" s="4" t="s">
        <v>26</v>
      </c>
      <c r="R1001" s="4">
        <v>0</v>
      </c>
      <c r="S1001" s="4" t="s">
        <v>397</v>
      </c>
      <c r="T1001" s="4" t="s">
        <v>619</v>
      </c>
      <c r="U1001" s="4">
        <v>0</v>
      </c>
      <c r="V1001" s="4">
        <v>83</v>
      </c>
      <c r="W1001" s="4">
        <v>106</v>
      </c>
    </row>
    <row r="1002" spans="1:23" ht="11.25" customHeight="1" x14ac:dyDescent="0.3">
      <c r="A1002" s="4" t="s">
        <v>28</v>
      </c>
      <c r="B1002" s="4" t="s">
        <v>37</v>
      </c>
      <c r="C1002" s="4" t="s">
        <v>33</v>
      </c>
      <c r="D1002" s="4" t="s">
        <v>38</v>
      </c>
      <c r="E1002" s="4" t="s">
        <v>25</v>
      </c>
      <c r="F1002" s="4" t="s">
        <v>25</v>
      </c>
      <c r="G1002" s="4" t="s">
        <v>25</v>
      </c>
      <c r="H1002" s="4" t="s">
        <v>34</v>
      </c>
      <c r="I1002" s="5">
        <v>44501</v>
      </c>
      <c r="J1002" s="6">
        <v>0</v>
      </c>
      <c r="K1002" s="6">
        <v>0</v>
      </c>
      <c r="L1002" s="6">
        <v>8.2000000000000003E-2</v>
      </c>
      <c r="M1002" s="6">
        <v>8.2000000000000003E-2</v>
      </c>
      <c r="N1002" s="6">
        <v>8.2000000000000003E-2</v>
      </c>
      <c r="O1002" s="6">
        <v>8.2000000000000003E-2</v>
      </c>
      <c r="P1002" s="6">
        <v>0</v>
      </c>
      <c r="Q1002" s="4" t="s">
        <v>26</v>
      </c>
      <c r="R1002" s="4">
        <v>0</v>
      </c>
      <c r="S1002" s="4" t="s">
        <v>397</v>
      </c>
      <c r="T1002" s="4" t="s">
        <v>619</v>
      </c>
      <c r="U1002" s="4">
        <v>0</v>
      </c>
      <c r="V1002" s="4">
        <v>83</v>
      </c>
      <c r="W1002" s="4">
        <v>106</v>
      </c>
    </row>
    <row r="1003" spans="1:23" ht="11.25" customHeight="1" x14ac:dyDescent="0.3">
      <c r="A1003" s="4" t="s">
        <v>21</v>
      </c>
      <c r="B1003" s="4" t="s">
        <v>37</v>
      </c>
      <c r="C1003" s="4" t="s">
        <v>33</v>
      </c>
      <c r="D1003" s="4" t="s">
        <v>38</v>
      </c>
      <c r="E1003" s="4" t="s">
        <v>25</v>
      </c>
      <c r="F1003" s="4" t="s">
        <v>25</v>
      </c>
      <c r="G1003" s="4" t="s">
        <v>25</v>
      </c>
      <c r="H1003" s="4" t="s">
        <v>34</v>
      </c>
      <c r="I1003" s="5">
        <v>44531</v>
      </c>
      <c r="J1003" s="6">
        <v>0</v>
      </c>
      <c r="K1003" s="6">
        <v>0</v>
      </c>
      <c r="L1003" s="6">
        <v>0.3</v>
      </c>
      <c r="M1003" s="6">
        <v>0.3</v>
      </c>
      <c r="N1003" s="6">
        <v>0.3</v>
      </c>
      <c r="O1003" s="6">
        <v>0.3</v>
      </c>
      <c r="P1003" s="6">
        <v>0</v>
      </c>
      <c r="Q1003" s="4" t="s">
        <v>26</v>
      </c>
      <c r="R1003" s="4">
        <v>0</v>
      </c>
      <c r="S1003" s="4" t="s">
        <v>398</v>
      </c>
      <c r="T1003" s="4" t="s">
        <v>620</v>
      </c>
      <c r="U1003" s="4">
        <v>0</v>
      </c>
      <c r="V1003" s="4">
        <v>83</v>
      </c>
      <c r="W1003" s="4">
        <v>106</v>
      </c>
    </row>
    <row r="1004" spans="1:23" ht="11.25" customHeight="1" x14ac:dyDescent="0.3">
      <c r="A1004" s="4" t="s">
        <v>28</v>
      </c>
      <c r="B1004" s="4" t="s">
        <v>37</v>
      </c>
      <c r="C1004" s="4" t="s">
        <v>33</v>
      </c>
      <c r="D1004" s="4" t="s">
        <v>38</v>
      </c>
      <c r="E1004" s="4" t="s">
        <v>25</v>
      </c>
      <c r="F1004" s="4" t="s">
        <v>25</v>
      </c>
      <c r="G1004" s="4" t="s">
        <v>25</v>
      </c>
      <c r="H1004" s="4" t="s">
        <v>34</v>
      </c>
      <c r="I1004" s="5">
        <v>44531</v>
      </c>
      <c r="J1004" s="6">
        <v>0</v>
      </c>
      <c r="K1004" s="6">
        <v>0</v>
      </c>
      <c r="L1004" s="6">
        <v>9.8000000000000004E-2</v>
      </c>
      <c r="M1004" s="6">
        <v>9.8000000000000004E-2</v>
      </c>
      <c r="N1004" s="6">
        <v>9.8000000000000004E-2</v>
      </c>
      <c r="O1004" s="6">
        <v>9.8000000000000004E-2</v>
      </c>
      <c r="P1004" s="6">
        <v>0</v>
      </c>
      <c r="Q1004" s="4" t="s">
        <v>26</v>
      </c>
      <c r="R1004" s="4">
        <v>0</v>
      </c>
      <c r="S1004" s="4" t="s">
        <v>398</v>
      </c>
      <c r="T1004" s="4" t="s">
        <v>620</v>
      </c>
      <c r="U1004" s="4">
        <v>0</v>
      </c>
      <c r="V1004" s="4">
        <v>83</v>
      </c>
      <c r="W1004" s="4">
        <v>106</v>
      </c>
    </row>
    <row r="1005" spans="1:23" ht="11.25" customHeight="1" x14ac:dyDescent="0.3">
      <c r="A1005" s="4" t="s">
        <v>21</v>
      </c>
      <c r="B1005" s="4" t="s">
        <v>37</v>
      </c>
      <c r="C1005" s="4" t="s">
        <v>33</v>
      </c>
      <c r="D1005" s="4" t="s">
        <v>38</v>
      </c>
      <c r="E1005" s="4" t="s">
        <v>25</v>
      </c>
      <c r="F1005" s="4" t="s">
        <v>25</v>
      </c>
      <c r="G1005" s="4" t="s">
        <v>25</v>
      </c>
      <c r="H1005" s="4" t="s">
        <v>34</v>
      </c>
      <c r="I1005" s="5">
        <v>44562</v>
      </c>
      <c r="J1005" s="6">
        <v>0</v>
      </c>
      <c r="K1005" s="6">
        <v>0</v>
      </c>
      <c r="L1005" s="6">
        <v>0.2</v>
      </c>
      <c r="M1005" s="6">
        <v>0.2</v>
      </c>
      <c r="N1005" s="6">
        <v>0.2</v>
      </c>
      <c r="O1005" s="6">
        <v>0.2</v>
      </c>
      <c r="P1005" s="6">
        <v>0</v>
      </c>
      <c r="Q1005" s="4" t="s">
        <v>26</v>
      </c>
      <c r="R1005" s="4">
        <v>0</v>
      </c>
      <c r="S1005" s="4" t="s">
        <v>399</v>
      </c>
      <c r="T1005" s="4" t="s">
        <v>621</v>
      </c>
      <c r="U1005" s="4">
        <v>0</v>
      </c>
      <c r="V1005" s="4">
        <v>83</v>
      </c>
      <c r="W1005" s="4">
        <v>106</v>
      </c>
    </row>
    <row r="1006" spans="1:23" ht="11.25" customHeight="1" x14ac:dyDescent="0.3">
      <c r="A1006" s="4" t="s">
        <v>28</v>
      </c>
      <c r="B1006" s="4" t="s">
        <v>37</v>
      </c>
      <c r="C1006" s="4" t="s">
        <v>33</v>
      </c>
      <c r="D1006" s="4" t="s">
        <v>38</v>
      </c>
      <c r="E1006" s="4" t="s">
        <v>25</v>
      </c>
      <c r="F1006" s="4" t="s">
        <v>25</v>
      </c>
      <c r="G1006" s="4" t="s">
        <v>25</v>
      </c>
      <c r="H1006" s="4" t="s">
        <v>34</v>
      </c>
      <c r="I1006" s="5">
        <v>44562</v>
      </c>
      <c r="J1006" s="6">
        <v>0</v>
      </c>
      <c r="K1006" s="6">
        <v>0</v>
      </c>
      <c r="L1006" s="6">
        <v>0.10100000000000001</v>
      </c>
      <c r="M1006" s="6">
        <v>0.10100000000000001</v>
      </c>
      <c r="N1006" s="6">
        <v>0.10100000000000001</v>
      </c>
      <c r="O1006" s="6">
        <v>0.10100000000000001</v>
      </c>
      <c r="P1006" s="6">
        <v>0</v>
      </c>
      <c r="Q1006" s="4" t="s">
        <v>26</v>
      </c>
      <c r="R1006" s="4">
        <v>0</v>
      </c>
      <c r="S1006" s="4" t="s">
        <v>399</v>
      </c>
      <c r="T1006" s="4" t="s">
        <v>621</v>
      </c>
      <c r="U1006" s="4">
        <v>0</v>
      </c>
      <c r="V1006" s="4">
        <v>83</v>
      </c>
      <c r="W1006" s="4">
        <v>106</v>
      </c>
    </row>
    <row r="1007" spans="1:23" ht="11.25" customHeight="1" x14ac:dyDescent="0.3">
      <c r="A1007" s="4" t="s">
        <v>21</v>
      </c>
      <c r="B1007" s="4" t="s">
        <v>37</v>
      </c>
      <c r="C1007" s="4" t="s">
        <v>33</v>
      </c>
      <c r="D1007" s="4" t="s">
        <v>38</v>
      </c>
      <c r="E1007" s="4" t="s">
        <v>25</v>
      </c>
      <c r="F1007" s="4" t="s">
        <v>25</v>
      </c>
      <c r="G1007" s="4" t="s">
        <v>25</v>
      </c>
      <c r="H1007" s="4" t="s">
        <v>34</v>
      </c>
      <c r="I1007" s="5">
        <v>44593</v>
      </c>
      <c r="J1007" s="6">
        <v>0</v>
      </c>
      <c r="K1007" s="6">
        <v>0</v>
      </c>
      <c r="L1007" s="6">
        <v>0.1</v>
      </c>
      <c r="M1007" s="6">
        <v>0.1</v>
      </c>
      <c r="N1007" s="6">
        <v>0.1</v>
      </c>
      <c r="O1007" s="6">
        <v>0.1</v>
      </c>
      <c r="P1007" s="6">
        <v>0</v>
      </c>
      <c r="Q1007" s="4" t="s">
        <v>26</v>
      </c>
      <c r="R1007" s="4">
        <v>0</v>
      </c>
      <c r="S1007" s="4" t="s">
        <v>400</v>
      </c>
      <c r="T1007" s="4" t="s">
        <v>622</v>
      </c>
      <c r="U1007" s="4">
        <v>0</v>
      </c>
      <c r="V1007" s="4">
        <v>83</v>
      </c>
      <c r="W1007" s="4">
        <v>106</v>
      </c>
    </row>
    <row r="1008" spans="1:23" ht="11.25" customHeight="1" x14ac:dyDescent="0.3">
      <c r="A1008" s="4" t="s">
        <v>28</v>
      </c>
      <c r="B1008" s="4" t="s">
        <v>37</v>
      </c>
      <c r="C1008" s="4" t="s">
        <v>33</v>
      </c>
      <c r="D1008" s="4" t="s">
        <v>38</v>
      </c>
      <c r="E1008" s="4" t="s">
        <v>25</v>
      </c>
      <c r="F1008" s="4" t="s">
        <v>25</v>
      </c>
      <c r="G1008" s="4" t="s">
        <v>25</v>
      </c>
      <c r="H1008" s="4" t="s">
        <v>34</v>
      </c>
      <c r="I1008" s="5">
        <v>44593</v>
      </c>
      <c r="J1008" s="6">
        <v>0</v>
      </c>
      <c r="K1008" s="6">
        <v>0</v>
      </c>
      <c r="L1008" s="6">
        <v>8.6999999999999994E-2</v>
      </c>
      <c r="M1008" s="6">
        <v>8.6999999999999994E-2</v>
      </c>
      <c r="N1008" s="6">
        <v>8.6999999999999994E-2</v>
      </c>
      <c r="O1008" s="6">
        <v>8.6999999999999994E-2</v>
      </c>
      <c r="P1008" s="6">
        <v>0</v>
      </c>
      <c r="Q1008" s="4" t="s">
        <v>26</v>
      </c>
      <c r="R1008" s="4">
        <v>0</v>
      </c>
      <c r="S1008" s="4" t="s">
        <v>400</v>
      </c>
      <c r="T1008" s="4" t="s">
        <v>622</v>
      </c>
      <c r="U1008" s="4">
        <v>0</v>
      </c>
      <c r="V1008" s="4">
        <v>83</v>
      </c>
      <c r="W1008" s="4">
        <v>106</v>
      </c>
    </row>
    <row r="1009" spans="1:23" ht="11.25" customHeight="1" x14ac:dyDescent="0.3">
      <c r="A1009" s="4" t="s">
        <v>21</v>
      </c>
      <c r="B1009" s="4" t="s">
        <v>37</v>
      </c>
      <c r="C1009" s="4" t="s">
        <v>33</v>
      </c>
      <c r="D1009" s="4" t="s">
        <v>38</v>
      </c>
      <c r="E1009" s="4" t="s">
        <v>25</v>
      </c>
      <c r="F1009" s="4" t="s">
        <v>25</v>
      </c>
      <c r="G1009" s="4" t="s">
        <v>25</v>
      </c>
      <c r="H1009" s="4" t="s">
        <v>34</v>
      </c>
      <c r="I1009" s="5">
        <v>44621</v>
      </c>
      <c r="J1009" s="6">
        <v>0</v>
      </c>
      <c r="K1009" s="6">
        <v>0</v>
      </c>
      <c r="L1009" s="6">
        <v>0.15</v>
      </c>
      <c r="M1009" s="6">
        <v>0.15</v>
      </c>
      <c r="N1009" s="6">
        <v>0.15</v>
      </c>
      <c r="O1009" s="6">
        <v>0.15</v>
      </c>
      <c r="P1009" s="6">
        <v>0</v>
      </c>
      <c r="Q1009" s="4" t="s">
        <v>26</v>
      </c>
      <c r="R1009" s="4">
        <v>0</v>
      </c>
      <c r="S1009" s="4" t="s">
        <v>401</v>
      </c>
      <c r="T1009" s="4" t="s">
        <v>623</v>
      </c>
      <c r="U1009" s="4">
        <v>0</v>
      </c>
      <c r="V1009" s="4">
        <v>83</v>
      </c>
      <c r="W1009" s="4">
        <v>106</v>
      </c>
    </row>
    <row r="1010" spans="1:23" ht="11.25" customHeight="1" x14ac:dyDescent="0.3">
      <c r="A1010" s="4" t="s">
        <v>28</v>
      </c>
      <c r="B1010" s="4" t="s">
        <v>37</v>
      </c>
      <c r="C1010" s="4" t="s">
        <v>33</v>
      </c>
      <c r="D1010" s="4" t="s">
        <v>38</v>
      </c>
      <c r="E1010" s="4" t="s">
        <v>25</v>
      </c>
      <c r="F1010" s="4" t="s">
        <v>25</v>
      </c>
      <c r="G1010" s="4" t="s">
        <v>25</v>
      </c>
      <c r="H1010" s="4" t="s">
        <v>34</v>
      </c>
      <c r="I1010" s="5">
        <v>44621</v>
      </c>
      <c r="J1010" s="6">
        <v>0</v>
      </c>
      <c r="K1010" s="6">
        <v>0</v>
      </c>
      <c r="L1010" s="6">
        <v>0.107</v>
      </c>
      <c r="M1010" s="6">
        <v>0.107</v>
      </c>
      <c r="N1010" s="6">
        <v>0.107</v>
      </c>
      <c r="O1010" s="6">
        <v>0.107</v>
      </c>
      <c r="P1010" s="6">
        <v>0</v>
      </c>
      <c r="Q1010" s="4" t="s">
        <v>26</v>
      </c>
      <c r="R1010" s="4">
        <v>0</v>
      </c>
      <c r="S1010" s="4" t="s">
        <v>401</v>
      </c>
      <c r="T1010" s="4" t="s">
        <v>623</v>
      </c>
      <c r="U1010" s="4">
        <v>0</v>
      </c>
      <c r="V1010" s="4">
        <v>83</v>
      </c>
      <c r="W1010" s="4">
        <v>106</v>
      </c>
    </row>
    <row r="1011" spans="1:23" ht="11.25" customHeight="1" x14ac:dyDescent="0.3">
      <c r="A1011" s="4" t="s">
        <v>28</v>
      </c>
      <c r="B1011" s="4" t="s">
        <v>37</v>
      </c>
      <c r="C1011" s="4" t="s">
        <v>33</v>
      </c>
      <c r="D1011" s="4" t="s">
        <v>38</v>
      </c>
      <c r="E1011" s="4" t="s">
        <v>25</v>
      </c>
      <c r="F1011" s="4" t="s">
        <v>25</v>
      </c>
      <c r="G1011" s="4" t="s">
        <v>25</v>
      </c>
      <c r="H1011" s="4" t="s">
        <v>34</v>
      </c>
      <c r="I1011" s="5">
        <v>44652</v>
      </c>
      <c r="J1011" s="6">
        <v>0</v>
      </c>
      <c r="K1011" s="6">
        <v>0</v>
      </c>
      <c r="L1011" s="6">
        <v>9.9000000000000005E-2</v>
      </c>
      <c r="M1011" s="6">
        <v>9.9000000000000005E-2</v>
      </c>
      <c r="N1011" s="6">
        <v>9.9000000000000005E-2</v>
      </c>
      <c r="O1011" s="6">
        <v>9.9000000000000005E-2</v>
      </c>
      <c r="P1011" s="6">
        <v>0</v>
      </c>
      <c r="Q1011" s="4" t="s">
        <v>26</v>
      </c>
      <c r="R1011" s="4">
        <v>0</v>
      </c>
      <c r="S1011" s="4" t="s">
        <v>402</v>
      </c>
      <c r="T1011" s="4" t="s">
        <v>624</v>
      </c>
      <c r="U1011" s="4">
        <v>0</v>
      </c>
      <c r="V1011" s="4">
        <v>83</v>
      </c>
      <c r="W1011" s="4">
        <v>106</v>
      </c>
    </row>
    <row r="1012" spans="1:23" ht="11.25" customHeight="1" x14ac:dyDescent="0.3">
      <c r="A1012" s="4" t="s">
        <v>28</v>
      </c>
      <c r="B1012" s="4" t="s">
        <v>37</v>
      </c>
      <c r="C1012" s="4" t="s">
        <v>33</v>
      </c>
      <c r="D1012" s="4" t="s">
        <v>38</v>
      </c>
      <c r="E1012" s="4" t="s">
        <v>25</v>
      </c>
      <c r="F1012" s="4" t="s">
        <v>25</v>
      </c>
      <c r="G1012" s="4" t="s">
        <v>25</v>
      </c>
      <c r="H1012" s="4" t="s">
        <v>34</v>
      </c>
      <c r="I1012" s="5">
        <v>44682</v>
      </c>
      <c r="J1012" s="6">
        <v>0</v>
      </c>
      <c r="K1012" s="6">
        <v>0</v>
      </c>
      <c r="L1012" s="6">
        <v>9.7000000000000003E-2</v>
      </c>
      <c r="M1012" s="6">
        <v>9.7000000000000003E-2</v>
      </c>
      <c r="N1012" s="6">
        <v>9.7000000000000003E-2</v>
      </c>
      <c r="O1012" s="6">
        <v>9.7000000000000003E-2</v>
      </c>
      <c r="P1012" s="6">
        <v>0</v>
      </c>
      <c r="Q1012" s="4" t="s">
        <v>26</v>
      </c>
      <c r="R1012" s="4">
        <v>0</v>
      </c>
      <c r="S1012" s="4" t="s">
        <v>403</v>
      </c>
      <c r="T1012" s="4" t="s">
        <v>625</v>
      </c>
      <c r="U1012" s="4">
        <v>0</v>
      </c>
      <c r="V1012" s="4">
        <v>83</v>
      </c>
      <c r="W1012" s="4">
        <v>106</v>
      </c>
    </row>
    <row r="1013" spans="1:23" ht="11.25" customHeight="1" x14ac:dyDescent="0.3">
      <c r="A1013" s="4" t="s">
        <v>28</v>
      </c>
      <c r="B1013" s="4" t="s">
        <v>37</v>
      </c>
      <c r="C1013" s="4" t="s">
        <v>33</v>
      </c>
      <c r="D1013" s="4" t="s">
        <v>38</v>
      </c>
      <c r="E1013" s="4" t="s">
        <v>25</v>
      </c>
      <c r="F1013" s="4" t="s">
        <v>25</v>
      </c>
      <c r="G1013" s="4" t="s">
        <v>25</v>
      </c>
      <c r="H1013" s="4" t="s">
        <v>34</v>
      </c>
      <c r="I1013" s="5">
        <v>44713</v>
      </c>
      <c r="J1013" s="6">
        <v>0</v>
      </c>
      <c r="K1013" s="6">
        <v>0</v>
      </c>
      <c r="L1013" s="6">
        <v>0.09</v>
      </c>
      <c r="M1013" s="6">
        <v>0.09</v>
      </c>
      <c r="N1013" s="6">
        <v>0.09</v>
      </c>
      <c r="O1013" s="6">
        <v>0.09</v>
      </c>
      <c r="P1013" s="6">
        <v>0</v>
      </c>
      <c r="Q1013" s="4" t="s">
        <v>26</v>
      </c>
      <c r="R1013" s="4">
        <v>0</v>
      </c>
      <c r="S1013" s="4" t="s">
        <v>404</v>
      </c>
      <c r="T1013" s="4" t="s">
        <v>626</v>
      </c>
      <c r="U1013" s="4">
        <v>0</v>
      </c>
      <c r="V1013" s="4">
        <v>83</v>
      </c>
      <c r="W1013" s="4">
        <v>106</v>
      </c>
    </row>
    <row r="1014" spans="1:23" ht="11.25" customHeight="1" x14ac:dyDescent="0.3">
      <c r="A1014" s="4" t="s">
        <v>28</v>
      </c>
      <c r="B1014" s="4" t="s">
        <v>37</v>
      </c>
      <c r="C1014" s="4" t="s">
        <v>33</v>
      </c>
      <c r="D1014" s="4" t="s">
        <v>38</v>
      </c>
      <c r="E1014" s="4" t="s">
        <v>25</v>
      </c>
      <c r="F1014" s="4" t="s">
        <v>25</v>
      </c>
      <c r="G1014" s="4" t="s">
        <v>25</v>
      </c>
      <c r="H1014" s="4" t="s">
        <v>34</v>
      </c>
      <c r="I1014" s="5">
        <v>44774</v>
      </c>
      <c r="J1014" s="6">
        <v>0</v>
      </c>
      <c r="K1014" s="6">
        <v>0</v>
      </c>
      <c r="L1014" s="6">
        <v>0.10299999999999999</v>
      </c>
      <c r="M1014" s="6">
        <v>0.10299999999999999</v>
      </c>
      <c r="N1014" s="6">
        <v>0.10299999999999999</v>
      </c>
      <c r="O1014" s="6">
        <v>0.10299999999999999</v>
      </c>
      <c r="P1014" s="6">
        <v>0</v>
      </c>
      <c r="Q1014" s="4" t="s">
        <v>26</v>
      </c>
      <c r="R1014" s="4">
        <v>0</v>
      </c>
      <c r="S1014" s="4" t="s">
        <v>406</v>
      </c>
      <c r="T1014" s="4" t="s">
        <v>628</v>
      </c>
      <c r="U1014" s="4">
        <v>0</v>
      </c>
      <c r="V1014" s="4">
        <v>83</v>
      </c>
      <c r="W1014" s="4">
        <v>106</v>
      </c>
    </row>
    <row r="1015" spans="1:23" ht="11.25" customHeight="1" x14ac:dyDescent="0.3">
      <c r="A1015" s="4" t="s">
        <v>28</v>
      </c>
      <c r="B1015" s="4" t="s">
        <v>37</v>
      </c>
      <c r="C1015" s="4" t="s">
        <v>33</v>
      </c>
      <c r="D1015" s="4" t="s">
        <v>38</v>
      </c>
      <c r="E1015" s="4" t="s">
        <v>25</v>
      </c>
      <c r="F1015" s="4" t="s">
        <v>25</v>
      </c>
      <c r="G1015" s="4" t="s">
        <v>25</v>
      </c>
      <c r="H1015" s="4" t="s">
        <v>34</v>
      </c>
      <c r="I1015" s="5">
        <v>44805</v>
      </c>
      <c r="J1015" s="6">
        <v>0</v>
      </c>
      <c r="K1015" s="6">
        <v>0</v>
      </c>
      <c r="L1015" s="6">
        <v>0.112</v>
      </c>
      <c r="M1015" s="6">
        <v>0.112</v>
      </c>
      <c r="N1015" s="6">
        <v>0.112</v>
      </c>
      <c r="O1015" s="6">
        <v>0.112</v>
      </c>
      <c r="P1015" s="6">
        <v>0</v>
      </c>
      <c r="Q1015" s="4" t="s">
        <v>26</v>
      </c>
      <c r="R1015" s="4">
        <v>0</v>
      </c>
      <c r="S1015" s="4" t="s">
        <v>407</v>
      </c>
      <c r="T1015" s="4" t="s">
        <v>629</v>
      </c>
      <c r="U1015" s="4">
        <v>0</v>
      </c>
      <c r="V1015" s="4">
        <v>83</v>
      </c>
      <c r="W1015" s="4">
        <v>106</v>
      </c>
    </row>
    <row r="1016" spans="1:23" ht="11.25" customHeight="1" x14ac:dyDescent="0.3">
      <c r="A1016" s="4" t="s">
        <v>53</v>
      </c>
      <c r="B1016" s="4" t="s">
        <v>37</v>
      </c>
      <c r="C1016" s="4" t="s">
        <v>33</v>
      </c>
      <c r="D1016" s="4" t="s">
        <v>38</v>
      </c>
      <c r="E1016" s="4" t="s">
        <v>25</v>
      </c>
      <c r="F1016" s="4" t="s">
        <v>25</v>
      </c>
      <c r="G1016" s="4" t="s">
        <v>25</v>
      </c>
      <c r="H1016" s="4" t="s">
        <v>34</v>
      </c>
      <c r="I1016" s="5">
        <v>44835</v>
      </c>
      <c r="J1016" s="6">
        <v>0</v>
      </c>
      <c r="K1016" s="6">
        <v>0</v>
      </c>
      <c r="L1016" s="6">
        <v>0.112</v>
      </c>
      <c r="M1016" s="6">
        <v>0.112</v>
      </c>
      <c r="N1016" s="6">
        <v>0.112</v>
      </c>
      <c r="O1016" s="6">
        <v>0.112</v>
      </c>
      <c r="P1016" s="6">
        <v>0</v>
      </c>
      <c r="Q1016" s="4" t="s">
        <v>26</v>
      </c>
      <c r="R1016" s="4">
        <v>0</v>
      </c>
      <c r="S1016" s="4" t="s">
        <v>408</v>
      </c>
      <c r="T1016" s="4" t="s">
        <v>630</v>
      </c>
      <c r="U1016" s="4">
        <v>0</v>
      </c>
      <c r="V1016" s="4">
        <v>83</v>
      </c>
      <c r="W1016" s="4">
        <v>106</v>
      </c>
    </row>
    <row r="1017" spans="1:23" ht="11.25" customHeight="1" x14ac:dyDescent="0.3">
      <c r="A1017" s="4" t="s">
        <v>21</v>
      </c>
      <c r="B1017" s="4" t="s">
        <v>37</v>
      </c>
      <c r="C1017" s="4" t="s">
        <v>33</v>
      </c>
      <c r="D1017" s="4" t="s">
        <v>50</v>
      </c>
      <c r="E1017" s="4" t="s">
        <v>51</v>
      </c>
      <c r="F1017" s="4" t="s">
        <v>25</v>
      </c>
      <c r="G1017" s="4" t="s">
        <v>25</v>
      </c>
      <c r="H1017" s="4" t="s">
        <v>35</v>
      </c>
      <c r="I1017" s="5">
        <v>44682</v>
      </c>
      <c r="J1017" s="6">
        <v>0</v>
      </c>
      <c r="K1017" s="6">
        <v>0</v>
      </c>
      <c r="L1017" s="6">
        <v>10.817</v>
      </c>
      <c r="M1017" s="6">
        <v>10.16798</v>
      </c>
      <c r="N1017" s="6">
        <v>10.817</v>
      </c>
      <c r="O1017" s="6">
        <v>10.16798</v>
      </c>
      <c r="P1017" s="6">
        <v>0</v>
      </c>
      <c r="Q1017" s="4" t="s">
        <v>26</v>
      </c>
      <c r="R1017" s="4">
        <v>0</v>
      </c>
      <c r="S1017" s="4" t="s">
        <v>379</v>
      </c>
      <c r="T1017" s="4" t="s">
        <v>601</v>
      </c>
      <c r="U1017" s="4">
        <v>0</v>
      </c>
      <c r="V1017" s="4">
        <v>69</v>
      </c>
      <c r="W1017" s="4">
        <v>105</v>
      </c>
    </row>
    <row r="1018" spans="1:23" ht="11.25" customHeight="1" x14ac:dyDescent="0.3">
      <c r="A1018" s="4" t="s">
        <v>21</v>
      </c>
      <c r="B1018" s="4" t="s">
        <v>37</v>
      </c>
      <c r="C1018" s="4" t="s">
        <v>33</v>
      </c>
      <c r="D1018" s="4" t="s">
        <v>50</v>
      </c>
      <c r="E1018" s="4" t="s">
        <v>51</v>
      </c>
      <c r="F1018" s="4" t="s">
        <v>25</v>
      </c>
      <c r="G1018" s="4" t="s">
        <v>25</v>
      </c>
      <c r="H1018" s="4" t="s">
        <v>35</v>
      </c>
      <c r="I1018" s="5">
        <v>44713</v>
      </c>
      <c r="J1018" s="6">
        <v>0</v>
      </c>
      <c r="K1018" s="6">
        <v>0</v>
      </c>
      <c r="L1018" s="6">
        <v>7.1449999999999996</v>
      </c>
      <c r="M1018" s="6">
        <v>6.7163000000000004</v>
      </c>
      <c r="N1018" s="6">
        <v>7.1449999999999996</v>
      </c>
      <c r="O1018" s="6">
        <v>6.7163000000000004</v>
      </c>
      <c r="P1018" s="6">
        <v>0</v>
      </c>
      <c r="Q1018" s="4" t="s">
        <v>26</v>
      </c>
      <c r="R1018" s="4">
        <v>0</v>
      </c>
      <c r="S1018" s="4" t="s">
        <v>380</v>
      </c>
      <c r="T1018" s="4" t="s">
        <v>602</v>
      </c>
      <c r="U1018" s="4">
        <v>0</v>
      </c>
      <c r="V1018" s="4">
        <v>69</v>
      </c>
      <c r="W1018" s="4">
        <v>105</v>
      </c>
    </row>
    <row r="1019" spans="1:23" ht="11.25" customHeight="1" x14ac:dyDescent="0.3">
      <c r="A1019" s="4" t="s">
        <v>21</v>
      </c>
      <c r="B1019" s="4" t="s">
        <v>37</v>
      </c>
      <c r="C1019" s="4" t="s">
        <v>33</v>
      </c>
      <c r="D1019" s="4" t="s">
        <v>50</v>
      </c>
      <c r="E1019" s="4" t="s">
        <v>51</v>
      </c>
      <c r="F1019" s="4" t="s">
        <v>25</v>
      </c>
      <c r="G1019" s="4" t="s">
        <v>25</v>
      </c>
      <c r="H1019" s="4" t="s">
        <v>35</v>
      </c>
      <c r="I1019" s="5">
        <v>44743</v>
      </c>
      <c r="J1019" s="6">
        <v>0</v>
      </c>
      <c r="K1019" s="6">
        <v>0</v>
      </c>
      <c r="L1019" s="6">
        <v>7.2779999999999996</v>
      </c>
      <c r="M1019" s="6">
        <v>6.8413199999999996</v>
      </c>
      <c r="N1019" s="6">
        <v>7.2779999999999996</v>
      </c>
      <c r="O1019" s="6">
        <v>6.8413199999999996</v>
      </c>
      <c r="P1019" s="6">
        <v>0</v>
      </c>
      <c r="Q1019" s="4" t="s">
        <v>26</v>
      </c>
      <c r="R1019" s="4">
        <v>0</v>
      </c>
      <c r="S1019" s="4" t="s">
        <v>381</v>
      </c>
      <c r="T1019" s="4" t="s">
        <v>603</v>
      </c>
      <c r="U1019" s="4">
        <v>0</v>
      </c>
      <c r="V1019" s="4">
        <v>69</v>
      </c>
      <c r="W1019" s="4">
        <v>105</v>
      </c>
    </row>
    <row r="1020" spans="1:23" ht="11.25" customHeight="1" x14ac:dyDescent="0.3">
      <c r="A1020" s="4" t="s">
        <v>21</v>
      </c>
      <c r="B1020" s="4" t="s">
        <v>37</v>
      </c>
      <c r="C1020" s="4" t="s">
        <v>33</v>
      </c>
      <c r="D1020" s="4" t="s">
        <v>50</v>
      </c>
      <c r="E1020" s="4" t="s">
        <v>51</v>
      </c>
      <c r="F1020" s="4" t="s">
        <v>25</v>
      </c>
      <c r="G1020" s="4" t="s">
        <v>25</v>
      </c>
      <c r="H1020" s="4" t="s">
        <v>35</v>
      </c>
      <c r="I1020" s="5">
        <v>44774</v>
      </c>
      <c r="J1020" s="6">
        <v>0</v>
      </c>
      <c r="K1020" s="6">
        <v>0</v>
      </c>
      <c r="L1020" s="6">
        <v>8.3040000000000003</v>
      </c>
      <c r="M1020" s="6">
        <v>7.8057600000000003</v>
      </c>
      <c r="N1020" s="6">
        <v>8.3040000000000003</v>
      </c>
      <c r="O1020" s="6">
        <v>7.8057600000000003</v>
      </c>
      <c r="P1020" s="6">
        <v>0</v>
      </c>
      <c r="Q1020" s="4" t="s">
        <v>26</v>
      </c>
      <c r="R1020" s="4">
        <v>0</v>
      </c>
      <c r="S1020" s="4" t="s">
        <v>382</v>
      </c>
      <c r="T1020" s="4" t="s">
        <v>604</v>
      </c>
      <c r="U1020" s="4">
        <v>0</v>
      </c>
      <c r="V1020" s="4">
        <v>69</v>
      </c>
      <c r="W1020" s="4">
        <v>105</v>
      </c>
    </row>
    <row r="1021" spans="1:23" ht="11.25" customHeight="1" x14ac:dyDescent="0.3">
      <c r="A1021" s="4" t="s">
        <v>21</v>
      </c>
      <c r="B1021" s="4" t="s">
        <v>37</v>
      </c>
      <c r="C1021" s="4" t="s">
        <v>33</v>
      </c>
      <c r="D1021" s="4" t="s">
        <v>50</v>
      </c>
      <c r="E1021" s="4" t="s">
        <v>51</v>
      </c>
      <c r="F1021" s="4" t="s">
        <v>25</v>
      </c>
      <c r="G1021" s="4" t="s">
        <v>25</v>
      </c>
      <c r="H1021" s="4" t="s">
        <v>35</v>
      </c>
      <c r="I1021" s="5">
        <v>44805</v>
      </c>
      <c r="J1021" s="6">
        <v>0</v>
      </c>
      <c r="K1021" s="6">
        <v>0</v>
      </c>
      <c r="L1021" s="6">
        <v>8.2780000000000005</v>
      </c>
      <c r="M1021" s="6">
        <v>7.78132</v>
      </c>
      <c r="N1021" s="6">
        <v>8.2780000000000005</v>
      </c>
      <c r="O1021" s="6">
        <v>7.78132</v>
      </c>
      <c r="P1021" s="6">
        <v>0</v>
      </c>
      <c r="Q1021" s="4" t="s">
        <v>26</v>
      </c>
      <c r="R1021" s="4">
        <v>0</v>
      </c>
      <c r="S1021" s="4" t="s">
        <v>383</v>
      </c>
      <c r="T1021" s="4" t="s">
        <v>605</v>
      </c>
      <c r="U1021" s="4">
        <v>0</v>
      </c>
      <c r="V1021" s="4">
        <v>69</v>
      </c>
      <c r="W1021" s="4">
        <v>105</v>
      </c>
    </row>
    <row r="1022" spans="1:23" ht="11.25" customHeight="1" x14ac:dyDescent="0.3">
      <c r="A1022" s="4" t="s">
        <v>53</v>
      </c>
      <c r="B1022" s="4" t="s">
        <v>37</v>
      </c>
      <c r="C1022" s="4" t="s">
        <v>33</v>
      </c>
      <c r="D1022" s="4" t="s">
        <v>50</v>
      </c>
      <c r="E1022" s="4" t="s">
        <v>51</v>
      </c>
      <c r="F1022" s="4" t="s">
        <v>25</v>
      </c>
      <c r="G1022" s="4" t="s">
        <v>25</v>
      </c>
      <c r="H1022" s="4" t="s">
        <v>35</v>
      </c>
      <c r="I1022" s="5">
        <v>44835</v>
      </c>
      <c r="J1022" s="6">
        <v>0</v>
      </c>
      <c r="K1022" s="6">
        <v>0</v>
      </c>
      <c r="L1022" s="6">
        <v>8.2780000000000005</v>
      </c>
      <c r="M1022" s="6">
        <v>7.78132</v>
      </c>
      <c r="N1022" s="6">
        <v>8.2780000000000005</v>
      </c>
      <c r="O1022" s="6">
        <v>7.78132</v>
      </c>
      <c r="P1022" s="6">
        <v>0</v>
      </c>
      <c r="Q1022" s="4" t="s">
        <v>26</v>
      </c>
      <c r="R1022" s="4">
        <v>0</v>
      </c>
      <c r="S1022" s="4" t="s">
        <v>384</v>
      </c>
      <c r="T1022" s="4" t="s">
        <v>606</v>
      </c>
      <c r="U1022" s="4">
        <v>0</v>
      </c>
      <c r="V1022" s="4">
        <v>69</v>
      </c>
      <c r="W1022" s="4">
        <v>105</v>
      </c>
    </row>
    <row r="1023" spans="1:23" ht="11.25" customHeight="1" x14ac:dyDescent="0.3">
      <c r="A1023" s="4" t="s">
        <v>21</v>
      </c>
      <c r="B1023" s="4" t="s">
        <v>37</v>
      </c>
      <c r="C1023" s="4" t="s">
        <v>33</v>
      </c>
      <c r="D1023" s="4" t="s">
        <v>50</v>
      </c>
      <c r="E1023" s="4" t="s">
        <v>51</v>
      </c>
      <c r="F1023" s="4" t="s">
        <v>25</v>
      </c>
      <c r="G1023" s="4" t="s">
        <v>25</v>
      </c>
      <c r="H1023" s="4" t="s">
        <v>36</v>
      </c>
      <c r="I1023" s="5">
        <v>44682</v>
      </c>
      <c r="J1023" s="6">
        <v>0</v>
      </c>
      <c r="K1023" s="6">
        <v>0</v>
      </c>
      <c r="L1023" s="6">
        <v>0.219</v>
      </c>
      <c r="M1023" s="6">
        <v>0.20585999999999999</v>
      </c>
      <c r="N1023" s="6">
        <v>0.219</v>
      </c>
      <c r="O1023" s="6">
        <v>0.20585999999999999</v>
      </c>
      <c r="P1023" s="6">
        <v>0</v>
      </c>
      <c r="Q1023" s="4" t="s">
        <v>26</v>
      </c>
      <c r="R1023" s="4">
        <v>0</v>
      </c>
      <c r="S1023" s="4" t="s">
        <v>391</v>
      </c>
      <c r="T1023" s="4" t="s">
        <v>613</v>
      </c>
      <c r="U1023" s="4">
        <v>0</v>
      </c>
      <c r="V1023" s="4">
        <v>82</v>
      </c>
      <c r="W1023" s="4">
        <v>110</v>
      </c>
    </row>
    <row r="1024" spans="1:23" ht="11.25" customHeight="1" x14ac:dyDescent="0.3">
      <c r="A1024" s="4" t="s">
        <v>21</v>
      </c>
      <c r="B1024" s="4" t="s">
        <v>37</v>
      </c>
      <c r="C1024" s="4" t="s">
        <v>33</v>
      </c>
      <c r="D1024" s="4" t="s">
        <v>50</v>
      </c>
      <c r="E1024" s="4" t="s">
        <v>51</v>
      </c>
      <c r="F1024" s="4" t="s">
        <v>25</v>
      </c>
      <c r="G1024" s="4" t="s">
        <v>25</v>
      </c>
      <c r="H1024" s="4" t="s">
        <v>36</v>
      </c>
      <c r="I1024" s="5">
        <v>44713</v>
      </c>
      <c r="J1024" s="6">
        <v>0</v>
      </c>
      <c r="K1024" s="6">
        <v>0</v>
      </c>
      <c r="L1024" s="6">
        <v>5.2999999999999999E-2</v>
      </c>
      <c r="M1024" s="6">
        <v>4.9820000000000003E-2</v>
      </c>
      <c r="N1024" s="6">
        <v>5.2999999999999999E-2</v>
      </c>
      <c r="O1024" s="6">
        <v>4.9820000000000003E-2</v>
      </c>
      <c r="P1024" s="6">
        <v>0</v>
      </c>
      <c r="Q1024" s="4" t="s">
        <v>26</v>
      </c>
      <c r="R1024" s="4">
        <v>0</v>
      </c>
      <c r="S1024" s="4" t="s">
        <v>392</v>
      </c>
      <c r="T1024" s="4" t="s">
        <v>614</v>
      </c>
      <c r="U1024" s="4">
        <v>0</v>
      </c>
      <c r="V1024" s="4">
        <v>82</v>
      </c>
      <c r="W1024" s="4">
        <v>110</v>
      </c>
    </row>
    <row r="1025" spans="1:23" ht="11.25" customHeight="1" x14ac:dyDescent="0.3">
      <c r="A1025" s="4" t="s">
        <v>21</v>
      </c>
      <c r="B1025" s="4" t="s">
        <v>37</v>
      </c>
      <c r="C1025" s="4" t="s">
        <v>33</v>
      </c>
      <c r="D1025" s="4" t="s">
        <v>50</v>
      </c>
      <c r="E1025" s="4" t="s">
        <v>51</v>
      </c>
      <c r="F1025" s="4" t="s">
        <v>25</v>
      </c>
      <c r="G1025" s="4" t="s">
        <v>25</v>
      </c>
      <c r="H1025" s="4" t="s">
        <v>36</v>
      </c>
      <c r="I1025" s="5">
        <v>44743</v>
      </c>
      <c r="J1025" s="6">
        <v>0</v>
      </c>
      <c r="K1025" s="6">
        <v>0</v>
      </c>
      <c r="L1025" s="6">
        <v>1.7000000000000001E-2</v>
      </c>
      <c r="M1025" s="6">
        <v>1.5980000000000001E-2</v>
      </c>
      <c r="N1025" s="6">
        <v>1.7000000000000001E-2</v>
      </c>
      <c r="O1025" s="6">
        <v>1.5980000000000001E-2</v>
      </c>
      <c r="P1025" s="6">
        <v>0</v>
      </c>
      <c r="Q1025" s="4" t="s">
        <v>26</v>
      </c>
      <c r="R1025" s="4">
        <v>0</v>
      </c>
      <c r="S1025" s="4" t="s">
        <v>393</v>
      </c>
      <c r="T1025" s="4" t="s">
        <v>615</v>
      </c>
      <c r="U1025" s="4">
        <v>0</v>
      </c>
      <c r="V1025" s="4">
        <v>82</v>
      </c>
      <c r="W1025" s="4">
        <v>110</v>
      </c>
    </row>
    <row r="1026" spans="1:23" ht="11.25" customHeight="1" x14ac:dyDescent="0.3">
      <c r="A1026" s="4" t="s">
        <v>21</v>
      </c>
      <c r="B1026" s="4" t="s">
        <v>37</v>
      </c>
      <c r="C1026" s="4" t="s">
        <v>33</v>
      </c>
      <c r="D1026" s="4" t="s">
        <v>50</v>
      </c>
      <c r="E1026" s="4" t="s">
        <v>51</v>
      </c>
      <c r="F1026" s="4" t="s">
        <v>25</v>
      </c>
      <c r="G1026" s="4" t="s">
        <v>25</v>
      </c>
      <c r="H1026" s="4" t="s">
        <v>36</v>
      </c>
      <c r="I1026" s="5">
        <v>44774</v>
      </c>
      <c r="J1026" s="6">
        <v>0</v>
      </c>
      <c r="K1026" s="6">
        <v>0</v>
      </c>
      <c r="L1026" s="6">
        <v>0.02</v>
      </c>
      <c r="M1026" s="6">
        <v>1.8800000000000001E-2</v>
      </c>
      <c r="N1026" s="6">
        <v>0.02</v>
      </c>
      <c r="O1026" s="6">
        <v>1.8800000000000001E-2</v>
      </c>
      <c r="P1026" s="6">
        <v>0</v>
      </c>
      <c r="Q1026" s="4" t="s">
        <v>26</v>
      </c>
      <c r="R1026" s="4">
        <v>0</v>
      </c>
      <c r="S1026" s="4" t="s">
        <v>394</v>
      </c>
      <c r="T1026" s="4" t="s">
        <v>616</v>
      </c>
      <c r="U1026" s="4">
        <v>0</v>
      </c>
      <c r="V1026" s="4">
        <v>82</v>
      </c>
      <c r="W1026" s="4">
        <v>110</v>
      </c>
    </row>
    <row r="1027" spans="1:23" ht="11.25" customHeight="1" x14ac:dyDescent="0.3">
      <c r="A1027" s="4" t="s">
        <v>21</v>
      </c>
      <c r="B1027" s="4" t="s">
        <v>37</v>
      </c>
      <c r="C1027" s="4" t="s">
        <v>33</v>
      </c>
      <c r="D1027" s="4" t="s">
        <v>50</v>
      </c>
      <c r="E1027" s="4" t="s">
        <v>51</v>
      </c>
      <c r="F1027" s="4" t="s">
        <v>25</v>
      </c>
      <c r="G1027" s="4" t="s">
        <v>25</v>
      </c>
      <c r="H1027" s="4" t="s">
        <v>36</v>
      </c>
      <c r="I1027" s="5">
        <v>44805</v>
      </c>
      <c r="J1027" s="6">
        <v>0</v>
      </c>
      <c r="K1027" s="6">
        <v>0</v>
      </c>
      <c r="L1027" s="6">
        <v>2.1999999999999999E-2</v>
      </c>
      <c r="M1027" s="6">
        <v>2.068E-2</v>
      </c>
      <c r="N1027" s="6">
        <v>2.1999999999999999E-2</v>
      </c>
      <c r="O1027" s="6">
        <v>2.068E-2</v>
      </c>
      <c r="P1027" s="6">
        <v>0</v>
      </c>
      <c r="Q1027" s="4" t="s">
        <v>26</v>
      </c>
      <c r="R1027" s="4">
        <v>0</v>
      </c>
      <c r="S1027" s="4" t="s">
        <v>395</v>
      </c>
      <c r="T1027" s="4" t="s">
        <v>617</v>
      </c>
      <c r="U1027" s="4">
        <v>0</v>
      </c>
      <c r="V1027" s="4">
        <v>82</v>
      </c>
      <c r="W1027" s="4">
        <v>110</v>
      </c>
    </row>
    <row r="1028" spans="1:23" ht="11.25" customHeight="1" x14ac:dyDescent="0.3">
      <c r="A1028" s="4" t="s">
        <v>53</v>
      </c>
      <c r="B1028" s="4" t="s">
        <v>37</v>
      </c>
      <c r="C1028" s="4" t="s">
        <v>33</v>
      </c>
      <c r="D1028" s="4" t="s">
        <v>50</v>
      </c>
      <c r="E1028" s="4" t="s">
        <v>51</v>
      </c>
      <c r="F1028" s="4" t="s">
        <v>25</v>
      </c>
      <c r="G1028" s="4" t="s">
        <v>25</v>
      </c>
      <c r="H1028" s="4" t="s">
        <v>36</v>
      </c>
      <c r="I1028" s="5">
        <v>44835</v>
      </c>
      <c r="J1028" s="6">
        <v>0</v>
      </c>
      <c r="K1028" s="6">
        <v>0</v>
      </c>
      <c r="L1028" s="6">
        <v>2.1999999999999999E-2</v>
      </c>
      <c r="M1028" s="6">
        <v>2.068E-2</v>
      </c>
      <c r="N1028" s="6">
        <v>2.1999999999999999E-2</v>
      </c>
      <c r="O1028" s="6">
        <v>2.068E-2</v>
      </c>
      <c r="P1028" s="6">
        <v>0</v>
      </c>
      <c r="Q1028" s="4" t="s">
        <v>26</v>
      </c>
      <c r="R1028" s="4">
        <v>0</v>
      </c>
      <c r="S1028" s="4" t="s">
        <v>396</v>
      </c>
      <c r="T1028" s="4" t="s">
        <v>618</v>
      </c>
      <c r="U1028" s="4">
        <v>0</v>
      </c>
      <c r="V1028" s="4">
        <v>82</v>
      </c>
      <c r="W1028" s="4">
        <v>110</v>
      </c>
    </row>
    <row r="1029" spans="1:23" ht="11.25" customHeight="1" x14ac:dyDescent="0.3">
      <c r="A1029" s="4" t="s">
        <v>21</v>
      </c>
      <c r="B1029" s="4" t="s">
        <v>37</v>
      </c>
      <c r="C1029" s="4" t="s">
        <v>33</v>
      </c>
      <c r="D1029" s="4" t="s">
        <v>50</v>
      </c>
      <c r="E1029" s="4" t="s">
        <v>51</v>
      </c>
      <c r="F1029" s="4" t="s">
        <v>25</v>
      </c>
      <c r="G1029" s="4" t="s">
        <v>25</v>
      </c>
      <c r="H1029" s="4" t="s">
        <v>34</v>
      </c>
      <c r="I1029" s="5">
        <v>44682</v>
      </c>
      <c r="J1029" s="6">
        <v>0</v>
      </c>
      <c r="K1029" s="6">
        <v>0</v>
      </c>
      <c r="L1029" s="6">
        <v>0.35699999999999998</v>
      </c>
      <c r="M1029" s="6">
        <v>0.33557999999999999</v>
      </c>
      <c r="N1029" s="6">
        <v>0.35699999999999998</v>
      </c>
      <c r="O1029" s="6">
        <v>0.33557999999999999</v>
      </c>
      <c r="P1029" s="6">
        <v>0</v>
      </c>
      <c r="Q1029" s="4" t="s">
        <v>26</v>
      </c>
      <c r="R1029" s="4">
        <v>0</v>
      </c>
      <c r="S1029" s="4" t="s">
        <v>403</v>
      </c>
      <c r="T1029" s="4" t="s">
        <v>625</v>
      </c>
      <c r="U1029" s="4">
        <v>0</v>
      </c>
      <c r="V1029" s="4">
        <v>83</v>
      </c>
      <c r="W1029" s="4">
        <v>106</v>
      </c>
    </row>
    <row r="1030" spans="1:23" ht="11.25" customHeight="1" x14ac:dyDescent="0.3">
      <c r="A1030" s="4" t="s">
        <v>21</v>
      </c>
      <c r="B1030" s="4" t="s">
        <v>37</v>
      </c>
      <c r="C1030" s="4" t="s">
        <v>33</v>
      </c>
      <c r="D1030" s="4" t="s">
        <v>50</v>
      </c>
      <c r="E1030" s="4" t="s">
        <v>51</v>
      </c>
      <c r="F1030" s="4" t="s">
        <v>25</v>
      </c>
      <c r="G1030" s="4" t="s">
        <v>25</v>
      </c>
      <c r="H1030" s="4" t="s">
        <v>34</v>
      </c>
      <c r="I1030" s="5">
        <v>44713</v>
      </c>
      <c r="J1030" s="6">
        <v>0</v>
      </c>
      <c r="K1030" s="6">
        <v>0</v>
      </c>
      <c r="L1030" s="6">
        <v>1.7000000000000001E-2</v>
      </c>
      <c r="M1030" s="6">
        <v>1.5980000000000001E-2</v>
      </c>
      <c r="N1030" s="6">
        <v>1.7000000000000001E-2</v>
      </c>
      <c r="O1030" s="6">
        <v>1.5980000000000001E-2</v>
      </c>
      <c r="P1030" s="6">
        <v>0</v>
      </c>
      <c r="Q1030" s="4" t="s">
        <v>26</v>
      </c>
      <c r="R1030" s="4">
        <v>0</v>
      </c>
      <c r="S1030" s="4" t="s">
        <v>404</v>
      </c>
      <c r="T1030" s="4" t="s">
        <v>626</v>
      </c>
      <c r="U1030" s="4">
        <v>0</v>
      </c>
      <c r="V1030" s="4">
        <v>83</v>
      </c>
      <c r="W1030" s="4">
        <v>106</v>
      </c>
    </row>
    <row r="1031" spans="1:23" ht="11.25" customHeight="1" x14ac:dyDescent="0.3">
      <c r="A1031" s="4" t="s">
        <v>21</v>
      </c>
      <c r="B1031" s="4" t="s">
        <v>37</v>
      </c>
      <c r="C1031" s="4" t="s">
        <v>33</v>
      </c>
      <c r="D1031" s="4" t="s">
        <v>50</v>
      </c>
      <c r="E1031" s="4" t="s">
        <v>51</v>
      </c>
      <c r="F1031" s="4" t="s">
        <v>25</v>
      </c>
      <c r="G1031" s="4" t="s">
        <v>25</v>
      </c>
      <c r="H1031" s="4" t="s">
        <v>34</v>
      </c>
      <c r="I1031" s="5">
        <v>44743</v>
      </c>
      <c r="J1031" s="6">
        <v>0</v>
      </c>
      <c r="K1031" s="6">
        <v>0</v>
      </c>
      <c r="L1031" s="6">
        <v>0.03</v>
      </c>
      <c r="M1031" s="6">
        <v>2.8199999999999999E-2</v>
      </c>
      <c r="N1031" s="6">
        <v>0.03</v>
      </c>
      <c r="O1031" s="6">
        <v>2.8199999999999999E-2</v>
      </c>
      <c r="P1031" s="6">
        <v>0</v>
      </c>
      <c r="Q1031" s="4" t="s">
        <v>26</v>
      </c>
      <c r="R1031" s="4">
        <v>0</v>
      </c>
      <c r="S1031" s="4" t="s">
        <v>405</v>
      </c>
      <c r="T1031" s="4" t="s">
        <v>627</v>
      </c>
      <c r="U1031" s="4">
        <v>0</v>
      </c>
      <c r="V1031" s="4">
        <v>83</v>
      </c>
      <c r="W1031" s="4">
        <v>106</v>
      </c>
    </row>
    <row r="1032" spans="1:23" ht="11.25" customHeight="1" x14ac:dyDescent="0.3">
      <c r="A1032" s="4" t="s">
        <v>21</v>
      </c>
      <c r="B1032" s="4" t="s">
        <v>37</v>
      </c>
      <c r="C1032" s="4" t="s">
        <v>33</v>
      </c>
      <c r="D1032" s="4" t="s">
        <v>50</v>
      </c>
      <c r="E1032" s="4" t="s">
        <v>51</v>
      </c>
      <c r="F1032" s="4" t="s">
        <v>25</v>
      </c>
      <c r="G1032" s="4" t="s">
        <v>25</v>
      </c>
      <c r="H1032" s="4" t="s">
        <v>34</v>
      </c>
      <c r="I1032" s="5">
        <v>44774</v>
      </c>
      <c r="J1032" s="6">
        <v>0</v>
      </c>
      <c r="K1032" s="6">
        <v>0</v>
      </c>
      <c r="L1032" s="6">
        <v>1.6E-2</v>
      </c>
      <c r="M1032" s="6">
        <v>1.504E-2</v>
      </c>
      <c r="N1032" s="6">
        <v>1.6E-2</v>
      </c>
      <c r="O1032" s="6">
        <v>1.504E-2</v>
      </c>
      <c r="P1032" s="6">
        <v>0</v>
      </c>
      <c r="Q1032" s="4" t="s">
        <v>26</v>
      </c>
      <c r="R1032" s="4">
        <v>0</v>
      </c>
      <c r="S1032" s="4" t="s">
        <v>406</v>
      </c>
      <c r="T1032" s="4" t="s">
        <v>628</v>
      </c>
      <c r="U1032" s="4">
        <v>0</v>
      </c>
      <c r="V1032" s="4">
        <v>83</v>
      </c>
      <c r="W1032" s="4">
        <v>106</v>
      </c>
    </row>
    <row r="1033" spans="1:23" ht="11.25" customHeight="1" x14ac:dyDescent="0.3">
      <c r="A1033" s="4" t="s">
        <v>21</v>
      </c>
      <c r="B1033" s="4" t="s">
        <v>37</v>
      </c>
      <c r="C1033" s="4" t="s">
        <v>33</v>
      </c>
      <c r="D1033" s="4" t="s">
        <v>50</v>
      </c>
      <c r="E1033" s="4" t="s">
        <v>51</v>
      </c>
      <c r="F1033" s="4" t="s">
        <v>25</v>
      </c>
      <c r="G1033" s="4" t="s">
        <v>25</v>
      </c>
      <c r="H1033" s="4" t="s">
        <v>34</v>
      </c>
      <c r="I1033" s="5">
        <v>44805</v>
      </c>
      <c r="J1033" s="6">
        <v>0</v>
      </c>
      <c r="K1033" s="6">
        <v>0</v>
      </c>
      <c r="L1033" s="6">
        <v>3.4000000000000002E-2</v>
      </c>
      <c r="M1033" s="6">
        <v>3.1960000000000002E-2</v>
      </c>
      <c r="N1033" s="6">
        <v>3.4000000000000002E-2</v>
      </c>
      <c r="O1033" s="6">
        <v>3.1960000000000002E-2</v>
      </c>
      <c r="P1033" s="6">
        <v>0</v>
      </c>
      <c r="Q1033" s="4" t="s">
        <v>26</v>
      </c>
      <c r="R1033" s="4">
        <v>0</v>
      </c>
      <c r="S1033" s="4" t="s">
        <v>407</v>
      </c>
      <c r="T1033" s="4" t="s">
        <v>629</v>
      </c>
      <c r="U1033" s="4">
        <v>0</v>
      </c>
      <c r="V1033" s="4">
        <v>83</v>
      </c>
      <c r="W1033" s="4">
        <v>106</v>
      </c>
    </row>
    <row r="1034" spans="1:23" ht="11.25" customHeight="1" x14ac:dyDescent="0.3">
      <c r="A1034" s="4" t="s">
        <v>53</v>
      </c>
      <c r="B1034" s="4" t="s">
        <v>37</v>
      </c>
      <c r="C1034" s="4" t="s">
        <v>33</v>
      </c>
      <c r="D1034" s="4" t="s">
        <v>50</v>
      </c>
      <c r="E1034" s="4" t="s">
        <v>51</v>
      </c>
      <c r="F1034" s="4" t="s">
        <v>25</v>
      </c>
      <c r="G1034" s="4" t="s">
        <v>25</v>
      </c>
      <c r="H1034" s="4" t="s">
        <v>34</v>
      </c>
      <c r="I1034" s="5">
        <v>44835</v>
      </c>
      <c r="J1034" s="6">
        <v>0</v>
      </c>
      <c r="K1034" s="6">
        <v>0</v>
      </c>
      <c r="L1034" s="6">
        <v>3.4000000000000002E-2</v>
      </c>
      <c r="M1034" s="6">
        <v>3.1960000000000002E-2</v>
      </c>
      <c r="N1034" s="6">
        <v>3.4000000000000002E-2</v>
      </c>
      <c r="O1034" s="6">
        <v>3.1960000000000002E-2</v>
      </c>
      <c r="P1034" s="6">
        <v>0</v>
      </c>
      <c r="Q1034" s="4" t="s">
        <v>26</v>
      </c>
      <c r="R1034" s="4">
        <v>0</v>
      </c>
      <c r="S1034" s="4" t="s">
        <v>408</v>
      </c>
      <c r="T1034" s="4" t="s">
        <v>630</v>
      </c>
      <c r="U1034" s="4">
        <v>0</v>
      </c>
      <c r="V1034" s="4">
        <v>83</v>
      </c>
      <c r="W1034" s="4">
        <v>106</v>
      </c>
    </row>
    <row r="1035" spans="1:23" ht="11.25" customHeight="1" x14ac:dyDescent="0.3">
      <c r="A1035" s="4" t="s">
        <v>21</v>
      </c>
      <c r="B1035" s="4" t="s">
        <v>37</v>
      </c>
      <c r="C1035" s="4" t="s">
        <v>23</v>
      </c>
      <c r="D1035" s="4" t="s">
        <v>42</v>
      </c>
      <c r="E1035" s="4" t="s">
        <v>25</v>
      </c>
      <c r="F1035" s="4" t="s">
        <v>25</v>
      </c>
      <c r="G1035" s="4" t="s">
        <v>25</v>
      </c>
      <c r="H1035" s="4" t="s">
        <v>25</v>
      </c>
      <c r="I1035" s="5">
        <v>44501</v>
      </c>
      <c r="J1035" s="6">
        <v>0</v>
      </c>
      <c r="K1035" s="6">
        <v>0</v>
      </c>
      <c r="L1035" s="6">
        <v>3209.95</v>
      </c>
      <c r="M1035" s="6">
        <v>3209.95</v>
      </c>
      <c r="N1035" s="6">
        <v>3209.95</v>
      </c>
      <c r="O1035" s="6">
        <v>3209.95</v>
      </c>
      <c r="P1035" s="6">
        <v>5359</v>
      </c>
      <c r="Q1035" s="4" t="s">
        <v>26</v>
      </c>
      <c r="R1035" s="4">
        <v>0</v>
      </c>
      <c r="S1035" s="4" t="s">
        <v>409</v>
      </c>
      <c r="T1035" s="4" t="s">
        <v>631</v>
      </c>
      <c r="U1035" s="4">
        <v>0</v>
      </c>
      <c r="V1035" s="4">
        <v>63</v>
      </c>
      <c r="W1035" s="4">
        <v>91</v>
      </c>
    </row>
    <row r="1036" spans="1:23" ht="11.25" customHeight="1" x14ac:dyDescent="0.3">
      <c r="A1036" s="4" t="s">
        <v>27</v>
      </c>
      <c r="B1036" s="4" t="s">
        <v>37</v>
      </c>
      <c r="C1036" s="4" t="s">
        <v>23</v>
      </c>
      <c r="D1036" s="4" t="s">
        <v>42</v>
      </c>
      <c r="E1036" s="4" t="s">
        <v>25</v>
      </c>
      <c r="F1036" s="4" t="s">
        <v>25</v>
      </c>
      <c r="G1036" s="4" t="s">
        <v>25</v>
      </c>
      <c r="H1036" s="4" t="s">
        <v>25</v>
      </c>
      <c r="I1036" s="5">
        <v>44501</v>
      </c>
      <c r="J1036" s="6">
        <v>0</v>
      </c>
      <c r="K1036" s="6">
        <v>0</v>
      </c>
      <c r="L1036" s="6">
        <v>-9.7579999999999991</v>
      </c>
      <c r="M1036" s="6">
        <v>-9.7579999999999991</v>
      </c>
      <c r="N1036" s="6">
        <v>-9.7579999999999991</v>
      </c>
      <c r="O1036" s="6">
        <v>-9.7579999999999991</v>
      </c>
      <c r="P1036" s="6">
        <v>0</v>
      </c>
      <c r="Q1036" s="4" t="s">
        <v>26</v>
      </c>
      <c r="R1036" s="4">
        <v>0</v>
      </c>
      <c r="S1036" s="4" t="s">
        <v>409</v>
      </c>
      <c r="T1036" s="4" t="s">
        <v>631</v>
      </c>
      <c r="U1036" s="4">
        <v>0</v>
      </c>
      <c r="V1036" s="4">
        <v>63</v>
      </c>
      <c r="W1036" s="4">
        <v>91</v>
      </c>
    </row>
    <row r="1037" spans="1:23" ht="11.25" customHeight="1" x14ac:dyDescent="0.3">
      <c r="A1037" s="4" t="s">
        <v>28</v>
      </c>
      <c r="B1037" s="4" t="s">
        <v>37</v>
      </c>
      <c r="C1037" s="4" t="s">
        <v>23</v>
      </c>
      <c r="D1037" s="4" t="s">
        <v>42</v>
      </c>
      <c r="E1037" s="4" t="s">
        <v>25</v>
      </c>
      <c r="F1037" s="4" t="s">
        <v>25</v>
      </c>
      <c r="G1037" s="4" t="s">
        <v>25</v>
      </c>
      <c r="H1037" s="4" t="s">
        <v>25</v>
      </c>
      <c r="I1037" s="5">
        <v>44501</v>
      </c>
      <c r="J1037" s="6">
        <v>0</v>
      </c>
      <c r="K1037" s="6">
        <v>0</v>
      </c>
      <c r="L1037" s="6">
        <v>47.304000000000002</v>
      </c>
      <c r="M1037" s="6">
        <v>47.304000000000002</v>
      </c>
      <c r="N1037" s="6">
        <v>47.304000000000002</v>
      </c>
      <c r="O1037" s="6">
        <v>47.304000000000002</v>
      </c>
      <c r="P1037" s="6">
        <v>93</v>
      </c>
      <c r="Q1037" s="4" t="s">
        <v>26</v>
      </c>
      <c r="R1037" s="4">
        <v>0</v>
      </c>
      <c r="S1037" s="4" t="s">
        <v>409</v>
      </c>
      <c r="T1037" s="4" t="s">
        <v>631</v>
      </c>
      <c r="U1037" s="4">
        <v>0</v>
      </c>
      <c r="V1037" s="4">
        <v>63</v>
      </c>
      <c r="W1037" s="4">
        <v>91</v>
      </c>
    </row>
    <row r="1038" spans="1:23" ht="11.25" customHeight="1" x14ac:dyDescent="0.3">
      <c r="A1038" s="4" t="s">
        <v>21</v>
      </c>
      <c r="B1038" s="4" t="s">
        <v>37</v>
      </c>
      <c r="C1038" s="4" t="s">
        <v>23</v>
      </c>
      <c r="D1038" s="4" t="s">
        <v>42</v>
      </c>
      <c r="E1038" s="4" t="s">
        <v>25</v>
      </c>
      <c r="F1038" s="4" t="s">
        <v>25</v>
      </c>
      <c r="G1038" s="4" t="s">
        <v>25</v>
      </c>
      <c r="H1038" s="4" t="s">
        <v>25</v>
      </c>
      <c r="I1038" s="5">
        <v>44531</v>
      </c>
      <c r="J1038" s="6">
        <v>0</v>
      </c>
      <c r="K1038" s="6">
        <v>0</v>
      </c>
      <c r="L1038" s="6">
        <v>3233.7910000000002</v>
      </c>
      <c r="M1038" s="6">
        <v>3233.7910000000002</v>
      </c>
      <c r="N1038" s="6">
        <v>3233.7910000000002</v>
      </c>
      <c r="O1038" s="6">
        <v>3233.7910000000002</v>
      </c>
      <c r="P1038" s="6">
        <v>5378</v>
      </c>
      <c r="Q1038" s="4" t="s">
        <v>26</v>
      </c>
      <c r="R1038" s="4">
        <v>0</v>
      </c>
      <c r="S1038" s="4" t="s">
        <v>410</v>
      </c>
      <c r="T1038" s="4" t="s">
        <v>632</v>
      </c>
      <c r="U1038" s="4">
        <v>0</v>
      </c>
      <c r="V1038" s="4">
        <v>63</v>
      </c>
      <c r="W1038" s="4">
        <v>91</v>
      </c>
    </row>
    <row r="1039" spans="1:23" ht="11.25" customHeight="1" x14ac:dyDescent="0.3">
      <c r="A1039" s="4" t="s">
        <v>27</v>
      </c>
      <c r="B1039" s="4" t="s">
        <v>37</v>
      </c>
      <c r="C1039" s="4" t="s">
        <v>23</v>
      </c>
      <c r="D1039" s="4" t="s">
        <v>42</v>
      </c>
      <c r="E1039" s="4" t="s">
        <v>25</v>
      </c>
      <c r="F1039" s="4" t="s">
        <v>25</v>
      </c>
      <c r="G1039" s="4" t="s">
        <v>25</v>
      </c>
      <c r="H1039" s="4" t="s">
        <v>25</v>
      </c>
      <c r="I1039" s="5">
        <v>44531</v>
      </c>
      <c r="J1039" s="6">
        <v>0</v>
      </c>
      <c r="K1039" s="6">
        <v>0</v>
      </c>
      <c r="L1039" s="6">
        <v>-0.88800000000000001</v>
      </c>
      <c r="M1039" s="6">
        <v>-0.88800000000000001</v>
      </c>
      <c r="N1039" s="6">
        <v>-0.88800000000000001</v>
      </c>
      <c r="O1039" s="6">
        <v>-0.88800000000000001</v>
      </c>
      <c r="P1039" s="6">
        <v>0</v>
      </c>
      <c r="Q1039" s="4" t="s">
        <v>26</v>
      </c>
      <c r="R1039" s="4">
        <v>0</v>
      </c>
      <c r="S1039" s="4" t="s">
        <v>410</v>
      </c>
      <c r="T1039" s="4" t="s">
        <v>632</v>
      </c>
      <c r="U1039" s="4">
        <v>0</v>
      </c>
      <c r="V1039" s="4">
        <v>63</v>
      </c>
      <c r="W1039" s="4">
        <v>91</v>
      </c>
    </row>
    <row r="1040" spans="1:23" ht="11.25" customHeight="1" x14ac:dyDescent="0.3">
      <c r="A1040" s="4" t="s">
        <v>28</v>
      </c>
      <c r="B1040" s="4" t="s">
        <v>37</v>
      </c>
      <c r="C1040" s="4" t="s">
        <v>23</v>
      </c>
      <c r="D1040" s="4" t="s">
        <v>42</v>
      </c>
      <c r="E1040" s="4" t="s">
        <v>25</v>
      </c>
      <c r="F1040" s="4" t="s">
        <v>25</v>
      </c>
      <c r="G1040" s="4" t="s">
        <v>25</v>
      </c>
      <c r="H1040" s="4" t="s">
        <v>25</v>
      </c>
      <c r="I1040" s="5">
        <v>44531</v>
      </c>
      <c r="J1040" s="6">
        <v>0</v>
      </c>
      <c r="K1040" s="6">
        <v>0</v>
      </c>
      <c r="L1040" s="6">
        <v>54.84</v>
      </c>
      <c r="M1040" s="6">
        <v>54.84</v>
      </c>
      <c r="N1040" s="6">
        <v>54.84</v>
      </c>
      <c r="O1040" s="6">
        <v>54.84</v>
      </c>
      <c r="P1040" s="6">
        <v>108</v>
      </c>
      <c r="Q1040" s="4" t="s">
        <v>26</v>
      </c>
      <c r="R1040" s="4">
        <v>0</v>
      </c>
      <c r="S1040" s="4" t="s">
        <v>410</v>
      </c>
      <c r="T1040" s="4" t="s">
        <v>632</v>
      </c>
      <c r="U1040" s="4">
        <v>0</v>
      </c>
      <c r="V1040" s="4">
        <v>63</v>
      </c>
      <c r="W1040" s="4">
        <v>91</v>
      </c>
    </row>
    <row r="1041" spans="1:23" ht="11.25" customHeight="1" x14ac:dyDescent="0.3">
      <c r="A1041" s="4" t="s">
        <v>21</v>
      </c>
      <c r="B1041" s="4" t="s">
        <v>37</v>
      </c>
      <c r="C1041" s="4" t="s">
        <v>23</v>
      </c>
      <c r="D1041" s="4" t="s">
        <v>42</v>
      </c>
      <c r="E1041" s="4" t="s">
        <v>25</v>
      </c>
      <c r="F1041" s="4" t="s">
        <v>25</v>
      </c>
      <c r="G1041" s="4" t="s">
        <v>25</v>
      </c>
      <c r="H1041" s="4" t="s">
        <v>25</v>
      </c>
      <c r="I1041" s="5">
        <v>44562</v>
      </c>
      <c r="J1041" s="6">
        <v>0</v>
      </c>
      <c r="K1041" s="6">
        <v>0</v>
      </c>
      <c r="L1041" s="6">
        <v>3520.7020000000002</v>
      </c>
      <c r="M1041" s="6">
        <v>3520.7020000000002</v>
      </c>
      <c r="N1041" s="6">
        <v>3520.7020000000002</v>
      </c>
      <c r="O1041" s="6">
        <v>3520.7020000000002</v>
      </c>
      <c r="P1041" s="6">
        <v>5428</v>
      </c>
      <c r="Q1041" s="4" t="s">
        <v>26</v>
      </c>
      <c r="R1041" s="4">
        <v>0</v>
      </c>
      <c r="S1041" s="4" t="s">
        <v>411</v>
      </c>
      <c r="T1041" s="4" t="s">
        <v>633</v>
      </c>
      <c r="U1041" s="4">
        <v>0</v>
      </c>
      <c r="V1041" s="4">
        <v>63</v>
      </c>
      <c r="W1041" s="4">
        <v>91</v>
      </c>
    </row>
    <row r="1042" spans="1:23" ht="11.25" customHeight="1" x14ac:dyDescent="0.3">
      <c r="A1042" s="4" t="s">
        <v>27</v>
      </c>
      <c r="B1042" s="4" t="s">
        <v>37</v>
      </c>
      <c r="C1042" s="4" t="s">
        <v>23</v>
      </c>
      <c r="D1042" s="4" t="s">
        <v>42</v>
      </c>
      <c r="E1042" s="4" t="s">
        <v>25</v>
      </c>
      <c r="F1042" s="4" t="s">
        <v>25</v>
      </c>
      <c r="G1042" s="4" t="s">
        <v>25</v>
      </c>
      <c r="H1042" s="4" t="s">
        <v>25</v>
      </c>
      <c r="I1042" s="5">
        <v>44562</v>
      </c>
      <c r="J1042" s="6">
        <v>0</v>
      </c>
      <c r="K1042" s="6">
        <v>0</v>
      </c>
      <c r="L1042" s="6">
        <v>-3.2090000000000001</v>
      </c>
      <c r="M1042" s="6">
        <v>-3.2090000000000001</v>
      </c>
      <c r="N1042" s="6">
        <v>-3.2090000000000001</v>
      </c>
      <c r="O1042" s="6">
        <v>-3.2090000000000001</v>
      </c>
      <c r="P1042" s="6">
        <v>0</v>
      </c>
      <c r="Q1042" s="4" t="s">
        <v>26</v>
      </c>
      <c r="R1042" s="4">
        <v>0</v>
      </c>
      <c r="S1042" s="4" t="s">
        <v>411</v>
      </c>
      <c r="T1042" s="4" t="s">
        <v>633</v>
      </c>
      <c r="U1042" s="4">
        <v>0</v>
      </c>
      <c r="V1042" s="4">
        <v>63</v>
      </c>
      <c r="W1042" s="4">
        <v>91</v>
      </c>
    </row>
    <row r="1043" spans="1:23" ht="11.25" customHeight="1" x14ac:dyDescent="0.3">
      <c r="A1043" s="4" t="s">
        <v>28</v>
      </c>
      <c r="B1043" s="4" t="s">
        <v>37</v>
      </c>
      <c r="C1043" s="4" t="s">
        <v>23</v>
      </c>
      <c r="D1043" s="4" t="s">
        <v>42</v>
      </c>
      <c r="E1043" s="4" t="s">
        <v>25</v>
      </c>
      <c r="F1043" s="4" t="s">
        <v>25</v>
      </c>
      <c r="G1043" s="4" t="s">
        <v>25</v>
      </c>
      <c r="H1043" s="4" t="s">
        <v>25</v>
      </c>
      <c r="I1043" s="5">
        <v>44562</v>
      </c>
      <c r="J1043" s="6">
        <v>0</v>
      </c>
      <c r="K1043" s="6">
        <v>0</v>
      </c>
      <c r="L1043" s="6">
        <v>74.566000000000003</v>
      </c>
      <c r="M1043" s="6">
        <v>74.566000000000003</v>
      </c>
      <c r="N1043" s="6">
        <v>74.566000000000003</v>
      </c>
      <c r="O1043" s="6">
        <v>74.566000000000003</v>
      </c>
      <c r="P1043" s="6">
        <v>120</v>
      </c>
      <c r="Q1043" s="4" t="s">
        <v>26</v>
      </c>
      <c r="R1043" s="4">
        <v>0</v>
      </c>
      <c r="S1043" s="4" t="s">
        <v>411</v>
      </c>
      <c r="T1043" s="4" t="s">
        <v>633</v>
      </c>
      <c r="U1043" s="4">
        <v>0</v>
      </c>
      <c r="V1043" s="4">
        <v>63</v>
      </c>
      <c r="W1043" s="4">
        <v>91</v>
      </c>
    </row>
    <row r="1044" spans="1:23" ht="11.25" customHeight="1" x14ac:dyDescent="0.3">
      <c r="A1044" s="4" t="s">
        <v>21</v>
      </c>
      <c r="B1044" s="4" t="s">
        <v>37</v>
      </c>
      <c r="C1044" s="4" t="s">
        <v>23</v>
      </c>
      <c r="D1044" s="4" t="s">
        <v>42</v>
      </c>
      <c r="E1044" s="4" t="s">
        <v>25</v>
      </c>
      <c r="F1044" s="4" t="s">
        <v>25</v>
      </c>
      <c r="G1044" s="4" t="s">
        <v>25</v>
      </c>
      <c r="H1044" s="4" t="s">
        <v>25</v>
      </c>
      <c r="I1044" s="5">
        <v>44593</v>
      </c>
      <c r="J1044" s="6">
        <v>0</v>
      </c>
      <c r="K1044" s="6">
        <v>0</v>
      </c>
      <c r="L1044" s="6">
        <v>3260.5369999999998</v>
      </c>
      <c r="M1044" s="6">
        <v>3260.5369999999998</v>
      </c>
      <c r="N1044" s="6">
        <v>3260.5369999999998</v>
      </c>
      <c r="O1044" s="6">
        <v>3260.5369999999998</v>
      </c>
      <c r="P1044" s="6">
        <v>5449</v>
      </c>
      <c r="Q1044" s="4" t="s">
        <v>26</v>
      </c>
      <c r="R1044" s="4">
        <v>0</v>
      </c>
      <c r="S1044" s="4" t="s">
        <v>412</v>
      </c>
      <c r="T1044" s="4" t="s">
        <v>634</v>
      </c>
      <c r="U1044" s="4">
        <v>0</v>
      </c>
      <c r="V1044" s="4">
        <v>63</v>
      </c>
      <c r="W1044" s="4">
        <v>91</v>
      </c>
    </row>
    <row r="1045" spans="1:23" ht="11.25" customHeight="1" x14ac:dyDescent="0.3">
      <c r="A1045" s="4" t="s">
        <v>27</v>
      </c>
      <c r="B1045" s="4" t="s">
        <v>37</v>
      </c>
      <c r="C1045" s="4" t="s">
        <v>23</v>
      </c>
      <c r="D1045" s="4" t="s">
        <v>42</v>
      </c>
      <c r="E1045" s="4" t="s">
        <v>25</v>
      </c>
      <c r="F1045" s="4" t="s">
        <v>25</v>
      </c>
      <c r="G1045" s="4" t="s">
        <v>25</v>
      </c>
      <c r="H1045" s="4" t="s">
        <v>25</v>
      </c>
      <c r="I1045" s="5">
        <v>44593</v>
      </c>
      <c r="J1045" s="6">
        <v>0</v>
      </c>
      <c r="K1045" s="6">
        <v>0</v>
      </c>
      <c r="L1045" s="6">
        <v>-1.1140000000000001</v>
      </c>
      <c r="M1045" s="6">
        <v>-1.1140000000000001</v>
      </c>
      <c r="N1045" s="6">
        <v>-1.1140000000000001</v>
      </c>
      <c r="O1045" s="6">
        <v>-1.1140000000000001</v>
      </c>
      <c r="P1045" s="6">
        <v>0</v>
      </c>
      <c r="Q1045" s="4" t="s">
        <v>26</v>
      </c>
      <c r="R1045" s="4">
        <v>0</v>
      </c>
      <c r="S1045" s="4" t="s">
        <v>412</v>
      </c>
      <c r="T1045" s="4" t="s">
        <v>634</v>
      </c>
      <c r="U1045" s="4">
        <v>0</v>
      </c>
      <c r="V1045" s="4">
        <v>63</v>
      </c>
      <c r="W1045" s="4">
        <v>91</v>
      </c>
    </row>
    <row r="1046" spans="1:23" ht="11.25" customHeight="1" x14ac:dyDescent="0.3">
      <c r="A1046" s="4" t="s">
        <v>28</v>
      </c>
      <c r="B1046" s="4" t="s">
        <v>37</v>
      </c>
      <c r="C1046" s="4" t="s">
        <v>23</v>
      </c>
      <c r="D1046" s="4" t="s">
        <v>42</v>
      </c>
      <c r="E1046" s="4" t="s">
        <v>25</v>
      </c>
      <c r="F1046" s="4" t="s">
        <v>25</v>
      </c>
      <c r="G1046" s="4" t="s">
        <v>25</v>
      </c>
      <c r="H1046" s="4" t="s">
        <v>25</v>
      </c>
      <c r="I1046" s="5">
        <v>44593</v>
      </c>
      <c r="J1046" s="6">
        <v>0</v>
      </c>
      <c r="K1046" s="6">
        <v>0</v>
      </c>
      <c r="L1046" s="6">
        <v>62.720999999999997</v>
      </c>
      <c r="M1046" s="6">
        <v>62.720999999999997</v>
      </c>
      <c r="N1046" s="6">
        <v>62.720999999999997</v>
      </c>
      <c r="O1046" s="6">
        <v>62.720999999999997</v>
      </c>
      <c r="P1046" s="6">
        <v>122</v>
      </c>
      <c r="Q1046" s="4" t="s">
        <v>26</v>
      </c>
      <c r="R1046" s="4">
        <v>0</v>
      </c>
      <c r="S1046" s="4" t="s">
        <v>412</v>
      </c>
      <c r="T1046" s="4" t="s">
        <v>634</v>
      </c>
      <c r="U1046" s="4">
        <v>0</v>
      </c>
      <c r="V1046" s="4">
        <v>63</v>
      </c>
      <c r="W1046" s="4">
        <v>91</v>
      </c>
    </row>
    <row r="1047" spans="1:23" ht="11.25" customHeight="1" x14ac:dyDescent="0.3">
      <c r="A1047" s="4" t="s">
        <v>21</v>
      </c>
      <c r="B1047" s="4" t="s">
        <v>37</v>
      </c>
      <c r="C1047" s="4" t="s">
        <v>23</v>
      </c>
      <c r="D1047" s="4" t="s">
        <v>42</v>
      </c>
      <c r="E1047" s="4" t="s">
        <v>25</v>
      </c>
      <c r="F1047" s="4" t="s">
        <v>25</v>
      </c>
      <c r="G1047" s="4" t="s">
        <v>25</v>
      </c>
      <c r="H1047" s="4" t="s">
        <v>25</v>
      </c>
      <c r="I1047" s="5">
        <v>44621</v>
      </c>
      <c r="J1047" s="6">
        <v>0</v>
      </c>
      <c r="K1047" s="6">
        <v>0</v>
      </c>
      <c r="L1047" s="6">
        <v>3354.5030000000002</v>
      </c>
      <c r="M1047" s="6">
        <v>3354.5030000000002</v>
      </c>
      <c r="N1047" s="6">
        <v>3354.5030000000002</v>
      </c>
      <c r="O1047" s="6">
        <v>3354.5030000000002</v>
      </c>
      <c r="P1047" s="6">
        <v>5471</v>
      </c>
      <c r="Q1047" s="4" t="s">
        <v>26</v>
      </c>
      <c r="R1047" s="4">
        <v>0</v>
      </c>
      <c r="S1047" s="4" t="s">
        <v>413</v>
      </c>
      <c r="T1047" s="4" t="s">
        <v>635</v>
      </c>
      <c r="U1047" s="4">
        <v>0</v>
      </c>
      <c r="V1047" s="4">
        <v>63</v>
      </c>
      <c r="W1047" s="4">
        <v>91</v>
      </c>
    </row>
    <row r="1048" spans="1:23" ht="11.25" customHeight="1" x14ac:dyDescent="0.3">
      <c r="A1048" s="4" t="s">
        <v>27</v>
      </c>
      <c r="B1048" s="4" t="s">
        <v>37</v>
      </c>
      <c r="C1048" s="4" t="s">
        <v>23</v>
      </c>
      <c r="D1048" s="4" t="s">
        <v>42</v>
      </c>
      <c r="E1048" s="4" t="s">
        <v>25</v>
      </c>
      <c r="F1048" s="4" t="s">
        <v>25</v>
      </c>
      <c r="G1048" s="4" t="s">
        <v>25</v>
      </c>
      <c r="H1048" s="4" t="s">
        <v>25</v>
      </c>
      <c r="I1048" s="5">
        <v>44621</v>
      </c>
      <c r="J1048" s="6">
        <v>0</v>
      </c>
      <c r="K1048" s="6">
        <v>0</v>
      </c>
      <c r="L1048" s="6">
        <v>6.8000000000000005E-2</v>
      </c>
      <c r="M1048" s="6">
        <v>6.8000000000000005E-2</v>
      </c>
      <c r="N1048" s="6">
        <v>6.8000000000000005E-2</v>
      </c>
      <c r="O1048" s="6">
        <v>6.8000000000000005E-2</v>
      </c>
      <c r="P1048" s="6">
        <v>0</v>
      </c>
      <c r="Q1048" s="4" t="s">
        <v>26</v>
      </c>
      <c r="R1048" s="4">
        <v>0</v>
      </c>
      <c r="S1048" s="4" t="s">
        <v>413</v>
      </c>
      <c r="T1048" s="4" t="s">
        <v>635</v>
      </c>
      <c r="U1048" s="4">
        <v>0</v>
      </c>
      <c r="V1048" s="4">
        <v>63</v>
      </c>
      <c r="W1048" s="4">
        <v>91</v>
      </c>
    </row>
    <row r="1049" spans="1:23" ht="11.25" customHeight="1" x14ac:dyDescent="0.3">
      <c r="A1049" s="4" t="s">
        <v>28</v>
      </c>
      <c r="B1049" s="4" t="s">
        <v>37</v>
      </c>
      <c r="C1049" s="4" t="s">
        <v>23</v>
      </c>
      <c r="D1049" s="4" t="s">
        <v>42</v>
      </c>
      <c r="E1049" s="4" t="s">
        <v>25</v>
      </c>
      <c r="F1049" s="4" t="s">
        <v>25</v>
      </c>
      <c r="G1049" s="4" t="s">
        <v>25</v>
      </c>
      <c r="H1049" s="4" t="s">
        <v>25</v>
      </c>
      <c r="I1049" s="5">
        <v>44621</v>
      </c>
      <c r="J1049" s="6">
        <v>0</v>
      </c>
      <c r="K1049" s="6">
        <v>0</v>
      </c>
      <c r="L1049" s="6">
        <v>60.561999999999998</v>
      </c>
      <c r="M1049" s="6">
        <v>60.561999999999998</v>
      </c>
      <c r="N1049" s="6">
        <v>60.561999999999998</v>
      </c>
      <c r="O1049" s="6">
        <v>60.561999999999998</v>
      </c>
      <c r="P1049" s="6">
        <v>125</v>
      </c>
      <c r="Q1049" s="4" t="s">
        <v>26</v>
      </c>
      <c r="R1049" s="4">
        <v>0</v>
      </c>
      <c r="S1049" s="4" t="s">
        <v>413</v>
      </c>
      <c r="T1049" s="4" t="s">
        <v>635</v>
      </c>
      <c r="U1049" s="4">
        <v>0</v>
      </c>
      <c r="V1049" s="4">
        <v>63</v>
      </c>
      <c r="W1049" s="4">
        <v>91</v>
      </c>
    </row>
    <row r="1050" spans="1:23" ht="11.25" customHeight="1" x14ac:dyDescent="0.3">
      <c r="A1050" s="4" t="s">
        <v>21</v>
      </c>
      <c r="B1050" s="4" t="s">
        <v>37</v>
      </c>
      <c r="C1050" s="4" t="s">
        <v>23</v>
      </c>
      <c r="D1050" s="4" t="s">
        <v>42</v>
      </c>
      <c r="E1050" s="4" t="s">
        <v>25</v>
      </c>
      <c r="F1050" s="4" t="s">
        <v>25</v>
      </c>
      <c r="G1050" s="4" t="s">
        <v>25</v>
      </c>
      <c r="H1050" s="4" t="s">
        <v>25</v>
      </c>
      <c r="I1050" s="5">
        <v>44652</v>
      </c>
      <c r="J1050" s="6">
        <v>0</v>
      </c>
      <c r="K1050" s="6">
        <v>0</v>
      </c>
      <c r="L1050" s="6">
        <v>3565.6779999999999</v>
      </c>
      <c r="M1050" s="6">
        <v>3565.6779999999999</v>
      </c>
      <c r="N1050" s="6">
        <v>3565.6779999999999</v>
      </c>
      <c r="O1050" s="6">
        <v>3565.6779999999999</v>
      </c>
      <c r="P1050" s="6">
        <v>5498</v>
      </c>
      <c r="Q1050" s="4" t="s">
        <v>26</v>
      </c>
      <c r="R1050" s="4">
        <v>0</v>
      </c>
      <c r="S1050" s="4" t="s">
        <v>414</v>
      </c>
      <c r="T1050" s="4" t="s">
        <v>636</v>
      </c>
      <c r="U1050" s="4">
        <v>0</v>
      </c>
      <c r="V1050" s="4">
        <v>63</v>
      </c>
      <c r="W1050" s="4">
        <v>91</v>
      </c>
    </row>
    <row r="1051" spans="1:23" ht="11.25" customHeight="1" x14ac:dyDescent="0.3">
      <c r="A1051" s="4" t="s">
        <v>27</v>
      </c>
      <c r="B1051" s="4" t="s">
        <v>37</v>
      </c>
      <c r="C1051" s="4" t="s">
        <v>23</v>
      </c>
      <c r="D1051" s="4" t="s">
        <v>42</v>
      </c>
      <c r="E1051" s="4" t="s">
        <v>25</v>
      </c>
      <c r="F1051" s="4" t="s">
        <v>25</v>
      </c>
      <c r="G1051" s="4" t="s">
        <v>25</v>
      </c>
      <c r="H1051" s="4" t="s">
        <v>25</v>
      </c>
      <c r="I1051" s="5">
        <v>44652</v>
      </c>
      <c r="J1051" s="6">
        <v>0</v>
      </c>
      <c r="K1051" s="6">
        <v>0</v>
      </c>
      <c r="L1051" s="6">
        <v>4.891</v>
      </c>
      <c r="M1051" s="6">
        <v>4.891</v>
      </c>
      <c r="N1051" s="6">
        <v>4.891</v>
      </c>
      <c r="O1051" s="6">
        <v>4.891</v>
      </c>
      <c r="P1051" s="6">
        <v>0</v>
      </c>
      <c r="Q1051" s="4" t="s">
        <v>26</v>
      </c>
      <c r="R1051" s="4">
        <v>0</v>
      </c>
      <c r="S1051" s="4" t="s">
        <v>414</v>
      </c>
      <c r="T1051" s="4" t="s">
        <v>636</v>
      </c>
      <c r="U1051" s="4">
        <v>0</v>
      </c>
      <c r="V1051" s="4">
        <v>63</v>
      </c>
      <c r="W1051" s="4">
        <v>91</v>
      </c>
    </row>
    <row r="1052" spans="1:23" ht="11.25" customHeight="1" x14ac:dyDescent="0.3">
      <c r="A1052" s="4" t="s">
        <v>28</v>
      </c>
      <c r="B1052" s="4" t="s">
        <v>37</v>
      </c>
      <c r="C1052" s="4" t="s">
        <v>23</v>
      </c>
      <c r="D1052" s="4" t="s">
        <v>42</v>
      </c>
      <c r="E1052" s="4" t="s">
        <v>25</v>
      </c>
      <c r="F1052" s="4" t="s">
        <v>25</v>
      </c>
      <c r="G1052" s="4" t="s">
        <v>25</v>
      </c>
      <c r="H1052" s="4" t="s">
        <v>25</v>
      </c>
      <c r="I1052" s="5">
        <v>44652</v>
      </c>
      <c r="J1052" s="6">
        <v>0</v>
      </c>
      <c r="K1052" s="6">
        <v>0</v>
      </c>
      <c r="L1052" s="6">
        <v>77.751999999999995</v>
      </c>
      <c r="M1052" s="6">
        <v>77.751999999999995</v>
      </c>
      <c r="N1052" s="6">
        <v>77.751999999999995</v>
      </c>
      <c r="O1052" s="6">
        <v>77.751999999999995</v>
      </c>
      <c r="P1052" s="6">
        <v>137</v>
      </c>
      <c r="Q1052" s="4" t="s">
        <v>26</v>
      </c>
      <c r="R1052" s="4">
        <v>0</v>
      </c>
      <c r="S1052" s="4" t="s">
        <v>414</v>
      </c>
      <c r="T1052" s="4" t="s">
        <v>636</v>
      </c>
      <c r="U1052" s="4">
        <v>0</v>
      </c>
      <c r="V1052" s="4">
        <v>63</v>
      </c>
      <c r="W1052" s="4">
        <v>91</v>
      </c>
    </row>
    <row r="1053" spans="1:23" ht="11.25" customHeight="1" x14ac:dyDescent="0.3">
      <c r="A1053" s="4" t="s">
        <v>21</v>
      </c>
      <c r="B1053" s="4" t="s">
        <v>37</v>
      </c>
      <c r="C1053" s="4" t="s">
        <v>23</v>
      </c>
      <c r="D1053" s="4" t="s">
        <v>42</v>
      </c>
      <c r="E1053" s="4" t="s">
        <v>25</v>
      </c>
      <c r="F1053" s="4" t="s">
        <v>25</v>
      </c>
      <c r="G1053" s="4" t="s">
        <v>25</v>
      </c>
      <c r="H1053" s="4" t="s">
        <v>25</v>
      </c>
      <c r="I1053" s="5">
        <v>44682</v>
      </c>
      <c r="J1053" s="6">
        <v>0</v>
      </c>
      <c r="K1053" s="6">
        <v>0</v>
      </c>
      <c r="L1053" s="6">
        <v>3249.4789999999998</v>
      </c>
      <c r="M1053" s="6">
        <v>3249.4789999999998</v>
      </c>
      <c r="N1053" s="6">
        <v>3249.4789999999998</v>
      </c>
      <c r="O1053" s="6">
        <v>3249.4789999999998</v>
      </c>
      <c r="P1053" s="6">
        <v>5515</v>
      </c>
      <c r="Q1053" s="4" t="s">
        <v>26</v>
      </c>
      <c r="R1053" s="4">
        <v>0</v>
      </c>
      <c r="S1053" s="4" t="s">
        <v>415</v>
      </c>
      <c r="T1053" s="4" t="s">
        <v>637</v>
      </c>
      <c r="U1053" s="4">
        <v>0</v>
      </c>
      <c r="V1053" s="4">
        <v>63</v>
      </c>
      <c r="W1053" s="4">
        <v>91</v>
      </c>
    </row>
    <row r="1054" spans="1:23" ht="11.25" customHeight="1" x14ac:dyDescent="0.3">
      <c r="A1054" s="4" t="s">
        <v>27</v>
      </c>
      <c r="B1054" s="4" t="s">
        <v>37</v>
      </c>
      <c r="C1054" s="4" t="s">
        <v>23</v>
      </c>
      <c r="D1054" s="4" t="s">
        <v>42</v>
      </c>
      <c r="E1054" s="4" t="s">
        <v>25</v>
      </c>
      <c r="F1054" s="4" t="s">
        <v>25</v>
      </c>
      <c r="G1054" s="4" t="s">
        <v>25</v>
      </c>
      <c r="H1054" s="4" t="s">
        <v>25</v>
      </c>
      <c r="I1054" s="5">
        <v>44682</v>
      </c>
      <c r="J1054" s="6">
        <v>0</v>
      </c>
      <c r="K1054" s="6">
        <v>0</v>
      </c>
      <c r="L1054" s="6">
        <v>-10.763999999999999</v>
      </c>
      <c r="M1054" s="6">
        <v>-10.763999999999999</v>
      </c>
      <c r="N1054" s="6">
        <v>-10.763999999999999</v>
      </c>
      <c r="O1054" s="6">
        <v>-10.763999999999999</v>
      </c>
      <c r="P1054" s="6">
        <v>0</v>
      </c>
      <c r="Q1054" s="4" t="s">
        <v>26</v>
      </c>
      <c r="R1054" s="4">
        <v>0</v>
      </c>
      <c r="S1054" s="4" t="s">
        <v>415</v>
      </c>
      <c r="T1054" s="4" t="s">
        <v>637</v>
      </c>
      <c r="U1054" s="4">
        <v>0</v>
      </c>
      <c r="V1054" s="4">
        <v>63</v>
      </c>
      <c r="W1054" s="4">
        <v>91</v>
      </c>
    </row>
    <row r="1055" spans="1:23" ht="11.25" customHeight="1" x14ac:dyDescent="0.3">
      <c r="A1055" s="4" t="s">
        <v>28</v>
      </c>
      <c r="B1055" s="4" t="s">
        <v>37</v>
      </c>
      <c r="C1055" s="4" t="s">
        <v>23</v>
      </c>
      <c r="D1055" s="4" t="s">
        <v>42</v>
      </c>
      <c r="E1055" s="4" t="s">
        <v>25</v>
      </c>
      <c r="F1055" s="4" t="s">
        <v>25</v>
      </c>
      <c r="G1055" s="4" t="s">
        <v>25</v>
      </c>
      <c r="H1055" s="4" t="s">
        <v>25</v>
      </c>
      <c r="I1055" s="5">
        <v>44682</v>
      </c>
      <c r="J1055" s="6">
        <v>0</v>
      </c>
      <c r="K1055" s="6">
        <v>0</v>
      </c>
      <c r="L1055" s="6">
        <v>71.489999999999995</v>
      </c>
      <c r="M1055" s="6">
        <v>71.489999999999995</v>
      </c>
      <c r="N1055" s="6">
        <v>71.489999999999995</v>
      </c>
      <c r="O1055" s="6">
        <v>71.489999999999995</v>
      </c>
      <c r="P1055" s="6">
        <v>148</v>
      </c>
      <c r="Q1055" s="4" t="s">
        <v>26</v>
      </c>
      <c r="R1055" s="4">
        <v>0</v>
      </c>
      <c r="S1055" s="4" t="s">
        <v>415</v>
      </c>
      <c r="T1055" s="4" t="s">
        <v>637</v>
      </c>
      <c r="U1055" s="4">
        <v>0</v>
      </c>
      <c r="V1055" s="4">
        <v>63</v>
      </c>
      <c r="W1055" s="4">
        <v>91</v>
      </c>
    </row>
    <row r="1056" spans="1:23" ht="11.25" customHeight="1" x14ac:dyDescent="0.3">
      <c r="A1056" s="4" t="s">
        <v>21</v>
      </c>
      <c r="B1056" s="4" t="s">
        <v>37</v>
      </c>
      <c r="C1056" s="4" t="s">
        <v>23</v>
      </c>
      <c r="D1056" s="4" t="s">
        <v>42</v>
      </c>
      <c r="E1056" s="4" t="s">
        <v>25</v>
      </c>
      <c r="F1056" s="4" t="s">
        <v>25</v>
      </c>
      <c r="G1056" s="4" t="s">
        <v>25</v>
      </c>
      <c r="H1056" s="4" t="s">
        <v>25</v>
      </c>
      <c r="I1056" s="5">
        <v>44713</v>
      </c>
      <c r="J1056" s="6">
        <v>0</v>
      </c>
      <c r="K1056" s="6">
        <v>0</v>
      </c>
      <c r="L1056" s="6">
        <v>3046.7640000000001</v>
      </c>
      <c r="M1056" s="6">
        <v>3046.7640000000001</v>
      </c>
      <c r="N1056" s="6">
        <v>3046.7640000000001</v>
      </c>
      <c r="O1056" s="6">
        <v>3046.7640000000001</v>
      </c>
      <c r="P1056" s="6">
        <v>5530</v>
      </c>
      <c r="Q1056" s="4" t="s">
        <v>26</v>
      </c>
      <c r="R1056" s="4">
        <v>0</v>
      </c>
      <c r="S1056" s="4" t="s">
        <v>416</v>
      </c>
      <c r="T1056" s="4" t="s">
        <v>638</v>
      </c>
      <c r="U1056" s="4">
        <v>0</v>
      </c>
      <c r="V1056" s="4">
        <v>63</v>
      </c>
      <c r="W1056" s="4">
        <v>91</v>
      </c>
    </row>
    <row r="1057" spans="1:23" ht="11.25" customHeight="1" x14ac:dyDescent="0.3">
      <c r="A1057" s="4" t="s">
        <v>27</v>
      </c>
      <c r="B1057" s="4" t="s">
        <v>37</v>
      </c>
      <c r="C1057" s="4" t="s">
        <v>23</v>
      </c>
      <c r="D1057" s="4" t="s">
        <v>42</v>
      </c>
      <c r="E1057" s="4" t="s">
        <v>25</v>
      </c>
      <c r="F1057" s="4" t="s">
        <v>25</v>
      </c>
      <c r="G1057" s="4" t="s">
        <v>25</v>
      </c>
      <c r="H1057" s="4" t="s">
        <v>25</v>
      </c>
      <c r="I1057" s="5">
        <v>44713</v>
      </c>
      <c r="J1057" s="6">
        <v>0</v>
      </c>
      <c r="K1057" s="6">
        <v>0</v>
      </c>
      <c r="L1057" s="6">
        <v>-22.873999999999999</v>
      </c>
      <c r="M1057" s="6">
        <v>-22.873999999999999</v>
      </c>
      <c r="N1057" s="6">
        <v>-22.873999999999999</v>
      </c>
      <c r="O1057" s="6">
        <v>-22.873999999999999</v>
      </c>
      <c r="P1057" s="6">
        <v>0</v>
      </c>
      <c r="Q1057" s="4" t="s">
        <v>26</v>
      </c>
      <c r="R1057" s="4">
        <v>0</v>
      </c>
      <c r="S1057" s="4" t="s">
        <v>416</v>
      </c>
      <c r="T1057" s="4" t="s">
        <v>638</v>
      </c>
      <c r="U1057" s="4">
        <v>0</v>
      </c>
      <c r="V1057" s="4">
        <v>63</v>
      </c>
      <c r="W1057" s="4">
        <v>91</v>
      </c>
    </row>
    <row r="1058" spans="1:23" ht="11.25" customHeight="1" x14ac:dyDescent="0.3">
      <c r="A1058" s="4" t="s">
        <v>28</v>
      </c>
      <c r="B1058" s="4" t="s">
        <v>37</v>
      </c>
      <c r="C1058" s="4" t="s">
        <v>23</v>
      </c>
      <c r="D1058" s="4" t="s">
        <v>42</v>
      </c>
      <c r="E1058" s="4" t="s">
        <v>25</v>
      </c>
      <c r="F1058" s="4" t="s">
        <v>25</v>
      </c>
      <c r="G1058" s="4" t="s">
        <v>25</v>
      </c>
      <c r="H1058" s="4" t="s">
        <v>25</v>
      </c>
      <c r="I1058" s="5">
        <v>44713</v>
      </c>
      <c r="J1058" s="6">
        <v>0</v>
      </c>
      <c r="K1058" s="6">
        <v>0</v>
      </c>
      <c r="L1058" s="6">
        <v>79.274000000000001</v>
      </c>
      <c r="M1058" s="6">
        <v>79.274000000000001</v>
      </c>
      <c r="N1058" s="6">
        <v>79.274000000000001</v>
      </c>
      <c r="O1058" s="6">
        <v>79.274000000000001</v>
      </c>
      <c r="P1058" s="6">
        <v>160</v>
      </c>
      <c r="Q1058" s="4" t="s">
        <v>26</v>
      </c>
      <c r="R1058" s="4">
        <v>0</v>
      </c>
      <c r="S1058" s="4" t="s">
        <v>416</v>
      </c>
      <c r="T1058" s="4" t="s">
        <v>638</v>
      </c>
      <c r="U1058" s="4">
        <v>0</v>
      </c>
      <c r="V1058" s="4">
        <v>63</v>
      </c>
      <c r="W1058" s="4">
        <v>91</v>
      </c>
    </row>
    <row r="1059" spans="1:23" ht="11.25" customHeight="1" x14ac:dyDescent="0.3">
      <c r="A1059" s="4" t="s">
        <v>21</v>
      </c>
      <c r="B1059" s="4" t="s">
        <v>37</v>
      </c>
      <c r="C1059" s="4" t="s">
        <v>23</v>
      </c>
      <c r="D1059" s="4" t="s">
        <v>42</v>
      </c>
      <c r="E1059" s="4" t="s">
        <v>25</v>
      </c>
      <c r="F1059" s="4" t="s">
        <v>25</v>
      </c>
      <c r="G1059" s="4" t="s">
        <v>25</v>
      </c>
      <c r="H1059" s="4" t="s">
        <v>25</v>
      </c>
      <c r="I1059" s="5">
        <v>44743</v>
      </c>
      <c r="J1059" s="6">
        <v>0</v>
      </c>
      <c r="K1059" s="6">
        <v>0</v>
      </c>
      <c r="L1059" s="6">
        <v>3165.8670000000002</v>
      </c>
      <c r="M1059" s="6">
        <v>3165.8670000000002</v>
      </c>
      <c r="N1059" s="6">
        <v>3165.8670000000002</v>
      </c>
      <c r="O1059" s="6">
        <v>3165.8670000000002</v>
      </c>
      <c r="P1059" s="6">
        <v>5566</v>
      </c>
      <c r="Q1059" s="4" t="s">
        <v>26</v>
      </c>
      <c r="R1059" s="4">
        <v>0</v>
      </c>
      <c r="S1059" s="4" t="s">
        <v>417</v>
      </c>
      <c r="T1059" s="4" t="s">
        <v>639</v>
      </c>
      <c r="U1059" s="4">
        <v>0</v>
      </c>
      <c r="V1059" s="4">
        <v>63</v>
      </c>
      <c r="W1059" s="4">
        <v>91</v>
      </c>
    </row>
    <row r="1060" spans="1:23" ht="11.25" customHeight="1" x14ac:dyDescent="0.3">
      <c r="A1060" s="4" t="s">
        <v>21</v>
      </c>
      <c r="B1060" s="4" t="s">
        <v>37</v>
      </c>
      <c r="C1060" s="4" t="s">
        <v>23</v>
      </c>
      <c r="D1060" s="4" t="s">
        <v>42</v>
      </c>
      <c r="E1060" s="4" t="s">
        <v>25</v>
      </c>
      <c r="F1060" s="4" t="s">
        <v>25</v>
      </c>
      <c r="G1060" s="4" t="s">
        <v>25</v>
      </c>
      <c r="H1060" s="4" t="s">
        <v>25</v>
      </c>
      <c r="I1060" s="5">
        <v>44774</v>
      </c>
      <c r="J1060" s="6">
        <v>0</v>
      </c>
      <c r="K1060" s="6">
        <v>0</v>
      </c>
      <c r="L1060" s="6">
        <v>2993.3609999999999</v>
      </c>
      <c r="M1060" s="6">
        <v>2993.3609999999999</v>
      </c>
      <c r="N1060" s="6">
        <v>2993.3609999999999</v>
      </c>
      <c r="O1060" s="6">
        <v>2993.3609999999999</v>
      </c>
      <c r="P1060" s="6">
        <v>5568</v>
      </c>
      <c r="Q1060" s="4" t="s">
        <v>26</v>
      </c>
      <c r="R1060" s="4">
        <v>0</v>
      </c>
      <c r="S1060" s="4" t="s">
        <v>418</v>
      </c>
      <c r="T1060" s="4" t="s">
        <v>640</v>
      </c>
      <c r="U1060" s="4">
        <v>0</v>
      </c>
      <c r="V1060" s="4">
        <v>63</v>
      </c>
      <c r="W1060" s="4">
        <v>91</v>
      </c>
    </row>
    <row r="1061" spans="1:23" ht="11.25" customHeight="1" x14ac:dyDescent="0.3">
      <c r="A1061" s="4" t="s">
        <v>27</v>
      </c>
      <c r="B1061" s="4" t="s">
        <v>37</v>
      </c>
      <c r="C1061" s="4" t="s">
        <v>23</v>
      </c>
      <c r="D1061" s="4" t="s">
        <v>42</v>
      </c>
      <c r="E1061" s="4" t="s">
        <v>25</v>
      </c>
      <c r="F1061" s="4" t="s">
        <v>25</v>
      </c>
      <c r="G1061" s="4" t="s">
        <v>25</v>
      </c>
      <c r="H1061" s="4" t="s">
        <v>25</v>
      </c>
      <c r="I1061" s="5">
        <v>44774</v>
      </c>
      <c r="J1061" s="6">
        <v>0</v>
      </c>
      <c r="K1061" s="6">
        <v>0</v>
      </c>
      <c r="L1061" s="6">
        <v>-0.42599999999999999</v>
      </c>
      <c r="M1061" s="6">
        <v>-0.42599999999999999</v>
      </c>
      <c r="N1061" s="6">
        <v>-0.42599999999999999</v>
      </c>
      <c r="O1061" s="6">
        <v>-0.42599999999999999</v>
      </c>
      <c r="P1061" s="6">
        <v>0</v>
      </c>
      <c r="Q1061" s="4" t="s">
        <v>26</v>
      </c>
      <c r="R1061" s="4">
        <v>0</v>
      </c>
      <c r="S1061" s="4" t="s">
        <v>418</v>
      </c>
      <c r="T1061" s="4" t="s">
        <v>640</v>
      </c>
      <c r="U1061" s="4">
        <v>0</v>
      </c>
      <c r="V1061" s="4">
        <v>63</v>
      </c>
      <c r="W1061" s="4">
        <v>91</v>
      </c>
    </row>
    <row r="1062" spans="1:23" ht="11.25" customHeight="1" x14ac:dyDescent="0.3">
      <c r="A1062" s="4" t="s">
        <v>28</v>
      </c>
      <c r="B1062" s="4" t="s">
        <v>37</v>
      </c>
      <c r="C1062" s="4" t="s">
        <v>23</v>
      </c>
      <c r="D1062" s="4" t="s">
        <v>42</v>
      </c>
      <c r="E1062" s="4" t="s">
        <v>25</v>
      </c>
      <c r="F1062" s="4" t="s">
        <v>25</v>
      </c>
      <c r="G1062" s="4" t="s">
        <v>25</v>
      </c>
      <c r="H1062" s="4" t="s">
        <v>25</v>
      </c>
      <c r="I1062" s="5">
        <v>44774</v>
      </c>
      <c r="J1062" s="6">
        <v>0</v>
      </c>
      <c r="K1062" s="6">
        <v>0</v>
      </c>
      <c r="L1062" s="6">
        <v>86.825999999999993</v>
      </c>
      <c r="M1062" s="6">
        <v>86.825999999999993</v>
      </c>
      <c r="N1062" s="6">
        <v>86.825999999999993</v>
      </c>
      <c r="O1062" s="6">
        <v>86.825999999999993</v>
      </c>
      <c r="P1062" s="6">
        <v>183</v>
      </c>
      <c r="Q1062" s="4" t="s">
        <v>26</v>
      </c>
      <c r="R1062" s="4">
        <v>0</v>
      </c>
      <c r="S1062" s="4" t="s">
        <v>418</v>
      </c>
      <c r="T1062" s="4" t="s">
        <v>640</v>
      </c>
      <c r="U1062" s="4">
        <v>0</v>
      </c>
      <c r="V1062" s="4">
        <v>63</v>
      </c>
      <c r="W1062" s="4">
        <v>91</v>
      </c>
    </row>
    <row r="1063" spans="1:23" ht="11.25" customHeight="1" x14ac:dyDescent="0.3">
      <c r="A1063" s="4" t="s">
        <v>28</v>
      </c>
      <c r="B1063" s="4" t="s">
        <v>37</v>
      </c>
      <c r="C1063" s="4" t="s">
        <v>23</v>
      </c>
      <c r="D1063" s="4" t="s">
        <v>42</v>
      </c>
      <c r="E1063" s="4" t="s">
        <v>25</v>
      </c>
      <c r="F1063" s="4" t="s">
        <v>25</v>
      </c>
      <c r="G1063" s="4" t="s">
        <v>25</v>
      </c>
      <c r="H1063" s="4" t="s">
        <v>25</v>
      </c>
      <c r="I1063" s="5">
        <v>44774</v>
      </c>
      <c r="J1063" s="6">
        <v>0</v>
      </c>
      <c r="K1063" s="6">
        <v>0</v>
      </c>
      <c r="L1063" s="6">
        <v>-0.91</v>
      </c>
      <c r="M1063" s="6">
        <v>-0.91</v>
      </c>
      <c r="N1063" s="6">
        <v>-0.91</v>
      </c>
      <c r="O1063" s="6">
        <v>-0.91</v>
      </c>
      <c r="P1063" s="6">
        <v>4</v>
      </c>
      <c r="Q1063" s="4" t="s">
        <v>26</v>
      </c>
      <c r="R1063" s="4">
        <v>0</v>
      </c>
      <c r="S1063" s="4" t="s">
        <v>418</v>
      </c>
      <c r="T1063" s="4" t="s">
        <v>640</v>
      </c>
      <c r="U1063" s="4">
        <v>0</v>
      </c>
      <c r="V1063" s="4">
        <v>63</v>
      </c>
      <c r="W1063" s="4">
        <v>91</v>
      </c>
    </row>
    <row r="1064" spans="1:23" ht="11.25" customHeight="1" x14ac:dyDescent="0.3">
      <c r="A1064" s="4" t="s">
        <v>21</v>
      </c>
      <c r="B1064" s="4" t="s">
        <v>37</v>
      </c>
      <c r="C1064" s="4" t="s">
        <v>23</v>
      </c>
      <c r="D1064" s="4" t="s">
        <v>42</v>
      </c>
      <c r="E1064" s="4" t="s">
        <v>25</v>
      </c>
      <c r="F1064" s="4" t="s">
        <v>25</v>
      </c>
      <c r="G1064" s="4" t="s">
        <v>25</v>
      </c>
      <c r="H1064" s="4" t="s">
        <v>25</v>
      </c>
      <c r="I1064" s="5">
        <v>44805</v>
      </c>
      <c r="J1064" s="6">
        <v>0</v>
      </c>
      <c r="K1064" s="6">
        <v>0</v>
      </c>
      <c r="L1064" s="6">
        <v>3262.2240000000002</v>
      </c>
      <c r="M1064" s="6">
        <v>3262.2240000000002</v>
      </c>
      <c r="N1064" s="6">
        <v>3262.2240000000002</v>
      </c>
      <c r="O1064" s="6">
        <v>3262.2240000000002</v>
      </c>
      <c r="P1064" s="6">
        <v>5567</v>
      </c>
      <c r="Q1064" s="4" t="s">
        <v>26</v>
      </c>
      <c r="R1064" s="4">
        <v>0</v>
      </c>
      <c r="S1064" s="4" t="s">
        <v>419</v>
      </c>
      <c r="T1064" s="4" t="s">
        <v>641</v>
      </c>
      <c r="U1064" s="4">
        <v>0</v>
      </c>
      <c r="V1064" s="4">
        <v>63</v>
      </c>
      <c r="W1064" s="4">
        <v>91</v>
      </c>
    </row>
    <row r="1065" spans="1:23" ht="11.25" customHeight="1" x14ac:dyDescent="0.3">
      <c r="A1065" s="4" t="s">
        <v>27</v>
      </c>
      <c r="B1065" s="4" t="s">
        <v>37</v>
      </c>
      <c r="C1065" s="4" t="s">
        <v>23</v>
      </c>
      <c r="D1065" s="4" t="s">
        <v>42</v>
      </c>
      <c r="E1065" s="4" t="s">
        <v>25</v>
      </c>
      <c r="F1065" s="4" t="s">
        <v>25</v>
      </c>
      <c r="G1065" s="4" t="s">
        <v>25</v>
      </c>
      <c r="H1065" s="4" t="s">
        <v>25</v>
      </c>
      <c r="I1065" s="5">
        <v>44805</v>
      </c>
      <c r="J1065" s="6">
        <v>0</v>
      </c>
      <c r="K1065" s="6">
        <v>0</v>
      </c>
      <c r="L1065" s="6">
        <v>-5.9249999999999998</v>
      </c>
      <c r="M1065" s="6">
        <v>-5.9249999999999998</v>
      </c>
      <c r="N1065" s="6">
        <v>-5.9249999999999998</v>
      </c>
      <c r="O1065" s="6">
        <v>-5.9249999999999998</v>
      </c>
      <c r="P1065" s="6">
        <v>0</v>
      </c>
      <c r="Q1065" s="4" t="s">
        <v>26</v>
      </c>
      <c r="R1065" s="4">
        <v>0</v>
      </c>
      <c r="S1065" s="4" t="s">
        <v>419</v>
      </c>
      <c r="T1065" s="4" t="s">
        <v>641</v>
      </c>
      <c r="U1065" s="4">
        <v>0</v>
      </c>
      <c r="V1065" s="4">
        <v>63</v>
      </c>
      <c r="W1065" s="4">
        <v>91</v>
      </c>
    </row>
    <row r="1066" spans="1:23" ht="11.25" customHeight="1" x14ac:dyDescent="0.3">
      <c r="A1066" s="4" t="s">
        <v>28</v>
      </c>
      <c r="B1066" s="4" t="s">
        <v>37</v>
      </c>
      <c r="C1066" s="4" t="s">
        <v>23</v>
      </c>
      <c r="D1066" s="4" t="s">
        <v>42</v>
      </c>
      <c r="E1066" s="4" t="s">
        <v>25</v>
      </c>
      <c r="F1066" s="4" t="s">
        <v>25</v>
      </c>
      <c r="G1066" s="4" t="s">
        <v>25</v>
      </c>
      <c r="H1066" s="4" t="s">
        <v>25</v>
      </c>
      <c r="I1066" s="5">
        <v>44805</v>
      </c>
      <c r="J1066" s="6">
        <v>0</v>
      </c>
      <c r="K1066" s="6">
        <v>0</v>
      </c>
      <c r="L1066" s="6">
        <v>99.796000000000006</v>
      </c>
      <c r="M1066" s="6">
        <v>99.796000000000006</v>
      </c>
      <c r="N1066" s="6">
        <v>99.796000000000006</v>
      </c>
      <c r="O1066" s="6">
        <v>99.796000000000006</v>
      </c>
      <c r="P1066" s="6">
        <v>196</v>
      </c>
      <c r="Q1066" s="4" t="s">
        <v>26</v>
      </c>
      <c r="R1066" s="4">
        <v>0</v>
      </c>
      <c r="S1066" s="4" t="s">
        <v>419</v>
      </c>
      <c r="T1066" s="4" t="s">
        <v>641</v>
      </c>
      <c r="U1066" s="4">
        <v>0</v>
      </c>
      <c r="V1066" s="4">
        <v>63</v>
      </c>
      <c r="W1066" s="4">
        <v>91</v>
      </c>
    </row>
    <row r="1067" spans="1:23" ht="11.25" customHeight="1" x14ac:dyDescent="0.3">
      <c r="A1067" s="4" t="s">
        <v>28</v>
      </c>
      <c r="B1067" s="4" t="s">
        <v>37</v>
      </c>
      <c r="C1067" s="4" t="s">
        <v>23</v>
      </c>
      <c r="D1067" s="4" t="s">
        <v>42</v>
      </c>
      <c r="E1067" s="4" t="s">
        <v>25</v>
      </c>
      <c r="F1067" s="4" t="s">
        <v>25</v>
      </c>
      <c r="G1067" s="4" t="s">
        <v>25</v>
      </c>
      <c r="H1067" s="4" t="s">
        <v>25</v>
      </c>
      <c r="I1067" s="5">
        <v>44805</v>
      </c>
      <c r="J1067" s="6">
        <v>0</v>
      </c>
      <c r="K1067" s="6">
        <v>0</v>
      </c>
      <c r="L1067" s="6">
        <v>0.72299999999999998</v>
      </c>
      <c r="M1067" s="6">
        <v>0.72299999999999998</v>
      </c>
      <c r="N1067" s="6">
        <v>0.72299999999999998</v>
      </c>
      <c r="O1067" s="6">
        <v>0.72299999999999998</v>
      </c>
      <c r="P1067" s="6">
        <v>2</v>
      </c>
      <c r="Q1067" s="4" t="s">
        <v>26</v>
      </c>
      <c r="R1067" s="4">
        <v>0</v>
      </c>
      <c r="S1067" s="4" t="s">
        <v>419</v>
      </c>
      <c r="T1067" s="4" t="s">
        <v>641</v>
      </c>
      <c r="U1067" s="4">
        <v>0</v>
      </c>
      <c r="V1067" s="4">
        <v>63</v>
      </c>
      <c r="W1067" s="4">
        <v>91</v>
      </c>
    </row>
    <row r="1068" spans="1:23" ht="11.25" customHeight="1" x14ac:dyDescent="0.3">
      <c r="A1068" s="4" t="s">
        <v>53</v>
      </c>
      <c r="B1068" s="4" t="s">
        <v>37</v>
      </c>
      <c r="C1068" s="4" t="s">
        <v>23</v>
      </c>
      <c r="D1068" s="4" t="s">
        <v>42</v>
      </c>
      <c r="E1068" s="4" t="s">
        <v>25</v>
      </c>
      <c r="F1068" s="4" t="s">
        <v>25</v>
      </c>
      <c r="G1068" s="4" t="s">
        <v>25</v>
      </c>
      <c r="H1068" s="4" t="s">
        <v>25</v>
      </c>
      <c r="I1068" s="5">
        <v>44835</v>
      </c>
      <c r="J1068" s="6">
        <v>0</v>
      </c>
      <c r="K1068" s="6">
        <v>0</v>
      </c>
      <c r="L1068" s="6">
        <v>3262.2240000000002</v>
      </c>
      <c r="M1068" s="6">
        <v>3262.2240000000002</v>
      </c>
      <c r="N1068" s="6">
        <v>3262.2240000000002</v>
      </c>
      <c r="O1068" s="6">
        <v>3262.2240000000002</v>
      </c>
      <c r="P1068" s="6">
        <v>5567</v>
      </c>
      <c r="Q1068" s="4" t="s">
        <v>26</v>
      </c>
      <c r="R1068" s="4">
        <v>0</v>
      </c>
      <c r="S1068" s="4" t="s">
        <v>420</v>
      </c>
      <c r="T1068" s="4" t="s">
        <v>642</v>
      </c>
      <c r="U1068" s="4">
        <v>0</v>
      </c>
      <c r="V1068" s="4">
        <v>63</v>
      </c>
      <c r="W1068" s="4">
        <v>91</v>
      </c>
    </row>
    <row r="1069" spans="1:23" ht="11.25" customHeight="1" x14ac:dyDescent="0.3">
      <c r="A1069" s="4" t="s">
        <v>53</v>
      </c>
      <c r="B1069" s="4" t="s">
        <v>37</v>
      </c>
      <c r="C1069" s="4" t="s">
        <v>23</v>
      </c>
      <c r="D1069" s="4" t="s">
        <v>42</v>
      </c>
      <c r="E1069" s="4" t="s">
        <v>25</v>
      </c>
      <c r="F1069" s="4" t="s">
        <v>25</v>
      </c>
      <c r="G1069" s="4" t="s">
        <v>25</v>
      </c>
      <c r="H1069" s="4" t="s">
        <v>25</v>
      </c>
      <c r="I1069" s="5">
        <v>44835</v>
      </c>
      <c r="J1069" s="6">
        <v>0</v>
      </c>
      <c r="K1069" s="6">
        <v>0</v>
      </c>
      <c r="L1069" s="6">
        <v>-5.9249999999999998</v>
      </c>
      <c r="M1069" s="6">
        <v>-5.9249999999999998</v>
      </c>
      <c r="N1069" s="6">
        <v>-5.9249999999999998</v>
      </c>
      <c r="O1069" s="6">
        <v>-5.9249999999999998</v>
      </c>
      <c r="P1069" s="6">
        <v>0</v>
      </c>
      <c r="Q1069" s="4" t="s">
        <v>26</v>
      </c>
      <c r="R1069" s="4">
        <v>0</v>
      </c>
      <c r="S1069" s="4" t="s">
        <v>420</v>
      </c>
      <c r="T1069" s="4" t="s">
        <v>642</v>
      </c>
      <c r="U1069" s="4">
        <v>0</v>
      </c>
      <c r="V1069" s="4">
        <v>63</v>
      </c>
      <c r="W1069" s="4">
        <v>91</v>
      </c>
    </row>
    <row r="1070" spans="1:23" ht="11.25" customHeight="1" x14ac:dyDescent="0.3">
      <c r="A1070" s="4" t="s">
        <v>53</v>
      </c>
      <c r="B1070" s="4" t="s">
        <v>37</v>
      </c>
      <c r="C1070" s="4" t="s">
        <v>23</v>
      </c>
      <c r="D1070" s="4" t="s">
        <v>42</v>
      </c>
      <c r="E1070" s="4" t="s">
        <v>25</v>
      </c>
      <c r="F1070" s="4" t="s">
        <v>25</v>
      </c>
      <c r="G1070" s="4" t="s">
        <v>25</v>
      </c>
      <c r="H1070" s="4" t="s">
        <v>25</v>
      </c>
      <c r="I1070" s="5">
        <v>44835</v>
      </c>
      <c r="J1070" s="6">
        <v>0</v>
      </c>
      <c r="K1070" s="6">
        <v>0</v>
      </c>
      <c r="L1070" s="6">
        <v>99.796000000000006</v>
      </c>
      <c r="M1070" s="6">
        <v>99.796000000000006</v>
      </c>
      <c r="N1070" s="6">
        <v>99.796000000000006</v>
      </c>
      <c r="O1070" s="6">
        <v>99.796000000000006</v>
      </c>
      <c r="P1070" s="6">
        <v>196</v>
      </c>
      <c r="Q1070" s="4" t="s">
        <v>26</v>
      </c>
      <c r="R1070" s="4">
        <v>0</v>
      </c>
      <c r="S1070" s="4" t="s">
        <v>420</v>
      </c>
      <c r="T1070" s="4" t="s">
        <v>642</v>
      </c>
      <c r="U1070" s="4">
        <v>0</v>
      </c>
      <c r="V1070" s="4">
        <v>63</v>
      </c>
      <c r="W1070" s="4">
        <v>91</v>
      </c>
    </row>
    <row r="1071" spans="1:23" ht="11.25" customHeight="1" x14ac:dyDescent="0.3">
      <c r="A1071" s="4" t="s">
        <v>53</v>
      </c>
      <c r="B1071" s="4" t="s">
        <v>37</v>
      </c>
      <c r="C1071" s="4" t="s">
        <v>23</v>
      </c>
      <c r="D1071" s="4" t="s">
        <v>42</v>
      </c>
      <c r="E1071" s="4" t="s">
        <v>25</v>
      </c>
      <c r="F1071" s="4" t="s">
        <v>25</v>
      </c>
      <c r="G1071" s="4" t="s">
        <v>25</v>
      </c>
      <c r="H1071" s="4" t="s">
        <v>25</v>
      </c>
      <c r="I1071" s="5">
        <v>44835</v>
      </c>
      <c r="J1071" s="6">
        <v>0</v>
      </c>
      <c r="K1071" s="6">
        <v>0</v>
      </c>
      <c r="L1071" s="6">
        <v>0.72299999999999998</v>
      </c>
      <c r="M1071" s="6">
        <v>0.72299999999999998</v>
      </c>
      <c r="N1071" s="6">
        <v>0.72299999999999998</v>
      </c>
      <c r="O1071" s="6">
        <v>0.72299999999999998</v>
      </c>
      <c r="P1071" s="6">
        <v>2</v>
      </c>
      <c r="Q1071" s="4" t="s">
        <v>26</v>
      </c>
      <c r="R1071" s="4">
        <v>0</v>
      </c>
      <c r="S1071" s="4" t="s">
        <v>420</v>
      </c>
      <c r="T1071" s="4" t="s">
        <v>642</v>
      </c>
      <c r="U1071" s="4">
        <v>0</v>
      </c>
      <c r="V1071" s="4">
        <v>63</v>
      </c>
      <c r="W1071" s="4">
        <v>91</v>
      </c>
    </row>
    <row r="1072" spans="1:23" ht="11.25" customHeight="1" x14ac:dyDescent="0.3">
      <c r="A1072" s="4" t="s">
        <v>21</v>
      </c>
      <c r="B1072" s="4" t="s">
        <v>37</v>
      </c>
      <c r="C1072" s="4" t="s">
        <v>23</v>
      </c>
      <c r="D1072" s="4" t="s">
        <v>52</v>
      </c>
      <c r="E1072" s="4" t="s">
        <v>25</v>
      </c>
      <c r="F1072" s="4" t="s">
        <v>25</v>
      </c>
      <c r="G1072" s="4" t="s">
        <v>25</v>
      </c>
      <c r="H1072" s="4" t="s">
        <v>25</v>
      </c>
      <c r="I1072" s="5">
        <v>44501</v>
      </c>
      <c r="J1072" s="6">
        <v>0</v>
      </c>
      <c r="K1072" s="6">
        <v>0</v>
      </c>
      <c r="L1072" s="6">
        <v>19.355</v>
      </c>
      <c r="M1072" s="6">
        <v>19.355</v>
      </c>
      <c r="N1072" s="6">
        <v>19.355</v>
      </c>
      <c r="O1072" s="6">
        <v>19.355</v>
      </c>
      <c r="P1072" s="6">
        <v>9</v>
      </c>
      <c r="Q1072" s="4" t="s">
        <v>26</v>
      </c>
      <c r="R1072" s="4">
        <v>0</v>
      </c>
      <c r="S1072" s="4" t="s">
        <v>409</v>
      </c>
      <c r="T1072" s="4" t="s">
        <v>631</v>
      </c>
      <c r="U1072" s="4">
        <v>0</v>
      </c>
      <c r="V1072" s="4">
        <v>63</v>
      </c>
      <c r="W1072" s="4">
        <v>91</v>
      </c>
    </row>
    <row r="1073" spans="1:23" ht="11.25" customHeight="1" x14ac:dyDescent="0.3">
      <c r="A1073" s="4" t="s">
        <v>28</v>
      </c>
      <c r="B1073" s="4" t="s">
        <v>37</v>
      </c>
      <c r="C1073" s="4" t="s">
        <v>23</v>
      </c>
      <c r="D1073" s="4" t="s">
        <v>52</v>
      </c>
      <c r="E1073" s="4" t="s">
        <v>25</v>
      </c>
      <c r="F1073" s="4" t="s">
        <v>25</v>
      </c>
      <c r="G1073" s="4" t="s">
        <v>25</v>
      </c>
      <c r="H1073" s="4" t="s">
        <v>25</v>
      </c>
      <c r="I1073" s="5">
        <v>44501</v>
      </c>
      <c r="J1073" s="6">
        <v>0</v>
      </c>
      <c r="K1073" s="6">
        <v>0</v>
      </c>
      <c r="L1073" s="6">
        <v>0.1</v>
      </c>
      <c r="M1073" s="6">
        <v>0.1</v>
      </c>
      <c r="N1073" s="6">
        <v>0.1</v>
      </c>
      <c r="O1073" s="6">
        <v>0.1</v>
      </c>
      <c r="P1073" s="6">
        <v>1</v>
      </c>
      <c r="Q1073" s="4" t="s">
        <v>26</v>
      </c>
      <c r="R1073" s="4">
        <v>0</v>
      </c>
      <c r="S1073" s="4" t="s">
        <v>409</v>
      </c>
      <c r="T1073" s="4" t="s">
        <v>631</v>
      </c>
      <c r="U1073" s="4">
        <v>0</v>
      </c>
      <c r="V1073" s="4">
        <v>63</v>
      </c>
      <c r="W1073" s="4">
        <v>91</v>
      </c>
    </row>
    <row r="1074" spans="1:23" ht="11.25" customHeight="1" x14ac:dyDescent="0.3">
      <c r="A1074" s="4" t="s">
        <v>21</v>
      </c>
      <c r="B1074" s="4" t="s">
        <v>37</v>
      </c>
      <c r="C1074" s="4" t="s">
        <v>23</v>
      </c>
      <c r="D1074" s="4" t="s">
        <v>52</v>
      </c>
      <c r="E1074" s="4" t="s">
        <v>25</v>
      </c>
      <c r="F1074" s="4" t="s">
        <v>25</v>
      </c>
      <c r="G1074" s="4" t="s">
        <v>25</v>
      </c>
      <c r="H1074" s="4" t="s">
        <v>25</v>
      </c>
      <c r="I1074" s="5">
        <v>44531</v>
      </c>
      <c r="J1074" s="6">
        <v>0</v>
      </c>
      <c r="K1074" s="6">
        <v>0</v>
      </c>
      <c r="L1074" s="6">
        <v>18.065000000000001</v>
      </c>
      <c r="M1074" s="6">
        <v>18.065000000000001</v>
      </c>
      <c r="N1074" s="6">
        <v>18.065000000000001</v>
      </c>
      <c r="O1074" s="6">
        <v>18.065000000000001</v>
      </c>
      <c r="P1074" s="6">
        <v>8</v>
      </c>
      <c r="Q1074" s="4" t="s">
        <v>26</v>
      </c>
      <c r="R1074" s="4">
        <v>0</v>
      </c>
      <c r="S1074" s="4" t="s">
        <v>410</v>
      </c>
      <c r="T1074" s="4" t="s">
        <v>632</v>
      </c>
      <c r="U1074" s="4">
        <v>0</v>
      </c>
      <c r="V1074" s="4">
        <v>63</v>
      </c>
      <c r="W1074" s="4">
        <v>91</v>
      </c>
    </row>
    <row r="1075" spans="1:23" ht="11.25" customHeight="1" x14ac:dyDescent="0.3">
      <c r="A1075" s="4" t="s">
        <v>28</v>
      </c>
      <c r="B1075" s="4" t="s">
        <v>37</v>
      </c>
      <c r="C1075" s="4" t="s">
        <v>23</v>
      </c>
      <c r="D1075" s="4" t="s">
        <v>52</v>
      </c>
      <c r="E1075" s="4" t="s">
        <v>25</v>
      </c>
      <c r="F1075" s="4" t="s">
        <v>25</v>
      </c>
      <c r="G1075" s="4" t="s">
        <v>25</v>
      </c>
      <c r="H1075" s="4" t="s">
        <v>25</v>
      </c>
      <c r="I1075" s="5">
        <v>44531</v>
      </c>
      <c r="J1075" s="6">
        <v>0</v>
      </c>
      <c r="K1075" s="6">
        <v>0</v>
      </c>
      <c r="L1075" s="6">
        <v>0.2</v>
      </c>
      <c r="M1075" s="6">
        <v>0.2</v>
      </c>
      <c r="N1075" s="6">
        <v>0.2</v>
      </c>
      <c r="O1075" s="6">
        <v>0.2</v>
      </c>
      <c r="P1075" s="6">
        <v>2</v>
      </c>
      <c r="Q1075" s="4" t="s">
        <v>26</v>
      </c>
      <c r="R1075" s="4">
        <v>0</v>
      </c>
      <c r="S1075" s="4" t="s">
        <v>410</v>
      </c>
      <c r="T1075" s="4" t="s">
        <v>632</v>
      </c>
      <c r="U1075" s="4">
        <v>0</v>
      </c>
      <c r="V1075" s="4">
        <v>63</v>
      </c>
      <c r="W1075" s="4">
        <v>91</v>
      </c>
    </row>
    <row r="1076" spans="1:23" ht="11.25" customHeight="1" x14ac:dyDescent="0.3">
      <c r="A1076" s="4" t="s">
        <v>21</v>
      </c>
      <c r="B1076" s="4" t="s">
        <v>37</v>
      </c>
      <c r="C1076" s="4" t="s">
        <v>23</v>
      </c>
      <c r="D1076" s="4" t="s">
        <v>52</v>
      </c>
      <c r="E1076" s="4" t="s">
        <v>25</v>
      </c>
      <c r="F1076" s="4" t="s">
        <v>25</v>
      </c>
      <c r="G1076" s="4" t="s">
        <v>25</v>
      </c>
      <c r="H1076" s="4" t="s">
        <v>25</v>
      </c>
      <c r="I1076" s="5">
        <v>44562</v>
      </c>
      <c r="J1076" s="6">
        <v>0</v>
      </c>
      <c r="K1076" s="6">
        <v>0</v>
      </c>
      <c r="L1076" s="6">
        <v>5.6550000000000002</v>
      </c>
      <c r="M1076" s="6">
        <v>5.6550000000000002</v>
      </c>
      <c r="N1076" s="6">
        <v>5.6550000000000002</v>
      </c>
      <c r="O1076" s="6">
        <v>5.6550000000000002</v>
      </c>
      <c r="P1076" s="6">
        <v>7</v>
      </c>
      <c r="Q1076" s="4" t="s">
        <v>26</v>
      </c>
      <c r="R1076" s="4">
        <v>0</v>
      </c>
      <c r="S1076" s="4" t="s">
        <v>411</v>
      </c>
      <c r="T1076" s="4" t="s">
        <v>633</v>
      </c>
      <c r="U1076" s="4">
        <v>0</v>
      </c>
      <c r="V1076" s="4">
        <v>63</v>
      </c>
      <c r="W1076" s="4">
        <v>91</v>
      </c>
    </row>
    <row r="1077" spans="1:23" ht="11.25" customHeight="1" x14ac:dyDescent="0.3">
      <c r="A1077" s="4" t="s">
        <v>28</v>
      </c>
      <c r="B1077" s="4" t="s">
        <v>37</v>
      </c>
      <c r="C1077" s="4" t="s">
        <v>23</v>
      </c>
      <c r="D1077" s="4" t="s">
        <v>52</v>
      </c>
      <c r="E1077" s="4" t="s">
        <v>25</v>
      </c>
      <c r="F1077" s="4" t="s">
        <v>25</v>
      </c>
      <c r="G1077" s="4" t="s">
        <v>25</v>
      </c>
      <c r="H1077" s="4" t="s">
        <v>25</v>
      </c>
      <c r="I1077" s="5">
        <v>44562</v>
      </c>
      <c r="J1077" s="6">
        <v>0</v>
      </c>
      <c r="K1077" s="6">
        <v>0</v>
      </c>
      <c r="L1077" s="6">
        <v>13.237</v>
      </c>
      <c r="M1077" s="6">
        <v>13.237</v>
      </c>
      <c r="N1077" s="6">
        <v>13.237</v>
      </c>
      <c r="O1077" s="6">
        <v>13.237</v>
      </c>
      <c r="P1077" s="6">
        <v>3</v>
      </c>
      <c r="Q1077" s="4" t="s">
        <v>26</v>
      </c>
      <c r="R1077" s="4">
        <v>0</v>
      </c>
      <c r="S1077" s="4" t="s">
        <v>411</v>
      </c>
      <c r="T1077" s="4" t="s">
        <v>633</v>
      </c>
      <c r="U1077" s="4">
        <v>0</v>
      </c>
      <c r="V1077" s="4">
        <v>63</v>
      </c>
      <c r="W1077" s="4">
        <v>91</v>
      </c>
    </row>
    <row r="1078" spans="1:23" ht="11.25" customHeight="1" x14ac:dyDescent="0.3">
      <c r="A1078" s="4" t="s">
        <v>21</v>
      </c>
      <c r="B1078" s="4" t="s">
        <v>37</v>
      </c>
      <c r="C1078" s="4" t="s">
        <v>23</v>
      </c>
      <c r="D1078" s="4" t="s">
        <v>52</v>
      </c>
      <c r="E1078" s="4" t="s">
        <v>25</v>
      </c>
      <c r="F1078" s="4" t="s">
        <v>25</v>
      </c>
      <c r="G1078" s="4" t="s">
        <v>25</v>
      </c>
      <c r="H1078" s="4" t="s">
        <v>25</v>
      </c>
      <c r="I1078" s="5">
        <v>44593</v>
      </c>
      <c r="J1078" s="6">
        <v>0</v>
      </c>
      <c r="K1078" s="6">
        <v>0</v>
      </c>
      <c r="L1078" s="6">
        <v>2.9710000000000001</v>
      </c>
      <c r="M1078" s="6">
        <v>2.9710000000000001</v>
      </c>
      <c r="N1078" s="6">
        <v>2.9710000000000001</v>
      </c>
      <c r="O1078" s="6">
        <v>2.9710000000000001</v>
      </c>
      <c r="P1078" s="6">
        <v>7</v>
      </c>
      <c r="Q1078" s="4" t="s">
        <v>26</v>
      </c>
      <c r="R1078" s="4">
        <v>0</v>
      </c>
      <c r="S1078" s="4" t="s">
        <v>412</v>
      </c>
      <c r="T1078" s="4" t="s">
        <v>634</v>
      </c>
      <c r="U1078" s="4">
        <v>0</v>
      </c>
      <c r="V1078" s="4">
        <v>63</v>
      </c>
      <c r="W1078" s="4">
        <v>91</v>
      </c>
    </row>
    <row r="1079" spans="1:23" ht="11.25" customHeight="1" x14ac:dyDescent="0.3">
      <c r="A1079" s="4" t="s">
        <v>28</v>
      </c>
      <c r="B1079" s="4" t="s">
        <v>37</v>
      </c>
      <c r="C1079" s="4" t="s">
        <v>23</v>
      </c>
      <c r="D1079" s="4" t="s">
        <v>52</v>
      </c>
      <c r="E1079" s="4" t="s">
        <v>25</v>
      </c>
      <c r="F1079" s="4" t="s">
        <v>25</v>
      </c>
      <c r="G1079" s="4" t="s">
        <v>25</v>
      </c>
      <c r="H1079" s="4" t="s">
        <v>25</v>
      </c>
      <c r="I1079" s="5">
        <v>44593</v>
      </c>
      <c r="J1079" s="6">
        <v>0</v>
      </c>
      <c r="K1079" s="6">
        <v>0</v>
      </c>
      <c r="L1079" s="6">
        <v>13.678000000000001</v>
      </c>
      <c r="M1079" s="6">
        <v>13.678000000000001</v>
      </c>
      <c r="N1079" s="6">
        <v>13.678000000000001</v>
      </c>
      <c r="O1079" s="6">
        <v>13.678000000000001</v>
      </c>
      <c r="P1079" s="6">
        <v>3</v>
      </c>
      <c r="Q1079" s="4" t="s">
        <v>26</v>
      </c>
      <c r="R1079" s="4">
        <v>0</v>
      </c>
      <c r="S1079" s="4" t="s">
        <v>412</v>
      </c>
      <c r="T1079" s="4" t="s">
        <v>634</v>
      </c>
      <c r="U1079" s="4">
        <v>0</v>
      </c>
      <c r="V1079" s="4">
        <v>63</v>
      </c>
      <c r="W1079" s="4">
        <v>91</v>
      </c>
    </row>
    <row r="1080" spans="1:23" ht="11.25" customHeight="1" x14ac:dyDescent="0.3">
      <c r="A1080" s="4" t="s">
        <v>21</v>
      </c>
      <c r="B1080" s="4" t="s">
        <v>37</v>
      </c>
      <c r="C1080" s="4" t="s">
        <v>23</v>
      </c>
      <c r="D1080" s="4" t="s">
        <v>52</v>
      </c>
      <c r="E1080" s="4" t="s">
        <v>25</v>
      </c>
      <c r="F1080" s="4" t="s">
        <v>25</v>
      </c>
      <c r="G1080" s="4" t="s">
        <v>25</v>
      </c>
      <c r="H1080" s="4" t="s">
        <v>25</v>
      </c>
      <c r="I1080" s="5">
        <v>44621</v>
      </c>
      <c r="J1080" s="6">
        <v>0</v>
      </c>
      <c r="K1080" s="6">
        <v>0</v>
      </c>
      <c r="L1080" s="6">
        <v>5.601</v>
      </c>
      <c r="M1080" s="6">
        <v>5.601</v>
      </c>
      <c r="N1080" s="6">
        <v>5.601</v>
      </c>
      <c r="O1080" s="6">
        <v>5.601</v>
      </c>
      <c r="P1080" s="6">
        <v>8</v>
      </c>
      <c r="Q1080" s="4" t="s">
        <v>26</v>
      </c>
      <c r="R1080" s="4">
        <v>0</v>
      </c>
      <c r="S1080" s="4" t="s">
        <v>413</v>
      </c>
      <c r="T1080" s="4" t="s">
        <v>635</v>
      </c>
      <c r="U1080" s="4">
        <v>0</v>
      </c>
      <c r="V1080" s="4">
        <v>63</v>
      </c>
      <c r="W1080" s="4">
        <v>91</v>
      </c>
    </row>
    <row r="1081" spans="1:23" ht="11.25" customHeight="1" x14ac:dyDescent="0.3">
      <c r="A1081" s="4" t="s">
        <v>28</v>
      </c>
      <c r="B1081" s="4" t="s">
        <v>37</v>
      </c>
      <c r="C1081" s="4" t="s">
        <v>23</v>
      </c>
      <c r="D1081" s="4" t="s">
        <v>52</v>
      </c>
      <c r="E1081" s="4" t="s">
        <v>25</v>
      </c>
      <c r="F1081" s="4" t="s">
        <v>25</v>
      </c>
      <c r="G1081" s="4" t="s">
        <v>25</v>
      </c>
      <c r="H1081" s="4" t="s">
        <v>25</v>
      </c>
      <c r="I1081" s="5">
        <v>44621</v>
      </c>
      <c r="J1081" s="6">
        <v>0</v>
      </c>
      <c r="K1081" s="6">
        <v>0</v>
      </c>
      <c r="L1081" s="6">
        <v>13.317</v>
      </c>
      <c r="M1081" s="6">
        <v>13.317</v>
      </c>
      <c r="N1081" s="6">
        <v>13.317</v>
      </c>
      <c r="O1081" s="6">
        <v>13.317</v>
      </c>
      <c r="P1081" s="6">
        <v>2</v>
      </c>
      <c r="Q1081" s="4" t="s">
        <v>26</v>
      </c>
      <c r="R1081" s="4">
        <v>0</v>
      </c>
      <c r="S1081" s="4" t="s">
        <v>413</v>
      </c>
      <c r="T1081" s="4" t="s">
        <v>635</v>
      </c>
      <c r="U1081" s="4">
        <v>0</v>
      </c>
      <c r="V1081" s="4">
        <v>63</v>
      </c>
      <c r="W1081" s="4">
        <v>91</v>
      </c>
    </row>
    <row r="1082" spans="1:23" ht="11.25" customHeight="1" x14ac:dyDescent="0.3">
      <c r="A1082" s="4" t="s">
        <v>21</v>
      </c>
      <c r="B1082" s="4" t="s">
        <v>37</v>
      </c>
      <c r="C1082" s="4" t="s">
        <v>23</v>
      </c>
      <c r="D1082" s="4" t="s">
        <v>52</v>
      </c>
      <c r="E1082" s="4" t="s">
        <v>25</v>
      </c>
      <c r="F1082" s="4" t="s">
        <v>25</v>
      </c>
      <c r="G1082" s="4" t="s">
        <v>25</v>
      </c>
      <c r="H1082" s="4" t="s">
        <v>25</v>
      </c>
      <c r="I1082" s="5">
        <v>44652</v>
      </c>
      <c r="J1082" s="6">
        <v>0</v>
      </c>
      <c r="K1082" s="6">
        <v>0</v>
      </c>
      <c r="L1082" s="6">
        <v>4.8049999999999997</v>
      </c>
      <c r="M1082" s="6">
        <v>4.8049999999999997</v>
      </c>
      <c r="N1082" s="6">
        <v>4.8049999999999997</v>
      </c>
      <c r="O1082" s="6">
        <v>4.8049999999999997</v>
      </c>
      <c r="P1082" s="6">
        <v>7</v>
      </c>
      <c r="Q1082" s="4" t="s">
        <v>26</v>
      </c>
      <c r="R1082" s="4">
        <v>0</v>
      </c>
      <c r="S1082" s="4" t="s">
        <v>414</v>
      </c>
      <c r="T1082" s="4" t="s">
        <v>636</v>
      </c>
      <c r="U1082" s="4">
        <v>0</v>
      </c>
      <c r="V1082" s="4">
        <v>63</v>
      </c>
      <c r="W1082" s="4">
        <v>91</v>
      </c>
    </row>
    <row r="1083" spans="1:23" ht="11.25" customHeight="1" x14ac:dyDescent="0.3">
      <c r="A1083" s="4" t="s">
        <v>28</v>
      </c>
      <c r="B1083" s="4" t="s">
        <v>37</v>
      </c>
      <c r="C1083" s="4" t="s">
        <v>23</v>
      </c>
      <c r="D1083" s="4" t="s">
        <v>52</v>
      </c>
      <c r="E1083" s="4" t="s">
        <v>25</v>
      </c>
      <c r="F1083" s="4" t="s">
        <v>25</v>
      </c>
      <c r="G1083" s="4" t="s">
        <v>25</v>
      </c>
      <c r="H1083" s="4" t="s">
        <v>25</v>
      </c>
      <c r="I1083" s="5">
        <v>44652</v>
      </c>
      <c r="J1083" s="6">
        <v>0</v>
      </c>
      <c r="K1083" s="6">
        <v>0</v>
      </c>
      <c r="L1083" s="6">
        <v>15.292</v>
      </c>
      <c r="M1083" s="6">
        <v>15.292</v>
      </c>
      <c r="N1083" s="6">
        <v>15.292</v>
      </c>
      <c r="O1083" s="6">
        <v>15.292</v>
      </c>
      <c r="P1083" s="6">
        <v>3</v>
      </c>
      <c r="Q1083" s="4" t="s">
        <v>26</v>
      </c>
      <c r="R1083" s="4">
        <v>0</v>
      </c>
      <c r="S1083" s="4" t="s">
        <v>414</v>
      </c>
      <c r="T1083" s="4" t="s">
        <v>636</v>
      </c>
      <c r="U1083" s="4">
        <v>0</v>
      </c>
      <c r="V1083" s="4">
        <v>63</v>
      </c>
      <c r="W1083" s="4">
        <v>91</v>
      </c>
    </row>
    <row r="1084" spans="1:23" ht="11.25" customHeight="1" x14ac:dyDescent="0.3">
      <c r="A1084" s="4" t="s">
        <v>21</v>
      </c>
      <c r="B1084" s="4" t="s">
        <v>37</v>
      </c>
      <c r="C1084" s="4" t="s">
        <v>23</v>
      </c>
      <c r="D1084" s="4" t="s">
        <v>52</v>
      </c>
      <c r="E1084" s="4" t="s">
        <v>25</v>
      </c>
      <c r="F1084" s="4" t="s">
        <v>25</v>
      </c>
      <c r="G1084" s="4" t="s">
        <v>25</v>
      </c>
      <c r="H1084" s="4" t="s">
        <v>25</v>
      </c>
      <c r="I1084" s="5">
        <v>44682</v>
      </c>
      <c r="J1084" s="6">
        <v>0</v>
      </c>
      <c r="K1084" s="6">
        <v>0</v>
      </c>
      <c r="L1084" s="6">
        <v>4.8570000000000002</v>
      </c>
      <c r="M1084" s="6">
        <v>4.8570000000000002</v>
      </c>
      <c r="N1084" s="6">
        <v>4.8570000000000002</v>
      </c>
      <c r="O1084" s="6">
        <v>4.8570000000000002</v>
      </c>
      <c r="P1084" s="6">
        <v>7</v>
      </c>
      <c r="Q1084" s="4" t="s">
        <v>26</v>
      </c>
      <c r="R1084" s="4">
        <v>0</v>
      </c>
      <c r="S1084" s="4" t="s">
        <v>415</v>
      </c>
      <c r="T1084" s="4" t="s">
        <v>637</v>
      </c>
      <c r="U1084" s="4">
        <v>0</v>
      </c>
      <c r="V1084" s="4">
        <v>63</v>
      </c>
      <c r="W1084" s="4">
        <v>91</v>
      </c>
    </row>
    <row r="1085" spans="1:23" ht="11.25" customHeight="1" x14ac:dyDescent="0.3">
      <c r="A1085" s="4" t="s">
        <v>28</v>
      </c>
      <c r="B1085" s="4" t="s">
        <v>37</v>
      </c>
      <c r="C1085" s="4" t="s">
        <v>23</v>
      </c>
      <c r="D1085" s="4" t="s">
        <v>52</v>
      </c>
      <c r="E1085" s="4" t="s">
        <v>25</v>
      </c>
      <c r="F1085" s="4" t="s">
        <v>25</v>
      </c>
      <c r="G1085" s="4" t="s">
        <v>25</v>
      </c>
      <c r="H1085" s="4" t="s">
        <v>25</v>
      </c>
      <c r="I1085" s="5">
        <v>44682</v>
      </c>
      <c r="J1085" s="6">
        <v>0</v>
      </c>
      <c r="K1085" s="6">
        <v>0</v>
      </c>
      <c r="L1085" s="6">
        <v>14.211</v>
      </c>
      <c r="M1085" s="6">
        <v>14.211</v>
      </c>
      <c r="N1085" s="6">
        <v>14.211</v>
      </c>
      <c r="O1085" s="6">
        <v>14.211</v>
      </c>
      <c r="P1085" s="6">
        <v>3</v>
      </c>
      <c r="Q1085" s="4" t="s">
        <v>26</v>
      </c>
      <c r="R1085" s="4">
        <v>0</v>
      </c>
      <c r="S1085" s="4" t="s">
        <v>415</v>
      </c>
      <c r="T1085" s="4" t="s">
        <v>637</v>
      </c>
      <c r="U1085" s="4">
        <v>0</v>
      </c>
      <c r="V1085" s="4">
        <v>63</v>
      </c>
      <c r="W1085" s="4">
        <v>91</v>
      </c>
    </row>
    <row r="1086" spans="1:23" ht="11.25" customHeight="1" x14ac:dyDescent="0.3">
      <c r="A1086" s="4" t="s">
        <v>21</v>
      </c>
      <c r="B1086" s="4" t="s">
        <v>37</v>
      </c>
      <c r="C1086" s="4" t="s">
        <v>23</v>
      </c>
      <c r="D1086" s="4" t="s">
        <v>52</v>
      </c>
      <c r="E1086" s="4" t="s">
        <v>25</v>
      </c>
      <c r="F1086" s="4" t="s">
        <v>25</v>
      </c>
      <c r="G1086" s="4" t="s">
        <v>25</v>
      </c>
      <c r="H1086" s="4" t="s">
        <v>25</v>
      </c>
      <c r="I1086" s="5">
        <v>44713</v>
      </c>
      <c r="J1086" s="6">
        <v>0</v>
      </c>
      <c r="K1086" s="6">
        <v>0</v>
      </c>
      <c r="L1086" s="6">
        <v>6.6070000000000002</v>
      </c>
      <c r="M1086" s="6">
        <v>6.6070000000000002</v>
      </c>
      <c r="N1086" s="6">
        <v>6.6070000000000002</v>
      </c>
      <c r="O1086" s="6">
        <v>6.6070000000000002</v>
      </c>
      <c r="P1086" s="6">
        <v>7</v>
      </c>
      <c r="Q1086" s="4" t="s">
        <v>26</v>
      </c>
      <c r="R1086" s="4">
        <v>0</v>
      </c>
      <c r="S1086" s="4" t="s">
        <v>416</v>
      </c>
      <c r="T1086" s="4" t="s">
        <v>638</v>
      </c>
      <c r="U1086" s="4">
        <v>0</v>
      </c>
      <c r="V1086" s="4">
        <v>63</v>
      </c>
      <c r="W1086" s="4">
        <v>91</v>
      </c>
    </row>
    <row r="1087" spans="1:23" ht="11.25" customHeight="1" x14ac:dyDescent="0.3">
      <c r="A1087" s="4" t="s">
        <v>28</v>
      </c>
      <c r="B1087" s="4" t="s">
        <v>37</v>
      </c>
      <c r="C1087" s="4" t="s">
        <v>23</v>
      </c>
      <c r="D1087" s="4" t="s">
        <v>52</v>
      </c>
      <c r="E1087" s="4" t="s">
        <v>25</v>
      </c>
      <c r="F1087" s="4" t="s">
        <v>25</v>
      </c>
      <c r="G1087" s="4" t="s">
        <v>25</v>
      </c>
      <c r="H1087" s="4" t="s">
        <v>25</v>
      </c>
      <c r="I1087" s="5">
        <v>44713</v>
      </c>
      <c r="J1087" s="6">
        <v>0</v>
      </c>
      <c r="K1087" s="6">
        <v>0</v>
      </c>
      <c r="L1087" s="6">
        <v>15.096</v>
      </c>
      <c r="M1087" s="6">
        <v>15.096</v>
      </c>
      <c r="N1087" s="6">
        <v>15.096</v>
      </c>
      <c r="O1087" s="6">
        <v>15.096</v>
      </c>
      <c r="P1087" s="6">
        <v>3</v>
      </c>
      <c r="Q1087" s="4" t="s">
        <v>26</v>
      </c>
      <c r="R1087" s="4">
        <v>0</v>
      </c>
      <c r="S1087" s="4" t="s">
        <v>416</v>
      </c>
      <c r="T1087" s="4" t="s">
        <v>638</v>
      </c>
      <c r="U1087" s="4">
        <v>0</v>
      </c>
      <c r="V1087" s="4">
        <v>63</v>
      </c>
      <c r="W1087" s="4">
        <v>91</v>
      </c>
    </row>
    <row r="1088" spans="1:23" ht="11.25" customHeight="1" x14ac:dyDescent="0.3">
      <c r="A1088" s="4" t="s">
        <v>21</v>
      </c>
      <c r="B1088" s="4" t="s">
        <v>37</v>
      </c>
      <c r="C1088" s="4" t="s">
        <v>23</v>
      </c>
      <c r="D1088" s="4" t="s">
        <v>52</v>
      </c>
      <c r="E1088" s="4" t="s">
        <v>25</v>
      </c>
      <c r="F1088" s="4" t="s">
        <v>25</v>
      </c>
      <c r="G1088" s="4" t="s">
        <v>25</v>
      </c>
      <c r="H1088" s="4" t="s">
        <v>25</v>
      </c>
      <c r="I1088" s="5">
        <v>44743</v>
      </c>
      <c r="J1088" s="6">
        <v>0</v>
      </c>
      <c r="K1088" s="6">
        <v>0</v>
      </c>
      <c r="L1088" s="6">
        <v>7.5880000000000001</v>
      </c>
      <c r="M1088" s="6">
        <v>7.5880000000000001</v>
      </c>
      <c r="N1088" s="6">
        <v>7.5880000000000001</v>
      </c>
      <c r="O1088" s="6">
        <v>7.5880000000000001</v>
      </c>
      <c r="P1088" s="6">
        <v>7</v>
      </c>
      <c r="Q1088" s="4" t="s">
        <v>26</v>
      </c>
      <c r="R1088" s="4">
        <v>0</v>
      </c>
      <c r="S1088" s="4" t="s">
        <v>417</v>
      </c>
      <c r="T1088" s="4" t="s">
        <v>639</v>
      </c>
      <c r="U1088" s="4">
        <v>0</v>
      </c>
      <c r="V1088" s="4">
        <v>63</v>
      </c>
      <c r="W1088" s="4">
        <v>91</v>
      </c>
    </row>
    <row r="1089" spans="1:23" ht="11.25" customHeight="1" x14ac:dyDescent="0.3">
      <c r="A1089" s="4" t="s">
        <v>21</v>
      </c>
      <c r="B1089" s="4" t="s">
        <v>37</v>
      </c>
      <c r="C1089" s="4" t="s">
        <v>23</v>
      </c>
      <c r="D1089" s="4" t="s">
        <v>52</v>
      </c>
      <c r="E1089" s="4" t="s">
        <v>25</v>
      </c>
      <c r="F1089" s="4" t="s">
        <v>25</v>
      </c>
      <c r="G1089" s="4" t="s">
        <v>25</v>
      </c>
      <c r="H1089" s="4" t="s">
        <v>25</v>
      </c>
      <c r="I1089" s="5">
        <v>44774</v>
      </c>
      <c r="J1089" s="6">
        <v>0</v>
      </c>
      <c r="K1089" s="6">
        <v>0</v>
      </c>
      <c r="L1089" s="6">
        <v>5.8570000000000002</v>
      </c>
      <c r="M1089" s="6">
        <v>5.8570000000000002</v>
      </c>
      <c r="N1089" s="6">
        <v>5.8570000000000002</v>
      </c>
      <c r="O1089" s="6">
        <v>5.8570000000000002</v>
      </c>
      <c r="P1089" s="6">
        <v>7</v>
      </c>
      <c r="Q1089" s="4" t="s">
        <v>26</v>
      </c>
      <c r="R1089" s="4">
        <v>0</v>
      </c>
      <c r="S1089" s="4" t="s">
        <v>418</v>
      </c>
      <c r="T1089" s="4" t="s">
        <v>640</v>
      </c>
      <c r="U1089" s="4">
        <v>0</v>
      </c>
      <c r="V1089" s="4">
        <v>63</v>
      </c>
      <c r="W1089" s="4">
        <v>91</v>
      </c>
    </row>
    <row r="1090" spans="1:23" ht="11.25" customHeight="1" x14ac:dyDescent="0.3">
      <c r="A1090" s="4" t="s">
        <v>28</v>
      </c>
      <c r="B1090" s="4" t="s">
        <v>37</v>
      </c>
      <c r="C1090" s="4" t="s">
        <v>23</v>
      </c>
      <c r="D1090" s="4" t="s">
        <v>52</v>
      </c>
      <c r="E1090" s="4" t="s">
        <v>25</v>
      </c>
      <c r="F1090" s="4" t="s">
        <v>25</v>
      </c>
      <c r="G1090" s="4" t="s">
        <v>25</v>
      </c>
      <c r="H1090" s="4" t="s">
        <v>25</v>
      </c>
      <c r="I1090" s="5">
        <v>44774</v>
      </c>
      <c r="J1090" s="6">
        <v>0</v>
      </c>
      <c r="K1090" s="6">
        <v>0</v>
      </c>
      <c r="L1090" s="6">
        <v>15.643000000000001</v>
      </c>
      <c r="M1090" s="6">
        <v>15.643000000000001</v>
      </c>
      <c r="N1090" s="6">
        <v>15.643000000000001</v>
      </c>
      <c r="O1090" s="6">
        <v>15.643000000000001</v>
      </c>
      <c r="P1090" s="6">
        <v>3</v>
      </c>
      <c r="Q1090" s="4" t="s">
        <v>26</v>
      </c>
      <c r="R1090" s="4">
        <v>0</v>
      </c>
      <c r="S1090" s="4" t="s">
        <v>418</v>
      </c>
      <c r="T1090" s="4" t="s">
        <v>640</v>
      </c>
      <c r="U1090" s="4">
        <v>0</v>
      </c>
      <c r="V1090" s="4">
        <v>63</v>
      </c>
      <c r="W1090" s="4">
        <v>91</v>
      </c>
    </row>
    <row r="1091" spans="1:23" ht="11.25" customHeight="1" x14ac:dyDescent="0.3">
      <c r="A1091" s="4" t="s">
        <v>21</v>
      </c>
      <c r="B1091" s="4" t="s">
        <v>37</v>
      </c>
      <c r="C1091" s="4" t="s">
        <v>23</v>
      </c>
      <c r="D1091" s="4" t="s">
        <v>52</v>
      </c>
      <c r="E1091" s="4" t="s">
        <v>25</v>
      </c>
      <c r="F1091" s="4" t="s">
        <v>25</v>
      </c>
      <c r="G1091" s="4" t="s">
        <v>25</v>
      </c>
      <c r="H1091" s="4" t="s">
        <v>25</v>
      </c>
      <c r="I1091" s="5">
        <v>44805</v>
      </c>
      <c r="J1091" s="6">
        <v>0</v>
      </c>
      <c r="K1091" s="6">
        <v>0</v>
      </c>
      <c r="L1091" s="6">
        <v>6.359</v>
      </c>
      <c r="M1091" s="6">
        <v>6.359</v>
      </c>
      <c r="N1091" s="6">
        <v>6.359</v>
      </c>
      <c r="O1091" s="6">
        <v>6.359</v>
      </c>
      <c r="P1091" s="6">
        <v>7</v>
      </c>
      <c r="Q1091" s="4" t="s">
        <v>26</v>
      </c>
      <c r="R1091" s="4">
        <v>0</v>
      </c>
      <c r="S1091" s="4" t="s">
        <v>419</v>
      </c>
      <c r="T1091" s="4" t="s">
        <v>641</v>
      </c>
      <c r="U1091" s="4">
        <v>0</v>
      </c>
      <c r="V1091" s="4">
        <v>63</v>
      </c>
      <c r="W1091" s="4">
        <v>91</v>
      </c>
    </row>
    <row r="1092" spans="1:23" ht="11.25" customHeight="1" x14ac:dyDescent="0.3">
      <c r="A1092" s="4" t="s">
        <v>28</v>
      </c>
      <c r="B1092" s="4" t="s">
        <v>37</v>
      </c>
      <c r="C1092" s="4" t="s">
        <v>23</v>
      </c>
      <c r="D1092" s="4" t="s">
        <v>52</v>
      </c>
      <c r="E1092" s="4" t="s">
        <v>25</v>
      </c>
      <c r="F1092" s="4" t="s">
        <v>25</v>
      </c>
      <c r="G1092" s="4" t="s">
        <v>25</v>
      </c>
      <c r="H1092" s="4" t="s">
        <v>25</v>
      </c>
      <c r="I1092" s="5">
        <v>44805</v>
      </c>
      <c r="J1092" s="6">
        <v>0</v>
      </c>
      <c r="K1092" s="6">
        <v>0</v>
      </c>
      <c r="L1092" s="6">
        <v>15.837</v>
      </c>
      <c r="M1092" s="6">
        <v>15.837</v>
      </c>
      <c r="N1092" s="6">
        <v>15.837</v>
      </c>
      <c r="O1092" s="6">
        <v>15.837</v>
      </c>
      <c r="P1092" s="6">
        <v>3</v>
      </c>
      <c r="Q1092" s="4" t="s">
        <v>26</v>
      </c>
      <c r="R1092" s="4">
        <v>0</v>
      </c>
      <c r="S1092" s="4" t="s">
        <v>419</v>
      </c>
      <c r="T1092" s="4" t="s">
        <v>641</v>
      </c>
      <c r="U1092" s="4">
        <v>0</v>
      </c>
      <c r="V1092" s="4">
        <v>63</v>
      </c>
      <c r="W1092" s="4">
        <v>91</v>
      </c>
    </row>
    <row r="1093" spans="1:23" ht="11.25" customHeight="1" x14ac:dyDescent="0.3">
      <c r="A1093" s="4" t="s">
        <v>53</v>
      </c>
      <c r="B1093" s="4" t="s">
        <v>37</v>
      </c>
      <c r="C1093" s="4" t="s">
        <v>23</v>
      </c>
      <c r="D1093" s="4" t="s">
        <v>52</v>
      </c>
      <c r="E1093" s="4" t="s">
        <v>25</v>
      </c>
      <c r="F1093" s="4" t="s">
        <v>25</v>
      </c>
      <c r="G1093" s="4" t="s">
        <v>25</v>
      </c>
      <c r="H1093" s="4" t="s">
        <v>25</v>
      </c>
      <c r="I1093" s="5">
        <v>44835</v>
      </c>
      <c r="J1093" s="6">
        <v>0</v>
      </c>
      <c r="K1093" s="6">
        <v>0</v>
      </c>
      <c r="L1093" s="6">
        <v>6.359</v>
      </c>
      <c r="M1093" s="6">
        <v>6.359</v>
      </c>
      <c r="N1093" s="6">
        <v>6.359</v>
      </c>
      <c r="O1093" s="6">
        <v>6.359</v>
      </c>
      <c r="P1093" s="6">
        <v>7</v>
      </c>
      <c r="Q1093" s="4" t="s">
        <v>26</v>
      </c>
      <c r="R1093" s="4">
        <v>0</v>
      </c>
      <c r="S1093" s="4" t="s">
        <v>420</v>
      </c>
      <c r="T1093" s="4" t="s">
        <v>642</v>
      </c>
      <c r="U1093" s="4">
        <v>0</v>
      </c>
      <c r="V1093" s="4">
        <v>63</v>
      </c>
      <c r="W1093" s="4">
        <v>91</v>
      </c>
    </row>
    <row r="1094" spans="1:23" ht="11.25" customHeight="1" x14ac:dyDescent="0.3">
      <c r="A1094" s="4" t="s">
        <v>53</v>
      </c>
      <c r="B1094" s="4" t="s">
        <v>37</v>
      </c>
      <c r="C1094" s="4" t="s">
        <v>23</v>
      </c>
      <c r="D1094" s="4" t="s">
        <v>52</v>
      </c>
      <c r="E1094" s="4" t="s">
        <v>25</v>
      </c>
      <c r="F1094" s="4" t="s">
        <v>25</v>
      </c>
      <c r="G1094" s="4" t="s">
        <v>25</v>
      </c>
      <c r="H1094" s="4" t="s">
        <v>25</v>
      </c>
      <c r="I1094" s="5">
        <v>44835</v>
      </c>
      <c r="J1094" s="6">
        <v>0</v>
      </c>
      <c r="K1094" s="6">
        <v>0</v>
      </c>
      <c r="L1094" s="6">
        <v>15.837</v>
      </c>
      <c r="M1094" s="6">
        <v>15.837</v>
      </c>
      <c r="N1094" s="6">
        <v>15.837</v>
      </c>
      <c r="O1094" s="6">
        <v>15.837</v>
      </c>
      <c r="P1094" s="6">
        <v>3</v>
      </c>
      <c r="Q1094" s="4" t="s">
        <v>26</v>
      </c>
      <c r="R1094" s="4">
        <v>0</v>
      </c>
      <c r="S1094" s="4" t="s">
        <v>420</v>
      </c>
      <c r="T1094" s="4" t="s">
        <v>642</v>
      </c>
      <c r="U1094" s="4">
        <v>0</v>
      </c>
      <c r="V1094" s="4">
        <v>63</v>
      </c>
      <c r="W1094" s="4">
        <v>91</v>
      </c>
    </row>
    <row r="1095" spans="1:23" ht="11.25" customHeight="1" x14ac:dyDescent="0.3">
      <c r="A1095" s="4" t="s">
        <v>21</v>
      </c>
      <c r="B1095" s="4" t="s">
        <v>37</v>
      </c>
      <c r="C1095" s="4" t="s">
        <v>23</v>
      </c>
      <c r="D1095" s="4" t="s">
        <v>38</v>
      </c>
      <c r="E1095" s="4" t="s">
        <v>25</v>
      </c>
      <c r="F1095" s="4" t="s">
        <v>25</v>
      </c>
      <c r="G1095" s="4" t="s">
        <v>25</v>
      </c>
      <c r="H1095" s="4" t="s">
        <v>25</v>
      </c>
      <c r="I1095" s="5">
        <v>44501</v>
      </c>
      <c r="J1095" s="6">
        <v>0</v>
      </c>
      <c r="K1095" s="6">
        <v>0</v>
      </c>
      <c r="L1095" s="6">
        <v>185.97800000000001</v>
      </c>
      <c r="M1095" s="6">
        <v>185.97800000000001</v>
      </c>
      <c r="N1095" s="6">
        <v>185.97800000000001</v>
      </c>
      <c r="O1095" s="6">
        <v>185.97800000000001</v>
      </c>
      <c r="P1095" s="6">
        <v>144</v>
      </c>
      <c r="Q1095" s="4" t="s">
        <v>26</v>
      </c>
      <c r="R1095" s="4">
        <v>0</v>
      </c>
      <c r="S1095" s="4" t="s">
        <v>409</v>
      </c>
      <c r="T1095" s="4" t="s">
        <v>631</v>
      </c>
      <c r="U1095" s="4">
        <v>0</v>
      </c>
      <c r="V1095" s="4">
        <v>63</v>
      </c>
      <c r="W1095" s="4">
        <v>91</v>
      </c>
    </row>
    <row r="1096" spans="1:23" ht="11.25" customHeight="1" x14ac:dyDescent="0.3">
      <c r="A1096" s="4" t="s">
        <v>28</v>
      </c>
      <c r="B1096" s="4" t="s">
        <v>37</v>
      </c>
      <c r="C1096" s="4" t="s">
        <v>23</v>
      </c>
      <c r="D1096" s="4" t="s">
        <v>38</v>
      </c>
      <c r="E1096" s="4" t="s">
        <v>25</v>
      </c>
      <c r="F1096" s="4" t="s">
        <v>25</v>
      </c>
      <c r="G1096" s="4" t="s">
        <v>25</v>
      </c>
      <c r="H1096" s="4" t="s">
        <v>25</v>
      </c>
      <c r="I1096" s="5">
        <v>44501</v>
      </c>
      <c r="J1096" s="6">
        <v>0</v>
      </c>
      <c r="K1096" s="6">
        <v>0</v>
      </c>
      <c r="L1096" s="6">
        <v>3.1480000000000001</v>
      </c>
      <c r="M1096" s="6">
        <v>3.1480000000000001</v>
      </c>
      <c r="N1096" s="6">
        <v>3.1480000000000001</v>
      </c>
      <c r="O1096" s="6">
        <v>3.1480000000000001</v>
      </c>
      <c r="P1096" s="6">
        <v>3</v>
      </c>
      <c r="Q1096" s="4" t="s">
        <v>26</v>
      </c>
      <c r="R1096" s="4">
        <v>0</v>
      </c>
      <c r="S1096" s="4" t="s">
        <v>409</v>
      </c>
      <c r="T1096" s="4" t="s">
        <v>631</v>
      </c>
      <c r="U1096" s="4">
        <v>0</v>
      </c>
      <c r="V1096" s="4">
        <v>63</v>
      </c>
      <c r="W1096" s="4">
        <v>91</v>
      </c>
    </row>
    <row r="1097" spans="1:23" ht="11.25" customHeight="1" x14ac:dyDescent="0.3">
      <c r="A1097" s="4" t="s">
        <v>21</v>
      </c>
      <c r="B1097" s="4" t="s">
        <v>37</v>
      </c>
      <c r="C1097" s="4" t="s">
        <v>23</v>
      </c>
      <c r="D1097" s="4" t="s">
        <v>38</v>
      </c>
      <c r="E1097" s="4" t="s">
        <v>25</v>
      </c>
      <c r="F1097" s="4" t="s">
        <v>25</v>
      </c>
      <c r="G1097" s="4" t="s">
        <v>25</v>
      </c>
      <c r="H1097" s="4" t="s">
        <v>25</v>
      </c>
      <c r="I1097" s="5">
        <v>44531</v>
      </c>
      <c r="J1097" s="6">
        <v>0</v>
      </c>
      <c r="K1097" s="6">
        <v>0</v>
      </c>
      <c r="L1097" s="6">
        <v>185.14599999999999</v>
      </c>
      <c r="M1097" s="6">
        <v>185.14599999999999</v>
      </c>
      <c r="N1097" s="6">
        <v>185.14599999999999</v>
      </c>
      <c r="O1097" s="6">
        <v>185.14599999999999</v>
      </c>
      <c r="P1097" s="6">
        <v>144</v>
      </c>
      <c r="Q1097" s="4" t="s">
        <v>26</v>
      </c>
      <c r="R1097" s="4">
        <v>0</v>
      </c>
      <c r="S1097" s="4" t="s">
        <v>410</v>
      </c>
      <c r="T1097" s="4" t="s">
        <v>632</v>
      </c>
      <c r="U1097" s="4">
        <v>0</v>
      </c>
      <c r="V1097" s="4">
        <v>63</v>
      </c>
      <c r="W1097" s="4">
        <v>91</v>
      </c>
    </row>
    <row r="1098" spans="1:23" ht="11.25" customHeight="1" x14ac:dyDescent="0.3">
      <c r="A1098" s="4" t="s">
        <v>28</v>
      </c>
      <c r="B1098" s="4" t="s">
        <v>37</v>
      </c>
      <c r="C1098" s="4" t="s">
        <v>23</v>
      </c>
      <c r="D1098" s="4" t="s">
        <v>38</v>
      </c>
      <c r="E1098" s="4" t="s">
        <v>25</v>
      </c>
      <c r="F1098" s="4" t="s">
        <v>25</v>
      </c>
      <c r="G1098" s="4" t="s">
        <v>25</v>
      </c>
      <c r="H1098" s="4" t="s">
        <v>25</v>
      </c>
      <c r="I1098" s="5">
        <v>44531</v>
      </c>
      <c r="J1098" s="6">
        <v>0</v>
      </c>
      <c r="K1098" s="6">
        <v>0</v>
      </c>
      <c r="L1098" s="6">
        <v>4.4740000000000002</v>
      </c>
      <c r="M1098" s="6">
        <v>4.4740000000000002</v>
      </c>
      <c r="N1098" s="6">
        <v>4.4740000000000002</v>
      </c>
      <c r="O1098" s="6">
        <v>4.4740000000000002</v>
      </c>
      <c r="P1098" s="6">
        <v>3</v>
      </c>
      <c r="Q1098" s="4" t="s">
        <v>26</v>
      </c>
      <c r="R1098" s="4">
        <v>0</v>
      </c>
      <c r="S1098" s="4" t="s">
        <v>410</v>
      </c>
      <c r="T1098" s="4" t="s">
        <v>632</v>
      </c>
      <c r="U1098" s="4">
        <v>0</v>
      </c>
      <c r="V1098" s="4">
        <v>63</v>
      </c>
      <c r="W1098" s="4">
        <v>91</v>
      </c>
    </row>
    <row r="1099" spans="1:23" ht="11.25" customHeight="1" x14ac:dyDescent="0.3">
      <c r="A1099" s="4" t="s">
        <v>21</v>
      </c>
      <c r="B1099" s="4" t="s">
        <v>37</v>
      </c>
      <c r="C1099" s="4" t="s">
        <v>23</v>
      </c>
      <c r="D1099" s="4" t="s">
        <v>38</v>
      </c>
      <c r="E1099" s="4" t="s">
        <v>25</v>
      </c>
      <c r="F1099" s="4" t="s">
        <v>25</v>
      </c>
      <c r="G1099" s="4" t="s">
        <v>25</v>
      </c>
      <c r="H1099" s="4" t="s">
        <v>25</v>
      </c>
      <c r="I1099" s="5">
        <v>44562</v>
      </c>
      <c r="J1099" s="6">
        <v>0</v>
      </c>
      <c r="K1099" s="6">
        <v>0</v>
      </c>
      <c r="L1099" s="6">
        <v>178.929</v>
      </c>
      <c r="M1099" s="6">
        <v>178.929</v>
      </c>
      <c r="N1099" s="6">
        <v>178.929</v>
      </c>
      <c r="O1099" s="6">
        <v>178.929</v>
      </c>
      <c r="P1099" s="6">
        <v>142</v>
      </c>
      <c r="Q1099" s="4" t="s">
        <v>26</v>
      </c>
      <c r="R1099" s="4">
        <v>0</v>
      </c>
      <c r="S1099" s="4" t="s">
        <v>411</v>
      </c>
      <c r="T1099" s="4" t="s">
        <v>633</v>
      </c>
      <c r="U1099" s="4">
        <v>0</v>
      </c>
      <c r="V1099" s="4">
        <v>63</v>
      </c>
      <c r="W1099" s="4">
        <v>91</v>
      </c>
    </row>
    <row r="1100" spans="1:23" ht="11.25" customHeight="1" x14ac:dyDescent="0.3">
      <c r="A1100" s="4" t="s">
        <v>28</v>
      </c>
      <c r="B1100" s="4" t="s">
        <v>37</v>
      </c>
      <c r="C1100" s="4" t="s">
        <v>23</v>
      </c>
      <c r="D1100" s="4" t="s">
        <v>38</v>
      </c>
      <c r="E1100" s="4" t="s">
        <v>25</v>
      </c>
      <c r="F1100" s="4" t="s">
        <v>25</v>
      </c>
      <c r="G1100" s="4" t="s">
        <v>25</v>
      </c>
      <c r="H1100" s="4" t="s">
        <v>25</v>
      </c>
      <c r="I1100" s="5">
        <v>44562</v>
      </c>
      <c r="J1100" s="6">
        <v>0</v>
      </c>
      <c r="K1100" s="6">
        <v>0</v>
      </c>
      <c r="L1100" s="6">
        <v>5.4130000000000003</v>
      </c>
      <c r="M1100" s="6">
        <v>5.4130000000000003</v>
      </c>
      <c r="N1100" s="6">
        <v>5.4130000000000003</v>
      </c>
      <c r="O1100" s="6">
        <v>5.4130000000000003</v>
      </c>
      <c r="P1100" s="6">
        <v>3</v>
      </c>
      <c r="Q1100" s="4" t="s">
        <v>26</v>
      </c>
      <c r="R1100" s="4">
        <v>0</v>
      </c>
      <c r="S1100" s="4" t="s">
        <v>411</v>
      </c>
      <c r="T1100" s="4" t="s">
        <v>633</v>
      </c>
      <c r="U1100" s="4">
        <v>0</v>
      </c>
      <c r="V1100" s="4">
        <v>63</v>
      </c>
      <c r="W1100" s="4">
        <v>91</v>
      </c>
    </row>
    <row r="1101" spans="1:23" ht="11.25" customHeight="1" x14ac:dyDescent="0.3">
      <c r="A1101" s="4" t="s">
        <v>21</v>
      </c>
      <c r="B1101" s="4" t="s">
        <v>37</v>
      </c>
      <c r="C1101" s="4" t="s">
        <v>23</v>
      </c>
      <c r="D1101" s="4" t="s">
        <v>38</v>
      </c>
      <c r="E1101" s="4" t="s">
        <v>25</v>
      </c>
      <c r="F1101" s="4" t="s">
        <v>25</v>
      </c>
      <c r="G1101" s="4" t="s">
        <v>25</v>
      </c>
      <c r="H1101" s="4" t="s">
        <v>25</v>
      </c>
      <c r="I1101" s="5">
        <v>44593</v>
      </c>
      <c r="J1101" s="6">
        <v>0</v>
      </c>
      <c r="K1101" s="6">
        <v>0</v>
      </c>
      <c r="L1101" s="6">
        <v>175.19499999999999</v>
      </c>
      <c r="M1101" s="6">
        <v>175.19499999999999</v>
      </c>
      <c r="N1101" s="6">
        <v>175.19499999999999</v>
      </c>
      <c r="O1101" s="6">
        <v>175.19499999999999</v>
      </c>
      <c r="P1101" s="6">
        <v>143</v>
      </c>
      <c r="Q1101" s="4" t="s">
        <v>26</v>
      </c>
      <c r="R1101" s="4">
        <v>0</v>
      </c>
      <c r="S1101" s="4" t="s">
        <v>412</v>
      </c>
      <c r="T1101" s="4" t="s">
        <v>634</v>
      </c>
      <c r="U1101" s="4">
        <v>0</v>
      </c>
      <c r="V1101" s="4">
        <v>63</v>
      </c>
      <c r="W1101" s="4">
        <v>91</v>
      </c>
    </row>
    <row r="1102" spans="1:23" ht="11.25" customHeight="1" x14ac:dyDescent="0.3">
      <c r="A1102" s="4" t="s">
        <v>27</v>
      </c>
      <c r="B1102" s="4" t="s">
        <v>37</v>
      </c>
      <c r="C1102" s="4" t="s">
        <v>23</v>
      </c>
      <c r="D1102" s="4" t="s">
        <v>38</v>
      </c>
      <c r="E1102" s="4" t="s">
        <v>25</v>
      </c>
      <c r="F1102" s="4" t="s">
        <v>25</v>
      </c>
      <c r="G1102" s="4" t="s">
        <v>25</v>
      </c>
      <c r="H1102" s="4" t="s">
        <v>25</v>
      </c>
      <c r="I1102" s="5">
        <v>44593</v>
      </c>
      <c r="J1102" s="6">
        <v>0</v>
      </c>
      <c r="K1102" s="6">
        <v>0</v>
      </c>
      <c r="L1102" s="6">
        <v>-1.55</v>
      </c>
      <c r="M1102" s="6">
        <v>-1.55</v>
      </c>
      <c r="N1102" s="6">
        <v>-1.55</v>
      </c>
      <c r="O1102" s="6">
        <v>-1.55</v>
      </c>
      <c r="P1102" s="6">
        <v>0</v>
      </c>
      <c r="Q1102" s="4" t="s">
        <v>26</v>
      </c>
      <c r="R1102" s="4">
        <v>0</v>
      </c>
      <c r="S1102" s="4" t="s">
        <v>412</v>
      </c>
      <c r="T1102" s="4" t="s">
        <v>634</v>
      </c>
      <c r="U1102" s="4">
        <v>0</v>
      </c>
      <c r="V1102" s="4">
        <v>63</v>
      </c>
      <c r="W1102" s="4">
        <v>91</v>
      </c>
    </row>
    <row r="1103" spans="1:23" ht="11.25" customHeight="1" x14ac:dyDescent="0.3">
      <c r="A1103" s="4" t="s">
        <v>28</v>
      </c>
      <c r="B1103" s="4" t="s">
        <v>37</v>
      </c>
      <c r="C1103" s="4" t="s">
        <v>23</v>
      </c>
      <c r="D1103" s="4" t="s">
        <v>38</v>
      </c>
      <c r="E1103" s="4" t="s">
        <v>25</v>
      </c>
      <c r="F1103" s="4" t="s">
        <v>25</v>
      </c>
      <c r="G1103" s="4" t="s">
        <v>25</v>
      </c>
      <c r="H1103" s="4" t="s">
        <v>25</v>
      </c>
      <c r="I1103" s="5">
        <v>44593</v>
      </c>
      <c r="J1103" s="6">
        <v>0</v>
      </c>
      <c r="K1103" s="6">
        <v>0</v>
      </c>
      <c r="L1103" s="6">
        <v>4.7309999999999999</v>
      </c>
      <c r="M1103" s="6">
        <v>4.7309999999999999</v>
      </c>
      <c r="N1103" s="6">
        <v>4.7309999999999999</v>
      </c>
      <c r="O1103" s="6">
        <v>4.7309999999999999</v>
      </c>
      <c r="P1103" s="6">
        <v>3</v>
      </c>
      <c r="Q1103" s="4" t="s">
        <v>26</v>
      </c>
      <c r="R1103" s="4">
        <v>0</v>
      </c>
      <c r="S1103" s="4" t="s">
        <v>412</v>
      </c>
      <c r="T1103" s="4" t="s">
        <v>634</v>
      </c>
      <c r="U1103" s="4">
        <v>0</v>
      </c>
      <c r="V1103" s="4">
        <v>63</v>
      </c>
      <c r="W1103" s="4">
        <v>91</v>
      </c>
    </row>
    <row r="1104" spans="1:23" ht="11.25" customHeight="1" x14ac:dyDescent="0.3">
      <c r="A1104" s="4" t="s">
        <v>21</v>
      </c>
      <c r="B1104" s="4" t="s">
        <v>37</v>
      </c>
      <c r="C1104" s="4" t="s">
        <v>23</v>
      </c>
      <c r="D1104" s="4" t="s">
        <v>38</v>
      </c>
      <c r="E1104" s="4" t="s">
        <v>25</v>
      </c>
      <c r="F1104" s="4" t="s">
        <v>25</v>
      </c>
      <c r="G1104" s="4" t="s">
        <v>25</v>
      </c>
      <c r="H1104" s="4" t="s">
        <v>25</v>
      </c>
      <c r="I1104" s="5">
        <v>44621</v>
      </c>
      <c r="J1104" s="6">
        <v>0</v>
      </c>
      <c r="K1104" s="6">
        <v>0</v>
      </c>
      <c r="L1104" s="6">
        <v>188.96199999999999</v>
      </c>
      <c r="M1104" s="6">
        <v>188.96199999999999</v>
      </c>
      <c r="N1104" s="6">
        <v>188.96199999999999</v>
      </c>
      <c r="O1104" s="6">
        <v>188.96199999999999</v>
      </c>
      <c r="P1104" s="6">
        <v>142</v>
      </c>
      <c r="Q1104" s="4" t="s">
        <v>26</v>
      </c>
      <c r="R1104" s="4">
        <v>0</v>
      </c>
      <c r="S1104" s="4" t="s">
        <v>413</v>
      </c>
      <c r="T1104" s="4" t="s">
        <v>635</v>
      </c>
      <c r="U1104" s="4">
        <v>0</v>
      </c>
      <c r="V1104" s="4">
        <v>63</v>
      </c>
      <c r="W1104" s="4">
        <v>91</v>
      </c>
    </row>
    <row r="1105" spans="1:23" ht="11.25" customHeight="1" x14ac:dyDescent="0.3">
      <c r="A1105" s="4" t="s">
        <v>28</v>
      </c>
      <c r="B1105" s="4" t="s">
        <v>37</v>
      </c>
      <c r="C1105" s="4" t="s">
        <v>23</v>
      </c>
      <c r="D1105" s="4" t="s">
        <v>38</v>
      </c>
      <c r="E1105" s="4" t="s">
        <v>25</v>
      </c>
      <c r="F1105" s="4" t="s">
        <v>25</v>
      </c>
      <c r="G1105" s="4" t="s">
        <v>25</v>
      </c>
      <c r="H1105" s="4" t="s">
        <v>25</v>
      </c>
      <c r="I1105" s="5">
        <v>44621</v>
      </c>
      <c r="J1105" s="6">
        <v>0</v>
      </c>
      <c r="K1105" s="6">
        <v>0</v>
      </c>
      <c r="L1105" s="6">
        <v>5.1689999999999996</v>
      </c>
      <c r="M1105" s="6">
        <v>5.1689999999999996</v>
      </c>
      <c r="N1105" s="6">
        <v>5.1689999999999996</v>
      </c>
      <c r="O1105" s="6">
        <v>5.1689999999999996</v>
      </c>
      <c r="P1105" s="6">
        <v>3</v>
      </c>
      <c r="Q1105" s="4" t="s">
        <v>26</v>
      </c>
      <c r="R1105" s="4">
        <v>0</v>
      </c>
      <c r="S1105" s="4" t="s">
        <v>413</v>
      </c>
      <c r="T1105" s="4" t="s">
        <v>635</v>
      </c>
      <c r="U1105" s="4">
        <v>0</v>
      </c>
      <c r="V1105" s="4">
        <v>63</v>
      </c>
      <c r="W1105" s="4">
        <v>91</v>
      </c>
    </row>
    <row r="1106" spans="1:23" ht="11.25" customHeight="1" x14ac:dyDescent="0.3">
      <c r="A1106" s="4" t="s">
        <v>21</v>
      </c>
      <c r="B1106" s="4" t="s">
        <v>37</v>
      </c>
      <c r="C1106" s="4" t="s">
        <v>23</v>
      </c>
      <c r="D1106" s="4" t="s">
        <v>38</v>
      </c>
      <c r="E1106" s="4" t="s">
        <v>25</v>
      </c>
      <c r="F1106" s="4" t="s">
        <v>25</v>
      </c>
      <c r="G1106" s="4" t="s">
        <v>25</v>
      </c>
      <c r="H1106" s="4" t="s">
        <v>25</v>
      </c>
      <c r="I1106" s="5">
        <v>44652</v>
      </c>
      <c r="J1106" s="6">
        <v>0</v>
      </c>
      <c r="K1106" s="6">
        <v>0</v>
      </c>
      <c r="L1106" s="6">
        <v>189.744</v>
      </c>
      <c r="M1106" s="6">
        <v>189.744</v>
      </c>
      <c r="N1106" s="6">
        <v>189.744</v>
      </c>
      <c r="O1106" s="6">
        <v>189.744</v>
      </c>
      <c r="P1106" s="6">
        <v>141</v>
      </c>
      <c r="Q1106" s="4" t="s">
        <v>26</v>
      </c>
      <c r="R1106" s="4">
        <v>0</v>
      </c>
      <c r="S1106" s="4" t="s">
        <v>414</v>
      </c>
      <c r="T1106" s="4" t="s">
        <v>636</v>
      </c>
      <c r="U1106" s="4">
        <v>0</v>
      </c>
      <c r="V1106" s="4">
        <v>63</v>
      </c>
      <c r="W1106" s="4">
        <v>91</v>
      </c>
    </row>
    <row r="1107" spans="1:23" ht="11.25" customHeight="1" x14ac:dyDescent="0.3">
      <c r="A1107" s="4" t="s">
        <v>28</v>
      </c>
      <c r="B1107" s="4" t="s">
        <v>37</v>
      </c>
      <c r="C1107" s="4" t="s">
        <v>23</v>
      </c>
      <c r="D1107" s="4" t="s">
        <v>38</v>
      </c>
      <c r="E1107" s="4" t="s">
        <v>25</v>
      </c>
      <c r="F1107" s="4" t="s">
        <v>25</v>
      </c>
      <c r="G1107" s="4" t="s">
        <v>25</v>
      </c>
      <c r="H1107" s="4" t="s">
        <v>25</v>
      </c>
      <c r="I1107" s="5">
        <v>44652</v>
      </c>
      <c r="J1107" s="6">
        <v>0</v>
      </c>
      <c r="K1107" s="6">
        <v>0</v>
      </c>
      <c r="L1107" s="6">
        <v>5.7910000000000004</v>
      </c>
      <c r="M1107" s="6">
        <v>5.7910000000000004</v>
      </c>
      <c r="N1107" s="6">
        <v>5.7910000000000004</v>
      </c>
      <c r="O1107" s="6">
        <v>5.7910000000000004</v>
      </c>
      <c r="P1107" s="6">
        <v>4</v>
      </c>
      <c r="Q1107" s="4" t="s">
        <v>26</v>
      </c>
      <c r="R1107" s="4">
        <v>0</v>
      </c>
      <c r="S1107" s="4" t="s">
        <v>414</v>
      </c>
      <c r="T1107" s="4" t="s">
        <v>636</v>
      </c>
      <c r="U1107" s="4">
        <v>0</v>
      </c>
      <c r="V1107" s="4">
        <v>63</v>
      </c>
      <c r="W1107" s="4">
        <v>91</v>
      </c>
    </row>
    <row r="1108" spans="1:23" ht="11.25" customHeight="1" x14ac:dyDescent="0.3">
      <c r="A1108" s="4" t="s">
        <v>21</v>
      </c>
      <c r="B1108" s="4" t="s">
        <v>37</v>
      </c>
      <c r="C1108" s="4" t="s">
        <v>23</v>
      </c>
      <c r="D1108" s="4" t="s">
        <v>38</v>
      </c>
      <c r="E1108" s="4" t="s">
        <v>25</v>
      </c>
      <c r="F1108" s="4" t="s">
        <v>25</v>
      </c>
      <c r="G1108" s="4" t="s">
        <v>25</v>
      </c>
      <c r="H1108" s="4" t="s">
        <v>25</v>
      </c>
      <c r="I1108" s="5">
        <v>44682</v>
      </c>
      <c r="J1108" s="6">
        <v>0</v>
      </c>
      <c r="K1108" s="6">
        <v>0</v>
      </c>
      <c r="L1108" s="6">
        <v>183.285</v>
      </c>
      <c r="M1108" s="6">
        <v>183.285</v>
      </c>
      <c r="N1108" s="6">
        <v>183.285</v>
      </c>
      <c r="O1108" s="6">
        <v>183.285</v>
      </c>
      <c r="P1108" s="6">
        <v>141</v>
      </c>
      <c r="Q1108" s="4" t="s">
        <v>26</v>
      </c>
      <c r="R1108" s="4">
        <v>0</v>
      </c>
      <c r="S1108" s="4" t="s">
        <v>415</v>
      </c>
      <c r="T1108" s="4" t="s">
        <v>637</v>
      </c>
      <c r="U1108" s="4">
        <v>0</v>
      </c>
      <c r="V1108" s="4">
        <v>63</v>
      </c>
      <c r="W1108" s="4">
        <v>91</v>
      </c>
    </row>
    <row r="1109" spans="1:23" ht="11.25" customHeight="1" x14ac:dyDescent="0.3">
      <c r="A1109" s="4" t="s">
        <v>28</v>
      </c>
      <c r="B1109" s="4" t="s">
        <v>37</v>
      </c>
      <c r="C1109" s="4" t="s">
        <v>23</v>
      </c>
      <c r="D1109" s="4" t="s">
        <v>38</v>
      </c>
      <c r="E1109" s="4" t="s">
        <v>25</v>
      </c>
      <c r="F1109" s="4" t="s">
        <v>25</v>
      </c>
      <c r="G1109" s="4" t="s">
        <v>25</v>
      </c>
      <c r="H1109" s="4" t="s">
        <v>25</v>
      </c>
      <c r="I1109" s="5">
        <v>44682</v>
      </c>
      <c r="J1109" s="6">
        <v>0</v>
      </c>
      <c r="K1109" s="6">
        <v>0</v>
      </c>
      <c r="L1109" s="6">
        <v>5.1369999999999996</v>
      </c>
      <c r="M1109" s="6">
        <v>5.1369999999999996</v>
      </c>
      <c r="N1109" s="6">
        <v>5.1369999999999996</v>
      </c>
      <c r="O1109" s="6">
        <v>5.1369999999999996</v>
      </c>
      <c r="P1109" s="6">
        <v>4</v>
      </c>
      <c r="Q1109" s="4" t="s">
        <v>26</v>
      </c>
      <c r="R1109" s="4">
        <v>0</v>
      </c>
      <c r="S1109" s="4" t="s">
        <v>415</v>
      </c>
      <c r="T1109" s="4" t="s">
        <v>637</v>
      </c>
      <c r="U1109" s="4">
        <v>0</v>
      </c>
      <c r="V1109" s="4">
        <v>63</v>
      </c>
      <c r="W1109" s="4">
        <v>91</v>
      </c>
    </row>
    <row r="1110" spans="1:23" ht="11.25" customHeight="1" x14ac:dyDescent="0.3">
      <c r="A1110" s="4" t="s">
        <v>21</v>
      </c>
      <c r="B1110" s="4" t="s">
        <v>37</v>
      </c>
      <c r="C1110" s="4" t="s">
        <v>23</v>
      </c>
      <c r="D1110" s="4" t="s">
        <v>38</v>
      </c>
      <c r="E1110" s="4" t="s">
        <v>25</v>
      </c>
      <c r="F1110" s="4" t="s">
        <v>25</v>
      </c>
      <c r="G1110" s="4" t="s">
        <v>25</v>
      </c>
      <c r="H1110" s="4" t="s">
        <v>25</v>
      </c>
      <c r="I1110" s="5">
        <v>44713</v>
      </c>
      <c r="J1110" s="6">
        <v>0</v>
      </c>
      <c r="K1110" s="6">
        <v>0</v>
      </c>
      <c r="L1110" s="6">
        <v>179.96199999999999</v>
      </c>
      <c r="M1110" s="6">
        <v>179.96199999999999</v>
      </c>
      <c r="N1110" s="6">
        <v>179.96199999999999</v>
      </c>
      <c r="O1110" s="6">
        <v>179.96199999999999</v>
      </c>
      <c r="P1110" s="6">
        <v>143</v>
      </c>
      <c r="Q1110" s="4" t="s">
        <v>26</v>
      </c>
      <c r="R1110" s="4">
        <v>0</v>
      </c>
      <c r="S1110" s="4" t="s">
        <v>416</v>
      </c>
      <c r="T1110" s="4" t="s">
        <v>638</v>
      </c>
      <c r="U1110" s="4">
        <v>0</v>
      </c>
      <c r="V1110" s="4">
        <v>63</v>
      </c>
      <c r="W1110" s="4">
        <v>91</v>
      </c>
    </row>
    <row r="1111" spans="1:23" ht="11.25" customHeight="1" x14ac:dyDescent="0.3">
      <c r="A1111" s="4" t="s">
        <v>28</v>
      </c>
      <c r="B1111" s="4" t="s">
        <v>37</v>
      </c>
      <c r="C1111" s="4" t="s">
        <v>23</v>
      </c>
      <c r="D1111" s="4" t="s">
        <v>38</v>
      </c>
      <c r="E1111" s="4" t="s">
        <v>25</v>
      </c>
      <c r="F1111" s="4" t="s">
        <v>25</v>
      </c>
      <c r="G1111" s="4" t="s">
        <v>25</v>
      </c>
      <c r="H1111" s="4" t="s">
        <v>25</v>
      </c>
      <c r="I1111" s="5">
        <v>44713</v>
      </c>
      <c r="J1111" s="6">
        <v>0</v>
      </c>
      <c r="K1111" s="6">
        <v>0</v>
      </c>
      <c r="L1111" s="6">
        <v>1.61</v>
      </c>
      <c r="M1111" s="6">
        <v>1.61</v>
      </c>
      <c r="N1111" s="6">
        <v>1.61</v>
      </c>
      <c r="O1111" s="6">
        <v>1.61</v>
      </c>
      <c r="P1111" s="6">
        <v>3</v>
      </c>
      <c r="Q1111" s="4" t="s">
        <v>26</v>
      </c>
      <c r="R1111" s="4">
        <v>0</v>
      </c>
      <c r="S1111" s="4" t="s">
        <v>416</v>
      </c>
      <c r="T1111" s="4" t="s">
        <v>638</v>
      </c>
      <c r="U1111" s="4">
        <v>0</v>
      </c>
      <c r="V1111" s="4">
        <v>63</v>
      </c>
      <c r="W1111" s="4">
        <v>91</v>
      </c>
    </row>
    <row r="1112" spans="1:23" ht="11.25" customHeight="1" x14ac:dyDescent="0.3">
      <c r="A1112" s="4" t="s">
        <v>21</v>
      </c>
      <c r="B1112" s="4" t="s">
        <v>37</v>
      </c>
      <c r="C1112" s="4" t="s">
        <v>23</v>
      </c>
      <c r="D1112" s="4" t="s">
        <v>38</v>
      </c>
      <c r="E1112" s="4" t="s">
        <v>25</v>
      </c>
      <c r="F1112" s="4" t="s">
        <v>25</v>
      </c>
      <c r="G1112" s="4" t="s">
        <v>25</v>
      </c>
      <c r="H1112" s="4" t="s">
        <v>25</v>
      </c>
      <c r="I1112" s="5">
        <v>44743</v>
      </c>
      <c r="J1112" s="6">
        <v>0</v>
      </c>
      <c r="K1112" s="6">
        <v>0</v>
      </c>
      <c r="L1112" s="6">
        <v>188.00800000000001</v>
      </c>
      <c r="M1112" s="6">
        <v>188.00800000000001</v>
      </c>
      <c r="N1112" s="6">
        <v>188.00800000000001</v>
      </c>
      <c r="O1112" s="6">
        <v>188.00800000000001</v>
      </c>
      <c r="P1112" s="6">
        <v>142</v>
      </c>
      <c r="Q1112" s="4" t="s">
        <v>26</v>
      </c>
      <c r="R1112" s="4">
        <v>0</v>
      </c>
      <c r="S1112" s="4" t="s">
        <v>417</v>
      </c>
      <c r="T1112" s="4" t="s">
        <v>639</v>
      </c>
      <c r="U1112" s="4">
        <v>0</v>
      </c>
      <c r="V1112" s="4">
        <v>63</v>
      </c>
      <c r="W1112" s="4">
        <v>91</v>
      </c>
    </row>
    <row r="1113" spans="1:23" ht="11.25" customHeight="1" x14ac:dyDescent="0.3">
      <c r="A1113" s="4" t="s">
        <v>21</v>
      </c>
      <c r="B1113" s="4" t="s">
        <v>37</v>
      </c>
      <c r="C1113" s="4" t="s">
        <v>23</v>
      </c>
      <c r="D1113" s="4" t="s">
        <v>38</v>
      </c>
      <c r="E1113" s="4" t="s">
        <v>25</v>
      </c>
      <c r="F1113" s="4" t="s">
        <v>25</v>
      </c>
      <c r="G1113" s="4" t="s">
        <v>25</v>
      </c>
      <c r="H1113" s="4" t="s">
        <v>25</v>
      </c>
      <c r="I1113" s="5">
        <v>44774</v>
      </c>
      <c r="J1113" s="6">
        <v>0</v>
      </c>
      <c r="K1113" s="6">
        <v>0</v>
      </c>
      <c r="L1113" s="6">
        <v>180.226</v>
      </c>
      <c r="M1113" s="6">
        <v>180.226</v>
      </c>
      <c r="N1113" s="6">
        <v>180.226</v>
      </c>
      <c r="O1113" s="6">
        <v>180.226</v>
      </c>
      <c r="P1113" s="6">
        <v>143</v>
      </c>
      <c r="Q1113" s="4" t="s">
        <v>26</v>
      </c>
      <c r="R1113" s="4">
        <v>0</v>
      </c>
      <c r="S1113" s="4" t="s">
        <v>418</v>
      </c>
      <c r="T1113" s="4" t="s">
        <v>640</v>
      </c>
      <c r="U1113" s="4">
        <v>0</v>
      </c>
      <c r="V1113" s="4">
        <v>63</v>
      </c>
      <c r="W1113" s="4">
        <v>91</v>
      </c>
    </row>
    <row r="1114" spans="1:23" ht="11.25" customHeight="1" x14ac:dyDescent="0.3">
      <c r="A1114" s="4" t="s">
        <v>28</v>
      </c>
      <c r="B1114" s="4" t="s">
        <v>37</v>
      </c>
      <c r="C1114" s="4" t="s">
        <v>23</v>
      </c>
      <c r="D1114" s="4" t="s">
        <v>38</v>
      </c>
      <c r="E1114" s="4" t="s">
        <v>25</v>
      </c>
      <c r="F1114" s="4" t="s">
        <v>25</v>
      </c>
      <c r="G1114" s="4" t="s">
        <v>25</v>
      </c>
      <c r="H1114" s="4" t="s">
        <v>25</v>
      </c>
      <c r="I1114" s="5">
        <v>44774</v>
      </c>
      <c r="J1114" s="6">
        <v>0</v>
      </c>
      <c r="K1114" s="6">
        <v>0</v>
      </c>
      <c r="L1114" s="6">
        <v>5.3520000000000003</v>
      </c>
      <c r="M1114" s="6">
        <v>5.3520000000000003</v>
      </c>
      <c r="N1114" s="6">
        <v>5.3520000000000003</v>
      </c>
      <c r="O1114" s="6">
        <v>5.3520000000000003</v>
      </c>
      <c r="P1114" s="6">
        <v>4</v>
      </c>
      <c r="Q1114" s="4" t="s">
        <v>26</v>
      </c>
      <c r="R1114" s="4">
        <v>0</v>
      </c>
      <c r="S1114" s="4" t="s">
        <v>418</v>
      </c>
      <c r="T1114" s="4" t="s">
        <v>640</v>
      </c>
      <c r="U1114" s="4">
        <v>0</v>
      </c>
      <c r="V1114" s="4">
        <v>63</v>
      </c>
      <c r="W1114" s="4">
        <v>91</v>
      </c>
    </row>
    <row r="1115" spans="1:23" ht="11.25" customHeight="1" x14ac:dyDescent="0.3">
      <c r="A1115" s="4" t="s">
        <v>21</v>
      </c>
      <c r="B1115" s="4" t="s">
        <v>37</v>
      </c>
      <c r="C1115" s="4" t="s">
        <v>23</v>
      </c>
      <c r="D1115" s="4" t="s">
        <v>38</v>
      </c>
      <c r="E1115" s="4" t="s">
        <v>25</v>
      </c>
      <c r="F1115" s="4" t="s">
        <v>25</v>
      </c>
      <c r="G1115" s="4" t="s">
        <v>25</v>
      </c>
      <c r="H1115" s="4" t="s">
        <v>25</v>
      </c>
      <c r="I1115" s="5">
        <v>44805</v>
      </c>
      <c r="J1115" s="6">
        <v>0</v>
      </c>
      <c r="K1115" s="6">
        <v>0</v>
      </c>
      <c r="L1115" s="6">
        <v>190.60400000000001</v>
      </c>
      <c r="M1115" s="6">
        <v>190.60400000000001</v>
      </c>
      <c r="N1115" s="6">
        <v>190.60400000000001</v>
      </c>
      <c r="O1115" s="6">
        <v>190.60400000000001</v>
      </c>
      <c r="P1115" s="6">
        <v>143</v>
      </c>
      <c r="Q1115" s="4" t="s">
        <v>26</v>
      </c>
      <c r="R1115" s="4">
        <v>0</v>
      </c>
      <c r="S1115" s="4" t="s">
        <v>419</v>
      </c>
      <c r="T1115" s="4" t="s">
        <v>641</v>
      </c>
      <c r="U1115" s="4">
        <v>0</v>
      </c>
      <c r="V1115" s="4">
        <v>63</v>
      </c>
      <c r="W1115" s="4">
        <v>91</v>
      </c>
    </row>
    <row r="1116" spans="1:23" ht="11.25" customHeight="1" x14ac:dyDescent="0.3">
      <c r="A1116" s="4" t="s">
        <v>28</v>
      </c>
      <c r="B1116" s="4" t="s">
        <v>37</v>
      </c>
      <c r="C1116" s="4" t="s">
        <v>23</v>
      </c>
      <c r="D1116" s="4" t="s">
        <v>38</v>
      </c>
      <c r="E1116" s="4" t="s">
        <v>25</v>
      </c>
      <c r="F1116" s="4" t="s">
        <v>25</v>
      </c>
      <c r="G1116" s="4" t="s">
        <v>25</v>
      </c>
      <c r="H1116" s="4" t="s">
        <v>25</v>
      </c>
      <c r="I1116" s="5">
        <v>44805</v>
      </c>
      <c r="J1116" s="6">
        <v>0</v>
      </c>
      <c r="K1116" s="6">
        <v>0</v>
      </c>
      <c r="L1116" s="6">
        <v>13.79</v>
      </c>
      <c r="M1116" s="6">
        <v>13.79</v>
      </c>
      <c r="N1116" s="6">
        <v>13.79</v>
      </c>
      <c r="O1116" s="6">
        <v>13.79</v>
      </c>
      <c r="P1116" s="6">
        <v>6</v>
      </c>
      <c r="Q1116" s="4" t="s">
        <v>26</v>
      </c>
      <c r="R1116" s="4">
        <v>0</v>
      </c>
      <c r="S1116" s="4" t="s">
        <v>419</v>
      </c>
      <c r="T1116" s="4" t="s">
        <v>641</v>
      </c>
      <c r="U1116" s="4">
        <v>0</v>
      </c>
      <c r="V1116" s="4">
        <v>63</v>
      </c>
      <c r="W1116" s="4">
        <v>91</v>
      </c>
    </row>
    <row r="1117" spans="1:23" ht="11.25" customHeight="1" x14ac:dyDescent="0.3">
      <c r="A1117" s="4" t="s">
        <v>53</v>
      </c>
      <c r="B1117" s="4" t="s">
        <v>37</v>
      </c>
      <c r="C1117" s="4" t="s">
        <v>23</v>
      </c>
      <c r="D1117" s="4" t="s">
        <v>38</v>
      </c>
      <c r="E1117" s="4" t="s">
        <v>25</v>
      </c>
      <c r="F1117" s="4" t="s">
        <v>25</v>
      </c>
      <c r="G1117" s="4" t="s">
        <v>25</v>
      </c>
      <c r="H1117" s="4" t="s">
        <v>25</v>
      </c>
      <c r="I1117" s="5">
        <v>44835</v>
      </c>
      <c r="J1117" s="6">
        <v>0</v>
      </c>
      <c r="K1117" s="6">
        <v>0</v>
      </c>
      <c r="L1117" s="6">
        <v>190.60400000000001</v>
      </c>
      <c r="M1117" s="6">
        <v>190.60400000000001</v>
      </c>
      <c r="N1117" s="6">
        <v>190.60400000000001</v>
      </c>
      <c r="O1117" s="6">
        <v>190.60400000000001</v>
      </c>
      <c r="P1117" s="6">
        <v>143</v>
      </c>
      <c r="Q1117" s="4" t="s">
        <v>26</v>
      </c>
      <c r="R1117" s="4">
        <v>0</v>
      </c>
      <c r="S1117" s="4" t="s">
        <v>420</v>
      </c>
      <c r="T1117" s="4" t="s">
        <v>642</v>
      </c>
      <c r="U1117" s="4">
        <v>0</v>
      </c>
      <c r="V1117" s="4">
        <v>63</v>
      </c>
      <c r="W1117" s="4">
        <v>91</v>
      </c>
    </row>
    <row r="1118" spans="1:23" ht="11.25" customHeight="1" x14ac:dyDescent="0.3">
      <c r="A1118" s="4" t="s">
        <v>53</v>
      </c>
      <c r="B1118" s="4" t="s">
        <v>37</v>
      </c>
      <c r="C1118" s="4" t="s">
        <v>23</v>
      </c>
      <c r="D1118" s="4" t="s">
        <v>38</v>
      </c>
      <c r="E1118" s="4" t="s">
        <v>25</v>
      </c>
      <c r="F1118" s="4" t="s">
        <v>25</v>
      </c>
      <c r="G1118" s="4" t="s">
        <v>25</v>
      </c>
      <c r="H1118" s="4" t="s">
        <v>25</v>
      </c>
      <c r="I1118" s="5">
        <v>44835</v>
      </c>
      <c r="J1118" s="6">
        <v>0</v>
      </c>
      <c r="K1118" s="6">
        <v>0</v>
      </c>
      <c r="L1118" s="6">
        <v>13.79</v>
      </c>
      <c r="M1118" s="6">
        <v>13.79</v>
      </c>
      <c r="N1118" s="6">
        <v>13.79</v>
      </c>
      <c r="O1118" s="6">
        <v>13.79</v>
      </c>
      <c r="P1118" s="6">
        <v>6</v>
      </c>
      <c r="Q1118" s="4" t="s">
        <v>26</v>
      </c>
      <c r="R1118" s="4">
        <v>0</v>
      </c>
      <c r="S1118" s="4" t="s">
        <v>420</v>
      </c>
      <c r="T1118" s="4" t="s">
        <v>642</v>
      </c>
      <c r="U1118" s="4">
        <v>0</v>
      </c>
      <c r="V1118" s="4">
        <v>63</v>
      </c>
      <c r="W1118" s="4">
        <v>91</v>
      </c>
    </row>
    <row r="1119" spans="1:23" ht="11.25" customHeight="1" x14ac:dyDescent="0.3">
      <c r="A1119" s="4" t="s">
        <v>21</v>
      </c>
      <c r="B1119" s="4" t="s">
        <v>37</v>
      </c>
      <c r="C1119" s="4" t="s">
        <v>23</v>
      </c>
      <c r="D1119" s="4" t="s">
        <v>46</v>
      </c>
      <c r="E1119" s="4" t="s">
        <v>25</v>
      </c>
      <c r="F1119" s="4" t="s">
        <v>25</v>
      </c>
      <c r="G1119" s="4" t="s">
        <v>25</v>
      </c>
      <c r="H1119" s="4" t="s">
        <v>25</v>
      </c>
      <c r="I1119" s="5">
        <v>44501</v>
      </c>
      <c r="J1119" s="6">
        <v>0</v>
      </c>
      <c r="K1119" s="6">
        <v>0</v>
      </c>
      <c r="L1119" s="6">
        <v>286.779</v>
      </c>
      <c r="M1119" s="6">
        <v>286.779</v>
      </c>
      <c r="N1119" s="6">
        <v>286.779</v>
      </c>
      <c r="O1119" s="6">
        <v>286.779</v>
      </c>
      <c r="P1119" s="6">
        <v>422</v>
      </c>
      <c r="Q1119" s="4" t="s">
        <v>26</v>
      </c>
      <c r="R1119" s="4">
        <v>0</v>
      </c>
      <c r="S1119" s="4" t="s">
        <v>409</v>
      </c>
      <c r="T1119" s="4" t="s">
        <v>631</v>
      </c>
      <c r="U1119" s="4">
        <v>0</v>
      </c>
      <c r="V1119" s="4">
        <v>63</v>
      </c>
      <c r="W1119" s="4">
        <v>91</v>
      </c>
    </row>
    <row r="1120" spans="1:23" ht="11.25" customHeight="1" x14ac:dyDescent="0.3">
      <c r="A1120" s="4" t="s">
        <v>21</v>
      </c>
      <c r="B1120" s="4" t="s">
        <v>37</v>
      </c>
      <c r="C1120" s="4" t="s">
        <v>23</v>
      </c>
      <c r="D1120" s="4" t="s">
        <v>46</v>
      </c>
      <c r="E1120" s="4" t="s">
        <v>25</v>
      </c>
      <c r="F1120" s="4" t="s">
        <v>25</v>
      </c>
      <c r="G1120" s="4" t="s">
        <v>25</v>
      </c>
      <c r="H1120" s="4" t="s">
        <v>25</v>
      </c>
      <c r="I1120" s="5">
        <v>44531</v>
      </c>
      <c r="J1120" s="6">
        <v>0</v>
      </c>
      <c r="K1120" s="6">
        <v>0</v>
      </c>
      <c r="L1120" s="6">
        <v>313.83699999999999</v>
      </c>
      <c r="M1120" s="6">
        <v>313.83699999999999</v>
      </c>
      <c r="N1120" s="6">
        <v>313.83699999999999</v>
      </c>
      <c r="O1120" s="6">
        <v>313.83699999999999</v>
      </c>
      <c r="P1120" s="6">
        <v>422</v>
      </c>
      <c r="Q1120" s="4" t="s">
        <v>26</v>
      </c>
      <c r="R1120" s="4">
        <v>0</v>
      </c>
      <c r="S1120" s="4" t="s">
        <v>410</v>
      </c>
      <c r="T1120" s="4" t="s">
        <v>632</v>
      </c>
      <c r="U1120" s="4">
        <v>0</v>
      </c>
      <c r="V1120" s="4">
        <v>63</v>
      </c>
      <c r="W1120" s="4">
        <v>91</v>
      </c>
    </row>
    <row r="1121" spans="1:23" ht="11.25" customHeight="1" x14ac:dyDescent="0.3">
      <c r="A1121" s="4" t="s">
        <v>21</v>
      </c>
      <c r="B1121" s="4" t="s">
        <v>37</v>
      </c>
      <c r="C1121" s="4" t="s">
        <v>23</v>
      </c>
      <c r="D1121" s="4" t="s">
        <v>46</v>
      </c>
      <c r="E1121" s="4" t="s">
        <v>25</v>
      </c>
      <c r="F1121" s="4" t="s">
        <v>25</v>
      </c>
      <c r="G1121" s="4" t="s">
        <v>25</v>
      </c>
      <c r="H1121" s="4" t="s">
        <v>25</v>
      </c>
      <c r="I1121" s="5">
        <v>44562</v>
      </c>
      <c r="J1121" s="6">
        <v>0</v>
      </c>
      <c r="K1121" s="6">
        <v>0</v>
      </c>
      <c r="L1121" s="6">
        <v>309.61700000000002</v>
      </c>
      <c r="M1121" s="6">
        <v>309.61700000000002</v>
      </c>
      <c r="N1121" s="6">
        <v>309.61700000000002</v>
      </c>
      <c r="O1121" s="6">
        <v>309.61700000000002</v>
      </c>
      <c r="P1121" s="6">
        <v>419</v>
      </c>
      <c r="Q1121" s="4" t="s">
        <v>26</v>
      </c>
      <c r="R1121" s="4">
        <v>0</v>
      </c>
      <c r="S1121" s="4" t="s">
        <v>411</v>
      </c>
      <c r="T1121" s="4" t="s">
        <v>633</v>
      </c>
      <c r="U1121" s="4">
        <v>0</v>
      </c>
      <c r="V1121" s="4">
        <v>63</v>
      </c>
      <c r="W1121" s="4">
        <v>91</v>
      </c>
    </row>
    <row r="1122" spans="1:23" ht="11.25" customHeight="1" x14ac:dyDescent="0.3">
      <c r="A1122" s="4" t="s">
        <v>27</v>
      </c>
      <c r="B1122" s="4" t="s">
        <v>37</v>
      </c>
      <c r="C1122" s="4" t="s">
        <v>23</v>
      </c>
      <c r="D1122" s="4" t="s">
        <v>46</v>
      </c>
      <c r="E1122" s="4" t="s">
        <v>25</v>
      </c>
      <c r="F1122" s="4" t="s">
        <v>25</v>
      </c>
      <c r="G1122" s="4" t="s">
        <v>25</v>
      </c>
      <c r="H1122" s="4" t="s">
        <v>25</v>
      </c>
      <c r="I1122" s="5">
        <v>44562</v>
      </c>
      <c r="J1122" s="6">
        <v>0</v>
      </c>
      <c r="K1122" s="6">
        <v>0</v>
      </c>
      <c r="L1122" s="6">
        <v>-0.03</v>
      </c>
      <c r="M1122" s="6">
        <v>-0.03</v>
      </c>
      <c r="N1122" s="6">
        <v>-0.03</v>
      </c>
      <c r="O1122" s="6">
        <v>-0.03</v>
      </c>
      <c r="P1122" s="6">
        <v>0</v>
      </c>
      <c r="Q1122" s="4" t="s">
        <v>26</v>
      </c>
      <c r="R1122" s="4">
        <v>0</v>
      </c>
      <c r="S1122" s="4" t="s">
        <v>411</v>
      </c>
      <c r="T1122" s="4" t="s">
        <v>633</v>
      </c>
      <c r="U1122" s="4">
        <v>0</v>
      </c>
      <c r="V1122" s="4">
        <v>63</v>
      </c>
      <c r="W1122" s="4">
        <v>91</v>
      </c>
    </row>
    <row r="1123" spans="1:23" ht="11.25" customHeight="1" x14ac:dyDescent="0.3">
      <c r="A1123" s="4" t="s">
        <v>21</v>
      </c>
      <c r="B1123" s="4" t="s">
        <v>37</v>
      </c>
      <c r="C1123" s="4" t="s">
        <v>23</v>
      </c>
      <c r="D1123" s="4" t="s">
        <v>46</v>
      </c>
      <c r="E1123" s="4" t="s">
        <v>25</v>
      </c>
      <c r="F1123" s="4" t="s">
        <v>25</v>
      </c>
      <c r="G1123" s="4" t="s">
        <v>25</v>
      </c>
      <c r="H1123" s="4" t="s">
        <v>25</v>
      </c>
      <c r="I1123" s="5">
        <v>44593</v>
      </c>
      <c r="J1123" s="6">
        <v>0</v>
      </c>
      <c r="K1123" s="6">
        <v>0</v>
      </c>
      <c r="L1123" s="6">
        <v>277.64699999999999</v>
      </c>
      <c r="M1123" s="6">
        <v>277.64699999999999</v>
      </c>
      <c r="N1123" s="6">
        <v>277.64699999999999</v>
      </c>
      <c r="O1123" s="6">
        <v>277.64699999999999</v>
      </c>
      <c r="P1123" s="6">
        <v>417</v>
      </c>
      <c r="Q1123" s="4" t="s">
        <v>26</v>
      </c>
      <c r="R1123" s="4">
        <v>0</v>
      </c>
      <c r="S1123" s="4" t="s">
        <v>412</v>
      </c>
      <c r="T1123" s="4" t="s">
        <v>634</v>
      </c>
      <c r="U1123" s="4">
        <v>0</v>
      </c>
      <c r="V1123" s="4">
        <v>63</v>
      </c>
      <c r="W1123" s="4">
        <v>91</v>
      </c>
    </row>
    <row r="1124" spans="1:23" ht="11.25" customHeight="1" x14ac:dyDescent="0.3">
      <c r="A1124" s="4" t="s">
        <v>21</v>
      </c>
      <c r="B1124" s="4" t="s">
        <v>37</v>
      </c>
      <c r="C1124" s="4" t="s">
        <v>23</v>
      </c>
      <c r="D1124" s="4" t="s">
        <v>46</v>
      </c>
      <c r="E1124" s="4" t="s">
        <v>25</v>
      </c>
      <c r="F1124" s="4" t="s">
        <v>25</v>
      </c>
      <c r="G1124" s="4" t="s">
        <v>25</v>
      </c>
      <c r="H1124" s="4" t="s">
        <v>25</v>
      </c>
      <c r="I1124" s="5">
        <v>44621</v>
      </c>
      <c r="J1124" s="6">
        <v>0</v>
      </c>
      <c r="K1124" s="6">
        <v>0</v>
      </c>
      <c r="L1124" s="6">
        <v>298.39600000000002</v>
      </c>
      <c r="M1124" s="6">
        <v>298.39600000000002</v>
      </c>
      <c r="N1124" s="6">
        <v>298.39600000000002</v>
      </c>
      <c r="O1124" s="6">
        <v>298.39600000000002</v>
      </c>
      <c r="P1124" s="6">
        <v>420</v>
      </c>
      <c r="Q1124" s="4" t="s">
        <v>26</v>
      </c>
      <c r="R1124" s="4">
        <v>0</v>
      </c>
      <c r="S1124" s="4" t="s">
        <v>413</v>
      </c>
      <c r="T1124" s="4" t="s">
        <v>635</v>
      </c>
      <c r="U1124" s="4">
        <v>0</v>
      </c>
      <c r="V1124" s="4">
        <v>63</v>
      </c>
      <c r="W1124" s="4">
        <v>91</v>
      </c>
    </row>
    <row r="1125" spans="1:23" ht="11.25" customHeight="1" x14ac:dyDescent="0.3">
      <c r="A1125" s="4" t="s">
        <v>21</v>
      </c>
      <c r="B1125" s="4" t="s">
        <v>37</v>
      </c>
      <c r="C1125" s="4" t="s">
        <v>23</v>
      </c>
      <c r="D1125" s="4" t="s">
        <v>46</v>
      </c>
      <c r="E1125" s="4" t="s">
        <v>25</v>
      </c>
      <c r="F1125" s="4" t="s">
        <v>25</v>
      </c>
      <c r="G1125" s="4" t="s">
        <v>25</v>
      </c>
      <c r="H1125" s="4" t="s">
        <v>25</v>
      </c>
      <c r="I1125" s="5">
        <v>44652</v>
      </c>
      <c r="J1125" s="6">
        <v>0</v>
      </c>
      <c r="K1125" s="6">
        <v>0</v>
      </c>
      <c r="L1125" s="6">
        <v>317.66399999999999</v>
      </c>
      <c r="M1125" s="6">
        <v>317.66399999999999</v>
      </c>
      <c r="N1125" s="6">
        <v>317.66399999999999</v>
      </c>
      <c r="O1125" s="6">
        <v>317.66399999999999</v>
      </c>
      <c r="P1125" s="6">
        <v>419</v>
      </c>
      <c r="Q1125" s="4" t="s">
        <v>26</v>
      </c>
      <c r="R1125" s="4">
        <v>0</v>
      </c>
      <c r="S1125" s="4" t="s">
        <v>414</v>
      </c>
      <c r="T1125" s="4" t="s">
        <v>636</v>
      </c>
      <c r="U1125" s="4">
        <v>0</v>
      </c>
      <c r="V1125" s="4">
        <v>63</v>
      </c>
      <c r="W1125" s="4">
        <v>91</v>
      </c>
    </row>
    <row r="1126" spans="1:23" ht="11.25" customHeight="1" x14ac:dyDescent="0.3">
      <c r="A1126" s="4" t="s">
        <v>27</v>
      </c>
      <c r="B1126" s="4" t="s">
        <v>37</v>
      </c>
      <c r="C1126" s="4" t="s">
        <v>23</v>
      </c>
      <c r="D1126" s="4" t="s">
        <v>46</v>
      </c>
      <c r="E1126" s="4" t="s">
        <v>25</v>
      </c>
      <c r="F1126" s="4" t="s">
        <v>25</v>
      </c>
      <c r="G1126" s="4" t="s">
        <v>25</v>
      </c>
      <c r="H1126" s="4" t="s">
        <v>25</v>
      </c>
      <c r="I1126" s="5">
        <v>44652</v>
      </c>
      <c r="J1126" s="6">
        <v>0</v>
      </c>
      <c r="K1126" s="6">
        <v>0</v>
      </c>
      <c r="L1126" s="6">
        <v>-2.1259999999999999</v>
      </c>
      <c r="M1126" s="6">
        <v>-2.1259999999999999</v>
      </c>
      <c r="N1126" s="6">
        <v>-2.1259999999999999</v>
      </c>
      <c r="O1126" s="6">
        <v>-2.1259999999999999</v>
      </c>
      <c r="P1126" s="6">
        <v>0</v>
      </c>
      <c r="Q1126" s="4" t="s">
        <v>26</v>
      </c>
      <c r="R1126" s="4">
        <v>0</v>
      </c>
      <c r="S1126" s="4" t="s">
        <v>414</v>
      </c>
      <c r="T1126" s="4" t="s">
        <v>636</v>
      </c>
      <c r="U1126" s="4">
        <v>0</v>
      </c>
      <c r="V1126" s="4">
        <v>63</v>
      </c>
      <c r="W1126" s="4">
        <v>91</v>
      </c>
    </row>
    <row r="1127" spans="1:23" ht="11.25" customHeight="1" x14ac:dyDescent="0.3">
      <c r="A1127" s="4" t="s">
        <v>21</v>
      </c>
      <c r="B1127" s="4" t="s">
        <v>37</v>
      </c>
      <c r="C1127" s="4" t="s">
        <v>23</v>
      </c>
      <c r="D1127" s="4" t="s">
        <v>46</v>
      </c>
      <c r="E1127" s="4" t="s">
        <v>25</v>
      </c>
      <c r="F1127" s="4" t="s">
        <v>25</v>
      </c>
      <c r="G1127" s="4" t="s">
        <v>25</v>
      </c>
      <c r="H1127" s="4" t="s">
        <v>25</v>
      </c>
      <c r="I1127" s="5">
        <v>44682</v>
      </c>
      <c r="J1127" s="6">
        <v>0</v>
      </c>
      <c r="K1127" s="6">
        <v>0</v>
      </c>
      <c r="L1127" s="6">
        <v>307.87299999999999</v>
      </c>
      <c r="M1127" s="6">
        <v>307.87299999999999</v>
      </c>
      <c r="N1127" s="6">
        <v>307.87299999999999</v>
      </c>
      <c r="O1127" s="6">
        <v>307.87299999999999</v>
      </c>
      <c r="P1127" s="6">
        <v>418</v>
      </c>
      <c r="Q1127" s="4" t="s">
        <v>26</v>
      </c>
      <c r="R1127" s="4">
        <v>0</v>
      </c>
      <c r="S1127" s="4" t="s">
        <v>415</v>
      </c>
      <c r="T1127" s="4" t="s">
        <v>637</v>
      </c>
      <c r="U1127" s="4">
        <v>0</v>
      </c>
      <c r="V1127" s="4">
        <v>63</v>
      </c>
      <c r="W1127" s="4">
        <v>91</v>
      </c>
    </row>
    <row r="1128" spans="1:23" ht="11.25" customHeight="1" x14ac:dyDescent="0.3">
      <c r="A1128" s="4" t="s">
        <v>21</v>
      </c>
      <c r="B1128" s="4" t="s">
        <v>37</v>
      </c>
      <c r="C1128" s="4" t="s">
        <v>23</v>
      </c>
      <c r="D1128" s="4" t="s">
        <v>46</v>
      </c>
      <c r="E1128" s="4" t="s">
        <v>25</v>
      </c>
      <c r="F1128" s="4" t="s">
        <v>25</v>
      </c>
      <c r="G1128" s="4" t="s">
        <v>25</v>
      </c>
      <c r="H1128" s="4" t="s">
        <v>25</v>
      </c>
      <c r="I1128" s="5">
        <v>44713</v>
      </c>
      <c r="J1128" s="6">
        <v>0</v>
      </c>
      <c r="K1128" s="6">
        <v>0</v>
      </c>
      <c r="L1128" s="6">
        <v>310.024</v>
      </c>
      <c r="M1128" s="6">
        <v>310.024</v>
      </c>
      <c r="N1128" s="6">
        <v>310.024</v>
      </c>
      <c r="O1128" s="6">
        <v>310.024</v>
      </c>
      <c r="P1128" s="6">
        <v>420</v>
      </c>
      <c r="Q1128" s="4" t="s">
        <v>26</v>
      </c>
      <c r="R1128" s="4">
        <v>0</v>
      </c>
      <c r="S1128" s="4" t="s">
        <v>416</v>
      </c>
      <c r="T1128" s="4" t="s">
        <v>638</v>
      </c>
      <c r="U1128" s="4">
        <v>0</v>
      </c>
      <c r="V1128" s="4">
        <v>63</v>
      </c>
      <c r="W1128" s="4">
        <v>91</v>
      </c>
    </row>
    <row r="1129" spans="1:23" ht="11.25" customHeight="1" x14ac:dyDescent="0.3">
      <c r="A1129" s="4" t="s">
        <v>21</v>
      </c>
      <c r="B1129" s="4" t="s">
        <v>37</v>
      </c>
      <c r="C1129" s="4" t="s">
        <v>23</v>
      </c>
      <c r="D1129" s="4" t="s">
        <v>46</v>
      </c>
      <c r="E1129" s="4" t="s">
        <v>25</v>
      </c>
      <c r="F1129" s="4" t="s">
        <v>25</v>
      </c>
      <c r="G1129" s="4" t="s">
        <v>25</v>
      </c>
      <c r="H1129" s="4" t="s">
        <v>25</v>
      </c>
      <c r="I1129" s="5">
        <v>44743</v>
      </c>
      <c r="J1129" s="6">
        <v>0</v>
      </c>
      <c r="K1129" s="6">
        <v>0</v>
      </c>
      <c r="L1129" s="6">
        <v>473.20100000000002</v>
      </c>
      <c r="M1129" s="6">
        <v>473.20100000000002</v>
      </c>
      <c r="N1129" s="6">
        <v>473.20100000000002</v>
      </c>
      <c r="O1129" s="6">
        <v>473.20100000000002</v>
      </c>
      <c r="P1129" s="6">
        <v>418</v>
      </c>
      <c r="Q1129" s="4" t="s">
        <v>26</v>
      </c>
      <c r="R1129" s="4">
        <v>0</v>
      </c>
      <c r="S1129" s="4" t="s">
        <v>417</v>
      </c>
      <c r="T1129" s="4" t="s">
        <v>639</v>
      </c>
      <c r="U1129" s="4">
        <v>0</v>
      </c>
      <c r="V1129" s="4">
        <v>63</v>
      </c>
      <c r="W1129" s="4">
        <v>91</v>
      </c>
    </row>
    <row r="1130" spans="1:23" ht="11.25" customHeight="1" x14ac:dyDescent="0.3">
      <c r="A1130" s="4" t="s">
        <v>21</v>
      </c>
      <c r="B1130" s="4" t="s">
        <v>37</v>
      </c>
      <c r="C1130" s="4" t="s">
        <v>23</v>
      </c>
      <c r="D1130" s="4" t="s">
        <v>46</v>
      </c>
      <c r="E1130" s="4" t="s">
        <v>25</v>
      </c>
      <c r="F1130" s="4" t="s">
        <v>25</v>
      </c>
      <c r="G1130" s="4" t="s">
        <v>25</v>
      </c>
      <c r="H1130" s="4" t="s">
        <v>25</v>
      </c>
      <c r="I1130" s="5">
        <v>44774</v>
      </c>
      <c r="J1130" s="6">
        <v>0</v>
      </c>
      <c r="K1130" s="6">
        <v>0</v>
      </c>
      <c r="L1130" s="6">
        <v>296.83300000000003</v>
      </c>
      <c r="M1130" s="6">
        <v>296.83300000000003</v>
      </c>
      <c r="N1130" s="6">
        <v>296.83300000000003</v>
      </c>
      <c r="O1130" s="6">
        <v>296.83300000000003</v>
      </c>
      <c r="P1130" s="6">
        <v>416</v>
      </c>
      <c r="Q1130" s="4" t="s">
        <v>26</v>
      </c>
      <c r="R1130" s="4">
        <v>0</v>
      </c>
      <c r="S1130" s="4" t="s">
        <v>418</v>
      </c>
      <c r="T1130" s="4" t="s">
        <v>640</v>
      </c>
      <c r="U1130" s="4">
        <v>0</v>
      </c>
      <c r="V1130" s="4">
        <v>63</v>
      </c>
      <c r="W1130" s="4">
        <v>91</v>
      </c>
    </row>
    <row r="1131" spans="1:23" ht="11.25" customHeight="1" x14ac:dyDescent="0.3">
      <c r="A1131" s="4" t="s">
        <v>27</v>
      </c>
      <c r="B1131" s="4" t="s">
        <v>37</v>
      </c>
      <c r="C1131" s="4" t="s">
        <v>23</v>
      </c>
      <c r="D1131" s="4" t="s">
        <v>46</v>
      </c>
      <c r="E1131" s="4" t="s">
        <v>25</v>
      </c>
      <c r="F1131" s="4" t="s">
        <v>25</v>
      </c>
      <c r="G1131" s="4" t="s">
        <v>25</v>
      </c>
      <c r="H1131" s="4" t="s">
        <v>25</v>
      </c>
      <c r="I1131" s="5">
        <v>44774</v>
      </c>
      <c r="J1131" s="6">
        <v>0</v>
      </c>
      <c r="K1131" s="6">
        <v>0</v>
      </c>
      <c r="L1131" s="6">
        <v>1.7330000000000001</v>
      </c>
      <c r="M1131" s="6">
        <v>1.7330000000000001</v>
      </c>
      <c r="N1131" s="6">
        <v>1.7330000000000001</v>
      </c>
      <c r="O1131" s="6">
        <v>1.7330000000000001</v>
      </c>
      <c r="P1131" s="6">
        <v>0</v>
      </c>
      <c r="Q1131" s="4" t="s">
        <v>26</v>
      </c>
      <c r="R1131" s="4">
        <v>0</v>
      </c>
      <c r="S1131" s="4" t="s">
        <v>418</v>
      </c>
      <c r="T1131" s="4" t="s">
        <v>640</v>
      </c>
      <c r="U1131" s="4">
        <v>0</v>
      </c>
      <c r="V1131" s="4">
        <v>63</v>
      </c>
      <c r="W1131" s="4">
        <v>91</v>
      </c>
    </row>
    <row r="1132" spans="1:23" ht="11.25" customHeight="1" x14ac:dyDescent="0.3">
      <c r="A1132" s="4" t="s">
        <v>21</v>
      </c>
      <c r="B1132" s="4" t="s">
        <v>37</v>
      </c>
      <c r="C1132" s="4" t="s">
        <v>23</v>
      </c>
      <c r="D1132" s="4" t="s">
        <v>46</v>
      </c>
      <c r="E1132" s="4" t="s">
        <v>25</v>
      </c>
      <c r="F1132" s="4" t="s">
        <v>25</v>
      </c>
      <c r="G1132" s="4" t="s">
        <v>25</v>
      </c>
      <c r="H1132" s="4" t="s">
        <v>25</v>
      </c>
      <c r="I1132" s="5">
        <v>44805</v>
      </c>
      <c r="J1132" s="6">
        <v>0</v>
      </c>
      <c r="K1132" s="6">
        <v>0</v>
      </c>
      <c r="L1132" s="6">
        <v>346.601</v>
      </c>
      <c r="M1132" s="6">
        <v>346.601</v>
      </c>
      <c r="N1132" s="6">
        <v>346.601</v>
      </c>
      <c r="O1132" s="6">
        <v>346.601</v>
      </c>
      <c r="P1132" s="6">
        <v>415</v>
      </c>
      <c r="Q1132" s="4" t="s">
        <v>26</v>
      </c>
      <c r="R1132" s="4">
        <v>0</v>
      </c>
      <c r="S1132" s="4" t="s">
        <v>419</v>
      </c>
      <c r="T1132" s="4" t="s">
        <v>641</v>
      </c>
      <c r="U1132" s="4">
        <v>0</v>
      </c>
      <c r="V1132" s="4">
        <v>63</v>
      </c>
      <c r="W1132" s="4">
        <v>91</v>
      </c>
    </row>
    <row r="1133" spans="1:23" ht="11.25" customHeight="1" x14ac:dyDescent="0.3">
      <c r="A1133" s="4" t="s">
        <v>53</v>
      </c>
      <c r="B1133" s="4" t="s">
        <v>37</v>
      </c>
      <c r="C1133" s="4" t="s">
        <v>23</v>
      </c>
      <c r="D1133" s="4" t="s">
        <v>46</v>
      </c>
      <c r="E1133" s="4" t="s">
        <v>25</v>
      </c>
      <c r="F1133" s="4" t="s">
        <v>25</v>
      </c>
      <c r="G1133" s="4" t="s">
        <v>25</v>
      </c>
      <c r="H1133" s="4" t="s">
        <v>25</v>
      </c>
      <c r="I1133" s="5">
        <v>44835</v>
      </c>
      <c r="J1133" s="6">
        <v>0</v>
      </c>
      <c r="K1133" s="6">
        <v>0</v>
      </c>
      <c r="L1133" s="6">
        <v>346.601</v>
      </c>
      <c r="M1133" s="6">
        <v>346.601</v>
      </c>
      <c r="N1133" s="6">
        <v>346.601</v>
      </c>
      <c r="O1133" s="6">
        <v>346.601</v>
      </c>
      <c r="P1133" s="6">
        <v>415</v>
      </c>
      <c r="Q1133" s="4" t="s">
        <v>26</v>
      </c>
      <c r="R1133" s="4">
        <v>0</v>
      </c>
      <c r="S1133" s="4" t="s">
        <v>420</v>
      </c>
      <c r="T1133" s="4" t="s">
        <v>642</v>
      </c>
      <c r="U1133" s="4">
        <v>0</v>
      </c>
      <c r="V1133" s="4">
        <v>63</v>
      </c>
      <c r="W1133" s="4">
        <v>91</v>
      </c>
    </row>
    <row r="1134" spans="1:23" ht="11.25" customHeight="1" x14ac:dyDescent="0.3">
      <c r="A1134" s="4" t="s">
        <v>21</v>
      </c>
      <c r="B1134" s="4" t="s">
        <v>37</v>
      </c>
      <c r="C1134" s="4" t="s">
        <v>23</v>
      </c>
      <c r="D1134" s="4" t="s">
        <v>50</v>
      </c>
      <c r="E1134" s="4" t="s">
        <v>51</v>
      </c>
      <c r="F1134" s="4" t="s">
        <v>25</v>
      </c>
      <c r="G1134" s="4" t="s">
        <v>25</v>
      </c>
      <c r="H1134" s="4" t="s">
        <v>25</v>
      </c>
      <c r="I1134" s="5">
        <v>44501</v>
      </c>
      <c r="J1134" s="6">
        <v>0</v>
      </c>
      <c r="K1134" s="6">
        <v>0</v>
      </c>
      <c r="L1134" s="6">
        <v>114.953</v>
      </c>
      <c r="M1134" s="6">
        <v>108.05582</v>
      </c>
      <c r="N1134" s="6">
        <v>114.953</v>
      </c>
      <c r="O1134" s="6">
        <v>108.05582</v>
      </c>
      <c r="P1134" s="6">
        <v>122</v>
      </c>
      <c r="Q1134" s="4" t="s">
        <v>26</v>
      </c>
      <c r="R1134" s="4">
        <v>0</v>
      </c>
      <c r="S1134" s="4" t="s">
        <v>409</v>
      </c>
      <c r="T1134" s="4" t="s">
        <v>631</v>
      </c>
      <c r="U1134" s="4">
        <v>0</v>
      </c>
      <c r="V1134" s="4">
        <v>63</v>
      </c>
      <c r="W1134" s="4">
        <v>91</v>
      </c>
    </row>
    <row r="1135" spans="1:23" ht="11.25" customHeight="1" x14ac:dyDescent="0.3">
      <c r="A1135" s="4" t="s">
        <v>21</v>
      </c>
      <c r="B1135" s="4" t="s">
        <v>37</v>
      </c>
      <c r="C1135" s="4" t="s">
        <v>23</v>
      </c>
      <c r="D1135" s="4" t="s">
        <v>50</v>
      </c>
      <c r="E1135" s="4" t="s">
        <v>51</v>
      </c>
      <c r="F1135" s="4" t="s">
        <v>25</v>
      </c>
      <c r="G1135" s="4" t="s">
        <v>25</v>
      </c>
      <c r="H1135" s="4" t="s">
        <v>25</v>
      </c>
      <c r="I1135" s="5">
        <v>44531</v>
      </c>
      <c r="J1135" s="6">
        <v>0</v>
      </c>
      <c r="K1135" s="6">
        <v>0</v>
      </c>
      <c r="L1135" s="6">
        <v>122.25</v>
      </c>
      <c r="M1135" s="6">
        <v>114.91499999999999</v>
      </c>
      <c r="N1135" s="6">
        <v>122.25</v>
      </c>
      <c r="O1135" s="6">
        <v>114.91499999999999</v>
      </c>
      <c r="P1135" s="6">
        <v>120</v>
      </c>
      <c r="Q1135" s="4" t="s">
        <v>26</v>
      </c>
      <c r="R1135" s="4">
        <v>0</v>
      </c>
      <c r="S1135" s="4" t="s">
        <v>410</v>
      </c>
      <c r="T1135" s="4" t="s">
        <v>632</v>
      </c>
      <c r="U1135" s="4">
        <v>0</v>
      </c>
      <c r="V1135" s="4">
        <v>63</v>
      </c>
      <c r="W1135" s="4">
        <v>91</v>
      </c>
    </row>
    <row r="1136" spans="1:23" ht="11.25" customHeight="1" x14ac:dyDescent="0.3">
      <c r="A1136" s="4" t="s">
        <v>21</v>
      </c>
      <c r="B1136" s="4" t="s">
        <v>37</v>
      </c>
      <c r="C1136" s="4" t="s">
        <v>23</v>
      </c>
      <c r="D1136" s="4" t="s">
        <v>50</v>
      </c>
      <c r="E1136" s="4" t="s">
        <v>51</v>
      </c>
      <c r="F1136" s="4" t="s">
        <v>25</v>
      </c>
      <c r="G1136" s="4" t="s">
        <v>25</v>
      </c>
      <c r="H1136" s="4" t="s">
        <v>25</v>
      </c>
      <c r="I1136" s="5">
        <v>44562</v>
      </c>
      <c r="J1136" s="6">
        <v>0</v>
      </c>
      <c r="K1136" s="6">
        <v>0</v>
      </c>
      <c r="L1136" s="6">
        <v>137.76900000000001</v>
      </c>
      <c r="M1136" s="6">
        <v>129.50286</v>
      </c>
      <c r="N1136" s="6">
        <v>137.76900000000001</v>
      </c>
      <c r="O1136" s="6">
        <v>129.50286</v>
      </c>
      <c r="P1136" s="6">
        <v>120</v>
      </c>
      <c r="Q1136" s="4" t="s">
        <v>26</v>
      </c>
      <c r="R1136" s="4">
        <v>0</v>
      </c>
      <c r="S1136" s="4" t="s">
        <v>411</v>
      </c>
      <c r="T1136" s="4" t="s">
        <v>633</v>
      </c>
      <c r="U1136" s="4">
        <v>0</v>
      </c>
      <c r="V1136" s="4">
        <v>63</v>
      </c>
      <c r="W1136" s="4">
        <v>91</v>
      </c>
    </row>
    <row r="1137" spans="1:23" ht="11.25" customHeight="1" x14ac:dyDescent="0.3">
      <c r="A1137" s="4" t="s">
        <v>21</v>
      </c>
      <c r="B1137" s="4" t="s">
        <v>37</v>
      </c>
      <c r="C1137" s="4" t="s">
        <v>23</v>
      </c>
      <c r="D1137" s="4" t="s">
        <v>50</v>
      </c>
      <c r="E1137" s="4" t="s">
        <v>51</v>
      </c>
      <c r="F1137" s="4" t="s">
        <v>25</v>
      </c>
      <c r="G1137" s="4" t="s">
        <v>25</v>
      </c>
      <c r="H1137" s="4" t="s">
        <v>25</v>
      </c>
      <c r="I1137" s="5">
        <v>44593</v>
      </c>
      <c r="J1137" s="6">
        <v>0</v>
      </c>
      <c r="K1137" s="6">
        <v>0</v>
      </c>
      <c r="L1137" s="6">
        <v>125.75700000000001</v>
      </c>
      <c r="M1137" s="6">
        <v>118.21158</v>
      </c>
      <c r="N1137" s="6">
        <v>125.75700000000001</v>
      </c>
      <c r="O1137" s="6">
        <v>118.21158</v>
      </c>
      <c r="P1137" s="6">
        <v>120</v>
      </c>
      <c r="Q1137" s="4" t="s">
        <v>26</v>
      </c>
      <c r="R1137" s="4">
        <v>0</v>
      </c>
      <c r="S1137" s="4" t="s">
        <v>412</v>
      </c>
      <c r="T1137" s="4" t="s">
        <v>634</v>
      </c>
      <c r="U1137" s="4">
        <v>0</v>
      </c>
      <c r="V1137" s="4">
        <v>63</v>
      </c>
      <c r="W1137" s="4">
        <v>91</v>
      </c>
    </row>
    <row r="1138" spans="1:23" ht="11.25" customHeight="1" x14ac:dyDescent="0.3">
      <c r="A1138" s="4" t="s">
        <v>21</v>
      </c>
      <c r="B1138" s="4" t="s">
        <v>37</v>
      </c>
      <c r="C1138" s="4" t="s">
        <v>23</v>
      </c>
      <c r="D1138" s="4" t="s">
        <v>50</v>
      </c>
      <c r="E1138" s="4" t="s">
        <v>51</v>
      </c>
      <c r="F1138" s="4" t="s">
        <v>25</v>
      </c>
      <c r="G1138" s="4" t="s">
        <v>25</v>
      </c>
      <c r="H1138" s="4" t="s">
        <v>25</v>
      </c>
      <c r="I1138" s="5">
        <v>44621</v>
      </c>
      <c r="J1138" s="6">
        <v>0</v>
      </c>
      <c r="K1138" s="6">
        <v>0</v>
      </c>
      <c r="L1138" s="6">
        <v>128.351</v>
      </c>
      <c r="M1138" s="6">
        <v>120.64994</v>
      </c>
      <c r="N1138" s="6">
        <v>128.351</v>
      </c>
      <c r="O1138" s="6">
        <v>120.64994</v>
      </c>
      <c r="P1138" s="6">
        <v>121</v>
      </c>
      <c r="Q1138" s="4" t="s">
        <v>26</v>
      </c>
      <c r="R1138" s="4">
        <v>0</v>
      </c>
      <c r="S1138" s="4" t="s">
        <v>413</v>
      </c>
      <c r="T1138" s="4" t="s">
        <v>635</v>
      </c>
      <c r="U1138" s="4">
        <v>0</v>
      </c>
      <c r="V1138" s="4">
        <v>63</v>
      </c>
      <c r="W1138" s="4">
        <v>91</v>
      </c>
    </row>
    <row r="1139" spans="1:23" ht="11.25" customHeight="1" x14ac:dyDescent="0.3">
      <c r="A1139" s="4" t="s">
        <v>21</v>
      </c>
      <c r="B1139" s="4" t="s">
        <v>37</v>
      </c>
      <c r="C1139" s="4" t="s">
        <v>23</v>
      </c>
      <c r="D1139" s="4" t="s">
        <v>50</v>
      </c>
      <c r="E1139" s="4" t="s">
        <v>51</v>
      </c>
      <c r="F1139" s="4" t="s">
        <v>25</v>
      </c>
      <c r="G1139" s="4" t="s">
        <v>25</v>
      </c>
      <c r="H1139" s="4" t="s">
        <v>25</v>
      </c>
      <c r="I1139" s="5">
        <v>44652</v>
      </c>
      <c r="J1139" s="6">
        <v>0</v>
      </c>
      <c r="K1139" s="6">
        <v>0</v>
      </c>
      <c r="L1139" s="6">
        <v>109.29300000000001</v>
      </c>
      <c r="M1139" s="6">
        <v>102.73542</v>
      </c>
      <c r="N1139" s="6">
        <v>109.29300000000001</v>
      </c>
      <c r="O1139" s="6">
        <v>102.73542</v>
      </c>
      <c r="P1139" s="6">
        <v>122</v>
      </c>
      <c r="Q1139" s="4" t="s">
        <v>26</v>
      </c>
      <c r="R1139" s="4">
        <v>0</v>
      </c>
      <c r="S1139" s="4" t="s">
        <v>414</v>
      </c>
      <c r="T1139" s="4" t="s">
        <v>636</v>
      </c>
      <c r="U1139" s="4">
        <v>0</v>
      </c>
      <c r="V1139" s="4">
        <v>63</v>
      </c>
      <c r="W1139" s="4">
        <v>91</v>
      </c>
    </row>
    <row r="1140" spans="1:23" ht="11.25" customHeight="1" x14ac:dyDescent="0.3">
      <c r="A1140" s="4" t="s">
        <v>21</v>
      </c>
      <c r="B1140" s="4" t="s">
        <v>37</v>
      </c>
      <c r="C1140" s="4" t="s">
        <v>23</v>
      </c>
      <c r="D1140" s="4" t="s">
        <v>50</v>
      </c>
      <c r="E1140" s="4" t="s">
        <v>51</v>
      </c>
      <c r="F1140" s="4" t="s">
        <v>25</v>
      </c>
      <c r="G1140" s="4" t="s">
        <v>25</v>
      </c>
      <c r="H1140" s="4" t="s">
        <v>25</v>
      </c>
      <c r="I1140" s="5">
        <v>44682</v>
      </c>
      <c r="J1140" s="6">
        <v>0</v>
      </c>
      <c r="K1140" s="6">
        <v>0</v>
      </c>
      <c r="L1140" s="6">
        <v>105.45</v>
      </c>
      <c r="M1140" s="6">
        <v>99.123000000000005</v>
      </c>
      <c r="N1140" s="6">
        <v>105.45</v>
      </c>
      <c r="O1140" s="6">
        <v>99.123000000000005</v>
      </c>
      <c r="P1140" s="6">
        <v>121</v>
      </c>
      <c r="Q1140" s="4" t="s">
        <v>26</v>
      </c>
      <c r="R1140" s="4">
        <v>0</v>
      </c>
      <c r="S1140" s="4" t="s">
        <v>415</v>
      </c>
      <c r="T1140" s="4" t="s">
        <v>637</v>
      </c>
      <c r="U1140" s="4">
        <v>0</v>
      </c>
      <c r="V1140" s="4">
        <v>63</v>
      </c>
      <c r="W1140" s="4">
        <v>91</v>
      </c>
    </row>
    <row r="1141" spans="1:23" ht="11.25" customHeight="1" x14ac:dyDescent="0.3">
      <c r="A1141" s="4" t="s">
        <v>21</v>
      </c>
      <c r="B1141" s="4" t="s">
        <v>37</v>
      </c>
      <c r="C1141" s="4" t="s">
        <v>23</v>
      </c>
      <c r="D1141" s="4" t="s">
        <v>50</v>
      </c>
      <c r="E1141" s="4" t="s">
        <v>51</v>
      </c>
      <c r="F1141" s="4" t="s">
        <v>25</v>
      </c>
      <c r="G1141" s="4" t="s">
        <v>25</v>
      </c>
      <c r="H1141" s="4" t="s">
        <v>25</v>
      </c>
      <c r="I1141" s="5">
        <v>44713</v>
      </c>
      <c r="J1141" s="6">
        <v>0</v>
      </c>
      <c r="K1141" s="6">
        <v>0</v>
      </c>
      <c r="L1141" s="6">
        <v>112.964</v>
      </c>
      <c r="M1141" s="6">
        <v>106.18616</v>
      </c>
      <c r="N1141" s="6">
        <v>112.964</v>
      </c>
      <c r="O1141" s="6">
        <v>106.18616</v>
      </c>
      <c r="P1141" s="6">
        <v>122</v>
      </c>
      <c r="Q1141" s="4" t="s">
        <v>26</v>
      </c>
      <c r="R1141" s="4">
        <v>0</v>
      </c>
      <c r="S1141" s="4" t="s">
        <v>416</v>
      </c>
      <c r="T1141" s="4" t="s">
        <v>638</v>
      </c>
      <c r="U1141" s="4">
        <v>0</v>
      </c>
      <c r="V1141" s="4">
        <v>63</v>
      </c>
      <c r="W1141" s="4">
        <v>91</v>
      </c>
    </row>
    <row r="1142" spans="1:23" ht="11.25" customHeight="1" x14ac:dyDescent="0.3">
      <c r="A1142" s="4" t="s">
        <v>21</v>
      </c>
      <c r="B1142" s="4" t="s">
        <v>37</v>
      </c>
      <c r="C1142" s="4" t="s">
        <v>23</v>
      </c>
      <c r="D1142" s="4" t="s">
        <v>50</v>
      </c>
      <c r="E1142" s="4" t="s">
        <v>51</v>
      </c>
      <c r="F1142" s="4" t="s">
        <v>25</v>
      </c>
      <c r="G1142" s="4" t="s">
        <v>25</v>
      </c>
      <c r="H1142" s="4" t="s">
        <v>25</v>
      </c>
      <c r="I1142" s="5">
        <v>44743</v>
      </c>
      <c r="J1142" s="6">
        <v>0</v>
      </c>
      <c r="K1142" s="6">
        <v>0</v>
      </c>
      <c r="L1142" s="6">
        <v>130.761</v>
      </c>
      <c r="M1142" s="6">
        <v>122.91534</v>
      </c>
      <c r="N1142" s="6">
        <v>130.761</v>
      </c>
      <c r="O1142" s="6">
        <v>122.91534</v>
      </c>
      <c r="P1142" s="6">
        <v>122</v>
      </c>
      <c r="Q1142" s="4" t="s">
        <v>26</v>
      </c>
      <c r="R1142" s="4">
        <v>0</v>
      </c>
      <c r="S1142" s="4" t="s">
        <v>417</v>
      </c>
      <c r="T1142" s="4" t="s">
        <v>639</v>
      </c>
      <c r="U1142" s="4">
        <v>0</v>
      </c>
      <c r="V1142" s="4">
        <v>63</v>
      </c>
      <c r="W1142" s="4">
        <v>91</v>
      </c>
    </row>
    <row r="1143" spans="1:23" ht="11.25" customHeight="1" x14ac:dyDescent="0.3">
      <c r="A1143" s="4" t="s">
        <v>21</v>
      </c>
      <c r="B1143" s="4" t="s">
        <v>37</v>
      </c>
      <c r="C1143" s="4" t="s">
        <v>23</v>
      </c>
      <c r="D1143" s="4" t="s">
        <v>50</v>
      </c>
      <c r="E1143" s="4" t="s">
        <v>51</v>
      </c>
      <c r="F1143" s="4" t="s">
        <v>25</v>
      </c>
      <c r="G1143" s="4" t="s">
        <v>25</v>
      </c>
      <c r="H1143" s="4" t="s">
        <v>25</v>
      </c>
      <c r="I1143" s="5">
        <v>44774</v>
      </c>
      <c r="J1143" s="6">
        <v>0</v>
      </c>
      <c r="K1143" s="6">
        <v>0</v>
      </c>
      <c r="L1143" s="6">
        <v>112.88500000000001</v>
      </c>
      <c r="M1143" s="6">
        <v>106.11190000000001</v>
      </c>
      <c r="N1143" s="6">
        <v>112.88500000000001</v>
      </c>
      <c r="O1143" s="6">
        <v>106.11190000000001</v>
      </c>
      <c r="P1143" s="6">
        <v>122</v>
      </c>
      <c r="Q1143" s="4" t="s">
        <v>26</v>
      </c>
      <c r="R1143" s="4">
        <v>0</v>
      </c>
      <c r="S1143" s="4" t="s">
        <v>418</v>
      </c>
      <c r="T1143" s="4" t="s">
        <v>640</v>
      </c>
      <c r="U1143" s="4">
        <v>0</v>
      </c>
      <c r="V1143" s="4">
        <v>63</v>
      </c>
      <c r="W1143" s="4">
        <v>91</v>
      </c>
    </row>
    <row r="1144" spans="1:23" ht="11.25" customHeight="1" x14ac:dyDescent="0.3">
      <c r="A1144" s="4" t="s">
        <v>21</v>
      </c>
      <c r="B1144" s="4" t="s">
        <v>37</v>
      </c>
      <c r="C1144" s="4" t="s">
        <v>23</v>
      </c>
      <c r="D1144" s="4" t="s">
        <v>50</v>
      </c>
      <c r="E1144" s="4" t="s">
        <v>51</v>
      </c>
      <c r="F1144" s="4" t="s">
        <v>25</v>
      </c>
      <c r="G1144" s="4" t="s">
        <v>25</v>
      </c>
      <c r="H1144" s="4" t="s">
        <v>25</v>
      </c>
      <c r="I1144" s="5">
        <v>44805</v>
      </c>
      <c r="J1144" s="6">
        <v>0</v>
      </c>
      <c r="K1144" s="6">
        <v>0</v>
      </c>
      <c r="L1144" s="6">
        <v>129.29</v>
      </c>
      <c r="M1144" s="6">
        <v>121.5326</v>
      </c>
      <c r="N1144" s="6">
        <v>129.29</v>
      </c>
      <c r="O1144" s="6">
        <v>121.5326</v>
      </c>
      <c r="P1144" s="6">
        <v>122</v>
      </c>
      <c r="Q1144" s="4" t="s">
        <v>26</v>
      </c>
      <c r="R1144" s="4">
        <v>0</v>
      </c>
      <c r="S1144" s="4" t="s">
        <v>419</v>
      </c>
      <c r="T1144" s="4" t="s">
        <v>641</v>
      </c>
      <c r="U1144" s="4">
        <v>0</v>
      </c>
      <c r="V1144" s="4">
        <v>63</v>
      </c>
      <c r="W1144" s="4">
        <v>91</v>
      </c>
    </row>
    <row r="1145" spans="1:23" ht="11.25" customHeight="1" x14ac:dyDescent="0.3">
      <c r="A1145" s="4" t="s">
        <v>53</v>
      </c>
      <c r="B1145" s="4" t="s">
        <v>37</v>
      </c>
      <c r="C1145" s="4" t="s">
        <v>23</v>
      </c>
      <c r="D1145" s="4" t="s">
        <v>50</v>
      </c>
      <c r="E1145" s="4" t="s">
        <v>51</v>
      </c>
      <c r="F1145" s="4" t="s">
        <v>25</v>
      </c>
      <c r="G1145" s="4" t="s">
        <v>25</v>
      </c>
      <c r="H1145" s="4" t="s">
        <v>25</v>
      </c>
      <c r="I1145" s="5">
        <v>44835</v>
      </c>
      <c r="J1145" s="6">
        <v>0</v>
      </c>
      <c r="K1145" s="6">
        <v>0</v>
      </c>
      <c r="L1145" s="6">
        <v>129.29</v>
      </c>
      <c r="M1145" s="6">
        <v>121.5326</v>
      </c>
      <c r="N1145" s="6">
        <v>129.29</v>
      </c>
      <c r="O1145" s="6">
        <v>121.5326</v>
      </c>
      <c r="P1145" s="6">
        <v>122</v>
      </c>
      <c r="Q1145" s="4" t="s">
        <v>26</v>
      </c>
      <c r="R1145" s="4">
        <v>0</v>
      </c>
      <c r="S1145" s="4" t="s">
        <v>420</v>
      </c>
      <c r="T1145" s="4" t="s">
        <v>642</v>
      </c>
      <c r="U1145" s="4">
        <v>0</v>
      </c>
      <c r="V1145" s="4">
        <v>63</v>
      </c>
      <c r="W1145" s="4">
        <v>91</v>
      </c>
    </row>
    <row r="1146" spans="1:23" ht="11.25" customHeight="1" x14ac:dyDescent="0.3">
      <c r="A1146" s="4" t="s">
        <v>21</v>
      </c>
      <c r="B1146" s="4" t="s">
        <v>47</v>
      </c>
      <c r="C1146" s="4" t="s">
        <v>23</v>
      </c>
      <c r="D1146" s="4" t="s">
        <v>48</v>
      </c>
      <c r="E1146" s="4" t="s">
        <v>49</v>
      </c>
      <c r="F1146" s="4" t="s">
        <v>25</v>
      </c>
      <c r="G1146" s="4" t="s">
        <v>25</v>
      </c>
      <c r="H1146" s="4" t="s">
        <v>25</v>
      </c>
      <c r="I1146" s="5">
        <v>44501</v>
      </c>
      <c r="J1146" s="6">
        <v>0</v>
      </c>
      <c r="K1146" s="6">
        <v>0</v>
      </c>
      <c r="L1146" s="6">
        <v>1655.827</v>
      </c>
      <c r="M1146" s="6">
        <v>1655.827</v>
      </c>
      <c r="N1146" s="6">
        <v>1655.827</v>
      </c>
      <c r="O1146" s="6">
        <v>1655.827</v>
      </c>
      <c r="P1146" s="6">
        <v>7</v>
      </c>
      <c r="Q1146" s="4" t="s">
        <v>26</v>
      </c>
      <c r="R1146" s="4">
        <v>0</v>
      </c>
      <c r="S1146" s="4" t="s">
        <v>421</v>
      </c>
      <c r="T1146" s="4" t="s">
        <v>643</v>
      </c>
      <c r="U1146" s="4">
        <v>0</v>
      </c>
      <c r="V1146" s="4">
        <v>88</v>
      </c>
      <c r="W1146" s="4">
        <v>89</v>
      </c>
    </row>
    <row r="1147" spans="1:23" ht="11.25" customHeight="1" x14ac:dyDescent="0.3">
      <c r="A1147" s="4" t="s">
        <v>21</v>
      </c>
      <c r="B1147" s="4" t="s">
        <v>47</v>
      </c>
      <c r="C1147" s="4" t="s">
        <v>23</v>
      </c>
      <c r="D1147" s="4" t="s">
        <v>48</v>
      </c>
      <c r="E1147" s="4" t="s">
        <v>49</v>
      </c>
      <c r="F1147" s="4" t="s">
        <v>25</v>
      </c>
      <c r="G1147" s="4" t="s">
        <v>25</v>
      </c>
      <c r="H1147" s="4" t="s">
        <v>25</v>
      </c>
      <c r="I1147" s="5">
        <v>44531</v>
      </c>
      <c r="J1147" s="6">
        <v>0</v>
      </c>
      <c r="K1147" s="6">
        <v>0</v>
      </c>
      <c r="L1147" s="6">
        <v>1520.616</v>
      </c>
      <c r="M1147" s="6">
        <v>1520.616</v>
      </c>
      <c r="N1147" s="6">
        <v>1520.616</v>
      </c>
      <c r="O1147" s="6">
        <v>1520.616</v>
      </c>
      <c r="P1147" s="6">
        <v>7</v>
      </c>
      <c r="Q1147" s="4" t="s">
        <v>26</v>
      </c>
      <c r="R1147" s="4">
        <v>0</v>
      </c>
      <c r="S1147" s="4" t="s">
        <v>422</v>
      </c>
      <c r="T1147" s="4" t="s">
        <v>644</v>
      </c>
      <c r="U1147" s="4">
        <v>0</v>
      </c>
      <c r="V1147" s="4">
        <v>88</v>
      </c>
      <c r="W1147" s="4">
        <v>89</v>
      </c>
    </row>
    <row r="1148" spans="1:23" ht="11.25" customHeight="1" x14ac:dyDescent="0.3">
      <c r="A1148" s="4" t="s">
        <v>21</v>
      </c>
      <c r="B1148" s="4" t="s">
        <v>47</v>
      </c>
      <c r="C1148" s="4" t="s">
        <v>23</v>
      </c>
      <c r="D1148" s="4" t="s">
        <v>48</v>
      </c>
      <c r="E1148" s="4" t="s">
        <v>49</v>
      </c>
      <c r="F1148" s="4" t="s">
        <v>25</v>
      </c>
      <c r="G1148" s="4" t="s">
        <v>25</v>
      </c>
      <c r="H1148" s="4" t="s">
        <v>25</v>
      </c>
      <c r="I1148" s="5">
        <v>44562</v>
      </c>
      <c r="J1148" s="6">
        <v>0</v>
      </c>
      <c r="K1148" s="6">
        <v>0</v>
      </c>
      <c r="L1148" s="6">
        <v>1581.3240000000001</v>
      </c>
      <c r="M1148" s="6">
        <v>1581.3240000000001</v>
      </c>
      <c r="N1148" s="6">
        <v>1581.3240000000001</v>
      </c>
      <c r="O1148" s="6">
        <v>1581.3240000000001</v>
      </c>
      <c r="P1148" s="6">
        <v>8</v>
      </c>
      <c r="Q1148" s="4" t="s">
        <v>26</v>
      </c>
      <c r="R1148" s="4">
        <v>0</v>
      </c>
      <c r="S1148" s="4" t="s">
        <v>423</v>
      </c>
      <c r="T1148" s="4" t="s">
        <v>645</v>
      </c>
      <c r="U1148" s="4">
        <v>0</v>
      </c>
      <c r="V1148" s="4">
        <v>88</v>
      </c>
      <c r="W1148" s="4">
        <v>89</v>
      </c>
    </row>
    <row r="1149" spans="1:23" ht="11.25" customHeight="1" x14ac:dyDescent="0.3">
      <c r="A1149" s="4" t="s">
        <v>21</v>
      </c>
      <c r="B1149" s="4" t="s">
        <v>47</v>
      </c>
      <c r="C1149" s="4" t="s">
        <v>23</v>
      </c>
      <c r="D1149" s="4" t="s">
        <v>48</v>
      </c>
      <c r="E1149" s="4" t="s">
        <v>49</v>
      </c>
      <c r="F1149" s="4" t="s">
        <v>25</v>
      </c>
      <c r="G1149" s="4" t="s">
        <v>25</v>
      </c>
      <c r="H1149" s="4" t="s">
        <v>25</v>
      </c>
      <c r="I1149" s="5">
        <v>44593</v>
      </c>
      <c r="J1149" s="6">
        <v>0</v>
      </c>
      <c r="K1149" s="6">
        <v>0</v>
      </c>
      <c r="L1149" s="6">
        <v>1533.1579999999999</v>
      </c>
      <c r="M1149" s="6">
        <v>1533.1579999999999</v>
      </c>
      <c r="N1149" s="6">
        <v>1533.1579999999999</v>
      </c>
      <c r="O1149" s="6">
        <v>1533.1579999999999</v>
      </c>
      <c r="P1149" s="6">
        <v>7</v>
      </c>
      <c r="Q1149" s="4" t="s">
        <v>26</v>
      </c>
      <c r="R1149" s="4">
        <v>0</v>
      </c>
      <c r="S1149" s="4" t="s">
        <v>424</v>
      </c>
      <c r="T1149" s="4" t="s">
        <v>646</v>
      </c>
      <c r="U1149" s="4">
        <v>0</v>
      </c>
      <c r="V1149" s="4">
        <v>88</v>
      </c>
      <c r="W1149" s="4">
        <v>89</v>
      </c>
    </row>
    <row r="1150" spans="1:23" ht="11.25" customHeight="1" x14ac:dyDescent="0.3">
      <c r="A1150" s="4" t="s">
        <v>21</v>
      </c>
      <c r="B1150" s="4" t="s">
        <v>47</v>
      </c>
      <c r="C1150" s="4" t="s">
        <v>23</v>
      </c>
      <c r="D1150" s="4" t="s">
        <v>48</v>
      </c>
      <c r="E1150" s="4" t="s">
        <v>49</v>
      </c>
      <c r="F1150" s="4" t="s">
        <v>25</v>
      </c>
      <c r="G1150" s="4" t="s">
        <v>25</v>
      </c>
      <c r="H1150" s="4" t="s">
        <v>25</v>
      </c>
      <c r="I1150" s="5">
        <v>44621</v>
      </c>
      <c r="J1150" s="6">
        <v>0</v>
      </c>
      <c r="K1150" s="6">
        <v>0</v>
      </c>
      <c r="L1150" s="6">
        <v>1434.3309999999999</v>
      </c>
      <c r="M1150" s="6">
        <v>1434.3309999999999</v>
      </c>
      <c r="N1150" s="6">
        <v>1434.3309999999999</v>
      </c>
      <c r="O1150" s="6">
        <v>1434.3309999999999</v>
      </c>
      <c r="P1150" s="6">
        <v>7</v>
      </c>
      <c r="Q1150" s="4" t="s">
        <v>26</v>
      </c>
      <c r="R1150" s="4">
        <v>0</v>
      </c>
      <c r="S1150" s="4" t="s">
        <v>425</v>
      </c>
      <c r="T1150" s="4" t="s">
        <v>647</v>
      </c>
      <c r="U1150" s="4">
        <v>0</v>
      </c>
      <c r="V1150" s="4">
        <v>88</v>
      </c>
      <c r="W1150" s="4">
        <v>89</v>
      </c>
    </row>
    <row r="1151" spans="1:23" ht="11.25" customHeight="1" x14ac:dyDescent="0.3">
      <c r="A1151" s="4" t="s">
        <v>21</v>
      </c>
      <c r="B1151" s="4" t="s">
        <v>47</v>
      </c>
      <c r="C1151" s="4" t="s">
        <v>23</v>
      </c>
      <c r="D1151" s="4" t="s">
        <v>48</v>
      </c>
      <c r="E1151" s="4" t="s">
        <v>49</v>
      </c>
      <c r="F1151" s="4" t="s">
        <v>25</v>
      </c>
      <c r="G1151" s="4" t="s">
        <v>25</v>
      </c>
      <c r="H1151" s="4" t="s">
        <v>25</v>
      </c>
      <c r="I1151" s="5">
        <v>44652</v>
      </c>
      <c r="J1151" s="6">
        <v>0</v>
      </c>
      <c r="K1151" s="6">
        <v>0</v>
      </c>
      <c r="L1151" s="6">
        <v>1639.623</v>
      </c>
      <c r="M1151" s="6">
        <v>1639.623</v>
      </c>
      <c r="N1151" s="6">
        <v>1639.623</v>
      </c>
      <c r="O1151" s="6">
        <v>1639.623</v>
      </c>
      <c r="P1151" s="6">
        <v>7</v>
      </c>
      <c r="Q1151" s="4" t="s">
        <v>26</v>
      </c>
      <c r="R1151" s="4">
        <v>0</v>
      </c>
      <c r="S1151" s="4" t="s">
        <v>426</v>
      </c>
      <c r="T1151" s="4" t="s">
        <v>648</v>
      </c>
      <c r="U1151" s="4">
        <v>0</v>
      </c>
      <c r="V1151" s="4">
        <v>88</v>
      </c>
      <c r="W1151" s="4">
        <v>89</v>
      </c>
    </row>
    <row r="1152" spans="1:23" ht="11.25" customHeight="1" x14ac:dyDescent="0.3">
      <c r="A1152" s="4" t="s">
        <v>21</v>
      </c>
      <c r="B1152" s="4" t="s">
        <v>47</v>
      </c>
      <c r="C1152" s="4" t="s">
        <v>23</v>
      </c>
      <c r="D1152" s="4" t="s">
        <v>48</v>
      </c>
      <c r="E1152" s="4" t="s">
        <v>49</v>
      </c>
      <c r="F1152" s="4" t="s">
        <v>25</v>
      </c>
      <c r="G1152" s="4" t="s">
        <v>25</v>
      </c>
      <c r="H1152" s="4" t="s">
        <v>25</v>
      </c>
      <c r="I1152" s="5">
        <v>44682</v>
      </c>
      <c r="J1152" s="6">
        <v>0</v>
      </c>
      <c r="K1152" s="6">
        <v>0</v>
      </c>
      <c r="L1152" s="6">
        <v>1659.1769999999999</v>
      </c>
      <c r="M1152" s="6">
        <v>1659.1769999999999</v>
      </c>
      <c r="N1152" s="6">
        <v>1659.1769999999999</v>
      </c>
      <c r="O1152" s="6">
        <v>1659.1769999999999</v>
      </c>
      <c r="P1152" s="6">
        <v>7</v>
      </c>
      <c r="Q1152" s="4" t="s">
        <v>26</v>
      </c>
      <c r="R1152" s="4">
        <v>0</v>
      </c>
      <c r="S1152" s="4" t="s">
        <v>427</v>
      </c>
      <c r="T1152" s="4" t="s">
        <v>649</v>
      </c>
      <c r="U1152" s="4">
        <v>0</v>
      </c>
      <c r="V1152" s="4">
        <v>88</v>
      </c>
      <c r="W1152" s="4">
        <v>89</v>
      </c>
    </row>
    <row r="1153" spans="1:23" ht="11.25" customHeight="1" x14ac:dyDescent="0.3">
      <c r="A1153" s="4" t="s">
        <v>21</v>
      </c>
      <c r="B1153" s="4" t="s">
        <v>47</v>
      </c>
      <c r="C1153" s="4" t="s">
        <v>23</v>
      </c>
      <c r="D1153" s="4" t="s">
        <v>48</v>
      </c>
      <c r="E1153" s="4" t="s">
        <v>49</v>
      </c>
      <c r="F1153" s="4" t="s">
        <v>25</v>
      </c>
      <c r="G1153" s="4" t="s">
        <v>25</v>
      </c>
      <c r="H1153" s="4" t="s">
        <v>25</v>
      </c>
      <c r="I1153" s="5">
        <v>44713</v>
      </c>
      <c r="J1153" s="6">
        <v>0</v>
      </c>
      <c r="K1153" s="6">
        <v>0</v>
      </c>
      <c r="L1153" s="6">
        <v>1776.6980000000001</v>
      </c>
      <c r="M1153" s="6">
        <v>1776.6980000000001</v>
      </c>
      <c r="N1153" s="6">
        <v>1776.6980000000001</v>
      </c>
      <c r="O1153" s="6">
        <v>1776.6980000000001</v>
      </c>
      <c r="P1153" s="6">
        <v>7</v>
      </c>
      <c r="Q1153" s="4" t="s">
        <v>26</v>
      </c>
      <c r="R1153" s="4">
        <v>0</v>
      </c>
      <c r="S1153" s="4" t="s">
        <v>428</v>
      </c>
      <c r="T1153" s="4" t="s">
        <v>650</v>
      </c>
      <c r="U1153" s="4">
        <v>0</v>
      </c>
      <c r="V1153" s="4">
        <v>88</v>
      </c>
      <c r="W1153" s="4">
        <v>89</v>
      </c>
    </row>
    <row r="1154" spans="1:23" ht="11.25" customHeight="1" x14ac:dyDescent="0.3">
      <c r="A1154" s="4" t="s">
        <v>21</v>
      </c>
      <c r="B1154" s="4" t="s">
        <v>47</v>
      </c>
      <c r="C1154" s="4" t="s">
        <v>23</v>
      </c>
      <c r="D1154" s="4" t="s">
        <v>48</v>
      </c>
      <c r="E1154" s="4" t="s">
        <v>49</v>
      </c>
      <c r="F1154" s="4" t="s">
        <v>25</v>
      </c>
      <c r="G1154" s="4" t="s">
        <v>25</v>
      </c>
      <c r="H1154" s="4" t="s">
        <v>25</v>
      </c>
      <c r="I1154" s="5">
        <v>44743</v>
      </c>
      <c r="J1154" s="6">
        <v>0</v>
      </c>
      <c r="K1154" s="6">
        <v>0</v>
      </c>
      <c r="L1154" s="6">
        <v>1731.701</v>
      </c>
      <c r="M1154" s="6">
        <v>1731.701</v>
      </c>
      <c r="N1154" s="6">
        <v>1731.701</v>
      </c>
      <c r="O1154" s="6">
        <v>1731.701</v>
      </c>
      <c r="P1154" s="6">
        <v>6</v>
      </c>
      <c r="Q1154" s="4" t="s">
        <v>26</v>
      </c>
      <c r="R1154" s="4">
        <v>0</v>
      </c>
      <c r="S1154" s="4" t="s">
        <v>429</v>
      </c>
      <c r="T1154" s="4" t="s">
        <v>651</v>
      </c>
      <c r="U1154" s="4">
        <v>0</v>
      </c>
      <c r="V1154" s="4">
        <v>88</v>
      </c>
      <c r="W1154" s="4">
        <v>89</v>
      </c>
    </row>
    <row r="1155" spans="1:23" ht="11.25" customHeight="1" x14ac:dyDescent="0.3">
      <c r="A1155" s="4" t="s">
        <v>21</v>
      </c>
      <c r="B1155" s="4" t="s">
        <v>47</v>
      </c>
      <c r="C1155" s="4" t="s">
        <v>23</v>
      </c>
      <c r="D1155" s="4" t="s">
        <v>48</v>
      </c>
      <c r="E1155" s="4" t="s">
        <v>49</v>
      </c>
      <c r="F1155" s="4" t="s">
        <v>25</v>
      </c>
      <c r="G1155" s="4" t="s">
        <v>25</v>
      </c>
      <c r="H1155" s="4" t="s">
        <v>25</v>
      </c>
      <c r="I1155" s="5">
        <v>44774</v>
      </c>
      <c r="J1155" s="6">
        <v>0</v>
      </c>
      <c r="K1155" s="6">
        <v>0</v>
      </c>
      <c r="L1155" s="6">
        <v>1771.2239999999999</v>
      </c>
      <c r="M1155" s="6">
        <v>1771.2239999999999</v>
      </c>
      <c r="N1155" s="6">
        <v>1771.2239999999999</v>
      </c>
      <c r="O1155" s="6">
        <v>1771.2239999999999</v>
      </c>
      <c r="P1155" s="6">
        <v>6</v>
      </c>
      <c r="Q1155" s="4" t="s">
        <v>26</v>
      </c>
      <c r="R1155" s="4">
        <v>0</v>
      </c>
      <c r="S1155" s="4" t="s">
        <v>430</v>
      </c>
      <c r="T1155" s="4" t="s">
        <v>652</v>
      </c>
      <c r="U1155" s="4">
        <v>0</v>
      </c>
      <c r="V1155" s="4">
        <v>88</v>
      </c>
      <c r="W1155" s="4">
        <v>89</v>
      </c>
    </row>
    <row r="1156" spans="1:23" ht="11.25" customHeight="1" x14ac:dyDescent="0.3">
      <c r="A1156" s="4" t="s">
        <v>21</v>
      </c>
      <c r="B1156" s="4" t="s">
        <v>47</v>
      </c>
      <c r="C1156" s="4" t="s">
        <v>23</v>
      </c>
      <c r="D1156" s="4" t="s">
        <v>48</v>
      </c>
      <c r="E1156" s="4" t="s">
        <v>49</v>
      </c>
      <c r="F1156" s="4" t="s">
        <v>25</v>
      </c>
      <c r="G1156" s="4" t="s">
        <v>25</v>
      </c>
      <c r="H1156" s="4" t="s">
        <v>25</v>
      </c>
      <c r="I1156" s="5">
        <v>44805</v>
      </c>
      <c r="J1156" s="6">
        <v>0</v>
      </c>
      <c r="K1156" s="6">
        <v>0</v>
      </c>
      <c r="L1156" s="6">
        <v>1675.3330000000001</v>
      </c>
      <c r="M1156" s="6">
        <v>1675.3330000000001</v>
      </c>
      <c r="N1156" s="6">
        <v>1675.3330000000001</v>
      </c>
      <c r="O1156" s="6">
        <v>1675.3330000000001</v>
      </c>
      <c r="P1156" s="6">
        <v>6</v>
      </c>
      <c r="Q1156" s="4" t="s">
        <v>26</v>
      </c>
      <c r="R1156" s="4">
        <v>0</v>
      </c>
      <c r="S1156" s="4" t="s">
        <v>431</v>
      </c>
      <c r="T1156" s="4" t="s">
        <v>653</v>
      </c>
      <c r="U1156" s="4">
        <v>0</v>
      </c>
      <c r="V1156" s="4">
        <v>88</v>
      </c>
      <c r="W1156" s="4">
        <v>89</v>
      </c>
    </row>
    <row r="1157" spans="1:23" ht="11.25" customHeight="1" x14ac:dyDescent="0.3">
      <c r="A1157" s="4" t="s">
        <v>53</v>
      </c>
      <c r="B1157" s="4" t="s">
        <v>47</v>
      </c>
      <c r="C1157" s="4" t="s">
        <v>23</v>
      </c>
      <c r="D1157" s="4" t="s">
        <v>48</v>
      </c>
      <c r="E1157" s="4" t="s">
        <v>49</v>
      </c>
      <c r="F1157" s="4" t="s">
        <v>25</v>
      </c>
      <c r="G1157" s="4" t="s">
        <v>25</v>
      </c>
      <c r="H1157" s="4" t="s">
        <v>25</v>
      </c>
      <c r="I1157" s="5">
        <v>44835</v>
      </c>
      <c r="J1157" s="6">
        <v>0</v>
      </c>
      <c r="K1157" s="6">
        <v>0</v>
      </c>
      <c r="L1157" s="6">
        <v>1675.3330000000001</v>
      </c>
      <c r="M1157" s="6">
        <v>1675.3330000000001</v>
      </c>
      <c r="N1157" s="6">
        <v>1675.3330000000001</v>
      </c>
      <c r="O1157" s="6">
        <v>1675.3330000000001</v>
      </c>
      <c r="P1157" s="6">
        <v>6</v>
      </c>
      <c r="Q1157" s="4" t="s">
        <v>26</v>
      </c>
      <c r="R1157" s="4">
        <v>0</v>
      </c>
      <c r="S1157" s="4" t="s">
        <v>432</v>
      </c>
      <c r="T1157" s="4" t="s">
        <v>654</v>
      </c>
      <c r="U1157" s="4">
        <v>0</v>
      </c>
      <c r="V1157" s="4">
        <v>88</v>
      </c>
      <c r="W1157" s="4">
        <v>89</v>
      </c>
    </row>
  </sheetData>
  <sortState xmlns:xlrd2="http://schemas.microsoft.com/office/spreadsheetml/2017/richdata2" ref="A2:W1157">
    <sortCondition ref="B2:B1157"/>
    <sortCondition ref="C2:C1157"/>
    <sortCondition ref="D2:D1157"/>
    <sortCondition ref="E2:E1157"/>
    <sortCondition ref="F2:F1157"/>
    <sortCondition ref="H2:H1157"/>
  </sortState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DCC91-214E-4396-A53C-CEB1EC59A967}">
  <sheetPr codeName="Planilha2"/>
  <dimension ref="A1:H124"/>
  <sheetViews>
    <sheetView showGridLines="0" workbookViewId="0">
      <selection activeCell="H1" sqref="H1"/>
    </sheetView>
  </sheetViews>
  <sheetFormatPr defaultRowHeight="11.25" customHeight="1" x14ac:dyDescent="0.3"/>
  <cols>
    <col min="1" max="1" width="11.5546875" style="8" bestFit="1" customWidth="1"/>
    <col min="2" max="2" width="15.21875" style="8" bestFit="1" customWidth="1"/>
    <col min="3" max="3" width="4.33203125" style="8" bestFit="1" customWidth="1"/>
    <col min="4" max="4" width="6.109375" style="8" bestFit="1" customWidth="1"/>
    <col min="5" max="5" width="8.109375" style="8" bestFit="1" customWidth="1"/>
    <col min="6" max="6" width="8.88671875" style="8"/>
    <col min="7" max="7" width="17.33203125" style="8" bestFit="1" customWidth="1"/>
    <col min="8" max="8" width="2" style="8" bestFit="1" customWidth="1"/>
    <col min="9" max="16384" width="8.88671875" style="8"/>
  </cols>
  <sheetData>
    <row r="1" spans="1:8" s="7" customFormat="1" ht="11.25" customHeight="1" x14ac:dyDescent="0.3">
      <c r="A1" s="7" t="s">
        <v>62</v>
      </c>
      <c r="B1" s="7" t="s">
        <v>63</v>
      </c>
      <c r="C1" s="7" t="s">
        <v>64</v>
      </c>
      <c r="D1" s="7" t="s">
        <v>65</v>
      </c>
      <c r="E1" s="7" t="s">
        <v>66</v>
      </c>
      <c r="G1" s="7" t="s">
        <v>67</v>
      </c>
      <c r="H1" s="7">
        <f>COUNTA(A:A)</f>
        <v>124</v>
      </c>
    </row>
    <row r="2" spans="1:8" ht="11.25" customHeight="1" x14ac:dyDescent="0.3">
      <c r="A2" s="8" t="s">
        <v>458</v>
      </c>
      <c r="B2" s="8" t="s">
        <v>459</v>
      </c>
      <c r="C2" s="8" t="s">
        <v>460</v>
      </c>
      <c r="D2" s="8">
        <v>232</v>
      </c>
      <c r="E2" s="8" t="s">
        <v>461</v>
      </c>
    </row>
    <row r="3" spans="1:8" ht="11.25" customHeight="1" x14ac:dyDescent="0.3">
      <c r="A3" s="8" t="s">
        <v>458</v>
      </c>
      <c r="B3" s="8" t="s">
        <v>459</v>
      </c>
      <c r="C3" s="8" t="s">
        <v>460</v>
      </c>
      <c r="D3" s="8">
        <v>233</v>
      </c>
      <c r="E3" s="8" t="s">
        <v>461</v>
      </c>
    </row>
    <row r="4" spans="1:8" ht="11.25" customHeight="1" x14ac:dyDescent="0.3">
      <c r="A4" s="8" t="s">
        <v>458</v>
      </c>
      <c r="B4" s="8" t="s">
        <v>459</v>
      </c>
      <c r="C4" s="8" t="s">
        <v>460</v>
      </c>
      <c r="D4" s="8">
        <v>234</v>
      </c>
      <c r="E4" s="8" t="s">
        <v>461</v>
      </c>
    </row>
    <row r="5" spans="1:8" ht="11.25" customHeight="1" x14ac:dyDescent="0.3">
      <c r="A5" s="8" t="s">
        <v>458</v>
      </c>
      <c r="B5" s="8" t="s">
        <v>459</v>
      </c>
      <c r="C5" s="8" t="s">
        <v>460</v>
      </c>
      <c r="D5" s="8">
        <v>235</v>
      </c>
      <c r="E5" s="8" t="s">
        <v>461</v>
      </c>
    </row>
    <row r="6" spans="1:8" ht="11.25" customHeight="1" x14ac:dyDescent="0.3">
      <c r="A6" s="8" t="s">
        <v>458</v>
      </c>
      <c r="B6" s="8" t="s">
        <v>459</v>
      </c>
      <c r="C6" s="8" t="s">
        <v>460</v>
      </c>
      <c r="D6" s="8">
        <v>236</v>
      </c>
      <c r="E6" s="8" t="s">
        <v>461</v>
      </c>
    </row>
    <row r="7" spans="1:8" ht="11.25" customHeight="1" x14ac:dyDescent="0.3">
      <c r="A7" s="8" t="s">
        <v>458</v>
      </c>
      <c r="B7" s="8" t="s">
        <v>459</v>
      </c>
      <c r="C7" s="8" t="s">
        <v>460</v>
      </c>
      <c r="D7" s="8">
        <v>237</v>
      </c>
      <c r="E7" s="8" t="s">
        <v>461</v>
      </c>
    </row>
    <row r="8" spans="1:8" ht="11.25" customHeight="1" x14ac:dyDescent="0.3">
      <c r="A8" s="8" t="s">
        <v>458</v>
      </c>
      <c r="B8" s="8" t="s">
        <v>459</v>
      </c>
      <c r="C8" s="8" t="s">
        <v>460</v>
      </c>
      <c r="D8" s="8">
        <v>238</v>
      </c>
      <c r="E8" s="8" t="s">
        <v>461</v>
      </c>
    </row>
    <row r="9" spans="1:8" ht="11.25" customHeight="1" x14ac:dyDescent="0.3">
      <c r="A9" s="8" t="s">
        <v>458</v>
      </c>
      <c r="B9" s="8" t="s">
        <v>459</v>
      </c>
      <c r="C9" s="8" t="s">
        <v>460</v>
      </c>
      <c r="D9" s="8">
        <v>239</v>
      </c>
      <c r="E9" s="8" t="s">
        <v>461</v>
      </c>
    </row>
    <row r="10" spans="1:8" ht="11.25" customHeight="1" x14ac:dyDescent="0.3">
      <c r="A10" s="8" t="s">
        <v>458</v>
      </c>
      <c r="B10" s="8" t="s">
        <v>459</v>
      </c>
      <c r="C10" s="8" t="s">
        <v>460</v>
      </c>
      <c r="D10" s="8">
        <v>240</v>
      </c>
      <c r="E10" s="8" t="s">
        <v>461</v>
      </c>
    </row>
    <row r="11" spans="1:8" ht="11.25" customHeight="1" x14ac:dyDescent="0.3">
      <c r="A11" s="8" t="s">
        <v>458</v>
      </c>
      <c r="B11" s="8" t="s">
        <v>459</v>
      </c>
      <c r="C11" s="8" t="s">
        <v>460</v>
      </c>
      <c r="D11" s="8">
        <v>241</v>
      </c>
      <c r="E11" s="8" t="s">
        <v>461</v>
      </c>
    </row>
    <row r="12" spans="1:8" ht="11.25" customHeight="1" x14ac:dyDescent="0.3">
      <c r="A12" s="8" t="s">
        <v>458</v>
      </c>
      <c r="B12" s="8" t="s">
        <v>459</v>
      </c>
      <c r="C12" s="8" t="s">
        <v>460</v>
      </c>
      <c r="D12" s="8">
        <v>242</v>
      </c>
      <c r="E12" s="8" t="s">
        <v>461</v>
      </c>
    </row>
    <row r="13" spans="1:8" ht="11.25" customHeight="1" x14ac:dyDescent="0.3">
      <c r="A13" s="8" t="s">
        <v>458</v>
      </c>
      <c r="B13" s="8" t="s">
        <v>459</v>
      </c>
      <c r="C13" s="8" t="s">
        <v>460</v>
      </c>
      <c r="D13" s="8">
        <v>243</v>
      </c>
      <c r="E13" s="8" t="s">
        <v>461</v>
      </c>
    </row>
    <row r="14" spans="1:8" ht="11.25" customHeight="1" x14ac:dyDescent="0.3">
      <c r="A14" s="8" t="s">
        <v>458</v>
      </c>
      <c r="B14" s="8" t="s">
        <v>459</v>
      </c>
      <c r="C14" s="8" t="s">
        <v>460</v>
      </c>
      <c r="D14" s="8">
        <v>244</v>
      </c>
      <c r="E14" s="8" t="s">
        <v>461</v>
      </c>
    </row>
    <row r="15" spans="1:8" ht="11.25" customHeight="1" x14ac:dyDescent="0.3">
      <c r="A15" s="8" t="s">
        <v>458</v>
      </c>
      <c r="B15" s="8" t="s">
        <v>459</v>
      </c>
      <c r="C15" s="8" t="s">
        <v>460</v>
      </c>
      <c r="D15" s="8">
        <v>245</v>
      </c>
      <c r="E15" s="8" t="s">
        <v>461</v>
      </c>
    </row>
    <row r="16" spans="1:8" ht="11.25" customHeight="1" x14ac:dyDescent="0.3">
      <c r="A16" s="8" t="s">
        <v>458</v>
      </c>
      <c r="B16" s="8" t="s">
        <v>459</v>
      </c>
      <c r="C16" s="8" t="s">
        <v>460</v>
      </c>
      <c r="D16" s="8">
        <v>246</v>
      </c>
      <c r="E16" s="8" t="s">
        <v>461</v>
      </c>
    </row>
    <row r="17" spans="1:5" ht="11.25" customHeight="1" x14ac:dyDescent="0.3">
      <c r="A17" s="8" t="s">
        <v>458</v>
      </c>
      <c r="B17" s="8" t="s">
        <v>459</v>
      </c>
      <c r="C17" s="8" t="s">
        <v>460</v>
      </c>
      <c r="D17" s="8">
        <v>247</v>
      </c>
      <c r="E17" s="8" t="s">
        <v>461</v>
      </c>
    </row>
    <row r="18" spans="1:5" ht="11.25" customHeight="1" x14ac:dyDescent="0.3">
      <c r="A18" s="8" t="s">
        <v>458</v>
      </c>
      <c r="B18" s="8" t="s">
        <v>459</v>
      </c>
      <c r="C18" s="8" t="s">
        <v>460</v>
      </c>
      <c r="D18" s="8">
        <v>248</v>
      </c>
      <c r="E18" s="8" t="s">
        <v>461</v>
      </c>
    </row>
    <row r="19" spans="1:5" ht="11.25" customHeight="1" x14ac:dyDescent="0.3">
      <c r="A19" s="8" t="s">
        <v>458</v>
      </c>
      <c r="B19" s="8" t="s">
        <v>459</v>
      </c>
      <c r="C19" s="8" t="s">
        <v>460</v>
      </c>
      <c r="D19" s="8">
        <v>249</v>
      </c>
      <c r="E19" s="8" t="s">
        <v>461</v>
      </c>
    </row>
    <row r="20" spans="1:5" ht="11.25" customHeight="1" x14ac:dyDescent="0.3">
      <c r="A20" s="8" t="s">
        <v>458</v>
      </c>
      <c r="B20" s="8" t="s">
        <v>459</v>
      </c>
      <c r="C20" s="8" t="s">
        <v>460</v>
      </c>
      <c r="D20" s="8">
        <v>250</v>
      </c>
      <c r="E20" s="8" t="s">
        <v>461</v>
      </c>
    </row>
    <row r="21" spans="1:5" ht="11.25" customHeight="1" x14ac:dyDescent="0.3">
      <c r="A21" s="8" t="s">
        <v>458</v>
      </c>
      <c r="B21" s="8" t="s">
        <v>459</v>
      </c>
      <c r="C21" s="8" t="s">
        <v>460</v>
      </c>
      <c r="D21" s="8">
        <v>251</v>
      </c>
      <c r="E21" s="8" t="s">
        <v>461</v>
      </c>
    </row>
    <row r="22" spans="1:5" ht="11.25" customHeight="1" x14ac:dyDescent="0.3">
      <c r="A22" s="8" t="s">
        <v>458</v>
      </c>
      <c r="B22" s="8" t="s">
        <v>459</v>
      </c>
      <c r="C22" s="8" t="s">
        <v>460</v>
      </c>
      <c r="D22" s="8">
        <v>252</v>
      </c>
      <c r="E22" s="8" t="s">
        <v>461</v>
      </c>
    </row>
    <row r="23" spans="1:5" ht="11.25" customHeight="1" x14ac:dyDescent="0.3">
      <c r="A23" s="8" t="s">
        <v>458</v>
      </c>
      <c r="B23" s="8" t="s">
        <v>459</v>
      </c>
      <c r="C23" s="8" t="s">
        <v>460</v>
      </c>
      <c r="D23" s="8">
        <v>253</v>
      </c>
      <c r="E23" s="8" t="s">
        <v>461</v>
      </c>
    </row>
    <row r="24" spans="1:5" ht="11.25" customHeight="1" x14ac:dyDescent="0.3">
      <c r="A24" s="8" t="s">
        <v>458</v>
      </c>
      <c r="B24" s="8" t="s">
        <v>459</v>
      </c>
      <c r="C24" s="8" t="s">
        <v>460</v>
      </c>
      <c r="D24" s="8">
        <v>254</v>
      </c>
      <c r="E24" s="8" t="s">
        <v>461</v>
      </c>
    </row>
    <row r="25" spans="1:5" ht="11.25" customHeight="1" x14ac:dyDescent="0.3">
      <c r="A25" s="8" t="s">
        <v>458</v>
      </c>
      <c r="B25" s="8" t="s">
        <v>459</v>
      </c>
      <c r="C25" s="8" t="s">
        <v>460</v>
      </c>
      <c r="D25" s="8">
        <v>255</v>
      </c>
      <c r="E25" s="8" t="s">
        <v>461</v>
      </c>
    </row>
    <row r="26" spans="1:5" ht="11.25" customHeight="1" x14ac:dyDescent="0.3">
      <c r="A26" s="8" t="s">
        <v>458</v>
      </c>
      <c r="B26" s="8" t="s">
        <v>459</v>
      </c>
      <c r="C26" s="8" t="s">
        <v>460</v>
      </c>
      <c r="D26" s="8">
        <v>294</v>
      </c>
      <c r="E26" s="8" t="s">
        <v>461</v>
      </c>
    </row>
    <row r="27" spans="1:5" ht="11.25" customHeight="1" x14ac:dyDescent="0.3">
      <c r="A27" s="8" t="s">
        <v>458</v>
      </c>
      <c r="B27" s="8" t="s">
        <v>459</v>
      </c>
      <c r="C27" s="8" t="s">
        <v>460</v>
      </c>
      <c r="D27" s="8">
        <v>295</v>
      </c>
      <c r="E27" s="8" t="s">
        <v>461</v>
      </c>
    </row>
    <row r="28" spans="1:5" ht="11.25" customHeight="1" x14ac:dyDescent="0.3">
      <c r="A28" s="8" t="s">
        <v>458</v>
      </c>
      <c r="B28" s="8" t="s">
        <v>459</v>
      </c>
      <c r="C28" s="8" t="s">
        <v>460</v>
      </c>
      <c r="D28" s="8">
        <v>296</v>
      </c>
      <c r="E28" s="8" t="s">
        <v>461</v>
      </c>
    </row>
    <row r="29" spans="1:5" ht="11.25" customHeight="1" x14ac:dyDescent="0.3">
      <c r="A29" s="8" t="s">
        <v>458</v>
      </c>
      <c r="B29" s="8" t="s">
        <v>459</v>
      </c>
      <c r="C29" s="8" t="s">
        <v>460</v>
      </c>
      <c r="D29" s="8">
        <v>297</v>
      </c>
      <c r="E29" s="8" t="s">
        <v>461</v>
      </c>
    </row>
    <row r="30" spans="1:5" ht="11.25" customHeight="1" x14ac:dyDescent="0.3">
      <c r="A30" s="8" t="s">
        <v>458</v>
      </c>
      <c r="B30" s="8" t="s">
        <v>459</v>
      </c>
      <c r="C30" s="8" t="s">
        <v>460</v>
      </c>
      <c r="D30" s="8">
        <v>298</v>
      </c>
      <c r="E30" s="8" t="s">
        <v>461</v>
      </c>
    </row>
    <row r="31" spans="1:5" ht="11.25" customHeight="1" x14ac:dyDescent="0.3">
      <c r="A31" s="8" t="s">
        <v>458</v>
      </c>
      <c r="B31" s="8" t="s">
        <v>459</v>
      </c>
      <c r="C31" s="8" t="s">
        <v>460</v>
      </c>
      <c r="D31" s="8">
        <v>299</v>
      </c>
      <c r="E31" s="8" t="s">
        <v>461</v>
      </c>
    </row>
    <row r="32" spans="1:5" ht="11.25" customHeight="1" x14ac:dyDescent="0.3">
      <c r="A32" s="8" t="s">
        <v>458</v>
      </c>
      <c r="B32" s="8" t="s">
        <v>459</v>
      </c>
      <c r="C32" s="8" t="s">
        <v>460</v>
      </c>
      <c r="D32" s="8">
        <v>300</v>
      </c>
      <c r="E32" s="8" t="s">
        <v>461</v>
      </c>
    </row>
    <row r="33" spans="1:5" ht="11.25" customHeight="1" x14ac:dyDescent="0.3">
      <c r="A33" s="8" t="s">
        <v>458</v>
      </c>
      <c r="B33" s="8" t="s">
        <v>459</v>
      </c>
      <c r="C33" s="8" t="s">
        <v>460</v>
      </c>
      <c r="D33" s="8">
        <v>301</v>
      </c>
      <c r="E33" s="8" t="s">
        <v>461</v>
      </c>
    </row>
    <row r="34" spans="1:5" ht="11.25" customHeight="1" x14ac:dyDescent="0.3">
      <c r="A34" s="8" t="s">
        <v>458</v>
      </c>
      <c r="B34" s="8" t="s">
        <v>459</v>
      </c>
      <c r="C34" s="8" t="s">
        <v>460</v>
      </c>
      <c r="D34" s="8">
        <v>302</v>
      </c>
      <c r="E34" s="8" t="s">
        <v>461</v>
      </c>
    </row>
    <row r="35" spans="1:5" ht="11.25" customHeight="1" x14ac:dyDescent="0.3">
      <c r="A35" s="8" t="s">
        <v>458</v>
      </c>
      <c r="B35" s="8" t="s">
        <v>459</v>
      </c>
      <c r="C35" s="8" t="s">
        <v>460</v>
      </c>
      <c r="D35" s="8">
        <v>303</v>
      </c>
      <c r="E35" s="8" t="s">
        <v>461</v>
      </c>
    </row>
    <row r="36" spans="1:5" ht="11.25" customHeight="1" x14ac:dyDescent="0.3">
      <c r="A36" s="8" t="s">
        <v>458</v>
      </c>
      <c r="B36" s="8" t="s">
        <v>459</v>
      </c>
      <c r="C36" s="8" t="s">
        <v>460</v>
      </c>
      <c r="D36" s="8">
        <v>304</v>
      </c>
      <c r="E36" s="8" t="s">
        <v>461</v>
      </c>
    </row>
    <row r="37" spans="1:5" ht="11.25" customHeight="1" x14ac:dyDescent="0.3">
      <c r="A37" s="8" t="s">
        <v>458</v>
      </c>
      <c r="B37" s="8" t="s">
        <v>459</v>
      </c>
      <c r="C37" s="8" t="s">
        <v>460</v>
      </c>
      <c r="D37" s="8">
        <v>305</v>
      </c>
      <c r="E37" s="8" t="s">
        <v>461</v>
      </c>
    </row>
    <row r="38" spans="1:5" ht="11.25" customHeight="1" x14ac:dyDescent="0.3">
      <c r="A38" s="8" t="s">
        <v>458</v>
      </c>
      <c r="B38" s="8" t="s">
        <v>459</v>
      </c>
      <c r="C38" s="8" t="s">
        <v>460</v>
      </c>
      <c r="D38" s="8">
        <v>387</v>
      </c>
      <c r="E38" s="8" t="s">
        <v>461</v>
      </c>
    </row>
    <row r="39" spans="1:5" ht="11.25" customHeight="1" x14ac:dyDescent="0.3">
      <c r="A39" s="8" t="s">
        <v>458</v>
      </c>
      <c r="B39" s="8" t="s">
        <v>459</v>
      </c>
      <c r="C39" s="8" t="s">
        <v>460</v>
      </c>
      <c r="D39" s="8">
        <v>389</v>
      </c>
      <c r="E39" s="8" t="s">
        <v>461</v>
      </c>
    </row>
    <row r="40" spans="1:5" ht="11.25" customHeight="1" x14ac:dyDescent="0.3">
      <c r="A40" s="8" t="s">
        <v>458</v>
      </c>
      <c r="B40" s="8" t="s">
        <v>459</v>
      </c>
      <c r="C40" s="8" t="s">
        <v>460</v>
      </c>
      <c r="D40" s="8">
        <v>391</v>
      </c>
      <c r="E40" s="8" t="s">
        <v>461</v>
      </c>
    </row>
    <row r="41" spans="1:5" ht="11.25" customHeight="1" x14ac:dyDescent="0.3">
      <c r="A41" s="8" t="s">
        <v>458</v>
      </c>
      <c r="B41" s="8" t="s">
        <v>459</v>
      </c>
      <c r="C41" s="8" t="s">
        <v>460</v>
      </c>
      <c r="D41" s="8">
        <v>393</v>
      </c>
      <c r="E41" s="8" t="s">
        <v>461</v>
      </c>
    </row>
    <row r="42" spans="1:5" ht="11.25" customHeight="1" x14ac:dyDescent="0.3">
      <c r="A42" s="8" t="s">
        <v>458</v>
      </c>
      <c r="B42" s="8" t="s">
        <v>459</v>
      </c>
      <c r="C42" s="8" t="s">
        <v>460</v>
      </c>
      <c r="D42" s="8">
        <v>394</v>
      </c>
      <c r="E42" s="8" t="s">
        <v>461</v>
      </c>
    </row>
    <row r="43" spans="1:5" ht="11.25" customHeight="1" x14ac:dyDescent="0.3">
      <c r="A43" s="8" t="s">
        <v>458</v>
      </c>
      <c r="B43" s="8" t="s">
        <v>459</v>
      </c>
      <c r="C43" s="8" t="s">
        <v>460</v>
      </c>
      <c r="D43" s="8">
        <v>396</v>
      </c>
      <c r="E43" s="8" t="s">
        <v>461</v>
      </c>
    </row>
    <row r="44" spans="1:5" ht="11.25" customHeight="1" x14ac:dyDescent="0.3">
      <c r="A44" s="8" t="s">
        <v>458</v>
      </c>
      <c r="B44" s="8" t="s">
        <v>459</v>
      </c>
      <c r="C44" s="8" t="s">
        <v>460</v>
      </c>
      <c r="D44" s="8">
        <v>397</v>
      </c>
      <c r="E44" s="8" t="s">
        <v>461</v>
      </c>
    </row>
    <row r="45" spans="1:5" ht="11.25" customHeight="1" x14ac:dyDescent="0.3">
      <c r="A45" s="8" t="s">
        <v>458</v>
      </c>
      <c r="B45" s="8" t="s">
        <v>459</v>
      </c>
      <c r="C45" s="8" t="s">
        <v>460</v>
      </c>
      <c r="D45" s="8">
        <v>399</v>
      </c>
      <c r="E45" s="8" t="s">
        <v>461</v>
      </c>
    </row>
    <row r="46" spans="1:5" ht="11.25" customHeight="1" x14ac:dyDescent="0.3">
      <c r="A46" s="8" t="s">
        <v>458</v>
      </c>
      <c r="B46" s="8" t="s">
        <v>459</v>
      </c>
      <c r="C46" s="8" t="s">
        <v>460</v>
      </c>
      <c r="D46" s="8">
        <v>400</v>
      </c>
      <c r="E46" s="8" t="s">
        <v>461</v>
      </c>
    </row>
    <row r="47" spans="1:5" ht="11.25" customHeight="1" x14ac:dyDescent="0.3">
      <c r="A47" s="8" t="s">
        <v>458</v>
      </c>
      <c r="B47" s="8" t="s">
        <v>459</v>
      </c>
      <c r="C47" s="8" t="s">
        <v>460</v>
      </c>
      <c r="D47" s="8">
        <v>402</v>
      </c>
      <c r="E47" s="8" t="s">
        <v>461</v>
      </c>
    </row>
    <row r="48" spans="1:5" ht="11.25" customHeight="1" x14ac:dyDescent="0.3">
      <c r="A48" s="8" t="s">
        <v>458</v>
      </c>
      <c r="B48" s="8" t="s">
        <v>459</v>
      </c>
      <c r="C48" s="8" t="s">
        <v>460</v>
      </c>
      <c r="D48" s="8">
        <v>403</v>
      </c>
      <c r="E48" s="8" t="s">
        <v>461</v>
      </c>
    </row>
    <row r="49" spans="1:5" ht="11.25" customHeight="1" x14ac:dyDescent="0.3">
      <c r="A49" s="8" t="s">
        <v>458</v>
      </c>
      <c r="B49" s="8" t="s">
        <v>459</v>
      </c>
      <c r="C49" s="8" t="s">
        <v>460</v>
      </c>
      <c r="D49" s="8">
        <v>405</v>
      </c>
      <c r="E49" s="8" t="s">
        <v>461</v>
      </c>
    </row>
    <row r="50" spans="1:5" ht="11.25" customHeight="1" x14ac:dyDescent="0.3">
      <c r="A50" s="8" t="s">
        <v>458</v>
      </c>
      <c r="B50" s="8" t="s">
        <v>459</v>
      </c>
      <c r="C50" s="8" t="s">
        <v>460</v>
      </c>
      <c r="D50" s="8">
        <v>406</v>
      </c>
      <c r="E50" s="8" t="s">
        <v>461</v>
      </c>
    </row>
    <row r="51" spans="1:5" ht="11.25" customHeight="1" x14ac:dyDescent="0.3">
      <c r="A51" s="8" t="s">
        <v>458</v>
      </c>
      <c r="B51" s="8" t="s">
        <v>459</v>
      </c>
      <c r="C51" s="8" t="s">
        <v>460</v>
      </c>
      <c r="D51" s="8">
        <v>408</v>
      </c>
      <c r="E51" s="8" t="s">
        <v>461</v>
      </c>
    </row>
    <row r="52" spans="1:5" ht="11.25" customHeight="1" x14ac:dyDescent="0.3">
      <c r="A52" s="8" t="s">
        <v>458</v>
      </c>
      <c r="B52" s="8" t="s">
        <v>459</v>
      </c>
      <c r="C52" s="8" t="s">
        <v>460</v>
      </c>
      <c r="D52" s="8">
        <v>410</v>
      </c>
      <c r="E52" s="8" t="s">
        <v>461</v>
      </c>
    </row>
    <row r="53" spans="1:5" ht="11.25" customHeight="1" x14ac:dyDescent="0.3">
      <c r="A53" s="8" t="s">
        <v>458</v>
      </c>
      <c r="B53" s="8" t="s">
        <v>459</v>
      </c>
      <c r="C53" s="8" t="s">
        <v>460</v>
      </c>
      <c r="D53" s="8">
        <v>411</v>
      </c>
      <c r="E53" s="8" t="s">
        <v>461</v>
      </c>
    </row>
    <row r="54" spans="1:5" ht="11.25" customHeight="1" x14ac:dyDescent="0.3">
      <c r="A54" s="8" t="s">
        <v>458</v>
      </c>
      <c r="B54" s="8" t="s">
        <v>459</v>
      </c>
      <c r="C54" s="8" t="s">
        <v>460</v>
      </c>
      <c r="D54" s="8">
        <v>413</v>
      </c>
      <c r="E54" s="8" t="s">
        <v>461</v>
      </c>
    </row>
    <row r="55" spans="1:5" ht="11.25" customHeight="1" x14ac:dyDescent="0.3">
      <c r="A55" s="8" t="s">
        <v>458</v>
      </c>
      <c r="B55" s="8" t="s">
        <v>459</v>
      </c>
      <c r="C55" s="8" t="s">
        <v>460</v>
      </c>
      <c r="D55" s="8">
        <v>414</v>
      </c>
      <c r="E55" s="8" t="s">
        <v>461</v>
      </c>
    </row>
    <row r="56" spans="1:5" ht="11.25" customHeight="1" x14ac:dyDescent="0.3">
      <c r="A56" s="8" t="s">
        <v>458</v>
      </c>
      <c r="B56" s="8" t="s">
        <v>459</v>
      </c>
      <c r="C56" s="8" t="s">
        <v>460</v>
      </c>
      <c r="D56" s="8">
        <v>416</v>
      </c>
      <c r="E56" s="8" t="s">
        <v>461</v>
      </c>
    </row>
    <row r="57" spans="1:5" ht="11.25" customHeight="1" x14ac:dyDescent="0.3">
      <c r="A57" s="8" t="s">
        <v>458</v>
      </c>
      <c r="B57" s="8" t="s">
        <v>459</v>
      </c>
      <c r="C57" s="8" t="s">
        <v>460</v>
      </c>
      <c r="D57" s="8">
        <v>417</v>
      </c>
      <c r="E57" s="8" t="s">
        <v>461</v>
      </c>
    </row>
    <row r="58" spans="1:5" ht="11.25" customHeight="1" x14ac:dyDescent="0.3">
      <c r="A58" s="8" t="s">
        <v>458</v>
      </c>
      <c r="B58" s="8" t="s">
        <v>459</v>
      </c>
      <c r="C58" s="8" t="s">
        <v>460</v>
      </c>
      <c r="D58" s="8">
        <v>475</v>
      </c>
      <c r="E58" s="8" t="s">
        <v>461</v>
      </c>
    </row>
    <row r="59" spans="1:5" ht="11.25" customHeight="1" x14ac:dyDescent="0.3">
      <c r="A59" s="8" t="s">
        <v>458</v>
      </c>
      <c r="B59" s="8" t="s">
        <v>459</v>
      </c>
      <c r="C59" s="8" t="s">
        <v>460</v>
      </c>
      <c r="D59" s="8">
        <v>476</v>
      </c>
      <c r="E59" s="8" t="s">
        <v>461</v>
      </c>
    </row>
    <row r="60" spans="1:5" ht="11.25" customHeight="1" x14ac:dyDescent="0.3">
      <c r="A60" s="8" t="s">
        <v>458</v>
      </c>
      <c r="B60" s="8" t="s">
        <v>459</v>
      </c>
      <c r="C60" s="8" t="s">
        <v>460</v>
      </c>
      <c r="D60" s="8">
        <v>477</v>
      </c>
      <c r="E60" s="8" t="s">
        <v>461</v>
      </c>
    </row>
    <row r="61" spans="1:5" ht="11.25" customHeight="1" x14ac:dyDescent="0.3">
      <c r="A61" s="8" t="s">
        <v>458</v>
      </c>
      <c r="B61" s="8" t="s">
        <v>459</v>
      </c>
      <c r="C61" s="8" t="s">
        <v>460</v>
      </c>
      <c r="D61" s="8">
        <v>478</v>
      </c>
      <c r="E61" s="8" t="s">
        <v>461</v>
      </c>
    </row>
    <row r="62" spans="1:5" ht="11.25" customHeight="1" x14ac:dyDescent="0.3">
      <c r="A62" s="8" t="s">
        <v>458</v>
      </c>
      <c r="B62" s="8" t="s">
        <v>459</v>
      </c>
      <c r="C62" s="8" t="s">
        <v>460</v>
      </c>
      <c r="D62" s="8">
        <v>479</v>
      </c>
      <c r="E62" s="8" t="s">
        <v>461</v>
      </c>
    </row>
    <row r="63" spans="1:5" ht="11.25" customHeight="1" x14ac:dyDescent="0.3">
      <c r="A63" s="8" t="s">
        <v>458</v>
      </c>
      <c r="B63" s="8" t="s">
        <v>459</v>
      </c>
      <c r="C63" s="8" t="s">
        <v>460</v>
      </c>
      <c r="D63" s="8">
        <v>480</v>
      </c>
      <c r="E63" s="8" t="s">
        <v>461</v>
      </c>
    </row>
    <row r="64" spans="1:5" ht="11.25" customHeight="1" x14ac:dyDescent="0.3">
      <c r="A64" s="8" t="s">
        <v>458</v>
      </c>
      <c r="B64" s="8" t="s">
        <v>459</v>
      </c>
      <c r="C64" s="8" t="s">
        <v>460</v>
      </c>
      <c r="D64" s="8">
        <v>481</v>
      </c>
      <c r="E64" s="8" t="s">
        <v>461</v>
      </c>
    </row>
    <row r="65" spans="1:5" ht="11.25" customHeight="1" x14ac:dyDescent="0.3">
      <c r="A65" s="8" t="s">
        <v>458</v>
      </c>
      <c r="B65" s="8" t="s">
        <v>459</v>
      </c>
      <c r="C65" s="8" t="s">
        <v>460</v>
      </c>
      <c r="D65" s="8">
        <v>482</v>
      </c>
      <c r="E65" s="8" t="s">
        <v>461</v>
      </c>
    </row>
    <row r="66" spans="1:5" ht="11.25" customHeight="1" x14ac:dyDescent="0.3">
      <c r="A66" s="8" t="s">
        <v>458</v>
      </c>
      <c r="B66" s="8" t="s">
        <v>459</v>
      </c>
      <c r="C66" s="8" t="s">
        <v>460</v>
      </c>
      <c r="D66" s="8">
        <v>483</v>
      </c>
      <c r="E66" s="8" t="s">
        <v>461</v>
      </c>
    </row>
    <row r="67" spans="1:5" ht="11.25" customHeight="1" x14ac:dyDescent="0.3">
      <c r="A67" s="8" t="s">
        <v>458</v>
      </c>
      <c r="B67" s="8" t="s">
        <v>459</v>
      </c>
      <c r="C67" s="8" t="s">
        <v>460</v>
      </c>
      <c r="D67" s="8">
        <v>484</v>
      </c>
      <c r="E67" s="8" t="s">
        <v>461</v>
      </c>
    </row>
    <row r="68" spans="1:5" ht="11.25" customHeight="1" x14ac:dyDescent="0.3">
      <c r="A68" s="8" t="s">
        <v>458</v>
      </c>
      <c r="B68" s="8" t="s">
        <v>459</v>
      </c>
      <c r="C68" s="8" t="s">
        <v>460</v>
      </c>
      <c r="D68" s="8">
        <v>485</v>
      </c>
      <c r="E68" s="8" t="s">
        <v>461</v>
      </c>
    </row>
    <row r="69" spans="1:5" ht="11.25" customHeight="1" x14ac:dyDescent="0.3">
      <c r="A69" s="8" t="s">
        <v>458</v>
      </c>
      <c r="B69" s="8" t="s">
        <v>459</v>
      </c>
      <c r="C69" s="8" t="s">
        <v>460</v>
      </c>
      <c r="D69" s="8">
        <v>486</v>
      </c>
      <c r="E69" s="8" t="s">
        <v>461</v>
      </c>
    </row>
    <row r="70" spans="1:5" ht="11.25" customHeight="1" x14ac:dyDescent="0.3">
      <c r="A70" s="8" t="s">
        <v>458</v>
      </c>
      <c r="B70" s="8" t="s">
        <v>459</v>
      </c>
      <c r="C70" s="8" t="s">
        <v>460</v>
      </c>
      <c r="D70" s="8">
        <v>487</v>
      </c>
      <c r="E70" s="8" t="s">
        <v>461</v>
      </c>
    </row>
    <row r="71" spans="1:5" ht="11.25" customHeight="1" x14ac:dyDescent="0.3">
      <c r="A71" s="8" t="s">
        <v>458</v>
      </c>
      <c r="B71" s="8" t="s">
        <v>459</v>
      </c>
      <c r="C71" s="8" t="s">
        <v>460</v>
      </c>
      <c r="D71" s="8">
        <v>488</v>
      </c>
      <c r="E71" s="8" t="s">
        <v>461</v>
      </c>
    </row>
    <row r="72" spans="1:5" ht="11.25" customHeight="1" x14ac:dyDescent="0.3">
      <c r="A72" s="8" t="s">
        <v>458</v>
      </c>
      <c r="B72" s="8" t="s">
        <v>459</v>
      </c>
      <c r="C72" s="8" t="s">
        <v>460</v>
      </c>
      <c r="D72" s="8">
        <v>489</v>
      </c>
      <c r="E72" s="8" t="s">
        <v>461</v>
      </c>
    </row>
    <row r="73" spans="1:5" ht="11.25" customHeight="1" x14ac:dyDescent="0.3">
      <c r="A73" s="8" t="s">
        <v>458</v>
      </c>
      <c r="B73" s="8" t="s">
        <v>459</v>
      </c>
      <c r="C73" s="8" t="s">
        <v>460</v>
      </c>
      <c r="D73" s="8">
        <v>490</v>
      </c>
      <c r="E73" s="8" t="s">
        <v>461</v>
      </c>
    </row>
    <row r="74" spans="1:5" ht="11.25" customHeight="1" x14ac:dyDescent="0.3">
      <c r="A74" s="8" t="s">
        <v>458</v>
      </c>
      <c r="B74" s="8" t="s">
        <v>459</v>
      </c>
      <c r="C74" s="8" t="s">
        <v>460</v>
      </c>
      <c r="D74" s="8">
        <v>491</v>
      </c>
      <c r="E74" s="8" t="s">
        <v>461</v>
      </c>
    </row>
    <row r="75" spans="1:5" ht="11.25" customHeight="1" x14ac:dyDescent="0.3">
      <c r="A75" s="8" t="s">
        <v>458</v>
      </c>
      <c r="B75" s="8" t="s">
        <v>459</v>
      </c>
      <c r="C75" s="8" t="s">
        <v>460</v>
      </c>
      <c r="D75" s="8">
        <v>492</v>
      </c>
      <c r="E75" s="8" t="s">
        <v>461</v>
      </c>
    </row>
    <row r="76" spans="1:5" ht="11.25" customHeight="1" x14ac:dyDescent="0.3">
      <c r="A76" s="8" t="s">
        <v>458</v>
      </c>
      <c r="B76" s="8" t="s">
        <v>459</v>
      </c>
      <c r="C76" s="8" t="s">
        <v>460</v>
      </c>
      <c r="D76" s="8">
        <v>493</v>
      </c>
      <c r="E76" s="8" t="s">
        <v>461</v>
      </c>
    </row>
    <row r="77" spans="1:5" ht="11.25" customHeight="1" x14ac:dyDescent="0.3">
      <c r="A77" s="8" t="s">
        <v>458</v>
      </c>
      <c r="B77" s="8" t="s">
        <v>459</v>
      </c>
      <c r="C77" s="8" t="s">
        <v>460</v>
      </c>
      <c r="D77" s="8">
        <v>494</v>
      </c>
      <c r="E77" s="8" t="s">
        <v>461</v>
      </c>
    </row>
    <row r="78" spans="1:5" ht="11.25" customHeight="1" x14ac:dyDescent="0.3">
      <c r="A78" s="8" t="s">
        <v>458</v>
      </c>
      <c r="B78" s="8" t="s">
        <v>459</v>
      </c>
      <c r="C78" s="8" t="s">
        <v>460</v>
      </c>
      <c r="D78" s="8">
        <v>495</v>
      </c>
      <c r="E78" s="8" t="s">
        <v>461</v>
      </c>
    </row>
    <row r="79" spans="1:5" ht="11.25" customHeight="1" x14ac:dyDescent="0.3">
      <c r="A79" s="8" t="s">
        <v>458</v>
      </c>
      <c r="B79" s="8" t="s">
        <v>459</v>
      </c>
      <c r="C79" s="8" t="s">
        <v>460</v>
      </c>
      <c r="D79" s="8">
        <v>496</v>
      </c>
      <c r="E79" s="8" t="s">
        <v>461</v>
      </c>
    </row>
    <row r="80" spans="1:5" ht="11.25" customHeight="1" x14ac:dyDescent="0.3">
      <c r="A80" s="8" t="s">
        <v>458</v>
      </c>
      <c r="B80" s="8" t="s">
        <v>459</v>
      </c>
      <c r="C80" s="8" t="s">
        <v>460</v>
      </c>
      <c r="D80" s="8">
        <v>497</v>
      </c>
      <c r="E80" s="8" t="s">
        <v>461</v>
      </c>
    </row>
    <row r="81" spans="1:5" ht="11.25" customHeight="1" x14ac:dyDescent="0.3">
      <c r="A81" s="8" t="s">
        <v>458</v>
      </c>
      <c r="B81" s="8" t="s">
        <v>459</v>
      </c>
      <c r="C81" s="8" t="s">
        <v>460</v>
      </c>
      <c r="D81" s="8">
        <v>533</v>
      </c>
      <c r="E81" s="8" t="s">
        <v>461</v>
      </c>
    </row>
    <row r="82" spans="1:5" ht="11.25" customHeight="1" x14ac:dyDescent="0.3">
      <c r="A82" s="8" t="s">
        <v>458</v>
      </c>
      <c r="B82" s="8" t="s">
        <v>459</v>
      </c>
      <c r="C82" s="8" t="s">
        <v>460</v>
      </c>
      <c r="D82" s="8">
        <v>534</v>
      </c>
      <c r="E82" s="8" t="s">
        <v>461</v>
      </c>
    </row>
    <row r="83" spans="1:5" ht="11.25" customHeight="1" x14ac:dyDescent="0.3">
      <c r="A83" s="8" t="s">
        <v>458</v>
      </c>
      <c r="B83" s="8" t="s">
        <v>459</v>
      </c>
      <c r="C83" s="8" t="s">
        <v>460</v>
      </c>
      <c r="D83" s="8">
        <v>535</v>
      </c>
      <c r="E83" s="8" t="s">
        <v>461</v>
      </c>
    </row>
    <row r="84" spans="1:5" ht="11.25" customHeight="1" x14ac:dyDescent="0.3">
      <c r="A84" s="8" t="s">
        <v>458</v>
      </c>
      <c r="B84" s="8" t="s">
        <v>459</v>
      </c>
      <c r="C84" s="8" t="s">
        <v>460</v>
      </c>
      <c r="D84" s="8">
        <v>536</v>
      </c>
      <c r="E84" s="8" t="s">
        <v>461</v>
      </c>
    </row>
    <row r="85" spans="1:5" ht="11.25" customHeight="1" x14ac:dyDescent="0.3">
      <c r="A85" s="8" t="s">
        <v>458</v>
      </c>
      <c r="B85" s="8" t="s">
        <v>459</v>
      </c>
      <c r="C85" s="8" t="s">
        <v>460</v>
      </c>
      <c r="D85" s="8">
        <v>537</v>
      </c>
      <c r="E85" s="8" t="s">
        <v>461</v>
      </c>
    </row>
    <row r="86" spans="1:5" ht="11.25" customHeight="1" x14ac:dyDescent="0.3">
      <c r="A86" s="8" t="s">
        <v>458</v>
      </c>
      <c r="B86" s="8" t="s">
        <v>459</v>
      </c>
      <c r="C86" s="8" t="s">
        <v>460</v>
      </c>
      <c r="D86" s="8">
        <v>538</v>
      </c>
      <c r="E86" s="8" t="s">
        <v>461</v>
      </c>
    </row>
    <row r="87" spans="1:5" ht="11.25" customHeight="1" x14ac:dyDescent="0.3">
      <c r="A87" s="8" t="s">
        <v>458</v>
      </c>
      <c r="B87" s="8" t="s">
        <v>459</v>
      </c>
      <c r="C87" s="8" t="s">
        <v>460</v>
      </c>
      <c r="D87" s="8">
        <v>539</v>
      </c>
      <c r="E87" s="8" t="s">
        <v>461</v>
      </c>
    </row>
    <row r="88" spans="1:5" ht="11.25" customHeight="1" x14ac:dyDescent="0.3">
      <c r="A88" s="8" t="s">
        <v>458</v>
      </c>
      <c r="B88" s="8" t="s">
        <v>459</v>
      </c>
      <c r="C88" s="8" t="s">
        <v>460</v>
      </c>
      <c r="D88" s="8">
        <v>540</v>
      </c>
      <c r="E88" s="8" t="s">
        <v>461</v>
      </c>
    </row>
    <row r="89" spans="1:5" ht="11.25" customHeight="1" x14ac:dyDescent="0.3">
      <c r="A89" s="8" t="s">
        <v>458</v>
      </c>
      <c r="B89" s="8" t="s">
        <v>459</v>
      </c>
      <c r="C89" s="8" t="s">
        <v>460</v>
      </c>
      <c r="D89" s="8">
        <v>541</v>
      </c>
      <c r="E89" s="8" t="s">
        <v>461</v>
      </c>
    </row>
    <row r="90" spans="1:5" ht="11.25" customHeight="1" x14ac:dyDescent="0.3">
      <c r="A90" s="8" t="s">
        <v>458</v>
      </c>
      <c r="B90" s="8" t="s">
        <v>459</v>
      </c>
      <c r="C90" s="8" t="s">
        <v>460</v>
      </c>
      <c r="D90" s="8">
        <v>542</v>
      </c>
      <c r="E90" s="8" t="s">
        <v>461</v>
      </c>
    </row>
    <row r="91" spans="1:5" ht="11.25" customHeight="1" x14ac:dyDescent="0.3">
      <c r="A91" s="8" t="s">
        <v>458</v>
      </c>
      <c r="B91" s="8" t="s">
        <v>459</v>
      </c>
      <c r="C91" s="8" t="s">
        <v>460</v>
      </c>
      <c r="D91" s="8">
        <v>543</v>
      </c>
      <c r="E91" s="8" t="s">
        <v>461</v>
      </c>
    </row>
    <row r="92" spans="1:5" ht="11.25" customHeight="1" x14ac:dyDescent="0.3">
      <c r="A92" s="8" t="s">
        <v>458</v>
      </c>
      <c r="B92" s="8" t="s">
        <v>459</v>
      </c>
      <c r="C92" s="8" t="s">
        <v>460</v>
      </c>
      <c r="D92" s="8">
        <v>544</v>
      </c>
      <c r="E92" s="8" t="s">
        <v>461</v>
      </c>
    </row>
    <row r="93" spans="1:5" ht="11.25" customHeight="1" x14ac:dyDescent="0.3">
      <c r="A93" s="8" t="s">
        <v>458</v>
      </c>
      <c r="B93" s="8" t="s">
        <v>459</v>
      </c>
      <c r="C93" s="8" t="s">
        <v>460</v>
      </c>
      <c r="D93" s="8">
        <v>569</v>
      </c>
      <c r="E93" s="8" t="s">
        <v>461</v>
      </c>
    </row>
    <row r="94" spans="1:5" ht="11.25" customHeight="1" x14ac:dyDescent="0.3">
      <c r="A94" s="8" t="s">
        <v>458</v>
      </c>
      <c r="B94" s="8" t="s">
        <v>459</v>
      </c>
      <c r="C94" s="8" t="s">
        <v>460</v>
      </c>
      <c r="D94" s="8">
        <v>570</v>
      </c>
      <c r="E94" s="8" t="s">
        <v>461</v>
      </c>
    </row>
    <row r="95" spans="1:5" ht="11.25" customHeight="1" x14ac:dyDescent="0.3">
      <c r="A95" s="8" t="s">
        <v>458</v>
      </c>
      <c r="B95" s="8" t="s">
        <v>459</v>
      </c>
      <c r="C95" s="8" t="s">
        <v>460</v>
      </c>
      <c r="D95" s="8">
        <v>571</v>
      </c>
      <c r="E95" s="8" t="s">
        <v>461</v>
      </c>
    </row>
    <row r="96" spans="1:5" ht="11.25" customHeight="1" x14ac:dyDescent="0.3">
      <c r="A96" s="8" t="s">
        <v>458</v>
      </c>
      <c r="B96" s="8" t="s">
        <v>459</v>
      </c>
      <c r="C96" s="8" t="s">
        <v>460</v>
      </c>
      <c r="D96" s="8">
        <v>572</v>
      </c>
      <c r="E96" s="8" t="s">
        <v>461</v>
      </c>
    </row>
    <row r="97" spans="1:5" ht="11.25" customHeight="1" x14ac:dyDescent="0.3">
      <c r="A97" s="8" t="s">
        <v>458</v>
      </c>
      <c r="B97" s="8" t="s">
        <v>459</v>
      </c>
      <c r="C97" s="8" t="s">
        <v>460</v>
      </c>
      <c r="D97" s="8">
        <v>573</v>
      </c>
      <c r="E97" s="8" t="s">
        <v>461</v>
      </c>
    </row>
    <row r="98" spans="1:5" ht="11.25" customHeight="1" x14ac:dyDescent="0.3">
      <c r="A98" s="8" t="s">
        <v>458</v>
      </c>
      <c r="B98" s="8" t="s">
        <v>459</v>
      </c>
      <c r="C98" s="8" t="s">
        <v>460</v>
      </c>
      <c r="D98" s="8">
        <v>574</v>
      </c>
      <c r="E98" s="8" t="s">
        <v>461</v>
      </c>
    </row>
    <row r="99" spans="1:5" ht="11.25" customHeight="1" x14ac:dyDescent="0.3">
      <c r="A99" s="8" t="s">
        <v>458</v>
      </c>
      <c r="B99" s="8" t="s">
        <v>459</v>
      </c>
      <c r="C99" s="8" t="s">
        <v>460</v>
      </c>
      <c r="D99" s="8">
        <v>575</v>
      </c>
      <c r="E99" s="8" t="s">
        <v>461</v>
      </c>
    </row>
    <row r="100" spans="1:5" ht="11.25" customHeight="1" x14ac:dyDescent="0.3">
      <c r="A100" s="8" t="s">
        <v>458</v>
      </c>
      <c r="B100" s="8" t="s">
        <v>459</v>
      </c>
      <c r="C100" s="8" t="s">
        <v>460</v>
      </c>
      <c r="D100" s="8">
        <v>576</v>
      </c>
      <c r="E100" s="8" t="s">
        <v>461</v>
      </c>
    </row>
    <row r="101" spans="1:5" ht="11.25" customHeight="1" x14ac:dyDescent="0.3">
      <c r="A101" s="8" t="s">
        <v>458</v>
      </c>
      <c r="B101" s="8" t="s">
        <v>459</v>
      </c>
      <c r="C101" s="8" t="s">
        <v>460</v>
      </c>
      <c r="D101" s="8">
        <v>577</v>
      </c>
      <c r="E101" s="8" t="s">
        <v>461</v>
      </c>
    </row>
    <row r="102" spans="1:5" ht="11.25" customHeight="1" x14ac:dyDescent="0.3">
      <c r="A102" s="8" t="s">
        <v>458</v>
      </c>
      <c r="B102" s="8" t="s">
        <v>459</v>
      </c>
      <c r="C102" s="8" t="s">
        <v>460</v>
      </c>
      <c r="D102" s="8">
        <v>578</v>
      </c>
      <c r="E102" s="8" t="s">
        <v>461</v>
      </c>
    </row>
    <row r="103" spans="1:5" ht="11.25" customHeight="1" x14ac:dyDescent="0.3">
      <c r="A103" s="8" t="s">
        <v>458</v>
      </c>
      <c r="B103" s="8" t="s">
        <v>459</v>
      </c>
      <c r="C103" s="8" t="s">
        <v>460</v>
      </c>
      <c r="D103" s="8">
        <v>579</v>
      </c>
      <c r="E103" s="8" t="s">
        <v>461</v>
      </c>
    </row>
    <row r="104" spans="1:5" ht="11.25" customHeight="1" x14ac:dyDescent="0.3">
      <c r="A104" s="8" t="s">
        <v>458</v>
      </c>
      <c r="B104" s="8" t="s">
        <v>459</v>
      </c>
      <c r="C104" s="8" t="s">
        <v>460</v>
      </c>
      <c r="D104" s="8">
        <v>580</v>
      </c>
      <c r="E104" s="8" t="s">
        <v>461</v>
      </c>
    </row>
    <row r="105" spans="1:5" ht="11.25" customHeight="1" x14ac:dyDescent="0.3">
      <c r="A105" s="8" t="s">
        <v>458</v>
      </c>
      <c r="B105" s="8" t="s">
        <v>474</v>
      </c>
      <c r="C105" s="8" t="s">
        <v>460</v>
      </c>
      <c r="D105" s="8">
        <v>605</v>
      </c>
      <c r="E105" s="8" t="s">
        <v>461</v>
      </c>
    </row>
    <row r="106" spans="1:5" ht="11.25" customHeight="1" x14ac:dyDescent="0.3">
      <c r="A106" s="8" t="s">
        <v>458</v>
      </c>
      <c r="B106" s="8" t="s">
        <v>474</v>
      </c>
      <c r="C106" s="8" t="s">
        <v>460</v>
      </c>
      <c r="D106" s="8">
        <v>606</v>
      </c>
      <c r="E106" s="8" t="s">
        <v>461</v>
      </c>
    </row>
    <row r="107" spans="1:5" ht="11.25" customHeight="1" x14ac:dyDescent="0.3">
      <c r="A107" s="8" t="s">
        <v>458</v>
      </c>
      <c r="B107" s="8" t="s">
        <v>474</v>
      </c>
      <c r="C107" s="8" t="s">
        <v>460</v>
      </c>
      <c r="D107" s="8">
        <v>607</v>
      </c>
      <c r="E107" s="8" t="s">
        <v>461</v>
      </c>
    </row>
    <row r="108" spans="1:5" ht="11.25" customHeight="1" x14ac:dyDescent="0.3">
      <c r="A108" s="8" t="s">
        <v>458</v>
      </c>
      <c r="B108" s="8" t="s">
        <v>474</v>
      </c>
      <c r="C108" s="8" t="s">
        <v>460</v>
      </c>
      <c r="D108" s="8">
        <v>608</v>
      </c>
      <c r="E108" s="8" t="s">
        <v>461</v>
      </c>
    </row>
    <row r="109" spans="1:5" ht="11.25" customHeight="1" x14ac:dyDescent="0.3">
      <c r="A109" s="8" t="s">
        <v>458</v>
      </c>
      <c r="B109" s="8" t="s">
        <v>474</v>
      </c>
      <c r="C109" s="8" t="s">
        <v>460</v>
      </c>
      <c r="D109" s="8">
        <v>609</v>
      </c>
      <c r="E109" s="8" t="s">
        <v>461</v>
      </c>
    </row>
    <row r="110" spans="1:5" ht="11.25" customHeight="1" x14ac:dyDescent="0.3">
      <c r="A110" s="8" t="s">
        <v>458</v>
      </c>
      <c r="B110" s="8" t="s">
        <v>474</v>
      </c>
      <c r="C110" s="8" t="s">
        <v>460</v>
      </c>
      <c r="D110" s="8">
        <v>610</v>
      </c>
      <c r="E110" s="8" t="s">
        <v>461</v>
      </c>
    </row>
    <row r="111" spans="1:5" ht="11.25" customHeight="1" x14ac:dyDescent="0.3">
      <c r="A111" s="8" t="s">
        <v>458</v>
      </c>
      <c r="B111" s="8" t="s">
        <v>474</v>
      </c>
      <c r="C111" s="8" t="s">
        <v>460</v>
      </c>
      <c r="D111" s="8">
        <v>611</v>
      </c>
      <c r="E111" s="8" t="s">
        <v>461</v>
      </c>
    </row>
    <row r="112" spans="1:5" ht="11.25" customHeight="1" x14ac:dyDescent="0.3">
      <c r="A112" s="8" t="s">
        <v>458</v>
      </c>
      <c r="B112" s="8" t="s">
        <v>474</v>
      </c>
      <c r="C112" s="8" t="s">
        <v>460</v>
      </c>
      <c r="D112" s="8">
        <v>612</v>
      </c>
      <c r="E112" s="8" t="s">
        <v>461</v>
      </c>
    </row>
    <row r="113" spans="1:5" ht="11.25" customHeight="1" x14ac:dyDescent="0.3">
      <c r="A113" s="8" t="s">
        <v>458</v>
      </c>
      <c r="B113" s="8" t="s">
        <v>474</v>
      </c>
      <c r="C113" s="8" t="s">
        <v>460</v>
      </c>
      <c r="D113" s="8">
        <v>613</v>
      </c>
      <c r="E113" s="8" t="s">
        <v>461</v>
      </c>
    </row>
    <row r="114" spans="1:5" ht="11.25" customHeight="1" x14ac:dyDescent="0.3">
      <c r="A114" s="8" t="s">
        <v>458</v>
      </c>
      <c r="B114" s="8" t="s">
        <v>474</v>
      </c>
      <c r="C114" s="8" t="s">
        <v>460</v>
      </c>
      <c r="D114" s="8">
        <v>614</v>
      </c>
      <c r="E114" s="8" t="s">
        <v>461</v>
      </c>
    </row>
    <row r="115" spans="1:5" ht="11.25" customHeight="1" x14ac:dyDescent="0.3">
      <c r="A115" s="8" t="s">
        <v>458</v>
      </c>
      <c r="B115" s="8" t="s">
        <v>474</v>
      </c>
      <c r="C115" s="8" t="s">
        <v>460</v>
      </c>
      <c r="D115" s="8">
        <v>615</v>
      </c>
      <c r="E115" s="8" t="s">
        <v>461</v>
      </c>
    </row>
    <row r="116" spans="1:5" ht="11.25" customHeight="1" x14ac:dyDescent="0.3">
      <c r="A116" s="8" t="s">
        <v>458</v>
      </c>
      <c r="B116" s="8" t="s">
        <v>474</v>
      </c>
      <c r="C116" s="8" t="s">
        <v>460</v>
      </c>
      <c r="D116" s="8">
        <v>616</v>
      </c>
      <c r="E116" s="8" t="s">
        <v>461</v>
      </c>
    </row>
    <row r="117" spans="1:5" ht="11.25" customHeight="1" x14ac:dyDescent="0.3">
      <c r="A117" s="8" t="s">
        <v>458</v>
      </c>
      <c r="C117" s="8" t="s">
        <v>744</v>
      </c>
      <c r="D117" s="8">
        <v>40</v>
      </c>
      <c r="E117" s="8" t="s">
        <v>9</v>
      </c>
    </row>
    <row r="118" spans="1:5" ht="11.25" customHeight="1" x14ac:dyDescent="0.3">
      <c r="A118" s="8" t="s">
        <v>458</v>
      </c>
      <c r="C118" s="8" t="s">
        <v>744</v>
      </c>
      <c r="D118" s="8">
        <v>40</v>
      </c>
      <c r="E118" s="8" t="s">
        <v>9</v>
      </c>
    </row>
    <row r="119" spans="1:5" ht="11.25" customHeight="1" x14ac:dyDescent="0.3">
      <c r="A119" s="8" t="s">
        <v>458</v>
      </c>
      <c r="C119" s="8" t="s">
        <v>744</v>
      </c>
      <c r="D119" s="8">
        <v>40</v>
      </c>
      <c r="E119" s="8" t="s">
        <v>9</v>
      </c>
    </row>
    <row r="120" spans="1:5" ht="11.25" customHeight="1" x14ac:dyDescent="0.3">
      <c r="A120" s="8" t="s">
        <v>458</v>
      </c>
      <c r="C120" s="8" t="s">
        <v>744</v>
      </c>
      <c r="D120" s="8">
        <v>40</v>
      </c>
      <c r="E120" s="8" t="s">
        <v>9</v>
      </c>
    </row>
    <row r="121" spans="1:5" ht="11.25" customHeight="1" x14ac:dyDescent="0.3">
      <c r="A121" s="8" t="s">
        <v>458</v>
      </c>
      <c r="C121" s="8" t="s">
        <v>744</v>
      </c>
      <c r="D121" s="8">
        <v>40</v>
      </c>
      <c r="E121" s="8" t="s">
        <v>9</v>
      </c>
    </row>
    <row r="122" spans="1:5" ht="11.25" customHeight="1" x14ac:dyDescent="0.3">
      <c r="A122" s="8" t="s">
        <v>458</v>
      </c>
      <c r="C122" s="8" t="s">
        <v>744</v>
      </c>
      <c r="D122" s="8">
        <v>40</v>
      </c>
      <c r="E122" s="8" t="s">
        <v>9</v>
      </c>
    </row>
    <row r="123" spans="1:5" ht="11.25" customHeight="1" x14ac:dyDescent="0.3">
      <c r="A123" s="8" t="s">
        <v>458</v>
      </c>
      <c r="C123" s="8" t="s">
        <v>744</v>
      </c>
      <c r="D123" s="8">
        <v>40</v>
      </c>
      <c r="E123" s="8" t="s">
        <v>9</v>
      </c>
    </row>
    <row r="124" spans="1:5" ht="11.25" customHeight="1" x14ac:dyDescent="0.3">
      <c r="A124" s="8" t="s">
        <v>458</v>
      </c>
      <c r="C124" s="8" t="s">
        <v>744</v>
      </c>
      <c r="D124" s="8">
        <v>40</v>
      </c>
      <c r="E124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331EA-F244-4762-88C5-3BC17C70C1DA}">
  <sheetPr codeName="Planilha3"/>
  <dimension ref="A1:AX113"/>
  <sheetViews>
    <sheetView showGridLines="0" workbookViewId="0"/>
  </sheetViews>
  <sheetFormatPr defaultRowHeight="10.199999999999999" x14ac:dyDescent="0.3"/>
  <cols>
    <col min="1" max="1" width="4.33203125" style="8" bestFit="1" customWidth="1"/>
    <col min="2" max="2" width="8" style="8" bestFit="1" customWidth="1"/>
    <col min="3" max="3" width="7.6640625" style="8" bestFit="1" customWidth="1"/>
    <col min="4" max="4" width="24.6640625" style="8" bestFit="1" customWidth="1"/>
    <col min="5" max="5" width="12.6640625" style="8" bestFit="1" customWidth="1"/>
    <col min="6" max="6" width="23.109375" style="8" bestFit="1" customWidth="1"/>
    <col min="7" max="9" width="9.5546875" style="8" bestFit="1" customWidth="1"/>
    <col min="10" max="10" width="6.44140625" style="8" bestFit="1" customWidth="1"/>
    <col min="11" max="11" width="3.88671875" style="8" bestFit="1" customWidth="1"/>
    <col min="12" max="12" width="4.21875" style="8" bestFit="1" customWidth="1"/>
    <col min="13" max="13" width="5.88671875" style="8" bestFit="1" customWidth="1"/>
    <col min="14" max="14" width="5.5546875" style="8" bestFit="1" customWidth="1"/>
    <col min="15" max="15" width="10.33203125" style="8" bestFit="1" customWidth="1"/>
    <col min="16" max="16" width="9.33203125" style="8" bestFit="1" customWidth="1"/>
    <col min="17" max="16384" width="8.88671875" style="8"/>
  </cols>
  <sheetData>
    <row r="1" spans="1:50" ht="11.25" customHeight="1" x14ac:dyDescent="0.3">
      <c r="A1" s="30" t="s">
        <v>801</v>
      </c>
      <c r="B1" s="30" t="s">
        <v>792</v>
      </c>
      <c r="C1" s="30" t="s">
        <v>1</v>
      </c>
      <c r="D1" s="30" t="s">
        <v>2</v>
      </c>
      <c r="E1" s="30" t="s">
        <v>3</v>
      </c>
      <c r="F1" s="30" t="s">
        <v>4</v>
      </c>
      <c r="G1" s="30" t="s">
        <v>5</v>
      </c>
      <c r="H1" s="30" t="s">
        <v>6</v>
      </c>
      <c r="I1" s="30" t="s">
        <v>7</v>
      </c>
      <c r="J1" s="30" t="s">
        <v>793</v>
      </c>
      <c r="K1" s="30" t="s">
        <v>794</v>
      </c>
      <c r="L1" s="30" t="s">
        <v>795</v>
      </c>
      <c r="M1" s="30" t="s">
        <v>796</v>
      </c>
      <c r="N1" s="30" t="s">
        <v>797</v>
      </c>
      <c r="O1" s="30" t="s">
        <v>676</v>
      </c>
      <c r="P1" s="30" t="s">
        <v>662</v>
      </c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</row>
    <row r="2" spans="1:50" ht="11.25" customHeight="1" x14ac:dyDescent="0.3">
      <c r="A2" s="31">
        <v>1</v>
      </c>
      <c r="B2" s="31" t="s">
        <v>656</v>
      </c>
      <c r="C2" s="31" t="s">
        <v>60</v>
      </c>
      <c r="D2" s="31" t="s">
        <v>40</v>
      </c>
      <c r="E2" s="31" t="s">
        <v>25</v>
      </c>
      <c r="F2" s="31" t="s">
        <v>25</v>
      </c>
      <c r="G2" s="31" t="s">
        <v>25</v>
      </c>
      <c r="H2" s="31" t="s">
        <v>25</v>
      </c>
      <c r="I2" s="31" t="s">
        <v>25</v>
      </c>
      <c r="J2" s="31" t="s">
        <v>798</v>
      </c>
      <c r="K2" s="31" t="s">
        <v>799</v>
      </c>
      <c r="L2" s="31" t="s">
        <v>78</v>
      </c>
      <c r="M2" s="31">
        <v>2021</v>
      </c>
      <c r="N2" s="31">
        <v>0</v>
      </c>
      <c r="O2" s="31">
        <v>55.36</v>
      </c>
      <c r="P2" s="31">
        <v>38.594052947149699</v>
      </c>
    </row>
    <row r="3" spans="1:50" ht="11.25" customHeight="1" x14ac:dyDescent="0.3">
      <c r="A3" s="31">
        <v>2</v>
      </c>
      <c r="B3" s="31" t="s">
        <v>656</v>
      </c>
      <c r="C3" s="31" t="s">
        <v>39</v>
      </c>
      <c r="D3" s="31" t="s">
        <v>23</v>
      </c>
      <c r="E3" s="31" t="s">
        <v>25</v>
      </c>
      <c r="F3" s="31" t="s">
        <v>25</v>
      </c>
      <c r="G3" s="31" t="s">
        <v>25</v>
      </c>
      <c r="H3" s="31" t="s">
        <v>25</v>
      </c>
      <c r="I3" s="31" t="s">
        <v>25</v>
      </c>
      <c r="J3" s="31" t="s">
        <v>798</v>
      </c>
      <c r="K3" s="31" t="s">
        <v>799</v>
      </c>
      <c r="L3" s="31" t="s">
        <v>78</v>
      </c>
      <c r="M3" s="31">
        <v>2021</v>
      </c>
      <c r="N3" s="31">
        <v>0</v>
      </c>
      <c r="O3" s="31">
        <v>72.150000000000006</v>
      </c>
      <c r="P3" s="31">
        <v>50.114665767194303</v>
      </c>
    </row>
    <row r="4" spans="1:50" ht="11.25" customHeight="1" x14ac:dyDescent="0.3">
      <c r="A4" s="31">
        <v>3</v>
      </c>
      <c r="B4" s="31" t="s">
        <v>656</v>
      </c>
      <c r="C4" s="31" t="s">
        <v>60</v>
      </c>
      <c r="D4" s="31" t="s">
        <v>40</v>
      </c>
      <c r="E4" s="31" t="s">
        <v>25</v>
      </c>
      <c r="F4" s="31" t="s">
        <v>25</v>
      </c>
      <c r="G4" s="31" t="s">
        <v>25</v>
      </c>
      <c r="H4" s="31" t="s">
        <v>25</v>
      </c>
      <c r="I4" s="31" t="s">
        <v>34</v>
      </c>
      <c r="J4" s="31" t="s">
        <v>800</v>
      </c>
      <c r="K4" s="31" t="s">
        <v>799</v>
      </c>
      <c r="L4" s="31" t="s">
        <v>81</v>
      </c>
      <c r="M4" s="31">
        <v>2021</v>
      </c>
      <c r="N4" s="31">
        <v>0</v>
      </c>
      <c r="O4" s="31">
        <v>27.14</v>
      </c>
      <c r="P4" s="31">
        <v>0</v>
      </c>
    </row>
    <row r="5" spans="1:50" ht="11.25" customHeight="1" x14ac:dyDescent="0.3">
      <c r="A5" s="31">
        <v>4</v>
      </c>
      <c r="B5" s="31" t="s">
        <v>656</v>
      </c>
      <c r="C5" s="31" t="s">
        <v>39</v>
      </c>
      <c r="D5" s="31" t="s">
        <v>41</v>
      </c>
      <c r="E5" s="31" t="s">
        <v>25</v>
      </c>
      <c r="F5" s="31" t="s">
        <v>25</v>
      </c>
      <c r="G5" s="31" t="s">
        <v>85</v>
      </c>
      <c r="H5" s="31" t="s">
        <v>25</v>
      </c>
      <c r="I5" s="31" t="s">
        <v>34</v>
      </c>
      <c r="J5" s="31" t="s">
        <v>798</v>
      </c>
      <c r="K5" s="31" t="s">
        <v>799</v>
      </c>
      <c r="L5" s="31" t="s">
        <v>78</v>
      </c>
      <c r="M5" s="31">
        <v>2021</v>
      </c>
      <c r="N5" s="31">
        <v>0</v>
      </c>
      <c r="O5" s="31">
        <v>874.37</v>
      </c>
      <c r="P5" s="31">
        <v>0</v>
      </c>
    </row>
    <row r="6" spans="1:50" ht="11.25" customHeight="1" x14ac:dyDescent="0.3">
      <c r="A6" s="31">
        <v>5</v>
      </c>
      <c r="B6" s="31" t="s">
        <v>656</v>
      </c>
      <c r="C6" s="31" t="s">
        <v>54</v>
      </c>
      <c r="D6" s="31" t="s">
        <v>40</v>
      </c>
      <c r="E6" s="31" t="s">
        <v>25</v>
      </c>
      <c r="F6" s="31" t="s">
        <v>25</v>
      </c>
      <c r="G6" s="31" t="s">
        <v>25</v>
      </c>
      <c r="H6" s="31" t="s">
        <v>25</v>
      </c>
      <c r="I6" s="31" t="s">
        <v>25</v>
      </c>
      <c r="J6" s="31" t="s">
        <v>798</v>
      </c>
      <c r="K6" s="31" t="s">
        <v>799</v>
      </c>
      <c r="L6" s="31" t="s">
        <v>78</v>
      </c>
      <c r="M6" s="31">
        <v>2021</v>
      </c>
      <c r="N6" s="31">
        <v>0</v>
      </c>
      <c r="O6" s="31">
        <v>53.89</v>
      </c>
      <c r="P6" s="31">
        <v>38.594052947149699</v>
      </c>
    </row>
    <row r="7" spans="1:50" ht="11.25" customHeight="1" x14ac:dyDescent="0.3">
      <c r="A7" s="31">
        <v>6</v>
      </c>
      <c r="B7" s="31" t="s">
        <v>656</v>
      </c>
      <c r="C7" s="31" t="s">
        <v>39</v>
      </c>
      <c r="D7" s="31" t="s">
        <v>41</v>
      </c>
      <c r="E7" s="31" t="s">
        <v>25</v>
      </c>
      <c r="F7" s="31" t="s">
        <v>25</v>
      </c>
      <c r="G7" s="31" t="s">
        <v>25</v>
      </c>
      <c r="H7" s="31" t="s">
        <v>25</v>
      </c>
      <c r="I7" s="31" t="s">
        <v>35</v>
      </c>
      <c r="J7" s="31" t="s">
        <v>798</v>
      </c>
      <c r="K7" s="31" t="s">
        <v>799</v>
      </c>
      <c r="L7" s="31" t="s">
        <v>78</v>
      </c>
      <c r="M7" s="31">
        <v>2021</v>
      </c>
      <c r="N7" s="31">
        <v>0</v>
      </c>
      <c r="O7" s="31">
        <v>72.150000000000006</v>
      </c>
      <c r="P7" s="31">
        <v>50.114665767194303</v>
      </c>
    </row>
    <row r="8" spans="1:50" ht="11.25" customHeight="1" x14ac:dyDescent="0.3">
      <c r="A8" s="31">
        <v>7</v>
      </c>
      <c r="B8" s="31" t="s">
        <v>656</v>
      </c>
      <c r="C8" s="31" t="s">
        <v>54</v>
      </c>
      <c r="D8" s="31" t="s">
        <v>40</v>
      </c>
      <c r="E8" s="31" t="s">
        <v>25</v>
      </c>
      <c r="F8" s="31" t="s">
        <v>25</v>
      </c>
      <c r="G8" s="31" t="s">
        <v>85</v>
      </c>
      <c r="H8" s="31" t="s">
        <v>25</v>
      </c>
      <c r="I8" s="31" t="s">
        <v>25</v>
      </c>
      <c r="J8" s="31" t="s">
        <v>798</v>
      </c>
      <c r="K8" s="31" t="s">
        <v>799</v>
      </c>
      <c r="L8" s="31" t="s">
        <v>78</v>
      </c>
      <c r="M8" s="31">
        <v>2021</v>
      </c>
      <c r="N8" s="31">
        <v>0</v>
      </c>
      <c r="O8" s="31">
        <v>0.7</v>
      </c>
      <c r="P8" s="31">
        <v>0</v>
      </c>
    </row>
    <row r="9" spans="1:50" ht="11.25" customHeight="1" x14ac:dyDescent="0.3">
      <c r="A9" s="31">
        <v>8</v>
      </c>
      <c r="B9" s="31" t="s">
        <v>656</v>
      </c>
      <c r="C9" s="31" t="s">
        <v>39</v>
      </c>
      <c r="D9" s="31" t="s">
        <v>41</v>
      </c>
      <c r="E9" s="31" t="s">
        <v>25</v>
      </c>
      <c r="F9" s="31" t="s">
        <v>25</v>
      </c>
      <c r="G9" s="31" t="s">
        <v>25</v>
      </c>
      <c r="H9" s="31" t="s">
        <v>25</v>
      </c>
      <c r="I9" s="31" t="s">
        <v>34</v>
      </c>
      <c r="J9" s="31" t="s">
        <v>798</v>
      </c>
      <c r="K9" s="31" t="s">
        <v>799</v>
      </c>
      <c r="L9" s="31" t="s">
        <v>78</v>
      </c>
      <c r="M9" s="31">
        <v>2021</v>
      </c>
      <c r="N9" s="31">
        <v>0</v>
      </c>
      <c r="O9" s="31">
        <v>940.43</v>
      </c>
      <c r="P9" s="31">
        <v>50.114665767194303</v>
      </c>
    </row>
    <row r="10" spans="1:50" ht="11.25" customHeight="1" x14ac:dyDescent="0.3">
      <c r="A10" s="31">
        <v>9</v>
      </c>
      <c r="B10" s="31" t="s">
        <v>656</v>
      </c>
      <c r="C10" s="31" t="s">
        <v>39</v>
      </c>
      <c r="D10" s="31" t="s">
        <v>40</v>
      </c>
      <c r="E10" s="31" t="s">
        <v>25</v>
      </c>
      <c r="F10" s="31" t="s">
        <v>25</v>
      </c>
      <c r="G10" s="31" t="s">
        <v>25</v>
      </c>
      <c r="H10" s="31" t="s">
        <v>25</v>
      </c>
      <c r="I10" s="31" t="s">
        <v>34</v>
      </c>
      <c r="J10" s="31" t="s">
        <v>800</v>
      </c>
      <c r="K10" s="31" t="s">
        <v>799</v>
      </c>
      <c r="L10" s="31" t="s">
        <v>81</v>
      </c>
      <c r="M10" s="31">
        <v>2021</v>
      </c>
      <c r="N10" s="31">
        <v>0</v>
      </c>
      <c r="O10" s="31">
        <v>35.76</v>
      </c>
      <c r="P10" s="31">
        <v>0</v>
      </c>
    </row>
    <row r="11" spans="1:50" ht="11.25" customHeight="1" x14ac:dyDescent="0.3">
      <c r="A11" s="31">
        <v>10</v>
      </c>
      <c r="B11" s="31" t="s">
        <v>656</v>
      </c>
      <c r="C11" s="31" t="s">
        <v>43</v>
      </c>
      <c r="D11" s="31" t="s">
        <v>40</v>
      </c>
      <c r="E11" s="31" t="s">
        <v>25</v>
      </c>
      <c r="F11" s="31" t="s">
        <v>25</v>
      </c>
      <c r="G11" s="31" t="s">
        <v>25</v>
      </c>
      <c r="H11" s="31" t="s">
        <v>25</v>
      </c>
      <c r="I11" s="31" t="s">
        <v>35</v>
      </c>
      <c r="J11" s="31" t="s">
        <v>800</v>
      </c>
      <c r="K11" s="31" t="s">
        <v>799</v>
      </c>
      <c r="L11" s="31" t="s">
        <v>81</v>
      </c>
      <c r="M11" s="31">
        <v>2021</v>
      </c>
      <c r="N11" s="31">
        <v>0</v>
      </c>
      <c r="O11" s="31">
        <v>11.74</v>
      </c>
      <c r="P11" s="31">
        <v>0</v>
      </c>
    </row>
    <row r="12" spans="1:50" ht="11.25" customHeight="1" x14ac:dyDescent="0.3">
      <c r="A12" s="31">
        <v>11</v>
      </c>
      <c r="B12" s="31" t="s">
        <v>656</v>
      </c>
      <c r="C12" s="31" t="s">
        <v>39</v>
      </c>
      <c r="D12" s="31" t="s">
        <v>41</v>
      </c>
      <c r="E12" s="31" t="s">
        <v>25</v>
      </c>
      <c r="F12" s="31" t="s">
        <v>25</v>
      </c>
      <c r="G12" s="31" t="s">
        <v>85</v>
      </c>
      <c r="H12" s="31" t="s">
        <v>25</v>
      </c>
      <c r="I12" s="31" t="s">
        <v>35</v>
      </c>
      <c r="J12" s="31" t="s">
        <v>798</v>
      </c>
      <c r="K12" s="31" t="s">
        <v>799</v>
      </c>
      <c r="L12" s="31" t="s">
        <v>78</v>
      </c>
      <c r="M12" s="31">
        <v>2021</v>
      </c>
      <c r="N12" s="31">
        <v>0</v>
      </c>
      <c r="O12" s="31">
        <v>6.09</v>
      </c>
      <c r="P12" s="31">
        <v>0</v>
      </c>
    </row>
    <row r="13" spans="1:50" ht="11.25" customHeight="1" x14ac:dyDescent="0.3">
      <c r="A13" s="31">
        <v>12</v>
      </c>
      <c r="B13" s="31" t="s">
        <v>656</v>
      </c>
      <c r="C13" s="31" t="s">
        <v>39</v>
      </c>
      <c r="D13" s="31" t="s">
        <v>40</v>
      </c>
      <c r="E13" s="31" t="s">
        <v>25</v>
      </c>
      <c r="F13" s="31" t="s">
        <v>25</v>
      </c>
      <c r="G13" s="31" t="s">
        <v>25</v>
      </c>
      <c r="H13" s="31" t="s">
        <v>25</v>
      </c>
      <c r="I13" s="31" t="s">
        <v>25</v>
      </c>
      <c r="J13" s="31" t="s">
        <v>798</v>
      </c>
      <c r="K13" s="31" t="s">
        <v>799</v>
      </c>
      <c r="L13" s="31" t="s">
        <v>78</v>
      </c>
      <c r="M13" s="31">
        <v>2021</v>
      </c>
      <c r="N13" s="31">
        <v>0</v>
      </c>
      <c r="O13" s="31">
        <v>72.150000000000006</v>
      </c>
      <c r="P13" s="31">
        <v>50.114665767194303</v>
      </c>
    </row>
    <row r="14" spans="1:50" ht="11.25" customHeight="1" x14ac:dyDescent="0.3">
      <c r="A14" s="31">
        <v>13</v>
      </c>
      <c r="B14" s="31" t="s">
        <v>656</v>
      </c>
      <c r="C14" s="31" t="s">
        <v>43</v>
      </c>
      <c r="D14" s="31" t="s">
        <v>41</v>
      </c>
      <c r="E14" s="31" t="s">
        <v>25</v>
      </c>
      <c r="F14" s="31" t="s">
        <v>25</v>
      </c>
      <c r="G14" s="31" t="s">
        <v>25</v>
      </c>
      <c r="H14" s="31" t="s">
        <v>25</v>
      </c>
      <c r="I14" s="31" t="s">
        <v>25</v>
      </c>
      <c r="J14" s="31" t="s">
        <v>800</v>
      </c>
      <c r="K14" s="31" t="s">
        <v>799</v>
      </c>
      <c r="L14" s="31" t="s">
        <v>81</v>
      </c>
      <c r="M14" s="31">
        <v>2021</v>
      </c>
      <c r="N14" s="31">
        <v>0</v>
      </c>
      <c r="O14" s="31">
        <v>11.74</v>
      </c>
      <c r="P14" s="31">
        <v>0</v>
      </c>
    </row>
    <row r="15" spans="1:50" ht="11.25" customHeight="1" x14ac:dyDescent="0.3">
      <c r="A15" s="31">
        <v>14</v>
      </c>
      <c r="B15" s="31" t="s">
        <v>656</v>
      </c>
      <c r="C15" s="31" t="s">
        <v>60</v>
      </c>
      <c r="D15" s="31" t="s">
        <v>40</v>
      </c>
      <c r="E15" s="31" t="s">
        <v>25</v>
      </c>
      <c r="F15" s="31" t="s">
        <v>25</v>
      </c>
      <c r="G15" s="31" t="s">
        <v>25</v>
      </c>
      <c r="H15" s="31" t="s">
        <v>25</v>
      </c>
      <c r="I15" s="31" t="s">
        <v>35</v>
      </c>
      <c r="J15" s="31" t="s">
        <v>800</v>
      </c>
      <c r="K15" s="31" t="s">
        <v>799</v>
      </c>
      <c r="L15" s="31" t="s">
        <v>81</v>
      </c>
      <c r="M15" s="31">
        <v>2021</v>
      </c>
      <c r="N15" s="31">
        <v>0</v>
      </c>
      <c r="O15" s="31">
        <v>10.46</v>
      </c>
      <c r="P15" s="31">
        <v>0</v>
      </c>
    </row>
    <row r="16" spans="1:50" ht="11.25" customHeight="1" x14ac:dyDescent="0.3">
      <c r="A16" s="31">
        <v>15</v>
      </c>
      <c r="B16" s="31" t="s">
        <v>656</v>
      </c>
      <c r="C16" s="31" t="s">
        <v>39</v>
      </c>
      <c r="D16" s="31" t="s">
        <v>23</v>
      </c>
      <c r="E16" s="31" t="s">
        <v>25</v>
      </c>
      <c r="F16" s="31" t="s">
        <v>25</v>
      </c>
      <c r="G16" s="31" t="s">
        <v>25</v>
      </c>
      <c r="H16" s="31" t="s">
        <v>25</v>
      </c>
      <c r="I16" s="31" t="s">
        <v>25</v>
      </c>
      <c r="J16" s="31" t="s">
        <v>800</v>
      </c>
      <c r="K16" s="31" t="s">
        <v>799</v>
      </c>
      <c r="L16" s="31" t="s">
        <v>81</v>
      </c>
      <c r="M16" s="31">
        <v>2021</v>
      </c>
      <c r="N16" s="31">
        <v>0</v>
      </c>
      <c r="O16" s="31">
        <v>39.75</v>
      </c>
      <c r="P16" s="31">
        <v>0</v>
      </c>
    </row>
    <row r="17" spans="1:16" ht="11.25" customHeight="1" x14ac:dyDescent="0.3">
      <c r="A17" s="31">
        <v>16</v>
      </c>
      <c r="B17" s="31" t="s">
        <v>656</v>
      </c>
      <c r="C17" s="31" t="s">
        <v>54</v>
      </c>
      <c r="D17" s="31" t="s">
        <v>40</v>
      </c>
      <c r="E17" s="31" t="s">
        <v>25</v>
      </c>
      <c r="F17" s="31" t="s">
        <v>25</v>
      </c>
      <c r="G17" s="31" t="s">
        <v>25</v>
      </c>
      <c r="H17" s="31" t="s">
        <v>25</v>
      </c>
      <c r="I17" s="31" t="s">
        <v>34</v>
      </c>
      <c r="J17" s="31" t="s">
        <v>800</v>
      </c>
      <c r="K17" s="31" t="s">
        <v>799</v>
      </c>
      <c r="L17" s="31" t="s">
        <v>81</v>
      </c>
      <c r="M17" s="31">
        <v>2021</v>
      </c>
      <c r="N17" s="31">
        <v>0</v>
      </c>
      <c r="O17" s="31">
        <v>18.52</v>
      </c>
      <c r="P17" s="31">
        <v>0</v>
      </c>
    </row>
    <row r="18" spans="1:16" ht="11.25" customHeight="1" x14ac:dyDescent="0.3">
      <c r="A18" s="31">
        <v>17</v>
      </c>
      <c r="B18" s="31" t="s">
        <v>656</v>
      </c>
      <c r="C18" s="31" t="s">
        <v>39</v>
      </c>
      <c r="D18" s="31" t="s">
        <v>57</v>
      </c>
      <c r="E18" s="31" t="s">
        <v>25</v>
      </c>
      <c r="F18" s="31" t="s">
        <v>25</v>
      </c>
      <c r="G18" s="31" t="s">
        <v>25</v>
      </c>
      <c r="H18" s="31" t="s">
        <v>25</v>
      </c>
      <c r="I18" s="31" t="s">
        <v>25</v>
      </c>
      <c r="J18" s="31" t="s">
        <v>800</v>
      </c>
      <c r="K18" s="31" t="s">
        <v>799</v>
      </c>
      <c r="L18" s="31" t="s">
        <v>81</v>
      </c>
      <c r="M18" s="31">
        <v>2021</v>
      </c>
      <c r="N18" s="31">
        <v>0</v>
      </c>
      <c r="O18" s="31">
        <v>3.27</v>
      </c>
      <c r="P18" s="31">
        <v>0</v>
      </c>
    </row>
    <row r="19" spans="1:16" ht="11.25" customHeight="1" x14ac:dyDescent="0.3">
      <c r="A19" s="31">
        <v>18</v>
      </c>
      <c r="B19" s="31" t="s">
        <v>656</v>
      </c>
      <c r="C19" s="31" t="s">
        <v>43</v>
      </c>
      <c r="D19" s="31" t="s">
        <v>40</v>
      </c>
      <c r="E19" s="31" t="s">
        <v>25</v>
      </c>
      <c r="F19" s="31" t="s">
        <v>25</v>
      </c>
      <c r="G19" s="31" t="s">
        <v>85</v>
      </c>
      <c r="H19" s="31" t="s">
        <v>25</v>
      </c>
      <c r="I19" s="31" t="s">
        <v>25</v>
      </c>
      <c r="J19" s="31" t="s">
        <v>798</v>
      </c>
      <c r="K19" s="31" t="s">
        <v>799</v>
      </c>
      <c r="L19" s="31" t="s">
        <v>78</v>
      </c>
      <c r="M19" s="31">
        <v>2021</v>
      </c>
      <c r="N19" s="31">
        <v>0</v>
      </c>
      <c r="O19" s="31">
        <v>31.31</v>
      </c>
      <c r="P19" s="31">
        <v>0</v>
      </c>
    </row>
    <row r="20" spans="1:16" ht="11.25" customHeight="1" x14ac:dyDescent="0.3">
      <c r="A20" s="31">
        <v>19</v>
      </c>
      <c r="B20" s="31" t="s">
        <v>656</v>
      </c>
      <c r="C20" s="31" t="s">
        <v>54</v>
      </c>
      <c r="D20" s="31" t="s">
        <v>40</v>
      </c>
      <c r="E20" s="31" t="s">
        <v>25</v>
      </c>
      <c r="F20" s="31" t="s">
        <v>25</v>
      </c>
      <c r="G20" s="31" t="s">
        <v>25</v>
      </c>
      <c r="H20" s="31" t="s">
        <v>25</v>
      </c>
      <c r="I20" s="31" t="s">
        <v>35</v>
      </c>
      <c r="J20" s="31" t="s">
        <v>800</v>
      </c>
      <c r="K20" s="31" t="s">
        <v>799</v>
      </c>
      <c r="L20" s="31" t="s">
        <v>81</v>
      </c>
      <c r="M20" s="31">
        <v>2021</v>
      </c>
      <c r="N20" s="31">
        <v>0</v>
      </c>
      <c r="O20" s="31">
        <v>6.93</v>
      </c>
      <c r="P20" s="31">
        <v>0</v>
      </c>
    </row>
    <row r="21" spans="1:16" ht="11.25" customHeight="1" x14ac:dyDescent="0.3">
      <c r="A21" s="31">
        <v>20</v>
      </c>
      <c r="B21" s="31" t="s">
        <v>656</v>
      </c>
      <c r="C21" s="31" t="s">
        <v>39</v>
      </c>
      <c r="D21" s="31" t="s">
        <v>41</v>
      </c>
      <c r="E21" s="31" t="s">
        <v>25</v>
      </c>
      <c r="F21" s="31" t="s">
        <v>25</v>
      </c>
      <c r="G21" s="31" t="s">
        <v>25</v>
      </c>
      <c r="H21" s="31" t="s">
        <v>25</v>
      </c>
      <c r="I21" s="31" t="s">
        <v>25</v>
      </c>
      <c r="J21" s="31" t="s">
        <v>800</v>
      </c>
      <c r="K21" s="31" t="s">
        <v>799</v>
      </c>
      <c r="L21" s="31" t="s">
        <v>81</v>
      </c>
      <c r="M21" s="31">
        <v>2021</v>
      </c>
      <c r="N21" s="31">
        <v>0</v>
      </c>
      <c r="O21" s="31">
        <v>14</v>
      </c>
      <c r="P21" s="31">
        <v>0</v>
      </c>
    </row>
    <row r="22" spans="1:16" ht="11.25" customHeight="1" x14ac:dyDescent="0.3">
      <c r="A22" s="31">
        <v>21</v>
      </c>
      <c r="B22" s="31" t="s">
        <v>656</v>
      </c>
      <c r="C22" s="31" t="s">
        <v>60</v>
      </c>
      <c r="D22" s="31" t="s">
        <v>57</v>
      </c>
      <c r="E22" s="31" t="s">
        <v>25</v>
      </c>
      <c r="F22" s="31" t="s">
        <v>25</v>
      </c>
      <c r="G22" s="31" t="s">
        <v>25</v>
      </c>
      <c r="H22" s="31" t="s">
        <v>25</v>
      </c>
      <c r="I22" s="31" t="s">
        <v>25</v>
      </c>
      <c r="J22" s="31" t="s">
        <v>800</v>
      </c>
      <c r="K22" s="31" t="s">
        <v>799</v>
      </c>
      <c r="L22" s="31" t="s">
        <v>81</v>
      </c>
      <c r="M22" s="31">
        <v>2021</v>
      </c>
      <c r="N22" s="31">
        <v>0</v>
      </c>
      <c r="O22" s="31">
        <v>11.03</v>
      </c>
      <c r="P22" s="31">
        <v>0</v>
      </c>
    </row>
    <row r="23" spans="1:16" ht="11.25" customHeight="1" x14ac:dyDescent="0.3">
      <c r="A23" s="31">
        <v>22</v>
      </c>
      <c r="B23" s="31" t="s">
        <v>656</v>
      </c>
      <c r="C23" s="31" t="s">
        <v>39</v>
      </c>
      <c r="D23" s="31" t="s">
        <v>40</v>
      </c>
      <c r="E23" s="31" t="s">
        <v>25</v>
      </c>
      <c r="F23" s="31" t="s">
        <v>25</v>
      </c>
      <c r="G23" s="31" t="s">
        <v>25</v>
      </c>
      <c r="H23" s="31" t="s">
        <v>25</v>
      </c>
      <c r="I23" s="31" t="s">
        <v>35</v>
      </c>
      <c r="J23" s="31" t="s">
        <v>800</v>
      </c>
      <c r="K23" s="31" t="s">
        <v>799</v>
      </c>
      <c r="L23" s="31" t="s">
        <v>81</v>
      </c>
      <c r="M23" s="31">
        <v>2021</v>
      </c>
      <c r="N23" s="31">
        <v>0</v>
      </c>
      <c r="O23" s="31">
        <v>14</v>
      </c>
      <c r="P23" s="31">
        <v>0</v>
      </c>
    </row>
    <row r="24" spans="1:16" ht="11.25" customHeight="1" x14ac:dyDescent="0.3">
      <c r="A24" s="31">
        <v>23</v>
      </c>
      <c r="B24" s="31" t="s">
        <v>656</v>
      </c>
      <c r="C24" s="31" t="s">
        <v>43</v>
      </c>
      <c r="D24" s="31" t="s">
        <v>40</v>
      </c>
      <c r="E24" s="31" t="s">
        <v>25</v>
      </c>
      <c r="F24" s="31" t="s">
        <v>25</v>
      </c>
      <c r="G24" s="31" t="s">
        <v>25</v>
      </c>
      <c r="H24" s="31" t="s">
        <v>25</v>
      </c>
      <c r="I24" s="31" t="s">
        <v>25</v>
      </c>
      <c r="J24" s="31" t="s">
        <v>798</v>
      </c>
      <c r="K24" s="31" t="s">
        <v>799</v>
      </c>
      <c r="L24" s="31" t="s">
        <v>78</v>
      </c>
      <c r="M24" s="31">
        <v>2021</v>
      </c>
      <c r="N24" s="31">
        <v>0</v>
      </c>
      <c r="O24" s="31">
        <v>105.73</v>
      </c>
      <c r="P24" s="31">
        <v>57.603064100223399</v>
      </c>
    </row>
    <row r="25" spans="1:16" ht="11.25" customHeight="1" x14ac:dyDescent="0.3">
      <c r="A25" s="31">
        <v>24</v>
      </c>
      <c r="B25" s="31" t="s">
        <v>656</v>
      </c>
      <c r="C25" s="31" t="s">
        <v>39</v>
      </c>
      <c r="D25" s="31" t="s">
        <v>40</v>
      </c>
      <c r="E25" s="31" t="s">
        <v>25</v>
      </c>
      <c r="F25" s="31" t="s">
        <v>25</v>
      </c>
      <c r="G25" s="31" t="s">
        <v>85</v>
      </c>
      <c r="H25" s="31" t="s">
        <v>25</v>
      </c>
      <c r="I25" s="31" t="s">
        <v>25</v>
      </c>
      <c r="J25" s="31" t="s">
        <v>798</v>
      </c>
      <c r="K25" s="31" t="s">
        <v>799</v>
      </c>
      <c r="L25" s="31" t="s">
        <v>78</v>
      </c>
      <c r="M25" s="31">
        <v>2021</v>
      </c>
      <c r="N25" s="31">
        <v>0</v>
      </c>
      <c r="O25" s="31">
        <v>6.09</v>
      </c>
      <c r="P25" s="31">
        <v>0</v>
      </c>
    </row>
    <row r="26" spans="1:16" ht="11.25" customHeight="1" x14ac:dyDescent="0.3">
      <c r="A26" s="31">
        <v>25</v>
      </c>
      <c r="B26" s="31" t="s">
        <v>656</v>
      </c>
      <c r="C26" s="31" t="s">
        <v>43</v>
      </c>
      <c r="D26" s="31" t="s">
        <v>23</v>
      </c>
      <c r="E26" s="31" t="s">
        <v>25</v>
      </c>
      <c r="F26" s="31" t="s">
        <v>25</v>
      </c>
      <c r="G26" s="31" t="s">
        <v>25</v>
      </c>
      <c r="H26" s="31" t="s">
        <v>25</v>
      </c>
      <c r="I26" s="31" t="s">
        <v>25</v>
      </c>
      <c r="J26" s="31" t="s">
        <v>798</v>
      </c>
      <c r="K26" s="31" t="s">
        <v>799</v>
      </c>
      <c r="L26" s="31" t="s">
        <v>78</v>
      </c>
      <c r="M26" s="31">
        <v>2021</v>
      </c>
      <c r="N26" s="31">
        <v>0</v>
      </c>
      <c r="O26" s="31">
        <v>105.73</v>
      </c>
      <c r="P26" s="31">
        <v>57.603064100223399</v>
      </c>
    </row>
    <row r="27" spans="1:16" ht="11.25" customHeight="1" x14ac:dyDescent="0.3">
      <c r="A27" s="31">
        <v>26</v>
      </c>
      <c r="B27" s="31" t="s">
        <v>656</v>
      </c>
      <c r="C27" s="31" t="s">
        <v>22</v>
      </c>
      <c r="D27" s="31" t="s">
        <v>92</v>
      </c>
      <c r="E27" s="31" t="s">
        <v>24</v>
      </c>
      <c r="F27" s="31" t="s">
        <v>32</v>
      </c>
      <c r="G27" s="31" t="s">
        <v>25</v>
      </c>
      <c r="H27" s="31" t="s">
        <v>25</v>
      </c>
      <c r="I27" s="31" t="s">
        <v>25</v>
      </c>
      <c r="J27" s="31" t="s">
        <v>798</v>
      </c>
      <c r="K27" s="31" t="s">
        <v>799</v>
      </c>
      <c r="L27" s="31" t="s">
        <v>78</v>
      </c>
      <c r="M27" s="31">
        <v>2021</v>
      </c>
      <c r="N27" s="31">
        <v>0</v>
      </c>
      <c r="O27" s="31">
        <v>225.87</v>
      </c>
      <c r="P27" s="31">
        <v>0</v>
      </c>
    </row>
    <row r="28" spans="1:16" ht="11.25" customHeight="1" x14ac:dyDescent="0.3">
      <c r="A28" s="31">
        <v>27</v>
      </c>
      <c r="B28" s="31" t="s">
        <v>656</v>
      </c>
      <c r="C28" s="31" t="s">
        <v>43</v>
      </c>
      <c r="D28" s="31" t="s">
        <v>23</v>
      </c>
      <c r="E28" s="31" t="s">
        <v>25</v>
      </c>
      <c r="F28" s="31" t="s">
        <v>25</v>
      </c>
      <c r="G28" s="31" t="s">
        <v>25</v>
      </c>
      <c r="H28" s="31" t="s">
        <v>25</v>
      </c>
      <c r="I28" s="31" t="s">
        <v>25</v>
      </c>
      <c r="J28" s="31" t="s">
        <v>800</v>
      </c>
      <c r="K28" s="31" t="s">
        <v>799</v>
      </c>
      <c r="L28" s="31" t="s">
        <v>81</v>
      </c>
      <c r="M28" s="31">
        <v>2021</v>
      </c>
      <c r="N28" s="31">
        <v>0</v>
      </c>
      <c r="O28" s="31">
        <v>56.19</v>
      </c>
      <c r="P28" s="31">
        <v>0</v>
      </c>
    </row>
    <row r="29" spans="1:16" ht="11.25" customHeight="1" x14ac:dyDescent="0.3">
      <c r="A29" s="31">
        <v>28</v>
      </c>
      <c r="B29" s="31" t="s">
        <v>656</v>
      </c>
      <c r="C29" s="31" t="s">
        <v>22</v>
      </c>
      <c r="D29" s="31" t="s">
        <v>92</v>
      </c>
      <c r="E29" s="31" t="s">
        <v>24</v>
      </c>
      <c r="F29" s="31" t="s">
        <v>31</v>
      </c>
      <c r="G29" s="31" t="s">
        <v>25</v>
      </c>
      <c r="H29" s="31" t="s">
        <v>25</v>
      </c>
      <c r="I29" s="31" t="s">
        <v>25</v>
      </c>
      <c r="J29" s="31" t="s">
        <v>798</v>
      </c>
      <c r="K29" s="31" t="s">
        <v>799</v>
      </c>
      <c r="L29" s="31" t="s">
        <v>78</v>
      </c>
      <c r="M29" s="31">
        <v>2021</v>
      </c>
      <c r="N29" s="31">
        <v>0</v>
      </c>
      <c r="O29" s="31">
        <v>203.29</v>
      </c>
      <c r="P29" s="31">
        <v>0</v>
      </c>
    </row>
    <row r="30" spans="1:16" ht="11.25" customHeight="1" x14ac:dyDescent="0.3">
      <c r="A30" s="31">
        <v>29</v>
      </c>
      <c r="B30" s="31" t="s">
        <v>656</v>
      </c>
      <c r="C30" s="31" t="s">
        <v>43</v>
      </c>
      <c r="D30" s="31" t="s">
        <v>40</v>
      </c>
      <c r="E30" s="31" t="s">
        <v>25</v>
      </c>
      <c r="F30" s="31" t="s">
        <v>25</v>
      </c>
      <c r="G30" s="31" t="s">
        <v>25</v>
      </c>
      <c r="H30" s="31" t="s">
        <v>25</v>
      </c>
      <c r="I30" s="31" t="s">
        <v>34</v>
      </c>
      <c r="J30" s="31" t="s">
        <v>800</v>
      </c>
      <c r="K30" s="31" t="s">
        <v>799</v>
      </c>
      <c r="L30" s="31" t="s">
        <v>81</v>
      </c>
      <c r="M30" s="31">
        <v>2021</v>
      </c>
      <c r="N30" s="31">
        <v>0</v>
      </c>
      <c r="O30" s="31">
        <v>61.74</v>
      </c>
      <c r="P30" s="31">
        <v>0</v>
      </c>
    </row>
    <row r="31" spans="1:16" ht="11.25" customHeight="1" x14ac:dyDescent="0.3">
      <c r="A31" s="31">
        <v>30</v>
      </c>
      <c r="B31" s="31" t="s">
        <v>656</v>
      </c>
      <c r="C31" s="31" t="s">
        <v>43</v>
      </c>
      <c r="D31" s="31" t="s">
        <v>41</v>
      </c>
      <c r="E31" s="31" t="s">
        <v>25</v>
      </c>
      <c r="F31" s="31" t="s">
        <v>25</v>
      </c>
      <c r="G31" s="31" t="s">
        <v>85</v>
      </c>
      <c r="H31" s="31" t="s">
        <v>25</v>
      </c>
      <c r="I31" s="31" t="s">
        <v>35</v>
      </c>
      <c r="J31" s="31" t="s">
        <v>798</v>
      </c>
      <c r="K31" s="31" t="s">
        <v>799</v>
      </c>
      <c r="L31" s="31" t="s">
        <v>78</v>
      </c>
      <c r="M31" s="31">
        <v>2021</v>
      </c>
      <c r="N31" s="31">
        <v>0</v>
      </c>
      <c r="O31" s="31">
        <v>31.31</v>
      </c>
      <c r="P31" s="31">
        <v>0</v>
      </c>
    </row>
    <row r="32" spans="1:16" ht="11.25" customHeight="1" x14ac:dyDescent="0.3">
      <c r="A32" s="31">
        <v>31</v>
      </c>
      <c r="B32" s="31" t="s">
        <v>656</v>
      </c>
      <c r="C32" s="31" t="s">
        <v>22</v>
      </c>
      <c r="D32" s="31" t="s">
        <v>92</v>
      </c>
      <c r="E32" s="31" t="s">
        <v>24</v>
      </c>
      <c r="F32" s="31" t="s">
        <v>30</v>
      </c>
      <c r="G32" s="31" t="s">
        <v>25</v>
      </c>
      <c r="H32" s="31" t="s">
        <v>25</v>
      </c>
      <c r="I32" s="31" t="s">
        <v>25</v>
      </c>
      <c r="J32" s="31" t="s">
        <v>798</v>
      </c>
      <c r="K32" s="31" t="s">
        <v>799</v>
      </c>
      <c r="L32" s="31" t="s">
        <v>78</v>
      </c>
      <c r="M32" s="31">
        <v>2021</v>
      </c>
      <c r="N32" s="31">
        <v>0</v>
      </c>
      <c r="O32" s="31">
        <v>135.52000000000001</v>
      </c>
      <c r="P32" s="31">
        <v>0</v>
      </c>
    </row>
    <row r="33" spans="1:16" ht="11.25" customHeight="1" x14ac:dyDescent="0.3">
      <c r="A33" s="31">
        <v>32</v>
      </c>
      <c r="B33" s="31" t="s">
        <v>656</v>
      </c>
      <c r="C33" s="31" t="s">
        <v>43</v>
      </c>
      <c r="D33" s="31" t="s">
        <v>41</v>
      </c>
      <c r="E33" s="31" t="s">
        <v>25</v>
      </c>
      <c r="F33" s="31" t="s">
        <v>25</v>
      </c>
      <c r="G33" s="31" t="s">
        <v>25</v>
      </c>
      <c r="H33" s="31" t="s">
        <v>25</v>
      </c>
      <c r="I33" s="31" t="s">
        <v>34</v>
      </c>
      <c r="J33" s="31" t="s">
        <v>798</v>
      </c>
      <c r="K33" s="31" t="s">
        <v>799</v>
      </c>
      <c r="L33" s="31" t="s">
        <v>78</v>
      </c>
      <c r="M33" s="31">
        <v>2021</v>
      </c>
      <c r="N33" s="31">
        <v>0</v>
      </c>
      <c r="O33" s="31">
        <v>1604.46</v>
      </c>
      <c r="P33" s="31">
        <v>57.603064100223399</v>
      </c>
    </row>
    <row r="34" spans="1:16" ht="11.25" customHeight="1" x14ac:dyDescent="0.3">
      <c r="A34" s="31">
        <v>33</v>
      </c>
      <c r="B34" s="31" t="s">
        <v>656</v>
      </c>
      <c r="C34" s="31" t="s">
        <v>43</v>
      </c>
      <c r="D34" s="31" t="s">
        <v>41</v>
      </c>
      <c r="E34" s="31" t="s">
        <v>25</v>
      </c>
      <c r="F34" s="31" t="s">
        <v>25</v>
      </c>
      <c r="G34" s="31" t="s">
        <v>85</v>
      </c>
      <c r="H34" s="31" t="s">
        <v>25</v>
      </c>
      <c r="I34" s="31" t="s">
        <v>34</v>
      </c>
      <c r="J34" s="31" t="s">
        <v>798</v>
      </c>
      <c r="K34" s="31" t="s">
        <v>799</v>
      </c>
      <c r="L34" s="31" t="s">
        <v>78</v>
      </c>
      <c r="M34" s="31">
        <v>2021</v>
      </c>
      <c r="N34" s="31">
        <v>0</v>
      </c>
      <c r="O34" s="31">
        <v>1530.03</v>
      </c>
      <c r="P34" s="31">
        <v>0</v>
      </c>
    </row>
    <row r="35" spans="1:16" ht="11.25" customHeight="1" x14ac:dyDescent="0.3">
      <c r="A35" s="31">
        <v>34</v>
      </c>
      <c r="B35" s="31" t="s">
        <v>656</v>
      </c>
      <c r="C35" s="31" t="s">
        <v>22</v>
      </c>
      <c r="D35" s="31" t="s">
        <v>23</v>
      </c>
      <c r="E35" s="31" t="s">
        <v>24</v>
      </c>
      <c r="F35" s="31" t="s">
        <v>30</v>
      </c>
      <c r="G35" s="31" t="s">
        <v>25</v>
      </c>
      <c r="H35" s="31" t="s">
        <v>25</v>
      </c>
      <c r="I35" s="31" t="s">
        <v>25</v>
      </c>
      <c r="J35" s="31" t="s">
        <v>798</v>
      </c>
      <c r="K35" s="31" t="s">
        <v>799</v>
      </c>
      <c r="L35" s="31" t="s">
        <v>78</v>
      </c>
      <c r="M35" s="31">
        <v>2021</v>
      </c>
      <c r="N35" s="31">
        <v>0</v>
      </c>
      <c r="O35" s="31">
        <v>135.52000000000001</v>
      </c>
      <c r="P35" s="31">
        <v>0</v>
      </c>
    </row>
    <row r="36" spans="1:16" ht="11.25" customHeight="1" x14ac:dyDescent="0.3">
      <c r="A36" s="31">
        <v>35</v>
      </c>
      <c r="B36" s="31" t="s">
        <v>656</v>
      </c>
      <c r="C36" s="31" t="s">
        <v>44</v>
      </c>
      <c r="D36" s="31" t="s">
        <v>33</v>
      </c>
      <c r="E36" s="31" t="s">
        <v>45</v>
      </c>
      <c r="F36" s="31" t="s">
        <v>93</v>
      </c>
      <c r="G36" s="31" t="s">
        <v>25</v>
      </c>
      <c r="H36" s="31" t="s">
        <v>25</v>
      </c>
      <c r="I36" s="31" t="s">
        <v>35</v>
      </c>
      <c r="J36" s="31" t="s">
        <v>798</v>
      </c>
      <c r="K36" s="31" t="s">
        <v>799</v>
      </c>
      <c r="L36" s="31" t="s">
        <v>78</v>
      </c>
      <c r="M36" s="31">
        <v>2021</v>
      </c>
      <c r="N36" s="31">
        <v>0</v>
      </c>
      <c r="O36" s="31">
        <v>193.99</v>
      </c>
      <c r="P36" s="31">
        <v>50.690696408196601</v>
      </c>
    </row>
    <row r="37" spans="1:16" ht="11.25" customHeight="1" x14ac:dyDescent="0.3">
      <c r="A37" s="31">
        <v>36</v>
      </c>
      <c r="B37" s="31" t="s">
        <v>656</v>
      </c>
      <c r="C37" s="31" t="s">
        <v>22</v>
      </c>
      <c r="D37" s="31" t="s">
        <v>92</v>
      </c>
      <c r="E37" s="31" t="s">
        <v>24</v>
      </c>
      <c r="F37" s="31" t="s">
        <v>29</v>
      </c>
      <c r="G37" s="31" t="s">
        <v>25</v>
      </c>
      <c r="H37" s="31" t="s">
        <v>25</v>
      </c>
      <c r="I37" s="31" t="s">
        <v>25</v>
      </c>
      <c r="J37" s="31" t="s">
        <v>798</v>
      </c>
      <c r="K37" s="31" t="s">
        <v>799</v>
      </c>
      <c r="L37" s="31" t="s">
        <v>78</v>
      </c>
      <c r="M37" s="31">
        <v>2021</v>
      </c>
      <c r="N37" s="31">
        <v>0</v>
      </c>
      <c r="O37" s="31">
        <v>79.06</v>
      </c>
      <c r="P37" s="31">
        <v>0</v>
      </c>
    </row>
    <row r="38" spans="1:16" ht="11.25" customHeight="1" x14ac:dyDescent="0.3">
      <c r="A38" s="31">
        <v>37</v>
      </c>
      <c r="B38" s="31" t="s">
        <v>656</v>
      </c>
      <c r="C38" s="31" t="s">
        <v>44</v>
      </c>
      <c r="D38" s="31" t="s">
        <v>92</v>
      </c>
      <c r="E38" s="31" t="s">
        <v>45</v>
      </c>
      <c r="F38" s="31" t="s">
        <v>25</v>
      </c>
      <c r="G38" s="31" t="s">
        <v>25</v>
      </c>
      <c r="H38" s="31" t="s">
        <v>25</v>
      </c>
      <c r="I38" s="31" t="s">
        <v>25</v>
      </c>
      <c r="J38" s="31" t="s">
        <v>798</v>
      </c>
      <c r="K38" s="31" t="s">
        <v>799</v>
      </c>
      <c r="L38" s="31" t="s">
        <v>78</v>
      </c>
      <c r="M38" s="31">
        <v>2021</v>
      </c>
      <c r="N38" s="31">
        <v>0</v>
      </c>
      <c r="O38" s="31">
        <v>264.26</v>
      </c>
      <c r="P38" s="31">
        <v>50.690696408196601</v>
      </c>
    </row>
    <row r="39" spans="1:16" ht="11.25" customHeight="1" x14ac:dyDescent="0.3">
      <c r="A39" s="31">
        <v>38</v>
      </c>
      <c r="B39" s="31" t="s">
        <v>684</v>
      </c>
      <c r="C39" s="31" t="s">
        <v>39</v>
      </c>
      <c r="D39" s="31" t="s">
        <v>77</v>
      </c>
      <c r="E39" s="31" t="s">
        <v>25</v>
      </c>
      <c r="F39" s="31" t="s">
        <v>25</v>
      </c>
      <c r="G39" s="31" t="s">
        <v>25</v>
      </c>
      <c r="H39" s="31" t="s">
        <v>25</v>
      </c>
      <c r="I39" s="31" t="s">
        <v>34</v>
      </c>
      <c r="J39" s="31" t="s">
        <v>798</v>
      </c>
      <c r="K39" s="31" t="s">
        <v>799</v>
      </c>
      <c r="L39" s="31" t="s">
        <v>78</v>
      </c>
      <c r="M39" s="31">
        <v>2021</v>
      </c>
      <c r="N39" s="31">
        <v>0</v>
      </c>
      <c r="O39" s="31">
        <v>442.86</v>
      </c>
      <c r="P39" s="31"/>
    </row>
    <row r="40" spans="1:16" ht="11.25" customHeight="1" x14ac:dyDescent="0.3">
      <c r="A40" s="31">
        <v>39</v>
      </c>
      <c r="B40" s="31" t="s">
        <v>656</v>
      </c>
      <c r="C40" s="31" t="s">
        <v>22</v>
      </c>
      <c r="D40" s="31" t="s">
        <v>23</v>
      </c>
      <c r="E40" s="31" t="s">
        <v>24</v>
      </c>
      <c r="F40" s="31" t="s">
        <v>29</v>
      </c>
      <c r="G40" s="31" t="s">
        <v>25</v>
      </c>
      <c r="H40" s="31" t="s">
        <v>25</v>
      </c>
      <c r="I40" s="31" t="s">
        <v>25</v>
      </c>
      <c r="J40" s="31" t="s">
        <v>798</v>
      </c>
      <c r="K40" s="31" t="s">
        <v>799</v>
      </c>
      <c r="L40" s="31" t="s">
        <v>78</v>
      </c>
      <c r="M40" s="31">
        <v>2021</v>
      </c>
      <c r="N40" s="31">
        <v>0</v>
      </c>
      <c r="O40" s="31">
        <v>79.06</v>
      </c>
      <c r="P40" s="31">
        <v>0</v>
      </c>
    </row>
    <row r="41" spans="1:16" ht="11.25" customHeight="1" x14ac:dyDescent="0.3">
      <c r="A41" s="31">
        <v>40</v>
      </c>
      <c r="B41" s="31" t="s">
        <v>656</v>
      </c>
      <c r="C41" s="31" t="s">
        <v>44</v>
      </c>
      <c r="D41" s="31" t="s">
        <v>33</v>
      </c>
      <c r="E41" s="31" t="s">
        <v>45</v>
      </c>
      <c r="F41" s="31" t="s">
        <v>93</v>
      </c>
      <c r="G41" s="31" t="s">
        <v>25</v>
      </c>
      <c r="H41" s="31" t="s">
        <v>25</v>
      </c>
      <c r="I41" s="31" t="s">
        <v>36</v>
      </c>
      <c r="J41" s="31" t="s">
        <v>798</v>
      </c>
      <c r="K41" s="31" t="s">
        <v>799</v>
      </c>
      <c r="L41" s="31" t="s">
        <v>78</v>
      </c>
      <c r="M41" s="31">
        <v>2021</v>
      </c>
      <c r="N41" s="31">
        <v>0</v>
      </c>
      <c r="O41" s="31">
        <v>396.24</v>
      </c>
      <c r="P41" s="31">
        <v>50.690696408196601</v>
      </c>
    </row>
    <row r="42" spans="1:16" ht="11.25" customHeight="1" x14ac:dyDescent="0.3">
      <c r="A42" s="31">
        <v>41</v>
      </c>
      <c r="B42" s="31" t="s">
        <v>656</v>
      </c>
      <c r="C42" s="31" t="s">
        <v>22</v>
      </c>
      <c r="D42" s="31" t="s">
        <v>23</v>
      </c>
      <c r="E42" s="31" t="s">
        <v>24</v>
      </c>
      <c r="F42" s="31" t="s">
        <v>31</v>
      </c>
      <c r="G42" s="31" t="s">
        <v>25</v>
      </c>
      <c r="H42" s="31" t="s">
        <v>25</v>
      </c>
      <c r="I42" s="31" t="s">
        <v>25</v>
      </c>
      <c r="J42" s="31" t="s">
        <v>798</v>
      </c>
      <c r="K42" s="31" t="s">
        <v>799</v>
      </c>
      <c r="L42" s="31" t="s">
        <v>78</v>
      </c>
      <c r="M42" s="31">
        <v>2021</v>
      </c>
      <c r="N42" s="31">
        <v>0</v>
      </c>
      <c r="O42" s="31">
        <v>203.29</v>
      </c>
      <c r="P42" s="31">
        <v>0</v>
      </c>
    </row>
    <row r="43" spans="1:16" ht="11.25" customHeight="1" x14ac:dyDescent="0.3">
      <c r="A43" s="31">
        <v>42</v>
      </c>
      <c r="B43" s="31" t="s">
        <v>656</v>
      </c>
      <c r="C43" s="31" t="s">
        <v>44</v>
      </c>
      <c r="D43" s="31" t="s">
        <v>23</v>
      </c>
      <c r="E43" s="31" t="s">
        <v>45</v>
      </c>
      <c r="F43" s="31" t="s">
        <v>93</v>
      </c>
      <c r="G43" s="31" t="s">
        <v>25</v>
      </c>
      <c r="H43" s="31" t="s">
        <v>25</v>
      </c>
      <c r="I43" s="31" t="s">
        <v>25</v>
      </c>
      <c r="J43" s="31" t="s">
        <v>798</v>
      </c>
      <c r="K43" s="31" t="s">
        <v>799</v>
      </c>
      <c r="L43" s="31" t="s">
        <v>78</v>
      </c>
      <c r="M43" s="31">
        <v>2021</v>
      </c>
      <c r="N43" s="31">
        <v>0</v>
      </c>
      <c r="O43" s="31">
        <v>264.26</v>
      </c>
      <c r="P43" s="31">
        <v>50.690696408196601</v>
      </c>
    </row>
    <row r="44" spans="1:16" ht="11.25" customHeight="1" x14ac:dyDescent="0.3">
      <c r="A44" s="31">
        <v>43</v>
      </c>
      <c r="B44" s="31" t="s">
        <v>656</v>
      </c>
      <c r="C44" s="31" t="s">
        <v>22</v>
      </c>
      <c r="D44" s="31" t="s">
        <v>33</v>
      </c>
      <c r="E44" s="31" t="s">
        <v>24</v>
      </c>
      <c r="F44" s="31" t="s">
        <v>24</v>
      </c>
      <c r="G44" s="31" t="s">
        <v>25</v>
      </c>
      <c r="H44" s="31" t="s">
        <v>25</v>
      </c>
      <c r="I44" s="31" t="s">
        <v>34</v>
      </c>
      <c r="J44" s="31" t="s">
        <v>798</v>
      </c>
      <c r="K44" s="31" t="s">
        <v>799</v>
      </c>
      <c r="L44" s="31" t="s">
        <v>78</v>
      </c>
      <c r="M44" s="31">
        <v>2021</v>
      </c>
      <c r="N44" s="31">
        <v>0</v>
      </c>
      <c r="O44" s="31">
        <v>621.67999999999995</v>
      </c>
      <c r="P44" s="31">
        <v>57.603064100223399</v>
      </c>
    </row>
    <row r="45" spans="1:16" ht="11.25" customHeight="1" x14ac:dyDescent="0.3">
      <c r="A45" s="31">
        <v>44</v>
      </c>
      <c r="B45" s="31" t="s">
        <v>656</v>
      </c>
      <c r="C45" s="31" t="s">
        <v>44</v>
      </c>
      <c r="D45" s="31" t="s">
        <v>33</v>
      </c>
      <c r="E45" s="31" t="s">
        <v>45</v>
      </c>
      <c r="F45" s="31" t="s">
        <v>25</v>
      </c>
      <c r="G45" s="31" t="s">
        <v>25</v>
      </c>
      <c r="H45" s="31" t="s">
        <v>25</v>
      </c>
      <c r="I45" s="31" t="s">
        <v>34</v>
      </c>
      <c r="J45" s="31" t="s">
        <v>798</v>
      </c>
      <c r="K45" s="31" t="s">
        <v>799</v>
      </c>
      <c r="L45" s="31" t="s">
        <v>78</v>
      </c>
      <c r="M45" s="31">
        <v>2021</v>
      </c>
      <c r="N45" s="31">
        <v>0</v>
      </c>
      <c r="O45" s="31">
        <v>598.5</v>
      </c>
      <c r="P45" s="31">
        <v>50.690696408196601</v>
      </c>
    </row>
    <row r="46" spans="1:16" ht="11.25" customHeight="1" x14ac:dyDescent="0.3">
      <c r="A46" s="31">
        <v>45</v>
      </c>
      <c r="B46" s="31" t="s">
        <v>656</v>
      </c>
      <c r="C46" s="31" t="s">
        <v>43</v>
      </c>
      <c r="D46" s="31" t="s">
        <v>41</v>
      </c>
      <c r="E46" s="31" t="s">
        <v>25</v>
      </c>
      <c r="F46" s="31" t="s">
        <v>25</v>
      </c>
      <c r="G46" s="31" t="s">
        <v>25</v>
      </c>
      <c r="H46" s="31" t="s">
        <v>25</v>
      </c>
      <c r="I46" s="31" t="s">
        <v>35</v>
      </c>
      <c r="J46" s="31" t="s">
        <v>798</v>
      </c>
      <c r="K46" s="31" t="s">
        <v>799</v>
      </c>
      <c r="L46" s="31" t="s">
        <v>78</v>
      </c>
      <c r="M46" s="31">
        <v>2021</v>
      </c>
      <c r="N46" s="31">
        <v>0</v>
      </c>
      <c r="O46" s="31">
        <v>105.73</v>
      </c>
      <c r="P46" s="31">
        <v>57.603064100223399</v>
      </c>
    </row>
    <row r="47" spans="1:16" ht="11.25" customHeight="1" x14ac:dyDescent="0.3">
      <c r="A47" s="31">
        <v>46</v>
      </c>
      <c r="B47" s="31" t="s">
        <v>656</v>
      </c>
      <c r="C47" s="31" t="s">
        <v>22</v>
      </c>
      <c r="D47" s="31" t="s">
        <v>23</v>
      </c>
      <c r="E47" s="31" t="s">
        <v>24</v>
      </c>
      <c r="F47" s="31" t="s">
        <v>24</v>
      </c>
      <c r="G47" s="31" t="s">
        <v>25</v>
      </c>
      <c r="H47" s="31" t="s">
        <v>25</v>
      </c>
      <c r="I47" s="31" t="s">
        <v>25</v>
      </c>
      <c r="J47" s="31" t="s">
        <v>798</v>
      </c>
      <c r="K47" s="31" t="s">
        <v>799</v>
      </c>
      <c r="L47" s="31" t="s">
        <v>78</v>
      </c>
      <c r="M47" s="31">
        <v>2021</v>
      </c>
      <c r="N47" s="31">
        <v>0</v>
      </c>
      <c r="O47" s="31">
        <v>300.3</v>
      </c>
      <c r="P47" s="31">
        <v>57.603064100223399</v>
      </c>
    </row>
    <row r="48" spans="1:16" ht="11.25" customHeight="1" x14ac:dyDescent="0.3">
      <c r="A48" s="31">
        <v>47</v>
      </c>
      <c r="B48" s="31" t="s">
        <v>656</v>
      </c>
      <c r="C48" s="31" t="s">
        <v>44</v>
      </c>
      <c r="D48" s="31" t="s">
        <v>23</v>
      </c>
      <c r="E48" s="31" t="s">
        <v>45</v>
      </c>
      <c r="F48" s="31" t="s">
        <v>25</v>
      </c>
      <c r="G48" s="31" t="s">
        <v>25</v>
      </c>
      <c r="H48" s="31" t="s">
        <v>25</v>
      </c>
      <c r="I48" s="31" t="s">
        <v>25</v>
      </c>
      <c r="J48" s="31" t="s">
        <v>798</v>
      </c>
      <c r="K48" s="31" t="s">
        <v>799</v>
      </c>
      <c r="L48" s="31" t="s">
        <v>78</v>
      </c>
      <c r="M48" s="31">
        <v>2021</v>
      </c>
      <c r="N48" s="31">
        <v>0</v>
      </c>
      <c r="O48" s="31">
        <v>264.26</v>
      </c>
      <c r="P48" s="31">
        <v>50.690696408196601</v>
      </c>
    </row>
    <row r="49" spans="1:16" ht="11.25" customHeight="1" x14ac:dyDescent="0.3">
      <c r="A49" s="31">
        <v>48</v>
      </c>
      <c r="B49" s="31" t="s">
        <v>656</v>
      </c>
      <c r="C49" s="31" t="s">
        <v>44</v>
      </c>
      <c r="D49" s="31" t="s">
        <v>33</v>
      </c>
      <c r="E49" s="31" t="s">
        <v>45</v>
      </c>
      <c r="F49" s="31" t="s">
        <v>93</v>
      </c>
      <c r="G49" s="31" t="s">
        <v>25</v>
      </c>
      <c r="H49" s="31" t="s">
        <v>25</v>
      </c>
      <c r="I49" s="31" t="s">
        <v>34</v>
      </c>
      <c r="J49" s="31" t="s">
        <v>798</v>
      </c>
      <c r="K49" s="31" t="s">
        <v>799</v>
      </c>
      <c r="L49" s="31" t="s">
        <v>78</v>
      </c>
      <c r="M49" s="31">
        <v>2021</v>
      </c>
      <c r="N49" s="31">
        <v>0</v>
      </c>
      <c r="O49" s="31">
        <v>598.5</v>
      </c>
      <c r="P49" s="31">
        <v>50.690696408196601</v>
      </c>
    </row>
    <row r="50" spans="1:16" ht="11.25" customHeight="1" x14ac:dyDescent="0.3">
      <c r="A50" s="31">
        <v>49</v>
      </c>
      <c r="B50" s="31" t="s">
        <v>656</v>
      </c>
      <c r="C50" s="31" t="s">
        <v>22</v>
      </c>
      <c r="D50" s="31" t="s">
        <v>23</v>
      </c>
      <c r="E50" s="31" t="s">
        <v>24</v>
      </c>
      <c r="F50" s="31" t="s">
        <v>32</v>
      </c>
      <c r="G50" s="31" t="s">
        <v>25</v>
      </c>
      <c r="H50" s="31" t="s">
        <v>25</v>
      </c>
      <c r="I50" s="31" t="s">
        <v>25</v>
      </c>
      <c r="J50" s="31" t="s">
        <v>798</v>
      </c>
      <c r="K50" s="31" t="s">
        <v>799</v>
      </c>
      <c r="L50" s="31" t="s">
        <v>78</v>
      </c>
      <c r="M50" s="31">
        <v>2021</v>
      </c>
      <c r="N50" s="31">
        <v>0</v>
      </c>
      <c r="O50" s="31">
        <v>225.87</v>
      </c>
      <c r="P50" s="31">
        <v>0</v>
      </c>
    </row>
    <row r="51" spans="1:16" ht="11.25" customHeight="1" x14ac:dyDescent="0.3">
      <c r="A51" s="31">
        <v>50</v>
      </c>
      <c r="B51" s="31" t="s">
        <v>656</v>
      </c>
      <c r="C51" s="31" t="s">
        <v>44</v>
      </c>
      <c r="D51" s="31" t="s">
        <v>23</v>
      </c>
      <c r="E51" s="31" t="s">
        <v>45</v>
      </c>
      <c r="F51" s="31" t="s">
        <v>94</v>
      </c>
      <c r="G51" s="31" t="s">
        <v>25</v>
      </c>
      <c r="H51" s="31" t="s">
        <v>25</v>
      </c>
      <c r="I51" s="31" t="s">
        <v>25</v>
      </c>
      <c r="J51" s="31" t="s">
        <v>798</v>
      </c>
      <c r="K51" s="31" t="s">
        <v>799</v>
      </c>
      <c r="L51" s="31" t="s">
        <v>78</v>
      </c>
      <c r="M51" s="31">
        <v>2021</v>
      </c>
      <c r="N51" s="31">
        <v>0</v>
      </c>
      <c r="O51" s="31">
        <v>252.25</v>
      </c>
      <c r="P51" s="31">
        <v>48.386573844187602</v>
      </c>
    </row>
    <row r="52" spans="1:16" ht="11.25" customHeight="1" x14ac:dyDescent="0.3">
      <c r="A52" s="31">
        <v>51</v>
      </c>
      <c r="B52" s="31" t="s">
        <v>684</v>
      </c>
      <c r="C52" s="31" t="s">
        <v>60</v>
      </c>
      <c r="D52" s="31" t="s">
        <v>77</v>
      </c>
      <c r="E52" s="31" t="s">
        <v>25</v>
      </c>
      <c r="F52" s="31" t="s">
        <v>25</v>
      </c>
      <c r="G52" s="31" t="s">
        <v>25</v>
      </c>
      <c r="H52" s="31" t="s">
        <v>25</v>
      </c>
      <c r="I52" s="31" t="s">
        <v>34</v>
      </c>
      <c r="J52" s="31" t="s">
        <v>798</v>
      </c>
      <c r="K52" s="31" t="s">
        <v>799</v>
      </c>
      <c r="L52" s="31" t="s">
        <v>78</v>
      </c>
      <c r="M52" s="31">
        <v>2021</v>
      </c>
      <c r="N52" s="31">
        <v>0</v>
      </c>
      <c r="O52" s="31">
        <v>442.86</v>
      </c>
      <c r="P52" s="31"/>
    </row>
    <row r="53" spans="1:16" ht="11.25" customHeight="1" x14ac:dyDescent="0.3">
      <c r="A53" s="31">
        <v>52</v>
      </c>
      <c r="B53" s="31" t="s">
        <v>656</v>
      </c>
      <c r="C53" s="31" t="s">
        <v>44</v>
      </c>
      <c r="D53" s="31" t="s">
        <v>92</v>
      </c>
      <c r="E53" s="31" t="s">
        <v>45</v>
      </c>
      <c r="F53" s="31" t="s">
        <v>93</v>
      </c>
      <c r="G53" s="31" t="s">
        <v>25</v>
      </c>
      <c r="H53" s="31" t="s">
        <v>25</v>
      </c>
      <c r="I53" s="31" t="s">
        <v>25</v>
      </c>
      <c r="J53" s="31" t="s">
        <v>798</v>
      </c>
      <c r="K53" s="31" t="s">
        <v>799</v>
      </c>
      <c r="L53" s="31" t="s">
        <v>78</v>
      </c>
      <c r="M53" s="31">
        <v>2021</v>
      </c>
      <c r="N53" s="31">
        <v>0</v>
      </c>
      <c r="O53" s="31">
        <v>264.26</v>
      </c>
      <c r="P53" s="31">
        <v>50.690696408196601</v>
      </c>
    </row>
    <row r="54" spans="1:16" ht="11.25" customHeight="1" x14ac:dyDescent="0.3">
      <c r="A54" s="31">
        <v>53</v>
      </c>
      <c r="B54" s="31" t="s">
        <v>656</v>
      </c>
      <c r="C54" s="31" t="s">
        <v>44</v>
      </c>
      <c r="D54" s="31" t="s">
        <v>33</v>
      </c>
      <c r="E54" s="31" t="s">
        <v>45</v>
      </c>
      <c r="F54" s="31" t="s">
        <v>25</v>
      </c>
      <c r="G54" s="31" t="s">
        <v>25</v>
      </c>
      <c r="H54" s="31" t="s">
        <v>25</v>
      </c>
      <c r="I54" s="31" t="s">
        <v>36</v>
      </c>
      <c r="J54" s="31" t="s">
        <v>798</v>
      </c>
      <c r="K54" s="31" t="s">
        <v>799</v>
      </c>
      <c r="L54" s="31" t="s">
        <v>78</v>
      </c>
      <c r="M54" s="31">
        <v>2021</v>
      </c>
      <c r="N54" s="31">
        <v>0</v>
      </c>
      <c r="O54" s="31">
        <v>396.24</v>
      </c>
      <c r="P54" s="31">
        <v>50.690696408196601</v>
      </c>
    </row>
    <row r="55" spans="1:16" ht="11.25" customHeight="1" x14ac:dyDescent="0.3">
      <c r="A55" s="31">
        <v>54</v>
      </c>
      <c r="B55" s="31" t="s">
        <v>684</v>
      </c>
      <c r="C55" s="31" t="s">
        <v>60</v>
      </c>
      <c r="D55" s="31" t="s">
        <v>77</v>
      </c>
      <c r="E55" s="31" t="s">
        <v>25</v>
      </c>
      <c r="F55" s="31" t="s">
        <v>25</v>
      </c>
      <c r="G55" s="31" t="s">
        <v>25</v>
      </c>
      <c r="H55" s="31" t="s">
        <v>25</v>
      </c>
      <c r="I55" s="31" t="s">
        <v>35</v>
      </c>
      <c r="J55" s="31" t="s">
        <v>798</v>
      </c>
      <c r="K55" s="31" t="s">
        <v>799</v>
      </c>
      <c r="L55" s="31" t="s">
        <v>78</v>
      </c>
      <c r="M55" s="31">
        <v>2021</v>
      </c>
      <c r="N55" s="31">
        <v>0</v>
      </c>
      <c r="O55" s="31">
        <v>278.67</v>
      </c>
      <c r="P55" s="31"/>
    </row>
    <row r="56" spans="1:16" ht="11.25" customHeight="1" x14ac:dyDescent="0.3">
      <c r="A56" s="31">
        <v>55</v>
      </c>
      <c r="B56" s="31" t="s">
        <v>684</v>
      </c>
      <c r="C56" s="31" t="s">
        <v>22</v>
      </c>
      <c r="D56" s="31" t="s">
        <v>86</v>
      </c>
      <c r="E56" s="31" t="s">
        <v>24</v>
      </c>
      <c r="F56" s="31" t="s">
        <v>32</v>
      </c>
      <c r="G56" s="31" t="s">
        <v>25</v>
      </c>
      <c r="H56" s="31" t="s">
        <v>25</v>
      </c>
      <c r="I56" s="31" t="s">
        <v>25</v>
      </c>
      <c r="J56" s="31" t="s">
        <v>798</v>
      </c>
      <c r="K56" s="31" t="s">
        <v>799</v>
      </c>
      <c r="L56" s="31" t="s">
        <v>78</v>
      </c>
      <c r="M56" s="31">
        <v>2021</v>
      </c>
      <c r="N56" s="31">
        <v>0</v>
      </c>
      <c r="O56" s="31">
        <v>292.36</v>
      </c>
      <c r="P56" s="31"/>
    </row>
    <row r="57" spans="1:16" ht="11.25" customHeight="1" x14ac:dyDescent="0.3">
      <c r="A57" s="31">
        <v>56</v>
      </c>
      <c r="B57" s="31" t="s">
        <v>684</v>
      </c>
      <c r="C57" s="31" t="s">
        <v>44</v>
      </c>
      <c r="D57" s="31" t="s">
        <v>86</v>
      </c>
      <c r="E57" s="31" t="s">
        <v>45</v>
      </c>
      <c r="F57" s="31" t="s">
        <v>93</v>
      </c>
      <c r="G57" s="31" t="s">
        <v>25</v>
      </c>
      <c r="H57" s="31" t="s">
        <v>25</v>
      </c>
      <c r="I57" s="31" t="s">
        <v>25</v>
      </c>
      <c r="J57" s="31" t="s">
        <v>798</v>
      </c>
      <c r="K57" s="31" t="s">
        <v>799</v>
      </c>
      <c r="L57" s="31" t="s">
        <v>78</v>
      </c>
      <c r="M57" s="31">
        <v>2021</v>
      </c>
      <c r="N57" s="31">
        <v>0</v>
      </c>
      <c r="O57" s="31">
        <v>257.27</v>
      </c>
      <c r="P57" s="31"/>
    </row>
    <row r="58" spans="1:16" ht="11.25" customHeight="1" x14ac:dyDescent="0.3">
      <c r="A58" s="31">
        <v>57</v>
      </c>
      <c r="B58" s="31" t="s">
        <v>656</v>
      </c>
      <c r="C58" s="31" t="s">
        <v>22</v>
      </c>
      <c r="D58" s="31" t="s">
        <v>33</v>
      </c>
      <c r="E58" s="31" t="s">
        <v>24</v>
      </c>
      <c r="F58" s="31" t="s">
        <v>24</v>
      </c>
      <c r="G58" s="31" t="s">
        <v>25</v>
      </c>
      <c r="H58" s="31" t="s">
        <v>25</v>
      </c>
      <c r="I58" s="31" t="s">
        <v>35</v>
      </c>
      <c r="J58" s="31" t="s">
        <v>798</v>
      </c>
      <c r="K58" s="31" t="s">
        <v>799</v>
      </c>
      <c r="L58" s="31" t="s">
        <v>78</v>
      </c>
      <c r="M58" s="31">
        <v>2021</v>
      </c>
      <c r="N58" s="31">
        <v>0</v>
      </c>
      <c r="O58" s="31">
        <v>208.75</v>
      </c>
      <c r="P58" s="31">
        <v>57.603064100223399</v>
      </c>
    </row>
    <row r="59" spans="1:16" ht="11.25" customHeight="1" x14ac:dyDescent="0.3">
      <c r="A59" s="31">
        <v>58</v>
      </c>
      <c r="B59" s="31" t="s">
        <v>656</v>
      </c>
      <c r="C59" s="31" t="s">
        <v>22</v>
      </c>
      <c r="D59" s="31" t="s">
        <v>92</v>
      </c>
      <c r="E59" s="31" t="s">
        <v>24</v>
      </c>
      <c r="F59" s="31" t="s">
        <v>24</v>
      </c>
      <c r="G59" s="31" t="s">
        <v>25</v>
      </c>
      <c r="H59" s="31" t="s">
        <v>25</v>
      </c>
      <c r="I59" s="31" t="s">
        <v>25</v>
      </c>
      <c r="J59" s="31" t="s">
        <v>798</v>
      </c>
      <c r="K59" s="31" t="s">
        <v>799</v>
      </c>
      <c r="L59" s="31" t="s">
        <v>78</v>
      </c>
      <c r="M59" s="31">
        <v>2021</v>
      </c>
      <c r="N59" s="31">
        <v>0</v>
      </c>
      <c r="O59" s="31">
        <v>300.3</v>
      </c>
      <c r="P59" s="31">
        <v>57.603064100223399</v>
      </c>
    </row>
    <row r="60" spans="1:16" ht="11.25" customHeight="1" x14ac:dyDescent="0.3">
      <c r="A60" s="31">
        <v>59</v>
      </c>
      <c r="B60" s="31" t="s">
        <v>656</v>
      </c>
      <c r="C60" s="31" t="s">
        <v>44</v>
      </c>
      <c r="D60" s="31" t="s">
        <v>33</v>
      </c>
      <c r="E60" s="31" t="s">
        <v>45</v>
      </c>
      <c r="F60" s="31" t="s">
        <v>94</v>
      </c>
      <c r="G60" s="31" t="s">
        <v>25</v>
      </c>
      <c r="H60" s="31" t="s">
        <v>25</v>
      </c>
      <c r="I60" s="31" t="s">
        <v>35</v>
      </c>
      <c r="J60" s="31" t="s">
        <v>798</v>
      </c>
      <c r="K60" s="31" t="s">
        <v>799</v>
      </c>
      <c r="L60" s="31" t="s">
        <v>78</v>
      </c>
      <c r="M60" s="31">
        <v>2021</v>
      </c>
      <c r="N60" s="31">
        <v>0</v>
      </c>
      <c r="O60" s="31">
        <v>185.17</v>
      </c>
      <c r="P60" s="31">
        <v>48.386573844187602</v>
      </c>
    </row>
    <row r="61" spans="1:16" ht="11.25" customHeight="1" x14ac:dyDescent="0.3">
      <c r="A61" s="31">
        <v>60</v>
      </c>
      <c r="B61" s="31" t="s">
        <v>684</v>
      </c>
      <c r="C61" s="31" t="s">
        <v>54</v>
      </c>
      <c r="D61" s="31" t="s">
        <v>77</v>
      </c>
      <c r="E61" s="31" t="s">
        <v>25</v>
      </c>
      <c r="F61" s="31" t="s">
        <v>25</v>
      </c>
      <c r="G61" s="31" t="s">
        <v>25</v>
      </c>
      <c r="H61" s="31" t="s">
        <v>25</v>
      </c>
      <c r="I61" s="31" t="s">
        <v>35</v>
      </c>
      <c r="J61" s="31" t="s">
        <v>798</v>
      </c>
      <c r="K61" s="31" t="s">
        <v>799</v>
      </c>
      <c r="L61" s="31" t="s">
        <v>78</v>
      </c>
      <c r="M61" s="31">
        <v>2021</v>
      </c>
      <c r="N61" s="31">
        <v>0</v>
      </c>
      <c r="O61" s="31">
        <v>278.67</v>
      </c>
      <c r="P61" s="31"/>
    </row>
    <row r="62" spans="1:16" ht="11.25" customHeight="1" x14ac:dyDescent="0.3">
      <c r="A62" s="31">
        <v>61</v>
      </c>
      <c r="B62" s="31" t="s">
        <v>684</v>
      </c>
      <c r="C62" s="31" t="s">
        <v>39</v>
      </c>
      <c r="D62" s="31" t="s">
        <v>77</v>
      </c>
      <c r="E62" s="31" t="s">
        <v>25</v>
      </c>
      <c r="F62" s="31" t="s">
        <v>25</v>
      </c>
      <c r="G62" s="31" t="s">
        <v>25</v>
      </c>
      <c r="H62" s="31" t="s">
        <v>25</v>
      </c>
      <c r="I62" s="31" t="s">
        <v>35</v>
      </c>
      <c r="J62" s="31" t="s">
        <v>798</v>
      </c>
      <c r="K62" s="31" t="s">
        <v>799</v>
      </c>
      <c r="L62" s="31" t="s">
        <v>78</v>
      </c>
      <c r="M62" s="31">
        <v>2021</v>
      </c>
      <c r="N62" s="31">
        <v>0</v>
      </c>
      <c r="O62" s="31">
        <v>278.67</v>
      </c>
      <c r="P62" s="31"/>
    </row>
    <row r="63" spans="1:16" ht="11.25" customHeight="1" x14ac:dyDescent="0.3">
      <c r="A63" s="31">
        <v>62</v>
      </c>
      <c r="B63" s="31" t="s">
        <v>656</v>
      </c>
      <c r="C63" s="31" t="s">
        <v>60</v>
      </c>
      <c r="D63" s="31" t="s">
        <v>40</v>
      </c>
      <c r="E63" s="31" t="s">
        <v>25</v>
      </c>
      <c r="F63" s="31" t="s">
        <v>25</v>
      </c>
      <c r="G63" s="31" t="s">
        <v>85</v>
      </c>
      <c r="H63" s="31" t="s">
        <v>25</v>
      </c>
      <c r="I63" s="31" t="s">
        <v>25</v>
      </c>
      <c r="J63" s="31" t="s">
        <v>798</v>
      </c>
      <c r="K63" s="31" t="s">
        <v>799</v>
      </c>
      <c r="L63" s="31" t="s">
        <v>78</v>
      </c>
      <c r="M63" s="31">
        <v>2021</v>
      </c>
      <c r="N63" s="31">
        <v>0</v>
      </c>
      <c r="O63" s="31">
        <v>2.16</v>
      </c>
      <c r="P63" s="31">
        <v>0</v>
      </c>
    </row>
    <row r="64" spans="1:16" ht="11.25" customHeight="1" x14ac:dyDescent="0.3">
      <c r="A64" s="31">
        <v>63</v>
      </c>
      <c r="B64" s="31" t="s">
        <v>656</v>
      </c>
      <c r="C64" s="31" t="s">
        <v>37</v>
      </c>
      <c r="D64" s="31" t="s">
        <v>23</v>
      </c>
      <c r="E64" s="31" t="s">
        <v>25</v>
      </c>
      <c r="F64" s="31" t="s">
        <v>25</v>
      </c>
      <c r="G64" s="31" t="s">
        <v>25</v>
      </c>
      <c r="H64" s="31" t="s">
        <v>25</v>
      </c>
      <c r="I64" s="31" t="s">
        <v>25</v>
      </c>
      <c r="J64" s="31" t="s">
        <v>798</v>
      </c>
      <c r="K64" s="31" t="s">
        <v>799</v>
      </c>
      <c r="L64" s="31" t="s">
        <v>78</v>
      </c>
      <c r="M64" s="31">
        <v>2021</v>
      </c>
      <c r="N64" s="31">
        <v>0</v>
      </c>
      <c r="O64" s="31">
        <v>300.3</v>
      </c>
      <c r="P64" s="31">
        <v>57.603064100223399</v>
      </c>
    </row>
    <row r="65" spans="1:16" ht="11.25" customHeight="1" x14ac:dyDescent="0.3">
      <c r="A65" s="31">
        <v>64</v>
      </c>
      <c r="B65" s="31" t="s">
        <v>684</v>
      </c>
      <c r="C65" s="31" t="s">
        <v>43</v>
      </c>
      <c r="D65" s="31" t="s">
        <v>86</v>
      </c>
      <c r="E65" s="31" t="s">
        <v>25</v>
      </c>
      <c r="F65" s="31" t="s">
        <v>25</v>
      </c>
      <c r="G65" s="31" t="s">
        <v>25</v>
      </c>
      <c r="H65" s="31" t="s">
        <v>25</v>
      </c>
      <c r="I65" s="31" t="s">
        <v>25</v>
      </c>
      <c r="J65" s="31" t="s">
        <v>798</v>
      </c>
      <c r="K65" s="31" t="s">
        <v>799</v>
      </c>
      <c r="L65" s="31" t="s">
        <v>78</v>
      </c>
      <c r="M65" s="31">
        <v>2021</v>
      </c>
      <c r="N65" s="31">
        <v>0</v>
      </c>
      <c r="O65" s="31">
        <v>292.36</v>
      </c>
      <c r="P65" s="31"/>
    </row>
    <row r="66" spans="1:16" ht="11.25" customHeight="1" x14ac:dyDescent="0.3">
      <c r="A66" s="31">
        <v>65</v>
      </c>
      <c r="B66" s="31" t="s">
        <v>656</v>
      </c>
      <c r="C66" s="31" t="s">
        <v>22</v>
      </c>
      <c r="D66" s="31" t="s">
        <v>33</v>
      </c>
      <c r="E66" s="31" t="s">
        <v>24</v>
      </c>
      <c r="F66" s="31" t="s">
        <v>24</v>
      </c>
      <c r="G66" s="31" t="s">
        <v>25</v>
      </c>
      <c r="H66" s="31" t="s">
        <v>25</v>
      </c>
      <c r="I66" s="31" t="s">
        <v>36</v>
      </c>
      <c r="J66" s="31" t="s">
        <v>798</v>
      </c>
      <c r="K66" s="31" t="s">
        <v>799</v>
      </c>
      <c r="L66" s="31" t="s">
        <v>78</v>
      </c>
      <c r="M66" s="31">
        <v>2021</v>
      </c>
      <c r="N66" s="31">
        <v>0</v>
      </c>
      <c r="O66" s="31">
        <v>415.22</v>
      </c>
      <c r="P66" s="31">
        <v>57.603064100223399</v>
      </c>
    </row>
    <row r="67" spans="1:16" ht="11.25" customHeight="1" x14ac:dyDescent="0.3">
      <c r="A67" s="31">
        <v>66</v>
      </c>
      <c r="B67" s="31" t="s">
        <v>656</v>
      </c>
      <c r="C67" s="31" t="s">
        <v>44</v>
      </c>
      <c r="D67" s="31" t="s">
        <v>33</v>
      </c>
      <c r="E67" s="31" t="s">
        <v>45</v>
      </c>
      <c r="F67" s="31" t="s">
        <v>94</v>
      </c>
      <c r="G67" s="31" t="s">
        <v>25</v>
      </c>
      <c r="H67" s="31" t="s">
        <v>25</v>
      </c>
      <c r="I67" s="31" t="s">
        <v>34</v>
      </c>
      <c r="J67" s="31" t="s">
        <v>798</v>
      </c>
      <c r="K67" s="31" t="s">
        <v>799</v>
      </c>
      <c r="L67" s="31" t="s">
        <v>78</v>
      </c>
      <c r="M67" s="31">
        <v>2021</v>
      </c>
      <c r="N67" s="31">
        <v>0</v>
      </c>
      <c r="O67" s="31">
        <v>571.29999999999995</v>
      </c>
      <c r="P67" s="31">
        <v>48.386573844187602</v>
      </c>
    </row>
    <row r="68" spans="1:16" ht="11.25" customHeight="1" x14ac:dyDescent="0.3">
      <c r="A68" s="31">
        <v>67</v>
      </c>
      <c r="B68" s="31" t="s">
        <v>656</v>
      </c>
      <c r="C68" s="31" t="s">
        <v>37</v>
      </c>
      <c r="D68" s="31" t="s">
        <v>92</v>
      </c>
      <c r="E68" s="31" t="s">
        <v>25</v>
      </c>
      <c r="F68" s="31" t="s">
        <v>25</v>
      </c>
      <c r="G68" s="31" t="s">
        <v>25</v>
      </c>
      <c r="H68" s="31" t="s">
        <v>25</v>
      </c>
      <c r="I68" s="31" t="s">
        <v>25</v>
      </c>
      <c r="J68" s="31" t="s">
        <v>798</v>
      </c>
      <c r="K68" s="31" t="s">
        <v>799</v>
      </c>
      <c r="L68" s="31" t="s">
        <v>78</v>
      </c>
      <c r="M68" s="31">
        <v>2021</v>
      </c>
      <c r="N68" s="31">
        <v>0</v>
      </c>
      <c r="O68" s="31">
        <v>300.3</v>
      </c>
      <c r="P68" s="31">
        <v>57.603064100223399</v>
      </c>
    </row>
    <row r="69" spans="1:16" ht="11.25" customHeight="1" x14ac:dyDescent="0.3">
      <c r="A69" s="31">
        <v>68</v>
      </c>
      <c r="B69" s="31" t="s">
        <v>684</v>
      </c>
      <c r="C69" s="31" t="s">
        <v>22</v>
      </c>
      <c r="D69" s="31" t="s">
        <v>77</v>
      </c>
      <c r="E69" s="31" t="s">
        <v>24</v>
      </c>
      <c r="F69" s="31" t="s">
        <v>24</v>
      </c>
      <c r="G69" s="31" t="s">
        <v>25</v>
      </c>
      <c r="H69" s="31" t="s">
        <v>25</v>
      </c>
      <c r="I69" s="31" t="s">
        <v>34</v>
      </c>
      <c r="J69" s="31" t="s">
        <v>798</v>
      </c>
      <c r="K69" s="31" t="s">
        <v>799</v>
      </c>
      <c r="L69" s="31" t="s">
        <v>78</v>
      </c>
      <c r="M69" s="31">
        <v>2021</v>
      </c>
      <c r="N69" s="31">
        <v>0</v>
      </c>
      <c r="O69" s="31">
        <v>442.86</v>
      </c>
      <c r="P69" s="31"/>
    </row>
    <row r="70" spans="1:16" ht="11.25" customHeight="1" x14ac:dyDescent="0.3">
      <c r="A70" s="31">
        <v>69</v>
      </c>
      <c r="B70" s="31" t="s">
        <v>656</v>
      </c>
      <c r="C70" s="31" t="s">
        <v>37</v>
      </c>
      <c r="D70" s="31" t="s">
        <v>33</v>
      </c>
      <c r="E70" s="31" t="s">
        <v>25</v>
      </c>
      <c r="F70" s="31" t="s">
        <v>25</v>
      </c>
      <c r="G70" s="31" t="s">
        <v>25</v>
      </c>
      <c r="H70" s="31" t="s">
        <v>25</v>
      </c>
      <c r="I70" s="31" t="s">
        <v>35</v>
      </c>
      <c r="J70" s="31" t="s">
        <v>798</v>
      </c>
      <c r="K70" s="31" t="s">
        <v>799</v>
      </c>
      <c r="L70" s="31" t="s">
        <v>78</v>
      </c>
      <c r="M70" s="31">
        <v>2021</v>
      </c>
      <c r="N70" s="31">
        <v>0</v>
      </c>
      <c r="O70" s="31">
        <v>234.07</v>
      </c>
      <c r="P70" s="31">
        <v>57.603064100223399</v>
      </c>
    </row>
    <row r="71" spans="1:16" ht="11.25" customHeight="1" x14ac:dyDescent="0.3">
      <c r="A71" s="31">
        <v>70</v>
      </c>
      <c r="B71" s="31" t="s">
        <v>684</v>
      </c>
      <c r="C71" s="31" t="s">
        <v>43</v>
      </c>
      <c r="D71" s="31" t="s">
        <v>77</v>
      </c>
      <c r="E71" s="31" t="s">
        <v>25</v>
      </c>
      <c r="F71" s="31" t="s">
        <v>25</v>
      </c>
      <c r="G71" s="31" t="s">
        <v>25</v>
      </c>
      <c r="H71" s="31" t="s">
        <v>25</v>
      </c>
      <c r="I71" s="31" t="s">
        <v>35</v>
      </c>
      <c r="J71" s="31" t="s">
        <v>798</v>
      </c>
      <c r="K71" s="31" t="s">
        <v>799</v>
      </c>
      <c r="L71" s="31" t="s">
        <v>78</v>
      </c>
      <c r="M71" s="31">
        <v>2021</v>
      </c>
      <c r="N71" s="31">
        <v>0</v>
      </c>
      <c r="O71" s="31">
        <v>278.67</v>
      </c>
      <c r="P71" s="31"/>
    </row>
    <row r="72" spans="1:16" ht="11.25" customHeight="1" x14ac:dyDescent="0.3">
      <c r="A72" s="31">
        <v>71</v>
      </c>
      <c r="B72" s="31" t="s">
        <v>684</v>
      </c>
      <c r="C72" s="31" t="s">
        <v>47</v>
      </c>
      <c r="D72" s="31" t="s">
        <v>86</v>
      </c>
      <c r="E72" s="31" t="s">
        <v>48</v>
      </c>
      <c r="F72" s="31" t="s">
        <v>95</v>
      </c>
      <c r="G72" s="31" t="s">
        <v>25</v>
      </c>
      <c r="H72" s="31" t="s">
        <v>25</v>
      </c>
      <c r="I72" s="31" t="s">
        <v>25</v>
      </c>
      <c r="J72" s="31" t="s">
        <v>798</v>
      </c>
      <c r="K72" s="31" t="s">
        <v>799</v>
      </c>
      <c r="L72" s="31" t="s">
        <v>78</v>
      </c>
      <c r="M72" s="31">
        <v>2021</v>
      </c>
      <c r="N72" s="31">
        <v>0</v>
      </c>
      <c r="O72" s="31">
        <v>175.41</v>
      </c>
      <c r="P72" s="31"/>
    </row>
    <row r="73" spans="1:16" ht="11.25" customHeight="1" x14ac:dyDescent="0.3">
      <c r="A73" s="31">
        <v>72</v>
      </c>
      <c r="B73" s="31" t="s">
        <v>656</v>
      </c>
      <c r="C73" s="31" t="s">
        <v>44</v>
      </c>
      <c r="D73" s="31" t="s">
        <v>92</v>
      </c>
      <c r="E73" s="31" t="s">
        <v>45</v>
      </c>
      <c r="F73" s="31" t="s">
        <v>94</v>
      </c>
      <c r="G73" s="31" t="s">
        <v>25</v>
      </c>
      <c r="H73" s="31" t="s">
        <v>25</v>
      </c>
      <c r="I73" s="31" t="s">
        <v>25</v>
      </c>
      <c r="J73" s="31" t="s">
        <v>798</v>
      </c>
      <c r="K73" s="31" t="s">
        <v>799</v>
      </c>
      <c r="L73" s="31" t="s">
        <v>78</v>
      </c>
      <c r="M73" s="31">
        <v>2021</v>
      </c>
      <c r="N73" s="31">
        <v>0</v>
      </c>
      <c r="O73" s="31">
        <v>252.25</v>
      </c>
      <c r="P73" s="31">
        <v>48.386573844187602</v>
      </c>
    </row>
    <row r="74" spans="1:16" ht="11.25" customHeight="1" x14ac:dyDescent="0.3">
      <c r="A74" s="31">
        <v>73</v>
      </c>
      <c r="B74" s="31" t="s">
        <v>656</v>
      </c>
      <c r="C74" s="31" t="s">
        <v>44</v>
      </c>
      <c r="D74" s="31" t="s">
        <v>33</v>
      </c>
      <c r="E74" s="31" t="s">
        <v>45</v>
      </c>
      <c r="F74" s="31" t="s">
        <v>94</v>
      </c>
      <c r="G74" s="31" t="s">
        <v>25</v>
      </c>
      <c r="H74" s="31" t="s">
        <v>25</v>
      </c>
      <c r="I74" s="31" t="s">
        <v>36</v>
      </c>
      <c r="J74" s="31" t="s">
        <v>798</v>
      </c>
      <c r="K74" s="31" t="s">
        <v>799</v>
      </c>
      <c r="L74" s="31" t="s">
        <v>78</v>
      </c>
      <c r="M74" s="31">
        <v>2021</v>
      </c>
      <c r="N74" s="31">
        <v>0</v>
      </c>
      <c r="O74" s="31">
        <v>378.23</v>
      </c>
      <c r="P74" s="31">
        <v>48.386573844187602</v>
      </c>
    </row>
    <row r="75" spans="1:16" ht="11.25" customHeight="1" x14ac:dyDescent="0.3">
      <c r="A75" s="31">
        <v>74</v>
      </c>
      <c r="B75" s="31" t="s">
        <v>684</v>
      </c>
      <c r="C75" s="31" t="s">
        <v>54</v>
      </c>
      <c r="D75" s="31" t="s">
        <v>77</v>
      </c>
      <c r="E75" s="31" t="s">
        <v>25</v>
      </c>
      <c r="F75" s="31" t="s">
        <v>25</v>
      </c>
      <c r="G75" s="31" t="s">
        <v>25</v>
      </c>
      <c r="H75" s="31" t="s">
        <v>25</v>
      </c>
      <c r="I75" s="31" t="s">
        <v>34</v>
      </c>
      <c r="J75" s="31" t="s">
        <v>798</v>
      </c>
      <c r="K75" s="31" t="s">
        <v>799</v>
      </c>
      <c r="L75" s="31" t="s">
        <v>78</v>
      </c>
      <c r="M75" s="31">
        <v>2021</v>
      </c>
      <c r="N75" s="31">
        <v>0</v>
      </c>
      <c r="O75" s="31">
        <v>442.86</v>
      </c>
      <c r="P75" s="31"/>
    </row>
    <row r="76" spans="1:16" ht="11.25" customHeight="1" x14ac:dyDescent="0.3">
      <c r="A76" s="31">
        <v>75</v>
      </c>
      <c r="B76" s="31" t="s">
        <v>684</v>
      </c>
      <c r="C76" s="31" t="s">
        <v>22</v>
      </c>
      <c r="D76" s="31" t="s">
        <v>86</v>
      </c>
      <c r="E76" s="31" t="s">
        <v>24</v>
      </c>
      <c r="F76" s="31" t="s">
        <v>30</v>
      </c>
      <c r="G76" s="31" t="s">
        <v>25</v>
      </c>
      <c r="H76" s="31" t="s">
        <v>25</v>
      </c>
      <c r="I76" s="31" t="s">
        <v>25</v>
      </c>
      <c r="J76" s="31" t="s">
        <v>798</v>
      </c>
      <c r="K76" s="31" t="s">
        <v>799</v>
      </c>
      <c r="L76" s="31" t="s">
        <v>78</v>
      </c>
      <c r="M76" s="31">
        <v>2021</v>
      </c>
      <c r="N76" s="31">
        <v>0</v>
      </c>
      <c r="O76" s="31">
        <v>175.41</v>
      </c>
      <c r="P76" s="31"/>
    </row>
    <row r="77" spans="1:16" ht="11.25" customHeight="1" x14ac:dyDescent="0.3">
      <c r="A77" s="31">
        <v>76</v>
      </c>
      <c r="B77" s="31" t="s">
        <v>684</v>
      </c>
      <c r="C77" s="31" t="s">
        <v>44</v>
      </c>
      <c r="D77" s="31" t="s">
        <v>77</v>
      </c>
      <c r="E77" s="31" t="s">
        <v>45</v>
      </c>
      <c r="F77" s="31" t="s">
        <v>93</v>
      </c>
      <c r="G77" s="31" t="s">
        <v>25</v>
      </c>
      <c r="H77" s="31" t="s">
        <v>25</v>
      </c>
      <c r="I77" s="31" t="s">
        <v>35</v>
      </c>
      <c r="J77" s="31" t="s">
        <v>798</v>
      </c>
      <c r="K77" s="31" t="s">
        <v>799</v>
      </c>
      <c r="L77" s="31" t="s">
        <v>78</v>
      </c>
      <c r="M77" s="31">
        <v>2021</v>
      </c>
      <c r="N77" s="31">
        <v>0</v>
      </c>
      <c r="O77" s="31">
        <v>245.23</v>
      </c>
      <c r="P77" s="31"/>
    </row>
    <row r="78" spans="1:16" ht="11.25" customHeight="1" x14ac:dyDescent="0.3">
      <c r="A78" s="31">
        <v>77</v>
      </c>
      <c r="B78" s="31" t="s">
        <v>684</v>
      </c>
      <c r="C78" s="31" t="s">
        <v>44</v>
      </c>
      <c r="D78" s="31" t="s">
        <v>77</v>
      </c>
      <c r="E78" s="31" t="s">
        <v>45</v>
      </c>
      <c r="F78" s="31" t="s">
        <v>94</v>
      </c>
      <c r="G78" s="31" t="s">
        <v>25</v>
      </c>
      <c r="H78" s="31" t="s">
        <v>25</v>
      </c>
      <c r="I78" s="31" t="s">
        <v>34</v>
      </c>
      <c r="J78" s="31" t="s">
        <v>798</v>
      </c>
      <c r="K78" s="31" t="s">
        <v>799</v>
      </c>
      <c r="L78" s="31" t="s">
        <v>78</v>
      </c>
      <c r="M78" s="31">
        <v>2021</v>
      </c>
      <c r="N78" s="31">
        <v>0</v>
      </c>
      <c r="O78" s="31">
        <v>372</v>
      </c>
      <c r="P78" s="31"/>
    </row>
    <row r="79" spans="1:16" ht="11.25" customHeight="1" x14ac:dyDescent="0.3">
      <c r="A79" s="31">
        <v>78</v>
      </c>
      <c r="B79" s="31" t="s">
        <v>684</v>
      </c>
      <c r="C79" s="31" t="s">
        <v>22</v>
      </c>
      <c r="D79" s="31" t="s">
        <v>86</v>
      </c>
      <c r="E79" s="31" t="s">
        <v>24</v>
      </c>
      <c r="F79" s="31" t="s">
        <v>31</v>
      </c>
      <c r="G79" s="31" t="s">
        <v>25</v>
      </c>
      <c r="H79" s="31" t="s">
        <v>25</v>
      </c>
      <c r="I79" s="31" t="s">
        <v>25</v>
      </c>
      <c r="J79" s="31" t="s">
        <v>798</v>
      </c>
      <c r="K79" s="31" t="s">
        <v>799</v>
      </c>
      <c r="L79" s="31" t="s">
        <v>78</v>
      </c>
      <c r="M79" s="31">
        <v>2021</v>
      </c>
      <c r="N79" s="31">
        <v>0</v>
      </c>
      <c r="O79" s="31">
        <v>263.12</v>
      </c>
      <c r="P79" s="31"/>
    </row>
    <row r="80" spans="1:16" ht="11.25" customHeight="1" x14ac:dyDescent="0.3">
      <c r="A80" s="31">
        <v>79</v>
      </c>
      <c r="B80" s="31" t="s">
        <v>684</v>
      </c>
      <c r="C80" s="31" t="s">
        <v>44</v>
      </c>
      <c r="D80" s="31" t="s">
        <v>77</v>
      </c>
      <c r="E80" s="31" t="s">
        <v>45</v>
      </c>
      <c r="F80" s="31" t="s">
        <v>93</v>
      </c>
      <c r="G80" s="31" t="s">
        <v>25</v>
      </c>
      <c r="H80" s="31" t="s">
        <v>25</v>
      </c>
      <c r="I80" s="31" t="s">
        <v>36</v>
      </c>
      <c r="J80" s="31" t="s">
        <v>798</v>
      </c>
      <c r="K80" s="31" t="s">
        <v>799</v>
      </c>
      <c r="L80" s="31" t="s">
        <v>78</v>
      </c>
      <c r="M80" s="31">
        <v>2021</v>
      </c>
      <c r="N80" s="31">
        <v>0</v>
      </c>
      <c r="O80" s="31">
        <v>245.23</v>
      </c>
      <c r="P80" s="31"/>
    </row>
    <row r="81" spans="1:16" ht="11.25" customHeight="1" x14ac:dyDescent="0.3">
      <c r="A81" s="31">
        <v>80</v>
      </c>
      <c r="B81" s="31" t="s">
        <v>656</v>
      </c>
      <c r="C81" s="31" t="s">
        <v>47</v>
      </c>
      <c r="D81" s="31" t="s">
        <v>23</v>
      </c>
      <c r="E81" s="31" t="s">
        <v>48</v>
      </c>
      <c r="F81" s="31" t="s">
        <v>95</v>
      </c>
      <c r="G81" s="31" t="s">
        <v>25</v>
      </c>
      <c r="H81" s="31" t="s">
        <v>25</v>
      </c>
      <c r="I81" s="31" t="s">
        <v>25</v>
      </c>
      <c r="J81" s="31" t="s">
        <v>798</v>
      </c>
      <c r="K81" s="31" t="s">
        <v>799</v>
      </c>
      <c r="L81" s="31" t="s">
        <v>78</v>
      </c>
      <c r="M81" s="31">
        <v>2021</v>
      </c>
      <c r="N81" s="31">
        <v>0</v>
      </c>
      <c r="O81" s="31">
        <v>180.18</v>
      </c>
      <c r="P81" s="31">
        <v>34.561838460133998</v>
      </c>
    </row>
    <row r="82" spans="1:16" ht="11.25" customHeight="1" x14ac:dyDescent="0.3">
      <c r="A82" s="31">
        <v>81</v>
      </c>
      <c r="B82" s="31" t="s">
        <v>656</v>
      </c>
      <c r="C82" s="31" t="s">
        <v>44</v>
      </c>
      <c r="D82" s="31" t="s">
        <v>33</v>
      </c>
      <c r="E82" s="31" t="s">
        <v>45</v>
      </c>
      <c r="F82" s="31" t="s">
        <v>25</v>
      </c>
      <c r="G82" s="31" t="s">
        <v>25</v>
      </c>
      <c r="H82" s="31" t="s">
        <v>25</v>
      </c>
      <c r="I82" s="31" t="s">
        <v>35</v>
      </c>
      <c r="J82" s="31" t="s">
        <v>798</v>
      </c>
      <c r="K82" s="31" t="s">
        <v>799</v>
      </c>
      <c r="L82" s="31" t="s">
        <v>78</v>
      </c>
      <c r="M82" s="31">
        <v>2021</v>
      </c>
      <c r="N82" s="31">
        <v>0</v>
      </c>
      <c r="O82" s="31">
        <v>193.99</v>
      </c>
      <c r="P82" s="31">
        <v>50.690696408196601</v>
      </c>
    </row>
    <row r="83" spans="1:16" ht="11.25" customHeight="1" x14ac:dyDescent="0.3">
      <c r="A83" s="31">
        <v>82</v>
      </c>
      <c r="B83" s="31" t="s">
        <v>656</v>
      </c>
      <c r="C83" s="31" t="s">
        <v>37</v>
      </c>
      <c r="D83" s="31" t="s">
        <v>33</v>
      </c>
      <c r="E83" s="31" t="s">
        <v>25</v>
      </c>
      <c r="F83" s="31" t="s">
        <v>25</v>
      </c>
      <c r="G83" s="31" t="s">
        <v>25</v>
      </c>
      <c r="H83" s="31" t="s">
        <v>25</v>
      </c>
      <c r="I83" s="31" t="s">
        <v>36</v>
      </c>
      <c r="J83" s="31" t="s">
        <v>798</v>
      </c>
      <c r="K83" s="31" t="s">
        <v>799</v>
      </c>
      <c r="L83" s="31" t="s">
        <v>78</v>
      </c>
      <c r="M83" s="31">
        <v>2021</v>
      </c>
      <c r="N83" s="31">
        <v>0</v>
      </c>
      <c r="O83" s="31">
        <v>491.18</v>
      </c>
      <c r="P83" s="31">
        <v>57.603064100223399</v>
      </c>
    </row>
    <row r="84" spans="1:16" ht="11.25" customHeight="1" x14ac:dyDescent="0.3">
      <c r="A84" s="31">
        <v>83</v>
      </c>
      <c r="B84" s="31" t="s">
        <v>656</v>
      </c>
      <c r="C84" s="31" t="s">
        <v>37</v>
      </c>
      <c r="D84" s="31" t="s">
        <v>33</v>
      </c>
      <c r="E84" s="31" t="s">
        <v>25</v>
      </c>
      <c r="F84" s="31" t="s">
        <v>25</v>
      </c>
      <c r="G84" s="31" t="s">
        <v>25</v>
      </c>
      <c r="H84" s="31" t="s">
        <v>25</v>
      </c>
      <c r="I84" s="31" t="s">
        <v>34</v>
      </c>
      <c r="J84" s="31" t="s">
        <v>798</v>
      </c>
      <c r="K84" s="31" t="s">
        <v>799</v>
      </c>
      <c r="L84" s="31" t="s">
        <v>78</v>
      </c>
      <c r="M84" s="31">
        <v>2021</v>
      </c>
      <c r="N84" s="31">
        <v>0</v>
      </c>
      <c r="O84" s="31">
        <v>748.29</v>
      </c>
      <c r="P84" s="31">
        <v>57.603064100223399</v>
      </c>
    </row>
    <row r="85" spans="1:16" ht="11.25" customHeight="1" x14ac:dyDescent="0.3">
      <c r="A85" s="31">
        <v>84</v>
      </c>
      <c r="B85" s="31" t="s">
        <v>684</v>
      </c>
      <c r="C85" s="31" t="s">
        <v>39</v>
      </c>
      <c r="D85" s="31" t="s">
        <v>86</v>
      </c>
      <c r="E85" s="31" t="s">
        <v>25</v>
      </c>
      <c r="F85" s="31" t="s">
        <v>25</v>
      </c>
      <c r="G85" s="31" t="s">
        <v>25</v>
      </c>
      <c r="H85" s="31" t="s">
        <v>25</v>
      </c>
      <c r="I85" s="31" t="s">
        <v>25</v>
      </c>
      <c r="J85" s="31" t="s">
        <v>798</v>
      </c>
      <c r="K85" s="31" t="s">
        <v>799</v>
      </c>
      <c r="L85" s="31" t="s">
        <v>78</v>
      </c>
      <c r="M85" s="31">
        <v>2021</v>
      </c>
      <c r="N85" s="31">
        <v>0</v>
      </c>
      <c r="O85" s="31">
        <v>292.36</v>
      </c>
      <c r="P85" s="31"/>
    </row>
    <row r="86" spans="1:16" ht="11.25" customHeight="1" x14ac:dyDescent="0.3">
      <c r="A86" s="31">
        <v>85</v>
      </c>
      <c r="B86" s="31" t="s">
        <v>684</v>
      </c>
      <c r="C86" s="31" t="s">
        <v>37</v>
      </c>
      <c r="D86" s="31" t="s">
        <v>91</v>
      </c>
      <c r="E86" s="31" t="s">
        <v>25</v>
      </c>
      <c r="F86" s="31" t="s">
        <v>25</v>
      </c>
      <c r="G86" s="31" t="s">
        <v>25</v>
      </c>
      <c r="H86" s="31" t="s">
        <v>25</v>
      </c>
      <c r="I86" s="31" t="s">
        <v>25</v>
      </c>
      <c r="J86" s="31" t="s">
        <v>798</v>
      </c>
      <c r="K86" s="31" t="s">
        <v>799</v>
      </c>
      <c r="L86" s="31" t="s">
        <v>78</v>
      </c>
      <c r="M86" s="31">
        <v>2021</v>
      </c>
      <c r="N86" s="31">
        <v>0</v>
      </c>
      <c r="O86" s="31">
        <v>292.36</v>
      </c>
      <c r="P86" s="31"/>
    </row>
    <row r="87" spans="1:16" ht="11.25" customHeight="1" x14ac:dyDescent="0.3">
      <c r="A87" s="31">
        <v>86</v>
      </c>
      <c r="B87" s="31" t="s">
        <v>684</v>
      </c>
      <c r="C87" s="31" t="s">
        <v>22</v>
      </c>
      <c r="D87" s="31" t="s">
        <v>77</v>
      </c>
      <c r="E87" s="31" t="s">
        <v>24</v>
      </c>
      <c r="F87" s="31" t="s">
        <v>24</v>
      </c>
      <c r="G87" s="31" t="s">
        <v>25</v>
      </c>
      <c r="H87" s="31" t="s">
        <v>25</v>
      </c>
      <c r="I87" s="31" t="s">
        <v>36</v>
      </c>
      <c r="J87" s="31" t="s">
        <v>798</v>
      </c>
      <c r="K87" s="31" t="s">
        <v>799</v>
      </c>
      <c r="L87" s="31" t="s">
        <v>78</v>
      </c>
      <c r="M87" s="31">
        <v>2021</v>
      </c>
      <c r="N87" s="31">
        <v>0</v>
      </c>
      <c r="O87" s="31">
        <v>278.67</v>
      </c>
      <c r="P87" s="31"/>
    </row>
    <row r="88" spans="1:16" ht="11.25" customHeight="1" x14ac:dyDescent="0.3">
      <c r="A88" s="31">
        <v>87</v>
      </c>
      <c r="B88" s="31" t="s">
        <v>684</v>
      </c>
      <c r="C88" s="31" t="s">
        <v>22</v>
      </c>
      <c r="D88" s="31" t="s">
        <v>91</v>
      </c>
      <c r="E88" s="31" t="s">
        <v>24</v>
      </c>
      <c r="F88" s="31" t="s">
        <v>24</v>
      </c>
      <c r="G88" s="31" t="s">
        <v>25</v>
      </c>
      <c r="H88" s="31" t="s">
        <v>25</v>
      </c>
      <c r="I88" s="31" t="s">
        <v>25</v>
      </c>
      <c r="J88" s="31" t="s">
        <v>798</v>
      </c>
      <c r="K88" s="31" t="s">
        <v>799</v>
      </c>
      <c r="L88" s="31" t="s">
        <v>78</v>
      </c>
      <c r="M88" s="31">
        <v>2021</v>
      </c>
      <c r="N88" s="31">
        <v>0</v>
      </c>
      <c r="O88" s="31">
        <v>292.36</v>
      </c>
      <c r="P88" s="31"/>
    </row>
    <row r="89" spans="1:16" ht="11.25" customHeight="1" x14ac:dyDescent="0.3">
      <c r="A89" s="31">
        <v>88</v>
      </c>
      <c r="B89" s="31" t="s">
        <v>656</v>
      </c>
      <c r="C89" s="31" t="s">
        <v>47</v>
      </c>
      <c r="D89" s="31" t="s">
        <v>23</v>
      </c>
      <c r="E89" s="31" t="s">
        <v>48</v>
      </c>
      <c r="F89" s="31" t="s">
        <v>49</v>
      </c>
      <c r="G89" s="31" t="s">
        <v>25</v>
      </c>
      <c r="H89" s="31" t="s">
        <v>25</v>
      </c>
      <c r="I89" s="31" t="s">
        <v>25</v>
      </c>
      <c r="J89" s="31" t="s">
        <v>798</v>
      </c>
      <c r="K89" s="31" t="s">
        <v>799</v>
      </c>
      <c r="L89" s="31" t="s">
        <v>78</v>
      </c>
      <c r="M89" s="31">
        <v>2021</v>
      </c>
      <c r="N89" s="31">
        <v>0</v>
      </c>
      <c r="O89" s="31">
        <v>165.16</v>
      </c>
      <c r="P89" s="31">
        <v>31.6816852551229</v>
      </c>
    </row>
    <row r="90" spans="1:16" ht="11.25" customHeight="1" x14ac:dyDescent="0.3">
      <c r="A90" s="31">
        <v>89</v>
      </c>
      <c r="B90" s="31" t="s">
        <v>684</v>
      </c>
      <c r="C90" s="31" t="s">
        <v>47</v>
      </c>
      <c r="D90" s="31" t="s">
        <v>86</v>
      </c>
      <c r="E90" s="31" t="s">
        <v>48</v>
      </c>
      <c r="F90" s="31" t="s">
        <v>49</v>
      </c>
      <c r="G90" s="31" t="s">
        <v>25</v>
      </c>
      <c r="H90" s="31" t="s">
        <v>25</v>
      </c>
      <c r="I90" s="31" t="s">
        <v>25</v>
      </c>
      <c r="J90" s="31" t="s">
        <v>798</v>
      </c>
      <c r="K90" s="31" t="s">
        <v>799</v>
      </c>
      <c r="L90" s="31" t="s">
        <v>78</v>
      </c>
      <c r="M90" s="31">
        <v>2021</v>
      </c>
      <c r="N90" s="31">
        <v>0</v>
      </c>
      <c r="O90" s="31">
        <v>160.80000000000001</v>
      </c>
      <c r="P90" s="31"/>
    </row>
    <row r="91" spans="1:16" ht="11.25" customHeight="1" x14ac:dyDescent="0.3">
      <c r="A91" s="31">
        <v>90</v>
      </c>
      <c r="B91" s="31" t="s">
        <v>684</v>
      </c>
      <c r="C91" s="31" t="s">
        <v>22</v>
      </c>
      <c r="D91" s="31" t="s">
        <v>77</v>
      </c>
      <c r="E91" s="31" t="s">
        <v>24</v>
      </c>
      <c r="F91" s="31" t="s">
        <v>24</v>
      </c>
      <c r="G91" s="31" t="s">
        <v>25</v>
      </c>
      <c r="H91" s="31" t="s">
        <v>25</v>
      </c>
      <c r="I91" s="31" t="s">
        <v>35</v>
      </c>
      <c r="J91" s="31" t="s">
        <v>798</v>
      </c>
      <c r="K91" s="31" t="s">
        <v>799</v>
      </c>
      <c r="L91" s="31" t="s">
        <v>78</v>
      </c>
      <c r="M91" s="31">
        <v>2021</v>
      </c>
      <c r="N91" s="31">
        <v>0</v>
      </c>
      <c r="O91" s="31">
        <v>278.67</v>
      </c>
      <c r="P91" s="31"/>
    </row>
    <row r="92" spans="1:16" ht="11.25" customHeight="1" x14ac:dyDescent="0.3">
      <c r="A92" s="31">
        <v>91</v>
      </c>
      <c r="B92" s="31" t="s">
        <v>684</v>
      </c>
      <c r="C92" s="31" t="s">
        <v>37</v>
      </c>
      <c r="D92" s="31" t="s">
        <v>86</v>
      </c>
      <c r="E92" s="31" t="s">
        <v>25</v>
      </c>
      <c r="F92" s="31" t="s">
        <v>25</v>
      </c>
      <c r="G92" s="31" t="s">
        <v>25</v>
      </c>
      <c r="H92" s="31" t="s">
        <v>25</v>
      </c>
      <c r="I92" s="31" t="s">
        <v>25</v>
      </c>
      <c r="J92" s="31" t="s">
        <v>798</v>
      </c>
      <c r="K92" s="31" t="s">
        <v>799</v>
      </c>
      <c r="L92" s="31" t="s">
        <v>78</v>
      </c>
      <c r="M92" s="31">
        <v>2021</v>
      </c>
      <c r="N92" s="31">
        <v>0</v>
      </c>
      <c r="O92" s="31">
        <v>292.36</v>
      </c>
      <c r="P92" s="31"/>
    </row>
    <row r="93" spans="1:16" ht="11.25" customHeight="1" x14ac:dyDescent="0.3">
      <c r="A93" s="31">
        <v>92</v>
      </c>
      <c r="B93" s="31" t="s">
        <v>684</v>
      </c>
      <c r="C93" s="31" t="s">
        <v>43</v>
      </c>
      <c r="D93" s="31" t="s">
        <v>77</v>
      </c>
      <c r="E93" s="31" t="s">
        <v>25</v>
      </c>
      <c r="F93" s="31" t="s">
        <v>25</v>
      </c>
      <c r="G93" s="31" t="s">
        <v>25</v>
      </c>
      <c r="H93" s="31" t="s">
        <v>25</v>
      </c>
      <c r="I93" s="31" t="s">
        <v>34</v>
      </c>
      <c r="J93" s="31" t="s">
        <v>798</v>
      </c>
      <c r="K93" s="31" t="s">
        <v>799</v>
      </c>
      <c r="L93" s="31" t="s">
        <v>78</v>
      </c>
      <c r="M93" s="31">
        <v>2021</v>
      </c>
      <c r="N93" s="31">
        <v>0</v>
      </c>
      <c r="O93" s="31">
        <v>442.86</v>
      </c>
      <c r="P93" s="31"/>
    </row>
    <row r="94" spans="1:16" ht="11.25" customHeight="1" x14ac:dyDescent="0.3">
      <c r="A94" s="31">
        <v>93</v>
      </c>
      <c r="B94" s="31" t="s">
        <v>684</v>
      </c>
      <c r="C94" s="31" t="s">
        <v>44</v>
      </c>
      <c r="D94" s="31" t="s">
        <v>77</v>
      </c>
      <c r="E94" s="31" t="s">
        <v>45</v>
      </c>
      <c r="F94" s="31" t="s">
        <v>25</v>
      </c>
      <c r="G94" s="31" t="s">
        <v>25</v>
      </c>
      <c r="H94" s="31" t="s">
        <v>25</v>
      </c>
      <c r="I94" s="31" t="s">
        <v>36</v>
      </c>
      <c r="J94" s="31" t="s">
        <v>798</v>
      </c>
      <c r="K94" s="31" t="s">
        <v>799</v>
      </c>
      <c r="L94" s="31" t="s">
        <v>78</v>
      </c>
      <c r="M94" s="31">
        <v>2021</v>
      </c>
      <c r="N94" s="31">
        <v>0</v>
      </c>
      <c r="O94" s="31">
        <v>245.23</v>
      </c>
      <c r="P94" s="31"/>
    </row>
    <row r="95" spans="1:16" ht="11.25" customHeight="1" x14ac:dyDescent="0.3">
      <c r="A95" s="31">
        <v>94</v>
      </c>
      <c r="B95" s="31" t="s">
        <v>684</v>
      </c>
      <c r="C95" s="31" t="s">
        <v>44</v>
      </c>
      <c r="D95" s="31" t="s">
        <v>91</v>
      </c>
      <c r="E95" s="31" t="s">
        <v>45</v>
      </c>
      <c r="F95" s="31" t="s">
        <v>94</v>
      </c>
      <c r="G95" s="31" t="s">
        <v>25</v>
      </c>
      <c r="H95" s="31" t="s">
        <v>25</v>
      </c>
      <c r="I95" s="31" t="s">
        <v>25</v>
      </c>
      <c r="J95" s="31" t="s">
        <v>798</v>
      </c>
      <c r="K95" s="31" t="s">
        <v>799</v>
      </c>
      <c r="L95" s="31" t="s">
        <v>78</v>
      </c>
      <c r="M95" s="31">
        <v>2021</v>
      </c>
      <c r="N95" s="31">
        <v>0</v>
      </c>
      <c r="O95" s="31">
        <v>245.58</v>
      </c>
      <c r="P95" s="31"/>
    </row>
    <row r="96" spans="1:16" ht="11.25" customHeight="1" x14ac:dyDescent="0.3">
      <c r="A96" s="31">
        <v>95</v>
      </c>
      <c r="B96" s="31" t="s">
        <v>684</v>
      </c>
      <c r="C96" s="31" t="s">
        <v>22</v>
      </c>
      <c r="D96" s="31" t="s">
        <v>91</v>
      </c>
      <c r="E96" s="31" t="s">
        <v>24</v>
      </c>
      <c r="F96" s="31" t="s">
        <v>29</v>
      </c>
      <c r="G96" s="31" t="s">
        <v>25</v>
      </c>
      <c r="H96" s="31" t="s">
        <v>25</v>
      </c>
      <c r="I96" s="31" t="s">
        <v>25</v>
      </c>
      <c r="J96" s="31" t="s">
        <v>798</v>
      </c>
      <c r="K96" s="31" t="s">
        <v>799</v>
      </c>
      <c r="L96" s="31" t="s">
        <v>78</v>
      </c>
      <c r="M96" s="31">
        <v>2021</v>
      </c>
      <c r="N96" s="31">
        <v>0</v>
      </c>
      <c r="O96" s="31">
        <v>102.32</v>
      </c>
      <c r="P96" s="31"/>
    </row>
    <row r="97" spans="1:16" ht="11.25" customHeight="1" x14ac:dyDescent="0.3">
      <c r="A97" s="31">
        <v>96</v>
      </c>
      <c r="B97" s="31" t="s">
        <v>684</v>
      </c>
      <c r="C97" s="31" t="s">
        <v>44</v>
      </c>
      <c r="D97" s="31" t="s">
        <v>77</v>
      </c>
      <c r="E97" s="31" t="s">
        <v>45</v>
      </c>
      <c r="F97" s="31" t="s">
        <v>94</v>
      </c>
      <c r="G97" s="31" t="s">
        <v>25</v>
      </c>
      <c r="H97" s="31" t="s">
        <v>25</v>
      </c>
      <c r="I97" s="31" t="s">
        <v>36</v>
      </c>
      <c r="J97" s="31" t="s">
        <v>798</v>
      </c>
      <c r="K97" s="31" t="s">
        <v>799</v>
      </c>
      <c r="L97" s="31" t="s">
        <v>78</v>
      </c>
      <c r="M97" s="31">
        <v>2021</v>
      </c>
      <c r="N97" s="31">
        <v>0</v>
      </c>
      <c r="O97" s="31">
        <v>234.09</v>
      </c>
      <c r="P97" s="31"/>
    </row>
    <row r="98" spans="1:16" ht="11.25" customHeight="1" x14ac:dyDescent="0.3">
      <c r="A98" s="31">
        <v>97</v>
      </c>
      <c r="B98" s="31" t="s">
        <v>684</v>
      </c>
      <c r="C98" s="31" t="s">
        <v>44</v>
      </c>
      <c r="D98" s="31" t="s">
        <v>77</v>
      </c>
      <c r="E98" s="31" t="s">
        <v>45</v>
      </c>
      <c r="F98" s="31" t="s">
        <v>94</v>
      </c>
      <c r="G98" s="31" t="s">
        <v>25</v>
      </c>
      <c r="H98" s="31" t="s">
        <v>25</v>
      </c>
      <c r="I98" s="31" t="s">
        <v>35</v>
      </c>
      <c r="J98" s="31" t="s">
        <v>798</v>
      </c>
      <c r="K98" s="31" t="s">
        <v>799</v>
      </c>
      <c r="L98" s="31" t="s">
        <v>78</v>
      </c>
      <c r="M98" s="31">
        <v>2021</v>
      </c>
      <c r="N98" s="31">
        <v>0</v>
      </c>
      <c r="O98" s="31">
        <v>234.09</v>
      </c>
      <c r="P98" s="31"/>
    </row>
    <row r="99" spans="1:16" ht="11.25" customHeight="1" x14ac:dyDescent="0.3">
      <c r="A99" s="31">
        <v>98</v>
      </c>
      <c r="B99" s="31" t="s">
        <v>684</v>
      </c>
      <c r="C99" s="31" t="s">
        <v>22</v>
      </c>
      <c r="D99" s="31" t="s">
        <v>86</v>
      </c>
      <c r="E99" s="31" t="s">
        <v>24</v>
      </c>
      <c r="F99" s="31" t="s">
        <v>29</v>
      </c>
      <c r="G99" s="31" t="s">
        <v>25</v>
      </c>
      <c r="H99" s="31" t="s">
        <v>25</v>
      </c>
      <c r="I99" s="31" t="s">
        <v>25</v>
      </c>
      <c r="J99" s="31" t="s">
        <v>798</v>
      </c>
      <c r="K99" s="31" t="s">
        <v>799</v>
      </c>
      <c r="L99" s="31" t="s">
        <v>78</v>
      </c>
      <c r="M99" s="31">
        <v>2021</v>
      </c>
      <c r="N99" s="31">
        <v>0</v>
      </c>
      <c r="O99" s="31">
        <v>102.32</v>
      </c>
      <c r="P99" s="31"/>
    </row>
    <row r="100" spans="1:16" ht="11.25" customHeight="1" x14ac:dyDescent="0.3">
      <c r="A100" s="31">
        <v>99</v>
      </c>
      <c r="B100" s="31" t="s">
        <v>684</v>
      </c>
      <c r="C100" s="31" t="s">
        <v>44</v>
      </c>
      <c r="D100" s="31" t="s">
        <v>77</v>
      </c>
      <c r="E100" s="31" t="s">
        <v>45</v>
      </c>
      <c r="F100" s="31" t="s">
        <v>93</v>
      </c>
      <c r="G100" s="31" t="s">
        <v>25</v>
      </c>
      <c r="H100" s="31" t="s">
        <v>25</v>
      </c>
      <c r="I100" s="31" t="s">
        <v>34</v>
      </c>
      <c r="J100" s="31" t="s">
        <v>798</v>
      </c>
      <c r="K100" s="31" t="s">
        <v>799</v>
      </c>
      <c r="L100" s="31" t="s">
        <v>78</v>
      </c>
      <c r="M100" s="31">
        <v>2021</v>
      </c>
      <c r="N100" s="31">
        <v>0</v>
      </c>
      <c r="O100" s="31">
        <v>389.72</v>
      </c>
      <c r="P100" s="31"/>
    </row>
    <row r="101" spans="1:16" ht="11.25" customHeight="1" x14ac:dyDescent="0.3">
      <c r="A101" s="31">
        <v>100</v>
      </c>
      <c r="B101" s="31" t="s">
        <v>684</v>
      </c>
      <c r="C101" s="31" t="s">
        <v>22</v>
      </c>
      <c r="D101" s="31" t="s">
        <v>91</v>
      </c>
      <c r="E101" s="31" t="s">
        <v>24</v>
      </c>
      <c r="F101" s="31" t="s">
        <v>31</v>
      </c>
      <c r="G101" s="31" t="s">
        <v>25</v>
      </c>
      <c r="H101" s="31" t="s">
        <v>25</v>
      </c>
      <c r="I101" s="31" t="s">
        <v>25</v>
      </c>
      <c r="J101" s="31" t="s">
        <v>798</v>
      </c>
      <c r="K101" s="31" t="s">
        <v>799</v>
      </c>
      <c r="L101" s="31" t="s">
        <v>78</v>
      </c>
      <c r="M101" s="31">
        <v>2021</v>
      </c>
      <c r="N101" s="31">
        <v>0</v>
      </c>
      <c r="O101" s="31">
        <v>263.12</v>
      </c>
      <c r="P101" s="31"/>
    </row>
    <row r="102" spans="1:16" ht="11.25" customHeight="1" x14ac:dyDescent="0.3">
      <c r="A102" s="31">
        <v>101</v>
      </c>
      <c r="B102" s="31" t="s">
        <v>684</v>
      </c>
      <c r="C102" s="31" t="s">
        <v>44</v>
      </c>
      <c r="D102" s="31" t="s">
        <v>86</v>
      </c>
      <c r="E102" s="31" t="s">
        <v>45</v>
      </c>
      <c r="F102" s="31" t="s">
        <v>94</v>
      </c>
      <c r="G102" s="31" t="s">
        <v>25</v>
      </c>
      <c r="H102" s="31" t="s">
        <v>25</v>
      </c>
      <c r="I102" s="31" t="s">
        <v>25</v>
      </c>
      <c r="J102" s="31" t="s">
        <v>798</v>
      </c>
      <c r="K102" s="31" t="s">
        <v>799</v>
      </c>
      <c r="L102" s="31" t="s">
        <v>78</v>
      </c>
      <c r="M102" s="31">
        <v>2021</v>
      </c>
      <c r="N102" s="31">
        <v>0</v>
      </c>
      <c r="O102" s="31">
        <v>245.58</v>
      </c>
      <c r="P102" s="31"/>
    </row>
    <row r="103" spans="1:16" ht="11.25" customHeight="1" x14ac:dyDescent="0.3">
      <c r="A103" s="31">
        <v>102</v>
      </c>
      <c r="B103" s="31" t="s">
        <v>684</v>
      </c>
      <c r="C103" s="31" t="s">
        <v>22</v>
      </c>
      <c r="D103" s="31" t="s">
        <v>91</v>
      </c>
      <c r="E103" s="31" t="s">
        <v>24</v>
      </c>
      <c r="F103" s="31" t="s">
        <v>32</v>
      </c>
      <c r="G103" s="31" t="s">
        <v>25</v>
      </c>
      <c r="H103" s="31" t="s">
        <v>25</v>
      </c>
      <c r="I103" s="31" t="s">
        <v>25</v>
      </c>
      <c r="J103" s="31" t="s">
        <v>798</v>
      </c>
      <c r="K103" s="31" t="s">
        <v>799</v>
      </c>
      <c r="L103" s="31" t="s">
        <v>78</v>
      </c>
      <c r="M103" s="31">
        <v>2021</v>
      </c>
      <c r="N103" s="31">
        <v>0</v>
      </c>
      <c r="O103" s="31">
        <v>292.36</v>
      </c>
      <c r="P103" s="31"/>
    </row>
    <row r="104" spans="1:16" ht="11.25" customHeight="1" x14ac:dyDescent="0.3">
      <c r="A104" s="31">
        <v>103</v>
      </c>
      <c r="B104" s="31" t="s">
        <v>684</v>
      </c>
      <c r="C104" s="31" t="s">
        <v>44</v>
      </c>
      <c r="D104" s="31" t="s">
        <v>91</v>
      </c>
      <c r="E104" s="31" t="s">
        <v>45</v>
      </c>
      <c r="F104" s="31" t="s">
        <v>93</v>
      </c>
      <c r="G104" s="31" t="s">
        <v>25</v>
      </c>
      <c r="H104" s="31" t="s">
        <v>25</v>
      </c>
      <c r="I104" s="31" t="s">
        <v>25</v>
      </c>
      <c r="J104" s="31" t="s">
        <v>798</v>
      </c>
      <c r="K104" s="31" t="s">
        <v>799</v>
      </c>
      <c r="L104" s="31" t="s">
        <v>78</v>
      </c>
      <c r="M104" s="31">
        <v>2021</v>
      </c>
      <c r="N104" s="31">
        <v>0</v>
      </c>
      <c r="O104" s="31">
        <v>257.27</v>
      </c>
      <c r="P104" s="31"/>
    </row>
    <row r="105" spans="1:16" ht="11.25" customHeight="1" x14ac:dyDescent="0.3">
      <c r="A105" s="31">
        <v>104</v>
      </c>
      <c r="B105" s="31" t="s">
        <v>684</v>
      </c>
      <c r="C105" s="31" t="s">
        <v>44</v>
      </c>
      <c r="D105" s="31" t="s">
        <v>77</v>
      </c>
      <c r="E105" s="31" t="s">
        <v>45</v>
      </c>
      <c r="F105" s="31" t="s">
        <v>25</v>
      </c>
      <c r="G105" s="31" t="s">
        <v>25</v>
      </c>
      <c r="H105" s="31" t="s">
        <v>25</v>
      </c>
      <c r="I105" s="31" t="s">
        <v>34</v>
      </c>
      <c r="J105" s="31" t="s">
        <v>798</v>
      </c>
      <c r="K105" s="31" t="s">
        <v>799</v>
      </c>
      <c r="L105" s="31" t="s">
        <v>78</v>
      </c>
      <c r="M105" s="31">
        <v>2021</v>
      </c>
      <c r="N105" s="31">
        <v>0</v>
      </c>
      <c r="O105" s="31">
        <v>389.72</v>
      </c>
      <c r="P105" s="31"/>
    </row>
    <row r="106" spans="1:16" ht="11.25" customHeight="1" x14ac:dyDescent="0.3">
      <c r="A106" s="31">
        <v>105</v>
      </c>
      <c r="B106" s="31" t="s">
        <v>684</v>
      </c>
      <c r="C106" s="31" t="s">
        <v>37</v>
      </c>
      <c r="D106" s="31" t="s">
        <v>77</v>
      </c>
      <c r="E106" s="31" t="s">
        <v>25</v>
      </c>
      <c r="F106" s="31" t="s">
        <v>25</v>
      </c>
      <c r="G106" s="31" t="s">
        <v>25</v>
      </c>
      <c r="H106" s="31" t="s">
        <v>25</v>
      </c>
      <c r="I106" s="31" t="s">
        <v>35</v>
      </c>
      <c r="J106" s="31" t="s">
        <v>798</v>
      </c>
      <c r="K106" s="31" t="s">
        <v>799</v>
      </c>
      <c r="L106" s="31" t="s">
        <v>78</v>
      </c>
      <c r="M106" s="31">
        <v>2021</v>
      </c>
      <c r="N106" s="31">
        <v>0</v>
      </c>
      <c r="O106" s="31">
        <v>278.67</v>
      </c>
      <c r="P106" s="31"/>
    </row>
    <row r="107" spans="1:16" ht="11.25" customHeight="1" x14ac:dyDescent="0.3">
      <c r="A107" s="31">
        <v>106</v>
      </c>
      <c r="B107" s="31" t="s">
        <v>684</v>
      </c>
      <c r="C107" s="31" t="s">
        <v>37</v>
      </c>
      <c r="D107" s="31" t="s">
        <v>77</v>
      </c>
      <c r="E107" s="31" t="s">
        <v>25</v>
      </c>
      <c r="F107" s="31" t="s">
        <v>25</v>
      </c>
      <c r="G107" s="31" t="s">
        <v>25</v>
      </c>
      <c r="H107" s="31" t="s">
        <v>25</v>
      </c>
      <c r="I107" s="31" t="s">
        <v>34</v>
      </c>
      <c r="J107" s="31" t="s">
        <v>798</v>
      </c>
      <c r="K107" s="31" t="s">
        <v>799</v>
      </c>
      <c r="L107" s="31" t="s">
        <v>78</v>
      </c>
      <c r="M107" s="31">
        <v>2021</v>
      </c>
      <c r="N107" s="31">
        <v>0</v>
      </c>
      <c r="O107" s="31">
        <v>442.86</v>
      </c>
      <c r="P107" s="31"/>
    </row>
    <row r="108" spans="1:16" ht="11.25" customHeight="1" x14ac:dyDescent="0.3">
      <c r="A108" s="31">
        <v>107</v>
      </c>
      <c r="B108" s="31" t="s">
        <v>684</v>
      </c>
      <c r="C108" s="31" t="s">
        <v>22</v>
      </c>
      <c r="D108" s="31" t="s">
        <v>91</v>
      </c>
      <c r="E108" s="31" t="s">
        <v>24</v>
      </c>
      <c r="F108" s="31" t="s">
        <v>30</v>
      </c>
      <c r="G108" s="31" t="s">
        <v>25</v>
      </c>
      <c r="H108" s="31" t="s">
        <v>25</v>
      </c>
      <c r="I108" s="31" t="s">
        <v>25</v>
      </c>
      <c r="J108" s="31" t="s">
        <v>798</v>
      </c>
      <c r="K108" s="31" t="s">
        <v>799</v>
      </c>
      <c r="L108" s="31" t="s">
        <v>78</v>
      </c>
      <c r="M108" s="31">
        <v>2021</v>
      </c>
      <c r="N108" s="31">
        <v>0</v>
      </c>
      <c r="O108" s="31">
        <v>175.41</v>
      </c>
      <c r="P108" s="31"/>
    </row>
    <row r="109" spans="1:16" ht="11.25" customHeight="1" x14ac:dyDescent="0.3">
      <c r="A109" s="31">
        <v>108</v>
      </c>
      <c r="B109" s="31" t="s">
        <v>684</v>
      </c>
      <c r="C109" s="31" t="s">
        <v>44</v>
      </c>
      <c r="D109" s="31" t="s">
        <v>91</v>
      </c>
      <c r="E109" s="31" t="s">
        <v>45</v>
      </c>
      <c r="F109" s="31" t="s">
        <v>25</v>
      </c>
      <c r="G109" s="31" t="s">
        <v>25</v>
      </c>
      <c r="H109" s="31" t="s">
        <v>25</v>
      </c>
      <c r="I109" s="31" t="s">
        <v>25</v>
      </c>
      <c r="J109" s="31" t="s">
        <v>798</v>
      </c>
      <c r="K109" s="31" t="s">
        <v>799</v>
      </c>
      <c r="L109" s="31" t="s">
        <v>78</v>
      </c>
      <c r="M109" s="31">
        <v>2021</v>
      </c>
      <c r="N109" s="31">
        <v>0</v>
      </c>
      <c r="O109" s="31">
        <v>257.27</v>
      </c>
      <c r="P109" s="31"/>
    </row>
    <row r="110" spans="1:16" ht="11.25" customHeight="1" x14ac:dyDescent="0.3">
      <c r="A110" s="31">
        <v>109</v>
      </c>
      <c r="B110" s="31" t="s">
        <v>684</v>
      </c>
      <c r="C110" s="31" t="s">
        <v>44</v>
      </c>
      <c r="D110" s="31" t="s">
        <v>86</v>
      </c>
      <c r="E110" s="31" t="s">
        <v>45</v>
      </c>
      <c r="F110" s="31" t="s">
        <v>25</v>
      </c>
      <c r="G110" s="31" t="s">
        <v>25</v>
      </c>
      <c r="H110" s="31" t="s">
        <v>25</v>
      </c>
      <c r="I110" s="31" t="s">
        <v>25</v>
      </c>
      <c r="J110" s="31" t="s">
        <v>798</v>
      </c>
      <c r="K110" s="31" t="s">
        <v>799</v>
      </c>
      <c r="L110" s="31" t="s">
        <v>78</v>
      </c>
      <c r="M110" s="31">
        <v>2021</v>
      </c>
      <c r="N110" s="31">
        <v>0</v>
      </c>
      <c r="O110" s="31">
        <v>257.27</v>
      </c>
      <c r="P110" s="31"/>
    </row>
    <row r="111" spans="1:16" ht="11.25" customHeight="1" x14ac:dyDescent="0.3">
      <c r="A111" s="31">
        <v>110</v>
      </c>
      <c r="B111" s="31" t="s">
        <v>684</v>
      </c>
      <c r="C111" s="31" t="s">
        <v>37</v>
      </c>
      <c r="D111" s="31" t="s">
        <v>77</v>
      </c>
      <c r="E111" s="31" t="s">
        <v>25</v>
      </c>
      <c r="F111" s="31" t="s">
        <v>25</v>
      </c>
      <c r="G111" s="31" t="s">
        <v>25</v>
      </c>
      <c r="H111" s="31" t="s">
        <v>25</v>
      </c>
      <c r="I111" s="31" t="s">
        <v>36</v>
      </c>
      <c r="J111" s="31" t="s">
        <v>798</v>
      </c>
      <c r="K111" s="31" t="s">
        <v>799</v>
      </c>
      <c r="L111" s="31" t="s">
        <v>78</v>
      </c>
      <c r="M111" s="31">
        <v>2021</v>
      </c>
      <c r="N111" s="31">
        <v>0</v>
      </c>
      <c r="O111" s="31">
        <v>278.67</v>
      </c>
      <c r="P111" s="31"/>
    </row>
    <row r="112" spans="1:16" ht="11.25" customHeight="1" x14ac:dyDescent="0.3">
      <c r="A112" s="31">
        <v>111</v>
      </c>
      <c r="B112" s="31" t="s">
        <v>684</v>
      </c>
      <c r="C112" s="31" t="s">
        <v>22</v>
      </c>
      <c r="D112" s="31" t="s">
        <v>86</v>
      </c>
      <c r="E112" s="31" t="s">
        <v>24</v>
      </c>
      <c r="F112" s="31" t="s">
        <v>24</v>
      </c>
      <c r="G112" s="31" t="s">
        <v>25</v>
      </c>
      <c r="H112" s="31" t="s">
        <v>25</v>
      </c>
      <c r="I112" s="31" t="s">
        <v>25</v>
      </c>
      <c r="J112" s="31" t="s">
        <v>798</v>
      </c>
      <c r="K112" s="31" t="s">
        <v>799</v>
      </c>
      <c r="L112" s="31" t="s">
        <v>78</v>
      </c>
      <c r="M112" s="31">
        <v>2021</v>
      </c>
      <c r="N112" s="31">
        <v>0</v>
      </c>
      <c r="O112" s="31">
        <v>292.36</v>
      </c>
      <c r="P112" s="31"/>
    </row>
    <row r="113" spans="1:16" ht="11.25" customHeight="1" x14ac:dyDescent="0.3">
      <c r="A113" s="31">
        <v>112</v>
      </c>
      <c r="B113" s="31" t="s">
        <v>684</v>
      </c>
      <c r="C113" s="31" t="s">
        <v>44</v>
      </c>
      <c r="D113" s="31" t="s">
        <v>77</v>
      </c>
      <c r="E113" s="31" t="s">
        <v>45</v>
      </c>
      <c r="F113" s="31" t="s">
        <v>25</v>
      </c>
      <c r="G113" s="31" t="s">
        <v>25</v>
      </c>
      <c r="H113" s="31" t="s">
        <v>25</v>
      </c>
      <c r="I113" s="31" t="s">
        <v>35</v>
      </c>
      <c r="J113" s="31" t="s">
        <v>798</v>
      </c>
      <c r="K113" s="31" t="s">
        <v>799</v>
      </c>
      <c r="L113" s="31" t="s">
        <v>78</v>
      </c>
      <c r="M113" s="31">
        <v>2021</v>
      </c>
      <c r="N113" s="31">
        <v>0</v>
      </c>
      <c r="O113" s="31">
        <v>245.23</v>
      </c>
      <c r="P113" s="3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6056F-AE0D-428C-A397-6AB7450D9CF2}">
  <sheetPr codeName="Planilha4"/>
  <dimension ref="A1:AD69"/>
  <sheetViews>
    <sheetView showGridLines="0" workbookViewId="0">
      <selection sqref="A1:W69"/>
    </sheetView>
  </sheetViews>
  <sheetFormatPr defaultRowHeight="11.25" customHeight="1" x14ac:dyDescent="0.3"/>
  <cols>
    <col min="1" max="1" width="9" style="9" bestFit="1" customWidth="1"/>
    <col min="2" max="2" width="19.441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20" width="7.109375" style="9" bestFit="1" customWidth="1"/>
    <col min="21" max="21" width="13" style="9" bestFit="1" customWidth="1"/>
    <col min="22" max="16384" width="8.88671875" style="9"/>
  </cols>
  <sheetData>
    <row r="1" spans="1:30" ht="11.25" customHeight="1" x14ac:dyDescent="0.3">
      <c r="A1" s="10" t="s">
        <v>68</v>
      </c>
      <c r="B1" s="10" t="s">
        <v>69</v>
      </c>
      <c r="C1" s="10" t="s">
        <v>70</v>
      </c>
      <c r="D1" s="10" t="s">
        <v>71</v>
      </c>
      <c r="E1" s="10" t="s">
        <v>72</v>
      </c>
      <c r="F1" s="10" t="s">
        <v>73</v>
      </c>
      <c r="G1" s="10" t="s">
        <v>74</v>
      </c>
      <c r="H1" s="10" t="s">
        <v>75</v>
      </c>
      <c r="I1" s="11">
        <v>44501</v>
      </c>
      <c r="J1" s="11">
        <v>44531</v>
      </c>
      <c r="K1" s="11">
        <v>44562</v>
      </c>
      <c r="L1" s="11">
        <v>44593</v>
      </c>
      <c r="M1" s="11">
        <v>44621</v>
      </c>
      <c r="N1" s="11">
        <v>44652</v>
      </c>
      <c r="O1" s="11">
        <v>44682</v>
      </c>
      <c r="P1" s="11">
        <v>44713</v>
      </c>
      <c r="Q1" s="11">
        <v>44743</v>
      </c>
      <c r="R1" s="11">
        <v>44774</v>
      </c>
      <c r="S1" s="11">
        <v>44805</v>
      </c>
      <c r="T1" s="11">
        <v>44835</v>
      </c>
      <c r="U1" s="10" t="s">
        <v>76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3">
      <c r="A2" s="110" t="s">
        <v>54</v>
      </c>
      <c r="B2" s="110" t="s">
        <v>40</v>
      </c>
      <c r="C2" s="110" t="s">
        <v>25</v>
      </c>
      <c r="D2" s="110" t="s">
        <v>25</v>
      </c>
      <c r="E2" s="110" t="s">
        <v>25</v>
      </c>
      <c r="F2" s="110" t="s">
        <v>25</v>
      </c>
      <c r="G2" s="13" t="s">
        <v>82</v>
      </c>
      <c r="H2" s="13" t="s">
        <v>81</v>
      </c>
      <c r="I2" s="13">
        <f>SUMIF(Mercado_Receita!$S$2:$S$1157,"44501A2AzulNão se aplicaNão se aplicaNão se aplicaNão se aplicaPonta",Mercado_Receita!$J$2:$J$1157)+SUMIF(Mercado_Receita!$S$2:$S$1157,"44501A2AzulNão se aplicaNão se aplicaAPENão se aplicaPonta",Mercado_Receita!$J$2:$J$1157)+SUMIF(Mercado_Receita!$S$2:$S$1157,"44501A2ConvencionalNão se aplicaNão se aplicaNão se aplicaNão se aplicaNão se aplica",Mercado_Receita!$J$2:$J$1157)*0.72</f>
        <v>3738</v>
      </c>
      <c r="J2" s="13">
        <f>SUMIF(Mercado_Receita!$S$2:$S$1157,"44531A2AzulNão se aplicaNão se aplicaNão se aplicaNão se aplicaPonta",Mercado_Receita!$J$2:$J$1157)+SUMIF(Mercado_Receita!$S$2:$S$1157,"44531A2AzulNão se aplicaNão se aplicaAPENão se aplicaPonta",Mercado_Receita!$J$2:$J$1157)+SUMIF(Mercado_Receita!$S$2:$S$1157,"44531A2ConvencionalNão se aplicaNão se aplicaNão se aplicaNão se aplicaNão se aplica",Mercado_Receita!$J$2:$J$1157)*0.72</f>
        <v>3883</v>
      </c>
      <c r="K2" s="13">
        <f>SUMIF(Mercado_Receita!$S$2:$S$1157,"44562A2AzulNão se aplicaNão se aplicaNão se aplicaNão se aplicaPonta",Mercado_Receita!$J$2:$J$1157)+SUMIF(Mercado_Receita!$S$2:$S$1157,"44562A2AzulNão se aplicaNão se aplicaAPENão se aplicaPonta",Mercado_Receita!$J$2:$J$1157)+SUMIF(Mercado_Receita!$S$2:$S$1157,"44562A2ConvencionalNão se aplicaNão se aplicaNão se aplicaNão se aplicaNão se aplica",Mercado_Receita!$J$2:$J$1157)*0.72</f>
        <v>3945</v>
      </c>
      <c r="L2" s="13">
        <f>SUMIF(Mercado_Receita!$S$2:$S$1157,"44593A2AzulNão se aplicaNão se aplicaNão se aplicaNão se aplicaPonta",Mercado_Receita!$J$2:$J$1157)+SUMIF(Mercado_Receita!$S$2:$S$1157,"44593A2AzulNão se aplicaNão se aplicaAPENão se aplicaPonta",Mercado_Receita!$J$2:$J$1157)+SUMIF(Mercado_Receita!$S$2:$S$1157,"44593A2ConvencionalNão se aplicaNão se aplicaNão se aplicaNão se aplicaNão se aplica",Mercado_Receita!$J$2:$J$1157)*0.72</f>
        <v>3794</v>
      </c>
      <c r="M2" s="13">
        <f>SUMIF(Mercado_Receita!$S$2:$S$1157,"44621A2AzulNão se aplicaNão se aplicaNão se aplicaNão se aplicaPonta",Mercado_Receita!$J$2:$J$1157)+SUMIF(Mercado_Receita!$S$2:$S$1157,"44621A2AzulNão se aplicaNão se aplicaAPENão se aplicaPonta",Mercado_Receita!$J$2:$J$1157)+SUMIF(Mercado_Receita!$S$2:$S$1157,"44621A2ConvencionalNão se aplicaNão se aplicaNão se aplicaNão se aplicaNão se aplica",Mercado_Receita!$J$2:$J$1157)*0.72</f>
        <v>3700</v>
      </c>
      <c r="N2" s="13">
        <f>SUMIF(Mercado_Receita!$S$2:$S$1157,"44652A2AzulNão se aplicaNão se aplicaNão se aplicaNão se aplicaPonta",Mercado_Receita!$J$2:$J$1157)+SUMIF(Mercado_Receita!$S$2:$S$1157,"44652A2AzulNão se aplicaNão se aplicaAPENão se aplicaPonta",Mercado_Receita!$J$2:$J$1157)+SUMIF(Mercado_Receita!$S$2:$S$1157,"44652A2ConvencionalNão se aplicaNão se aplicaNão se aplicaNão se aplicaNão se aplica",Mercado_Receita!$J$2:$J$1157)*0.72</f>
        <v>3700</v>
      </c>
      <c r="O2" s="13">
        <f>SUMIF(Mercado_Receita!$S$2:$S$1157,"44682A2AzulNão se aplicaNão se aplicaNão se aplicaNão se aplicaPonta",Mercado_Receita!$J$2:$J$1157)+SUMIF(Mercado_Receita!$S$2:$S$1157,"44682A2AzulNão se aplicaNão se aplicaAPENão se aplicaPonta",Mercado_Receita!$J$2:$J$1157)+SUMIF(Mercado_Receita!$S$2:$S$1157,"44682A2ConvencionalNão se aplicaNão se aplicaNão se aplicaNão se aplicaNão se aplica",Mercado_Receita!$J$2:$J$1157)*0.72</f>
        <v>3700</v>
      </c>
      <c r="P2" s="13">
        <f>SUMIF(Mercado_Receita!$S$2:$S$1157,"44713A2AzulNão se aplicaNão se aplicaNão se aplicaNão se aplicaPonta",Mercado_Receita!$J$2:$J$1157)+SUMIF(Mercado_Receita!$S$2:$S$1157,"44713A2AzulNão se aplicaNão se aplicaAPENão se aplicaPonta",Mercado_Receita!$J$2:$J$1157)+SUMIF(Mercado_Receita!$S$2:$S$1157,"44713A2ConvencionalNão se aplicaNão se aplicaNão se aplicaNão se aplicaNão se aplica",Mercado_Receita!$J$2:$J$1157)*0.72</f>
        <v>3717</v>
      </c>
      <c r="Q2" s="13">
        <f>SUMIF(Mercado_Receita!$S$2:$S$1157,"44743A2AzulNão se aplicaNão se aplicaNão se aplicaNão se aplicaPonta",Mercado_Receita!$J$2:$J$1157)+SUMIF(Mercado_Receita!$S$2:$S$1157,"44743A2AzulNão se aplicaNão se aplicaAPENão se aplicaPonta",Mercado_Receita!$J$2:$J$1157)+SUMIF(Mercado_Receita!$S$2:$S$1157,"44743A2ConvencionalNão se aplicaNão se aplicaNão se aplicaNão se aplicaNão se aplica",Mercado_Receita!$J$2:$J$1157)*0.72</f>
        <v>3706</v>
      </c>
      <c r="R2" s="13">
        <f>SUMIF(Mercado_Receita!$S$2:$S$1157,"44774A2AzulNão se aplicaNão se aplicaNão se aplicaNão se aplicaPonta",Mercado_Receita!$J$2:$J$1157)+SUMIF(Mercado_Receita!$S$2:$S$1157,"44774A2AzulNão se aplicaNão se aplicaAPENão se aplicaPonta",Mercado_Receita!$J$2:$J$1157)+SUMIF(Mercado_Receita!$S$2:$S$1157,"44774A2ConvencionalNão se aplicaNão se aplicaNão se aplicaNão se aplicaNão se aplica",Mercado_Receita!$J$2:$J$1157)*0.72</f>
        <v>3741</v>
      </c>
      <c r="S2" s="13">
        <f>SUMIF(Mercado_Receita!$S$2:$S$1157,"44805A2AzulNão se aplicaNão se aplicaNão se aplicaNão se aplicaPonta",Mercado_Receita!$J$2:$J$1157)+SUMIF(Mercado_Receita!$S$2:$S$1157,"44805A2AzulNão se aplicaNão se aplicaAPENão se aplicaPonta",Mercado_Receita!$J$2:$J$1157)+SUMIF(Mercado_Receita!$S$2:$S$1157,"44805A2ConvencionalNão se aplicaNão se aplicaNão se aplicaNão se aplicaNão se aplica",Mercado_Receita!$J$2:$J$1157)*0.72</f>
        <v>3792</v>
      </c>
      <c r="T2" s="13">
        <f>SUMIF(Mercado_Receita!$S$2:$S$1157,"44835A2AzulNão se aplicaNão se aplicaNão se aplicaNão se aplicaPonta",Mercado_Receita!$J$2:$J$1157)+SUMIF(Mercado_Receita!$S$2:$S$1157,"44835A2AzulNão se aplicaNão se aplicaAPENão se aplicaPonta",Mercado_Receita!$J$2:$J$1157)+SUMIF(Mercado_Receita!$S$2:$S$1157,"44835A2ConvencionalNão se aplicaNão se aplicaNão se aplicaNão se aplicaNão se aplica",Mercado_Receita!$J$2:$J$1157)*0.72</f>
        <v>3792</v>
      </c>
      <c r="U2" s="13">
        <f t="shared" ref="U2:U33" si="0">SUM(I2:T2)</f>
        <v>45208</v>
      </c>
      <c r="V2" s="13"/>
      <c r="W2" s="13"/>
    </row>
    <row r="3" spans="1:30" ht="11.25" customHeight="1" x14ac:dyDescent="0.3">
      <c r="A3" s="111"/>
      <c r="B3" s="111"/>
      <c r="C3" s="111"/>
      <c r="D3" s="111"/>
      <c r="E3" s="111"/>
      <c r="F3" s="111"/>
      <c r="G3" s="13" t="s">
        <v>83</v>
      </c>
      <c r="H3" s="13" t="s">
        <v>81</v>
      </c>
      <c r="I3" s="13">
        <f>SUMIF(Mercado_Receita!$S$2:$S$1157,"44501A2AzulNão se aplicaNão se aplicaNão se aplicaNão se aplicaFora ponta",Mercado_Receita!$J$2:$J$1157)+SUMIF(Mercado_Receita!$S$2:$S$1157,"44501A2AzulNão se aplicaNão se aplicaAPENão se aplicaFora ponta",Mercado_Receita!$J$2:$J$1157)+SUMIF(Mercado_Receita!$S$2:$S$1157,"44501A2ConvencionalNão se aplicaNão se aplicaNão se aplicaNão se aplicaNão se aplica",Mercado_Receita!$J$2:$J$1157)*1</f>
        <v>20000</v>
      </c>
      <c r="J3" s="13">
        <f>SUMIF(Mercado_Receita!$S$2:$S$1157,"44531A2AzulNão se aplicaNão se aplicaNão se aplicaNão se aplicaFora ponta",Mercado_Receita!$J$2:$J$1157)+SUMIF(Mercado_Receita!$S$2:$S$1157,"44531A2AzulNão se aplicaNão se aplicaAPENão se aplicaFora ponta",Mercado_Receita!$J$2:$J$1157)+SUMIF(Mercado_Receita!$S$2:$S$1157,"44531A2ConvencionalNão se aplicaNão se aplicaNão se aplicaNão se aplicaNão se aplica",Mercado_Receita!$J$2:$J$1157)*1</f>
        <v>20000</v>
      </c>
      <c r="K3" s="13">
        <f>SUMIF(Mercado_Receita!$S$2:$S$1157,"44562A2AzulNão se aplicaNão se aplicaNão se aplicaNão se aplicaFora ponta",Mercado_Receita!$J$2:$J$1157)+SUMIF(Mercado_Receita!$S$2:$S$1157,"44562A2AzulNão se aplicaNão se aplicaAPENão se aplicaFora ponta",Mercado_Receita!$J$2:$J$1157)+SUMIF(Mercado_Receita!$S$2:$S$1157,"44562A2ConvencionalNão se aplicaNão se aplicaNão se aplicaNão se aplicaNão se aplica",Mercado_Receita!$J$2:$J$1157)*1</f>
        <v>20000</v>
      </c>
      <c r="L3" s="13">
        <f>SUMIF(Mercado_Receita!$S$2:$S$1157,"44593A2AzulNão se aplicaNão se aplicaNão se aplicaNão se aplicaFora ponta",Mercado_Receita!$J$2:$J$1157)+SUMIF(Mercado_Receita!$S$2:$S$1157,"44593A2AzulNão se aplicaNão se aplicaAPENão se aplicaFora ponta",Mercado_Receita!$J$2:$J$1157)+SUMIF(Mercado_Receita!$S$2:$S$1157,"44593A2ConvencionalNão se aplicaNão se aplicaNão se aplicaNão se aplicaNão se aplica",Mercado_Receita!$J$2:$J$1157)*1</f>
        <v>20000</v>
      </c>
      <c r="M3" s="13">
        <f>SUMIF(Mercado_Receita!$S$2:$S$1157,"44621A2AzulNão se aplicaNão se aplicaNão se aplicaNão se aplicaFora ponta",Mercado_Receita!$J$2:$J$1157)+SUMIF(Mercado_Receita!$S$2:$S$1157,"44621A2AzulNão se aplicaNão se aplicaAPENão se aplicaFora ponta",Mercado_Receita!$J$2:$J$1157)+SUMIF(Mercado_Receita!$S$2:$S$1157,"44621A2ConvencionalNão se aplicaNão se aplicaNão se aplicaNão se aplicaNão se aplica",Mercado_Receita!$J$2:$J$1157)*1</f>
        <v>20000</v>
      </c>
      <c r="N3" s="13">
        <f>SUMIF(Mercado_Receita!$S$2:$S$1157,"44652A2AzulNão se aplicaNão se aplicaNão se aplicaNão se aplicaFora ponta",Mercado_Receita!$J$2:$J$1157)+SUMIF(Mercado_Receita!$S$2:$S$1157,"44652A2AzulNão se aplicaNão se aplicaAPENão se aplicaFora ponta",Mercado_Receita!$J$2:$J$1157)+SUMIF(Mercado_Receita!$S$2:$S$1157,"44652A2ConvencionalNão se aplicaNão se aplicaNão se aplicaNão se aplicaNão se aplica",Mercado_Receita!$J$2:$J$1157)*1</f>
        <v>20000</v>
      </c>
      <c r="O3" s="13">
        <f>SUMIF(Mercado_Receita!$S$2:$S$1157,"44682A2AzulNão se aplicaNão se aplicaNão se aplicaNão se aplicaFora ponta",Mercado_Receita!$J$2:$J$1157)+SUMIF(Mercado_Receita!$S$2:$S$1157,"44682A2AzulNão se aplicaNão se aplicaAPENão se aplicaFora ponta",Mercado_Receita!$J$2:$J$1157)+SUMIF(Mercado_Receita!$S$2:$S$1157,"44682A2ConvencionalNão se aplicaNão se aplicaNão se aplicaNão se aplicaNão se aplica",Mercado_Receita!$J$2:$J$1157)*1</f>
        <v>20000</v>
      </c>
      <c r="P3" s="13">
        <f>SUMIF(Mercado_Receita!$S$2:$S$1157,"44713A2AzulNão se aplicaNão se aplicaNão se aplicaNão se aplicaFora ponta",Mercado_Receita!$J$2:$J$1157)+SUMIF(Mercado_Receita!$S$2:$S$1157,"44713A2AzulNão se aplicaNão se aplicaAPENão se aplicaFora ponta",Mercado_Receita!$J$2:$J$1157)+SUMIF(Mercado_Receita!$S$2:$S$1157,"44713A2ConvencionalNão se aplicaNão se aplicaNão se aplicaNão se aplicaNão se aplica",Mercado_Receita!$J$2:$J$1157)*1</f>
        <v>20000</v>
      </c>
      <c r="Q3" s="13">
        <f>SUMIF(Mercado_Receita!$S$2:$S$1157,"44743A2AzulNão se aplicaNão se aplicaNão se aplicaNão se aplicaFora ponta",Mercado_Receita!$J$2:$J$1157)+SUMIF(Mercado_Receita!$S$2:$S$1157,"44743A2AzulNão se aplicaNão se aplicaAPENão se aplicaFora ponta",Mercado_Receita!$J$2:$J$1157)+SUMIF(Mercado_Receita!$S$2:$S$1157,"44743A2ConvencionalNão se aplicaNão se aplicaNão se aplicaNão se aplicaNão se aplica",Mercado_Receita!$J$2:$J$1157)*1</f>
        <v>20000</v>
      </c>
      <c r="R3" s="13">
        <f>SUMIF(Mercado_Receita!$S$2:$S$1157,"44774A2AzulNão se aplicaNão se aplicaNão se aplicaNão se aplicaFora ponta",Mercado_Receita!$J$2:$J$1157)+SUMIF(Mercado_Receita!$S$2:$S$1157,"44774A2AzulNão se aplicaNão se aplicaAPENão se aplicaFora ponta",Mercado_Receita!$J$2:$J$1157)+SUMIF(Mercado_Receita!$S$2:$S$1157,"44774A2ConvencionalNão se aplicaNão se aplicaNão se aplicaNão se aplicaNão se aplica",Mercado_Receita!$J$2:$J$1157)*1</f>
        <v>20000</v>
      </c>
      <c r="S3" s="13">
        <f>SUMIF(Mercado_Receita!$S$2:$S$1157,"44805A2AzulNão se aplicaNão se aplicaNão se aplicaNão se aplicaFora ponta",Mercado_Receita!$J$2:$J$1157)+SUMIF(Mercado_Receita!$S$2:$S$1157,"44805A2AzulNão se aplicaNão se aplicaAPENão se aplicaFora ponta",Mercado_Receita!$J$2:$J$1157)+SUMIF(Mercado_Receita!$S$2:$S$1157,"44805A2ConvencionalNão se aplicaNão se aplicaNão se aplicaNão se aplicaNão se aplica",Mercado_Receita!$J$2:$J$1157)*1</f>
        <v>20000</v>
      </c>
      <c r="T3" s="13">
        <f>SUMIF(Mercado_Receita!$S$2:$S$1157,"44835A2AzulNão se aplicaNão se aplicaNão se aplicaNão se aplicaFora ponta",Mercado_Receita!$J$2:$J$1157)+SUMIF(Mercado_Receita!$S$2:$S$1157,"44835A2AzulNão se aplicaNão se aplicaAPENão se aplicaFora ponta",Mercado_Receita!$J$2:$J$1157)+SUMIF(Mercado_Receita!$S$2:$S$1157,"44835A2ConvencionalNão se aplicaNão se aplicaNão se aplicaNão se aplicaNão se aplica",Mercado_Receita!$J$2:$J$1157)*1</f>
        <v>20000</v>
      </c>
      <c r="U3" s="13">
        <f t="shared" si="0"/>
        <v>240000</v>
      </c>
      <c r="V3" s="13"/>
      <c r="W3" s="13"/>
    </row>
    <row r="4" spans="1:30" ht="11.25" customHeight="1" x14ac:dyDescent="0.3">
      <c r="A4" s="111"/>
      <c r="B4" s="111"/>
      <c r="C4" s="111"/>
      <c r="D4" s="111"/>
      <c r="E4" s="111"/>
      <c r="F4" s="111"/>
      <c r="G4" s="13" t="s">
        <v>84</v>
      </c>
      <c r="H4" s="13" t="s">
        <v>78</v>
      </c>
      <c r="I4" s="13">
        <f>SUMIF(Mercado_Receita!$S$2:$S$1157,"44501A2AzulNão se aplicaNão se aplicaNão se aplicaNão se aplicaPonta",Mercado_Receita!$L$2:$L$1157)+SUMIF(Mercado_Receita!$S$2:$S$1157,"44501A2AzulNão se aplicaNão se aplicaNão se aplicaNão se aplicaFora ponta",Mercado_Receita!$L$2:$L$1157)+SUMIF(Mercado_Receita!$S$2:$S$1157,"44501A2AzulNão se aplicaNão se aplicaNão se aplicaNão se aplicaIntermediário",Mercado_Receita!$L$2:$L$1157)+SUMIF(Mercado_Receita!$S$2:$S$1157,"44501A2AzulNão se aplicaNão se aplicaNão se aplicaNão se aplicaNão se aplica",Mercado_Receita!$L$2:$L$1157)+SUMIF(Mercado_Receita!$S$2:$S$1157,"44501A2ConvencionalNão se aplicaNão se aplicaNão se aplicaNão se aplicaNão se aplica",Mercado_Receita!$L$2:$L$1157)</f>
        <v>10131.893</v>
      </c>
      <c r="J4" s="13">
        <f>SUMIF(Mercado_Receita!$S$2:$S$1157,"44531A2AzulNão se aplicaNão se aplicaNão se aplicaNão se aplicaPonta",Mercado_Receita!$L$2:$L$1157)+SUMIF(Mercado_Receita!$S$2:$S$1157,"44531A2AzulNão se aplicaNão se aplicaNão se aplicaNão se aplicaFora ponta",Mercado_Receita!$L$2:$L$1157)+SUMIF(Mercado_Receita!$S$2:$S$1157,"44531A2AzulNão se aplicaNão se aplicaNão se aplicaNão se aplicaIntermediário",Mercado_Receita!$L$2:$L$1157)+SUMIF(Mercado_Receita!$S$2:$S$1157,"44531A2AzulNão se aplicaNão se aplicaNão se aplicaNão se aplicaNão se aplica",Mercado_Receita!$L$2:$L$1157)+SUMIF(Mercado_Receita!$S$2:$S$1157,"44531A2ConvencionalNão se aplicaNão se aplicaNão se aplicaNão se aplicaNão se aplica",Mercado_Receita!$L$2:$L$1157)</f>
        <v>10632.441000000001</v>
      </c>
      <c r="K4" s="13">
        <f>SUMIF(Mercado_Receita!$S$2:$S$1157,"44562A2AzulNão se aplicaNão se aplicaNão se aplicaNão se aplicaPonta",Mercado_Receita!$L$2:$L$1157)+SUMIF(Mercado_Receita!$S$2:$S$1157,"44562A2AzulNão se aplicaNão se aplicaNão se aplicaNão se aplicaFora ponta",Mercado_Receita!$L$2:$L$1157)+SUMIF(Mercado_Receita!$S$2:$S$1157,"44562A2AzulNão se aplicaNão se aplicaNão se aplicaNão se aplicaIntermediário",Mercado_Receita!$L$2:$L$1157)+SUMIF(Mercado_Receita!$S$2:$S$1157,"44562A2AzulNão se aplicaNão se aplicaNão se aplicaNão se aplicaNão se aplica",Mercado_Receita!$L$2:$L$1157)+SUMIF(Mercado_Receita!$S$2:$S$1157,"44562A2ConvencionalNão se aplicaNão se aplicaNão se aplicaNão se aplicaNão se aplica",Mercado_Receita!$L$2:$L$1157)</f>
        <v>9972.9570000000003</v>
      </c>
      <c r="L4" s="13">
        <f>SUMIF(Mercado_Receita!$S$2:$S$1157,"44593A2AzulNão se aplicaNão se aplicaNão se aplicaNão se aplicaPonta",Mercado_Receita!$L$2:$L$1157)+SUMIF(Mercado_Receita!$S$2:$S$1157,"44593A2AzulNão se aplicaNão se aplicaNão se aplicaNão se aplicaFora ponta",Mercado_Receita!$L$2:$L$1157)+SUMIF(Mercado_Receita!$S$2:$S$1157,"44593A2AzulNão se aplicaNão se aplicaNão se aplicaNão se aplicaIntermediário",Mercado_Receita!$L$2:$L$1157)+SUMIF(Mercado_Receita!$S$2:$S$1157,"44593A2AzulNão se aplicaNão se aplicaNão se aplicaNão se aplicaNão se aplica",Mercado_Receita!$L$2:$L$1157)+SUMIF(Mercado_Receita!$S$2:$S$1157,"44593A2ConvencionalNão se aplicaNão se aplicaNão se aplicaNão se aplicaNão se aplica",Mercado_Receita!$L$2:$L$1157)</f>
        <v>9123.6839999999993</v>
      </c>
      <c r="M4" s="13">
        <f>SUMIF(Mercado_Receita!$S$2:$S$1157,"44621A2AzulNão se aplicaNão se aplicaNão se aplicaNão se aplicaPonta",Mercado_Receita!$L$2:$L$1157)+SUMIF(Mercado_Receita!$S$2:$S$1157,"44621A2AzulNão se aplicaNão se aplicaNão se aplicaNão se aplicaFora ponta",Mercado_Receita!$L$2:$L$1157)+SUMIF(Mercado_Receita!$S$2:$S$1157,"44621A2AzulNão se aplicaNão se aplicaNão se aplicaNão se aplicaIntermediário",Mercado_Receita!$L$2:$L$1157)+SUMIF(Mercado_Receita!$S$2:$S$1157,"44621A2AzulNão se aplicaNão se aplicaNão se aplicaNão se aplicaNão se aplica",Mercado_Receita!$L$2:$L$1157)+SUMIF(Mercado_Receita!$S$2:$S$1157,"44621A2ConvencionalNão se aplicaNão se aplicaNão se aplicaNão se aplicaNão se aplica",Mercado_Receita!$L$2:$L$1157)</f>
        <v>9503.9590000000007</v>
      </c>
      <c r="N4" s="13">
        <f>SUMIF(Mercado_Receita!$S$2:$S$1157,"44652A2AzulNão se aplicaNão se aplicaNão se aplicaNão se aplicaPonta",Mercado_Receita!$L$2:$L$1157)+SUMIF(Mercado_Receita!$S$2:$S$1157,"44652A2AzulNão se aplicaNão se aplicaNão se aplicaNão se aplicaFora ponta",Mercado_Receita!$L$2:$L$1157)+SUMIF(Mercado_Receita!$S$2:$S$1157,"44652A2AzulNão se aplicaNão se aplicaNão se aplicaNão se aplicaIntermediário",Mercado_Receita!$L$2:$L$1157)+SUMIF(Mercado_Receita!$S$2:$S$1157,"44652A2AzulNão se aplicaNão se aplicaNão se aplicaNão se aplicaNão se aplica",Mercado_Receita!$L$2:$L$1157)+SUMIF(Mercado_Receita!$S$2:$S$1157,"44652A2ConvencionalNão se aplicaNão se aplicaNão se aplicaNão se aplicaNão se aplica",Mercado_Receita!$L$2:$L$1157)</f>
        <v>10428.375</v>
      </c>
      <c r="O4" s="13">
        <f>SUMIF(Mercado_Receita!$S$2:$S$1157,"44682A2AzulNão se aplicaNão se aplicaNão se aplicaNão se aplicaPonta",Mercado_Receita!$L$2:$L$1157)+SUMIF(Mercado_Receita!$S$2:$S$1157,"44682A2AzulNão se aplicaNão se aplicaNão se aplicaNão se aplicaFora ponta",Mercado_Receita!$L$2:$L$1157)+SUMIF(Mercado_Receita!$S$2:$S$1157,"44682A2AzulNão se aplicaNão se aplicaNão se aplicaNão se aplicaIntermediário",Mercado_Receita!$L$2:$L$1157)+SUMIF(Mercado_Receita!$S$2:$S$1157,"44682A2AzulNão se aplicaNão se aplicaNão se aplicaNão se aplicaNão se aplica",Mercado_Receita!$L$2:$L$1157)+SUMIF(Mercado_Receita!$S$2:$S$1157,"44682A2ConvencionalNão se aplicaNão se aplicaNão se aplicaNão se aplicaNão se aplica",Mercado_Receita!$L$2:$L$1157)</f>
        <v>10358.606</v>
      </c>
      <c r="P4" s="13">
        <f>SUMIF(Mercado_Receita!$S$2:$S$1157,"44713A2AzulNão se aplicaNão se aplicaNão se aplicaNão se aplicaPonta",Mercado_Receita!$L$2:$L$1157)+SUMIF(Mercado_Receita!$S$2:$S$1157,"44713A2AzulNão se aplicaNão se aplicaNão se aplicaNão se aplicaFora ponta",Mercado_Receita!$L$2:$L$1157)+SUMIF(Mercado_Receita!$S$2:$S$1157,"44713A2AzulNão se aplicaNão se aplicaNão se aplicaNão se aplicaIntermediário",Mercado_Receita!$L$2:$L$1157)+SUMIF(Mercado_Receita!$S$2:$S$1157,"44713A2AzulNão se aplicaNão se aplicaNão se aplicaNão se aplicaNão se aplica",Mercado_Receita!$L$2:$L$1157)+SUMIF(Mercado_Receita!$S$2:$S$1157,"44713A2ConvencionalNão se aplicaNão se aplicaNão se aplicaNão se aplicaNão se aplica",Mercado_Receita!$L$2:$L$1157)</f>
        <v>8996.8760000000002</v>
      </c>
      <c r="Q4" s="13">
        <f>SUMIF(Mercado_Receita!$S$2:$S$1157,"44743A2AzulNão se aplicaNão se aplicaNão se aplicaNão se aplicaPonta",Mercado_Receita!$L$2:$L$1157)+SUMIF(Mercado_Receita!$S$2:$S$1157,"44743A2AzulNão se aplicaNão se aplicaNão se aplicaNão se aplicaFora ponta",Mercado_Receita!$L$2:$L$1157)+SUMIF(Mercado_Receita!$S$2:$S$1157,"44743A2AzulNão se aplicaNão se aplicaNão se aplicaNão se aplicaIntermediário",Mercado_Receita!$L$2:$L$1157)+SUMIF(Mercado_Receita!$S$2:$S$1157,"44743A2AzulNão se aplicaNão se aplicaNão se aplicaNão se aplicaNão se aplica",Mercado_Receita!$L$2:$L$1157)+SUMIF(Mercado_Receita!$S$2:$S$1157,"44743A2ConvencionalNão se aplicaNão se aplicaNão se aplicaNão se aplicaNão se aplica",Mercado_Receita!$L$2:$L$1157)</f>
        <v>8481.1679999999997</v>
      </c>
      <c r="R4" s="13">
        <f>SUMIF(Mercado_Receita!$S$2:$S$1157,"44774A2AzulNão se aplicaNão se aplicaNão se aplicaNão se aplicaPonta",Mercado_Receita!$L$2:$L$1157)+SUMIF(Mercado_Receita!$S$2:$S$1157,"44774A2AzulNão se aplicaNão se aplicaNão se aplicaNão se aplicaFora ponta",Mercado_Receita!$L$2:$L$1157)+SUMIF(Mercado_Receita!$S$2:$S$1157,"44774A2AzulNão se aplicaNão se aplicaNão se aplicaNão se aplicaIntermediário",Mercado_Receita!$L$2:$L$1157)+SUMIF(Mercado_Receita!$S$2:$S$1157,"44774A2AzulNão se aplicaNão se aplicaNão se aplicaNão se aplicaNão se aplica",Mercado_Receita!$L$2:$L$1157)+SUMIF(Mercado_Receita!$S$2:$S$1157,"44774A2ConvencionalNão se aplicaNão se aplicaNão se aplicaNão se aplicaNão se aplica",Mercado_Receita!$L$2:$L$1157)</f>
        <v>9729.9449999999997</v>
      </c>
      <c r="S4" s="13">
        <f>SUMIF(Mercado_Receita!$S$2:$S$1157,"44805A2AzulNão se aplicaNão se aplicaNão se aplicaNão se aplicaPonta",Mercado_Receita!$L$2:$L$1157)+SUMIF(Mercado_Receita!$S$2:$S$1157,"44805A2AzulNão se aplicaNão se aplicaNão se aplicaNão se aplicaFora ponta",Mercado_Receita!$L$2:$L$1157)+SUMIF(Mercado_Receita!$S$2:$S$1157,"44805A2AzulNão se aplicaNão se aplicaNão se aplicaNão se aplicaIntermediário",Mercado_Receita!$L$2:$L$1157)+SUMIF(Mercado_Receita!$S$2:$S$1157,"44805A2AzulNão se aplicaNão se aplicaNão se aplicaNão se aplicaNão se aplica",Mercado_Receita!$L$2:$L$1157)+SUMIF(Mercado_Receita!$S$2:$S$1157,"44805A2ConvencionalNão se aplicaNão se aplicaNão se aplicaNão se aplicaNão se aplica",Mercado_Receita!$L$2:$L$1157)</f>
        <v>10177.634</v>
      </c>
      <c r="T4" s="13">
        <f>SUMIF(Mercado_Receita!$S$2:$S$1157,"44835A2AzulNão se aplicaNão se aplicaNão se aplicaNão se aplicaPonta",Mercado_Receita!$L$2:$L$1157)+SUMIF(Mercado_Receita!$S$2:$S$1157,"44835A2AzulNão se aplicaNão se aplicaNão se aplicaNão se aplicaFora ponta",Mercado_Receita!$L$2:$L$1157)+SUMIF(Mercado_Receita!$S$2:$S$1157,"44835A2AzulNão se aplicaNão se aplicaNão se aplicaNão se aplicaIntermediário",Mercado_Receita!$L$2:$L$1157)+SUMIF(Mercado_Receita!$S$2:$S$1157,"44835A2AzulNão se aplicaNão se aplicaNão se aplicaNão se aplicaNão se aplica",Mercado_Receita!$L$2:$L$1157)+SUMIF(Mercado_Receita!$S$2:$S$1157,"44835A2ConvencionalNão se aplicaNão se aplicaNão se aplicaNão se aplicaNão se aplica",Mercado_Receita!$L$2:$L$1157)</f>
        <v>10177.634</v>
      </c>
      <c r="U4" s="13">
        <f t="shared" si="0"/>
        <v>117715.17200000002</v>
      </c>
      <c r="V4" s="13"/>
      <c r="W4" s="13"/>
    </row>
    <row r="5" spans="1:30" ht="11.25" customHeight="1" x14ac:dyDescent="0.3">
      <c r="A5" s="111"/>
      <c r="B5" s="111"/>
      <c r="C5" s="111"/>
      <c r="D5" s="111"/>
      <c r="E5" s="12" t="s">
        <v>85</v>
      </c>
      <c r="F5" s="12" t="s">
        <v>25</v>
      </c>
      <c r="G5" s="13" t="s">
        <v>84</v>
      </c>
      <c r="H5" s="13" t="s">
        <v>78</v>
      </c>
      <c r="I5" s="13">
        <f>SUMIF(Mercado_Receita!$S$2:$S$1157,"44501A2AzulNão se aplicaNão se aplicaAPENão se aplicaPonta",Mercado_Receita!$L$2:$L$1157)+SUMIF(Mercado_Receita!$S$2:$S$1157,"44501A2AzulNão se aplicaNão se aplicaAPENão se aplicaFora ponta",Mercado_Receita!$L$2:$L$1157)+SUMIF(Mercado_Receita!$S$2:$S$1157,"44501A2AzulNão se aplicaNão se aplicaAPENão se aplicaIntermediário",Mercado_Receita!$L$2:$L$1157)+SUMIF(Mercado_Receita!$S$2:$S$1157,"44501A2AzulNão se aplicaNão se aplicaAPENão se aplicaNão se aplica",Mercado_Receita!$L$2:$L$1157)+SUMIF(Mercado_Receita!$S$2:$S$1157,"44501A2ConvencionalNão se aplicaNão se aplicaAPENão se aplicaNão se aplica",Mercado_Receita!$L$2:$L$1157)</f>
        <v>0</v>
      </c>
      <c r="J5" s="13">
        <f>SUMIF(Mercado_Receita!$S$2:$S$1157,"44531A2AzulNão se aplicaNão se aplicaAPENão se aplicaPonta",Mercado_Receita!$L$2:$L$1157)+SUMIF(Mercado_Receita!$S$2:$S$1157,"44531A2AzulNão se aplicaNão se aplicaAPENão se aplicaFora ponta",Mercado_Receita!$L$2:$L$1157)+SUMIF(Mercado_Receita!$S$2:$S$1157,"44531A2AzulNão se aplicaNão se aplicaAPENão se aplicaIntermediário",Mercado_Receita!$L$2:$L$1157)+SUMIF(Mercado_Receita!$S$2:$S$1157,"44531A2AzulNão se aplicaNão se aplicaAPENão se aplicaNão se aplica",Mercado_Receita!$L$2:$L$1157)+SUMIF(Mercado_Receita!$S$2:$S$1157,"44531A2ConvencionalNão se aplicaNão se aplicaAPENão se aplicaNão se aplica",Mercado_Receita!$L$2:$L$1157)</f>
        <v>0</v>
      </c>
      <c r="K5" s="13">
        <f>SUMIF(Mercado_Receita!$S$2:$S$1157,"44562A2AzulNão se aplicaNão se aplicaAPENão se aplicaPonta",Mercado_Receita!$L$2:$L$1157)+SUMIF(Mercado_Receita!$S$2:$S$1157,"44562A2AzulNão se aplicaNão se aplicaAPENão se aplicaFora ponta",Mercado_Receita!$L$2:$L$1157)+SUMIF(Mercado_Receita!$S$2:$S$1157,"44562A2AzulNão se aplicaNão se aplicaAPENão se aplicaIntermediário",Mercado_Receita!$L$2:$L$1157)+SUMIF(Mercado_Receita!$S$2:$S$1157,"44562A2AzulNão se aplicaNão se aplicaAPENão se aplicaNão se aplica",Mercado_Receita!$L$2:$L$1157)+SUMIF(Mercado_Receita!$S$2:$S$1157,"44562A2ConvencionalNão se aplicaNão se aplicaAPENão se aplicaNão se aplica",Mercado_Receita!$L$2:$L$1157)</f>
        <v>0</v>
      </c>
      <c r="L5" s="13">
        <f>SUMIF(Mercado_Receita!$S$2:$S$1157,"44593A2AzulNão se aplicaNão se aplicaAPENão se aplicaPonta",Mercado_Receita!$L$2:$L$1157)+SUMIF(Mercado_Receita!$S$2:$S$1157,"44593A2AzulNão se aplicaNão se aplicaAPENão se aplicaFora ponta",Mercado_Receita!$L$2:$L$1157)+SUMIF(Mercado_Receita!$S$2:$S$1157,"44593A2AzulNão se aplicaNão se aplicaAPENão se aplicaIntermediário",Mercado_Receita!$L$2:$L$1157)+SUMIF(Mercado_Receita!$S$2:$S$1157,"44593A2AzulNão se aplicaNão se aplicaAPENão se aplicaNão se aplica",Mercado_Receita!$L$2:$L$1157)+SUMIF(Mercado_Receita!$S$2:$S$1157,"44593A2ConvencionalNão se aplicaNão se aplicaAPENão se aplicaNão se aplica",Mercado_Receita!$L$2:$L$1157)</f>
        <v>0</v>
      </c>
      <c r="M5" s="13">
        <f>SUMIF(Mercado_Receita!$S$2:$S$1157,"44621A2AzulNão se aplicaNão se aplicaAPENão se aplicaPonta",Mercado_Receita!$L$2:$L$1157)+SUMIF(Mercado_Receita!$S$2:$S$1157,"44621A2AzulNão se aplicaNão se aplicaAPENão se aplicaFora ponta",Mercado_Receita!$L$2:$L$1157)+SUMIF(Mercado_Receita!$S$2:$S$1157,"44621A2AzulNão se aplicaNão se aplicaAPENão se aplicaIntermediário",Mercado_Receita!$L$2:$L$1157)+SUMIF(Mercado_Receita!$S$2:$S$1157,"44621A2AzulNão se aplicaNão se aplicaAPENão se aplicaNão se aplica",Mercado_Receita!$L$2:$L$1157)+SUMIF(Mercado_Receita!$S$2:$S$1157,"44621A2ConvencionalNão se aplicaNão se aplicaAPENão se aplicaNão se aplica",Mercado_Receita!$L$2:$L$1157)</f>
        <v>0</v>
      </c>
      <c r="N5" s="13">
        <f>SUMIF(Mercado_Receita!$S$2:$S$1157,"44652A2AzulNão se aplicaNão se aplicaAPENão se aplicaPonta",Mercado_Receita!$L$2:$L$1157)+SUMIF(Mercado_Receita!$S$2:$S$1157,"44652A2AzulNão se aplicaNão se aplicaAPENão se aplicaFora ponta",Mercado_Receita!$L$2:$L$1157)+SUMIF(Mercado_Receita!$S$2:$S$1157,"44652A2AzulNão se aplicaNão se aplicaAPENão se aplicaIntermediário",Mercado_Receita!$L$2:$L$1157)+SUMIF(Mercado_Receita!$S$2:$S$1157,"44652A2AzulNão se aplicaNão se aplicaAPENão se aplicaNão se aplica",Mercado_Receita!$L$2:$L$1157)+SUMIF(Mercado_Receita!$S$2:$S$1157,"44652A2ConvencionalNão se aplicaNão se aplicaAPENão se aplicaNão se aplica",Mercado_Receita!$L$2:$L$1157)</f>
        <v>0</v>
      </c>
      <c r="O5" s="13">
        <f>SUMIF(Mercado_Receita!$S$2:$S$1157,"44682A2AzulNão se aplicaNão se aplicaAPENão se aplicaPonta",Mercado_Receita!$L$2:$L$1157)+SUMIF(Mercado_Receita!$S$2:$S$1157,"44682A2AzulNão se aplicaNão se aplicaAPENão se aplicaFora ponta",Mercado_Receita!$L$2:$L$1157)+SUMIF(Mercado_Receita!$S$2:$S$1157,"44682A2AzulNão se aplicaNão se aplicaAPENão se aplicaIntermediário",Mercado_Receita!$L$2:$L$1157)+SUMIF(Mercado_Receita!$S$2:$S$1157,"44682A2AzulNão se aplicaNão se aplicaAPENão se aplicaNão se aplica",Mercado_Receita!$L$2:$L$1157)+SUMIF(Mercado_Receita!$S$2:$S$1157,"44682A2ConvencionalNão se aplicaNão se aplicaAPENão se aplicaNão se aplica",Mercado_Receita!$L$2:$L$1157)</f>
        <v>0</v>
      </c>
      <c r="P5" s="13">
        <f>SUMIF(Mercado_Receita!$S$2:$S$1157,"44713A2AzulNão se aplicaNão se aplicaAPENão se aplicaPonta",Mercado_Receita!$L$2:$L$1157)+SUMIF(Mercado_Receita!$S$2:$S$1157,"44713A2AzulNão se aplicaNão se aplicaAPENão se aplicaFora ponta",Mercado_Receita!$L$2:$L$1157)+SUMIF(Mercado_Receita!$S$2:$S$1157,"44713A2AzulNão se aplicaNão se aplicaAPENão se aplicaIntermediário",Mercado_Receita!$L$2:$L$1157)+SUMIF(Mercado_Receita!$S$2:$S$1157,"44713A2AzulNão se aplicaNão se aplicaAPENão se aplicaNão se aplica",Mercado_Receita!$L$2:$L$1157)+SUMIF(Mercado_Receita!$S$2:$S$1157,"44713A2ConvencionalNão se aplicaNão se aplicaAPENão se aplicaNão se aplica",Mercado_Receita!$L$2:$L$1157)</f>
        <v>0</v>
      </c>
      <c r="Q5" s="13">
        <f>SUMIF(Mercado_Receita!$S$2:$S$1157,"44743A2AzulNão se aplicaNão se aplicaAPENão se aplicaPonta",Mercado_Receita!$L$2:$L$1157)+SUMIF(Mercado_Receita!$S$2:$S$1157,"44743A2AzulNão se aplicaNão se aplicaAPENão se aplicaFora ponta",Mercado_Receita!$L$2:$L$1157)+SUMIF(Mercado_Receita!$S$2:$S$1157,"44743A2AzulNão se aplicaNão se aplicaAPENão se aplicaIntermediário",Mercado_Receita!$L$2:$L$1157)+SUMIF(Mercado_Receita!$S$2:$S$1157,"44743A2AzulNão se aplicaNão se aplicaAPENão se aplicaNão se aplica",Mercado_Receita!$L$2:$L$1157)+SUMIF(Mercado_Receita!$S$2:$S$1157,"44743A2ConvencionalNão se aplicaNão se aplicaAPENão se aplicaNão se aplica",Mercado_Receita!$L$2:$L$1157)</f>
        <v>0</v>
      </c>
      <c r="R5" s="13">
        <f>SUMIF(Mercado_Receita!$S$2:$S$1157,"44774A2AzulNão se aplicaNão se aplicaAPENão se aplicaPonta",Mercado_Receita!$L$2:$L$1157)+SUMIF(Mercado_Receita!$S$2:$S$1157,"44774A2AzulNão se aplicaNão se aplicaAPENão se aplicaFora ponta",Mercado_Receita!$L$2:$L$1157)+SUMIF(Mercado_Receita!$S$2:$S$1157,"44774A2AzulNão se aplicaNão se aplicaAPENão se aplicaIntermediário",Mercado_Receita!$L$2:$L$1157)+SUMIF(Mercado_Receita!$S$2:$S$1157,"44774A2AzulNão se aplicaNão se aplicaAPENão se aplicaNão se aplica",Mercado_Receita!$L$2:$L$1157)+SUMIF(Mercado_Receita!$S$2:$S$1157,"44774A2ConvencionalNão se aplicaNão se aplicaAPENão se aplicaNão se aplica",Mercado_Receita!$L$2:$L$1157)</f>
        <v>0</v>
      </c>
      <c r="S5" s="13">
        <f>SUMIF(Mercado_Receita!$S$2:$S$1157,"44805A2AzulNão se aplicaNão se aplicaAPENão se aplicaPonta",Mercado_Receita!$L$2:$L$1157)+SUMIF(Mercado_Receita!$S$2:$S$1157,"44805A2AzulNão se aplicaNão se aplicaAPENão se aplicaFora ponta",Mercado_Receita!$L$2:$L$1157)+SUMIF(Mercado_Receita!$S$2:$S$1157,"44805A2AzulNão se aplicaNão se aplicaAPENão se aplicaIntermediário",Mercado_Receita!$L$2:$L$1157)+SUMIF(Mercado_Receita!$S$2:$S$1157,"44805A2AzulNão se aplicaNão se aplicaAPENão se aplicaNão se aplica",Mercado_Receita!$L$2:$L$1157)+SUMIF(Mercado_Receita!$S$2:$S$1157,"44805A2ConvencionalNão se aplicaNão se aplicaAPENão se aplicaNão se aplica",Mercado_Receita!$L$2:$L$1157)</f>
        <v>0</v>
      </c>
      <c r="T5" s="13">
        <f>SUMIF(Mercado_Receita!$S$2:$S$1157,"44835A2AzulNão se aplicaNão se aplicaAPENão se aplicaPonta",Mercado_Receita!$L$2:$L$1157)+SUMIF(Mercado_Receita!$S$2:$S$1157,"44835A2AzulNão se aplicaNão se aplicaAPENão se aplicaFora ponta",Mercado_Receita!$L$2:$L$1157)+SUMIF(Mercado_Receita!$S$2:$S$1157,"44835A2AzulNão se aplicaNão se aplicaAPENão se aplicaIntermediário",Mercado_Receita!$L$2:$L$1157)+SUMIF(Mercado_Receita!$S$2:$S$1157,"44835A2AzulNão se aplicaNão se aplicaAPENão se aplicaNão se aplica",Mercado_Receita!$L$2:$L$1157)+SUMIF(Mercado_Receita!$S$2:$S$1157,"44835A2ConvencionalNão se aplicaNão se aplicaAPENão se aplicaNão se aplica",Mercado_Receita!$L$2:$L$1157)</f>
        <v>0</v>
      </c>
      <c r="U5" s="13">
        <f t="shared" si="0"/>
        <v>0</v>
      </c>
      <c r="V5" s="13"/>
      <c r="W5" s="13"/>
    </row>
    <row r="6" spans="1:30" ht="11.25" customHeight="1" x14ac:dyDescent="0.3">
      <c r="A6" s="110" t="s">
        <v>60</v>
      </c>
      <c r="B6" s="110" t="s">
        <v>40</v>
      </c>
      <c r="C6" s="110" t="s">
        <v>25</v>
      </c>
      <c r="D6" s="110" t="s">
        <v>25</v>
      </c>
      <c r="E6" s="110" t="s">
        <v>25</v>
      </c>
      <c r="F6" s="110" t="s">
        <v>25</v>
      </c>
      <c r="G6" s="13" t="s">
        <v>82</v>
      </c>
      <c r="H6" s="13" t="s">
        <v>81</v>
      </c>
      <c r="I6" s="13">
        <f>SUMIF(Mercado_Receita!$S$2:$S$1157,"44501A3AzulNão se aplicaNão se aplicaNão se aplicaNão se aplicaPonta",Mercado_Receita!$J$2:$J$1157)+SUMIF(Mercado_Receita!$S$2:$S$1157,"44501A3AzulNão se aplicaNão se aplicaAPENão se aplicaPonta",Mercado_Receita!$J$2:$J$1157)+SUMIF(Mercado_Receita!$S$2:$S$1157,"44501A3ConvencionalNão se aplicaNão se aplicaNão se aplicaNão se aplicaNão se aplica",Mercado_Receita!$J$2:$J$1157)*0.72</f>
        <v>0</v>
      </c>
      <c r="J6" s="13">
        <f>SUMIF(Mercado_Receita!$S$2:$S$1157,"44531A3AzulNão se aplicaNão se aplicaNão se aplicaNão se aplicaPonta",Mercado_Receita!$J$2:$J$1157)+SUMIF(Mercado_Receita!$S$2:$S$1157,"44531A3AzulNão se aplicaNão se aplicaAPENão se aplicaPonta",Mercado_Receita!$J$2:$J$1157)+SUMIF(Mercado_Receita!$S$2:$S$1157,"44531A3ConvencionalNão se aplicaNão se aplicaNão se aplicaNão se aplicaNão se aplica",Mercado_Receita!$J$2:$J$1157)*0.72</f>
        <v>0</v>
      </c>
      <c r="K6" s="13">
        <f>SUMIF(Mercado_Receita!$S$2:$S$1157,"44562A3AzulNão se aplicaNão se aplicaNão se aplicaNão se aplicaPonta",Mercado_Receita!$J$2:$J$1157)+SUMIF(Mercado_Receita!$S$2:$S$1157,"44562A3AzulNão se aplicaNão se aplicaAPENão se aplicaPonta",Mercado_Receita!$J$2:$J$1157)+SUMIF(Mercado_Receita!$S$2:$S$1157,"44562A3ConvencionalNão se aplicaNão se aplicaNão se aplicaNão se aplicaNão se aplica",Mercado_Receita!$J$2:$J$1157)*0.72</f>
        <v>0</v>
      </c>
      <c r="L6" s="13">
        <f>SUMIF(Mercado_Receita!$S$2:$S$1157,"44593A3AzulNão se aplicaNão se aplicaNão se aplicaNão se aplicaPonta",Mercado_Receita!$J$2:$J$1157)+SUMIF(Mercado_Receita!$S$2:$S$1157,"44593A3AzulNão se aplicaNão se aplicaAPENão se aplicaPonta",Mercado_Receita!$J$2:$J$1157)+SUMIF(Mercado_Receita!$S$2:$S$1157,"44593A3ConvencionalNão se aplicaNão se aplicaNão se aplicaNão se aplicaNão se aplica",Mercado_Receita!$J$2:$J$1157)*0.72</f>
        <v>0</v>
      </c>
      <c r="M6" s="13">
        <f>SUMIF(Mercado_Receita!$S$2:$S$1157,"44621A3AzulNão se aplicaNão se aplicaNão se aplicaNão se aplicaPonta",Mercado_Receita!$J$2:$J$1157)+SUMIF(Mercado_Receita!$S$2:$S$1157,"44621A3AzulNão se aplicaNão se aplicaAPENão se aplicaPonta",Mercado_Receita!$J$2:$J$1157)+SUMIF(Mercado_Receita!$S$2:$S$1157,"44621A3ConvencionalNão se aplicaNão se aplicaNão se aplicaNão se aplicaNão se aplica",Mercado_Receita!$J$2:$J$1157)*0.72</f>
        <v>0</v>
      </c>
      <c r="N6" s="13">
        <f>SUMIF(Mercado_Receita!$S$2:$S$1157,"44652A3AzulNão se aplicaNão se aplicaNão se aplicaNão se aplicaPonta",Mercado_Receita!$J$2:$J$1157)+SUMIF(Mercado_Receita!$S$2:$S$1157,"44652A3AzulNão se aplicaNão se aplicaAPENão se aplicaPonta",Mercado_Receita!$J$2:$J$1157)+SUMIF(Mercado_Receita!$S$2:$S$1157,"44652A3ConvencionalNão se aplicaNão se aplicaNão se aplicaNão se aplicaNão se aplica",Mercado_Receita!$J$2:$J$1157)*0.72</f>
        <v>0</v>
      </c>
      <c r="O6" s="13">
        <f>SUMIF(Mercado_Receita!$S$2:$S$1157,"44682A3AzulNão se aplicaNão se aplicaNão se aplicaNão se aplicaPonta",Mercado_Receita!$J$2:$J$1157)+SUMIF(Mercado_Receita!$S$2:$S$1157,"44682A3AzulNão se aplicaNão se aplicaAPENão se aplicaPonta",Mercado_Receita!$J$2:$J$1157)+SUMIF(Mercado_Receita!$S$2:$S$1157,"44682A3ConvencionalNão se aplicaNão se aplicaNão se aplicaNão se aplicaNão se aplica",Mercado_Receita!$J$2:$J$1157)*0.72</f>
        <v>0</v>
      </c>
      <c r="P6" s="13">
        <f>SUMIF(Mercado_Receita!$S$2:$S$1157,"44713A3AzulNão se aplicaNão se aplicaNão se aplicaNão se aplicaPonta",Mercado_Receita!$J$2:$J$1157)+SUMIF(Mercado_Receita!$S$2:$S$1157,"44713A3AzulNão se aplicaNão se aplicaAPENão se aplicaPonta",Mercado_Receita!$J$2:$J$1157)+SUMIF(Mercado_Receita!$S$2:$S$1157,"44713A3ConvencionalNão se aplicaNão se aplicaNão se aplicaNão se aplicaNão se aplica",Mercado_Receita!$J$2:$J$1157)*0.72</f>
        <v>0</v>
      </c>
      <c r="Q6" s="13">
        <f>SUMIF(Mercado_Receita!$S$2:$S$1157,"44743A3AzulNão se aplicaNão se aplicaNão se aplicaNão se aplicaPonta",Mercado_Receita!$J$2:$J$1157)+SUMIF(Mercado_Receita!$S$2:$S$1157,"44743A3AzulNão se aplicaNão se aplicaAPENão se aplicaPonta",Mercado_Receita!$J$2:$J$1157)+SUMIF(Mercado_Receita!$S$2:$S$1157,"44743A3ConvencionalNão se aplicaNão se aplicaNão se aplicaNão se aplicaNão se aplica",Mercado_Receita!$J$2:$J$1157)*0.72</f>
        <v>0</v>
      </c>
      <c r="R6" s="13">
        <f>SUMIF(Mercado_Receita!$S$2:$S$1157,"44774A3AzulNão se aplicaNão se aplicaNão se aplicaNão se aplicaPonta",Mercado_Receita!$J$2:$J$1157)+SUMIF(Mercado_Receita!$S$2:$S$1157,"44774A3AzulNão se aplicaNão se aplicaAPENão se aplicaPonta",Mercado_Receita!$J$2:$J$1157)+SUMIF(Mercado_Receita!$S$2:$S$1157,"44774A3ConvencionalNão se aplicaNão se aplicaNão se aplicaNão se aplicaNão se aplica",Mercado_Receita!$J$2:$J$1157)*0.72</f>
        <v>0</v>
      </c>
      <c r="S6" s="13">
        <f>SUMIF(Mercado_Receita!$S$2:$S$1157,"44805A3AzulNão se aplicaNão se aplicaNão se aplicaNão se aplicaPonta",Mercado_Receita!$J$2:$J$1157)+SUMIF(Mercado_Receita!$S$2:$S$1157,"44805A3AzulNão se aplicaNão se aplicaAPENão se aplicaPonta",Mercado_Receita!$J$2:$J$1157)+SUMIF(Mercado_Receita!$S$2:$S$1157,"44805A3ConvencionalNão se aplicaNão se aplicaNão se aplicaNão se aplicaNão se aplica",Mercado_Receita!$J$2:$J$1157)*0.72</f>
        <v>0</v>
      </c>
      <c r="T6" s="13">
        <f>SUMIF(Mercado_Receita!$S$2:$S$1157,"44835A3AzulNão se aplicaNão se aplicaNão se aplicaNão se aplicaPonta",Mercado_Receita!$J$2:$J$1157)+SUMIF(Mercado_Receita!$S$2:$S$1157,"44835A3AzulNão se aplicaNão se aplicaAPENão se aplicaPonta",Mercado_Receita!$J$2:$J$1157)+SUMIF(Mercado_Receita!$S$2:$S$1157,"44835A3ConvencionalNão se aplicaNão se aplicaNão se aplicaNão se aplicaNão se aplica",Mercado_Receita!$J$2:$J$1157)*0.72</f>
        <v>0</v>
      </c>
      <c r="U6" s="13">
        <f t="shared" si="0"/>
        <v>0</v>
      </c>
      <c r="V6" s="13"/>
      <c r="W6" s="13"/>
    </row>
    <row r="7" spans="1:30" ht="11.25" customHeight="1" x14ac:dyDescent="0.3">
      <c r="A7" s="111"/>
      <c r="B7" s="111"/>
      <c r="C7" s="111"/>
      <c r="D7" s="111"/>
      <c r="E7" s="111"/>
      <c r="F7" s="111"/>
      <c r="G7" s="13" t="s">
        <v>83</v>
      </c>
      <c r="H7" s="13" t="s">
        <v>81</v>
      </c>
      <c r="I7" s="13">
        <f>SUMIF(Mercado_Receita!$S$2:$S$1157,"44501A3AzulNão se aplicaNão se aplicaNão se aplicaNão se aplicaFora ponta",Mercado_Receita!$J$2:$J$1157)+SUMIF(Mercado_Receita!$S$2:$S$1157,"44501A3AzulNão se aplicaNão se aplicaAPENão se aplicaFora ponta",Mercado_Receita!$J$2:$J$1157)+SUMIF(Mercado_Receita!$S$2:$S$1157,"44501A3ConvencionalNão se aplicaNão se aplicaNão se aplicaNão se aplicaNão se aplica",Mercado_Receita!$J$2:$J$1157)*1</f>
        <v>0</v>
      </c>
      <c r="J7" s="13">
        <f>SUMIF(Mercado_Receita!$S$2:$S$1157,"44531A3AzulNão se aplicaNão se aplicaNão se aplicaNão se aplicaFora ponta",Mercado_Receita!$J$2:$J$1157)+SUMIF(Mercado_Receita!$S$2:$S$1157,"44531A3AzulNão se aplicaNão se aplicaAPENão se aplicaFora ponta",Mercado_Receita!$J$2:$J$1157)+SUMIF(Mercado_Receita!$S$2:$S$1157,"44531A3ConvencionalNão se aplicaNão se aplicaNão se aplicaNão se aplicaNão se aplica",Mercado_Receita!$J$2:$J$1157)*1</f>
        <v>0</v>
      </c>
      <c r="K7" s="13">
        <f>SUMIF(Mercado_Receita!$S$2:$S$1157,"44562A3AzulNão se aplicaNão se aplicaNão se aplicaNão se aplicaFora ponta",Mercado_Receita!$J$2:$J$1157)+SUMIF(Mercado_Receita!$S$2:$S$1157,"44562A3AzulNão se aplicaNão se aplicaAPENão se aplicaFora ponta",Mercado_Receita!$J$2:$J$1157)+SUMIF(Mercado_Receita!$S$2:$S$1157,"44562A3ConvencionalNão se aplicaNão se aplicaNão se aplicaNão se aplicaNão se aplica",Mercado_Receita!$J$2:$J$1157)*1</f>
        <v>0</v>
      </c>
      <c r="L7" s="13">
        <f>SUMIF(Mercado_Receita!$S$2:$S$1157,"44593A3AzulNão se aplicaNão se aplicaNão se aplicaNão se aplicaFora ponta",Mercado_Receita!$J$2:$J$1157)+SUMIF(Mercado_Receita!$S$2:$S$1157,"44593A3AzulNão se aplicaNão se aplicaAPENão se aplicaFora ponta",Mercado_Receita!$J$2:$J$1157)+SUMIF(Mercado_Receita!$S$2:$S$1157,"44593A3ConvencionalNão se aplicaNão se aplicaNão se aplicaNão se aplicaNão se aplica",Mercado_Receita!$J$2:$J$1157)*1</f>
        <v>0</v>
      </c>
      <c r="M7" s="13">
        <f>SUMIF(Mercado_Receita!$S$2:$S$1157,"44621A3AzulNão se aplicaNão se aplicaNão se aplicaNão se aplicaFora ponta",Mercado_Receita!$J$2:$J$1157)+SUMIF(Mercado_Receita!$S$2:$S$1157,"44621A3AzulNão se aplicaNão se aplicaAPENão se aplicaFora ponta",Mercado_Receita!$J$2:$J$1157)+SUMIF(Mercado_Receita!$S$2:$S$1157,"44621A3ConvencionalNão se aplicaNão se aplicaNão se aplicaNão se aplicaNão se aplica",Mercado_Receita!$J$2:$J$1157)*1</f>
        <v>0</v>
      </c>
      <c r="N7" s="13">
        <f>SUMIF(Mercado_Receita!$S$2:$S$1157,"44652A3AzulNão se aplicaNão se aplicaNão se aplicaNão se aplicaFora ponta",Mercado_Receita!$J$2:$J$1157)+SUMIF(Mercado_Receita!$S$2:$S$1157,"44652A3AzulNão se aplicaNão se aplicaAPENão se aplicaFora ponta",Mercado_Receita!$J$2:$J$1157)+SUMIF(Mercado_Receita!$S$2:$S$1157,"44652A3ConvencionalNão se aplicaNão se aplicaNão se aplicaNão se aplicaNão se aplica",Mercado_Receita!$J$2:$J$1157)*1</f>
        <v>0</v>
      </c>
      <c r="O7" s="13">
        <f>SUMIF(Mercado_Receita!$S$2:$S$1157,"44682A3AzulNão se aplicaNão se aplicaNão se aplicaNão se aplicaFora ponta",Mercado_Receita!$J$2:$J$1157)+SUMIF(Mercado_Receita!$S$2:$S$1157,"44682A3AzulNão se aplicaNão se aplicaAPENão se aplicaFora ponta",Mercado_Receita!$J$2:$J$1157)+SUMIF(Mercado_Receita!$S$2:$S$1157,"44682A3ConvencionalNão se aplicaNão se aplicaNão se aplicaNão se aplicaNão se aplica",Mercado_Receita!$J$2:$J$1157)*1</f>
        <v>0</v>
      </c>
      <c r="P7" s="13">
        <f>SUMIF(Mercado_Receita!$S$2:$S$1157,"44713A3AzulNão se aplicaNão se aplicaNão se aplicaNão se aplicaFora ponta",Mercado_Receita!$J$2:$J$1157)+SUMIF(Mercado_Receita!$S$2:$S$1157,"44713A3AzulNão se aplicaNão se aplicaAPENão se aplicaFora ponta",Mercado_Receita!$J$2:$J$1157)+SUMIF(Mercado_Receita!$S$2:$S$1157,"44713A3ConvencionalNão se aplicaNão se aplicaNão se aplicaNão se aplicaNão se aplica",Mercado_Receita!$J$2:$J$1157)*1</f>
        <v>0</v>
      </c>
      <c r="Q7" s="13">
        <f>SUMIF(Mercado_Receita!$S$2:$S$1157,"44743A3AzulNão se aplicaNão se aplicaNão se aplicaNão se aplicaFora ponta",Mercado_Receita!$J$2:$J$1157)+SUMIF(Mercado_Receita!$S$2:$S$1157,"44743A3AzulNão se aplicaNão se aplicaAPENão se aplicaFora ponta",Mercado_Receita!$J$2:$J$1157)+SUMIF(Mercado_Receita!$S$2:$S$1157,"44743A3ConvencionalNão se aplicaNão se aplicaNão se aplicaNão se aplicaNão se aplica",Mercado_Receita!$J$2:$J$1157)*1</f>
        <v>0</v>
      </c>
      <c r="R7" s="13">
        <f>SUMIF(Mercado_Receita!$S$2:$S$1157,"44774A3AzulNão se aplicaNão se aplicaNão se aplicaNão se aplicaFora ponta",Mercado_Receita!$J$2:$J$1157)+SUMIF(Mercado_Receita!$S$2:$S$1157,"44774A3AzulNão se aplicaNão se aplicaAPENão se aplicaFora ponta",Mercado_Receita!$J$2:$J$1157)+SUMIF(Mercado_Receita!$S$2:$S$1157,"44774A3ConvencionalNão se aplicaNão se aplicaNão se aplicaNão se aplicaNão se aplica",Mercado_Receita!$J$2:$J$1157)*1</f>
        <v>0</v>
      </c>
      <c r="S7" s="13">
        <f>SUMIF(Mercado_Receita!$S$2:$S$1157,"44805A3AzulNão se aplicaNão se aplicaNão se aplicaNão se aplicaFora ponta",Mercado_Receita!$J$2:$J$1157)+SUMIF(Mercado_Receita!$S$2:$S$1157,"44805A3AzulNão se aplicaNão se aplicaAPENão se aplicaFora ponta",Mercado_Receita!$J$2:$J$1157)+SUMIF(Mercado_Receita!$S$2:$S$1157,"44805A3ConvencionalNão se aplicaNão se aplicaNão se aplicaNão se aplicaNão se aplica",Mercado_Receita!$J$2:$J$1157)*1</f>
        <v>0</v>
      </c>
      <c r="T7" s="13">
        <f>SUMIF(Mercado_Receita!$S$2:$S$1157,"44835A3AzulNão se aplicaNão se aplicaNão se aplicaNão se aplicaFora ponta",Mercado_Receita!$J$2:$J$1157)+SUMIF(Mercado_Receita!$S$2:$S$1157,"44835A3AzulNão se aplicaNão se aplicaAPENão se aplicaFora ponta",Mercado_Receita!$J$2:$J$1157)+SUMIF(Mercado_Receita!$S$2:$S$1157,"44835A3ConvencionalNão se aplicaNão se aplicaNão se aplicaNão se aplicaNão se aplica",Mercado_Receita!$J$2:$J$1157)*1</f>
        <v>0</v>
      </c>
      <c r="U7" s="13">
        <f t="shared" si="0"/>
        <v>0</v>
      </c>
      <c r="V7" s="13"/>
      <c r="W7" s="13"/>
    </row>
    <row r="8" spans="1:30" ht="11.25" customHeight="1" x14ac:dyDescent="0.3">
      <c r="A8" s="111"/>
      <c r="B8" s="111"/>
      <c r="C8" s="111"/>
      <c r="D8" s="111"/>
      <c r="E8" s="111"/>
      <c r="F8" s="111"/>
      <c r="G8" s="13" t="s">
        <v>84</v>
      </c>
      <c r="H8" s="13" t="s">
        <v>78</v>
      </c>
      <c r="I8" s="13">
        <f>SUMIF(Mercado_Receita!$S$2:$S$1157,"44501A3AzulNão se aplicaNão se aplicaNão se aplicaNão se aplicaPonta",Mercado_Receita!$L$2:$L$1157)+SUMIF(Mercado_Receita!$S$2:$S$1157,"44501A3AzulNão se aplicaNão se aplicaNão se aplicaNão se aplicaFora ponta",Mercado_Receita!$L$2:$L$1157)+SUMIF(Mercado_Receita!$S$2:$S$1157,"44501A3AzulNão se aplicaNão se aplicaNão se aplicaNão se aplicaIntermediário",Mercado_Receita!$L$2:$L$1157)+SUMIF(Mercado_Receita!$S$2:$S$1157,"44501A3AzulNão se aplicaNão se aplicaNão se aplicaNão se aplicaNão se aplica",Mercado_Receita!$L$2:$L$1157)+SUMIF(Mercado_Receita!$S$2:$S$1157,"44501A3ConvencionalNão se aplicaNão se aplicaNão se aplicaNão se aplicaNão se aplica",Mercado_Receita!$L$2:$L$1157)</f>
        <v>0</v>
      </c>
      <c r="J8" s="13">
        <f>SUMIF(Mercado_Receita!$S$2:$S$1157,"44531A3AzulNão se aplicaNão se aplicaNão se aplicaNão se aplicaPonta",Mercado_Receita!$L$2:$L$1157)+SUMIF(Mercado_Receita!$S$2:$S$1157,"44531A3AzulNão se aplicaNão se aplicaNão se aplicaNão se aplicaFora ponta",Mercado_Receita!$L$2:$L$1157)+SUMIF(Mercado_Receita!$S$2:$S$1157,"44531A3AzulNão se aplicaNão se aplicaNão se aplicaNão se aplicaIntermediário",Mercado_Receita!$L$2:$L$1157)+SUMIF(Mercado_Receita!$S$2:$S$1157,"44531A3AzulNão se aplicaNão se aplicaNão se aplicaNão se aplicaNão se aplica",Mercado_Receita!$L$2:$L$1157)+SUMIF(Mercado_Receita!$S$2:$S$1157,"44531A3ConvencionalNão se aplicaNão se aplicaNão se aplicaNão se aplicaNão se aplica",Mercado_Receita!$L$2:$L$1157)</f>
        <v>0</v>
      </c>
      <c r="K8" s="13">
        <f>SUMIF(Mercado_Receita!$S$2:$S$1157,"44562A3AzulNão se aplicaNão se aplicaNão se aplicaNão se aplicaPonta",Mercado_Receita!$L$2:$L$1157)+SUMIF(Mercado_Receita!$S$2:$S$1157,"44562A3AzulNão se aplicaNão se aplicaNão se aplicaNão se aplicaFora ponta",Mercado_Receita!$L$2:$L$1157)+SUMIF(Mercado_Receita!$S$2:$S$1157,"44562A3AzulNão se aplicaNão se aplicaNão se aplicaNão se aplicaIntermediário",Mercado_Receita!$L$2:$L$1157)+SUMIF(Mercado_Receita!$S$2:$S$1157,"44562A3AzulNão se aplicaNão se aplicaNão se aplicaNão se aplicaNão se aplica",Mercado_Receita!$L$2:$L$1157)+SUMIF(Mercado_Receita!$S$2:$S$1157,"44562A3ConvencionalNão se aplicaNão se aplicaNão se aplicaNão se aplicaNão se aplica",Mercado_Receita!$L$2:$L$1157)</f>
        <v>0</v>
      </c>
      <c r="L8" s="13">
        <f>SUMIF(Mercado_Receita!$S$2:$S$1157,"44593A3AzulNão se aplicaNão se aplicaNão se aplicaNão se aplicaPonta",Mercado_Receita!$L$2:$L$1157)+SUMIF(Mercado_Receita!$S$2:$S$1157,"44593A3AzulNão se aplicaNão se aplicaNão se aplicaNão se aplicaFora ponta",Mercado_Receita!$L$2:$L$1157)+SUMIF(Mercado_Receita!$S$2:$S$1157,"44593A3AzulNão se aplicaNão se aplicaNão se aplicaNão se aplicaIntermediário",Mercado_Receita!$L$2:$L$1157)+SUMIF(Mercado_Receita!$S$2:$S$1157,"44593A3AzulNão se aplicaNão se aplicaNão se aplicaNão se aplicaNão se aplica",Mercado_Receita!$L$2:$L$1157)+SUMIF(Mercado_Receita!$S$2:$S$1157,"44593A3ConvencionalNão se aplicaNão se aplicaNão se aplicaNão se aplicaNão se aplica",Mercado_Receita!$L$2:$L$1157)</f>
        <v>0</v>
      </c>
      <c r="M8" s="13">
        <f>SUMIF(Mercado_Receita!$S$2:$S$1157,"44621A3AzulNão se aplicaNão se aplicaNão se aplicaNão se aplicaPonta",Mercado_Receita!$L$2:$L$1157)+SUMIF(Mercado_Receita!$S$2:$S$1157,"44621A3AzulNão se aplicaNão se aplicaNão se aplicaNão se aplicaFora ponta",Mercado_Receita!$L$2:$L$1157)+SUMIF(Mercado_Receita!$S$2:$S$1157,"44621A3AzulNão se aplicaNão se aplicaNão se aplicaNão se aplicaIntermediário",Mercado_Receita!$L$2:$L$1157)+SUMIF(Mercado_Receita!$S$2:$S$1157,"44621A3AzulNão se aplicaNão se aplicaNão se aplicaNão se aplicaNão se aplica",Mercado_Receita!$L$2:$L$1157)+SUMIF(Mercado_Receita!$S$2:$S$1157,"44621A3ConvencionalNão se aplicaNão se aplicaNão se aplicaNão se aplicaNão se aplica",Mercado_Receita!$L$2:$L$1157)</f>
        <v>0</v>
      </c>
      <c r="N8" s="13">
        <f>SUMIF(Mercado_Receita!$S$2:$S$1157,"44652A3AzulNão se aplicaNão se aplicaNão se aplicaNão se aplicaPonta",Mercado_Receita!$L$2:$L$1157)+SUMIF(Mercado_Receita!$S$2:$S$1157,"44652A3AzulNão se aplicaNão se aplicaNão se aplicaNão se aplicaFora ponta",Mercado_Receita!$L$2:$L$1157)+SUMIF(Mercado_Receita!$S$2:$S$1157,"44652A3AzulNão se aplicaNão se aplicaNão se aplicaNão se aplicaIntermediário",Mercado_Receita!$L$2:$L$1157)+SUMIF(Mercado_Receita!$S$2:$S$1157,"44652A3AzulNão se aplicaNão se aplicaNão se aplicaNão se aplicaNão se aplica",Mercado_Receita!$L$2:$L$1157)+SUMIF(Mercado_Receita!$S$2:$S$1157,"44652A3ConvencionalNão se aplicaNão se aplicaNão se aplicaNão se aplicaNão se aplica",Mercado_Receita!$L$2:$L$1157)</f>
        <v>0</v>
      </c>
      <c r="O8" s="13">
        <f>SUMIF(Mercado_Receita!$S$2:$S$1157,"44682A3AzulNão se aplicaNão se aplicaNão se aplicaNão se aplicaPonta",Mercado_Receita!$L$2:$L$1157)+SUMIF(Mercado_Receita!$S$2:$S$1157,"44682A3AzulNão se aplicaNão se aplicaNão se aplicaNão se aplicaFora ponta",Mercado_Receita!$L$2:$L$1157)+SUMIF(Mercado_Receita!$S$2:$S$1157,"44682A3AzulNão se aplicaNão se aplicaNão se aplicaNão se aplicaIntermediário",Mercado_Receita!$L$2:$L$1157)+SUMIF(Mercado_Receita!$S$2:$S$1157,"44682A3AzulNão se aplicaNão se aplicaNão se aplicaNão se aplicaNão se aplica",Mercado_Receita!$L$2:$L$1157)+SUMIF(Mercado_Receita!$S$2:$S$1157,"44682A3ConvencionalNão se aplicaNão se aplicaNão se aplicaNão se aplicaNão se aplica",Mercado_Receita!$L$2:$L$1157)</f>
        <v>0</v>
      </c>
      <c r="P8" s="13">
        <f>SUMIF(Mercado_Receita!$S$2:$S$1157,"44713A3AzulNão se aplicaNão se aplicaNão se aplicaNão se aplicaPonta",Mercado_Receita!$L$2:$L$1157)+SUMIF(Mercado_Receita!$S$2:$S$1157,"44713A3AzulNão se aplicaNão se aplicaNão se aplicaNão se aplicaFora ponta",Mercado_Receita!$L$2:$L$1157)+SUMIF(Mercado_Receita!$S$2:$S$1157,"44713A3AzulNão se aplicaNão se aplicaNão se aplicaNão se aplicaIntermediário",Mercado_Receita!$L$2:$L$1157)+SUMIF(Mercado_Receita!$S$2:$S$1157,"44713A3AzulNão se aplicaNão se aplicaNão se aplicaNão se aplicaNão se aplica",Mercado_Receita!$L$2:$L$1157)+SUMIF(Mercado_Receita!$S$2:$S$1157,"44713A3ConvencionalNão se aplicaNão se aplicaNão se aplicaNão se aplicaNão se aplica",Mercado_Receita!$L$2:$L$1157)</f>
        <v>0</v>
      </c>
      <c r="Q8" s="13">
        <f>SUMIF(Mercado_Receita!$S$2:$S$1157,"44743A3AzulNão se aplicaNão se aplicaNão se aplicaNão se aplicaPonta",Mercado_Receita!$L$2:$L$1157)+SUMIF(Mercado_Receita!$S$2:$S$1157,"44743A3AzulNão se aplicaNão se aplicaNão se aplicaNão se aplicaFora ponta",Mercado_Receita!$L$2:$L$1157)+SUMIF(Mercado_Receita!$S$2:$S$1157,"44743A3AzulNão se aplicaNão se aplicaNão se aplicaNão se aplicaIntermediário",Mercado_Receita!$L$2:$L$1157)+SUMIF(Mercado_Receita!$S$2:$S$1157,"44743A3AzulNão se aplicaNão se aplicaNão se aplicaNão se aplicaNão se aplica",Mercado_Receita!$L$2:$L$1157)+SUMIF(Mercado_Receita!$S$2:$S$1157,"44743A3ConvencionalNão se aplicaNão se aplicaNão se aplicaNão se aplicaNão se aplica",Mercado_Receita!$L$2:$L$1157)</f>
        <v>0</v>
      </c>
      <c r="R8" s="13">
        <f>SUMIF(Mercado_Receita!$S$2:$S$1157,"44774A3AzulNão se aplicaNão se aplicaNão se aplicaNão se aplicaPonta",Mercado_Receita!$L$2:$L$1157)+SUMIF(Mercado_Receita!$S$2:$S$1157,"44774A3AzulNão se aplicaNão se aplicaNão se aplicaNão se aplicaFora ponta",Mercado_Receita!$L$2:$L$1157)+SUMIF(Mercado_Receita!$S$2:$S$1157,"44774A3AzulNão se aplicaNão se aplicaNão se aplicaNão se aplicaIntermediário",Mercado_Receita!$L$2:$L$1157)+SUMIF(Mercado_Receita!$S$2:$S$1157,"44774A3AzulNão se aplicaNão se aplicaNão se aplicaNão se aplicaNão se aplica",Mercado_Receita!$L$2:$L$1157)+SUMIF(Mercado_Receita!$S$2:$S$1157,"44774A3ConvencionalNão se aplicaNão se aplicaNão se aplicaNão se aplicaNão se aplica",Mercado_Receita!$L$2:$L$1157)</f>
        <v>0</v>
      </c>
      <c r="S8" s="13">
        <f>SUMIF(Mercado_Receita!$S$2:$S$1157,"44805A3AzulNão se aplicaNão se aplicaNão se aplicaNão se aplicaPonta",Mercado_Receita!$L$2:$L$1157)+SUMIF(Mercado_Receita!$S$2:$S$1157,"44805A3AzulNão se aplicaNão se aplicaNão se aplicaNão se aplicaFora ponta",Mercado_Receita!$L$2:$L$1157)+SUMIF(Mercado_Receita!$S$2:$S$1157,"44805A3AzulNão se aplicaNão se aplicaNão se aplicaNão se aplicaIntermediário",Mercado_Receita!$L$2:$L$1157)+SUMIF(Mercado_Receita!$S$2:$S$1157,"44805A3AzulNão se aplicaNão se aplicaNão se aplicaNão se aplicaNão se aplica",Mercado_Receita!$L$2:$L$1157)+SUMIF(Mercado_Receita!$S$2:$S$1157,"44805A3ConvencionalNão se aplicaNão se aplicaNão se aplicaNão se aplicaNão se aplica",Mercado_Receita!$L$2:$L$1157)</f>
        <v>0</v>
      </c>
      <c r="T8" s="13">
        <f>SUMIF(Mercado_Receita!$S$2:$S$1157,"44835A3AzulNão se aplicaNão se aplicaNão se aplicaNão se aplicaPonta",Mercado_Receita!$L$2:$L$1157)+SUMIF(Mercado_Receita!$S$2:$S$1157,"44835A3AzulNão se aplicaNão se aplicaNão se aplicaNão se aplicaFora ponta",Mercado_Receita!$L$2:$L$1157)+SUMIF(Mercado_Receita!$S$2:$S$1157,"44835A3AzulNão se aplicaNão se aplicaNão se aplicaNão se aplicaIntermediário",Mercado_Receita!$L$2:$L$1157)+SUMIF(Mercado_Receita!$S$2:$S$1157,"44835A3AzulNão se aplicaNão se aplicaNão se aplicaNão se aplicaNão se aplica",Mercado_Receita!$L$2:$L$1157)+SUMIF(Mercado_Receita!$S$2:$S$1157,"44835A3ConvencionalNão se aplicaNão se aplicaNão se aplicaNão se aplicaNão se aplica",Mercado_Receita!$L$2:$L$1157)</f>
        <v>0</v>
      </c>
      <c r="U8" s="13">
        <f t="shared" si="0"/>
        <v>0</v>
      </c>
      <c r="V8" s="13"/>
      <c r="W8" s="13"/>
    </row>
    <row r="9" spans="1:30" ht="11.25" customHeight="1" x14ac:dyDescent="0.3">
      <c r="A9" s="111"/>
      <c r="B9" s="111"/>
      <c r="C9" s="111"/>
      <c r="D9" s="111"/>
      <c r="E9" s="12" t="s">
        <v>85</v>
      </c>
      <c r="F9" s="12" t="s">
        <v>25</v>
      </c>
      <c r="G9" s="13" t="s">
        <v>84</v>
      </c>
      <c r="H9" s="13" t="s">
        <v>78</v>
      </c>
      <c r="I9" s="13">
        <f>SUMIF(Mercado_Receita!$S$2:$S$1157,"44501A3AzulNão se aplicaNão se aplicaAPENão se aplicaPonta",Mercado_Receita!$L$2:$L$1157)+SUMIF(Mercado_Receita!$S$2:$S$1157,"44501A3AzulNão se aplicaNão se aplicaAPENão se aplicaFora ponta",Mercado_Receita!$L$2:$L$1157)+SUMIF(Mercado_Receita!$S$2:$S$1157,"44501A3AzulNão se aplicaNão se aplicaAPENão se aplicaIntermediário",Mercado_Receita!$L$2:$L$1157)+SUMIF(Mercado_Receita!$S$2:$S$1157,"44501A3AzulNão se aplicaNão se aplicaAPENão se aplicaNão se aplica",Mercado_Receita!$L$2:$L$1157)+SUMIF(Mercado_Receita!$S$2:$S$1157,"44501A3ConvencionalNão se aplicaNão se aplicaAPENão se aplicaNão se aplica",Mercado_Receita!$L$2:$L$1157)</f>
        <v>0</v>
      </c>
      <c r="J9" s="13">
        <f>SUMIF(Mercado_Receita!$S$2:$S$1157,"44531A3AzulNão se aplicaNão se aplicaAPENão se aplicaPonta",Mercado_Receita!$L$2:$L$1157)+SUMIF(Mercado_Receita!$S$2:$S$1157,"44531A3AzulNão se aplicaNão se aplicaAPENão se aplicaFora ponta",Mercado_Receita!$L$2:$L$1157)+SUMIF(Mercado_Receita!$S$2:$S$1157,"44531A3AzulNão se aplicaNão se aplicaAPENão se aplicaIntermediário",Mercado_Receita!$L$2:$L$1157)+SUMIF(Mercado_Receita!$S$2:$S$1157,"44531A3AzulNão se aplicaNão se aplicaAPENão se aplicaNão se aplica",Mercado_Receita!$L$2:$L$1157)+SUMIF(Mercado_Receita!$S$2:$S$1157,"44531A3ConvencionalNão se aplicaNão se aplicaAPENão se aplicaNão se aplica",Mercado_Receita!$L$2:$L$1157)</f>
        <v>0</v>
      </c>
      <c r="K9" s="13">
        <f>SUMIF(Mercado_Receita!$S$2:$S$1157,"44562A3AzulNão se aplicaNão se aplicaAPENão se aplicaPonta",Mercado_Receita!$L$2:$L$1157)+SUMIF(Mercado_Receita!$S$2:$S$1157,"44562A3AzulNão se aplicaNão se aplicaAPENão se aplicaFora ponta",Mercado_Receita!$L$2:$L$1157)+SUMIF(Mercado_Receita!$S$2:$S$1157,"44562A3AzulNão se aplicaNão se aplicaAPENão se aplicaIntermediário",Mercado_Receita!$L$2:$L$1157)+SUMIF(Mercado_Receita!$S$2:$S$1157,"44562A3AzulNão se aplicaNão se aplicaAPENão se aplicaNão se aplica",Mercado_Receita!$L$2:$L$1157)+SUMIF(Mercado_Receita!$S$2:$S$1157,"44562A3ConvencionalNão se aplicaNão se aplicaAPENão se aplicaNão se aplica",Mercado_Receita!$L$2:$L$1157)</f>
        <v>0</v>
      </c>
      <c r="L9" s="13">
        <f>SUMIF(Mercado_Receita!$S$2:$S$1157,"44593A3AzulNão se aplicaNão se aplicaAPENão se aplicaPonta",Mercado_Receita!$L$2:$L$1157)+SUMIF(Mercado_Receita!$S$2:$S$1157,"44593A3AzulNão se aplicaNão se aplicaAPENão se aplicaFora ponta",Mercado_Receita!$L$2:$L$1157)+SUMIF(Mercado_Receita!$S$2:$S$1157,"44593A3AzulNão se aplicaNão se aplicaAPENão se aplicaIntermediário",Mercado_Receita!$L$2:$L$1157)+SUMIF(Mercado_Receita!$S$2:$S$1157,"44593A3AzulNão se aplicaNão se aplicaAPENão se aplicaNão se aplica",Mercado_Receita!$L$2:$L$1157)+SUMIF(Mercado_Receita!$S$2:$S$1157,"44593A3ConvencionalNão se aplicaNão se aplicaAPENão se aplicaNão se aplica",Mercado_Receita!$L$2:$L$1157)</f>
        <v>0</v>
      </c>
      <c r="M9" s="13">
        <f>SUMIF(Mercado_Receita!$S$2:$S$1157,"44621A3AzulNão se aplicaNão se aplicaAPENão se aplicaPonta",Mercado_Receita!$L$2:$L$1157)+SUMIF(Mercado_Receita!$S$2:$S$1157,"44621A3AzulNão se aplicaNão se aplicaAPENão se aplicaFora ponta",Mercado_Receita!$L$2:$L$1157)+SUMIF(Mercado_Receita!$S$2:$S$1157,"44621A3AzulNão se aplicaNão se aplicaAPENão se aplicaIntermediário",Mercado_Receita!$L$2:$L$1157)+SUMIF(Mercado_Receita!$S$2:$S$1157,"44621A3AzulNão se aplicaNão se aplicaAPENão se aplicaNão se aplica",Mercado_Receita!$L$2:$L$1157)+SUMIF(Mercado_Receita!$S$2:$S$1157,"44621A3ConvencionalNão se aplicaNão se aplicaAPENão se aplicaNão se aplica",Mercado_Receita!$L$2:$L$1157)</f>
        <v>0</v>
      </c>
      <c r="N9" s="13">
        <f>SUMIF(Mercado_Receita!$S$2:$S$1157,"44652A3AzulNão se aplicaNão se aplicaAPENão se aplicaPonta",Mercado_Receita!$L$2:$L$1157)+SUMIF(Mercado_Receita!$S$2:$S$1157,"44652A3AzulNão se aplicaNão se aplicaAPENão se aplicaFora ponta",Mercado_Receita!$L$2:$L$1157)+SUMIF(Mercado_Receita!$S$2:$S$1157,"44652A3AzulNão se aplicaNão se aplicaAPENão se aplicaIntermediário",Mercado_Receita!$L$2:$L$1157)+SUMIF(Mercado_Receita!$S$2:$S$1157,"44652A3AzulNão se aplicaNão se aplicaAPENão se aplicaNão se aplica",Mercado_Receita!$L$2:$L$1157)+SUMIF(Mercado_Receita!$S$2:$S$1157,"44652A3ConvencionalNão se aplicaNão se aplicaAPENão se aplicaNão se aplica",Mercado_Receita!$L$2:$L$1157)</f>
        <v>0</v>
      </c>
      <c r="O9" s="13">
        <f>SUMIF(Mercado_Receita!$S$2:$S$1157,"44682A3AzulNão se aplicaNão se aplicaAPENão se aplicaPonta",Mercado_Receita!$L$2:$L$1157)+SUMIF(Mercado_Receita!$S$2:$S$1157,"44682A3AzulNão se aplicaNão se aplicaAPENão se aplicaFora ponta",Mercado_Receita!$L$2:$L$1157)+SUMIF(Mercado_Receita!$S$2:$S$1157,"44682A3AzulNão se aplicaNão se aplicaAPENão se aplicaIntermediário",Mercado_Receita!$L$2:$L$1157)+SUMIF(Mercado_Receita!$S$2:$S$1157,"44682A3AzulNão se aplicaNão se aplicaAPENão se aplicaNão se aplica",Mercado_Receita!$L$2:$L$1157)+SUMIF(Mercado_Receita!$S$2:$S$1157,"44682A3ConvencionalNão se aplicaNão se aplicaAPENão se aplicaNão se aplica",Mercado_Receita!$L$2:$L$1157)</f>
        <v>0</v>
      </c>
      <c r="P9" s="13">
        <f>SUMIF(Mercado_Receita!$S$2:$S$1157,"44713A3AzulNão se aplicaNão se aplicaAPENão se aplicaPonta",Mercado_Receita!$L$2:$L$1157)+SUMIF(Mercado_Receita!$S$2:$S$1157,"44713A3AzulNão se aplicaNão se aplicaAPENão se aplicaFora ponta",Mercado_Receita!$L$2:$L$1157)+SUMIF(Mercado_Receita!$S$2:$S$1157,"44713A3AzulNão se aplicaNão se aplicaAPENão se aplicaIntermediário",Mercado_Receita!$L$2:$L$1157)+SUMIF(Mercado_Receita!$S$2:$S$1157,"44713A3AzulNão se aplicaNão se aplicaAPENão se aplicaNão se aplica",Mercado_Receita!$L$2:$L$1157)+SUMIF(Mercado_Receita!$S$2:$S$1157,"44713A3ConvencionalNão se aplicaNão se aplicaAPENão se aplicaNão se aplica",Mercado_Receita!$L$2:$L$1157)</f>
        <v>0</v>
      </c>
      <c r="Q9" s="13">
        <f>SUMIF(Mercado_Receita!$S$2:$S$1157,"44743A3AzulNão se aplicaNão se aplicaAPENão se aplicaPonta",Mercado_Receita!$L$2:$L$1157)+SUMIF(Mercado_Receita!$S$2:$S$1157,"44743A3AzulNão se aplicaNão se aplicaAPENão se aplicaFora ponta",Mercado_Receita!$L$2:$L$1157)+SUMIF(Mercado_Receita!$S$2:$S$1157,"44743A3AzulNão se aplicaNão se aplicaAPENão se aplicaIntermediário",Mercado_Receita!$L$2:$L$1157)+SUMIF(Mercado_Receita!$S$2:$S$1157,"44743A3AzulNão se aplicaNão se aplicaAPENão se aplicaNão se aplica",Mercado_Receita!$L$2:$L$1157)+SUMIF(Mercado_Receita!$S$2:$S$1157,"44743A3ConvencionalNão se aplicaNão se aplicaAPENão se aplicaNão se aplica",Mercado_Receita!$L$2:$L$1157)</f>
        <v>0</v>
      </c>
      <c r="R9" s="13">
        <f>SUMIF(Mercado_Receita!$S$2:$S$1157,"44774A3AzulNão se aplicaNão se aplicaAPENão se aplicaPonta",Mercado_Receita!$L$2:$L$1157)+SUMIF(Mercado_Receita!$S$2:$S$1157,"44774A3AzulNão se aplicaNão se aplicaAPENão se aplicaFora ponta",Mercado_Receita!$L$2:$L$1157)+SUMIF(Mercado_Receita!$S$2:$S$1157,"44774A3AzulNão se aplicaNão se aplicaAPENão se aplicaIntermediário",Mercado_Receita!$L$2:$L$1157)+SUMIF(Mercado_Receita!$S$2:$S$1157,"44774A3AzulNão se aplicaNão se aplicaAPENão se aplicaNão se aplica",Mercado_Receita!$L$2:$L$1157)+SUMIF(Mercado_Receita!$S$2:$S$1157,"44774A3ConvencionalNão se aplicaNão se aplicaAPENão se aplicaNão se aplica",Mercado_Receita!$L$2:$L$1157)</f>
        <v>0</v>
      </c>
      <c r="S9" s="13">
        <f>SUMIF(Mercado_Receita!$S$2:$S$1157,"44805A3AzulNão se aplicaNão se aplicaAPENão se aplicaPonta",Mercado_Receita!$L$2:$L$1157)+SUMIF(Mercado_Receita!$S$2:$S$1157,"44805A3AzulNão se aplicaNão se aplicaAPENão se aplicaFora ponta",Mercado_Receita!$L$2:$L$1157)+SUMIF(Mercado_Receita!$S$2:$S$1157,"44805A3AzulNão se aplicaNão se aplicaAPENão se aplicaIntermediário",Mercado_Receita!$L$2:$L$1157)+SUMIF(Mercado_Receita!$S$2:$S$1157,"44805A3AzulNão se aplicaNão se aplicaAPENão se aplicaNão se aplica",Mercado_Receita!$L$2:$L$1157)+SUMIF(Mercado_Receita!$S$2:$S$1157,"44805A3ConvencionalNão se aplicaNão se aplicaAPENão se aplicaNão se aplica",Mercado_Receita!$L$2:$L$1157)</f>
        <v>0</v>
      </c>
      <c r="T9" s="13">
        <f>SUMIF(Mercado_Receita!$S$2:$S$1157,"44835A3AzulNão se aplicaNão se aplicaAPENão se aplicaPonta",Mercado_Receita!$L$2:$L$1157)+SUMIF(Mercado_Receita!$S$2:$S$1157,"44835A3AzulNão se aplicaNão se aplicaAPENão se aplicaFora ponta",Mercado_Receita!$L$2:$L$1157)+SUMIF(Mercado_Receita!$S$2:$S$1157,"44835A3AzulNão se aplicaNão se aplicaAPENão se aplicaIntermediário",Mercado_Receita!$L$2:$L$1157)+SUMIF(Mercado_Receita!$S$2:$S$1157,"44835A3AzulNão se aplicaNão se aplicaAPENão se aplicaNão se aplica",Mercado_Receita!$L$2:$L$1157)+SUMIF(Mercado_Receita!$S$2:$S$1157,"44835A3ConvencionalNão se aplicaNão se aplicaAPENão se aplicaNão se aplica",Mercado_Receita!$L$2:$L$1157)</f>
        <v>0</v>
      </c>
      <c r="U9" s="13">
        <f t="shared" si="0"/>
        <v>0</v>
      </c>
      <c r="V9" s="13"/>
      <c r="W9" s="13"/>
    </row>
    <row r="10" spans="1:30" ht="11.25" customHeight="1" x14ac:dyDescent="0.3">
      <c r="A10" s="111"/>
      <c r="B10" s="12" t="s">
        <v>57</v>
      </c>
      <c r="C10" s="12" t="s">
        <v>25</v>
      </c>
      <c r="D10" s="12" t="s">
        <v>25</v>
      </c>
      <c r="E10" s="12" t="s">
        <v>25</v>
      </c>
      <c r="F10" s="12" t="s">
        <v>25</v>
      </c>
      <c r="G10" s="13" t="s">
        <v>9</v>
      </c>
      <c r="H10" s="13" t="s">
        <v>81</v>
      </c>
      <c r="I10" s="13">
        <f>SUMIF(Mercado_Receita!$S$2:$S$1157,"44501A3GeraçãoNão se aplicaNão se aplicaNão se aplicaNão se aplicaNão se aplica",Mercado_Receita!$J$2:$J$1157)+SUMIF(Mercado_Receita!$S$2:$S$1157,"44501A3GeraçãoNão se aplicaNão se aplicaAPENão se aplicaNão se aplica",Mercado_Receita!$J$2:$J$1157)</f>
        <v>7800</v>
      </c>
      <c r="J10" s="13">
        <f>SUMIF(Mercado_Receita!$S$2:$S$1157,"44531A3GeraçãoNão se aplicaNão se aplicaNão se aplicaNão se aplicaNão se aplica",Mercado_Receita!$J$2:$J$1157)+SUMIF(Mercado_Receita!$S$2:$S$1157,"44531A3GeraçãoNão se aplicaNão se aplicaAPENão se aplicaNão se aplica",Mercado_Receita!$J$2:$J$1157)</f>
        <v>7800</v>
      </c>
      <c r="K10" s="13">
        <f>SUMIF(Mercado_Receita!$S$2:$S$1157,"44562A3GeraçãoNão se aplicaNão se aplicaNão se aplicaNão se aplicaNão se aplica",Mercado_Receita!$J$2:$J$1157)+SUMIF(Mercado_Receita!$S$2:$S$1157,"44562A3GeraçãoNão se aplicaNão se aplicaAPENão se aplicaNão se aplica",Mercado_Receita!$J$2:$J$1157)</f>
        <v>7800</v>
      </c>
      <c r="L10" s="13">
        <f>SUMIF(Mercado_Receita!$S$2:$S$1157,"44593A3GeraçãoNão se aplicaNão se aplicaNão se aplicaNão se aplicaNão se aplica",Mercado_Receita!$J$2:$J$1157)+SUMIF(Mercado_Receita!$S$2:$S$1157,"44593A3GeraçãoNão se aplicaNão se aplicaAPENão se aplicaNão se aplica",Mercado_Receita!$J$2:$J$1157)</f>
        <v>7800</v>
      </c>
      <c r="M10" s="13">
        <f>SUMIF(Mercado_Receita!$S$2:$S$1157,"44621A3GeraçãoNão se aplicaNão se aplicaNão se aplicaNão se aplicaNão se aplica",Mercado_Receita!$J$2:$J$1157)+SUMIF(Mercado_Receita!$S$2:$S$1157,"44621A3GeraçãoNão se aplicaNão se aplicaAPENão se aplicaNão se aplica",Mercado_Receita!$J$2:$J$1157)</f>
        <v>7800</v>
      </c>
      <c r="N10" s="13">
        <f>SUMIF(Mercado_Receita!$S$2:$S$1157,"44652A3GeraçãoNão se aplicaNão se aplicaNão se aplicaNão se aplicaNão se aplica",Mercado_Receita!$J$2:$J$1157)+SUMIF(Mercado_Receita!$S$2:$S$1157,"44652A3GeraçãoNão se aplicaNão se aplicaAPENão se aplicaNão se aplica",Mercado_Receita!$J$2:$J$1157)</f>
        <v>7800</v>
      </c>
      <c r="O10" s="13">
        <f>SUMIF(Mercado_Receita!$S$2:$S$1157,"44682A3GeraçãoNão se aplicaNão se aplicaNão se aplicaNão se aplicaNão se aplica",Mercado_Receita!$J$2:$J$1157)+SUMIF(Mercado_Receita!$S$2:$S$1157,"44682A3GeraçãoNão se aplicaNão se aplicaAPENão se aplicaNão se aplica",Mercado_Receita!$J$2:$J$1157)</f>
        <v>7800</v>
      </c>
      <c r="P10" s="13">
        <f>SUMIF(Mercado_Receita!$S$2:$S$1157,"44713A3GeraçãoNão se aplicaNão se aplicaNão se aplicaNão se aplicaNão se aplica",Mercado_Receita!$J$2:$J$1157)+SUMIF(Mercado_Receita!$S$2:$S$1157,"44713A3GeraçãoNão se aplicaNão se aplicaAPENão se aplicaNão se aplica",Mercado_Receita!$J$2:$J$1157)</f>
        <v>7800</v>
      </c>
      <c r="Q10" s="13">
        <f>SUMIF(Mercado_Receita!$S$2:$S$1157,"44743A3GeraçãoNão se aplicaNão se aplicaNão se aplicaNão se aplicaNão se aplica",Mercado_Receita!$J$2:$J$1157)+SUMIF(Mercado_Receita!$S$2:$S$1157,"44743A3GeraçãoNão se aplicaNão se aplicaAPENão se aplicaNão se aplica",Mercado_Receita!$J$2:$J$1157)</f>
        <v>7800</v>
      </c>
      <c r="R10" s="13">
        <f>SUMIF(Mercado_Receita!$S$2:$S$1157,"44774A3GeraçãoNão se aplicaNão se aplicaNão se aplicaNão se aplicaNão se aplica",Mercado_Receita!$J$2:$J$1157)+SUMIF(Mercado_Receita!$S$2:$S$1157,"44774A3GeraçãoNão se aplicaNão se aplicaAPENão se aplicaNão se aplica",Mercado_Receita!$J$2:$J$1157)</f>
        <v>7800</v>
      </c>
      <c r="S10" s="13">
        <f>SUMIF(Mercado_Receita!$S$2:$S$1157,"44805A3GeraçãoNão se aplicaNão se aplicaNão se aplicaNão se aplicaNão se aplica",Mercado_Receita!$J$2:$J$1157)+SUMIF(Mercado_Receita!$S$2:$S$1157,"44805A3GeraçãoNão se aplicaNão se aplicaAPENão se aplicaNão se aplica",Mercado_Receita!$J$2:$J$1157)</f>
        <v>7800</v>
      </c>
      <c r="T10" s="13">
        <f>SUMIF(Mercado_Receita!$S$2:$S$1157,"44835A3GeraçãoNão se aplicaNão se aplicaNão se aplicaNão se aplicaNão se aplica",Mercado_Receita!$J$2:$J$1157)+SUMIF(Mercado_Receita!$S$2:$S$1157,"44835A3GeraçãoNão se aplicaNão se aplicaAPENão se aplicaNão se aplica",Mercado_Receita!$J$2:$J$1157)</f>
        <v>7800</v>
      </c>
      <c r="U10" s="13">
        <f t="shared" si="0"/>
        <v>93600</v>
      </c>
      <c r="V10" s="13"/>
      <c r="W10" s="13"/>
    </row>
    <row r="11" spans="1:30" ht="11.25" customHeight="1" x14ac:dyDescent="0.3">
      <c r="A11" s="110" t="s">
        <v>39</v>
      </c>
      <c r="B11" s="110" t="s">
        <v>40</v>
      </c>
      <c r="C11" s="110" t="s">
        <v>25</v>
      </c>
      <c r="D11" s="110" t="s">
        <v>25</v>
      </c>
      <c r="E11" s="110" t="s">
        <v>25</v>
      </c>
      <c r="F11" s="110" t="s">
        <v>25</v>
      </c>
      <c r="G11" s="13" t="s">
        <v>82</v>
      </c>
      <c r="H11" s="13" t="s">
        <v>81</v>
      </c>
      <c r="I11" s="13">
        <f>SUMIF(Mercado_Receita!$S$2:$S$1157,"44501A4AzulNão se aplicaNão se aplicaNão se aplicaNão se aplicaPonta",Mercado_Receita!$J$2:$J$1157)+SUMIF(Mercado_Receita!$S$2:$S$1157,"44501A4AzulNão se aplicaNão se aplicaAPENão se aplicaPonta",Mercado_Receita!$J$2:$J$1157)</f>
        <v>30366</v>
      </c>
      <c r="J11" s="13">
        <f>SUMIF(Mercado_Receita!$S$2:$S$1157,"44531A4AzulNão se aplicaNão se aplicaNão se aplicaNão se aplicaPonta",Mercado_Receita!$J$2:$J$1157)+SUMIF(Mercado_Receita!$S$2:$S$1157,"44531A4AzulNão se aplicaNão se aplicaAPENão se aplicaPonta",Mercado_Receita!$J$2:$J$1157)</f>
        <v>30245</v>
      </c>
      <c r="K11" s="13">
        <f>SUMIF(Mercado_Receita!$S$2:$S$1157,"44562A4AzulNão se aplicaNão se aplicaNão se aplicaNão se aplicaPonta",Mercado_Receita!$J$2:$J$1157)+SUMIF(Mercado_Receita!$S$2:$S$1157,"44562A4AzulNão se aplicaNão se aplicaAPENão se aplicaPonta",Mercado_Receita!$J$2:$J$1157)</f>
        <v>30439</v>
      </c>
      <c r="L11" s="13">
        <f>SUMIF(Mercado_Receita!$S$2:$S$1157,"44593A4AzulNão se aplicaNão se aplicaNão se aplicaNão se aplicaPonta",Mercado_Receita!$J$2:$J$1157)+SUMIF(Mercado_Receita!$S$2:$S$1157,"44593A4AzulNão se aplicaNão se aplicaAPENão se aplicaPonta",Mercado_Receita!$J$2:$J$1157)</f>
        <v>30566</v>
      </c>
      <c r="M11" s="13">
        <f>SUMIF(Mercado_Receita!$S$2:$S$1157,"44621A4AzulNão se aplicaNão se aplicaNão se aplicaNão se aplicaPonta",Mercado_Receita!$J$2:$J$1157)+SUMIF(Mercado_Receita!$S$2:$S$1157,"44621A4AzulNão se aplicaNão se aplicaAPENão se aplicaPonta",Mercado_Receita!$J$2:$J$1157)</f>
        <v>28567</v>
      </c>
      <c r="N11" s="13">
        <f>SUMIF(Mercado_Receita!$S$2:$S$1157,"44652A4AzulNão se aplicaNão se aplicaNão se aplicaNão se aplicaPonta",Mercado_Receita!$J$2:$J$1157)+SUMIF(Mercado_Receita!$S$2:$S$1157,"44652A4AzulNão se aplicaNão se aplicaAPENão se aplicaPonta",Mercado_Receita!$J$2:$J$1157)</f>
        <v>28450</v>
      </c>
      <c r="O11" s="13">
        <f>SUMIF(Mercado_Receita!$S$2:$S$1157,"44682A4AzulNão se aplicaNão se aplicaNão se aplicaNão se aplicaPonta",Mercado_Receita!$J$2:$J$1157)+SUMIF(Mercado_Receita!$S$2:$S$1157,"44682A4AzulNão se aplicaNão se aplicaAPENão se aplicaPonta",Mercado_Receita!$J$2:$J$1157)</f>
        <v>29526</v>
      </c>
      <c r="P11" s="13">
        <f>SUMIF(Mercado_Receita!$S$2:$S$1157,"44713A4AzulNão se aplicaNão se aplicaNão se aplicaNão se aplicaPonta",Mercado_Receita!$J$2:$J$1157)+SUMIF(Mercado_Receita!$S$2:$S$1157,"44713A4AzulNão se aplicaNão se aplicaAPENão se aplicaPonta",Mercado_Receita!$J$2:$J$1157)</f>
        <v>29244</v>
      </c>
      <c r="Q11" s="13">
        <f>SUMIF(Mercado_Receita!$S$2:$S$1157,"44743A4AzulNão se aplicaNão se aplicaNão se aplicaNão se aplicaPonta",Mercado_Receita!$J$2:$J$1157)+SUMIF(Mercado_Receita!$S$2:$S$1157,"44743A4AzulNão se aplicaNão se aplicaAPENão se aplicaPonta",Mercado_Receita!$J$2:$J$1157)</f>
        <v>29222</v>
      </c>
      <c r="R11" s="13">
        <f>SUMIF(Mercado_Receita!$S$2:$S$1157,"44774A4AzulNão se aplicaNão se aplicaNão se aplicaNão se aplicaPonta",Mercado_Receita!$J$2:$J$1157)+SUMIF(Mercado_Receita!$S$2:$S$1157,"44774A4AzulNão se aplicaNão se aplicaAPENão se aplicaPonta",Mercado_Receita!$J$2:$J$1157)</f>
        <v>28670</v>
      </c>
      <c r="S11" s="13">
        <f>SUMIF(Mercado_Receita!$S$2:$S$1157,"44805A4AzulNão se aplicaNão se aplicaNão se aplicaNão se aplicaPonta",Mercado_Receita!$J$2:$J$1157)+SUMIF(Mercado_Receita!$S$2:$S$1157,"44805A4AzulNão se aplicaNão se aplicaAPENão se aplicaPonta",Mercado_Receita!$J$2:$J$1157)</f>
        <v>30047</v>
      </c>
      <c r="T11" s="13">
        <f>SUMIF(Mercado_Receita!$S$2:$S$1157,"44835A4AzulNão se aplicaNão se aplicaNão se aplicaNão se aplicaPonta",Mercado_Receita!$J$2:$J$1157)+SUMIF(Mercado_Receita!$S$2:$S$1157,"44835A4AzulNão se aplicaNão se aplicaAPENão se aplicaPonta",Mercado_Receita!$J$2:$J$1157)</f>
        <v>30047</v>
      </c>
      <c r="U11" s="13">
        <f t="shared" si="0"/>
        <v>355389</v>
      </c>
      <c r="V11" s="13"/>
      <c r="W11" s="13"/>
    </row>
    <row r="12" spans="1:30" ht="11.25" customHeight="1" x14ac:dyDescent="0.3">
      <c r="A12" s="111"/>
      <c r="B12" s="111"/>
      <c r="C12" s="111"/>
      <c r="D12" s="111"/>
      <c r="E12" s="111"/>
      <c r="F12" s="111"/>
      <c r="G12" s="13" t="s">
        <v>83</v>
      </c>
      <c r="H12" s="13" t="s">
        <v>81</v>
      </c>
      <c r="I12" s="13">
        <f>SUMIF(Mercado_Receita!$S$2:$S$1157,"44501A4AzulNão se aplicaNão se aplicaNão se aplicaNão se aplicaFora ponta",Mercado_Receita!$J$2:$J$1157)+SUMIF(Mercado_Receita!$S$2:$S$1157,"44501A4AzulNão se aplicaNão se aplicaAPENão se aplicaFora ponta",Mercado_Receita!$J$2:$J$1157)</f>
        <v>32062</v>
      </c>
      <c r="J12" s="13">
        <f>SUMIF(Mercado_Receita!$S$2:$S$1157,"44531A4AzulNão se aplicaNão se aplicaNão se aplicaNão se aplicaFora ponta",Mercado_Receita!$J$2:$J$1157)+SUMIF(Mercado_Receita!$S$2:$S$1157,"44531A4AzulNão se aplicaNão se aplicaAPENão se aplicaFora ponta",Mercado_Receita!$J$2:$J$1157)</f>
        <v>32038</v>
      </c>
      <c r="K12" s="13">
        <f>SUMIF(Mercado_Receita!$S$2:$S$1157,"44562A4AzulNão se aplicaNão se aplicaNão se aplicaNão se aplicaFora ponta",Mercado_Receita!$J$2:$J$1157)+SUMIF(Mercado_Receita!$S$2:$S$1157,"44562A4AzulNão se aplicaNão se aplicaAPENão se aplicaFora ponta",Mercado_Receita!$J$2:$J$1157)</f>
        <v>32068</v>
      </c>
      <c r="L12" s="13">
        <f>SUMIF(Mercado_Receita!$S$2:$S$1157,"44593A4AzulNão se aplicaNão se aplicaNão se aplicaNão se aplicaFora ponta",Mercado_Receita!$J$2:$J$1157)+SUMIF(Mercado_Receita!$S$2:$S$1157,"44593A4AzulNão se aplicaNão se aplicaAPENão se aplicaFora ponta",Mercado_Receita!$J$2:$J$1157)</f>
        <v>32123</v>
      </c>
      <c r="M12" s="13">
        <f>SUMIF(Mercado_Receita!$S$2:$S$1157,"44621A4AzulNão se aplicaNão se aplicaNão se aplicaNão se aplicaFora ponta",Mercado_Receita!$J$2:$J$1157)+SUMIF(Mercado_Receita!$S$2:$S$1157,"44621A4AzulNão se aplicaNão se aplicaAPENão se aplicaFora ponta",Mercado_Receita!$J$2:$J$1157)</f>
        <v>30175</v>
      </c>
      <c r="N12" s="13">
        <f>SUMIF(Mercado_Receita!$S$2:$S$1157,"44652A4AzulNão se aplicaNão se aplicaNão se aplicaNão se aplicaFora ponta",Mercado_Receita!$J$2:$J$1157)+SUMIF(Mercado_Receita!$S$2:$S$1157,"44652A4AzulNão se aplicaNão se aplicaAPENão se aplicaFora ponta",Mercado_Receita!$J$2:$J$1157)</f>
        <v>29381</v>
      </c>
      <c r="O12" s="13">
        <f>SUMIF(Mercado_Receita!$S$2:$S$1157,"44682A4AzulNão se aplicaNão se aplicaNão se aplicaNão se aplicaFora ponta",Mercado_Receita!$J$2:$J$1157)+SUMIF(Mercado_Receita!$S$2:$S$1157,"44682A4AzulNão se aplicaNão se aplicaAPENão se aplicaFora ponta",Mercado_Receita!$J$2:$J$1157)</f>
        <v>30594</v>
      </c>
      <c r="P12" s="13">
        <f>SUMIF(Mercado_Receita!$S$2:$S$1157,"44713A4AzulNão se aplicaNão se aplicaNão se aplicaNão se aplicaFora ponta",Mercado_Receita!$J$2:$J$1157)+SUMIF(Mercado_Receita!$S$2:$S$1157,"44713A4AzulNão se aplicaNão se aplicaAPENão se aplicaFora ponta",Mercado_Receita!$J$2:$J$1157)</f>
        <v>30172</v>
      </c>
      <c r="Q12" s="13">
        <f>SUMIF(Mercado_Receita!$S$2:$S$1157,"44743A4AzulNão se aplicaNão se aplicaNão se aplicaNão se aplicaFora ponta",Mercado_Receita!$J$2:$J$1157)+SUMIF(Mercado_Receita!$S$2:$S$1157,"44743A4AzulNão se aplicaNão se aplicaAPENão se aplicaFora ponta",Mercado_Receita!$J$2:$J$1157)</f>
        <v>30280</v>
      </c>
      <c r="R12" s="13">
        <f>SUMIF(Mercado_Receita!$S$2:$S$1157,"44774A4AzulNão se aplicaNão se aplicaNão se aplicaNão se aplicaFora ponta",Mercado_Receita!$J$2:$J$1157)+SUMIF(Mercado_Receita!$S$2:$S$1157,"44774A4AzulNão se aplicaNão se aplicaAPENão se aplicaFora ponta",Mercado_Receita!$J$2:$J$1157)</f>
        <v>29952</v>
      </c>
      <c r="S12" s="13">
        <f>SUMIF(Mercado_Receita!$S$2:$S$1157,"44805A4AzulNão se aplicaNão se aplicaNão se aplicaNão se aplicaFora ponta",Mercado_Receita!$J$2:$J$1157)+SUMIF(Mercado_Receita!$S$2:$S$1157,"44805A4AzulNão se aplicaNão se aplicaAPENão se aplicaFora ponta",Mercado_Receita!$J$2:$J$1157)</f>
        <v>31134</v>
      </c>
      <c r="T12" s="13">
        <f>SUMIF(Mercado_Receita!$S$2:$S$1157,"44835A4AzulNão se aplicaNão se aplicaNão se aplicaNão se aplicaFora ponta",Mercado_Receita!$J$2:$J$1157)+SUMIF(Mercado_Receita!$S$2:$S$1157,"44835A4AzulNão se aplicaNão se aplicaAPENão se aplicaFora ponta",Mercado_Receita!$J$2:$J$1157)</f>
        <v>31134</v>
      </c>
      <c r="U12" s="13">
        <f t="shared" si="0"/>
        <v>371113</v>
      </c>
      <c r="V12" s="13"/>
      <c r="W12" s="13"/>
    </row>
    <row r="13" spans="1:30" ht="11.25" customHeight="1" x14ac:dyDescent="0.3">
      <c r="A13" s="111"/>
      <c r="B13" s="111"/>
      <c r="C13" s="111"/>
      <c r="D13" s="111"/>
      <c r="E13" s="111"/>
      <c r="F13" s="111"/>
      <c r="G13" s="13" t="s">
        <v>84</v>
      </c>
      <c r="H13" s="13" t="s">
        <v>78</v>
      </c>
      <c r="I13" s="13">
        <f>SUMIF(Mercado_Receita!$S$2:$S$1157,"44501A4AzulNão se aplicaNão se aplicaNão se aplicaNão se aplicaPonta",Mercado_Receita!$L$2:$L$1157)+SUMIF(Mercado_Receita!$S$2:$S$1157,"44501A4AzulNão se aplicaNão se aplicaNão se aplicaNão se aplicaFora ponta",Mercado_Receita!$L$2:$L$1157)+SUMIF(Mercado_Receita!$S$2:$S$1157,"44501A4AzulNão se aplicaNão se aplicaNão se aplicaNão se aplicaIntermediário",Mercado_Receita!$L$2:$L$1157)+SUMIF(Mercado_Receita!$S$2:$S$1157,"44501A4AzulNão se aplicaNão se aplicaNão se aplicaNão se aplicaNão se aplica",Mercado_Receita!$L$2:$L$1157)</f>
        <v>16129.407999999999</v>
      </c>
      <c r="J13" s="13">
        <f>SUMIF(Mercado_Receita!$S$2:$S$1157,"44531A4AzulNão se aplicaNão se aplicaNão se aplicaNão se aplicaPonta",Mercado_Receita!$L$2:$L$1157)+SUMIF(Mercado_Receita!$S$2:$S$1157,"44531A4AzulNão se aplicaNão se aplicaNão se aplicaNão se aplicaFora ponta",Mercado_Receita!$L$2:$L$1157)+SUMIF(Mercado_Receita!$S$2:$S$1157,"44531A4AzulNão se aplicaNão se aplicaNão se aplicaNão se aplicaIntermediário",Mercado_Receita!$L$2:$L$1157)+SUMIF(Mercado_Receita!$S$2:$S$1157,"44531A4AzulNão se aplicaNão se aplicaNão se aplicaNão se aplicaNão se aplica",Mercado_Receita!$L$2:$L$1157)</f>
        <v>14494.192999999999</v>
      </c>
      <c r="K13" s="13">
        <f>SUMIF(Mercado_Receita!$S$2:$S$1157,"44562A4AzulNão se aplicaNão se aplicaNão se aplicaNão se aplicaPonta",Mercado_Receita!$L$2:$L$1157)+SUMIF(Mercado_Receita!$S$2:$S$1157,"44562A4AzulNão se aplicaNão se aplicaNão se aplicaNão se aplicaFora ponta",Mercado_Receita!$L$2:$L$1157)+SUMIF(Mercado_Receita!$S$2:$S$1157,"44562A4AzulNão se aplicaNão se aplicaNão se aplicaNão se aplicaIntermediário",Mercado_Receita!$L$2:$L$1157)+SUMIF(Mercado_Receita!$S$2:$S$1157,"44562A4AzulNão se aplicaNão se aplicaNão se aplicaNão se aplicaNão se aplica",Mercado_Receita!$L$2:$L$1157)</f>
        <v>14479.061</v>
      </c>
      <c r="L13" s="13">
        <f>SUMIF(Mercado_Receita!$S$2:$S$1157,"44593A4AzulNão se aplicaNão se aplicaNão se aplicaNão se aplicaPonta",Mercado_Receita!$L$2:$L$1157)+SUMIF(Mercado_Receita!$S$2:$S$1157,"44593A4AzulNão se aplicaNão se aplicaNão se aplicaNão se aplicaFora ponta",Mercado_Receita!$L$2:$L$1157)+SUMIF(Mercado_Receita!$S$2:$S$1157,"44593A4AzulNão se aplicaNão se aplicaNão se aplicaNão se aplicaIntermediário",Mercado_Receita!$L$2:$L$1157)+SUMIF(Mercado_Receita!$S$2:$S$1157,"44593A4AzulNão se aplicaNão se aplicaNão se aplicaNão se aplicaNão se aplica",Mercado_Receita!$L$2:$L$1157)</f>
        <v>14609.842999999999</v>
      </c>
      <c r="M13" s="13">
        <f>SUMIF(Mercado_Receita!$S$2:$S$1157,"44621A4AzulNão se aplicaNão se aplicaNão se aplicaNão se aplicaPonta",Mercado_Receita!$L$2:$L$1157)+SUMIF(Mercado_Receita!$S$2:$S$1157,"44621A4AzulNão se aplicaNão se aplicaNão se aplicaNão se aplicaFora ponta",Mercado_Receita!$L$2:$L$1157)+SUMIF(Mercado_Receita!$S$2:$S$1157,"44621A4AzulNão se aplicaNão se aplicaNão se aplicaNão se aplicaIntermediário",Mercado_Receita!$L$2:$L$1157)+SUMIF(Mercado_Receita!$S$2:$S$1157,"44621A4AzulNão se aplicaNão se aplicaNão se aplicaNão se aplicaNão se aplica",Mercado_Receita!$L$2:$L$1157)</f>
        <v>13801.793</v>
      </c>
      <c r="N13" s="13">
        <f>SUMIF(Mercado_Receita!$S$2:$S$1157,"44652A4AzulNão se aplicaNão se aplicaNão se aplicaNão se aplicaPonta",Mercado_Receita!$L$2:$L$1157)+SUMIF(Mercado_Receita!$S$2:$S$1157,"44652A4AzulNão se aplicaNão se aplicaNão se aplicaNão se aplicaFora ponta",Mercado_Receita!$L$2:$L$1157)+SUMIF(Mercado_Receita!$S$2:$S$1157,"44652A4AzulNão se aplicaNão se aplicaNão se aplicaNão se aplicaIntermediário",Mercado_Receita!$L$2:$L$1157)+SUMIF(Mercado_Receita!$S$2:$S$1157,"44652A4AzulNão se aplicaNão se aplicaNão se aplicaNão se aplicaNão se aplica",Mercado_Receita!$L$2:$L$1157)</f>
        <v>15035.382</v>
      </c>
      <c r="O13" s="13">
        <f>SUMIF(Mercado_Receita!$S$2:$S$1157,"44682A4AzulNão se aplicaNão se aplicaNão se aplicaNão se aplicaPonta",Mercado_Receita!$L$2:$L$1157)+SUMIF(Mercado_Receita!$S$2:$S$1157,"44682A4AzulNão se aplicaNão se aplicaNão se aplicaNão se aplicaFora ponta",Mercado_Receita!$L$2:$L$1157)+SUMIF(Mercado_Receita!$S$2:$S$1157,"44682A4AzulNão se aplicaNão se aplicaNão se aplicaNão se aplicaIntermediário",Mercado_Receita!$L$2:$L$1157)+SUMIF(Mercado_Receita!$S$2:$S$1157,"44682A4AzulNão se aplicaNão se aplicaNão se aplicaNão se aplicaNão se aplica",Mercado_Receita!$L$2:$L$1157)</f>
        <v>14508.694</v>
      </c>
      <c r="P13" s="13">
        <f>SUMIF(Mercado_Receita!$S$2:$S$1157,"44713A4AzulNão se aplicaNão se aplicaNão se aplicaNão se aplicaPonta",Mercado_Receita!$L$2:$L$1157)+SUMIF(Mercado_Receita!$S$2:$S$1157,"44713A4AzulNão se aplicaNão se aplicaNão se aplicaNão se aplicaFora ponta",Mercado_Receita!$L$2:$L$1157)+SUMIF(Mercado_Receita!$S$2:$S$1157,"44713A4AzulNão se aplicaNão se aplicaNão se aplicaNão se aplicaIntermediário",Mercado_Receita!$L$2:$L$1157)+SUMIF(Mercado_Receita!$S$2:$S$1157,"44713A4AzulNão se aplicaNão se aplicaNão se aplicaNão se aplicaNão se aplica",Mercado_Receita!$L$2:$L$1157)</f>
        <v>14981.277999999998</v>
      </c>
      <c r="Q13" s="13">
        <f>SUMIF(Mercado_Receita!$S$2:$S$1157,"44743A4AzulNão se aplicaNão se aplicaNão se aplicaNão se aplicaPonta",Mercado_Receita!$L$2:$L$1157)+SUMIF(Mercado_Receita!$S$2:$S$1157,"44743A4AzulNão se aplicaNão se aplicaNão se aplicaNão se aplicaFora ponta",Mercado_Receita!$L$2:$L$1157)+SUMIF(Mercado_Receita!$S$2:$S$1157,"44743A4AzulNão se aplicaNão se aplicaNão se aplicaNão se aplicaIntermediário",Mercado_Receita!$L$2:$L$1157)+SUMIF(Mercado_Receita!$S$2:$S$1157,"44743A4AzulNão se aplicaNão se aplicaNão se aplicaNão se aplicaNão se aplica",Mercado_Receita!$L$2:$L$1157)</f>
        <v>14164.713</v>
      </c>
      <c r="R13" s="13">
        <f>SUMIF(Mercado_Receita!$S$2:$S$1157,"44774A4AzulNão se aplicaNão se aplicaNão se aplicaNão se aplicaPonta",Mercado_Receita!$L$2:$L$1157)+SUMIF(Mercado_Receita!$S$2:$S$1157,"44774A4AzulNão se aplicaNão se aplicaNão se aplicaNão se aplicaFora ponta",Mercado_Receita!$L$2:$L$1157)+SUMIF(Mercado_Receita!$S$2:$S$1157,"44774A4AzulNão se aplicaNão se aplicaNão se aplicaNão se aplicaIntermediário",Mercado_Receita!$L$2:$L$1157)+SUMIF(Mercado_Receita!$S$2:$S$1157,"44774A4AzulNão se aplicaNão se aplicaNão se aplicaNão se aplicaNão se aplica",Mercado_Receita!$L$2:$L$1157)</f>
        <v>14690.905999999999</v>
      </c>
      <c r="S13" s="13">
        <f>SUMIF(Mercado_Receita!$S$2:$S$1157,"44805A4AzulNão se aplicaNão se aplicaNão se aplicaNão se aplicaPonta",Mercado_Receita!$L$2:$L$1157)+SUMIF(Mercado_Receita!$S$2:$S$1157,"44805A4AzulNão se aplicaNão se aplicaNão se aplicaNão se aplicaFora ponta",Mercado_Receita!$L$2:$L$1157)+SUMIF(Mercado_Receita!$S$2:$S$1157,"44805A4AzulNão se aplicaNão se aplicaNão se aplicaNão se aplicaIntermediário",Mercado_Receita!$L$2:$L$1157)+SUMIF(Mercado_Receita!$S$2:$S$1157,"44805A4AzulNão se aplicaNão se aplicaNão se aplicaNão se aplicaNão se aplica",Mercado_Receita!$L$2:$L$1157)</f>
        <v>14251.308999999997</v>
      </c>
      <c r="T13" s="13">
        <f>SUMIF(Mercado_Receita!$S$2:$S$1157,"44835A4AzulNão se aplicaNão se aplicaNão se aplicaNão se aplicaPonta",Mercado_Receita!$L$2:$L$1157)+SUMIF(Mercado_Receita!$S$2:$S$1157,"44835A4AzulNão se aplicaNão se aplicaNão se aplicaNão se aplicaFora ponta",Mercado_Receita!$L$2:$L$1157)+SUMIF(Mercado_Receita!$S$2:$S$1157,"44835A4AzulNão se aplicaNão se aplicaNão se aplicaNão se aplicaIntermediário",Mercado_Receita!$L$2:$L$1157)+SUMIF(Mercado_Receita!$S$2:$S$1157,"44835A4AzulNão se aplicaNão se aplicaNão se aplicaNão se aplicaNão se aplica",Mercado_Receita!$L$2:$L$1157)</f>
        <v>14251.308999999997</v>
      </c>
      <c r="U13" s="13">
        <f t="shared" si="0"/>
        <v>175397.889</v>
      </c>
      <c r="V13" s="13"/>
      <c r="W13" s="13"/>
    </row>
    <row r="14" spans="1:30" ht="11.25" customHeight="1" x14ac:dyDescent="0.3">
      <c r="A14" s="111"/>
      <c r="B14" s="111"/>
      <c r="C14" s="111"/>
      <c r="D14" s="111"/>
      <c r="E14" s="12" t="s">
        <v>85</v>
      </c>
      <c r="F14" s="12" t="s">
        <v>25</v>
      </c>
      <c r="G14" s="13" t="s">
        <v>84</v>
      </c>
      <c r="H14" s="13" t="s">
        <v>78</v>
      </c>
      <c r="I14" s="13">
        <f>SUMIF(Mercado_Receita!$S$2:$S$1157,"44501A4AzulNão se aplicaNão se aplicaAPENão se aplicaPonta",Mercado_Receita!$L$2:$L$1157)+SUMIF(Mercado_Receita!$S$2:$S$1157,"44501A4AzulNão se aplicaNão se aplicaAPENão se aplicaFora ponta",Mercado_Receita!$L$2:$L$1157)+SUMIF(Mercado_Receita!$S$2:$S$1157,"44501A4AzulNão se aplicaNão se aplicaAPENão se aplicaIntermediário",Mercado_Receita!$L$2:$L$1157)+SUMIF(Mercado_Receita!$S$2:$S$1157,"44501A4AzulNão se aplicaNão se aplicaAPENão se aplicaNão se aplica",Mercado_Receita!$L$2:$L$1157)</f>
        <v>0</v>
      </c>
      <c r="J14" s="13">
        <f>SUMIF(Mercado_Receita!$S$2:$S$1157,"44531A4AzulNão se aplicaNão se aplicaAPENão se aplicaPonta",Mercado_Receita!$L$2:$L$1157)+SUMIF(Mercado_Receita!$S$2:$S$1157,"44531A4AzulNão se aplicaNão se aplicaAPENão se aplicaFora ponta",Mercado_Receita!$L$2:$L$1157)+SUMIF(Mercado_Receita!$S$2:$S$1157,"44531A4AzulNão se aplicaNão se aplicaAPENão se aplicaIntermediário",Mercado_Receita!$L$2:$L$1157)+SUMIF(Mercado_Receita!$S$2:$S$1157,"44531A4AzulNão se aplicaNão se aplicaAPENão se aplicaNão se aplica",Mercado_Receita!$L$2:$L$1157)</f>
        <v>0</v>
      </c>
      <c r="K14" s="13">
        <f>SUMIF(Mercado_Receita!$S$2:$S$1157,"44562A4AzulNão se aplicaNão se aplicaAPENão se aplicaPonta",Mercado_Receita!$L$2:$L$1157)+SUMIF(Mercado_Receita!$S$2:$S$1157,"44562A4AzulNão se aplicaNão se aplicaAPENão se aplicaFora ponta",Mercado_Receita!$L$2:$L$1157)+SUMIF(Mercado_Receita!$S$2:$S$1157,"44562A4AzulNão se aplicaNão se aplicaAPENão se aplicaIntermediário",Mercado_Receita!$L$2:$L$1157)+SUMIF(Mercado_Receita!$S$2:$S$1157,"44562A4AzulNão se aplicaNão se aplicaAPENão se aplicaNão se aplica",Mercado_Receita!$L$2:$L$1157)</f>
        <v>0</v>
      </c>
      <c r="L14" s="13">
        <f>SUMIF(Mercado_Receita!$S$2:$S$1157,"44593A4AzulNão se aplicaNão se aplicaAPENão se aplicaPonta",Mercado_Receita!$L$2:$L$1157)+SUMIF(Mercado_Receita!$S$2:$S$1157,"44593A4AzulNão se aplicaNão se aplicaAPENão se aplicaFora ponta",Mercado_Receita!$L$2:$L$1157)+SUMIF(Mercado_Receita!$S$2:$S$1157,"44593A4AzulNão se aplicaNão se aplicaAPENão se aplicaIntermediário",Mercado_Receita!$L$2:$L$1157)+SUMIF(Mercado_Receita!$S$2:$S$1157,"44593A4AzulNão se aplicaNão se aplicaAPENão se aplicaNão se aplica",Mercado_Receita!$L$2:$L$1157)</f>
        <v>0</v>
      </c>
      <c r="M14" s="13">
        <f>SUMIF(Mercado_Receita!$S$2:$S$1157,"44621A4AzulNão se aplicaNão se aplicaAPENão se aplicaPonta",Mercado_Receita!$L$2:$L$1157)+SUMIF(Mercado_Receita!$S$2:$S$1157,"44621A4AzulNão se aplicaNão se aplicaAPENão se aplicaFora ponta",Mercado_Receita!$L$2:$L$1157)+SUMIF(Mercado_Receita!$S$2:$S$1157,"44621A4AzulNão se aplicaNão se aplicaAPENão se aplicaIntermediário",Mercado_Receita!$L$2:$L$1157)+SUMIF(Mercado_Receita!$S$2:$S$1157,"44621A4AzulNão se aplicaNão se aplicaAPENão se aplicaNão se aplica",Mercado_Receita!$L$2:$L$1157)</f>
        <v>0</v>
      </c>
      <c r="N14" s="13">
        <f>SUMIF(Mercado_Receita!$S$2:$S$1157,"44652A4AzulNão se aplicaNão se aplicaAPENão se aplicaPonta",Mercado_Receita!$L$2:$L$1157)+SUMIF(Mercado_Receita!$S$2:$S$1157,"44652A4AzulNão se aplicaNão se aplicaAPENão se aplicaFora ponta",Mercado_Receita!$L$2:$L$1157)+SUMIF(Mercado_Receita!$S$2:$S$1157,"44652A4AzulNão se aplicaNão se aplicaAPENão se aplicaIntermediário",Mercado_Receita!$L$2:$L$1157)+SUMIF(Mercado_Receita!$S$2:$S$1157,"44652A4AzulNão se aplicaNão se aplicaAPENão se aplicaNão se aplica",Mercado_Receita!$L$2:$L$1157)</f>
        <v>0</v>
      </c>
      <c r="O14" s="13">
        <f>SUMIF(Mercado_Receita!$S$2:$S$1157,"44682A4AzulNão se aplicaNão se aplicaAPENão se aplicaPonta",Mercado_Receita!$L$2:$L$1157)+SUMIF(Mercado_Receita!$S$2:$S$1157,"44682A4AzulNão se aplicaNão se aplicaAPENão se aplicaFora ponta",Mercado_Receita!$L$2:$L$1157)+SUMIF(Mercado_Receita!$S$2:$S$1157,"44682A4AzulNão se aplicaNão se aplicaAPENão se aplicaIntermediário",Mercado_Receita!$L$2:$L$1157)+SUMIF(Mercado_Receita!$S$2:$S$1157,"44682A4AzulNão se aplicaNão se aplicaAPENão se aplicaNão se aplica",Mercado_Receita!$L$2:$L$1157)</f>
        <v>0</v>
      </c>
      <c r="P14" s="13">
        <f>SUMIF(Mercado_Receita!$S$2:$S$1157,"44713A4AzulNão se aplicaNão se aplicaAPENão se aplicaPonta",Mercado_Receita!$L$2:$L$1157)+SUMIF(Mercado_Receita!$S$2:$S$1157,"44713A4AzulNão se aplicaNão se aplicaAPENão se aplicaFora ponta",Mercado_Receita!$L$2:$L$1157)+SUMIF(Mercado_Receita!$S$2:$S$1157,"44713A4AzulNão se aplicaNão se aplicaAPENão se aplicaIntermediário",Mercado_Receita!$L$2:$L$1157)+SUMIF(Mercado_Receita!$S$2:$S$1157,"44713A4AzulNão se aplicaNão se aplicaAPENão se aplicaNão se aplica",Mercado_Receita!$L$2:$L$1157)</f>
        <v>0</v>
      </c>
      <c r="Q14" s="13">
        <f>SUMIF(Mercado_Receita!$S$2:$S$1157,"44743A4AzulNão se aplicaNão se aplicaAPENão se aplicaPonta",Mercado_Receita!$L$2:$L$1157)+SUMIF(Mercado_Receita!$S$2:$S$1157,"44743A4AzulNão se aplicaNão se aplicaAPENão se aplicaFora ponta",Mercado_Receita!$L$2:$L$1157)+SUMIF(Mercado_Receita!$S$2:$S$1157,"44743A4AzulNão se aplicaNão se aplicaAPENão se aplicaIntermediário",Mercado_Receita!$L$2:$L$1157)+SUMIF(Mercado_Receita!$S$2:$S$1157,"44743A4AzulNão se aplicaNão se aplicaAPENão se aplicaNão se aplica",Mercado_Receita!$L$2:$L$1157)</f>
        <v>0</v>
      </c>
      <c r="R14" s="13">
        <f>SUMIF(Mercado_Receita!$S$2:$S$1157,"44774A4AzulNão se aplicaNão se aplicaAPENão se aplicaPonta",Mercado_Receita!$L$2:$L$1157)+SUMIF(Mercado_Receita!$S$2:$S$1157,"44774A4AzulNão se aplicaNão se aplicaAPENão se aplicaFora ponta",Mercado_Receita!$L$2:$L$1157)+SUMIF(Mercado_Receita!$S$2:$S$1157,"44774A4AzulNão se aplicaNão se aplicaAPENão se aplicaIntermediário",Mercado_Receita!$L$2:$L$1157)+SUMIF(Mercado_Receita!$S$2:$S$1157,"44774A4AzulNão se aplicaNão se aplicaAPENão se aplicaNão se aplica",Mercado_Receita!$L$2:$L$1157)</f>
        <v>0</v>
      </c>
      <c r="S14" s="13">
        <f>SUMIF(Mercado_Receita!$S$2:$S$1157,"44805A4AzulNão se aplicaNão se aplicaAPENão se aplicaPonta",Mercado_Receita!$L$2:$L$1157)+SUMIF(Mercado_Receita!$S$2:$S$1157,"44805A4AzulNão se aplicaNão se aplicaAPENão se aplicaFora ponta",Mercado_Receita!$L$2:$L$1157)+SUMIF(Mercado_Receita!$S$2:$S$1157,"44805A4AzulNão se aplicaNão se aplicaAPENão se aplicaIntermediário",Mercado_Receita!$L$2:$L$1157)+SUMIF(Mercado_Receita!$S$2:$S$1157,"44805A4AzulNão se aplicaNão se aplicaAPENão se aplicaNão se aplica",Mercado_Receita!$L$2:$L$1157)</f>
        <v>0</v>
      </c>
      <c r="T14" s="13">
        <f>SUMIF(Mercado_Receita!$S$2:$S$1157,"44835A4AzulNão se aplicaNão se aplicaAPENão se aplicaPonta",Mercado_Receita!$L$2:$L$1157)+SUMIF(Mercado_Receita!$S$2:$S$1157,"44835A4AzulNão se aplicaNão se aplicaAPENão se aplicaFora ponta",Mercado_Receita!$L$2:$L$1157)+SUMIF(Mercado_Receita!$S$2:$S$1157,"44835A4AzulNão se aplicaNão se aplicaAPENão se aplicaIntermediário",Mercado_Receita!$L$2:$L$1157)+SUMIF(Mercado_Receita!$S$2:$S$1157,"44835A4AzulNão se aplicaNão se aplicaAPENão se aplicaNão se aplica",Mercado_Receita!$L$2:$L$1157)</f>
        <v>0</v>
      </c>
      <c r="U14" s="13">
        <f t="shared" si="0"/>
        <v>0</v>
      </c>
      <c r="V14" s="13"/>
      <c r="W14" s="13"/>
    </row>
    <row r="15" spans="1:30" ht="11.25" customHeight="1" x14ac:dyDescent="0.3">
      <c r="A15" s="111"/>
      <c r="B15" s="12" t="s">
        <v>57</v>
      </c>
      <c r="C15" s="12" t="s">
        <v>25</v>
      </c>
      <c r="D15" s="12" t="s">
        <v>25</v>
      </c>
      <c r="E15" s="12" t="s">
        <v>25</v>
      </c>
      <c r="F15" s="12" t="s">
        <v>25</v>
      </c>
      <c r="G15" s="13" t="s">
        <v>9</v>
      </c>
      <c r="H15" s="13" t="s">
        <v>81</v>
      </c>
      <c r="I15" s="13">
        <f>SUMIF(Mercado_Receita!$S$2:$S$1157,"44501A4GeraçãoNão se aplicaNão se aplicaNão se aplicaNão se aplicaNão se aplica",Mercado_Receita!$J$2:$J$1157)+SUMIF(Mercado_Receita!$S$2:$S$1157,"44501A4GeraçãoNão se aplicaNão se aplicaAPENão se aplicaNão se aplica",Mercado_Receita!$J$2:$J$1157)</f>
        <v>8780</v>
      </c>
      <c r="J15" s="13">
        <f>SUMIF(Mercado_Receita!$S$2:$S$1157,"44531A4GeraçãoNão se aplicaNão se aplicaNão se aplicaNão se aplicaNão se aplica",Mercado_Receita!$J$2:$J$1157)+SUMIF(Mercado_Receita!$S$2:$S$1157,"44531A4GeraçãoNão se aplicaNão se aplicaAPENão se aplicaNão se aplica",Mercado_Receita!$J$2:$J$1157)</f>
        <v>8780</v>
      </c>
      <c r="K15" s="13">
        <f>SUMIF(Mercado_Receita!$S$2:$S$1157,"44562A4GeraçãoNão se aplicaNão se aplicaNão se aplicaNão se aplicaNão se aplica",Mercado_Receita!$J$2:$J$1157)+SUMIF(Mercado_Receita!$S$2:$S$1157,"44562A4GeraçãoNão se aplicaNão se aplicaAPENão se aplicaNão se aplica",Mercado_Receita!$J$2:$J$1157)</f>
        <v>8780</v>
      </c>
      <c r="L15" s="13">
        <f>SUMIF(Mercado_Receita!$S$2:$S$1157,"44593A4GeraçãoNão se aplicaNão se aplicaNão se aplicaNão se aplicaNão se aplica",Mercado_Receita!$J$2:$J$1157)+SUMIF(Mercado_Receita!$S$2:$S$1157,"44593A4GeraçãoNão se aplicaNão se aplicaAPENão se aplicaNão se aplica",Mercado_Receita!$J$2:$J$1157)</f>
        <v>8780</v>
      </c>
      <c r="M15" s="13">
        <f>SUMIF(Mercado_Receita!$S$2:$S$1157,"44621A4GeraçãoNão se aplicaNão se aplicaNão se aplicaNão se aplicaNão se aplica",Mercado_Receita!$J$2:$J$1157)+SUMIF(Mercado_Receita!$S$2:$S$1157,"44621A4GeraçãoNão se aplicaNão se aplicaAPENão se aplicaNão se aplica",Mercado_Receita!$J$2:$J$1157)</f>
        <v>8780</v>
      </c>
      <c r="N15" s="13">
        <f>SUMIF(Mercado_Receita!$S$2:$S$1157,"44652A4GeraçãoNão se aplicaNão se aplicaNão se aplicaNão se aplicaNão se aplica",Mercado_Receita!$J$2:$J$1157)+SUMIF(Mercado_Receita!$S$2:$S$1157,"44652A4GeraçãoNão se aplicaNão se aplicaAPENão se aplicaNão se aplica",Mercado_Receita!$J$2:$J$1157)</f>
        <v>8780</v>
      </c>
      <c r="O15" s="13">
        <f>SUMIF(Mercado_Receita!$S$2:$S$1157,"44682A4GeraçãoNão se aplicaNão se aplicaNão se aplicaNão se aplicaNão se aplica",Mercado_Receita!$J$2:$J$1157)+SUMIF(Mercado_Receita!$S$2:$S$1157,"44682A4GeraçãoNão se aplicaNão se aplicaAPENão se aplicaNão se aplica",Mercado_Receita!$J$2:$J$1157)</f>
        <v>8780</v>
      </c>
      <c r="P15" s="13">
        <f>SUMIF(Mercado_Receita!$S$2:$S$1157,"44713A4GeraçãoNão se aplicaNão se aplicaNão se aplicaNão se aplicaNão se aplica",Mercado_Receita!$J$2:$J$1157)+SUMIF(Mercado_Receita!$S$2:$S$1157,"44713A4GeraçãoNão se aplicaNão se aplicaAPENão se aplicaNão se aplica",Mercado_Receita!$J$2:$J$1157)</f>
        <v>8780</v>
      </c>
      <c r="Q15" s="13">
        <f>SUMIF(Mercado_Receita!$S$2:$S$1157,"44743A4GeraçãoNão se aplicaNão se aplicaNão se aplicaNão se aplicaNão se aplica",Mercado_Receita!$J$2:$J$1157)+SUMIF(Mercado_Receita!$S$2:$S$1157,"44743A4GeraçãoNão se aplicaNão se aplicaAPENão se aplicaNão se aplica",Mercado_Receita!$J$2:$J$1157)</f>
        <v>8780</v>
      </c>
      <c r="R15" s="13">
        <f>SUMIF(Mercado_Receita!$S$2:$S$1157,"44774A4GeraçãoNão se aplicaNão se aplicaNão se aplicaNão se aplicaNão se aplica",Mercado_Receita!$J$2:$J$1157)+SUMIF(Mercado_Receita!$S$2:$S$1157,"44774A4GeraçãoNão se aplicaNão se aplicaAPENão se aplicaNão se aplica",Mercado_Receita!$J$2:$J$1157)</f>
        <v>8780</v>
      </c>
      <c r="S15" s="13">
        <f>SUMIF(Mercado_Receita!$S$2:$S$1157,"44805A4GeraçãoNão se aplicaNão se aplicaNão se aplicaNão se aplicaNão se aplica",Mercado_Receita!$J$2:$J$1157)+SUMIF(Mercado_Receita!$S$2:$S$1157,"44805A4GeraçãoNão se aplicaNão se aplicaAPENão se aplicaNão se aplica",Mercado_Receita!$J$2:$J$1157)</f>
        <v>8780</v>
      </c>
      <c r="T15" s="13">
        <f>SUMIF(Mercado_Receita!$S$2:$S$1157,"44835A4GeraçãoNão se aplicaNão se aplicaNão se aplicaNão se aplicaNão se aplica",Mercado_Receita!$J$2:$J$1157)+SUMIF(Mercado_Receita!$S$2:$S$1157,"44835A4GeraçãoNão se aplicaNão se aplicaAPENão se aplicaNão se aplica",Mercado_Receita!$J$2:$J$1157)</f>
        <v>8780</v>
      </c>
      <c r="U15" s="13">
        <f t="shared" si="0"/>
        <v>105360</v>
      </c>
      <c r="V15" s="13"/>
      <c r="W15" s="13"/>
    </row>
    <row r="16" spans="1:30" ht="11.25" customHeight="1" x14ac:dyDescent="0.3">
      <c r="A16" s="111"/>
      <c r="B16" s="110" t="s">
        <v>41</v>
      </c>
      <c r="C16" s="110" t="s">
        <v>25</v>
      </c>
      <c r="D16" s="110" t="s">
        <v>25</v>
      </c>
      <c r="E16" s="110" t="s">
        <v>25</v>
      </c>
      <c r="F16" s="110" t="s">
        <v>25</v>
      </c>
      <c r="G16" s="13" t="s">
        <v>9</v>
      </c>
      <c r="H16" s="13" t="s">
        <v>81</v>
      </c>
      <c r="I16" s="13">
        <f>SUMIF(Mercado_Receita!$S$2:$S$1157,"44501A4VerdeNão se aplicaNão se aplicaNão se aplicaNão se aplicaNão se aplica",Mercado_Receita!$J$2:$J$1157)+SUMIF(Mercado_Receita!$S$2:$S$1157,"44501A4VerdeNão se aplicaNão se aplicaAPENão se aplicaNão se aplica",Mercado_Receita!$J$2:$J$1157)</f>
        <v>27642</v>
      </c>
      <c r="J16" s="13">
        <f>SUMIF(Mercado_Receita!$S$2:$S$1157,"44531A4VerdeNão se aplicaNão se aplicaNão se aplicaNão se aplicaNão se aplica",Mercado_Receita!$J$2:$J$1157)+SUMIF(Mercado_Receita!$S$2:$S$1157,"44531A4VerdeNão se aplicaNão se aplicaAPENão se aplicaNão se aplica",Mercado_Receita!$J$2:$J$1157)</f>
        <v>27668</v>
      </c>
      <c r="K16" s="13">
        <f>SUMIF(Mercado_Receita!$S$2:$S$1157,"44562A4VerdeNão se aplicaNão se aplicaNão se aplicaNão se aplicaNão se aplica",Mercado_Receita!$J$2:$J$1157)+SUMIF(Mercado_Receita!$S$2:$S$1157,"44562A4VerdeNão se aplicaNão se aplicaAPENão se aplicaNão se aplica",Mercado_Receita!$J$2:$J$1157)</f>
        <v>27460</v>
      </c>
      <c r="L16" s="13">
        <f>SUMIF(Mercado_Receita!$S$2:$S$1157,"44593A4VerdeNão se aplicaNão se aplicaNão se aplicaNão se aplicaNão se aplica",Mercado_Receita!$J$2:$J$1157)+SUMIF(Mercado_Receita!$S$2:$S$1157,"44593A4VerdeNão se aplicaNão se aplicaAPENão se aplicaNão se aplica",Mercado_Receita!$J$2:$J$1157)</f>
        <v>27683</v>
      </c>
      <c r="M16" s="13">
        <f>SUMIF(Mercado_Receita!$S$2:$S$1157,"44621A4VerdeNão se aplicaNão se aplicaNão se aplicaNão se aplicaNão se aplica",Mercado_Receita!$J$2:$J$1157)+SUMIF(Mercado_Receita!$S$2:$S$1157,"44621A4VerdeNão se aplicaNão se aplicaAPENão se aplicaNão se aplica",Mercado_Receita!$J$2:$J$1157)</f>
        <v>27668</v>
      </c>
      <c r="N16" s="13">
        <f>SUMIF(Mercado_Receita!$S$2:$S$1157,"44652A4VerdeNão se aplicaNão se aplicaNão se aplicaNão se aplicaNão se aplica",Mercado_Receita!$J$2:$J$1157)+SUMIF(Mercado_Receita!$S$2:$S$1157,"44652A4VerdeNão se aplicaNão se aplicaAPENão se aplicaNão se aplica",Mercado_Receita!$J$2:$J$1157)</f>
        <v>27936</v>
      </c>
      <c r="O16" s="13">
        <f>SUMIF(Mercado_Receita!$S$2:$S$1157,"44682A4VerdeNão se aplicaNão se aplicaNão se aplicaNão se aplicaNão se aplica",Mercado_Receita!$J$2:$J$1157)+SUMIF(Mercado_Receita!$S$2:$S$1157,"44682A4VerdeNão se aplicaNão se aplicaAPENão se aplicaNão se aplica",Mercado_Receita!$J$2:$J$1157)</f>
        <v>27837</v>
      </c>
      <c r="P16" s="13">
        <f>SUMIF(Mercado_Receita!$S$2:$S$1157,"44713A4VerdeNão se aplicaNão se aplicaNão se aplicaNão se aplicaNão se aplica",Mercado_Receita!$J$2:$J$1157)+SUMIF(Mercado_Receita!$S$2:$S$1157,"44713A4VerdeNão se aplicaNão se aplicaAPENão se aplicaNão se aplica",Mercado_Receita!$J$2:$J$1157)</f>
        <v>27795</v>
      </c>
      <c r="Q16" s="13">
        <f>SUMIF(Mercado_Receita!$S$2:$S$1157,"44743A4VerdeNão se aplicaNão se aplicaNão se aplicaNão se aplicaNão se aplica",Mercado_Receita!$J$2:$J$1157)+SUMIF(Mercado_Receita!$S$2:$S$1157,"44743A4VerdeNão se aplicaNão se aplicaAPENão se aplicaNão se aplica",Mercado_Receita!$J$2:$J$1157)</f>
        <v>26980</v>
      </c>
      <c r="R16" s="13">
        <f>SUMIF(Mercado_Receita!$S$2:$S$1157,"44774A4VerdeNão se aplicaNão se aplicaNão se aplicaNão se aplicaNão se aplica",Mercado_Receita!$J$2:$J$1157)+SUMIF(Mercado_Receita!$S$2:$S$1157,"44774A4VerdeNão se aplicaNão se aplicaAPENão se aplicaNão se aplica",Mercado_Receita!$J$2:$J$1157)</f>
        <v>28198</v>
      </c>
      <c r="S16" s="13">
        <f>SUMIF(Mercado_Receita!$S$2:$S$1157,"44805A4VerdeNão se aplicaNão se aplicaNão se aplicaNão se aplicaNão se aplica",Mercado_Receita!$J$2:$J$1157)+SUMIF(Mercado_Receita!$S$2:$S$1157,"44805A4VerdeNão se aplicaNão se aplicaAPENão se aplicaNão se aplica",Mercado_Receita!$J$2:$J$1157)</f>
        <v>28660</v>
      </c>
      <c r="T16" s="13">
        <f>SUMIF(Mercado_Receita!$S$2:$S$1157,"44835A4VerdeNão se aplicaNão se aplicaNão se aplicaNão se aplicaNão se aplica",Mercado_Receita!$J$2:$J$1157)+SUMIF(Mercado_Receita!$S$2:$S$1157,"44835A4VerdeNão se aplicaNão se aplicaAPENão se aplicaNão se aplica",Mercado_Receita!$J$2:$J$1157)</f>
        <v>28660</v>
      </c>
      <c r="U16" s="13">
        <f t="shared" si="0"/>
        <v>334187</v>
      </c>
      <c r="V16" s="13"/>
      <c r="W16" s="13"/>
    </row>
    <row r="17" spans="1:23" ht="11.25" customHeight="1" x14ac:dyDescent="0.3">
      <c r="A17" s="111"/>
      <c r="B17" s="111"/>
      <c r="C17" s="111"/>
      <c r="D17" s="111"/>
      <c r="E17" s="111"/>
      <c r="F17" s="111"/>
      <c r="G17" s="13" t="s">
        <v>79</v>
      </c>
      <c r="H17" s="13" t="s">
        <v>78</v>
      </c>
      <c r="I17" s="13">
        <f>SUMIF(Mercado_Receita!$S$2:$S$1157,"44501A4VerdeNão se aplicaNão se aplicaNão se aplicaNão se aplicaPonta",Mercado_Receita!$L$2:$L$1157)</f>
        <v>547.98</v>
      </c>
      <c r="J17" s="13">
        <f>SUMIF(Mercado_Receita!$S$2:$S$1157,"44531A4VerdeNão se aplicaNão se aplicaNão se aplicaNão se aplicaPonta",Mercado_Receita!$L$2:$L$1157)</f>
        <v>571.37199999999996</v>
      </c>
      <c r="K17" s="13">
        <f>SUMIF(Mercado_Receita!$S$2:$S$1157,"44562A4VerdeNão se aplicaNão se aplicaNão se aplicaNão se aplicaPonta",Mercado_Receita!$L$2:$L$1157)</f>
        <v>613.71799999999985</v>
      </c>
      <c r="L17" s="13">
        <f>SUMIF(Mercado_Receita!$S$2:$S$1157,"44593A4VerdeNão se aplicaNão se aplicaNão se aplicaNão se aplicaPonta",Mercado_Receita!$L$2:$L$1157)</f>
        <v>604.053</v>
      </c>
      <c r="M17" s="13">
        <f>SUMIF(Mercado_Receita!$S$2:$S$1157,"44621A4VerdeNão se aplicaNão se aplicaNão se aplicaNão se aplicaPonta",Mercado_Receita!$L$2:$L$1157)</f>
        <v>597.49000000000012</v>
      </c>
      <c r="N17" s="13">
        <f>SUMIF(Mercado_Receita!$S$2:$S$1157,"44652A4VerdeNão se aplicaNão se aplicaNão se aplicaNão se aplicaPonta",Mercado_Receita!$L$2:$L$1157)</f>
        <v>660.20499999999993</v>
      </c>
      <c r="O17" s="13">
        <f>SUMIF(Mercado_Receita!$S$2:$S$1157,"44682A4VerdeNão se aplicaNão se aplicaNão se aplicaNão se aplicaPonta",Mercado_Receita!$L$2:$L$1157)</f>
        <v>557.43600000000004</v>
      </c>
      <c r="P17" s="13">
        <f>SUMIF(Mercado_Receita!$S$2:$S$1157,"44713A4VerdeNão se aplicaNão se aplicaNão se aplicaNão se aplicaPonta",Mercado_Receita!$L$2:$L$1157)</f>
        <v>613.38100000000009</v>
      </c>
      <c r="Q17" s="13">
        <f>SUMIF(Mercado_Receita!$S$2:$S$1157,"44743A4VerdeNão se aplicaNão se aplicaNão se aplicaNão se aplicaPonta",Mercado_Receita!$L$2:$L$1157)</f>
        <v>556.21500000000003</v>
      </c>
      <c r="R17" s="13">
        <f>SUMIF(Mercado_Receita!$S$2:$S$1157,"44774A4VerdeNão se aplicaNão se aplicaNão se aplicaNão se aplicaPonta",Mercado_Receita!$L$2:$L$1157)</f>
        <v>577.44600000000003</v>
      </c>
      <c r="S17" s="13">
        <f>SUMIF(Mercado_Receita!$S$2:$S$1157,"44805A4VerdeNão se aplicaNão se aplicaNão se aplicaNão se aplicaPonta",Mercado_Receita!$L$2:$L$1157)</f>
        <v>645.65299999999991</v>
      </c>
      <c r="T17" s="13">
        <f>SUMIF(Mercado_Receita!$S$2:$S$1157,"44835A4VerdeNão se aplicaNão se aplicaNão se aplicaNão se aplicaPonta",Mercado_Receita!$L$2:$L$1157)</f>
        <v>645.65299999999991</v>
      </c>
      <c r="U17" s="13">
        <f t="shared" si="0"/>
        <v>7190.6020000000008</v>
      </c>
      <c r="V17" s="13"/>
      <c r="W17" s="13"/>
    </row>
    <row r="18" spans="1:23" ht="11.25" customHeight="1" x14ac:dyDescent="0.3">
      <c r="A18" s="111"/>
      <c r="B18" s="111"/>
      <c r="C18" s="111"/>
      <c r="D18" s="111"/>
      <c r="E18" s="111"/>
      <c r="F18" s="111"/>
      <c r="G18" s="13" t="s">
        <v>80</v>
      </c>
      <c r="H18" s="13" t="s">
        <v>78</v>
      </c>
      <c r="I18" s="13">
        <f>SUMIF(Mercado_Receita!$S$2:$S$1157,"44501A4VerdeNão se aplicaNão se aplicaNão se aplicaNão se aplicaFora ponta",Mercado_Receita!$L$2:$L$1157)</f>
        <v>7012.9169999999995</v>
      </c>
      <c r="J18" s="13">
        <f>SUMIF(Mercado_Receita!$S$2:$S$1157,"44531A4VerdeNão se aplicaNão se aplicaNão se aplicaNão se aplicaFora ponta",Mercado_Receita!$L$2:$L$1157)</f>
        <v>6854.7779999999993</v>
      </c>
      <c r="K18" s="13">
        <f>SUMIF(Mercado_Receita!$S$2:$S$1157,"44562A4VerdeNão se aplicaNão se aplicaNão se aplicaNão se aplicaFora ponta",Mercado_Receita!$L$2:$L$1157)</f>
        <v>6543.5779999999995</v>
      </c>
      <c r="L18" s="13">
        <f>SUMIF(Mercado_Receita!$S$2:$S$1157,"44593A4VerdeNão se aplicaNão se aplicaNão se aplicaNão se aplicaFora ponta",Mercado_Receita!$L$2:$L$1157)</f>
        <v>6756.0990000000002</v>
      </c>
      <c r="M18" s="13">
        <f>SUMIF(Mercado_Receita!$S$2:$S$1157,"44621A4VerdeNão se aplicaNão se aplicaNão se aplicaNão se aplicaFora ponta",Mercado_Receita!$L$2:$L$1157)</f>
        <v>6470.0680000000002</v>
      </c>
      <c r="N18" s="13">
        <f>SUMIF(Mercado_Receita!$S$2:$S$1157,"44652A4VerdeNão se aplicaNão se aplicaNão se aplicaNão se aplicaFora ponta",Mercado_Receita!$L$2:$L$1157)</f>
        <v>7258.8379999999997</v>
      </c>
      <c r="O18" s="13">
        <f>SUMIF(Mercado_Receita!$S$2:$S$1157,"44682A4VerdeNão se aplicaNão se aplicaNão se aplicaNão se aplicaFora ponta",Mercado_Receita!$L$2:$L$1157)</f>
        <v>6608.9759999999997</v>
      </c>
      <c r="P18" s="13">
        <f>SUMIF(Mercado_Receita!$S$2:$S$1157,"44713A4VerdeNão se aplicaNão se aplicaNão se aplicaNão se aplicaFora ponta",Mercado_Receita!$L$2:$L$1157)</f>
        <v>6624.2359999999999</v>
      </c>
      <c r="Q18" s="13">
        <f>SUMIF(Mercado_Receita!$S$2:$S$1157,"44743A4VerdeNão se aplicaNão se aplicaNão se aplicaNão se aplicaFora ponta",Mercado_Receita!$L$2:$L$1157)</f>
        <v>6119.6570000000002</v>
      </c>
      <c r="R18" s="13">
        <f>SUMIF(Mercado_Receita!$S$2:$S$1157,"44774A4VerdeNão se aplicaNão se aplicaNão se aplicaNão se aplicaFora ponta",Mercado_Receita!$L$2:$L$1157)</f>
        <v>6672.9980000000005</v>
      </c>
      <c r="S18" s="13">
        <f>SUMIF(Mercado_Receita!$S$2:$S$1157,"44805A4VerdeNão se aplicaNão se aplicaNão se aplicaNão se aplicaFora ponta",Mercado_Receita!$L$2:$L$1157)</f>
        <v>6937.7679999999991</v>
      </c>
      <c r="T18" s="13">
        <f>SUMIF(Mercado_Receita!$S$2:$S$1157,"44835A4VerdeNão se aplicaNão se aplicaNão se aplicaNão se aplicaFora ponta",Mercado_Receita!$L$2:$L$1157)</f>
        <v>6937.7679999999991</v>
      </c>
      <c r="U18" s="13">
        <f t="shared" si="0"/>
        <v>80797.680999999997</v>
      </c>
      <c r="V18" s="13"/>
      <c r="W18" s="13"/>
    </row>
    <row r="19" spans="1:23" ht="11.25" customHeight="1" x14ac:dyDescent="0.3">
      <c r="A19" s="111"/>
      <c r="B19" s="111"/>
      <c r="C19" s="111"/>
      <c r="D19" s="111"/>
      <c r="E19" s="110" t="s">
        <v>85</v>
      </c>
      <c r="F19" s="110" t="s">
        <v>25</v>
      </c>
      <c r="G19" s="13" t="s">
        <v>79</v>
      </c>
      <c r="H19" s="13" t="s">
        <v>78</v>
      </c>
      <c r="I19" s="13">
        <f>SUMIF(Mercado_Receita!$S$2:$S$1157,"44501A4VerdeNão se aplicaNão se aplicaAPENão se aplicaPonta",Mercado_Receita!$L$2:$L$1157)</f>
        <v>0</v>
      </c>
      <c r="J19" s="13">
        <f>SUMIF(Mercado_Receita!$S$2:$S$1157,"44531A4VerdeNão se aplicaNão se aplicaAPENão se aplicaPonta",Mercado_Receita!$L$2:$L$1157)</f>
        <v>0</v>
      </c>
      <c r="K19" s="13">
        <f>SUMIF(Mercado_Receita!$S$2:$S$1157,"44562A4VerdeNão se aplicaNão se aplicaAPENão se aplicaPonta",Mercado_Receita!$L$2:$L$1157)</f>
        <v>0</v>
      </c>
      <c r="L19" s="13">
        <f>SUMIF(Mercado_Receita!$S$2:$S$1157,"44593A4VerdeNão se aplicaNão se aplicaAPENão se aplicaPonta",Mercado_Receita!$L$2:$L$1157)</f>
        <v>0</v>
      </c>
      <c r="M19" s="13">
        <f>SUMIF(Mercado_Receita!$S$2:$S$1157,"44621A4VerdeNão se aplicaNão se aplicaAPENão se aplicaPonta",Mercado_Receita!$L$2:$L$1157)</f>
        <v>0</v>
      </c>
      <c r="N19" s="13">
        <f>SUMIF(Mercado_Receita!$S$2:$S$1157,"44652A4VerdeNão se aplicaNão se aplicaAPENão se aplicaPonta",Mercado_Receita!$L$2:$L$1157)</f>
        <v>0</v>
      </c>
      <c r="O19" s="13">
        <f>SUMIF(Mercado_Receita!$S$2:$S$1157,"44682A4VerdeNão se aplicaNão se aplicaAPENão se aplicaPonta",Mercado_Receita!$L$2:$L$1157)</f>
        <v>0</v>
      </c>
      <c r="P19" s="13">
        <f>SUMIF(Mercado_Receita!$S$2:$S$1157,"44713A4VerdeNão se aplicaNão se aplicaAPENão se aplicaPonta",Mercado_Receita!$L$2:$L$1157)</f>
        <v>0</v>
      </c>
      <c r="Q19" s="13">
        <f>SUMIF(Mercado_Receita!$S$2:$S$1157,"44743A4VerdeNão se aplicaNão se aplicaAPENão se aplicaPonta",Mercado_Receita!$L$2:$L$1157)</f>
        <v>0</v>
      </c>
      <c r="R19" s="13">
        <f>SUMIF(Mercado_Receita!$S$2:$S$1157,"44774A4VerdeNão se aplicaNão se aplicaAPENão se aplicaPonta",Mercado_Receita!$L$2:$L$1157)</f>
        <v>0</v>
      </c>
      <c r="S19" s="13">
        <f>SUMIF(Mercado_Receita!$S$2:$S$1157,"44805A4VerdeNão se aplicaNão se aplicaAPENão se aplicaPonta",Mercado_Receita!$L$2:$L$1157)</f>
        <v>0</v>
      </c>
      <c r="T19" s="13">
        <f>SUMIF(Mercado_Receita!$S$2:$S$1157,"44835A4VerdeNão se aplicaNão se aplicaAPENão se aplicaPonta",Mercado_Receita!$L$2:$L$1157)</f>
        <v>0</v>
      </c>
      <c r="U19" s="13">
        <f t="shared" si="0"/>
        <v>0</v>
      </c>
      <c r="V19" s="13"/>
      <c r="W19" s="13"/>
    </row>
    <row r="20" spans="1:23" ht="11.25" customHeight="1" x14ac:dyDescent="0.3">
      <c r="A20" s="111"/>
      <c r="B20" s="111"/>
      <c r="C20" s="111"/>
      <c r="D20" s="111"/>
      <c r="E20" s="111"/>
      <c r="F20" s="111"/>
      <c r="G20" s="13" t="s">
        <v>80</v>
      </c>
      <c r="H20" s="13" t="s">
        <v>78</v>
      </c>
      <c r="I20" s="13">
        <f>SUMIF(Mercado_Receita!$S$2:$S$1157,"44501A4VerdeNão se aplicaNão se aplicaAPENão se aplicaFora ponta",Mercado_Receita!$L$2:$L$1157)</f>
        <v>0</v>
      </c>
      <c r="J20" s="13">
        <f>SUMIF(Mercado_Receita!$S$2:$S$1157,"44531A4VerdeNão se aplicaNão se aplicaAPENão se aplicaFora ponta",Mercado_Receita!$L$2:$L$1157)</f>
        <v>0</v>
      </c>
      <c r="K20" s="13">
        <f>SUMIF(Mercado_Receita!$S$2:$S$1157,"44562A4VerdeNão se aplicaNão se aplicaAPENão se aplicaFora ponta",Mercado_Receita!$L$2:$L$1157)</f>
        <v>0</v>
      </c>
      <c r="L20" s="13">
        <f>SUMIF(Mercado_Receita!$S$2:$S$1157,"44593A4VerdeNão se aplicaNão se aplicaAPENão se aplicaFora ponta",Mercado_Receita!$L$2:$L$1157)</f>
        <v>0</v>
      </c>
      <c r="M20" s="13">
        <f>SUMIF(Mercado_Receita!$S$2:$S$1157,"44621A4VerdeNão se aplicaNão se aplicaAPENão se aplicaFora ponta",Mercado_Receita!$L$2:$L$1157)</f>
        <v>0</v>
      </c>
      <c r="N20" s="13">
        <f>SUMIF(Mercado_Receita!$S$2:$S$1157,"44652A4VerdeNão se aplicaNão se aplicaAPENão se aplicaFora ponta",Mercado_Receita!$L$2:$L$1157)</f>
        <v>0</v>
      </c>
      <c r="O20" s="13">
        <f>SUMIF(Mercado_Receita!$S$2:$S$1157,"44682A4VerdeNão se aplicaNão se aplicaAPENão se aplicaFora ponta",Mercado_Receita!$L$2:$L$1157)</f>
        <v>0</v>
      </c>
      <c r="P20" s="13">
        <f>SUMIF(Mercado_Receita!$S$2:$S$1157,"44713A4VerdeNão se aplicaNão se aplicaAPENão se aplicaFora ponta",Mercado_Receita!$L$2:$L$1157)</f>
        <v>0</v>
      </c>
      <c r="Q20" s="13">
        <f>SUMIF(Mercado_Receita!$S$2:$S$1157,"44743A4VerdeNão se aplicaNão se aplicaAPENão se aplicaFora ponta",Mercado_Receita!$L$2:$L$1157)</f>
        <v>0</v>
      </c>
      <c r="R20" s="13">
        <f>SUMIF(Mercado_Receita!$S$2:$S$1157,"44774A4VerdeNão se aplicaNão se aplicaAPENão se aplicaFora ponta",Mercado_Receita!$L$2:$L$1157)</f>
        <v>0</v>
      </c>
      <c r="S20" s="13">
        <f>SUMIF(Mercado_Receita!$S$2:$S$1157,"44805A4VerdeNão se aplicaNão se aplicaAPENão se aplicaFora ponta",Mercado_Receita!$L$2:$L$1157)</f>
        <v>0</v>
      </c>
      <c r="T20" s="13">
        <f>SUMIF(Mercado_Receita!$S$2:$S$1157,"44835A4VerdeNão se aplicaNão se aplicaAPENão se aplicaFora ponta",Mercado_Receita!$L$2:$L$1157)</f>
        <v>0</v>
      </c>
      <c r="U20" s="13">
        <f t="shared" si="0"/>
        <v>0</v>
      </c>
      <c r="V20" s="13"/>
      <c r="W20" s="13"/>
    </row>
    <row r="21" spans="1:23" ht="11.25" customHeight="1" x14ac:dyDescent="0.3">
      <c r="A21" s="110" t="s">
        <v>43</v>
      </c>
      <c r="B21" s="110" t="s">
        <v>40</v>
      </c>
      <c r="C21" s="110" t="s">
        <v>25</v>
      </c>
      <c r="D21" s="110" t="s">
        <v>25</v>
      </c>
      <c r="E21" s="110" t="s">
        <v>25</v>
      </c>
      <c r="F21" s="110" t="s">
        <v>25</v>
      </c>
      <c r="G21" s="13" t="s">
        <v>82</v>
      </c>
      <c r="H21" s="13" t="s">
        <v>81</v>
      </c>
      <c r="I21" s="13">
        <f>SUMIF(Mercado_Receita!$S$2:$S$1157,"44501ASAzulNão se aplicaNão se aplicaNão se aplicaNão se aplicaPonta",Mercado_Receita!$J$2:$J$1157)+SUMIF(Mercado_Receita!$S$2:$S$1157,"44501ASAzulNão se aplicaNão se aplicaAPENão se aplicaPonta",Mercado_Receita!$J$2:$J$1157)</f>
        <v>0</v>
      </c>
      <c r="J21" s="13">
        <f>SUMIF(Mercado_Receita!$S$2:$S$1157,"44531ASAzulNão se aplicaNão se aplicaNão se aplicaNão se aplicaPonta",Mercado_Receita!$J$2:$J$1157)+SUMIF(Mercado_Receita!$S$2:$S$1157,"44531ASAzulNão se aplicaNão se aplicaAPENão se aplicaPonta",Mercado_Receita!$J$2:$J$1157)</f>
        <v>0</v>
      </c>
      <c r="K21" s="13">
        <f>SUMIF(Mercado_Receita!$S$2:$S$1157,"44562ASAzulNão se aplicaNão se aplicaNão se aplicaNão se aplicaPonta",Mercado_Receita!$J$2:$J$1157)+SUMIF(Mercado_Receita!$S$2:$S$1157,"44562ASAzulNão se aplicaNão se aplicaAPENão se aplicaPonta",Mercado_Receita!$J$2:$J$1157)</f>
        <v>0</v>
      </c>
      <c r="L21" s="13">
        <f>SUMIF(Mercado_Receita!$S$2:$S$1157,"44593ASAzulNão se aplicaNão se aplicaNão se aplicaNão se aplicaPonta",Mercado_Receita!$J$2:$J$1157)+SUMIF(Mercado_Receita!$S$2:$S$1157,"44593ASAzulNão se aplicaNão se aplicaAPENão se aplicaPonta",Mercado_Receita!$J$2:$J$1157)</f>
        <v>0</v>
      </c>
      <c r="M21" s="13">
        <f>SUMIF(Mercado_Receita!$S$2:$S$1157,"44621ASAzulNão se aplicaNão se aplicaNão se aplicaNão se aplicaPonta",Mercado_Receita!$J$2:$J$1157)+SUMIF(Mercado_Receita!$S$2:$S$1157,"44621ASAzulNão se aplicaNão se aplicaAPENão se aplicaPonta",Mercado_Receita!$J$2:$J$1157)</f>
        <v>0</v>
      </c>
      <c r="N21" s="13">
        <f>SUMIF(Mercado_Receita!$S$2:$S$1157,"44652ASAzulNão se aplicaNão se aplicaNão se aplicaNão se aplicaPonta",Mercado_Receita!$J$2:$J$1157)+SUMIF(Mercado_Receita!$S$2:$S$1157,"44652ASAzulNão se aplicaNão se aplicaAPENão se aplicaPonta",Mercado_Receita!$J$2:$J$1157)</f>
        <v>0</v>
      </c>
      <c r="O21" s="13">
        <f>SUMIF(Mercado_Receita!$S$2:$S$1157,"44682ASAzulNão se aplicaNão se aplicaNão se aplicaNão se aplicaPonta",Mercado_Receita!$J$2:$J$1157)+SUMIF(Mercado_Receita!$S$2:$S$1157,"44682ASAzulNão se aplicaNão se aplicaAPENão se aplicaPonta",Mercado_Receita!$J$2:$J$1157)</f>
        <v>0</v>
      </c>
      <c r="P21" s="13">
        <f>SUMIF(Mercado_Receita!$S$2:$S$1157,"44713ASAzulNão se aplicaNão se aplicaNão se aplicaNão se aplicaPonta",Mercado_Receita!$J$2:$J$1157)+SUMIF(Mercado_Receita!$S$2:$S$1157,"44713ASAzulNão se aplicaNão se aplicaAPENão se aplicaPonta",Mercado_Receita!$J$2:$J$1157)</f>
        <v>0</v>
      </c>
      <c r="Q21" s="13">
        <f>SUMIF(Mercado_Receita!$S$2:$S$1157,"44743ASAzulNão se aplicaNão se aplicaNão se aplicaNão se aplicaPonta",Mercado_Receita!$J$2:$J$1157)+SUMIF(Mercado_Receita!$S$2:$S$1157,"44743ASAzulNão se aplicaNão se aplicaAPENão se aplicaPonta",Mercado_Receita!$J$2:$J$1157)</f>
        <v>0</v>
      </c>
      <c r="R21" s="13">
        <f>SUMIF(Mercado_Receita!$S$2:$S$1157,"44774ASAzulNão se aplicaNão se aplicaNão se aplicaNão se aplicaPonta",Mercado_Receita!$J$2:$J$1157)+SUMIF(Mercado_Receita!$S$2:$S$1157,"44774ASAzulNão se aplicaNão se aplicaAPENão se aplicaPonta",Mercado_Receita!$J$2:$J$1157)</f>
        <v>0</v>
      </c>
      <c r="S21" s="13">
        <f>SUMIF(Mercado_Receita!$S$2:$S$1157,"44805ASAzulNão se aplicaNão se aplicaNão se aplicaNão se aplicaPonta",Mercado_Receita!$J$2:$J$1157)+SUMIF(Mercado_Receita!$S$2:$S$1157,"44805ASAzulNão se aplicaNão se aplicaAPENão se aplicaPonta",Mercado_Receita!$J$2:$J$1157)</f>
        <v>0</v>
      </c>
      <c r="T21" s="13">
        <f>SUMIF(Mercado_Receita!$S$2:$S$1157,"44835ASAzulNão se aplicaNão se aplicaNão se aplicaNão se aplicaPonta",Mercado_Receita!$J$2:$J$1157)+SUMIF(Mercado_Receita!$S$2:$S$1157,"44835ASAzulNão se aplicaNão se aplicaAPENão se aplicaPonta",Mercado_Receita!$J$2:$J$1157)</f>
        <v>0</v>
      </c>
      <c r="U21" s="13">
        <f t="shared" si="0"/>
        <v>0</v>
      </c>
      <c r="V21" s="13"/>
      <c r="W21" s="13"/>
    </row>
    <row r="22" spans="1:23" ht="11.25" customHeight="1" x14ac:dyDescent="0.3">
      <c r="A22" s="111"/>
      <c r="B22" s="111"/>
      <c r="C22" s="111"/>
      <c r="D22" s="111"/>
      <c r="E22" s="111"/>
      <c r="F22" s="111"/>
      <c r="G22" s="13" t="s">
        <v>83</v>
      </c>
      <c r="H22" s="13" t="s">
        <v>81</v>
      </c>
      <c r="I22" s="13">
        <f>SUMIF(Mercado_Receita!$S$2:$S$1157,"44501ASAzulNão se aplicaNão se aplicaNão se aplicaNão se aplicaFora ponta",Mercado_Receita!$J$2:$J$1157)+SUMIF(Mercado_Receita!$S$2:$S$1157,"44501ASAzulNão se aplicaNão se aplicaAPENão se aplicaFora ponta",Mercado_Receita!$J$2:$J$1157)</f>
        <v>0</v>
      </c>
      <c r="J22" s="13">
        <f>SUMIF(Mercado_Receita!$S$2:$S$1157,"44531ASAzulNão se aplicaNão se aplicaNão se aplicaNão se aplicaFora ponta",Mercado_Receita!$J$2:$J$1157)+SUMIF(Mercado_Receita!$S$2:$S$1157,"44531ASAzulNão se aplicaNão se aplicaAPENão se aplicaFora ponta",Mercado_Receita!$J$2:$J$1157)</f>
        <v>0</v>
      </c>
      <c r="K22" s="13">
        <f>SUMIF(Mercado_Receita!$S$2:$S$1157,"44562ASAzulNão se aplicaNão se aplicaNão se aplicaNão se aplicaFora ponta",Mercado_Receita!$J$2:$J$1157)+SUMIF(Mercado_Receita!$S$2:$S$1157,"44562ASAzulNão se aplicaNão se aplicaAPENão se aplicaFora ponta",Mercado_Receita!$J$2:$J$1157)</f>
        <v>0</v>
      </c>
      <c r="L22" s="13">
        <f>SUMIF(Mercado_Receita!$S$2:$S$1157,"44593ASAzulNão se aplicaNão se aplicaNão se aplicaNão se aplicaFora ponta",Mercado_Receita!$J$2:$J$1157)+SUMIF(Mercado_Receita!$S$2:$S$1157,"44593ASAzulNão se aplicaNão se aplicaAPENão se aplicaFora ponta",Mercado_Receita!$J$2:$J$1157)</f>
        <v>0</v>
      </c>
      <c r="M22" s="13">
        <f>SUMIF(Mercado_Receita!$S$2:$S$1157,"44621ASAzulNão se aplicaNão se aplicaNão se aplicaNão se aplicaFora ponta",Mercado_Receita!$J$2:$J$1157)+SUMIF(Mercado_Receita!$S$2:$S$1157,"44621ASAzulNão se aplicaNão se aplicaAPENão se aplicaFora ponta",Mercado_Receita!$J$2:$J$1157)</f>
        <v>0</v>
      </c>
      <c r="N22" s="13">
        <f>SUMIF(Mercado_Receita!$S$2:$S$1157,"44652ASAzulNão se aplicaNão se aplicaNão se aplicaNão se aplicaFora ponta",Mercado_Receita!$J$2:$J$1157)+SUMIF(Mercado_Receita!$S$2:$S$1157,"44652ASAzulNão se aplicaNão se aplicaAPENão se aplicaFora ponta",Mercado_Receita!$J$2:$J$1157)</f>
        <v>0</v>
      </c>
      <c r="O22" s="13">
        <f>SUMIF(Mercado_Receita!$S$2:$S$1157,"44682ASAzulNão se aplicaNão se aplicaNão se aplicaNão se aplicaFora ponta",Mercado_Receita!$J$2:$J$1157)+SUMIF(Mercado_Receita!$S$2:$S$1157,"44682ASAzulNão se aplicaNão se aplicaAPENão se aplicaFora ponta",Mercado_Receita!$J$2:$J$1157)</f>
        <v>0</v>
      </c>
      <c r="P22" s="13">
        <f>SUMIF(Mercado_Receita!$S$2:$S$1157,"44713ASAzulNão se aplicaNão se aplicaNão se aplicaNão se aplicaFora ponta",Mercado_Receita!$J$2:$J$1157)+SUMIF(Mercado_Receita!$S$2:$S$1157,"44713ASAzulNão se aplicaNão se aplicaAPENão se aplicaFora ponta",Mercado_Receita!$J$2:$J$1157)</f>
        <v>0</v>
      </c>
      <c r="Q22" s="13">
        <f>SUMIF(Mercado_Receita!$S$2:$S$1157,"44743ASAzulNão se aplicaNão se aplicaNão se aplicaNão se aplicaFora ponta",Mercado_Receita!$J$2:$J$1157)+SUMIF(Mercado_Receita!$S$2:$S$1157,"44743ASAzulNão se aplicaNão se aplicaAPENão se aplicaFora ponta",Mercado_Receita!$J$2:$J$1157)</f>
        <v>0</v>
      </c>
      <c r="R22" s="13">
        <f>SUMIF(Mercado_Receita!$S$2:$S$1157,"44774ASAzulNão se aplicaNão se aplicaNão se aplicaNão se aplicaFora ponta",Mercado_Receita!$J$2:$J$1157)+SUMIF(Mercado_Receita!$S$2:$S$1157,"44774ASAzulNão se aplicaNão se aplicaAPENão se aplicaFora ponta",Mercado_Receita!$J$2:$J$1157)</f>
        <v>0</v>
      </c>
      <c r="S22" s="13">
        <f>SUMIF(Mercado_Receita!$S$2:$S$1157,"44805ASAzulNão se aplicaNão se aplicaNão se aplicaNão se aplicaFora ponta",Mercado_Receita!$J$2:$J$1157)+SUMIF(Mercado_Receita!$S$2:$S$1157,"44805ASAzulNão se aplicaNão se aplicaAPENão se aplicaFora ponta",Mercado_Receita!$J$2:$J$1157)</f>
        <v>0</v>
      </c>
      <c r="T22" s="13">
        <f>SUMIF(Mercado_Receita!$S$2:$S$1157,"44835ASAzulNão se aplicaNão se aplicaNão se aplicaNão se aplicaFora ponta",Mercado_Receita!$J$2:$J$1157)+SUMIF(Mercado_Receita!$S$2:$S$1157,"44835ASAzulNão se aplicaNão se aplicaAPENão se aplicaFora ponta",Mercado_Receita!$J$2:$J$1157)</f>
        <v>0</v>
      </c>
      <c r="U22" s="13">
        <f t="shared" si="0"/>
        <v>0</v>
      </c>
      <c r="V22" s="13"/>
      <c r="W22" s="13"/>
    </row>
    <row r="23" spans="1:23" ht="11.25" customHeight="1" x14ac:dyDescent="0.3">
      <c r="A23" s="111"/>
      <c r="B23" s="111"/>
      <c r="C23" s="111"/>
      <c r="D23" s="111"/>
      <c r="E23" s="111"/>
      <c r="F23" s="111"/>
      <c r="G23" s="13" t="s">
        <v>84</v>
      </c>
      <c r="H23" s="13" t="s">
        <v>78</v>
      </c>
      <c r="I23" s="13">
        <f>SUMIF(Mercado_Receita!$S$2:$S$1157,"44501ASAzulNão se aplicaNão se aplicaNão se aplicaNão se aplicaPonta",Mercado_Receita!$L$2:$L$1157)+SUMIF(Mercado_Receita!$S$2:$S$1157,"44501ASAzulNão se aplicaNão se aplicaNão se aplicaNão se aplicaFora ponta",Mercado_Receita!$L$2:$L$1157)+SUMIF(Mercado_Receita!$S$2:$S$1157,"44501ASAzulNão se aplicaNão se aplicaNão se aplicaNão se aplicaIntermediário",Mercado_Receita!$L$2:$L$1157)+SUMIF(Mercado_Receita!$S$2:$S$1157,"44501ASAzulNão se aplicaNão se aplicaNão se aplicaNão se aplicaNão se aplica",Mercado_Receita!$L$2:$L$1157)</f>
        <v>0</v>
      </c>
      <c r="J23" s="13">
        <f>SUMIF(Mercado_Receita!$S$2:$S$1157,"44531ASAzulNão se aplicaNão se aplicaNão se aplicaNão se aplicaPonta",Mercado_Receita!$L$2:$L$1157)+SUMIF(Mercado_Receita!$S$2:$S$1157,"44531ASAzulNão se aplicaNão se aplicaNão se aplicaNão se aplicaFora ponta",Mercado_Receita!$L$2:$L$1157)+SUMIF(Mercado_Receita!$S$2:$S$1157,"44531ASAzulNão se aplicaNão se aplicaNão se aplicaNão se aplicaIntermediário",Mercado_Receita!$L$2:$L$1157)+SUMIF(Mercado_Receita!$S$2:$S$1157,"44531ASAzulNão se aplicaNão se aplicaNão se aplicaNão se aplicaNão se aplica",Mercado_Receita!$L$2:$L$1157)</f>
        <v>0</v>
      </c>
      <c r="K23" s="13">
        <f>SUMIF(Mercado_Receita!$S$2:$S$1157,"44562ASAzulNão se aplicaNão se aplicaNão se aplicaNão se aplicaPonta",Mercado_Receita!$L$2:$L$1157)+SUMIF(Mercado_Receita!$S$2:$S$1157,"44562ASAzulNão se aplicaNão se aplicaNão se aplicaNão se aplicaFora ponta",Mercado_Receita!$L$2:$L$1157)+SUMIF(Mercado_Receita!$S$2:$S$1157,"44562ASAzulNão se aplicaNão se aplicaNão se aplicaNão se aplicaIntermediário",Mercado_Receita!$L$2:$L$1157)+SUMIF(Mercado_Receita!$S$2:$S$1157,"44562ASAzulNão se aplicaNão se aplicaNão se aplicaNão se aplicaNão se aplica",Mercado_Receita!$L$2:$L$1157)</f>
        <v>0</v>
      </c>
      <c r="L23" s="13">
        <f>SUMIF(Mercado_Receita!$S$2:$S$1157,"44593ASAzulNão se aplicaNão se aplicaNão se aplicaNão se aplicaPonta",Mercado_Receita!$L$2:$L$1157)+SUMIF(Mercado_Receita!$S$2:$S$1157,"44593ASAzulNão se aplicaNão se aplicaNão se aplicaNão se aplicaFora ponta",Mercado_Receita!$L$2:$L$1157)+SUMIF(Mercado_Receita!$S$2:$S$1157,"44593ASAzulNão se aplicaNão se aplicaNão se aplicaNão se aplicaIntermediário",Mercado_Receita!$L$2:$L$1157)+SUMIF(Mercado_Receita!$S$2:$S$1157,"44593ASAzulNão se aplicaNão se aplicaNão se aplicaNão se aplicaNão se aplica",Mercado_Receita!$L$2:$L$1157)</f>
        <v>0</v>
      </c>
      <c r="M23" s="13">
        <f>SUMIF(Mercado_Receita!$S$2:$S$1157,"44621ASAzulNão se aplicaNão se aplicaNão se aplicaNão se aplicaPonta",Mercado_Receita!$L$2:$L$1157)+SUMIF(Mercado_Receita!$S$2:$S$1157,"44621ASAzulNão se aplicaNão se aplicaNão se aplicaNão se aplicaFora ponta",Mercado_Receita!$L$2:$L$1157)+SUMIF(Mercado_Receita!$S$2:$S$1157,"44621ASAzulNão se aplicaNão se aplicaNão se aplicaNão se aplicaIntermediário",Mercado_Receita!$L$2:$L$1157)+SUMIF(Mercado_Receita!$S$2:$S$1157,"44621ASAzulNão se aplicaNão se aplicaNão se aplicaNão se aplicaNão se aplica",Mercado_Receita!$L$2:$L$1157)</f>
        <v>0</v>
      </c>
      <c r="N23" s="13">
        <f>SUMIF(Mercado_Receita!$S$2:$S$1157,"44652ASAzulNão se aplicaNão se aplicaNão se aplicaNão se aplicaPonta",Mercado_Receita!$L$2:$L$1157)+SUMIF(Mercado_Receita!$S$2:$S$1157,"44652ASAzulNão se aplicaNão se aplicaNão se aplicaNão se aplicaFora ponta",Mercado_Receita!$L$2:$L$1157)+SUMIF(Mercado_Receita!$S$2:$S$1157,"44652ASAzulNão se aplicaNão se aplicaNão se aplicaNão se aplicaIntermediário",Mercado_Receita!$L$2:$L$1157)+SUMIF(Mercado_Receita!$S$2:$S$1157,"44652ASAzulNão se aplicaNão se aplicaNão se aplicaNão se aplicaNão se aplica",Mercado_Receita!$L$2:$L$1157)</f>
        <v>0</v>
      </c>
      <c r="O23" s="13">
        <f>SUMIF(Mercado_Receita!$S$2:$S$1157,"44682ASAzulNão se aplicaNão se aplicaNão se aplicaNão se aplicaPonta",Mercado_Receita!$L$2:$L$1157)+SUMIF(Mercado_Receita!$S$2:$S$1157,"44682ASAzulNão se aplicaNão se aplicaNão se aplicaNão se aplicaFora ponta",Mercado_Receita!$L$2:$L$1157)+SUMIF(Mercado_Receita!$S$2:$S$1157,"44682ASAzulNão se aplicaNão se aplicaNão se aplicaNão se aplicaIntermediário",Mercado_Receita!$L$2:$L$1157)+SUMIF(Mercado_Receita!$S$2:$S$1157,"44682ASAzulNão se aplicaNão se aplicaNão se aplicaNão se aplicaNão se aplica",Mercado_Receita!$L$2:$L$1157)</f>
        <v>0</v>
      </c>
      <c r="P23" s="13">
        <f>SUMIF(Mercado_Receita!$S$2:$S$1157,"44713ASAzulNão se aplicaNão se aplicaNão se aplicaNão se aplicaPonta",Mercado_Receita!$L$2:$L$1157)+SUMIF(Mercado_Receita!$S$2:$S$1157,"44713ASAzulNão se aplicaNão se aplicaNão se aplicaNão se aplicaFora ponta",Mercado_Receita!$L$2:$L$1157)+SUMIF(Mercado_Receita!$S$2:$S$1157,"44713ASAzulNão se aplicaNão se aplicaNão se aplicaNão se aplicaIntermediário",Mercado_Receita!$L$2:$L$1157)+SUMIF(Mercado_Receita!$S$2:$S$1157,"44713ASAzulNão se aplicaNão se aplicaNão se aplicaNão se aplicaNão se aplica",Mercado_Receita!$L$2:$L$1157)</f>
        <v>0</v>
      </c>
      <c r="Q23" s="13">
        <f>SUMIF(Mercado_Receita!$S$2:$S$1157,"44743ASAzulNão se aplicaNão se aplicaNão se aplicaNão se aplicaPonta",Mercado_Receita!$L$2:$L$1157)+SUMIF(Mercado_Receita!$S$2:$S$1157,"44743ASAzulNão se aplicaNão se aplicaNão se aplicaNão se aplicaFora ponta",Mercado_Receita!$L$2:$L$1157)+SUMIF(Mercado_Receita!$S$2:$S$1157,"44743ASAzulNão se aplicaNão se aplicaNão se aplicaNão se aplicaIntermediário",Mercado_Receita!$L$2:$L$1157)+SUMIF(Mercado_Receita!$S$2:$S$1157,"44743ASAzulNão se aplicaNão se aplicaNão se aplicaNão se aplicaNão se aplica",Mercado_Receita!$L$2:$L$1157)</f>
        <v>0</v>
      </c>
      <c r="R23" s="13">
        <f>SUMIF(Mercado_Receita!$S$2:$S$1157,"44774ASAzulNão se aplicaNão se aplicaNão se aplicaNão se aplicaPonta",Mercado_Receita!$L$2:$L$1157)+SUMIF(Mercado_Receita!$S$2:$S$1157,"44774ASAzulNão se aplicaNão se aplicaNão se aplicaNão se aplicaFora ponta",Mercado_Receita!$L$2:$L$1157)+SUMIF(Mercado_Receita!$S$2:$S$1157,"44774ASAzulNão se aplicaNão se aplicaNão se aplicaNão se aplicaIntermediário",Mercado_Receita!$L$2:$L$1157)+SUMIF(Mercado_Receita!$S$2:$S$1157,"44774ASAzulNão se aplicaNão se aplicaNão se aplicaNão se aplicaNão se aplica",Mercado_Receita!$L$2:$L$1157)</f>
        <v>0</v>
      </c>
      <c r="S23" s="13">
        <f>SUMIF(Mercado_Receita!$S$2:$S$1157,"44805ASAzulNão se aplicaNão se aplicaNão se aplicaNão se aplicaPonta",Mercado_Receita!$L$2:$L$1157)+SUMIF(Mercado_Receita!$S$2:$S$1157,"44805ASAzulNão se aplicaNão se aplicaNão se aplicaNão se aplicaFora ponta",Mercado_Receita!$L$2:$L$1157)+SUMIF(Mercado_Receita!$S$2:$S$1157,"44805ASAzulNão se aplicaNão se aplicaNão se aplicaNão se aplicaIntermediário",Mercado_Receita!$L$2:$L$1157)+SUMIF(Mercado_Receita!$S$2:$S$1157,"44805ASAzulNão se aplicaNão se aplicaNão se aplicaNão se aplicaNão se aplica",Mercado_Receita!$L$2:$L$1157)</f>
        <v>0</v>
      </c>
      <c r="T23" s="13">
        <f>SUMIF(Mercado_Receita!$S$2:$S$1157,"44835ASAzulNão se aplicaNão se aplicaNão se aplicaNão se aplicaPonta",Mercado_Receita!$L$2:$L$1157)+SUMIF(Mercado_Receita!$S$2:$S$1157,"44835ASAzulNão se aplicaNão se aplicaNão se aplicaNão se aplicaFora ponta",Mercado_Receita!$L$2:$L$1157)+SUMIF(Mercado_Receita!$S$2:$S$1157,"44835ASAzulNão se aplicaNão se aplicaNão se aplicaNão se aplicaIntermediário",Mercado_Receita!$L$2:$L$1157)+SUMIF(Mercado_Receita!$S$2:$S$1157,"44835ASAzulNão se aplicaNão se aplicaNão se aplicaNão se aplicaNão se aplica",Mercado_Receita!$L$2:$L$1157)</f>
        <v>0</v>
      </c>
      <c r="U23" s="13">
        <f t="shared" si="0"/>
        <v>0</v>
      </c>
      <c r="V23" s="13"/>
      <c r="W23" s="13"/>
    </row>
    <row r="24" spans="1:23" ht="11.25" customHeight="1" x14ac:dyDescent="0.3">
      <c r="A24" s="111"/>
      <c r="B24" s="111"/>
      <c r="C24" s="111"/>
      <c r="D24" s="111"/>
      <c r="E24" s="12" t="s">
        <v>85</v>
      </c>
      <c r="F24" s="12" t="s">
        <v>25</v>
      </c>
      <c r="G24" s="13" t="s">
        <v>84</v>
      </c>
      <c r="H24" s="13" t="s">
        <v>78</v>
      </c>
      <c r="I24" s="13">
        <f>SUMIF(Mercado_Receita!$S$2:$S$1157,"44501ASAzulNão se aplicaNão se aplicaAPENão se aplicaPonta",Mercado_Receita!$L$2:$L$1157)+SUMIF(Mercado_Receita!$S$2:$S$1157,"44501ASAzulNão se aplicaNão se aplicaAPENão se aplicaFora ponta",Mercado_Receita!$L$2:$L$1157)+SUMIF(Mercado_Receita!$S$2:$S$1157,"44501ASAzulNão se aplicaNão se aplicaAPENão se aplicaIntermediário",Mercado_Receita!$L$2:$L$1157)+SUMIF(Mercado_Receita!$S$2:$S$1157,"44501ASAzulNão se aplicaNão se aplicaAPENão se aplicaNão se aplica",Mercado_Receita!$L$2:$L$1157)</f>
        <v>0</v>
      </c>
      <c r="J24" s="13">
        <f>SUMIF(Mercado_Receita!$S$2:$S$1157,"44531ASAzulNão se aplicaNão se aplicaAPENão se aplicaPonta",Mercado_Receita!$L$2:$L$1157)+SUMIF(Mercado_Receita!$S$2:$S$1157,"44531ASAzulNão se aplicaNão se aplicaAPENão se aplicaFora ponta",Mercado_Receita!$L$2:$L$1157)+SUMIF(Mercado_Receita!$S$2:$S$1157,"44531ASAzulNão se aplicaNão se aplicaAPENão se aplicaIntermediário",Mercado_Receita!$L$2:$L$1157)+SUMIF(Mercado_Receita!$S$2:$S$1157,"44531ASAzulNão se aplicaNão se aplicaAPENão se aplicaNão se aplica",Mercado_Receita!$L$2:$L$1157)</f>
        <v>0</v>
      </c>
      <c r="K24" s="13">
        <f>SUMIF(Mercado_Receita!$S$2:$S$1157,"44562ASAzulNão se aplicaNão se aplicaAPENão se aplicaPonta",Mercado_Receita!$L$2:$L$1157)+SUMIF(Mercado_Receita!$S$2:$S$1157,"44562ASAzulNão se aplicaNão se aplicaAPENão se aplicaFora ponta",Mercado_Receita!$L$2:$L$1157)+SUMIF(Mercado_Receita!$S$2:$S$1157,"44562ASAzulNão se aplicaNão se aplicaAPENão se aplicaIntermediário",Mercado_Receita!$L$2:$L$1157)+SUMIF(Mercado_Receita!$S$2:$S$1157,"44562ASAzulNão se aplicaNão se aplicaAPENão se aplicaNão se aplica",Mercado_Receita!$L$2:$L$1157)</f>
        <v>0</v>
      </c>
      <c r="L24" s="13">
        <f>SUMIF(Mercado_Receita!$S$2:$S$1157,"44593ASAzulNão se aplicaNão se aplicaAPENão se aplicaPonta",Mercado_Receita!$L$2:$L$1157)+SUMIF(Mercado_Receita!$S$2:$S$1157,"44593ASAzulNão se aplicaNão se aplicaAPENão se aplicaFora ponta",Mercado_Receita!$L$2:$L$1157)+SUMIF(Mercado_Receita!$S$2:$S$1157,"44593ASAzulNão se aplicaNão se aplicaAPENão se aplicaIntermediário",Mercado_Receita!$L$2:$L$1157)+SUMIF(Mercado_Receita!$S$2:$S$1157,"44593ASAzulNão se aplicaNão se aplicaAPENão se aplicaNão se aplica",Mercado_Receita!$L$2:$L$1157)</f>
        <v>0</v>
      </c>
      <c r="M24" s="13">
        <f>SUMIF(Mercado_Receita!$S$2:$S$1157,"44621ASAzulNão se aplicaNão se aplicaAPENão se aplicaPonta",Mercado_Receita!$L$2:$L$1157)+SUMIF(Mercado_Receita!$S$2:$S$1157,"44621ASAzulNão se aplicaNão se aplicaAPENão se aplicaFora ponta",Mercado_Receita!$L$2:$L$1157)+SUMIF(Mercado_Receita!$S$2:$S$1157,"44621ASAzulNão se aplicaNão se aplicaAPENão se aplicaIntermediário",Mercado_Receita!$L$2:$L$1157)+SUMIF(Mercado_Receita!$S$2:$S$1157,"44621ASAzulNão se aplicaNão se aplicaAPENão se aplicaNão se aplica",Mercado_Receita!$L$2:$L$1157)</f>
        <v>0</v>
      </c>
      <c r="N24" s="13">
        <f>SUMIF(Mercado_Receita!$S$2:$S$1157,"44652ASAzulNão se aplicaNão se aplicaAPENão se aplicaPonta",Mercado_Receita!$L$2:$L$1157)+SUMIF(Mercado_Receita!$S$2:$S$1157,"44652ASAzulNão se aplicaNão se aplicaAPENão se aplicaFora ponta",Mercado_Receita!$L$2:$L$1157)+SUMIF(Mercado_Receita!$S$2:$S$1157,"44652ASAzulNão se aplicaNão se aplicaAPENão se aplicaIntermediário",Mercado_Receita!$L$2:$L$1157)+SUMIF(Mercado_Receita!$S$2:$S$1157,"44652ASAzulNão se aplicaNão se aplicaAPENão se aplicaNão se aplica",Mercado_Receita!$L$2:$L$1157)</f>
        <v>0</v>
      </c>
      <c r="O24" s="13">
        <f>SUMIF(Mercado_Receita!$S$2:$S$1157,"44682ASAzulNão se aplicaNão se aplicaAPENão se aplicaPonta",Mercado_Receita!$L$2:$L$1157)+SUMIF(Mercado_Receita!$S$2:$S$1157,"44682ASAzulNão se aplicaNão se aplicaAPENão se aplicaFora ponta",Mercado_Receita!$L$2:$L$1157)+SUMIF(Mercado_Receita!$S$2:$S$1157,"44682ASAzulNão se aplicaNão se aplicaAPENão se aplicaIntermediário",Mercado_Receita!$L$2:$L$1157)+SUMIF(Mercado_Receita!$S$2:$S$1157,"44682ASAzulNão se aplicaNão se aplicaAPENão se aplicaNão se aplica",Mercado_Receita!$L$2:$L$1157)</f>
        <v>0</v>
      </c>
      <c r="P24" s="13">
        <f>SUMIF(Mercado_Receita!$S$2:$S$1157,"44713ASAzulNão se aplicaNão se aplicaAPENão se aplicaPonta",Mercado_Receita!$L$2:$L$1157)+SUMIF(Mercado_Receita!$S$2:$S$1157,"44713ASAzulNão se aplicaNão se aplicaAPENão se aplicaFora ponta",Mercado_Receita!$L$2:$L$1157)+SUMIF(Mercado_Receita!$S$2:$S$1157,"44713ASAzulNão se aplicaNão se aplicaAPENão se aplicaIntermediário",Mercado_Receita!$L$2:$L$1157)+SUMIF(Mercado_Receita!$S$2:$S$1157,"44713ASAzulNão se aplicaNão se aplicaAPENão se aplicaNão se aplica",Mercado_Receita!$L$2:$L$1157)</f>
        <v>0</v>
      </c>
      <c r="Q24" s="13">
        <f>SUMIF(Mercado_Receita!$S$2:$S$1157,"44743ASAzulNão se aplicaNão se aplicaAPENão se aplicaPonta",Mercado_Receita!$L$2:$L$1157)+SUMIF(Mercado_Receita!$S$2:$S$1157,"44743ASAzulNão se aplicaNão se aplicaAPENão se aplicaFora ponta",Mercado_Receita!$L$2:$L$1157)+SUMIF(Mercado_Receita!$S$2:$S$1157,"44743ASAzulNão se aplicaNão se aplicaAPENão se aplicaIntermediário",Mercado_Receita!$L$2:$L$1157)+SUMIF(Mercado_Receita!$S$2:$S$1157,"44743ASAzulNão se aplicaNão se aplicaAPENão se aplicaNão se aplica",Mercado_Receita!$L$2:$L$1157)</f>
        <v>0</v>
      </c>
      <c r="R24" s="13">
        <f>SUMIF(Mercado_Receita!$S$2:$S$1157,"44774ASAzulNão se aplicaNão se aplicaAPENão se aplicaPonta",Mercado_Receita!$L$2:$L$1157)+SUMIF(Mercado_Receita!$S$2:$S$1157,"44774ASAzulNão se aplicaNão se aplicaAPENão se aplicaFora ponta",Mercado_Receita!$L$2:$L$1157)+SUMIF(Mercado_Receita!$S$2:$S$1157,"44774ASAzulNão se aplicaNão se aplicaAPENão se aplicaIntermediário",Mercado_Receita!$L$2:$L$1157)+SUMIF(Mercado_Receita!$S$2:$S$1157,"44774ASAzulNão se aplicaNão se aplicaAPENão se aplicaNão se aplica",Mercado_Receita!$L$2:$L$1157)</f>
        <v>0</v>
      </c>
      <c r="S24" s="13">
        <f>SUMIF(Mercado_Receita!$S$2:$S$1157,"44805ASAzulNão se aplicaNão se aplicaAPENão se aplicaPonta",Mercado_Receita!$L$2:$L$1157)+SUMIF(Mercado_Receita!$S$2:$S$1157,"44805ASAzulNão se aplicaNão se aplicaAPENão se aplicaFora ponta",Mercado_Receita!$L$2:$L$1157)+SUMIF(Mercado_Receita!$S$2:$S$1157,"44805ASAzulNão se aplicaNão se aplicaAPENão se aplicaIntermediário",Mercado_Receita!$L$2:$L$1157)+SUMIF(Mercado_Receita!$S$2:$S$1157,"44805ASAzulNão se aplicaNão se aplicaAPENão se aplicaNão se aplica",Mercado_Receita!$L$2:$L$1157)</f>
        <v>0</v>
      </c>
      <c r="T24" s="13">
        <f>SUMIF(Mercado_Receita!$S$2:$S$1157,"44835ASAzulNão se aplicaNão se aplicaAPENão se aplicaPonta",Mercado_Receita!$L$2:$L$1157)+SUMIF(Mercado_Receita!$S$2:$S$1157,"44835ASAzulNão se aplicaNão se aplicaAPENão se aplicaFora ponta",Mercado_Receita!$L$2:$L$1157)+SUMIF(Mercado_Receita!$S$2:$S$1157,"44835ASAzulNão se aplicaNão se aplicaAPENão se aplicaIntermediário",Mercado_Receita!$L$2:$L$1157)+SUMIF(Mercado_Receita!$S$2:$S$1157,"44835ASAzulNão se aplicaNão se aplicaAPENão se aplicaNão se aplica",Mercado_Receita!$L$2:$L$1157)</f>
        <v>0</v>
      </c>
      <c r="U24" s="13">
        <f t="shared" si="0"/>
        <v>0</v>
      </c>
      <c r="V24" s="13"/>
      <c r="W24" s="13"/>
    </row>
    <row r="25" spans="1:23" ht="11.25" customHeight="1" x14ac:dyDescent="0.3">
      <c r="A25" s="111"/>
      <c r="B25" s="110" t="s">
        <v>41</v>
      </c>
      <c r="C25" s="110" t="s">
        <v>25</v>
      </c>
      <c r="D25" s="110" t="s">
        <v>25</v>
      </c>
      <c r="E25" s="110" t="s">
        <v>25</v>
      </c>
      <c r="F25" s="110" t="s">
        <v>25</v>
      </c>
      <c r="G25" s="13" t="s">
        <v>9</v>
      </c>
      <c r="H25" s="13" t="s">
        <v>81</v>
      </c>
      <c r="I25" s="13">
        <f>SUMIF(Mercado_Receita!$S$2:$S$1157,"44501ASVerdeNão se aplicaNão se aplicaNão se aplicaNão se aplicaNão se aplica",Mercado_Receita!$J$2:$J$1157)+SUMIF(Mercado_Receita!$S$2:$S$1157,"44501ASVerdeNão se aplicaNão se aplicaAPENão se aplicaNão se aplica",Mercado_Receita!$J$2:$J$1157)</f>
        <v>241</v>
      </c>
      <c r="J25" s="13">
        <f>SUMIF(Mercado_Receita!$S$2:$S$1157,"44531ASVerdeNão se aplicaNão se aplicaNão se aplicaNão se aplicaNão se aplica",Mercado_Receita!$J$2:$J$1157)+SUMIF(Mercado_Receita!$S$2:$S$1157,"44531ASVerdeNão se aplicaNão se aplicaAPENão se aplicaNão se aplica",Mercado_Receita!$J$2:$J$1157)</f>
        <v>241</v>
      </c>
      <c r="K25" s="13">
        <f>SUMIF(Mercado_Receita!$S$2:$S$1157,"44562ASVerdeNão se aplicaNão se aplicaNão se aplicaNão se aplicaNão se aplica",Mercado_Receita!$J$2:$J$1157)+SUMIF(Mercado_Receita!$S$2:$S$1157,"44562ASVerdeNão se aplicaNão se aplicaAPENão se aplicaNão se aplica",Mercado_Receita!$J$2:$J$1157)</f>
        <v>241</v>
      </c>
      <c r="L25" s="13">
        <f>SUMIF(Mercado_Receita!$S$2:$S$1157,"44593ASVerdeNão se aplicaNão se aplicaNão se aplicaNão se aplicaNão se aplica",Mercado_Receita!$J$2:$J$1157)+SUMIF(Mercado_Receita!$S$2:$S$1157,"44593ASVerdeNão se aplicaNão se aplicaAPENão se aplicaNão se aplica",Mercado_Receita!$J$2:$J$1157)</f>
        <v>241</v>
      </c>
      <c r="M25" s="13">
        <f>SUMIF(Mercado_Receita!$S$2:$S$1157,"44621ASVerdeNão se aplicaNão se aplicaNão se aplicaNão se aplicaNão se aplica",Mercado_Receita!$J$2:$J$1157)+SUMIF(Mercado_Receita!$S$2:$S$1157,"44621ASVerdeNão se aplicaNão se aplicaAPENão se aplicaNão se aplica",Mercado_Receita!$J$2:$J$1157)</f>
        <v>241</v>
      </c>
      <c r="N25" s="13">
        <f>SUMIF(Mercado_Receita!$S$2:$S$1157,"44652ASVerdeNão se aplicaNão se aplicaNão se aplicaNão se aplicaNão se aplica",Mercado_Receita!$J$2:$J$1157)+SUMIF(Mercado_Receita!$S$2:$S$1157,"44652ASVerdeNão se aplicaNão se aplicaAPENão se aplicaNão se aplica",Mercado_Receita!$J$2:$J$1157)</f>
        <v>241</v>
      </c>
      <c r="O25" s="13">
        <f>SUMIF(Mercado_Receita!$S$2:$S$1157,"44682ASVerdeNão se aplicaNão se aplicaNão se aplicaNão se aplicaNão se aplica",Mercado_Receita!$J$2:$J$1157)+SUMIF(Mercado_Receita!$S$2:$S$1157,"44682ASVerdeNão se aplicaNão se aplicaAPENão se aplicaNão se aplica",Mercado_Receita!$J$2:$J$1157)</f>
        <v>241</v>
      </c>
      <c r="P25" s="13">
        <f>SUMIF(Mercado_Receita!$S$2:$S$1157,"44713ASVerdeNão se aplicaNão se aplicaNão se aplicaNão se aplicaNão se aplica",Mercado_Receita!$J$2:$J$1157)+SUMIF(Mercado_Receita!$S$2:$S$1157,"44713ASVerdeNão se aplicaNão se aplicaAPENão se aplicaNão se aplica",Mercado_Receita!$J$2:$J$1157)</f>
        <v>241</v>
      </c>
      <c r="Q25" s="13">
        <f>SUMIF(Mercado_Receita!$S$2:$S$1157,"44743ASVerdeNão se aplicaNão se aplicaNão se aplicaNão se aplicaNão se aplica",Mercado_Receita!$J$2:$J$1157)+SUMIF(Mercado_Receita!$S$2:$S$1157,"44743ASVerdeNão se aplicaNão se aplicaAPENão se aplicaNão se aplica",Mercado_Receita!$J$2:$J$1157)</f>
        <v>241</v>
      </c>
      <c r="R25" s="13">
        <f>SUMIF(Mercado_Receita!$S$2:$S$1157,"44774ASVerdeNão se aplicaNão se aplicaNão se aplicaNão se aplicaNão se aplica",Mercado_Receita!$J$2:$J$1157)+SUMIF(Mercado_Receita!$S$2:$S$1157,"44774ASVerdeNão se aplicaNão se aplicaAPENão se aplicaNão se aplica",Mercado_Receita!$J$2:$J$1157)</f>
        <v>241</v>
      </c>
      <c r="S25" s="13">
        <f>SUMIF(Mercado_Receita!$S$2:$S$1157,"44805ASVerdeNão se aplicaNão se aplicaNão se aplicaNão se aplicaNão se aplica",Mercado_Receita!$J$2:$J$1157)+SUMIF(Mercado_Receita!$S$2:$S$1157,"44805ASVerdeNão se aplicaNão se aplicaAPENão se aplicaNão se aplica",Mercado_Receita!$J$2:$J$1157)</f>
        <v>241</v>
      </c>
      <c r="T25" s="13">
        <f>SUMIF(Mercado_Receita!$S$2:$S$1157,"44835ASVerdeNão se aplicaNão se aplicaNão se aplicaNão se aplicaNão se aplica",Mercado_Receita!$J$2:$J$1157)+SUMIF(Mercado_Receita!$S$2:$S$1157,"44835ASVerdeNão se aplicaNão se aplicaAPENão se aplicaNão se aplica",Mercado_Receita!$J$2:$J$1157)</f>
        <v>241</v>
      </c>
      <c r="U25" s="13">
        <f t="shared" si="0"/>
        <v>2892</v>
      </c>
      <c r="V25" s="13"/>
      <c r="W25" s="13"/>
    </row>
    <row r="26" spans="1:23" ht="11.25" customHeight="1" x14ac:dyDescent="0.3">
      <c r="A26" s="111"/>
      <c r="B26" s="111"/>
      <c r="C26" s="111"/>
      <c r="D26" s="111"/>
      <c r="E26" s="111"/>
      <c r="F26" s="111"/>
      <c r="G26" s="13" t="s">
        <v>79</v>
      </c>
      <c r="H26" s="13" t="s">
        <v>78</v>
      </c>
      <c r="I26" s="13">
        <f>SUMIF(Mercado_Receita!$S$2:$S$1157,"44501ASVerdeNão se aplicaNão se aplicaNão se aplicaNão se aplicaPonta",Mercado_Receita!$L$2:$L$1157)</f>
        <v>4.8680000000000003</v>
      </c>
      <c r="J26" s="13">
        <f>SUMIF(Mercado_Receita!$S$2:$S$1157,"44531ASVerdeNão se aplicaNão se aplicaNão se aplicaNão se aplicaPonta",Mercado_Receita!$L$2:$L$1157)</f>
        <v>4.8079999999999998</v>
      </c>
      <c r="K26" s="13">
        <f>SUMIF(Mercado_Receita!$S$2:$S$1157,"44562ASVerdeNão se aplicaNão se aplicaNão se aplicaNão se aplicaPonta",Mercado_Receita!$L$2:$L$1157)</f>
        <v>5.3570000000000002</v>
      </c>
      <c r="L26" s="13">
        <f>SUMIF(Mercado_Receita!$S$2:$S$1157,"44593ASVerdeNão se aplicaNão se aplicaNão se aplicaNão se aplicaPonta",Mercado_Receita!$L$2:$L$1157)</f>
        <v>5.09</v>
      </c>
      <c r="M26" s="13">
        <f>SUMIF(Mercado_Receita!$S$2:$S$1157,"44621ASVerdeNão se aplicaNão se aplicaNão se aplicaNão se aplicaPonta",Mercado_Receita!$L$2:$L$1157)</f>
        <v>4.6390000000000002</v>
      </c>
      <c r="N26" s="13">
        <f>SUMIF(Mercado_Receita!$S$2:$S$1157,"44652ASVerdeNão se aplicaNão se aplicaNão se aplicaNão se aplicaPonta",Mercado_Receita!$L$2:$L$1157)</f>
        <v>5.548</v>
      </c>
      <c r="O26" s="13">
        <f>SUMIF(Mercado_Receita!$S$2:$S$1157,"44682ASVerdeNão se aplicaNão se aplicaNão se aplicaNão se aplicaPonta",Mercado_Receita!$L$2:$L$1157)</f>
        <v>4.5</v>
      </c>
      <c r="P26" s="13">
        <f>SUMIF(Mercado_Receita!$S$2:$S$1157,"44713ASVerdeNão se aplicaNão se aplicaNão se aplicaNão se aplicaPonta",Mercado_Receita!$L$2:$L$1157)</f>
        <v>3.78</v>
      </c>
      <c r="Q26" s="13">
        <f>SUMIF(Mercado_Receita!$S$2:$S$1157,"44743ASVerdeNão se aplicaNão se aplicaNão se aplicaNão se aplicaPonta",Mercado_Receita!$L$2:$L$1157)</f>
        <v>3.718</v>
      </c>
      <c r="R26" s="13">
        <f>SUMIF(Mercado_Receita!$S$2:$S$1157,"44774ASVerdeNão se aplicaNão se aplicaNão se aplicaNão se aplicaPonta",Mercado_Receita!$L$2:$L$1157)</f>
        <v>3.9290000000000003</v>
      </c>
      <c r="S26" s="13">
        <f>SUMIF(Mercado_Receita!$S$2:$S$1157,"44805ASVerdeNão se aplicaNão se aplicaNão se aplicaNão se aplicaPonta",Mercado_Receita!$L$2:$L$1157)</f>
        <v>4.532</v>
      </c>
      <c r="T26" s="13">
        <f>SUMIF(Mercado_Receita!$S$2:$S$1157,"44835ASVerdeNão se aplicaNão se aplicaNão se aplicaNão se aplicaPonta",Mercado_Receita!$L$2:$L$1157)</f>
        <v>4.532</v>
      </c>
      <c r="U26" s="13">
        <f t="shared" si="0"/>
        <v>55.301000000000002</v>
      </c>
      <c r="V26" s="13"/>
      <c r="W26" s="13"/>
    </row>
    <row r="27" spans="1:23" ht="11.25" customHeight="1" x14ac:dyDescent="0.3">
      <c r="A27" s="111"/>
      <c r="B27" s="111"/>
      <c r="C27" s="111"/>
      <c r="D27" s="111"/>
      <c r="E27" s="111"/>
      <c r="F27" s="111"/>
      <c r="G27" s="13" t="s">
        <v>80</v>
      </c>
      <c r="H27" s="13" t="s">
        <v>78</v>
      </c>
      <c r="I27" s="13">
        <f>SUMIF(Mercado_Receita!$S$2:$S$1157,"44501ASVerdeNão se aplicaNão se aplicaNão se aplicaNão se aplicaFora ponta",Mercado_Receita!$L$2:$L$1157)</f>
        <v>48.823999999999998</v>
      </c>
      <c r="J27" s="13">
        <f>SUMIF(Mercado_Receita!$S$2:$S$1157,"44531ASVerdeNão se aplicaNão se aplicaNão se aplicaNão se aplicaFora ponta",Mercado_Receita!$L$2:$L$1157)</f>
        <v>48.048999999999999</v>
      </c>
      <c r="K27" s="13">
        <f>SUMIF(Mercado_Receita!$S$2:$S$1157,"44562ASVerdeNão se aplicaNão se aplicaNão se aplicaNão se aplicaFora ponta",Mercado_Receita!$L$2:$L$1157)</f>
        <v>48.384999999999998</v>
      </c>
      <c r="L27" s="13">
        <f>SUMIF(Mercado_Receita!$S$2:$S$1157,"44593ASVerdeNão se aplicaNão se aplicaNão se aplicaNão se aplicaFora ponta",Mercado_Receita!$L$2:$L$1157)</f>
        <v>48.088000000000001</v>
      </c>
      <c r="M27" s="13">
        <f>SUMIF(Mercado_Receita!$S$2:$S$1157,"44621ASVerdeNão se aplicaNão se aplicaNão se aplicaNão se aplicaFora ponta",Mercado_Receita!$L$2:$L$1157)</f>
        <v>43.323</v>
      </c>
      <c r="N27" s="13">
        <f>SUMIF(Mercado_Receita!$S$2:$S$1157,"44652ASVerdeNão se aplicaNão se aplicaNão se aplicaNão se aplicaFora ponta",Mercado_Receita!$L$2:$L$1157)</f>
        <v>52.7</v>
      </c>
      <c r="O27" s="13">
        <f>SUMIF(Mercado_Receita!$S$2:$S$1157,"44682ASVerdeNão se aplicaNão se aplicaNão se aplicaNão se aplicaFora ponta",Mercado_Receita!$L$2:$L$1157)</f>
        <v>46.647999999999996</v>
      </c>
      <c r="P27" s="13">
        <f>SUMIF(Mercado_Receita!$S$2:$S$1157,"44713ASVerdeNão se aplicaNão se aplicaNão se aplicaNão se aplicaFora ponta",Mercado_Receita!$L$2:$L$1157)</f>
        <v>33.400999999999996</v>
      </c>
      <c r="Q27" s="13">
        <f>SUMIF(Mercado_Receita!$S$2:$S$1157,"44743ASVerdeNão se aplicaNão se aplicaNão se aplicaNão se aplicaFora ponta",Mercado_Receita!$L$2:$L$1157)</f>
        <v>30.930999999999997</v>
      </c>
      <c r="R27" s="13">
        <f>SUMIF(Mercado_Receita!$S$2:$S$1157,"44774ASVerdeNão se aplicaNão se aplicaNão se aplicaNão se aplicaFora ponta",Mercado_Receita!$L$2:$L$1157)</f>
        <v>34.576999999999998</v>
      </c>
      <c r="S27" s="13">
        <f>SUMIF(Mercado_Receita!$S$2:$S$1157,"44805ASVerdeNão se aplicaNão se aplicaNão se aplicaNão se aplicaFora ponta",Mercado_Receita!$L$2:$L$1157)</f>
        <v>37.484999999999999</v>
      </c>
      <c r="T27" s="13">
        <f>SUMIF(Mercado_Receita!$S$2:$S$1157,"44835ASVerdeNão se aplicaNão se aplicaNão se aplicaNão se aplicaFora ponta",Mercado_Receita!$L$2:$L$1157)</f>
        <v>37.484999999999999</v>
      </c>
      <c r="U27" s="13">
        <f t="shared" si="0"/>
        <v>509.89599999999996</v>
      </c>
      <c r="V27" s="13"/>
      <c r="W27" s="13"/>
    </row>
    <row r="28" spans="1:23" ht="11.25" customHeight="1" x14ac:dyDescent="0.3">
      <c r="A28" s="111"/>
      <c r="B28" s="111"/>
      <c r="C28" s="111"/>
      <c r="D28" s="111"/>
      <c r="E28" s="110" t="s">
        <v>85</v>
      </c>
      <c r="F28" s="110" t="s">
        <v>25</v>
      </c>
      <c r="G28" s="13" t="s">
        <v>79</v>
      </c>
      <c r="H28" s="13" t="s">
        <v>78</v>
      </c>
      <c r="I28" s="13">
        <f>SUMIF(Mercado_Receita!$S$2:$S$1157,"44501ASVerdeNão se aplicaNão se aplicaAPENão se aplicaPonta",Mercado_Receita!$L$2:$L$1157)</f>
        <v>0</v>
      </c>
      <c r="J28" s="13">
        <f>SUMIF(Mercado_Receita!$S$2:$S$1157,"44531ASVerdeNão se aplicaNão se aplicaAPENão se aplicaPonta",Mercado_Receita!$L$2:$L$1157)</f>
        <v>0</v>
      </c>
      <c r="K28" s="13">
        <f>SUMIF(Mercado_Receita!$S$2:$S$1157,"44562ASVerdeNão se aplicaNão se aplicaAPENão se aplicaPonta",Mercado_Receita!$L$2:$L$1157)</f>
        <v>0</v>
      </c>
      <c r="L28" s="13">
        <f>SUMIF(Mercado_Receita!$S$2:$S$1157,"44593ASVerdeNão se aplicaNão se aplicaAPENão se aplicaPonta",Mercado_Receita!$L$2:$L$1157)</f>
        <v>0</v>
      </c>
      <c r="M28" s="13">
        <f>SUMIF(Mercado_Receita!$S$2:$S$1157,"44621ASVerdeNão se aplicaNão se aplicaAPENão se aplicaPonta",Mercado_Receita!$L$2:$L$1157)</f>
        <v>0</v>
      </c>
      <c r="N28" s="13">
        <f>SUMIF(Mercado_Receita!$S$2:$S$1157,"44652ASVerdeNão se aplicaNão se aplicaAPENão se aplicaPonta",Mercado_Receita!$L$2:$L$1157)</f>
        <v>0</v>
      </c>
      <c r="O28" s="13">
        <f>SUMIF(Mercado_Receita!$S$2:$S$1157,"44682ASVerdeNão se aplicaNão se aplicaAPENão se aplicaPonta",Mercado_Receita!$L$2:$L$1157)</f>
        <v>0</v>
      </c>
      <c r="P28" s="13">
        <f>SUMIF(Mercado_Receita!$S$2:$S$1157,"44713ASVerdeNão se aplicaNão se aplicaAPENão se aplicaPonta",Mercado_Receita!$L$2:$L$1157)</f>
        <v>0</v>
      </c>
      <c r="Q28" s="13">
        <f>SUMIF(Mercado_Receita!$S$2:$S$1157,"44743ASVerdeNão se aplicaNão se aplicaAPENão se aplicaPonta",Mercado_Receita!$L$2:$L$1157)</f>
        <v>0</v>
      </c>
      <c r="R28" s="13">
        <f>SUMIF(Mercado_Receita!$S$2:$S$1157,"44774ASVerdeNão se aplicaNão se aplicaAPENão se aplicaPonta",Mercado_Receita!$L$2:$L$1157)</f>
        <v>0</v>
      </c>
      <c r="S28" s="13">
        <f>SUMIF(Mercado_Receita!$S$2:$S$1157,"44805ASVerdeNão se aplicaNão se aplicaAPENão se aplicaPonta",Mercado_Receita!$L$2:$L$1157)</f>
        <v>0</v>
      </c>
      <c r="T28" s="13">
        <f>SUMIF(Mercado_Receita!$S$2:$S$1157,"44835ASVerdeNão se aplicaNão se aplicaAPENão se aplicaPonta",Mercado_Receita!$L$2:$L$1157)</f>
        <v>0</v>
      </c>
      <c r="U28" s="13">
        <f t="shared" si="0"/>
        <v>0</v>
      </c>
      <c r="V28" s="13"/>
      <c r="W28" s="13"/>
    </row>
    <row r="29" spans="1:23" ht="11.25" customHeight="1" x14ac:dyDescent="0.3">
      <c r="A29" s="111"/>
      <c r="B29" s="111"/>
      <c r="C29" s="111"/>
      <c r="D29" s="111"/>
      <c r="E29" s="111"/>
      <c r="F29" s="111"/>
      <c r="G29" s="13" t="s">
        <v>80</v>
      </c>
      <c r="H29" s="13" t="s">
        <v>78</v>
      </c>
      <c r="I29" s="13">
        <f>SUMIF(Mercado_Receita!$S$2:$S$1157,"44501ASVerdeNão se aplicaNão se aplicaAPENão se aplicaFora ponta",Mercado_Receita!$L$2:$L$1157)</f>
        <v>0</v>
      </c>
      <c r="J29" s="13">
        <f>SUMIF(Mercado_Receita!$S$2:$S$1157,"44531ASVerdeNão se aplicaNão se aplicaAPENão se aplicaFora ponta",Mercado_Receita!$L$2:$L$1157)</f>
        <v>0</v>
      </c>
      <c r="K29" s="13">
        <f>SUMIF(Mercado_Receita!$S$2:$S$1157,"44562ASVerdeNão se aplicaNão se aplicaAPENão se aplicaFora ponta",Mercado_Receita!$L$2:$L$1157)</f>
        <v>0</v>
      </c>
      <c r="L29" s="13">
        <f>SUMIF(Mercado_Receita!$S$2:$S$1157,"44593ASVerdeNão se aplicaNão se aplicaAPENão se aplicaFora ponta",Mercado_Receita!$L$2:$L$1157)</f>
        <v>0</v>
      </c>
      <c r="M29" s="13">
        <f>SUMIF(Mercado_Receita!$S$2:$S$1157,"44621ASVerdeNão se aplicaNão se aplicaAPENão se aplicaFora ponta",Mercado_Receita!$L$2:$L$1157)</f>
        <v>0</v>
      </c>
      <c r="N29" s="13">
        <f>SUMIF(Mercado_Receita!$S$2:$S$1157,"44652ASVerdeNão se aplicaNão se aplicaAPENão se aplicaFora ponta",Mercado_Receita!$L$2:$L$1157)</f>
        <v>0</v>
      </c>
      <c r="O29" s="13">
        <f>SUMIF(Mercado_Receita!$S$2:$S$1157,"44682ASVerdeNão se aplicaNão se aplicaAPENão se aplicaFora ponta",Mercado_Receita!$L$2:$L$1157)</f>
        <v>0</v>
      </c>
      <c r="P29" s="13">
        <f>SUMIF(Mercado_Receita!$S$2:$S$1157,"44713ASVerdeNão se aplicaNão se aplicaAPENão se aplicaFora ponta",Mercado_Receita!$L$2:$L$1157)</f>
        <v>0</v>
      </c>
      <c r="Q29" s="13">
        <f>SUMIF(Mercado_Receita!$S$2:$S$1157,"44743ASVerdeNão se aplicaNão se aplicaAPENão se aplicaFora ponta",Mercado_Receita!$L$2:$L$1157)</f>
        <v>0</v>
      </c>
      <c r="R29" s="13">
        <f>SUMIF(Mercado_Receita!$S$2:$S$1157,"44774ASVerdeNão se aplicaNão se aplicaAPENão se aplicaFora ponta",Mercado_Receita!$L$2:$L$1157)</f>
        <v>0</v>
      </c>
      <c r="S29" s="13">
        <f>SUMIF(Mercado_Receita!$S$2:$S$1157,"44805ASVerdeNão se aplicaNão se aplicaAPENão se aplicaFora ponta",Mercado_Receita!$L$2:$L$1157)</f>
        <v>0</v>
      </c>
      <c r="T29" s="13">
        <f>SUMIF(Mercado_Receita!$S$2:$S$1157,"44835ASVerdeNão se aplicaNão se aplicaAPENão se aplicaFora ponta",Mercado_Receita!$L$2:$L$1157)</f>
        <v>0</v>
      </c>
      <c r="U29" s="13">
        <f t="shared" si="0"/>
        <v>0</v>
      </c>
      <c r="V29" s="13"/>
      <c r="W29" s="13"/>
    </row>
    <row r="30" spans="1:23" ht="11.25" customHeight="1" x14ac:dyDescent="0.3">
      <c r="A30" s="111"/>
      <c r="B30" s="110" t="s">
        <v>23</v>
      </c>
      <c r="C30" s="110" t="s">
        <v>25</v>
      </c>
      <c r="D30" s="110" t="s">
        <v>25</v>
      </c>
      <c r="E30" s="110" t="s">
        <v>25</v>
      </c>
      <c r="F30" s="110" t="s">
        <v>25</v>
      </c>
      <c r="G30" s="13" t="s">
        <v>9</v>
      </c>
      <c r="H30" s="13" t="s">
        <v>81</v>
      </c>
      <c r="I30" s="13">
        <f>SUMIF(Mercado_Receita!$S$2:$S$1157,"44501ASConvencionalNão se aplicaNão se aplicaNão se aplicaNão se aplicaNão se aplica",Mercado_Receita!$J$2:$J$1157)+SUMIF(Mercado_Receita!$S$2:$S$1157,"44501ASConvencionalNão se aplicaNão se aplicaAPENão se aplicaNão se aplica",Mercado_Receita!$J$2:$J$1157)</f>
        <v>0</v>
      </c>
      <c r="J30" s="13">
        <f>SUMIF(Mercado_Receita!$S$2:$S$1157,"44531ASConvencionalNão se aplicaNão se aplicaNão se aplicaNão se aplicaNão se aplica",Mercado_Receita!$J$2:$J$1157)+SUMIF(Mercado_Receita!$S$2:$S$1157,"44531ASConvencionalNão se aplicaNão se aplicaAPENão se aplicaNão se aplica",Mercado_Receita!$J$2:$J$1157)</f>
        <v>0</v>
      </c>
      <c r="K30" s="13">
        <f>SUMIF(Mercado_Receita!$S$2:$S$1157,"44562ASConvencionalNão se aplicaNão se aplicaNão se aplicaNão se aplicaNão se aplica",Mercado_Receita!$J$2:$J$1157)+SUMIF(Mercado_Receita!$S$2:$S$1157,"44562ASConvencionalNão se aplicaNão se aplicaAPENão se aplicaNão se aplica",Mercado_Receita!$J$2:$J$1157)</f>
        <v>0</v>
      </c>
      <c r="L30" s="13">
        <f>SUMIF(Mercado_Receita!$S$2:$S$1157,"44593ASConvencionalNão se aplicaNão se aplicaNão se aplicaNão se aplicaNão se aplica",Mercado_Receita!$J$2:$J$1157)+SUMIF(Mercado_Receita!$S$2:$S$1157,"44593ASConvencionalNão se aplicaNão se aplicaAPENão se aplicaNão se aplica",Mercado_Receita!$J$2:$J$1157)</f>
        <v>0</v>
      </c>
      <c r="M30" s="13">
        <f>SUMIF(Mercado_Receita!$S$2:$S$1157,"44621ASConvencionalNão se aplicaNão se aplicaNão se aplicaNão se aplicaNão se aplica",Mercado_Receita!$J$2:$J$1157)+SUMIF(Mercado_Receita!$S$2:$S$1157,"44621ASConvencionalNão se aplicaNão se aplicaAPENão se aplicaNão se aplica",Mercado_Receita!$J$2:$J$1157)</f>
        <v>0</v>
      </c>
      <c r="N30" s="13">
        <f>SUMIF(Mercado_Receita!$S$2:$S$1157,"44652ASConvencionalNão se aplicaNão se aplicaNão se aplicaNão se aplicaNão se aplica",Mercado_Receita!$J$2:$J$1157)+SUMIF(Mercado_Receita!$S$2:$S$1157,"44652ASConvencionalNão se aplicaNão se aplicaAPENão se aplicaNão se aplica",Mercado_Receita!$J$2:$J$1157)</f>
        <v>0</v>
      </c>
      <c r="O30" s="13">
        <f>SUMIF(Mercado_Receita!$S$2:$S$1157,"44682ASConvencionalNão se aplicaNão se aplicaNão se aplicaNão se aplicaNão se aplica",Mercado_Receita!$J$2:$J$1157)+SUMIF(Mercado_Receita!$S$2:$S$1157,"44682ASConvencionalNão se aplicaNão se aplicaAPENão se aplicaNão se aplica",Mercado_Receita!$J$2:$J$1157)</f>
        <v>0</v>
      </c>
      <c r="P30" s="13">
        <f>SUMIF(Mercado_Receita!$S$2:$S$1157,"44713ASConvencionalNão se aplicaNão se aplicaNão se aplicaNão se aplicaNão se aplica",Mercado_Receita!$J$2:$J$1157)+SUMIF(Mercado_Receita!$S$2:$S$1157,"44713ASConvencionalNão se aplicaNão se aplicaAPENão se aplicaNão se aplica",Mercado_Receita!$J$2:$J$1157)</f>
        <v>0</v>
      </c>
      <c r="Q30" s="13">
        <f>SUMIF(Mercado_Receita!$S$2:$S$1157,"44743ASConvencionalNão se aplicaNão se aplicaNão se aplicaNão se aplicaNão se aplica",Mercado_Receita!$J$2:$J$1157)+SUMIF(Mercado_Receita!$S$2:$S$1157,"44743ASConvencionalNão se aplicaNão se aplicaAPENão se aplicaNão se aplica",Mercado_Receita!$J$2:$J$1157)</f>
        <v>0</v>
      </c>
      <c r="R30" s="13">
        <f>SUMIF(Mercado_Receita!$S$2:$S$1157,"44774ASConvencionalNão se aplicaNão se aplicaNão se aplicaNão se aplicaNão se aplica",Mercado_Receita!$J$2:$J$1157)+SUMIF(Mercado_Receita!$S$2:$S$1157,"44774ASConvencionalNão se aplicaNão se aplicaAPENão se aplicaNão se aplica",Mercado_Receita!$J$2:$J$1157)</f>
        <v>0</v>
      </c>
      <c r="S30" s="13">
        <f>SUMIF(Mercado_Receita!$S$2:$S$1157,"44805ASConvencionalNão se aplicaNão se aplicaNão se aplicaNão se aplicaNão se aplica",Mercado_Receita!$J$2:$J$1157)+SUMIF(Mercado_Receita!$S$2:$S$1157,"44805ASConvencionalNão se aplicaNão se aplicaAPENão se aplicaNão se aplica",Mercado_Receita!$J$2:$J$1157)</f>
        <v>0</v>
      </c>
      <c r="T30" s="13">
        <f>SUMIF(Mercado_Receita!$S$2:$S$1157,"44835ASConvencionalNão se aplicaNão se aplicaNão se aplicaNão se aplicaNão se aplica",Mercado_Receita!$J$2:$J$1157)+SUMIF(Mercado_Receita!$S$2:$S$1157,"44835ASConvencionalNão se aplicaNão se aplicaAPENão se aplicaNão se aplica",Mercado_Receita!$J$2:$J$1157)</f>
        <v>0</v>
      </c>
      <c r="U30" s="13">
        <f t="shared" si="0"/>
        <v>0</v>
      </c>
      <c r="V30" s="13"/>
      <c r="W30" s="13"/>
    </row>
    <row r="31" spans="1:23" ht="11.25" customHeight="1" x14ac:dyDescent="0.3">
      <c r="A31" s="111"/>
      <c r="B31" s="111"/>
      <c r="C31" s="111"/>
      <c r="D31" s="111"/>
      <c r="E31" s="111"/>
      <c r="F31" s="111"/>
      <c r="G31" s="13" t="s">
        <v>84</v>
      </c>
      <c r="H31" s="13" t="s">
        <v>78</v>
      </c>
      <c r="I31" s="13">
        <f>SUMIF(Mercado_Receita!$S$2:$S$1157,"44501ASConvencionalNão se aplicaNão se aplicaNão se aplicaNão se aplicaPonta",Mercado_Receita!$L$2:$L$1157)+SUMIF(Mercado_Receita!$S$2:$S$1157,"44501ASConvencionalNão se aplicaNão se aplicaNão se aplicaNão se aplicaFora ponta",Mercado_Receita!$L$2:$L$1157)+SUMIF(Mercado_Receita!$S$2:$S$1157,"44501ASConvencionalNão se aplicaNão se aplicaNão se aplicaNão se aplicaIntermediário",Mercado_Receita!$L$2:$L$1157)+SUMIF(Mercado_Receita!$S$2:$S$1157,"44501ASConvencionalNão se aplicaNão se aplicaNão se aplicaNão se aplicaNão se aplica",Mercado_Receita!$L$2:$L$1157)</f>
        <v>0</v>
      </c>
      <c r="J31" s="13">
        <f>SUMIF(Mercado_Receita!$S$2:$S$1157,"44531ASConvencionalNão se aplicaNão se aplicaNão se aplicaNão se aplicaPonta",Mercado_Receita!$L$2:$L$1157)+SUMIF(Mercado_Receita!$S$2:$S$1157,"44531ASConvencionalNão se aplicaNão se aplicaNão se aplicaNão se aplicaFora ponta",Mercado_Receita!$L$2:$L$1157)+SUMIF(Mercado_Receita!$S$2:$S$1157,"44531ASConvencionalNão se aplicaNão se aplicaNão se aplicaNão se aplicaIntermediário",Mercado_Receita!$L$2:$L$1157)+SUMIF(Mercado_Receita!$S$2:$S$1157,"44531ASConvencionalNão se aplicaNão se aplicaNão se aplicaNão se aplicaNão se aplica",Mercado_Receita!$L$2:$L$1157)</f>
        <v>0</v>
      </c>
      <c r="K31" s="13">
        <f>SUMIF(Mercado_Receita!$S$2:$S$1157,"44562ASConvencionalNão se aplicaNão se aplicaNão se aplicaNão se aplicaPonta",Mercado_Receita!$L$2:$L$1157)+SUMIF(Mercado_Receita!$S$2:$S$1157,"44562ASConvencionalNão se aplicaNão se aplicaNão se aplicaNão se aplicaFora ponta",Mercado_Receita!$L$2:$L$1157)+SUMIF(Mercado_Receita!$S$2:$S$1157,"44562ASConvencionalNão se aplicaNão se aplicaNão se aplicaNão se aplicaIntermediário",Mercado_Receita!$L$2:$L$1157)+SUMIF(Mercado_Receita!$S$2:$S$1157,"44562ASConvencionalNão se aplicaNão se aplicaNão se aplicaNão se aplicaNão se aplica",Mercado_Receita!$L$2:$L$1157)</f>
        <v>0</v>
      </c>
      <c r="L31" s="13">
        <f>SUMIF(Mercado_Receita!$S$2:$S$1157,"44593ASConvencionalNão se aplicaNão se aplicaNão se aplicaNão se aplicaPonta",Mercado_Receita!$L$2:$L$1157)+SUMIF(Mercado_Receita!$S$2:$S$1157,"44593ASConvencionalNão se aplicaNão se aplicaNão se aplicaNão se aplicaFora ponta",Mercado_Receita!$L$2:$L$1157)+SUMIF(Mercado_Receita!$S$2:$S$1157,"44593ASConvencionalNão se aplicaNão se aplicaNão se aplicaNão se aplicaIntermediário",Mercado_Receita!$L$2:$L$1157)+SUMIF(Mercado_Receita!$S$2:$S$1157,"44593ASConvencionalNão se aplicaNão se aplicaNão se aplicaNão se aplicaNão se aplica",Mercado_Receita!$L$2:$L$1157)</f>
        <v>0</v>
      </c>
      <c r="M31" s="13">
        <f>SUMIF(Mercado_Receita!$S$2:$S$1157,"44621ASConvencionalNão se aplicaNão se aplicaNão se aplicaNão se aplicaPonta",Mercado_Receita!$L$2:$L$1157)+SUMIF(Mercado_Receita!$S$2:$S$1157,"44621ASConvencionalNão se aplicaNão se aplicaNão se aplicaNão se aplicaFora ponta",Mercado_Receita!$L$2:$L$1157)+SUMIF(Mercado_Receita!$S$2:$S$1157,"44621ASConvencionalNão se aplicaNão se aplicaNão se aplicaNão se aplicaIntermediário",Mercado_Receita!$L$2:$L$1157)+SUMIF(Mercado_Receita!$S$2:$S$1157,"44621ASConvencionalNão se aplicaNão se aplicaNão se aplicaNão se aplicaNão se aplica",Mercado_Receita!$L$2:$L$1157)</f>
        <v>0</v>
      </c>
      <c r="N31" s="13">
        <f>SUMIF(Mercado_Receita!$S$2:$S$1157,"44652ASConvencionalNão se aplicaNão se aplicaNão se aplicaNão se aplicaPonta",Mercado_Receita!$L$2:$L$1157)+SUMIF(Mercado_Receita!$S$2:$S$1157,"44652ASConvencionalNão se aplicaNão se aplicaNão se aplicaNão se aplicaFora ponta",Mercado_Receita!$L$2:$L$1157)+SUMIF(Mercado_Receita!$S$2:$S$1157,"44652ASConvencionalNão se aplicaNão se aplicaNão se aplicaNão se aplicaIntermediário",Mercado_Receita!$L$2:$L$1157)+SUMIF(Mercado_Receita!$S$2:$S$1157,"44652ASConvencionalNão se aplicaNão se aplicaNão se aplicaNão se aplicaNão se aplica",Mercado_Receita!$L$2:$L$1157)</f>
        <v>0</v>
      </c>
      <c r="O31" s="13">
        <f>SUMIF(Mercado_Receita!$S$2:$S$1157,"44682ASConvencionalNão se aplicaNão se aplicaNão se aplicaNão se aplicaPonta",Mercado_Receita!$L$2:$L$1157)+SUMIF(Mercado_Receita!$S$2:$S$1157,"44682ASConvencionalNão se aplicaNão se aplicaNão se aplicaNão se aplicaFora ponta",Mercado_Receita!$L$2:$L$1157)+SUMIF(Mercado_Receita!$S$2:$S$1157,"44682ASConvencionalNão se aplicaNão se aplicaNão se aplicaNão se aplicaIntermediário",Mercado_Receita!$L$2:$L$1157)+SUMIF(Mercado_Receita!$S$2:$S$1157,"44682ASConvencionalNão se aplicaNão se aplicaNão se aplicaNão se aplicaNão se aplica",Mercado_Receita!$L$2:$L$1157)</f>
        <v>0</v>
      </c>
      <c r="P31" s="13">
        <f>SUMIF(Mercado_Receita!$S$2:$S$1157,"44713ASConvencionalNão se aplicaNão se aplicaNão se aplicaNão se aplicaPonta",Mercado_Receita!$L$2:$L$1157)+SUMIF(Mercado_Receita!$S$2:$S$1157,"44713ASConvencionalNão se aplicaNão se aplicaNão se aplicaNão se aplicaFora ponta",Mercado_Receita!$L$2:$L$1157)+SUMIF(Mercado_Receita!$S$2:$S$1157,"44713ASConvencionalNão se aplicaNão se aplicaNão se aplicaNão se aplicaIntermediário",Mercado_Receita!$L$2:$L$1157)+SUMIF(Mercado_Receita!$S$2:$S$1157,"44713ASConvencionalNão se aplicaNão se aplicaNão se aplicaNão se aplicaNão se aplica",Mercado_Receita!$L$2:$L$1157)</f>
        <v>0</v>
      </c>
      <c r="Q31" s="13">
        <f>SUMIF(Mercado_Receita!$S$2:$S$1157,"44743ASConvencionalNão se aplicaNão se aplicaNão se aplicaNão se aplicaPonta",Mercado_Receita!$L$2:$L$1157)+SUMIF(Mercado_Receita!$S$2:$S$1157,"44743ASConvencionalNão se aplicaNão se aplicaNão se aplicaNão se aplicaFora ponta",Mercado_Receita!$L$2:$L$1157)+SUMIF(Mercado_Receita!$S$2:$S$1157,"44743ASConvencionalNão se aplicaNão se aplicaNão se aplicaNão se aplicaIntermediário",Mercado_Receita!$L$2:$L$1157)+SUMIF(Mercado_Receita!$S$2:$S$1157,"44743ASConvencionalNão se aplicaNão se aplicaNão se aplicaNão se aplicaNão se aplica",Mercado_Receita!$L$2:$L$1157)</f>
        <v>0</v>
      </c>
      <c r="R31" s="13">
        <f>SUMIF(Mercado_Receita!$S$2:$S$1157,"44774ASConvencionalNão se aplicaNão se aplicaNão se aplicaNão se aplicaPonta",Mercado_Receita!$L$2:$L$1157)+SUMIF(Mercado_Receita!$S$2:$S$1157,"44774ASConvencionalNão se aplicaNão se aplicaNão se aplicaNão se aplicaFora ponta",Mercado_Receita!$L$2:$L$1157)+SUMIF(Mercado_Receita!$S$2:$S$1157,"44774ASConvencionalNão se aplicaNão se aplicaNão se aplicaNão se aplicaIntermediário",Mercado_Receita!$L$2:$L$1157)+SUMIF(Mercado_Receita!$S$2:$S$1157,"44774ASConvencionalNão se aplicaNão se aplicaNão se aplicaNão se aplicaNão se aplica",Mercado_Receita!$L$2:$L$1157)</f>
        <v>0</v>
      </c>
      <c r="S31" s="13">
        <f>SUMIF(Mercado_Receita!$S$2:$S$1157,"44805ASConvencionalNão se aplicaNão se aplicaNão se aplicaNão se aplicaPonta",Mercado_Receita!$L$2:$L$1157)+SUMIF(Mercado_Receita!$S$2:$S$1157,"44805ASConvencionalNão se aplicaNão se aplicaNão se aplicaNão se aplicaFora ponta",Mercado_Receita!$L$2:$L$1157)+SUMIF(Mercado_Receita!$S$2:$S$1157,"44805ASConvencionalNão se aplicaNão se aplicaNão se aplicaNão se aplicaIntermediário",Mercado_Receita!$L$2:$L$1157)+SUMIF(Mercado_Receita!$S$2:$S$1157,"44805ASConvencionalNão se aplicaNão se aplicaNão se aplicaNão se aplicaNão se aplica",Mercado_Receita!$L$2:$L$1157)</f>
        <v>0</v>
      </c>
      <c r="T31" s="13">
        <f>SUMIF(Mercado_Receita!$S$2:$S$1157,"44835ASConvencionalNão se aplicaNão se aplicaNão se aplicaNão se aplicaPonta",Mercado_Receita!$L$2:$L$1157)+SUMIF(Mercado_Receita!$S$2:$S$1157,"44835ASConvencionalNão se aplicaNão se aplicaNão se aplicaNão se aplicaFora ponta",Mercado_Receita!$L$2:$L$1157)+SUMIF(Mercado_Receita!$S$2:$S$1157,"44835ASConvencionalNão se aplicaNão se aplicaNão se aplicaNão se aplicaIntermediário",Mercado_Receita!$L$2:$L$1157)+SUMIF(Mercado_Receita!$S$2:$S$1157,"44835ASConvencionalNão se aplicaNão se aplicaNão se aplicaNão se aplicaNão se aplica",Mercado_Receita!$L$2:$L$1157)</f>
        <v>0</v>
      </c>
      <c r="U31" s="13">
        <f t="shared" si="0"/>
        <v>0</v>
      </c>
      <c r="V31" s="13"/>
      <c r="W31" s="13"/>
    </row>
    <row r="32" spans="1:23" ht="11.25" customHeight="1" x14ac:dyDescent="0.3">
      <c r="A32" s="110" t="s">
        <v>87</v>
      </c>
      <c r="B32" s="110" t="s">
        <v>57</v>
      </c>
      <c r="C32" s="110" t="s">
        <v>25</v>
      </c>
      <c r="D32" s="110" t="s">
        <v>25</v>
      </c>
      <c r="E32" s="12" t="s">
        <v>88</v>
      </c>
      <c r="F32" s="12" t="s">
        <v>25</v>
      </c>
      <c r="G32" s="13" t="s">
        <v>9</v>
      </c>
      <c r="H32" s="13" t="s">
        <v>81</v>
      </c>
      <c r="I32" s="13">
        <f>SUMIF(Mercado_Receita!$S$2:$S$1157,"44501BGeraçãoNão se aplicaNão se aplicaTIPO 01Não se aplicaNão se aplica",Mercado_Receita!$J$2:$J$1157)+SUMIF(Mercado_Receita!$S$2:$S$1157,"44501BGeraçãoNão se aplicaNão se aplicaAPENão se aplicaNão se aplica",Mercado_Receita!$J$2:$J$1157)</f>
        <v>0</v>
      </c>
      <c r="J32" s="13">
        <f>SUMIF(Mercado_Receita!$S$2:$S$1157,"44531BGeraçãoNão se aplicaNão se aplicaTIPO 01Não se aplicaNão se aplica",Mercado_Receita!$J$2:$J$1157)+SUMIF(Mercado_Receita!$S$2:$S$1157,"44531BGeraçãoNão se aplicaNão se aplicaAPENão se aplicaNão se aplica",Mercado_Receita!$J$2:$J$1157)</f>
        <v>0</v>
      </c>
      <c r="K32" s="13">
        <f>SUMIF(Mercado_Receita!$S$2:$S$1157,"44562BGeraçãoNão se aplicaNão se aplicaTIPO 01Não se aplicaNão se aplica",Mercado_Receita!$J$2:$J$1157)+SUMIF(Mercado_Receita!$S$2:$S$1157,"44562BGeraçãoNão se aplicaNão se aplicaAPENão se aplicaNão se aplica",Mercado_Receita!$J$2:$J$1157)</f>
        <v>0</v>
      </c>
      <c r="L32" s="13">
        <f>SUMIF(Mercado_Receita!$S$2:$S$1157,"44593BGeraçãoNão se aplicaNão se aplicaTIPO 01Não se aplicaNão se aplica",Mercado_Receita!$J$2:$J$1157)+SUMIF(Mercado_Receita!$S$2:$S$1157,"44593BGeraçãoNão se aplicaNão se aplicaAPENão se aplicaNão se aplica",Mercado_Receita!$J$2:$J$1157)</f>
        <v>0</v>
      </c>
      <c r="M32" s="13">
        <f>SUMIF(Mercado_Receita!$S$2:$S$1157,"44621BGeraçãoNão se aplicaNão se aplicaTIPO 01Não se aplicaNão se aplica",Mercado_Receita!$J$2:$J$1157)+SUMIF(Mercado_Receita!$S$2:$S$1157,"44621BGeraçãoNão se aplicaNão se aplicaAPENão se aplicaNão se aplica",Mercado_Receita!$J$2:$J$1157)</f>
        <v>0</v>
      </c>
      <c r="N32" s="13">
        <f>SUMIF(Mercado_Receita!$S$2:$S$1157,"44652BGeraçãoNão se aplicaNão se aplicaTIPO 01Não se aplicaNão se aplica",Mercado_Receita!$J$2:$J$1157)+SUMIF(Mercado_Receita!$S$2:$S$1157,"44652BGeraçãoNão se aplicaNão se aplicaAPENão se aplicaNão se aplica",Mercado_Receita!$J$2:$J$1157)</f>
        <v>0</v>
      </c>
      <c r="O32" s="13">
        <f>SUMIF(Mercado_Receita!$S$2:$S$1157,"44682BGeraçãoNão se aplicaNão se aplicaTIPO 01Não se aplicaNão se aplica",Mercado_Receita!$J$2:$J$1157)+SUMIF(Mercado_Receita!$S$2:$S$1157,"44682BGeraçãoNão se aplicaNão se aplicaAPENão se aplicaNão se aplica",Mercado_Receita!$J$2:$J$1157)</f>
        <v>0</v>
      </c>
      <c r="P32" s="13">
        <f>SUMIF(Mercado_Receita!$S$2:$S$1157,"44713BGeraçãoNão se aplicaNão se aplicaTIPO 01Não se aplicaNão se aplica",Mercado_Receita!$J$2:$J$1157)+SUMIF(Mercado_Receita!$S$2:$S$1157,"44713BGeraçãoNão se aplicaNão se aplicaAPENão se aplicaNão se aplica",Mercado_Receita!$J$2:$J$1157)</f>
        <v>0</v>
      </c>
      <c r="Q32" s="13">
        <f>SUMIF(Mercado_Receita!$S$2:$S$1157,"44743BGeraçãoNão se aplicaNão se aplicaTIPO 01Não se aplicaNão se aplica",Mercado_Receita!$J$2:$J$1157)+SUMIF(Mercado_Receita!$S$2:$S$1157,"44743BGeraçãoNão se aplicaNão se aplicaAPENão se aplicaNão se aplica",Mercado_Receita!$J$2:$J$1157)</f>
        <v>0</v>
      </c>
      <c r="R32" s="13">
        <f>SUMIF(Mercado_Receita!$S$2:$S$1157,"44774BGeraçãoNão se aplicaNão se aplicaTIPO 01Não se aplicaNão se aplica",Mercado_Receita!$J$2:$J$1157)+SUMIF(Mercado_Receita!$S$2:$S$1157,"44774BGeraçãoNão se aplicaNão se aplicaAPENão se aplicaNão se aplica",Mercado_Receita!$J$2:$J$1157)</f>
        <v>0</v>
      </c>
      <c r="S32" s="13">
        <f>SUMIF(Mercado_Receita!$S$2:$S$1157,"44805BGeraçãoNão se aplicaNão se aplicaTIPO 01Não se aplicaNão se aplica",Mercado_Receita!$J$2:$J$1157)+SUMIF(Mercado_Receita!$S$2:$S$1157,"44805BGeraçãoNão se aplicaNão se aplicaAPENão se aplicaNão se aplica",Mercado_Receita!$J$2:$J$1157)</f>
        <v>0</v>
      </c>
      <c r="T32" s="13">
        <f>SUMIF(Mercado_Receita!$S$2:$S$1157,"44835BGeraçãoNão se aplicaNão se aplicaTIPO 01Não se aplicaNão se aplica",Mercado_Receita!$J$2:$J$1157)+SUMIF(Mercado_Receita!$S$2:$S$1157,"44835BGeraçãoNão se aplicaNão se aplicaAPENão se aplicaNão se aplica",Mercado_Receita!$J$2:$J$1157)</f>
        <v>0</v>
      </c>
      <c r="U32" s="13">
        <f t="shared" si="0"/>
        <v>0</v>
      </c>
      <c r="V32" s="13"/>
      <c r="W32" s="13"/>
    </row>
    <row r="33" spans="1:23" ht="11.25" customHeight="1" x14ac:dyDescent="0.3">
      <c r="A33" s="111"/>
      <c r="B33" s="111"/>
      <c r="C33" s="111"/>
      <c r="D33" s="111"/>
      <c r="E33" s="12" t="s">
        <v>89</v>
      </c>
      <c r="F33" s="12" t="s">
        <v>25</v>
      </c>
      <c r="G33" s="13" t="s">
        <v>9</v>
      </c>
      <c r="H33" s="13" t="s">
        <v>81</v>
      </c>
      <c r="I33" s="13">
        <f>SUMIF(Mercado_Receita!$S$2:$S$1157,"44501BGeraçãoNão se aplicaNão se aplicaTIPO 02Não se aplicaNão se aplica",Mercado_Receita!$J$2:$J$1157)+SUMIF(Mercado_Receita!$S$2:$S$1157,"44501BGeraçãoNão se aplicaNão se aplicaAPENão se aplicaNão se aplica",Mercado_Receita!$J$2:$J$1157)</f>
        <v>0</v>
      </c>
      <c r="J33" s="13">
        <f>SUMIF(Mercado_Receita!$S$2:$S$1157,"44531BGeraçãoNão se aplicaNão se aplicaTIPO 02Não se aplicaNão se aplica",Mercado_Receita!$J$2:$J$1157)+SUMIF(Mercado_Receita!$S$2:$S$1157,"44531BGeraçãoNão se aplicaNão se aplicaAPENão se aplicaNão se aplica",Mercado_Receita!$J$2:$J$1157)</f>
        <v>0</v>
      </c>
      <c r="K33" s="13">
        <f>SUMIF(Mercado_Receita!$S$2:$S$1157,"44562BGeraçãoNão se aplicaNão se aplicaTIPO 02Não se aplicaNão se aplica",Mercado_Receita!$J$2:$J$1157)+SUMIF(Mercado_Receita!$S$2:$S$1157,"44562BGeraçãoNão se aplicaNão se aplicaAPENão se aplicaNão se aplica",Mercado_Receita!$J$2:$J$1157)</f>
        <v>0</v>
      </c>
      <c r="L33" s="13">
        <f>SUMIF(Mercado_Receita!$S$2:$S$1157,"44593BGeraçãoNão se aplicaNão se aplicaTIPO 02Não se aplicaNão se aplica",Mercado_Receita!$J$2:$J$1157)+SUMIF(Mercado_Receita!$S$2:$S$1157,"44593BGeraçãoNão se aplicaNão se aplicaAPENão se aplicaNão se aplica",Mercado_Receita!$J$2:$J$1157)</f>
        <v>0</v>
      </c>
      <c r="M33" s="13">
        <f>SUMIF(Mercado_Receita!$S$2:$S$1157,"44621BGeraçãoNão se aplicaNão se aplicaTIPO 02Não se aplicaNão se aplica",Mercado_Receita!$J$2:$J$1157)+SUMIF(Mercado_Receita!$S$2:$S$1157,"44621BGeraçãoNão se aplicaNão se aplicaAPENão se aplicaNão se aplica",Mercado_Receita!$J$2:$J$1157)</f>
        <v>0</v>
      </c>
      <c r="N33" s="13">
        <f>SUMIF(Mercado_Receita!$S$2:$S$1157,"44652BGeraçãoNão se aplicaNão se aplicaTIPO 02Não se aplicaNão se aplica",Mercado_Receita!$J$2:$J$1157)+SUMIF(Mercado_Receita!$S$2:$S$1157,"44652BGeraçãoNão se aplicaNão se aplicaAPENão se aplicaNão se aplica",Mercado_Receita!$J$2:$J$1157)</f>
        <v>0</v>
      </c>
      <c r="O33" s="13">
        <f>SUMIF(Mercado_Receita!$S$2:$S$1157,"44682BGeraçãoNão se aplicaNão se aplicaTIPO 02Não se aplicaNão se aplica",Mercado_Receita!$J$2:$J$1157)+SUMIF(Mercado_Receita!$S$2:$S$1157,"44682BGeraçãoNão se aplicaNão se aplicaAPENão se aplicaNão se aplica",Mercado_Receita!$J$2:$J$1157)</f>
        <v>0</v>
      </c>
      <c r="P33" s="13">
        <f>SUMIF(Mercado_Receita!$S$2:$S$1157,"44713BGeraçãoNão se aplicaNão se aplicaTIPO 02Não se aplicaNão se aplica",Mercado_Receita!$J$2:$J$1157)+SUMIF(Mercado_Receita!$S$2:$S$1157,"44713BGeraçãoNão se aplicaNão se aplicaAPENão se aplicaNão se aplica",Mercado_Receita!$J$2:$J$1157)</f>
        <v>0</v>
      </c>
      <c r="Q33" s="13">
        <f>SUMIF(Mercado_Receita!$S$2:$S$1157,"44743BGeraçãoNão se aplicaNão se aplicaTIPO 02Não se aplicaNão se aplica",Mercado_Receita!$J$2:$J$1157)+SUMIF(Mercado_Receita!$S$2:$S$1157,"44743BGeraçãoNão se aplicaNão se aplicaAPENão se aplicaNão se aplica",Mercado_Receita!$J$2:$J$1157)</f>
        <v>0</v>
      </c>
      <c r="R33" s="13">
        <f>SUMIF(Mercado_Receita!$S$2:$S$1157,"44774BGeraçãoNão se aplicaNão se aplicaTIPO 02Não se aplicaNão se aplica",Mercado_Receita!$J$2:$J$1157)+SUMIF(Mercado_Receita!$S$2:$S$1157,"44774BGeraçãoNão se aplicaNão se aplicaAPENão se aplicaNão se aplica",Mercado_Receita!$J$2:$J$1157)</f>
        <v>0</v>
      </c>
      <c r="S33" s="13">
        <f>SUMIF(Mercado_Receita!$S$2:$S$1157,"44805BGeraçãoNão se aplicaNão se aplicaTIPO 02Não se aplicaNão se aplica",Mercado_Receita!$J$2:$J$1157)+SUMIF(Mercado_Receita!$S$2:$S$1157,"44805BGeraçãoNão se aplicaNão se aplicaAPENão se aplicaNão se aplica",Mercado_Receita!$J$2:$J$1157)</f>
        <v>0</v>
      </c>
      <c r="T33" s="13">
        <f>SUMIF(Mercado_Receita!$S$2:$S$1157,"44835BGeraçãoNão se aplicaNão se aplicaTIPO 02Não se aplicaNão se aplica",Mercado_Receita!$J$2:$J$1157)+SUMIF(Mercado_Receita!$S$2:$S$1157,"44835BGeraçãoNão se aplicaNão se aplicaAPENão se aplicaNão se aplica",Mercado_Receita!$J$2:$J$1157)</f>
        <v>0</v>
      </c>
      <c r="U33" s="13">
        <f t="shared" si="0"/>
        <v>0</v>
      </c>
      <c r="V33" s="13"/>
      <c r="W33" s="13"/>
    </row>
    <row r="34" spans="1:23" ht="11.25" customHeight="1" x14ac:dyDescent="0.3">
      <c r="A34" s="110" t="s">
        <v>22</v>
      </c>
      <c r="B34" s="110" t="s">
        <v>33</v>
      </c>
      <c r="C34" s="110" t="s">
        <v>24</v>
      </c>
      <c r="D34" s="110" t="s">
        <v>24</v>
      </c>
      <c r="E34" s="110" t="s">
        <v>25</v>
      </c>
      <c r="F34" s="110" t="s">
        <v>25</v>
      </c>
      <c r="G34" s="13" t="s">
        <v>79</v>
      </c>
      <c r="H34" s="13" t="s">
        <v>78</v>
      </c>
      <c r="I34" s="13">
        <f>SUMIF(Mercado_Receita!$S$2:$S$1157,"44501B1BrancaResidencialResidencialNão se aplicaNão se aplicaPonta",Mercado_Receita!$L$2:$L$1157)</f>
        <v>1.581</v>
      </c>
      <c r="J34" s="13">
        <f>SUMIF(Mercado_Receita!$S$2:$S$1157,"44531B1BrancaResidencialResidencialNão se aplicaNão se aplicaPonta",Mercado_Receita!$L$2:$L$1157)</f>
        <v>1.591</v>
      </c>
      <c r="K34" s="13">
        <f>SUMIF(Mercado_Receita!$S$2:$S$1157,"44562B1BrancaResidencialResidencialNão se aplicaNão se aplicaPonta",Mercado_Receita!$L$2:$L$1157)</f>
        <v>1.758</v>
      </c>
      <c r="L34" s="13">
        <f>SUMIF(Mercado_Receita!$S$2:$S$1157,"44593B1BrancaResidencialResidencialNão se aplicaNão se aplicaPonta",Mercado_Receita!$L$2:$L$1157)</f>
        <v>1.7289999999999999</v>
      </c>
      <c r="M34" s="13">
        <f>SUMIF(Mercado_Receita!$S$2:$S$1157,"44621B1BrancaResidencialResidencialNão se aplicaNão se aplicaPonta",Mercado_Receita!$L$2:$L$1157)</f>
        <v>1.893</v>
      </c>
      <c r="N34" s="13">
        <f>SUMIF(Mercado_Receita!$S$2:$S$1157,"44652B1BrancaResidencialResidencialNão se aplicaNão se aplicaPonta",Mercado_Receita!$L$2:$L$1157)</f>
        <v>1.2629999999999999</v>
      </c>
      <c r="O34" s="13">
        <f>SUMIF(Mercado_Receita!$S$2:$S$1157,"44682B1BrancaResidencialResidencialNão se aplicaNão se aplicaPonta",Mercado_Receita!$L$2:$L$1157)</f>
        <v>1.0819999999999999</v>
      </c>
      <c r="P34" s="13">
        <f>SUMIF(Mercado_Receita!$S$2:$S$1157,"44713B1BrancaResidencialResidencialNão se aplicaNão se aplicaPonta",Mercado_Receita!$L$2:$L$1157)</f>
        <v>1.1359999999999999</v>
      </c>
      <c r="Q34" s="13">
        <f>SUMIF(Mercado_Receita!$S$2:$S$1157,"44743B1BrancaResidencialResidencialNão se aplicaNão se aplicaPonta",Mercado_Receita!$L$2:$L$1157)</f>
        <v>1.6060000000000001</v>
      </c>
      <c r="R34" s="13">
        <f>SUMIF(Mercado_Receita!$S$2:$S$1157,"44774B1BrancaResidencialResidencialNão se aplicaNão se aplicaPonta",Mercado_Receita!$L$2:$L$1157)</f>
        <v>1.1919999999999999</v>
      </c>
      <c r="S34" s="13">
        <f>SUMIF(Mercado_Receita!$S$2:$S$1157,"44805B1BrancaResidencialResidencialNão se aplicaNão se aplicaPonta",Mercado_Receita!$L$2:$L$1157)</f>
        <v>1.0820000000000001</v>
      </c>
      <c r="T34" s="13">
        <f>SUMIF(Mercado_Receita!$S$2:$S$1157,"44835B1BrancaResidencialResidencialNão se aplicaNão se aplicaPonta",Mercado_Receita!$L$2:$L$1157)</f>
        <v>1.0820000000000001</v>
      </c>
      <c r="U34" s="13">
        <f t="shared" ref="U34:U65" si="1">SUM(I34:T34)</f>
        <v>16.994999999999997</v>
      </c>
      <c r="V34" s="13"/>
      <c r="W34" s="13"/>
    </row>
    <row r="35" spans="1:23" ht="11.25" customHeight="1" x14ac:dyDescent="0.3">
      <c r="A35" s="111"/>
      <c r="B35" s="111"/>
      <c r="C35" s="111"/>
      <c r="D35" s="111"/>
      <c r="E35" s="111"/>
      <c r="F35" s="111"/>
      <c r="G35" s="13" t="s">
        <v>90</v>
      </c>
      <c r="H35" s="13" t="s">
        <v>78</v>
      </c>
      <c r="I35" s="13">
        <f>SUMIF(Mercado_Receita!$S$2:$S$1157,"44501B1BrancaResidencialResidencialNão se aplicaNão se aplicaIntermediário",Mercado_Receita!$L$2:$L$1157)</f>
        <v>0.72499999999999998</v>
      </c>
      <c r="J35" s="13">
        <f>SUMIF(Mercado_Receita!$S$2:$S$1157,"44531B1BrancaResidencialResidencialNão se aplicaNão se aplicaIntermediário",Mercado_Receita!$L$2:$L$1157)</f>
        <v>0.78200000000000003</v>
      </c>
      <c r="K35" s="13">
        <f>SUMIF(Mercado_Receita!$S$2:$S$1157,"44562B1BrancaResidencialResidencialNão se aplicaNão se aplicaIntermediário",Mercado_Receita!$L$2:$L$1157)</f>
        <v>0.98699999999999999</v>
      </c>
      <c r="L35" s="13">
        <f>SUMIF(Mercado_Receita!$S$2:$S$1157,"44593B1BrancaResidencialResidencialNão se aplicaNão se aplicaIntermediário",Mercado_Receita!$L$2:$L$1157)</f>
        <v>0.94499999999999995</v>
      </c>
      <c r="M35" s="13">
        <f>SUMIF(Mercado_Receita!$S$2:$S$1157,"44621B1BrancaResidencialResidencialNão se aplicaNão se aplicaIntermediário",Mercado_Receita!$L$2:$L$1157)</f>
        <v>0.91999999999999993</v>
      </c>
      <c r="N35" s="13">
        <f>SUMIF(Mercado_Receita!$S$2:$S$1157,"44652B1BrancaResidencialResidencialNão se aplicaNão se aplicaIntermediário",Mercado_Receita!$L$2:$L$1157)</f>
        <v>0.873</v>
      </c>
      <c r="O35" s="13">
        <f>SUMIF(Mercado_Receita!$S$2:$S$1157,"44682B1BrancaResidencialResidencialNão se aplicaNão se aplicaIntermediário",Mercado_Receita!$L$2:$L$1157)</f>
        <v>1.3920000000000001</v>
      </c>
      <c r="P35" s="13">
        <f>SUMIF(Mercado_Receita!$S$2:$S$1157,"44713B1BrancaResidencialResidencialNão se aplicaNão se aplicaIntermediário",Mercado_Receita!$L$2:$L$1157)</f>
        <v>0.73799999999999999</v>
      </c>
      <c r="Q35" s="13">
        <f>SUMIF(Mercado_Receita!$S$2:$S$1157,"44743B1BrancaResidencialResidencialNão se aplicaNão se aplicaIntermediário",Mercado_Receita!$L$2:$L$1157)</f>
        <v>1.0229999999999999</v>
      </c>
      <c r="R35" s="13">
        <f>SUMIF(Mercado_Receita!$S$2:$S$1157,"44774B1BrancaResidencialResidencialNão se aplicaNão se aplicaIntermediário",Mercado_Receita!$L$2:$L$1157)</f>
        <v>0.79899999999999993</v>
      </c>
      <c r="S35" s="13">
        <f>SUMIF(Mercado_Receita!$S$2:$S$1157,"44805B1BrancaResidencialResidencialNão se aplicaNão se aplicaIntermediário",Mercado_Receita!$L$2:$L$1157)</f>
        <v>0.85799999999999998</v>
      </c>
      <c r="T35" s="13">
        <f>SUMIF(Mercado_Receita!$S$2:$S$1157,"44835B1BrancaResidencialResidencialNão se aplicaNão se aplicaIntermediário",Mercado_Receita!$L$2:$L$1157)</f>
        <v>0.85799999999999998</v>
      </c>
      <c r="U35" s="13">
        <f t="shared" si="1"/>
        <v>10.9</v>
      </c>
      <c r="V35" s="13"/>
      <c r="W35" s="13"/>
    </row>
    <row r="36" spans="1:23" ht="11.25" customHeight="1" x14ac:dyDescent="0.3">
      <c r="A36" s="111"/>
      <c r="B36" s="111"/>
      <c r="C36" s="111"/>
      <c r="D36" s="111"/>
      <c r="E36" s="111"/>
      <c r="F36" s="111"/>
      <c r="G36" s="13" t="s">
        <v>80</v>
      </c>
      <c r="H36" s="13" t="s">
        <v>78</v>
      </c>
      <c r="I36" s="13">
        <f>SUMIF(Mercado_Receita!$S$2:$S$1157,"44501B1BrancaResidencialResidencialNão se aplicaNão se aplicaFora ponta",Mercado_Receita!$L$2:$L$1157)</f>
        <v>12.271000000000001</v>
      </c>
      <c r="J36" s="13">
        <f>SUMIF(Mercado_Receita!$S$2:$S$1157,"44531B1BrancaResidencialResidencialNão se aplicaNão se aplicaFora ponta",Mercado_Receita!$L$2:$L$1157)</f>
        <v>12.193999999999999</v>
      </c>
      <c r="K36" s="13">
        <f>SUMIF(Mercado_Receita!$S$2:$S$1157,"44562B1BrancaResidencialResidencialNão se aplicaNão se aplicaFora ponta",Mercado_Receita!$L$2:$L$1157)</f>
        <v>13.625999999999999</v>
      </c>
      <c r="L36" s="13">
        <f>SUMIF(Mercado_Receita!$S$2:$S$1157,"44593B1BrancaResidencialResidencialNão se aplicaNão se aplicaFora ponta",Mercado_Receita!$L$2:$L$1157)</f>
        <v>12.58</v>
      </c>
      <c r="M36" s="13">
        <f>SUMIF(Mercado_Receita!$S$2:$S$1157,"44621B1BrancaResidencialResidencialNão se aplicaNão se aplicaFora ponta",Mercado_Receita!$L$2:$L$1157)</f>
        <v>13.433999999999999</v>
      </c>
      <c r="N36" s="13">
        <f>SUMIF(Mercado_Receita!$S$2:$S$1157,"44652B1BrancaResidencialResidencialNão se aplicaNão se aplicaFora ponta",Mercado_Receita!$L$2:$L$1157)</f>
        <v>10.234</v>
      </c>
      <c r="O36" s="13">
        <f>SUMIF(Mercado_Receita!$S$2:$S$1157,"44682B1BrancaResidencialResidencialNão se aplicaNão se aplicaFora ponta",Mercado_Receita!$L$2:$L$1157)</f>
        <v>10.035</v>
      </c>
      <c r="P36" s="13">
        <f>SUMIF(Mercado_Receita!$S$2:$S$1157,"44713B1BrancaResidencialResidencialNão se aplicaNão se aplicaFora ponta",Mercado_Receita!$L$2:$L$1157)</f>
        <v>8.6159999999999997</v>
      </c>
      <c r="Q36" s="13">
        <f>SUMIF(Mercado_Receita!$S$2:$S$1157,"44743B1BrancaResidencialResidencialNão se aplicaNão se aplicaFora ponta",Mercado_Receita!$L$2:$L$1157)</f>
        <v>9.0470000000000006</v>
      </c>
      <c r="R36" s="13">
        <f>SUMIF(Mercado_Receita!$S$2:$S$1157,"44774B1BrancaResidencialResidencialNão se aplicaNão se aplicaFora ponta",Mercado_Receita!$L$2:$L$1157)</f>
        <v>8.3550000000000004</v>
      </c>
      <c r="S36" s="13">
        <f>SUMIF(Mercado_Receita!$S$2:$S$1157,"44805B1BrancaResidencialResidencialNão se aplicaNão se aplicaFora ponta",Mercado_Receita!$L$2:$L$1157)</f>
        <v>8.6869999999999994</v>
      </c>
      <c r="T36" s="13">
        <f>SUMIF(Mercado_Receita!$S$2:$S$1157,"44835B1BrancaResidencialResidencialNão se aplicaNão se aplicaFora ponta",Mercado_Receita!$L$2:$L$1157)</f>
        <v>8.6869999999999994</v>
      </c>
      <c r="U36" s="13">
        <f t="shared" si="1"/>
        <v>127.76599999999999</v>
      </c>
      <c r="V36" s="13"/>
      <c r="W36" s="13"/>
    </row>
    <row r="37" spans="1:23" ht="11.25" customHeight="1" x14ac:dyDescent="0.3">
      <c r="A37" s="111"/>
      <c r="B37" s="110" t="s">
        <v>23</v>
      </c>
      <c r="C37" s="110" t="s">
        <v>24</v>
      </c>
      <c r="D37" s="12" t="s">
        <v>24</v>
      </c>
      <c r="E37" s="12" t="s">
        <v>25</v>
      </c>
      <c r="F37" s="12" t="s">
        <v>25</v>
      </c>
      <c r="G37" s="13" t="s">
        <v>84</v>
      </c>
      <c r="H37" s="13" t="s">
        <v>78</v>
      </c>
      <c r="I37" s="13">
        <f>SUMIF(Mercado_Receita!$S$2:$S$1157,"44501B1ConvencionalResidencialResidencialNão se aplicaNão se aplicaPonta",Mercado_Receita!$L$2:$L$1157)+SUMIF(Mercado_Receita!$S$2:$S$1157,"44501B1ConvencionalResidencialResidencialNão se aplicaNão se aplicaFora ponta",Mercado_Receita!$L$2:$L$1157)+SUMIF(Mercado_Receita!$S$2:$S$1157,"44501B1ConvencionalResidencialResidencialNão se aplicaNão se aplicaIntermediário",Mercado_Receita!$L$2:$L$1157)+SUMIF(Mercado_Receita!$S$2:$S$1157,"44501B1ConvencionalResidencialResidencialNão se aplicaNão se aplicaNão se aplica",Mercado_Receita!$L$2:$L$1157)</f>
        <v>10470.392999999998</v>
      </c>
      <c r="J37" s="13">
        <f>SUMIF(Mercado_Receita!$S$2:$S$1157,"44531B1ConvencionalResidencialResidencialNão se aplicaNão se aplicaPonta",Mercado_Receita!$L$2:$L$1157)+SUMIF(Mercado_Receita!$S$2:$S$1157,"44531B1ConvencionalResidencialResidencialNão se aplicaNão se aplicaFora ponta",Mercado_Receita!$L$2:$L$1157)+SUMIF(Mercado_Receita!$S$2:$S$1157,"44531B1ConvencionalResidencialResidencialNão se aplicaNão se aplicaIntermediário",Mercado_Receita!$L$2:$L$1157)+SUMIF(Mercado_Receita!$S$2:$S$1157,"44531B1ConvencionalResidencialResidencialNão se aplicaNão se aplicaNão se aplica",Mercado_Receita!$L$2:$L$1157)</f>
        <v>10051.49</v>
      </c>
      <c r="K37" s="13">
        <f>SUMIF(Mercado_Receita!$S$2:$S$1157,"44562B1ConvencionalResidencialResidencialNão se aplicaNão se aplicaPonta",Mercado_Receita!$L$2:$L$1157)+SUMIF(Mercado_Receita!$S$2:$S$1157,"44562B1ConvencionalResidencialResidencialNão se aplicaNão se aplicaFora ponta",Mercado_Receita!$L$2:$L$1157)+SUMIF(Mercado_Receita!$S$2:$S$1157,"44562B1ConvencionalResidencialResidencialNão se aplicaNão se aplicaIntermediário",Mercado_Receita!$L$2:$L$1157)+SUMIF(Mercado_Receita!$S$2:$S$1157,"44562B1ConvencionalResidencialResidencialNão se aplicaNão se aplicaNão se aplica",Mercado_Receita!$L$2:$L$1157)</f>
        <v>11023.872000000001</v>
      </c>
      <c r="L37" s="13">
        <f>SUMIF(Mercado_Receita!$S$2:$S$1157,"44593B1ConvencionalResidencialResidencialNão se aplicaNão se aplicaPonta",Mercado_Receita!$L$2:$L$1157)+SUMIF(Mercado_Receita!$S$2:$S$1157,"44593B1ConvencionalResidencialResidencialNão se aplicaNão se aplicaFora ponta",Mercado_Receita!$L$2:$L$1157)+SUMIF(Mercado_Receita!$S$2:$S$1157,"44593B1ConvencionalResidencialResidencialNão se aplicaNão se aplicaIntermediário",Mercado_Receita!$L$2:$L$1157)+SUMIF(Mercado_Receita!$S$2:$S$1157,"44593B1ConvencionalResidencialResidencialNão se aplicaNão se aplicaNão se aplica",Mercado_Receita!$L$2:$L$1157)</f>
        <v>10163.566999999999</v>
      </c>
      <c r="M37" s="13">
        <f>SUMIF(Mercado_Receita!$S$2:$S$1157,"44621B1ConvencionalResidencialResidencialNão se aplicaNão se aplicaPonta",Mercado_Receita!$L$2:$L$1157)+SUMIF(Mercado_Receita!$S$2:$S$1157,"44621B1ConvencionalResidencialResidencialNão se aplicaNão se aplicaFora ponta",Mercado_Receita!$L$2:$L$1157)+SUMIF(Mercado_Receita!$S$2:$S$1157,"44621B1ConvencionalResidencialResidencialNão se aplicaNão se aplicaIntermediário",Mercado_Receita!$L$2:$L$1157)+SUMIF(Mercado_Receita!$S$2:$S$1157,"44621B1ConvencionalResidencialResidencialNão se aplicaNão se aplicaNão se aplica",Mercado_Receita!$L$2:$L$1157)</f>
        <v>10292.012000000001</v>
      </c>
      <c r="N37" s="13">
        <f>SUMIF(Mercado_Receita!$S$2:$S$1157,"44652B1ConvencionalResidencialResidencialNão se aplicaNão se aplicaPonta",Mercado_Receita!$L$2:$L$1157)+SUMIF(Mercado_Receita!$S$2:$S$1157,"44652B1ConvencionalResidencialResidencialNão se aplicaNão se aplicaFora ponta",Mercado_Receita!$L$2:$L$1157)+SUMIF(Mercado_Receita!$S$2:$S$1157,"44652B1ConvencionalResidencialResidencialNão se aplicaNão se aplicaIntermediário",Mercado_Receita!$L$2:$L$1157)+SUMIF(Mercado_Receita!$S$2:$S$1157,"44652B1ConvencionalResidencialResidencialNão se aplicaNão se aplicaNão se aplica",Mercado_Receita!$L$2:$L$1157)</f>
        <v>10527.667000000001</v>
      </c>
      <c r="O37" s="13">
        <f>SUMIF(Mercado_Receita!$S$2:$S$1157,"44682B1ConvencionalResidencialResidencialNão se aplicaNão se aplicaPonta",Mercado_Receita!$L$2:$L$1157)+SUMIF(Mercado_Receita!$S$2:$S$1157,"44682B1ConvencionalResidencialResidencialNão se aplicaNão se aplicaFora ponta",Mercado_Receita!$L$2:$L$1157)+SUMIF(Mercado_Receita!$S$2:$S$1157,"44682B1ConvencionalResidencialResidencialNão se aplicaNão se aplicaIntermediário",Mercado_Receita!$L$2:$L$1157)+SUMIF(Mercado_Receita!$S$2:$S$1157,"44682B1ConvencionalResidencialResidencialNão se aplicaNão se aplicaNão se aplica",Mercado_Receita!$L$2:$L$1157)</f>
        <v>10321.969000000001</v>
      </c>
      <c r="P37" s="13">
        <f>SUMIF(Mercado_Receita!$S$2:$S$1157,"44713B1ConvencionalResidencialResidencialNão se aplicaNão se aplicaPonta",Mercado_Receita!$L$2:$L$1157)+SUMIF(Mercado_Receita!$S$2:$S$1157,"44713B1ConvencionalResidencialResidencialNão se aplicaNão se aplicaFora ponta",Mercado_Receita!$L$2:$L$1157)+SUMIF(Mercado_Receita!$S$2:$S$1157,"44713B1ConvencionalResidencialResidencialNão se aplicaNão se aplicaIntermediário",Mercado_Receita!$L$2:$L$1157)+SUMIF(Mercado_Receita!$S$2:$S$1157,"44713B1ConvencionalResidencialResidencialNão se aplicaNão se aplicaNão se aplica",Mercado_Receita!$L$2:$L$1157)</f>
        <v>10427.107</v>
      </c>
      <c r="Q37" s="13">
        <f>SUMIF(Mercado_Receita!$S$2:$S$1157,"44743B1ConvencionalResidencialResidencialNão se aplicaNão se aplicaPonta",Mercado_Receita!$L$2:$L$1157)+SUMIF(Mercado_Receita!$S$2:$S$1157,"44743B1ConvencionalResidencialResidencialNão se aplicaNão se aplicaFora ponta",Mercado_Receita!$L$2:$L$1157)+SUMIF(Mercado_Receita!$S$2:$S$1157,"44743B1ConvencionalResidencialResidencialNão se aplicaNão se aplicaIntermediário",Mercado_Receita!$L$2:$L$1157)+SUMIF(Mercado_Receita!$S$2:$S$1157,"44743B1ConvencionalResidencialResidencialNão se aplicaNão se aplicaNão se aplica",Mercado_Receita!$L$2:$L$1157)</f>
        <v>10725.651</v>
      </c>
      <c r="R37" s="13">
        <f>SUMIF(Mercado_Receita!$S$2:$S$1157,"44774B1ConvencionalResidencialResidencialNão se aplicaNão se aplicaPonta",Mercado_Receita!$L$2:$L$1157)+SUMIF(Mercado_Receita!$S$2:$S$1157,"44774B1ConvencionalResidencialResidencialNão se aplicaNão se aplicaFora ponta",Mercado_Receita!$L$2:$L$1157)+SUMIF(Mercado_Receita!$S$2:$S$1157,"44774B1ConvencionalResidencialResidencialNão se aplicaNão se aplicaIntermediário",Mercado_Receita!$L$2:$L$1157)+SUMIF(Mercado_Receita!$S$2:$S$1157,"44774B1ConvencionalResidencialResidencialNão se aplicaNão se aplicaNão se aplica",Mercado_Receita!$L$2:$L$1157)</f>
        <v>10186.543999999998</v>
      </c>
      <c r="S37" s="13">
        <f>SUMIF(Mercado_Receita!$S$2:$S$1157,"44805B1ConvencionalResidencialResidencialNão se aplicaNão se aplicaPonta",Mercado_Receita!$L$2:$L$1157)+SUMIF(Mercado_Receita!$S$2:$S$1157,"44805B1ConvencionalResidencialResidencialNão se aplicaNão se aplicaFora ponta",Mercado_Receita!$L$2:$L$1157)+SUMIF(Mercado_Receita!$S$2:$S$1157,"44805B1ConvencionalResidencialResidencialNão se aplicaNão se aplicaIntermediário",Mercado_Receita!$L$2:$L$1157)+SUMIF(Mercado_Receita!$S$2:$S$1157,"44805B1ConvencionalResidencialResidencialNão se aplicaNão se aplicaNão se aplica",Mercado_Receita!$L$2:$L$1157)</f>
        <v>11182.324999999999</v>
      </c>
      <c r="T37" s="13">
        <f>SUMIF(Mercado_Receita!$S$2:$S$1157,"44835B1ConvencionalResidencialResidencialNão se aplicaNão se aplicaPonta",Mercado_Receita!$L$2:$L$1157)+SUMIF(Mercado_Receita!$S$2:$S$1157,"44835B1ConvencionalResidencialResidencialNão se aplicaNão se aplicaFora ponta",Mercado_Receita!$L$2:$L$1157)+SUMIF(Mercado_Receita!$S$2:$S$1157,"44835B1ConvencionalResidencialResidencialNão se aplicaNão se aplicaIntermediário",Mercado_Receita!$L$2:$L$1157)+SUMIF(Mercado_Receita!$S$2:$S$1157,"44835B1ConvencionalResidencialResidencialNão se aplicaNão se aplicaNão se aplica",Mercado_Receita!$L$2:$L$1157)</f>
        <v>11182.324999999999</v>
      </c>
      <c r="U37" s="13">
        <f t="shared" si="1"/>
        <v>126554.92199999999</v>
      </c>
      <c r="V37" s="13"/>
      <c r="W37" s="13"/>
    </row>
    <row r="38" spans="1:23" ht="11.25" customHeight="1" x14ac:dyDescent="0.3">
      <c r="A38" s="111"/>
      <c r="B38" s="111"/>
      <c r="C38" s="111"/>
      <c r="D38" s="12" t="s">
        <v>29</v>
      </c>
      <c r="E38" s="12" t="s">
        <v>25</v>
      </c>
      <c r="F38" s="12" t="s">
        <v>25</v>
      </c>
      <c r="G38" s="13" t="s">
        <v>84</v>
      </c>
      <c r="H38" s="13" t="s">
        <v>78</v>
      </c>
      <c r="I38" s="13">
        <f>SUMIF(Mercado_Receita!$S$2:$S$1157,"44501B1ConvencionalResidencialResidencial baixa renda – faixa 01Não se aplicaNão se aplicaPonta",Mercado_Receita!$L$2:$L$1157)+SUMIF(Mercado_Receita!$S$2:$S$1157,"44501B1ConvencionalResidencialResidencial baixa renda – faixa 01Não se aplicaNão se aplicaFora ponta",Mercado_Receita!$L$2:$L$1157)+SUMIF(Mercado_Receita!$S$2:$S$1157,"44501B1ConvencionalResidencialResidencial baixa renda – faixa 01Não se aplicaNão se aplicaIntermediário",Mercado_Receita!$L$2:$L$1157)+SUMIF(Mercado_Receita!$S$2:$S$1157,"44501B1ConvencionalResidencialResidencial baixa renda – faixa 01Não se aplicaNão se aplicaNão se aplica",Mercado_Receita!$L$2:$L$1157)</f>
        <v>161.37700000000001</v>
      </c>
      <c r="J38" s="13">
        <f>SUMIF(Mercado_Receita!$S$2:$S$1157,"44531B1ConvencionalResidencialResidencial baixa renda – faixa 01Não se aplicaNão se aplicaPonta",Mercado_Receita!$L$2:$L$1157)+SUMIF(Mercado_Receita!$S$2:$S$1157,"44531B1ConvencionalResidencialResidencial baixa renda – faixa 01Não se aplicaNão se aplicaFora ponta",Mercado_Receita!$L$2:$L$1157)+SUMIF(Mercado_Receita!$S$2:$S$1157,"44531B1ConvencionalResidencialResidencial baixa renda – faixa 01Não se aplicaNão se aplicaIntermediário",Mercado_Receita!$L$2:$L$1157)+SUMIF(Mercado_Receita!$S$2:$S$1157,"44531B1ConvencionalResidencialResidencial baixa renda – faixa 01Não se aplicaNão se aplicaNão se aplica",Mercado_Receita!$L$2:$L$1157)</f>
        <v>169.66800000000001</v>
      </c>
      <c r="K38" s="13">
        <f>SUMIF(Mercado_Receita!$S$2:$S$1157,"44562B1ConvencionalResidencialResidencial baixa renda – faixa 01Não se aplicaNão se aplicaPonta",Mercado_Receita!$L$2:$L$1157)+SUMIF(Mercado_Receita!$S$2:$S$1157,"44562B1ConvencionalResidencialResidencial baixa renda – faixa 01Não se aplicaNão se aplicaFora ponta",Mercado_Receita!$L$2:$L$1157)+SUMIF(Mercado_Receita!$S$2:$S$1157,"44562B1ConvencionalResidencialResidencial baixa renda – faixa 01Não se aplicaNão se aplicaIntermediário",Mercado_Receita!$L$2:$L$1157)+SUMIF(Mercado_Receita!$S$2:$S$1157,"44562B1ConvencionalResidencialResidencial baixa renda – faixa 01Não se aplicaNão se aplicaNão se aplica",Mercado_Receita!$L$2:$L$1157)</f>
        <v>164.00200000000001</v>
      </c>
      <c r="L38" s="13">
        <f>SUMIF(Mercado_Receita!$S$2:$S$1157,"44593B1ConvencionalResidencialResidencial baixa renda – faixa 01Não se aplicaNão se aplicaPonta",Mercado_Receita!$L$2:$L$1157)+SUMIF(Mercado_Receita!$S$2:$S$1157,"44593B1ConvencionalResidencialResidencial baixa renda – faixa 01Não se aplicaNão se aplicaFora ponta",Mercado_Receita!$L$2:$L$1157)+SUMIF(Mercado_Receita!$S$2:$S$1157,"44593B1ConvencionalResidencialResidencial baixa renda – faixa 01Não se aplicaNão se aplicaIntermediário",Mercado_Receita!$L$2:$L$1157)+SUMIF(Mercado_Receita!$S$2:$S$1157,"44593B1ConvencionalResidencialResidencial baixa renda – faixa 01Não se aplicaNão se aplicaNão se aplica",Mercado_Receita!$L$2:$L$1157)</f>
        <v>182.297</v>
      </c>
      <c r="M38" s="13">
        <f>SUMIF(Mercado_Receita!$S$2:$S$1157,"44621B1ConvencionalResidencialResidencial baixa renda – faixa 01Não se aplicaNão se aplicaPonta",Mercado_Receita!$L$2:$L$1157)+SUMIF(Mercado_Receita!$S$2:$S$1157,"44621B1ConvencionalResidencialResidencial baixa renda – faixa 01Não se aplicaNão se aplicaFora ponta",Mercado_Receita!$L$2:$L$1157)+SUMIF(Mercado_Receita!$S$2:$S$1157,"44621B1ConvencionalResidencialResidencial baixa renda – faixa 01Não se aplicaNão se aplicaIntermediário",Mercado_Receita!$L$2:$L$1157)+SUMIF(Mercado_Receita!$S$2:$S$1157,"44621B1ConvencionalResidencialResidencial baixa renda – faixa 01Não se aplicaNão se aplicaNão se aplica",Mercado_Receita!$L$2:$L$1157)</f>
        <v>188.07499999999999</v>
      </c>
      <c r="N38" s="13">
        <f>SUMIF(Mercado_Receita!$S$2:$S$1157,"44652B1ConvencionalResidencialResidencial baixa renda – faixa 01Não se aplicaNão se aplicaPonta",Mercado_Receita!$L$2:$L$1157)+SUMIF(Mercado_Receita!$S$2:$S$1157,"44652B1ConvencionalResidencialResidencial baixa renda – faixa 01Não se aplicaNão se aplicaFora ponta",Mercado_Receita!$L$2:$L$1157)+SUMIF(Mercado_Receita!$S$2:$S$1157,"44652B1ConvencionalResidencialResidencial baixa renda – faixa 01Não se aplicaNão se aplicaIntermediário",Mercado_Receita!$L$2:$L$1157)+SUMIF(Mercado_Receita!$S$2:$S$1157,"44652B1ConvencionalResidencialResidencial baixa renda – faixa 01Não se aplicaNão se aplicaNão se aplica",Mercado_Receita!$L$2:$L$1157)</f>
        <v>189.30700000000002</v>
      </c>
      <c r="O38" s="13">
        <f>SUMIF(Mercado_Receita!$S$2:$S$1157,"44682B1ConvencionalResidencialResidencial baixa renda – faixa 01Não se aplicaNão se aplicaPonta",Mercado_Receita!$L$2:$L$1157)+SUMIF(Mercado_Receita!$S$2:$S$1157,"44682B1ConvencionalResidencialResidencial baixa renda – faixa 01Não se aplicaNão se aplicaFora ponta",Mercado_Receita!$L$2:$L$1157)+SUMIF(Mercado_Receita!$S$2:$S$1157,"44682B1ConvencionalResidencialResidencial baixa renda – faixa 01Não se aplicaNão se aplicaIntermediário",Mercado_Receita!$L$2:$L$1157)+SUMIF(Mercado_Receita!$S$2:$S$1157,"44682B1ConvencionalResidencialResidencial baixa renda – faixa 01Não se aplicaNão se aplicaNão se aplica",Mercado_Receita!$L$2:$L$1157)</f>
        <v>193.714</v>
      </c>
      <c r="P38" s="13">
        <f>SUMIF(Mercado_Receita!$S$2:$S$1157,"44713B1ConvencionalResidencialResidencial baixa renda – faixa 01Não se aplicaNão se aplicaPonta",Mercado_Receita!$L$2:$L$1157)+SUMIF(Mercado_Receita!$S$2:$S$1157,"44713B1ConvencionalResidencialResidencial baixa renda – faixa 01Não se aplicaNão se aplicaFora ponta",Mercado_Receita!$L$2:$L$1157)+SUMIF(Mercado_Receita!$S$2:$S$1157,"44713B1ConvencionalResidencialResidencial baixa renda – faixa 01Não se aplicaNão se aplicaIntermediário",Mercado_Receita!$L$2:$L$1157)+SUMIF(Mercado_Receita!$S$2:$S$1157,"44713B1ConvencionalResidencialResidencial baixa renda – faixa 01Não se aplicaNão se aplicaNão se aplica",Mercado_Receita!$L$2:$L$1157)</f>
        <v>187.29600000000002</v>
      </c>
      <c r="Q38" s="13">
        <f>SUMIF(Mercado_Receita!$S$2:$S$1157,"44743B1ConvencionalResidencialResidencial baixa renda – faixa 01Não se aplicaNão se aplicaPonta",Mercado_Receita!$L$2:$L$1157)+SUMIF(Mercado_Receita!$S$2:$S$1157,"44743B1ConvencionalResidencialResidencial baixa renda – faixa 01Não se aplicaNão se aplicaFora ponta",Mercado_Receita!$L$2:$L$1157)+SUMIF(Mercado_Receita!$S$2:$S$1157,"44743B1ConvencionalResidencialResidencial baixa renda – faixa 01Não se aplicaNão se aplicaIntermediário",Mercado_Receita!$L$2:$L$1157)+SUMIF(Mercado_Receita!$S$2:$S$1157,"44743B1ConvencionalResidencialResidencial baixa renda – faixa 01Não se aplicaNão se aplicaNão se aplica",Mercado_Receita!$L$2:$L$1157)</f>
        <v>177.684</v>
      </c>
      <c r="R38" s="13">
        <f>SUMIF(Mercado_Receita!$S$2:$S$1157,"44774B1ConvencionalResidencialResidencial baixa renda – faixa 01Não se aplicaNão se aplicaPonta",Mercado_Receita!$L$2:$L$1157)+SUMIF(Mercado_Receita!$S$2:$S$1157,"44774B1ConvencionalResidencialResidencial baixa renda – faixa 01Não se aplicaNão se aplicaFora ponta",Mercado_Receita!$L$2:$L$1157)+SUMIF(Mercado_Receita!$S$2:$S$1157,"44774B1ConvencionalResidencialResidencial baixa renda – faixa 01Não se aplicaNão se aplicaIntermediário",Mercado_Receita!$L$2:$L$1157)+SUMIF(Mercado_Receita!$S$2:$S$1157,"44774B1ConvencionalResidencialResidencial baixa renda – faixa 01Não se aplicaNão se aplicaNão se aplica",Mercado_Receita!$L$2:$L$1157)</f>
        <v>183.54599999999999</v>
      </c>
      <c r="S38" s="13">
        <f>SUMIF(Mercado_Receita!$S$2:$S$1157,"44805B1ConvencionalResidencialResidencial baixa renda – faixa 01Não se aplicaNão se aplicaPonta",Mercado_Receita!$L$2:$L$1157)+SUMIF(Mercado_Receita!$S$2:$S$1157,"44805B1ConvencionalResidencialResidencial baixa renda – faixa 01Não se aplicaNão se aplicaFora ponta",Mercado_Receita!$L$2:$L$1157)+SUMIF(Mercado_Receita!$S$2:$S$1157,"44805B1ConvencionalResidencialResidencial baixa renda – faixa 01Não se aplicaNão se aplicaIntermediário",Mercado_Receita!$L$2:$L$1157)+SUMIF(Mercado_Receita!$S$2:$S$1157,"44805B1ConvencionalResidencialResidencial baixa renda – faixa 01Não se aplicaNão se aplicaNão se aplica",Mercado_Receita!$L$2:$L$1157)</f>
        <v>183.172</v>
      </c>
      <c r="T38" s="13">
        <f>SUMIF(Mercado_Receita!$S$2:$S$1157,"44835B1ConvencionalResidencialResidencial baixa renda – faixa 01Não se aplicaNão se aplicaPonta",Mercado_Receita!$L$2:$L$1157)+SUMIF(Mercado_Receita!$S$2:$S$1157,"44835B1ConvencionalResidencialResidencial baixa renda – faixa 01Não se aplicaNão se aplicaFora ponta",Mercado_Receita!$L$2:$L$1157)+SUMIF(Mercado_Receita!$S$2:$S$1157,"44835B1ConvencionalResidencialResidencial baixa renda – faixa 01Não se aplicaNão se aplicaIntermediário",Mercado_Receita!$L$2:$L$1157)+SUMIF(Mercado_Receita!$S$2:$S$1157,"44835B1ConvencionalResidencialResidencial baixa renda – faixa 01Não se aplicaNão se aplicaNão se aplica",Mercado_Receita!$L$2:$L$1157)</f>
        <v>183.172</v>
      </c>
      <c r="U38" s="13">
        <f t="shared" si="1"/>
        <v>2163.31</v>
      </c>
      <c r="V38" s="13"/>
      <c r="W38" s="13"/>
    </row>
    <row r="39" spans="1:23" ht="11.25" customHeight="1" x14ac:dyDescent="0.3">
      <c r="A39" s="111"/>
      <c r="B39" s="111"/>
      <c r="C39" s="111"/>
      <c r="D39" s="12" t="s">
        <v>30</v>
      </c>
      <c r="E39" s="12" t="s">
        <v>25</v>
      </c>
      <c r="F39" s="12" t="s">
        <v>25</v>
      </c>
      <c r="G39" s="13" t="s">
        <v>84</v>
      </c>
      <c r="H39" s="13" t="s">
        <v>78</v>
      </c>
      <c r="I39" s="13">
        <f>SUMIF(Mercado_Receita!$S$2:$S$1157,"44501B1ConvencionalResidencialResidencial baixa renda – faixa 02Não se aplicaNão se aplicaPonta",Mercado_Receita!$L$2:$L$1157)+SUMIF(Mercado_Receita!$S$2:$S$1157,"44501B1ConvencionalResidencialResidencial baixa renda – faixa 02Não se aplicaNão se aplicaFora ponta",Mercado_Receita!$L$2:$L$1157)+SUMIF(Mercado_Receita!$S$2:$S$1157,"44501B1ConvencionalResidencialResidencial baixa renda – faixa 02Não se aplicaNão se aplicaIntermediário",Mercado_Receita!$L$2:$L$1157)+SUMIF(Mercado_Receita!$S$2:$S$1157,"44501B1ConvencionalResidencialResidencial baixa renda – faixa 02Não se aplicaNão se aplicaNão se aplica",Mercado_Receita!$L$2:$L$1157)</f>
        <v>327.24500000000006</v>
      </c>
      <c r="J39" s="13">
        <f>SUMIF(Mercado_Receita!$S$2:$S$1157,"44531B1ConvencionalResidencialResidencial baixa renda – faixa 02Não se aplicaNão se aplicaPonta",Mercado_Receita!$L$2:$L$1157)+SUMIF(Mercado_Receita!$S$2:$S$1157,"44531B1ConvencionalResidencialResidencial baixa renda – faixa 02Não se aplicaNão se aplicaFora ponta",Mercado_Receita!$L$2:$L$1157)+SUMIF(Mercado_Receita!$S$2:$S$1157,"44531B1ConvencionalResidencialResidencial baixa renda – faixa 02Não se aplicaNão se aplicaIntermediário",Mercado_Receita!$L$2:$L$1157)+SUMIF(Mercado_Receita!$S$2:$S$1157,"44531B1ConvencionalResidencialResidencial baixa renda – faixa 02Não se aplicaNão se aplicaNão se aplica",Mercado_Receita!$L$2:$L$1157)</f>
        <v>340.06299999999999</v>
      </c>
      <c r="K39" s="13">
        <f>SUMIF(Mercado_Receita!$S$2:$S$1157,"44562B1ConvencionalResidencialResidencial baixa renda – faixa 02Não se aplicaNão se aplicaPonta",Mercado_Receita!$L$2:$L$1157)+SUMIF(Mercado_Receita!$S$2:$S$1157,"44562B1ConvencionalResidencialResidencial baixa renda – faixa 02Não se aplicaNão se aplicaFora ponta",Mercado_Receita!$L$2:$L$1157)+SUMIF(Mercado_Receita!$S$2:$S$1157,"44562B1ConvencionalResidencialResidencial baixa renda – faixa 02Não se aplicaNão se aplicaIntermediário",Mercado_Receita!$L$2:$L$1157)+SUMIF(Mercado_Receita!$S$2:$S$1157,"44562B1ConvencionalResidencialResidencial baixa renda – faixa 02Não se aplicaNão se aplicaNão se aplica",Mercado_Receita!$L$2:$L$1157)</f>
        <v>335.98399999999998</v>
      </c>
      <c r="L39" s="13">
        <f>SUMIF(Mercado_Receita!$S$2:$S$1157,"44593B1ConvencionalResidencialResidencial baixa renda – faixa 02Não se aplicaNão se aplicaPonta",Mercado_Receita!$L$2:$L$1157)+SUMIF(Mercado_Receita!$S$2:$S$1157,"44593B1ConvencionalResidencialResidencial baixa renda – faixa 02Não se aplicaNão se aplicaFora ponta",Mercado_Receita!$L$2:$L$1157)+SUMIF(Mercado_Receita!$S$2:$S$1157,"44593B1ConvencionalResidencialResidencial baixa renda – faixa 02Não se aplicaNão se aplicaIntermediário",Mercado_Receita!$L$2:$L$1157)+SUMIF(Mercado_Receita!$S$2:$S$1157,"44593B1ConvencionalResidencialResidencial baixa renda – faixa 02Não se aplicaNão se aplicaNão se aplica",Mercado_Receita!$L$2:$L$1157)</f>
        <v>363.31700000000001</v>
      </c>
      <c r="M39" s="13">
        <f>SUMIF(Mercado_Receita!$S$2:$S$1157,"44621B1ConvencionalResidencialResidencial baixa renda – faixa 02Não se aplicaNão se aplicaPonta",Mercado_Receita!$L$2:$L$1157)+SUMIF(Mercado_Receita!$S$2:$S$1157,"44621B1ConvencionalResidencialResidencial baixa renda – faixa 02Não se aplicaNão se aplicaFora ponta",Mercado_Receita!$L$2:$L$1157)+SUMIF(Mercado_Receita!$S$2:$S$1157,"44621B1ConvencionalResidencialResidencial baixa renda – faixa 02Não se aplicaNão se aplicaIntermediário",Mercado_Receita!$L$2:$L$1157)+SUMIF(Mercado_Receita!$S$2:$S$1157,"44621B1ConvencionalResidencialResidencial baixa renda – faixa 02Não se aplicaNão se aplicaNão se aplica",Mercado_Receita!$L$2:$L$1157)</f>
        <v>380.20500000000004</v>
      </c>
      <c r="N39" s="13">
        <f>SUMIF(Mercado_Receita!$S$2:$S$1157,"44652B1ConvencionalResidencialResidencial baixa renda – faixa 02Não se aplicaNão se aplicaPonta",Mercado_Receita!$L$2:$L$1157)+SUMIF(Mercado_Receita!$S$2:$S$1157,"44652B1ConvencionalResidencialResidencial baixa renda – faixa 02Não se aplicaNão se aplicaFora ponta",Mercado_Receita!$L$2:$L$1157)+SUMIF(Mercado_Receita!$S$2:$S$1157,"44652B1ConvencionalResidencialResidencial baixa renda – faixa 02Não se aplicaNão se aplicaIntermediário",Mercado_Receita!$L$2:$L$1157)+SUMIF(Mercado_Receita!$S$2:$S$1157,"44652B1ConvencionalResidencialResidencial baixa renda – faixa 02Não se aplicaNão se aplicaNão se aplica",Mercado_Receita!$L$2:$L$1157)</f>
        <v>380.14400000000001</v>
      </c>
      <c r="O39" s="13">
        <f>SUMIF(Mercado_Receita!$S$2:$S$1157,"44682B1ConvencionalResidencialResidencial baixa renda – faixa 02Não se aplicaNão se aplicaPonta",Mercado_Receita!$L$2:$L$1157)+SUMIF(Mercado_Receita!$S$2:$S$1157,"44682B1ConvencionalResidencialResidencial baixa renda – faixa 02Não se aplicaNão se aplicaFora ponta",Mercado_Receita!$L$2:$L$1157)+SUMIF(Mercado_Receita!$S$2:$S$1157,"44682B1ConvencionalResidencialResidencial baixa renda – faixa 02Não se aplicaNão se aplicaIntermediário",Mercado_Receita!$L$2:$L$1157)+SUMIF(Mercado_Receita!$S$2:$S$1157,"44682B1ConvencionalResidencialResidencial baixa renda – faixa 02Não se aplicaNão se aplicaNão se aplica",Mercado_Receita!$L$2:$L$1157)</f>
        <v>388.16</v>
      </c>
      <c r="P39" s="13">
        <f>SUMIF(Mercado_Receita!$S$2:$S$1157,"44713B1ConvencionalResidencialResidencial baixa renda – faixa 02Não se aplicaNão se aplicaPonta",Mercado_Receita!$L$2:$L$1157)+SUMIF(Mercado_Receita!$S$2:$S$1157,"44713B1ConvencionalResidencialResidencial baixa renda – faixa 02Não se aplicaNão se aplicaFora ponta",Mercado_Receita!$L$2:$L$1157)+SUMIF(Mercado_Receita!$S$2:$S$1157,"44713B1ConvencionalResidencialResidencial baixa renda – faixa 02Não se aplicaNão se aplicaIntermediário",Mercado_Receita!$L$2:$L$1157)+SUMIF(Mercado_Receita!$S$2:$S$1157,"44713B1ConvencionalResidencialResidencial baixa renda – faixa 02Não se aplicaNão se aplicaNão se aplica",Mercado_Receita!$L$2:$L$1157)</f>
        <v>367.42700000000002</v>
      </c>
      <c r="Q39" s="13">
        <f>SUMIF(Mercado_Receita!$S$2:$S$1157,"44743B1ConvencionalResidencialResidencial baixa renda – faixa 02Não se aplicaNão se aplicaPonta",Mercado_Receita!$L$2:$L$1157)+SUMIF(Mercado_Receita!$S$2:$S$1157,"44743B1ConvencionalResidencialResidencial baixa renda – faixa 02Não se aplicaNão se aplicaFora ponta",Mercado_Receita!$L$2:$L$1157)+SUMIF(Mercado_Receita!$S$2:$S$1157,"44743B1ConvencionalResidencialResidencial baixa renda – faixa 02Não se aplicaNão se aplicaIntermediário",Mercado_Receita!$L$2:$L$1157)+SUMIF(Mercado_Receita!$S$2:$S$1157,"44743B1ConvencionalResidencialResidencial baixa renda – faixa 02Não se aplicaNão se aplicaNão se aplica",Mercado_Receita!$L$2:$L$1157)</f>
        <v>347.49299999999999</v>
      </c>
      <c r="R39" s="13">
        <f>SUMIF(Mercado_Receita!$S$2:$S$1157,"44774B1ConvencionalResidencialResidencial baixa renda – faixa 02Não se aplicaNão se aplicaPonta",Mercado_Receita!$L$2:$L$1157)+SUMIF(Mercado_Receita!$S$2:$S$1157,"44774B1ConvencionalResidencialResidencial baixa renda – faixa 02Não se aplicaNão se aplicaFora ponta",Mercado_Receita!$L$2:$L$1157)+SUMIF(Mercado_Receita!$S$2:$S$1157,"44774B1ConvencionalResidencialResidencial baixa renda – faixa 02Não se aplicaNão se aplicaIntermediário",Mercado_Receita!$L$2:$L$1157)+SUMIF(Mercado_Receita!$S$2:$S$1157,"44774B1ConvencionalResidencialResidencial baixa renda – faixa 02Não se aplicaNão se aplicaNão se aplica",Mercado_Receita!$L$2:$L$1157)</f>
        <v>358.72199999999998</v>
      </c>
      <c r="S39" s="13">
        <f>SUMIF(Mercado_Receita!$S$2:$S$1157,"44805B1ConvencionalResidencialResidencial baixa renda – faixa 02Não se aplicaNão se aplicaPonta",Mercado_Receita!$L$2:$L$1157)+SUMIF(Mercado_Receita!$S$2:$S$1157,"44805B1ConvencionalResidencialResidencial baixa renda – faixa 02Não se aplicaNão se aplicaFora ponta",Mercado_Receita!$L$2:$L$1157)+SUMIF(Mercado_Receita!$S$2:$S$1157,"44805B1ConvencionalResidencialResidencial baixa renda – faixa 02Não se aplicaNão se aplicaIntermediário",Mercado_Receita!$L$2:$L$1157)+SUMIF(Mercado_Receita!$S$2:$S$1157,"44805B1ConvencionalResidencialResidencial baixa renda – faixa 02Não se aplicaNão se aplicaNão se aplica",Mercado_Receita!$L$2:$L$1157)</f>
        <v>370.24099999999999</v>
      </c>
      <c r="T39" s="13">
        <f>SUMIF(Mercado_Receita!$S$2:$S$1157,"44835B1ConvencionalResidencialResidencial baixa renda – faixa 02Não se aplicaNão se aplicaPonta",Mercado_Receita!$L$2:$L$1157)+SUMIF(Mercado_Receita!$S$2:$S$1157,"44835B1ConvencionalResidencialResidencial baixa renda – faixa 02Não se aplicaNão se aplicaFora ponta",Mercado_Receita!$L$2:$L$1157)+SUMIF(Mercado_Receita!$S$2:$S$1157,"44835B1ConvencionalResidencialResidencial baixa renda – faixa 02Não se aplicaNão se aplicaIntermediário",Mercado_Receita!$L$2:$L$1157)+SUMIF(Mercado_Receita!$S$2:$S$1157,"44835B1ConvencionalResidencialResidencial baixa renda – faixa 02Não se aplicaNão se aplicaNão se aplica",Mercado_Receita!$L$2:$L$1157)</f>
        <v>370.24099999999999</v>
      </c>
      <c r="U39" s="13">
        <f t="shared" si="1"/>
        <v>4329.2419999999993</v>
      </c>
      <c r="V39" s="13"/>
      <c r="W39" s="13"/>
    </row>
    <row r="40" spans="1:23" ht="11.25" customHeight="1" x14ac:dyDescent="0.3">
      <c r="A40" s="111"/>
      <c r="B40" s="111"/>
      <c r="C40" s="111"/>
      <c r="D40" s="12" t="s">
        <v>31</v>
      </c>
      <c r="E40" s="12" t="s">
        <v>25</v>
      </c>
      <c r="F40" s="12" t="s">
        <v>25</v>
      </c>
      <c r="G40" s="13" t="s">
        <v>84</v>
      </c>
      <c r="H40" s="13" t="s">
        <v>78</v>
      </c>
      <c r="I40" s="13">
        <f>SUMIF(Mercado_Receita!$S$2:$S$1157,"44501B1ConvencionalResidencialResidencial baixa renda – faixa 03Não se aplicaNão se aplicaPonta",Mercado_Receita!$L$2:$L$1157)+SUMIF(Mercado_Receita!$S$2:$S$1157,"44501B1ConvencionalResidencialResidencial baixa renda – faixa 03Não se aplicaNão se aplicaFora ponta",Mercado_Receita!$L$2:$L$1157)+SUMIF(Mercado_Receita!$S$2:$S$1157,"44501B1ConvencionalResidencialResidencial baixa renda – faixa 03Não se aplicaNão se aplicaIntermediário",Mercado_Receita!$L$2:$L$1157)+SUMIF(Mercado_Receita!$S$2:$S$1157,"44501B1ConvencionalResidencialResidencial baixa renda – faixa 03Não se aplicaNão se aplicaNão se aplica",Mercado_Receita!$L$2:$L$1157)</f>
        <v>240.054</v>
      </c>
      <c r="J40" s="13">
        <f>SUMIF(Mercado_Receita!$S$2:$S$1157,"44531B1ConvencionalResidencialResidencial baixa renda – faixa 03Não se aplicaNão se aplicaPonta",Mercado_Receita!$L$2:$L$1157)+SUMIF(Mercado_Receita!$S$2:$S$1157,"44531B1ConvencionalResidencialResidencial baixa renda – faixa 03Não se aplicaNão se aplicaFora ponta",Mercado_Receita!$L$2:$L$1157)+SUMIF(Mercado_Receita!$S$2:$S$1157,"44531B1ConvencionalResidencialResidencial baixa renda – faixa 03Não se aplicaNão se aplicaIntermediário",Mercado_Receita!$L$2:$L$1157)+SUMIF(Mercado_Receita!$S$2:$S$1157,"44531B1ConvencionalResidencialResidencial baixa renda – faixa 03Não se aplicaNão se aplicaNão se aplica",Mercado_Receita!$L$2:$L$1157)</f>
        <v>231.12799999999999</v>
      </c>
      <c r="K40" s="13">
        <f>SUMIF(Mercado_Receita!$S$2:$S$1157,"44562B1ConvencionalResidencialResidencial baixa renda – faixa 03Não se aplicaNão se aplicaPonta",Mercado_Receita!$L$2:$L$1157)+SUMIF(Mercado_Receita!$S$2:$S$1157,"44562B1ConvencionalResidencialResidencial baixa renda – faixa 03Não se aplicaNão se aplicaFora ponta",Mercado_Receita!$L$2:$L$1157)+SUMIF(Mercado_Receita!$S$2:$S$1157,"44562B1ConvencionalResidencialResidencial baixa renda – faixa 03Não se aplicaNão se aplicaIntermediário",Mercado_Receita!$L$2:$L$1157)+SUMIF(Mercado_Receita!$S$2:$S$1157,"44562B1ConvencionalResidencialResidencial baixa renda – faixa 03Não se aplicaNão se aplicaNão se aplica",Mercado_Receita!$L$2:$L$1157)</f>
        <v>264.74400000000003</v>
      </c>
      <c r="L40" s="13">
        <f>SUMIF(Mercado_Receita!$S$2:$S$1157,"44593B1ConvencionalResidencialResidencial baixa renda – faixa 03Não se aplicaNão se aplicaPonta",Mercado_Receita!$L$2:$L$1157)+SUMIF(Mercado_Receita!$S$2:$S$1157,"44593B1ConvencionalResidencialResidencial baixa renda – faixa 03Não se aplicaNão se aplicaFora ponta",Mercado_Receita!$L$2:$L$1157)+SUMIF(Mercado_Receita!$S$2:$S$1157,"44593B1ConvencionalResidencialResidencial baixa renda – faixa 03Não se aplicaNão se aplicaIntermediário",Mercado_Receita!$L$2:$L$1157)+SUMIF(Mercado_Receita!$S$2:$S$1157,"44593B1ConvencionalResidencialResidencial baixa renda – faixa 03Não se aplicaNão se aplicaNão se aplica",Mercado_Receita!$L$2:$L$1157)</f>
        <v>250.26100000000002</v>
      </c>
      <c r="M40" s="13">
        <f>SUMIF(Mercado_Receita!$S$2:$S$1157,"44621B1ConvencionalResidencialResidencial baixa renda – faixa 03Não se aplicaNão se aplicaPonta",Mercado_Receita!$L$2:$L$1157)+SUMIF(Mercado_Receita!$S$2:$S$1157,"44621B1ConvencionalResidencialResidencial baixa renda – faixa 03Não se aplicaNão se aplicaFora ponta",Mercado_Receita!$L$2:$L$1157)+SUMIF(Mercado_Receita!$S$2:$S$1157,"44621B1ConvencionalResidencialResidencial baixa renda – faixa 03Não se aplicaNão se aplicaIntermediário",Mercado_Receita!$L$2:$L$1157)+SUMIF(Mercado_Receita!$S$2:$S$1157,"44621B1ConvencionalResidencialResidencial baixa renda – faixa 03Não se aplicaNão se aplicaNão se aplica",Mercado_Receita!$L$2:$L$1157)</f>
        <v>274.08299999999997</v>
      </c>
      <c r="N40" s="13">
        <f>SUMIF(Mercado_Receita!$S$2:$S$1157,"44652B1ConvencionalResidencialResidencial baixa renda – faixa 03Não se aplicaNão se aplicaPonta",Mercado_Receita!$L$2:$L$1157)+SUMIF(Mercado_Receita!$S$2:$S$1157,"44652B1ConvencionalResidencialResidencial baixa renda – faixa 03Não se aplicaNão se aplicaFora ponta",Mercado_Receita!$L$2:$L$1157)+SUMIF(Mercado_Receita!$S$2:$S$1157,"44652B1ConvencionalResidencialResidencial baixa renda – faixa 03Não se aplicaNão se aplicaIntermediário",Mercado_Receita!$L$2:$L$1157)+SUMIF(Mercado_Receita!$S$2:$S$1157,"44652B1ConvencionalResidencialResidencial baixa renda – faixa 03Não se aplicaNão se aplicaNão se aplica",Mercado_Receita!$L$2:$L$1157)</f>
        <v>274.53800000000001</v>
      </c>
      <c r="O40" s="13">
        <f>SUMIF(Mercado_Receita!$S$2:$S$1157,"44682B1ConvencionalResidencialResidencial baixa renda – faixa 03Não se aplicaNão se aplicaPonta",Mercado_Receita!$L$2:$L$1157)+SUMIF(Mercado_Receita!$S$2:$S$1157,"44682B1ConvencionalResidencialResidencial baixa renda – faixa 03Não se aplicaNão se aplicaFora ponta",Mercado_Receita!$L$2:$L$1157)+SUMIF(Mercado_Receita!$S$2:$S$1157,"44682B1ConvencionalResidencialResidencial baixa renda – faixa 03Não se aplicaNão se aplicaIntermediário",Mercado_Receita!$L$2:$L$1157)+SUMIF(Mercado_Receita!$S$2:$S$1157,"44682B1ConvencionalResidencialResidencial baixa renda – faixa 03Não se aplicaNão se aplicaNão se aplica",Mercado_Receita!$L$2:$L$1157)</f>
        <v>287.32600000000002</v>
      </c>
      <c r="P40" s="13">
        <f>SUMIF(Mercado_Receita!$S$2:$S$1157,"44713B1ConvencionalResidencialResidencial baixa renda – faixa 03Não se aplicaNão se aplicaPonta",Mercado_Receita!$L$2:$L$1157)+SUMIF(Mercado_Receita!$S$2:$S$1157,"44713B1ConvencionalResidencialResidencial baixa renda – faixa 03Não se aplicaNão se aplicaFora ponta",Mercado_Receita!$L$2:$L$1157)+SUMIF(Mercado_Receita!$S$2:$S$1157,"44713B1ConvencionalResidencialResidencial baixa renda – faixa 03Não se aplicaNão se aplicaIntermediário",Mercado_Receita!$L$2:$L$1157)+SUMIF(Mercado_Receita!$S$2:$S$1157,"44713B1ConvencionalResidencialResidencial baixa renda – faixa 03Não se aplicaNão se aplicaNão se aplica",Mercado_Receita!$L$2:$L$1157)</f>
        <v>268.01100000000002</v>
      </c>
      <c r="Q40" s="13">
        <f>SUMIF(Mercado_Receita!$S$2:$S$1157,"44743B1ConvencionalResidencialResidencial baixa renda – faixa 03Não se aplicaNão se aplicaPonta",Mercado_Receita!$L$2:$L$1157)+SUMIF(Mercado_Receita!$S$2:$S$1157,"44743B1ConvencionalResidencialResidencial baixa renda – faixa 03Não se aplicaNão se aplicaFora ponta",Mercado_Receita!$L$2:$L$1157)+SUMIF(Mercado_Receita!$S$2:$S$1157,"44743B1ConvencionalResidencialResidencial baixa renda – faixa 03Não se aplicaNão se aplicaIntermediário",Mercado_Receita!$L$2:$L$1157)+SUMIF(Mercado_Receita!$S$2:$S$1157,"44743B1ConvencionalResidencialResidencial baixa renda – faixa 03Não se aplicaNão se aplicaNão se aplica",Mercado_Receita!$L$2:$L$1157)</f>
        <v>266.54399999999998</v>
      </c>
      <c r="R40" s="13">
        <f>SUMIF(Mercado_Receita!$S$2:$S$1157,"44774B1ConvencionalResidencialResidencial baixa renda – faixa 03Não se aplicaNão se aplicaPonta",Mercado_Receita!$L$2:$L$1157)+SUMIF(Mercado_Receita!$S$2:$S$1157,"44774B1ConvencionalResidencialResidencial baixa renda – faixa 03Não se aplicaNão se aplicaFora ponta",Mercado_Receita!$L$2:$L$1157)+SUMIF(Mercado_Receita!$S$2:$S$1157,"44774B1ConvencionalResidencialResidencial baixa renda – faixa 03Não se aplicaNão se aplicaIntermediário",Mercado_Receita!$L$2:$L$1157)+SUMIF(Mercado_Receita!$S$2:$S$1157,"44774B1ConvencionalResidencialResidencial baixa renda – faixa 03Não se aplicaNão se aplicaNão se aplica",Mercado_Receita!$L$2:$L$1157)</f>
        <v>265.81800000000004</v>
      </c>
      <c r="S40" s="13">
        <f>SUMIF(Mercado_Receita!$S$2:$S$1157,"44805B1ConvencionalResidencialResidencial baixa renda – faixa 03Não se aplicaNão se aplicaPonta",Mercado_Receita!$L$2:$L$1157)+SUMIF(Mercado_Receita!$S$2:$S$1157,"44805B1ConvencionalResidencialResidencial baixa renda – faixa 03Não se aplicaNão se aplicaFora ponta",Mercado_Receita!$L$2:$L$1157)+SUMIF(Mercado_Receita!$S$2:$S$1157,"44805B1ConvencionalResidencialResidencial baixa renda – faixa 03Não se aplicaNão se aplicaIntermediário",Mercado_Receita!$L$2:$L$1157)+SUMIF(Mercado_Receita!$S$2:$S$1157,"44805B1ConvencionalResidencialResidencial baixa renda – faixa 03Não se aplicaNão se aplicaNão se aplica",Mercado_Receita!$L$2:$L$1157)</f>
        <v>307.67199999999997</v>
      </c>
      <c r="T40" s="13">
        <f>SUMIF(Mercado_Receita!$S$2:$S$1157,"44835B1ConvencionalResidencialResidencial baixa renda – faixa 03Não se aplicaNão se aplicaPonta",Mercado_Receita!$L$2:$L$1157)+SUMIF(Mercado_Receita!$S$2:$S$1157,"44835B1ConvencionalResidencialResidencial baixa renda – faixa 03Não se aplicaNão se aplicaFora ponta",Mercado_Receita!$L$2:$L$1157)+SUMIF(Mercado_Receita!$S$2:$S$1157,"44835B1ConvencionalResidencialResidencial baixa renda – faixa 03Não se aplicaNão se aplicaIntermediário",Mercado_Receita!$L$2:$L$1157)+SUMIF(Mercado_Receita!$S$2:$S$1157,"44835B1ConvencionalResidencialResidencial baixa renda – faixa 03Não se aplicaNão se aplicaNão se aplica",Mercado_Receita!$L$2:$L$1157)</f>
        <v>307.67199999999997</v>
      </c>
      <c r="U40" s="13">
        <f t="shared" si="1"/>
        <v>3237.8510000000001</v>
      </c>
      <c r="V40" s="13"/>
      <c r="W40" s="13"/>
    </row>
    <row r="41" spans="1:23" ht="11.25" customHeight="1" x14ac:dyDescent="0.3">
      <c r="A41" s="111"/>
      <c r="B41" s="111"/>
      <c r="C41" s="111"/>
      <c r="D41" s="12" t="s">
        <v>32</v>
      </c>
      <c r="E41" s="12" t="s">
        <v>25</v>
      </c>
      <c r="F41" s="12" t="s">
        <v>25</v>
      </c>
      <c r="G41" s="13" t="s">
        <v>84</v>
      </c>
      <c r="H41" s="13" t="s">
        <v>78</v>
      </c>
      <c r="I41" s="13">
        <f>SUMIF(Mercado_Receita!$S$2:$S$1157,"44501B1ConvencionalResidencialResidencial baixa renda – faixa 04Não se aplicaNão se aplicaPonta",Mercado_Receita!$L$2:$L$1157)+SUMIF(Mercado_Receita!$S$2:$S$1157,"44501B1ConvencionalResidencialResidencial baixa renda – faixa 04Não se aplicaNão se aplicaFora ponta",Mercado_Receita!$L$2:$L$1157)+SUMIF(Mercado_Receita!$S$2:$S$1157,"44501B1ConvencionalResidencialResidencial baixa renda – faixa 04Não se aplicaNão se aplicaIntermediário",Mercado_Receita!$L$2:$L$1157)+SUMIF(Mercado_Receita!$S$2:$S$1157,"44501B1ConvencionalResidencialResidencial baixa renda – faixa 04Não se aplicaNão se aplicaNão se aplica",Mercado_Receita!$L$2:$L$1157)</f>
        <v>39.951000000000001</v>
      </c>
      <c r="J41" s="13">
        <f>SUMIF(Mercado_Receita!$S$2:$S$1157,"44531B1ConvencionalResidencialResidencial baixa renda – faixa 04Não se aplicaNão se aplicaPonta",Mercado_Receita!$L$2:$L$1157)+SUMIF(Mercado_Receita!$S$2:$S$1157,"44531B1ConvencionalResidencialResidencial baixa renda – faixa 04Não se aplicaNão se aplicaFora ponta",Mercado_Receita!$L$2:$L$1157)+SUMIF(Mercado_Receita!$S$2:$S$1157,"44531B1ConvencionalResidencialResidencial baixa renda – faixa 04Não se aplicaNão se aplicaIntermediário",Mercado_Receita!$L$2:$L$1157)+SUMIF(Mercado_Receita!$S$2:$S$1157,"44531B1ConvencionalResidencialResidencial baixa renda – faixa 04Não se aplicaNão se aplicaNão se aplica",Mercado_Receita!$L$2:$L$1157)</f>
        <v>35.573999999999998</v>
      </c>
      <c r="K41" s="13">
        <f>SUMIF(Mercado_Receita!$S$2:$S$1157,"44562B1ConvencionalResidencialResidencial baixa renda – faixa 04Não se aplicaNão se aplicaPonta",Mercado_Receita!$L$2:$L$1157)+SUMIF(Mercado_Receita!$S$2:$S$1157,"44562B1ConvencionalResidencialResidencial baixa renda – faixa 04Não se aplicaNão se aplicaFora ponta",Mercado_Receita!$L$2:$L$1157)+SUMIF(Mercado_Receita!$S$2:$S$1157,"44562B1ConvencionalResidencialResidencial baixa renda – faixa 04Não se aplicaNão se aplicaIntermediário",Mercado_Receita!$L$2:$L$1157)+SUMIF(Mercado_Receita!$S$2:$S$1157,"44562B1ConvencionalResidencialResidencial baixa renda – faixa 04Não se aplicaNão se aplicaNão se aplica",Mercado_Receita!$L$2:$L$1157)</f>
        <v>53.527999999999999</v>
      </c>
      <c r="L41" s="13">
        <f>SUMIF(Mercado_Receita!$S$2:$S$1157,"44593B1ConvencionalResidencialResidencial baixa renda – faixa 04Não se aplicaNão se aplicaPonta",Mercado_Receita!$L$2:$L$1157)+SUMIF(Mercado_Receita!$S$2:$S$1157,"44593B1ConvencionalResidencialResidencial baixa renda – faixa 04Não se aplicaNão se aplicaFora ponta",Mercado_Receita!$L$2:$L$1157)+SUMIF(Mercado_Receita!$S$2:$S$1157,"44593B1ConvencionalResidencialResidencial baixa renda – faixa 04Não se aplicaNão se aplicaIntermediário",Mercado_Receita!$L$2:$L$1157)+SUMIF(Mercado_Receita!$S$2:$S$1157,"44593B1ConvencionalResidencialResidencial baixa renda – faixa 04Não se aplicaNão se aplicaNão se aplica",Mercado_Receita!$L$2:$L$1157)</f>
        <v>41.75</v>
      </c>
      <c r="M41" s="13">
        <f>SUMIF(Mercado_Receita!$S$2:$S$1157,"44621B1ConvencionalResidencialResidencial baixa renda – faixa 04Não se aplicaNão se aplicaPonta",Mercado_Receita!$L$2:$L$1157)+SUMIF(Mercado_Receita!$S$2:$S$1157,"44621B1ConvencionalResidencialResidencial baixa renda – faixa 04Não se aplicaNão se aplicaFora ponta",Mercado_Receita!$L$2:$L$1157)+SUMIF(Mercado_Receita!$S$2:$S$1157,"44621B1ConvencionalResidencialResidencial baixa renda – faixa 04Não se aplicaNão se aplicaIntermediário",Mercado_Receita!$L$2:$L$1157)+SUMIF(Mercado_Receita!$S$2:$S$1157,"44621B1ConvencionalResidencialResidencial baixa renda – faixa 04Não se aplicaNão se aplicaNão se aplica",Mercado_Receita!$L$2:$L$1157)</f>
        <v>48.390999999999998</v>
      </c>
      <c r="N41" s="13">
        <f>SUMIF(Mercado_Receita!$S$2:$S$1157,"44652B1ConvencionalResidencialResidencial baixa renda – faixa 04Não se aplicaNão se aplicaPonta",Mercado_Receita!$L$2:$L$1157)+SUMIF(Mercado_Receita!$S$2:$S$1157,"44652B1ConvencionalResidencialResidencial baixa renda – faixa 04Não se aplicaNão se aplicaFora ponta",Mercado_Receita!$L$2:$L$1157)+SUMIF(Mercado_Receita!$S$2:$S$1157,"44652B1ConvencionalResidencialResidencial baixa renda – faixa 04Não se aplicaNão se aplicaIntermediário",Mercado_Receita!$L$2:$L$1157)+SUMIF(Mercado_Receita!$S$2:$S$1157,"44652B1ConvencionalResidencialResidencial baixa renda – faixa 04Não se aplicaNão se aplicaNão se aplica",Mercado_Receita!$L$2:$L$1157)</f>
        <v>50.184000000000005</v>
      </c>
      <c r="O41" s="13">
        <f>SUMIF(Mercado_Receita!$S$2:$S$1157,"44682B1ConvencionalResidencialResidencial baixa renda – faixa 04Não se aplicaNão se aplicaPonta",Mercado_Receita!$L$2:$L$1157)+SUMIF(Mercado_Receita!$S$2:$S$1157,"44682B1ConvencionalResidencialResidencial baixa renda – faixa 04Não se aplicaNão se aplicaFora ponta",Mercado_Receita!$L$2:$L$1157)+SUMIF(Mercado_Receita!$S$2:$S$1157,"44682B1ConvencionalResidencialResidencial baixa renda – faixa 04Não se aplicaNão se aplicaIntermediário",Mercado_Receita!$L$2:$L$1157)+SUMIF(Mercado_Receita!$S$2:$S$1157,"44682B1ConvencionalResidencialResidencial baixa renda – faixa 04Não se aplicaNão se aplicaNão se aplica",Mercado_Receita!$L$2:$L$1157)</f>
        <v>54.184999999999995</v>
      </c>
      <c r="P41" s="13">
        <f>SUMIF(Mercado_Receita!$S$2:$S$1157,"44713B1ConvencionalResidencialResidencial baixa renda – faixa 04Não se aplicaNão se aplicaPonta",Mercado_Receita!$L$2:$L$1157)+SUMIF(Mercado_Receita!$S$2:$S$1157,"44713B1ConvencionalResidencialResidencial baixa renda – faixa 04Não se aplicaNão se aplicaFora ponta",Mercado_Receita!$L$2:$L$1157)+SUMIF(Mercado_Receita!$S$2:$S$1157,"44713B1ConvencionalResidencialResidencial baixa renda – faixa 04Não se aplicaNão se aplicaIntermediário",Mercado_Receita!$L$2:$L$1157)+SUMIF(Mercado_Receita!$S$2:$S$1157,"44713B1ConvencionalResidencialResidencial baixa renda – faixa 04Não se aplicaNão se aplicaNão se aplica",Mercado_Receita!$L$2:$L$1157)</f>
        <v>53.680999999999997</v>
      </c>
      <c r="Q41" s="13">
        <f>SUMIF(Mercado_Receita!$S$2:$S$1157,"44743B1ConvencionalResidencialResidencial baixa renda – faixa 04Não se aplicaNão se aplicaPonta",Mercado_Receita!$L$2:$L$1157)+SUMIF(Mercado_Receita!$S$2:$S$1157,"44743B1ConvencionalResidencialResidencial baixa renda – faixa 04Não se aplicaNão se aplicaFora ponta",Mercado_Receita!$L$2:$L$1157)+SUMIF(Mercado_Receita!$S$2:$S$1157,"44743B1ConvencionalResidencialResidencial baixa renda – faixa 04Não se aplicaNão se aplicaIntermediário",Mercado_Receita!$L$2:$L$1157)+SUMIF(Mercado_Receita!$S$2:$S$1157,"44743B1ConvencionalResidencialResidencial baixa renda – faixa 04Não se aplicaNão se aplicaNão se aplica",Mercado_Receita!$L$2:$L$1157)</f>
        <v>59.723999999999997</v>
      </c>
      <c r="R41" s="13">
        <f>SUMIF(Mercado_Receita!$S$2:$S$1157,"44774B1ConvencionalResidencialResidencial baixa renda – faixa 04Não se aplicaNão se aplicaPonta",Mercado_Receita!$L$2:$L$1157)+SUMIF(Mercado_Receita!$S$2:$S$1157,"44774B1ConvencionalResidencialResidencial baixa renda – faixa 04Não se aplicaNão se aplicaFora ponta",Mercado_Receita!$L$2:$L$1157)+SUMIF(Mercado_Receita!$S$2:$S$1157,"44774B1ConvencionalResidencialResidencial baixa renda – faixa 04Não se aplicaNão se aplicaIntermediário",Mercado_Receita!$L$2:$L$1157)+SUMIF(Mercado_Receita!$S$2:$S$1157,"44774B1ConvencionalResidencialResidencial baixa renda – faixa 04Não se aplicaNão se aplicaNão se aplica",Mercado_Receita!$L$2:$L$1157)</f>
        <v>51.830999999999996</v>
      </c>
      <c r="S41" s="13">
        <f>SUMIF(Mercado_Receita!$S$2:$S$1157,"44805B1ConvencionalResidencialResidencial baixa renda – faixa 04Não se aplicaNão se aplicaPonta",Mercado_Receita!$L$2:$L$1157)+SUMIF(Mercado_Receita!$S$2:$S$1157,"44805B1ConvencionalResidencialResidencial baixa renda – faixa 04Não se aplicaNão se aplicaFora ponta",Mercado_Receita!$L$2:$L$1157)+SUMIF(Mercado_Receita!$S$2:$S$1157,"44805B1ConvencionalResidencialResidencial baixa renda – faixa 04Não se aplicaNão se aplicaIntermediário",Mercado_Receita!$L$2:$L$1157)+SUMIF(Mercado_Receita!$S$2:$S$1157,"44805B1ConvencionalResidencialResidencial baixa renda – faixa 04Não se aplicaNão se aplicaNão se aplica",Mercado_Receita!$L$2:$L$1157)</f>
        <v>72.566999999999993</v>
      </c>
      <c r="T41" s="13">
        <f>SUMIF(Mercado_Receita!$S$2:$S$1157,"44835B1ConvencionalResidencialResidencial baixa renda – faixa 04Não se aplicaNão se aplicaPonta",Mercado_Receita!$L$2:$L$1157)+SUMIF(Mercado_Receita!$S$2:$S$1157,"44835B1ConvencionalResidencialResidencial baixa renda – faixa 04Não se aplicaNão se aplicaFora ponta",Mercado_Receita!$L$2:$L$1157)+SUMIF(Mercado_Receita!$S$2:$S$1157,"44835B1ConvencionalResidencialResidencial baixa renda – faixa 04Não se aplicaNão se aplicaIntermediário",Mercado_Receita!$L$2:$L$1157)+SUMIF(Mercado_Receita!$S$2:$S$1157,"44835B1ConvencionalResidencialResidencial baixa renda – faixa 04Não se aplicaNão se aplicaNão se aplica",Mercado_Receita!$L$2:$L$1157)</f>
        <v>72.566999999999993</v>
      </c>
      <c r="U41" s="13">
        <f t="shared" si="1"/>
        <v>633.93299999999999</v>
      </c>
      <c r="V41" s="13"/>
      <c r="W41" s="13"/>
    </row>
    <row r="42" spans="1:23" ht="11.25" customHeight="1" x14ac:dyDescent="0.3">
      <c r="A42" s="111"/>
      <c r="B42" s="110" t="s">
        <v>92</v>
      </c>
      <c r="C42" s="110" t="s">
        <v>24</v>
      </c>
      <c r="D42" s="12" t="s">
        <v>24</v>
      </c>
      <c r="E42" s="12" t="s">
        <v>25</v>
      </c>
      <c r="F42" s="12" t="s">
        <v>25</v>
      </c>
      <c r="G42" s="13" t="s">
        <v>84</v>
      </c>
      <c r="H42" s="13" t="s">
        <v>78</v>
      </c>
      <c r="I42" s="13">
        <f>SUMIF(Mercado_Receita!$S$2:$S$1157,"44501B1Convencional pré-pagamentoResidencialResidencialNão se aplicaNão se aplicaPonta",Mercado_Receita!$L$2:$L$1157)+SUMIF(Mercado_Receita!$S$2:$S$1157,"44501B1Convencional pré-pagamentoResidencialResidencialNão se aplicaNão se aplicaFora ponta",Mercado_Receita!$L$2:$L$1157)+SUMIF(Mercado_Receita!$S$2:$S$1157,"44501B1Convencional pré-pagamentoResidencialResidencialNão se aplicaNão se aplicaIntermediário",Mercado_Receita!$L$2:$L$1157)+SUMIF(Mercado_Receita!$S$2:$S$1157,"44501B1Convencional pré-pagamentoResidencialResidencialNão se aplicaNão se aplicaNão se aplica",Mercado_Receita!$L$2:$L$1157)</f>
        <v>0</v>
      </c>
      <c r="J42" s="13">
        <f>SUMIF(Mercado_Receita!$S$2:$S$1157,"44531B1Convencional pré-pagamentoResidencialResidencialNão se aplicaNão se aplicaPonta",Mercado_Receita!$L$2:$L$1157)+SUMIF(Mercado_Receita!$S$2:$S$1157,"44531B1Convencional pré-pagamentoResidencialResidencialNão se aplicaNão se aplicaFora ponta",Mercado_Receita!$L$2:$L$1157)+SUMIF(Mercado_Receita!$S$2:$S$1157,"44531B1Convencional pré-pagamentoResidencialResidencialNão se aplicaNão se aplicaIntermediário",Mercado_Receita!$L$2:$L$1157)+SUMIF(Mercado_Receita!$S$2:$S$1157,"44531B1Convencional pré-pagamentoResidencialResidencialNão se aplicaNão se aplicaNão se aplica",Mercado_Receita!$L$2:$L$1157)</f>
        <v>0</v>
      </c>
      <c r="K42" s="13">
        <f>SUMIF(Mercado_Receita!$S$2:$S$1157,"44562B1Convencional pré-pagamentoResidencialResidencialNão se aplicaNão se aplicaPonta",Mercado_Receita!$L$2:$L$1157)+SUMIF(Mercado_Receita!$S$2:$S$1157,"44562B1Convencional pré-pagamentoResidencialResidencialNão se aplicaNão se aplicaFora ponta",Mercado_Receita!$L$2:$L$1157)+SUMIF(Mercado_Receita!$S$2:$S$1157,"44562B1Convencional pré-pagamentoResidencialResidencialNão se aplicaNão se aplicaIntermediário",Mercado_Receita!$L$2:$L$1157)+SUMIF(Mercado_Receita!$S$2:$S$1157,"44562B1Convencional pré-pagamentoResidencialResidencialNão se aplicaNão se aplicaNão se aplica",Mercado_Receita!$L$2:$L$1157)</f>
        <v>0</v>
      </c>
      <c r="L42" s="13">
        <f>SUMIF(Mercado_Receita!$S$2:$S$1157,"44593B1Convencional pré-pagamentoResidencialResidencialNão se aplicaNão se aplicaPonta",Mercado_Receita!$L$2:$L$1157)+SUMIF(Mercado_Receita!$S$2:$S$1157,"44593B1Convencional pré-pagamentoResidencialResidencialNão se aplicaNão se aplicaFora ponta",Mercado_Receita!$L$2:$L$1157)+SUMIF(Mercado_Receita!$S$2:$S$1157,"44593B1Convencional pré-pagamentoResidencialResidencialNão se aplicaNão se aplicaIntermediário",Mercado_Receita!$L$2:$L$1157)+SUMIF(Mercado_Receita!$S$2:$S$1157,"44593B1Convencional pré-pagamentoResidencialResidencialNão se aplicaNão se aplicaNão se aplica",Mercado_Receita!$L$2:$L$1157)</f>
        <v>0</v>
      </c>
      <c r="M42" s="13">
        <f>SUMIF(Mercado_Receita!$S$2:$S$1157,"44621B1Convencional pré-pagamentoResidencialResidencialNão se aplicaNão se aplicaPonta",Mercado_Receita!$L$2:$L$1157)+SUMIF(Mercado_Receita!$S$2:$S$1157,"44621B1Convencional pré-pagamentoResidencialResidencialNão se aplicaNão se aplicaFora ponta",Mercado_Receita!$L$2:$L$1157)+SUMIF(Mercado_Receita!$S$2:$S$1157,"44621B1Convencional pré-pagamentoResidencialResidencialNão se aplicaNão se aplicaIntermediário",Mercado_Receita!$L$2:$L$1157)+SUMIF(Mercado_Receita!$S$2:$S$1157,"44621B1Convencional pré-pagamentoResidencialResidencialNão se aplicaNão se aplicaNão se aplica",Mercado_Receita!$L$2:$L$1157)</f>
        <v>0</v>
      </c>
      <c r="N42" s="13">
        <f>SUMIF(Mercado_Receita!$S$2:$S$1157,"44652B1Convencional pré-pagamentoResidencialResidencialNão se aplicaNão se aplicaPonta",Mercado_Receita!$L$2:$L$1157)+SUMIF(Mercado_Receita!$S$2:$S$1157,"44652B1Convencional pré-pagamentoResidencialResidencialNão se aplicaNão se aplicaFora ponta",Mercado_Receita!$L$2:$L$1157)+SUMIF(Mercado_Receita!$S$2:$S$1157,"44652B1Convencional pré-pagamentoResidencialResidencialNão se aplicaNão se aplicaIntermediário",Mercado_Receita!$L$2:$L$1157)+SUMIF(Mercado_Receita!$S$2:$S$1157,"44652B1Convencional pré-pagamentoResidencialResidencialNão se aplicaNão se aplicaNão se aplica",Mercado_Receita!$L$2:$L$1157)</f>
        <v>0</v>
      </c>
      <c r="O42" s="13">
        <f>SUMIF(Mercado_Receita!$S$2:$S$1157,"44682B1Convencional pré-pagamentoResidencialResidencialNão se aplicaNão se aplicaPonta",Mercado_Receita!$L$2:$L$1157)+SUMIF(Mercado_Receita!$S$2:$S$1157,"44682B1Convencional pré-pagamentoResidencialResidencialNão se aplicaNão se aplicaFora ponta",Mercado_Receita!$L$2:$L$1157)+SUMIF(Mercado_Receita!$S$2:$S$1157,"44682B1Convencional pré-pagamentoResidencialResidencialNão se aplicaNão se aplicaIntermediário",Mercado_Receita!$L$2:$L$1157)+SUMIF(Mercado_Receita!$S$2:$S$1157,"44682B1Convencional pré-pagamentoResidencialResidencialNão se aplicaNão se aplicaNão se aplica",Mercado_Receita!$L$2:$L$1157)</f>
        <v>0</v>
      </c>
      <c r="P42" s="13">
        <f>SUMIF(Mercado_Receita!$S$2:$S$1157,"44713B1Convencional pré-pagamentoResidencialResidencialNão se aplicaNão se aplicaPonta",Mercado_Receita!$L$2:$L$1157)+SUMIF(Mercado_Receita!$S$2:$S$1157,"44713B1Convencional pré-pagamentoResidencialResidencialNão se aplicaNão se aplicaFora ponta",Mercado_Receita!$L$2:$L$1157)+SUMIF(Mercado_Receita!$S$2:$S$1157,"44713B1Convencional pré-pagamentoResidencialResidencialNão se aplicaNão se aplicaIntermediário",Mercado_Receita!$L$2:$L$1157)+SUMIF(Mercado_Receita!$S$2:$S$1157,"44713B1Convencional pré-pagamentoResidencialResidencialNão se aplicaNão se aplicaNão se aplica",Mercado_Receita!$L$2:$L$1157)</f>
        <v>0</v>
      </c>
      <c r="Q42" s="13">
        <f>SUMIF(Mercado_Receita!$S$2:$S$1157,"44743B1Convencional pré-pagamentoResidencialResidencialNão se aplicaNão se aplicaPonta",Mercado_Receita!$L$2:$L$1157)+SUMIF(Mercado_Receita!$S$2:$S$1157,"44743B1Convencional pré-pagamentoResidencialResidencialNão se aplicaNão se aplicaFora ponta",Mercado_Receita!$L$2:$L$1157)+SUMIF(Mercado_Receita!$S$2:$S$1157,"44743B1Convencional pré-pagamentoResidencialResidencialNão se aplicaNão se aplicaIntermediário",Mercado_Receita!$L$2:$L$1157)+SUMIF(Mercado_Receita!$S$2:$S$1157,"44743B1Convencional pré-pagamentoResidencialResidencialNão se aplicaNão se aplicaNão se aplica",Mercado_Receita!$L$2:$L$1157)</f>
        <v>0</v>
      </c>
      <c r="R42" s="13">
        <f>SUMIF(Mercado_Receita!$S$2:$S$1157,"44774B1Convencional pré-pagamentoResidencialResidencialNão se aplicaNão se aplicaPonta",Mercado_Receita!$L$2:$L$1157)+SUMIF(Mercado_Receita!$S$2:$S$1157,"44774B1Convencional pré-pagamentoResidencialResidencialNão se aplicaNão se aplicaFora ponta",Mercado_Receita!$L$2:$L$1157)+SUMIF(Mercado_Receita!$S$2:$S$1157,"44774B1Convencional pré-pagamentoResidencialResidencialNão se aplicaNão se aplicaIntermediário",Mercado_Receita!$L$2:$L$1157)+SUMIF(Mercado_Receita!$S$2:$S$1157,"44774B1Convencional pré-pagamentoResidencialResidencialNão se aplicaNão se aplicaNão se aplica",Mercado_Receita!$L$2:$L$1157)</f>
        <v>0</v>
      </c>
      <c r="S42" s="13">
        <f>SUMIF(Mercado_Receita!$S$2:$S$1157,"44805B1Convencional pré-pagamentoResidencialResidencialNão se aplicaNão se aplicaPonta",Mercado_Receita!$L$2:$L$1157)+SUMIF(Mercado_Receita!$S$2:$S$1157,"44805B1Convencional pré-pagamentoResidencialResidencialNão se aplicaNão se aplicaFora ponta",Mercado_Receita!$L$2:$L$1157)+SUMIF(Mercado_Receita!$S$2:$S$1157,"44805B1Convencional pré-pagamentoResidencialResidencialNão se aplicaNão se aplicaIntermediário",Mercado_Receita!$L$2:$L$1157)+SUMIF(Mercado_Receita!$S$2:$S$1157,"44805B1Convencional pré-pagamentoResidencialResidencialNão se aplicaNão se aplicaNão se aplica",Mercado_Receita!$L$2:$L$1157)</f>
        <v>0</v>
      </c>
      <c r="T42" s="13">
        <f>SUMIF(Mercado_Receita!$S$2:$S$1157,"44835B1Convencional pré-pagamentoResidencialResidencialNão se aplicaNão se aplicaPonta",Mercado_Receita!$L$2:$L$1157)+SUMIF(Mercado_Receita!$S$2:$S$1157,"44835B1Convencional pré-pagamentoResidencialResidencialNão se aplicaNão se aplicaFora ponta",Mercado_Receita!$L$2:$L$1157)+SUMIF(Mercado_Receita!$S$2:$S$1157,"44835B1Convencional pré-pagamentoResidencialResidencialNão se aplicaNão se aplicaIntermediário",Mercado_Receita!$L$2:$L$1157)+SUMIF(Mercado_Receita!$S$2:$S$1157,"44835B1Convencional pré-pagamentoResidencialResidencialNão se aplicaNão se aplicaNão se aplica",Mercado_Receita!$L$2:$L$1157)</f>
        <v>0</v>
      </c>
      <c r="U42" s="13">
        <f t="shared" si="1"/>
        <v>0</v>
      </c>
      <c r="V42" s="13"/>
      <c r="W42" s="13"/>
    </row>
    <row r="43" spans="1:23" ht="11.25" customHeight="1" x14ac:dyDescent="0.3">
      <c r="A43" s="111"/>
      <c r="B43" s="111"/>
      <c r="C43" s="111"/>
      <c r="D43" s="12" t="s">
        <v>29</v>
      </c>
      <c r="E43" s="12" t="s">
        <v>25</v>
      </c>
      <c r="F43" s="12" t="s">
        <v>25</v>
      </c>
      <c r="G43" s="13" t="s">
        <v>84</v>
      </c>
      <c r="H43" s="13" t="s">
        <v>78</v>
      </c>
      <c r="I43" s="13">
        <f>SUMIF(Mercado_Receita!$S$2:$S$1157,"44501B1Convencional pré-pagamentoResidencialResidencial baixa renda – faixa 01Não se aplicaNão se aplicaPonta",Mercado_Receita!$L$2:$L$1157)+SUMIF(Mercado_Receita!$S$2:$S$1157,"44501B1Convencional pré-pagamentoResidencialResidencial baixa renda – faixa 01Não se aplicaNão se aplicaFora ponta",Mercado_Receita!$L$2:$L$1157)+SUMIF(Mercado_Receita!$S$2:$S$1157,"44501B1Convencional pré-pagamentoResidencialResidencial baixa renda – faixa 01Não se aplicaNão se aplicaIntermediário",Mercado_Receita!$L$2:$L$1157)+SUMIF(Mercado_Receita!$S$2:$S$1157,"44501B1Convencional pré-pagamentoResidencialResidencial baixa renda – faixa 01Não se aplicaNão se aplicaNão se aplica",Mercado_Receita!$L$2:$L$1157)</f>
        <v>0</v>
      </c>
      <c r="J43" s="13">
        <f>SUMIF(Mercado_Receita!$S$2:$S$1157,"44531B1Convencional pré-pagamentoResidencialResidencial baixa renda – faixa 01Não se aplicaNão se aplicaPonta",Mercado_Receita!$L$2:$L$1157)+SUMIF(Mercado_Receita!$S$2:$S$1157,"44531B1Convencional pré-pagamentoResidencialResidencial baixa renda – faixa 01Não se aplicaNão se aplicaFora ponta",Mercado_Receita!$L$2:$L$1157)+SUMIF(Mercado_Receita!$S$2:$S$1157,"44531B1Convencional pré-pagamentoResidencialResidencial baixa renda – faixa 01Não se aplicaNão se aplicaIntermediário",Mercado_Receita!$L$2:$L$1157)+SUMIF(Mercado_Receita!$S$2:$S$1157,"44531B1Convencional pré-pagamentoResidencialResidencial baixa renda – faixa 01Não se aplicaNão se aplicaNão se aplica",Mercado_Receita!$L$2:$L$1157)</f>
        <v>0</v>
      </c>
      <c r="K43" s="13">
        <f>SUMIF(Mercado_Receita!$S$2:$S$1157,"44562B1Convencional pré-pagamentoResidencialResidencial baixa renda – faixa 01Não se aplicaNão se aplicaPonta",Mercado_Receita!$L$2:$L$1157)+SUMIF(Mercado_Receita!$S$2:$S$1157,"44562B1Convencional pré-pagamentoResidencialResidencial baixa renda – faixa 01Não se aplicaNão se aplicaFora ponta",Mercado_Receita!$L$2:$L$1157)+SUMIF(Mercado_Receita!$S$2:$S$1157,"44562B1Convencional pré-pagamentoResidencialResidencial baixa renda – faixa 01Não se aplicaNão se aplicaIntermediário",Mercado_Receita!$L$2:$L$1157)+SUMIF(Mercado_Receita!$S$2:$S$1157,"44562B1Convencional pré-pagamentoResidencialResidencial baixa renda – faixa 01Não se aplicaNão se aplicaNão se aplica",Mercado_Receita!$L$2:$L$1157)</f>
        <v>0</v>
      </c>
      <c r="L43" s="13">
        <f>SUMIF(Mercado_Receita!$S$2:$S$1157,"44593B1Convencional pré-pagamentoResidencialResidencial baixa renda – faixa 01Não se aplicaNão se aplicaPonta",Mercado_Receita!$L$2:$L$1157)+SUMIF(Mercado_Receita!$S$2:$S$1157,"44593B1Convencional pré-pagamentoResidencialResidencial baixa renda – faixa 01Não se aplicaNão se aplicaFora ponta",Mercado_Receita!$L$2:$L$1157)+SUMIF(Mercado_Receita!$S$2:$S$1157,"44593B1Convencional pré-pagamentoResidencialResidencial baixa renda – faixa 01Não se aplicaNão se aplicaIntermediário",Mercado_Receita!$L$2:$L$1157)+SUMIF(Mercado_Receita!$S$2:$S$1157,"44593B1Convencional pré-pagamentoResidencialResidencial baixa renda – faixa 01Não se aplicaNão se aplicaNão se aplica",Mercado_Receita!$L$2:$L$1157)</f>
        <v>0</v>
      </c>
      <c r="M43" s="13">
        <f>SUMIF(Mercado_Receita!$S$2:$S$1157,"44621B1Convencional pré-pagamentoResidencialResidencial baixa renda – faixa 01Não se aplicaNão se aplicaPonta",Mercado_Receita!$L$2:$L$1157)+SUMIF(Mercado_Receita!$S$2:$S$1157,"44621B1Convencional pré-pagamentoResidencialResidencial baixa renda – faixa 01Não se aplicaNão se aplicaFora ponta",Mercado_Receita!$L$2:$L$1157)+SUMIF(Mercado_Receita!$S$2:$S$1157,"44621B1Convencional pré-pagamentoResidencialResidencial baixa renda – faixa 01Não se aplicaNão se aplicaIntermediário",Mercado_Receita!$L$2:$L$1157)+SUMIF(Mercado_Receita!$S$2:$S$1157,"44621B1Convencional pré-pagamentoResidencialResidencial baixa renda – faixa 01Não se aplicaNão se aplicaNão se aplica",Mercado_Receita!$L$2:$L$1157)</f>
        <v>0</v>
      </c>
      <c r="N43" s="13">
        <f>SUMIF(Mercado_Receita!$S$2:$S$1157,"44652B1Convencional pré-pagamentoResidencialResidencial baixa renda – faixa 01Não se aplicaNão se aplicaPonta",Mercado_Receita!$L$2:$L$1157)+SUMIF(Mercado_Receita!$S$2:$S$1157,"44652B1Convencional pré-pagamentoResidencialResidencial baixa renda – faixa 01Não se aplicaNão se aplicaFora ponta",Mercado_Receita!$L$2:$L$1157)+SUMIF(Mercado_Receita!$S$2:$S$1157,"44652B1Convencional pré-pagamentoResidencialResidencial baixa renda – faixa 01Não se aplicaNão se aplicaIntermediário",Mercado_Receita!$L$2:$L$1157)+SUMIF(Mercado_Receita!$S$2:$S$1157,"44652B1Convencional pré-pagamentoResidencialResidencial baixa renda – faixa 01Não se aplicaNão se aplicaNão se aplica",Mercado_Receita!$L$2:$L$1157)</f>
        <v>0</v>
      </c>
      <c r="O43" s="13">
        <f>SUMIF(Mercado_Receita!$S$2:$S$1157,"44682B1Convencional pré-pagamentoResidencialResidencial baixa renda – faixa 01Não se aplicaNão se aplicaPonta",Mercado_Receita!$L$2:$L$1157)+SUMIF(Mercado_Receita!$S$2:$S$1157,"44682B1Convencional pré-pagamentoResidencialResidencial baixa renda – faixa 01Não se aplicaNão se aplicaFora ponta",Mercado_Receita!$L$2:$L$1157)+SUMIF(Mercado_Receita!$S$2:$S$1157,"44682B1Convencional pré-pagamentoResidencialResidencial baixa renda – faixa 01Não se aplicaNão se aplicaIntermediário",Mercado_Receita!$L$2:$L$1157)+SUMIF(Mercado_Receita!$S$2:$S$1157,"44682B1Convencional pré-pagamentoResidencialResidencial baixa renda – faixa 01Não se aplicaNão se aplicaNão se aplica",Mercado_Receita!$L$2:$L$1157)</f>
        <v>0</v>
      </c>
      <c r="P43" s="13">
        <f>SUMIF(Mercado_Receita!$S$2:$S$1157,"44713B1Convencional pré-pagamentoResidencialResidencial baixa renda – faixa 01Não se aplicaNão se aplicaPonta",Mercado_Receita!$L$2:$L$1157)+SUMIF(Mercado_Receita!$S$2:$S$1157,"44713B1Convencional pré-pagamentoResidencialResidencial baixa renda – faixa 01Não se aplicaNão se aplicaFora ponta",Mercado_Receita!$L$2:$L$1157)+SUMIF(Mercado_Receita!$S$2:$S$1157,"44713B1Convencional pré-pagamentoResidencialResidencial baixa renda – faixa 01Não se aplicaNão se aplicaIntermediário",Mercado_Receita!$L$2:$L$1157)+SUMIF(Mercado_Receita!$S$2:$S$1157,"44713B1Convencional pré-pagamentoResidencialResidencial baixa renda – faixa 01Não se aplicaNão se aplicaNão se aplica",Mercado_Receita!$L$2:$L$1157)</f>
        <v>0</v>
      </c>
      <c r="Q43" s="13">
        <f>SUMIF(Mercado_Receita!$S$2:$S$1157,"44743B1Convencional pré-pagamentoResidencialResidencial baixa renda – faixa 01Não se aplicaNão se aplicaPonta",Mercado_Receita!$L$2:$L$1157)+SUMIF(Mercado_Receita!$S$2:$S$1157,"44743B1Convencional pré-pagamentoResidencialResidencial baixa renda – faixa 01Não se aplicaNão se aplicaFora ponta",Mercado_Receita!$L$2:$L$1157)+SUMIF(Mercado_Receita!$S$2:$S$1157,"44743B1Convencional pré-pagamentoResidencialResidencial baixa renda – faixa 01Não se aplicaNão se aplicaIntermediário",Mercado_Receita!$L$2:$L$1157)+SUMIF(Mercado_Receita!$S$2:$S$1157,"44743B1Convencional pré-pagamentoResidencialResidencial baixa renda – faixa 01Não se aplicaNão se aplicaNão se aplica",Mercado_Receita!$L$2:$L$1157)</f>
        <v>0</v>
      </c>
      <c r="R43" s="13">
        <f>SUMIF(Mercado_Receita!$S$2:$S$1157,"44774B1Convencional pré-pagamentoResidencialResidencial baixa renda – faixa 01Não se aplicaNão se aplicaPonta",Mercado_Receita!$L$2:$L$1157)+SUMIF(Mercado_Receita!$S$2:$S$1157,"44774B1Convencional pré-pagamentoResidencialResidencial baixa renda – faixa 01Não se aplicaNão se aplicaFora ponta",Mercado_Receita!$L$2:$L$1157)+SUMIF(Mercado_Receita!$S$2:$S$1157,"44774B1Convencional pré-pagamentoResidencialResidencial baixa renda – faixa 01Não se aplicaNão se aplicaIntermediário",Mercado_Receita!$L$2:$L$1157)+SUMIF(Mercado_Receita!$S$2:$S$1157,"44774B1Convencional pré-pagamentoResidencialResidencial baixa renda – faixa 01Não se aplicaNão se aplicaNão se aplica",Mercado_Receita!$L$2:$L$1157)</f>
        <v>0</v>
      </c>
      <c r="S43" s="13">
        <f>SUMIF(Mercado_Receita!$S$2:$S$1157,"44805B1Convencional pré-pagamentoResidencialResidencial baixa renda – faixa 01Não se aplicaNão se aplicaPonta",Mercado_Receita!$L$2:$L$1157)+SUMIF(Mercado_Receita!$S$2:$S$1157,"44805B1Convencional pré-pagamentoResidencialResidencial baixa renda – faixa 01Não se aplicaNão se aplicaFora ponta",Mercado_Receita!$L$2:$L$1157)+SUMIF(Mercado_Receita!$S$2:$S$1157,"44805B1Convencional pré-pagamentoResidencialResidencial baixa renda – faixa 01Não se aplicaNão se aplicaIntermediário",Mercado_Receita!$L$2:$L$1157)+SUMIF(Mercado_Receita!$S$2:$S$1157,"44805B1Convencional pré-pagamentoResidencialResidencial baixa renda – faixa 01Não se aplicaNão se aplicaNão se aplica",Mercado_Receita!$L$2:$L$1157)</f>
        <v>0</v>
      </c>
      <c r="T43" s="13">
        <f>SUMIF(Mercado_Receita!$S$2:$S$1157,"44835B1Convencional pré-pagamentoResidencialResidencial baixa renda – faixa 01Não se aplicaNão se aplicaPonta",Mercado_Receita!$L$2:$L$1157)+SUMIF(Mercado_Receita!$S$2:$S$1157,"44835B1Convencional pré-pagamentoResidencialResidencial baixa renda – faixa 01Não se aplicaNão se aplicaFora ponta",Mercado_Receita!$L$2:$L$1157)+SUMIF(Mercado_Receita!$S$2:$S$1157,"44835B1Convencional pré-pagamentoResidencialResidencial baixa renda – faixa 01Não se aplicaNão se aplicaIntermediário",Mercado_Receita!$L$2:$L$1157)+SUMIF(Mercado_Receita!$S$2:$S$1157,"44835B1Convencional pré-pagamentoResidencialResidencial baixa renda – faixa 01Não se aplicaNão se aplicaNão se aplica",Mercado_Receita!$L$2:$L$1157)</f>
        <v>0</v>
      </c>
      <c r="U43" s="13">
        <f t="shared" si="1"/>
        <v>0</v>
      </c>
      <c r="V43" s="13"/>
      <c r="W43" s="13"/>
    </row>
    <row r="44" spans="1:23" ht="11.25" customHeight="1" x14ac:dyDescent="0.3">
      <c r="A44" s="111"/>
      <c r="B44" s="111"/>
      <c r="C44" s="111"/>
      <c r="D44" s="12" t="s">
        <v>30</v>
      </c>
      <c r="E44" s="12" t="s">
        <v>25</v>
      </c>
      <c r="F44" s="12" t="s">
        <v>25</v>
      </c>
      <c r="G44" s="13" t="s">
        <v>84</v>
      </c>
      <c r="H44" s="13" t="s">
        <v>78</v>
      </c>
      <c r="I44" s="13">
        <f>SUMIF(Mercado_Receita!$S$2:$S$1157,"44501B1Convencional pré-pagamentoResidencialResidencial baixa renda – faixa 02Não se aplicaNão se aplicaPonta",Mercado_Receita!$L$2:$L$1157)+SUMIF(Mercado_Receita!$S$2:$S$1157,"44501B1Convencional pré-pagamentoResidencialResidencial baixa renda – faixa 02Não se aplicaNão se aplicaFora ponta",Mercado_Receita!$L$2:$L$1157)+SUMIF(Mercado_Receita!$S$2:$S$1157,"44501B1Convencional pré-pagamentoResidencialResidencial baixa renda – faixa 02Não se aplicaNão se aplicaIntermediário",Mercado_Receita!$L$2:$L$1157)+SUMIF(Mercado_Receita!$S$2:$S$1157,"44501B1Convencional pré-pagamentoResidencialResidencial baixa renda – faixa 02Não se aplicaNão se aplicaNão se aplica",Mercado_Receita!$L$2:$L$1157)</f>
        <v>0</v>
      </c>
      <c r="J44" s="13">
        <f>SUMIF(Mercado_Receita!$S$2:$S$1157,"44531B1Convencional pré-pagamentoResidencialResidencial baixa renda – faixa 02Não se aplicaNão se aplicaPonta",Mercado_Receita!$L$2:$L$1157)+SUMIF(Mercado_Receita!$S$2:$S$1157,"44531B1Convencional pré-pagamentoResidencialResidencial baixa renda – faixa 02Não se aplicaNão se aplicaFora ponta",Mercado_Receita!$L$2:$L$1157)+SUMIF(Mercado_Receita!$S$2:$S$1157,"44531B1Convencional pré-pagamentoResidencialResidencial baixa renda – faixa 02Não se aplicaNão se aplicaIntermediário",Mercado_Receita!$L$2:$L$1157)+SUMIF(Mercado_Receita!$S$2:$S$1157,"44531B1Convencional pré-pagamentoResidencialResidencial baixa renda – faixa 02Não se aplicaNão se aplicaNão se aplica",Mercado_Receita!$L$2:$L$1157)</f>
        <v>0</v>
      </c>
      <c r="K44" s="13">
        <f>SUMIF(Mercado_Receita!$S$2:$S$1157,"44562B1Convencional pré-pagamentoResidencialResidencial baixa renda – faixa 02Não se aplicaNão se aplicaPonta",Mercado_Receita!$L$2:$L$1157)+SUMIF(Mercado_Receita!$S$2:$S$1157,"44562B1Convencional pré-pagamentoResidencialResidencial baixa renda – faixa 02Não se aplicaNão se aplicaFora ponta",Mercado_Receita!$L$2:$L$1157)+SUMIF(Mercado_Receita!$S$2:$S$1157,"44562B1Convencional pré-pagamentoResidencialResidencial baixa renda – faixa 02Não se aplicaNão se aplicaIntermediário",Mercado_Receita!$L$2:$L$1157)+SUMIF(Mercado_Receita!$S$2:$S$1157,"44562B1Convencional pré-pagamentoResidencialResidencial baixa renda – faixa 02Não se aplicaNão se aplicaNão se aplica",Mercado_Receita!$L$2:$L$1157)</f>
        <v>0</v>
      </c>
      <c r="L44" s="13">
        <f>SUMIF(Mercado_Receita!$S$2:$S$1157,"44593B1Convencional pré-pagamentoResidencialResidencial baixa renda – faixa 02Não se aplicaNão se aplicaPonta",Mercado_Receita!$L$2:$L$1157)+SUMIF(Mercado_Receita!$S$2:$S$1157,"44593B1Convencional pré-pagamentoResidencialResidencial baixa renda – faixa 02Não se aplicaNão se aplicaFora ponta",Mercado_Receita!$L$2:$L$1157)+SUMIF(Mercado_Receita!$S$2:$S$1157,"44593B1Convencional pré-pagamentoResidencialResidencial baixa renda – faixa 02Não se aplicaNão se aplicaIntermediário",Mercado_Receita!$L$2:$L$1157)+SUMIF(Mercado_Receita!$S$2:$S$1157,"44593B1Convencional pré-pagamentoResidencialResidencial baixa renda – faixa 02Não se aplicaNão se aplicaNão se aplica",Mercado_Receita!$L$2:$L$1157)</f>
        <v>0</v>
      </c>
      <c r="M44" s="13">
        <f>SUMIF(Mercado_Receita!$S$2:$S$1157,"44621B1Convencional pré-pagamentoResidencialResidencial baixa renda – faixa 02Não se aplicaNão se aplicaPonta",Mercado_Receita!$L$2:$L$1157)+SUMIF(Mercado_Receita!$S$2:$S$1157,"44621B1Convencional pré-pagamentoResidencialResidencial baixa renda – faixa 02Não se aplicaNão se aplicaFora ponta",Mercado_Receita!$L$2:$L$1157)+SUMIF(Mercado_Receita!$S$2:$S$1157,"44621B1Convencional pré-pagamentoResidencialResidencial baixa renda – faixa 02Não se aplicaNão se aplicaIntermediário",Mercado_Receita!$L$2:$L$1157)+SUMIF(Mercado_Receita!$S$2:$S$1157,"44621B1Convencional pré-pagamentoResidencialResidencial baixa renda – faixa 02Não se aplicaNão se aplicaNão se aplica",Mercado_Receita!$L$2:$L$1157)</f>
        <v>0</v>
      </c>
      <c r="N44" s="13">
        <f>SUMIF(Mercado_Receita!$S$2:$S$1157,"44652B1Convencional pré-pagamentoResidencialResidencial baixa renda – faixa 02Não se aplicaNão se aplicaPonta",Mercado_Receita!$L$2:$L$1157)+SUMIF(Mercado_Receita!$S$2:$S$1157,"44652B1Convencional pré-pagamentoResidencialResidencial baixa renda – faixa 02Não se aplicaNão se aplicaFora ponta",Mercado_Receita!$L$2:$L$1157)+SUMIF(Mercado_Receita!$S$2:$S$1157,"44652B1Convencional pré-pagamentoResidencialResidencial baixa renda – faixa 02Não se aplicaNão se aplicaIntermediário",Mercado_Receita!$L$2:$L$1157)+SUMIF(Mercado_Receita!$S$2:$S$1157,"44652B1Convencional pré-pagamentoResidencialResidencial baixa renda – faixa 02Não se aplicaNão se aplicaNão se aplica",Mercado_Receita!$L$2:$L$1157)</f>
        <v>0</v>
      </c>
      <c r="O44" s="13">
        <f>SUMIF(Mercado_Receita!$S$2:$S$1157,"44682B1Convencional pré-pagamentoResidencialResidencial baixa renda – faixa 02Não se aplicaNão se aplicaPonta",Mercado_Receita!$L$2:$L$1157)+SUMIF(Mercado_Receita!$S$2:$S$1157,"44682B1Convencional pré-pagamentoResidencialResidencial baixa renda – faixa 02Não se aplicaNão se aplicaFora ponta",Mercado_Receita!$L$2:$L$1157)+SUMIF(Mercado_Receita!$S$2:$S$1157,"44682B1Convencional pré-pagamentoResidencialResidencial baixa renda – faixa 02Não se aplicaNão se aplicaIntermediário",Mercado_Receita!$L$2:$L$1157)+SUMIF(Mercado_Receita!$S$2:$S$1157,"44682B1Convencional pré-pagamentoResidencialResidencial baixa renda – faixa 02Não se aplicaNão se aplicaNão se aplica",Mercado_Receita!$L$2:$L$1157)</f>
        <v>0</v>
      </c>
      <c r="P44" s="13">
        <f>SUMIF(Mercado_Receita!$S$2:$S$1157,"44713B1Convencional pré-pagamentoResidencialResidencial baixa renda – faixa 02Não se aplicaNão se aplicaPonta",Mercado_Receita!$L$2:$L$1157)+SUMIF(Mercado_Receita!$S$2:$S$1157,"44713B1Convencional pré-pagamentoResidencialResidencial baixa renda – faixa 02Não se aplicaNão se aplicaFora ponta",Mercado_Receita!$L$2:$L$1157)+SUMIF(Mercado_Receita!$S$2:$S$1157,"44713B1Convencional pré-pagamentoResidencialResidencial baixa renda – faixa 02Não se aplicaNão se aplicaIntermediário",Mercado_Receita!$L$2:$L$1157)+SUMIF(Mercado_Receita!$S$2:$S$1157,"44713B1Convencional pré-pagamentoResidencialResidencial baixa renda – faixa 02Não se aplicaNão se aplicaNão se aplica",Mercado_Receita!$L$2:$L$1157)</f>
        <v>0</v>
      </c>
      <c r="Q44" s="13">
        <f>SUMIF(Mercado_Receita!$S$2:$S$1157,"44743B1Convencional pré-pagamentoResidencialResidencial baixa renda – faixa 02Não se aplicaNão se aplicaPonta",Mercado_Receita!$L$2:$L$1157)+SUMIF(Mercado_Receita!$S$2:$S$1157,"44743B1Convencional pré-pagamentoResidencialResidencial baixa renda – faixa 02Não se aplicaNão se aplicaFora ponta",Mercado_Receita!$L$2:$L$1157)+SUMIF(Mercado_Receita!$S$2:$S$1157,"44743B1Convencional pré-pagamentoResidencialResidencial baixa renda – faixa 02Não se aplicaNão se aplicaIntermediário",Mercado_Receita!$L$2:$L$1157)+SUMIF(Mercado_Receita!$S$2:$S$1157,"44743B1Convencional pré-pagamentoResidencialResidencial baixa renda – faixa 02Não se aplicaNão se aplicaNão se aplica",Mercado_Receita!$L$2:$L$1157)</f>
        <v>0</v>
      </c>
      <c r="R44" s="13">
        <f>SUMIF(Mercado_Receita!$S$2:$S$1157,"44774B1Convencional pré-pagamentoResidencialResidencial baixa renda – faixa 02Não se aplicaNão se aplicaPonta",Mercado_Receita!$L$2:$L$1157)+SUMIF(Mercado_Receita!$S$2:$S$1157,"44774B1Convencional pré-pagamentoResidencialResidencial baixa renda – faixa 02Não se aplicaNão se aplicaFora ponta",Mercado_Receita!$L$2:$L$1157)+SUMIF(Mercado_Receita!$S$2:$S$1157,"44774B1Convencional pré-pagamentoResidencialResidencial baixa renda – faixa 02Não se aplicaNão se aplicaIntermediário",Mercado_Receita!$L$2:$L$1157)+SUMIF(Mercado_Receita!$S$2:$S$1157,"44774B1Convencional pré-pagamentoResidencialResidencial baixa renda – faixa 02Não se aplicaNão se aplicaNão se aplica",Mercado_Receita!$L$2:$L$1157)</f>
        <v>0</v>
      </c>
      <c r="S44" s="13">
        <f>SUMIF(Mercado_Receita!$S$2:$S$1157,"44805B1Convencional pré-pagamentoResidencialResidencial baixa renda – faixa 02Não se aplicaNão se aplicaPonta",Mercado_Receita!$L$2:$L$1157)+SUMIF(Mercado_Receita!$S$2:$S$1157,"44805B1Convencional pré-pagamentoResidencialResidencial baixa renda – faixa 02Não se aplicaNão se aplicaFora ponta",Mercado_Receita!$L$2:$L$1157)+SUMIF(Mercado_Receita!$S$2:$S$1157,"44805B1Convencional pré-pagamentoResidencialResidencial baixa renda – faixa 02Não se aplicaNão se aplicaIntermediário",Mercado_Receita!$L$2:$L$1157)+SUMIF(Mercado_Receita!$S$2:$S$1157,"44805B1Convencional pré-pagamentoResidencialResidencial baixa renda – faixa 02Não se aplicaNão se aplicaNão se aplica",Mercado_Receita!$L$2:$L$1157)</f>
        <v>0</v>
      </c>
      <c r="T44" s="13">
        <f>SUMIF(Mercado_Receita!$S$2:$S$1157,"44835B1Convencional pré-pagamentoResidencialResidencial baixa renda – faixa 02Não se aplicaNão se aplicaPonta",Mercado_Receita!$L$2:$L$1157)+SUMIF(Mercado_Receita!$S$2:$S$1157,"44835B1Convencional pré-pagamentoResidencialResidencial baixa renda – faixa 02Não se aplicaNão se aplicaFora ponta",Mercado_Receita!$L$2:$L$1157)+SUMIF(Mercado_Receita!$S$2:$S$1157,"44835B1Convencional pré-pagamentoResidencialResidencial baixa renda – faixa 02Não se aplicaNão se aplicaIntermediário",Mercado_Receita!$L$2:$L$1157)+SUMIF(Mercado_Receita!$S$2:$S$1157,"44835B1Convencional pré-pagamentoResidencialResidencial baixa renda – faixa 02Não se aplicaNão se aplicaNão se aplica",Mercado_Receita!$L$2:$L$1157)</f>
        <v>0</v>
      </c>
      <c r="U44" s="13">
        <f t="shared" si="1"/>
        <v>0</v>
      </c>
      <c r="V44" s="13"/>
      <c r="W44" s="13"/>
    </row>
    <row r="45" spans="1:23" ht="11.25" customHeight="1" x14ac:dyDescent="0.3">
      <c r="A45" s="111"/>
      <c r="B45" s="111"/>
      <c r="C45" s="111"/>
      <c r="D45" s="12" t="s">
        <v>31</v>
      </c>
      <c r="E45" s="12" t="s">
        <v>25</v>
      </c>
      <c r="F45" s="12" t="s">
        <v>25</v>
      </c>
      <c r="G45" s="13" t="s">
        <v>84</v>
      </c>
      <c r="H45" s="13" t="s">
        <v>78</v>
      </c>
      <c r="I45" s="13">
        <f>SUMIF(Mercado_Receita!$S$2:$S$1157,"44501B1Convencional pré-pagamentoResidencialResidencial baixa renda – faixa 03Não se aplicaNão se aplicaPonta",Mercado_Receita!$L$2:$L$1157)+SUMIF(Mercado_Receita!$S$2:$S$1157,"44501B1Convencional pré-pagamentoResidencialResidencial baixa renda – faixa 03Não se aplicaNão se aplicaFora ponta",Mercado_Receita!$L$2:$L$1157)+SUMIF(Mercado_Receita!$S$2:$S$1157,"44501B1Convencional pré-pagamentoResidencialResidencial baixa renda – faixa 03Não se aplicaNão se aplicaIntermediário",Mercado_Receita!$L$2:$L$1157)+SUMIF(Mercado_Receita!$S$2:$S$1157,"44501B1Convencional pré-pagamentoResidencialResidencial baixa renda – faixa 03Não se aplicaNão se aplicaNão se aplica",Mercado_Receita!$L$2:$L$1157)</f>
        <v>0</v>
      </c>
      <c r="J45" s="13">
        <f>SUMIF(Mercado_Receita!$S$2:$S$1157,"44531B1Convencional pré-pagamentoResidencialResidencial baixa renda – faixa 03Não se aplicaNão se aplicaPonta",Mercado_Receita!$L$2:$L$1157)+SUMIF(Mercado_Receita!$S$2:$S$1157,"44531B1Convencional pré-pagamentoResidencialResidencial baixa renda – faixa 03Não se aplicaNão se aplicaFora ponta",Mercado_Receita!$L$2:$L$1157)+SUMIF(Mercado_Receita!$S$2:$S$1157,"44531B1Convencional pré-pagamentoResidencialResidencial baixa renda – faixa 03Não se aplicaNão se aplicaIntermediário",Mercado_Receita!$L$2:$L$1157)+SUMIF(Mercado_Receita!$S$2:$S$1157,"44531B1Convencional pré-pagamentoResidencialResidencial baixa renda – faixa 03Não se aplicaNão se aplicaNão se aplica",Mercado_Receita!$L$2:$L$1157)</f>
        <v>0</v>
      </c>
      <c r="K45" s="13">
        <f>SUMIF(Mercado_Receita!$S$2:$S$1157,"44562B1Convencional pré-pagamentoResidencialResidencial baixa renda – faixa 03Não se aplicaNão se aplicaPonta",Mercado_Receita!$L$2:$L$1157)+SUMIF(Mercado_Receita!$S$2:$S$1157,"44562B1Convencional pré-pagamentoResidencialResidencial baixa renda – faixa 03Não se aplicaNão se aplicaFora ponta",Mercado_Receita!$L$2:$L$1157)+SUMIF(Mercado_Receita!$S$2:$S$1157,"44562B1Convencional pré-pagamentoResidencialResidencial baixa renda – faixa 03Não se aplicaNão se aplicaIntermediário",Mercado_Receita!$L$2:$L$1157)+SUMIF(Mercado_Receita!$S$2:$S$1157,"44562B1Convencional pré-pagamentoResidencialResidencial baixa renda – faixa 03Não se aplicaNão se aplicaNão se aplica",Mercado_Receita!$L$2:$L$1157)</f>
        <v>0</v>
      </c>
      <c r="L45" s="13">
        <f>SUMIF(Mercado_Receita!$S$2:$S$1157,"44593B1Convencional pré-pagamentoResidencialResidencial baixa renda – faixa 03Não se aplicaNão se aplicaPonta",Mercado_Receita!$L$2:$L$1157)+SUMIF(Mercado_Receita!$S$2:$S$1157,"44593B1Convencional pré-pagamentoResidencialResidencial baixa renda – faixa 03Não se aplicaNão se aplicaFora ponta",Mercado_Receita!$L$2:$L$1157)+SUMIF(Mercado_Receita!$S$2:$S$1157,"44593B1Convencional pré-pagamentoResidencialResidencial baixa renda – faixa 03Não se aplicaNão se aplicaIntermediário",Mercado_Receita!$L$2:$L$1157)+SUMIF(Mercado_Receita!$S$2:$S$1157,"44593B1Convencional pré-pagamentoResidencialResidencial baixa renda – faixa 03Não se aplicaNão se aplicaNão se aplica",Mercado_Receita!$L$2:$L$1157)</f>
        <v>0</v>
      </c>
      <c r="M45" s="13">
        <f>SUMIF(Mercado_Receita!$S$2:$S$1157,"44621B1Convencional pré-pagamentoResidencialResidencial baixa renda – faixa 03Não se aplicaNão se aplicaPonta",Mercado_Receita!$L$2:$L$1157)+SUMIF(Mercado_Receita!$S$2:$S$1157,"44621B1Convencional pré-pagamentoResidencialResidencial baixa renda – faixa 03Não se aplicaNão se aplicaFora ponta",Mercado_Receita!$L$2:$L$1157)+SUMIF(Mercado_Receita!$S$2:$S$1157,"44621B1Convencional pré-pagamentoResidencialResidencial baixa renda – faixa 03Não se aplicaNão se aplicaIntermediário",Mercado_Receita!$L$2:$L$1157)+SUMIF(Mercado_Receita!$S$2:$S$1157,"44621B1Convencional pré-pagamentoResidencialResidencial baixa renda – faixa 03Não se aplicaNão se aplicaNão se aplica",Mercado_Receita!$L$2:$L$1157)</f>
        <v>0</v>
      </c>
      <c r="N45" s="13">
        <f>SUMIF(Mercado_Receita!$S$2:$S$1157,"44652B1Convencional pré-pagamentoResidencialResidencial baixa renda – faixa 03Não se aplicaNão se aplicaPonta",Mercado_Receita!$L$2:$L$1157)+SUMIF(Mercado_Receita!$S$2:$S$1157,"44652B1Convencional pré-pagamentoResidencialResidencial baixa renda – faixa 03Não se aplicaNão se aplicaFora ponta",Mercado_Receita!$L$2:$L$1157)+SUMIF(Mercado_Receita!$S$2:$S$1157,"44652B1Convencional pré-pagamentoResidencialResidencial baixa renda – faixa 03Não se aplicaNão se aplicaIntermediário",Mercado_Receita!$L$2:$L$1157)+SUMIF(Mercado_Receita!$S$2:$S$1157,"44652B1Convencional pré-pagamentoResidencialResidencial baixa renda – faixa 03Não se aplicaNão se aplicaNão se aplica",Mercado_Receita!$L$2:$L$1157)</f>
        <v>0</v>
      </c>
      <c r="O45" s="13">
        <f>SUMIF(Mercado_Receita!$S$2:$S$1157,"44682B1Convencional pré-pagamentoResidencialResidencial baixa renda – faixa 03Não se aplicaNão se aplicaPonta",Mercado_Receita!$L$2:$L$1157)+SUMIF(Mercado_Receita!$S$2:$S$1157,"44682B1Convencional pré-pagamentoResidencialResidencial baixa renda – faixa 03Não se aplicaNão se aplicaFora ponta",Mercado_Receita!$L$2:$L$1157)+SUMIF(Mercado_Receita!$S$2:$S$1157,"44682B1Convencional pré-pagamentoResidencialResidencial baixa renda – faixa 03Não se aplicaNão se aplicaIntermediário",Mercado_Receita!$L$2:$L$1157)+SUMIF(Mercado_Receita!$S$2:$S$1157,"44682B1Convencional pré-pagamentoResidencialResidencial baixa renda – faixa 03Não se aplicaNão se aplicaNão se aplica",Mercado_Receita!$L$2:$L$1157)</f>
        <v>0</v>
      </c>
      <c r="P45" s="13">
        <f>SUMIF(Mercado_Receita!$S$2:$S$1157,"44713B1Convencional pré-pagamentoResidencialResidencial baixa renda – faixa 03Não se aplicaNão se aplicaPonta",Mercado_Receita!$L$2:$L$1157)+SUMIF(Mercado_Receita!$S$2:$S$1157,"44713B1Convencional pré-pagamentoResidencialResidencial baixa renda – faixa 03Não se aplicaNão se aplicaFora ponta",Mercado_Receita!$L$2:$L$1157)+SUMIF(Mercado_Receita!$S$2:$S$1157,"44713B1Convencional pré-pagamentoResidencialResidencial baixa renda – faixa 03Não se aplicaNão se aplicaIntermediário",Mercado_Receita!$L$2:$L$1157)+SUMIF(Mercado_Receita!$S$2:$S$1157,"44713B1Convencional pré-pagamentoResidencialResidencial baixa renda – faixa 03Não se aplicaNão se aplicaNão se aplica",Mercado_Receita!$L$2:$L$1157)</f>
        <v>0</v>
      </c>
      <c r="Q45" s="13">
        <f>SUMIF(Mercado_Receita!$S$2:$S$1157,"44743B1Convencional pré-pagamentoResidencialResidencial baixa renda – faixa 03Não se aplicaNão se aplicaPonta",Mercado_Receita!$L$2:$L$1157)+SUMIF(Mercado_Receita!$S$2:$S$1157,"44743B1Convencional pré-pagamentoResidencialResidencial baixa renda – faixa 03Não se aplicaNão se aplicaFora ponta",Mercado_Receita!$L$2:$L$1157)+SUMIF(Mercado_Receita!$S$2:$S$1157,"44743B1Convencional pré-pagamentoResidencialResidencial baixa renda – faixa 03Não se aplicaNão se aplicaIntermediário",Mercado_Receita!$L$2:$L$1157)+SUMIF(Mercado_Receita!$S$2:$S$1157,"44743B1Convencional pré-pagamentoResidencialResidencial baixa renda – faixa 03Não se aplicaNão se aplicaNão se aplica",Mercado_Receita!$L$2:$L$1157)</f>
        <v>0</v>
      </c>
      <c r="R45" s="13">
        <f>SUMIF(Mercado_Receita!$S$2:$S$1157,"44774B1Convencional pré-pagamentoResidencialResidencial baixa renda – faixa 03Não se aplicaNão se aplicaPonta",Mercado_Receita!$L$2:$L$1157)+SUMIF(Mercado_Receita!$S$2:$S$1157,"44774B1Convencional pré-pagamentoResidencialResidencial baixa renda – faixa 03Não se aplicaNão se aplicaFora ponta",Mercado_Receita!$L$2:$L$1157)+SUMIF(Mercado_Receita!$S$2:$S$1157,"44774B1Convencional pré-pagamentoResidencialResidencial baixa renda – faixa 03Não se aplicaNão se aplicaIntermediário",Mercado_Receita!$L$2:$L$1157)+SUMIF(Mercado_Receita!$S$2:$S$1157,"44774B1Convencional pré-pagamentoResidencialResidencial baixa renda – faixa 03Não se aplicaNão se aplicaNão se aplica",Mercado_Receita!$L$2:$L$1157)</f>
        <v>0</v>
      </c>
      <c r="S45" s="13">
        <f>SUMIF(Mercado_Receita!$S$2:$S$1157,"44805B1Convencional pré-pagamentoResidencialResidencial baixa renda – faixa 03Não se aplicaNão se aplicaPonta",Mercado_Receita!$L$2:$L$1157)+SUMIF(Mercado_Receita!$S$2:$S$1157,"44805B1Convencional pré-pagamentoResidencialResidencial baixa renda – faixa 03Não se aplicaNão se aplicaFora ponta",Mercado_Receita!$L$2:$L$1157)+SUMIF(Mercado_Receita!$S$2:$S$1157,"44805B1Convencional pré-pagamentoResidencialResidencial baixa renda – faixa 03Não se aplicaNão se aplicaIntermediário",Mercado_Receita!$L$2:$L$1157)+SUMIF(Mercado_Receita!$S$2:$S$1157,"44805B1Convencional pré-pagamentoResidencialResidencial baixa renda – faixa 03Não se aplicaNão se aplicaNão se aplica",Mercado_Receita!$L$2:$L$1157)</f>
        <v>0</v>
      </c>
      <c r="T45" s="13">
        <f>SUMIF(Mercado_Receita!$S$2:$S$1157,"44835B1Convencional pré-pagamentoResidencialResidencial baixa renda – faixa 03Não se aplicaNão se aplicaPonta",Mercado_Receita!$L$2:$L$1157)+SUMIF(Mercado_Receita!$S$2:$S$1157,"44835B1Convencional pré-pagamentoResidencialResidencial baixa renda – faixa 03Não se aplicaNão se aplicaFora ponta",Mercado_Receita!$L$2:$L$1157)+SUMIF(Mercado_Receita!$S$2:$S$1157,"44835B1Convencional pré-pagamentoResidencialResidencial baixa renda – faixa 03Não se aplicaNão se aplicaIntermediário",Mercado_Receita!$L$2:$L$1157)+SUMIF(Mercado_Receita!$S$2:$S$1157,"44835B1Convencional pré-pagamentoResidencialResidencial baixa renda – faixa 03Não se aplicaNão se aplicaNão se aplica",Mercado_Receita!$L$2:$L$1157)</f>
        <v>0</v>
      </c>
      <c r="U45" s="13">
        <f t="shared" si="1"/>
        <v>0</v>
      </c>
      <c r="V45" s="13"/>
      <c r="W45" s="13"/>
    </row>
    <row r="46" spans="1:23" ht="11.25" customHeight="1" x14ac:dyDescent="0.3">
      <c r="A46" s="111"/>
      <c r="B46" s="111"/>
      <c r="C46" s="111"/>
      <c r="D46" s="12" t="s">
        <v>32</v>
      </c>
      <c r="E46" s="12" t="s">
        <v>25</v>
      </c>
      <c r="F46" s="12" t="s">
        <v>25</v>
      </c>
      <c r="G46" s="13" t="s">
        <v>84</v>
      </c>
      <c r="H46" s="13" t="s">
        <v>78</v>
      </c>
      <c r="I46" s="13">
        <f>SUMIF(Mercado_Receita!$S$2:$S$1157,"44501B1Convencional pré-pagamentoResidencialResidencial baixa renda – faixa 04Não se aplicaNão se aplicaPonta",Mercado_Receita!$L$2:$L$1157)+SUMIF(Mercado_Receita!$S$2:$S$1157,"44501B1Convencional pré-pagamentoResidencialResidencial baixa renda – faixa 04Não se aplicaNão se aplicaFora ponta",Mercado_Receita!$L$2:$L$1157)+SUMIF(Mercado_Receita!$S$2:$S$1157,"44501B1Convencional pré-pagamentoResidencialResidencial baixa renda – faixa 04Não se aplicaNão se aplicaIntermediário",Mercado_Receita!$L$2:$L$1157)+SUMIF(Mercado_Receita!$S$2:$S$1157,"44501B1Convencional pré-pagamentoResidencialResidencial baixa renda – faixa 04Não se aplicaNão se aplicaNão se aplica",Mercado_Receita!$L$2:$L$1157)</f>
        <v>0</v>
      </c>
      <c r="J46" s="13">
        <f>SUMIF(Mercado_Receita!$S$2:$S$1157,"44531B1Convencional pré-pagamentoResidencialResidencial baixa renda – faixa 04Não se aplicaNão se aplicaPonta",Mercado_Receita!$L$2:$L$1157)+SUMIF(Mercado_Receita!$S$2:$S$1157,"44531B1Convencional pré-pagamentoResidencialResidencial baixa renda – faixa 04Não se aplicaNão se aplicaFora ponta",Mercado_Receita!$L$2:$L$1157)+SUMIF(Mercado_Receita!$S$2:$S$1157,"44531B1Convencional pré-pagamentoResidencialResidencial baixa renda – faixa 04Não se aplicaNão se aplicaIntermediário",Mercado_Receita!$L$2:$L$1157)+SUMIF(Mercado_Receita!$S$2:$S$1157,"44531B1Convencional pré-pagamentoResidencialResidencial baixa renda – faixa 04Não se aplicaNão se aplicaNão se aplica",Mercado_Receita!$L$2:$L$1157)</f>
        <v>0</v>
      </c>
      <c r="K46" s="13">
        <f>SUMIF(Mercado_Receita!$S$2:$S$1157,"44562B1Convencional pré-pagamentoResidencialResidencial baixa renda – faixa 04Não se aplicaNão se aplicaPonta",Mercado_Receita!$L$2:$L$1157)+SUMIF(Mercado_Receita!$S$2:$S$1157,"44562B1Convencional pré-pagamentoResidencialResidencial baixa renda – faixa 04Não se aplicaNão se aplicaFora ponta",Mercado_Receita!$L$2:$L$1157)+SUMIF(Mercado_Receita!$S$2:$S$1157,"44562B1Convencional pré-pagamentoResidencialResidencial baixa renda – faixa 04Não se aplicaNão se aplicaIntermediário",Mercado_Receita!$L$2:$L$1157)+SUMIF(Mercado_Receita!$S$2:$S$1157,"44562B1Convencional pré-pagamentoResidencialResidencial baixa renda – faixa 04Não se aplicaNão se aplicaNão se aplica",Mercado_Receita!$L$2:$L$1157)</f>
        <v>0</v>
      </c>
      <c r="L46" s="13">
        <f>SUMIF(Mercado_Receita!$S$2:$S$1157,"44593B1Convencional pré-pagamentoResidencialResidencial baixa renda – faixa 04Não se aplicaNão se aplicaPonta",Mercado_Receita!$L$2:$L$1157)+SUMIF(Mercado_Receita!$S$2:$S$1157,"44593B1Convencional pré-pagamentoResidencialResidencial baixa renda – faixa 04Não se aplicaNão se aplicaFora ponta",Mercado_Receita!$L$2:$L$1157)+SUMIF(Mercado_Receita!$S$2:$S$1157,"44593B1Convencional pré-pagamentoResidencialResidencial baixa renda – faixa 04Não se aplicaNão se aplicaIntermediário",Mercado_Receita!$L$2:$L$1157)+SUMIF(Mercado_Receita!$S$2:$S$1157,"44593B1Convencional pré-pagamentoResidencialResidencial baixa renda – faixa 04Não se aplicaNão se aplicaNão se aplica",Mercado_Receita!$L$2:$L$1157)</f>
        <v>0</v>
      </c>
      <c r="M46" s="13">
        <f>SUMIF(Mercado_Receita!$S$2:$S$1157,"44621B1Convencional pré-pagamentoResidencialResidencial baixa renda – faixa 04Não se aplicaNão se aplicaPonta",Mercado_Receita!$L$2:$L$1157)+SUMIF(Mercado_Receita!$S$2:$S$1157,"44621B1Convencional pré-pagamentoResidencialResidencial baixa renda – faixa 04Não se aplicaNão se aplicaFora ponta",Mercado_Receita!$L$2:$L$1157)+SUMIF(Mercado_Receita!$S$2:$S$1157,"44621B1Convencional pré-pagamentoResidencialResidencial baixa renda – faixa 04Não se aplicaNão se aplicaIntermediário",Mercado_Receita!$L$2:$L$1157)+SUMIF(Mercado_Receita!$S$2:$S$1157,"44621B1Convencional pré-pagamentoResidencialResidencial baixa renda – faixa 04Não se aplicaNão se aplicaNão se aplica",Mercado_Receita!$L$2:$L$1157)</f>
        <v>0</v>
      </c>
      <c r="N46" s="13">
        <f>SUMIF(Mercado_Receita!$S$2:$S$1157,"44652B1Convencional pré-pagamentoResidencialResidencial baixa renda – faixa 04Não se aplicaNão se aplicaPonta",Mercado_Receita!$L$2:$L$1157)+SUMIF(Mercado_Receita!$S$2:$S$1157,"44652B1Convencional pré-pagamentoResidencialResidencial baixa renda – faixa 04Não se aplicaNão se aplicaFora ponta",Mercado_Receita!$L$2:$L$1157)+SUMIF(Mercado_Receita!$S$2:$S$1157,"44652B1Convencional pré-pagamentoResidencialResidencial baixa renda – faixa 04Não se aplicaNão se aplicaIntermediário",Mercado_Receita!$L$2:$L$1157)+SUMIF(Mercado_Receita!$S$2:$S$1157,"44652B1Convencional pré-pagamentoResidencialResidencial baixa renda – faixa 04Não se aplicaNão se aplicaNão se aplica",Mercado_Receita!$L$2:$L$1157)</f>
        <v>0</v>
      </c>
      <c r="O46" s="13">
        <f>SUMIF(Mercado_Receita!$S$2:$S$1157,"44682B1Convencional pré-pagamentoResidencialResidencial baixa renda – faixa 04Não se aplicaNão se aplicaPonta",Mercado_Receita!$L$2:$L$1157)+SUMIF(Mercado_Receita!$S$2:$S$1157,"44682B1Convencional pré-pagamentoResidencialResidencial baixa renda – faixa 04Não se aplicaNão se aplicaFora ponta",Mercado_Receita!$L$2:$L$1157)+SUMIF(Mercado_Receita!$S$2:$S$1157,"44682B1Convencional pré-pagamentoResidencialResidencial baixa renda – faixa 04Não se aplicaNão se aplicaIntermediário",Mercado_Receita!$L$2:$L$1157)+SUMIF(Mercado_Receita!$S$2:$S$1157,"44682B1Convencional pré-pagamentoResidencialResidencial baixa renda – faixa 04Não se aplicaNão se aplicaNão se aplica",Mercado_Receita!$L$2:$L$1157)</f>
        <v>0</v>
      </c>
      <c r="P46" s="13">
        <f>SUMIF(Mercado_Receita!$S$2:$S$1157,"44713B1Convencional pré-pagamentoResidencialResidencial baixa renda – faixa 04Não se aplicaNão se aplicaPonta",Mercado_Receita!$L$2:$L$1157)+SUMIF(Mercado_Receita!$S$2:$S$1157,"44713B1Convencional pré-pagamentoResidencialResidencial baixa renda – faixa 04Não se aplicaNão se aplicaFora ponta",Mercado_Receita!$L$2:$L$1157)+SUMIF(Mercado_Receita!$S$2:$S$1157,"44713B1Convencional pré-pagamentoResidencialResidencial baixa renda – faixa 04Não se aplicaNão se aplicaIntermediário",Mercado_Receita!$L$2:$L$1157)+SUMIF(Mercado_Receita!$S$2:$S$1157,"44713B1Convencional pré-pagamentoResidencialResidencial baixa renda – faixa 04Não se aplicaNão se aplicaNão se aplica",Mercado_Receita!$L$2:$L$1157)</f>
        <v>0</v>
      </c>
      <c r="Q46" s="13">
        <f>SUMIF(Mercado_Receita!$S$2:$S$1157,"44743B1Convencional pré-pagamentoResidencialResidencial baixa renda – faixa 04Não se aplicaNão se aplicaPonta",Mercado_Receita!$L$2:$L$1157)+SUMIF(Mercado_Receita!$S$2:$S$1157,"44743B1Convencional pré-pagamentoResidencialResidencial baixa renda – faixa 04Não se aplicaNão se aplicaFora ponta",Mercado_Receita!$L$2:$L$1157)+SUMIF(Mercado_Receita!$S$2:$S$1157,"44743B1Convencional pré-pagamentoResidencialResidencial baixa renda – faixa 04Não se aplicaNão se aplicaIntermediário",Mercado_Receita!$L$2:$L$1157)+SUMIF(Mercado_Receita!$S$2:$S$1157,"44743B1Convencional pré-pagamentoResidencialResidencial baixa renda – faixa 04Não se aplicaNão se aplicaNão se aplica",Mercado_Receita!$L$2:$L$1157)</f>
        <v>0</v>
      </c>
      <c r="R46" s="13">
        <f>SUMIF(Mercado_Receita!$S$2:$S$1157,"44774B1Convencional pré-pagamentoResidencialResidencial baixa renda – faixa 04Não se aplicaNão se aplicaPonta",Mercado_Receita!$L$2:$L$1157)+SUMIF(Mercado_Receita!$S$2:$S$1157,"44774B1Convencional pré-pagamentoResidencialResidencial baixa renda – faixa 04Não se aplicaNão se aplicaFora ponta",Mercado_Receita!$L$2:$L$1157)+SUMIF(Mercado_Receita!$S$2:$S$1157,"44774B1Convencional pré-pagamentoResidencialResidencial baixa renda – faixa 04Não se aplicaNão se aplicaIntermediário",Mercado_Receita!$L$2:$L$1157)+SUMIF(Mercado_Receita!$S$2:$S$1157,"44774B1Convencional pré-pagamentoResidencialResidencial baixa renda – faixa 04Não se aplicaNão se aplicaNão se aplica",Mercado_Receita!$L$2:$L$1157)</f>
        <v>0</v>
      </c>
      <c r="S46" s="13">
        <f>SUMIF(Mercado_Receita!$S$2:$S$1157,"44805B1Convencional pré-pagamentoResidencialResidencial baixa renda – faixa 04Não se aplicaNão se aplicaPonta",Mercado_Receita!$L$2:$L$1157)+SUMIF(Mercado_Receita!$S$2:$S$1157,"44805B1Convencional pré-pagamentoResidencialResidencial baixa renda – faixa 04Não se aplicaNão se aplicaFora ponta",Mercado_Receita!$L$2:$L$1157)+SUMIF(Mercado_Receita!$S$2:$S$1157,"44805B1Convencional pré-pagamentoResidencialResidencial baixa renda – faixa 04Não se aplicaNão se aplicaIntermediário",Mercado_Receita!$L$2:$L$1157)+SUMIF(Mercado_Receita!$S$2:$S$1157,"44805B1Convencional pré-pagamentoResidencialResidencial baixa renda – faixa 04Não se aplicaNão se aplicaNão se aplica",Mercado_Receita!$L$2:$L$1157)</f>
        <v>0</v>
      </c>
      <c r="T46" s="13">
        <f>SUMIF(Mercado_Receita!$S$2:$S$1157,"44835B1Convencional pré-pagamentoResidencialResidencial baixa renda – faixa 04Não se aplicaNão se aplicaPonta",Mercado_Receita!$L$2:$L$1157)+SUMIF(Mercado_Receita!$S$2:$S$1157,"44835B1Convencional pré-pagamentoResidencialResidencial baixa renda – faixa 04Não se aplicaNão se aplicaFora ponta",Mercado_Receita!$L$2:$L$1157)+SUMIF(Mercado_Receita!$S$2:$S$1157,"44835B1Convencional pré-pagamentoResidencialResidencial baixa renda – faixa 04Não se aplicaNão se aplicaIntermediário",Mercado_Receita!$L$2:$L$1157)+SUMIF(Mercado_Receita!$S$2:$S$1157,"44835B1Convencional pré-pagamentoResidencialResidencial baixa renda – faixa 04Não se aplicaNão se aplicaNão se aplica",Mercado_Receita!$L$2:$L$1157)</f>
        <v>0</v>
      </c>
      <c r="U46" s="13">
        <f t="shared" si="1"/>
        <v>0</v>
      </c>
      <c r="V46" s="13"/>
      <c r="W46" s="13"/>
    </row>
    <row r="47" spans="1:23" ht="11.25" customHeight="1" x14ac:dyDescent="0.3">
      <c r="A47" s="110" t="s">
        <v>44</v>
      </c>
      <c r="B47" s="110" t="s">
        <v>33</v>
      </c>
      <c r="C47" s="110" t="s">
        <v>45</v>
      </c>
      <c r="D47" s="110" t="s">
        <v>25</v>
      </c>
      <c r="E47" s="110" t="s">
        <v>25</v>
      </c>
      <c r="F47" s="110" t="s">
        <v>25</v>
      </c>
      <c r="G47" s="13" t="s">
        <v>79</v>
      </c>
      <c r="H47" s="13" t="s">
        <v>78</v>
      </c>
      <c r="I47" s="13">
        <f>SUMIF(Mercado_Receita!$S$2:$S$1157,"44501B2BrancaRuralNão se aplicaNão se aplicaNão se aplicaPonta",Mercado_Receita!$L$2:$L$1157)</f>
        <v>0</v>
      </c>
      <c r="J47" s="13">
        <f>SUMIF(Mercado_Receita!$S$2:$S$1157,"44531B2BrancaRuralNão se aplicaNão se aplicaNão se aplicaPonta",Mercado_Receita!$L$2:$L$1157)</f>
        <v>0</v>
      </c>
      <c r="K47" s="13">
        <f>SUMIF(Mercado_Receita!$S$2:$S$1157,"44562B2BrancaRuralNão se aplicaNão se aplicaNão se aplicaPonta",Mercado_Receita!$L$2:$L$1157)</f>
        <v>0</v>
      </c>
      <c r="L47" s="13">
        <f>SUMIF(Mercado_Receita!$S$2:$S$1157,"44593B2BrancaRuralNão se aplicaNão se aplicaNão se aplicaPonta",Mercado_Receita!$L$2:$L$1157)</f>
        <v>0</v>
      </c>
      <c r="M47" s="13">
        <f>SUMIF(Mercado_Receita!$S$2:$S$1157,"44621B2BrancaRuralNão se aplicaNão se aplicaNão se aplicaPonta",Mercado_Receita!$L$2:$L$1157)</f>
        <v>0</v>
      </c>
      <c r="N47" s="13">
        <f>SUMIF(Mercado_Receita!$S$2:$S$1157,"44652B2BrancaRuralNão se aplicaNão se aplicaNão se aplicaPonta",Mercado_Receita!$L$2:$L$1157)</f>
        <v>0</v>
      </c>
      <c r="O47" s="13">
        <f>SUMIF(Mercado_Receita!$S$2:$S$1157,"44682B2BrancaRuralNão se aplicaNão se aplicaNão se aplicaPonta",Mercado_Receita!$L$2:$L$1157)</f>
        <v>0</v>
      </c>
      <c r="P47" s="13">
        <f>SUMIF(Mercado_Receita!$S$2:$S$1157,"44713B2BrancaRuralNão se aplicaNão se aplicaNão se aplicaPonta",Mercado_Receita!$L$2:$L$1157)</f>
        <v>0</v>
      </c>
      <c r="Q47" s="13">
        <f>SUMIF(Mercado_Receita!$S$2:$S$1157,"44743B2BrancaRuralNão se aplicaNão se aplicaNão se aplicaPonta",Mercado_Receita!$L$2:$L$1157)</f>
        <v>0</v>
      </c>
      <c r="R47" s="13">
        <f>SUMIF(Mercado_Receita!$S$2:$S$1157,"44774B2BrancaRuralNão se aplicaNão se aplicaNão se aplicaPonta",Mercado_Receita!$L$2:$L$1157)</f>
        <v>0</v>
      </c>
      <c r="S47" s="13">
        <f>SUMIF(Mercado_Receita!$S$2:$S$1157,"44805B2BrancaRuralNão se aplicaNão se aplicaNão se aplicaPonta",Mercado_Receita!$L$2:$L$1157)</f>
        <v>0</v>
      </c>
      <c r="T47" s="13">
        <f>SUMIF(Mercado_Receita!$S$2:$S$1157,"44835B2BrancaRuralNão se aplicaNão se aplicaNão se aplicaPonta",Mercado_Receita!$L$2:$L$1157)</f>
        <v>0</v>
      </c>
      <c r="U47" s="13">
        <f t="shared" si="1"/>
        <v>0</v>
      </c>
      <c r="V47" s="13"/>
      <c r="W47" s="13"/>
    </row>
    <row r="48" spans="1:23" ht="11.25" customHeight="1" x14ac:dyDescent="0.3">
      <c r="A48" s="111"/>
      <c r="B48" s="111"/>
      <c r="C48" s="111"/>
      <c r="D48" s="111"/>
      <c r="E48" s="111"/>
      <c r="F48" s="111"/>
      <c r="G48" s="13" t="s">
        <v>90</v>
      </c>
      <c r="H48" s="13" t="s">
        <v>78</v>
      </c>
      <c r="I48" s="13">
        <f>SUMIF(Mercado_Receita!$S$2:$S$1157,"44501B2BrancaRuralNão se aplicaNão se aplicaNão se aplicaIntermediário",Mercado_Receita!$L$2:$L$1157)</f>
        <v>0</v>
      </c>
      <c r="J48" s="13">
        <f>SUMIF(Mercado_Receita!$S$2:$S$1157,"44531B2BrancaRuralNão se aplicaNão se aplicaNão se aplicaIntermediário",Mercado_Receita!$L$2:$L$1157)</f>
        <v>0</v>
      </c>
      <c r="K48" s="13">
        <f>SUMIF(Mercado_Receita!$S$2:$S$1157,"44562B2BrancaRuralNão se aplicaNão se aplicaNão se aplicaIntermediário",Mercado_Receita!$L$2:$L$1157)</f>
        <v>0</v>
      </c>
      <c r="L48" s="13">
        <f>SUMIF(Mercado_Receita!$S$2:$S$1157,"44593B2BrancaRuralNão se aplicaNão se aplicaNão se aplicaIntermediário",Mercado_Receita!$L$2:$L$1157)</f>
        <v>0</v>
      </c>
      <c r="M48" s="13">
        <f>SUMIF(Mercado_Receita!$S$2:$S$1157,"44621B2BrancaRuralNão se aplicaNão se aplicaNão se aplicaIntermediário",Mercado_Receita!$L$2:$L$1157)</f>
        <v>0</v>
      </c>
      <c r="N48" s="13">
        <f>SUMIF(Mercado_Receita!$S$2:$S$1157,"44652B2BrancaRuralNão se aplicaNão se aplicaNão se aplicaIntermediário",Mercado_Receita!$L$2:$L$1157)</f>
        <v>0</v>
      </c>
      <c r="O48" s="13">
        <f>SUMIF(Mercado_Receita!$S$2:$S$1157,"44682B2BrancaRuralNão se aplicaNão se aplicaNão se aplicaIntermediário",Mercado_Receita!$L$2:$L$1157)</f>
        <v>0</v>
      </c>
      <c r="P48" s="13">
        <f>SUMIF(Mercado_Receita!$S$2:$S$1157,"44713B2BrancaRuralNão se aplicaNão se aplicaNão se aplicaIntermediário",Mercado_Receita!$L$2:$L$1157)</f>
        <v>0</v>
      </c>
      <c r="Q48" s="13">
        <f>SUMIF(Mercado_Receita!$S$2:$S$1157,"44743B2BrancaRuralNão se aplicaNão se aplicaNão se aplicaIntermediário",Mercado_Receita!$L$2:$L$1157)</f>
        <v>0</v>
      </c>
      <c r="R48" s="13">
        <f>SUMIF(Mercado_Receita!$S$2:$S$1157,"44774B2BrancaRuralNão se aplicaNão se aplicaNão se aplicaIntermediário",Mercado_Receita!$L$2:$L$1157)</f>
        <v>0</v>
      </c>
      <c r="S48" s="13">
        <f>SUMIF(Mercado_Receita!$S$2:$S$1157,"44805B2BrancaRuralNão se aplicaNão se aplicaNão se aplicaIntermediário",Mercado_Receita!$L$2:$L$1157)</f>
        <v>0</v>
      </c>
      <c r="T48" s="13">
        <f>SUMIF(Mercado_Receita!$S$2:$S$1157,"44835B2BrancaRuralNão se aplicaNão se aplicaNão se aplicaIntermediário",Mercado_Receita!$L$2:$L$1157)</f>
        <v>0</v>
      </c>
      <c r="U48" s="13">
        <f t="shared" si="1"/>
        <v>0</v>
      </c>
      <c r="V48" s="13"/>
      <c r="W48" s="13"/>
    </row>
    <row r="49" spans="1:23" ht="11.25" customHeight="1" x14ac:dyDescent="0.3">
      <c r="A49" s="111"/>
      <c r="B49" s="111"/>
      <c r="C49" s="111"/>
      <c r="D49" s="111"/>
      <c r="E49" s="111"/>
      <c r="F49" s="111"/>
      <c r="G49" s="13" t="s">
        <v>80</v>
      </c>
      <c r="H49" s="13" t="s">
        <v>78</v>
      </c>
      <c r="I49" s="13">
        <f>SUMIF(Mercado_Receita!$S$2:$S$1157,"44501B2BrancaRuralNão se aplicaNão se aplicaNão se aplicaFora ponta",Mercado_Receita!$L$2:$L$1157)</f>
        <v>0</v>
      </c>
      <c r="J49" s="13">
        <f>SUMIF(Mercado_Receita!$S$2:$S$1157,"44531B2BrancaRuralNão se aplicaNão se aplicaNão se aplicaFora ponta",Mercado_Receita!$L$2:$L$1157)</f>
        <v>0</v>
      </c>
      <c r="K49" s="13">
        <f>SUMIF(Mercado_Receita!$S$2:$S$1157,"44562B2BrancaRuralNão se aplicaNão se aplicaNão se aplicaFora ponta",Mercado_Receita!$L$2:$L$1157)</f>
        <v>0</v>
      </c>
      <c r="L49" s="13">
        <f>SUMIF(Mercado_Receita!$S$2:$S$1157,"44593B2BrancaRuralNão se aplicaNão se aplicaNão se aplicaFora ponta",Mercado_Receita!$L$2:$L$1157)</f>
        <v>0</v>
      </c>
      <c r="M49" s="13">
        <f>SUMIF(Mercado_Receita!$S$2:$S$1157,"44621B2BrancaRuralNão se aplicaNão se aplicaNão se aplicaFora ponta",Mercado_Receita!$L$2:$L$1157)</f>
        <v>0</v>
      </c>
      <c r="N49" s="13">
        <f>SUMIF(Mercado_Receita!$S$2:$S$1157,"44652B2BrancaRuralNão se aplicaNão se aplicaNão se aplicaFora ponta",Mercado_Receita!$L$2:$L$1157)</f>
        <v>0</v>
      </c>
      <c r="O49" s="13">
        <f>SUMIF(Mercado_Receita!$S$2:$S$1157,"44682B2BrancaRuralNão se aplicaNão se aplicaNão se aplicaFora ponta",Mercado_Receita!$L$2:$L$1157)</f>
        <v>0</v>
      </c>
      <c r="P49" s="13">
        <f>SUMIF(Mercado_Receita!$S$2:$S$1157,"44713B2BrancaRuralNão se aplicaNão se aplicaNão se aplicaFora ponta",Mercado_Receita!$L$2:$L$1157)</f>
        <v>0</v>
      </c>
      <c r="Q49" s="13">
        <f>SUMIF(Mercado_Receita!$S$2:$S$1157,"44743B2BrancaRuralNão se aplicaNão se aplicaNão se aplicaFora ponta",Mercado_Receita!$L$2:$L$1157)</f>
        <v>0</v>
      </c>
      <c r="R49" s="13">
        <f>SUMIF(Mercado_Receita!$S$2:$S$1157,"44774B2BrancaRuralNão se aplicaNão se aplicaNão se aplicaFora ponta",Mercado_Receita!$L$2:$L$1157)</f>
        <v>0</v>
      </c>
      <c r="S49" s="13">
        <f>SUMIF(Mercado_Receita!$S$2:$S$1157,"44805B2BrancaRuralNão se aplicaNão se aplicaNão se aplicaFora ponta",Mercado_Receita!$L$2:$L$1157)</f>
        <v>0</v>
      </c>
      <c r="T49" s="13">
        <f>SUMIF(Mercado_Receita!$S$2:$S$1157,"44835B2BrancaRuralNão se aplicaNão se aplicaNão se aplicaFora ponta",Mercado_Receita!$L$2:$L$1157)</f>
        <v>0</v>
      </c>
      <c r="U49" s="13">
        <f t="shared" si="1"/>
        <v>0</v>
      </c>
      <c r="V49" s="13"/>
      <c r="W49" s="13"/>
    </row>
    <row r="50" spans="1:23" ht="11.25" customHeight="1" x14ac:dyDescent="0.3">
      <c r="A50" s="111"/>
      <c r="B50" s="12" t="s">
        <v>23</v>
      </c>
      <c r="C50" s="12" t="s">
        <v>45</v>
      </c>
      <c r="D50" s="12" t="s">
        <v>25</v>
      </c>
      <c r="E50" s="12" t="s">
        <v>25</v>
      </c>
      <c r="F50" s="12" t="s">
        <v>25</v>
      </c>
      <c r="G50" s="13" t="s">
        <v>84</v>
      </c>
      <c r="H50" s="13" t="s">
        <v>78</v>
      </c>
      <c r="I50" s="13">
        <f>SUMIF(Mercado_Receita!$S$2:$S$1157,"44501B2ConvencionalRuralNão se aplicaNão se aplicaNão se aplicaPonta",Mercado_Receita!$L$2:$L$1157)+SUMIF(Mercado_Receita!$S$2:$S$1157,"44501B2ConvencionalRuralNão se aplicaNão se aplicaNão se aplicaFora ponta",Mercado_Receita!$L$2:$L$1157)+SUMIF(Mercado_Receita!$S$2:$S$1157,"44501B2ConvencionalRuralNão se aplicaNão se aplicaNão se aplicaIntermediário",Mercado_Receita!$L$2:$L$1157)+SUMIF(Mercado_Receita!$S$2:$S$1157,"44501B2ConvencionalRuralNão se aplicaNão se aplicaNão se aplicaNão se aplica",Mercado_Receita!$L$2:$L$1157)</f>
        <v>305.13</v>
      </c>
      <c r="J50" s="13">
        <f>SUMIF(Mercado_Receita!$S$2:$S$1157,"44531B2ConvencionalRuralNão se aplicaNão se aplicaNão se aplicaPonta",Mercado_Receita!$L$2:$L$1157)+SUMIF(Mercado_Receita!$S$2:$S$1157,"44531B2ConvencionalRuralNão se aplicaNão se aplicaNão se aplicaFora ponta",Mercado_Receita!$L$2:$L$1157)+SUMIF(Mercado_Receita!$S$2:$S$1157,"44531B2ConvencionalRuralNão se aplicaNão se aplicaNão se aplicaIntermediário",Mercado_Receita!$L$2:$L$1157)+SUMIF(Mercado_Receita!$S$2:$S$1157,"44531B2ConvencionalRuralNão se aplicaNão se aplicaNão se aplicaNão se aplica",Mercado_Receita!$L$2:$L$1157)</f>
        <v>295.63199999999995</v>
      </c>
      <c r="K50" s="13">
        <f>SUMIF(Mercado_Receita!$S$2:$S$1157,"44562B2ConvencionalRuralNão se aplicaNão se aplicaNão se aplicaPonta",Mercado_Receita!$L$2:$L$1157)+SUMIF(Mercado_Receita!$S$2:$S$1157,"44562B2ConvencionalRuralNão se aplicaNão se aplicaNão se aplicaFora ponta",Mercado_Receita!$L$2:$L$1157)+SUMIF(Mercado_Receita!$S$2:$S$1157,"44562B2ConvencionalRuralNão se aplicaNão se aplicaNão se aplicaIntermediário",Mercado_Receita!$L$2:$L$1157)+SUMIF(Mercado_Receita!$S$2:$S$1157,"44562B2ConvencionalRuralNão se aplicaNão se aplicaNão se aplicaNão se aplica",Mercado_Receita!$L$2:$L$1157)</f>
        <v>325.822</v>
      </c>
      <c r="L50" s="13">
        <f>SUMIF(Mercado_Receita!$S$2:$S$1157,"44593B2ConvencionalRuralNão se aplicaNão se aplicaNão se aplicaPonta",Mercado_Receita!$L$2:$L$1157)+SUMIF(Mercado_Receita!$S$2:$S$1157,"44593B2ConvencionalRuralNão se aplicaNão se aplicaNão se aplicaFora ponta",Mercado_Receita!$L$2:$L$1157)+SUMIF(Mercado_Receita!$S$2:$S$1157,"44593B2ConvencionalRuralNão se aplicaNão se aplicaNão se aplicaIntermediário",Mercado_Receita!$L$2:$L$1157)+SUMIF(Mercado_Receita!$S$2:$S$1157,"44593B2ConvencionalRuralNão se aplicaNão se aplicaNão se aplicaNão se aplica",Mercado_Receita!$L$2:$L$1157)</f>
        <v>284.40899999999999</v>
      </c>
      <c r="M50" s="13">
        <f>SUMIF(Mercado_Receita!$S$2:$S$1157,"44621B2ConvencionalRuralNão se aplicaNão se aplicaNão se aplicaPonta",Mercado_Receita!$L$2:$L$1157)+SUMIF(Mercado_Receita!$S$2:$S$1157,"44621B2ConvencionalRuralNão se aplicaNão se aplicaNão se aplicaFora ponta",Mercado_Receita!$L$2:$L$1157)+SUMIF(Mercado_Receita!$S$2:$S$1157,"44621B2ConvencionalRuralNão se aplicaNão se aplicaNão se aplicaIntermediário",Mercado_Receita!$L$2:$L$1157)+SUMIF(Mercado_Receita!$S$2:$S$1157,"44621B2ConvencionalRuralNão se aplicaNão se aplicaNão se aplicaNão se aplica",Mercado_Receita!$L$2:$L$1157)</f>
        <v>295.24499999999995</v>
      </c>
      <c r="N50" s="13">
        <f>SUMIF(Mercado_Receita!$S$2:$S$1157,"44652B2ConvencionalRuralNão se aplicaNão se aplicaNão se aplicaPonta",Mercado_Receita!$L$2:$L$1157)+SUMIF(Mercado_Receita!$S$2:$S$1157,"44652B2ConvencionalRuralNão se aplicaNão se aplicaNão se aplicaFora ponta",Mercado_Receita!$L$2:$L$1157)+SUMIF(Mercado_Receita!$S$2:$S$1157,"44652B2ConvencionalRuralNão se aplicaNão se aplicaNão se aplicaIntermediário",Mercado_Receita!$L$2:$L$1157)+SUMIF(Mercado_Receita!$S$2:$S$1157,"44652B2ConvencionalRuralNão se aplicaNão se aplicaNão se aplicaNão se aplica",Mercado_Receita!$L$2:$L$1157)</f>
        <v>284.95700000000005</v>
      </c>
      <c r="O50" s="13">
        <f>SUMIF(Mercado_Receita!$S$2:$S$1157,"44682B2ConvencionalRuralNão se aplicaNão se aplicaNão se aplicaPonta",Mercado_Receita!$L$2:$L$1157)+SUMIF(Mercado_Receita!$S$2:$S$1157,"44682B2ConvencionalRuralNão se aplicaNão se aplicaNão se aplicaFora ponta",Mercado_Receita!$L$2:$L$1157)+SUMIF(Mercado_Receita!$S$2:$S$1157,"44682B2ConvencionalRuralNão se aplicaNão se aplicaNão se aplicaIntermediário",Mercado_Receita!$L$2:$L$1157)+SUMIF(Mercado_Receita!$S$2:$S$1157,"44682B2ConvencionalRuralNão se aplicaNão se aplicaNão se aplicaNão se aplica",Mercado_Receita!$L$2:$L$1157)</f>
        <v>303.82200000000006</v>
      </c>
      <c r="P50" s="13">
        <f>SUMIF(Mercado_Receita!$S$2:$S$1157,"44713B2ConvencionalRuralNão se aplicaNão se aplicaNão se aplicaPonta",Mercado_Receita!$L$2:$L$1157)+SUMIF(Mercado_Receita!$S$2:$S$1157,"44713B2ConvencionalRuralNão se aplicaNão se aplicaNão se aplicaFora ponta",Mercado_Receita!$L$2:$L$1157)+SUMIF(Mercado_Receita!$S$2:$S$1157,"44713B2ConvencionalRuralNão se aplicaNão se aplicaNão se aplicaIntermediário",Mercado_Receita!$L$2:$L$1157)+SUMIF(Mercado_Receita!$S$2:$S$1157,"44713B2ConvencionalRuralNão se aplicaNão se aplicaNão se aplicaNão se aplica",Mercado_Receita!$L$2:$L$1157)</f>
        <v>323.03500000000003</v>
      </c>
      <c r="Q50" s="13">
        <f>SUMIF(Mercado_Receita!$S$2:$S$1157,"44743B2ConvencionalRuralNão se aplicaNão se aplicaNão se aplicaPonta",Mercado_Receita!$L$2:$L$1157)+SUMIF(Mercado_Receita!$S$2:$S$1157,"44743B2ConvencionalRuralNão se aplicaNão se aplicaNão se aplicaFora ponta",Mercado_Receita!$L$2:$L$1157)+SUMIF(Mercado_Receita!$S$2:$S$1157,"44743B2ConvencionalRuralNão se aplicaNão se aplicaNão se aplicaIntermediário",Mercado_Receita!$L$2:$L$1157)+SUMIF(Mercado_Receita!$S$2:$S$1157,"44743B2ConvencionalRuralNão se aplicaNão se aplicaNão se aplicaNão se aplica",Mercado_Receita!$L$2:$L$1157)</f>
        <v>338.08600000000001</v>
      </c>
      <c r="R50" s="13">
        <f>SUMIF(Mercado_Receita!$S$2:$S$1157,"44774B2ConvencionalRuralNão se aplicaNão se aplicaNão se aplicaPonta",Mercado_Receita!$L$2:$L$1157)+SUMIF(Mercado_Receita!$S$2:$S$1157,"44774B2ConvencionalRuralNão se aplicaNão se aplicaNão se aplicaFora ponta",Mercado_Receita!$L$2:$L$1157)+SUMIF(Mercado_Receita!$S$2:$S$1157,"44774B2ConvencionalRuralNão se aplicaNão se aplicaNão se aplicaIntermediário",Mercado_Receita!$L$2:$L$1157)+SUMIF(Mercado_Receita!$S$2:$S$1157,"44774B2ConvencionalRuralNão se aplicaNão se aplicaNão se aplicaNão se aplica",Mercado_Receita!$L$2:$L$1157)</f>
        <v>343.10899999999998</v>
      </c>
      <c r="S50" s="13">
        <f>SUMIF(Mercado_Receita!$S$2:$S$1157,"44805B2ConvencionalRuralNão se aplicaNão se aplicaNão se aplicaPonta",Mercado_Receita!$L$2:$L$1157)+SUMIF(Mercado_Receita!$S$2:$S$1157,"44805B2ConvencionalRuralNão se aplicaNão se aplicaNão se aplicaFora ponta",Mercado_Receita!$L$2:$L$1157)+SUMIF(Mercado_Receita!$S$2:$S$1157,"44805B2ConvencionalRuralNão se aplicaNão se aplicaNão se aplicaIntermediário",Mercado_Receita!$L$2:$L$1157)+SUMIF(Mercado_Receita!$S$2:$S$1157,"44805B2ConvencionalRuralNão se aplicaNão se aplicaNão se aplicaNão se aplica",Mercado_Receita!$L$2:$L$1157)</f>
        <v>337.22</v>
      </c>
      <c r="T50" s="13">
        <f>SUMIF(Mercado_Receita!$S$2:$S$1157,"44835B2ConvencionalRuralNão se aplicaNão se aplicaNão se aplicaPonta",Mercado_Receita!$L$2:$L$1157)+SUMIF(Mercado_Receita!$S$2:$S$1157,"44835B2ConvencionalRuralNão se aplicaNão se aplicaNão se aplicaFora ponta",Mercado_Receita!$L$2:$L$1157)+SUMIF(Mercado_Receita!$S$2:$S$1157,"44835B2ConvencionalRuralNão se aplicaNão se aplicaNão se aplicaIntermediário",Mercado_Receita!$L$2:$L$1157)+SUMIF(Mercado_Receita!$S$2:$S$1157,"44835B2ConvencionalRuralNão se aplicaNão se aplicaNão se aplicaNão se aplica",Mercado_Receita!$L$2:$L$1157)</f>
        <v>337.22</v>
      </c>
      <c r="U50" s="13">
        <f t="shared" si="1"/>
        <v>3773.6869999999999</v>
      </c>
      <c r="V50" s="13"/>
      <c r="W50" s="13"/>
    </row>
    <row r="51" spans="1:23" ht="11.25" customHeight="1" x14ac:dyDescent="0.3">
      <c r="A51" s="111"/>
      <c r="B51" s="110" t="s">
        <v>33</v>
      </c>
      <c r="C51" s="110" t="s">
        <v>45</v>
      </c>
      <c r="D51" s="110" t="s">
        <v>93</v>
      </c>
      <c r="E51" s="110" t="s">
        <v>25</v>
      </c>
      <c r="F51" s="110" t="s">
        <v>25</v>
      </c>
      <c r="G51" s="13" t="s">
        <v>79</v>
      </c>
      <c r="H51" s="13" t="s">
        <v>78</v>
      </c>
      <c r="I51" s="13">
        <f>SUMIF(Mercado_Receita!$S$2:$S$1157,"44501B2BrancaRuralCooperativa de eletrificação ruralNão se aplicaNão se aplicaPonta",Mercado_Receita!$L$2:$L$1157)</f>
        <v>0</v>
      </c>
      <c r="J51" s="13">
        <f>SUMIF(Mercado_Receita!$S$2:$S$1157,"44531B2BrancaRuralCooperativa de eletrificação ruralNão se aplicaNão se aplicaPonta",Mercado_Receita!$L$2:$L$1157)</f>
        <v>0</v>
      </c>
      <c r="K51" s="13">
        <f>SUMIF(Mercado_Receita!$S$2:$S$1157,"44562B2BrancaRuralCooperativa de eletrificação ruralNão se aplicaNão se aplicaPonta",Mercado_Receita!$L$2:$L$1157)</f>
        <v>0</v>
      </c>
      <c r="L51" s="13">
        <f>SUMIF(Mercado_Receita!$S$2:$S$1157,"44593B2BrancaRuralCooperativa de eletrificação ruralNão se aplicaNão se aplicaPonta",Mercado_Receita!$L$2:$L$1157)</f>
        <v>0</v>
      </c>
      <c r="M51" s="13">
        <f>SUMIF(Mercado_Receita!$S$2:$S$1157,"44621B2BrancaRuralCooperativa de eletrificação ruralNão se aplicaNão se aplicaPonta",Mercado_Receita!$L$2:$L$1157)</f>
        <v>0</v>
      </c>
      <c r="N51" s="13">
        <f>SUMIF(Mercado_Receita!$S$2:$S$1157,"44652B2BrancaRuralCooperativa de eletrificação ruralNão se aplicaNão se aplicaPonta",Mercado_Receita!$L$2:$L$1157)</f>
        <v>0</v>
      </c>
      <c r="O51" s="13">
        <f>SUMIF(Mercado_Receita!$S$2:$S$1157,"44682B2BrancaRuralCooperativa de eletrificação ruralNão se aplicaNão se aplicaPonta",Mercado_Receita!$L$2:$L$1157)</f>
        <v>0</v>
      </c>
      <c r="P51" s="13">
        <f>SUMIF(Mercado_Receita!$S$2:$S$1157,"44713B2BrancaRuralCooperativa de eletrificação ruralNão se aplicaNão se aplicaPonta",Mercado_Receita!$L$2:$L$1157)</f>
        <v>0</v>
      </c>
      <c r="Q51" s="13">
        <f>SUMIF(Mercado_Receita!$S$2:$S$1157,"44743B2BrancaRuralCooperativa de eletrificação ruralNão se aplicaNão se aplicaPonta",Mercado_Receita!$L$2:$L$1157)</f>
        <v>0</v>
      </c>
      <c r="R51" s="13">
        <f>SUMIF(Mercado_Receita!$S$2:$S$1157,"44774B2BrancaRuralCooperativa de eletrificação ruralNão se aplicaNão se aplicaPonta",Mercado_Receita!$L$2:$L$1157)</f>
        <v>0</v>
      </c>
      <c r="S51" s="13">
        <f>SUMIF(Mercado_Receita!$S$2:$S$1157,"44805B2BrancaRuralCooperativa de eletrificação ruralNão se aplicaNão se aplicaPonta",Mercado_Receita!$L$2:$L$1157)</f>
        <v>0</v>
      </c>
      <c r="T51" s="13">
        <f>SUMIF(Mercado_Receita!$S$2:$S$1157,"44835B2BrancaRuralCooperativa de eletrificação ruralNão se aplicaNão se aplicaPonta",Mercado_Receita!$L$2:$L$1157)</f>
        <v>0</v>
      </c>
      <c r="U51" s="13">
        <f t="shared" si="1"/>
        <v>0</v>
      </c>
      <c r="V51" s="13"/>
      <c r="W51" s="13"/>
    </row>
    <row r="52" spans="1:23" ht="11.25" customHeight="1" x14ac:dyDescent="0.3">
      <c r="A52" s="111"/>
      <c r="B52" s="111"/>
      <c r="C52" s="111"/>
      <c r="D52" s="111"/>
      <c r="E52" s="111"/>
      <c r="F52" s="111"/>
      <c r="G52" s="13" t="s">
        <v>90</v>
      </c>
      <c r="H52" s="13" t="s">
        <v>78</v>
      </c>
      <c r="I52" s="13">
        <f>SUMIF(Mercado_Receita!$S$2:$S$1157,"44501B2BrancaRuralCooperativa de eletrificação ruralNão se aplicaNão se aplicaIntermediário",Mercado_Receita!$L$2:$L$1157)</f>
        <v>0</v>
      </c>
      <c r="J52" s="13">
        <f>SUMIF(Mercado_Receita!$S$2:$S$1157,"44531B2BrancaRuralCooperativa de eletrificação ruralNão se aplicaNão se aplicaIntermediário",Mercado_Receita!$L$2:$L$1157)</f>
        <v>0</v>
      </c>
      <c r="K52" s="13">
        <f>SUMIF(Mercado_Receita!$S$2:$S$1157,"44562B2BrancaRuralCooperativa de eletrificação ruralNão se aplicaNão se aplicaIntermediário",Mercado_Receita!$L$2:$L$1157)</f>
        <v>0</v>
      </c>
      <c r="L52" s="13">
        <f>SUMIF(Mercado_Receita!$S$2:$S$1157,"44593B2BrancaRuralCooperativa de eletrificação ruralNão se aplicaNão se aplicaIntermediário",Mercado_Receita!$L$2:$L$1157)</f>
        <v>0</v>
      </c>
      <c r="M52" s="13">
        <f>SUMIF(Mercado_Receita!$S$2:$S$1157,"44621B2BrancaRuralCooperativa de eletrificação ruralNão se aplicaNão se aplicaIntermediário",Mercado_Receita!$L$2:$L$1157)</f>
        <v>0</v>
      </c>
      <c r="N52" s="13">
        <f>SUMIF(Mercado_Receita!$S$2:$S$1157,"44652B2BrancaRuralCooperativa de eletrificação ruralNão se aplicaNão se aplicaIntermediário",Mercado_Receita!$L$2:$L$1157)</f>
        <v>0</v>
      </c>
      <c r="O52" s="13">
        <f>SUMIF(Mercado_Receita!$S$2:$S$1157,"44682B2BrancaRuralCooperativa de eletrificação ruralNão se aplicaNão se aplicaIntermediário",Mercado_Receita!$L$2:$L$1157)</f>
        <v>0</v>
      </c>
      <c r="P52" s="13">
        <f>SUMIF(Mercado_Receita!$S$2:$S$1157,"44713B2BrancaRuralCooperativa de eletrificação ruralNão se aplicaNão se aplicaIntermediário",Mercado_Receita!$L$2:$L$1157)</f>
        <v>0</v>
      </c>
      <c r="Q52" s="13">
        <f>SUMIF(Mercado_Receita!$S$2:$S$1157,"44743B2BrancaRuralCooperativa de eletrificação ruralNão se aplicaNão se aplicaIntermediário",Mercado_Receita!$L$2:$L$1157)</f>
        <v>0</v>
      </c>
      <c r="R52" s="13">
        <f>SUMIF(Mercado_Receita!$S$2:$S$1157,"44774B2BrancaRuralCooperativa de eletrificação ruralNão se aplicaNão se aplicaIntermediário",Mercado_Receita!$L$2:$L$1157)</f>
        <v>0</v>
      </c>
      <c r="S52" s="13">
        <f>SUMIF(Mercado_Receita!$S$2:$S$1157,"44805B2BrancaRuralCooperativa de eletrificação ruralNão se aplicaNão se aplicaIntermediário",Mercado_Receita!$L$2:$L$1157)</f>
        <v>0</v>
      </c>
      <c r="T52" s="13">
        <f>SUMIF(Mercado_Receita!$S$2:$S$1157,"44835B2BrancaRuralCooperativa de eletrificação ruralNão se aplicaNão se aplicaIntermediário",Mercado_Receita!$L$2:$L$1157)</f>
        <v>0</v>
      </c>
      <c r="U52" s="13">
        <f t="shared" si="1"/>
        <v>0</v>
      </c>
      <c r="V52" s="13"/>
      <c r="W52" s="13"/>
    </row>
    <row r="53" spans="1:23" ht="11.25" customHeight="1" x14ac:dyDescent="0.3">
      <c r="A53" s="111"/>
      <c r="B53" s="111"/>
      <c r="C53" s="111"/>
      <c r="D53" s="111"/>
      <c r="E53" s="111"/>
      <c r="F53" s="111"/>
      <c r="G53" s="13" t="s">
        <v>80</v>
      </c>
      <c r="H53" s="13" t="s">
        <v>78</v>
      </c>
      <c r="I53" s="13">
        <f>SUMIF(Mercado_Receita!$S$2:$S$1157,"44501B2BrancaRuralCooperativa de eletrificação ruralNão se aplicaNão se aplicaFora ponta",Mercado_Receita!$L$2:$L$1157)</f>
        <v>0</v>
      </c>
      <c r="J53" s="13">
        <f>SUMIF(Mercado_Receita!$S$2:$S$1157,"44531B2BrancaRuralCooperativa de eletrificação ruralNão se aplicaNão se aplicaFora ponta",Mercado_Receita!$L$2:$L$1157)</f>
        <v>0</v>
      </c>
      <c r="K53" s="13">
        <f>SUMIF(Mercado_Receita!$S$2:$S$1157,"44562B2BrancaRuralCooperativa de eletrificação ruralNão se aplicaNão se aplicaFora ponta",Mercado_Receita!$L$2:$L$1157)</f>
        <v>0</v>
      </c>
      <c r="L53" s="13">
        <f>SUMIF(Mercado_Receita!$S$2:$S$1157,"44593B2BrancaRuralCooperativa de eletrificação ruralNão se aplicaNão se aplicaFora ponta",Mercado_Receita!$L$2:$L$1157)</f>
        <v>0</v>
      </c>
      <c r="M53" s="13">
        <f>SUMIF(Mercado_Receita!$S$2:$S$1157,"44621B2BrancaRuralCooperativa de eletrificação ruralNão se aplicaNão se aplicaFora ponta",Mercado_Receita!$L$2:$L$1157)</f>
        <v>0</v>
      </c>
      <c r="N53" s="13">
        <f>SUMIF(Mercado_Receita!$S$2:$S$1157,"44652B2BrancaRuralCooperativa de eletrificação ruralNão se aplicaNão se aplicaFora ponta",Mercado_Receita!$L$2:$L$1157)</f>
        <v>0</v>
      </c>
      <c r="O53" s="13">
        <f>SUMIF(Mercado_Receita!$S$2:$S$1157,"44682B2BrancaRuralCooperativa de eletrificação ruralNão se aplicaNão se aplicaFora ponta",Mercado_Receita!$L$2:$L$1157)</f>
        <v>0</v>
      </c>
      <c r="P53" s="13">
        <f>SUMIF(Mercado_Receita!$S$2:$S$1157,"44713B2BrancaRuralCooperativa de eletrificação ruralNão se aplicaNão se aplicaFora ponta",Mercado_Receita!$L$2:$L$1157)</f>
        <v>0</v>
      </c>
      <c r="Q53" s="13">
        <f>SUMIF(Mercado_Receita!$S$2:$S$1157,"44743B2BrancaRuralCooperativa de eletrificação ruralNão se aplicaNão se aplicaFora ponta",Mercado_Receita!$L$2:$L$1157)</f>
        <v>0</v>
      </c>
      <c r="R53" s="13">
        <f>SUMIF(Mercado_Receita!$S$2:$S$1157,"44774B2BrancaRuralCooperativa de eletrificação ruralNão se aplicaNão se aplicaFora ponta",Mercado_Receita!$L$2:$L$1157)</f>
        <v>0</v>
      </c>
      <c r="S53" s="13">
        <f>SUMIF(Mercado_Receita!$S$2:$S$1157,"44805B2BrancaRuralCooperativa de eletrificação ruralNão se aplicaNão se aplicaFora ponta",Mercado_Receita!$L$2:$L$1157)</f>
        <v>0</v>
      </c>
      <c r="T53" s="13">
        <f>SUMIF(Mercado_Receita!$S$2:$S$1157,"44835B2BrancaRuralCooperativa de eletrificação ruralNão se aplicaNão se aplicaFora ponta",Mercado_Receita!$L$2:$L$1157)</f>
        <v>0</v>
      </c>
      <c r="U53" s="13">
        <f t="shared" si="1"/>
        <v>0</v>
      </c>
      <c r="V53" s="13"/>
      <c r="W53" s="13"/>
    </row>
    <row r="54" spans="1:23" ht="11.25" customHeight="1" x14ac:dyDescent="0.3">
      <c r="A54" s="111"/>
      <c r="B54" s="12" t="s">
        <v>23</v>
      </c>
      <c r="C54" s="12" t="s">
        <v>45</v>
      </c>
      <c r="D54" s="12" t="s">
        <v>93</v>
      </c>
      <c r="E54" s="12" t="s">
        <v>25</v>
      </c>
      <c r="F54" s="12" t="s">
        <v>25</v>
      </c>
      <c r="G54" s="13" t="s">
        <v>84</v>
      </c>
      <c r="H54" s="13" t="s">
        <v>78</v>
      </c>
      <c r="I54" s="13">
        <f>SUMIF(Mercado_Receita!$S$2:$S$1157,"44501B2ConvencionalRuralCooperativa de eletrificação ruralNão se aplicaNão se aplicaPonta",Mercado_Receita!$L$2:$L$1157)+SUMIF(Mercado_Receita!$S$2:$S$1157,"44501B2ConvencionalRuralCooperativa de eletrificação ruralNão se aplicaNão se aplicaFora ponta",Mercado_Receita!$L$2:$L$1157)+SUMIF(Mercado_Receita!$S$2:$S$1157,"44501B2ConvencionalRuralCooperativa de eletrificação ruralNão se aplicaNão se aplicaIntermediário",Mercado_Receita!$L$2:$L$1157)+SUMIF(Mercado_Receita!$S$2:$S$1157,"44501B2ConvencionalRuralCooperativa de eletrificação ruralNão se aplicaNão se aplicaNão se aplica",Mercado_Receita!$L$2:$L$1157)</f>
        <v>0</v>
      </c>
      <c r="J54" s="13">
        <f>SUMIF(Mercado_Receita!$S$2:$S$1157,"44531B2ConvencionalRuralCooperativa de eletrificação ruralNão se aplicaNão se aplicaPonta",Mercado_Receita!$L$2:$L$1157)+SUMIF(Mercado_Receita!$S$2:$S$1157,"44531B2ConvencionalRuralCooperativa de eletrificação ruralNão se aplicaNão se aplicaFora ponta",Mercado_Receita!$L$2:$L$1157)+SUMIF(Mercado_Receita!$S$2:$S$1157,"44531B2ConvencionalRuralCooperativa de eletrificação ruralNão se aplicaNão se aplicaIntermediário",Mercado_Receita!$L$2:$L$1157)+SUMIF(Mercado_Receita!$S$2:$S$1157,"44531B2ConvencionalRuralCooperativa de eletrificação ruralNão se aplicaNão se aplicaNão se aplica",Mercado_Receita!$L$2:$L$1157)</f>
        <v>0</v>
      </c>
      <c r="K54" s="13">
        <f>SUMIF(Mercado_Receita!$S$2:$S$1157,"44562B2ConvencionalRuralCooperativa de eletrificação ruralNão se aplicaNão se aplicaPonta",Mercado_Receita!$L$2:$L$1157)+SUMIF(Mercado_Receita!$S$2:$S$1157,"44562B2ConvencionalRuralCooperativa de eletrificação ruralNão se aplicaNão se aplicaFora ponta",Mercado_Receita!$L$2:$L$1157)+SUMIF(Mercado_Receita!$S$2:$S$1157,"44562B2ConvencionalRuralCooperativa de eletrificação ruralNão se aplicaNão se aplicaIntermediário",Mercado_Receita!$L$2:$L$1157)+SUMIF(Mercado_Receita!$S$2:$S$1157,"44562B2ConvencionalRuralCooperativa de eletrificação ruralNão se aplicaNão se aplicaNão se aplica",Mercado_Receita!$L$2:$L$1157)</f>
        <v>0</v>
      </c>
      <c r="L54" s="13">
        <f>SUMIF(Mercado_Receita!$S$2:$S$1157,"44593B2ConvencionalRuralCooperativa de eletrificação ruralNão se aplicaNão se aplicaPonta",Mercado_Receita!$L$2:$L$1157)+SUMIF(Mercado_Receita!$S$2:$S$1157,"44593B2ConvencionalRuralCooperativa de eletrificação ruralNão se aplicaNão se aplicaFora ponta",Mercado_Receita!$L$2:$L$1157)+SUMIF(Mercado_Receita!$S$2:$S$1157,"44593B2ConvencionalRuralCooperativa de eletrificação ruralNão se aplicaNão se aplicaIntermediário",Mercado_Receita!$L$2:$L$1157)+SUMIF(Mercado_Receita!$S$2:$S$1157,"44593B2ConvencionalRuralCooperativa de eletrificação ruralNão se aplicaNão se aplicaNão se aplica",Mercado_Receita!$L$2:$L$1157)</f>
        <v>0</v>
      </c>
      <c r="M54" s="13">
        <f>SUMIF(Mercado_Receita!$S$2:$S$1157,"44621B2ConvencionalRuralCooperativa de eletrificação ruralNão se aplicaNão se aplicaPonta",Mercado_Receita!$L$2:$L$1157)+SUMIF(Mercado_Receita!$S$2:$S$1157,"44621B2ConvencionalRuralCooperativa de eletrificação ruralNão se aplicaNão se aplicaFora ponta",Mercado_Receita!$L$2:$L$1157)+SUMIF(Mercado_Receita!$S$2:$S$1157,"44621B2ConvencionalRuralCooperativa de eletrificação ruralNão se aplicaNão se aplicaIntermediário",Mercado_Receita!$L$2:$L$1157)+SUMIF(Mercado_Receita!$S$2:$S$1157,"44621B2ConvencionalRuralCooperativa de eletrificação ruralNão se aplicaNão se aplicaNão se aplica",Mercado_Receita!$L$2:$L$1157)</f>
        <v>0</v>
      </c>
      <c r="N54" s="13">
        <f>SUMIF(Mercado_Receita!$S$2:$S$1157,"44652B2ConvencionalRuralCooperativa de eletrificação ruralNão se aplicaNão se aplicaPonta",Mercado_Receita!$L$2:$L$1157)+SUMIF(Mercado_Receita!$S$2:$S$1157,"44652B2ConvencionalRuralCooperativa de eletrificação ruralNão se aplicaNão se aplicaFora ponta",Mercado_Receita!$L$2:$L$1157)+SUMIF(Mercado_Receita!$S$2:$S$1157,"44652B2ConvencionalRuralCooperativa de eletrificação ruralNão se aplicaNão se aplicaIntermediário",Mercado_Receita!$L$2:$L$1157)+SUMIF(Mercado_Receita!$S$2:$S$1157,"44652B2ConvencionalRuralCooperativa de eletrificação ruralNão se aplicaNão se aplicaNão se aplica",Mercado_Receita!$L$2:$L$1157)</f>
        <v>0</v>
      </c>
      <c r="O54" s="13">
        <f>SUMIF(Mercado_Receita!$S$2:$S$1157,"44682B2ConvencionalRuralCooperativa de eletrificação ruralNão se aplicaNão se aplicaPonta",Mercado_Receita!$L$2:$L$1157)+SUMIF(Mercado_Receita!$S$2:$S$1157,"44682B2ConvencionalRuralCooperativa de eletrificação ruralNão se aplicaNão se aplicaFora ponta",Mercado_Receita!$L$2:$L$1157)+SUMIF(Mercado_Receita!$S$2:$S$1157,"44682B2ConvencionalRuralCooperativa de eletrificação ruralNão se aplicaNão se aplicaIntermediário",Mercado_Receita!$L$2:$L$1157)+SUMIF(Mercado_Receita!$S$2:$S$1157,"44682B2ConvencionalRuralCooperativa de eletrificação ruralNão se aplicaNão se aplicaNão se aplica",Mercado_Receita!$L$2:$L$1157)</f>
        <v>0</v>
      </c>
      <c r="P54" s="13">
        <f>SUMIF(Mercado_Receita!$S$2:$S$1157,"44713B2ConvencionalRuralCooperativa de eletrificação ruralNão se aplicaNão se aplicaPonta",Mercado_Receita!$L$2:$L$1157)+SUMIF(Mercado_Receita!$S$2:$S$1157,"44713B2ConvencionalRuralCooperativa de eletrificação ruralNão se aplicaNão se aplicaFora ponta",Mercado_Receita!$L$2:$L$1157)+SUMIF(Mercado_Receita!$S$2:$S$1157,"44713B2ConvencionalRuralCooperativa de eletrificação ruralNão se aplicaNão se aplicaIntermediário",Mercado_Receita!$L$2:$L$1157)+SUMIF(Mercado_Receita!$S$2:$S$1157,"44713B2ConvencionalRuralCooperativa de eletrificação ruralNão se aplicaNão se aplicaNão se aplica",Mercado_Receita!$L$2:$L$1157)</f>
        <v>0</v>
      </c>
      <c r="Q54" s="13">
        <f>SUMIF(Mercado_Receita!$S$2:$S$1157,"44743B2ConvencionalRuralCooperativa de eletrificação ruralNão se aplicaNão se aplicaPonta",Mercado_Receita!$L$2:$L$1157)+SUMIF(Mercado_Receita!$S$2:$S$1157,"44743B2ConvencionalRuralCooperativa de eletrificação ruralNão se aplicaNão se aplicaFora ponta",Mercado_Receita!$L$2:$L$1157)+SUMIF(Mercado_Receita!$S$2:$S$1157,"44743B2ConvencionalRuralCooperativa de eletrificação ruralNão se aplicaNão se aplicaIntermediário",Mercado_Receita!$L$2:$L$1157)+SUMIF(Mercado_Receita!$S$2:$S$1157,"44743B2ConvencionalRuralCooperativa de eletrificação ruralNão se aplicaNão se aplicaNão se aplica",Mercado_Receita!$L$2:$L$1157)</f>
        <v>0</v>
      </c>
      <c r="R54" s="13">
        <f>SUMIF(Mercado_Receita!$S$2:$S$1157,"44774B2ConvencionalRuralCooperativa de eletrificação ruralNão se aplicaNão se aplicaPonta",Mercado_Receita!$L$2:$L$1157)+SUMIF(Mercado_Receita!$S$2:$S$1157,"44774B2ConvencionalRuralCooperativa de eletrificação ruralNão se aplicaNão se aplicaFora ponta",Mercado_Receita!$L$2:$L$1157)+SUMIF(Mercado_Receita!$S$2:$S$1157,"44774B2ConvencionalRuralCooperativa de eletrificação ruralNão se aplicaNão se aplicaIntermediário",Mercado_Receita!$L$2:$L$1157)+SUMIF(Mercado_Receita!$S$2:$S$1157,"44774B2ConvencionalRuralCooperativa de eletrificação ruralNão se aplicaNão se aplicaNão se aplica",Mercado_Receita!$L$2:$L$1157)</f>
        <v>0</v>
      </c>
      <c r="S54" s="13">
        <f>SUMIF(Mercado_Receita!$S$2:$S$1157,"44805B2ConvencionalRuralCooperativa de eletrificação ruralNão se aplicaNão se aplicaPonta",Mercado_Receita!$L$2:$L$1157)+SUMIF(Mercado_Receita!$S$2:$S$1157,"44805B2ConvencionalRuralCooperativa de eletrificação ruralNão se aplicaNão se aplicaFora ponta",Mercado_Receita!$L$2:$L$1157)+SUMIF(Mercado_Receita!$S$2:$S$1157,"44805B2ConvencionalRuralCooperativa de eletrificação ruralNão se aplicaNão se aplicaIntermediário",Mercado_Receita!$L$2:$L$1157)+SUMIF(Mercado_Receita!$S$2:$S$1157,"44805B2ConvencionalRuralCooperativa de eletrificação ruralNão se aplicaNão se aplicaNão se aplica",Mercado_Receita!$L$2:$L$1157)</f>
        <v>0</v>
      </c>
      <c r="T54" s="13">
        <f>SUMIF(Mercado_Receita!$S$2:$S$1157,"44835B2ConvencionalRuralCooperativa de eletrificação ruralNão se aplicaNão se aplicaPonta",Mercado_Receita!$L$2:$L$1157)+SUMIF(Mercado_Receita!$S$2:$S$1157,"44835B2ConvencionalRuralCooperativa de eletrificação ruralNão se aplicaNão se aplicaFora ponta",Mercado_Receita!$L$2:$L$1157)+SUMIF(Mercado_Receita!$S$2:$S$1157,"44835B2ConvencionalRuralCooperativa de eletrificação ruralNão se aplicaNão se aplicaIntermediário",Mercado_Receita!$L$2:$L$1157)+SUMIF(Mercado_Receita!$S$2:$S$1157,"44835B2ConvencionalRuralCooperativa de eletrificação ruralNão se aplicaNão se aplicaNão se aplica",Mercado_Receita!$L$2:$L$1157)</f>
        <v>0</v>
      </c>
      <c r="U54" s="13">
        <f t="shared" si="1"/>
        <v>0</v>
      </c>
      <c r="V54" s="13"/>
      <c r="W54" s="13"/>
    </row>
    <row r="55" spans="1:23" ht="11.25" customHeight="1" x14ac:dyDescent="0.3">
      <c r="A55" s="111"/>
      <c r="B55" s="110" t="s">
        <v>33</v>
      </c>
      <c r="C55" s="110" t="s">
        <v>45</v>
      </c>
      <c r="D55" s="110" t="s">
        <v>94</v>
      </c>
      <c r="E55" s="110" t="s">
        <v>25</v>
      </c>
      <c r="F55" s="110" t="s">
        <v>25</v>
      </c>
      <c r="G55" s="13" t="s">
        <v>79</v>
      </c>
      <c r="H55" s="13" t="s">
        <v>78</v>
      </c>
      <c r="I55" s="13">
        <f>SUMIF(Mercado_Receita!$S$2:$S$1157,"44501B2BrancaRuralServiço público de irrigação ruralNão se aplicaNão se aplicaPonta",Mercado_Receita!$L$2:$L$1157)</f>
        <v>0</v>
      </c>
      <c r="J55" s="13">
        <f>SUMIF(Mercado_Receita!$S$2:$S$1157,"44531B2BrancaRuralServiço público de irrigação ruralNão se aplicaNão se aplicaPonta",Mercado_Receita!$L$2:$L$1157)</f>
        <v>0</v>
      </c>
      <c r="K55" s="13">
        <f>SUMIF(Mercado_Receita!$S$2:$S$1157,"44562B2BrancaRuralServiço público de irrigação ruralNão se aplicaNão se aplicaPonta",Mercado_Receita!$L$2:$L$1157)</f>
        <v>0</v>
      </c>
      <c r="L55" s="13">
        <f>SUMIF(Mercado_Receita!$S$2:$S$1157,"44593B2BrancaRuralServiço público de irrigação ruralNão se aplicaNão se aplicaPonta",Mercado_Receita!$L$2:$L$1157)</f>
        <v>0</v>
      </c>
      <c r="M55" s="13">
        <f>SUMIF(Mercado_Receita!$S$2:$S$1157,"44621B2BrancaRuralServiço público de irrigação ruralNão se aplicaNão se aplicaPonta",Mercado_Receita!$L$2:$L$1157)</f>
        <v>0</v>
      </c>
      <c r="N55" s="13">
        <f>SUMIF(Mercado_Receita!$S$2:$S$1157,"44652B2BrancaRuralServiço público de irrigação ruralNão se aplicaNão se aplicaPonta",Mercado_Receita!$L$2:$L$1157)</f>
        <v>0</v>
      </c>
      <c r="O55" s="13">
        <f>SUMIF(Mercado_Receita!$S$2:$S$1157,"44682B2BrancaRuralServiço público de irrigação ruralNão se aplicaNão se aplicaPonta",Mercado_Receita!$L$2:$L$1157)</f>
        <v>0</v>
      </c>
      <c r="P55" s="13">
        <f>SUMIF(Mercado_Receita!$S$2:$S$1157,"44713B2BrancaRuralServiço público de irrigação ruralNão se aplicaNão se aplicaPonta",Mercado_Receita!$L$2:$L$1157)</f>
        <v>0</v>
      </c>
      <c r="Q55" s="13">
        <f>SUMIF(Mercado_Receita!$S$2:$S$1157,"44743B2BrancaRuralServiço público de irrigação ruralNão se aplicaNão se aplicaPonta",Mercado_Receita!$L$2:$L$1157)</f>
        <v>0</v>
      </c>
      <c r="R55" s="13">
        <f>SUMIF(Mercado_Receita!$S$2:$S$1157,"44774B2BrancaRuralServiço público de irrigação ruralNão se aplicaNão se aplicaPonta",Mercado_Receita!$L$2:$L$1157)</f>
        <v>0</v>
      </c>
      <c r="S55" s="13">
        <f>SUMIF(Mercado_Receita!$S$2:$S$1157,"44805B2BrancaRuralServiço público de irrigação ruralNão se aplicaNão se aplicaPonta",Mercado_Receita!$L$2:$L$1157)</f>
        <v>0</v>
      </c>
      <c r="T55" s="13">
        <f>SUMIF(Mercado_Receita!$S$2:$S$1157,"44835B2BrancaRuralServiço público de irrigação ruralNão se aplicaNão se aplicaPonta",Mercado_Receita!$L$2:$L$1157)</f>
        <v>0</v>
      </c>
      <c r="U55" s="13">
        <f t="shared" si="1"/>
        <v>0</v>
      </c>
      <c r="V55" s="13"/>
      <c r="W55" s="13"/>
    </row>
    <row r="56" spans="1:23" ht="11.25" customHeight="1" x14ac:dyDescent="0.3">
      <c r="A56" s="111"/>
      <c r="B56" s="111"/>
      <c r="C56" s="111"/>
      <c r="D56" s="111"/>
      <c r="E56" s="111"/>
      <c r="F56" s="111"/>
      <c r="G56" s="13" t="s">
        <v>90</v>
      </c>
      <c r="H56" s="13" t="s">
        <v>78</v>
      </c>
      <c r="I56" s="13">
        <f>SUMIF(Mercado_Receita!$S$2:$S$1157,"44501B2BrancaRuralServiço público de irrigação ruralNão se aplicaNão se aplicaIntermediário",Mercado_Receita!$L$2:$L$1157)</f>
        <v>0</v>
      </c>
      <c r="J56" s="13">
        <f>SUMIF(Mercado_Receita!$S$2:$S$1157,"44531B2BrancaRuralServiço público de irrigação ruralNão se aplicaNão se aplicaIntermediário",Mercado_Receita!$L$2:$L$1157)</f>
        <v>0</v>
      </c>
      <c r="K56" s="13">
        <f>SUMIF(Mercado_Receita!$S$2:$S$1157,"44562B2BrancaRuralServiço público de irrigação ruralNão se aplicaNão se aplicaIntermediário",Mercado_Receita!$L$2:$L$1157)</f>
        <v>0</v>
      </c>
      <c r="L56" s="13">
        <f>SUMIF(Mercado_Receita!$S$2:$S$1157,"44593B2BrancaRuralServiço público de irrigação ruralNão se aplicaNão se aplicaIntermediário",Mercado_Receita!$L$2:$L$1157)</f>
        <v>0</v>
      </c>
      <c r="M56" s="13">
        <f>SUMIF(Mercado_Receita!$S$2:$S$1157,"44621B2BrancaRuralServiço público de irrigação ruralNão se aplicaNão se aplicaIntermediário",Mercado_Receita!$L$2:$L$1157)</f>
        <v>0</v>
      </c>
      <c r="N56" s="13">
        <f>SUMIF(Mercado_Receita!$S$2:$S$1157,"44652B2BrancaRuralServiço público de irrigação ruralNão se aplicaNão se aplicaIntermediário",Mercado_Receita!$L$2:$L$1157)</f>
        <v>0</v>
      </c>
      <c r="O56" s="13">
        <f>SUMIF(Mercado_Receita!$S$2:$S$1157,"44682B2BrancaRuralServiço público de irrigação ruralNão se aplicaNão se aplicaIntermediário",Mercado_Receita!$L$2:$L$1157)</f>
        <v>0</v>
      </c>
      <c r="P56" s="13">
        <f>SUMIF(Mercado_Receita!$S$2:$S$1157,"44713B2BrancaRuralServiço público de irrigação ruralNão se aplicaNão se aplicaIntermediário",Mercado_Receita!$L$2:$L$1157)</f>
        <v>0</v>
      </c>
      <c r="Q56" s="13">
        <f>SUMIF(Mercado_Receita!$S$2:$S$1157,"44743B2BrancaRuralServiço público de irrigação ruralNão se aplicaNão se aplicaIntermediário",Mercado_Receita!$L$2:$L$1157)</f>
        <v>0</v>
      </c>
      <c r="R56" s="13">
        <f>SUMIF(Mercado_Receita!$S$2:$S$1157,"44774B2BrancaRuralServiço público de irrigação ruralNão se aplicaNão se aplicaIntermediário",Mercado_Receita!$L$2:$L$1157)</f>
        <v>0</v>
      </c>
      <c r="S56" s="13">
        <f>SUMIF(Mercado_Receita!$S$2:$S$1157,"44805B2BrancaRuralServiço público de irrigação ruralNão se aplicaNão se aplicaIntermediário",Mercado_Receita!$L$2:$L$1157)</f>
        <v>0</v>
      </c>
      <c r="T56" s="13">
        <f>SUMIF(Mercado_Receita!$S$2:$S$1157,"44835B2BrancaRuralServiço público de irrigação ruralNão se aplicaNão se aplicaIntermediário",Mercado_Receita!$L$2:$L$1157)</f>
        <v>0</v>
      </c>
      <c r="U56" s="13">
        <f t="shared" si="1"/>
        <v>0</v>
      </c>
      <c r="V56" s="13"/>
      <c r="W56" s="13"/>
    </row>
    <row r="57" spans="1:23" ht="11.25" customHeight="1" x14ac:dyDescent="0.3">
      <c r="A57" s="111"/>
      <c r="B57" s="111"/>
      <c r="C57" s="111"/>
      <c r="D57" s="111"/>
      <c r="E57" s="111"/>
      <c r="F57" s="111"/>
      <c r="G57" s="13" t="s">
        <v>80</v>
      </c>
      <c r="H57" s="13" t="s">
        <v>78</v>
      </c>
      <c r="I57" s="13">
        <f>SUMIF(Mercado_Receita!$S$2:$S$1157,"44501B2BrancaRuralServiço público de irrigação ruralNão se aplicaNão se aplicaFora ponta",Mercado_Receita!$L$2:$L$1157)</f>
        <v>0</v>
      </c>
      <c r="J57" s="13">
        <f>SUMIF(Mercado_Receita!$S$2:$S$1157,"44531B2BrancaRuralServiço público de irrigação ruralNão se aplicaNão se aplicaFora ponta",Mercado_Receita!$L$2:$L$1157)</f>
        <v>0</v>
      </c>
      <c r="K57" s="13">
        <f>SUMIF(Mercado_Receita!$S$2:$S$1157,"44562B2BrancaRuralServiço público de irrigação ruralNão se aplicaNão se aplicaFora ponta",Mercado_Receita!$L$2:$L$1157)</f>
        <v>0</v>
      </c>
      <c r="L57" s="13">
        <f>SUMIF(Mercado_Receita!$S$2:$S$1157,"44593B2BrancaRuralServiço público de irrigação ruralNão se aplicaNão se aplicaFora ponta",Mercado_Receita!$L$2:$L$1157)</f>
        <v>0</v>
      </c>
      <c r="M57" s="13">
        <f>SUMIF(Mercado_Receita!$S$2:$S$1157,"44621B2BrancaRuralServiço público de irrigação ruralNão se aplicaNão se aplicaFora ponta",Mercado_Receita!$L$2:$L$1157)</f>
        <v>0</v>
      </c>
      <c r="N57" s="13">
        <f>SUMIF(Mercado_Receita!$S$2:$S$1157,"44652B2BrancaRuralServiço público de irrigação ruralNão se aplicaNão se aplicaFora ponta",Mercado_Receita!$L$2:$L$1157)</f>
        <v>0</v>
      </c>
      <c r="O57" s="13">
        <f>SUMIF(Mercado_Receita!$S$2:$S$1157,"44682B2BrancaRuralServiço público de irrigação ruralNão se aplicaNão se aplicaFora ponta",Mercado_Receita!$L$2:$L$1157)</f>
        <v>0</v>
      </c>
      <c r="P57" s="13">
        <f>SUMIF(Mercado_Receita!$S$2:$S$1157,"44713B2BrancaRuralServiço público de irrigação ruralNão se aplicaNão se aplicaFora ponta",Mercado_Receita!$L$2:$L$1157)</f>
        <v>0</v>
      </c>
      <c r="Q57" s="13">
        <f>SUMIF(Mercado_Receita!$S$2:$S$1157,"44743B2BrancaRuralServiço público de irrigação ruralNão se aplicaNão se aplicaFora ponta",Mercado_Receita!$L$2:$L$1157)</f>
        <v>0</v>
      </c>
      <c r="R57" s="13">
        <f>SUMIF(Mercado_Receita!$S$2:$S$1157,"44774B2BrancaRuralServiço público de irrigação ruralNão se aplicaNão se aplicaFora ponta",Mercado_Receita!$L$2:$L$1157)</f>
        <v>0</v>
      </c>
      <c r="S57" s="13">
        <f>SUMIF(Mercado_Receita!$S$2:$S$1157,"44805B2BrancaRuralServiço público de irrigação ruralNão se aplicaNão se aplicaFora ponta",Mercado_Receita!$L$2:$L$1157)</f>
        <v>0</v>
      </c>
      <c r="T57" s="13">
        <f>SUMIF(Mercado_Receita!$S$2:$S$1157,"44835B2BrancaRuralServiço público de irrigação ruralNão se aplicaNão se aplicaFora ponta",Mercado_Receita!$L$2:$L$1157)</f>
        <v>0</v>
      </c>
      <c r="U57" s="13">
        <f t="shared" si="1"/>
        <v>0</v>
      </c>
      <c r="V57" s="13"/>
      <c r="W57" s="13"/>
    </row>
    <row r="58" spans="1:23" ht="11.25" customHeight="1" x14ac:dyDescent="0.3">
      <c r="A58" s="111"/>
      <c r="B58" s="12" t="s">
        <v>23</v>
      </c>
      <c r="C58" s="12" t="s">
        <v>45</v>
      </c>
      <c r="D58" s="12" t="s">
        <v>94</v>
      </c>
      <c r="E58" s="12" t="s">
        <v>25</v>
      </c>
      <c r="F58" s="12" t="s">
        <v>25</v>
      </c>
      <c r="G58" s="13" t="s">
        <v>84</v>
      </c>
      <c r="H58" s="13" t="s">
        <v>78</v>
      </c>
      <c r="I58" s="13">
        <f>SUMIF(Mercado_Receita!$S$2:$S$1157,"44501B2ConvencionalRuralServiço público de irrigação ruralNão se aplicaNão se aplicaPonta",Mercado_Receita!$L$2:$L$1157)+SUMIF(Mercado_Receita!$S$2:$S$1157,"44501B2ConvencionalRuralServiço público de irrigação ruralNão se aplicaNão se aplicaFora ponta",Mercado_Receita!$L$2:$L$1157)+SUMIF(Mercado_Receita!$S$2:$S$1157,"44501B2ConvencionalRuralServiço público de irrigação ruralNão se aplicaNão se aplicaIntermediário",Mercado_Receita!$L$2:$L$1157)+SUMIF(Mercado_Receita!$S$2:$S$1157,"44501B2ConvencionalRuralServiço público de irrigação ruralNão se aplicaNão se aplicaNão se aplica",Mercado_Receita!$L$2:$L$1157)</f>
        <v>0</v>
      </c>
      <c r="J58" s="13">
        <f>SUMIF(Mercado_Receita!$S$2:$S$1157,"44531B2ConvencionalRuralServiço público de irrigação ruralNão se aplicaNão se aplicaPonta",Mercado_Receita!$L$2:$L$1157)+SUMIF(Mercado_Receita!$S$2:$S$1157,"44531B2ConvencionalRuralServiço público de irrigação ruralNão se aplicaNão se aplicaFora ponta",Mercado_Receita!$L$2:$L$1157)+SUMIF(Mercado_Receita!$S$2:$S$1157,"44531B2ConvencionalRuralServiço público de irrigação ruralNão se aplicaNão se aplicaIntermediário",Mercado_Receita!$L$2:$L$1157)+SUMIF(Mercado_Receita!$S$2:$S$1157,"44531B2ConvencionalRuralServiço público de irrigação ruralNão se aplicaNão se aplicaNão se aplica",Mercado_Receita!$L$2:$L$1157)</f>
        <v>0</v>
      </c>
      <c r="K58" s="13">
        <f>SUMIF(Mercado_Receita!$S$2:$S$1157,"44562B2ConvencionalRuralServiço público de irrigação ruralNão se aplicaNão se aplicaPonta",Mercado_Receita!$L$2:$L$1157)+SUMIF(Mercado_Receita!$S$2:$S$1157,"44562B2ConvencionalRuralServiço público de irrigação ruralNão se aplicaNão se aplicaFora ponta",Mercado_Receita!$L$2:$L$1157)+SUMIF(Mercado_Receita!$S$2:$S$1157,"44562B2ConvencionalRuralServiço público de irrigação ruralNão se aplicaNão se aplicaIntermediário",Mercado_Receita!$L$2:$L$1157)+SUMIF(Mercado_Receita!$S$2:$S$1157,"44562B2ConvencionalRuralServiço público de irrigação ruralNão se aplicaNão se aplicaNão se aplica",Mercado_Receita!$L$2:$L$1157)</f>
        <v>0</v>
      </c>
      <c r="L58" s="13">
        <f>SUMIF(Mercado_Receita!$S$2:$S$1157,"44593B2ConvencionalRuralServiço público de irrigação ruralNão se aplicaNão se aplicaPonta",Mercado_Receita!$L$2:$L$1157)+SUMIF(Mercado_Receita!$S$2:$S$1157,"44593B2ConvencionalRuralServiço público de irrigação ruralNão se aplicaNão se aplicaFora ponta",Mercado_Receita!$L$2:$L$1157)+SUMIF(Mercado_Receita!$S$2:$S$1157,"44593B2ConvencionalRuralServiço público de irrigação ruralNão se aplicaNão se aplicaIntermediário",Mercado_Receita!$L$2:$L$1157)+SUMIF(Mercado_Receita!$S$2:$S$1157,"44593B2ConvencionalRuralServiço público de irrigação ruralNão se aplicaNão se aplicaNão se aplica",Mercado_Receita!$L$2:$L$1157)</f>
        <v>0</v>
      </c>
      <c r="M58" s="13">
        <f>SUMIF(Mercado_Receita!$S$2:$S$1157,"44621B2ConvencionalRuralServiço público de irrigação ruralNão se aplicaNão se aplicaPonta",Mercado_Receita!$L$2:$L$1157)+SUMIF(Mercado_Receita!$S$2:$S$1157,"44621B2ConvencionalRuralServiço público de irrigação ruralNão se aplicaNão se aplicaFora ponta",Mercado_Receita!$L$2:$L$1157)+SUMIF(Mercado_Receita!$S$2:$S$1157,"44621B2ConvencionalRuralServiço público de irrigação ruralNão se aplicaNão se aplicaIntermediário",Mercado_Receita!$L$2:$L$1157)+SUMIF(Mercado_Receita!$S$2:$S$1157,"44621B2ConvencionalRuralServiço público de irrigação ruralNão se aplicaNão se aplicaNão se aplica",Mercado_Receita!$L$2:$L$1157)</f>
        <v>0</v>
      </c>
      <c r="N58" s="13">
        <f>SUMIF(Mercado_Receita!$S$2:$S$1157,"44652B2ConvencionalRuralServiço público de irrigação ruralNão se aplicaNão se aplicaPonta",Mercado_Receita!$L$2:$L$1157)+SUMIF(Mercado_Receita!$S$2:$S$1157,"44652B2ConvencionalRuralServiço público de irrigação ruralNão se aplicaNão se aplicaFora ponta",Mercado_Receita!$L$2:$L$1157)+SUMIF(Mercado_Receita!$S$2:$S$1157,"44652B2ConvencionalRuralServiço público de irrigação ruralNão se aplicaNão se aplicaIntermediário",Mercado_Receita!$L$2:$L$1157)+SUMIF(Mercado_Receita!$S$2:$S$1157,"44652B2ConvencionalRuralServiço público de irrigação ruralNão se aplicaNão se aplicaNão se aplica",Mercado_Receita!$L$2:$L$1157)</f>
        <v>0</v>
      </c>
      <c r="O58" s="13">
        <f>SUMIF(Mercado_Receita!$S$2:$S$1157,"44682B2ConvencionalRuralServiço público de irrigação ruralNão se aplicaNão se aplicaPonta",Mercado_Receita!$L$2:$L$1157)+SUMIF(Mercado_Receita!$S$2:$S$1157,"44682B2ConvencionalRuralServiço público de irrigação ruralNão se aplicaNão se aplicaFora ponta",Mercado_Receita!$L$2:$L$1157)+SUMIF(Mercado_Receita!$S$2:$S$1157,"44682B2ConvencionalRuralServiço público de irrigação ruralNão se aplicaNão se aplicaIntermediário",Mercado_Receita!$L$2:$L$1157)+SUMIF(Mercado_Receita!$S$2:$S$1157,"44682B2ConvencionalRuralServiço público de irrigação ruralNão se aplicaNão se aplicaNão se aplica",Mercado_Receita!$L$2:$L$1157)</f>
        <v>0</v>
      </c>
      <c r="P58" s="13">
        <f>SUMIF(Mercado_Receita!$S$2:$S$1157,"44713B2ConvencionalRuralServiço público de irrigação ruralNão se aplicaNão se aplicaPonta",Mercado_Receita!$L$2:$L$1157)+SUMIF(Mercado_Receita!$S$2:$S$1157,"44713B2ConvencionalRuralServiço público de irrigação ruralNão se aplicaNão se aplicaFora ponta",Mercado_Receita!$L$2:$L$1157)+SUMIF(Mercado_Receita!$S$2:$S$1157,"44713B2ConvencionalRuralServiço público de irrigação ruralNão se aplicaNão se aplicaIntermediário",Mercado_Receita!$L$2:$L$1157)+SUMIF(Mercado_Receita!$S$2:$S$1157,"44713B2ConvencionalRuralServiço público de irrigação ruralNão se aplicaNão se aplicaNão se aplica",Mercado_Receita!$L$2:$L$1157)</f>
        <v>0</v>
      </c>
      <c r="Q58" s="13">
        <f>SUMIF(Mercado_Receita!$S$2:$S$1157,"44743B2ConvencionalRuralServiço público de irrigação ruralNão se aplicaNão se aplicaPonta",Mercado_Receita!$L$2:$L$1157)+SUMIF(Mercado_Receita!$S$2:$S$1157,"44743B2ConvencionalRuralServiço público de irrigação ruralNão se aplicaNão se aplicaFora ponta",Mercado_Receita!$L$2:$L$1157)+SUMIF(Mercado_Receita!$S$2:$S$1157,"44743B2ConvencionalRuralServiço público de irrigação ruralNão se aplicaNão se aplicaIntermediário",Mercado_Receita!$L$2:$L$1157)+SUMIF(Mercado_Receita!$S$2:$S$1157,"44743B2ConvencionalRuralServiço público de irrigação ruralNão se aplicaNão se aplicaNão se aplica",Mercado_Receita!$L$2:$L$1157)</f>
        <v>0</v>
      </c>
      <c r="R58" s="13">
        <f>SUMIF(Mercado_Receita!$S$2:$S$1157,"44774B2ConvencionalRuralServiço público de irrigação ruralNão se aplicaNão se aplicaPonta",Mercado_Receita!$L$2:$L$1157)+SUMIF(Mercado_Receita!$S$2:$S$1157,"44774B2ConvencionalRuralServiço público de irrigação ruralNão se aplicaNão se aplicaFora ponta",Mercado_Receita!$L$2:$L$1157)+SUMIF(Mercado_Receita!$S$2:$S$1157,"44774B2ConvencionalRuralServiço público de irrigação ruralNão se aplicaNão se aplicaIntermediário",Mercado_Receita!$L$2:$L$1157)+SUMIF(Mercado_Receita!$S$2:$S$1157,"44774B2ConvencionalRuralServiço público de irrigação ruralNão se aplicaNão se aplicaNão se aplica",Mercado_Receita!$L$2:$L$1157)</f>
        <v>0</v>
      </c>
      <c r="S58" s="13">
        <f>SUMIF(Mercado_Receita!$S$2:$S$1157,"44805B2ConvencionalRuralServiço público de irrigação ruralNão se aplicaNão se aplicaPonta",Mercado_Receita!$L$2:$L$1157)+SUMIF(Mercado_Receita!$S$2:$S$1157,"44805B2ConvencionalRuralServiço público de irrigação ruralNão se aplicaNão se aplicaFora ponta",Mercado_Receita!$L$2:$L$1157)+SUMIF(Mercado_Receita!$S$2:$S$1157,"44805B2ConvencionalRuralServiço público de irrigação ruralNão se aplicaNão se aplicaIntermediário",Mercado_Receita!$L$2:$L$1157)+SUMIF(Mercado_Receita!$S$2:$S$1157,"44805B2ConvencionalRuralServiço público de irrigação ruralNão se aplicaNão se aplicaNão se aplica",Mercado_Receita!$L$2:$L$1157)</f>
        <v>0</v>
      </c>
      <c r="T58" s="13">
        <f>SUMIF(Mercado_Receita!$S$2:$S$1157,"44835B2ConvencionalRuralServiço público de irrigação ruralNão se aplicaNão se aplicaPonta",Mercado_Receita!$L$2:$L$1157)+SUMIF(Mercado_Receita!$S$2:$S$1157,"44835B2ConvencionalRuralServiço público de irrigação ruralNão se aplicaNão se aplicaFora ponta",Mercado_Receita!$L$2:$L$1157)+SUMIF(Mercado_Receita!$S$2:$S$1157,"44835B2ConvencionalRuralServiço público de irrigação ruralNão se aplicaNão se aplicaIntermediário",Mercado_Receita!$L$2:$L$1157)+SUMIF(Mercado_Receita!$S$2:$S$1157,"44835B2ConvencionalRuralServiço público de irrigação ruralNão se aplicaNão se aplicaNão se aplica",Mercado_Receita!$L$2:$L$1157)</f>
        <v>0</v>
      </c>
      <c r="U58" s="13">
        <f t="shared" si="1"/>
        <v>0</v>
      </c>
      <c r="V58" s="13"/>
      <c r="W58" s="13"/>
    </row>
    <row r="59" spans="1:23" ht="11.25" customHeight="1" x14ac:dyDescent="0.3">
      <c r="A59" s="111"/>
      <c r="B59" s="110" t="s">
        <v>92</v>
      </c>
      <c r="C59" s="110" t="s">
        <v>45</v>
      </c>
      <c r="D59" s="12" t="s">
        <v>25</v>
      </c>
      <c r="E59" s="12" t="s">
        <v>25</v>
      </c>
      <c r="F59" s="12" t="s">
        <v>25</v>
      </c>
      <c r="G59" s="13" t="s">
        <v>84</v>
      </c>
      <c r="H59" s="13" t="s">
        <v>78</v>
      </c>
      <c r="I59" s="13">
        <f>SUMIF(Mercado_Receita!$S$2:$S$1157,"44501B2Convencional pré-pagamentoRuralNão se aplicaNão se aplicaNão se aplicaPonta",Mercado_Receita!$L$2:$L$1157)+SUMIF(Mercado_Receita!$S$2:$S$1157,"44501B2Convencional pré-pagamentoRuralNão se aplicaNão se aplicaNão se aplicaFora ponta",Mercado_Receita!$L$2:$L$1157)+SUMIF(Mercado_Receita!$S$2:$S$1157,"44501B2Convencional pré-pagamentoRuralNão se aplicaNão se aplicaNão se aplicaIntermediário",Mercado_Receita!$L$2:$L$1157)+SUMIF(Mercado_Receita!$S$2:$S$1157,"44501B2Convencional pré-pagamentoRuralNão se aplicaNão se aplicaNão se aplicaNão se aplica",Mercado_Receita!$L$2:$L$1157)</f>
        <v>0</v>
      </c>
      <c r="J59" s="13">
        <f>SUMIF(Mercado_Receita!$S$2:$S$1157,"44531B2Convencional pré-pagamentoRuralNão se aplicaNão se aplicaNão se aplicaPonta",Mercado_Receita!$L$2:$L$1157)+SUMIF(Mercado_Receita!$S$2:$S$1157,"44531B2Convencional pré-pagamentoRuralNão se aplicaNão se aplicaNão se aplicaFora ponta",Mercado_Receita!$L$2:$L$1157)+SUMIF(Mercado_Receita!$S$2:$S$1157,"44531B2Convencional pré-pagamentoRuralNão se aplicaNão se aplicaNão se aplicaIntermediário",Mercado_Receita!$L$2:$L$1157)+SUMIF(Mercado_Receita!$S$2:$S$1157,"44531B2Convencional pré-pagamentoRuralNão se aplicaNão se aplicaNão se aplicaNão se aplica",Mercado_Receita!$L$2:$L$1157)</f>
        <v>0</v>
      </c>
      <c r="K59" s="13">
        <f>SUMIF(Mercado_Receita!$S$2:$S$1157,"44562B2Convencional pré-pagamentoRuralNão se aplicaNão se aplicaNão se aplicaPonta",Mercado_Receita!$L$2:$L$1157)+SUMIF(Mercado_Receita!$S$2:$S$1157,"44562B2Convencional pré-pagamentoRuralNão se aplicaNão se aplicaNão se aplicaFora ponta",Mercado_Receita!$L$2:$L$1157)+SUMIF(Mercado_Receita!$S$2:$S$1157,"44562B2Convencional pré-pagamentoRuralNão se aplicaNão se aplicaNão se aplicaIntermediário",Mercado_Receita!$L$2:$L$1157)+SUMIF(Mercado_Receita!$S$2:$S$1157,"44562B2Convencional pré-pagamentoRuralNão se aplicaNão se aplicaNão se aplicaNão se aplica",Mercado_Receita!$L$2:$L$1157)</f>
        <v>0</v>
      </c>
      <c r="L59" s="13">
        <f>SUMIF(Mercado_Receita!$S$2:$S$1157,"44593B2Convencional pré-pagamentoRuralNão se aplicaNão se aplicaNão se aplicaPonta",Mercado_Receita!$L$2:$L$1157)+SUMIF(Mercado_Receita!$S$2:$S$1157,"44593B2Convencional pré-pagamentoRuralNão se aplicaNão se aplicaNão se aplicaFora ponta",Mercado_Receita!$L$2:$L$1157)+SUMIF(Mercado_Receita!$S$2:$S$1157,"44593B2Convencional pré-pagamentoRuralNão se aplicaNão se aplicaNão se aplicaIntermediário",Mercado_Receita!$L$2:$L$1157)+SUMIF(Mercado_Receita!$S$2:$S$1157,"44593B2Convencional pré-pagamentoRuralNão se aplicaNão se aplicaNão se aplicaNão se aplica",Mercado_Receita!$L$2:$L$1157)</f>
        <v>0</v>
      </c>
      <c r="M59" s="13">
        <f>SUMIF(Mercado_Receita!$S$2:$S$1157,"44621B2Convencional pré-pagamentoRuralNão se aplicaNão se aplicaNão se aplicaPonta",Mercado_Receita!$L$2:$L$1157)+SUMIF(Mercado_Receita!$S$2:$S$1157,"44621B2Convencional pré-pagamentoRuralNão se aplicaNão se aplicaNão se aplicaFora ponta",Mercado_Receita!$L$2:$L$1157)+SUMIF(Mercado_Receita!$S$2:$S$1157,"44621B2Convencional pré-pagamentoRuralNão se aplicaNão se aplicaNão se aplicaIntermediário",Mercado_Receita!$L$2:$L$1157)+SUMIF(Mercado_Receita!$S$2:$S$1157,"44621B2Convencional pré-pagamentoRuralNão se aplicaNão se aplicaNão se aplicaNão se aplica",Mercado_Receita!$L$2:$L$1157)</f>
        <v>0</v>
      </c>
      <c r="N59" s="13">
        <f>SUMIF(Mercado_Receita!$S$2:$S$1157,"44652B2Convencional pré-pagamentoRuralNão se aplicaNão se aplicaNão se aplicaPonta",Mercado_Receita!$L$2:$L$1157)+SUMIF(Mercado_Receita!$S$2:$S$1157,"44652B2Convencional pré-pagamentoRuralNão se aplicaNão se aplicaNão se aplicaFora ponta",Mercado_Receita!$L$2:$L$1157)+SUMIF(Mercado_Receita!$S$2:$S$1157,"44652B2Convencional pré-pagamentoRuralNão se aplicaNão se aplicaNão se aplicaIntermediário",Mercado_Receita!$L$2:$L$1157)+SUMIF(Mercado_Receita!$S$2:$S$1157,"44652B2Convencional pré-pagamentoRuralNão se aplicaNão se aplicaNão se aplicaNão se aplica",Mercado_Receita!$L$2:$L$1157)</f>
        <v>0</v>
      </c>
      <c r="O59" s="13">
        <f>SUMIF(Mercado_Receita!$S$2:$S$1157,"44682B2Convencional pré-pagamentoRuralNão se aplicaNão se aplicaNão se aplicaPonta",Mercado_Receita!$L$2:$L$1157)+SUMIF(Mercado_Receita!$S$2:$S$1157,"44682B2Convencional pré-pagamentoRuralNão se aplicaNão se aplicaNão se aplicaFora ponta",Mercado_Receita!$L$2:$L$1157)+SUMIF(Mercado_Receita!$S$2:$S$1157,"44682B2Convencional pré-pagamentoRuralNão se aplicaNão se aplicaNão se aplicaIntermediário",Mercado_Receita!$L$2:$L$1157)+SUMIF(Mercado_Receita!$S$2:$S$1157,"44682B2Convencional pré-pagamentoRuralNão se aplicaNão se aplicaNão se aplicaNão se aplica",Mercado_Receita!$L$2:$L$1157)</f>
        <v>0</v>
      </c>
      <c r="P59" s="13">
        <f>SUMIF(Mercado_Receita!$S$2:$S$1157,"44713B2Convencional pré-pagamentoRuralNão se aplicaNão se aplicaNão se aplicaPonta",Mercado_Receita!$L$2:$L$1157)+SUMIF(Mercado_Receita!$S$2:$S$1157,"44713B2Convencional pré-pagamentoRuralNão se aplicaNão se aplicaNão se aplicaFora ponta",Mercado_Receita!$L$2:$L$1157)+SUMIF(Mercado_Receita!$S$2:$S$1157,"44713B2Convencional pré-pagamentoRuralNão se aplicaNão se aplicaNão se aplicaIntermediário",Mercado_Receita!$L$2:$L$1157)+SUMIF(Mercado_Receita!$S$2:$S$1157,"44713B2Convencional pré-pagamentoRuralNão se aplicaNão se aplicaNão se aplicaNão se aplica",Mercado_Receita!$L$2:$L$1157)</f>
        <v>0</v>
      </c>
      <c r="Q59" s="13">
        <f>SUMIF(Mercado_Receita!$S$2:$S$1157,"44743B2Convencional pré-pagamentoRuralNão se aplicaNão se aplicaNão se aplicaPonta",Mercado_Receita!$L$2:$L$1157)+SUMIF(Mercado_Receita!$S$2:$S$1157,"44743B2Convencional pré-pagamentoRuralNão se aplicaNão se aplicaNão se aplicaFora ponta",Mercado_Receita!$L$2:$L$1157)+SUMIF(Mercado_Receita!$S$2:$S$1157,"44743B2Convencional pré-pagamentoRuralNão se aplicaNão se aplicaNão se aplicaIntermediário",Mercado_Receita!$L$2:$L$1157)+SUMIF(Mercado_Receita!$S$2:$S$1157,"44743B2Convencional pré-pagamentoRuralNão se aplicaNão se aplicaNão se aplicaNão se aplica",Mercado_Receita!$L$2:$L$1157)</f>
        <v>0</v>
      </c>
      <c r="R59" s="13">
        <f>SUMIF(Mercado_Receita!$S$2:$S$1157,"44774B2Convencional pré-pagamentoRuralNão se aplicaNão se aplicaNão se aplicaPonta",Mercado_Receita!$L$2:$L$1157)+SUMIF(Mercado_Receita!$S$2:$S$1157,"44774B2Convencional pré-pagamentoRuralNão se aplicaNão se aplicaNão se aplicaFora ponta",Mercado_Receita!$L$2:$L$1157)+SUMIF(Mercado_Receita!$S$2:$S$1157,"44774B2Convencional pré-pagamentoRuralNão se aplicaNão se aplicaNão se aplicaIntermediário",Mercado_Receita!$L$2:$L$1157)+SUMIF(Mercado_Receita!$S$2:$S$1157,"44774B2Convencional pré-pagamentoRuralNão se aplicaNão se aplicaNão se aplicaNão se aplica",Mercado_Receita!$L$2:$L$1157)</f>
        <v>0</v>
      </c>
      <c r="S59" s="13">
        <f>SUMIF(Mercado_Receita!$S$2:$S$1157,"44805B2Convencional pré-pagamentoRuralNão se aplicaNão se aplicaNão se aplicaPonta",Mercado_Receita!$L$2:$L$1157)+SUMIF(Mercado_Receita!$S$2:$S$1157,"44805B2Convencional pré-pagamentoRuralNão se aplicaNão se aplicaNão se aplicaFora ponta",Mercado_Receita!$L$2:$L$1157)+SUMIF(Mercado_Receita!$S$2:$S$1157,"44805B2Convencional pré-pagamentoRuralNão se aplicaNão se aplicaNão se aplicaIntermediário",Mercado_Receita!$L$2:$L$1157)+SUMIF(Mercado_Receita!$S$2:$S$1157,"44805B2Convencional pré-pagamentoRuralNão se aplicaNão se aplicaNão se aplicaNão se aplica",Mercado_Receita!$L$2:$L$1157)</f>
        <v>0</v>
      </c>
      <c r="T59" s="13">
        <f>SUMIF(Mercado_Receita!$S$2:$S$1157,"44835B2Convencional pré-pagamentoRuralNão se aplicaNão se aplicaNão se aplicaPonta",Mercado_Receita!$L$2:$L$1157)+SUMIF(Mercado_Receita!$S$2:$S$1157,"44835B2Convencional pré-pagamentoRuralNão se aplicaNão se aplicaNão se aplicaFora ponta",Mercado_Receita!$L$2:$L$1157)+SUMIF(Mercado_Receita!$S$2:$S$1157,"44835B2Convencional pré-pagamentoRuralNão se aplicaNão se aplicaNão se aplicaIntermediário",Mercado_Receita!$L$2:$L$1157)+SUMIF(Mercado_Receita!$S$2:$S$1157,"44835B2Convencional pré-pagamentoRuralNão se aplicaNão se aplicaNão se aplicaNão se aplica",Mercado_Receita!$L$2:$L$1157)</f>
        <v>0</v>
      </c>
      <c r="U59" s="13">
        <f t="shared" si="1"/>
        <v>0</v>
      </c>
      <c r="V59" s="13"/>
      <c r="W59" s="13"/>
    </row>
    <row r="60" spans="1:23" ht="11.25" customHeight="1" x14ac:dyDescent="0.3">
      <c r="A60" s="111"/>
      <c r="B60" s="111"/>
      <c r="C60" s="111"/>
      <c r="D60" s="12" t="s">
        <v>93</v>
      </c>
      <c r="E60" s="12" t="s">
        <v>25</v>
      </c>
      <c r="F60" s="12" t="s">
        <v>25</v>
      </c>
      <c r="G60" s="13" t="s">
        <v>84</v>
      </c>
      <c r="H60" s="13" t="s">
        <v>78</v>
      </c>
      <c r="I60" s="13">
        <f>SUMIF(Mercado_Receita!$S$2:$S$1157,"44501B2Convencional pré-pagamentoRuralCooperativa de eletrificação ruralNão se aplicaNão se aplicaPonta",Mercado_Receita!$L$2:$L$1157)+SUMIF(Mercado_Receita!$S$2:$S$1157,"44501B2Convencional pré-pagamentoRuralCooperativa de eletrificação ruralNão se aplicaNão se aplicaFora ponta",Mercado_Receita!$L$2:$L$1157)+SUMIF(Mercado_Receita!$S$2:$S$1157,"44501B2Convencional pré-pagamentoRuralCooperativa de eletrificação ruralNão se aplicaNão se aplicaIntermediário",Mercado_Receita!$L$2:$L$1157)+SUMIF(Mercado_Receita!$S$2:$S$1157,"44501B2Convencional pré-pagamentoRuralCooperativa de eletrificação ruralNão se aplicaNão se aplicaNão se aplica",Mercado_Receita!$L$2:$L$1157)</f>
        <v>0</v>
      </c>
      <c r="J60" s="13">
        <f>SUMIF(Mercado_Receita!$S$2:$S$1157,"44531B2Convencional pré-pagamentoRuralCooperativa de eletrificação ruralNão se aplicaNão se aplicaPonta",Mercado_Receita!$L$2:$L$1157)+SUMIF(Mercado_Receita!$S$2:$S$1157,"44531B2Convencional pré-pagamentoRuralCooperativa de eletrificação ruralNão se aplicaNão se aplicaFora ponta",Mercado_Receita!$L$2:$L$1157)+SUMIF(Mercado_Receita!$S$2:$S$1157,"44531B2Convencional pré-pagamentoRuralCooperativa de eletrificação ruralNão se aplicaNão se aplicaIntermediário",Mercado_Receita!$L$2:$L$1157)+SUMIF(Mercado_Receita!$S$2:$S$1157,"44531B2Convencional pré-pagamentoRuralCooperativa de eletrificação ruralNão se aplicaNão se aplicaNão se aplica",Mercado_Receita!$L$2:$L$1157)</f>
        <v>0</v>
      </c>
      <c r="K60" s="13">
        <f>SUMIF(Mercado_Receita!$S$2:$S$1157,"44562B2Convencional pré-pagamentoRuralCooperativa de eletrificação ruralNão se aplicaNão se aplicaPonta",Mercado_Receita!$L$2:$L$1157)+SUMIF(Mercado_Receita!$S$2:$S$1157,"44562B2Convencional pré-pagamentoRuralCooperativa de eletrificação ruralNão se aplicaNão se aplicaFora ponta",Mercado_Receita!$L$2:$L$1157)+SUMIF(Mercado_Receita!$S$2:$S$1157,"44562B2Convencional pré-pagamentoRuralCooperativa de eletrificação ruralNão se aplicaNão se aplicaIntermediário",Mercado_Receita!$L$2:$L$1157)+SUMIF(Mercado_Receita!$S$2:$S$1157,"44562B2Convencional pré-pagamentoRuralCooperativa de eletrificação ruralNão se aplicaNão se aplicaNão se aplica",Mercado_Receita!$L$2:$L$1157)</f>
        <v>0</v>
      </c>
      <c r="L60" s="13">
        <f>SUMIF(Mercado_Receita!$S$2:$S$1157,"44593B2Convencional pré-pagamentoRuralCooperativa de eletrificação ruralNão se aplicaNão se aplicaPonta",Mercado_Receita!$L$2:$L$1157)+SUMIF(Mercado_Receita!$S$2:$S$1157,"44593B2Convencional pré-pagamentoRuralCooperativa de eletrificação ruralNão se aplicaNão se aplicaFora ponta",Mercado_Receita!$L$2:$L$1157)+SUMIF(Mercado_Receita!$S$2:$S$1157,"44593B2Convencional pré-pagamentoRuralCooperativa de eletrificação ruralNão se aplicaNão se aplicaIntermediário",Mercado_Receita!$L$2:$L$1157)+SUMIF(Mercado_Receita!$S$2:$S$1157,"44593B2Convencional pré-pagamentoRuralCooperativa de eletrificação ruralNão se aplicaNão se aplicaNão se aplica",Mercado_Receita!$L$2:$L$1157)</f>
        <v>0</v>
      </c>
      <c r="M60" s="13">
        <f>SUMIF(Mercado_Receita!$S$2:$S$1157,"44621B2Convencional pré-pagamentoRuralCooperativa de eletrificação ruralNão se aplicaNão se aplicaPonta",Mercado_Receita!$L$2:$L$1157)+SUMIF(Mercado_Receita!$S$2:$S$1157,"44621B2Convencional pré-pagamentoRuralCooperativa de eletrificação ruralNão se aplicaNão se aplicaFora ponta",Mercado_Receita!$L$2:$L$1157)+SUMIF(Mercado_Receita!$S$2:$S$1157,"44621B2Convencional pré-pagamentoRuralCooperativa de eletrificação ruralNão se aplicaNão se aplicaIntermediário",Mercado_Receita!$L$2:$L$1157)+SUMIF(Mercado_Receita!$S$2:$S$1157,"44621B2Convencional pré-pagamentoRuralCooperativa de eletrificação ruralNão se aplicaNão se aplicaNão se aplica",Mercado_Receita!$L$2:$L$1157)</f>
        <v>0</v>
      </c>
      <c r="N60" s="13">
        <f>SUMIF(Mercado_Receita!$S$2:$S$1157,"44652B2Convencional pré-pagamentoRuralCooperativa de eletrificação ruralNão se aplicaNão se aplicaPonta",Mercado_Receita!$L$2:$L$1157)+SUMIF(Mercado_Receita!$S$2:$S$1157,"44652B2Convencional pré-pagamentoRuralCooperativa de eletrificação ruralNão se aplicaNão se aplicaFora ponta",Mercado_Receita!$L$2:$L$1157)+SUMIF(Mercado_Receita!$S$2:$S$1157,"44652B2Convencional pré-pagamentoRuralCooperativa de eletrificação ruralNão se aplicaNão se aplicaIntermediário",Mercado_Receita!$L$2:$L$1157)+SUMIF(Mercado_Receita!$S$2:$S$1157,"44652B2Convencional pré-pagamentoRuralCooperativa de eletrificação ruralNão se aplicaNão se aplicaNão se aplica",Mercado_Receita!$L$2:$L$1157)</f>
        <v>0</v>
      </c>
      <c r="O60" s="13">
        <f>SUMIF(Mercado_Receita!$S$2:$S$1157,"44682B2Convencional pré-pagamentoRuralCooperativa de eletrificação ruralNão se aplicaNão se aplicaPonta",Mercado_Receita!$L$2:$L$1157)+SUMIF(Mercado_Receita!$S$2:$S$1157,"44682B2Convencional pré-pagamentoRuralCooperativa de eletrificação ruralNão se aplicaNão se aplicaFora ponta",Mercado_Receita!$L$2:$L$1157)+SUMIF(Mercado_Receita!$S$2:$S$1157,"44682B2Convencional pré-pagamentoRuralCooperativa de eletrificação ruralNão se aplicaNão se aplicaIntermediário",Mercado_Receita!$L$2:$L$1157)+SUMIF(Mercado_Receita!$S$2:$S$1157,"44682B2Convencional pré-pagamentoRuralCooperativa de eletrificação ruralNão se aplicaNão se aplicaNão se aplica",Mercado_Receita!$L$2:$L$1157)</f>
        <v>0</v>
      </c>
      <c r="P60" s="13">
        <f>SUMIF(Mercado_Receita!$S$2:$S$1157,"44713B2Convencional pré-pagamentoRuralCooperativa de eletrificação ruralNão se aplicaNão se aplicaPonta",Mercado_Receita!$L$2:$L$1157)+SUMIF(Mercado_Receita!$S$2:$S$1157,"44713B2Convencional pré-pagamentoRuralCooperativa de eletrificação ruralNão se aplicaNão se aplicaFora ponta",Mercado_Receita!$L$2:$L$1157)+SUMIF(Mercado_Receita!$S$2:$S$1157,"44713B2Convencional pré-pagamentoRuralCooperativa de eletrificação ruralNão se aplicaNão se aplicaIntermediário",Mercado_Receita!$L$2:$L$1157)+SUMIF(Mercado_Receita!$S$2:$S$1157,"44713B2Convencional pré-pagamentoRuralCooperativa de eletrificação ruralNão se aplicaNão se aplicaNão se aplica",Mercado_Receita!$L$2:$L$1157)</f>
        <v>0</v>
      </c>
      <c r="Q60" s="13">
        <f>SUMIF(Mercado_Receita!$S$2:$S$1157,"44743B2Convencional pré-pagamentoRuralCooperativa de eletrificação ruralNão se aplicaNão se aplicaPonta",Mercado_Receita!$L$2:$L$1157)+SUMIF(Mercado_Receita!$S$2:$S$1157,"44743B2Convencional pré-pagamentoRuralCooperativa de eletrificação ruralNão se aplicaNão se aplicaFora ponta",Mercado_Receita!$L$2:$L$1157)+SUMIF(Mercado_Receita!$S$2:$S$1157,"44743B2Convencional pré-pagamentoRuralCooperativa de eletrificação ruralNão se aplicaNão se aplicaIntermediário",Mercado_Receita!$L$2:$L$1157)+SUMIF(Mercado_Receita!$S$2:$S$1157,"44743B2Convencional pré-pagamentoRuralCooperativa de eletrificação ruralNão se aplicaNão se aplicaNão se aplica",Mercado_Receita!$L$2:$L$1157)</f>
        <v>0</v>
      </c>
      <c r="R60" s="13">
        <f>SUMIF(Mercado_Receita!$S$2:$S$1157,"44774B2Convencional pré-pagamentoRuralCooperativa de eletrificação ruralNão se aplicaNão se aplicaPonta",Mercado_Receita!$L$2:$L$1157)+SUMIF(Mercado_Receita!$S$2:$S$1157,"44774B2Convencional pré-pagamentoRuralCooperativa de eletrificação ruralNão se aplicaNão se aplicaFora ponta",Mercado_Receita!$L$2:$L$1157)+SUMIF(Mercado_Receita!$S$2:$S$1157,"44774B2Convencional pré-pagamentoRuralCooperativa de eletrificação ruralNão se aplicaNão se aplicaIntermediário",Mercado_Receita!$L$2:$L$1157)+SUMIF(Mercado_Receita!$S$2:$S$1157,"44774B2Convencional pré-pagamentoRuralCooperativa de eletrificação ruralNão se aplicaNão se aplicaNão se aplica",Mercado_Receita!$L$2:$L$1157)</f>
        <v>0</v>
      </c>
      <c r="S60" s="13">
        <f>SUMIF(Mercado_Receita!$S$2:$S$1157,"44805B2Convencional pré-pagamentoRuralCooperativa de eletrificação ruralNão se aplicaNão se aplicaPonta",Mercado_Receita!$L$2:$L$1157)+SUMIF(Mercado_Receita!$S$2:$S$1157,"44805B2Convencional pré-pagamentoRuralCooperativa de eletrificação ruralNão se aplicaNão se aplicaFora ponta",Mercado_Receita!$L$2:$L$1157)+SUMIF(Mercado_Receita!$S$2:$S$1157,"44805B2Convencional pré-pagamentoRuralCooperativa de eletrificação ruralNão se aplicaNão se aplicaIntermediário",Mercado_Receita!$L$2:$L$1157)+SUMIF(Mercado_Receita!$S$2:$S$1157,"44805B2Convencional pré-pagamentoRuralCooperativa de eletrificação ruralNão se aplicaNão se aplicaNão se aplica",Mercado_Receita!$L$2:$L$1157)</f>
        <v>0</v>
      </c>
      <c r="T60" s="13">
        <f>SUMIF(Mercado_Receita!$S$2:$S$1157,"44835B2Convencional pré-pagamentoRuralCooperativa de eletrificação ruralNão se aplicaNão se aplicaPonta",Mercado_Receita!$L$2:$L$1157)+SUMIF(Mercado_Receita!$S$2:$S$1157,"44835B2Convencional pré-pagamentoRuralCooperativa de eletrificação ruralNão se aplicaNão se aplicaFora ponta",Mercado_Receita!$L$2:$L$1157)+SUMIF(Mercado_Receita!$S$2:$S$1157,"44835B2Convencional pré-pagamentoRuralCooperativa de eletrificação ruralNão se aplicaNão se aplicaIntermediário",Mercado_Receita!$L$2:$L$1157)+SUMIF(Mercado_Receita!$S$2:$S$1157,"44835B2Convencional pré-pagamentoRuralCooperativa de eletrificação ruralNão se aplicaNão se aplicaNão se aplica",Mercado_Receita!$L$2:$L$1157)</f>
        <v>0</v>
      </c>
      <c r="U60" s="13">
        <f t="shared" si="1"/>
        <v>0</v>
      </c>
      <c r="V60" s="13"/>
      <c r="W60" s="13"/>
    </row>
    <row r="61" spans="1:23" ht="11.25" customHeight="1" x14ac:dyDescent="0.3">
      <c r="A61" s="111"/>
      <c r="B61" s="111"/>
      <c r="C61" s="111"/>
      <c r="D61" s="12" t="s">
        <v>94</v>
      </c>
      <c r="E61" s="12" t="s">
        <v>25</v>
      </c>
      <c r="F61" s="12" t="s">
        <v>25</v>
      </c>
      <c r="G61" s="13" t="s">
        <v>84</v>
      </c>
      <c r="H61" s="13" t="s">
        <v>78</v>
      </c>
      <c r="I61" s="13">
        <f>SUMIF(Mercado_Receita!$S$2:$S$1157,"44501B2Convencional pré-pagamentoRuralServiço público de irrigação ruralNão se aplicaNão se aplicaPonta",Mercado_Receita!$L$2:$L$1157)+SUMIF(Mercado_Receita!$S$2:$S$1157,"44501B2Convencional pré-pagamentoRuralServiço público de irrigação ruralNão se aplicaNão se aplicaFora ponta",Mercado_Receita!$L$2:$L$1157)+SUMIF(Mercado_Receita!$S$2:$S$1157,"44501B2Convencional pré-pagamentoRuralServiço público de irrigação ruralNão se aplicaNão se aplicaIntermediário",Mercado_Receita!$L$2:$L$1157)+SUMIF(Mercado_Receita!$S$2:$S$1157,"44501B2Convencional pré-pagamentoRuralServiço público de irrigação ruralNão se aplicaNão se aplicaNão se aplica",Mercado_Receita!$L$2:$L$1157)</f>
        <v>0</v>
      </c>
      <c r="J61" s="13">
        <f>SUMIF(Mercado_Receita!$S$2:$S$1157,"44531B2Convencional pré-pagamentoRuralServiço público de irrigação ruralNão se aplicaNão se aplicaPonta",Mercado_Receita!$L$2:$L$1157)+SUMIF(Mercado_Receita!$S$2:$S$1157,"44531B2Convencional pré-pagamentoRuralServiço público de irrigação ruralNão se aplicaNão se aplicaFora ponta",Mercado_Receita!$L$2:$L$1157)+SUMIF(Mercado_Receita!$S$2:$S$1157,"44531B2Convencional pré-pagamentoRuralServiço público de irrigação ruralNão se aplicaNão se aplicaIntermediário",Mercado_Receita!$L$2:$L$1157)+SUMIF(Mercado_Receita!$S$2:$S$1157,"44531B2Convencional pré-pagamentoRuralServiço público de irrigação ruralNão se aplicaNão se aplicaNão se aplica",Mercado_Receita!$L$2:$L$1157)</f>
        <v>0</v>
      </c>
      <c r="K61" s="13">
        <f>SUMIF(Mercado_Receita!$S$2:$S$1157,"44562B2Convencional pré-pagamentoRuralServiço público de irrigação ruralNão se aplicaNão se aplicaPonta",Mercado_Receita!$L$2:$L$1157)+SUMIF(Mercado_Receita!$S$2:$S$1157,"44562B2Convencional pré-pagamentoRuralServiço público de irrigação ruralNão se aplicaNão se aplicaFora ponta",Mercado_Receita!$L$2:$L$1157)+SUMIF(Mercado_Receita!$S$2:$S$1157,"44562B2Convencional pré-pagamentoRuralServiço público de irrigação ruralNão se aplicaNão se aplicaIntermediário",Mercado_Receita!$L$2:$L$1157)+SUMIF(Mercado_Receita!$S$2:$S$1157,"44562B2Convencional pré-pagamentoRuralServiço público de irrigação ruralNão se aplicaNão se aplicaNão se aplica",Mercado_Receita!$L$2:$L$1157)</f>
        <v>0</v>
      </c>
      <c r="L61" s="13">
        <f>SUMIF(Mercado_Receita!$S$2:$S$1157,"44593B2Convencional pré-pagamentoRuralServiço público de irrigação ruralNão se aplicaNão se aplicaPonta",Mercado_Receita!$L$2:$L$1157)+SUMIF(Mercado_Receita!$S$2:$S$1157,"44593B2Convencional pré-pagamentoRuralServiço público de irrigação ruralNão se aplicaNão se aplicaFora ponta",Mercado_Receita!$L$2:$L$1157)+SUMIF(Mercado_Receita!$S$2:$S$1157,"44593B2Convencional pré-pagamentoRuralServiço público de irrigação ruralNão se aplicaNão se aplicaIntermediário",Mercado_Receita!$L$2:$L$1157)+SUMIF(Mercado_Receita!$S$2:$S$1157,"44593B2Convencional pré-pagamentoRuralServiço público de irrigação ruralNão se aplicaNão se aplicaNão se aplica",Mercado_Receita!$L$2:$L$1157)</f>
        <v>0</v>
      </c>
      <c r="M61" s="13">
        <f>SUMIF(Mercado_Receita!$S$2:$S$1157,"44621B2Convencional pré-pagamentoRuralServiço público de irrigação ruralNão se aplicaNão se aplicaPonta",Mercado_Receita!$L$2:$L$1157)+SUMIF(Mercado_Receita!$S$2:$S$1157,"44621B2Convencional pré-pagamentoRuralServiço público de irrigação ruralNão se aplicaNão se aplicaFora ponta",Mercado_Receita!$L$2:$L$1157)+SUMIF(Mercado_Receita!$S$2:$S$1157,"44621B2Convencional pré-pagamentoRuralServiço público de irrigação ruralNão se aplicaNão se aplicaIntermediário",Mercado_Receita!$L$2:$L$1157)+SUMIF(Mercado_Receita!$S$2:$S$1157,"44621B2Convencional pré-pagamentoRuralServiço público de irrigação ruralNão se aplicaNão se aplicaNão se aplica",Mercado_Receita!$L$2:$L$1157)</f>
        <v>0</v>
      </c>
      <c r="N61" s="13">
        <f>SUMIF(Mercado_Receita!$S$2:$S$1157,"44652B2Convencional pré-pagamentoRuralServiço público de irrigação ruralNão se aplicaNão se aplicaPonta",Mercado_Receita!$L$2:$L$1157)+SUMIF(Mercado_Receita!$S$2:$S$1157,"44652B2Convencional pré-pagamentoRuralServiço público de irrigação ruralNão se aplicaNão se aplicaFora ponta",Mercado_Receita!$L$2:$L$1157)+SUMIF(Mercado_Receita!$S$2:$S$1157,"44652B2Convencional pré-pagamentoRuralServiço público de irrigação ruralNão se aplicaNão se aplicaIntermediário",Mercado_Receita!$L$2:$L$1157)+SUMIF(Mercado_Receita!$S$2:$S$1157,"44652B2Convencional pré-pagamentoRuralServiço público de irrigação ruralNão se aplicaNão se aplicaNão se aplica",Mercado_Receita!$L$2:$L$1157)</f>
        <v>0</v>
      </c>
      <c r="O61" s="13">
        <f>SUMIF(Mercado_Receita!$S$2:$S$1157,"44682B2Convencional pré-pagamentoRuralServiço público de irrigação ruralNão se aplicaNão se aplicaPonta",Mercado_Receita!$L$2:$L$1157)+SUMIF(Mercado_Receita!$S$2:$S$1157,"44682B2Convencional pré-pagamentoRuralServiço público de irrigação ruralNão se aplicaNão se aplicaFora ponta",Mercado_Receita!$L$2:$L$1157)+SUMIF(Mercado_Receita!$S$2:$S$1157,"44682B2Convencional pré-pagamentoRuralServiço público de irrigação ruralNão se aplicaNão se aplicaIntermediário",Mercado_Receita!$L$2:$L$1157)+SUMIF(Mercado_Receita!$S$2:$S$1157,"44682B2Convencional pré-pagamentoRuralServiço público de irrigação ruralNão se aplicaNão se aplicaNão se aplica",Mercado_Receita!$L$2:$L$1157)</f>
        <v>0</v>
      </c>
      <c r="P61" s="13">
        <f>SUMIF(Mercado_Receita!$S$2:$S$1157,"44713B2Convencional pré-pagamentoRuralServiço público de irrigação ruralNão se aplicaNão se aplicaPonta",Mercado_Receita!$L$2:$L$1157)+SUMIF(Mercado_Receita!$S$2:$S$1157,"44713B2Convencional pré-pagamentoRuralServiço público de irrigação ruralNão se aplicaNão se aplicaFora ponta",Mercado_Receita!$L$2:$L$1157)+SUMIF(Mercado_Receita!$S$2:$S$1157,"44713B2Convencional pré-pagamentoRuralServiço público de irrigação ruralNão se aplicaNão se aplicaIntermediário",Mercado_Receita!$L$2:$L$1157)+SUMIF(Mercado_Receita!$S$2:$S$1157,"44713B2Convencional pré-pagamentoRuralServiço público de irrigação ruralNão se aplicaNão se aplicaNão se aplica",Mercado_Receita!$L$2:$L$1157)</f>
        <v>0</v>
      </c>
      <c r="Q61" s="13">
        <f>SUMIF(Mercado_Receita!$S$2:$S$1157,"44743B2Convencional pré-pagamentoRuralServiço público de irrigação ruralNão se aplicaNão se aplicaPonta",Mercado_Receita!$L$2:$L$1157)+SUMIF(Mercado_Receita!$S$2:$S$1157,"44743B2Convencional pré-pagamentoRuralServiço público de irrigação ruralNão se aplicaNão se aplicaFora ponta",Mercado_Receita!$L$2:$L$1157)+SUMIF(Mercado_Receita!$S$2:$S$1157,"44743B2Convencional pré-pagamentoRuralServiço público de irrigação ruralNão se aplicaNão se aplicaIntermediário",Mercado_Receita!$L$2:$L$1157)+SUMIF(Mercado_Receita!$S$2:$S$1157,"44743B2Convencional pré-pagamentoRuralServiço público de irrigação ruralNão se aplicaNão se aplicaNão se aplica",Mercado_Receita!$L$2:$L$1157)</f>
        <v>0</v>
      </c>
      <c r="R61" s="13">
        <f>SUMIF(Mercado_Receita!$S$2:$S$1157,"44774B2Convencional pré-pagamentoRuralServiço público de irrigação ruralNão se aplicaNão se aplicaPonta",Mercado_Receita!$L$2:$L$1157)+SUMIF(Mercado_Receita!$S$2:$S$1157,"44774B2Convencional pré-pagamentoRuralServiço público de irrigação ruralNão se aplicaNão se aplicaFora ponta",Mercado_Receita!$L$2:$L$1157)+SUMIF(Mercado_Receita!$S$2:$S$1157,"44774B2Convencional pré-pagamentoRuralServiço público de irrigação ruralNão se aplicaNão se aplicaIntermediário",Mercado_Receita!$L$2:$L$1157)+SUMIF(Mercado_Receita!$S$2:$S$1157,"44774B2Convencional pré-pagamentoRuralServiço público de irrigação ruralNão se aplicaNão se aplicaNão se aplica",Mercado_Receita!$L$2:$L$1157)</f>
        <v>0</v>
      </c>
      <c r="S61" s="13">
        <f>SUMIF(Mercado_Receita!$S$2:$S$1157,"44805B2Convencional pré-pagamentoRuralServiço público de irrigação ruralNão se aplicaNão se aplicaPonta",Mercado_Receita!$L$2:$L$1157)+SUMIF(Mercado_Receita!$S$2:$S$1157,"44805B2Convencional pré-pagamentoRuralServiço público de irrigação ruralNão se aplicaNão se aplicaFora ponta",Mercado_Receita!$L$2:$L$1157)+SUMIF(Mercado_Receita!$S$2:$S$1157,"44805B2Convencional pré-pagamentoRuralServiço público de irrigação ruralNão se aplicaNão se aplicaIntermediário",Mercado_Receita!$L$2:$L$1157)+SUMIF(Mercado_Receita!$S$2:$S$1157,"44805B2Convencional pré-pagamentoRuralServiço público de irrigação ruralNão se aplicaNão se aplicaNão se aplica",Mercado_Receita!$L$2:$L$1157)</f>
        <v>0</v>
      </c>
      <c r="T61" s="13">
        <f>SUMIF(Mercado_Receita!$S$2:$S$1157,"44835B2Convencional pré-pagamentoRuralServiço público de irrigação ruralNão se aplicaNão se aplicaPonta",Mercado_Receita!$L$2:$L$1157)+SUMIF(Mercado_Receita!$S$2:$S$1157,"44835B2Convencional pré-pagamentoRuralServiço público de irrigação ruralNão se aplicaNão se aplicaFora ponta",Mercado_Receita!$L$2:$L$1157)+SUMIF(Mercado_Receita!$S$2:$S$1157,"44835B2Convencional pré-pagamentoRuralServiço público de irrigação ruralNão se aplicaNão se aplicaIntermediário",Mercado_Receita!$L$2:$L$1157)+SUMIF(Mercado_Receita!$S$2:$S$1157,"44835B2Convencional pré-pagamentoRuralServiço público de irrigação ruralNão se aplicaNão se aplicaNão se aplica",Mercado_Receita!$L$2:$L$1157)</f>
        <v>0</v>
      </c>
      <c r="U61" s="13">
        <f t="shared" si="1"/>
        <v>0</v>
      </c>
      <c r="V61" s="13"/>
      <c r="W61" s="13"/>
    </row>
    <row r="62" spans="1:23" ht="11.25" customHeight="1" x14ac:dyDescent="0.3">
      <c r="A62" s="110" t="s">
        <v>37</v>
      </c>
      <c r="B62" s="110" t="s">
        <v>33</v>
      </c>
      <c r="C62" s="110" t="s">
        <v>25</v>
      </c>
      <c r="D62" s="110" t="s">
        <v>25</v>
      </c>
      <c r="E62" s="110" t="s">
        <v>25</v>
      </c>
      <c r="F62" s="110" t="s">
        <v>25</v>
      </c>
      <c r="G62" s="13" t="s">
        <v>79</v>
      </c>
      <c r="H62" s="13" t="s">
        <v>78</v>
      </c>
      <c r="I62" s="13">
        <f>SUMIF(Mercado_Receita!$S$2:$S$1157,"44501B3BrancaNão se aplicaNão se aplicaNão se aplicaNão se aplicaPonta",Mercado_Receita!$L$2:$L$1157)</f>
        <v>2.1909999999999998</v>
      </c>
      <c r="J62" s="13">
        <f>SUMIF(Mercado_Receita!$S$2:$S$1157,"44531B3BrancaNão se aplicaNão se aplicaNão se aplicaNão se aplicaPonta",Mercado_Receita!$L$2:$L$1157)</f>
        <v>1.9350000000000001</v>
      </c>
      <c r="K62" s="13">
        <f>SUMIF(Mercado_Receita!$S$2:$S$1157,"44562B3BrancaNão se aplicaNão se aplicaNão se aplicaNão se aplicaPonta",Mercado_Receita!$L$2:$L$1157)</f>
        <v>1.9729999999999999</v>
      </c>
      <c r="L62" s="13">
        <f>SUMIF(Mercado_Receita!$S$2:$S$1157,"44593B3BrancaNão se aplicaNão se aplicaNão se aplicaNão se aplicaPonta",Mercado_Receita!$L$2:$L$1157)</f>
        <v>1.752</v>
      </c>
      <c r="M62" s="13">
        <f>SUMIF(Mercado_Receita!$S$2:$S$1157,"44621B3BrancaNão se aplicaNão se aplicaNão se aplicaNão se aplicaPonta",Mercado_Receita!$L$2:$L$1157)</f>
        <v>1.7629999999999999</v>
      </c>
      <c r="N62" s="13">
        <f>SUMIF(Mercado_Receita!$S$2:$S$1157,"44652B3BrancaNão se aplicaNão se aplicaNão se aplicaNão se aplicaPonta",Mercado_Receita!$L$2:$L$1157)</f>
        <v>1.5029999999999999</v>
      </c>
      <c r="O62" s="13">
        <f>SUMIF(Mercado_Receita!$S$2:$S$1157,"44682B3BrancaNão se aplicaNão se aplicaNão se aplicaNão se aplicaPonta",Mercado_Receita!$L$2:$L$1157)</f>
        <v>2.222</v>
      </c>
      <c r="P62" s="13">
        <f>SUMIF(Mercado_Receita!$S$2:$S$1157,"44713B3BrancaNão se aplicaNão se aplicaNão se aplicaNão se aplicaPonta",Mercado_Receita!$L$2:$L$1157)</f>
        <v>1.345</v>
      </c>
      <c r="Q62" s="13">
        <f>SUMIF(Mercado_Receita!$S$2:$S$1157,"44743B3BrancaNão se aplicaNão se aplicaNão se aplicaNão se aplicaPonta",Mercado_Receita!$L$2:$L$1157)</f>
        <v>2.0190000000000001</v>
      </c>
      <c r="R62" s="13">
        <f>SUMIF(Mercado_Receita!$S$2:$S$1157,"44774B3BrancaNão se aplicaNão se aplicaNão se aplicaNão se aplicaPonta",Mercado_Receita!$L$2:$L$1157)</f>
        <v>1.956</v>
      </c>
      <c r="S62" s="13">
        <f>SUMIF(Mercado_Receita!$S$2:$S$1157,"44805B3BrancaNão se aplicaNão se aplicaNão se aplicaNão se aplicaPonta",Mercado_Receita!$L$2:$L$1157)</f>
        <v>1.821</v>
      </c>
      <c r="T62" s="13">
        <f>SUMIF(Mercado_Receita!$S$2:$S$1157,"44835B3BrancaNão se aplicaNão se aplicaNão se aplicaNão se aplicaPonta",Mercado_Receita!$L$2:$L$1157)</f>
        <v>1.821</v>
      </c>
      <c r="U62" s="13">
        <f t="shared" si="1"/>
        <v>22.301000000000002</v>
      </c>
      <c r="V62" s="13"/>
      <c r="W62" s="13"/>
    </row>
    <row r="63" spans="1:23" ht="11.25" customHeight="1" x14ac:dyDescent="0.3">
      <c r="A63" s="111"/>
      <c r="B63" s="111"/>
      <c r="C63" s="111"/>
      <c r="D63" s="111"/>
      <c r="E63" s="111"/>
      <c r="F63" s="111"/>
      <c r="G63" s="13" t="s">
        <v>90</v>
      </c>
      <c r="H63" s="13" t="s">
        <v>78</v>
      </c>
      <c r="I63" s="13">
        <f>SUMIF(Mercado_Receita!$S$2:$S$1157,"44501B3BrancaNão se aplicaNão se aplicaNão se aplicaNão se aplicaIntermediário",Mercado_Receita!$L$2:$L$1157)</f>
        <v>2.2070000000000003</v>
      </c>
      <c r="J63" s="13">
        <f>SUMIF(Mercado_Receita!$S$2:$S$1157,"44531B3BrancaNão se aplicaNão se aplicaNão se aplicaNão se aplicaIntermediário",Mercado_Receita!$L$2:$L$1157)</f>
        <v>2.371</v>
      </c>
      <c r="K63" s="13">
        <f>SUMIF(Mercado_Receita!$S$2:$S$1157,"44562B3BrancaNão se aplicaNão se aplicaNão se aplicaNão se aplicaIntermediário",Mercado_Receita!$L$2:$L$1157)</f>
        <v>2.3079999999999998</v>
      </c>
      <c r="L63" s="13">
        <f>SUMIF(Mercado_Receita!$S$2:$S$1157,"44593B3BrancaNão se aplicaNão se aplicaNão se aplicaNão se aplicaIntermediário",Mercado_Receita!$L$2:$L$1157)</f>
        <v>2.46</v>
      </c>
      <c r="M63" s="13">
        <f>SUMIF(Mercado_Receita!$S$2:$S$1157,"44621B3BrancaNão se aplicaNão se aplicaNão se aplicaNão se aplicaIntermediário",Mercado_Receita!$L$2:$L$1157)</f>
        <v>2.3940000000000001</v>
      </c>
      <c r="N63" s="13">
        <f>SUMIF(Mercado_Receita!$S$2:$S$1157,"44652B3BrancaNão se aplicaNão se aplicaNão se aplicaNão se aplicaIntermediário",Mercado_Receita!$L$2:$L$1157)</f>
        <v>1.966</v>
      </c>
      <c r="O63" s="13">
        <f>SUMIF(Mercado_Receita!$S$2:$S$1157,"44682B3BrancaNão se aplicaNão se aplicaNão se aplicaNão se aplicaIntermediário",Mercado_Receita!$L$2:$L$1157)</f>
        <v>2.1879999999999997</v>
      </c>
      <c r="P63" s="13">
        <f>SUMIF(Mercado_Receita!$S$2:$S$1157,"44713B3BrancaNão se aplicaNão se aplicaNão se aplicaNão se aplicaIntermediário",Mercado_Receita!$L$2:$L$1157)</f>
        <v>1.3380000000000001</v>
      </c>
      <c r="Q63" s="13">
        <f>SUMIF(Mercado_Receita!$S$2:$S$1157,"44743B3BrancaNão se aplicaNão se aplicaNão se aplicaNão se aplicaIntermediário",Mercado_Receita!$L$2:$L$1157)</f>
        <v>2.0409999999999999</v>
      </c>
      <c r="R63" s="13">
        <f>SUMIF(Mercado_Receita!$S$2:$S$1157,"44774B3BrancaNão se aplicaNão se aplicaNão se aplicaNão se aplicaIntermediário",Mercado_Receita!$L$2:$L$1157)</f>
        <v>1.71</v>
      </c>
      <c r="S63" s="13">
        <f>SUMIF(Mercado_Receita!$S$2:$S$1157,"44805B3BrancaNão se aplicaNão se aplicaNão se aplicaNão se aplicaIntermediário",Mercado_Receita!$L$2:$L$1157)</f>
        <v>1.7529999999999999</v>
      </c>
      <c r="T63" s="13">
        <f>SUMIF(Mercado_Receita!$S$2:$S$1157,"44835B3BrancaNão se aplicaNão se aplicaNão se aplicaNão se aplicaIntermediário",Mercado_Receita!$L$2:$L$1157)</f>
        <v>1.7529999999999999</v>
      </c>
      <c r="U63" s="13">
        <f t="shared" si="1"/>
        <v>24.489000000000001</v>
      </c>
      <c r="V63" s="13"/>
      <c r="W63" s="13"/>
    </row>
    <row r="64" spans="1:23" ht="11.25" customHeight="1" x14ac:dyDescent="0.3">
      <c r="A64" s="111"/>
      <c r="B64" s="111"/>
      <c r="C64" s="111"/>
      <c r="D64" s="111"/>
      <c r="E64" s="111"/>
      <c r="F64" s="111"/>
      <c r="G64" s="13" t="s">
        <v>80</v>
      </c>
      <c r="H64" s="13" t="s">
        <v>78</v>
      </c>
      <c r="I64" s="13">
        <f>SUMIF(Mercado_Receita!$S$2:$S$1157,"44501B3BrancaNão se aplicaNão se aplicaNão se aplicaNão se aplicaFora ponta",Mercado_Receita!$L$2:$L$1157)</f>
        <v>37.661999999999999</v>
      </c>
      <c r="J64" s="13">
        <f>SUMIF(Mercado_Receita!$S$2:$S$1157,"44531B3BrancaNão se aplicaNão se aplicaNão se aplicaNão se aplicaFora ponta",Mercado_Receita!$L$2:$L$1157)</f>
        <v>37.738999999999997</v>
      </c>
      <c r="K64" s="13">
        <f>SUMIF(Mercado_Receita!$S$2:$S$1157,"44562B3BrancaNão se aplicaNão se aplicaNão se aplicaNão se aplicaFora ponta",Mercado_Receita!$L$2:$L$1157)</f>
        <v>39.975999999999999</v>
      </c>
      <c r="L64" s="13">
        <f>SUMIF(Mercado_Receita!$S$2:$S$1157,"44593B3BrancaNão se aplicaNão se aplicaNão se aplicaNão se aplicaFora ponta",Mercado_Receita!$L$2:$L$1157)</f>
        <v>38.131999999999998</v>
      </c>
      <c r="M64" s="13">
        <f>SUMIF(Mercado_Receita!$S$2:$S$1157,"44621B3BrancaNão se aplicaNão se aplicaNão se aplicaNão se aplicaFora ponta",Mercado_Receita!$L$2:$L$1157)</f>
        <v>38.21</v>
      </c>
      <c r="N64" s="13">
        <f>SUMIF(Mercado_Receita!$S$2:$S$1157,"44652B3BrancaNão se aplicaNão se aplicaNão se aplicaNão se aplicaFora ponta",Mercado_Receita!$L$2:$L$1157)</f>
        <v>37.11</v>
      </c>
      <c r="O64" s="13">
        <f>SUMIF(Mercado_Receita!$S$2:$S$1157,"44682B3BrancaNão se aplicaNão se aplicaNão se aplicaNão se aplicaFora ponta",Mercado_Receita!$L$2:$L$1157)</f>
        <v>43.448</v>
      </c>
      <c r="P64" s="13">
        <f>SUMIF(Mercado_Receita!$S$2:$S$1157,"44713B3BrancaNão se aplicaNão se aplicaNão se aplicaNão se aplicaFora ponta",Mercado_Receita!$L$2:$L$1157)</f>
        <v>37.771000000000001</v>
      </c>
      <c r="Q64" s="13">
        <f>SUMIF(Mercado_Receita!$S$2:$S$1157,"44743B3BrancaNão se aplicaNão se aplicaNão se aplicaNão se aplicaFora ponta",Mercado_Receita!$L$2:$L$1157)</f>
        <v>40.158000000000001</v>
      </c>
      <c r="R64" s="13">
        <f>SUMIF(Mercado_Receita!$S$2:$S$1157,"44774B3BrancaNão se aplicaNão se aplicaNão se aplicaNão se aplicaFora ponta",Mercado_Receita!$L$2:$L$1157)</f>
        <v>39.94</v>
      </c>
      <c r="S64" s="13">
        <f>SUMIF(Mercado_Receita!$S$2:$S$1157,"44805B3BrancaNão se aplicaNão se aplicaNão se aplicaNão se aplicaFora ponta",Mercado_Receita!$L$2:$L$1157)</f>
        <v>37.012999999999998</v>
      </c>
      <c r="T64" s="13">
        <f>SUMIF(Mercado_Receita!$S$2:$S$1157,"44835B3BrancaNão se aplicaNão se aplicaNão se aplicaNão se aplicaFora ponta",Mercado_Receita!$L$2:$L$1157)</f>
        <v>37.012999999999998</v>
      </c>
      <c r="U64" s="13">
        <f t="shared" si="1"/>
        <v>464.17199999999997</v>
      </c>
      <c r="V64" s="13"/>
      <c r="W64" s="13"/>
    </row>
    <row r="65" spans="1:23" ht="11.25" customHeight="1" x14ac:dyDescent="0.3">
      <c r="A65" s="111"/>
      <c r="B65" s="12" t="s">
        <v>23</v>
      </c>
      <c r="C65" s="12" t="s">
        <v>25</v>
      </c>
      <c r="D65" s="12" t="s">
        <v>25</v>
      </c>
      <c r="E65" s="12" t="s">
        <v>25</v>
      </c>
      <c r="F65" s="12" t="s">
        <v>25</v>
      </c>
      <c r="G65" s="13" t="s">
        <v>84</v>
      </c>
      <c r="H65" s="13" t="s">
        <v>78</v>
      </c>
      <c r="I65" s="13">
        <f>SUMIF(Mercado_Receita!$S$2:$S$1157,"44501B3ConvencionalNão se aplicaNão se aplicaNão se aplicaNão se aplicaPonta",Mercado_Receita!$L$2:$L$1157)+SUMIF(Mercado_Receita!$S$2:$S$1157,"44501B3ConvencionalNão se aplicaNão se aplicaNão se aplicaNão se aplicaFora ponta",Mercado_Receita!$L$2:$L$1157)+SUMIF(Mercado_Receita!$S$2:$S$1157,"44501B3ConvencionalNão se aplicaNão se aplicaNão se aplicaNão se aplicaIntermediário",Mercado_Receita!$L$2:$L$1157)+SUMIF(Mercado_Receita!$S$2:$S$1157,"44501B3ConvencionalNão se aplicaNão se aplicaNão se aplicaNão se aplicaNão se aplica",Mercado_Receita!$L$2:$L$1157)</f>
        <v>3857.8090000000002</v>
      </c>
      <c r="J65" s="13">
        <f>SUMIF(Mercado_Receita!$S$2:$S$1157,"44531B3ConvencionalNão se aplicaNão se aplicaNão se aplicaNão se aplicaPonta",Mercado_Receita!$L$2:$L$1157)+SUMIF(Mercado_Receita!$S$2:$S$1157,"44531B3ConvencionalNão se aplicaNão se aplicaNão se aplicaNão se aplicaFora ponta",Mercado_Receita!$L$2:$L$1157)+SUMIF(Mercado_Receita!$S$2:$S$1157,"44531B3ConvencionalNão se aplicaNão se aplicaNão se aplicaNão se aplicaIntermediário",Mercado_Receita!$L$2:$L$1157)+SUMIF(Mercado_Receita!$S$2:$S$1157,"44531B3ConvencionalNão se aplicaNão se aplicaNão se aplicaNão se aplicaNão se aplica",Mercado_Receita!$L$2:$L$1157)</f>
        <v>3931.7150000000006</v>
      </c>
      <c r="K65" s="13">
        <f>SUMIF(Mercado_Receita!$S$2:$S$1157,"44562B3ConvencionalNão se aplicaNão se aplicaNão se aplicaNão se aplicaPonta",Mercado_Receita!$L$2:$L$1157)+SUMIF(Mercado_Receita!$S$2:$S$1157,"44562B3ConvencionalNão se aplicaNão se aplicaNão se aplicaNão se aplicaFora ponta",Mercado_Receita!$L$2:$L$1157)+SUMIF(Mercado_Receita!$S$2:$S$1157,"44562B3ConvencionalNão se aplicaNão se aplicaNão se aplicaNão se aplicaIntermediário",Mercado_Receita!$L$2:$L$1157)+SUMIF(Mercado_Receita!$S$2:$S$1157,"44562B3ConvencionalNão se aplicaNão se aplicaNão se aplicaNão se aplicaNão se aplica",Mercado_Receita!$L$2:$L$1157)</f>
        <v>4242.6490000000013</v>
      </c>
      <c r="L65" s="13">
        <f>SUMIF(Mercado_Receita!$S$2:$S$1157,"44593B3ConvencionalNão se aplicaNão se aplicaNão se aplicaNão se aplicaPonta",Mercado_Receita!$L$2:$L$1157)+SUMIF(Mercado_Receita!$S$2:$S$1157,"44593B3ConvencionalNão se aplicaNão se aplicaNão se aplicaNão se aplicaFora ponta",Mercado_Receita!$L$2:$L$1157)+SUMIF(Mercado_Receita!$S$2:$S$1157,"44593B3ConvencionalNão se aplicaNão se aplicaNão se aplicaNão se aplicaIntermediário",Mercado_Receita!$L$2:$L$1157)+SUMIF(Mercado_Receita!$S$2:$S$1157,"44593B3ConvencionalNão se aplicaNão se aplicaNão se aplicaNão se aplicaNão se aplica",Mercado_Receita!$L$2:$L$1157)</f>
        <v>3920.5729999999999</v>
      </c>
      <c r="M65" s="13">
        <f>SUMIF(Mercado_Receita!$S$2:$S$1157,"44621B3ConvencionalNão se aplicaNão se aplicaNão se aplicaNão se aplicaPonta",Mercado_Receita!$L$2:$L$1157)+SUMIF(Mercado_Receita!$S$2:$S$1157,"44621B3ConvencionalNão se aplicaNão se aplicaNão se aplicaNão se aplicaFora ponta",Mercado_Receita!$L$2:$L$1157)+SUMIF(Mercado_Receita!$S$2:$S$1157,"44621B3ConvencionalNão se aplicaNão se aplicaNão se aplicaNão se aplicaIntermediário",Mercado_Receita!$L$2:$L$1157)+SUMIF(Mercado_Receita!$S$2:$S$1157,"44621B3ConvencionalNão se aplicaNão se aplicaNão se aplicaNão se aplicaNão se aplica",Mercado_Receita!$L$2:$L$1157)</f>
        <v>4054.9290000000005</v>
      </c>
      <c r="N65" s="13">
        <f>SUMIF(Mercado_Receita!$S$2:$S$1157,"44652B3ConvencionalNão se aplicaNão se aplicaNão se aplicaNão se aplicaPonta",Mercado_Receita!$L$2:$L$1157)+SUMIF(Mercado_Receita!$S$2:$S$1157,"44652B3ConvencionalNão se aplicaNão se aplicaNão se aplicaNão se aplicaFora ponta",Mercado_Receita!$L$2:$L$1157)+SUMIF(Mercado_Receita!$S$2:$S$1157,"44652B3ConvencionalNão se aplicaNão se aplicaNão se aplicaNão se aplicaIntermediário",Mercado_Receita!$L$2:$L$1157)+SUMIF(Mercado_Receita!$S$2:$S$1157,"44652B3ConvencionalNão se aplicaNão se aplicaNão se aplicaNão se aplicaNão se aplica",Mercado_Receita!$L$2:$L$1157)</f>
        <v>4288.7839999999997</v>
      </c>
      <c r="O65" s="13">
        <f>SUMIF(Mercado_Receita!$S$2:$S$1157,"44682B3ConvencionalNão se aplicaNão se aplicaNão se aplicaNão se aplicaPonta",Mercado_Receita!$L$2:$L$1157)+SUMIF(Mercado_Receita!$S$2:$S$1157,"44682B3ConvencionalNão se aplicaNão se aplicaNão se aplicaNão se aplicaFora ponta",Mercado_Receita!$L$2:$L$1157)+SUMIF(Mercado_Receita!$S$2:$S$1157,"44682B3ConvencionalNão se aplicaNão se aplicaNão se aplicaNão se aplicaIntermediário",Mercado_Receita!$L$2:$L$1157)+SUMIF(Mercado_Receita!$S$2:$S$1157,"44682B3ConvencionalNão se aplicaNão se aplicaNão se aplicaNão se aplicaNão se aplica",Mercado_Receita!$L$2:$L$1157)</f>
        <v>3931.0179999999991</v>
      </c>
      <c r="P65" s="13">
        <f>SUMIF(Mercado_Receita!$S$2:$S$1157,"44713B3ConvencionalNão se aplicaNão se aplicaNão se aplicaNão se aplicaPonta",Mercado_Receita!$L$2:$L$1157)+SUMIF(Mercado_Receita!$S$2:$S$1157,"44713B3ConvencionalNão se aplicaNão se aplicaNão se aplicaNão se aplicaFora ponta",Mercado_Receita!$L$2:$L$1157)+SUMIF(Mercado_Receita!$S$2:$S$1157,"44713B3ConvencionalNão se aplicaNão se aplicaNão se aplicaNão se aplicaIntermediário",Mercado_Receita!$L$2:$L$1157)+SUMIF(Mercado_Receita!$S$2:$S$1157,"44713B3ConvencionalNão se aplicaNão se aplicaNão se aplicaNão se aplicaNão se aplica",Mercado_Receita!$L$2:$L$1157)</f>
        <v>3729.4270000000001</v>
      </c>
      <c r="Q65" s="13">
        <f>SUMIF(Mercado_Receita!$S$2:$S$1157,"44743B3ConvencionalNão se aplicaNão se aplicaNão se aplicaNão se aplicaPonta",Mercado_Receita!$L$2:$L$1157)+SUMIF(Mercado_Receita!$S$2:$S$1157,"44743B3ConvencionalNão se aplicaNão se aplicaNão se aplicaNão se aplicaFora ponta",Mercado_Receita!$L$2:$L$1157)+SUMIF(Mercado_Receita!$S$2:$S$1157,"44743B3ConvencionalNão se aplicaNão se aplicaNão se aplicaNão se aplicaIntermediário",Mercado_Receita!$L$2:$L$1157)+SUMIF(Mercado_Receita!$S$2:$S$1157,"44743B3ConvencionalNão se aplicaNão se aplicaNão se aplicaNão se aplicaNão se aplica",Mercado_Receita!$L$2:$L$1157)</f>
        <v>3965.4250000000002</v>
      </c>
      <c r="R65" s="13">
        <f>SUMIF(Mercado_Receita!$S$2:$S$1157,"44774B3ConvencionalNão se aplicaNão se aplicaNão se aplicaNão se aplicaPonta",Mercado_Receita!$L$2:$L$1157)+SUMIF(Mercado_Receita!$S$2:$S$1157,"44774B3ConvencionalNão se aplicaNão se aplicaNão se aplicaNão se aplicaFora ponta",Mercado_Receita!$L$2:$L$1157)+SUMIF(Mercado_Receita!$S$2:$S$1157,"44774B3ConvencionalNão se aplicaNão se aplicaNão se aplicaNão se aplicaIntermediário",Mercado_Receita!$L$2:$L$1157)+SUMIF(Mercado_Receita!$S$2:$S$1157,"44774B3ConvencionalNão se aplicaNão se aplicaNão se aplicaNão se aplicaNão se aplica",Mercado_Receita!$L$2:$L$1157)</f>
        <v>3697.3800000000006</v>
      </c>
      <c r="S65" s="13">
        <f>SUMIF(Mercado_Receita!$S$2:$S$1157,"44805B3ConvencionalNão se aplicaNão se aplicaNão se aplicaNão se aplicaPonta",Mercado_Receita!$L$2:$L$1157)+SUMIF(Mercado_Receita!$S$2:$S$1157,"44805B3ConvencionalNão se aplicaNão se aplicaNão se aplicaNão se aplicaFora ponta",Mercado_Receita!$L$2:$L$1157)+SUMIF(Mercado_Receita!$S$2:$S$1157,"44805B3ConvencionalNão se aplicaNão se aplicaNão se aplicaNão se aplicaIntermediário",Mercado_Receita!$L$2:$L$1157)+SUMIF(Mercado_Receita!$S$2:$S$1157,"44805B3ConvencionalNão se aplicaNão se aplicaNão se aplicaNão se aplicaNão se aplica",Mercado_Receita!$L$2:$L$1157)</f>
        <v>4059.2989999999995</v>
      </c>
      <c r="T65" s="13">
        <f>SUMIF(Mercado_Receita!$S$2:$S$1157,"44835B3ConvencionalNão se aplicaNão se aplicaNão se aplicaNão se aplicaPonta",Mercado_Receita!$L$2:$L$1157)+SUMIF(Mercado_Receita!$S$2:$S$1157,"44835B3ConvencionalNão se aplicaNão se aplicaNão se aplicaNão se aplicaFora ponta",Mercado_Receita!$L$2:$L$1157)+SUMIF(Mercado_Receita!$S$2:$S$1157,"44835B3ConvencionalNão se aplicaNão se aplicaNão se aplicaNão se aplicaIntermediário",Mercado_Receita!$L$2:$L$1157)+SUMIF(Mercado_Receita!$S$2:$S$1157,"44835B3ConvencionalNão se aplicaNão se aplicaNão se aplicaNão se aplicaNão se aplica",Mercado_Receita!$L$2:$L$1157)</f>
        <v>4059.2989999999995</v>
      </c>
      <c r="U65" s="13">
        <f t="shared" si="1"/>
        <v>47738.307000000001</v>
      </c>
      <c r="V65" s="13"/>
      <c r="W65" s="13"/>
    </row>
    <row r="66" spans="1:23" ht="11.25" customHeight="1" x14ac:dyDescent="0.3">
      <c r="A66" s="111"/>
      <c r="B66" s="12" t="s">
        <v>92</v>
      </c>
      <c r="C66" s="12" t="s">
        <v>25</v>
      </c>
      <c r="D66" s="12" t="s">
        <v>25</v>
      </c>
      <c r="E66" s="12" t="s">
        <v>25</v>
      </c>
      <c r="F66" s="12" t="s">
        <v>25</v>
      </c>
      <c r="G66" s="13" t="s">
        <v>84</v>
      </c>
      <c r="H66" s="13" t="s">
        <v>78</v>
      </c>
      <c r="I66" s="13">
        <f>SUMIF(Mercado_Receita!$S$2:$S$1157,"44501B3Convencional pré-pagamentoNão se aplicaNão se aplicaNão se aplicaNão se aplicaPonta",Mercado_Receita!$L$2:$L$1157)+SUMIF(Mercado_Receita!$S$2:$S$1157,"44501B3Convencional pré-pagamentoNão se aplicaNão se aplicaNão se aplicaNão se aplicaFora ponta",Mercado_Receita!$L$2:$L$1157)+SUMIF(Mercado_Receita!$S$2:$S$1157,"44501B3Convencional pré-pagamentoNão se aplicaNão se aplicaNão se aplicaNão se aplicaIntermediário",Mercado_Receita!$L$2:$L$1157)+SUMIF(Mercado_Receita!$S$2:$S$1157,"44501B3Convencional pré-pagamentoNão se aplicaNão se aplicaNão se aplicaNão se aplicaNão se aplica",Mercado_Receita!$L$2:$L$1157)</f>
        <v>0</v>
      </c>
      <c r="J66" s="13">
        <f>SUMIF(Mercado_Receita!$S$2:$S$1157,"44531B3Convencional pré-pagamentoNão se aplicaNão se aplicaNão se aplicaNão se aplicaPonta",Mercado_Receita!$L$2:$L$1157)+SUMIF(Mercado_Receita!$S$2:$S$1157,"44531B3Convencional pré-pagamentoNão se aplicaNão se aplicaNão se aplicaNão se aplicaFora ponta",Mercado_Receita!$L$2:$L$1157)+SUMIF(Mercado_Receita!$S$2:$S$1157,"44531B3Convencional pré-pagamentoNão se aplicaNão se aplicaNão se aplicaNão se aplicaIntermediário",Mercado_Receita!$L$2:$L$1157)+SUMIF(Mercado_Receita!$S$2:$S$1157,"44531B3Convencional pré-pagamentoNão se aplicaNão se aplicaNão se aplicaNão se aplicaNão se aplica",Mercado_Receita!$L$2:$L$1157)</f>
        <v>0</v>
      </c>
      <c r="K66" s="13">
        <f>SUMIF(Mercado_Receita!$S$2:$S$1157,"44562B3Convencional pré-pagamentoNão se aplicaNão se aplicaNão se aplicaNão se aplicaPonta",Mercado_Receita!$L$2:$L$1157)+SUMIF(Mercado_Receita!$S$2:$S$1157,"44562B3Convencional pré-pagamentoNão se aplicaNão se aplicaNão se aplicaNão se aplicaFora ponta",Mercado_Receita!$L$2:$L$1157)+SUMIF(Mercado_Receita!$S$2:$S$1157,"44562B3Convencional pré-pagamentoNão se aplicaNão se aplicaNão se aplicaNão se aplicaIntermediário",Mercado_Receita!$L$2:$L$1157)+SUMIF(Mercado_Receita!$S$2:$S$1157,"44562B3Convencional pré-pagamentoNão se aplicaNão se aplicaNão se aplicaNão se aplicaNão se aplica",Mercado_Receita!$L$2:$L$1157)</f>
        <v>0</v>
      </c>
      <c r="L66" s="13">
        <f>SUMIF(Mercado_Receita!$S$2:$S$1157,"44593B3Convencional pré-pagamentoNão se aplicaNão se aplicaNão se aplicaNão se aplicaPonta",Mercado_Receita!$L$2:$L$1157)+SUMIF(Mercado_Receita!$S$2:$S$1157,"44593B3Convencional pré-pagamentoNão se aplicaNão se aplicaNão se aplicaNão se aplicaFora ponta",Mercado_Receita!$L$2:$L$1157)+SUMIF(Mercado_Receita!$S$2:$S$1157,"44593B3Convencional pré-pagamentoNão se aplicaNão se aplicaNão se aplicaNão se aplicaIntermediário",Mercado_Receita!$L$2:$L$1157)+SUMIF(Mercado_Receita!$S$2:$S$1157,"44593B3Convencional pré-pagamentoNão se aplicaNão se aplicaNão se aplicaNão se aplicaNão se aplica",Mercado_Receita!$L$2:$L$1157)</f>
        <v>0</v>
      </c>
      <c r="M66" s="13">
        <f>SUMIF(Mercado_Receita!$S$2:$S$1157,"44621B3Convencional pré-pagamentoNão se aplicaNão se aplicaNão se aplicaNão se aplicaPonta",Mercado_Receita!$L$2:$L$1157)+SUMIF(Mercado_Receita!$S$2:$S$1157,"44621B3Convencional pré-pagamentoNão se aplicaNão se aplicaNão se aplicaNão se aplicaFora ponta",Mercado_Receita!$L$2:$L$1157)+SUMIF(Mercado_Receita!$S$2:$S$1157,"44621B3Convencional pré-pagamentoNão se aplicaNão se aplicaNão se aplicaNão se aplicaIntermediário",Mercado_Receita!$L$2:$L$1157)+SUMIF(Mercado_Receita!$S$2:$S$1157,"44621B3Convencional pré-pagamentoNão se aplicaNão se aplicaNão se aplicaNão se aplicaNão se aplica",Mercado_Receita!$L$2:$L$1157)</f>
        <v>0</v>
      </c>
      <c r="N66" s="13">
        <f>SUMIF(Mercado_Receita!$S$2:$S$1157,"44652B3Convencional pré-pagamentoNão se aplicaNão se aplicaNão se aplicaNão se aplicaPonta",Mercado_Receita!$L$2:$L$1157)+SUMIF(Mercado_Receita!$S$2:$S$1157,"44652B3Convencional pré-pagamentoNão se aplicaNão se aplicaNão se aplicaNão se aplicaFora ponta",Mercado_Receita!$L$2:$L$1157)+SUMIF(Mercado_Receita!$S$2:$S$1157,"44652B3Convencional pré-pagamentoNão se aplicaNão se aplicaNão se aplicaNão se aplicaIntermediário",Mercado_Receita!$L$2:$L$1157)+SUMIF(Mercado_Receita!$S$2:$S$1157,"44652B3Convencional pré-pagamentoNão se aplicaNão se aplicaNão se aplicaNão se aplicaNão se aplica",Mercado_Receita!$L$2:$L$1157)</f>
        <v>0</v>
      </c>
      <c r="O66" s="13">
        <f>SUMIF(Mercado_Receita!$S$2:$S$1157,"44682B3Convencional pré-pagamentoNão se aplicaNão se aplicaNão se aplicaNão se aplicaPonta",Mercado_Receita!$L$2:$L$1157)+SUMIF(Mercado_Receita!$S$2:$S$1157,"44682B3Convencional pré-pagamentoNão se aplicaNão se aplicaNão se aplicaNão se aplicaFora ponta",Mercado_Receita!$L$2:$L$1157)+SUMIF(Mercado_Receita!$S$2:$S$1157,"44682B3Convencional pré-pagamentoNão se aplicaNão se aplicaNão se aplicaNão se aplicaIntermediário",Mercado_Receita!$L$2:$L$1157)+SUMIF(Mercado_Receita!$S$2:$S$1157,"44682B3Convencional pré-pagamentoNão se aplicaNão se aplicaNão se aplicaNão se aplicaNão se aplica",Mercado_Receita!$L$2:$L$1157)</f>
        <v>0</v>
      </c>
      <c r="P66" s="13">
        <f>SUMIF(Mercado_Receita!$S$2:$S$1157,"44713B3Convencional pré-pagamentoNão se aplicaNão se aplicaNão se aplicaNão se aplicaPonta",Mercado_Receita!$L$2:$L$1157)+SUMIF(Mercado_Receita!$S$2:$S$1157,"44713B3Convencional pré-pagamentoNão se aplicaNão se aplicaNão se aplicaNão se aplicaFora ponta",Mercado_Receita!$L$2:$L$1157)+SUMIF(Mercado_Receita!$S$2:$S$1157,"44713B3Convencional pré-pagamentoNão se aplicaNão se aplicaNão se aplicaNão se aplicaIntermediário",Mercado_Receita!$L$2:$L$1157)+SUMIF(Mercado_Receita!$S$2:$S$1157,"44713B3Convencional pré-pagamentoNão se aplicaNão se aplicaNão se aplicaNão se aplicaNão se aplica",Mercado_Receita!$L$2:$L$1157)</f>
        <v>0</v>
      </c>
      <c r="Q66" s="13">
        <f>SUMIF(Mercado_Receita!$S$2:$S$1157,"44743B3Convencional pré-pagamentoNão se aplicaNão se aplicaNão se aplicaNão se aplicaPonta",Mercado_Receita!$L$2:$L$1157)+SUMIF(Mercado_Receita!$S$2:$S$1157,"44743B3Convencional pré-pagamentoNão se aplicaNão se aplicaNão se aplicaNão se aplicaFora ponta",Mercado_Receita!$L$2:$L$1157)+SUMIF(Mercado_Receita!$S$2:$S$1157,"44743B3Convencional pré-pagamentoNão se aplicaNão se aplicaNão se aplicaNão se aplicaIntermediário",Mercado_Receita!$L$2:$L$1157)+SUMIF(Mercado_Receita!$S$2:$S$1157,"44743B3Convencional pré-pagamentoNão se aplicaNão se aplicaNão se aplicaNão se aplicaNão se aplica",Mercado_Receita!$L$2:$L$1157)</f>
        <v>0</v>
      </c>
      <c r="R66" s="13">
        <f>SUMIF(Mercado_Receita!$S$2:$S$1157,"44774B3Convencional pré-pagamentoNão se aplicaNão se aplicaNão se aplicaNão se aplicaPonta",Mercado_Receita!$L$2:$L$1157)+SUMIF(Mercado_Receita!$S$2:$S$1157,"44774B3Convencional pré-pagamentoNão se aplicaNão se aplicaNão se aplicaNão se aplicaFora ponta",Mercado_Receita!$L$2:$L$1157)+SUMIF(Mercado_Receita!$S$2:$S$1157,"44774B3Convencional pré-pagamentoNão se aplicaNão se aplicaNão se aplicaNão se aplicaIntermediário",Mercado_Receita!$L$2:$L$1157)+SUMIF(Mercado_Receita!$S$2:$S$1157,"44774B3Convencional pré-pagamentoNão se aplicaNão se aplicaNão se aplicaNão se aplicaNão se aplica",Mercado_Receita!$L$2:$L$1157)</f>
        <v>0</v>
      </c>
      <c r="S66" s="13">
        <f>SUMIF(Mercado_Receita!$S$2:$S$1157,"44805B3Convencional pré-pagamentoNão se aplicaNão se aplicaNão se aplicaNão se aplicaPonta",Mercado_Receita!$L$2:$L$1157)+SUMIF(Mercado_Receita!$S$2:$S$1157,"44805B3Convencional pré-pagamentoNão se aplicaNão se aplicaNão se aplicaNão se aplicaFora ponta",Mercado_Receita!$L$2:$L$1157)+SUMIF(Mercado_Receita!$S$2:$S$1157,"44805B3Convencional pré-pagamentoNão se aplicaNão se aplicaNão se aplicaNão se aplicaIntermediário",Mercado_Receita!$L$2:$L$1157)+SUMIF(Mercado_Receita!$S$2:$S$1157,"44805B3Convencional pré-pagamentoNão se aplicaNão se aplicaNão se aplicaNão se aplicaNão se aplica",Mercado_Receita!$L$2:$L$1157)</f>
        <v>0</v>
      </c>
      <c r="T66" s="13">
        <f>SUMIF(Mercado_Receita!$S$2:$S$1157,"44835B3Convencional pré-pagamentoNão se aplicaNão se aplicaNão se aplicaNão se aplicaPonta",Mercado_Receita!$L$2:$L$1157)+SUMIF(Mercado_Receita!$S$2:$S$1157,"44835B3Convencional pré-pagamentoNão se aplicaNão se aplicaNão se aplicaNão se aplicaFora ponta",Mercado_Receita!$L$2:$L$1157)+SUMIF(Mercado_Receita!$S$2:$S$1157,"44835B3Convencional pré-pagamentoNão se aplicaNão se aplicaNão se aplicaNão se aplicaIntermediário",Mercado_Receita!$L$2:$L$1157)+SUMIF(Mercado_Receita!$S$2:$S$1157,"44835B3Convencional pré-pagamentoNão se aplicaNão se aplicaNão se aplicaNão se aplicaNão se aplica",Mercado_Receita!$L$2:$L$1157)</f>
        <v>0</v>
      </c>
      <c r="U66" s="13">
        <f t="shared" ref="U66:U68" si="2">SUM(I66:T66)</f>
        <v>0</v>
      </c>
      <c r="V66" s="13"/>
      <c r="W66" s="13"/>
    </row>
    <row r="67" spans="1:23" ht="11.25" customHeight="1" x14ac:dyDescent="0.3">
      <c r="A67" s="110" t="s">
        <v>47</v>
      </c>
      <c r="B67" s="110" t="s">
        <v>23</v>
      </c>
      <c r="C67" s="110" t="s">
        <v>48</v>
      </c>
      <c r="D67" s="12" t="s">
        <v>49</v>
      </c>
      <c r="E67" s="12" t="s">
        <v>25</v>
      </c>
      <c r="F67" s="12" t="s">
        <v>25</v>
      </c>
      <c r="G67" s="13" t="s">
        <v>84</v>
      </c>
      <c r="H67" s="13" t="s">
        <v>78</v>
      </c>
      <c r="I67" s="13">
        <f>SUMIF(Mercado_Receita!$S$2:$S$1157,"44501B4ConvencionalIluminação públicaIluminação pública – B4aNão se aplicaNão se aplicaPonta",Mercado_Receita!$L$2:$L$1157)+SUMIF(Mercado_Receita!$S$2:$S$1157,"44501B4ConvencionalIluminação públicaIluminação pública – B4aNão se aplicaNão se aplicaFora ponta",Mercado_Receita!$L$2:$L$1157)+SUMIF(Mercado_Receita!$S$2:$S$1157,"44501B4ConvencionalIluminação públicaIluminação pública – B4aNão se aplicaNão se aplicaIntermediário",Mercado_Receita!$L$2:$L$1157)+SUMIF(Mercado_Receita!$S$2:$S$1157,"44501B4ConvencionalIluminação públicaIluminação pública – B4aNão se aplicaNão se aplicaNão se aplica",Mercado_Receita!$L$2:$L$1157)</f>
        <v>1655.827</v>
      </c>
      <c r="J67" s="13">
        <f>SUMIF(Mercado_Receita!$S$2:$S$1157,"44531B4ConvencionalIluminação públicaIluminação pública – B4aNão se aplicaNão se aplicaPonta",Mercado_Receita!$L$2:$L$1157)+SUMIF(Mercado_Receita!$S$2:$S$1157,"44531B4ConvencionalIluminação públicaIluminação pública – B4aNão se aplicaNão se aplicaFora ponta",Mercado_Receita!$L$2:$L$1157)+SUMIF(Mercado_Receita!$S$2:$S$1157,"44531B4ConvencionalIluminação públicaIluminação pública – B4aNão se aplicaNão se aplicaIntermediário",Mercado_Receita!$L$2:$L$1157)+SUMIF(Mercado_Receita!$S$2:$S$1157,"44531B4ConvencionalIluminação públicaIluminação pública – B4aNão se aplicaNão se aplicaNão se aplica",Mercado_Receita!$L$2:$L$1157)</f>
        <v>1520.616</v>
      </c>
      <c r="K67" s="13">
        <f>SUMIF(Mercado_Receita!$S$2:$S$1157,"44562B4ConvencionalIluminação públicaIluminação pública – B4aNão se aplicaNão se aplicaPonta",Mercado_Receita!$L$2:$L$1157)+SUMIF(Mercado_Receita!$S$2:$S$1157,"44562B4ConvencionalIluminação públicaIluminação pública – B4aNão se aplicaNão se aplicaFora ponta",Mercado_Receita!$L$2:$L$1157)+SUMIF(Mercado_Receita!$S$2:$S$1157,"44562B4ConvencionalIluminação públicaIluminação pública – B4aNão se aplicaNão se aplicaIntermediário",Mercado_Receita!$L$2:$L$1157)+SUMIF(Mercado_Receita!$S$2:$S$1157,"44562B4ConvencionalIluminação públicaIluminação pública – B4aNão se aplicaNão se aplicaNão se aplica",Mercado_Receita!$L$2:$L$1157)</f>
        <v>1581.3240000000001</v>
      </c>
      <c r="L67" s="13">
        <f>SUMIF(Mercado_Receita!$S$2:$S$1157,"44593B4ConvencionalIluminação públicaIluminação pública – B4aNão se aplicaNão se aplicaPonta",Mercado_Receita!$L$2:$L$1157)+SUMIF(Mercado_Receita!$S$2:$S$1157,"44593B4ConvencionalIluminação públicaIluminação pública – B4aNão se aplicaNão se aplicaFora ponta",Mercado_Receita!$L$2:$L$1157)+SUMIF(Mercado_Receita!$S$2:$S$1157,"44593B4ConvencionalIluminação públicaIluminação pública – B4aNão se aplicaNão se aplicaIntermediário",Mercado_Receita!$L$2:$L$1157)+SUMIF(Mercado_Receita!$S$2:$S$1157,"44593B4ConvencionalIluminação públicaIluminação pública – B4aNão se aplicaNão se aplicaNão se aplica",Mercado_Receita!$L$2:$L$1157)</f>
        <v>1533.1579999999999</v>
      </c>
      <c r="M67" s="13">
        <f>SUMIF(Mercado_Receita!$S$2:$S$1157,"44621B4ConvencionalIluminação públicaIluminação pública – B4aNão se aplicaNão se aplicaPonta",Mercado_Receita!$L$2:$L$1157)+SUMIF(Mercado_Receita!$S$2:$S$1157,"44621B4ConvencionalIluminação públicaIluminação pública – B4aNão se aplicaNão se aplicaFora ponta",Mercado_Receita!$L$2:$L$1157)+SUMIF(Mercado_Receita!$S$2:$S$1157,"44621B4ConvencionalIluminação públicaIluminação pública – B4aNão se aplicaNão se aplicaIntermediário",Mercado_Receita!$L$2:$L$1157)+SUMIF(Mercado_Receita!$S$2:$S$1157,"44621B4ConvencionalIluminação públicaIluminação pública – B4aNão se aplicaNão se aplicaNão se aplica",Mercado_Receita!$L$2:$L$1157)</f>
        <v>1434.3309999999999</v>
      </c>
      <c r="N67" s="13">
        <f>SUMIF(Mercado_Receita!$S$2:$S$1157,"44652B4ConvencionalIluminação públicaIluminação pública – B4aNão se aplicaNão se aplicaPonta",Mercado_Receita!$L$2:$L$1157)+SUMIF(Mercado_Receita!$S$2:$S$1157,"44652B4ConvencionalIluminação públicaIluminação pública – B4aNão se aplicaNão se aplicaFora ponta",Mercado_Receita!$L$2:$L$1157)+SUMIF(Mercado_Receita!$S$2:$S$1157,"44652B4ConvencionalIluminação públicaIluminação pública – B4aNão se aplicaNão se aplicaIntermediário",Mercado_Receita!$L$2:$L$1157)+SUMIF(Mercado_Receita!$S$2:$S$1157,"44652B4ConvencionalIluminação públicaIluminação pública – B4aNão se aplicaNão se aplicaNão se aplica",Mercado_Receita!$L$2:$L$1157)</f>
        <v>1639.623</v>
      </c>
      <c r="O67" s="13">
        <f>SUMIF(Mercado_Receita!$S$2:$S$1157,"44682B4ConvencionalIluminação públicaIluminação pública – B4aNão se aplicaNão se aplicaPonta",Mercado_Receita!$L$2:$L$1157)+SUMIF(Mercado_Receita!$S$2:$S$1157,"44682B4ConvencionalIluminação públicaIluminação pública – B4aNão se aplicaNão se aplicaFora ponta",Mercado_Receita!$L$2:$L$1157)+SUMIF(Mercado_Receita!$S$2:$S$1157,"44682B4ConvencionalIluminação públicaIluminação pública – B4aNão se aplicaNão se aplicaIntermediário",Mercado_Receita!$L$2:$L$1157)+SUMIF(Mercado_Receita!$S$2:$S$1157,"44682B4ConvencionalIluminação públicaIluminação pública – B4aNão se aplicaNão se aplicaNão se aplica",Mercado_Receita!$L$2:$L$1157)</f>
        <v>1659.1769999999999</v>
      </c>
      <c r="P67" s="13">
        <f>SUMIF(Mercado_Receita!$S$2:$S$1157,"44713B4ConvencionalIluminação públicaIluminação pública – B4aNão se aplicaNão se aplicaPonta",Mercado_Receita!$L$2:$L$1157)+SUMIF(Mercado_Receita!$S$2:$S$1157,"44713B4ConvencionalIluminação públicaIluminação pública – B4aNão se aplicaNão se aplicaFora ponta",Mercado_Receita!$L$2:$L$1157)+SUMIF(Mercado_Receita!$S$2:$S$1157,"44713B4ConvencionalIluminação públicaIluminação pública – B4aNão se aplicaNão se aplicaIntermediário",Mercado_Receita!$L$2:$L$1157)+SUMIF(Mercado_Receita!$S$2:$S$1157,"44713B4ConvencionalIluminação públicaIluminação pública – B4aNão se aplicaNão se aplicaNão se aplica",Mercado_Receita!$L$2:$L$1157)</f>
        <v>1776.6980000000001</v>
      </c>
      <c r="Q67" s="13">
        <f>SUMIF(Mercado_Receita!$S$2:$S$1157,"44743B4ConvencionalIluminação públicaIluminação pública – B4aNão se aplicaNão se aplicaPonta",Mercado_Receita!$L$2:$L$1157)+SUMIF(Mercado_Receita!$S$2:$S$1157,"44743B4ConvencionalIluminação públicaIluminação pública – B4aNão se aplicaNão se aplicaFora ponta",Mercado_Receita!$L$2:$L$1157)+SUMIF(Mercado_Receita!$S$2:$S$1157,"44743B4ConvencionalIluminação públicaIluminação pública – B4aNão se aplicaNão se aplicaIntermediário",Mercado_Receita!$L$2:$L$1157)+SUMIF(Mercado_Receita!$S$2:$S$1157,"44743B4ConvencionalIluminação públicaIluminação pública – B4aNão se aplicaNão se aplicaNão se aplica",Mercado_Receita!$L$2:$L$1157)</f>
        <v>1731.701</v>
      </c>
      <c r="R67" s="13">
        <f>SUMIF(Mercado_Receita!$S$2:$S$1157,"44774B4ConvencionalIluminação públicaIluminação pública – B4aNão se aplicaNão se aplicaPonta",Mercado_Receita!$L$2:$L$1157)+SUMIF(Mercado_Receita!$S$2:$S$1157,"44774B4ConvencionalIluminação públicaIluminação pública – B4aNão se aplicaNão se aplicaFora ponta",Mercado_Receita!$L$2:$L$1157)+SUMIF(Mercado_Receita!$S$2:$S$1157,"44774B4ConvencionalIluminação públicaIluminação pública – B4aNão se aplicaNão se aplicaIntermediário",Mercado_Receita!$L$2:$L$1157)+SUMIF(Mercado_Receita!$S$2:$S$1157,"44774B4ConvencionalIluminação públicaIluminação pública – B4aNão se aplicaNão se aplicaNão se aplica",Mercado_Receita!$L$2:$L$1157)</f>
        <v>1771.2239999999999</v>
      </c>
      <c r="S67" s="13">
        <f>SUMIF(Mercado_Receita!$S$2:$S$1157,"44805B4ConvencionalIluminação públicaIluminação pública – B4aNão se aplicaNão se aplicaPonta",Mercado_Receita!$L$2:$L$1157)+SUMIF(Mercado_Receita!$S$2:$S$1157,"44805B4ConvencionalIluminação públicaIluminação pública – B4aNão se aplicaNão se aplicaFora ponta",Mercado_Receita!$L$2:$L$1157)+SUMIF(Mercado_Receita!$S$2:$S$1157,"44805B4ConvencionalIluminação públicaIluminação pública – B4aNão se aplicaNão se aplicaIntermediário",Mercado_Receita!$L$2:$L$1157)+SUMIF(Mercado_Receita!$S$2:$S$1157,"44805B4ConvencionalIluminação públicaIluminação pública – B4aNão se aplicaNão se aplicaNão se aplica",Mercado_Receita!$L$2:$L$1157)</f>
        <v>1675.3330000000001</v>
      </c>
      <c r="T67" s="13">
        <f>SUMIF(Mercado_Receita!$S$2:$S$1157,"44835B4ConvencionalIluminação públicaIluminação pública – B4aNão se aplicaNão se aplicaPonta",Mercado_Receita!$L$2:$L$1157)+SUMIF(Mercado_Receita!$S$2:$S$1157,"44835B4ConvencionalIluminação públicaIluminação pública – B4aNão se aplicaNão se aplicaFora ponta",Mercado_Receita!$L$2:$L$1157)+SUMIF(Mercado_Receita!$S$2:$S$1157,"44835B4ConvencionalIluminação públicaIluminação pública – B4aNão se aplicaNão se aplicaIntermediário",Mercado_Receita!$L$2:$L$1157)+SUMIF(Mercado_Receita!$S$2:$S$1157,"44835B4ConvencionalIluminação públicaIluminação pública – B4aNão se aplicaNão se aplicaNão se aplica",Mercado_Receita!$L$2:$L$1157)</f>
        <v>1675.3330000000001</v>
      </c>
      <c r="U67" s="13">
        <f t="shared" si="2"/>
        <v>19654.344999999998</v>
      </c>
      <c r="V67" s="13"/>
      <c r="W67" s="13"/>
    </row>
    <row r="68" spans="1:23" ht="11.25" customHeight="1" x14ac:dyDescent="0.3">
      <c r="A68" s="111"/>
      <c r="B68" s="111"/>
      <c r="C68" s="111"/>
      <c r="D68" s="13" t="s">
        <v>95</v>
      </c>
      <c r="E68" s="13" t="s">
        <v>25</v>
      </c>
      <c r="F68" s="13" t="s">
        <v>25</v>
      </c>
      <c r="G68" s="13" t="s">
        <v>84</v>
      </c>
      <c r="H68" s="13" t="s">
        <v>78</v>
      </c>
      <c r="I68" s="13">
        <f>SUMIF(Mercado_Receita!$S$2:$S$1157,"44501B4ConvencionalIluminação públicaIluminação pública – B4bNão se aplicaNão se aplicaPonta",Mercado_Receita!$L$2:$L$1157)+SUMIF(Mercado_Receita!$S$2:$S$1157,"44501B4ConvencionalIluminação públicaIluminação pública – B4bNão se aplicaNão se aplicaFora ponta",Mercado_Receita!$L$2:$L$1157)+SUMIF(Mercado_Receita!$S$2:$S$1157,"44501B4ConvencionalIluminação públicaIluminação pública – B4bNão se aplicaNão se aplicaIntermediário",Mercado_Receita!$L$2:$L$1157)+SUMIF(Mercado_Receita!$S$2:$S$1157,"44501B4ConvencionalIluminação públicaIluminação pública – B4bNão se aplicaNão se aplicaNão se aplica",Mercado_Receita!$L$2:$L$1157)</f>
        <v>0</v>
      </c>
      <c r="J68" s="13">
        <f>SUMIF(Mercado_Receita!$S$2:$S$1157,"44531B4ConvencionalIluminação públicaIluminação pública – B4bNão se aplicaNão se aplicaPonta",Mercado_Receita!$L$2:$L$1157)+SUMIF(Mercado_Receita!$S$2:$S$1157,"44531B4ConvencionalIluminação públicaIluminação pública – B4bNão se aplicaNão se aplicaFora ponta",Mercado_Receita!$L$2:$L$1157)+SUMIF(Mercado_Receita!$S$2:$S$1157,"44531B4ConvencionalIluminação públicaIluminação pública – B4bNão se aplicaNão se aplicaIntermediário",Mercado_Receita!$L$2:$L$1157)+SUMIF(Mercado_Receita!$S$2:$S$1157,"44531B4ConvencionalIluminação públicaIluminação pública – B4bNão se aplicaNão se aplicaNão se aplica",Mercado_Receita!$L$2:$L$1157)</f>
        <v>0</v>
      </c>
      <c r="K68" s="13">
        <f>SUMIF(Mercado_Receita!$S$2:$S$1157,"44562B4ConvencionalIluminação públicaIluminação pública – B4bNão se aplicaNão se aplicaPonta",Mercado_Receita!$L$2:$L$1157)+SUMIF(Mercado_Receita!$S$2:$S$1157,"44562B4ConvencionalIluminação públicaIluminação pública – B4bNão se aplicaNão se aplicaFora ponta",Mercado_Receita!$L$2:$L$1157)+SUMIF(Mercado_Receita!$S$2:$S$1157,"44562B4ConvencionalIluminação públicaIluminação pública – B4bNão se aplicaNão se aplicaIntermediário",Mercado_Receita!$L$2:$L$1157)+SUMIF(Mercado_Receita!$S$2:$S$1157,"44562B4ConvencionalIluminação públicaIluminação pública – B4bNão se aplicaNão se aplicaNão se aplica",Mercado_Receita!$L$2:$L$1157)</f>
        <v>0</v>
      </c>
      <c r="L68" s="13">
        <f>SUMIF(Mercado_Receita!$S$2:$S$1157,"44593B4ConvencionalIluminação públicaIluminação pública – B4bNão se aplicaNão se aplicaPonta",Mercado_Receita!$L$2:$L$1157)+SUMIF(Mercado_Receita!$S$2:$S$1157,"44593B4ConvencionalIluminação públicaIluminação pública – B4bNão se aplicaNão se aplicaFora ponta",Mercado_Receita!$L$2:$L$1157)+SUMIF(Mercado_Receita!$S$2:$S$1157,"44593B4ConvencionalIluminação públicaIluminação pública – B4bNão se aplicaNão se aplicaIntermediário",Mercado_Receita!$L$2:$L$1157)+SUMIF(Mercado_Receita!$S$2:$S$1157,"44593B4ConvencionalIluminação públicaIluminação pública – B4bNão se aplicaNão se aplicaNão se aplica",Mercado_Receita!$L$2:$L$1157)</f>
        <v>0</v>
      </c>
      <c r="M68" s="13">
        <f>SUMIF(Mercado_Receita!$S$2:$S$1157,"44621B4ConvencionalIluminação públicaIluminação pública – B4bNão se aplicaNão se aplicaPonta",Mercado_Receita!$L$2:$L$1157)+SUMIF(Mercado_Receita!$S$2:$S$1157,"44621B4ConvencionalIluminação públicaIluminação pública – B4bNão se aplicaNão se aplicaFora ponta",Mercado_Receita!$L$2:$L$1157)+SUMIF(Mercado_Receita!$S$2:$S$1157,"44621B4ConvencionalIluminação públicaIluminação pública – B4bNão se aplicaNão se aplicaIntermediário",Mercado_Receita!$L$2:$L$1157)+SUMIF(Mercado_Receita!$S$2:$S$1157,"44621B4ConvencionalIluminação públicaIluminação pública – B4bNão se aplicaNão se aplicaNão se aplica",Mercado_Receita!$L$2:$L$1157)</f>
        <v>0</v>
      </c>
      <c r="N68" s="13">
        <f>SUMIF(Mercado_Receita!$S$2:$S$1157,"44652B4ConvencionalIluminação públicaIluminação pública – B4bNão se aplicaNão se aplicaPonta",Mercado_Receita!$L$2:$L$1157)+SUMIF(Mercado_Receita!$S$2:$S$1157,"44652B4ConvencionalIluminação públicaIluminação pública – B4bNão se aplicaNão se aplicaFora ponta",Mercado_Receita!$L$2:$L$1157)+SUMIF(Mercado_Receita!$S$2:$S$1157,"44652B4ConvencionalIluminação públicaIluminação pública – B4bNão se aplicaNão se aplicaIntermediário",Mercado_Receita!$L$2:$L$1157)+SUMIF(Mercado_Receita!$S$2:$S$1157,"44652B4ConvencionalIluminação públicaIluminação pública – B4bNão se aplicaNão se aplicaNão se aplica",Mercado_Receita!$L$2:$L$1157)</f>
        <v>0</v>
      </c>
      <c r="O68" s="13">
        <f>SUMIF(Mercado_Receita!$S$2:$S$1157,"44682B4ConvencionalIluminação públicaIluminação pública – B4bNão se aplicaNão se aplicaPonta",Mercado_Receita!$L$2:$L$1157)+SUMIF(Mercado_Receita!$S$2:$S$1157,"44682B4ConvencionalIluminação públicaIluminação pública – B4bNão se aplicaNão se aplicaFora ponta",Mercado_Receita!$L$2:$L$1157)+SUMIF(Mercado_Receita!$S$2:$S$1157,"44682B4ConvencionalIluminação públicaIluminação pública – B4bNão se aplicaNão se aplicaIntermediário",Mercado_Receita!$L$2:$L$1157)+SUMIF(Mercado_Receita!$S$2:$S$1157,"44682B4ConvencionalIluminação públicaIluminação pública – B4bNão se aplicaNão se aplicaNão se aplica",Mercado_Receita!$L$2:$L$1157)</f>
        <v>0</v>
      </c>
      <c r="P68" s="13">
        <f>SUMIF(Mercado_Receita!$S$2:$S$1157,"44713B4ConvencionalIluminação públicaIluminação pública – B4bNão se aplicaNão se aplicaPonta",Mercado_Receita!$L$2:$L$1157)+SUMIF(Mercado_Receita!$S$2:$S$1157,"44713B4ConvencionalIluminação públicaIluminação pública – B4bNão se aplicaNão se aplicaFora ponta",Mercado_Receita!$L$2:$L$1157)+SUMIF(Mercado_Receita!$S$2:$S$1157,"44713B4ConvencionalIluminação públicaIluminação pública – B4bNão se aplicaNão se aplicaIntermediário",Mercado_Receita!$L$2:$L$1157)+SUMIF(Mercado_Receita!$S$2:$S$1157,"44713B4ConvencionalIluminação públicaIluminação pública – B4bNão se aplicaNão se aplicaNão se aplica",Mercado_Receita!$L$2:$L$1157)</f>
        <v>0</v>
      </c>
      <c r="Q68" s="13">
        <f>SUMIF(Mercado_Receita!$S$2:$S$1157,"44743B4ConvencionalIluminação públicaIluminação pública – B4bNão se aplicaNão se aplicaPonta",Mercado_Receita!$L$2:$L$1157)+SUMIF(Mercado_Receita!$S$2:$S$1157,"44743B4ConvencionalIluminação públicaIluminação pública – B4bNão se aplicaNão se aplicaFora ponta",Mercado_Receita!$L$2:$L$1157)+SUMIF(Mercado_Receita!$S$2:$S$1157,"44743B4ConvencionalIluminação públicaIluminação pública – B4bNão se aplicaNão se aplicaIntermediário",Mercado_Receita!$L$2:$L$1157)+SUMIF(Mercado_Receita!$S$2:$S$1157,"44743B4ConvencionalIluminação públicaIluminação pública – B4bNão se aplicaNão se aplicaNão se aplica",Mercado_Receita!$L$2:$L$1157)</f>
        <v>0</v>
      </c>
      <c r="R68" s="13">
        <f>SUMIF(Mercado_Receita!$S$2:$S$1157,"44774B4ConvencionalIluminação públicaIluminação pública – B4bNão se aplicaNão se aplicaPonta",Mercado_Receita!$L$2:$L$1157)+SUMIF(Mercado_Receita!$S$2:$S$1157,"44774B4ConvencionalIluminação públicaIluminação pública – B4bNão se aplicaNão se aplicaFora ponta",Mercado_Receita!$L$2:$L$1157)+SUMIF(Mercado_Receita!$S$2:$S$1157,"44774B4ConvencionalIluminação públicaIluminação pública – B4bNão se aplicaNão se aplicaIntermediário",Mercado_Receita!$L$2:$L$1157)+SUMIF(Mercado_Receita!$S$2:$S$1157,"44774B4ConvencionalIluminação públicaIluminação pública – B4bNão se aplicaNão se aplicaNão se aplica",Mercado_Receita!$L$2:$L$1157)</f>
        <v>0</v>
      </c>
      <c r="S68" s="13">
        <f>SUMIF(Mercado_Receita!$S$2:$S$1157,"44805B4ConvencionalIluminação públicaIluminação pública – B4bNão se aplicaNão se aplicaPonta",Mercado_Receita!$L$2:$L$1157)+SUMIF(Mercado_Receita!$S$2:$S$1157,"44805B4ConvencionalIluminação públicaIluminação pública – B4bNão se aplicaNão se aplicaFora ponta",Mercado_Receita!$L$2:$L$1157)+SUMIF(Mercado_Receita!$S$2:$S$1157,"44805B4ConvencionalIluminação públicaIluminação pública – B4bNão se aplicaNão se aplicaIntermediário",Mercado_Receita!$L$2:$L$1157)+SUMIF(Mercado_Receita!$S$2:$S$1157,"44805B4ConvencionalIluminação públicaIluminação pública – B4bNão se aplicaNão se aplicaNão se aplica",Mercado_Receita!$L$2:$L$1157)</f>
        <v>0</v>
      </c>
      <c r="T68" s="13">
        <f>SUMIF(Mercado_Receita!$S$2:$S$1157,"44835B4ConvencionalIluminação públicaIluminação pública – B4bNão se aplicaNão se aplicaPonta",Mercado_Receita!$L$2:$L$1157)+SUMIF(Mercado_Receita!$S$2:$S$1157,"44835B4ConvencionalIluminação públicaIluminação pública – B4bNão se aplicaNão se aplicaFora ponta",Mercado_Receita!$L$2:$L$1157)+SUMIF(Mercado_Receita!$S$2:$S$1157,"44835B4ConvencionalIluminação públicaIluminação pública – B4bNão se aplicaNão se aplicaIntermediário",Mercado_Receita!$L$2:$L$1157)+SUMIF(Mercado_Receita!$S$2:$S$1157,"44835B4ConvencionalIluminação públicaIluminação pública – B4bNão se aplicaNão se aplicaNão se aplica",Mercado_Receita!$L$2:$L$1157)</f>
        <v>0</v>
      </c>
      <c r="U68" s="13">
        <f t="shared" si="2"/>
        <v>0</v>
      </c>
      <c r="V68" s="13"/>
      <c r="W68" s="13"/>
    </row>
    <row r="69" spans="1:23" ht="11.25" customHeight="1" x14ac:dyDescent="0.3">
      <c r="A69" s="112" t="s">
        <v>655</v>
      </c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3"/>
      <c r="W69" s="13"/>
    </row>
  </sheetData>
  <mergeCells count="85">
    <mergeCell ref="A6:A10"/>
    <mergeCell ref="F2:F4"/>
    <mergeCell ref="E2:E4"/>
    <mergeCell ref="D2:D5"/>
    <mergeCell ref="C2:C5"/>
    <mergeCell ref="B2:B5"/>
    <mergeCell ref="A2:A5"/>
    <mergeCell ref="F6:F8"/>
    <mergeCell ref="E6:E8"/>
    <mergeCell ref="D6:D9"/>
    <mergeCell ref="C6:C9"/>
    <mergeCell ref="B6:B9"/>
    <mergeCell ref="A11:A20"/>
    <mergeCell ref="F11:F13"/>
    <mergeCell ref="E11:E13"/>
    <mergeCell ref="D11:D14"/>
    <mergeCell ref="C11:C14"/>
    <mergeCell ref="B11:B14"/>
    <mergeCell ref="F16:F18"/>
    <mergeCell ref="E16:E18"/>
    <mergeCell ref="F19:F20"/>
    <mergeCell ref="E19:E20"/>
    <mergeCell ref="D16:D20"/>
    <mergeCell ref="C16:C20"/>
    <mergeCell ref="B16:B20"/>
    <mergeCell ref="F21:F23"/>
    <mergeCell ref="E21:E23"/>
    <mergeCell ref="D21:D24"/>
    <mergeCell ref="C21:C24"/>
    <mergeCell ref="B21:B24"/>
    <mergeCell ref="F30:F31"/>
    <mergeCell ref="E30:E31"/>
    <mergeCell ref="D30:D31"/>
    <mergeCell ref="C30:C31"/>
    <mergeCell ref="B30:B31"/>
    <mergeCell ref="F28:F29"/>
    <mergeCell ref="E28:E29"/>
    <mergeCell ref="D25:D29"/>
    <mergeCell ref="C25:C29"/>
    <mergeCell ref="B25:B29"/>
    <mergeCell ref="F25:F27"/>
    <mergeCell ref="E25:E27"/>
    <mergeCell ref="F34:F36"/>
    <mergeCell ref="E34:E36"/>
    <mergeCell ref="D34:D36"/>
    <mergeCell ref="C34:C36"/>
    <mergeCell ref="B34:B36"/>
    <mergeCell ref="A21:A31"/>
    <mergeCell ref="D32:D33"/>
    <mergeCell ref="C32:C33"/>
    <mergeCell ref="B32:B33"/>
    <mergeCell ref="A32:A33"/>
    <mergeCell ref="F47:F49"/>
    <mergeCell ref="E47:E49"/>
    <mergeCell ref="D47:D49"/>
    <mergeCell ref="C47:C49"/>
    <mergeCell ref="B47:B49"/>
    <mergeCell ref="C37:C41"/>
    <mergeCell ref="B37:B41"/>
    <mergeCell ref="C42:C46"/>
    <mergeCell ref="B42:B46"/>
    <mergeCell ref="A34:A46"/>
    <mergeCell ref="C51:C53"/>
    <mergeCell ref="B51:B53"/>
    <mergeCell ref="F55:F57"/>
    <mergeCell ref="E55:E57"/>
    <mergeCell ref="D55:D57"/>
    <mergeCell ref="C55:C57"/>
    <mergeCell ref="B55:B57"/>
    <mergeCell ref="A67:A68"/>
    <mergeCell ref="B67:B68"/>
    <mergeCell ref="C67:C68"/>
    <mergeCell ref="A69:U69"/>
    <mergeCell ref="C59:C61"/>
    <mergeCell ref="B59:B61"/>
    <mergeCell ref="A47:A61"/>
    <mergeCell ref="F62:F64"/>
    <mergeCell ref="E62:E64"/>
    <mergeCell ref="D62:D64"/>
    <mergeCell ref="C62:C64"/>
    <mergeCell ref="B62:B64"/>
    <mergeCell ref="A62:A66"/>
    <mergeCell ref="F51:F53"/>
    <mergeCell ref="E51:E53"/>
    <mergeCell ref="D51:D53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C51C7-9377-4294-8826-D0ED9E280C40}">
  <sheetPr codeName="Planilha5"/>
  <dimension ref="A1:AD47"/>
  <sheetViews>
    <sheetView showGridLines="0" workbookViewId="0">
      <selection sqref="A1:W47"/>
    </sheetView>
  </sheetViews>
  <sheetFormatPr defaultRowHeight="11.25" customHeight="1" x14ac:dyDescent="0.3"/>
  <cols>
    <col min="1" max="1" width="9" style="9" bestFit="1" customWidth="1"/>
    <col min="2" max="2" width="24.66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20" width="7.109375" style="9" bestFit="1" customWidth="1"/>
    <col min="21" max="21" width="13" style="9" bestFit="1" customWidth="1"/>
    <col min="22" max="16384" width="8.88671875" style="9"/>
  </cols>
  <sheetData>
    <row r="1" spans="1:30" ht="11.25" customHeight="1" x14ac:dyDescent="0.3">
      <c r="A1" s="10" t="s">
        <v>68</v>
      </c>
      <c r="B1" s="10" t="s">
        <v>69</v>
      </c>
      <c r="C1" s="10" t="s">
        <v>70</v>
      </c>
      <c r="D1" s="10" t="s">
        <v>71</v>
      </c>
      <c r="E1" s="10" t="s">
        <v>72</v>
      </c>
      <c r="F1" s="10" t="s">
        <v>73</v>
      </c>
      <c r="G1" s="10" t="s">
        <v>74</v>
      </c>
      <c r="H1" s="10" t="s">
        <v>75</v>
      </c>
      <c r="I1" s="11">
        <v>44501</v>
      </c>
      <c r="J1" s="11">
        <v>44531</v>
      </c>
      <c r="K1" s="11">
        <v>44562</v>
      </c>
      <c r="L1" s="11">
        <v>44593</v>
      </c>
      <c r="M1" s="11">
        <v>44621</v>
      </c>
      <c r="N1" s="11">
        <v>44652</v>
      </c>
      <c r="O1" s="11">
        <v>44682</v>
      </c>
      <c r="P1" s="11">
        <v>44713</v>
      </c>
      <c r="Q1" s="11">
        <v>44743</v>
      </c>
      <c r="R1" s="11">
        <v>44774</v>
      </c>
      <c r="S1" s="11">
        <v>44805</v>
      </c>
      <c r="T1" s="11">
        <v>44835</v>
      </c>
      <c r="U1" s="10" t="s">
        <v>76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3">
      <c r="A2" s="110" t="s">
        <v>54</v>
      </c>
      <c r="B2" s="110" t="s">
        <v>77</v>
      </c>
      <c r="C2" s="110" t="s">
        <v>25</v>
      </c>
      <c r="D2" s="110" t="s">
        <v>25</v>
      </c>
      <c r="E2" s="110" t="s">
        <v>25</v>
      </c>
      <c r="F2" s="110" t="s">
        <v>25</v>
      </c>
      <c r="G2" s="13" t="s">
        <v>79</v>
      </c>
      <c r="H2" s="13" t="s">
        <v>78</v>
      </c>
      <c r="I2" s="13">
        <f>SUMIF(Mercado_Receita!$T$2:$T$1157,"44501A2Energia horáriaNão se aplicaNão se aplicaNão se aplicaNão se aplicaPonta",Mercado_Receita!$N$2:$N$1157)</f>
        <v>0</v>
      </c>
      <c r="J2" s="13">
        <f>SUMIF(Mercado_Receita!$T$2:$T$1157,"44531A2Energia horáriaNão se aplicaNão se aplicaNão se aplicaNão se aplicaPonta",Mercado_Receita!$N$2:$N$1157)</f>
        <v>0</v>
      </c>
      <c r="K2" s="13">
        <f>SUMIF(Mercado_Receita!$T$2:$T$1157,"44562A2Energia horáriaNão se aplicaNão se aplicaNão se aplicaNão se aplicaPonta",Mercado_Receita!$N$2:$N$1157)</f>
        <v>0</v>
      </c>
      <c r="L2" s="13">
        <f>SUMIF(Mercado_Receita!$T$2:$T$1157,"44593A2Energia horáriaNão se aplicaNão se aplicaNão se aplicaNão se aplicaPonta",Mercado_Receita!$N$2:$N$1157)</f>
        <v>0</v>
      </c>
      <c r="M2" s="13">
        <f>SUMIF(Mercado_Receita!$T$2:$T$1157,"44621A2Energia horáriaNão se aplicaNão se aplicaNão se aplicaNão se aplicaPonta",Mercado_Receita!$N$2:$N$1157)</f>
        <v>0</v>
      </c>
      <c r="N2" s="13">
        <f>SUMIF(Mercado_Receita!$T$2:$T$1157,"44652A2Energia horáriaNão se aplicaNão se aplicaNão se aplicaNão se aplicaPonta",Mercado_Receita!$N$2:$N$1157)</f>
        <v>0</v>
      </c>
      <c r="O2" s="13">
        <f>SUMIF(Mercado_Receita!$T$2:$T$1157,"44682A2Energia horáriaNão se aplicaNão se aplicaNão se aplicaNão se aplicaPonta",Mercado_Receita!$N$2:$N$1157)</f>
        <v>0</v>
      </c>
      <c r="P2" s="13">
        <f>SUMIF(Mercado_Receita!$T$2:$T$1157,"44713A2Energia horáriaNão se aplicaNão se aplicaNão se aplicaNão se aplicaPonta",Mercado_Receita!$N$2:$N$1157)</f>
        <v>0</v>
      </c>
      <c r="Q2" s="13">
        <f>SUMIF(Mercado_Receita!$T$2:$T$1157,"44743A2Energia horáriaNão se aplicaNão se aplicaNão se aplicaNão se aplicaPonta",Mercado_Receita!$N$2:$N$1157)</f>
        <v>0</v>
      </c>
      <c r="R2" s="13">
        <f>SUMIF(Mercado_Receita!$T$2:$T$1157,"44774A2Energia horáriaNão se aplicaNão se aplicaNão se aplicaNão se aplicaPonta",Mercado_Receita!$N$2:$N$1157)</f>
        <v>0</v>
      </c>
      <c r="S2" s="13">
        <f>SUMIF(Mercado_Receita!$T$2:$T$1157,"44805A2Energia horáriaNão se aplicaNão se aplicaNão se aplicaNão se aplicaPonta",Mercado_Receita!$N$2:$N$1157)</f>
        <v>0</v>
      </c>
      <c r="T2" s="13">
        <f>SUMIF(Mercado_Receita!$T$2:$T$1157,"44835A2Energia horáriaNão se aplicaNão se aplicaNão se aplicaNão se aplicaPonta",Mercado_Receita!$N$2:$N$1157)</f>
        <v>0</v>
      </c>
      <c r="U2" s="13">
        <f t="shared" ref="U2:U46" si="0">SUM(I2:T2)</f>
        <v>0</v>
      </c>
      <c r="V2" s="13"/>
      <c r="W2" s="13"/>
    </row>
    <row r="3" spans="1:30" ht="11.25" customHeight="1" x14ac:dyDescent="0.3">
      <c r="A3" s="111"/>
      <c r="B3" s="111"/>
      <c r="C3" s="111"/>
      <c r="D3" s="111"/>
      <c r="E3" s="111"/>
      <c r="F3" s="111"/>
      <c r="G3" s="13" t="s">
        <v>80</v>
      </c>
      <c r="H3" s="13" t="s">
        <v>78</v>
      </c>
      <c r="I3" s="13">
        <f>SUMIF(Mercado_Receita!$T$2:$T$1157,"44501A2Energia horáriaNão se aplicaNão se aplicaNão se aplicaNão se aplicaFora ponta",Mercado_Receita!$N$2:$N$1157)</f>
        <v>0</v>
      </c>
      <c r="J3" s="13">
        <f>SUMIF(Mercado_Receita!$T$2:$T$1157,"44531A2Energia horáriaNão se aplicaNão se aplicaNão se aplicaNão se aplicaFora ponta",Mercado_Receita!$N$2:$N$1157)</f>
        <v>0</v>
      </c>
      <c r="K3" s="13">
        <f>SUMIF(Mercado_Receita!$T$2:$T$1157,"44562A2Energia horáriaNão se aplicaNão se aplicaNão se aplicaNão se aplicaFora ponta",Mercado_Receita!$N$2:$N$1157)</f>
        <v>0</v>
      </c>
      <c r="L3" s="13">
        <f>SUMIF(Mercado_Receita!$T$2:$T$1157,"44593A2Energia horáriaNão se aplicaNão se aplicaNão se aplicaNão se aplicaFora ponta",Mercado_Receita!$N$2:$N$1157)</f>
        <v>0</v>
      </c>
      <c r="M3" s="13">
        <f>SUMIF(Mercado_Receita!$T$2:$T$1157,"44621A2Energia horáriaNão se aplicaNão se aplicaNão se aplicaNão se aplicaFora ponta",Mercado_Receita!$N$2:$N$1157)</f>
        <v>0</v>
      </c>
      <c r="N3" s="13">
        <f>SUMIF(Mercado_Receita!$T$2:$T$1157,"44652A2Energia horáriaNão se aplicaNão se aplicaNão se aplicaNão se aplicaFora ponta",Mercado_Receita!$N$2:$N$1157)</f>
        <v>0</v>
      </c>
      <c r="O3" s="13">
        <f>SUMIF(Mercado_Receita!$T$2:$T$1157,"44682A2Energia horáriaNão se aplicaNão se aplicaNão se aplicaNão se aplicaFora ponta",Mercado_Receita!$N$2:$N$1157)</f>
        <v>0</v>
      </c>
      <c r="P3" s="13">
        <f>SUMIF(Mercado_Receita!$T$2:$T$1157,"44713A2Energia horáriaNão se aplicaNão se aplicaNão se aplicaNão se aplicaFora ponta",Mercado_Receita!$N$2:$N$1157)</f>
        <v>0</v>
      </c>
      <c r="Q3" s="13">
        <f>SUMIF(Mercado_Receita!$T$2:$T$1157,"44743A2Energia horáriaNão se aplicaNão se aplicaNão se aplicaNão se aplicaFora ponta",Mercado_Receita!$N$2:$N$1157)</f>
        <v>0</v>
      </c>
      <c r="R3" s="13">
        <f>SUMIF(Mercado_Receita!$T$2:$T$1157,"44774A2Energia horáriaNão se aplicaNão se aplicaNão se aplicaNão se aplicaFora ponta",Mercado_Receita!$N$2:$N$1157)</f>
        <v>0</v>
      </c>
      <c r="S3" s="13">
        <f>SUMIF(Mercado_Receita!$T$2:$T$1157,"44805A2Energia horáriaNão se aplicaNão se aplicaNão se aplicaNão se aplicaFora ponta",Mercado_Receita!$N$2:$N$1157)</f>
        <v>0</v>
      </c>
      <c r="T3" s="13">
        <f>SUMIF(Mercado_Receita!$T$2:$T$1157,"44835A2Energia horáriaNão se aplicaNão se aplicaNão se aplicaNão se aplicaFora ponta",Mercado_Receita!$N$2:$N$1157)</f>
        <v>0</v>
      </c>
      <c r="U3" s="13">
        <f t="shared" si="0"/>
        <v>0</v>
      </c>
      <c r="V3" s="13"/>
      <c r="W3" s="13"/>
    </row>
    <row r="4" spans="1:30" ht="11.25" customHeight="1" x14ac:dyDescent="0.3">
      <c r="A4" s="110" t="s">
        <v>60</v>
      </c>
      <c r="B4" s="110" t="s">
        <v>77</v>
      </c>
      <c r="C4" s="110" t="s">
        <v>25</v>
      </c>
      <c r="D4" s="110" t="s">
        <v>25</v>
      </c>
      <c r="E4" s="110" t="s">
        <v>25</v>
      </c>
      <c r="F4" s="110" t="s">
        <v>25</v>
      </c>
      <c r="G4" s="13" t="s">
        <v>79</v>
      </c>
      <c r="H4" s="13" t="s">
        <v>78</v>
      </c>
      <c r="I4" s="13">
        <f>SUMIF(Mercado_Receita!$T$2:$T$1157,"44501A3Energia horáriaNão se aplicaNão se aplicaNão se aplicaNão se aplicaPonta",Mercado_Receita!$N$2:$N$1157)</f>
        <v>0</v>
      </c>
      <c r="J4" s="13">
        <f>SUMIF(Mercado_Receita!$T$2:$T$1157,"44531A3Energia horáriaNão se aplicaNão se aplicaNão se aplicaNão se aplicaPonta",Mercado_Receita!$N$2:$N$1157)</f>
        <v>0</v>
      </c>
      <c r="K4" s="13">
        <f>SUMIF(Mercado_Receita!$T$2:$T$1157,"44562A3Energia horáriaNão se aplicaNão se aplicaNão se aplicaNão se aplicaPonta",Mercado_Receita!$N$2:$N$1157)</f>
        <v>0</v>
      </c>
      <c r="L4" s="13">
        <f>SUMIF(Mercado_Receita!$T$2:$T$1157,"44593A3Energia horáriaNão se aplicaNão se aplicaNão se aplicaNão se aplicaPonta",Mercado_Receita!$N$2:$N$1157)</f>
        <v>0</v>
      </c>
      <c r="M4" s="13">
        <f>SUMIF(Mercado_Receita!$T$2:$T$1157,"44621A3Energia horáriaNão se aplicaNão se aplicaNão se aplicaNão se aplicaPonta",Mercado_Receita!$N$2:$N$1157)</f>
        <v>0</v>
      </c>
      <c r="N4" s="13">
        <f>SUMIF(Mercado_Receita!$T$2:$T$1157,"44652A3Energia horáriaNão se aplicaNão se aplicaNão se aplicaNão se aplicaPonta",Mercado_Receita!$N$2:$N$1157)</f>
        <v>0</v>
      </c>
      <c r="O4" s="13">
        <f>SUMIF(Mercado_Receita!$T$2:$T$1157,"44682A3Energia horáriaNão se aplicaNão se aplicaNão se aplicaNão se aplicaPonta",Mercado_Receita!$N$2:$N$1157)</f>
        <v>0</v>
      </c>
      <c r="P4" s="13">
        <f>SUMIF(Mercado_Receita!$T$2:$T$1157,"44713A3Energia horáriaNão se aplicaNão se aplicaNão se aplicaNão se aplicaPonta",Mercado_Receita!$N$2:$N$1157)</f>
        <v>0</v>
      </c>
      <c r="Q4" s="13">
        <f>SUMIF(Mercado_Receita!$T$2:$T$1157,"44743A3Energia horáriaNão se aplicaNão se aplicaNão se aplicaNão se aplicaPonta",Mercado_Receita!$N$2:$N$1157)</f>
        <v>0</v>
      </c>
      <c r="R4" s="13">
        <f>SUMIF(Mercado_Receita!$T$2:$T$1157,"44774A3Energia horáriaNão se aplicaNão se aplicaNão se aplicaNão se aplicaPonta",Mercado_Receita!$N$2:$N$1157)</f>
        <v>0</v>
      </c>
      <c r="S4" s="13">
        <f>SUMIF(Mercado_Receita!$T$2:$T$1157,"44805A3Energia horáriaNão se aplicaNão se aplicaNão se aplicaNão se aplicaPonta",Mercado_Receita!$N$2:$N$1157)</f>
        <v>0</v>
      </c>
      <c r="T4" s="13">
        <f>SUMIF(Mercado_Receita!$T$2:$T$1157,"44835A3Energia horáriaNão se aplicaNão se aplicaNão se aplicaNão se aplicaPonta",Mercado_Receita!$N$2:$N$1157)</f>
        <v>0</v>
      </c>
      <c r="U4" s="13">
        <f t="shared" si="0"/>
        <v>0</v>
      </c>
      <c r="V4" s="13"/>
      <c r="W4" s="13"/>
    </row>
    <row r="5" spans="1:30" ht="11.25" customHeight="1" x14ac:dyDescent="0.3">
      <c r="A5" s="111"/>
      <c r="B5" s="111"/>
      <c r="C5" s="111"/>
      <c r="D5" s="111"/>
      <c r="E5" s="111"/>
      <c r="F5" s="111"/>
      <c r="G5" s="13" t="s">
        <v>80</v>
      </c>
      <c r="H5" s="13" t="s">
        <v>78</v>
      </c>
      <c r="I5" s="13">
        <f>SUMIF(Mercado_Receita!$T$2:$T$1157,"44501A3Energia horáriaNão se aplicaNão se aplicaNão se aplicaNão se aplicaFora ponta",Mercado_Receita!$N$2:$N$1157)</f>
        <v>0</v>
      </c>
      <c r="J5" s="13">
        <f>SUMIF(Mercado_Receita!$T$2:$T$1157,"44531A3Energia horáriaNão se aplicaNão se aplicaNão se aplicaNão se aplicaFora ponta",Mercado_Receita!$N$2:$N$1157)</f>
        <v>0</v>
      </c>
      <c r="K5" s="13">
        <f>SUMIF(Mercado_Receita!$T$2:$T$1157,"44562A3Energia horáriaNão se aplicaNão se aplicaNão se aplicaNão se aplicaFora ponta",Mercado_Receita!$N$2:$N$1157)</f>
        <v>0</v>
      </c>
      <c r="L5" s="13">
        <f>SUMIF(Mercado_Receita!$T$2:$T$1157,"44593A3Energia horáriaNão se aplicaNão se aplicaNão se aplicaNão se aplicaFora ponta",Mercado_Receita!$N$2:$N$1157)</f>
        <v>0</v>
      </c>
      <c r="M5" s="13">
        <f>SUMIF(Mercado_Receita!$T$2:$T$1157,"44621A3Energia horáriaNão se aplicaNão se aplicaNão se aplicaNão se aplicaFora ponta",Mercado_Receita!$N$2:$N$1157)</f>
        <v>0</v>
      </c>
      <c r="N5" s="13">
        <f>SUMIF(Mercado_Receita!$T$2:$T$1157,"44652A3Energia horáriaNão se aplicaNão se aplicaNão se aplicaNão se aplicaFora ponta",Mercado_Receita!$N$2:$N$1157)</f>
        <v>0</v>
      </c>
      <c r="O5" s="13">
        <f>SUMIF(Mercado_Receita!$T$2:$T$1157,"44682A3Energia horáriaNão se aplicaNão se aplicaNão se aplicaNão se aplicaFora ponta",Mercado_Receita!$N$2:$N$1157)</f>
        <v>0</v>
      </c>
      <c r="P5" s="13">
        <f>SUMIF(Mercado_Receita!$T$2:$T$1157,"44713A3Energia horáriaNão se aplicaNão se aplicaNão se aplicaNão se aplicaFora ponta",Mercado_Receita!$N$2:$N$1157)</f>
        <v>0</v>
      </c>
      <c r="Q5" s="13">
        <f>SUMIF(Mercado_Receita!$T$2:$T$1157,"44743A3Energia horáriaNão se aplicaNão se aplicaNão se aplicaNão se aplicaFora ponta",Mercado_Receita!$N$2:$N$1157)</f>
        <v>0</v>
      </c>
      <c r="R5" s="13">
        <f>SUMIF(Mercado_Receita!$T$2:$T$1157,"44774A3Energia horáriaNão se aplicaNão se aplicaNão se aplicaNão se aplicaFora ponta",Mercado_Receita!$N$2:$N$1157)</f>
        <v>0</v>
      </c>
      <c r="S5" s="13">
        <f>SUMIF(Mercado_Receita!$T$2:$T$1157,"44805A3Energia horáriaNão se aplicaNão se aplicaNão se aplicaNão se aplicaFora ponta",Mercado_Receita!$N$2:$N$1157)</f>
        <v>0</v>
      </c>
      <c r="T5" s="13">
        <f>SUMIF(Mercado_Receita!$T$2:$T$1157,"44835A3Energia horáriaNão se aplicaNão se aplicaNão se aplicaNão se aplicaFora ponta",Mercado_Receita!$N$2:$N$1157)</f>
        <v>0</v>
      </c>
      <c r="U5" s="13">
        <f t="shared" si="0"/>
        <v>0</v>
      </c>
      <c r="V5" s="13"/>
      <c r="W5" s="13"/>
    </row>
    <row r="6" spans="1:30" ht="11.25" customHeight="1" x14ac:dyDescent="0.3">
      <c r="A6" s="110" t="s">
        <v>39</v>
      </c>
      <c r="B6" s="110" t="s">
        <v>77</v>
      </c>
      <c r="C6" s="110" t="s">
        <v>25</v>
      </c>
      <c r="D6" s="110" t="s">
        <v>25</v>
      </c>
      <c r="E6" s="110" t="s">
        <v>25</v>
      </c>
      <c r="F6" s="110" t="s">
        <v>25</v>
      </c>
      <c r="G6" s="13" t="s">
        <v>79</v>
      </c>
      <c r="H6" s="13" t="s">
        <v>78</v>
      </c>
      <c r="I6" s="13">
        <f>SUMIF(Mercado_Receita!$T$2:$T$1157,"44501A4Energia horáriaNão se aplicaNão se aplicaNão se aplicaNão se aplicaPonta",Mercado_Receita!$N$2:$N$1157)</f>
        <v>435.80000000000007</v>
      </c>
      <c r="J6" s="13">
        <f>SUMIF(Mercado_Receita!$T$2:$T$1157,"44531A4Energia horáriaNão se aplicaNão se aplicaNão se aplicaNão se aplicaPonta",Mercado_Receita!$N$2:$N$1157)</f>
        <v>450.77499999999998</v>
      </c>
      <c r="K6" s="13">
        <f>SUMIF(Mercado_Receita!$T$2:$T$1157,"44562A4Energia horáriaNão se aplicaNão se aplicaNão se aplicaNão se aplicaPonta",Mercado_Receita!$N$2:$N$1157)</f>
        <v>473.67200000000008</v>
      </c>
      <c r="L6" s="13">
        <f>SUMIF(Mercado_Receita!$T$2:$T$1157,"44593A4Energia horáriaNão se aplicaNão se aplicaNão se aplicaNão se aplicaPonta",Mercado_Receita!$N$2:$N$1157)</f>
        <v>453.77300000000002</v>
      </c>
      <c r="M6" s="13">
        <f>SUMIF(Mercado_Receita!$T$2:$T$1157,"44621A4Energia horáriaNão se aplicaNão se aplicaNão se aplicaNão se aplicaPonta",Mercado_Receita!$N$2:$N$1157)</f>
        <v>433.55399999999997</v>
      </c>
      <c r="N6" s="13">
        <f>SUMIF(Mercado_Receita!$T$2:$T$1157,"44652A4Energia horáriaNão se aplicaNão se aplicaNão se aplicaNão se aplicaPonta",Mercado_Receita!$N$2:$N$1157)</f>
        <v>475.31999999999994</v>
      </c>
      <c r="O6" s="13">
        <f>SUMIF(Mercado_Receita!$T$2:$T$1157,"44682A4Energia horáriaNão se aplicaNão se aplicaNão se aplicaNão se aplicaPonta",Mercado_Receita!$N$2:$N$1157)</f>
        <v>402.75999999999993</v>
      </c>
      <c r="P6" s="13">
        <f>SUMIF(Mercado_Receita!$T$2:$T$1157,"44713A4Energia horáriaNão se aplicaNão se aplicaNão se aplicaNão se aplicaPonta",Mercado_Receita!$N$2:$N$1157)</f>
        <v>449.56200000000001</v>
      </c>
      <c r="Q6" s="13">
        <f>SUMIF(Mercado_Receita!$T$2:$T$1157,"44743A4Energia horáriaNão se aplicaNão se aplicaNão se aplicaNão se aplicaPonta",Mercado_Receita!$N$2:$N$1157)</f>
        <v>419.23499999999996</v>
      </c>
      <c r="R6" s="13">
        <f>SUMIF(Mercado_Receita!$T$2:$T$1157,"44774A4Energia horáriaNão se aplicaNão se aplicaNão se aplicaNão se aplicaPonta",Mercado_Receita!$N$2:$N$1157)</f>
        <v>436.76999999999992</v>
      </c>
      <c r="S6" s="13">
        <f>SUMIF(Mercado_Receita!$T$2:$T$1157,"44805A4Energia horáriaNão se aplicaNão se aplicaNão se aplicaNão se aplicaPonta",Mercado_Receita!$N$2:$N$1157)</f>
        <v>470.49799999999993</v>
      </c>
      <c r="T6" s="13">
        <f>SUMIF(Mercado_Receita!$T$2:$T$1157,"44835A4Energia horáriaNão se aplicaNão se aplicaNão se aplicaNão se aplicaPonta",Mercado_Receita!$N$2:$N$1157)</f>
        <v>470.49799999999993</v>
      </c>
      <c r="U6" s="13">
        <f t="shared" si="0"/>
        <v>5372.2169999999987</v>
      </c>
      <c r="V6" s="13"/>
      <c r="W6" s="13"/>
    </row>
    <row r="7" spans="1:30" ht="11.25" customHeight="1" x14ac:dyDescent="0.3">
      <c r="A7" s="111"/>
      <c r="B7" s="111"/>
      <c r="C7" s="111"/>
      <c r="D7" s="111"/>
      <c r="E7" s="111"/>
      <c r="F7" s="111"/>
      <c r="G7" s="13" t="s">
        <v>80</v>
      </c>
      <c r="H7" s="13" t="s">
        <v>78</v>
      </c>
      <c r="I7" s="13">
        <f>SUMIF(Mercado_Receita!$T$2:$T$1157,"44501A4Energia horáriaNão se aplicaNão se aplicaNão se aplicaNão se aplicaFora ponta",Mercado_Receita!$N$2:$N$1157)</f>
        <v>5555.5969999999988</v>
      </c>
      <c r="J7" s="13">
        <f>SUMIF(Mercado_Receita!$T$2:$T$1157,"44531A4Energia horáriaNão se aplicaNão se aplicaNão se aplicaNão se aplicaFora ponta",Mercado_Receita!$N$2:$N$1157)</f>
        <v>5410.4120000000003</v>
      </c>
      <c r="K7" s="13">
        <f>SUMIF(Mercado_Receita!$T$2:$T$1157,"44562A4Energia horáriaNão se aplicaNão se aplicaNão se aplicaNão se aplicaFora ponta",Mercado_Receita!$N$2:$N$1157)</f>
        <v>5304.7510000000002</v>
      </c>
      <c r="L7" s="13">
        <f>SUMIF(Mercado_Receita!$T$2:$T$1157,"44593A4Energia horáriaNão se aplicaNão se aplicaNão se aplicaNão se aplicaFora ponta",Mercado_Receita!$N$2:$N$1157)</f>
        <v>5335.259</v>
      </c>
      <c r="M7" s="13">
        <f>SUMIF(Mercado_Receita!$T$2:$T$1157,"44621A4Energia horáriaNão se aplicaNão se aplicaNão se aplicaNão se aplicaFora ponta",Mercado_Receita!$N$2:$N$1157)</f>
        <v>4967.8469999999988</v>
      </c>
      <c r="N7" s="13">
        <f>SUMIF(Mercado_Receita!$T$2:$T$1157,"44652A4Energia horáriaNão se aplicaNão se aplicaNão se aplicaNão se aplicaFora ponta",Mercado_Receita!$N$2:$N$1157)</f>
        <v>5471.4320000000007</v>
      </c>
      <c r="O7" s="13">
        <f>SUMIF(Mercado_Receita!$T$2:$T$1157,"44682A4Energia horáriaNão se aplicaNão se aplicaNão se aplicaNão se aplicaFora ponta",Mercado_Receita!$N$2:$N$1157)</f>
        <v>5028.58</v>
      </c>
      <c r="P7" s="13">
        <f>SUMIF(Mercado_Receita!$T$2:$T$1157,"44713A4Energia horáriaNão se aplicaNão se aplicaNão se aplicaNão se aplicaFora ponta",Mercado_Receita!$N$2:$N$1157)</f>
        <v>5094.4120000000012</v>
      </c>
      <c r="Q7" s="13">
        <f>SUMIF(Mercado_Receita!$T$2:$T$1157,"44743A4Energia horáriaNão se aplicaNão se aplicaNão se aplicaNão se aplicaFora ponta",Mercado_Receita!$N$2:$N$1157)</f>
        <v>4674.0789999999997</v>
      </c>
      <c r="R7" s="13">
        <f>SUMIF(Mercado_Receita!$T$2:$T$1157,"44774A4Energia horáriaNão se aplicaNão se aplicaNão se aplicaNão se aplicaFora ponta",Mercado_Receita!$N$2:$N$1157)</f>
        <v>5158.585</v>
      </c>
      <c r="S7" s="13">
        <f>SUMIF(Mercado_Receita!$T$2:$T$1157,"44805A4Energia horáriaNão se aplicaNão se aplicaNão se aplicaNão se aplicaFora ponta",Mercado_Receita!$N$2:$N$1157)</f>
        <v>5297.0589999999993</v>
      </c>
      <c r="T7" s="13">
        <f>SUMIF(Mercado_Receita!$T$2:$T$1157,"44835A4Energia horáriaNão se aplicaNão se aplicaNão se aplicaNão se aplicaFora ponta",Mercado_Receita!$N$2:$N$1157)</f>
        <v>5297.0589999999993</v>
      </c>
      <c r="U7" s="13">
        <f t="shared" si="0"/>
        <v>62595.072</v>
      </c>
      <c r="V7" s="13"/>
      <c r="W7" s="13"/>
    </row>
    <row r="8" spans="1:30" ht="11.25" customHeight="1" x14ac:dyDescent="0.3">
      <c r="A8" s="111"/>
      <c r="B8" s="12" t="s">
        <v>86</v>
      </c>
      <c r="C8" s="12" t="s">
        <v>25</v>
      </c>
      <c r="D8" s="12" t="s">
        <v>25</v>
      </c>
      <c r="E8" s="12" t="s">
        <v>25</v>
      </c>
      <c r="F8" s="12" t="s">
        <v>25</v>
      </c>
      <c r="G8" s="13" t="s">
        <v>84</v>
      </c>
      <c r="H8" s="13" t="s">
        <v>78</v>
      </c>
      <c r="I8" s="13">
        <f>SUMIF(Mercado_Receita!$T$2:$T$1157,"44501A4Energia convencionalNão se aplicaNão se aplicaNão se aplicaNão se aplicaNão se aplica",Mercado_Receita!$N$2:$N$1157)</f>
        <v>0</v>
      </c>
      <c r="J8" s="13">
        <f>SUMIF(Mercado_Receita!$T$2:$T$1157,"44531A4Energia convencionalNão se aplicaNão se aplicaNão se aplicaNão se aplicaNão se aplica",Mercado_Receita!$N$2:$N$1157)</f>
        <v>0</v>
      </c>
      <c r="K8" s="13">
        <f>SUMIF(Mercado_Receita!$T$2:$T$1157,"44562A4Energia convencionalNão se aplicaNão se aplicaNão se aplicaNão se aplicaNão se aplica",Mercado_Receita!$N$2:$N$1157)</f>
        <v>0</v>
      </c>
      <c r="L8" s="13">
        <f>SUMIF(Mercado_Receita!$T$2:$T$1157,"44593A4Energia convencionalNão se aplicaNão se aplicaNão se aplicaNão se aplicaNão se aplica",Mercado_Receita!$N$2:$N$1157)</f>
        <v>0</v>
      </c>
      <c r="M8" s="13">
        <f>SUMIF(Mercado_Receita!$T$2:$T$1157,"44621A4Energia convencionalNão se aplicaNão se aplicaNão se aplicaNão se aplicaNão se aplica",Mercado_Receita!$N$2:$N$1157)</f>
        <v>0</v>
      </c>
      <c r="N8" s="13">
        <f>SUMIF(Mercado_Receita!$T$2:$T$1157,"44652A4Energia convencionalNão se aplicaNão se aplicaNão se aplicaNão se aplicaNão se aplica",Mercado_Receita!$N$2:$N$1157)</f>
        <v>0</v>
      </c>
      <c r="O8" s="13">
        <f>SUMIF(Mercado_Receita!$T$2:$T$1157,"44682A4Energia convencionalNão se aplicaNão se aplicaNão se aplicaNão se aplicaNão se aplica",Mercado_Receita!$N$2:$N$1157)</f>
        <v>0</v>
      </c>
      <c r="P8" s="13">
        <f>SUMIF(Mercado_Receita!$T$2:$T$1157,"44713A4Energia convencionalNão se aplicaNão se aplicaNão se aplicaNão se aplicaNão se aplica",Mercado_Receita!$N$2:$N$1157)</f>
        <v>0</v>
      </c>
      <c r="Q8" s="13">
        <f>SUMIF(Mercado_Receita!$T$2:$T$1157,"44743A4Energia convencionalNão se aplicaNão se aplicaNão se aplicaNão se aplicaNão se aplica",Mercado_Receita!$N$2:$N$1157)</f>
        <v>0</v>
      </c>
      <c r="R8" s="13">
        <f>SUMIF(Mercado_Receita!$T$2:$T$1157,"44774A4Energia convencionalNão se aplicaNão se aplicaNão se aplicaNão se aplicaNão se aplica",Mercado_Receita!$N$2:$N$1157)</f>
        <v>0</v>
      </c>
      <c r="S8" s="13">
        <f>SUMIF(Mercado_Receita!$T$2:$T$1157,"44805A4Energia convencionalNão se aplicaNão se aplicaNão se aplicaNão se aplicaNão se aplica",Mercado_Receita!$N$2:$N$1157)</f>
        <v>0</v>
      </c>
      <c r="T8" s="13">
        <f>SUMIF(Mercado_Receita!$T$2:$T$1157,"44835A4Energia convencionalNão se aplicaNão se aplicaNão se aplicaNão se aplicaNão se aplica",Mercado_Receita!$N$2:$N$1157)</f>
        <v>0</v>
      </c>
      <c r="U8" s="13">
        <f t="shared" si="0"/>
        <v>0</v>
      </c>
      <c r="V8" s="13"/>
      <c r="W8" s="13"/>
    </row>
    <row r="9" spans="1:30" ht="11.25" customHeight="1" x14ac:dyDescent="0.3">
      <c r="A9" s="110" t="s">
        <v>43</v>
      </c>
      <c r="B9" s="110" t="s">
        <v>77</v>
      </c>
      <c r="C9" s="110" t="s">
        <v>25</v>
      </c>
      <c r="D9" s="110" t="s">
        <v>25</v>
      </c>
      <c r="E9" s="110" t="s">
        <v>25</v>
      </c>
      <c r="F9" s="110" t="s">
        <v>25</v>
      </c>
      <c r="G9" s="13" t="s">
        <v>79</v>
      </c>
      <c r="H9" s="13" t="s">
        <v>78</v>
      </c>
      <c r="I9" s="13">
        <f>SUMIF(Mercado_Receita!$T$2:$T$1157,"44501ASEnergia horáriaNão se aplicaNão se aplicaNão se aplicaNão se aplicaPonta",Mercado_Receita!$N$2:$N$1157)</f>
        <v>4.8680000000000003</v>
      </c>
      <c r="J9" s="13">
        <f>SUMIF(Mercado_Receita!$T$2:$T$1157,"44531ASEnergia horáriaNão se aplicaNão se aplicaNão se aplicaNão se aplicaPonta",Mercado_Receita!$N$2:$N$1157)</f>
        <v>1.2549999999999999</v>
      </c>
      <c r="K9" s="13">
        <f>SUMIF(Mercado_Receita!$T$2:$T$1157,"44562ASEnergia horáriaNão se aplicaNão se aplicaNão se aplicaNão se aplicaPonta",Mercado_Receita!$N$2:$N$1157)</f>
        <v>1.3480000000000001</v>
      </c>
      <c r="L9" s="13">
        <f>SUMIF(Mercado_Receita!$T$2:$T$1157,"44593ASEnergia horáriaNão se aplicaNão se aplicaNão se aplicaNão se aplicaPonta",Mercado_Receita!$N$2:$N$1157)</f>
        <v>1.35</v>
      </c>
      <c r="M9" s="13">
        <f>SUMIF(Mercado_Receita!$T$2:$T$1157,"44621ASEnergia horáriaNão se aplicaNão se aplicaNão se aplicaNão se aplicaPonta",Mercado_Receita!$N$2:$N$1157)</f>
        <v>1.1910000000000001</v>
      </c>
      <c r="N9" s="13">
        <f>SUMIF(Mercado_Receita!$T$2:$T$1157,"44652ASEnergia horáriaNão se aplicaNão se aplicaNão se aplicaNão se aplicaPonta",Mercado_Receita!$N$2:$N$1157)</f>
        <v>1.3779999999999999</v>
      </c>
      <c r="O9" s="13">
        <f>SUMIF(Mercado_Receita!$T$2:$T$1157,"44682ASEnergia horáriaNão se aplicaNão se aplicaNão se aplicaNão se aplicaPonta",Mercado_Receita!$N$2:$N$1157)</f>
        <v>1.228</v>
      </c>
      <c r="P9" s="13">
        <f>SUMIF(Mercado_Receita!$T$2:$T$1157,"44713ASEnergia horáriaNão se aplicaNão se aplicaNão se aplicaNão se aplicaPonta",Mercado_Receita!$N$2:$N$1157)</f>
        <v>1.1259999999999999</v>
      </c>
      <c r="Q9" s="13">
        <f>SUMIF(Mercado_Receita!$T$2:$T$1157,"44743ASEnergia horáriaNão se aplicaNão se aplicaNão se aplicaNão se aplicaPonta",Mercado_Receita!$N$2:$N$1157)</f>
        <v>0.96099999999999997</v>
      </c>
      <c r="R9" s="13">
        <f>SUMIF(Mercado_Receita!$T$2:$T$1157,"44774ASEnergia horáriaNão se aplicaNão se aplicaNão se aplicaNão se aplicaPonta",Mercado_Receita!$N$2:$N$1157)</f>
        <v>1.034</v>
      </c>
      <c r="S9" s="13">
        <f>SUMIF(Mercado_Receita!$T$2:$T$1157,"44805ASEnergia horáriaNão se aplicaNão se aplicaNão se aplicaNão se aplicaPonta",Mercado_Receita!$N$2:$N$1157)</f>
        <v>1.216</v>
      </c>
      <c r="T9" s="13">
        <f>SUMIF(Mercado_Receita!$T$2:$T$1157,"44835ASEnergia horáriaNão se aplicaNão se aplicaNão se aplicaNão se aplicaPonta",Mercado_Receita!$N$2:$N$1157)</f>
        <v>1.216</v>
      </c>
      <c r="U9" s="13">
        <f t="shared" si="0"/>
        <v>18.171000000000003</v>
      </c>
      <c r="V9" s="13"/>
      <c r="W9" s="13"/>
    </row>
    <row r="10" spans="1:30" ht="11.25" customHeight="1" x14ac:dyDescent="0.3">
      <c r="A10" s="111"/>
      <c r="B10" s="111"/>
      <c r="C10" s="111"/>
      <c r="D10" s="111"/>
      <c r="E10" s="111"/>
      <c r="F10" s="111"/>
      <c r="G10" s="13" t="s">
        <v>80</v>
      </c>
      <c r="H10" s="13" t="s">
        <v>78</v>
      </c>
      <c r="I10" s="13">
        <f>SUMIF(Mercado_Receita!$T$2:$T$1157,"44501ASEnergia horáriaNão se aplicaNão se aplicaNão se aplicaNão se aplicaFora ponta",Mercado_Receita!$N$2:$N$1157)</f>
        <v>48.823999999999998</v>
      </c>
      <c r="J10" s="13">
        <f>SUMIF(Mercado_Receita!$T$2:$T$1157,"44531ASEnergia horáriaNão se aplicaNão se aplicaNão se aplicaNão se aplicaFora ponta",Mercado_Receita!$N$2:$N$1157)</f>
        <v>21.030999999999999</v>
      </c>
      <c r="K10" s="13">
        <f>SUMIF(Mercado_Receita!$T$2:$T$1157,"44562ASEnergia horáriaNão se aplicaNão se aplicaNão se aplicaNão se aplicaFora ponta",Mercado_Receita!$N$2:$N$1157)</f>
        <v>21.280999999999999</v>
      </c>
      <c r="L10" s="13">
        <f>SUMIF(Mercado_Receita!$T$2:$T$1157,"44593ASEnergia horáriaNão se aplicaNão se aplicaNão se aplicaNão se aplicaFora ponta",Mercado_Receita!$N$2:$N$1157)</f>
        <v>21.846</v>
      </c>
      <c r="M10" s="13">
        <f>SUMIF(Mercado_Receita!$T$2:$T$1157,"44621ASEnergia horáriaNão se aplicaNão se aplicaNão se aplicaNão se aplicaFora ponta",Mercado_Receita!$N$2:$N$1157)</f>
        <v>18.599</v>
      </c>
      <c r="N10" s="13">
        <f>SUMIF(Mercado_Receita!$T$2:$T$1157,"44652ASEnergia horáriaNão se aplicaNão se aplicaNão se aplicaNão se aplicaFora ponta",Mercado_Receita!$N$2:$N$1157)</f>
        <v>23.963999999999999</v>
      </c>
      <c r="O10" s="13">
        <f>SUMIF(Mercado_Receita!$T$2:$T$1157,"44682ASEnergia horáriaNão se aplicaNão se aplicaNão se aplicaNão se aplicaFora ponta",Mercado_Receita!$N$2:$N$1157)</f>
        <v>20.87</v>
      </c>
      <c r="P10" s="13">
        <f>SUMIF(Mercado_Receita!$T$2:$T$1157,"44713ASEnergia horáriaNão se aplicaNão se aplicaNão se aplicaNão se aplicaFora ponta",Mercado_Receita!$N$2:$N$1157)</f>
        <v>14.413</v>
      </c>
      <c r="Q10" s="13">
        <f>SUMIF(Mercado_Receita!$T$2:$T$1157,"44743ASEnergia horáriaNão se aplicaNão se aplicaNão se aplicaNão se aplicaFora ponta",Mercado_Receita!$N$2:$N$1157)</f>
        <v>13.066000000000001</v>
      </c>
      <c r="R10" s="13">
        <f>SUMIF(Mercado_Receita!$T$2:$T$1157,"44774ASEnergia horáriaNão se aplicaNão se aplicaNão se aplicaNão se aplicaFora ponta",Mercado_Receita!$N$2:$N$1157)</f>
        <v>13.843</v>
      </c>
      <c r="S10" s="13">
        <f>SUMIF(Mercado_Receita!$T$2:$T$1157,"44805ASEnergia horáriaNão se aplicaNão se aplicaNão se aplicaNão se aplicaFora ponta",Mercado_Receita!$N$2:$N$1157)</f>
        <v>14.516</v>
      </c>
      <c r="T10" s="13">
        <f>SUMIF(Mercado_Receita!$T$2:$T$1157,"44835ASEnergia horáriaNão se aplicaNão se aplicaNão se aplicaNão se aplicaFora ponta",Mercado_Receita!$N$2:$N$1157)</f>
        <v>14.516</v>
      </c>
      <c r="U10" s="13">
        <f t="shared" si="0"/>
        <v>246.76899999999998</v>
      </c>
      <c r="V10" s="13"/>
      <c r="W10" s="13"/>
    </row>
    <row r="11" spans="1:30" ht="11.25" customHeight="1" x14ac:dyDescent="0.3">
      <c r="A11" s="111"/>
      <c r="B11" s="12" t="s">
        <v>86</v>
      </c>
      <c r="C11" s="12" t="s">
        <v>25</v>
      </c>
      <c r="D11" s="12" t="s">
        <v>25</v>
      </c>
      <c r="E11" s="12" t="s">
        <v>25</v>
      </c>
      <c r="F11" s="12" t="s">
        <v>25</v>
      </c>
      <c r="G11" s="13" t="s">
        <v>84</v>
      </c>
      <c r="H11" s="13" t="s">
        <v>78</v>
      </c>
      <c r="I11" s="13">
        <f>SUMIF(Mercado_Receita!$T$2:$T$1157,"44501ASEnergia convencionalNão se aplicaNão se aplicaNão se aplicaNão se aplicaNão se aplica",Mercado_Receita!$N$2:$N$1157)</f>
        <v>0</v>
      </c>
      <c r="J11" s="13">
        <f>SUMIF(Mercado_Receita!$T$2:$T$1157,"44531ASEnergia convencionalNão se aplicaNão se aplicaNão se aplicaNão se aplicaNão se aplica",Mercado_Receita!$N$2:$N$1157)</f>
        <v>0</v>
      </c>
      <c r="K11" s="13">
        <f>SUMIF(Mercado_Receita!$T$2:$T$1157,"44562ASEnergia convencionalNão se aplicaNão se aplicaNão se aplicaNão se aplicaNão se aplica",Mercado_Receita!$N$2:$N$1157)</f>
        <v>0</v>
      </c>
      <c r="L11" s="13">
        <f>SUMIF(Mercado_Receita!$T$2:$T$1157,"44593ASEnergia convencionalNão se aplicaNão se aplicaNão se aplicaNão se aplicaNão se aplica",Mercado_Receita!$N$2:$N$1157)</f>
        <v>0</v>
      </c>
      <c r="M11" s="13">
        <f>SUMIF(Mercado_Receita!$T$2:$T$1157,"44621ASEnergia convencionalNão se aplicaNão se aplicaNão se aplicaNão se aplicaNão se aplica",Mercado_Receita!$N$2:$N$1157)</f>
        <v>0</v>
      </c>
      <c r="N11" s="13">
        <f>SUMIF(Mercado_Receita!$T$2:$T$1157,"44652ASEnergia convencionalNão se aplicaNão se aplicaNão se aplicaNão se aplicaNão se aplica",Mercado_Receita!$N$2:$N$1157)</f>
        <v>0</v>
      </c>
      <c r="O11" s="13">
        <f>SUMIF(Mercado_Receita!$T$2:$T$1157,"44682ASEnergia convencionalNão se aplicaNão se aplicaNão se aplicaNão se aplicaNão se aplica",Mercado_Receita!$N$2:$N$1157)</f>
        <v>0</v>
      </c>
      <c r="P11" s="13">
        <f>SUMIF(Mercado_Receita!$T$2:$T$1157,"44713ASEnergia convencionalNão se aplicaNão se aplicaNão se aplicaNão se aplicaNão se aplica",Mercado_Receita!$N$2:$N$1157)</f>
        <v>0</v>
      </c>
      <c r="Q11" s="13">
        <f>SUMIF(Mercado_Receita!$T$2:$T$1157,"44743ASEnergia convencionalNão se aplicaNão se aplicaNão se aplicaNão se aplicaNão se aplica",Mercado_Receita!$N$2:$N$1157)</f>
        <v>0</v>
      </c>
      <c r="R11" s="13">
        <f>SUMIF(Mercado_Receita!$T$2:$T$1157,"44774ASEnergia convencionalNão se aplicaNão se aplicaNão se aplicaNão se aplicaNão se aplica",Mercado_Receita!$N$2:$N$1157)</f>
        <v>0</v>
      </c>
      <c r="S11" s="13">
        <f>SUMIF(Mercado_Receita!$T$2:$T$1157,"44805ASEnergia convencionalNão se aplicaNão se aplicaNão se aplicaNão se aplicaNão se aplica",Mercado_Receita!$N$2:$N$1157)</f>
        <v>0</v>
      </c>
      <c r="T11" s="13">
        <f>SUMIF(Mercado_Receita!$T$2:$T$1157,"44835ASEnergia convencionalNão se aplicaNão se aplicaNão se aplicaNão se aplicaNão se aplica",Mercado_Receita!$N$2:$N$1157)</f>
        <v>0</v>
      </c>
      <c r="U11" s="13">
        <f t="shared" si="0"/>
        <v>0</v>
      </c>
      <c r="V11" s="13"/>
      <c r="W11" s="13"/>
    </row>
    <row r="12" spans="1:30" ht="11.25" customHeight="1" x14ac:dyDescent="0.3">
      <c r="A12" s="110" t="s">
        <v>22</v>
      </c>
      <c r="B12" s="110" t="s">
        <v>77</v>
      </c>
      <c r="C12" s="110" t="s">
        <v>24</v>
      </c>
      <c r="D12" s="110" t="s">
        <v>24</v>
      </c>
      <c r="E12" s="110" t="s">
        <v>25</v>
      </c>
      <c r="F12" s="110" t="s">
        <v>25</v>
      </c>
      <c r="G12" s="13" t="s">
        <v>79</v>
      </c>
      <c r="H12" s="13" t="s">
        <v>78</v>
      </c>
      <c r="I12" s="13">
        <f>SUMIF(Mercado_Receita!$T$2:$T$1157,"44501B1Energia horáriaResidencialResidencialNão se aplicaNão se aplicaPonta",Mercado_Receita!$N$2:$N$1157)</f>
        <v>1.581</v>
      </c>
      <c r="J12" s="13">
        <f>SUMIF(Mercado_Receita!$T$2:$T$1157,"44531B1Energia horáriaResidencialResidencialNão se aplicaNão se aplicaPonta",Mercado_Receita!$N$2:$N$1157)</f>
        <v>1.591</v>
      </c>
      <c r="K12" s="13">
        <f>SUMIF(Mercado_Receita!$T$2:$T$1157,"44562B1Energia horáriaResidencialResidencialNão se aplicaNão se aplicaPonta",Mercado_Receita!$N$2:$N$1157)</f>
        <v>1.758</v>
      </c>
      <c r="L12" s="13">
        <f>SUMIF(Mercado_Receita!$T$2:$T$1157,"44593B1Energia horáriaResidencialResidencialNão se aplicaNão se aplicaPonta",Mercado_Receita!$N$2:$N$1157)</f>
        <v>1.7289999999999999</v>
      </c>
      <c r="M12" s="13">
        <f>SUMIF(Mercado_Receita!$T$2:$T$1157,"44621B1Energia horáriaResidencialResidencialNão se aplicaNão se aplicaPonta",Mercado_Receita!$N$2:$N$1157)</f>
        <v>1.893</v>
      </c>
      <c r="N12" s="13">
        <f>SUMIF(Mercado_Receita!$T$2:$T$1157,"44652B1Energia horáriaResidencialResidencialNão se aplicaNão se aplicaPonta",Mercado_Receita!$N$2:$N$1157)</f>
        <v>1.2629999999999999</v>
      </c>
      <c r="O12" s="13">
        <f>SUMIF(Mercado_Receita!$T$2:$T$1157,"44682B1Energia horáriaResidencialResidencialNão se aplicaNão se aplicaPonta",Mercado_Receita!$N$2:$N$1157)</f>
        <v>1.0819999999999999</v>
      </c>
      <c r="P12" s="13">
        <f>SUMIF(Mercado_Receita!$T$2:$T$1157,"44713B1Energia horáriaResidencialResidencialNão se aplicaNão se aplicaPonta",Mercado_Receita!$N$2:$N$1157)</f>
        <v>1.1359999999999999</v>
      </c>
      <c r="Q12" s="13">
        <f>SUMIF(Mercado_Receita!$T$2:$T$1157,"44743B1Energia horáriaResidencialResidencialNão se aplicaNão se aplicaPonta",Mercado_Receita!$N$2:$N$1157)</f>
        <v>1.6060000000000001</v>
      </c>
      <c r="R12" s="13">
        <f>SUMIF(Mercado_Receita!$T$2:$T$1157,"44774B1Energia horáriaResidencialResidencialNão se aplicaNão se aplicaPonta",Mercado_Receita!$N$2:$N$1157)</f>
        <v>1.1919999999999999</v>
      </c>
      <c r="S12" s="13">
        <f>SUMIF(Mercado_Receita!$T$2:$T$1157,"44805B1Energia horáriaResidencialResidencialNão se aplicaNão se aplicaPonta",Mercado_Receita!$N$2:$N$1157)</f>
        <v>1.0820000000000001</v>
      </c>
      <c r="T12" s="13">
        <f>SUMIF(Mercado_Receita!$T$2:$T$1157,"44835B1Energia horáriaResidencialResidencialNão se aplicaNão se aplicaPonta",Mercado_Receita!$N$2:$N$1157)</f>
        <v>1.0820000000000001</v>
      </c>
      <c r="U12" s="13">
        <f t="shared" si="0"/>
        <v>16.994999999999997</v>
      </c>
      <c r="V12" s="13"/>
      <c r="W12" s="13"/>
    </row>
    <row r="13" spans="1:30" ht="11.25" customHeight="1" x14ac:dyDescent="0.3">
      <c r="A13" s="111"/>
      <c r="B13" s="111"/>
      <c r="C13" s="111"/>
      <c r="D13" s="111"/>
      <c r="E13" s="111"/>
      <c r="F13" s="111"/>
      <c r="G13" s="13" t="s">
        <v>90</v>
      </c>
      <c r="H13" s="13" t="s">
        <v>78</v>
      </c>
      <c r="I13" s="13">
        <f>SUMIF(Mercado_Receita!$T$2:$T$1157,"44501B1Energia horáriaResidencialResidencialNão se aplicaNão se aplicaIntermediário",Mercado_Receita!$N$2:$N$1157)</f>
        <v>0.72499999999999998</v>
      </c>
      <c r="J13" s="13">
        <f>SUMIF(Mercado_Receita!$T$2:$T$1157,"44531B1Energia horáriaResidencialResidencialNão se aplicaNão se aplicaIntermediário",Mercado_Receita!$N$2:$N$1157)</f>
        <v>0.78200000000000003</v>
      </c>
      <c r="K13" s="13">
        <f>SUMIF(Mercado_Receita!$T$2:$T$1157,"44562B1Energia horáriaResidencialResidencialNão se aplicaNão se aplicaIntermediário",Mercado_Receita!$N$2:$N$1157)</f>
        <v>0.98699999999999999</v>
      </c>
      <c r="L13" s="13">
        <f>SUMIF(Mercado_Receita!$T$2:$T$1157,"44593B1Energia horáriaResidencialResidencialNão se aplicaNão se aplicaIntermediário",Mercado_Receita!$N$2:$N$1157)</f>
        <v>0.94499999999999995</v>
      </c>
      <c r="M13" s="13">
        <f>SUMIF(Mercado_Receita!$T$2:$T$1157,"44621B1Energia horáriaResidencialResidencialNão se aplicaNão se aplicaIntermediário",Mercado_Receita!$N$2:$N$1157)</f>
        <v>0.91999999999999993</v>
      </c>
      <c r="N13" s="13">
        <f>SUMIF(Mercado_Receita!$T$2:$T$1157,"44652B1Energia horáriaResidencialResidencialNão se aplicaNão se aplicaIntermediário",Mercado_Receita!$N$2:$N$1157)</f>
        <v>0.873</v>
      </c>
      <c r="O13" s="13">
        <f>SUMIF(Mercado_Receita!$T$2:$T$1157,"44682B1Energia horáriaResidencialResidencialNão se aplicaNão se aplicaIntermediário",Mercado_Receita!$N$2:$N$1157)</f>
        <v>1.3920000000000001</v>
      </c>
      <c r="P13" s="13">
        <f>SUMIF(Mercado_Receita!$T$2:$T$1157,"44713B1Energia horáriaResidencialResidencialNão se aplicaNão se aplicaIntermediário",Mercado_Receita!$N$2:$N$1157)</f>
        <v>0.73799999999999999</v>
      </c>
      <c r="Q13" s="13">
        <f>SUMIF(Mercado_Receita!$T$2:$T$1157,"44743B1Energia horáriaResidencialResidencialNão se aplicaNão se aplicaIntermediário",Mercado_Receita!$N$2:$N$1157)</f>
        <v>1.0229999999999999</v>
      </c>
      <c r="R13" s="13">
        <f>SUMIF(Mercado_Receita!$T$2:$T$1157,"44774B1Energia horáriaResidencialResidencialNão se aplicaNão se aplicaIntermediário",Mercado_Receita!$N$2:$N$1157)</f>
        <v>0.79899999999999993</v>
      </c>
      <c r="S13" s="13">
        <f>SUMIF(Mercado_Receita!$T$2:$T$1157,"44805B1Energia horáriaResidencialResidencialNão se aplicaNão se aplicaIntermediário",Mercado_Receita!$N$2:$N$1157)</f>
        <v>0.85799999999999998</v>
      </c>
      <c r="T13" s="13">
        <f>SUMIF(Mercado_Receita!$T$2:$T$1157,"44835B1Energia horáriaResidencialResidencialNão se aplicaNão se aplicaIntermediário",Mercado_Receita!$N$2:$N$1157)</f>
        <v>0.85799999999999998</v>
      </c>
      <c r="U13" s="13">
        <f t="shared" si="0"/>
        <v>10.9</v>
      </c>
      <c r="V13" s="13"/>
      <c r="W13" s="13"/>
    </row>
    <row r="14" spans="1:30" ht="11.25" customHeight="1" x14ac:dyDescent="0.3">
      <c r="A14" s="111"/>
      <c r="B14" s="111"/>
      <c r="C14" s="111"/>
      <c r="D14" s="111"/>
      <c r="E14" s="111"/>
      <c r="F14" s="111"/>
      <c r="G14" s="13" t="s">
        <v>80</v>
      </c>
      <c r="H14" s="13" t="s">
        <v>78</v>
      </c>
      <c r="I14" s="13">
        <f>SUMIF(Mercado_Receita!$T$2:$T$1157,"44501B1Energia horáriaResidencialResidencialNão se aplicaNão se aplicaFora ponta",Mercado_Receita!$N$2:$N$1157)</f>
        <v>12.271000000000001</v>
      </c>
      <c r="J14" s="13">
        <f>SUMIF(Mercado_Receita!$T$2:$T$1157,"44531B1Energia horáriaResidencialResidencialNão se aplicaNão se aplicaFora ponta",Mercado_Receita!$N$2:$N$1157)</f>
        <v>12.193999999999999</v>
      </c>
      <c r="K14" s="13">
        <f>SUMIF(Mercado_Receita!$T$2:$T$1157,"44562B1Energia horáriaResidencialResidencialNão se aplicaNão se aplicaFora ponta",Mercado_Receita!$N$2:$N$1157)</f>
        <v>13.625999999999999</v>
      </c>
      <c r="L14" s="13">
        <f>SUMIF(Mercado_Receita!$T$2:$T$1157,"44593B1Energia horáriaResidencialResidencialNão se aplicaNão se aplicaFora ponta",Mercado_Receita!$N$2:$N$1157)</f>
        <v>12.58</v>
      </c>
      <c r="M14" s="13">
        <f>SUMIF(Mercado_Receita!$T$2:$T$1157,"44621B1Energia horáriaResidencialResidencialNão se aplicaNão se aplicaFora ponta",Mercado_Receita!$N$2:$N$1157)</f>
        <v>13.433999999999999</v>
      </c>
      <c r="N14" s="13">
        <f>SUMIF(Mercado_Receita!$T$2:$T$1157,"44652B1Energia horáriaResidencialResidencialNão se aplicaNão se aplicaFora ponta",Mercado_Receita!$N$2:$N$1157)</f>
        <v>10.234</v>
      </c>
      <c r="O14" s="13">
        <f>SUMIF(Mercado_Receita!$T$2:$T$1157,"44682B1Energia horáriaResidencialResidencialNão se aplicaNão se aplicaFora ponta",Mercado_Receita!$N$2:$N$1157)</f>
        <v>10.035</v>
      </c>
      <c r="P14" s="13">
        <f>SUMIF(Mercado_Receita!$T$2:$T$1157,"44713B1Energia horáriaResidencialResidencialNão se aplicaNão se aplicaFora ponta",Mercado_Receita!$N$2:$N$1157)</f>
        <v>8.6159999999999997</v>
      </c>
      <c r="Q14" s="13">
        <f>SUMIF(Mercado_Receita!$T$2:$T$1157,"44743B1Energia horáriaResidencialResidencialNão se aplicaNão se aplicaFora ponta",Mercado_Receita!$N$2:$N$1157)</f>
        <v>9.0470000000000006</v>
      </c>
      <c r="R14" s="13">
        <f>SUMIF(Mercado_Receita!$T$2:$T$1157,"44774B1Energia horáriaResidencialResidencialNão se aplicaNão se aplicaFora ponta",Mercado_Receita!$N$2:$N$1157)</f>
        <v>8.3550000000000004</v>
      </c>
      <c r="S14" s="13">
        <f>SUMIF(Mercado_Receita!$T$2:$T$1157,"44805B1Energia horáriaResidencialResidencialNão se aplicaNão se aplicaFora ponta",Mercado_Receita!$N$2:$N$1157)</f>
        <v>8.6869999999999994</v>
      </c>
      <c r="T14" s="13">
        <f>SUMIF(Mercado_Receita!$T$2:$T$1157,"44835B1Energia horáriaResidencialResidencialNão se aplicaNão se aplicaFora ponta",Mercado_Receita!$N$2:$N$1157)</f>
        <v>8.6869999999999994</v>
      </c>
      <c r="U14" s="13">
        <f t="shared" si="0"/>
        <v>127.76599999999999</v>
      </c>
      <c r="V14" s="13"/>
      <c r="W14" s="13"/>
    </row>
    <row r="15" spans="1:30" ht="11.25" customHeight="1" x14ac:dyDescent="0.3">
      <c r="A15" s="111"/>
      <c r="B15" s="110" t="s">
        <v>86</v>
      </c>
      <c r="C15" s="110" t="s">
        <v>24</v>
      </c>
      <c r="D15" s="12" t="s">
        <v>24</v>
      </c>
      <c r="E15" s="12" t="s">
        <v>25</v>
      </c>
      <c r="F15" s="12" t="s">
        <v>25</v>
      </c>
      <c r="G15" s="13" t="s">
        <v>84</v>
      </c>
      <c r="H15" s="13" t="s">
        <v>78</v>
      </c>
      <c r="I15" s="13">
        <f>SUMIF(Mercado_Receita!$T$2:$T$1157,"44501B1Energia convencionalResidencialResidencialNão se aplicaNão se aplicaNão se aplica",Mercado_Receita!$N$2:$N$1157)</f>
        <v>10470.392999999998</v>
      </c>
      <c r="J15" s="13">
        <f>SUMIF(Mercado_Receita!$T$2:$T$1157,"44531B1Energia convencionalResidencialResidencialNão se aplicaNão se aplicaNão se aplica",Mercado_Receita!$N$2:$N$1157)</f>
        <v>10051.49</v>
      </c>
      <c r="K15" s="13">
        <f>SUMIF(Mercado_Receita!$T$2:$T$1157,"44562B1Energia convencionalResidencialResidencialNão se aplicaNão se aplicaNão se aplica",Mercado_Receita!$N$2:$N$1157)</f>
        <v>11023.872000000001</v>
      </c>
      <c r="L15" s="13">
        <f>SUMIF(Mercado_Receita!$T$2:$T$1157,"44593B1Energia convencionalResidencialResidencialNão se aplicaNão se aplicaNão se aplica",Mercado_Receita!$N$2:$N$1157)</f>
        <v>10163.566999999999</v>
      </c>
      <c r="M15" s="13">
        <f>SUMIF(Mercado_Receita!$T$2:$T$1157,"44621B1Energia convencionalResidencialResidencialNão se aplicaNão se aplicaNão se aplica",Mercado_Receita!$N$2:$N$1157)</f>
        <v>10292.012000000001</v>
      </c>
      <c r="N15" s="13">
        <f>SUMIF(Mercado_Receita!$T$2:$T$1157,"44652B1Energia convencionalResidencialResidencialNão se aplicaNão se aplicaNão se aplica",Mercado_Receita!$N$2:$N$1157)</f>
        <v>10527.667000000001</v>
      </c>
      <c r="O15" s="13">
        <f>SUMIF(Mercado_Receita!$T$2:$T$1157,"44682B1Energia convencionalResidencialResidencialNão se aplicaNão se aplicaNão se aplica",Mercado_Receita!$N$2:$N$1157)</f>
        <v>10321.969000000001</v>
      </c>
      <c r="P15" s="13">
        <f>SUMIF(Mercado_Receita!$T$2:$T$1157,"44713B1Energia convencionalResidencialResidencialNão se aplicaNão se aplicaNão se aplica",Mercado_Receita!$N$2:$N$1157)</f>
        <v>10427.107</v>
      </c>
      <c r="Q15" s="13">
        <f>SUMIF(Mercado_Receita!$T$2:$T$1157,"44743B1Energia convencionalResidencialResidencialNão se aplicaNão se aplicaNão se aplica",Mercado_Receita!$N$2:$N$1157)</f>
        <v>10725.651</v>
      </c>
      <c r="R15" s="13">
        <f>SUMIF(Mercado_Receita!$T$2:$T$1157,"44774B1Energia convencionalResidencialResidencialNão se aplicaNão se aplicaNão se aplica",Mercado_Receita!$N$2:$N$1157)</f>
        <v>10186.543999999998</v>
      </c>
      <c r="S15" s="13">
        <f>SUMIF(Mercado_Receita!$T$2:$T$1157,"44805B1Energia convencionalResidencialResidencialNão se aplicaNão se aplicaNão se aplica",Mercado_Receita!$N$2:$N$1157)</f>
        <v>11182.324999999999</v>
      </c>
      <c r="T15" s="13">
        <f>SUMIF(Mercado_Receita!$T$2:$T$1157,"44835B1Energia convencionalResidencialResidencialNão se aplicaNão se aplicaNão se aplica",Mercado_Receita!$N$2:$N$1157)</f>
        <v>11182.324999999999</v>
      </c>
      <c r="U15" s="13">
        <f t="shared" si="0"/>
        <v>126554.92199999999</v>
      </c>
      <c r="V15" s="13"/>
      <c r="W15" s="13"/>
    </row>
    <row r="16" spans="1:30" ht="11.25" customHeight="1" x14ac:dyDescent="0.3">
      <c r="A16" s="111"/>
      <c r="B16" s="111"/>
      <c r="C16" s="111"/>
      <c r="D16" s="12" t="s">
        <v>29</v>
      </c>
      <c r="E16" s="12" t="s">
        <v>25</v>
      </c>
      <c r="F16" s="12" t="s">
        <v>25</v>
      </c>
      <c r="G16" s="13" t="s">
        <v>84</v>
      </c>
      <c r="H16" s="13" t="s">
        <v>78</v>
      </c>
      <c r="I16" s="13">
        <f>SUMIF(Mercado_Receita!$T$2:$T$1157,"44501B1Energia convencionalResidencialResidencial baixa renda – faixa 01Não se aplicaNão se aplicaNão se aplica",Mercado_Receita!$N$2:$N$1157)</f>
        <v>161.37700000000001</v>
      </c>
      <c r="J16" s="13">
        <f>SUMIF(Mercado_Receita!$T$2:$T$1157,"44531B1Energia convencionalResidencialResidencial baixa renda – faixa 01Não se aplicaNão se aplicaNão se aplica",Mercado_Receita!$N$2:$N$1157)</f>
        <v>169.66800000000001</v>
      </c>
      <c r="K16" s="13">
        <f>SUMIF(Mercado_Receita!$T$2:$T$1157,"44562B1Energia convencionalResidencialResidencial baixa renda – faixa 01Não se aplicaNão se aplicaNão se aplica",Mercado_Receita!$N$2:$N$1157)</f>
        <v>164.00200000000001</v>
      </c>
      <c r="L16" s="13">
        <f>SUMIF(Mercado_Receita!$T$2:$T$1157,"44593B1Energia convencionalResidencialResidencial baixa renda – faixa 01Não se aplicaNão se aplicaNão se aplica",Mercado_Receita!$N$2:$N$1157)</f>
        <v>182.297</v>
      </c>
      <c r="M16" s="13">
        <f>SUMIF(Mercado_Receita!$T$2:$T$1157,"44621B1Energia convencionalResidencialResidencial baixa renda – faixa 01Não se aplicaNão se aplicaNão se aplica",Mercado_Receita!$N$2:$N$1157)</f>
        <v>188.07499999999999</v>
      </c>
      <c r="N16" s="13">
        <f>SUMIF(Mercado_Receita!$T$2:$T$1157,"44652B1Energia convencionalResidencialResidencial baixa renda – faixa 01Não se aplicaNão se aplicaNão se aplica",Mercado_Receita!$N$2:$N$1157)</f>
        <v>189.30700000000002</v>
      </c>
      <c r="O16" s="13">
        <f>SUMIF(Mercado_Receita!$T$2:$T$1157,"44682B1Energia convencionalResidencialResidencial baixa renda – faixa 01Não se aplicaNão se aplicaNão se aplica",Mercado_Receita!$N$2:$N$1157)</f>
        <v>193.714</v>
      </c>
      <c r="P16" s="13">
        <f>SUMIF(Mercado_Receita!$T$2:$T$1157,"44713B1Energia convencionalResidencialResidencial baixa renda – faixa 01Não se aplicaNão se aplicaNão se aplica",Mercado_Receita!$N$2:$N$1157)</f>
        <v>187.29600000000002</v>
      </c>
      <c r="Q16" s="13">
        <f>SUMIF(Mercado_Receita!$T$2:$T$1157,"44743B1Energia convencionalResidencialResidencial baixa renda – faixa 01Não se aplicaNão se aplicaNão se aplica",Mercado_Receita!$N$2:$N$1157)</f>
        <v>177.684</v>
      </c>
      <c r="R16" s="13">
        <f>SUMIF(Mercado_Receita!$T$2:$T$1157,"44774B1Energia convencionalResidencialResidencial baixa renda – faixa 01Não se aplicaNão se aplicaNão se aplica",Mercado_Receita!$N$2:$N$1157)</f>
        <v>183.54599999999999</v>
      </c>
      <c r="S16" s="13">
        <f>SUMIF(Mercado_Receita!$T$2:$T$1157,"44805B1Energia convencionalResidencialResidencial baixa renda – faixa 01Não se aplicaNão se aplicaNão se aplica",Mercado_Receita!$N$2:$N$1157)</f>
        <v>183.172</v>
      </c>
      <c r="T16" s="13">
        <f>SUMIF(Mercado_Receita!$T$2:$T$1157,"44835B1Energia convencionalResidencialResidencial baixa renda – faixa 01Não se aplicaNão se aplicaNão se aplica",Mercado_Receita!$N$2:$N$1157)</f>
        <v>183.172</v>
      </c>
      <c r="U16" s="13">
        <f t="shared" si="0"/>
        <v>2163.31</v>
      </c>
      <c r="V16" s="13"/>
      <c r="W16" s="13"/>
    </row>
    <row r="17" spans="1:23" ht="11.25" customHeight="1" x14ac:dyDescent="0.3">
      <c r="A17" s="111"/>
      <c r="B17" s="111"/>
      <c r="C17" s="111"/>
      <c r="D17" s="12" t="s">
        <v>30</v>
      </c>
      <c r="E17" s="12" t="s">
        <v>25</v>
      </c>
      <c r="F17" s="12" t="s">
        <v>25</v>
      </c>
      <c r="G17" s="13" t="s">
        <v>84</v>
      </c>
      <c r="H17" s="13" t="s">
        <v>78</v>
      </c>
      <c r="I17" s="13">
        <f>SUMIF(Mercado_Receita!$T$2:$T$1157,"44501B1Energia convencionalResidencialResidencial baixa renda – faixa 02Não se aplicaNão se aplicaNão se aplica",Mercado_Receita!$N$2:$N$1157)</f>
        <v>327.24500000000006</v>
      </c>
      <c r="J17" s="13">
        <f>SUMIF(Mercado_Receita!$T$2:$T$1157,"44531B1Energia convencionalResidencialResidencial baixa renda – faixa 02Não se aplicaNão se aplicaNão se aplica",Mercado_Receita!$N$2:$N$1157)</f>
        <v>340.06299999999999</v>
      </c>
      <c r="K17" s="13">
        <f>SUMIF(Mercado_Receita!$T$2:$T$1157,"44562B1Energia convencionalResidencialResidencial baixa renda – faixa 02Não se aplicaNão se aplicaNão se aplica",Mercado_Receita!$N$2:$N$1157)</f>
        <v>335.98399999999998</v>
      </c>
      <c r="L17" s="13">
        <f>SUMIF(Mercado_Receita!$T$2:$T$1157,"44593B1Energia convencionalResidencialResidencial baixa renda – faixa 02Não se aplicaNão se aplicaNão se aplica",Mercado_Receita!$N$2:$N$1157)</f>
        <v>363.31700000000001</v>
      </c>
      <c r="M17" s="13">
        <f>SUMIF(Mercado_Receita!$T$2:$T$1157,"44621B1Energia convencionalResidencialResidencial baixa renda – faixa 02Não se aplicaNão se aplicaNão se aplica",Mercado_Receita!$N$2:$N$1157)</f>
        <v>380.20500000000004</v>
      </c>
      <c r="N17" s="13">
        <f>SUMIF(Mercado_Receita!$T$2:$T$1157,"44652B1Energia convencionalResidencialResidencial baixa renda – faixa 02Não se aplicaNão se aplicaNão se aplica",Mercado_Receita!$N$2:$N$1157)</f>
        <v>380.14400000000001</v>
      </c>
      <c r="O17" s="13">
        <f>SUMIF(Mercado_Receita!$T$2:$T$1157,"44682B1Energia convencionalResidencialResidencial baixa renda – faixa 02Não se aplicaNão se aplicaNão se aplica",Mercado_Receita!$N$2:$N$1157)</f>
        <v>388.16</v>
      </c>
      <c r="P17" s="13">
        <f>SUMIF(Mercado_Receita!$T$2:$T$1157,"44713B1Energia convencionalResidencialResidencial baixa renda – faixa 02Não se aplicaNão se aplicaNão se aplica",Mercado_Receita!$N$2:$N$1157)</f>
        <v>367.42700000000002</v>
      </c>
      <c r="Q17" s="13">
        <f>SUMIF(Mercado_Receita!$T$2:$T$1157,"44743B1Energia convencionalResidencialResidencial baixa renda – faixa 02Não se aplicaNão se aplicaNão se aplica",Mercado_Receita!$N$2:$N$1157)</f>
        <v>347.49299999999999</v>
      </c>
      <c r="R17" s="13">
        <f>SUMIF(Mercado_Receita!$T$2:$T$1157,"44774B1Energia convencionalResidencialResidencial baixa renda – faixa 02Não se aplicaNão se aplicaNão se aplica",Mercado_Receita!$N$2:$N$1157)</f>
        <v>358.72199999999998</v>
      </c>
      <c r="S17" s="13">
        <f>SUMIF(Mercado_Receita!$T$2:$T$1157,"44805B1Energia convencionalResidencialResidencial baixa renda – faixa 02Não se aplicaNão se aplicaNão se aplica",Mercado_Receita!$N$2:$N$1157)</f>
        <v>370.24099999999999</v>
      </c>
      <c r="T17" s="13">
        <f>SUMIF(Mercado_Receita!$T$2:$T$1157,"44835B1Energia convencionalResidencialResidencial baixa renda – faixa 02Não se aplicaNão se aplicaNão se aplica",Mercado_Receita!$N$2:$N$1157)</f>
        <v>370.24099999999999</v>
      </c>
      <c r="U17" s="13">
        <f t="shared" si="0"/>
        <v>4329.2419999999993</v>
      </c>
      <c r="V17" s="13"/>
      <c r="W17" s="13"/>
    </row>
    <row r="18" spans="1:23" ht="11.25" customHeight="1" x14ac:dyDescent="0.3">
      <c r="A18" s="111"/>
      <c r="B18" s="111"/>
      <c r="C18" s="111"/>
      <c r="D18" s="12" t="s">
        <v>31</v>
      </c>
      <c r="E18" s="12" t="s">
        <v>25</v>
      </c>
      <c r="F18" s="12" t="s">
        <v>25</v>
      </c>
      <c r="G18" s="13" t="s">
        <v>84</v>
      </c>
      <c r="H18" s="13" t="s">
        <v>78</v>
      </c>
      <c r="I18" s="13">
        <f>SUMIF(Mercado_Receita!$T$2:$T$1157,"44501B1Energia convencionalResidencialResidencial baixa renda – faixa 03Não se aplicaNão se aplicaNão se aplica",Mercado_Receita!$N$2:$N$1157)</f>
        <v>240.054</v>
      </c>
      <c r="J18" s="13">
        <f>SUMIF(Mercado_Receita!$T$2:$T$1157,"44531B1Energia convencionalResidencialResidencial baixa renda – faixa 03Não se aplicaNão se aplicaNão se aplica",Mercado_Receita!$N$2:$N$1157)</f>
        <v>231.12799999999999</v>
      </c>
      <c r="K18" s="13">
        <f>SUMIF(Mercado_Receita!$T$2:$T$1157,"44562B1Energia convencionalResidencialResidencial baixa renda – faixa 03Não se aplicaNão se aplicaNão se aplica",Mercado_Receita!$N$2:$N$1157)</f>
        <v>264.74400000000003</v>
      </c>
      <c r="L18" s="13">
        <f>SUMIF(Mercado_Receita!$T$2:$T$1157,"44593B1Energia convencionalResidencialResidencial baixa renda – faixa 03Não se aplicaNão se aplicaNão se aplica",Mercado_Receita!$N$2:$N$1157)</f>
        <v>250.26100000000002</v>
      </c>
      <c r="M18" s="13">
        <f>SUMIF(Mercado_Receita!$T$2:$T$1157,"44621B1Energia convencionalResidencialResidencial baixa renda – faixa 03Não se aplicaNão se aplicaNão se aplica",Mercado_Receita!$N$2:$N$1157)</f>
        <v>274.08299999999997</v>
      </c>
      <c r="N18" s="13">
        <f>SUMIF(Mercado_Receita!$T$2:$T$1157,"44652B1Energia convencionalResidencialResidencial baixa renda – faixa 03Não se aplicaNão se aplicaNão se aplica",Mercado_Receita!$N$2:$N$1157)</f>
        <v>274.53800000000001</v>
      </c>
      <c r="O18" s="13">
        <f>SUMIF(Mercado_Receita!$T$2:$T$1157,"44682B1Energia convencionalResidencialResidencial baixa renda – faixa 03Não se aplicaNão se aplicaNão se aplica",Mercado_Receita!$N$2:$N$1157)</f>
        <v>287.32600000000002</v>
      </c>
      <c r="P18" s="13">
        <f>SUMIF(Mercado_Receita!$T$2:$T$1157,"44713B1Energia convencionalResidencialResidencial baixa renda – faixa 03Não se aplicaNão se aplicaNão se aplica",Mercado_Receita!$N$2:$N$1157)</f>
        <v>268.01100000000002</v>
      </c>
      <c r="Q18" s="13">
        <f>SUMIF(Mercado_Receita!$T$2:$T$1157,"44743B1Energia convencionalResidencialResidencial baixa renda – faixa 03Não se aplicaNão se aplicaNão se aplica",Mercado_Receita!$N$2:$N$1157)</f>
        <v>266.54399999999998</v>
      </c>
      <c r="R18" s="13">
        <f>SUMIF(Mercado_Receita!$T$2:$T$1157,"44774B1Energia convencionalResidencialResidencial baixa renda – faixa 03Não se aplicaNão se aplicaNão se aplica",Mercado_Receita!$N$2:$N$1157)</f>
        <v>265.81800000000004</v>
      </c>
      <c r="S18" s="13">
        <f>SUMIF(Mercado_Receita!$T$2:$T$1157,"44805B1Energia convencionalResidencialResidencial baixa renda – faixa 03Não se aplicaNão se aplicaNão se aplica",Mercado_Receita!$N$2:$N$1157)</f>
        <v>307.67199999999997</v>
      </c>
      <c r="T18" s="13">
        <f>SUMIF(Mercado_Receita!$T$2:$T$1157,"44835B1Energia convencionalResidencialResidencial baixa renda – faixa 03Não se aplicaNão se aplicaNão se aplica",Mercado_Receita!$N$2:$N$1157)</f>
        <v>307.67199999999997</v>
      </c>
      <c r="U18" s="13">
        <f t="shared" si="0"/>
        <v>3237.8510000000001</v>
      </c>
      <c r="V18" s="13"/>
      <c r="W18" s="13"/>
    </row>
    <row r="19" spans="1:23" ht="11.25" customHeight="1" x14ac:dyDescent="0.3">
      <c r="A19" s="111"/>
      <c r="B19" s="111"/>
      <c r="C19" s="111"/>
      <c r="D19" s="12" t="s">
        <v>32</v>
      </c>
      <c r="E19" s="12" t="s">
        <v>25</v>
      </c>
      <c r="F19" s="12" t="s">
        <v>25</v>
      </c>
      <c r="G19" s="13" t="s">
        <v>84</v>
      </c>
      <c r="H19" s="13" t="s">
        <v>78</v>
      </c>
      <c r="I19" s="13">
        <f>SUMIF(Mercado_Receita!$T$2:$T$1157,"44501B1Energia convencionalResidencialResidencial baixa renda – faixa 04Não se aplicaNão se aplicaNão se aplica",Mercado_Receita!$N$2:$N$1157)</f>
        <v>39.951000000000001</v>
      </c>
      <c r="J19" s="13">
        <f>SUMIF(Mercado_Receita!$T$2:$T$1157,"44531B1Energia convencionalResidencialResidencial baixa renda – faixa 04Não se aplicaNão se aplicaNão se aplica",Mercado_Receita!$N$2:$N$1157)</f>
        <v>35.573999999999998</v>
      </c>
      <c r="K19" s="13">
        <f>SUMIF(Mercado_Receita!$T$2:$T$1157,"44562B1Energia convencionalResidencialResidencial baixa renda – faixa 04Não se aplicaNão se aplicaNão se aplica",Mercado_Receita!$N$2:$N$1157)</f>
        <v>53.527999999999999</v>
      </c>
      <c r="L19" s="13">
        <f>SUMIF(Mercado_Receita!$T$2:$T$1157,"44593B1Energia convencionalResidencialResidencial baixa renda – faixa 04Não se aplicaNão se aplicaNão se aplica",Mercado_Receita!$N$2:$N$1157)</f>
        <v>41.75</v>
      </c>
      <c r="M19" s="13">
        <f>SUMIF(Mercado_Receita!$T$2:$T$1157,"44621B1Energia convencionalResidencialResidencial baixa renda – faixa 04Não se aplicaNão se aplicaNão se aplica",Mercado_Receita!$N$2:$N$1157)</f>
        <v>48.390999999999998</v>
      </c>
      <c r="N19" s="13">
        <f>SUMIF(Mercado_Receita!$T$2:$T$1157,"44652B1Energia convencionalResidencialResidencial baixa renda – faixa 04Não se aplicaNão se aplicaNão se aplica",Mercado_Receita!$N$2:$N$1157)</f>
        <v>50.184000000000005</v>
      </c>
      <c r="O19" s="13">
        <f>SUMIF(Mercado_Receita!$T$2:$T$1157,"44682B1Energia convencionalResidencialResidencial baixa renda – faixa 04Não se aplicaNão se aplicaNão se aplica",Mercado_Receita!$N$2:$N$1157)</f>
        <v>54.184999999999995</v>
      </c>
      <c r="P19" s="13">
        <f>SUMIF(Mercado_Receita!$T$2:$T$1157,"44713B1Energia convencionalResidencialResidencial baixa renda – faixa 04Não se aplicaNão se aplicaNão se aplica",Mercado_Receita!$N$2:$N$1157)</f>
        <v>53.680999999999997</v>
      </c>
      <c r="Q19" s="13">
        <f>SUMIF(Mercado_Receita!$T$2:$T$1157,"44743B1Energia convencionalResidencialResidencial baixa renda – faixa 04Não se aplicaNão se aplicaNão se aplica",Mercado_Receita!$N$2:$N$1157)</f>
        <v>59.723999999999997</v>
      </c>
      <c r="R19" s="13">
        <f>SUMIF(Mercado_Receita!$T$2:$T$1157,"44774B1Energia convencionalResidencialResidencial baixa renda – faixa 04Não se aplicaNão se aplicaNão se aplica",Mercado_Receita!$N$2:$N$1157)</f>
        <v>51.830999999999996</v>
      </c>
      <c r="S19" s="13">
        <f>SUMIF(Mercado_Receita!$T$2:$T$1157,"44805B1Energia convencionalResidencialResidencial baixa renda – faixa 04Não se aplicaNão se aplicaNão se aplica",Mercado_Receita!$N$2:$N$1157)</f>
        <v>72.566999999999993</v>
      </c>
      <c r="T19" s="13">
        <f>SUMIF(Mercado_Receita!$T$2:$T$1157,"44835B1Energia convencionalResidencialResidencial baixa renda – faixa 04Não se aplicaNão se aplicaNão se aplica",Mercado_Receita!$N$2:$N$1157)</f>
        <v>72.566999999999993</v>
      </c>
      <c r="U19" s="13">
        <f t="shared" si="0"/>
        <v>633.93299999999999</v>
      </c>
      <c r="V19" s="13"/>
      <c r="W19" s="13"/>
    </row>
    <row r="20" spans="1:23" ht="11.25" customHeight="1" x14ac:dyDescent="0.3">
      <c r="A20" s="111"/>
      <c r="B20" s="110" t="s">
        <v>91</v>
      </c>
      <c r="C20" s="110" t="s">
        <v>24</v>
      </c>
      <c r="D20" s="12" t="s">
        <v>24</v>
      </c>
      <c r="E20" s="12" t="s">
        <v>25</v>
      </c>
      <c r="F20" s="12" t="s">
        <v>25</v>
      </c>
      <c r="G20" s="13" t="s">
        <v>84</v>
      </c>
      <c r="H20" s="13" t="s">
        <v>78</v>
      </c>
      <c r="I20" s="13">
        <f>SUMIF(Mercado_Receita!$T$2:$T$1157,"44501B1Energia convencional pré-pagamentoResidencialResidencialNão se aplicaNão se aplicaNão se aplica",Mercado_Receita!$N$2:$N$1157)</f>
        <v>0</v>
      </c>
      <c r="J20" s="13">
        <f>SUMIF(Mercado_Receita!$T$2:$T$1157,"44531B1Energia convencional pré-pagamentoResidencialResidencialNão se aplicaNão se aplicaNão se aplica",Mercado_Receita!$N$2:$N$1157)</f>
        <v>0</v>
      </c>
      <c r="K20" s="13">
        <f>SUMIF(Mercado_Receita!$T$2:$T$1157,"44562B1Energia convencional pré-pagamentoResidencialResidencialNão se aplicaNão se aplicaNão se aplica",Mercado_Receita!$N$2:$N$1157)</f>
        <v>0</v>
      </c>
      <c r="L20" s="13">
        <f>SUMIF(Mercado_Receita!$T$2:$T$1157,"44593B1Energia convencional pré-pagamentoResidencialResidencialNão se aplicaNão se aplicaNão se aplica",Mercado_Receita!$N$2:$N$1157)</f>
        <v>0</v>
      </c>
      <c r="M20" s="13">
        <f>SUMIF(Mercado_Receita!$T$2:$T$1157,"44621B1Energia convencional pré-pagamentoResidencialResidencialNão se aplicaNão se aplicaNão se aplica",Mercado_Receita!$N$2:$N$1157)</f>
        <v>0</v>
      </c>
      <c r="N20" s="13">
        <f>SUMIF(Mercado_Receita!$T$2:$T$1157,"44652B1Energia convencional pré-pagamentoResidencialResidencialNão se aplicaNão se aplicaNão se aplica",Mercado_Receita!$N$2:$N$1157)</f>
        <v>0</v>
      </c>
      <c r="O20" s="13">
        <f>SUMIF(Mercado_Receita!$T$2:$T$1157,"44682B1Energia convencional pré-pagamentoResidencialResidencialNão se aplicaNão se aplicaNão se aplica",Mercado_Receita!$N$2:$N$1157)</f>
        <v>0</v>
      </c>
      <c r="P20" s="13">
        <f>SUMIF(Mercado_Receita!$T$2:$T$1157,"44713B1Energia convencional pré-pagamentoResidencialResidencialNão se aplicaNão se aplicaNão se aplica",Mercado_Receita!$N$2:$N$1157)</f>
        <v>0</v>
      </c>
      <c r="Q20" s="13">
        <f>SUMIF(Mercado_Receita!$T$2:$T$1157,"44743B1Energia convencional pré-pagamentoResidencialResidencialNão se aplicaNão se aplicaNão se aplica",Mercado_Receita!$N$2:$N$1157)</f>
        <v>0</v>
      </c>
      <c r="R20" s="13">
        <f>SUMIF(Mercado_Receita!$T$2:$T$1157,"44774B1Energia convencional pré-pagamentoResidencialResidencialNão se aplicaNão se aplicaNão se aplica",Mercado_Receita!$N$2:$N$1157)</f>
        <v>0</v>
      </c>
      <c r="S20" s="13">
        <f>SUMIF(Mercado_Receita!$T$2:$T$1157,"44805B1Energia convencional pré-pagamentoResidencialResidencialNão se aplicaNão se aplicaNão se aplica",Mercado_Receita!$N$2:$N$1157)</f>
        <v>0</v>
      </c>
      <c r="T20" s="13">
        <f>SUMIF(Mercado_Receita!$T$2:$T$1157,"44835B1Energia convencional pré-pagamentoResidencialResidencialNão se aplicaNão se aplicaNão se aplica",Mercado_Receita!$N$2:$N$1157)</f>
        <v>0</v>
      </c>
      <c r="U20" s="13">
        <f t="shared" si="0"/>
        <v>0</v>
      </c>
      <c r="V20" s="13"/>
      <c r="W20" s="13"/>
    </row>
    <row r="21" spans="1:23" ht="11.25" customHeight="1" x14ac:dyDescent="0.3">
      <c r="A21" s="111"/>
      <c r="B21" s="111"/>
      <c r="C21" s="111"/>
      <c r="D21" s="12" t="s">
        <v>29</v>
      </c>
      <c r="E21" s="12" t="s">
        <v>25</v>
      </c>
      <c r="F21" s="12" t="s">
        <v>25</v>
      </c>
      <c r="G21" s="13" t="s">
        <v>84</v>
      </c>
      <c r="H21" s="13" t="s">
        <v>78</v>
      </c>
      <c r="I21" s="13">
        <f>SUMIF(Mercado_Receita!$T$2:$T$1157,"44501B1Energia convencional pré-pagamentoResidencialResidencial baixa renda – faixa 01Não se aplicaNão se aplicaNão se aplica",Mercado_Receita!$N$2:$N$1157)</f>
        <v>0</v>
      </c>
      <c r="J21" s="13">
        <f>SUMIF(Mercado_Receita!$T$2:$T$1157,"44531B1Energia convencional pré-pagamentoResidencialResidencial baixa renda – faixa 01Não se aplicaNão se aplicaNão se aplica",Mercado_Receita!$N$2:$N$1157)</f>
        <v>0</v>
      </c>
      <c r="K21" s="13">
        <f>SUMIF(Mercado_Receita!$T$2:$T$1157,"44562B1Energia convencional pré-pagamentoResidencialResidencial baixa renda – faixa 01Não se aplicaNão se aplicaNão se aplica",Mercado_Receita!$N$2:$N$1157)</f>
        <v>0</v>
      </c>
      <c r="L21" s="13">
        <f>SUMIF(Mercado_Receita!$T$2:$T$1157,"44593B1Energia convencional pré-pagamentoResidencialResidencial baixa renda – faixa 01Não se aplicaNão se aplicaNão se aplica",Mercado_Receita!$N$2:$N$1157)</f>
        <v>0</v>
      </c>
      <c r="M21" s="13">
        <f>SUMIF(Mercado_Receita!$T$2:$T$1157,"44621B1Energia convencional pré-pagamentoResidencialResidencial baixa renda – faixa 01Não se aplicaNão se aplicaNão se aplica",Mercado_Receita!$N$2:$N$1157)</f>
        <v>0</v>
      </c>
      <c r="N21" s="13">
        <f>SUMIF(Mercado_Receita!$T$2:$T$1157,"44652B1Energia convencional pré-pagamentoResidencialResidencial baixa renda – faixa 01Não se aplicaNão se aplicaNão se aplica",Mercado_Receita!$N$2:$N$1157)</f>
        <v>0</v>
      </c>
      <c r="O21" s="13">
        <f>SUMIF(Mercado_Receita!$T$2:$T$1157,"44682B1Energia convencional pré-pagamentoResidencialResidencial baixa renda – faixa 01Não se aplicaNão se aplicaNão se aplica",Mercado_Receita!$N$2:$N$1157)</f>
        <v>0</v>
      </c>
      <c r="P21" s="13">
        <f>SUMIF(Mercado_Receita!$T$2:$T$1157,"44713B1Energia convencional pré-pagamentoResidencialResidencial baixa renda – faixa 01Não se aplicaNão se aplicaNão se aplica",Mercado_Receita!$N$2:$N$1157)</f>
        <v>0</v>
      </c>
      <c r="Q21" s="13">
        <f>SUMIF(Mercado_Receita!$T$2:$T$1157,"44743B1Energia convencional pré-pagamentoResidencialResidencial baixa renda – faixa 01Não se aplicaNão se aplicaNão se aplica",Mercado_Receita!$N$2:$N$1157)</f>
        <v>0</v>
      </c>
      <c r="R21" s="13">
        <f>SUMIF(Mercado_Receita!$T$2:$T$1157,"44774B1Energia convencional pré-pagamentoResidencialResidencial baixa renda – faixa 01Não se aplicaNão se aplicaNão se aplica",Mercado_Receita!$N$2:$N$1157)</f>
        <v>0</v>
      </c>
      <c r="S21" s="13">
        <f>SUMIF(Mercado_Receita!$T$2:$T$1157,"44805B1Energia convencional pré-pagamentoResidencialResidencial baixa renda – faixa 01Não se aplicaNão se aplicaNão se aplica",Mercado_Receita!$N$2:$N$1157)</f>
        <v>0</v>
      </c>
      <c r="T21" s="13">
        <f>SUMIF(Mercado_Receita!$T$2:$T$1157,"44835B1Energia convencional pré-pagamentoResidencialResidencial baixa renda – faixa 01Não se aplicaNão se aplicaNão se aplica",Mercado_Receita!$N$2:$N$1157)</f>
        <v>0</v>
      </c>
      <c r="U21" s="13">
        <f t="shared" si="0"/>
        <v>0</v>
      </c>
      <c r="V21" s="13"/>
      <c r="W21" s="13"/>
    </row>
    <row r="22" spans="1:23" ht="11.25" customHeight="1" x14ac:dyDescent="0.3">
      <c r="A22" s="111"/>
      <c r="B22" s="111"/>
      <c r="C22" s="111"/>
      <c r="D22" s="12" t="s">
        <v>30</v>
      </c>
      <c r="E22" s="12" t="s">
        <v>25</v>
      </c>
      <c r="F22" s="12" t="s">
        <v>25</v>
      </c>
      <c r="G22" s="13" t="s">
        <v>84</v>
      </c>
      <c r="H22" s="13" t="s">
        <v>78</v>
      </c>
      <c r="I22" s="13">
        <f>SUMIF(Mercado_Receita!$T$2:$T$1157,"44501B1Energia convencional pré-pagamentoResidencialResidencial baixa renda – faixa 02Não se aplicaNão se aplicaNão se aplica",Mercado_Receita!$N$2:$N$1157)</f>
        <v>0</v>
      </c>
      <c r="J22" s="13">
        <f>SUMIF(Mercado_Receita!$T$2:$T$1157,"44531B1Energia convencional pré-pagamentoResidencialResidencial baixa renda – faixa 02Não se aplicaNão se aplicaNão se aplica",Mercado_Receita!$N$2:$N$1157)</f>
        <v>0</v>
      </c>
      <c r="K22" s="13">
        <f>SUMIF(Mercado_Receita!$T$2:$T$1157,"44562B1Energia convencional pré-pagamentoResidencialResidencial baixa renda – faixa 02Não se aplicaNão se aplicaNão se aplica",Mercado_Receita!$N$2:$N$1157)</f>
        <v>0</v>
      </c>
      <c r="L22" s="13">
        <f>SUMIF(Mercado_Receita!$T$2:$T$1157,"44593B1Energia convencional pré-pagamentoResidencialResidencial baixa renda – faixa 02Não se aplicaNão se aplicaNão se aplica",Mercado_Receita!$N$2:$N$1157)</f>
        <v>0</v>
      </c>
      <c r="M22" s="13">
        <f>SUMIF(Mercado_Receita!$T$2:$T$1157,"44621B1Energia convencional pré-pagamentoResidencialResidencial baixa renda – faixa 02Não se aplicaNão se aplicaNão se aplica",Mercado_Receita!$N$2:$N$1157)</f>
        <v>0</v>
      </c>
      <c r="N22" s="13">
        <f>SUMIF(Mercado_Receita!$T$2:$T$1157,"44652B1Energia convencional pré-pagamentoResidencialResidencial baixa renda – faixa 02Não se aplicaNão se aplicaNão se aplica",Mercado_Receita!$N$2:$N$1157)</f>
        <v>0</v>
      </c>
      <c r="O22" s="13">
        <f>SUMIF(Mercado_Receita!$T$2:$T$1157,"44682B1Energia convencional pré-pagamentoResidencialResidencial baixa renda – faixa 02Não se aplicaNão se aplicaNão se aplica",Mercado_Receita!$N$2:$N$1157)</f>
        <v>0</v>
      </c>
      <c r="P22" s="13">
        <f>SUMIF(Mercado_Receita!$T$2:$T$1157,"44713B1Energia convencional pré-pagamentoResidencialResidencial baixa renda – faixa 02Não se aplicaNão se aplicaNão se aplica",Mercado_Receita!$N$2:$N$1157)</f>
        <v>0</v>
      </c>
      <c r="Q22" s="13">
        <f>SUMIF(Mercado_Receita!$T$2:$T$1157,"44743B1Energia convencional pré-pagamentoResidencialResidencial baixa renda – faixa 02Não se aplicaNão se aplicaNão se aplica",Mercado_Receita!$N$2:$N$1157)</f>
        <v>0</v>
      </c>
      <c r="R22" s="13">
        <f>SUMIF(Mercado_Receita!$T$2:$T$1157,"44774B1Energia convencional pré-pagamentoResidencialResidencial baixa renda – faixa 02Não se aplicaNão se aplicaNão se aplica",Mercado_Receita!$N$2:$N$1157)</f>
        <v>0</v>
      </c>
      <c r="S22" s="13">
        <f>SUMIF(Mercado_Receita!$T$2:$T$1157,"44805B1Energia convencional pré-pagamentoResidencialResidencial baixa renda – faixa 02Não se aplicaNão se aplicaNão se aplica",Mercado_Receita!$N$2:$N$1157)</f>
        <v>0</v>
      </c>
      <c r="T22" s="13">
        <f>SUMIF(Mercado_Receita!$T$2:$T$1157,"44835B1Energia convencional pré-pagamentoResidencialResidencial baixa renda – faixa 02Não se aplicaNão se aplicaNão se aplica",Mercado_Receita!$N$2:$N$1157)</f>
        <v>0</v>
      </c>
      <c r="U22" s="13">
        <f t="shared" si="0"/>
        <v>0</v>
      </c>
      <c r="V22" s="13"/>
      <c r="W22" s="13"/>
    </row>
    <row r="23" spans="1:23" ht="11.25" customHeight="1" x14ac:dyDescent="0.3">
      <c r="A23" s="111"/>
      <c r="B23" s="111"/>
      <c r="C23" s="111"/>
      <c r="D23" s="12" t="s">
        <v>31</v>
      </c>
      <c r="E23" s="12" t="s">
        <v>25</v>
      </c>
      <c r="F23" s="12" t="s">
        <v>25</v>
      </c>
      <c r="G23" s="13" t="s">
        <v>84</v>
      </c>
      <c r="H23" s="13" t="s">
        <v>78</v>
      </c>
      <c r="I23" s="13">
        <f>SUMIF(Mercado_Receita!$T$2:$T$1157,"44501B1Energia convencional pré-pagamentoResidencialResidencial baixa renda – faixa 03Não se aplicaNão se aplicaNão se aplica",Mercado_Receita!$N$2:$N$1157)</f>
        <v>0</v>
      </c>
      <c r="J23" s="13">
        <f>SUMIF(Mercado_Receita!$T$2:$T$1157,"44531B1Energia convencional pré-pagamentoResidencialResidencial baixa renda – faixa 03Não se aplicaNão se aplicaNão se aplica",Mercado_Receita!$N$2:$N$1157)</f>
        <v>0</v>
      </c>
      <c r="K23" s="13">
        <f>SUMIF(Mercado_Receita!$T$2:$T$1157,"44562B1Energia convencional pré-pagamentoResidencialResidencial baixa renda – faixa 03Não se aplicaNão se aplicaNão se aplica",Mercado_Receita!$N$2:$N$1157)</f>
        <v>0</v>
      </c>
      <c r="L23" s="13">
        <f>SUMIF(Mercado_Receita!$T$2:$T$1157,"44593B1Energia convencional pré-pagamentoResidencialResidencial baixa renda – faixa 03Não se aplicaNão se aplicaNão se aplica",Mercado_Receita!$N$2:$N$1157)</f>
        <v>0</v>
      </c>
      <c r="M23" s="13">
        <f>SUMIF(Mercado_Receita!$T$2:$T$1157,"44621B1Energia convencional pré-pagamentoResidencialResidencial baixa renda – faixa 03Não se aplicaNão se aplicaNão se aplica",Mercado_Receita!$N$2:$N$1157)</f>
        <v>0</v>
      </c>
      <c r="N23" s="13">
        <f>SUMIF(Mercado_Receita!$T$2:$T$1157,"44652B1Energia convencional pré-pagamentoResidencialResidencial baixa renda – faixa 03Não se aplicaNão se aplicaNão se aplica",Mercado_Receita!$N$2:$N$1157)</f>
        <v>0</v>
      </c>
      <c r="O23" s="13">
        <f>SUMIF(Mercado_Receita!$T$2:$T$1157,"44682B1Energia convencional pré-pagamentoResidencialResidencial baixa renda – faixa 03Não se aplicaNão se aplicaNão se aplica",Mercado_Receita!$N$2:$N$1157)</f>
        <v>0</v>
      </c>
      <c r="P23" s="13">
        <f>SUMIF(Mercado_Receita!$T$2:$T$1157,"44713B1Energia convencional pré-pagamentoResidencialResidencial baixa renda – faixa 03Não se aplicaNão se aplicaNão se aplica",Mercado_Receita!$N$2:$N$1157)</f>
        <v>0</v>
      </c>
      <c r="Q23" s="13">
        <f>SUMIF(Mercado_Receita!$T$2:$T$1157,"44743B1Energia convencional pré-pagamentoResidencialResidencial baixa renda – faixa 03Não se aplicaNão se aplicaNão se aplica",Mercado_Receita!$N$2:$N$1157)</f>
        <v>0</v>
      </c>
      <c r="R23" s="13">
        <f>SUMIF(Mercado_Receita!$T$2:$T$1157,"44774B1Energia convencional pré-pagamentoResidencialResidencial baixa renda – faixa 03Não se aplicaNão se aplicaNão se aplica",Mercado_Receita!$N$2:$N$1157)</f>
        <v>0</v>
      </c>
      <c r="S23" s="13">
        <f>SUMIF(Mercado_Receita!$T$2:$T$1157,"44805B1Energia convencional pré-pagamentoResidencialResidencial baixa renda – faixa 03Não se aplicaNão se aplicaNão se aplica",Mercado_Receita!$N$2:$N$1157)</f>
        <v>0</v>
      </c>
      <c r="T23" s="13">
        <f>SUMIF(Mercado_Receita!$T$2:$T$1157,"44835B1Energia convencional pré-pagamentoResidencialResidencial baixa renda – faixa 03Não se aplicaNão se aplicaNão se aplica",Mercado_Receita!$N$2:$N$1157)</f>
        <v>0</v>
      </c>
      <c r="U23" s="13">
        <f t="shared" si="0"/>
        <v>0</v>
      </c>
      <c r="V23" s="13"/>
      <c r="W23" s="13"/>
    </row>
    <row r="24" spans="1:23" ht="11.25" customHeight="1" x14ac:dyDescent="0.3">
      <c r="A24" s="111"/>
      <c r="B24" s="111"/>
      <c r="C24" s="111"/>
      <c r="D24" s="12" t="s">
        <v>32</v>
      </c>
      <c r="E24" s="12" t="s">
        <v>25</v>
      </c>
      <c r="F24" s="12" t="s">
        <v>25</v>
      </c>
      <c r="G24" s="13" t="s">
        <v>84</v>
      </c>
      <c r="H24" s="13" t="s">
        <v>78</v>
      </c>
      <c r="I24" s="13">
        <f>SUMIF(Mercado_Receita!$T$2:$T$1157,"44501B1Energia convencional pré-pagamentoResidencialResidencial baixa renda – faixa 04Não se aplicaNão se aplicaNão se aplica",Mercado_Receita!$N$2:$N$1157)</f>
        <v>0</v>
      </c>
      <c r="J24" s="13">
        <f>SUMIF(Mercado_Receita!$T$2:$T$1157,"44531B1Energia convencional pré-pagamentoResidencialResidencial baixa renda – faixa 04Não se aplicaNão se aplicaNão se aplica",Mercado_Receita!$N$2:$N$1157)</f>
        <v>0</v>
      </c>
      <c r="K24" s="13">
        <f>SUMIF(Mercado_Receita!$T$2:$T$1157,"44562B1Energia convencional pré-pagamentoResidencialResidencial baixa renda – faixa 04Não se aplicaNão se aplicaNão se aplica",Mercado_Receita!$N$2:$N$1157)</f>
        <v>0</v>
      </c>
      <c r="L24" s="13">
        <f>SUMIF(Mercado_Receita!$T$2:$T$1157,"44593B1Energia convencional pré-pagamentoResidencialResidencial baixa renda – faixa 04Não se aplicaNão se aplicaNão se aplica",Mercado_Receita!$N$2:$N$1157)</f>
        <v>0</v>
      </c>
      <c r="M24" s="13">
        <f>SUMIF(Mercado_Receita!$T$2:$T$1157,"44621B1Energia convencional pré-pagamentoResidencialResidencial baixa renda – faixa 04Não se aplicaNão se aplicaNão se aplica",Mercado_Receita!$N$2:$N$1157)</f>
        <v>0</v>
      </c>
      <c r="N24" s="13">
        <f>SUMIF(Mercado_Receita!$T$2:$T$1157,"44652B1Energia convencional pré-pagamentoResidencialResidencial baixa renda – faixa 04Não se aplicaNão se aplicaNão se aplica",Mercado_Receita!$N$2:$N$1157)</f>
        <v>0</v>
      </c>
      <c r="O24" s="13">
        <f>SUMIF(Mercado_Receita!$T$2:$T$1157,"44682B1Energia convencional pré-pagamentoResidencialResidencial baixa renda – faixa 04Não se aplicaNão se aplicaNão se aplica",Mercado_Receita!$N$2:$N$1157)</f>
        <v>0</v>
      </c>
      <c r="P24" s="13">
        <f>SUMIF(Mercado_Receita!$T$2:$T$1157,"44713B1Energia convencional pré-pagamentoResidencialResidencial baixa renda – faixa 04Não se aplicaNão se aplicaNão se aplica",Mercado_Receita!$N$2:$N$1157)</f>
        <v>0</v>
      </c>
      <c r="Q24" s="13">
        <f>SUMIF(Mercado_Receita!$T$2:$T$1157,"44743B1Energia convencional pré-pagamentoResidencialResidencial baixa renda – faixa 04Não se aplicaNão se aplicaNão se aplica",Mercado_Receita!$N$2:$N$1157)</f>
        <v>0</v>
      </c>
      <c r="R24" s="13">
        <f>SUMIF(Mercado_Receita!$T$2:$T$1157,"44774B1Energia convencional pré-pagamentoResidencialResidencial baixa renda – faixa 04Não se aplicaNão se aplicaNão se aplica",Mercado_Receita!$N$2:$N$1157)</f>
        <v>0</v>
      </c>
      <c r="S24" s="13">
        <f>SUMIF(Mercado_Receita!$T$2:$T$1157,"44805B1Energia convencional pré-pagamentoResidencialResidencial baixa renda – faixa 04Não se aplicaNão se aplicaNão se aplica",Mercado_Receita!$N$2:$N$1157)</f>
        <v>0</v>
      </c>
      <c r="T24" s="13">
        <f>SUMIF(Mercado_Receita!$T$2:$T$1157,"44835B1Energia convencional pré-pagamentoResidencialResidencial baixa renda – faixa 04Não se aplicaNão se aplicaNão se aplica",Mercado_Receita!$N$2:$N$1157)</f>
        <v>0</v>
      </c>
      <c r="U24" s="13">
        <f t="shared" si="0"/>
        <v>0</v>
      </c>
      <c r="V24" s="13"/>
      <c r="W24" s="13"/>
    </row>
    <row r="25" spans="1:23" ht="11.25" customHeight="1" x14ac:dyDescent="0.3">
      <c r="A25" s="110" t="s">
        <v>44</v>
      </c>
      <c r="B25" s="110" t="s">
        <v>77</v>
      </c>
      <c r="C25" s="110" t="s">
        <v>45</v>
      </c>
      <c r="D25" s="110" t="s">
        <v>25</v>
      </c>
      <c r="E25" s="110" t="s">
        <v>25</v>
      </c>
      <c r="F25" s="110" t="s">
        <v>25</v>
      </c>
      <c r="G25" s="13" t="s">
        <v>79</v>
      </c>
      <c r="H25" s="13" t="s">
        <v>78</v>
      </c>
      <c r="I25" s="13">
        <f>SUMIF(Mercado_Receita!$T$2:$T$1157,"44501B2Energia horáriaRuralNão se aplicaNão se aplicaNão se aplicaPonta",Mercado_Receita!$N$2:$N$1157)</f>
        <v>0</v>
      </c>
      <c r="J25" s="13">
        <f>SUMIF(Mercado_Receita!$T$2:$T$1157,"44531B2Energia horáriaRuralNão se aplicaNão se aplicaNão se aplicaPonta",Mercado_Receita!$N$2:$N$1157)</f>
        <v>0</v>
      </c>
      <c r="K25" s="13">
        <f>SUMIF(Mercado_Receita!$T$2:$T$1157,"44562B2Energia horáriaRuralNão se aplicaNão se aplicaNão se aplicaPonta",Mercado_Receita!$N$2:$N$1157)</f>
        <v>0</v>
      </c>
      <c r="L25" s="13">
        <f>SUMIF(Mercado_Receita!$T$2:$T$1157,"44593B2Energia horáriaRuralNão se aplicaNão se aplicaNão se aplicaPonta",Mercado_Receita!$N$2:$N$1157)</f>
        <v>0</v>
      </c>
      <c r="M25" s="13">
        <f>SUMIF(Mercado_Receita!$T$2:$T$1157,"44621B2Energia horáriaRuralNão se aplicaNão se aplicaNão se aplicaPonta",Mercado_Receita!$N$2:$N$1157)</f>
        <v>0</v>
      </c>
      <c r="N25" s="13">
        <f>SUMIF(Mercado_Receita!$T$2:$T$1157,"44652B2Energia horáriaRuralNão se aplicaNão se aplicaNão se aplicaPonta",Mercado_Receita!$N$2:$N$1157)</f>
        <v>0</v>
      </c>
      <c r="O25" s="13">
        <f>SUMIF(Mercado_Receita!$T$2:$T$1157,"44682B2Energia horáriaRuralNão se aplicaNão se aplicaNão se aplicaPonta",Mercado_Receita!$N$2:$N$1157)</f>
        <v>0</v>
      </c>
      <c r="P25" s="13">
        <f>SUMIF(Mercado_Receita!$T$2:$T$1157,"44713B2Energia horáriaRuralNão se aplicaNão se aplicaNão se aplicaPonta",Mercado_Receita!$N$2:$N$1157)</f>
        <v>0</v>
      </c>
      <c r="Q25" s="13">
        <f>SUMIF(Mercado_Receita!$T$2:$T$1157,"44743B2Energia horáriaRuralNão se aplicaNão se aplicaNão se aplicaPonta",Mercado_Receita!$N$2:$N$1157)</f>
        <v>0</v>
      </c>
      <c r="R25" s="13">
        <f>SUMIF(Mercado_Receita!$T$2:$T$1157,"44774B2Energia horáriaRuralNão se aplicaNão se aplicaNão se aplicaPonta",Mercado_Receita!$N$2:$N$1157)</f>
        <v>0</v>
      </c>
      <c r="S25" s="13">
        <f>SUMIF(Mercado_Receita!$T$2:$T$1157,"44805B2Energia horáriaRuralNão se aplicaNão se aplicaNão se aplicaPonta",Mercado_Receita!$N$2:$N$1157)</f>
        <v>0</v>
      </c>
      <c r="T25" s="13">
        <f>SUMIF(Mercado_Receita!$T$2:$T$1157,"44835B2Energia horáriaRuralNão se aplicaNão se aplicaNão se aplicaPonta",Mercado_Receita!$N$2:$N$1157)</f>
        <v>0</v>
      </c>
      <c r="U25" s="13">
        <f t="shared" si="0"/>
        <v>0</v>
      </c>
      <c r="V25" s="13"/>
      <c r="W25" s="13"/>
    </row>
    <row r="26" spans="1:23" ht="11.25" customHeight="1" x14ac:dyDescent="0.3">
      <c r="A26" s="111"/>
      <c r="B26" s="111"/>
      <c r="C26" s="111"/>
      <c r="D26" s="111"/>
      <c r="E26" s="111"/>
      <c r="F26" s="111"/>
      <c r="G26" s="13" t="s">
        <v>90</v>
      </c>
      <c r="H26" s="13" t="s">
        <v>78</v>
      </c>
      <c r="I26" s="13">
        <f>SUMIF(Mercado_Receita!$T$2:$T$1157,"44501B2Energia horáriaRuralNão se aplicaNão se aplicaNão se aplicaIntermediário",Mercado_Receita!$N$2:$N$1157)</f>
        <v>0</v>
      </c>
      <c r="J26" s="13">
        <f>SUMIF(Mercado_Receita!$T$2:$T$1157,"44531B2Energia horáriaRuralNão se aplicaNão se aplicaNão se aplicaIntermediário",Mercado_Receita!$N$2:$N$1157)</f>
        <v>0</v>
      </c>
      <c r="K26" s="13">
        <f>SUMIF(Mercado_Receita!$T$2:$T$1157,"44562B2Energia horáriaRuralNão se aplicaNão se aplicaNão se aplicaIntermediário",Mercado_Receita!$N$2:$N$1157)</f>
        <v>0</v>
      </c>
      <c r="L26" s="13">
        <f>SUMIF(Mercado_Receita!$T$2:$T$1157,"44593B2Energia horáriaRuralNão se aplicaNão se aplicaNão se aplicaIntermediário",Mercado_Receita!$N$2:$N$1157)</f>
        <v>0</v>
      </c>
      <c r="M26" s="13">
        <f>SUMIF(Mercado_Receita!$T$2:$T$1157,"44621B2Energia horáriaRuralNão se aplicaNão se aplicaNão se aplicaIntermediário",Mercado_Receita!$N$2:$N$1157)</f>
        <v>0</v>
      </c>
      <c r="N26" s="13">
        <f>SUMIF(Mercado_Receita!$T$2:$T$1157,"44652B2Energia horáriaRuralNão se aplicaNão se aplicaNão se aplicaIntermediário",Mercado_Receita!$N$2:$N$1157)</f>
        <v>0</v>
      </c>
      <c r="O26" s="13">
        <f>SUMIF(Mercado_Receita!$T$2:$T$1157,"44682B2Energia horáriaRuralNão se aplicaNão se aplicaNão se aplicaIntermediário",Mercado_Receita!$N$2:$N$1157)</f>
        <v>0</v>
      </c>
      <c r="P26" s="13">
        <f>SUMIF(Mercado_Receita!$T$2:$T$1157,"44713B2Energia horáriaRuralNão se aplicaNão se aplicaNão se aplicaIntermediário",Mercado_Receita!$N$2:$N$1157)</f>
        <v>0</v>
      </c>
      <c r="Q26" s="13">
        <f>SUMIF(Mercado_Receita!$T$2:$T$1157,"44743B2Energia horáriaRuralNão se aplicaNão se aplicaNão se aplicaIntermediário",Mercado_Receita!$N$2:$N$1157)</f>
        <v>0</v>
      </c>
      <c r="R26" s="13">
        <f>SUMIF(Mercado_Receita!$T$2:$T$1157,"44774B2Energia horáriaRuralNão se aplicaNão se aplicaNão se aplicaIntermediário",Mercado_Receita!$N$2:$N$1157)</f>
        <v>0</v>
      </c>
      <c r="S26" s="13">
        <f>SUMIF(Mercado_Receita!$T$2:$T$1157,"44805B2Energia horáriaRuralNão se aplicaNão se aplicaNão se aplicaIntermediário",Mercado_Receita!$N$2:$N$1157)</f>
        <v>0</v>
      </c>
      <c r="T26" s="13">
        <f>SUMIF(Mercado_Receita!$T$2:$T$1157,"44835B2Energia horáriaRuralNão se aplicaNão se aplicaNão se aplicaIntermediário",Mercado_Receita!$N$2:$N$1157)</f>
        <v>0</v>
      </c>
      <c r="U26" s="13">
        <f t="shared" si="0"/>
        <v>0</v>
      </c>
      <c r="V26" s="13"/>
      <c r="W26" s="13"/>
    </row>
    <row r="27" spans="1:23" ht="11.25" customHeight="1" x14ac:dyDescent="0.3">
      <c r="A27" s="111"/>
      <c r="B27" s="111"/>
      <c r="C27" s="111"/>
      <c r="D27" s="111"/>
      <c r="E27" s="111"/>
      <c r="F27" s="111"/>
      <c r="G27" s="13" t="s">
        <v>80</v>
      </c>
      <c r="H27" s="13" t="s">
        <v>78</v>
      </c>
      <c r="I27" s="13">
        <f>SUMIF(Mercado_Receita!$T$2:$T$1157,"44501B2Energia horáriaRuralNão se aplicaNão se aplicaNão se aplicaFora ponta",Mercado_Receita!$N$2:$N$1157)</f>
        <v>0</v>
      </c>
      <c r="J27" s="13">
        <f>SUMIF(Mercado_Receita!$T$2:$T$1157,"44531B2Energia horáriaRuralNão se aplicaNão se aplicaNão se aplicaFora ponta",Mercado_Receita!$N$2:$N$1157)</f>
        <v>0</v>
      </c>
      <c r="K27" s="13">
        <f>SUMIF(Mercado_Receita!$T$2:$T$1157,"44562B2Energia horáriaRuralNão se aplicaNão se aplicaNão se aplicaFora ponta",Mercado_Receita!$N$2:$N$1157)</f>
        <v>0</v>
      </c>
      <c r="L27" s="13">
        <f>SUMIF(Mercado_Receita!$T$2:$T$1157,"44593B2Energia horáriaRuralNão se aplicaNão se aplicaNão se aplicaFora ponta",Mercado_Receita!$N$2:$N$1157)</f>
        <v>0</v>
      </c>
      <c r="M27" s="13">
        <f>SUMIF(Mercado_Receita!$T$2:$T$1157,"44621B2Energia horáriaRuralNão se aplicaNão se aplicaNão se aplicaFora ponta",Mercado_Receita!$N$2:$N$1157)</f>
        <v>0</v>
      </c>
      <c r="N27" s="13">
        <f>SUMIF(Mercado_Receita!$T$2:$T$1157,"44652B2Energia horáriaRuralNão se aplicaNão se aplicaNão se aplicaFora ponta",Mercado_Receita!$N$2:$N$1157)</f>
        <v>0</v>
      </c>
      <c r="O27" s="13">
        <f>SUMIF(Mercado_Receita!$T$2:$T$1157,"44682B2Energia horáriaRuralNão se aplicaNão se aplicaNão se aplicaFora ponta",Mercado_Receita!$N$2:$N$1157)</f>
        <v>0</v>
      </c>
      <c r="P27" s="13">
        <f>SUMIF(Mercado_Receita!$T$2:$T$1157,"44713B2Energia horáriaRuralNão se aplicaNão se aplicaNão se aplicaFora ponta",Mercado_Receita!$N$2:$N$1157)</f>
        <v>0</v>
      </c>
      <c r="Q27" s="13">
        <f>SUMIF(Mercado_Receita!$T$2:$T$1157,"44743B2Energia horáriaRuralNão se aplicaNão se aplicaNão se aplicaFora ponta",Mercado_Receita!$N$2:$N$1157)</f>
        <v>0</v>
      </c>
      <c r="R27" s="13">
        <f>SUMIF(Mercado_Receita!$T$2:$T$1157,"44774B2Energia horáriaRuralNão se aplicaNão se aplicaNão se aplicaFora ponta",Mercado_Receita!$N$2:$N$1157)</f>
        <v>0</v>
      </c>
      <c r="S27" s="13">
        <f>SUMIF(Mercado_Receita!$T$2:$T$1157,"44805B2Energia horáriaRuralNão se aplicaNão se aplicaNão se aplicaFora ponta",Mercado_Receita!$N$2:$N$1157)</f>
        <v>0</v>
      </c>
      <c r="T27" s="13">
        <f>SUMIF(Mercado_Receita!$T$2:$T$1157,"44835B2Energia horáriaRuralNão se aplicaNão se aplicaNão se aplicaFora ponta",Mercado_Receita!$N$2:$N$1157)</f>
        <v>0</v>
      </c>
      <c r="U27" s="13">
        <f t="shared" si="0"/>
        <v>0</v>
      </c>
      <c r="V27" s="13"/>
      <c r="W27" s="13"/>
    </row>
    <row r="28" spans="1:23" ht="11.25" customHeight="1" x14ac:dyDescent="0.3">
      <c r="A28" s="111"/>
      <c r="B28" s="12" t="s">
        <v>86</v>
      </c>
      <c r="C28" s="12" t="s">
        <v>45</v>
      </c>
      <c r="D28" s="12" t="s">
        <v>25</v>
      </c>
      <c r="E28" s="12" t="s">
        <v>25</v>
      </c>
      <c r="F28" s="12" t="s">
        <v>25</v>
      </c>
      <c r="G28" s="13" t="s">
        <v>84</v>
      </c>
      <c r="H28" s="13" t="s">
        <v>78</v>
      </c>
      <c r="I28" s="13">
        <f>SUMIF(Mercado_Receita!$T$2:$T$1157,"44501B2Energia convencionalRuralNão se aplicaNão se aplicaNão se aplicaNão se aplica",Mercado_Receita!$N$2:$N$1157)</f>
        <v>305.13</v>
      </c>
      <c r="J28" s="13">
        <f>SUMIF(Mercado_Receita!$T$2:$T$1157,"44531B2Energia convencionalRuralNão se aplicaNão se aplicaNão se aplicaNão se aplica",Mercado_Receita!$N$2:$N$1157)</f>
        <v>295.63199999999995</v>
      </c>
      <c r="K28" s="13">
        <f>SUMIF(Mercado_Receita!$T$2:$T$1157,"44562B2Energia convencionalRuralNão se aplicaNão se aplicaNão se aplicaNão se aplica",Mercado_Receita!$N$2:$N$1157)</f>
        <v>325.822</v>
      </c>
      <c r="L28" s="13">
        <f>SUMIF(Mercado_Receita!$T$2:$T$1157,"44593B2Energia convencionalRuralNão se aplicaNão se aplicaNão se aplicaNão se aplica",Mercado_Receita!$N$2:$N$1157)</f>
        <v>284.40899999999999</v>
      </c>
      <c r="M28" s="13">
        <f>SUMIF(Mercado_Receita!$T$2:$T$1157,"44621B2Energia convencionalRuralNão se aplicaNão se aplicaNão se aplicaNão se aplica",Mercado_Receita!$N$2:$N$1157)</f>
        <v>295.24499999999995</v>
      </c>
      <c r="N28" s="13">
        <f>SUMIF(Mercado_Receita!$T$2:$T$1157,"44652B2Energia convencionalRuralNão se aplicaNão se aplicaNão se aplicaNão se aplica",Mercado_Receita!$N$2:$N$1157)</f>
        <v>284.95700000000005</v>
      </c>
      <c r="O28" s="13">
        <f>SUMIF(Mercado_Receita!$T$2:$T$1157,"44682B2Energia convencionalRuralNão se aplicaNão se aplicaNão se aplicaNão se aplica",Mercado_Receita!$N$2:$N$1157)</f>
        <v>303.82200000000006</v>
      </c>
      <c r="P28" s="13">
        <f>SUMIF(Mercado_Receita!$T$2:$T$1157,"44713B2Energia convencionalRuralNão se aplicaNão se aplicaNão se aplicaNão se aplica",Mercado_Receita!$N$2:$N$1157)</f>
        <v>323.03500000000003</v>
      </c>
      <c r="Q28" s="13">
        <f>SUMIF(Mercado_Receita!$T$2:$T$1157,"44743B2Energia convencionalRuralNão se aplicaNão se aplicaNão se aplicaNão se aplica",Mercado_Receita!$N$2:$N$1157)</f>
        <v>338.08600000000001</v>
      </c>
      <c r="R28" s="13">
        <f>SUMIF(Mercado_Receita!$T$2:$T$1157,"44774B2Energia convencionalRuralNão se aplicaNão se aplicaNão se aplicaNão se aplica",Mercado_Receita!$N$2:$N$1157)</f>
        <v>343.10899999999998</v>
      </c>
      <c r="S28" s="13">
        <f>SUMIF(Mercado_Receita!$T$2:$T$1157,"44805B2Energia convencionalRuralNão se aplicaNão se aplicaNão se aplicaNão se aplica",Mercado_Receita!$N$2:$N$1157)</f>
        <v>337.22</v>
      </c>
      <c r="T28" s="13">
        <f>SUMIF(Mercado_Receita!$T$2:$T$1157,"44835B2Energia convencionalRuralNão se aplicaNão se aplicaNão se aplicaNão se aplica",Mercado_Receita!$N$2:$N$1157)</f>
        <v>337.22</v>
      </c>
      <c r="U28" s="13">
        <f t="shared" si="0"/>
        <v>3773.6869999999999</v>
      </c>
      <c r="V28" s="13"/>
      <c r="W28" s="13"/>
    </row>
    <row r="29" spans="1:23" ht="11.25" customHeight="1" x14ac:dyDescent="0.3">
      <c r="A29" s="111"/>
      <c r="B29" s="110" t="s">
        <v>77</v>
      </c>
      <c r="C29" s="110" t="s">
        <v>45</v>
      </c>
      <c r="D29" s="110" t="s">
        <v>93</v>
      </c>
      <c r="E29" s="110" t="s">
        <v>25</v>
      </c>
      <c r="F29" s="110" t="s">
        <v>25</v>
      </c>
      <c r="G29" s="13" t="s">
        <v>79</v>
      </c>
      <c r="H29" s="13" t="s">
        <v>78</v>
      </c>
      <c r="I29" s="13">
        <f>SUMIF(Mercado_Receita!$T$2:$T$1157,"44501B2Energia horáriaRuralCooperativa de eletrificação ruralNão se aplicaNão se aplicaPonta",Mercado_Receita!$N$2:$N$1157)</f>
        <v>0</v>
      </c>
      <c r="J29" s="13">
        <f>SUMIF(Mercado_Receita!$T$2:$T$1157,"44531B2Energia horáriaRuralCooperativa de eletrificação ruralNão se aplicaNão se aplicaPonta",Mercado_Receita!$N$2:$N$1157)</f>
        <v>0</v>
      </c>
      <c r="K29" s="13">
        <f>SUMIF(Mercado_Receita!$T$2:$T$1157,"44562B2Energia horáriaRuralCooperativa de eletrificação ruralNão se aplicaNão se aplicaPonta",Mercado_Receita!$N$2:$N$1157)</f>
        <v>0</v>
      </c>
      <c r="L29" s="13">
        <f>SUMIF(Mercado_Receita!$T$2:$T$1157,"44593B2Energia horáriaRuralCooperativa de eletrificação ruralNão se aplicaNão se aplicaPonta",Mercado_Receita!$N$2:$N$1157)</f>
        <v>0</v>
      </c>
      <c r="M29" s="13">
        <f>SUMIF(Mercado_Receita!$T$2:$T$1157,"44621B2Energia horáriaRuralCooperativa de eletrificação ruralNão se aplicaNão se aplicaPonta",Mercado_Receita!$N$2:$N$1157)</f>
        <v>0</v>
      </c>
      <c r="N29" s="13">
        <f>SUMIF(Mercado_Receita!$T$2:$T$1157,"44652B2Energia horáriaRuralCooperativa de eletrificação ruralNão se aplicaNão se aplicaPonta",Mercado_Receita!$N$2:$N$1157)</f>
        <v>0</v>
      </c>
      <c r="O29" s="13">
        <f>SUMIF(Mercado_Receita!$T$2:$T$1157,"44682B2Energia horáriaRuralCooperativa de eletrificação ruralNão se aplicaNão se aplicaPonta",Mercado_Receita!$N$2:$N$1157)</f>
        <v>0</v>
      </c>
      <c r="P29" s="13">
        <f>SUMIF(Mercado_Receita!$T$2:$T$1157,"44713B2Energia horáriaRuralCooperativa de eletrificação ruralNão se aplicaNão se aplicaPonta",Mercado_Receita!$N$2:$N$1157)</f>
        <v>0</v>
      </c>
      <c r="Q29" s="13">
        <f>SUMIF(Mercado_Receita!$T$2:$T$1157,"44743B2Energia horáriaRuralCooperativa de eletrificação ruralNão se aplicaNão se aplicaPonta",Mercado_Receita!$N$2:$N$1157)</f>
        <v>0</v>
      </c>
      <c r="R29" s="13">
        <f>SUMIF(Mercado_Receita!$T$2:$T$1157,"44774B2Energia horáriaRuralCooperativa de eletrificação ruralNão se aplicaNão se aplicaPonta",Mercado_Receita!$N$2:$N$1157)</f>
        <v>0</v>
      </c>
      <c r="S29" s="13">
        <f>SUMIF(Mercado_Receita!$T$2:$T$1157,"44805B2Energia horáriaRuralCooperativa de eletrificação ruralNão se aplicaNão se aplicaPonta",Mercado_Receita!$N$2:$N$1157)</f>
        <v>0</v>
      </c>
      <c r="T29" s="13">
        <f>SUMIF(Mercado_Receita!$T$2:$T$1157,"44835B2Energia horáriaRuralCooperativa de eletrificação ruralNão se aplicaNão se aplicaPonta",Mercado_Receita!$N$2:$N$1157)</f>
        <v>0</v>
      </c>
      <c r="U29" s="13">
        <f t="shared" si="0"/>
        <v>0</v>
      </c>
      <c r="V29" s="13"/>
      <c r="W29" s="13"/>
    </row>
    <row r="30" spans="1:23" ht="11.25" customHeight="1" x14ac:dyDescent="0.3">
      <c r="A30" s="111"/>
      <c r="B30" s="111"/>
      <c r="C30" s="111"/>
      <c r="D30" s="111"/>
      <c r="E30" s="111"/>
      <c r="F30" s="111"/>
      <c r="G30" s="13" t="s">
        <v>90</v>
      </c>
      <c r="H30" s="13" t="s">
        <v>78</v>
      </c>
      <c r="I30" s="13">
        <f>SUMIF(Mercado_Receita!$T$2:$T$1157,"44501B2Energia horáriaRuralCooperativa de eletrificação ruralNão se aplicaNão se aplicaIntermediário",Mercado_Receita!$N$2:$N$1157)</f>
        <v>0</v>
      </c>
      <c r="J30" s="13">
        <f>SUMIF(Mercado_Receita!$T$2:$T$1157,"44531B2Energia horáriaRuralCooperativa de eletrificação ruralNão se aplicaNão se aplicaIntermediário",Mercado_Receita!$N$2:$N$1157)</f>
        <v>0</v>
      </c>
      <c r="K30" s="13">
        <f>SUMIF(Mercado_Receita!$T$2:$T$1157,"44562B2Energia horáriaRuralCooperativa de eletrificação ruralNão se aplicaNão se aplicaIntermediário",Mercado_Receita!$N$2:$N$1157)</f>
        <v>0</v>
      </c>
      <c r="L30" s="13">
        <f>SUMIF(Mercado_Receita!$T$2:$T$1157,"44593B2Energia horáriaRuralCooperativa de eletrificação ruralNão se aplicaNão se aplicaIntermediário",Mercado_Receita!$N$2:$N$1157)</f>
        <v>0</v>
      </c>
      <c r="M30" s="13">
        <f>SUMIF(Mercado_Receita!$T$2:$T$1157,"44621B2Energia horáriaRuralCooperativa de eletrificação ruralNão se aplicaNão se aplicaIntermediário",Mercado_Receita!$N$2:$N$1157)</f>
        <v>0</v>
      </c>
      <c r="N30" s="13">
        <f>SUMIF(Mercado_Receita!$T$2:$T$1157,"44652B2Energia horáriaRuralCooperativa de eletrificação ruralNão se aplicaNão se aplicaIntermediário",Mercado_Receita!$N$2:$N$1157)</f>
        <v>0</v>
      </c>
      <c r="O30" s="13">
        <f>SUMIF(Mercado_Receita!$T$2:$T$1157,"44682B2Energia horáriaRuralCooperativa de eletrificação ruralNão se aplicaNão se aplicaIntermediário",Mercado_Receita!$N$2:$N$1157)</f>
        <v>0</v>
      </c>
      <c r="P30" s="13">
        <f>SUMIF(Mercado_Receita!$T$2:$T$1157,"44713B2Energia horáriaRuralCooperativa de eletrificação ruralNão se aplicaNão se aplicaIntermediário",Mercado_Receita!$N$2:$N$1157)</f>
        <v>0</v>
      </c>
      <c r="Q30" s="13">
        <f>SUMIF(Mercado_Receita!$T$2:$T$1157,"44743B2Energia horáriaRuralCooperativa de eletrificação ruralNão se aplicaNão se aplicaIntermediário",Mercado_Receita!$N$2:$N$1157)</f>
        <v>0</v>
      </c>
      <c r="R30" s="13">
        <f>SUMIF(Mercado_Receita!$T$2:$T$1157,"44774B2Energia horáriaRuralCooperativa de eletrificação ruralNão se aplicaNão se aplicaIntermediário",Mercado_Receita!$N$2:$N$1157)</f>
        <v>0</v>
      </c>
      <c r="S30" s="13">
        <f>SUMIF(Mercado_Receita!$T$2:$T$1157,"44805B2Energia horáriaRuralCooperativa de eletrificação ruralNão se aplicaNão se aplicaIntermediário",Mercado_Receita!$N$2:$N$1157)</f>
        <v>0</v>
      </c>
      <c r="T30" s="13">
        <f>SUMIF(Mercado_Receita!$T$2:$T$1157,"44835B2Energia horáriaRuralCooperativa de eletrificação ruralNão se aplicaNão se aplicaIntermediário",Mercado_Receita!$N$2:$N$1157)</f>
        <v>0</v>
      </c>
      <c r="U30" s="13">
        <f t="shared" si="0"/>
        <v>0</v>
      </c>
      <c r="V30" s="13"/>
      <c r="W30" s="13"/>
    </row>
    <row r="31" spans="1:23" ht="11.25" customHeight="1" x14ac:dyDescent="0.3">
      <c r="A31" s="111"/>
      <c r="B31" s="111"/>
      <c r="C31" s="111"/>
      <c r="D31" s="111"/>
      <c r="E31" s="111"/>
      <c r="F31" s="111"/>
      <c r="G31" s="13" t="s">
        <v>80</v>
      </c>
      <c r="H31" s="13" t="s">
        <v>78</v>
      </c>
      <c r="I31" s="13">
        <f>SUMIF(Mercado_Receita!$T$2:$T$1157,"44501B2Energia horáriaRuralCooperativa de eletrificação ruralNão se aplicaNão se aplicaFora ponta",Mercado_Receita!$N$2:$N$1157)</f>
        <v>0</v>
      </c>
      <c r="J31" s="13">
        <f>SUMIF(Mercado_Receita!$T$2:$T$1157,"44531B2Energia horáriaRuralCooperativa de eletrificação ruralNão se aplicaNão se aplicaFora ponta",Mercado_Receita!$N$2:$N$1157)</f>
        <v>0</v>
      </c>
      <c r="K31" s="13">
        <f>SUMIF(Mercado_Receita!$T$2:$T$1157,"44562B2Energia horáriaRuralCooperativa de eletrificação ruralNão se aplicaNão se aplicaFora ponta",Mercado_Receita!$N$2:$N$1157)</f>
        <v>0</v>
      </c>
      <c r="L31" s="13">
        <f>SUMIF(Mercado_Receita!$T$2:$T$1157,"44593B2Energia horáriaRuralCooperativa de eletrificação ruralNão se aplicaNão se aplicaFora ponta",Mercado_Receita!$N$2:$N$1157)</f>
        <v>0</v>
      </c>
      <c r="M31" s="13">
        <f>SUMIF(Mercado_Receita!$T$2:$T$1157,"44621B2Energia horáriaRuralCooperativa de eletrificação ruralNão se aplicaNão se aplicaFora ponta",Mercado_Receita!$N$2:$N$1157)</f>
        <v>0</v>
      </c>
      <c r="N31" s="13">
        <f>SUMIF(Mercado_Receita!$T$2:$T$1157,"44652B2Energia horáriaRuralCooperativa de eletrificação ruralNão se aplicaNão se aplicaFora ponta",Mercado_Receita!$N$2:$N$1157)</f>
        <v>0</v>
      </c>
      <c r="O31" s="13">
        <f>SUMIF(Mercado_Receita!$T$2:$T$1157,"44682B2Energia horáriaRuralCooperativa de eletrificação ruralNão se aplicaNão se aplicaFora ponta",Mercado_Receita!$N$2:$N$1157)</f>
        <v>0</v>
      </c>
      <c r="P31" s="13">
        <f>SUMIF(Mercado_Receita!$T$2:$T$1157,"44713B2Energia horáriaRuralCooperativa de eletrificação ruralNão se aplicaNão se aplicaFora ponta",Mercado_Receita!$N$2:$N$1157)</f>
        <v>0</v>
      </c>
      <c r="Q31" s="13">
        <f>SUMIF(Mercado_Receita!$T$2:$T$1157,"44743B2Energia horáriaRuralCooperativa de eletrificação ruralNão se aplicaNão se aplicaFora ponta",Mercado_Receita!$N$2:$N$1157)</f>
        <v>0</v>
      </c>
      <c r="R31" s="13">
        <f>SUMIF(Mercado_Receita!$T$2:$T$1157,"44774B2Energia horáriaRuralCooperativa de eletrificação ruralNão se aplicaNão se aplicaFora ponta",Mercado_Receita!$N$2:$N$1157)</f>
        <v>0</v>
      </c>
      <c r="S31" s="13">
        <f>SUMIF(Mercado_Receita!$T$2:$T$1157,"44805B2Energia horáriaRuralCooperativa de eletrificação ruralNão se aplicaNão se aplicaFora ponta",Mercado_Receita!$N$2:$N$1157)</f>
        <v>0</v>
      </c>
      <c r="T31" s="13">
        <f>SUMIF(Mercado_Receita!$T$2:$T$1157,"44835B2Energia horáriaRuralCooperativa de eletrificação ruralNão se aplicaNão se aplicaFora ponta",Mercado_Receita!$N$2:$N$1157)</f>
        <v>0</v>
      </c>
      <c r="U31" s="13">
        <f t="shared" si="0"/>
        <v>0</v>
      </c>
      <c r="V31" s="13"/>
      <c r="W31" s="13"/>
    </row>
    <row r="32" spans="1:23" ht="11.25" customHeight="1" x14ac:dyDescent="0.3">
      <c r="A32" s="111"/>
      <c r="B32" s="12" t="s">
        <v>86</v>
      </c>
      <c r="C32" s="12" t="s">
        <v>45</v>
      </c>
      <c r="D32" s="12" t="s">
        <v>93</v>
      </c>
      <c r="E32" s="12" t="s">
        <v>25</v>
      </c>
      <c r="F32" s="12" t="s">
        <v>25</v>
      </c>
      <c r="G32" s="13" t="s">
        <v>84</v>
      </c>
      <c r="H32" s="13" t="s">
        <v>78</v>
      </c>
      <c r="I32" s="13">
        <f>SUMIF(Mercado_Receita!$T$2:$T$1157,"44501B2Energia convencionalRuralCooperativa de eletrificação ruralNão se aplicaNão se aplicaNão se aplica",Mercado_Receita!$N$2:$N$1157)</f>
        <v>0</v>
      </c>
      <c r="J32" s="13">
        <f>SUMIF(Mercado_Receita!$T$2:$T$1157,"44531B2Energia convencionalRuralCooperativa de eletrificação ruralNão se aplicaNão se aplicaNão se aplica",Mercado_Receita!$N$2:$N$1157)</f>
        <v>0</v>
      </c>
      <c r="K32" s="13">
        <f>SUMIF(Mercado_Receita!$T$2:$T$1157,"44562B2Energia convencionalRuralCooperativa de eletrificação ruralNão se aplicaNão se aplicaNão se aplica",Mercado_Receita!$N$2:$N$1157)</f>
        <v>0</v>
      </c>
      <c r="L32" s="13">
        <f>SUMIF(Mercado_Receita!$T$2:$T$1157,"44593B2Energia convencionalRuralCooperativa de eletrificação ruralNão se aplicaNão se aplicaNão se aplica",Mercado_Receita!$N$2:$N$1157)</f>
        <v>0</v>
      </c>
      <c r="M32" s="13">
        <f>SUMIF(Mercado_Receita!$T$2:$T$1157,"44621B2Energia convencionalRuralCooperativa de eletrificação ruralNão se aplicaNão se aplicaNão se aplica",Mercado_Receita!$N$2:$N$1157)</f>
        <v>0</v>
      </c>
      <c r="N32" s="13">
        <f>SUMIF(Mercado_Receita!$T$2:$T$1157,"44652B2Energia convencionalRuralCooperativa de eletrificação ruralNão se aplicaNão se aplicaNão se aplica",Mercado_Receita!$N$2:$N$1157)</f>
        <v>0</v>
      </c>
      <c r="O32" s="13">
        <f>SUMIF(Mercado_Receita!$T$2:$T$1157,"44682B2Energia convencionalRuralCooperativa de eletrificação ruralNão se aplicaNão se aplicaNão se aplica",Mercado_Receita!$N$2:$N$1157)</f>
        <v>0</v>
      </c>
      <c r="P32" s="13">
        <f>SUMIF(Mercado_Receita!$T$2:$T$1157,"44713B2Energia convencionalRuralCooperativa de eletrificação ruralNão se aplicaNão se aplicaNão se aplica",Mercado_Receita!$N$2:$N$1157)</f>
        <v>0</v>
      </c>
      <c r="Q32" s="13">
        <f>SUMIF(Mercado_Receita!$T$2:$T$1157,"44743B2Energia convencionalRuralCooperativa de eletrificação ruralNão se aplicaNão se aplicaNão se aplica",Mercado_Receita!$N$2:$N$1157)</f>
        <v>0</v>
      </c>
      <c r="R32" s="13">
        <f>SUMIF(Mercado_Receita!$T$2:$T$1157,"44774B2Energia convencionalRuralCooperativa de eletrificação ruralNão se aplicaNão se aplicaNão se aplica",Mercado_Receita!$N$2:$N$1157)</f>
        <v>0</v>
      </c>
      <c r="S32" s="13">
        <f>SUMIF(Mercado_Receita!$T$2:$T$1157,"44805B2Energia convencionalRuralCooperativa de eletrificação ruralNão se aplicaNão se aplicaNão se aplica",Mercado_Receita!$N$2:$N$1157)</f>
        <v>0</v>
      </c>
      <c r="T32" s="13">
        <f>SUMIF(Mercado_Receita!$T$2:$T$1157,"44835B2Energia convencionalRuralCooperativa de eletrificação ruralNão se aplicaNão se aplicaNão se aplica",Mercado_Receita!$N$2:$N$1157)</f>
        <v>0</v>
      </c>
      <c r="U32" s="13">
        <f t="shared" si="0"/>
        <v>0</v>
      </c>
      <c r="V32" s="13"/>
      <c r="W32" s="13"/>
    </row>
    <row r="33" spans="1:23" ht="11.25" customHeight="1" x14ac:dyDescent="0.3">
      <c r="A33" s="111"/>
      <c r="B33" s="110" t="s">
        <v>77</v>
      </c>
      <c r="C33" s="110" t="s">
        <v>45</v>
      </c>
      <c r="D33" s="110" t="s">
        <v>94</v>
      </c>
      <c r="E33" s="110" t="s">
        <v>25</v>
      </c>
      <c r="F33" s="110" t="s">
        <v>25</v>
      </c>
      <c r="G33" s="13" t="s">
        <v>79</v>
      </c>
      <c r="H33" s="13" t="s">
        <v>78</v>
      </c>
      <c r="I33" s="13">
        <f>SUMIF(Mercado_Receita!$T$2:$T$1157,"44501B2Energia horáriaRuralServiço público de irrigação ruralNão se aplicaNão se aplicaPonta",Mercado_Receita!$N$2:$N$1157)</f>
        <v>0</v>
      </c>
      <c r="J33" s="13">
        <f>SUMIF(Mercado_Receita!$T$2:$T$1157,"44531B2Energia horáriaRuralServiço público de irrigação ruralNão se aplicaNão se aplicaPonta",Mercado_Receita!$N$2:$N$1157)</f>
        <v>0</v>
      </c>
      <c r="K33" s="13">
        <f>SUMIF(Mercado_Receita!$T$2:$T$1157,"44562B2Energia horáriaRuralServiço público de irrigação ruralNão se aplicaNão se aplicaPonta",Mercado_Receita!$N$2:$N$1157)</f>
        <v>0</v>
      </c>
      <c r="L33" s="13">
        <f>SUMIF(Mercado_Receita!$T$2:$T$1157,"44593B2Energia horáriaRuralServiço público de irrigação ruralNão se aplicaNão se aplicaPonta",Mercado_Receita!$N$2:$N$1157)</f>
        <v>0</v>
      </c>
      <c r="M33" s="13">
        <f>SUMIF(Mercado_Receita!$T$2:$T$1157,"44621B2Energia horáriaRuralServiço público de irrigação ruralNão se aplicaNão se aplicaPonta",Mercado_Receita!$N$2:$N$1157)</f>
        <v>0</v>
      </c>
      <c r="N33" s="13">
        <f>SUMIF(Mercado_Receita!$T$2:$T$1157,"44652B2Energia horáriaRuralServiço público de irrigação ruralNão se aplicaNão se aplicaPonta",Mercado_Receita!$N$2:$N$1157)</f>
        <v>0</v>
      </c>
      <c r="O33" s="13">
        <f>SUMIF(Mercado_Receita!$T$2:$T$1157,"44682B2Energia horáriaRuralServiço público de irrigação ruralNão se aplicaNão se aplicaPonta",Mercado_Receita!$N$2:$N$1157)</f>
        <v>0</v>
      </c>
      <c r="P33" s="13">
        <f>SUMIF(Mercado_Receita!$T$2:$T$1157,"44713B2Energia horáriaRuralServiço público de irrigação ruralNão se aplicaNão se aplicaPonta",Mercado_Receita!$N$2:$N$1157)</f>
        <v>0</v>
      </c>
      <c r="Q33" s="13">
        <f>SUMIF(Mercado_Receita!$T$2:$T$1157,"44743B2Energia horáriaRuralServiço público de irrigação ruralNão se aplicaNão se aplicaPonta",Mercado_Receita!$N$2:$N$1157)</f>
        <v>0</v>
      </c>
      <c r="R33" s="13">
        <f>SUMIF(Mercado_Receita!$T$2:$T$1157,"44774B2Energia horáriaRuralServiço público de irrigação ruralNão se aplicaNão se aplicaPonta",Mercado_Receita!$N$2:$N$1157)</f>
        <v>0</v>
      </c>
      <c r="S33" s="13">
        <f>SUMIF(Mercado_Receita!$T$2:$T$1157,"44805B2Energia horáriaRuralServiço público de irrigação ruralNão se aplicaNão se aplicaPonta",Mercado_Receita!$N$2:$N$1157)</f>
        <v>0</v>
      </c>
      <c r="T33" s="13">
        <f>SUMIF(Mercado_Receita!$T$2:$T$1157,"44835B2Energia horáriaRuralServiço público de irrigação ruralNão se aplicaNão se aplicaPonta",Mercado_Receita!$N$2:$N$1157)</f>
        <v>0</v>
      </c>
      <c r="U33" s="13">
        <f t="shared" si="0"/>
        <v>0</v>
      </c>
      <c r="V33" s="13"/>
      <c r="W33" s="13"/>
    </row>
    <row r="34" spans="1:23" ht="11.25" customHeight="1" x14ac:dyDescent="0.3">
      <c r="A34" s="111"/>
      <c r="B34" s="111"/>
      <c r="C34" s="111"/>
      <c r="D34" s="111"/>
      <c r="E34" s="111"/>
      <c r="F34" s="111"/>
      <c r="G34" s="13" t="s">
        <v>90</v>
      </c>
      <c r="H34" s="13" t="s">
        <v>78</v>
      </c>
      <c r="I34" s="13">
        <f>SUMIF(Mercado_Receita!$T$2:$T$1157,"44501B2Energia horáriaRuralServiço público de irrigação ruralNão se aplicaNão se aplicaIntermediário",Mercado_Receita!$N$2:$N$1157)</f>
        <v>0</v>
      </c>
      <c r="J34" s="13">
        <f>SUMIF(Mercado_Receita!$T$2:$T$1157,"44531B2Energia horáriaRuralServiço público de irrigação ruralNão se aplicaNão se aplicaIntermediário",Mercado_Receita!$N$2:$N$1157)</f>
        <v>0</v>
      </c>
      <c r="K34" s="13">
        <f>SUMIF(Mercado_Receita!$T$2:$T$1157,"44562B2Energia horáriaRuralServiço público de irrigação ruralNão se aplicaNão se aplicaIntermediário",Mercado_Receita!$N$2:$N$1157)</f>
        <v>0</v>
      </c>
      <c r="L34" s="13">
        <f>SUMIF(Mercado_Receita!$T$2:$T$1157,"44593B2Energia horáriaRuralServiço público de irrigação ruralNão se aplicaNão se aplicaIntermediário",Mercado_Receita!$N$2:$N$1157)</f>
        <v>0</v>
      </c>
      <c r="M34" s="13">
        <f>SUMIF(Mercado_Receita!$T$2:$T$1157,"44621B2Energia horáriaRuralServiço público de irrigação ruralNão se aplicaNão se aplicaIntermediário",Mercado_Receita!$N$2:$N$1157)</f>
        <v>0</v>
      </c>
      <c r="N34" s="13">
        <f>SUMIF(Mercado_Receita!$T$2:$T$1157,"44652B2Energia horáriaRuralServiço público de irrigação ruralNão se aplicaNão se aplicaIntermediário",Mercado_Receita!$N$2:$N$1157)</f>
        <v>0</v>
      </c>
      <c r="O34" s="13">
        <f>SUMIF(Mercado_Receita!$T$2:$T$1157,"44682B2Energia horáriaRuralServiço público de irrigação ruralNão se aplicaNão se aplicaIntermediário",Mercado_Receita!$N$2:$N$1157)</f>
        <v>0</v>
      </c>
      <c r="P34" s="13">
        <f>SUMIF(Mercado_Receita!$T$2:$T$1157,"44713B2Energia horáriaRuralServiço público de irrigação ruralNão se aplicaNão se aplicaIntermediário",Mercado_Receita!$N$2:$N$1157)</f>
        <v>0</v>
      </c>
      <c r="Q34" s="13">
        <f>SUMIF(Mercado_Receita!$T$2:$T$1157,"44743B2Energia horáriaRuralServiço público de irrigação ruralNão se aplicaNão se aplicaIntermediário",Mercado_Receita!$N$2:$N$1157)</f>
        <v>0</v>
      </c>
      <c r="R34" s="13">
        <f>SUMIF(Mercado_Receita!$T$2:$T$1157,"44774B2Energia horáriaRuralServiço público de irrigação ruralNão se aplicaNão se aplicaIntermediário",Mercado_Receita!$N$2:$N$1157)</f>
        <v>0</v>
      </c>
      <c r="S34" s="13">
        <f>SUMIF(Mercado_Receita!$T$2:$T$1157,"44805B2Energia horáriaRuralServiço público de irrigação ruralNão se aplicaNão se aplicaIntermediário",Mercado_Receita!$N$2:$N$1157)</f>
        <v>0</v>
      </c>
      <c r="T34" s="13">
        <f>SUMIF(Mercado_Receita!$T$2:$T$1157,"44835B2Energia horáriaRuralServiço público de irrigação ruralNão se aplicaNão se aplicaIntermediário",Mercado_Receita!$N$2:$N$1157)</f>
        <v>0</v>
      </c>
      <c r="U34" s="13">
        <f t="shared" si="0"/>
        <v>0</v>
      </c>
      <c r="V34" s="13"/>
      <c r="W34" s="13"/>
    </row>
    <row r="35" spans="1:23" ht="11.25" customHeight="1" x14ac:dyDescent="0.3">
      <c r="A35" s="111"/>
      <c r="B35" s="111"/>
      <c r="C35" s="111"/>
      <c r="D35" s="111"/>
      <c r="E35" s="111"/>
      <c r="F35" s="111"/>
      <c r="G35" s="13" t="s">
        <v>80</v>
      </c>
      <c r="H35" s="13" t="s">
        <v>78</v>
      </c>
      <c r="I35" s="13">
        <f>SUMIF(Mercado_Receita!$T$2:$T$1157,"44501B2Energia horáriaRuralServiço público de irrigação ruralNão se aplicaNão se aplicaFora ponta",Mercado_Receita!$N$2:$N$1157)</f>
        <v>0</v>
      </c>
      <c r="J35" s="13">
        <f>SUMIF(Mercado_Receita!$T$2:$T$1157,"44531B2Energia horáriaRuralServiço público de irrigação ruralNão se aplicaNão se aplicaFora ponta",Mercado_Receita!$N$2:$N$1157)</f>
        <v>0</v>
      </c>
      <c r="K35" s="13">
        <f>SUMIF(Mercado_Receita!$T$2:$T$1157,"44562B2Energia horáriaRuralServiço público de irrigação ruralNão se aplicaNão se aplicaFora ponta",Mercado_Receita!$N$2:$N$1157)</f>
        <v>0</v>
      </c>
      <c r="L35" s="13">
        <f>SUMIF(Mercado_Receita!$T$2:$T$1157,"44593B2Energia horáriaRuralServiço público de irrigação ruralNão se aplicaNão se aplicaFora ponta",Mercado_Receita!$N$2:$N$1157)</f>
        <v>0</v>
      </c>
      <c r="M35" s="13">
        <f>SUMIF(Mercado_Receita!$T$2:$T$1157,"44621B2Energia horáriaRuralServiço público de irrigação ruralNão se aplicaNão se aplicaFora ponta",Mercado_Receita!$N$2:$N$1157)</f>
        <v>0</v>
      </c>
      <c r="N35" s="13">
        <f>SUMIF(Mercado_Receita!$T$2:$T$1157,"44652B2Energia horáriaRuralServiço público de irrigação ruralNão se aplicaNão se aplicaFora ponta",Mercado_Receita!$N$2:$N$1157)</f>
        <v>0</v>
      </c>
      <c r="O35" s="13">
        <f>SUMIF(Mercado_Receita!$T$2:$T$1157,"44682B2Energia horáriaRuralServiço público de irrigação ruralNão se aplicaNão se aplicaFora ponta",Mercado_Receita!$N$2:$N$1157)</f>
        <v>0</v>
      </c>
      <c r="P35" s="13">
        <f>SUMIF(Mercado_Receita!$T$2:$T$1157,"44713B2Energia horáriaRuralServiço público de irrigação ruralNão se aplicaNão se aplicaFora ponta",Mercado_Receita!$N$2:$N$1157)</f>
        <v>0</v>
      </c>
      <c r="Q35" s="13">
        <f>SUMIF(Mercado_Receita!$T$2:$T$1157,"44743B2Energia horáriaRuralServiço público de irrigação ruralNão se aplicaNão se aplicaFora ponta",Mercado_Receita!$N$2:$N$1157)</f>
        <v>0</v>
      </c>
      <c r="R35" s="13">
        <f>SUMIF(Mercado_Receita!$T$2:$T$1157,"44774B2Energia horáriaRuralServiço público de irrigação ruralNão se aplicaNão se aplicaFora ponta",Mercado_Receita!$N$2:$N$1157)</f>
        <v>0</v>
      </c>
      <c r="S35" s="13">
        <f>SUMIF(Mercado_Receita!$T$2:$T$1157,"44805B2Energia horáriaRuralServiço público de irrigação ruralNão se aplicaNão se aplicaFora ponta",Mercado_Receita!$N$2:$N$1157)</f>
        <v>0</v>
      </c>
      <c r="T35" s="13">
        <f>SUMIF(Mercado_Receita!$T$2:$T$1157,"44835B2Energia horáriaRuralServiço público de irrigação ruralNão se aplicaNão se aplicaFora ponta",Mercado_Receita!$N$2:$N$1157)</f>
        <v>0</v>
      </c>
      <c r="U35" s="13">
        <f t="shared" si="0"/>
        <v>0</v>
      </c>
      <c r="V35" s="13"/>
      <c r="W35" s="13"/>
    </row>
    <row r="36" spans="1:23" ht="11.25" customHeight="1" x14ac:dyDescent="0.3">
      <c r="A36" s="111"/>
      <c r="B36" s="12" t="s">
        <v>86</v>
      </c>
      <c r="C36" s="12" t="s">
        <v>45</v>
      </c>
      <c r="D36" s="12" t="s">
        <v>94</v>
      </c>
      <c r="E36" s="12" t="s">
        <v>25</v>
      </c>
      <c r="F36" s="12" t="s">
        <v>25</v>
      </c>
      <c r="G36" s="13" t="s">
        <v>84</v>
      </c>
      <c r="H36" s="13" t="s">
        <v>78</v>
      </c>
      <c r="I36" s="13">
        <f>SUMIF(Mercado_Receita!$T$2:$T$1157,"44501B2Energia convencionalRuralServiço público de irrigação ruralNão se aplicaNão se aplicaNão se aplica",Mercado_Receita!$N$2:$N$1157)</f>
        <v>0</v>
      </c>
      <c r="J36" s="13">
        <f>SUMIF(Mercado_Receita!$T$2:$T$1157,"44531B2Energia convencionalRuralServiço público de irrigação ruralNão se aplicaNão se aplicaNão se aplica",Mercado_Receita!$N$2:$N$1157)</f>
        <v>0</v>
      </c>
      <c r="K36" s="13">
        <f>SUMIF(Mercado_Receita!$T$2:$T$1157,"44562B2Energia convencionalRuralServiço público de irrigação ruralNão se aplicaNão se aplicaNão se aplica",Mercado_Receita!$N$2:$N$1157)</f>
        <v>0</v>
      </c>
      <c r="L36" s="13">
        <f>SUMIF(Mercado_Receita!$T$2:$T$1157,"44593B2Energia convencionalRuralServiço público de irrigação ruralNão se aplicaNão se aplicaNão se aplica",Mercado_Receita!$N$2:$N$1157)</f>
        <v>0</v>
      </c>
      <c r="M36" s="13">
        <f>SUMIF(Mercado_Receita!$T$2:$T$1157,"44621B2Energia convencionalRuralServiço público de irrigação ruralNão se aplicaNão se aplicaNão se aplica",Mercado_Receita!$N$2:$N$1157)</f>
        <v>0</v>
      </c>
      <c r="N36" s="13">
        <f>SUMIF(Mercado_Receita!$T$2:$T$1157,"44652B2Energia convencionalRuralServiço público de irrigação ruralNão se aplicaNão se aplicaNão se aplica",Mercado_Receita!$N$2:$N$1157)</f>
        <v>0</v>
      </c>
      <c r="O36" s="13">
        <f>SUMIF(Mercado_Receita!$T$2:$T$1157,"44682B2Energia convencionalRuralServiço público de irrigação ruralNão se aplicaNão se aplicaNão se aplica",Mercado_Receita!$N$2:$N$1157)</f>
        <v>0</v>
      </c>
      <c r="P36" s="13">
        <f>SUMIF(Mercado_Receita!$T$2:$T$1157,"44713B2Energia convencionalRuralServiço público de irrigação ruralNão se aplicaNão se aplicaNão se aplica",Mercado_Receita!$N$2:$N$1157)</f>
        <v>0</v>
      </c>
      <c r="Q36" s="13">
        <f>SUMIF(Mercado_Receita!$T$2:$T$1157,"44743B2Energia convencionalRuralServiço público de irrigação ruralNão se aplicaNão se aplicaNão se aplica",Mercado_Receita!$N$2:$N$1157)</f>
        <v>0</v>
      </c>
      <c r="R36" s="13">
        <f>SUMIF(Mercado_Receita!$T$2:$T$1157,"44774B2Energia convencionalRuralServiço público de irrigação ruralNão se aplicaNão se aplicaNão se aplica",Mercado_Receita!$N$2:$N$1157)</f>
        <v>0</v>
      </c>
      <c r="S36" s="13">
        <f>SUMIF(Mercado_Receita!$T$2:$T$1157,"44805B2Energia convencionalRuralServiço público de irrigação ruralNão se aplicaNão se aplicaNão se aplica",Mercado_Receita!$N$2:$N$1157)</f>
        <v>0</v>
      </c>
      <c r="T36" s="13">
        <f>SUMIF(Mercado_Receita!$T$2:$T$1157,"44835B2Energia convencionalRuralServiço público de irrigação ruralNão se aplicaNão se aplicaNão se aplica",Mercado_Receita!$N$2:$N$1157)</f>
        <v>0</v>
      </c>
      <c r="U36" s="13">
        <f t="shared" si="0"/>
        <v>0</v>
      </c>
      <c r="V36" s="13"/>
      <c r="W36" s="13"/>
    </row>
    <row r="37" spans="1:23" ht="11.25" customHeight="1" x14ac:dyDescent="0.3">
      <c r="A37" s="111"/>
      <c r="B37" s="110" t="s">
        <v>91</v>
      </c>
      <c r="C37" s="110" t="s">
        <v>45</v>
      </c>
      <c r="D37" s="12" t="s">
        <v>25</v>
      </c>
      <c r="E37" s="12" t="s">
        <v>25</v>
      </c>
      <c r="F37" s="12" t="s">
        <v>25</v>
      </c>
      <c r="G37" s="13" t="s">
        <v>84</v>
      </c>
      <c r="H37" s="13" t="s">
        <v>78</v>
      </c>
      <c r="I37" s="13">
        <f>SUMIF(Mercado_Receita!$T$2:$T$1157,"44501B2Energia convencional pré-pagamentoRuralNão se aplicaNão se aplicaNão se aplicaNão se aplica",Mercado_Receita!$N$2:$N$1157)</f>
        <v>0</v>
      </c>
      <c r="J37" s="13">
        <f>SUMIF(Mercado_Receita!$T$2:$T$1157,"44531B2Energia convencional pré-pagamentoRuralNão se aplicaNão se aplicaNão se aplicaNão se aplica",Mercado_Receita!$N$2:$N$1157)</f>
        <v>0</v>
      </c>
      <c r="K37" s="13">
        <f>SUMIF(Mercado_Receita!$T$2:$T$1157,"44562B2Energia convencional pré-pagamentoRuralNão se aplicaNão se aplicaNão se aplicaNão se aplica",Mercado_Receita!$N$2:$N$1157)</f>
        <v>0</v>
      </c>
      <c r="L37" s="13">
        <f>SUMIF(Mercado_Receita!$T$2:$T$1157,"44593B2Energia convencional pré-pagamentoRuralNão se aplicaNão se aplicaNão se aplicaNão se aplica",Mercado_Receita!$N$2:$N$1157)</f>
        <v>0</v>
      </c>
      <c r="M37" s="13">
        <f>SUMIF(Mercado_Receita!$T$2:$T$1157,"44621B2Energia convencional pré-pagamentoRuralNão se aplicaNão se aplicaNão se aplicaNão se aplica",Mercado_Receita!$N$2:$N$1157)</f>
        <v>0</v>
      </c>
      <c r="N37" s="13">
        <f>SUMIF(Mercado_Receita!$T$2:$T$1157,"44652B2Energia convencional pré-pagamentoRuralNão se aplicaNão se aplicaNão se aplicaNão se aplica",Mercado_Receita!$N$2:$N$1157)</f>
        <v>0</v>
      </c>
      <c r="O37" s="13">
        <f>SUMIF(Mercado_Receita!$T$2:$T$1157,"44682B2Energia convencional pré-pagamentoRuralNão se aplicaNão se aplicaNão se aplicaNão se aplica",Mercado_Receita!$N$2:$N$1157)</f>
        <v>0</v>
      </c>
      <c r="P37" s="13">
        <f>SUMIF(Mercado_Receita!$T$2:$T$1157,"44713B2Energia convencional pré-pagamentoRuralNão se aplicaNão se aplicaNão se aplicaNão se aplica",Mercado_Receita!$N$2:$N$1157)</f>
        <v>0</v>
      </c>
      <c r="Q37" s="13">
        <f>SUMIF(Mercado_Receita!$T$2:$T$1157,"44743B2Energia convencional pré-pagamentoRuralNão se aplicaNão se aplicaNão se aplicaNão se aplica",Mercado_Receita!$N$2:$N$1157)</f>
        <v>0</v>
      </c>
      <c r="R37" s="13">
        <f>SUMIF(Mercado_Receita!$T$2:$T$1157,"44774B2Energia convencional pré-pagamentoRuralNão se aplicaNão se aplicaNão se aplicaNão se aplica",Mercado_Receita!$N$2:$N$1157)</f>
        <v>0</v>
      </c>
      <c r="S37" s="13">
        <f>SUMIF(Mercado_Receita!$T$2:$T$1157,"44805B2Energia convencional pré-pagamentoRuralNão se aplicaNão se aplicaNão se aplicaNão se aplica",Mercado_Receita!$N$2:$N$1157)</f>
        <v>0</v>
      </c>
      <c r="T37" s="13">
        <f>SUMIF(Mercado_Receita!$T$2:$T$1157,"44835B2Energia convencional pré-pagamentoRuralNão se aplicaNão se aplicaNão se aplicaNão se aplica",Mercado_Receita!$N$2:$N$1157)</f>
        <v>0</v>
      </c>
      <c r="U37" s="13">
        <f t="shared" si="0"/>
        <v>0</v>
      </c>
      <c r="V37" s="13"/>
      <c r="W37" s="13"/>
    </row>
    <row r="38" spans="1:23" ht="11.25" customHeight="1" x14ac:dyDescent="0.3">
      <c r="A38" s="111"/>
      <c r="B38" s="111"/>
      <c r="C38" s="111"/>
      <c r="D38" s="12" t="s">
        <v>93</v>
      </c>
      <c r="E38" s="12" t="s">
        <v>25</v>
      </c>
      <c r="F38" s="12" t="s">
        <v>25</v>
      </c>
      <c r="G38" s="13" t="s">
        <v>84</v>
      </c>
      <c r="H38" s="13" t="s">
        <v>78</v>
      </c>
      <c r="I38" s="13">
        <f>SUMIF(Mercado_Receita!$T$2:$T$1157,"44501B2Energia convencional pré-pagamentoRuralCooperativa de eletrificação ruralNão se aplicaNão se aplicaNão se aplica",Mercado_Receita!$N$2:$N$1157)</f>
        <v>0</v>
      </c>
      <c r="J38" s="13">
        <f>SUMIF(Mercado_Receita!$T$2:$T$1157,"44531B2Energia convencional pré-pagamentoRuralCooperativa de eletrificação ruralNão se aplicaNão se aplicaNão se aplica",Mercado_Receita!$N$2:$N$1157)</f>
        <v>0</v>
      </c>
      <c r="K38" s="13">
        <f>SUMIF(Mercado_Receita!$T$2:$T$1157,"44562B2Energia convencional pré-pagamentoRuralCooperativa de eletrificação ruralNão se aplicaNão se aplicaNão se aplica",Mercado_Receita!$N$2:$N$1157)</f>
        <v>0</v>
      </c>
      <c r="L38" s="13">
        <f>SUMIF(Mercado_Receita!$T$2:$T$1157,"44593B2Energia convencional pré-pagamentoRuralCooperativa de eletrificação ruralNão se aplicaNão se aplicaNão se aplica",Mercado_Receita!$N$2:$N$1157)</f>
        <v>0</v>
      </c>
      <c r="M38" s="13">
        <f>SUMIF(Mercado_Receita!$T$2:$T$1157,"44621B2Energia convencional pré-pagamentoRuralCooperativa de eletrificação ruralNão se aplicaNão se aplicaNão se aplica",Mercado_Receita!$N$2:$N$1157)</f>
        <v>0</v>
      </c>
      <c r="N38" s="13">
        <f>SUMIF(Mercado_Receita!$T$2:$T$1157,"44652B2Energia convencional pré-pagamentoRuralCooperativa de eletrificação ruralNão se aplicaNão se aplicaNão se aplica",Mercado_Receita!$N$2:$N$1157)</f>
        <v>0</v>
      </c>
      <c r="O38" s="13">
        <f>SUMIF(Mercado_Receita!$T$2:$T$1157,"44682B2Energia convencional pré-pagamentoRuralCooperativa de eletrificação ruralNão se aplicaNão se aplicaNão se aplica",Mercado_Receita!$N$2:$N$1157)</f>
        <v>0</v>
      </c>
      <c r="P38" s="13">
        <f>SUMIF(Mercado_Receita!$T$2:$T$1157,"44713B2Energia convencional pré-pagamentoRuralCooperativa de eletrificação ruralNão se aplicaNão se aplicaNão se aplica",Mercado_Receita!$N$2:$N$1157)</f>
        <v>0</v>
      </c>
      <c r="Q38" s="13">
        <f>SUMIF(Mercado_Receita!$T$2:$T$1157,"44743B2Energia convencional pré-pagamentoRuralCooperativa de eletrificação ruralNão se aplicaNão se aplicaNão se aplica",Mercado_Receita!$N$2:$N$1157)</f>
        <v>0</v>
      </c>
      <c r="R38" s="13">
        <f>SUMIF(Mercado_Receita!$T$2:$T$1157,"44774B2Energia convencional pré-pagamentoRuralCooperativa de eletrificação ruralNão se aplicaNão se aplicaNão se aplica",Mercado_Receita!$N$2:$N$1157)</f>
        <v>0</v>
      </c>
      <c r="S38" s="13">
        <f>SUMIF(Mercado_Receita!$T$2:$T$1157,"44805B2Energia convencional pré-pagamentoRuralCooperativa de eletrificação ruralNão se aplicaNão se aplicaNão se aplica",Mercado_Receita!$N$2:$N$1157)</f>
        <v>0</v>
      </c>
      <c r="T38" s="13">
        <f>SUMIF(Mercado_Receita!$T$2:$T$1157,"44835B2Energia convencional pré-pagamentoRuralCooperativa de eletrificação ruralNão se aplicaNão se aplicaNão se aplica",Mercado_Receita!$N$2:$N$1157)</f>
        <v>0</v>
      </c>
      <c r="U38" s="13">
        <f t="shared" si="0"/>
        <v>0</v>
      </c>
      <c r="V38" s="13"/>
      <c r="W38" s="13"/>
    </row>
    <row r="39" spans="1:23" ht="11.25" customHeight="1" x14ac:dyDescent="0.3">
      <c r="A39" s="111"/>
      <c r="B39" s="111"/>
      <c r="C39" s="111"/>
      <c r="D39" s="12" t="s">
        <v>94</v>
      </c>
      <c r="E39" s="12" t="s">
        <v>25</v>
      </c>
      <c r="F39" s="12" t="s">
        <v>25</v>
      </c>
      <c r="G39" s="13" t="s">
        <v>84</v>
      </c>
      <c r="H39" s="13" t="s">
        <v>78</v>
      </c>
      <c r="I39" s="13">
        <f>SUMIF(Mercado_Receita!$T$2:$T$1157,"44501B2Energia convencional pré-pagamentoRuralServiço público de irrigação ruralNão se aplicaNão se aplicaNão se aplica",Mercado_Receita!$N$2:$N$1157)</f>
        <v>0</v>
      </c>
      <c r="J39" s="13">
        <f>SUMIF(Mercado_Receita!$T$2:$T$1157,"44531B2Energia convencional pré-pagamentoRuralServiço público de irrigação ruralNão se aplicaNão se aplicaNão se aplica",Mercado_Receita!$N$2:$N$1157)</f>
        <v>0</v>
      </c>
      <c r="K39" s="13">
        <f>SUMIF(Mercado_Receita!$T$2:$T$1157,"44562B2Energia convencional pré-pagamentoRuralServiço público de irrigação ruralNão se aplicaNão se aplicaNão se aplica",Mercado_Receita!$N$2:$N$1157)</f>
        <v>0</v>
      </c>
      <c r="L39" s="13">
        <f>SUMIF(Mercado_Receita!$T$2:$T$1157,"44593B2Energia convencional pré-pagamentoRuralServiço público de irrigação ruralNão se aplicaNão se aplicaNão se aplica",Mercado_Receita!$N$2:$N$1157)</f>
        <v>0</v>
      </c>
      <c r="M39" s="13">
        <f>SUMIF(Mercado_Receita!$T$2:$T$1157,"44621B2Energia convencional pré-pagamentoRuralServiço público de irrigação ruralNão se aplicaNão se aplicaNão se aplica",Mercado_Receita!$N$2:$N$1157)</f>
        <v>0</v>
      </c>
      <c r="N39" s="13">
        <f>SUMIF(Mercado_Receita!$T$2:$T$1157,"44652B2Energia convencional pré-pagamentoRuralServiço público de irrigação ruralNão se aplicaNão se aplicaNão se aplica",Mercado_Receita!$N$2:$N$1157)</f>
        <v>0</v>
      </c>
      <c r="O39" s="13">
        <f>SUMIF(Mercado_Receita!$T$2:$T$1157,"44682B2Energia convencional pré-pagamentoRuralServiço público de irrigação ruralNão se aplicaNão se aplicaNão se aplica",Mercado_Receita!$N$2:$N$1157)</f>
        <v>0</v>
      </c>
      <c r="P39" s="13">
        <f>SUMIF(Mercado_Receita!$T$2:$T$1157,"44713B2Energia convencional pré-pagamentoRuralServiço público de irrigação ruralNão se aplicaNão se aplicaNão se aplica",Mercado_Receita!$N$2:$N$1157)</f>
        <v>0</v>
      </c>
      <c r="Q39" s="13">
        <f>SUMIF(Mercado_Receita!$T$2:$T$1157,"44743B2Energia convencional pré-pagamentoRuralServiço público de irrigação ruralNão se aplicaNão se aplicaNão se aplica",Mercado_Receita!$N$2:$N$1157)</f>
        <v>0</v>
      </c>
      <c r="R39" s="13">
        <f>SUMIF(Mercado_Receita!$T$2:$T$1157,"44774B2Energia convencional pré-pagamentoRuralServiço público de irrigação ruralNão se aplicaNão se aplicaNão se aplica",Mercado_Receita!$N$2:$N$1157)</f>
        <v>0</v>
      </c>
      <c r="S39" s="13">
        <f>SUMIF(Mercado_Receita!$T$2:$T$1157,"44805B2Energia convencional pré-pagamentoRuralServiço público de irrigação ruralNão se aplicaNão se aplicaNão se aplica",Mercado_Receita!$N$2:$N$1157)</f>
        <v>0</v>
      </c>
      <c r="T39" s="13">
        <f>SUMIF(Mercado_Receita!$T$2:$T$1157,"44835B2Energia convencional pré-pagamentoRuralServiço público de irrigação ruralNão se aplicaNão se aplicaNão se aplica",Mercado_Receita!$N$2:$N$1157)</f>
        <v>0</v>
      </c>
      <c r="U39" s="13">
        <f t="shared" si="0"/>
        <v>0</v>
      </c>
      <c r="V39" s="13"/>
      <c r="W39" s="13"/>
    </row>
    <row r="40" spans="1:23" ht="11.25" customHeight="1" x14ac:dyDescent="0.3">
      <c r="A40" s="110" t="s">
        <v>37</v>
      </c>
      <c r="B40" s="110" t="s">
        <v>77</v>
      </c>
      <c r="C40" s="110" t="s">
        <v>25</v>
      </c>
      <c r="D40" s="110" t="s">
        <v>25</v>
      </c>
      <c r="E40" s="110" t="s">
        <v>25</v>
      </c>
      <c r="F40" s="110" t="s">
        <v>25</v>
      </c>
      <c r="G40" s="13" t="s">
        <v>79</v>
      </c>
      <c r="H40" s="13" t="s">
        <v>78</v>
      </c>
      <c r="I40" s="13">
        <f>SUMIF(Mercado_Receita!$T$2:$T$1157,"44501B3Energia horáriaNão se aplicaNão se aplicaNão se aplicaNão se aplicaPonta",Mercado_Receita!$N$2:$N$1157)</f>
        <v>2.1909999999999998</v>
      </c>
      <c r="J40" s="13">
        <f>SUMIF(Mercado_Receita!$T$2:$T$1157,"44531B3Energia horáriaNão se aplicaNão se aplicaNão se aplicaNão se aplicaPonta",Mercado_Receita!$N$2:$N$1157)</f>
        <v>1.9350000000000001</v>
      </c>
      <c r="K40" s="13">
        <f>SUMIF(Mercado_Receita!$T$2:$T$1157,"44562B3Energia horáriaNão se aplicaNão se aplicaNão se aplicaNão se aplicaPonta",Mercado_Receita!$N$2:$N$1157)</f>
        <v>1.9729999999999999</v>
      </c>
      <c r="L40" s="13">
        <f>SUMIF(Mercado_Receita!$T$2:$T$1157,"44593B3Energia horáriaNão se aplicaNão se aplicaNão se aplicaNão se aplicaPonta",Mercado_Receita!$N$2:$N$1157)</f>
        <v>1.752</v>
      </c>
      <c r="M40" s="13">
        <f>SUMIF(Mercado_Receita!$T$2:$T$1157,"44621B3Energia horáriaNão se aplicaNão se aplicaNão se aplicaNão se aplicaPonta",Mercado_Receita!$N$2:$N$1157)</f>
        <v>1.7629999999999999</v>
      </c>
      <c r="N40" s="13">
        <f>SUMIF(Mercado_Receita!$T$2:$T$1157,"44652B3Energia horáriaNão se aplicaNão se aplicaNão se aplicaNão se aplicaPonta",Mercado_Receita!$N$2:$N$1157)</f>
        <v>1.5029999999999999</v>
      </c>
      <c r="O40" s="13">
        <f>SUMIF(Mercado_Receita!$T$2:$T$1157,"44682B3Energia horáriaNão se aplicaNão se aplicaNão se aplicaNão se aplicaPonta",Mercado_Receita!$N$2:$N$1157)</f>
        <v>2.222</v>
      </c>
      <c r="P40" s="13">
        <f>SUMIF(Mercado_Receita!$T$2:$T$1157,"44713B3Energia horáriaNão se aplicaNão se aplicaNão se aplicaNão se aplicaPonta",Mercado_Receita!$N$2:$N$1157)</f>
        <v>1.345</v>
      </c>
      <c r="Q40" s="13">
        <f>SUMIF(Mercado_Receita!$T$2:$T$1157,"44743B3Energia horáriaNão se aplicaNão se aplicaNão se aplicaNão se aplicaPonta",Mercado_Receita!$N$2:$N$1157)</f>
        <v>2.0190000000000001</v>
      </c>
      <c r="R40" s="13">
        <f>SUMIF(Mercado_Receita!$T$2:$T$1157,"44774B3Energia horáriaNão se aplicaNão se aplicaNão se aplicaNão se aplicaPonta",Mercado_Receita!$N$2:$N$1157)</f>
        <v>1.956</v>
      </c>
      <c r="S40" s="13">
        <f>SUMIF(Mercado_Receita!$T$2:$T$1157,"44805B3Energia horáriaNão se aplicaNão se aplicaNão se aplicaNão se aplicaPonta",Mercado_Receita!$N$2:$N$1157)</f>
        <v>1.821</v>
      </c>
      <c r="T40" s="13">
        <f>SUMIF(Mercado_Receita!$T$2:$T$1157,"44835B3Energia horáriaNão se aplicaNão se aplicaNão se aplicaNão se aplicaPonta",Mercado_Receita!$N$2:$N$1157)</f>
        <v>1.821</v>
      </c>
      <c r="U40" s="13">
        <f t="shared" si="0"/>
        <v>22.301000000000002</v>
      </c>
      <c r="V40" s="13"/>
      <c r="W40" s="13"/>
    </row>
    <row r="41" spans="1:23" ht="11.25" customHeight="1" x14ac:dyDescent="0.3">
      <c r="A41" s="111"/>
      <c r="B41" s="111"/>
      <c r="C41" s="111"/>
      <c r="D41" s="111"/>
      <c r="E41" s="111"/>
      <c r="F41" s="111"/>
      <c r="G41" s="13" t="s">
        <v>90</v>
      </c>
      <c r="H41" s="13" t="s">
        <v>78</v>
      </c>
      <c r="I41" s="13">
        <f>SUMIF(Mercado_Receita!$T$2:$T$1157,"44501B3Energia horáriaNão se aplicaNão se aplicaNão se aplicaNão se aplicaIntermediário",Mercado_Receita!$N$2:$N$1157)</f>
        <v>2.2070000000000003</v>
      </c>
      <c r="J41" s="13">
        <f>SUMIF(Mercado_Receita!$T$2:$T$1157,"44531B3Energia horáriaNão se aplicaNão se aplicaNão se aplicaNão se aplicaIntermediário",Mercado_Receita!$N$2:$N$1157)</f>
        <v>2.371</v>
      </c>
      <c r="K41" s="13">
        <f>SUMIF(Mercado_Receita!$T$2:$T$1157,"44562B3Energia horáriaNão se aplicaNão se aplicaNão se aplicaNão se aplicaIntermediário",Mercado_Receita!$N$2:$N$1157)</f>
        <v>2.3079999999999998</v>
      </c>
      <c r="L41" s="13">
        <f>SUMIF(Mercado_Receita!$T$2:$T$1157,"44593B3Energia horáriaNão se aplicaNão se aplicaNão se aplicaNão se aplicaIntermediário",Mercado_Receita!$N$2:$N$1157)</f>
        <v>2.46</v>
      </c>
      <c r="M41" s="13">
        <f>SUMIF(Mercado_Receita!$T$2:$T$1157,"44621B3Energia horáriaNão se aplicaNão se aplicaNão se aplicaNão se aplicaIntermediário",Mercado_Receita!$N$2:$N$1157)</f>
        <v>2.3940000000000001</v>
      </c>
      <c r="N41" s="13">
        <f>SUMIF(Mercado_Receita!$T$2:$T$1157,"44652B3Energia horáriaNão se aplicaNão se aplicaNão se aplicaNão se aplicaIntermediário",Mercado_Receita!$N$2:$N$1157)</f>
        <v>1.966</v>
      </c>
      <c r="O41" s="13">
        <f>SUMIF(Mercado_Receita!$T$2:$T$1157,"44682B3Energia horáriaNão se aplicaNão se aplicaNão se aplicaNão se aplicaIntermediário",Mercado_Receita!$N$2:$N$1157)</f>
        <v>2.1879999999999997</v>
      </c>
      <c r="P41" s="13">
        <f>SUMIF(Mercado_Receita!$T$2:$T$1157,"44713B3Energia horáriaNão se aplicaNão se aplicaNão se aplicaNão se aplicaIntermediário",Mercado_Receita!$N$2:$N$1157)</f>
        <v>1.3380000000000001</v>
      </c>
      <c r="Q41" s="13">
        <f>SUMIF(Mercado_Receita!$T$2:$T$1157,"44743B3Energia horáriaNão se aplicaNão se aplicaNão se aplicaNão se aplicaIntermediário",Mercado_Receita!$N$2:$N$1157)</f>
        <v>2.0409999999999999</v>
      </c>
      <c r="R41" s="13">
        <f>SUMIF(Mercado_Receita!$T$2:$T$1157,"44774B3Energia horáriaNão se aplicaNão se aplicaNão se aplicaNão se aplicaIntermediário",Mercado_Receita!$N$2:$N$1157)</f>
        <v>1.71</v>
      </c>
      <c r="S41" s="13">
        <f>SUMIF(Mercado_Receita!$T$2:$T$1157,"44805B3Energia horáriaNão se aplicaNão se aplicaNão se aplicaNão se aplicaIntermediário",Mercado_Receita!$N$2:$N$1157)</f>
        <v>1.7529999999999999</v>
      </c>
      <c r="T41" s="13">
        <f>SUMIF(Mercado_Receita!$T$2:$T$1157,"44835B3Energia horáriaNão se aplicaNão se aplicaNão se aplicaNão se aplicaIntermediário",Mercado_Receita!$N$2:$N$1157)</f>
        <v>1.7529999999999999</v>
      </c>
      <c r="U41" s="13">
        <f t="shared" si="0"/>
        <v>24.489000000000001</v>
      </c>
      <c r="V41" s="13"/>
      <c r="W41" s="13"/>
    </row>
    <row r="42" spans="1:23" ht="11.25" customHeight="1" x14ac:dyDescent="0.3">
      <c r="A42" s="111"/>
      <c r="B42" s="111"/>
      <c r="C42" s="111"/>
      <c r="D42" s="111"/>
      <c r="E42" s="111"/>
      <c r="F42" s="111"/>
      <c r="G42" s="13" t="s">
        <v>80</v>
      </c>
      <c r="H42" s="13" t="s">
        <v>78</v>
      </c>
      <c r="I42" s="13">
        <f>SUMIF(Mercado_Receita!$T$2:$T$1157,"44501B3Energia horáriaNão se aplicaNão se aplicaNão se aplicaNão se aplicaFora ponta",Mercado_Receita!$N$2:$N$1157)</f>
        <v>37.661999999999999</v>
      </c>
      <c r="J42" s="13">
        <f>SUMIF(Mercado_Receita!$T$2:$T$1157,"44531B3Energia horáriaNão se aplicaNão se aplicaNão se aplicaNão se aplicaFora ponta",Mercado_Receita!$N$2:$N$1157)</f>
        <v>37.738999999999997</v>
      </c>
      <c r="K42" s="13">
        <f>SUMIF(Mercado_Receita!$T$2:$T$1157,"44562B3Energia horáriaNão se aplicaNão se aplicaNão se aplicaNão se aplicaFora ponta",Mercado_Receita!$N$2:$N$1157)</f>
        <v>39.975999999999999</v>
      </c>
      <c r="L42" s="13">
        <f>SUMIF(Mercado_Receita!$T$2:$T$1157,"44593B3Energia horáriaNão se aplicaNão se aplicaNão se aplicaNão se aplicaFora ponta",Mercado_Receita!$N$2:$N$1157)</f>
        <v>38.131999999999998</v>
      </c>
      <c r="M42" s="13">
        <f>SUMIF(Mercado_Receita!$T$2:$T$1157,"44621B3Energia horáriaNão se aplicaNão se aplicaNão se aplicaNão se aplicaFora ponta",Mercado_Receita!$N$2:$N$1157)</f>
        <v>38.21</v>
      </c>
      <c r="N42" s="13">
        <f>SUMIF(Mercado_Receita!$T$2:$T$1157,"44652B3Energia horáriaNão se aplicaNão se aplicaNão se aplicaNão se aplicaFora ponta",Mercado_Receita!$N$2:$N$1157)</f>
        <v>37.11</v>
      </c>
      <c r="O42" s="13">
        <f>SUMIF(Mercado_Receita!$T$2:$T$1157,"44682B3Energia horáriaNão se aplicaNão se aplicaNão se aplicaNão se aplicaFora ponta",Mercado_Receita!$N$2:$N$1157)</f>
        <v>43.448</v>
      </c>
      <c r="P42" s="13">
        <f>SUMIF(Mercado_Receita!$T$2:$T$1157,"44713B3Energia horáriaNão se aplicaNão se aplicaNão se aplicaNão se aplicaFora ponta",Mercado_Receita!$N$2:$N$1157)</f>
        <v>37.771000000000001</v>
      </c>
      <c r="Q42" s="13">
        <f>SUMIF(Mercado_Receita!$T$2:$T$1157,"44743B3Energia horáriaNão se aplicaNão se aplicaNão se aplicaNão se aplicaFora ponta",Mercado_Receita!$N$2:$N$1157)</f>
        <v>40.158000000000001</v>
      </c>
      <c r="R42" s="13">
        <f>SUMIF(Mercado_Receita!$T$2:$T$1157,"44774B3Energia horáriaNão se aplicaNão se aplicaNão se aplicaNão se aplicaFora ponta",Mercado_Receita!$N$2:$N$1157)</f>
        <v>39.94</v>
      </c>
      <c r="S42" s="13">
        <f>SUMIF(Mercado_Receita!$T$2:$T$1157,"44805B3Energia horáriaNão se aplicaNão se aplicaNão se aplicaNão se aplicaFora ponta",Mercado_Receita!$N$2:$N$1157)</f>
        <v>37.012999999999998</v>
      </c>
      <c r="T42" s="13">
        <f>SUMIF(Mercado_Receita!$T$2:$T$1157,"44835B3Energia horáriaNão se aplicaNão se aplicaNão se aplicaNão se aplicaFora ponta",Mercado_Receita!$N$2:$N$1157)</f>
        <v>37.012999999999998</v>
      </c>
      <c r="U42" s="13">
        <f t="shared" si="0"/>
        <v>464.17199999999997</v>
      </c>
      <c r="V42" s="13"/>
      <c r="W42" s="13"/>
    </row>
    <row r="43" spans="1:23" ht="11.25" customHeight="1" x14ac:dyDescent="0.3">
      <c r="A43" s="111"/>
      <c r="B43" s="12" t="s">
        <v>86</v>
      </c>
      <c r="C43" s="12" t="s">
        <v>25</v>
      </c>
      <c r="D43" s="12" t="s">
        <v>25</v>
      </c>
      <c r="E43" s="12" t="s">
        <v>25</v>
      </c>
      <c r="F43" s="12" t="s">
        <v>25</v>
      </c>
      <c r="G43" s="13" t="s">
        <v>84</v>
      </c>
      <c r="H43" s="13" t="s">
        <v>78</v>
      </c>
      <c r="I43" s="13">
        <f>SUMIF(Mercado_Receita!$T$2:$T$1157,"44501B3Energia convencionalNão se aplicaNão se aplicaNão se aplicaNão se aplicaNão se aplica",Mercado_Receita!$N$2:$N$1157)</f>
        <v>3857.8090000000002</v>
      </c>
      <c r="J43" s="13">
        <f>SUMIF(Mercado_Receita!$T$2:$T$1157,"44531B3Energia convencionalNão se aplicaNão se aplicaNão se aplicaNão se aplicaNão se aplica",Mercado_Receita!$N$2:$N$1157)</f>
        <v>3931.7150000000006</v>
      </c>
      <c r="K43" s="13">
        <f>SUMIF(Mercado_Receita!$T$2:$T$1157,"44562B3Energia convencionalNão se aplicaNão se aplicaNão se aplicaNão se aplicaNão se aplica",Mercado_Receita!$N$2:$N$1157)</f>
        <v>4242.6490000000013</v>
      </c>
      <c r="L43" s="13">
        <f>SUMIF(Mercado_Receita!$T$2:$T$1157,"44593B3Energia convencionalNão se aplicaNão se aplicaNão se aplicaNão se aplicaNão se aplica",Mercado_Receita!$N$2:$N$1157)</f>
        <v>3920.5729999999999</v>
      </c>
      <c r="M43" s="13">
        <f>SUMIF(Mercado_Receita!$T$2:$T$1157,"44621B3Energia convencionalNão se aplicaNão se aplicaNão se aplicaNão se aplicaNão se aplica",Mercado_Receita!$N$2:$N$1157)</f>
        <v>4054.9290000000005</v>
      </c>
      <c r="N43" s="13">
        <f>SUMIF(Mercado_Receita!$T$2:$T$1157,"44652B3Energia convencionalNão se aplicaNão se aplicaNão se aplicaNão se aplicaNão se aplica",Mercado_Receita!$N$2:$N$1157)</f>
        <v>4288.7839999999997</v>
      </c>
      <c r="O43" s="13">
        <f>SUMIF(Mercado_Receita!$T$2:$T$1157,"44682B3Energia convencionalNão se aplicaNão se aplicaNão se aplicaNão se aplicaNão se aplica",Mercado_Receita!$N$2:$N$1157)</f>
        <v>3931.0179999999991</v>
      </c>
      <c r="P43" s="13">
        <f>SUMIF(Mercado_Receita!$T$2:$T$1157,"44713B3Energia convencionalNão se aplicaNão se aplicaNão se aplicaNão se aplicaNão se aplica",Mercado_Receita!$N$2:$N$1157)</f>
        <v>3729.4270000000001</v>
      </c>
      <c r="Q43" s="13">
        <f>SUMIF(Mercado_Receita!$T$2:$T$1157,"44743B3Energia convencionalNão se aplicaNão se aplicaNão se aplicaNão se aplicaNão se aplica",Mercado_Receita!$N$2:$N$1157)</f>
        <v>3965.4250000000002</v>
      </c>
      <c r="R43" s="13">
        <f>SUMIF(Mercado_Receita!$T$2:$T$1157,"44774B3Energia convencionalNão se aplicaNão se aplicaNão se aplicaNão se aplicaNão se aplica",Mercado_Receita!$N$2:$N$1157)</f>
        <v>3697.3800000000006</v>
      </c>
      <c r="S43" s="13">
        <f>SUMIF(Mercado_Receita!$T$2:$T$1157,"44805B3Energia convencionalNão se aplicaNão se aplicaNão se aplicaNão se aplicaNão se aplica",Mercado_Receita!$N$2:$N$1157)</f>
        <v>4059.2989999999995</v>
      </c>
      <c r="T43" s="13">
        <f>SUMIF(Mercado_Receita!$T$2:$T$1157,"44835B3Energia convencionalNão se aplicaNão se aplicaNão se aplicaNão se aplicaNão se aplica",Mercado_Receita!$N$2:$N$1157)</f>
        <v>4059.2989999999995</v>
      </c>
      <c r="U43" s="13">
        <f t="shared" si="0"/>
        <v>47738.307000000001</v>
      </c>
      <c r="V43" s="13"/>
      <c r="W43" s="13"/>
    </row>
    <row r="44" spans="1:23" ht="11.25" customHeight="1" x14ac:dyDescent="0.3">
      <c r="A44" s="111"/>
      <c r="B44" s="12" t="s">
        <v>91</v>
      </c>
      <c r="C44" s="12" t="s">
        <v>25</v>
      </c>
      <c r="D44" s="12" t="s">
        <v>25</v>
      </c>
      <c r="E44" s="12" t="s">
        <v>25</v>
      </c>
      <c r="F44" s="12" t="s">
        <v>25</v>
      </c>
      <c r="G44" s="13" t="s">
        <v>84</v>
      </c>
      <c r="H44" s="13" t="s">
        <v>78</v>
      </c>
      <c r="I44" s="13">
        <f>SUMIF(Mercado_Receita!$T$2:$T$1157,"44501B3Energia convencional pré-pagamentoNão se aplicaNão se aplicaNão se aplicaNão se aplicaNão se aplica",Mercado_Receita!$N$2:$N$1157)</f>
        <v>0</v>
      </c>
      <c r="J44" s="13">
        <f>SUMIF(Mercado_Receita!$T$2:$T$1157,"44531B3Energia convencional pré-pagamentoNão se aplicaNão se aplicaNão se aplicaNão se aplicaNão se aplica",Mercado_Receita!$N$2:$N$1157)</f>
        <v>0</v>
      </c>
      <c r="K44" s="13">
        <f>SUMIF(Mercado_Receita!$T$2:$T$1157,"44562B3Energia convencional pré-pagamentoNão se aplicaNão se aplicaNão se aplicaNão se aplicaNão se aplica",Mercado_Receita!$N$2:$N$1157)</f>
        <v>0</v>
      </c>
      <c r="L44" s="13">
        <f>SUMIF(Mercado_Receita!$T$2:$T$1157,"44593B3Energia convencional pré-pagamentoNão se aplicaNão se aplicaNão se aplicaNão se aplicaNão se aplica",Mercado_Receita!$N$2:$N$1157)</f>
        <v>0</v>
      </c>
      <c r="M44" s="13">
        <f>SUMIF(Mercado_Receita!$T$2:$T$1157,"44621B3Energia convencional pré-pagamentoNão se aplicaNão se aplicaNão se aplicaNão se aplicaNão se aplica",Mercado_Receita!$N$2:$N$1157)</f>
        <v>0</v>
      </c>
      <c r="N44" s="13">
        <f>SUMIF(Mercado_Receita!$T$2:$T$1157,"44652B3Energia convencional pré-pagamentoNão se aplicaNão se aplicaNão se aplicaNão se aplicaNão se aplica",Mercado_Receita!$N$2:$N$1157)</f>
        <v>0</v>
      </c>
      <c r="O44" s="13">
        <f>SUMIF(Mercado_Receita!$T$2:$T$1157,"44682B3Energia convencional pré-pagamentoNão se aplicaNão se aplicaNão se aplicaNão se aplicaNão se aplica",Mercado_Receita!$N$2:$N$1157)</f>
        <v>0</v>
      </c>
      <c r="P44" s="13">
        <f>SUMIF(Mercado_Receita!$T$2:$T$1157,"44713B3Energia convencional pré-pagamentoNão se aplicaNão se aplicaNão se aplicaNão se aplicaNão se aplica",Mercado_Receita!$N$2:$N$1157)</f>
        <v>0</v>
      </c>
      <c r="Q44" s="13">
        <f>SUMIF(Mercado_Receita!$T$2:$T$1157,"44743B3Energia convencional pré-pagamentoNão se aplicaNão se aplicaNão se aplicaNão se aplicaNão se aplica",Mercado_Receita!$N$2:$N$1157)</f>
        <v>0</v>
      </c>
      <c r="R44" s="13">
        <f>SUMIF(Mercado_Receita!$T$2:$T$1157,"44774B3Energia convencional pré-pagamentoNão se aplicaNão se aplicaNão se aplicaNão se aplicaNão se aplica",Mercado_Receita!$N$2:$N$1157)</f>
        <v>0</v>
      </c>
      <c r="S44" s="13">
        <f>SUMIF(Mercado_Receita!$T$2:$T$1157,"44805B3Energia convencional pré-pagamentoNão se aplicaNão se aplicaNão se aplicaNão se aplicaNão se aplica",Mercado_Receita!$N$2:$N$1157)</f>
        <v>0</v>
      </c>
      <c r="T44" s="13">
        <f>SUMIF(Mercado_Receita!$T$2:$T$1157,"44835B3Energia convencional pré-pagamentoNão se aplicaNão se aplicaNão se aplicaNão se aplicaNão se aplica",Mercado_Receita!$N$2:$N$1157)</f>
        <v>0</v>
      </c>
      <c r="U44" s="13">
        <f t="shared" si="0"/>
        <v>0</v>
      </c>
      <c r="V44" s="13"/>
      <c r="W44" s="13"/>
    </row>
    <row r="45" spans="1:23" ht="11.25" customHeight="1" x14ac:dyDescent="0.3">
      <c r="A45" s="110" t="s">
        <v>47</v>
      </c>
      <c r="B45" s="110" t="s">
        <v>86</v>
      </c>
      <c r="C45" s="110" t="s">
        <v>48</v>
      </c>
      <c r="D45" s="12" t="s">
        <v>49</v>
      </c>
      <c r="E45" s="12" t="s">
        <v>25</v>
      </c>
      <c r="F45" s="12" t="s">
        <v>25</v>
      </c>
      <c r="G45" s="13" t="s">
        <v>84</v>
      </c>
      <c r="H45" s="13" t="s">
        <v>78</v>
      </c>
      <c r="I45" s="13">
        <f>SUMIF(Mercado_Receita!$T$2:$T$1157,"44501B4Energia convencionalIluminação públicaIluminação pública – B4aNão se aplicaNão se aplicaNão se aplica",Mercado_Receita!$N$2:$N$1157)</f>
        <v>1655.827</v>
      </c>
      <c r="J45" s="13">
        <f>SUMIF(Mercado_Receita!$T$2:$T$1157,"44531B4Energia convencionalIluminação públicaIluminação pública – B4aNão se aplicaNão se aplicaNão se aplica",Mercado_Receita!$N$2:$N$1157)</f>
        <v>1520.616</v>
      </c>
      <c r="K45" s="13">
        <f>SUMIF(Mercado_Receita!$T$2:$T$1157,"44562B4Energia convencionalIluminação públicaIluminação pública – B4aNão se aplicaNão se aplicaNão se aplica",Mercado_Receita!$N$2:$N$1157)</f>
        <v>1581.3240000000001</v>
      </c>
      <c r="L45" s="13">
        <f>SUMIF(Mercado_Receita!$T$2:$T$1157,"44593B4Energia convencionalIluminação públicaIluminação pública – B4aNão se aplicaNão se aplicaNão se aplica",Mercado_Receita!$N$2:$N$1157)</f>
        <v>1533.1579999999999</v>
      </c>
      <c r="M45" s="13">
        <f>SUMIF(Mercado_Receita!$T$2:$T$1157,"44621B4Energia convencionalIluminação públicaIluminação pública – B4aNão se aplicaNão se aplicaNão se aplica",Mercado_Receita!$N$2:$N$1157)</f>
        <v>1434.3309999999999</v>
      </c>
      <c r="N45" s="13">
        <f>SUMIF(Mercado_Receita!$T$2:$T$1157,"44652B4Energia convencionalIluminação públicaIluminação pública – B4aNão se aplicaNão se aplicaNão se aplica",Mercado_Receita!$N$2:$N$1157)</f>
        <v>1639.623</v>
      </c>
      <c r="O45" s="13">
        <f>SUMIF(Mercado_Receita!$T$2:$T$1157,"44682B4Energia convencionalIluminação públicaIluminação pública – B4aNão se aplicaNão se aplicaNão se aplica",Mercado_Receita!$N$2:$N$1157)</f>
        <v>1659.1769999999999</v>
      </c>
      <c r="P45" s="13">
        <f>SUMIF(Mercado_Receita!$T$2:$T$1157,"44713B4Energia convencionalIluminação públicaIluminação pública – B4aNão se aplicaNão se aplicaNão se aplica",Mercado_Receita!$N$2:$N$1157)</f>
        <v>1776.6980000000001</v>
      </c>
      <c r="Q45" s="13">
        <f>SUMIF(Mercado_Receita!$T$2:$T$1157,"44743B4Energia convencionalIluminação públicaIluminação pública – B4aNão se aplicaNão se aplicaNão se aplica",Mercado_Receita!$N$2:$N$1157)</f>
        <v>1731.701</v>
      </c>
      <c r="R45" s="13">
        <f>SUMIF(Mercado_Receita!$T$2:$T$1157,"44774B4Energia convencionalIluminação públicaIluminação pública – B4aNão se aplicaNão se aplicaNão se aplica",Mercado_Receita!$N$2:$N$1157)</f>
        <v>1771.2239999999999</v>
      </c>
      <c r="S45" s="13">
        <f>SUMIF(Mercado_Receita!$T$2:$T$1157,"44805B4Energia convencionalIluminação públicaIluminação pública – B4aNão se aplicaNão se aplicaNão se aplica",Mercado_Receita!$N$2:$N$1157)</f>
        <v>1675.3330000000001</v>
      </c>
      <c r="T45" s="13">
        <f>SUMIF(Mercado_Receita!$T$2:$T$1157,"44835B4Energia convencionalIluminação públicaIluminação pública – B4aNão se aplicaNão se aplicaNão se aplica",Mercado_Receita!$N$2:$N$1157)</f>
        <v>1675.3330000000001</v>
      </c>
      <c r="U45" s="13">
        <f t="shared" si="0"/>
        <v>19654.344999999998</v>
      </c>
      <c r="V45" s="13"/>
      <c r="W45" s="13"/>
    </row>
    <row r="46" spans="1:23" ht="11.25" customHeight="1" x14ac:dyDescent="0.3">
      <c r="A46" s="111"/>
      <c r="B46" s="111"/>
      <c r="C46" s="111"/>
      <c r="D46" s="13" t="s">
        <v>95</v>
      </c>
      <c r="E46" s="13" t="s">
        <v>25</v>
      </c>
      <c r="F46" s="13" t="s">
        <v>25</v>
      </c>
      <c r="G46" s="13" t="s">
        <v>84</v>
      </c>
      <c r="H46" s="13" t="s">
        <v>78</v>
      </c>
      <c r="I46" s="13">
        <f>SUMIF(Mercado_Receita!$T$2:$T$1157,"44501B4Energia convencionalIluminação públicaIluminação pública – B4bNão se aplicaNão se aplicaNão se aplica",Mercado_Receita!$N$2:$N$1157)</f>
        <v>0</v>
      </c>
      <c r="J46" s="13">
        <f>SUMIF(Mercado_Receita!$T$2:$T$1157,"44531B4Energia convencionalIluminação públicaIluminação pública – B4bNão se aplicaNão se aplicaNão se aplica",Mercado_Receita!$N$2:$N$1157)</f>
        <v>0</v>
      </c>
      <c r="K46" s="13">
        <f>SUMIF(Mercado_Receita!$T$2:$T$1157,"44562B4Energia convencionalIluminação públicaIluminação pública – B4bNão se aplicaNão se aplicaNão se aplica",Mercado_Receita!$N$2:$N$1157)</f>
        <v>0</v>
      </c>
      <c r="L46" s="13">
        <f>SUMIF(Mercado_Receita!$T$2:$T$1157,"44593B4Energia convencionalIluminação públicaIluminação pública – B4bNão se aplicaNão se aplicaNão se aplica",Mercado_Receita!$N$2:$N$1157)</f>
        <v>0</v>
      </c>
      <c r="M46" s="13">
        <f>SUMIF(Mercado_Receita!$T$2:$T$1157,"44621B4Energia convencionalIluminação públicaIluminação pública – B4bNão se aplicaNão se aplicaNão se aplica",Mercado_Receita!$N$2:$N$1157)</f>
        <v>0</v>
      </c>
      <c r="N46" s="13">
        <f>SUMIF(Mercado_Receita!$T$2:$T$1157,"44652B4Energia convencionalIluminação públicaIluminação pública – B4bNão se aplicaNão se aplicaNão se aplica",Mercado_Receita!$N$2:$N$1157)</f>
        <v>0</v>
      </c>
      <c r="O46" s="13">
        <f>SUMIF(Mercado_Receita!$T$2:$T$1157,"44682B4Energia convencionalIluminação públicaIluminação pública – B4bNão se aplicaNão se aplicaNão se aplica",Mercado_Receita!$N$2:$N$1157)</f>
        <v>0</v>
      </c>
      <c r="P46" s="13">
        <f>SUMIF(Mercado_Receita!$T$2:$T$1157,"44713B4Energia convencionalIluminação públicaIluminação pública – B4bNão se aplicaNão se aplicaNão se aplica",Mercado_Receita!$N$2:$N$1157)</f>
        <v>0</v>
      </c>
      <c r="Q46" s="13">
        <f>SUMIF(Mercado_Receita!$T$2:$T$1157,"44743B4Energia convencionalIluminação públicaIluminação pública – B4bNão se aplicaNão se aplicaNão se aplica",Mercado_Receita!$N$2:$N$1157)</f>
        <v>0</v>
      </c>
      <c r="R46" s="13">
        <f>SUMIF(Mercado_Receita!$T$2:$T$1157,"44774B4Energia convencionalIluminação públicaIluminação pública – B4bNão se aplicaNão se aplicaNão se aplica",Mercado_Receita!$N$2:$N$1157)</f>
        <v>0</v>
      </c>
      <c r="S46" s="13">
        <f>SUMIF(Mercado_Receita!$T$2:$T$1157,"44805B4Energia convencionalIluminação públicaIluminação pública – B4bNão se aplicaNão se aplicaNão se aplica",Mercado_Receita!$N$2:$N$1157)</f>
        <v>0</v>
      </c>
      <c r="T46" s="13">
        <f>SUMIF(Mercado_Receita!$T$2:$T$1157,"44835B4Energia convencionalIluminação públicaIluminação pública – B4bNão se aplicaNão se aplicaNão se aplica",Mercado_Receita!$N$2:$N$1157)</f>
        <v>0</v>
      </c>
      <c r="U46" s="13">
        <f t="shared" si="0"/>
        <v>0</v>
      </c>
      <c r="V46" s="13"/>
      <c r="W46" s="13"/>
    </row>
    <row r="47" spans="1:23" ht="11.25" customHeight="1" x14ac:dyDescent="0.3">
      <c r="A47" s="112" t="s">
        <v>655</v>
      </c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3"/>
      <c r="W47" s="13"/>
    </row>
  </sheetData>
  <mergeCells count="62">
    <mergeCell ref="A45:A46"/>
    <mergeCell ref="B45:B46"/>
    <mergeCell ref="C45:C46"/>
    <mergeCell ref="A47:U47"/>
    <mergeCell ref="C37:C39"/>
    <mergeCell ref="B37:B39"/>
    <mergeCell ref="A25:A39"/>
    <mergeCell ref="F40:F42"/>
    <mergeCell ref="E40:E42"/>
    <mergeCell ref="D40:D42"/>
    <mergeCell ref="C40:C42"/>
    <mergeCell ref="B40:B42"/>
    <mergeCell ref="A40:A44"/>
    <mergeCell ref="F29:F31"/>
    <mergeCell ref="E29:E31"/>
    <mergeCell ref="D29:D31"/>
    <mergeCell ref="C29:C31"/>
    <mergeCell ref="B29:B31"/>
    <mergeCell ref="F33:F35"/>
    <mergeCell ref="E33:E35"/>
    <mergeCell ref="D33:D35"/>
    <mergeCell ref="C33:C35"/>
    <mergeCell ref="B33:B35"/>
    <mergeCell ref="C20:C24"/>
    <mergeCell ref="B20:B24"/>
    <mergeCell ref="A12:A24"/>
    <mergeCell ref="F25:F27"/>
    <mergeCell ref="E25:E27"/>
    <mergeCell ref="D25:D27"/>
    <mergeCell ref="C25:C27"/>
    <mergeCell ref="B25:B27"/>
    <mergeCell ref="F12:F14"/>
    <mergeCell ref="E12:E14"/>
    <mergeCell ref="D12:D14"/>
    <mergeCell ref="C12:C14"/>
    <mergeCell ref="B12:B14"/>
    <mergeCell ref="C15:C19"/>
    <mergeCell ref="B15:B19"/>
    <mergeCell ref="A9:A11"/>
    <mergeCell ref="F6:F7"/>
    <mergeCell ref="E6:E7"/>
    <mergeCell ref="D6:D7"/>
    <mergeCell ref="C6:C7"/>
    <mergeCell ref="B6:B7"/>
    <mergeCell ref="A6:A8"/>
    <mergeCell ref="F9:F10"/>
    <mergeCell ref="E9:E10"/>
    <mergeCell ref="D9:D10"/>
    <mergeCell ref="C9:C10"/>
    <mergeCell ref="B9:B10"/>
    <mergeCell ref="A4:A5"/>
    <mergeCell ref="F2:F3"/>
    <mergeCell ref="E2:E3"/>
    <mergeCell ref="D2:D3"/>
    <mergeCell ref="C2:C3"/>
    <mergeCell ref="B2:B3"/>
    <mergeCell ref="A2:A3"/>
    <mergeCell ref="F4:F5"/>
    <mergeCell ref="E4:E5"/>
    <mergeCell ref="D4:D5"/>
    <mergeCell ref="C4:C5"/>
    <mergeCell ref="B4:B5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68BB8-1EAA-46DF-9278-5A0B2E1DAA52}">
  <sheetPr codeName="Planilha6"/>
  <dimension ref="A1:AD200"/>
  <sheetViews>
    <sheetView showGridLines="0" workbookViewId="0">
      <selection activeCell="I51" sqref="I51"/>
    </sheetView>
  </sheetViews>
  <sheetFormatPr defaultRowHeight="12" customHeight="1" x14ac:dyDescent="0.2"/>
  <cols>
    <col min="1" max="1" width="9.88671875" style="14" bestFit="1" customWidth="1"/>
    <col min="2" max="2" width="13.88671875" style="14" bestFit="1" customWidth="1"/>
    <col min="3" max="3" width="18.109375" style="14" bestFit="1" customWidth="1"/>
    <col min="4" max="4" width="14" style="14" bestFit="1" customWidth="1"/>
    <col min="5" max="5" width="13.88671875" style="14" bestFit="1" customWidth="1"/>
    <col min="6" max="6" width="9.88671875" style="14" bestFit="1" customWidth="1"/>
    <col min="7" max="8" width="11.109375" style="14" bestFit="1" customWidth="1"/>
    <col min="9" max="11" width="8.88671875" style="14"/>
    <col min="12" max="12" width="31.44140625" style="14" bestFit="1" customWidth="1"/>
    <col min="13" max="13" width="9.88671875" style="14" bestFit="1" customWidth="1"/>
    <col min="14" max="14" width="33.21875" style="14" bestFit="1" customWidth="1"/>
    <col min="15" max="15" width="30.77734375" style="14" customWidth="1"/>
    <col min="16" max="16" width="12" style="14" bestFit="1" customWidth="1"/>
    <col min="17" max="18" width="9.109375" style="14" bestFit="1" customWidth="1"/>
    <col min="19" max="19" width="11.88671875" style="14" bestFit="1" customWidth="1"/>
    <col min="20" max="20" width="14.33203125" style="14" bestFit="1" customWidth="1"/>
    <col min="21" max="21" width="10.21875" style="14" bestFit="1" customWidth="1"/>
    <col min="22" max="22" width="12.5546875" style="14" bestFit="1" customWidth="1"/>
    <col min="23" max="23" width="5" style="14" bestFit="1" customWidth="1"/>
    <col min="24" max="24" width="52.21875" style="14" bestFit="1" customWidth="1"/>
    <col min="25" max="26" width="5" style="14" bestFit="1" customWidth="1"/>
    <col min="27" max="27" width="2" style="14" bestFit="1" customWidth="1"/>
    <col min="28" max="16384" width="8.88671875" style="14"/>
  </cols>
  <sheetData>
    <row r="1" spans="1:30" ht="12" customHeight="1" x14ac:dyDescent="0.2">
      <c r="A1" s="10" t="s">
        <v>695</v>
      </c>
      <c r="B1" s="10" t="s">
        <v>696</v>
      </c>
      <c r="C1" s="10" t="s">
        <v>697</v>
      </c>
      <c r="D1" s="10" t="s">
        <v>698</v>
      </c>
      <c r="E1" s="10" t="s">
        <v>699</v>
      </c>
      <c r="F1" s="10" t="s">
        <v>700</v>
      </c>
      <c r="G1" s="7"/>
      <c r="H1" s="7"/>
      <c r="I1" s="7"/>
      <c r="J1" s="7"/>
      <c r="K1" s="7"/>
      <c r="L1" s="119" t="s">
        <v>701</v>
      </c>
      <c r="M1" s="119"/>
      <c r="N1" s="7"/>
      <c r="O1" s="123" t="s">
        <v>788</v>
      </c>
      <c r="P1" s="124"/>
      <c r="Q1" s="124"/>
      <c r="R1" s="124"/>
      <c r="S1" s="124"/>
      <c r="T1" s="124"/>
      <c r="U1" s="124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120" t="s">
        <v>656</v>
      </c>
      <c r="B2" s="120" t="s">
        <v>657</v>
      </c>
      <c r="C2" s="16" t="s">
        <v>742</v>
      </c>
      <c r="D2" s="13">
        <v>3263782.2795950784</v>
      </c>
      <c r="E2" s="13">
        <v>-272918.45718012837</v>
      </c>
      <c r="F2" s="13">
        <v>225997.53526647703</v>
      </c>
      <c r="G2" s="15"/>
      <c r="H2" s="15"/>
      <c r="I2" s="15"/>
      <c r="J2" s="15"/>
      <c r="K2" s="15"/>
      <c r="L2" s="23" t="s">
        <v>702</v>
      </c>
      <c r="M2" s="95">
        <v>0.13087460705609555</v>
      </c>
      <c r="N2" s="15"/>
      <c r="O2" s="28" t="s">
        <v>54</v>
      </c>
      <c r="P2" s="28" t="s">
        <v>60</v>
      </c>
      <c r="Q2" s="28" t="s">
        <v>789</v>
      </c>
      <c r="R2" s="28" t="s">
        <v>39</v>
      </c>
      <c r="S2" s="28" t="s">
        <v>43</v>
      </c>
      <c r="T2" s="28" t="s">
        <v>87</v>
      </c>
      <c r="U2" s="28"/>
      <c r="V2" s="15"/>
      <c r="W2" s="15"/>
      <c r="X2" s="23" t="s">
        <v>755</v>
      </c>
      <c r="Y2" s="15"/>
      <c r="Z2" s="15"/>
      <c r="AA2" s="15" t="s">
        <v>797</v>
      </c>
      <c r="AB2" s="15"/>
      <c r="AC2" s="15"/>
      <c r="AD2" s="15"/>
    </row>
    <row r="3" spans="1:30" ht="12" customHeight="1" x14ac:dyDescent="0.2">
      <c r="A3" s="121"/>
      <c r="B3" s="121"/>
      <c r="C3" s="16" t="s">
        <v>658</v>
      </c>
      <c r="D3" s="13">
        <v>333370.91399464809</v>
      </c>
      <c r="E3" s="13">
        <v>-716.77332712039424</v>
      </c>
      <c r="F3" s="13">
        <v>0</v>
      </c>
      <c r="G3" s="15"/>
      <c r="H3" s="15"/>
      <c r="I3" s="15"/>
      <c r="J3" s="15"/>
      <c r="K3" s="15"/>
      <c r="L3" s="23" t="s">
        <v>703</v>
      </c>
      <c r="M3" s="95"/>
      <c r="N3" s="15"/>
      <c r="O3" s="29">
        <v>1</v>
      </c>
      <c r="P3" s="29">
        <v>1</v>
      </c>
      <c r="Q3" s="29">
        <v>1</v>
      </c>
      <c r="R3" s="29">
        <v>1</v>
      </c>
      <c r="S3" s="29">
        <v>1</v>
      </c>
      <c r="T3" s="29">
        <v>1</v>
      </c>
      <c r="U3" s="29" t="s">
        <v>790</v>
      </c>
      <c r="V3" s="15"/>
      <c r="W3" s="15"/>
      <c r="X3" s="23" t="s">
        <v>756</v>
      </c>
      <c r="Y3" s="15"/>
      <c r="Z3" s="15"/>
      <c r="AA3" s="15">
        <v>0</v>
      </c>
      <c r="AB3" s="15"/>
      <c r="AC3" s="15"/>
      <c r="AD3" s="15"/>
    </row>
    <row r="4" spans="1:30" ht="12" customHeight="1" x14ac:dyDescent="0.2">
      <c r="A4" s="121"/>
      <c r="B4" s="121"/>
      <c r="C4" s="16" t="s">
        <v>659</v>
      </c>
      <c r="D4" s="13">
        <f>$M$22-D$30</f>
        <v>1124879.8979031066</v>
      </c>
      <c r="E4" s="13">
        <f>IF((D4+D$30)&lt;&gt;0,$M$20*D4/(D4+D$30),0)</f>
        <v>7.8643862956890867E-2</v>
      </c>
      <c r="F4" s="13">
        <f>IF((D4+D$30)&lt;&gt;0,$M$21*D4/(D4+D$30),0)</f>
        <v>0</v>
      </c>
      <c r="G4" s="15"/>
      <c r="H4" s="15"/>
      <c r="I4" s="15"/>
      <c r="J4" s="15"/>
      <c r="K4" s="15"/>
      <c r="L4" s="23" t="s">
        <v>704</v>
      </c>
      <c r="M4" s="95">
        <v>6.5159999743421348E-2</v>
      </c>
      <c r="N4" s="15"/>
      <c r="O4" s="29">
        <v>1</v>
      </c>
      <c r="P4" s="29">
        <v>1</v>
      </c>
      <c r="Q4" s="29">
        <v>1</v>
      </c>
      <c r="R4" s="29">
        <v>1</v>
      </c>
      <c r="S4" s="29">
        <v>1</v>
      </c>
      <c r="T4" s="29">
        <v>1</v>
      </c>
      <c r="U4" s="29" t="s">
        <v>57</v>
      </c>
      <c r="V4" s="15"/>
      <c r="W4" s="15"/>
      <c r="X4" s="15"/>
      <c r="Y4" s="15"/>
      <c r="Z4" s="15"/>
      <c r="AA4" s="15"/>
      <c r="AB4" s="15"/>
      <c r="AC4" s="15"/>
      <c r="AD4" s="15"/>
    </row>
    <row r="5" spans="1:30" ht="12" customHeight="1" x14ac:dyDescent="0.2">
      <c r="A5" s="121"/>
      <c r="B5" s="121"/>
      <c r="C5" s="16" t="s">
        <v>660</v>
      </c>
      <c r="D5" s="13">
        <v>0</v>
      </c>
      <c r="E5" s="13">
        <v>0</v>
      </c>
      <c r="F5" s="13">
        <v>0</v>
      </c>
      <c r="G5" s="15"/>
      <c r="H5" s="15"/>
      <c r="I5" s="15"/>
      <c r="J5" s="15"/>
      <c r="K5" s="15"/>
      <c r="L5" s="23" t="s">
        <v>705</v>
      </c>
      <c r="M5" s="95">
        <v>0.01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</row>
    <row r="6" spans="1:30" ht="12" customHeight="1" x14ac:dyDescent="0.2">
      <c r="A6" s="121"/>
      <c r="B6" s="121"/>
      <c r="C6" s="16" t="s">
        <v>661</v>
      </c>
      <c r="D6" s="13">
        <v>0</v>
      </c>
      <c r="E6" s="13">
        <v>0</v>
      </c>
      <c r="F6" s="13">
        <v>0</v>
      </c>
      <c r="G6" s="15"/>
      <c r="H6" s="15"/>
      <c r="I6" s="15"/>
      <c r="J6" s="15"/>
      <c r="K6" s="15"/>
      <c r="L6" s="23" t="s">
        <v>706</v>
      </c>
      <c r="M6" s="95">
        <v>0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</row>
    <row r="7" spans="1:30" ht="12" customHeight="1" x14ac:dyDescent="0.2">
      <c r="A7" s="121"/>
      <c r="B7" s="121"/>
      <c r="C7" s="16" t="s">
        <v>662</v>
      </c>
      <c r="D7" s="13">
        <v>41969122.213877276</v>
      </c>
      <c r="E7" s="13">
        <v>-779586.37970133126</v>
      </c>
      <c r="F7" s="13">
        <v>11193747.975400001</v>
      </c>
      <c r="G7" s="15"/>
      <c r="H7" s="15"/>
      <c r="I7" s="15"/>
      <c r="J7" s="15"/>
      <c r="K7" s="15"/>
      <c r="L7" s="23" t="s">
        <v>707</v>
      </c>
      <c r="M7" s="23">
        <f>M8+M9+M10+M11</f>
        <v>35506.775109908944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</row>
    <row r="8" spans="1:30" ht="12" customHeight="1" x14ac:dyDescent="0.2">
      <c r="A8" s="121"/>
      <c r="B8" s="121"/>
      <c r="C8" s="16" t="s">
        <v>663</v>
      </c>
      <c r="D8" s="13">
        <v>7792628.5853286218</v>
      </c>
      <c r="E8" s="13">
        <v>-214649.38672727766</v>
      </c>
      <c r="F8" s="13">
        <v>3001959.0934000001</v>
      </c>
      <c r="G8" s="15"/>
      <c r="H8" s="15"/>
      <c r="I8" s="15"/>
      <c r="J8" s="15"/>
      <c r="K8" s="15"/>
      <c r="L8" s="96" t="s">
        <v>708</v>
      </c>
      <c r="M8" s="23">
        <v>27516.967721908943</v>
      </c>
      <c r="N8" s="15"/>
      <c r="O8" s="23" t="s">
        <v>741</v>
      </c>
      <c r="P8" s="29">
        <v>0</v>
      </c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</row>
    <row r="9" spans="1:30" ht="12" customHeight="1" x14ac:dyDescent="0.2">
      <c r="A9" s="121"/>
      <c r="B9" s="121"/>
      <c r="C9" s="16" t="s">
        <v>664</v>
      </c>
      <c r="D9" s="13"/>
      <c r="E9" s="13"/>
      <c r="F9" s="13"/>
      <c r="G9" s="15"/>
      <c r="H9" s="15"/>
      <c r="I9" s="15"/>
      <c r="J9" s="15"/>
      <c r="K9" s="15"/>
      <c r="L9" s="97" t="s">
        <v>709</v>
      </c>
      <c r="M9" s="23">
        <v>3214.784187999996</v>
      </c>
      <c r="N9" s="15"/>
      <c r="O9" s="23" t="s">
        <v>746</v>
      </c>
      <c r="P9" s="29">
        <f>SUM(Mercado_Receita!$J$2:$J$1157)</f>
        <v>1547749</v>
      </c>
      <c r="Q9" s="29">
        <v>1547749</v>
      </c>
      <c r="R9" s="29" t="str">
        <f>IF(ABS(P9-Q9)&gt;1,"ERRO BADNET","OK BADNET")</f>
        <v>OK BADNET</v>
      </c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</row>
    <row r="10" spans="1:30" ht="12" customHeight="1" x14ac:dyDescent="0.2">
      <c r="A10" s="121"/>
      <c r="B10" s="122"/>
      <c r="C10" s="16" t="s">
        <v>665</v>
      </c>
      <c r="D10" s="13">
        <f>SUM(D$2:D9)</f>
        <v>54483783.890698731</v>
      </c>
      <c r="E10" s="13">
        <f>SUM(E$2:E9)</f>
        <v>-1267870.9182919948</v>
      </c>
      <c r="F10" s="13">
        <f>SUM(F$2:F9)</f>
        <v>14421704.604066478</v>
      </c>
      <c r="G10" s="15"/>
      <c r="H10" s="15"/>
      <c r="I10" s="15"/>
      <c r="J10" s="15"/>
      <c r="K10" s="15"/>
      <c r="L10" s="96" t="s">
        <v>710</v>
      </c>
      <c r="M10" s="23">
        <v>476.88366069949831</v>
      </c>
      <c r="N10" s="15"/>
      <c r="O10" s="23" t="s">
        <v>747</v>
      </c>
      <c r="P10" s="29">
        <f>SUM(Mercado_Receita!$L$2:$L$1157)</f>
        <v>590418.76099999913</v>
      </c>
      <c r="Q10" s="29">
        <v>590418.76100000006</v>
      </c>
      <c r="R10" s="29" t="str">
        <f>IF(ABS(P10-Q10)&gt;1,"ERRO BADNET","OK BADNET")</f>
        <v>OK BADNET</v>
      </c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1" spans="1:30" ht="12" customHeight="1" x14ac:dyDescent="0.2">
      <c r="A11" s="121"/>
      <c r="B11" s="120" t="s">
        <v>666</v>
      </c>
      <c r="C11" s="16" t="s">
        <v>667</v>
      </c>
      <c r="D11" s="13">
        <v>12972589.400000002</v>
      </c>
      <c r="E11" s="13">
        <v>-188968.60819784435</v>
      </c>
      <c r="F11" s="13">
        <f>IF((+$D$11+$D$12+$D$16+$D$17+$D$39)&lt;&gt;0,$M$19*$D$11/(+$D$11+$D$12+$D$16+$D$17+$D$39),0)</f>
        <v>1133989.9410540168</v>
      </c>
      <c r="G11" s="15"/>
      <c r="H11" s="15"/>
      <c r="I11" s="15"/>
      <c r="J11" s="15"/>
      <c r="K11" s="15"/>
      <c r="L11" s="96" t="s">
        <v>711</v>
      </c>
      <c r="M11" s="23">
        <v>4298.1395393005023</v>
      </c>
      <c r="N11" s="15"/>
      <c r="O11" s="23" t="s">
        <v>748</v>
      </c>
      <c r="P11" s="29">
        <f>SUM(Mercado_Receita!$N$2:$N$1157)</f>
        <v>276984.44899999991</v>
      </c>
      <c r="Q11" s="29">
        <v>276984.44900000002</v>
      </c>
      <c r="R11" s="29" t="str">
        <f>IF(ABS(P11-Q11)&gt;1,"ERRO BADNET","OK BADNET")</f>
        <v>OK BADNET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</row>
    <row r="12" spans="1:30" ht="12" customHeight="1" x14ac:dyDescent="0.2">
      <c r="A12" s="121"/>
      <c r="B12" s="121"/>
      <c r="C12" s="16" t="s">
        <v>668</v>
      </c>
      <c r="D12" s="13">
        <v>2748681.3200000003</v>
      </c>
      <c r="E12" s="13">
        <v>-44420.893552581736</v>
      </c>
      <c r="F12" s="13">
        <f>IF((+$D$11+$D$12+$D$16+$D$17+$D$39)&lt;&gt;0,$M$19*$D$12/(+$D$11+$D$12+$D$16+$D$17+$D$39),0)</f>
        <v>240274.0788236986</v>
      </c>
      <c r="G12" s="15"/>
      <c r="H12" s="15"/>
      <c r="I12" s="15"/>
      <c r="J12" s="15"/>
      <c r="K12" s="15"/>
      <c r="L12" s="23" t="s">
        <v>712</v>
      </c>
      <c r="M12" s="23">
        <v>312491.22410990862</v>
      </c>
      <c r="N12" s="15"/>
      <c r="O12" s="23" t="s">
        <v>749</v>
      </c>
      <c r="P12" s="29">
        <f>SUMIF('MERCADO TUSD'!$H$2:$H$68,"kW",'MERCADO TUSD'!$U$2:$U$68)</f>
        <v>1547749</v>
      </c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</row>
    <row r="13" spans="1:30" ht="12" customHeight="1" x14ac:dyDescent="0.2">
      <c r="A13" s="121"/>
      <c r="B13" s="121"/>
      <c r="C13" s="16" t="s">
        <v>669</v>
      </c>
      <c r="D13" s="13">
        <f>-$M$51+445314.773088862</f>
        <v>445314.77308886201</v>
      </c>
      <c r="E13" s="13">
        <v>-1595.9885302039947</v>
      </c>
      <c r="F13" s="13">
        <v>0</v>
      </c>
      <c r="G13" s="15"/>
      <c r="H13" s="15"/>
      <c r="I13" s="15"/>
      <c r="J13" s="15"/>
      <c r="K13" s="15"/>
      <c r="L13" s="23" t="s">
        <v>713</v>
      </c>
      <c r="M13" s="23">
        <v>6452.2003124935982</v>
      </c>
      <c r="N13" s="15"/>
      <c r="O13" s="23" t="s">
        <v>750</v>
      </c>
      <c r="P13" s="29">
        <f>SUMIF('MERCADO TUSD'!$H$2:$H$68,"MWh",'MERCADO TUSD'!$U$2:$U$68)</f>
        <v>590418.76099999994</v>
      </c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</row>
    <row r="14" spans="1:30" ht="12" customHeight="1" x14ac:dyDescent="0.2">
      <c r="A14" s="121"/>
      <c r="B14" s="121"/>
      <c r="C14" s="16" t="s">
        <v>670</v>
      </c>
      <c r="D14" s="13">
        <v>0</v>
      </c>
      <c r="E14" s="13">
        <v>0</v>
      </c>
      <c r="F14" s="13">
        <v>0</v>
      </c>
      <c r="G14" s="15"/>
      <c r="H14" s="15"/>
      <c r="I14" s="15"/>
      <c r="J14" s="15"/>
      <c r="K14" s="15"/>
      <c r="L14" s="23" t="s">
        <v>714</v>
      </c>
      <c r="M14" s="23">
        <v>200.34523487738306</v>
      </c>
      <c r="N14" s="15"/>
      <c r="O14" s="23" t="s">
        <v>751</v>
      </c>
      <c r="P14" s="29">
        <f>SUMIF('MERCADO TE'!$H$2:$H$46,"MWh",'MERCADO TE'!$U$2:$U$46)</f>
        <v>276984.44899999996</v>
      </c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</row>
    <row r="15" spans="1:30" ht="12" customHeight="1" x14ac:dyDescent="0.2">
      <c r="A15" s="121"/>
      <c r="B15" s="121"/>
      <c r="C15" s="16" t="s">
        <v>671</v>
      </c>
      <c r="D15" s="13">
        <v>0</v>
      </c>
      <c r="E15" s="13">
        <v>0</v>
      </c>
      <c r="F15" s="13">
        <v>0</v>
      </c>
      <c r="G15" s="15"/>
      <c r="H15" s="15"/>
      <c r="I15" s="15"/>
      <c r="J15" s="15"/>
      <c r="K15" s="15"/>
      <c r="L15" s="23" t="s">
        <v>715</v>
      </c>
      <c r="M15" s="23">
        <f>M14*M12</f>
        <v>62606127.691420592</v>
      </c>
      <c r="N15" s="15"/>
      <c r="O15" s="23" t="s">
        <v>752</v>
      </c>
      <c r="P15" s="29" t="str">
        <f>IF(ABS(P9-P12)&gt;1,"ERRO","OK")</f>
        <v>OK</v>
      </c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</row>
    <row r="16" spans="1:30" ht="12" customHeight="1" x14ac:dyDescent="0.2">
      <c r="A16" s="121"/>
      <c r="B16" s="121"/>
      <c r="C16" s="16" t="s">
        <v>672</v>
      </c>
      <c r="D16" s="13">
        <v>0</v>
      </c>
      <c r="E16" s="13">
        <v>0</v>
      </c>
      <c r="F16" s="13">
        <f>IF((+$D$11+$D$12+$D$16+$D$17+$D$39)&lt;&gt;0,$M$19*$D$16/(+$D$11+$D$12+$D$16+$D$17+$D$39),0)</f>
        <v>0</v>
      </c>
      <c r="G16" s="15"/>
      <c r="H16" s="15"/>
      <c r="I16" s="15"/>
      <c r="J16" s="15"/>
      <c r="K16" s="15"/>
      <c r="L16" s="23" t="s">
        <v>716</v>
      </c>
      <c r="M16" s="23">
        <v>29859212.192588322</v>
      </c>
      <c r="N16" s="15"/>
      <c r="O16" s="23" t="s">
        <v>753</v>
      </c>
      <c r="P16" s="29" t="str">
        <f>IF(ABS(P10-P13)&gt;1,"ERRO","OK")</f>
        <v>OK</v>
      </c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</row>
    <row r="17" spans="1:30" ht="12" customHeight="1" x14ac:dyDescent="0.2">
      <c r="A17" s="121"/>
      <c r="B17" s="121"/>
      <c r="C17" s="16" t="s">
        <v>673</v>
      </c>
      <c r="D17" s="13">
        <v>0</v>
      </c>
      <c r="E17" s="13">
        <v>0</v>
      </c>
      <c r="F17" s="13">
        <f>IF((+$D$11+$D$12+$D$16+$D$17+$D$39)&lt;&gt;0,$M$19*$D$17/(+$D$11+$D$12+$D$16+$D$17+$D$39),0)</f>
        <v>0</v>
      </c>
      <c r="G17" s="15"/>
      <c r="H17" s="15"/>
      <c r="I17" s="15"/>
      <c r="J17" s="15"/>
      <c r="K17" s="15"/>
      <c r="L17" s="23" t="s">
        <v>717</v>
      </c>
      <c r="M17" s="23">
        <v>-9133915.2261999995</v>
      </c>
      <c r="N17" s="15"/>
      <c r="O17" s="23" t="s">
        <v>754</v>
      </c>
      <c r="P17" s="29" t="str">
        <f>IF(ABS(P11-P14)&gt;1,"ERRO","OK")</f>
        <v>OK</v>
      </c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</row>
    <row r="18" spans="1:30" ht="12" customHeight="1" x14ac:dyDescent="0.2">
      <c r="A18" s="121"/>
      <c r="B18" s="122"/>
      <c r="C18" s="16" t="s">
        <v>665</v>
      </c>
      <c r="D18" s="13">
        <f>SUM(D$11:D17)</f>
        <v>16166585.493088864</v>
      </c>
      <c r="E18" s="13">
        <f>SUM(E$11:E17)</f>
        <v>-234985.49028063007</v>
      </c>
      <c r="F18" s="13">
        <f>SUM(F$11:F17)</f>
        <v>1374264.0198777155</v>
      </c>
      <c r="G18" s="15"/>
      <c r="H18" s="15"/>
      <c r="I18" s="15"/>
      <c r="J18" s="15"/>
      <c r="K18" s="15"/>
      <c r="L18" s="23" t="s">
        <v>718</v>
      </c>
      <c r="M18" s="23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</row>
    <row r="19" spans="1:30" ht="12" customHeight="1" x14ac:dyDescent="0.2">
      <c r="A19" s="121"/>
      <c r="B19" s="120" t="s">
        <v>674</v>
      </c>
      <c r="C19" s="16" t="s">
        <v>675</v>
      </c>
      <c r="D19" s="13">
        <v>64256372.585481919</v>
      </c>
      <c r="E19" s="13">
        <v>6947.701001350224</v>
      </c>
      <c r="F19" s="13">
        <v>0</v>
      </c>
      <c r="G19" s="15"/>
      <c r="H19" s="15"/>
      <c r="I19" s="15"/>
      <c r="J19" s="15"/>
      <c r="K19" s="15"/>
      <c r="L19" s="23" t="s">
        <v>719</v>
      </c>
      <c r="M19" s="23">
        <v>1504495.4778999998</v>
      </c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</row>
    <row r="20" spans="1:30" ht="12" customHeight="1" x14ac:dyDescent="0.2">
      <c r="A20" s="121"/>
      <c r="B20" s="122"/>
      <c r="C20" s="16" t="s">
        <v>665</v>
      </c>
      <c r="D20" s="13">
        <f>SUM(D$19:D19)</f>
        <v>64256372.585481919</v>
      </c>
      <c r="E20" s="13">
        <f>SUM(E$19:E19)</f>
        <v>6947.701001350224</v>
      </c>
      <c r="F20" s="13">
        <f>SUM(F$19:F19)</f>
        <v>0</v>
      </c>
      <c r="G20" s="15"/>
      <c r="H20" s="15"/>
      <c r="I20" s="15"/>
      <c r="J20" s="15"/>
      <c r="K20" s="15"/>
      <c r="L20" s="23" t="s">
        <v>720</v>
      </c>
      <c r="M20" s="23">
        <v>0.12975434385582574</v>
      </c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</row>
    <row r="21" spans="1:30" ht="12" customHeight="1" x14ac:dyDescent="0.2">
      <c r="A21" s="121"/>
      <c r="B21" s="120" t="s">
        <v>676</v>
      </c>
      <c r="C21" s="16" t="s">
        <v>677</v>
      </c>
      <c r="D21" s="13"/>
      <c r="E21" s="13">
        <f>IF($D$47&lt;&gt;0,(1-$D$46/$D$47)*0,0)+0</f>
        <v>0</v>
      </c>
      <c r="F21" s="13"/>
      <c r="G21" s="15"/>
      <c r="H21" s="15"/>
      <c r="I21" s="15"/>
      <c r="J21" s="15"/>
      <c r="K21" s="15"/>
      <c r="L21" s="23" t="s">
        <v>721</v>
      </c>
      <c r="M21" s="23">
        <v>0</v>
      </c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</row>
    <row r="22" spans="1:30" ht="12" customHeight="1" x14ac:dyDescent="0.2">
      <c r="A22" s="121"/>
      <c r="B22" s="121"/>
      <c r="C22" s="16" t="s">
        <v>678</v>
      </c>
      <c r="D22" s="13"/>
      <c r="E22" s="13"/>
      <c r="F22" s="13"/>
      <c r="G22" s="15"/>
      <c r="H22" s="15"/>
      <c r="I22" s="15"/>
      <c r="J22" s="15"/>
      <c r="K22" s="15"/>
      <c r="L22" s="23" t="s">
        <v>743</v>
      </c>
      <c r="M22" s="23">
        <v>1855936.9743705709</v>
      </c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</row>
    <row r="23" spans="1:30" ht="12" customHeight="1" x14ac:dyDescent="0.2">
      <c r="A23" s="121"/>
      <c r="B23" s="122"/>
      <c r="C23" s="16" t="s">
        <v>665</v>
      </c>
      <c r="D23" s="13">
        <f>SUM(D$21:D22)</f>
        <v>0</v>
      </c>
      <c r="E23" s="13">
        <f>SUM(E$21:E22)</f>
        <v>0</v>
      </c>
      <c r="F23" s="13">
        <f>SUM(F$21:F22)</f>
        <v>0</v>
      </c>
      <c r="G23" s="15"/>
      <c r="H23" s="15"/>
      <c r="I23" s="15"/>
      <c r="J23" s="15"/>
      <c r="K23" s="15"/>
      <c r="L23" s="23" t="s">
        <v>722</v>
      </c>
      <c r="M23" s="23">
        <v>12</v>
      </c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</row>
    <row r="24" spans="1:30" ht="12" customHeight="1" x14ac:dyDescent="0.2">
      <c r="A24" s="121"/>
      <c r="B24" s="120" t="s">
        <v>679</v>
      </c>
      <c r="C24" s="16" t="s">
        <v>680</v>
      </c>
      <c r="D24" s="13">
        <f>$M$14*$M$8</f>
        <v>5512893.3613592153</v>
      </c>
      <c r="E24" s="13">
        <f>$M$16*$M$8/$M$12</f>
        <v>2629305.7683312711</v>
      </c>
      <c r="F24" s="13">
        <f>$M$17*$M$8/$M$12</f>
        <v>-804303.06857384951</v>
      </c>
      <c r="G24" s="15"/>
      <c r="H24" s="15"/>
      <c r="I24" s="15"/>
      <c r="J24" s="15"/>
      <c r="K24" s="15"/>
      <c r="L24" s="23" t="s">
        <v>723</v>
      </c>
      <c r="M24" s="23">
        <v>0</v>
      </c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</row>
    <row r="25" spans="1:30" ht="12" customHeight="1" x14ac:dyDescent="0.2">
      <c r="A25" s="121"/>
      <c r="B25" s="121"/>
      <c r="C25" s="16" t="s">
        <v>681</v>
      </c>
      <c r="D25" s="13">
        <f>$M$14*$M$10</f>
        <v>95541.369012027237</v>
      </c>
      <c r="E25" s="13">
        <f>$M$16*$M$10/$M$12</f>
        <v>45567.264989804564</v>
      </c>
      <c r="F25" s="13">
        <f>$M$17*$M$10/$M$12</f>
        <v>-13938.999221485739</v>
      </c>
      <c r="G25" s="15"/>
      <c r="H25" s="15"/>
      <c r="I25" s="15"/>
      <c r="J25" s="15"/>
      <c r="K25" s="15"/>
      <c r="L25" s="23" t="s">
        <v>724</v>
      </c>
      <c r="M25" s="23">
        <v>0</v>
      </c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</row>
    <row r="26" spans="1:30" ht="12" customHeight="1" x14ac:dyDescent="0.2">
      <c r="A26" s="121"/>
      <c r="B26" s="121"/>
      <c r="C26" s="16" t="s">
        <v>682</v>
      </c>
      <c r="D26" s="13">
        <f>$M$14*$M$9</f>
        <v>644066.6932249564</v>
      </c>
      <c r="E26" s="13">
        <f>$M$16*$M$9/$M$12</f>
        <v>307179.5807907487</v>
      </c>
      <c r="F26" s="13">
        <f>$M$17*$M$9/$M$12</f>
        <v>-93966.05081425418</v>
      </c>
      <c r="G26" s="15"/>
      <c r="H26" s="15"/>
      <c r="I26" s="15"/>
      <c r="J26" s="15"/>
      <c r="K26" s="15"/>
      <c r="L26" s="23" t="s">
        <v>725</v>
      </c>
      <c r="M26" s="23">
        <v>0</v>
      </c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</row>
    <row r="27" spans="1:30" ht="12" customHeight="1" x14ac:dyDescent="0.2">
      <c r="A27" s="121"/>
      <c r="B27" s="121"/>
      <c r="C27" s="16" t="s">
        <v>683</v>
      </c>
      <c r="D27" s="13">
        <v>125878.08631896082</v>
      </c>
      <c r="E27" s="13">
        <v>-7025.3394341108897</v>
      </c>
      <c r="F27" s="13">
        <v>0</v>
      </c>
      <c r="G27" s="15"/>
      <c r="H27" s="15"/>
      <c r="I27" s="15"/>
      <c r="J27" s="15"/>
      <c r="K27" s="15"/>
      <c r="L27" s="23" t="s">
        <v>726</v>
      </c>
      <c r="M27" s="23">
        <v>0</v>
      </c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</row>
    <row r="28" spans="1:30" ht="12" customHeight="1" x14ac:dyDescent="0.2">
      <c r="A28" s="121"/>
      <c r="B28" s="122"/>
      <c r="C28" s="16" t="s">
        <v>665</v>
      </c>
      <c r="D28" s="13">
        <f>SUM(D$24:D27)</f>
        <v>6378379.5099151591</v>
      </c>
      <c r="E28" s="13">
        <f>SUM(E$24:E27)</f>
        <v>2975027.2746777134</v>
      </c>
      <c r="F28" s="13">
        <f>SUM(F$24:F27)</f>
        <v>-912208.11860958941</v>
      </c>
      <c r="G28" s="15"/>
      <c r="H28" s="15"/>
      <c r="I28" s="15"/>
      <c r="J28" s="15"/>
      <c r="K28" s="15"/>
      <c r="L28" s="23" t="s">
        <v>727</v>
      </c>
      <c r="M28" s="23">
        <v>0</v>
      </c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</row>
    <row r="29" spans="1:30" ht="12" customHeight="1" x14ac:dyDescent="0.2">
      <c r="A29" s="122"/>
      <c r="B29" s="116" t="s">
        <v>665</v>
      </c>
      <c r="C29" s="118"/>
      <c r="D29" s="13">
        <f>SUMIF(C$2:C28,"SUBTOTAL",D$2:D28)</f>
        <v>141285121.47918469</v>
      </c>
      <c r="E29" s="13">
        <f>SUMIF(C$2:C28,"SUBTOTAL",E$2:E28)</f>
        <v>1479118.5671064388</v>
      </c>
      <c r="F29" s="13">
        <f>SUMIF(C$2:C28,"SUBTOTAL",F$2:F28)</f>
        <v>14883760.505334605</v>
      </c>
      <c r="G29" s="15"/>
      <c r="H29" s="15"/>
      <c r="I29" s="15"/>
      <c r="J29" s="15"/>
      <c r="K29" s="15"/>
      <c r="L29" s="23" t="s">
        <v>728</v>
      </c>
      <c r="M29" s="23">
        <v>0</v>
      </c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</row>
    <row r="30" spans="1:30" ht="12" customHeight="1" x14ac:dyDescent="0.2">
      <c r="A30" s="120" t="s">
        <v>684</v>
      </c>
      <c r="B30" s="120" t="s">
        <v>657</v>
      </c>
      <c r="C30" s="16" t="s">
        <v>659</v>
      </c>
      <c r="D30" s="13">
        <f>IFERROR($M$5*(+D$31+D$32+D$33+D$34+D$36+D$38+D$39+D$40+D$44)+($M$5^2)*(+D$31+D$32+D$33+D$34+D$36+D$38+D$39+D$40+D$44)/$M$22*(+$E$2+$F$2+$E$3+$F$3+$E$8+$F$8+$E$9+$F$9+$E$11+$F$11+$E$12+$F$12+$E$13+$F$13+$E$14+$F$14+$E$15+$F$15+$E$16+$F$16+$E$17+$F$17+$E$19+$F$19+$E$22+$F$22+$E$24+$F$24+$E$25+$F$25+$E$26+$F$26+$E$27+$F$27+$E$31+$F$31+$E$32+$F$32+$E$33+$F$33+$E$34+$F$34+$E$36+$F$36+$E$38+$F$38+$E$39+$F$39+$E$40+$F$40+$E$44+$F$44),0)</f>
        <v>731057.07646746421</v>
      </c>
      <c r="E30" s="13">
        <f>IF((D30+D$4)&lt;&gt;0,$M$20*D30/(D30+D$4),0)</f>
        <v>5.1110480898934878E-2</v>
      </c>
      <c r="F30" s="13">
        <f>IF((D30+D$4)&lt;&gt;0,$M$21*D30/(D30+D$4),0)</f>
        <v>0</v>
      </c>
      <c r="G30" s="15"/>
      <c r="H30" s="15"/>
      <c r="I30" s="15"/>
      <c r="J30" s="15"/>
      <c r="K30" s="15"/>
      <c r="L30" s="23" t="s">
        <v>729</v>
      </c>
      <c r="M30" s="23">
        <v>0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</row>
    <row r="31" spans="1:30" ht="12" customHeight="1" x14ac:dyDescent="0.2">
      <c r="A31" s="121"/>
      <c r="B31" s="121"/>
      <c r="C31" s="16" t="s">
        <v>685</v>
      </c>
      <c r="D31" s="13">
        <v>5365702.4400000004</v>
      </c>
      <c r="E31" s="13">
        <v>967652.16674154205</v>
      </c>
      <c r="F31" s="13">
        <v>-513101.21960000001</v>
      </c>
      <c r="G31" s="15"/>
      <c r="H31" s="15"/>
      <c r="I31" s="15"/>
      <c r="J31" s="15"/>
      <c r="K31" s="15"/>
      <c r="L31" s="23" t="s">
        <v>730</v>
      </c>
      <c r="M31" s="23">
        <v>0</v>
      </c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</row>
    <row r="32" spans="1:30" ht="12" customHeight="1" x14ac:dyDescent="0.2">
      <c r="A32" s="121"/>
      <c r="B32" s="121"/>
      <c r="C32" s="16" t="s">
        <v>686</v>
      </c>
      <c r="D32" s="13">
        <v>397360.84061800007</v>
      </c>
      <c r="E32" s="13">
        <v>-2784.2113584473482</v>
      </c>
      <c r="F32" s="13">
        <v>25540.483499999998</v>
      </c>
      <c r="G32" s="15"/>
      <c r="H32" s="15"/>
      <c r="I32" s="15"/>
      <c r="J32" s="15"/>
      <c r="K32" s="15"/>
      <c r="L32" s="23" t="s">
        <v>731</v>
      </c>
      <c r="M32" s="23">
        <v>0.45</v>
      </c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</row>
    <row r="33" spans="1:30" ht="12" customHeight="1" x14ac:dyDescent="0.2">
      <c r="A33" s="121"/>
      <c r="B33" s="121"/>
      <c r="C33" s="16" t="s">
        <v>745</v>
      </c>
      <c r="D33" s="13">
        <v>3682961.2815288282</v>
      </c>
      <c r="E33" s="13">
        <v>-304566.59359503468</v>
      </c>
      <c r="F33" s="13">
        <v>255023.19113352295</v>
      </c>
      <c r="G33" s="15"/>
      <c r="H33" s="15"/>
      <c r="I33" s="15"/>
      <c r="J33" s="15"/>
      <c r="K33" s="15"/>
      <c r="L33" s="23" t="s">
        <v>732</v>
      </c>
      <c r="M33" s="23">
        <v>0.4</v>
      </c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</row>
    <row r="34" spans="1:30" ht="12" customHeight="1" x14ac:dyDescent="0.2">
      <c r="A34" s="121"/>
      <c r="B34" s="121"/>
      <c r="C34" s="16" t="s">
        <v>687</v>
      </c>
      <c r="D34" s="13">
        <v>-5084464.72</v>
      </c>
      <c r="E34" s="13">
        <v>0</v>
      </c>
      <c r="F34" s="13">
        <v>0</v>
      </c>
      <c r="G34" s="15"/>
      <c r="H34" s="15"/>
      <c r="I34" s="15"/>
      <c r="J34" s="15"/>
      <c r="K34" s="15"/>
      <c r="L34" s="23" t="s">
        <v>733</v>
      </c>
      <c r="M34" s="23">
        <v>0.65</v>
      </c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</row>
    <row r="35" spans="1:30" ht="12" customHeight="1" x14ac:dyDescent="0.2">
      <c r="A35" s="121"/>
      <c r="B35" s="122"/>
      <c r="C35" s="16" t="s">
        <v>665</v>
      </c>
      <c r="D35" s="13">
        <f>SUM(D$30:D34)</f>
        <v>5092616.9186142934</v>
      </c>
      <c r="E35" s="13">
        <f>SUM(E$30:E34)</f>
        <v>660301.41289854096</v>
      </c>
      <c r="F35" s="13">
        <f>SUM(F$30:F34)</f>
        <v>-232537.54496647709</v>
      </c>
      <c r="G35" s="15"/>
      <c r="H35" s="15"/>
      <c r="I35" s="15"/>
      <c r="J35" s="15"/>
      <c r="K35" s="15"/>
      <c r="L35" s="23" t="s">
        <v>734</v>
      </c>
      <c r="M35" s="23">
        <v>0.4</v>
      </c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</row>
    <row r="36" spans="1:30" ht="12" customHeight="1" x14ac:dyDescent="0.2">
      <c r="A36" s="121"/>
      <c r="B36" s="120" t="s">
        <v>688</v>
      </c>
      <c r="C36" s="16" t="s">
        <v>689</v>
      </c>
      <c r="D36" s="13">
        <f>$M$14*($M$12-$M$7)</f>
        <v>55492514.492287464</v>
      </c>
      <c r="E36" s="13">
        <f>$M$16*($M$12-$M$7)/$M$12</f>
        <v>26466463.05122878</v>
      </c>
      <c r="F36" s="13">
        <f>$M$17*($M$12-$M$7)/$M$12</f>
        <v>-8096075.2845074646</v>
      </c>
      <c r="G36" s="15"/>
      <c r="H36" s="15"/>
      <c r="I36" s="15"/>
      <c r="J36" s="15"/>
      <c r="K36" s="15"/>
      <c r="L36" s="23" t="s">
        <v>735</v>
      </c>
      <c r="M36" s="23">
        <v>0.1</v>
      </c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</row>
    <row r="37" spans="1:30" ht="12" customHeight="1" x14ac:dyDescent="0.2">
      <c r="A37" s="121"/>
      <c r="B37" s="122"/>
      <c r="C37" s="16" t="s">
        <v>665</v>
      </c>
      <c r="D37" s="13">
        <f>SUM(D$36:D36)</f>
        <v>55492514.492287464</v>
      </c>
      <c r="E37" s="13">
        <f>SUM(E$36:E36)</f>
        <v>26466463.05122878</v>
      </c>
      <c r="F37" s="13">
        <f>SUM(F$36:F36)</f>
        <v>-8096075.2845074646</v>
      </c>
      <c r="G37" s="15"/>
      <c r="H37" s="15"/>
      <c r="I37" s="15"/>
      <c r="J37" s="15"/>
      <c r="K37" s="15"/>
      <c r="L37" s="23" t="s">
        <v>736</v>
      </c>
      <c r="M37" s="23">
        <v>0</v>
      </c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</row>
    <row r="38" spans="1:30" ht="12" customHeight="1" x14ac:dyDescent="0.2">
      <c r="A38" s="121"/>
      <c r="B38" s="120" t="s">
        <v>666</v>
      </c>
      <c r="C38" s="16" t="s">
        <v>690</v>
      </c>
      <c r="D38" s="13">
        <v>2161181.9848781759</v>
      </c>
      <c r="E38" s="13">
        <v>-208066.3536178912</v>
      </c>
      <c r="F38" s="13">
        <v>224596.42439999999</v>
      </c>
      <c r="G38" s="15"/>
      <c r="H38" s="15"/>
      <c r="I38" s="15"/>
      <c r="J38" s="15"/>
      <c r="K38" s="15"/>
      <c r="L38" s="23" t="s">
        <v>737</v>
      </c>
      <c r="M38" s="23">
        <f>IFERROR(VLOOKUP("Convencional1RuralNão se aplicaRURALB2",Descontos!B1:U88,VLOOKUP("Convencional1RuralNão se aplicaRURALB2",Descontos!B1:U88,20,FALSE)+12,FALSE),100)</f>
        <v>0.06</v>
      </c>
      <c r="N38" s="15" t="s">
        <v>791</v>
      </c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</row>
    <row r="39" spans="1:30" ht="12" customHeight="1" x14ac:dyDescent="0.2">
      <c r="A39" s="121"/>
      <c r="B39" s="121"/>
      <c r="C39" s="16" t="s">
        <v>691</v>
      </c>
      <c r="D39" s="13">
        <v>1489818.5342950558</v>
      </c>
      <c r="E39" s="13">
        <v>20871.583264529665</v>
      </c>
      <c r="F39" s="13">
        <f>IF((+$D$11+$D$12+$D$16+$D$17+$D$39)&lt;&gt;0,$M$19*$D$39/(+$D$11+$D$12+$D$16+$D$17+$D$39),0)</f>
        <v>130231.45802228441</v>
      </c>
      <c r="G39" s="15"/>
      <c r="H39" s="15"/>
      <c r="I39" s="15"/>
      <c r="J39" s="15"/>
      <c r="K39" s="15"/>
      <c r="L39" s="23" t="s">
        <v>738</v>
      </c>
      <c r="M39" s="23">
        <f>IFERROR(VLOOKUP("Convencional1RuralCooperativa de eletrificação ruralPlanilha CUSTOB2",Descontos!B1:U88,VLOOKUP("Convencional1RuralCooperativa de eletrificação ruralPlanilha CUSTOB2",Descontos!B1:U88,20,FALSE)+12,FALSE),100)</f>
        <v>0.06</v>
      </c>
      <c r="N39" s="15">
        <v>0.3</v>
      </c>
      <c r="O39" s="15" t="s">
        <v>808</v>
      </c>
      <c r="P39" s="15" t="s">
        <v>809</v>
      </c>
      <c r="Q39" s="15" t="s">
        <v>810</v>
      </c>
      <c r="R39" s="15" t="s">
        <v>811</v>
      </c>
      <c r="S39" s="15" t="s">
        <v>1</v>
      </c>
      <c r="T39" s="15" t="s">
        <v>812</v>
      </c>
      <c r="U39" s="15"/>
      <c r="V39" s="15"/>
      <c r="W39" s="15"/>
      <c r="X39" s="15"/>
      <c r="Y39" s="15"/>
      <c r="Z39" s="15"/>
      <c r="AA39" s="15"/>
      <c r="AB39" s="15"/>
      <c r="AC39" s="15"/>
      <c r="AD39" s="15"/>
    </row>
    <row r="40" spans="1:30" ht="12" customHeight="1" x14ac:dyDescent="0.3">
      <c r="A40" s="121"/>
      <c r="B40" s="121"/>
      <c r="C40" s="16" t="s">
        <v>692</v>
      </c>
      <c r="D40" s="13"/>
      <c r="E40" s="13">
        <v>0</v>
      </c>
      <c r="F40" s="13">
        <v>0</v>
      </c>
      <c r="G40" s="15"/>
      <c r="H40" s="15"/>
      <c r="I40" s="15"/>
      <c r="J40" s="15"/>
      <c r="K40" s="15"/>
      <c r="L40" s="23" t="s">
        <v>739</v>
      </c>
      <c r="M40" s="23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5">
        <v>0.4</v>
      </c>
      <c r="O40" s="33"/>
      <c r="P40" s="33"/>
      <c r="Q40" s="33"/>
      <c r="R40" s="33"/>
      <c r="S40" s="33"/>
      <c r="T40" s="33"/>
      <c r="U40" s="15"/>
      <c r="V40" s="15"/>
      <c r="W40" s="15"/>
      <c r="X40" s="15"/>
      <c r="Y40" s="15"/>
      <c r="Z40" s="15"/>
      <c r="AA40" s="15"/>
      <c r="AB40" s="15"/>
      <c r="AC40" s="15"/>
      <c r="AD40" s="15"/>
    </row>
    <row r="41" spans="1:30" ht="12" customHeight="1" x14ac:dyDescent="0.3">
      <c r="A41" s="121"/>
      <c r="B41" s="122"/>
      <c r="C41" s="16" t="s">
        <v>665</v>
      </c>
      <c r="D41" s="13">
        <f>SUM(D$38:D40)</f>
        <v>3651000.5191732319</v>
      </c>
      <c r="E41" s="13">
        <f>SUM(E$38:E40)</f>
        <v>-187194.77035336153</v>
      </c>
      <c r="F41" s="13">
        <f>SUM(F$38:F40)</f>
        <v>354827.8824222844</v>
      </c>
      <c r="G41" s="15"/>
      <c r="H41" s="15"/>
      <c r="I41" s="15"/>
      <c r="J41" s="15"/>
      <c r="K41" s="15"/>
      <c r="L41" s="15"/>
      <c r="M41" s="15"/>
      <c r="N41" s="15"/>
      <c r="O41" s="33"/>
      <c r="P41" s="33"/>
      <c r="Q41" s="33"/>
      <c r="R41" s="33"/>
      <c r="S41" s="33"/>
      <c r="T41" s="33"/>
      <c r="U41" s="15"/>
      <c r="V41" s="15"/>
      <c r="W41" s="15"/>
      <c r="X41" s="15"/>
      <c r="Y41" s="15"/>
      <c r="Z41" s="15"/>
      <c r="AA41" s="15"/>
      <c r="AB41" s="15"/>
      <c r="AC41" s="15"/>
      <c r="AD41" s="15"/>
    </row>
    <row r="42" spans="1:30" ht="12" customHeight="1" x14ac:dyDescent="0.3">
      <c r="A42" s="121"/>
      <c r="B42" s="120" t="s">
        <v>676</v>
      </c>
      <c r="C42" s="16" t="s">
        <v>677</v>
      </c>
      <c r="D42" s="13"/>
      <c r="E42" s="13">
        <f>IF($D$47&lt;&gt;0,($D$46/$D$47)* 0,0)+0</f>
        <v>0</v>
      </c>
      <c r="F42" s="13"/>
      <c r="G42" s="15"/>
      <c r="H42" s="15"/>
      <c r="I42" s="15"/>
      <c r="J42" s="15"/>
      <c r="K42" s="15"/>
      <c r="L42" s="15"/>
      <c r="M42" s="15"/>
      <c r="N42" s="15"/>
      <c r="O42" s="33"/>
      <c r="P42" s="33"/>
      <c r="Q42" s="33"/>
      <c r="R42" s="33"/>
      <c r="S42" s="33"/>
      <c r="T42" s="33"/>
      <c r="U42" s="15"/>
      <c r="V42" s="15"/>
      <c r="W42" s="15"/>
      <c r="X42" s="15"/>
      <c r="Y42" s="15"/>
      <c r="Z42" s="15"/>
      <c r="AA42" s="15"/>
      <c r="AB42" s="15"/>
      <c r="AC42" s="15"/>
      <c r="AD42" s="15"/>
    </row>
    <row r="43" spans="1:30" ht="12" customHeight="1" x14ac:dyDescent="0.3">
      <c r="A43" s="121"/>
      <c r="B43" s="122"/>
      <c r="C43" s="16" t="s">
        <v>665</v>
      </c>
      <c r="D43" s="13">
        <f>SUM(D$42:D42)</f>
        <v>0</v>
      </c>
      <c r="E43" s="13">
        <f>SUM(E$42:E42)</f>
        <v>0</v>
      </c>
      <c r="F43" s="13">
        <f>SUM(F$42:F42)</f>
        <v>0</v>
      </c>
      <c r="G43" s="15"/>
      <c r="H43" s="15"/>
      <c r="I43" s="15"/>
      <c r="J43" s="15"/>
      <c r="K43" s="15"/>
      <c r="L43" s="15"/>
      <c r="M43" s="15"/>
      <c r="N43" s="15"/>
      <c r="O43" s="33"/>
      <c r="P43" s="33"/>
      <c r="Q43" s="33"/>
      <c r="R43" s="33"/>
      <c r="S43" s="33"/>
      <c r="T43" s="33"/>
      <c r="U43" s="15"/>
      <c r="V43" s="15"/>
      <c r="W43" s="15"/>
      <c r="X43" s="15"/>
      <c r="Y43" s="15"/>
      <c r="Z43" s="15"/>
      <c r="AA43" s="15"/>
      <c r="AB43" s="15"/>
      <c r="AC43" s="15"/>
      <c r="AD43" s="15"/>
    </row>
    <row r="44" spans="1:30" ht="12" customHeight="1" x14ac:dyDescent="0.3">
      <c r="A44" s="121"/>
      <c r="B44" s="120" t="s">
        <v>679</v>
      </c>
      <c r="C44" s="16" t="s">
        <v>693</v>
      </c>
      <c r="D44" s="13">
        <f>$M$14*$M$11</f>
        <v>861111.77553692611</v>
      </c>
      <c r="E44" s="13">
        <f>$M$16*$M$11/$M$12</f>
        <v>410696.52724771696</v>
      </c>
      <c r="F44" s="13">
        <f>$M$17*$M$11/$M$12</f>
        <v>-125631.82308294547</v>
      </c>
      <c r="G44" s="15"/>
      <c r="H44" s="15"/>
      <c r="I44" s="15"/>
      <c r="J44" s="15"/>
      <c r="K44" s="15"/>
      <c r="L44" s="15"/>
      <c r="M44" s="15"/>
      <c r="N44" s="15"/>
      <c r="O44" s="33"/>
      <c r="P44" s="33"/>
      <c r="Q44" s="33"/>
      <c r="R44" s="33"/>
      <c r="S44" s="33"/>
      <c r="T44" s="33"/>
      <c r="U44" s="15"/>
      <c r="V44" s="15"/>
      <c r="W44" s="15"/>
      <c r="X44" s="15"/>
      <c r="Y44" s="15"/>
      <c r="Z44" s="15"/>
      <c r="AA44" s="15"/>
      <c r="AB44" s="15"/>
      <c r="AC44" s="15"/>
      <c r="AD44" s="15"/>
    </row>
    <row r="45" spans="1:30" ht="12" customHeight="1" x14ac:dyDescent="0.3">
      <c r="A45" s="121"/>
      <c r="B45" s="122"/>
      <c r="C45" s="16" t="s">
        <v>665</v>
      </c>
      <c r="D45" s="13">
        <f>SUM(D$44:D44)</f>
        <v>861111.77553692611</v>
      </c>
      <c r="E45" s="13">
        <f>SUM(E$44:E44)</f>
        <v>410696.52724771696</v>
      </c>
      <c r="F45" s="13">
        <f>SUM(F$44:F44)</f>
        <v>-125631.82308294547</v>
      </c>
      <c r="G45" s="15"/>
      <c r="H45" s="15"/>
      <c r="I45" s="15"/>
      <c r="J45" s="15"/>
      <c r="K45" s="15"/>
      <c r="L45" s="15"/>
      <c r="M45" s="15"/>
      <c r="N45" s="15"/>
      <c r="O45" s="33"/>
      <c r="P45" s="33"/>
      <c r="Q45" s="33"/>
      <c r="R45" s="33"/>
      <c r="S45" s="33"/>
      <c r="T45" s="33"/>
      <c r="U45" s="15"/>
      <c r="V45" s="15"/>
      <c r="W45" s="15"/>
      <c r="X45" s="15"/>
      <c r="Y45" s="15"/>
      <c r="Z45" s="15"/>
      <c r="AA45" s="15"/>
      <c r="AB45" s="15"/>
      <c r="AC45" s="15"/>
      <c r="AD45" s="15"/>
    </row>
    <row r="46" spans="1:30" ht="12" customHeight="1" x14ac:dyDescent="0.3">
      <c r="A46" s="122"/>
      <c r="B46" s="116" t="s">
        <v>665</v>
      </c>
      <c r="C46" s="118"/>
      <c r="D46" s="13">
        <f>SUMIF(C$30:C45,"SUBTOTAL",D$30:D45)</f>
        <v>65097243.705611914</v>
      </c>
      <c r="E46" s="13">
        <f>SUMIF(C$30:C45,"SUBTOTAL",E$30:E45)</f>
        <v>27350266.221021675</v>
      </c>
      <c r="F46" s="13">
        <f>SUMIF(C$30:C45,"SUBTOTAL",F$30:F45)</f>
        <v>-8099416.7701346027</v>
      </c>
      <c r="G46" s="15"/>
      <c r="H46" s="15"/>
      <c r="I46" s="15"/>
      <c r="J46" s="15"/>
      <c r="K46" s="15"/>
      <c r="L46" s="15"/>
      <c r="M46" s="15"/>
      <c r="N46" s="15"/>
      <c r="O46" s="33"/>
      <c r="P46" s="33"/>
      <c r="Q46" s="33"/>
      <c r="R46" s="33"/>
      <c r="S46" s="33"/>
      <c r="T46" s="33"/>
      <c r="U46" s="15"/>
      <c r="V46" s="15"/>
      <c r="W46" s="15"/>
      <c r="X46" s="15"/>
      <c r="Y46" s="15"/>
      <c r="Z46" s="15"/>
      <c r="AA46" s="15"/>
      <c r="AB46" s="15"/>
      <c r="AC46" s="15"/>
      <c r="AD46" s="15"/>
    </row>
    <row r="47" spans="1:30" ht="12" customHeight="1" x14ac:dyDescent="0.3">
      <c r="A47" s="116" t="s">
        <v>694</v>
      </c>
      <c r="B47" s="117"/>
      <c r="C47" s="118"/>
      <c r="D47" s="13">
        <f>SUMIF(C$2:C46,"SUBTOTAL",D$2:D46)</f>
        <v>206382365.1847966</v>
      </c>
      <c r="E47" s="13">
        <f>SUMIF(C$2:C46,"SUBTOTAL",E$2:E46)</f>
        <v>28829384.788128115</v>
      </c>
      <c r="F47" s="13">
        <f>SUMIF(C$2:C46,"SUBTOTAL",F$2:F46)</f>
        <v>6784343.7352000009</v>
      </c>
      <c r="G47" s="15">
        <f>D47+E47+F47</f>
        <v>241996093.7081247</v>
      </c>
      <c r="H47" s="15"/>
      <c r="I47" s="15"/>
      <c r="J47" s="15"/>
      <c r="K47" s="15"/>
      <c r="L47" s="15"/>
      <c r="M47" s="15"/>
      <c r="N47" s="15"/>
      <c r="O47" s="33"/>
      <c r="P47" s="33"/>
      <c r="Q47" s="33"/>
      <c r="R47" s="33"/>
      <c r="S47" s="33"/>
      <c r="T47" s="33"/>
      <c r="U47" s="15"/>
      <c r="V47" s="15"/>
      <c r="W47" s="15"/>
      <c r="X47" s="15"/>
      <c r="Y47" s="15"/>
      <c r="Z47" s="15"/>
      <c r="AA47" s="15"/>
      <c r="AB47" s="15"/>
      <c r="AC47" s="15"/>
      <c r="AD47" s="15"/>
    </row>
    <row r="48" spans="1:30" ht="12" customHeight="1" x14ac:dyDescent="0.3">
      <c r="A48" s="114" t="s">
        <v>786</v>
      </c>
      <c r="B48" s="115"/>
      <c r="C48" s="115"/>
      <c r="D48" s="26">
        <f ca="1">'TUSD BE'!$AM$73+'TUSD BE'!$AM$77+'TE BE'!$AB$51</f>
        <v>206382365.1847966</v>
      </c>
      <c r="E48" s="26">
        <f ca="1">'TUSD BF'!$AM$73+'TE BF'!$AB$51</f>
        <v>28829384.788128123</v>
      </c>
      <c r="F48" s="26">
        <f ca="1">'TUSD CVA'!$AM$73+'TE CVA'!$AB$51</f>
        <v>6784343.7352000009</v>
      </c>
      <c r="G48" s="98">
        <f ca="1">EFEITO!AU12+SUBSIDIO!AJ2+SUBSIDIO!AJ3+SUBSIDIO!AJ5+SUBSIDIO!AJ6+SUBSIDIO!AJ8</f>
        <v>241996093.70812464</v>
      </c>
      <c r="H48" s="98">
        <f ca="1">EFEITO_350!AU12+SUBSIDIO!AJ2+SUBSIDIO!AJ3+SUBSIDIO!AJ5+SUBSIDIO!AJ6+SUBSIDIO!AJ8+SUBSIDIO!AJ9</f>
        <v>241996093.70812464</v>
      </c>
      <c r="L48" s="58"/>
      <c r="M48" s="23"/>
      <c r="O48" s="33"/>
      <c r="P48" s="33"/>
      <c r="Q48" s="33"/>
      <c r="R48" s="33"/>
      <c r="S48" s="33"/>
      <c r="T48" s="33"/>
    </row>
    <row r="49" spans="1:20" ht="12" customHeight="1" x14ac:dyDescent="0.3">
      <c r="A49" s="114" t="s">
        <v>787</v>
      </c>
      <c r="B49" s="115"/>
      <c r="C49" s="115"/>
      <c r="D49" s="27" t="str">
        <f ca="1">IF(ABS(D48-D47)&gt;1,"ERRO","OK")</f>
        <v>OK</v>
      </c>
      <c r="E49" s="27" t="str">
        <f ca="1">IF(ABS(E48-E47)&gt;1,"ERRO","OK")</f>
        <v>OK</v>
      </c>
      <c r="F49" s="27" t="str">
        <f ca="1">IF(ABS(F48-F47)&gt;1,"ERRO","OK")</f>
        <v>OK</v>
      </c>
      <c r="G49" s="98">
        <f ca="1">G47-G48</f>
        <v>0</v>
      </c>
      <c r="H49" s="98">
        <f ca="1">G47-H48</f>
        <v>0</v>
      </c>
      <c r="L49" s="58"/>
      <c r="M49" s="23"/>
      <c r="O49" s="33"/>
      <c r="P49" s="33"/>
      <c r="Q49" s="33"/>
      <c r="R49" s="33"/>
      <c r="S49" s="33"/>
      <c r="T49" s="33"/>
    </row>
    <row r="50" spans="1:20" ht="12" customHeight="1" x14ac:dyDescent="0.3">
      <c r="L50" s="58"/>
      <c r="M50" s="23"/>
      <c r="O50" s="33"/>
      <c r="P50" s="33"/>
      <c r="Q50" s="33"/>
      <c r="R50" s="33"/>
      <c r="S50" s="33"/>
      <c r="T50" s="33"/>
    </row>
    <row r="51" spans="1:20" ht="12" customHeight="1" x14ac:dyDescent="0.3">
      <c r="L51" s="50" t="s">
        <v>740</v>
      </c>
      <c r="M51" s="56">
        <v>0</v>
      </c>
      <c r="O51" s="33"/>
      <c r="P51" s="33"/>
      <c r="Q51" s="33"/>
      <c r="R51" s="33"/>
      <c r="S51" s="33"/>
      <c r="T51" s="33"/>
    </row>
    <row r="52" spans="1:20" ht="12" customHeight="1" x14ac:dyDescent="0.3">
      <c r="D52" s="14">
        <v>206382365.1847966</v>
      </c>
      <c r="E52" s="14">
        <v>28829384.788128126</v>
      </c>
      <c r="F52" s="14">
        <v>6784343.7352</v>
      </c>
      <c r="O52" s="33"/>
      <c r="P52" s="33"/>
      <c r="Q52" s="33"/>
      <c r="R52" s="33"/>
      <c r="S52" s="33"/>
      <c r="T52" s="33"/>
    </row>
    <row r="53" spans="1:20" ht="12" customHeight="1" x14ac:dyDescent="0.3">
      <c r="D53" s="98">
        <f>D47-D52</f>
        <v>0</v>
      </c>
      <c r="E53" s="98">
        <f t="shared" ref="E53:F53" si="0">E47-E52</f>
        <v>0</v>
      </c>
      <c r="F53" s="98">
        <f t="shared" si="0"/>
        <v>0</v>
      </c>
      <c r="O53" s="33"/>
      <c r="P53" s="33"/>
      <c r="Q53" s="33"/>
      <c r="R53" s="33"/>
      <c r="S53" s="33"/>
      <c r="T53" s="33"/>
    </row>
    <row r="54" spans="1:20" ht="12" customHeight="1" x14ac:dyDescent="0.3">
      <c r="H54" s="98">
        <f ca="1">EFEITO!AU12+SUBSIDIO!AJ2+SUBSIDIO!AJ3+SUBSIDIO!AJ5+SUBSIDIO!AJ8+SUBSIDIO!AJ6</f>
        <v>241996093.70812464</v>
      </c>
      <c r="O54" s="33"/>
      <c r="P54" s="33"/>
      <c r="Q54" s="33"/>
      <c r="R54" s="33"/>
      <c r="S54" s="33"/>
      <c r="T54" s="33"/>
    </row>
    <row r="55" spans="1:20" ht="12" customHeight="1" x14ac:dyDescent="0.3">
      <c r="H55" s="98">
        <f ca="1">EFEITO_350!AU12+SUBSIDIO!AJ2+SUBSIDIO!AJ3+SUBSIDIO!AJ5+SUBSIDIO!AJ6+SUBSIDIO!AJ8</f>
        <v>225159492.51165491</v>
      </c>
      <c r="O55" s="33"/>
      <c r="P55" s="33"/>
      <c r="Q55" s="33"/>
      <c r="R55" s="33"/>
      <c r="S55" s="33"/>
      <c r="T55" s="33"/>
    </row>
    <row r="56" spans="1:20" ht="12" customHeight="1" x14ac:dyDescent="0.3">
      <c r="H56" s="98">
        <f ca="1">H54-H55</f>
        <v>16836601.196469724</v>
      </c>
      <c r="O56" s="33"/>
      <c r="P56" s="33"/>
      <c r="Q56" s="33"/>
      <c r="R56" s="33"/>
      <c r="S56" s="33"/>
      <c r="T56" s="33"/>
    </row>
    <row r="57" spans="1:20" ht="12" customHeight="1" x14ac:dyDescent="0.3">
      <c r="H57" s="39">
        <f ca="1">SUBSIDIO!AJ9</f>
        <v>16836601.196469724</v>
      </c>
      <c r="O57" s="33"/>
      <c r="P57" s="33"/>
      <c r="Q57" s="33"/>
      <c r="R57" s="33"/>
      <c r="S57" s="33"/>
      <c r="T57" s="33"/>
    </row>
    <row r="58" spans="1:20" ht="12" customHeight="1" x14ac:dyDescent="0.3">
      <c r="H58" s="98">
        <f ca="1">H56-H57</f>
        <v>0</v>
      </c>
      <c r="O58" s="33"/>
      <c r="P58" s="33"/>
      <c r="Q58" s="33"/>
      <c r="R58" s="33"/>
      <c r="S58" s="33"/>
      <c r="T58" s="33"/>
    </row>
    <row r="59" spans="1:20" ht="12" customHeight="1" x14ac:dyDescent="0.3">
      <c r="O59" s="33"/>
      <c r="P59" s="33"/>
      <c r="Q59" s="33"/>
      <c r="R59" s="33"/>
      <c r="S59" s="33"/>
      <c r="T59" s="33"/>
    </row>
    <row r="60" spans="1:20" ht="12" customHeight="1" x14ac:dyDescent="0.3">
      <c r="O60" s="33"/>
      <c r="P60" s="33"/>
      <c r="Q60" s="33"/>
      <c r="R60" s="33"/>
      <c r="S60" s="33"/>
      <c r="T60" s="33"/>
    </row>
    <row r="61" spans="1:20" ht="12" customHeight="1" x14ac:dyDescent="0.3">
      <c r="O61" s="33"/>
      <c r="P61" s="33"/>
      <c r="Q61" s="33"/>
      <c r="R61" s="33"/>
      <c r="S61" s="33"/>
      <c r="T61" s="33"/>
    </row>
    <row r="62" spans="1:20" ht="12" customHeight="1" x14ac:dyDescent="0.3">
      <c r="O62" s="33"/>
      <c r="P62" s="33"/>
      <c r="Q62" s="33"/>
      <c r="R62" s="33"/>
      <c r="S62" s="33"/>
      <c r="T62" s="33"/>
    </row>
    <row r="63" spans="1:20" ht="12" customHeight="1" x14ac:dyDescent="0.3">
      <c r="O63" s="33"/>
      <c r="P63" s="33"/>
      <c r="Q63" s="33"/>
      <c r="R63" s="33"/>
      <c r="S63" s="33"/>
      <c r="T63" s="33"/>
    </row>
    <row r="64" spans="1:20" ht="12" customHeight="1" x14ac:dyDescent="0.3">
      <c r="O64" s="33"/>
      <c r="P64" s="33"/>
      <c r="Q64" s="33"/>
      <c r="R64" s="33"/>
      <c r="S64" s="33"/>
      <c r="T64" s="33"/>
    </row>
    <row r="65" spans="15:20" ht="12" customHeight="1" x14ac:dyDescent="0.3">
      <c r="O65" s="33"/>
      <c r="P65" s="33"/>
      <c r="Q65" s="33"/>
      <c r="R65" s="33"/>
      <c r="S65" s="33"/>
      <c r="T65" s="33"/>
    </row>
    <row r="66" spans="15:20" ht="12" customHeight="1" x14ac:dyDescent="0.3">
      <c r="O66" s="33"/>
      <c r="P66" s="33"/>
      <c r="Q66" s="33"/>
      <c r="R66" s="33"/>
      <c r="S66" s="33"/>
      <c r="T66" s="33"/>
    </row>
    <row r="67" spans="15:20" ht="12" customHeight="1" x14ac:dyDescent="0.3">
      <c r="O67" s="33"/>
      <c r="P67" s="33"/>
      <c r="Q67" s="33"/>
      <c r="R67" s="33"/>
      <c r="S67" s="33"/>
      <c r="T67" s="33"/>
    </row>
    <row r="68" spans="15:20" ht="12" customHeight="1" x14ac:dyDescent="0.3">
      <c r="O68" s="33"/>
      <c r="P68" s="33"/>
      <c r="Q68" s="33"/>
      <c r="R68" s="33"/>
      <c r="S68" s="33"/>
      <c r="T68" s="33"/>
    </row>
    <row r="69" spans="15:20" ht="12" customHeight="1" x14ac:dyDescent="0.3">
      <c r="O69" s="33"/>
      <c r="P69" s="33"/>
      <c r="Q69" s="33"/>
      <c r="R69" s="33"/>
      <c r="S69" s="33"/>
      <c r="T69" s="33"/>
    </row>
    <row r="70" spans="15:20" ht="12" customHeight="1" x14ac:dyDescent="0.3">
      <c r="O70" s="33"/>
      <c r="P70" s="33"/>
      <c r="Q70" s="33"/>
      <c r="R70" s="33"/>
      <c r="S70" s="33"/>
      <c r="T70" s="33"/>
    </row>
    <row r="71" spans="15:20" ht="12" customHeight="1" x14ac:dyDescent="0.3">
      <c r="O71" s="33"/>
      <c r="P71" s="33"/>
      <c r="Q71" s="33"/>
      <c r="R71" s="33"/>
      <c r="S71" s="33"/>
      <c r="T71" s="33"/>
    </row>
    <row r="72" spans="15:20" ht="12" customHeight="1" x14ac:dyDescent="0.3">
      <c r="O72" s="33"/>
      <c r="P72" s="33"/>
      <c r="Q72" s="33"/>
      <c r="R72" s="33"/>
      <c r="S72" s="33"/>
      <c r="T72" s="33"/>
    </row>
    <row r="73" spans="15:20" ht="12" customHeight="1" x14ac:dyDescent="0.3">
      <c r="O73" s="33"/>
      <c r="P73" s="33"/>
      <c r="Q73" s="33"/>
      <c r="R73" s="33"/>
      <c r="S73" s="33"/>
      <c r="T73" s="33"/>
    </row>
    <row r="74" spans="15:20" ht="12" customHeight="1" x14ac:dyDescent="0.3">
      <c r="O74" s="33"/>
      <c r="P74" s="33"/>
      <c r="Q74" s="33"/>
      <c r="R74" s="33"/>
      <c r="S74" s="33"/>
      <c r="T74" s="33"/>
    </row>
    <row r="75" spans="15:20" ht="12" customHeight="1" x14ac:dyDescent="0.3">
      <c r="O75" s="33"/>
      <c r="P75" s="33"/>
      <c r="Q75" s="33"/>
      <c r="R75" s="33"/>
      <c r="S75" s="33"/>
      <c r="T75" s="33"/>
    </row>
    <row r="76" spans="15:20" ht="12" customHeight="1" x14ac:dyDescent="0.3">
      <c r="O76" s="33"/>
      <c r="P76" s="33"/>
      <c r="Q76" s="33"/>
      <c r="R76" s="33"/>
      <c r="S76" s="33"/>
      <c r="T76" s="33"/>
    </row>
    <row r="77" spans="15:20" ht="12" customHeight="1" x14ac:dyDescent="0.3">
      <c r="O77" s="33"/>
      <c r="P77" s="33"/>
      <c r="Q77" s="33"/>
      <c r="R77" s="33"/>
      <c r="S77" s="33"/>
      <c r="T77" s="33"/>
    </row>
    <row r="78" spans="15:20" ht="12" customHeight="1" x14ac:dyDescent="0.3">
      <c r="O78" s="33"/>
      <c r="P78" s="33"/>
      <c r="Q78" s="33"/>
      <c r="R78" s="33"/>
      <c r="S78" s="33"/>
      <c r="T78" s="33"/>
    </row>
    <row r="79" spans="15:20" ht="12" customHeight="1" x14ac:dyDescent="0.3">
      <c r="O79" s="33"/>
      <c r="P79" s="33"/>
      <c r="Q79" s="33"/>
      <c r="R79" s="33"/>
      <c r="S79" s="33"/>
      <c r="T79" s="33"/>
    </row>
    <row r="80" spans="15:20" ht="12" customHeight="1" x14ac:dyDescent="0.3">
      <c r="O80" s="33"/>
      <c r="P80" s="33"/>
      <c r="Q80" s="33"/>
      <c r="R80" s="33"/>
      <c r="S80" s="33"/>
      <c r="T80" s="33"/>
    </row>
    <row r="81" spans="15:20" ht="12" customHeight="1" x14ac:dyDescent="0.3">
      <c r="O81" s="33"/>
      <c r="P81" s="33"/>
      <c r="Q81" s="33"/>
      <c r="R81" s="33"/>
      <c r="S81" s="33"/>
      <c r="T81" s="33"/>
    </row>
    <row r="82" spans="15:20" ht="12" customHeight="1" x14ac:dyDescent="0.3">
      <c r="O82" s="33"/>
      <c r="P82" s="33"/>
      <c r="Q82" s="33"/>
      <c r="R82" s="33"/>
      <c r="S82" s="33"/>
      <c r="T82" s="33"/>
    </row>
    <row r="83" spans="15:20" ht="12" customHeight="1" x14ac:dyDescent="0.3">
      <c r="O83" s="33"/>
      <c r="P83" s="33"/>
      <c r="Q83" s="33"/>
      <c r="R83" s="33"/>
      <c r="S83" s="33"/>
      <c r="T83" s="33"/>
    </row>
    <row r="84" spans="15:20" ht="12" customHeight="1" x14ac:dyDescent="0.3">
      <c r="O84" s="33"/>
      <c r="P84" s="33"/>
      <c r="Q84" s="33"/>
      <c r="R84" s="33"/>
      <c r="S84" s="33"/>
      <c r="T84" s="33"/>
    </row>
    <row r="85" spans="15:20" ht="12" customHeight="1" x14ac:dyDescent="0.3">
      <c r="O85" s="33"/>
      <c r="P85" s="33"/>
      <c r="Q85" s="33"/>
      <c r="R85" s="33"/>
      <c r="S85" s="33"/>
      <c r="T85" s="33"/>
    </row>
    <row r="86" spans="15:20" ht="12" customHeight="1" x14ac:dyDescent="0.3">
      <c r="O86" s="33"/>
      <c r="P86" s="33"/>
      <c r="Q86" s="33"/>
      <c r="R86" s="33"/>
      <c r="S86" s="33"/>
      <c r="T86" s="33"/>
    </row>
    <row r="87" spans="15:20" ht="12" customHeight="1" x14ac:dyDescent="0.3">
      <c r="O87" s="33"/>
      <c r="P87" s="33"/>
      <c r="Q87" s="33"/>
      <c r="R87" s="33"/>
      <c r="S87" s="33"/>
      <c r="T87" s="33"/>
    </row>
    <row r="88" spans="15:20" ht="12" customHeight="1" x14ac:dyDescent="0.3">
      <c r="O88" s="33"/>
      <c r="P88" s="33"/>
      <c r="Q88" s="33"/>
      <c r="R88" s="33"/>
      <c r="S88" s="33"/>
      <c r="T88" s="33"/>
    </row>
    <row r="89" spans="15:20" ht="12" customHeight="1" x14ac:dyDescent="0.3">
      <c r="O89" s="33"/>
      <c r="P89" s="33"/>
      <c r="Q89" s="33"/>
      <c r="R89" s="33"/>
      <c r="S89" s="33"/>
      <c r="T89" s="33"/>
    </row>
    <row r="90" spans="15:20" ht="12" customHeight="1" x14ac:dyDescent="0.3">
      <c r="O90" s="33"/>
      <c r="P90" s="33"/>
      <c r="Q90" s="33"/>
      <c r="R90" s="33"/>
      <c r="S90" s="33"/>
      <c r="T90" s="33"/>
    </row>
    <row r="91" spans="15:20" ht="12" customHeight="1" x14ac:dyDescent="0.3">
      <c r="O91" s="33"/>
      <c r="P91" s="33"/>
      <c r="Q91" s="33"/>
      <c r="R91" s="33"/>
      <c r="S91" s="33"/>
      <c r="T91" s="33"/>
    </row>
    <row r="92" spans="15:20" ht="12" customHeight="1" x14ac:dyDescent="0.3">
      <c r="O92" s="33"/>
      <c r="P92" s="33"/>
      <c r="Q92" s="33"/>
      <c r="R92" s="33"/>
      <c r="S92" s="33"/>
      <c r="T92" s="33"/>
    </row>
    <row r="93" spans="15:20" ht="12" customHeight="1" x14ac:dyDescent="0.3">
      <c r="O93" s="33"/>
      <c r="P93" s="33"/>
      <c r="Q93" s="33"/>
      <c r="R93" s="33"/>
      <c r="S93" s="33"/>
      <c r="T93" s="33"/>
    </row>
    <row r="94" spans="15:20" ht="12" customHeight="1" x14ac:dyDescent="0.3">
      <c r="O94" s="33"/>
      <c r="P94" s="33"/>
      <c r="Q94" s="33"/>
      <c r="R94" s="33"/>
      <c r="S94" s="33"/>
      <c r="T94" s="33"/>
    </row>
    <row r="95" spans="15:20" ht="12" customHeight="1" x14ac:dyDescent="0.3">
      <c r="O95" s="33"/>
      <c r="P95" s="33"/>
      <c r="Q95" s="33"/>
      <c r="R95" s="33"/>
      <c r="S95" s="33"/>
      <c r="T95" s="33"/>
    </row>
    <row r="96" spans="15:20" ht="12" customHeight="1" x14ac:dyDescent="0.3">
      <c r="O96" s="33"/>
      <c r="P96" s="33"/>
      <c r="Q96" s="33"/>
      <c r="R96" s="33"/>
      <c r="S96" s="33"/>
      <c r="T96" s="33"/>
    </row>
    <row r="97" spans="15:30" ht="12" customHeight="1" x14ac:dyDescent="0.3">
      <c r="O97" s="33"/>
      <c r="P97" s="33"/>
      <c r="Q97" s="33"/>
      <c r="R97" s="33"/>
      <c r="S97" s="33"/>
      <c r="T97" s="33"/>
    </row>
    <row r="98" spans="15:30" ht="12" customHeight="1" x14ac:dyDescent="0.3">
      <c r="O98" s="33"/>
      <c r="P98" s="33"/>
      <c r="Q98" s="33"/>
      <c r="R98" s="33"/>
      <c r="S98" s="33"/>
      <c r="T98" s="33"/>
    </row>
    <row r="99" spans="15:30" ht="12" customHeight="1" x14ac:dyDescent="0.3">
      <c r="O99" s="32"/>
      <c r="P99" s="32"/>
      <c r="Q99" s="32"/>
      <c r="R99" s="32"/>
      <c r="S99" s="32"/>
      <c r="T99" s="32"/>
    </row>
    <row r="100" spans="15:30" ht="12" customHeight="1" x14ac:dyDescent="0.3"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</row>
    <row r="101" spans="15:30" ht="12" customHeight="1" x14ac:dyDescent="0.3">
      <c r="O101" s="33" t="s">
        <v>808</v>
      </c>
      <c r="P101" s="33" t="s">
        <v>813</v>
      </c>
      <c r="Q101" s="33" t="s">
        <v>814</v>
      </c>
      <c r="R101" s="33" t="s">
        <v>815</v>
      </c>
      <c r="S101" s="33" t="s">
        <v>816</v>
      </c>
      <c r="T101" s="33" t="s">
        <v>817</v>
      </c>
      <c r="U101" s="33" t="s">
        <v>818</v>
      </c>
      <c r="V101" s="33" t="s">
        <v>819</v>
      </c>
      <c r="W101" s="33"/>
      <c r="X101" s="33"/>
      <c r="Y101" s="33"/>
      <c r="Z101" s="33"/>
      <c r="AA101" s="33"/>
      <c r="AB101" s="33"/>
      <c r="AC101" s="33"/>
      <c r="AD101" s="33"/>
    </row>
    <row r="102" spans="15:30" ht="12" customHeight="1" x14ac:dyDescent="0.3">
      <c r="O102" s="33" t="s">
        <v>38</v>
      </c>
      <c r="P102" s="33" t="s">
        <v>23</v>
      </c>
      <c r="Q102" s="33" t="s">
        <v>44</v>
      </c>
      <c r="R102" s="33" t="s">
        <v>45</v>
      </c>
      <c r="S102" s="33" t="s">
        <v>25</v>
      </c>
      <c r="T102" s="33" t="s">
        <v>45</v>
      </c>
      <c r="U102" s="33">
        <v>4</v>
      </c>
      <c r="V102" s="33">
        <v>0.3</v>
      </c>
      <c r="W102" s="33">
        <v>0.24</v>
      </c>
      <c r="X102" s="33">
        <v>0.18</v>
      </c>
      <c r="Y102" s="33">
        <v>0.12</v>
      </c>
      <c r="Z102" s="33">
        <v>0.06</v>
      </c>
      <c r="AA102" s="33">
        <v>0</v>
      </c>
      <c r="AB102" s="33"/>
      <c r="AC102" s="33"/>
      <c r="AD102" s="33"/>
    </row>
    <row r="103" spans="15:30" ht="12" customHeight="1" x14ac:dyDescent="0.3"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</row>
    <row r="104" spans="15:30" ht="12" customHeight="1" x14ac:dyDescent="0.3"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</row>
    <row r="105" spans="15:30" ht="12" customHeight="1" x14ac:dyDescent="0.3"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</row>
    <row r="106" spans="15:30" ht="12" customHeight="1" x14ac:dyDescent="0.3"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</row>
    <row r="107" spans="15:30" ht="12" customHeight="1" x14ac:dyDescent="0.3"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</row>
    <row r="108" spans="15:30" ht="12" customHeight="1" x14ac:dyDescent="0.3"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</row>
    <row r="109" spans="15:30" ht="12" customHeight="1" x14ac:dyDescent="0.3"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</row>
    <row r="110" spans="15:30" ht="12" customHeight="1" x14ac:dyDescent="0.3"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</row>
    <row r="111" spans="15:30" ht="12" customHeight="1" x14ac:dyDescent="0.3"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</row>
    <row r="112" spans="15:30" ht="12" customHeight="1" x14ac:dyDescent="0.3"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</row>
    <row r="113" spans="15:30" ht="12" customHeight="1" x14ac:dyDescent="0.3"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</row>
    <row r="114" spans="15:30" ht="12" customHeight="1" x14ac:dyDescent="0.3"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</row>
    <row r="115" spans="15:30" ht="12" customHeight="1" x14ac:dyDescent="0.3"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</row>
    <row r="116" spans="15:30" ht="12" customHeight="1" x14ac:dyDescent="0.3"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</row>
    <row r="117" spans="15:30" ht="12" customHeight="1" x14ac:dyDescent="0.3"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</row>
    <row r="118" spans="15:30" ht="12" customHeight="1" x14ac:dyDescent="0.3"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</row>
    <row r="119" spans="15:30" ht="12" customHeight="1" x14ac:dyDescent="0.3"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</row>
    <row r="120" spans="15:30" ht="12" customHeight="1" x14ac:dyDescent="0.3"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</row>
    <row r="121" spans="15:30" ht="12" customHeight="1" x14ac:dyDescent="0.3"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</row>
    <row r="122" spans="15:30" ht="12" customHeight="1" x14ac:dyDescent="0.3"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</row>
    <row r="123" spans="15:30" ht="12" customHeight="1" x14ac:dyDescent="0.3"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</row>
    <row r="124" spans="15:30" ht="12" customHeight="1" x14ac:dyDescent="0.3"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</row>
    <row r="125" spans="15:30" ht="12" customHeight="1" x14ac:dyDescent="0.3"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</row>
    <row r="126" spans="15:30" ht="12" customHeight="1" x14ac:dyDescent="0.3"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</row>
    <row r="127" spans="15:30" ht="12" customHeight="1" x14ac:dyDescent="0.3"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</row>
    <row r="128" spans="15:30" ht="12" customHeight="1" x14ac:dyDescent="0.3"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</row>
    <row r="129" spans="15:30" ht="12" customHeight="1" x14ac:dyDescent="0.3"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</row>
    <row r="130" spans="15:30" ht="12" customHeight="1" x14ac:dyDescent="0.3"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</row>
    <row r="131" spans="15:30" ht="12" customHeight="1" x14ac:dyDescent="0.3"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</row>
    <row r="132" spans="15:30" ht="12" customHeight="1" x14ac:dyDescent="0.3"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</row>
    <row r="133" spans="15:30" ht="12" customHeight="1" x14ac:dyDescent="0.3"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</row>
    <row r="134" spans="15:30" ht="12" customHeight="1" x14ac:dyDescent="0.3"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</row>
    <row r="135" spans="15:30" ht="12" customHeight="1" x14ac:dyDescent="0.3"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</row>
    <row r="136" spans="15:30" ht="12" customHeight="1" x14ac:dyDescent="0.3"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</row>
    <row r="137" spans="15:30" ht="12" customHeight="1" x14ac:dyDescent="0.3"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</row>
    <row r="138" spans="15:30" ht="12" customHeight="1" x14ac:dyDescent="0.3"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</row>
    <row r="139" spans="15:30" ht="12" customHeight="1" x14ac:dyDescent="0.3"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</row>
    <row r="140" spans="15:30" ht="12" customHeight="1" x14ac:dyDescent="0.3"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</row>
    <row r="141" spans="15:30" ht="12" customHeight="1" x14ac:dyDescent="0.3"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</row>
    <row r="142" spans="15:30" ht="12" customHeight="1" x14ac:dyDescent="0.3"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</row>
    <row r="143" spans="15:30" ht="12" customHeight="1" x14ac:dyDescent="0.3"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</row>
    <row r="144" spans="15:30" ht="12" customHeight="1" x14ac:dyDescent="0.3"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</row>
    <row r="145" spans="15:30" ht="12" customHeight="1" x14ac:dyDescent="0.3"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</row>
    <row r="146" spans="15:30" ht="12" customHeight="1" x14ac:dyDescent="0.3"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</row>
    <row r="147" spans="15:30" ht="12" customHeight="1" x14ac:dyDescent="0.3"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</row>
    <row r="148" spans="15:30" ht="12" customHeight="1" x14ac:dyDescent="0.3"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</row>
    <row r="149" spans="15:30" ht="12" customHeight="1" x14ac:dyDescent="0.3"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</row>
    <row r="150" spans="15:30" ht="12" customHeight="1" x14ac:dyDescent="0.3"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</row>
    <row r="151" spans="15:30" ht="12" customHeight="1" x14ac:dyDescent="0.3"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</row>
    <row r="152" spans="15:30" ht="12" customHeight="1" x14ac:dyDescent="0.3"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</row>
    <row r="153" spans="15:30" ht="12" customHeight="1" x14ac:dyDescent="0.3"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</row>
    <row r="154" spans="15:30" ht="12" customHeight="1" x14ac:dyDescent="0.3"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</row>
    <row r="155" spans="15:30" ht="12" customHeight="1" x14ac:dyDescent="0.3"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</row>
    <row r="156" spans="15:30" ht="12" customHeight="1" x14ac:dyDescent="0.3"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</row>
    <row r="157" spans="15:30" ht="12" customHeight="1" x14ac:dyDescent="0.3"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</row>
    <row r="158" spans="15:30" ht="12" customHeight="1" x14ac:dyDescent="0.3"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</row>
    <row r="159" spans="15:30" ht="12" customHeight="1" x14ac:dyDescent="0.3"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</row>
    <row r="160" spans="15:30" ht="12" customHeight="1" x14ac:dyDescent="0.3"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</row>
    <row r="161" spans="15:30" ht="12" customHeight="1" x14ac:dyDescent="0.3"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</row>
    <row r="162" spans="15:30" ht="12" customHeight="1" x14ac:dyDescent="0.3"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</row>
    <row r="163" spans="15:30" ht="12" customHeight="1" x14ac:dyDescent="0.3"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</row>
    <row r="164" spans="15:30" ht="12" customHeight="1" x14ac:dyDescent="0.3"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</row>
    <row r="165" spans="15:30" ht="12" customHeight="1" x14ac:dyDescent="0.3"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</row>
    <row r="166" spans="15:30" ht="12" customHeight="1" x14ac:dyDescent="0.3"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</row>
    <row r="167" spans="15:30" ht="12" customHeight="1" x14ac:dyDescent="0.3"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</row>
    <row r="168" spans="15:30" ht="12" customHeight="1" x14ac:dyDescent="0.3"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</row>
    <row r="169" spans="15:30" ht="12" customHeight="1" x14ac:dyDescent="0.3"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</row>
    <row r="170" spans="15:30" ht="12" customHeight="1" x14ac:dyDescent="0.3"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</row>
    <row r="171" spans="15:30" ht="12" customHeight="1" x14ac:dyDescent="0.3"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</row>
    <row r="172" spans="15:30" ht="12" customHeight="1" x14ac:dyDescent="0.3"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</row>
    <row r="173" spans="15:30" ht="12" customHeight="1" x14ac:dyDescent="0.3"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</row>
    <row r="174" spans="15:30" ht="12" customHeight="1" x14ac:dyDescent="0.3"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</row>
    <row r="175" spans="15:30" ht="12" customHeight="1" x14ac:dyDescent="0.3"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</row>
    <row r="176" spans="15:30" ht="12" customHeight="1" x14ac:dyDescent="0.3"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</row>
    <row r="177" spans="15:30" ht="12" customHeight="1" x14ac:dyDescent="0.3"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</row>
    <row r="178" spans="15:30" ht="12" customHeight="1" x14ac:dyDescent="0.3"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</row>
    <row r="179" spans="15:30" ht="12" customHeight="1" x14ac:dyDescent="0.3"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</row>
    <row r="180" spans="15:30" ht="12" customHeight="1" x14ac:dyDescent="0.3"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</row>
    <row r="181" spans="15:30" ht="12" customHeight="1" x14ac:dyDescent="0.3"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</row>
    <row r="182" spans="15:30" ht="12" customHeight="1" x14ac:dyDescent="0.3"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</row>
    <row r="183" spans="15:30" ht="12" customHeight="1" x14ac:dyDescent="0.3"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</row>
    <row r="184" spans="15:30" ht="12" customHeight="1" x14ac:dyDescent="0.3"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</row>
    <row r="185" spans="15:30" ht="12" customHeight="1" x14ac:dyDescent="0.3"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</row>
    <row r="186" spans="15:30" ht="12" customHeight="1" x14ac:dyDescent="0.3"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</row>
    <row r="187" spans="15:30" ht="12" customHeight="1" x14ac:dyDescent="0.3"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</row>
    <row r="188" spans="15:30" ht="12" customHeight="1" x14ac:dyDescent="0.3"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</row>
    <row r="189" spans="15:30" ht="12" customHeight="1" x14ac:dyDescent="0.3"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</row>
    <row r="190" spans="15:30" ht="12" customHeight="1" x14ac:dyDescent="0.3"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</row>
    <row r="191" spans="15:30" ht="12" customHeight="1" x14ac:dyDescent="0.3"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</row>
    <row r="192" spans="15:30" ht="12" customHeight="1" x14ac:dyDescent="0.3"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</row>
    <row r="193" spans="15:30" ht="12" customHeight="1" x14ac:dyDescent="0.3"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</row>
    <row r="194" spans="15:30" ht="12" customHeight="1" x14ac:dyDescent="0.3"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</row>
    <row r="195" spans="15:30" ht="12" customHeight="1" x14ac:dyDescent="0.3"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</row>
    <row r="196" spans="15:30" ht="12" customHeight="1" x14ac:dyDescent="0.3"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</row>
    <row r="197" spans="15:30" ht="12" customHeight="1" x14ac:dyDescent="0.3"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</row>
    <row r="198" spans="15:30" ht="12" customHeight="1" x14ac:dyDescent="0.3"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</row>
    <row r="199" spans="15:30" ht="12" customHeight="1" x14ac:dyDescent="0.3"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</row>
    <row r="200" spans="15:30" ht="12" customHeight="1" x14ac:dyDescent="0.3"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</row>
  </sheetData>
  <mergeCells count="19">
    <mergeCell ref="B44:B45"/>
    <mergeCell ref="B46:C46"/>
    <mergeCell ref="O1:U1"/>
    <mergeCell ref="A48:C48"/>
    <mergeCell ref="A49:C49"/>
    <mergeCell ref="A47:C47"/>
    <mergeCell ref="L1:M1"/>
    <mergeCell ref="A2:A29"/>
    <mergeCell ref="A30:A46"/>
    <mergeCell ref="B2:B10"/>
    <mergeCell ref="B11:B18"/>
    <mergeCell ref="B19:B20"/>
    <mergeCell ref="B21:B23"/>
    <mergeCell ref="B24:B28"/>
    <mergeCell ref="B29:C29"/>
    <mergeCell ref="B30:B35"/>
    <mergeCell ref="B36:B37"/>
    <mergeCell ref="B38:B41"/>
    <mergeCell ref="B42:B43"/>
  </mergeCells>
  <pageMargins left="0.511811024" right="0.511811024" top="0.78740157499999996" bottom="0.78740157499999996" header="0.31496062000000002" footer="0.31496062000000002"/>
  <pageSetup paperSize="9" orientation="portrait" r:id="rId1"/>
  <ignoredErrors>
    <ignoredError sqref="H57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2D08C-016F-4C25-B553-E8B42578F7B2}">
  <sheetPr codeName="Planilha7"/>
  <dimension ref="A1:AP71"/>
  <sheetViews>
    <sheetView showGridLines="0" topLeftCell="C56" workbookViewId="0">
      <selection activeCell="K82" sqref="K82:P82"/>
    </sheetView>
  </sheetViews>
  <sheetFormatPr defaultRowHeight="11.25" customHeight="1" x14ac:dyDescent="0.3"/>
  <cols>
    <col min="1" max="1" width="9" style="9" bestFit="1" customWidth="1"/>
    <col min="2" max="2" width="19.441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4.109375" style="9" bestFit="1" customWidth="1"/>
    <col min="12" max="12" width="12.44140625" style="9" bestFit="1" customWidth="1"/>
    <col min="13" max="13" width="9.5546875" style="9" bestFit="1" customWidth="1"/>
    <col min="14" max="14" width="10.77734375" style="9" bestFit="1" customWidth="1"/>
    <col min="15" max="16" width="8.21875" style="9" bestFit="1" customWidth="1"/>
    <col min="17" max="17" width="9.88671875" style="9" bestFit="1" customWidth="1"/>
    <col min="18" max="18" width="9.109375" style="9" bestFit="1" customWidth="1"/>
    <col min="19" max="19" width="8" style="9" bestFit="1" customWidth="1"/>
    <col min="20" max="21" width="9.88671875" style="9" bestFit="1" customWidth="1"/>
    <col min="22" max="22" width="9.109375" style="9" bestFit="1" customWidth="1"/>
    <col min="23" max="23" width="9.21875" style="9" bestFit="1" customWidth="1"/>
    <col min="24" max="24" width="9.33203125" style="9" bestFit="1" customWidth="1"/>
    <col min="25" max="25" width="4.77734375" style="9" bestFit="1" customWidth="1"/>
    <col min="26" max="26" width="7.109375" style="9" bestFit="1" customWidth="1"/>
    <col min="27" max="27" width="9.33203125" style="9" bestFit="1" customWidth="1"/>
    <col min="28" max="28" width="9.88671875" style="9" bestFit="1" customWidth="1"/>
    <col min="29" max="29" width="11.109375" style="9" bestFit="1" customWidth="1"/>
    <col min="30" max="30" width="9.88671875" style="9" bestFit="1" customWidth="1"/>
    <col min="31" max="31" width="7.77734375" style="9" bestFit="1" customWidth="1"/>
    <col min="32" max="32" width="6.88671875" style="9" bestFit="1" customWidth="1"/>
    <col min="33" max="33" width="8.5546875" style="9" bestFit="1" customWidth="1"/>
    <col min="34" max="34" width="14.44140625" style="9" bestFit="1" customWidth="1"/>
    <col min="35" max="35" width="17.5546875" style="9" bestFit="1" customWidth="1"/>
    <col min="36" max="36" width="18.109375" style="9" bestFit="1" customWidth="1"/>
    <col min="37" max="37" width="7.88671875" style="9" bestFit="1" customWidth="1"/>
    <col min="38" max="38" width="9.5546875" style="9" bestFit="1" customWidth="1"/>
    <col min="39" max="39" width="10.6640625" style="9" bestFit="1" customWidth="1"/>
    <col min="40" max="41" width="8.88671875" style="9"/>
    <col min="42" max="42" width="7.21875" style="9" bestFit="1" customWidth="1"/>
    <col min="43" max="16384" width="8.88671875" style="9"/>
  </cols>
  <sheetData>
    <row r="1" spans="1:42" ht="11.25" customHeight="1" x14ac:dyDescent="0.3">
      <c r="A1" s="127" t="s">
        <v>68</v>
      </c>
      <c r="B1" s="127" t="s">
        <v>69</v>
      </c>
      <c r="C1" s="127" t="s">
        <v>70</v>
      </c>
      <c r="D1" s="127" t="s">
        <v>71</v>
      </c>
      <c r="E1" s="127" t="s">
        <v>72</v>
      </c>
      <c r="F1" s="127" t="s">
        <v>15</v>
      </c>
      <c r="G1" s="127" t="s">
        <v>74</v>
      </c>
      <c r="H1" s="127" t="s">
        <v>75</v>
      </c>
      <c r="I1" s="127" t="s">
        <v>757</v>
      </c>
      <c r="J1" s="123"/>
      <c r="L1" s="125" t="s">
        <v>758</v>
      </c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P1" s="125" t="s">
        <v>759</v>
      </c>
    </row>
    <row r="2" spans="1:42" ht="11.25" customHeight="1" x14ac:dyDescent="0.3">
      <c r="A2" s="127"/>
      <c r="B2" s="127"/>
      <c r="C2" s="127"/>
      <c r="D2" s="127"/>
      <c r="E2" s="127"/>
      <c r="F2" s="127"/>
      <c r="G2" s="127"/>
      <c r="H2" s="127"/>
      <c r="I2" s="127"/>
      <c r="J2" s="123"/>
      <c r="L2" s="125" t="s">
        <v>656</v>
      </c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P2" s="126"/>
    </row>
    <row r="3" spans="1:42" ht="11.25" customHeight="1" x14ac:dyDescent="0.3">
      <c r="A3" s="127"/>
      <c r="B3" s="127"/>
      <c r="C3" s="127"/>
      <c r="D3" s="127"/>
      <c r="E3" s="127"/>
      <c r="F3" s="127"/>
      <c r="G3" s="127"/>
      <c r="H3" s="127"/>
      <c r="I3" s="127"/>
      <c r="J3" s="123"/>
      <c r="L3" s="125" t="s">
        <v>657</v>
      </c>
      <c r="M3" s="125"/>
      <c r="N3" s="125"/>
      <c r="O3" s="125"/>
      <c r="P3" s="125"/>
      <c r="Q3" s="125"/>
      <c r="R3" s="125"/>
      <c r="S3" s="125"/>
      <c r="T3" s="125"/>
      <c r="U3" s="125" t="s">
        <v>666</v>
      </c>
      <c r="V3" s="125"/>
      <c r="W3" s="125"/>
      <c r="X3" s="125"/>
      <c r="Y3" s="125"/>
      <c r="Z3" s="125"/>
      <c r="AA3" s="125"/>
      <c r="AB3" s="125"/>
      <c r="AC3" s="125" t="s">
        <v>674</v>
      </c>
      <c r="AD3" s="125"/>
      <c r="AE3" s="125" t="s">
        <v>676</v>
      </c>
      <c r="AF3" s="125"/>
      <c r="AG3" s="125"/>
      <c r="AH3" s="125" t="s">
        <v>679</v>
      </c>
      <c r="AI3" s="125"/>
      <c r="AJ3" s="125"/>
      <c r="AK3" s="125"/>
      <c r="AL3" s="125"/>
      <c r="AM3" s="125" t="s">
        <v>665</v>
      </c>
      <c r="AP3" s="126"/>
    </row>
    <row r="4" spans="1:42" ht="11.25" customHeight="1" x14ac:dyDescent="0.3">
      <c r="A4" s="127"/>
      <c r="B4" s="127"/>
      <c r="C4" s="127"/>
      <c r="D4" s="127"/>
      <c r="E4" s="127"/>
      <c r="F4" s="127"/>
      <c r="G4" s="127"/>
      <c r="H4" s="127"/>
      <c r="I4" s="127"/>
      <c r="J4" s="123"/>
      <c r="L4" s="10" t="s">
        <v>742</v>
      </c>
      <c r="M4" s="10" t="s">
        <v>658</v>
      </c>
      <c r="N4" s="10" t="s">
        <v>659</v>
      </c>
      <c r="O4" s="10" t="s">
        <v>660</v>
      </c>
      <c r="P4" s="10" t="s">
        <v>661</v>
      </c>
      <c r="Q4" s="10" t="s">
        <v>662</v>
      </c>
      <c r="R4" s="10" t="s">
        <v>663</v>
      </c>
      <c r="S4" s="10" t="s">
        <v>664</v>
      </c>
      <c r="T4" s="10" t="s">
        <v>665</v>
      </c>
      <c r="U4" s="10" t="s">
        <v>667</v>
      </c>
      <c r="V4" s="10" t="s">
        <v>668</v>
      </c>
      <c r="W4" s="10" t="s">
        <v>669</v>
      </c>
      <c r="X4" s="10" t="s">
        <v>670</v>
      </c>
      <c r="Y4" s="10" t="s">
        <v>671</v>
      </c>
      <c r="Z4" s="10" t="s">
        <v>672</v>
      </c>
      <c r="AA4" s="10" t="s">
        <v>673</v>
      </c>
      <c r="AB4" s="10" t="s">
        <v>665</v>
      </c>
      <c r="AC4" s="10" t="s">
        <v>675</v>
      </c>
      <c r="AD4" s="10" t="s">
        <v>665</v>
      </c>
      <c r="AE4" s="10" t="s">
        <v>677</v>
      </c>
      <c r="AF4" s="10" t="s">
        <v>678</v>
      </c>
      <c r="AG4" s="10" t="s">
        <v>665</v>
      </c>
      <c r="AH4" s="10" t="s">
        <v>680</v>
      </c>
      <c r="AI4" s="10" t="s">
        <v>681</v>
      </c>
      <c r="AJ4" s="10" t="s">
        <v>682</v>
      </c>
      <c r="AK4" s="10" t="s">
        <v>683</v>
      </c>
      <c r="AL4" s="10" t="s">
        <v>665</v>
      </c>
      <c r="AM4" s="129"/>
      <c r="AP4" s="126"/>
    </row>
    <row r="5" spans="1:42" ht="11.25" customHeight="1" x14ac:dyDescent="0.3">
      <c r="A5" s="128" t="s">
        <v>54</v>
      </c>
      <c r="B5" s="128" t="s">
        <v>40</v>
      </c>
      <c r="C5" s="128" t="s">
        <v>25</v>
      </c>
      <c r="D5" s="128" t="s">
        <v>25</v>
      </c>
      <c r="E5" s="128" t="s">
        <v>25</v>
      </c>
      <c r="F5" s="128" t="s">
        <v>25</v>
      </c>
      <c r="G5" s="18" t="s">
        <v>82</v>
      </c>
      <c r="H5" s="18" t="s">
        <v>81</v>
      </c>
      <c r="I5" s="18">
        <f>'MERCADO TUSD'!$U$2</f>
        <v>45208</v>
      </c>
      <c r="J5" s="15"/>
      <c r="L5" s="13"/>
      <c r="M5" s="13"/>
      <c r="N5" s="13"/>
      <c r="O5" s="13"/>
      <c r="P5" s="13"/>
      <c r="Q5" s="13"/>
      <c r="R5" s="13"/>
      <c r="S5" s="13"/>
      <c r="T5" s="13"/>
      <c r="U5" s="13">
        <v>6.2137000000000002</v>
      </c>
      <c r="V5" s="13">
        <v>1.8431</v>
      </c>
      <c r="W5" s="13">
        <v>0.1022</v>
      </c>
      <c r="X5" s="13">
        <v>0</v>
      </c>
      <c r="Y5" s="13">
        <v>0</v>
      </c>
      <c r="Z5" s="13">
        <v>0</v>
      </c>
      <c r="AA5" s="13">
        <v>0</v>
      </c>
      <c r="AB5" s="13"/>
      <c r="AC5" s="13">
        <v>10.379799999999999</v>
      </c>
      <c r="AD5" s="13"/>
      <c r="AE5" s="13"/>
      <c r="AF5" s="13"/>
      <c r="AG5" s="13"/>
      <c r="AH5" s="13"/>
      <c r="AI5" s="13"/>
      <c r="AJ5" s="13"/>
      <c r="AK5" s="13"/>
      <c r="AL5" s="13"/>
      <c r="AM5" s="13"/>
      <c r="AP5" s="13">
        <v>1</v>
      </c>
    </row>
    <row r="6" spans="1:42" ht="11.25" customHeight="1" x14ac:dyDescent="0.3">
      <c r="A6" s="128"/>
      <c r="B6" s="128"/>
      <c r="C6" s="128"/>
      <c r="D6" s="128"/>
      <c r="E6" s="128"/>
      <c r="F6" s="128"/>
      <c r="G6" s="18" t="s">
        <v>83</v>
      </c>
      <c r="H6" s="18" t="s">
        <v>81</v>
      </c>
      <c r="I6" s="18">
        <f>'MERCADO TUSD'!$U$3</f>
        <v>240000</v>
      </c>
      <c r="J6" s="15"/>
      <c r="L6" s="13"/>
      <c r="M6" s="13"/>
      <c r="N6" s="13"/>
      <c r="O6" s="13"/>
      <c r="P6" s="13"/>
      <c r="Q6" s="13"/>
      <c r="R6" s="13"/>
      <c r="S6" s="13"/>
      <c r="T6" s="13"/>
      <c r="U6" s="13">
        <v>4.6196999999999999</v>
      </c>
      <c r="V6" s="13">
        <v>1.3813</v>
      </c>
      <c r="W6" s="13">
        <v>7.3400000000000007E-2</v>
      </c>
      <c r="X6" s="13">
        <v>0</v>
      </c>
      <c r="Y6" s="13">
        <v>0</v>
      </c>
      <c r="Z6" s="13">
        <v>0</v>
      </c>
      <c r="AA6" s="13">
        <v>0</v>
      </c>
      <c r="AB6" s="13"/>
      <c r="AC6" s="13">
        <v>1.2211000000000001</v>
      </c>
      <c r="AD6" s="13"/>
      <c r="AE6" s="13"/>
      <c r="AF6" s="13"/>
      <c r="AG6" s="13"/>
      <c r="AH6" s="13"/>
      <c r="AI6" s="13"/>
      <c r="AJ6" s="13"/>
      <c r="AK6" s="13"/>
      <c r="AL6" s="13"/>
      <c r="AM6" s="13"/>
      <c r="AP6" s="13">
        <v>1</v>
      </c>
    </row>
    <row r="7" spans="1:42" ht="11.25" customHeight="1" x14ac:dyDescent="0.3">
      <c r="A7" s="128"/>
      <c r="B7" s="128"/>
      <c r="C7" s="128"/>
      <c r="D7" s="128"/>
      <c r="E7" s="128"/>
      <c r="F7" s="128"/>
      <c r="G7" s="18" t="s">
        <v>84</v>
      </c>
      <c r="H7" s="18" t="s">
        <v>78</v>
      </c>
      <c r="I7" s="18">
        <f>'MERCADO TUSD'!$U$4</f>
        <v>117715.17200000002</v>
      </c>
      <c r="J7" s="15"/>
      <c r="L7" s="13"/>
      <c r="M7" s="13"/>
      <c r="N7" s="13"/>
      <c r="O7" s="13"/>
      <c r="P7" s="13"/>
      <c r="Q7" s="13"/>
      <c r="R7" s="13"/>
      <c r="S7" s="13"/>
      <c r="T7" s="13"/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/>
      <c r="AC7" s="13">
        <v>0</v>
      </c>
      <c r="AD7" s="13"/>
      <c r="AE7" s="13"/>
      <c r="AF7" s="13"/>
      <c r="AG7" s="13"/>
      <c r="AH7" s="13"/>
      <c r="AI7" s="13"/>
      <c r="AJ7" s="13"/>
      <c r="AK7" s="13"/>
      <c r="AL7" s="13"/>
      <c r="AM7" s="13"/>
      <c r="AP7" s="13">
        <v>1</v>
      </c>
    </row>
    <row r="8" spans="1:42" ht="11.25" customHeight="1" x14ac:dyDescent="0.3">
      <c r="A8" s="128"/>
      <c r="B8" s="128"/>
      <c r="C8" s="128"/>
      <c r="D8" s="128"/>
      <c r="E8" s="17" t="s">
        <v>85</v>
      </c>
      <c r="F8" s="17" t="s">
        <v>25</v>
      </c>
      <c r="G8" s="18" t="s">
        <v>84</v>
      </c>
      <c r="H8" s="18" t="s">
        <v>78</v>
      </c>
      <c r="I8" s="18">
        <f>'MERCADO TUSD'!$U$5</f>
        <v>0</v>
      </c>
      <c r="J8" s="15"/>
      <c r="L8" s="13"/>
      <c r="M8" s="13"/>
      <c r="N8" s="13"/>
      <c r="O8" s="13"/>
      <c r="P8" s="13"/>
      <c r="Q8" s="13"/>
      <c r="R8" s="13"/>
      <c r="S8" s="13"/>
      <c r="T8" s="13"/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/>
      <c r="AC8" s="13">
        <v>0</v>
      </c>
      <c r="AD8" s="13"/>
      <c r="AE8" s="13"/>
      <c r="AF8" s="13"/>
      <c r="AG8" s="13"/>
      <c r="AH8" s="13"/>
      <c r="AI8" s="13"/>
      <c r="AJ8" s="13"/>
      <c r="AK8" s="13"/>
      <c r="AL8" s="13"/>
      <c r="AM8" s="13"/>
      <c r="AP8" s="13">
        <v>1</v>
      </c>
    </row>
    <row r="9" spans="1:42" ht="11.25" customHeight="1" x14ac:dyDescent="0.3">
      <c r="A9" s="128" t="s">
        <v>60</v>
      </c>
      <c r="B9" s="128" t="s">
        <v>40</v>
      </c>
      <c r="C9" s="128" t="s">
        <v>25</v>
      </c>
      <c r="D9" s="128" t="s">
        <v>25</v>
      </c>
      <c r="E9" s="128" t="s">
        <v>25</v>
      </c>
      <c r="F9" s="128" t="s">
        <v>25</v>
      </c>
      <c r="G9" s="18" t="s">
        <v>82</v>
      </c>
      <c r="H9" s="18" t="s">
        <v>81</v>
      </c>
      <c r="I9" s="18">
        <f>'MERCADO TUSD'!$U$6</f>
        <v>0</v>
      </c>
      <c r="J9" s="15"/>
      <c r="L9" s="13"/>
      <c r="M9" s="13"/>
      <c r="N9" s="13"/>
      <c r="O9" s="13"/>
      <c r="P9" s="13"/>
      <c r="Q9" s="13"/>
      <c r="R9" s="13"/>
      <c r="S9" s="13"/>
      <c r="T9" s="13"/>
      <c r="U9" s="13">
        <v>5.6817000000000002</v>
      </c>
      <c r="V9" s="13">
        <v>1.6853</v>
      </c>
      <c r="W9" s="13">
        <v>9.35E-2</v>
      </c>
      <c r="X9" s="13">
        <v>0</v>
      </c>
      <c r="Y9" s="13">
        <v>0</v>
      </c>
      <c r="Z9" s="13">
        <v>0</v>
      </c>
      <c r="AA9" s="13">
        <v>0</v>
      </c>
      <c r="AB9" s="13"/>
      <c r="AC9" s="13">
        <v>19.179099999999998</v>
      </c>
      <c r="AD9" s="13"/>
      <c r="AE9" s="13"/>
      <c r="AF9" s="13"/>
      <c r="AG9" s="13"/>
      <c r="AH9" s="13"/>
      <c r="AI9" s="13"/>
      <c r="AJ9" s="13"/>
      <c r="AK9" s="13"/>
      <c r="AL9" s="13"/>
      <c r="AM9" s="13"/>
      <c r="AP9" s="13">
        <v>1</v>
      </c>
    </row>
    <row r="10" spans="1:42" ht="11.25" customHeight="1" x14ac:dyDescent="0.3">
      <c r="A10" s="128"/>
      <c r="B10" s="128"/>
      <c r="C10" s="128"/>
      <c r="D10" s="128"/>
      <c r="E10" s="128"/>
      <c r="F10" s="128"/>
      <c r="G10" s="18" t="s">
        <v>83</v>
      </c>
      <c r="H10" s="18" t="s">
        <v>81</v>
      </c>
      <c r="I10" s="18">
        <f>'MERCADO TUSD'!$U$7</f>
        <v>0</v>
      </c>
      <c r="J10" s="15"/>
      <c r="L10" s="13"/>
      <c r="M10" s="13"/>
      <c r="N10" s="13"/>
      <c r="O10" s="13"/>
      <c r="P10" s="13"/>
      <c r="Q10" s="13"/>
      <c r="R10" s="13"/>
      <c r="S10" s="13"/>
      <c r="T10" s="13"/>
      <c r="U10" s="13">
        <v>4.1074000000000002</v>
      </c>
      <c r="V10" s="13">
        <v>1.2281</v>
      </c>
      <c r="W10" s="13">
        <v>6.5299999999999997E-2</v>
      </c>
      <c r="X10" s="13">
        <v>0</v>
      </c>
      <c r="Y10" s="13">
        <v>0</v>
      </c>
      <c r="Z10" s="13">
        <v>0</v>
      </c>
      <c r="AA10" s="13">
        <v>0</v>
      </c>
      <c r="AB10" s="13"/>
      <c r="AC10" s="13">
        <v>5.1669</v>
      </c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P10" s="13">
        <v>1</v>
      </c>
    </row>
    <row r="11" spans="1:42" ht="11.25" customHeight="1" x14ac:dyDescent="0.3">
      <c r="A11" s="128"/>
      <c r="B11" s="128"/>
      <c r="C11" s="128"/>
      <c r="D11" s="128"/>
      <c r="E11" s="128"/>
      <c r="F11" s="128"/>
      <c r="G11" s="18" t="s">
        <v>84</v>
      </c>
      <c r="H11" s="18" t="s">
        <v>78</v>
      </c>
      <c r="I11" s="18">
        <f>'MERCADO TUSD'!$U$8</f>
        <v>0</v>
      </c>
      <c r="J11" s="15"/>
      <c r="L11" s="13"/>
      <c r="M11" s="13"/>
      <c r="N11" s="13"/>
      <c r="O11" s="13"/>
      <c r="P11" s="13"/>
      <c r="Q11" s="13"/>
      <c r="R11" s="13"/>
      <c r="S11" s="13"/>
      <c r="T11" s="13"/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/>
      <c r="AC11" s="13">
        <v>0</v>
      </c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P11" s="13">
        <v>1</v>
      </c>
    </row>
    <row r="12" spans="1:42" ht="11.25" customHeight="1" x14ac:dyDescent="0.3">
      <c r="A12" s="128"/>
      <c r="B12" s="128"/>
      <c r="C12" s="128"/>
      <c r="D12" s="128"/>
      <c r="E12" s="17" t="s">
        <v>85</v>
      </c>
      <c r="F12" s="17" t="s">
        <v>25</v>
      </c>
      <c r="G12" s="18" t="s">
        <v>84</v>
      </c>
      <c r="H12" s="18" t="s">
        <v>78</v>
      </c>
      <c r="I12" s="18">
        <f>'MERCADO TUSD'!$U$9</f>
        <v>0</v>
      </c>
      <c r="J12" s="15"/>
      <c r="L12" s="13"/>
      <c r="M12" s="13"/>
      <c r="N12" s="13"/>
      <c r="O12" s="13"/>
      <c r="P12" s="13"/>
      <c r="Q12" s="13"/>
      <c r="R12" s="13"/>
      <c r="S12" s="13"/>
      <c r="T12" s="13"/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/>
      <c r="AC12" s="13">
        <v>0</v>
      </c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P12" s="13">
        <v>1</v>
      </c>
    </row>
    <row r="13" spans="1:42" ht="11.25" customHeight="1" x14ac:dyDescent="0.3">
      <c r="A13" s="128"/>
      <c r="B13" s="17" t="s">
        <v>57</v>
      </c>
      <c r="C13" s="17" t="s">
        <v>25</v>
      </c>
      <c r="D13" s="17" t="s">
        <v>25</v>
      </c>
      <c r="E13" s="17" t="s">
        <v>25</v>
      </c>
      <c r="F13" s="17" t="s">
        <v>25</v>
      </c>
      <c r="G13" s="18" t="s">
        <v>9</v>
      </c>
      <c r="H13" s="18" t="s">
        <v>81</v>
      </c>
      <c r="I13" s="18">
        <f>'MERCADO TUSD'!$U$10</f>
        <v>93600</v>
      </c>
      <c r="J13" s="15"/>
      <c r="L13" s="13"/>
      <c r="M13" s="13"/>
      <c r="N13" s="13"/>
      <c r="O13" s="13"/>
      <c r="P13" s="13"/>
      <c r="Q13" s="13"/>
      <c r="R13" s="13"/>
      <c r="S13" s="13"/>
      <c r="T13" s="13"/>
      <c r="U13" s="13">
        <f>(1+CUSTOS!$M$4)*5.77120491220138</f>
        <v>6.1472566227996541</v>
      </c>
      <c r="V13" s="13">
        <f>(1+CUSTOS!$M$4)*2.36920971164573</f>
        <v>2.5235874158486773</v>
      </c>
      <c r="W13" s="13">
        <f>(1+CUSTOS!$M$4)*0.580556536593694</f>
        <v>0.61838560036918067</v>
      </c>
      <c r="X13" s="13">
        <f>(1+CUSTOS!$M$4)*0</f>
        <v>0</v>
      </c>
      <c r="Y13" s="13">
        <f>(1+CUSTOS!$M$4)*0</f>
        <v>0</v>
      </c>
      <c r="Z13" s="13">
        <v>0</v>
      </c>
      <c r="AA13" s="13">
        <v>0</v>
      </c>
      <c r="AB13" s="13"/>
      <c r="AC13" s="13">
        <f>(1+CUSTOS!$M$4)*1.48505742771871</f>
        <v>1.5818237693278272</v>
      </c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P13" s="13"/>
    </row>
    <row r="14" spans="1:42" ht="11.25" customHeight="1" x14ac:dyDescent="0.3">
      <c r="A14" s="128" t="s">
        <v>39</v>
      </c>
      <c r="B14" s="128" t="s">
        <v>40</v>
      </c>
      <c r="C14" s="128" t="s">
        <v>25</v>
      </c>
      <c r="D14" s="128" t="s">
        <v>25</v>
      </c>
      <c r="E14" s="128" t="s">
        <v>25</v>
      </c>
      <c r="F14" s="128" t="s">
        <v>25</v>
      </c>
      <c r="G14" s="18" t="s">
        <v>82</v>
      </c>
      <c r="H14" s="18" t="s">
        <v>81</v>
      </c>
      <c r="I14" s="18">
        <f>'MERCADO TUSD'!$U$11</f>
        <v>355389</v>
      </c>
      <c r="J14" s="15"/>
      <c r="L14" s="13"/>
      <c r="M14" s="13"/>
      <c r="N14" s="13"/>
      <c r="O14" s="13"/>
      <c r="P14" s="13"/>
      <c r="Q14" s="13"/>
      <c r="R14" s="13"/>
      <c r="S14" s="13"/>
      <c r="T14" s="13"/>
      <c r="U14" s="13">
        <v>5.1497000000000002</v>
      </c>
      <c r="V14" s="13">
        <v>1.5275000000000001</v>
      </c>
      <c r="W14" s="13">
        <v>8.4699999999999998E-2</v>
      </c>
      <c r="X14" s="13">
        <v>0</v>
      </c>
      <c r="Y14" s="13">
        <v>0</v>
      </c>
      <c r="Z14" s="13">
        <v>0</v>
      </c>
      <c r="AA14" s="13">
        <v>0</v>
      </c>
      <c r="AB14" s="13"/>
      <c r="AC14" s="13">
        <v>27.978400000000001</v>
      </c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P14" s="13">
        <v>1</v>
      </c>
    </row>
    <row r="15" spans="1:42" ht="11.25" customHeight="1" x14ac:dyDescent="0.3">
      <c r="A15" s="128"/>
      <c r="B15" s="128"/>
      <c r="C15" s="128"/>
      <c r="D15" s="128"/>
      <c r="E15" s="128"/>
      <c r="F15" s="128"/>
      <c r="G15" s="18" t="s">
        <v>83</v>
      </c>
      <c r="H15" s="18" t="s">
        <v>81</v>
      </c>
      <c r="I15" s="18">
        <f>'MERCADO TUSD'!$U$12</f>
        <v>371113</v>
      </c>
      <c r="J15" s="15"/>
      <c r="L15" s="13"/>
      <c r="M15" s="13"/>
      <c r="N15" s="13"/>
      <c r="O15" s="13"/>
      <c r="P15" s="13"/>
      <c r="Q15" s="13"/>
      <c r="R15" s="13"/>
      <c r="S15" s="13"/>
      <c r="T15" s="13"/>
      <c r="U15" s="13">
        <v>3.5951</v>
      </c>
      <c r="V15" s="13">
        <v>1.0749</v>
      </c>
      <c r="W15" s="13">
        <v>5.7099999999999998E-2</v>
      </c>
      <c r="X15" s="13">
        <v>0</v>
      </c>
      <c r="Y15" s="13">
        <v>0</v>
      </c>
      <c r="Z15" s="13">
        <v>0</v>
      </c>
      <c r="AA15" s="13">
        <v>0</v>
      </c>
      <c r="AB15" s="13"/>
      <c r="AC15" s="13">
        <v>9.1127000000000002</v>
      </c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P15" s="13">
        <v>1</v>
      </c>
    </row>
    <row r="16" spans="1:42" ht="11.25" customHeight="1" x14ac:dyDescent="0.3">
      <c r="A16" s="128"/>
      <c r="B16" s="128"/>
      <c r="C16" s="128"/>
      <c r="D16" s="128"/>
      <c r="E16" s="128"/>
      <c r="F16" s="128"/>
      <c r="G16" s="18" t="s">
        <v>84</v>
      </c>
      <c r="H16" s="18" t="s">
        <v>78</v>
      </c>
      <c r="I16" s="18">
        <f>'MERCADO TUSD'!$U$13</f>
        <v>175397.889</v>
      </c>
      <c r="J16" s="15"/>
      <c r="L16" s="13"/>
      <c r="M16" s="13"/>
      <c r="N16" s="13"/>
      <c r="O16" s="13"/>
      <c r="P16" s="13"/>
      <c r="Q16" s="13"/>
      <c r="R16" s="13"/>
      <c r="S16" s="13"/>
      <c r="T16" s="13"/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/>
      <c r="AC16" s="13">
        <v>0</v>
      </c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P16" s="13">
        <v>1</v>
      </c>
    </row>
    <row r="17" spans="1:42" ht="11.25" customHeight="1" x14ac:dyDescent="0.3">
      <c r="A17" s="128"/>
      <c r="B17" s="128"/>
      <c r="C17" s="128"/>
      <c r="D17" s="128"/>
      <c r="E17" s="17" t="s">
        <v>85</v>
      </c>
      <c r="F17" s="17" t="s">
        <v>25</v>
      </c>
      <c r="G17" s="18" t="s">
        <v>84</v>
      </c>
      <c r="H17" s="18" t="s">
        <v>78</v>
      </c>
      <c r="I17" s="18">
        <f>'MERCADO TUSD'!$U$14</f>
        <v>0</v>
      </c>
      <c r="J17" s="15"/>
      <c r="L17" s="13"/>
      <c r="M17" s="13"/>
      <c r="N17" s="13"/>
      <c r="O17" s="13"/>
      <c r="P17" s="13"/>
      <c r="Q17" s="13"/>
      <c r="R17" s="13"/>
      <c r="S17" s="13"/>
      <c r="T17" s="13"/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/>
      <c r="AC17" s="13">
        <v>0</v>
      </c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P17" s="13">
        <v>1</v>
      </c>
    </row>
    <row r="18" spans="1:42" ht="11.25" customHeight="1" x14ac:dyDescent="0.3">
      <c r="A18" s="128"/>
      <c r="B18" s="17" t="s">
        <v>57</v>
      </c>
      <c r="C18" s="17" t="s">
        <v>25</v>
      </c>
      <c r="D18" s="17" t="s">
        <v>25</v>
      </c>
      <c r="E18" s="17" t="s">
        <v>25</v>
      </c>
      <c r="F18" s="17" t="s">
        <v>25</v>
      </c>
      <c r="G18" s="18" t="s">
        <v>9</v>
      </c>
      <c r="H18" s="18" t="s">
        <v>81</v>
      </c>
      <c r="I18" s="18">
        <f>'MERCADO TUSD'!$U$15</f>
        <v>105360</v>
      </c>
      <c r="J18" s="15"/>
      <c r="L18" s="13"/>
      <c r="M18" s="13"/>
      <c r="N18" s="13"/>
      <c r="O18" s="13"/>
      <c r="P18" s="13"/>
      <c r="Q18" s="13"/>
      <c r="R18" s="13"/>
      <c r="S18" s="13"/>
      <c r="T18" s="13"/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/>
      <c r="AC18" s="13">
        <v>3.0596000000000001</v>
      </c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P18" s="13"/>
    </row>
    <row r="19" spans="1:42" ht="11.25" customHeight="1" x14ac:dyDescent="0.3">
      <c r="A19" s="128"/>
      <c r="B19" s="128" t="s">
        <v>41</v>
      </c>
      <c r="C19" s="128" t="s">
        <v>25</v>
      </c>
      <c r="D19" s="128" t="s">
        <v>25</v>
      </c>
      <c r="E19" s="128" t="s">
        <v>25</v>
      </c>
      <c r="F19" s="128" t="s">
        <v>25</v>
      </c>
      <c r="G19" s="18" t="s">
        <v>9</v>
      </c>
      <c r="H19" s="18" t="s">
        <v>81</v>
      </c>
      <c r="I19" s="18">
        <f>'MERCADO TUSD'!$U$16</f>
        <v>334187</v>
      </c>
      <c r="J19" s="15"/>
      <c r="L19" s="13"/>
      <c r="M19" s="13"/>
      <c r="N19" s="13"/>
      <c r="O19" s="13"/>
      <c r="P19" s="13"/>
      <c r="Q19" s="13"/>
      <c r="R19" s="13"/>
      <c r="S19" s="13"/>
      <c r="T19" s="13"/>
      <c r="U19" s="13">
        <v>3.5951</v>
      </c>
      <c r="V19" s="13">
        <v>1.0749</v>
      </c>
      <c r="W19" s="13">
        <v>5.7099999999999998E-2</v>
      </c>
      <c r="X19" s="13">
        <v>0</v>
      </c>
      <c r="Y19" s="13">
        <v>0</v>
      </c>
      <c r="Z19" s="13">
        <v>0</v>
      </c>
      <c r="AA19" s="13">
        <v>0</v>
      </c>
      <c r="AB19" s="13"/>
      <c r="AC19" s="13">
        <v>9.1127000000000002</v>
      </c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P19" s="13">
        <v>1</v>
      </c>
    </row>
    <row r="20" spans="1:42" ht="11.25" customHeight="1" x14ac:dyDescent="0.3">
      <c r="A20" s="128"/>
      <c r="B20" s="128"/>
      <c r="C20" s="128"/>
      <c r="D20" s="128"/>
      <c r="E20" s="128"/>
      <c r="F20" s="128"/>
      <c r="G20" s="18" t="s">
        <v>79</v>
      </c>
      <c r="H20" s="18" t="s">
        <v>78</v>
      </c>
      <c r="I20" s="18">
        <f>'MERCADO TUSD'!$U$17</f>
        <v>7190.6020000000008</v>
      </c>
      <c r="J20" s="15"/>
      <c r="L20" s="13"/>
      <c r="M20" s="13"/>
      <c r="N20" s="13"/>
      <c r="O20" s="13"/>
      <c r="P20" s="13"/>
      <c r="Q20" s="13"/>
      <c r="R20" s="13"/>
      <c r="S20" s="13"/>
      <c r="T20" s="13"/>
      <c r="U20" s="13">
        <v>123.8509</v>
      </c>
      <c r="V20" s="13">
        <v>36.736899999999999</v>
      </c>
      <c r="W20" s="13">
        <v>2.0377999999999998</v>
      </c>
      <c r="X20" s="13">
        <v>0</v>
      </c>
      <c r="Y20" s="13">
        <v>0</v>
      </c>
      <c r="Z20" s="13">
        <v>0</v>
      </c>
      <c r="AA20" s="13">
        <v>0</v>
      </c>
      <c r="AB20" s="13"/>
      <c r="AC20" s="13">
        <v>672.88019999999995</v>
      </c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P20" s="13">
        <v>1</v>
      </c>
    </row>
    <row r="21" spans="1:42" ht="11.25" customHeight="1" x14ac:dyDescent="0.3">
      <c r="A21" s="128"/>
      <c r="B21" s="128"/>
      <c r="C21" s="128"/>
      <c r="D21" s="128"/>
      <c r="E21" s="128"/>
      <c r="F21" s="128"/>
      <c r="G21" s="18" t="s">
        <v>80</v>
      </c>
      <c r="H21" s="18" t="s">
        <v>78</v>
      </c>
      <c r="I21" s="18">
        <f>'MERCADO TUSD'!$U$18</f>
        <v>80797.680999999997</v>
      </c>
      <c r="J21" s="15"/>
      <c r="L21" s="13"/>
      <c r="M21" s="13"/>
      <c r="N21" s="13"/>
      <c r="O21" s="13"/>
      <c r="P21" s="13"/>
      <c r="Q21" s="13"/>
      <c r="R21" s="13"/>
      <c r="S21" s="13"/>
      <c r="T21" s="13"/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/>
      <c r="AC21" s="13">
        <v>0</v>
      </c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P21" s="13">
        <v>1</v>
      </c>
    </row>
    <row r="22" spans="1:42" ht="11.25" customHeight="1" x14ac:dyDescent="0.3">
      <c r="A22" s="128"/>
      <c r="B22" s="128"/>
      <c r="C22" s="128"/>
      <c r="D22" s="128"/>
      <c r="E22" s="128" t="s">
        <v>85</v>
      </c>
      <c r="F22" s="128" t="s">
        <v>25</v>
      </c>
      <c r="G22" s="18" t="s">
        <v>79</v>
      </c>
      <c r="H22" s="18" t="s">
        <v>78</v>
      </c>
      <c r="I22" s="18">
        <f>'MERCADO TUSD'!$U$19</f>
        <v>0</v>
      </c>
      <c r="J22" s="15"/>
      <c r="L22" s="13"/>
      <c r="M22" s="13"/>
      <c r="N22" s="13"/>
      <c r="O22" s="13"/>
      <c r="P22" s="13"/>
      <c r="Q22" s="13"/>
      <c r="R22" s="13"/>
      <c r="S22" s="13"/>
      <c r="T22" s="13"/>
      <c r="U22" s="13">
        <v>123.8509</v>
      </c>
      <c r="V22" s="13">
        <v>36.736899999999999</v>
      </c>
      <c r="W22" s="13">
        <v>2.0377999999999998</v>
      </c>
      <c r="X22" s="13">
        <v>0</v>
      </c>
      <c r="Y22" s="13">
        <v>0</v>
      </c>
      <c r="Z22" s="13">
        <v>0</v>
      </c>
      <c r="AA22" s="13">
        <v>0</v>
      </c>
      <c r="AB22" s="13"/>
      <c r="AC22" s="13">
        <v>672.88019999999995</v>
      </c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P22" s="13">
        <v>1</v>
      </c>
    </row>
    <row r="23" spans="1:42" ht="11.25" customHeight="1" x14ac:dyDescent="0.3">
      <c r="A23" s="128"/>
      <c r="B23" s="128"/>
      <c r="C23" s="128"/>
      <c r="D23" s="128"/>
      <c r="E23" s="128"/>
      <c r="F23" s="128"/>
      <c r="G23" s="18" t="s">
        <v>80</v>
      </c>
      <c r="H23" s="18" t="s">
        <v>78</v>
      </c>
      <c r="I23" s="18">
        <f>'MERCADO TUSD'!$U$20</f>
        <v>0</v>
      </c>
      <c r="J23" s="15"/>
      <c r="L23" s="13"/>
      <c r="M23" s="13"/>
      <c r="N23" s="13"/>
      <c r="O23" s="13"/>
      <c r="P23" s="13"/>
      <c r="Q23" s="13"/>
      <c r="R23" s="13"/>
      <c r="S23" s="13"/>
      <c r="T23" s="13"/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/>
      <c r="AC23" s="13">
        <v>0</v>
      </c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P23" s="13">
        <v>1</v>
      </c>
    </row>
    <row r="24" spans="1:42" ht="11.25" customHeight="1" x14ac:dyDescent="0.3">
      <c r="A24" s="128" t="s">
        <v>43</v>
      </c>
      <c r="B24" s="128" t="s">
        <v>40</v>
      </c>
      <c r="C24" s="128" t="s">
        <v>25</v>
      </c>
      <c r="D24" s="128" t="s">
        <v>25</v>
      </c>
      <c r="E24" s="128" t="s">
        <v>25</v>
      </c>
      <c r="F24" s="128" t="s">
        <v>25</v>
      </c>
      <c r="G24" s="18" t="s">
        <v>82</v>
      </c>
      <c r="H24" s="18" t="s">
        <v>81</v>
      </c>
      <c r="I24" s="18">
        <f>'MERCADO TUSD'!$U$21</f>
        <v>0</v>
      </c>
      <c r="J24" s="15"/>
      <c r="L24" s="13"/>
      <c r="M24" s="13"/>
      <c r="N24" s="13"/>
      <c r="O24" s="13"/>
      <c r="P24" s="13"/>
      <c r="Q24" s="13"/>
      <c r="R24" s="13"/>
      <c r="S24" s="13"/>
      <c r="T24" s="13"/>
      <c r="U24" s="13">
        <v>5.0484</v>
      </c>
      <c r="V24" s="13">
        <v>1.4975000000000001</v>
      </c>
      <c r="W24" s="13">
        <v>8.3099999999999993E-2</v>
      </c>
      <c r="X24" s="13">
        <v>0</v>
      </c>
      <c r="Y24" s="13">
        <v>0</v>
      </c>
      <c r="Z24" s="13">
        <v>0</v>
      </c>
      <c r="AA24" s="13">
        <v>0</v>
      </c>
      <c r="AB24" s="13"/>
      <c r="AC24" s="13">
        <v>52.745899999999999</v>
      </c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P24" s="13">
        <v>1</v>
      </c>
    </row>
    <row r="25" spans="1:42" ht="11.25" customHeight="1" x14ac:dyDescent="0.3">
      <c r="A25" s="128"/>
      <c r="B25" s="128"/>
      <c r="C25" s="128"/>
      <c r="D25" s="128"/>
      <c r="E25" s="128"/>
      <c r="F25" s="128"/>
      <c r="G25" s="18" t="s">
        <v>83</v>
      </c>
      <c r="H25" s="18" t="s">
        <v>81</v>
      </c>
      <c r="I25" s="18">
        <f>'MERCADO TUSD'!$U$22</f>
        <v>0</v>
      </c>
      <c r="J25" s="15"/>
      <c r="L25" s="13"/>
      <c r="M25" s="13"/>
      <c r="N25" s="13"/>
      <c r="O25" s="13"/>
      <c r="P25" s="13"/>
      <c r="Q25" s="13"/>
      <c r="R25" s="13"/>
      <c r="S25" s="13"/>
      <c r="T25" s="13"/>
      <c r="U25" s="13">
        <v>4.7443</v>
      </c>
      <c r="V25" s="13">
        <v>1.4185000000000001</v>
      </c>
      <c r="W25" s="13">
        <v>7.5399999999999995E-2</v>
      </c>
      <c r="X25" s="13">
        <v>0</v>
      </c>
      <c r="Y25" s="13">
        <v>0</v>
      </c>
      <c r="Z25" s="13">
        <v>0</v>
      </c>
      <c r="AA25" s="13">
        <v>0</v>
      </c>
      <c r="AB25" s="13"/>
      <c r="AC25" s="13">
        <v>5.6367000000000003</v>
      </c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P25" s="13">
        <v>1</v>
      </c>
    </row>
    <row r="26" spans="1:42" ht="11.25" customHeight="1" x14ac:dyDescent="0.3">
      <c r="A26" s="128"/>
      <c r="B26" s="128"/>
      <c r="C26" s="128"/>
      <c r="D26" s="128"/>
      <c r="E26" s="128"/>
      <c r="F26" s="128"/>
      <c r="G26" s="18" t="s">
        <v>84</v>
      </c>
      <c r="H26" s="18" t="s">
        <v>78</v>
      </c>
      <c r="I26" s="18">
        <f>'MERCADO TUSD'!$U$23</f>
        <v>0</v>
      </c>
      <c r="J26" s="15"/>
      <c r="L26" s="13"/>
      <c r="M26" s="13"/>
      <c r="N26" s="13"/>
      <c r="O26" s="13"/>
      <c r="P26" s="13"/>
      <c r="Q26" s="13"/>
      <c r="R26" s="13"/>
      <c r="S26" s="13"/>
      <c r="T26" s="13"/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/>
      <c r="AC26" s="13">
        <v>0</v>
      </c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P26" s="13">
        <v>1</v>
      </c>
    </row>
    <row r="27" spans="1:42" ht="11.25" customHeight="1" x14ac:dyDescent="0.3">
      <c r="A27" s="128"/>
      <c r="B27" s="128"/>
      <c r="C27" s="128"/>
      <c r="D27" s="128"/>
      <c r="E27" s="17" t="s">
        <v>85</v>
      </c>
      <c r="F27" s="17" t="s">
        <v>25</v>
      </c>
      <c r="G27" s="18" t="s">
        <v>84</v>
      </c>
      <c r="H27" s="18" t="s">
        <v>78</v>
      </c>
      <c r="I27" s="18">
        <f>'MERCADO TUSD'!$U$24</f>
        <v>0</v>
      </c>
      <c r="J27" s="15"/>
      <c r="L27" s="13"/>
      <c r="M27" s="13"/>
      <c r="N27" s="13"/>
      <c r="O27" s="13"/>
      <c r="P27" s="13"/>
      <c r="Q27" s="13"/>
      <c r="R27" s="13"/>
      <c r="S27" s="13"/>
      <c r="T27" s="13"/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/>
      <c r="AC27" s="13">
        <v>0</v>
      </c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P27" s="13">
        <v>1</v>
      </c>
    </row>
    <row r="28" spans="1:42" ht="11.25" customHeight="1" x14ac:dyDescent="0.3">
      <c r="A28" s="128"/>
      <c r="B28" s="128" t="s">
        <v>41</v>
      </c>
      <c r="C28" s="128" t="s">
        <v>25</v>
      </c>
      <c r="D28" s="128" t="s">
        <v>25</v>
      </c>
      <c r="E28" s="128" t="s">
        <v>25</v>
      </c>
      <c r="F28" s="128" t="s">
        <v>25</v>
      </c>
      <c r="G28" s="18" t="s">
        <v>9</v>
      </c>
      <c r="H28" s="18" t="s">
        <v>81</v>
      </c>
      <c r="I28" s="18">
        <f>'MERCADO TUSD'!$U$25</f>
        <v>2892</v>
      </c>
      <c r="J28" s="15"/>
      <c r="L28" s="13"/>
      <c r="M28" s="13"/>
      <c r="N28" s="13"/>
      <c r="O28" s="13"/>
      <c r="P28" s="13"/>
      <c r="Q28" s="13"/>
      <c r="R28" s="13"/>
      <c r="S28" s="13"/>
      <c r="T28" s="13"/>
      <c r="U28" s="13">
        <v>4.7443</v>
      </c>
      <c r="V28" s="13">
        <v>1.4185000000000001</v>
      </c>
      <c r="W28" s="13">
        <v>7.5399999999999995E-2</v>
      </c>
      <c r="X28" s="13">
        <v>0</v>
      </c>
      <c r="Y28" s="13">
        <v>0</v>
      </c>
      <c r="Z28" s="13">
        <v>0</v>
      </c>
      <c r="AA28" s="13">
        <v>0</v>
      </c>
      <c r="AB28" s="13"/>
      <c r="AC28" s="13">
        <v>5.6367000000000003</v>
      </c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P28" s="13">
        <v>1</v>
      </c>
    </row>
    <row r="29" spans="1:42" ht="11.25" customHeight="1" x14ac:dyDescent="0.3">
      <c r="A29" s="128"/>
      <c r="B29" s="128"/>
      <c r="C29" s="128"/>
      <c r="D29" s="128"/>
      <c r="E29" s="128"/>
      <c r="F29" s="128"/>
      <c r="G29" s="18" t="s">
        <v>79</v>
      </c>
      <c r="H29" s="18" t="s">
        <v>78</v>
      </c>
      <c r="I29" s="18">
        <f>'MERCADO TUSD'!$U$26</f>
        <v>55.301000000000002</v>
      </c>
      <c r="J29" s="15"/>
      <c r="L29" s="13"/>
      <c r="M29" s="13"/>
      <c r="N29" s="13"/>
      <c r="O29" s="13"/>
      <c r="P29" s="13"/>
      <c r="Q29" s="13"/>
      <c r="R29" s="13"/>
      <c r="S29" s="13"/>
      <c r="T29" s="13"/>
      <c r="U29" s="13">
        <v>121.41370000000001</v>
      </c>
      <c r="V29" s="13">
        <v>36.014000000000003</v>
      </c>
      <c r="W29" s="13">
        <v>1.9977</v>
      </c>
      <c r="X29" s="13">
        <v>0</v>
      </c>
      <c r="Y29" s="13">
        <v>0</v>
      </c>
      <c r="Z29" s="13">
        <v>0</v>
      </c>
      <c r="AA29" s="13">
        <v>0</v>
      </c>
      <c r="AB29" s="13"/>
      <c r="AC29" s="13">
        <v>1268.5399</v>
      </c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P29" s="13">
        <v>1</v>
      </c>
    </row>
    <row r="30" spans="1:42" ht="11.25" customHeight="1" x14ac:dyDescent="0.3">
      <c r="A30" s="128"/>
      <c r="B30" s="128"/>
      <c r="C30" s="128"/>
      <c r="D30" s="128"/>
      <c r="E30" s="128"/>
      <c r="F30" s="128"/>
      <c r="G30" s="18" t="s">
        <v>80</v>
      </c>
      <c r="H30" s="18" t="s">
        <v>78</v>
      </c>
      <c r="I30" s="18">
        <f>'MERCADO TUSD'!$U$27</f>
        <v>509.89599999999996</v>
      </c>
      <c r="J30" s="15"/>
      <c r="L30" s="13"/>
      <c r="M30" s="13"/>
      <c r="N30" s="13"/>
      <c r="O30" s="13"/>
      <c r="P30" s="13"/>
      <c r="Q30" s="13"/>
      <c r="R30" s="13"/>
      <c r="S30" s="13"/>
      <c r="T30" s="13"/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/>
      <c r="AC30" s="13">
        <v>0</v>
      </c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P30" s="13">
        <v>1</v>
      </c>
    </row>
    <row r="31" spans="1:42" ht="11.25" customHeight="1" x14ac:dyDescent="0.3">
      <c r="A31" s="128"/>
      <c r="B31" s="128"/>
      <c r="C31" s="128"/>
      <c r="D31" s="128"/>
      <c r="E31" s="128" t="s">
        <v>85</v>
      </c>
      <c r="F31" s="128" t="s">
        <v>25</v>
      </c>
      <c r="G31" s="18" t="s">
        <v>79</v>
      </c>
      <c r="H31" s="18" t="s">
        <v>78</v>
      </c>
      <c r="I31" s="18">
        <f>'MERCADO TUSD'!$U$28</f>
        <v>0</v>
      </c>
      <c r="J31" s="15"/>
      <c r="L31" s="13"/>
      <c r="M31" s="13"/>
      <c r="N31" s="13"/>
      <c r="O31" s="13"/>
      <c r="P31" s="13"/>
      <c r="Q31" s="13"/>
      <c r="R31" s="13"/>
      <c r="S31" s="13"/>
      <c r="T31" s="13"/>
      <c r="U31" s="13">
        <v>121.41370000000001</v>
      </c>
      <c r="V31" s="13">
        <v>36.014000000000003</v>
      </c>
      <c r="W31" s="13">
        <v>1.9977</v>
      </c>
      <c r="X31" s="13">
        <v>0</v>
      </c>
      <c r="Y31" s="13">
        <v>0</v>
      </c>
      <c r="Z31" s="13">
        <v>0</v>
      </c>
      <c r="AA31" s="13">
        <v>0</v>
      </c>
      <c r="AB31" s="13"/>
      <c r="AC31" s="13">
        <v>1268.5399</v>
      </c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P31" s="13">
        <v>1</v>
      </c>
    </row>
    <row r="32" spans="1:42" ht="11.25" customHeight="1" x14ac:dyDescent="0.3">
      <c r="A32" s="128"/>
      <c r="B32" s="128"/>
      <c r="C32" s="128"/>
      <c r="D32" s="128"/>
      <c r="E32" s="128"/>
      <c r="F32" s="128"/>
      <c r="G32" s="18" t="s">
        <v>80</v>
      </c>
      <c r="H32" s="18" t="s">
        <v>78</v>
      </c>
      <c r="I32" s="18">
        <f>'MERCADO TUSD'!$U$29</f>
        <v>0</v>
      </c>
      <c r="J32" s="15"/>
      <c r="L32" s="13"/>
      <c r="M32" s="13"/>
      <c r="N32" s="13"/>
      <c r="O32" s="13"/>
      <c r="P32" s="13"/>
      <c r="Q32" s="13"/>
      <c r="R32" s="13"/>
      <c r="S32" s="13"/>
      <c r="T32" s="13"/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/>
      <c r="AC32" s="13">
        <v>0</v>
      </c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P32" s="13">
        <v>1</v>
      </c>
    </row>
    <row r="33" spans="1:42" ht="11.25" customHeight="1" x14ac:dyDescent="0.3">
      <c r="A33" s="128"/>
      <c r="B33" s="128" t="s">
        <v>23</v>
      </c>
      <c r="C33" s="128" t="s">
        <v>25</v>
      </c>
      <c r="D33" s="128" t="s">
        <v>25</v>
      </c>
      <c r="E33" s="128" t="s">
        <v>25</v>
      </c>
      <c r="F33" s="128" t="s">
        <v>25</v>
      </c>
      <c r="G33" s="18" t="s">
        <v>9</v>
      </c>
      <c r="H33" s="18" t="s">
        <v>81</v>
      </c>
      <c r="I33" s="18">
        <f>'MERCADO TUSD'!$U$30</f>
        <v>0</v>
      </c>
      <c r="J33" s="15"/>
      <c r="L33" s="13"/>
      <c r="M33" s="13"/>
      <c r="N33" s="13"/>
      <c r="O33" s="13"/>
      <c r="P33" s="13"/>
      <c r="Q33" s="13"/>
      <c r="R33" s="13"/>
      <c r="S33" s="13"/>
      <c r="T33" s="13"/>
      <c r="U33" s="13">
        <v>8.3792000000000009</v>
      </c>
      <c r="V33" s="13">
        <v>2.4967000000000001</v>
      </c>
      <c r="W33" s="13">
        <v>0.13519999999999999</v>
      </c>
      <c r="X33" s="13">
        <v>0</v>
      </c>
      <c r="Y33" s="13">
        <v>0</v>
      </c>
      <c r="Z33" s="13">
        <v>0</v>
      </c>
      <c r="AA33" s="13">
        <v>0</v>
      </c>
      <c r="AB33" s="13"/>
      <c r="AC33" s="13">
        <v>43.613700000000001</v>
      </c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P33" s="13">
        <v>1</v>
      </c>
    </row>
    <row r="34" spans="1:42" ht="11.25" customHeight="1" x14ac:dyDescent="0.3">
      <c r="A34" s="128"/>
      <c r="B34" s="128"/>
      <c r="C34" s="128"/>
      <c r="D34" s="128"/>
      <c r="E34" s="128"/>
      <c r="F34" s="128"/>
      <c r="G34" s="18" t="s">
        <v>84</v>
      </c>
      <c r="H34" s="18" t="s">
        <v>78</v>
      </c>
      <c r="I34" s="18">
        <f>'MERCADO TUSD'!$U$31</f>
        <v>0</v>
      </c>
      <c r="J34" s="15"/>
      <c r="L34" s="13"/>
      <c r="M34" s="13"/>
      <c r="N34" s="13"/>
      <c r="O34" s="13"/>
      <c r="P34" s="13"/>
      <c r="Q34" s="13"/>
      <c r="R34" s="13"/>
      <c r="S34" s="13"/>
      <c r="T34" s="13"/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/>
      <c r="AC34" s="13">
        <v>0</v>
      </c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P34" s="13">
        <v>1</v>
      </c>
    </row>
    <row r="35" spans="1:42" ht="11.25" customHeight="1" x14ac:dyDescent="0.3">
      <c r="A35" s="128" t="s">
        <v>87</v>
      </c>
      <c r="B35" s="128" t="s">
        <v>57</v>
      </c>
      <c r="C35" s="128" t="s">
        <v>25</v>
      </c>
      <c r="D35" s="128" t="s">
        <v>25</v>
      </c>
      <c r="E35" s="17" t="s">
        <v>88</v>
      </c>
      <c r="F35" s="17" t="s">
        <v>25</v>
      </c>
      <c r="G35" s="18" t="s">
        <v>9</v>
      </c>
      <c r="H35" s="18" t="s">
        <v>81</v>
      </c>
      <c r="I35" s="18">
        <f>'MERCADO TUSD'!$U$32+0.00000001</f>
        <v>1E-8</v>
      </c>
      <c r="J35" s="15"/>
      <c r="L35" s="13"/>
      <c r="M35" s="13"/>
      <c r="N35" s="13"/>
      <c r="O35" s="13"/>
      <c r="P35" s="13"/>
      <c r="Q35" s="13"/>
      <c r="R35" s="13"/>
      <c r="S35" s="13"/>
      <c r="T35" s="13"/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/>
      <c r="AC35" s="13">
        <v>2.3862999999999999</v>
      </c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P35" s="13"/>
    </row>
    <row r="36" spans="1:42" ht="11.25" customHeight="1" x14ac:dyDescent="0.3">
      <c r="A36" s="128"/>
      <c r="B36" s="128"/>
      <c r="C36" s="128"/>
      <c r="D36" s="128"/>
      <c r="E36" s="17" t="s">
        <v>89</v>
      </c>
      <c r="F36" s="17" t="s">
        <v>25</v>
      </c>
      <c r="G36" s="18" t="s">
        <v>9</v>
      </c>
      <c r="H36" s="18" t="s">
        <v>81</v>
      </c>
      <c r="I36" s="18">
        <f>'MERCADO TUSD'!$U$33+0.00000001</f>
        <v>1E-8</v>
      </c>
      <c r="J36" s="15"/>
      <c r="L36" s="13"/>
      <c r="M36" s="13"/>
      <c r="N36" s="13"/>
      <c r="O36" s="13"/>
      <c r="P36" s="13"/>
      <c r="Q36" s="13"/>
      <c r="R36" s="13"/>
      <c r="S36" s="13"/>
      <c r="T36" s="13"/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/>
      <c r="AC36" s="13">
        <v>6.4222999999999999</v>
      </c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P36" s="13"/>
    </row>
    <row r="37" spans="1:42" ht="11.25" customHeight="1" x14ac:dyDescent="0.3">
      <c r="A37" s="128" t="s">
        <v>22</v>
      </c>
      <c r="B37" s="128" t="s">
        <v>33</v>
      </c>
      <c r="C37" s="128" t="s">
        <v>24</v>
      </c>
      <c r="D37" s="128" t="s">
        <v>24</v>
      </c>
      <c r="E37" s="128" t="s">
        <v>25</v>
      </c>
      <c r="F37" s="128" t="s">
        <v>25</v>
      </c>
      <c r="G37" s="18" t="s">
        <v>79</v>
      </c>
      <c r="H37" s="18" t="s">
        <v>78</v>
      </c>
      <c r="I37" s="18">
        <f>'MERCADO TUSD'!$U$34</f>
        <v>16.994999999999997</v>
      </c>
      <c r="J37" s="15"/>
      <c r="L37" s="13"/>
      <c r="M37" s="13"/>
      <c r="N37" s="13"/>
      <c r="O37" s="13"/>
      <c r="P37" s="13"/>
      <c r="Q37" s="13"/>
      <c r="R37" s="13"/>
      <c r="S37" s="13"/>
      <c r="T37" s="13"/>
      <c r="U37" s="13">
        <v>66.326899999999995</v>
      </c>
      <c r="V37" s="13">
        <v>19.747</v>
      </c>
      <c r="W37" s="13">
        <v>1.0740000000000001</v>
      </c>
      <c r="X37" s="13">
        <v>0</v>
      </c>
      <c r="Y37" s="13">
        <v>0</v>
      </c>
      <c r="Z37" s="13">
        <v>0</v>
      </c>
      <c r="AA37" s="13">
        <v>0</v>
      </c>
      <c r="AB37" s="13"/>
      <c r="AC37" s="13">
        <v>408.40410000000003</v>
      </c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P37" s="13">
        <v>1</v>
      </c>
    </row>
    <row r="38" spans="1:42" ht="11.25" customHeight="1" x14ac:dyDescent="0.3">
      <c r="A38" s="128"/>
      <c r="B38" s="128"/>
      <c r="C38" s="128"/>
      <c r="D38" s="128"/>
      <c r="E38" s="128"/>
      <c r="F38" s="128"/>
      <c r="G38" s="18" t="s">
        <v>90</v>
      </c>
      <c r="H38" s="18" t="s">
        <v>78</v>
      </c>
      <c r="I38" s="18">
        <f>'MERCADO TUSD'!$U$35</f>
        <v>10.9</v>
      </c>
      <c r="J38" s="15"/>
      <c r="L38" s="13"/>
      <c r="M38" s="13"/>
      <c r="N38" s="13"/>
      <c r="O38" s="13"/>
      <c r="P38" s="13"/>
      <c r="Q38" s="13"/>
      <c r="R38" s="13"/>
      <c r="S38" s="13"/>
      <c r="T38" s="13"/>
      <c r="U38" s="13">
        <v>39.796199999999999</v>
      </c>
      <c r="V38" s="13">
        <v>11.8482</v>
      </c>
      <c r="W38" s="13">
        <v>0.64439999999999997</v>
      </c>
      <c r="X38" s="13">
        <v>0</v>
      </c>
      <c r="Y38" s="13">
        <v>0</v>
      </c>
      <c r="Z38" s="13">
        <v>0</v>
      </c>
      <c r="AA38" s="13">
        <v>0</v>
      </c>
      <c r="AB38" s="13"/>
      <c r="AC38" s="13">
        <v>245.04239999999999</v>
      </c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P38" s="13">
        <v>1</v>
      </c>
    </row>
    <row r="39" spans="1:42" ht="11.25" customHeight="1" x14ac:dyDescent="0.3">
      <c r="A39" s="128"/>
      <c r="B39" s="128"/>
      <c r="C39" s="128"/>
      <c r="D39" s="128"/>
      <c r="E39" s="128"/>
      <c r="F39" s="128"/>
      <c r="G39" s="18" t="s">
        <v>80</v>
      </c>
      <c r="H39" s="18" t="s">
        <v>78</v>
      </c>
      <c r="I39" s="18">
        <f>'MERCADO TUSD'!$U$36</f>
        <v>127.76599999999999</v>
      </c>
      <c r="J39" s="15"/>
      <c r="L39" s="13"/>
      <c r="M39" s="13"/>
      <c r="N39" s="13"/>
      <c r="O39" s="13"/>
      <c r="P39" s="13"/>
      <c r="Q39" s="13"/>
      <c r="R39" s="13"/>
      <c r="S39" s="13"/>
      <c r="T39" s="13"/>
      <c r="U39" s="13">
        <v>13.2654</v>
      </c>
      <c r="V39" s="13">
        <v>3.9493999999999998</v>
      </c>
      <c r="W39" s="13">
        <v>0.21479999999999999</v>
      </c>
      <c r="X39" s="13">
        <v>0</v>
      </c>
      <c r="Y39" s="13">
        <v>0</v>
      </c>
      <c r="Z39" s="13">
        <v>0</v>
      </c>
      <c r="AA39" s="13">
        <v>0</v>
      </c>
      <c r="AB39" s="13"/>
      <c r="AC39" s="13">
        <v>81.680800000000005</v>
      </c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P39" s="13">
        <v>1</v>
      </c>
    </row>
    <row r="40" spans="1:42" ht="11.25" customHeight="1" x14ac:dyDescent="0.3">
      <c r="A40" s="128"/>
      <c r="B40" s="128" t="s">
        <v>23</v>
      </c>
      <c r="C40" s="128" t="s">
        <v>24</v>
      </c>
      <c r="D40" s="17" t="s">
        <v>24</v>
      </c>
      <c r="E40" s="17" t="s">
        <v>25</v>
      </c>
      <c r="F40" s="17" t="s">
        <v>25</v>
      </c>
      <c r="G40" s="18" t="s">
        <v>84</v>
      </c>
      <c r="H40" s="18" t="s">
        <v>78</v>
      </c>
      <c r="I40" s="18">
        <f>'MERCADO TUSD'!$U$37</f>
        <v>126554.92199999999</v>
      </c>
      <c r="J40" s="15"/>
      <c r="L40" s="13"/>
      <c r="M40" s="13"/>
      <c r="N40" s="13"/>
      <c r="O40" s="13"/>
      <c r="P40" s="13"/>
      <c r="Q40" s="13"/>
      <c r="R40" s="13"/>
      <c r="S40" s="13"/>
      <c r="T40" s="13"/>
      <c r="U40" s="13">
        <v>25.029</v>
      </c>
      <c r="V40" s="13">
        <v>7.4516999999999998</v>
      </c>
      <c r="W40" s="13">
        <v>0.40529999999999999</v>
      </c>
      <c r="X40" s="13">
        <v>0</v>
      </c>
      <c r="Y40" s="13">
        <v>0</v>
      </c>
      <c r="Z40" s="13">
        <v>0</v>
      </c>
      <c r="AA40" s="13">
        <v>0</v>
      </c>
      <c r="AB40" s="13"/>
      <c r="AC40" s="13">
        <v>154.1147</v>
      </c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P40" s="13">
        <v>1</v>
      </c>
    </row>
    <row r="41" spans="1:42" ht="11.25" customHeight="1" x14ac:dyDescent="0.3">
      <c r="A41" s="128"/>
      <c r="B41" s="128"/>
      <c r="C41" s="128"/>
      <c r="D41" s="17" t="s">
        <v>29</v>
      </c>
      <c r="E41" s="17" t="s">
        <v>25</v>
      </c>
      <c r="F41" s="17" t="s">
        <v>25</v>
      </c>
      <c r="G41" s="18" t="s">
        <v>84</v>
      </c>
      <c r="H41" s="18" t="s">
        <v>78</v>
      </c>
      <c r="I41" s="18">
        <f>'MERCADO TUSD'!$U$38</f>
        <v>2163.31</v>
      </c>
      <c r="J41" s="15"/>
      <c r="L41" s="13"/>
      <c r="M41" s="13"/>
      <c r="N41" s="13"/>
      <c r="O41" s="13"/>
      <c r="P41" s="13"/>
      <c r="Q41" s="13"/>
      <c r="R41" s="13"/>
      <c r="S41" s="13"/>
      <c r="T41" s="13"/>
      <c r="U41" s="13">
        <f>(1 - CUSTOS!$M$24)*25.029</f>
        <v>25.029</v>
      </c>
      <c r="V41" s="13">
        <f>(1 - CUSTOS!$M$24)*7.4517</f>
        <v>7.4516999999999998</v>
      </c>
      <c r="W41" s="13">
        <f>(1 - CUSTOS!$M$24)*0.4053</f>
        <v>0.40529999999999999</v>
      </c>
      <c r="X41" s="13">
        <v>0</v>
      </c>
      <c r="Y41" s="13">
        <v>0</v>
      </c>
      <c r="Z41" s="13">
        <v>0</v>
      </c>
      <c r="AA41" s="13">
        <v>0</v>
      </c>
      <c r="AB41" s="13"/>
      <c r="AC41" s="13">
        <f>(1 - CUSTOS!$M$24)*154.1147</f>
        <v>154.1147</v>
      </c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P41" s="13">
        <f>IF((1 - CUSTOS!$M$24)&lt;&gt;0,1/(1 - CUSTOS!$M$24),1)</f>
        <v>1</v>
      </c>
    </row>
    <row r="42" spans="1:42" ht="11.25" customHeight="1" x14ac:dyDescent="0.3">
      <c r="A42" s="128"/>
      <c r="B42" s="128"/>
      <c r="C42" s="128"/>
      <c r="D42" s="17" t="s">
        <v>30</v>
      </c>
      <c r="E42" s="17" t="s">
        <v>25</v>
      </c>
      <c r="F42" s="17" t="s">
        <v>25</v>
      </c>
      <c r="G42" s="18" t="s">
        <v>84</v>
      </c>
      <c r="H42" s="18" t="s">
        <v>78</v>
      </c>
      <c r="I42" s="18">
        <f>'MERCADO TUSD'!$U$39</f>
        <v>4329.2419999999993</v>
      </c>
      <c r="J42" s="15"/>
      <c r="L42" s="13"/>
      <c r="M42" s="13"/>
      <c r="N42" s="13"/>
      <c r="O42" s="13"/>
      <c r="P42" s="13"/>
      <c r="Q42" s="13"/>
      <c r="R42" s="13"/>
      <c r="S42" s="13"/>
      <c r="T42" s="13"/>
      <c r="U42" s="13">
        <f>(1 - CUSTOS!$M$25)*25.029</f>
        <v>25.029</v>
      </c>
      <c r="V42" s="13">
        <f>(1 - CUSTOS!$M$25)*7.4517</f>
        <v>7.4516999999999998</v>
      </c>
      <c r="W42" s="13">
        <f>(1 - CUSTOS!$M$25)*0.4053</f>
        <v>0.40529999999999999</v>
      </c>
      <c r="X42" s="13">
        <v>0</v>
      </c>
      <c r="Y42" s="13">
        <v>0</v>
      </c>
      <c r="Z42" s="13">
        <v>0</v>
      </c>
      <c r="AA42" s="13">
        <v>0</v>
      </c>
      <c r="AB42" s="13"/>
      <c r="AC42" s="13">
        <f>(1 - CUSTOS!$M$25)*154.1147</f>
        <v>154.1147</v>
      </c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P42" s="13">
        <f>IF((1 - CUSTOS!$M$25)&lt;&gt;0,1/(1 - CUSTOS!$M$25),1)</f>
        <v>1</v>
      </c>
    </row>
    <row r="43" spans="1:42" ht="11.25" customHeight="1" x14ac:dyDescent="0.3">
      <c r="A43" s="128"/>
      <c r="B43" s="128"/>
      <c r="C43" s="128"/>
      <c r="D43" s="17" t="s">
        <v>31</v>
      </c>
      <c r="E43" s="17" t="s">
        <v>25</v>
      </c>
      <c r="F43" s="17" t="s">
        <v>25</v>
      </c>
      <c r="G43" s="18" t="s">
        <v>84</v>
      </c>
      <c r="H43" s="18" t="s">
        <v>78</v>
      </c>
      <c r="I43" s="18">
        <f>'MERCADO TUSD'!$U$40</f>
        <v>3237.8510000000001</v>
      </c>
      <c r="J43" s="15"/>
      <c r="L43" s="13"/>
      <c r="M43" s="13"/>
      <c r="N43" s="13"/>
      <c r="O43" s="13"/>
      <c r="P43" s="13"/>
      <c r="Q43" s="13"/>
      <c r="R43" s="13"/>
      <c r="S43" s="13"/>
      <c r="T43" s="13"/>
      <c r="U43" s="13">
        <f>(1 - CUSTOS!$M$26)*25.029</f>
        <v>25.029</v>
      </c>
      <c r="V43" s="13">
        <f>(1 - CUSTOS!$M$26)*7.4517</f>
        <v>7.4516999999999998</v>
      </c>
      <c r="W43" s="13">
        <f>(1 - CUSTOS!$M$26)*0.4053</f>
        <v>0.40529999999999999</v>
      </c>
      <c r="X43" s="13">
        <v>0</v>
      </c>
      <c r="Y43" s="13">
        <v>0</v>
      </c>
      <c r="Z43" s="13">
        <v>0</v>
      </c>
      <c r="AA43" s="13">
        <v>0</v>
      </c>
      <c r="AB43" s="13"/>
      <c r="AC43" s="13">
        <f>(1 - CUSTOS!$M$26)*154.1147</f>
        <v>154.1147</v>
      </c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P43" s="13">
        <f>IF((1 - CUSTOS!$M$26)&lt;&gt;0,1/(1 - CUSTOS!$M$26),1)</f>
        <v>1</v>
      </c>
    </row>
    <row r="44" spans="1:42" ht="11.25" customHeight="1" x14ac:dyDescent="0.3">
      <c r="A44" s="128"/>
      <c r="B44" s="128"/>
      <c r="C44" s="128"/>
      <c r="D44" s="17" t="s">
        <v>32</v>
      </c>
      <c r="E44" s="17" t="s">
        <v>25</v>
      </c>
      <c r="F44" s="17" t="s">
        <v>25</v>
      </c>
      <c r="G44" s="18" t="s">
        <v>84</v>
      </c>
      <c r="H44" s="18" t="s">
        <v>78</v>
      </c>
      <c r="I44" s="18">
        <f>'MERCADO TUSD'!$U$41</f>
        <v>633.93299999999999</v>
      </c>
      <c r="J44" s="15"/>
      <c r="L44" s="13"/>
      <c r="M44" s="13"/>
      <c r="N44" s="13"/>
      <c r="O44" s="13"/>
      <c r="P44" s="13"/>
      <c r="Q44" s="13"/>
      <c r="R44" s="13"/>
      <c r="S44" s="13"/>
      <c r="T44" s="13"/>
      <c r="U44" s="13">
        <f>(1 - CUSTOS!$M$27)*25.029</f>
        <v>25.029</v>
      </c>
      <c r="V44" s="13">
        <f>(1 - CUSTOS!$M$27)*7.4517</f>
        <v>7.4516999999999998</v>
      </c>
      <c r="W44" s="13">
        <f>(1 - CUSTOS!$M$27)*0.4053</f>
        <v>0.40529999999999999</v>
      </c>
      <c r="X44" s="13">
        <v>0</v>
      </c>
      <c r="Y44" s="13">
        <v>0</v>
      </c>
      <c r="Z44" s="13">
        <v>0</v>
      </c>
      <c r="AA44" s="13">
        <v>0</v>
      </c>
      <c r="AB44" s="13"/>
      <c r="AC44" s="13">
        <f>(1 - CUSTOS!$M$27)*154.1147</f>
        <v>154.1147</v>
      </c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P44" s="13">
        <f>IF((1 - CUSTOS!$M$27)&lt;&gt;0,1/(1 - CUSTOS!$M$27),1)</f>
        <v>1</v>
      </c>
    </row>
    <row r="45" spans="1:42" ht="11.25" customHeight="1" x14ac:dyDescent="0.3">
      <c r="A45" s="128"/>
      <c r="B45" s="128" t="s">
        <v>92</v>
      </c>
      <c r="C45" s="128" t="s">
        <v>24</v>
      </c>
      <c r="D45" s="17" t="s">
        <v>24</v>
      </c>
      <c r="E45" s="17" t="s">
        <v>25</v>
      </c>
      <c r="F45" s="17" t="s">
        <v>25</v>
      </c>
      <c r="G45" s="18" t="s">
        <v>84</v>
      </c>
      <c r="H45" s="18" t="s">
        <v>78</v>
      </c>
      <c r="I45" s="18">
        <f>'MERCADO TUSD'!$U$42</f>
        <v>0</v>
      </c>
      <c r="J45" s="15"/>
      <c r="L45" s="13"/>
      <c r="M45" s="13"/>
      <c r="N45" s="13"/>
      <c r="O45" s="13"/>
      <c r="P45" s="13"/>
      <c r="Q45" s="13"/>
      <c r="R45" s="13"/>
      <c r="S45" s="13"/>
      <c r="T45" s="13"/>
      <c r="U45" s="13">
        <v>25.029</v>
      </c>
      <c r="V45" s="13">
        <v>7.4516999999999998</v>
      </c>
      <c r="W45" s="13">
        <v>0.40529999999999999</v>
      </c>
      <c r="X45" s="13">
        <v>0</v>
      </c>
      <c r="Y45" s="13">
        <v>0</v>
      </c>
      <c r="Z45" s="13">
        <v>0</v>
      </c>
      <c r="AA45" s="13">
        <v>0</v>
      </c>
      <c r="AB45" s="13"/>
      <c r="AC45" s="13">
        <v>154.1147</v>
      </c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P45" s="13">
        <v>1</v>
      </c>
    </row>
    <row r="46" spans="1:42" ht="11.25" customHeight="1" x14ac:dyDescent="0.3">
      <c r="A46" s="128"/>
      <c r="B46" s="128"/>
      <c r="C46" s="128"/>
      <c r="D46" s="17" t="s">
        <v>29</v>
      </c>
      <c r="E46" s="17" t="s">
        <v>25</v>
      </c>
      <c r="F46" s="17" t="s">
        <v>25</v>
      </c>
      <c r="G46" s="18" t="s">
        <v>84</v>
      </c>
      <c r="H46" s="18" t="s">
        <v>78</v>
      </c>
      <c r="I46" s="18">
        <f>'MERCADO TUSD'!$U$43</f>
        <v>0</v>
      </c>
      <c r="J46" s="15"/>
      <c r="L46" s="13"/>
      <c r="M46" s="13"/>
      <c r="N46" s="13"/>
      <c r="O46" s="13"/>
      <c r="P46" s="13"/>
      <c r="Q46" s="13"/>
      <c r="R46" s="13"/>
      <c r="S46" s="13"/>
      <c r="T46" s="13"/>
      <c r="U46" s="13">
        <f>(1 - CUSTOS!$M$24)*25.029</f>
        <v>25.029</v>
      </c>
      <c r="V46" s="13">
        <f>(1 - CUSTOS!$M$24)*7.4517</f>
        <v>7.4516999999999998</v>
      </c>
      <c r="W46" s="13">
        <f>(1 - CUSTOS!$M$24)*0.4053</f>
        <v>0.40529999999999999</v>
      </c>
      <c r="X46" s="13">
        <v>0</v>
      </c>
      <c r="Y46" s="13">
        <v>0</v>
      </c>
      <c r="Z46" s="13">
        <v>0</v>
      </c>
      <c r="AA46" s="13">
        <v>0</v>
      </c>
      <c r="AB46" s="13"/>
      <c r="AC46" s="13">
        <f>(1 - CUSTOS!$M$24)*154.1147</f>
        <v>154.1147</v>
      </c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P46" s="13">
        <f>IF((1 - CUSTOS!$M$24)&lt;&gt;0,1/(1 - CUSTOS!$M$24),1)</f>
        <v>1</v>
      </c>
    </row>
    <row r="47" spans="1:42" ht="11.25" customHeight="1" x14ac:dyDescent="0.3">
      <c r="A47" s="128"/>
      <c r="B47" s="128"/>
      <c r="C47" s="128"/>
      <c r="D47" s="17" t="s">
        <v>30</v>
      </c>
      <c r="E47" s="17" t="s">
        <v>25</v>
      </c>
      <c r="F47" s="17" t="s">
        <v>25</v>
      </c>
      <c r="G47" s="18" t="s">
        <v>84</v>
      </c>
      <c r="H47" s="18" t="s">
        <v>78</v>
      </c>
      <c r="I47" s="18">
        <f>'MERCADO TUSD'!$U$44</f>
        <v>0</v>
      </c>
      <c r="J47" s="15"/>
      <c r="L47" s="13"/>
      <c r="M47" s="13"/>
      <c r="N47" s="13"/>
      <c r="O47" s="13"/>
      <c r="P47" s="13"/>
      <c r="Q47" s="13"/>
      <c r="R47" s="13"/>
      <c r="S47" s="13"/>
      <c r="T47" s="13"/>
      <c r="U47" s="13">
        <f>(1 - CUSTOS!$M$25)*25.029</f>
        <v>25.029</v>
      </c>
      <c r="V47" s="13">
        <f>(1 - CUSTOS!$M$25)*7.4517</f>
        <v>7.4516999999999998</v>
      </c>
      <c r="W47" s="13">
        <f>(1 - CUSTOS!$M$25)*0.4053</f>
        <v>0.40529999999999999</v>
      </c>
      <c r="X47" s="13">
        <v>0</v>
      </c>
      <c r="Y47" s="13">
        <v>0</v>
      </c>
      <c r="Z47" s="13">
        <v>0</v>
      </c>
      <c r="AA47" s="13">
        <v>0</v>
      </c>
      <c r="AB47" s="13"/>
      <c r="AC47" s="13">
        <f>(1 - CUSTOS!$M$25)*154.1147</f>
        <v>154.1147</v>
      </c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P47" s="13">
        <f>IF((1 - CUSTOS!$M$25)&lt;&gt;0,1/(1 - CUSTOS!$M$25),1)</f>
        <v>1</v>
      </c>
    </row>
    <row r="48" spans="1:42" ht="11.25" customHeight="1" x14ac:dyDescent="0.3">
      <c r="A48" s="128"/>
      <c r="B48" s="128"/>
      <c r="C48" s="128"/>
      <c r="D48" s="17" t="s">
        <v>31</v>
      </c>
      <c r="E48" s="17" t="s">
        <v>25</v>
      </c>
      <c r="F48" s="17" t="s">
        <v>25</v>
      </c>
      <c r="G48" s="18" t="s">
        <v>84</v>
      </c>
      <c r="H48" s="18" t="s">
        <v>78</v>
      </c>
      <c r="I48" s="18">
        <f>'MERCADO TUSD'!$U$45</f>
        <v>0</v>
      </c>
      <c r="J48" s="15"/>
      <c r="L48" s="13"/>
      <c r="M48" s="13"/>
      <c r="N48" s="13"/>
      <c r="O48" s="13"/>
      <c r="P48" s="13"/>
      <c r="Q48" s="13"/>
      <c r="R48" s="13"/>
      <c r="S48" s="13"/>
      <c r="T48" s="13"/>
      <c r="U48" s="13">
        <f>(1 - CUSTOS!$M$26)*25.029</f>
        <v>25.029</v>
      </c>
      <c r="V48" s="13">
        <f>(1 - CUSTOS!$M$26)*7.4517</f>
        <v>7.4516999999999998</v>
      </c>
      <c r="W48" s="13">
        <f>(1 - CUSTOS!$M$26)*0.4053</f>
        <v>0.40529999999999999</v>
      </c>
      <c r="X48" s="13">
        <v>0</v>
      </c>
      <c r="Y48" s="13">
        <v>0</v>
      </c>
      <c r="Z48" s="13">
        <v>0</v>
      </c>
      <c r="AA48" s="13">
        <v>0</v>
      </c>
      <c r="AB48" s="13"/>
      <c r="AC48" s="13">
        <f>(1 - CUSTOS!$M$26)*154.1147</f>
        <v>154.1147</v>
      </c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P48" s="13">
        <f>IF((1 - CUSTOS!$M$26)&lt;&gt;0,1/(1 - CUSTOS!$M$26),1)</f>
        <v>1</v>
      </c>
    </row>
    <row r="49" spans="1:42" ht="11.25" customHeight="1" x14ac:dyDescent="0.3">
      <c r="A49" s="128"/>
      <c r="B49" s="128"/>
      <c r="C49" s="128"/>
      <c r="D49" s="17" t="s">
        <v>32</v>
      </c>
      <c r="E49" s="17" t="s">
        <v>25</v>
      </c>
      <c r="F49" s="17" t="s">
        <v>25</v>
      </c>
      <c r="G49" s="18" t="s">
        <v>84</v>
      </c>
      <c r="H49" s="18" t="s">
        <v>78</v>
      </c>
      <c r="I49" s="18">
        <f>'MERCADO TUSD'!$U$46</f>
        <v>0</v>
      </c>
      <c r="J49" s="15"/>
      <c r="L49" s="13"/>
      <c r="M49" s="13"/>
      <c r="N49" s="13"/>
      <c r="O49" s="13"/>
      <c r="P49" s="13"/>
      <c r="Q49" s="13"/>
      <c r="R49" s="13"/>
      <c r="S49" s="13"/>
      <c r="T49" s="13"/>
      <c r="U49" s="13">
        <f>(1 - CUSTOS!$M$27)*25.029</f>
        <v>25.029</v>
      </c>
      <c r="V49" s="13">
        <f>(1 - CUSTOS!$M$27)*7.4517</f>
        <v>7.4516999999999998</v>
      </c>
      <c r="W49" s="13">
        <f>(1 - CUSTOS!$M$27)*0.4053</f>
        <v>0.40529999999999999</v>
      </c>
      <c r="X49" s="13">
        <v>0</v>
      </c>
      <c r="Y49" s="13">
        <v>0</v>
      </c>
      <c r="Z49" s="13">
        <v>0</v>
      </c>
      <c r="AA49" s="13">
        <v>0</v>
      </c>
      <c r="AB49" s="13"/>
      <c r="AC49" s="13">
        <f>(1 - CUSTOS!$M$27)*154.1147</f>
        <v>154.1147</v>
      </c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P49" s="13">
        <f>IF((1 - CUSTOS!$M$27)&lt;&gt;0,1/(1 - CUSTOS!$M$27),1)</f>
        <v>1</v>
      </c>
    </row>
    <row r="50" spans="1:42" ht="11.25" customHeight="1" x14ac:dyDescent="0.3">
      <c r="A50" s="128" t="s">
        <v>44</v>
      </c>
      <c r="B50" s="128" t="s">
        <v>33</v>
      </c>
      <c r="C50" s="128" t="s">
        <v>45</v>
      </c>
      <c r="D50" s="128" t="s">
        <v>25</v>
      </c>
      <c r="E50" s="128" t="s">
        <v>25</v>
      </c>
      <c r="F50" s="128" t="s">
        <v>25</v>
      </c>
      <c r="G50" s="18" t="s">
        <v>79</v>
      </c>
      <c r="H50" s="18" t="s">
        <v>78</v>
      </c>
      <c r="I50" s="18">
        <f>'MERCADO TUSD'!$U$47</f>
        <v>0</v>
      </c>
      <c r="J50" s="15"/>
      <c r="L50" s="13"/>
      <c r="M50" s="13"/>
      <c r="N50" s="13"/>
      <c r="O50" s="13"/>
      <c r="P50" s="13"/>
      <c r="Q50" s="13"/>
      <c r="R50" s="13"/>
      <c r="S50" s="13"/>
      <c r="T50" s="13"/>
      <c r="U50" s="13">
        <f>(1 - CUSTOS!$M$28)*73.8356</f>
        <v>73.835599999999999</v>
      </c>
      <c r="V50" s="13">
        <f>(1 - CUSTOS!$M$28)*21.9825</f>
        <v>21.982500000000002</v>
      </c>
      <c r="W50" s="13">
        <f>(1 - CUSTOS!$M$28)*1.1956</f>
        <v>1.1956</v>
      </c>
      <c r="X50" s="13">
        <v>0</v>
      </c>
      <c r="Y50" s="13">
        <v>0</v>
      </c>
      <c r="Z50" s="13">
        <v>0</v>
      </c>
      <c r="AA50" s="13">
        <v>0</v>
      </c>
      <c r="AB50" s="13"/>
      <c r="AC50" s="13">
        <f>(1 - CUSTOS!$M$28)*454.6385</f>
        <v>454.63850000000002</v>
      </c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P50" s="13">
        <f>IF((1 - CUSTOS!$M$28)&lt;&gt;0,1/(1 - CUSTOS!$M$28),1)</f>
        <v>1</v>
      </c>
    </row>
    <row r="51" spans="1:42" ht="11.25" customHeight="1" x14ac:dyDescent="0.3">
      <c r="A51" s="128"/>
      <c r="B51" s="128"/>
      <c r="C51" s="128"/>
      <c r="D51" s="128"/>
      <c r="E51" s="128"/>
      <c r="F51" s="128"/>
      <c r="G51" s="18" t="s">
        <v>90</v>
      </c>
      <c r="H51" s="18" t="s">
        <v>78</v>
      </c>
      <c r="I51" s="18">
        <f>'MERCADO TUSD'!$U$48</f>
        <v>0</v>
      </c>
      <c r="J51" s="15"/>
      <c r="L51" s="13"/>
      <c r="M51" s="13"/>
      <c r="N51" s="13"/>
      <c r="O51" s="13"/>
      <c r="P51" s="13"/>
      <c r="Q51" s="13"/>
      <c r="R51" s="13"/>
      <c r="S51" s="13"/>
      <c r="T51" s="13"/>
      <c r="U51" s="13">
        <f>(1 - CUSTOS!$M$28)*44.3014</f>
        <v>44.301400000000001</v>
      </c>
      <c r="V51" s="13">
        <f>(1 - CUSTOS!$M$28)*13.1895</f>
        <v>13.189500000000001</v>
      </c>
      <c r="W51" s="13">
        <f>(1 - CUSTOS!$M$28)*0.7173</f>
        <v>0.71730000000000005</v>
      </c>
      <c r="X51" s="13">
        <v>0</v>
      </c>
      <c r="Y51" s="13">
        <v>0</v>
      </c>
      <c r="Z51" s="13">
        <v>0</v>
      </c>
      <c r="AA51" s="13">
        <v>0</v>
      </c>
      <c r="AB51" s="13"/>
      <c r="AC51" s="13">
        <f>(1 - CUSTOS!$M$28)*272.7831</f>
        <v>272.78309999999999</v>
      </c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P51" s="13">
        <f>IF((1 - CUSTOS!$M$28)&lt;&gt;0,1/(1 - CUSTOS!$M$28),1)</f>
        <v>1</v>
      </c>
    </row>
    <row r="52" spans="1:42" ht="11.25" customHeight="1" x14ac:dyDescent="0.3">
      <c r="A52" s="128"/>
      <c r="B52" s="128"/>
      <c r="C52" s="128"/>
      <c r="D52" s="128"/>
      <c r="E52" s="128"/>
      <c r="F52" s="128"/>
      <c r="G52" s="18" t="s">
        <v>80</v>
      </c>
      <c r="H52" s="18" t="s">
        <v>78</v>
      </c>
      <c r="I52" s="18">
        <f>'MERCADO TUSD'!$U$49</f>
        <v>0</v>
      </c>
      <c r="J52" s="15"/>
      <c r="L52" s="13"/>
      <c r="M52" s="13"/>
      <c r="N52" s="13"/>
      <c r="O52" s="13"/>
      <c r="P52" s="13"/>
      <c r="Q52" s="13"/>
      <c r="R52" s="13"/>
      <c r="S52" s="13"/>
      <c r="T52" s="13"/>
      <c r="U52" s="13">
        <f>(1 - CUSTOS!$M$28)*14.7671</f>
        <v>14.767099999999999</v>
      </c>
      <c r="V52" s="13">
        <f>(1 - CUSTOS!$M$28)*4.3965</f>
        <v>4.3964999999999996</v>
      </c>
      <c r="W52" s="13">
        <f>(1 - CUSTOS!$M$28)*0.2391</f>
        <v>0.23910000000000001</v>
      </c>
      <c r="X52" s="13">
        <v>0</v>
      </c>
      <c r="Y52" s="13">
        <v>0</v>
      </c>
      <c r="Z52" s="13">
        <v>0</v>
      </c>
      <c r="AA52" s="13">
        <v>0</v>
      </c>
      <c r="AB52" s="13"/>
      <c r="AC52" s="13">
        <f>(1 - CUSTOS!$M$28)*90.9277</f>
        <v>90.927700000000002</v>
      </c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P52" s="13">
        <f>IF((1 - CUSTOS!$M$28)&lt;&gt;0,1/(1 - CUSTOS!$M$28),1)</f>
        <v>1</v>
      </c>
    </row>
    <row r="53" spans="1:42" ht="11.25" customHeight="1" x14ac:dyDescent="0.3">
      <c r="A53" s="128"/>
      <c r="B53" s="17" t="s">
        <v>23</v>
      </c>
      <c r="C53" s="17" t="s">
        <v>45</v>
      </c>
      <c r="D53" s="17" t="s">
        <v>25</v>
      </c>
      <c r="E53" s="17" t="s">
        <v>25</v>
      </c>
      <c r="F53" s="17" t="s">
        <v>25</v>
      </c>
      <c r="G53" s="18" t="s">
        <v>84</v>
      </c>
      <c r="H53" s="18" t="s">
        <v>78</v>
      </c>
      <c r="I53" s="18">
        <f>'MERCADO TUSD'!$U$50</f>
        <v>3773.6869999999999</v>
      </c>
      <c r="J53" s="15"/>
      <c r="L53" s="13"/>
      <c r="M53" s="13"/>
      <c r="N53" s="13"/>
      <c r="O53" s="13"/>
      <c r="P53" s="13"/>
      <c r="Q53" s="13"/>
      <c r="R53" s="13"/>
      <c r="S53" s="13"/>
      <c r="T53" s="13"/>
      <c r="U53" s="13">
        <f>(1 - CUSTOS!$M$28)*25.029</f>
        <v>25.029</v>
      </c>
      <c r="V53" s="13">
        <f>(1 - CUSTOS!$M$28)*7.4517</f>
        <v>7.4516999999999998</v>
      </c>
      <c r="W53" s="13">
        <f>(1 - CUSTOS!$M$28)*0.4053</f>
        <v>0.40529999999999999</v>
      </c>
      <c r="X53" s="13">
        <v>0</v>
      </c>
      <c r="Y53" s="13">
        <v>0</v>
      </c>
      <c r="Z53" s="13">
        <v>0</v>
      </c>
      <c r="AA53" s="13">
        <v>0</v>
      </c>
      <c r="AB53" s="13"/>
      <c r="AC53" s="13">
        <f>(1 - CUSTOS!$M$28)*154.1147</f>
        <v>154.1147</v>
      </c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P53" s="13">
        <f>IF((1 - CUSTOS!$M$28)&lt;&gt;0,1/(1 - CUSTOS!$M$28),1)</f>
        <v>1</v>
      </c>
    </row>
    <row r="54" spans="1:42" ht="11.25" customHeight="1" x14ac:dyDescent="0.3">
      <c r="A54" s="128"/>
      <c r="B54" s="128" t="s">
        <v>33</v>
      </c>
      <c r="C54" s="128" t="s">
        <v>45</v>
      </c>
      <c r="D54" s="128" t="s">
        <v>93</v>
      </c>
      <c r="E54" s="128" t="s">
        <v>25</v>
      </c>
      <c r="F54" s="128" t="s">
        <v>25</v>
      </c>
      <c r="G54" s="18" t="s">
        <v>79</v>
      </c>
      <c r="H54" s="18" t="s">
        <v>78</v>
      </c>
      <c r="I54" s="18">
        <f>'MERCADO TUSD'!$U$51</f>
        <v>0</v>
      </c>
      <c r="J54" s="15"/>
      <c r="L54" s="13"/>
      <c r="M54" s="13"/>
      <c r="N54" s="13"/>
      <c r="O54" s="13"/>
      <c r="P54" s="13"/>
      <c r="Q54" s="13"/>
      <c r="R54" s="13"/>
      <c r="S54" s="13"/>
      <c r="T54" s="13"/>
      <c r="U54" s="13">
        <f>(1 - CUSTOS!$M$29)*73.8356</f>
        <v>73.835599999999999</v>
      </c>
      <c r="V54" s="13">
        <f>(1 - CUSTOS!$M$29)*21.9825</f>
        <v>21.982500000000002</v>
      </c>
      <c r="W54" s="13">
        <f>(1 - CUSTOS!$M$29)*1.1956</f>
        <v>1.1956</v>
      </c>
      <c r="X54" s="13">
        <v>0</v>
      </c>
      <c r="Y54" s="13">
        <v>0</v>
      </c>
      <c r="Z54" s="13">
        <v>0</v>
      </c>
      <c r="AA54" s="13">
        <v>0</v>
      </c>
      <c r="AB54" s="13"/>
      <c r="AC54" s="13">
        <f>(1 - CUSTOS!$M$29)*454.6385</f>
        <v>454.63850000000002</v>
      </c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P54" s="13">
        <f>IF((1 - CUSTOS!$M$29)&lt;&gt;0,1/(1 - CUSTOS!$M$29),1)</f>
        <v>1</v>
      </c>
    </row>
    <row r="55" spans="1:42" ht="11.25" customHeight="1" x14ac:dyDescent="0.3">
      <c r="A55" s="128"/>
      <c r="B55" s="128"/>
      <c r="C55" s="128"/>
      <c r="D55" s="128"/>
      <c r="E55" s="128"/>
      <c r="F55" s="128"/>
      <c r="G55" s="18" t="s">
        <v>90</v>
      </c>
      <c r="H55" s="18" t="s">
        <v>78</v>
      </c>
      <c r="I55" s="18">
        <f>'MERCADO TUSD'!$U$52</f>
        <v>0</v>
      </c>
      <c r="J55" s="15"/>
      <c r="L55" s="13"/>
      <c r="M55" s="13"/>
      <c r="N55" s="13"/>
      <c r="O55" s="13"/>
      <c r="P55" s="13"/>
      <c r="Q55" s="13"/>
      <c r="R55" s="13"/>
      <c r="S55" s="13"/>
      <c r="T55" s="13"/>
      <c r="U55" s="13">
        <f>(1 - CUSTOS!$M$29)*44.3014</f>
        <v>44.301400000000001</v>
      </c>
      <c r="V55" s="13">
        <f>(1 - CUSTOS!$M$29)*13.1895</f>
        <v>13.189500000000001</v>
      </c>
      <c r="W55" s="13">
        <f>(1 - CUSTOS!$M$29)*0.7173</f>
        <v>0.71730000000000005</v>
      </c>
      <c r="X55" s="13">
        <v>0</v>
      </c>
      <c r="Y55" s="13">
        <v>0</v>
      </c>
      <c r="Z55" s="13">
        <v>0</v>
      </c>
      <c r="AA55" s="13">
        <v>0</v>
      </c>
      <c r="AB55" s="13"/>
      <c r="AC55" s="13">
        <f>(1 - CUSTOS!$M$29)*272.7831</f>
        <v>272.78309999999999</v>
      </c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P55" s="13">
        <f>IF((1 - CUSTOS!$M$29)&lt;&gt;0,1/(1 - CUSTOS!$M$29),1)</f>
        <v>1</v>
      </c>
    </row>
    <row r="56" spans="1:42" ht="11.25" customHeight="1" x14ac:dyDescent="0.3">
      <c r="A56" s="128"/>
      <c r="B56" s="128"/>
      <c r="C56" s="128"/>
      <c r="D56" s="128"/>
      <c r="E56" s="128"/>
      <c r="F56" s="128"/>
      <c r="G56" s="18" t="s">
        <v>80</v>
      </c>
      <c r="H56" s="18" t="s">
        <v>78</v>
      </c>
      <c r="I56" s="18">
        <f>'MERCADO TUSD'!$U$53</f>
        <v>0</v>
      </c>
      <c r="J56" s="15"/>
      <c r="L56" s="13"/>
      <c r="M56" s="13"/>
      <c r="N56" s="13"/>
      <c r="O56" s="13"/>
      <c r="P56" s="13"/>
      <c r="Q56" s="13"/>
      <c r="R56" s="13"/>
      <c r="S56" s="13"/>
      <c r="T56" s="13"/>
      <c r="U56" s="13">
        <f>(1 - CUSTOS!$M$29)*14.7671</f>
        <v>14.767099999999999</v>
      </c>
      <c r="V56" s="13">
        <f>(1 - CUSTOS!$M$29)*4.3965</f>
        <v>4.3964999999999996</v>
      </c>
      <c r="W56" s="13">
        <f>(1 - CUSTOS!$M$29)*0.2391</f>
        <v>0.23910000000000001</v>
      </c>
      <c r="X56" s="13">
        <v>0</v>
      </c>
      <c r="Y56" s="13">
        <v>0</v>
      </c>
      <c r="Z56" s="13">
        <v>0</v>
      </c>
      <c r="AA56" s="13">
        <v>0</v>
      </c>
      <c r="AB56" s="13"/>
      <c r="AC56" s="13">
        <f>(1 - CUSTOS!$M$29)*90.9277</f>
        <v>90.927700000000002</v>
      </c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P56" s="13">
        <f>IF((1 - CUSTOS!$M$29)&lt;&gt;0,1/(1 - CUSTOS!$M$29),1)</f>
        <v>1</v>
      </c>
    </row>
    <row r="57" spans="1:42" ht="11.25" customHeight="1" x14ac:dyDescent="0.3">
      <c r="A57" s="128"/>
      <c r="B57" s="17" t="s">
        <v>23</v>
      </c>
      <c r="C57" s="17" t="s">
        <v>45</v>
      </c>
      <c r="D57" s="17" t="s">
        <v>93</v>
      </c>
      <c r="E57" s="17" t="s">
        <v>25</v>
      </c>
      <c r="F57" s="17" t="s">
        <v>25</v>
      </c>
      <c r="G57" s="18" t="s">
        <v>84</v>
      </c>
      <c r="H57" s="18" t="s">
        <v>78</v>
      </c>
      <c r="I57" s="18">
        <f>'MERCADO TUSD'!$U$54</f>
        <v>0</v>
      </c>
      <c r="J57" s="15"/>
      <c r="L57" s="13"/>
      <c r="M57" s="13"/>
      <c r="N57" s="13"/>
      <c r="O57" s="13"/>
      <c r="P57" s="13"/>
      <c r="Q57" s="13"/>
      <c r="R57" s="13"/>
      <c r="S57" s="13"/>
      <c r="T57" s="13"/>
      <c r="U57" s="13">
        <f>(1 - CUSTOS!$M$29)*25.029</f>
        <v>25.029</v>
      </c>
      <c r="V57" s="13">
        <f>(1 - CUSTOS!$M$29)*7.4517</f>
        <v>7.4516999999999998</v>
      </c>
      <c r="W57" s="13">
        <f>(1 - CUSTOS!$M$29)*0.4053</f>
        <v>0.40529999999999999</v>
      </c>
      <c r="X57" s="13">
        <v>0</v>
      </c>
      <c r="Y57" s="13">
        <v>0</v>
      </c>
      <c r="Z57" s="13">
        <v>0</v>
      </c>
      <c r="AA57" s="13">
        <v>0</v>
      </c>
      <c r="AB57" s="13"/>
      <c r="AC57" s="13">
        <f>(1 - CUSTOS!$M$29)*154.1147</f>
        <v>154.1147</v>
      </c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P57" s="13">
        <f>IF((1 - CUSTOS!$M$29)&lt;&gt;0,1/(1 - CUSTOS!$M$29),1)</f>
        <v>1</v>
      </c>
    </row>
    <row r="58" spans="1:42" ht="11.25" customHeight="1" x14ac:dyDescent="0.3">
      <c r="A58" s="128"/>
      <c r="B58" s="128" t="s">
        <v>33</v>
      </c>
      <c r="C58" s="128" t="s">
        <v>45</v>
      </c>
      <c r="D58" s="128" t="s">
        <v>94</v>
      </c>
      <c r="E58" s="128" t="s">
        <v>25</v>
      </c>
      <c r="F58" s="128" t="s">
        <v>25</v>
      </c>
      <c r="G58" s="18" t="s">
        <v>79</v>
      </c>
      <c r="H58" s="18" t="s">
        <v>78</v>
      </c>
      <c r="I58" s="18">
        <f>'MERCADO TUSD'!$U$55</f>
        <v>0</v>
      </c>
      <c r="J58" s="15"/>
      <c r="L58" s="13"/>
      <c r="M58" s="13"/>
      <c r="N58" s="13"/>
      <c r="O58" s="13"/>
      <c r="P58" s="13"/>
      <c r="Q58" s="13"/>
      <c r="R58" s="13"/>
      <c r="S58" s="13"/>
      <c r="T58" s="13"/>
      <c r="U58" s="13">
        <f>(1 - CUSTOS!$M$30)*73.8356</f>
        <v>73.835599999999999</v>
      </c>
      <c r="V58" s="13">
        <f>(1 - CUSTOS!$M$30)*21.9825</f>
        <v>21.982500000000002</v>
      </c>
      <c r="W58" s="13">
        <f>(1 - CUSTOS!$M$30)*1.1956</f>
        <v>1.1956</v>
      </c>
      <c r="X58" s="13">
        <v>0</v>
      </c>
      <c r="Y58" s="13">
        <v>0</v>
      </c>
      <c r="Z58" s="13">
        <v>0</v>
      </c>
      <c r="AA58" s="13">
        <v>0</v>
      </c>
      <c r="AB58" s="13"/>
      <c r="AC58" s="13">
        <f>(1 - CUSTOS!$M$30)*454.6385</f>
        <v>454.63850000000002</v>
      </c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P58" s="13">
        <f>IF((1 - CUSTOS!$M$30)&lt;&gt;0,1/(1 - CUSTOS!$M$30),1)</f>
        <v>1</v>
      </c>
    </row>
    <row r="59" spans="1:42" ht="11.25" customHeight="1" x14ac:dyDescent="0.3">
      <c r="A59" s="128"/>
      <c r="B59" s="128"/>
      <c r="C59" s="128"/>
      <c r="D59" s="128"/>
      <c r="E59" s="128"/>
      <c r="F59" s="128"/>
      <c r="G59" s="18" t="s">
        <v>90</v>
      </c>
      <c r="H59" s="18" t="s">
        <v>78</v>
      </c>
      <c r="I59" s="18">
        <f>'MERCADO TUSD'!$U$56</f>
        <v>0</v>
      </c>
      <c r="J59" s="15"/>
      <c r="L59" s="13"/>
      <c r="M59" s="13"/>
      <c r="N59" s="13"/>
      <c r="O59" s="13"/>
      <c r="P59" s="13"/>
      <c r="Q59" s="13"/>
      <c r="R59" s="13"/>
      <c r="S59" s="13"/>
      <c r="T59" s="13"/>
      <c r="U59" s="13">
        <f>(1 - CUSTOS!$M$30)*44.3014</f>
        <v>44.301400000000001</v>
      </c>
      <c r="V59" s="13">
        <f>(1 - CUSTOS!$M$30)*13.1895</f>
        <v>13.189500000000001</v>
      </c>
      <c r="W59" s="13">
        <f>(1 - CUSTOS!$M$30)*0.7173</f>
        <v>0.71730000000000005</v>
      </c>
      <c r="X59" s="13">
        <v>0</v>
      </c>
      <c r="Y59" s="13">
        <v>0</v>
      </c>
      <c r="Z59" s="13">
        <v>0</v>
      </c>
      <c r="AA59" s="13">
        <v>0</v>
      </c>
      <c r="AB59" s="13"/>
      <c r="AC59" s="13">
        <f>(1 - CUSTOS!$M$30)*272.7831</f>
        <v>272.78309999999999</v>
      </c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P59" s="13">
        <f>IF((1 - CUSTOS!$M$30)&lt;&gt;0,1/(1 - CUSTOS!$M$30),1)</f>
        <v>1</v>
      </c>
    </row>
    <row r="60" spans="1:42" ht="11.25" customHeight="1" x14ac:dyDescent="0.3">
      <c r="A60" s="128"/>
      <c r="B60" s="128"/>
      <c r="C60" s="128"/>
      <c r="D60" s="128"/>
      <c r="E60" s="128"/>
      <c r="F60" s="128"/>
      <c r="G60" s="18" t="s">
        <v>80</v>
      </c>
      <c r="H60" s="18" t="s">
        <v>78</v>
      </c>
      <c r="I60" s="18">
        <f>'MERCADO TUSD'!$U$57</f>
        <v>0</v>
      </c>
      <c r="J60" s="15"/>
      <c r="L60" s="13"/>
      <c r="M60" s="13"/>
      <c r="N60" s="13"/>
      <c r="O60" s="13"/>
      <c r="P60" s="13"/>
      <c r="Q60" s="13"/>
      <c r="R60" s="13"/>
      <c r="S60" s="13"/>
      <c r="T60" s="13"/>
      <c r="U60" s="13">
        <f>(1 - CUSTOS!$M$30)*14.7671</f>
        <v>14.767099999999999</v>
      </c>
      <c r="V60" s="13">
        <f>(1 - CUSTOS!$M$30)*4.3965</f>
        <v>4.3964999999999996</v>
      </c>
      <c r="W60" s="13">
        <f>(1 - CUSTOS!$M$30)*0.2391</f>
        <v>0.23910000000000001</v>
      </c>
      <c r="X60" s="13">
        <v>0</v>
      </c>
      <c r="Y60" s="13">
        <v>0</v>
      </c>
      <c r="Z60" s="13">
        <v>0</v>
      </c>
      <c r="AA60" s="13">
        <v>0</v>
      </c>
      <c r="AB60" s="13"/>
      <c r="AC60" s="13">
        <f>(1 - CUSTOS!$M$30)*90.9277</f>
        <v>90.927700000000002</v>
      </c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P60" s="13">
        <f>IF((1 - CUSTOS!$M$30)&lt;&gt;0,1/(1 - CUSTOS!$M$30),1)</f>
        <v>1</v>
      </c>
    </row>
    <row r="61" spans="1:42" ht="11.25" customHeight="1" x14ac:dyDescent="0.3">
      <c r="A61" s="128"/>
      <c r="B61" s="17" t="s">
        <v>23</v>
      </c>
      <c r="C61" s="17" t="s">
        <v>45</v>
      </c>
      <c r="D61" s="17" t="s">
        <v>94</v>
      </c>
      <c r="E61" s="17" t="s">
        <v>25</v>
      </c>
      <c r="F61" s="17" t="s">
        <v>25</v>
      </c>
      <c r="G61" s="18" t="s">
        <v>84</v>
      </c>
      <c r="H61" s="18" t="s">
        <v>78</v>
      </c>
      <c r="I61" s="18">
        <f>'MERCADO TUSD'!$U$58</f>
        <v>0</v>
      </c>
      <c r="J61" s="15"/>
      <c r="L61" s="13"/>
      <c r="M61" s="13"/>
      <c r="N61" s="13"/>
      <c r="O61" s="13"/>
      <c r="P61" s="13"/>
      <c r="Q61" s="13"/>
      <c r="R61" s="13"/>
      <c r="S61" s="13"/>
      <c r="T61" s="13"/>
      <c r="U61" s="13">
        <f>(1 - CUSTOS!$M$30)*25.029</f>
        <v>25.029</v>
      </c>
      <c r="V61" s="13">
        <f>(1 - CUSTOS!$M$30)*7.4517</f>
        <v>7.4516999999999998</v>
      </c>
      <c r="W61" s="13">
        <f>(1 - CUSTOS!$M$30)*0.4053</f>
        <v>0.40529999999999999</v>
      </c>
      <c r="X61" s="13">
        <v>0</v>
      </c>
      <c r="Y61" s="13">
        <v>0</v>
      </c>
      <c r="Z61" s="13">
        <v>0</v>
      </c>
      <c r="AA61" s="13">
        <v>0</v>
      </c>
      <c r="AB61" s="13"/>
      <c r="AC61" s="13">
        <f>(1 - CUSTOS!$M$30)*154.1147</f>
        <v>154.1147</v>
      </c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P61" s="13">
        <f>IF((1 - CUSTOS!$M$30)&lt;&gt;0,1/(1 - CUSTOS!$M$30),1)</f>
        <v>1</v>
      </c>
    </row>
    <row r="62" spans="1:42" ht="11.25" customHeight="1" x14ac:dyDescent="0.3">
      <c r="A62" s="128"/>
      <c r="B62" s="128" t="s">
        <v>92</v>
      </c>
      <c r="C62" s="128" t="s">
        <v>45</v>
      </c>
      <c r="D62" s="17" t="s">
        <v>25</v>
      </c>
      <c r="E62" s="17" t="s">
        <v>25</v>
      </c>
      <c r="F62" s="17" t="s">
        <v>25</v>
      </c>
      <c r="G62" s="18" t="s">
        <v>84</v>
      </c>
      <c r="H62" s="18" t="s">
        <v>78</v>
      </c>
      <c r="I62" s="18">
        <f>'MERCADO TUSD'!$U$59</f>
        <v>0</v>
      </c>
      <c r="J62" s="15"/>
      <c r="L62" s="13"/>
      <c r="M62" s="13"/>
      <c r="N62" s="13"/>
      <c r="O62" s="13"/>
      <c r="P62" s="13"/>
      <c r="Q62" s="13"/>
      <c r="R62" s="13"/>
      <c r="S62" s="13"/>
      <c r="T62" s="13"/>
      <c r="U62" s="13">
        <f>(1 - CUSTOS!$M$28)*25.029</f>
        <v>25.029</v>
      </c>
      <c r="V62" s="13">
        <f>(1 - CUSTOS!$M$28)*7.4517</f>
        <v>7.4516999999999998</v>
      </c>
      <c r="W62" s="13">
        <f>(1 - CUSTOS!$M$28)*0.4053</f>
        <v>0.40529999999999999</v>
      </c>
      <c r="X62" s="13">
        <v>0</v>
      </c>
      <c r="Y62" s="13">
        <v>0</v>
      </c>
      <c r="Z62" s="13">
        <v>0</v>
      </c>
      <c r="AA62" s="13">
        <v>0</v>
      </c>
      <c r="AB62" s="13"/>
      <c r="AC62" s="13">
        <f>(1 - CUSTOS!$M$28)*154.1147</f>
        <v>154.1147</v>
      </c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P62" s="13">
        <f>IF((1 - CUSTOS!$M$28)&lt;&gt;0,1/(1 - CUSTOS!$M$28),1)</f>
        <v>1</v>
      </c>
    </row>
    <row r="63" spans="1:42" ht="11.25" customHeight="1" x14ac:dyDescent="0.3">
      <c r="A63" s="128"/>
      <c r="B63" s="128"/>
      <c r="C63" s="128"/>
      <c r="D63" s="17" t="s">
        <v>93</v>
      </c>
      <c r="E63" s="17" t="s">
        <v>25</v>
      </c>
      <c r="F63" s="17" t="s">
        <v>25</v>
      </c>
      <c r="G63" s="18" t="s">
        <v>84</v>
      </c>
      <c r="H63" s="18" t="s">
        <v>78</v>
      </c>
      <c r="I63" s="18">
        <f>'MERCADO TUSD'!$U$60</f>
        <v>0</v>
      </c>
      <c r="J63" s="15"/>
      <c r="L63" s="13"/>
      <c r="M63" s="13"/>
      <c r="N63" s="13"/>
      <c r="O63" s="13"/>
      <c r="P63" s="13"/>
      <c r="Q63" s="13"/>
      <c r="R63" s="13"/>
      <c r="S63" s="13"/>
      <c r="T63" s="13"/>
      <c r="U63" s="13">
        <f>(1 - CUSTOS!$M$29)*25.029</f>
        <v>25.029</v>
      </c>
      <c r="V63" s="13">
        <f>(1 - CUSTOS!$M$29)*7.4517</f>
        <v>7.4516999999999998</v>
      </c>
      <c r="W63" s="13">
        <f>(1 - CUSTOS!$M$29)*0.4053</f>
        <v>0.40529999999999999</v>
      </c>
      <c r="X63" s="13">
        <v>0</v>
      </c>
      <c r="Y63" s="13">
        <v>0</v>
      </c>
      <c r="Z63" s="13">
        <v>0</v>
      </c>
      <c r="AA63" s="13">
        <v>0</v>
      </c>
      <c r="AB63" s="13"/>
      <c r="AC63" s="13">
        <f>(1 - CUSTOS!$M$29)*154.1147</f>
        <v>154.1147</v>
      </c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P63" s="13">
        <f>IF((1 - CUSTOS!$M$29)&lt;&gt;0,1/(1 - CUSTOS!$M$29),1)</f>
        <v>1</v>
      </c>
    </row>
    <row r="64" spans="1:42" ht="11.25" customHeight="1" x14ac:dyDescent="0.3">
      <c r="A64" s="128"/>
      <c r="B64" s="128"/>
      <c r="C64" s="128"/>
      <c r="D64" s="17" t="s">
        <v>94</v>
      </c>
      <c r="E64" s="17" t="s">
        <v>25</v>
      </c>
      <c r="F64" s="17" t="s">
        <v>25</v>
      </c>
      <c r="G64" s="18" t="s">
        <v>84</v>
      </c>
      <c r="H64" s="18" t="s">
        <v>78</v>
      </c>
      <c r="I64" s="18">
        <f>'MERCADO TUSD'!$U$61</f>
        <v>0</v>
      </c>
      <c r="J64" s="15"/>
      <c r="L64" s="13"/>
      <c r="M64" s="13"/>
      <c r="N64" s="13"/>
      <c r="O64" s="13"/>
      <c r="P64" s="13"/>
      <c r="Q64" s="13"/>
      <c r="R64" s="13"/>
      <c r="S64" s="13"/>
      <c r="T64" s="13"/>
      <c r="U64" s="13">
        <f>(1 - CUSTOS!$M$30)*25.029</f>
        <v>25.029</v>
      </c>
      <c r="V64" s="13">
        <f>(1 - CUSTOS!$M$30)*7.4517</f>
        <v>7.4516999999999998</v>
      </c>
      <c r="W64" s="13">
        <f>(1 - CUSTOS!$M$30)*0.4053</f>
        <v>0.40529999999999999</v>
      </c>
      <c r="X64" s="13">
        <v>0</v>
      </c>
      <c r="Y64" s="13">
        <v>0</v>
      </c>
      <c r="Z64" s="13">
        <v>0</v>
      </c>
      <c r="AA64" s="13">
        <v>0</v>
      </c>
      <c r="AB64" s="13"/>
      <c r="AC64" s="13">
        <f>(1 - CUSTOS!$M$30)*154.1147</f>
        <v>154.1147</v>
      </c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P64" s="13">
        <f>IF((1 - CUSTOS!$M$30)&lt;&gt;0,1/(1 - CUSTOS!$M$30),1)</f>
        <v>1</v>
      </c>
    </row>
    <row r="65" spans="1:42" ht="11.25" customHeight="1" x14ac:dyDescent="0.3">
      <c r="A65" s="128" t="s">
        <v>37</v>
      </c>
      <c r="B65" s="128" t="s">
        <v>33</v>
      </c>
      <c r="C65" s="128" t="s">
        <v>25</v>
      </c>
      <c r="D65" s="128" t="s">
        <v>25</v>
      </c>
      <c r="E65" s="128" t="s">
        <v>25</v>
      </c>
      <c r="F65" s="128" t="s">
        <v>25</v>
      </c>
      <c r="G65" s="18" t="s">
        <v>79</v>
      </c>
      <c r="H65" s="18" t="s">
        <v>78</v>
      </c>
      <c r="I65" s="18">
        <f>'MERCADO TUSD'!$U$62</f>
        <v>22.301000000000002</v>
      </c>
      <c r="J65" s="15"/>
      <c r="L65" s="13"/>
      <c r="M65" s="13"/>
      <c r="N65" s="13"/>
      <c r="O65" s="13"/>
      <c r="P65" s="13"/>
      <c r="Q65" s="13"/>
      <c r="R65" s="13"/>
      <c r="S65" s="13"/>
      <c r="T65" s="13"/>
      <c r="U65" s="13">
        <f>(1 - CUSTOS!$M$31)*82.5958</f>
        <v>82.595799999999997</v>
      </c>
      <c r="V65" s="13">
        <f>(1 - CUSTOS!$M$31)*24.5906</f>
        <v>24.590599999999998</v>
      </c>
      <c r="W65" s="13">
        <f>(1 - CUSTOS!$M$31)*1.3374</f>
        <v>1.3373999999999999</v>
      </c>
      <c r="X65" s="13">
        <v>0</v>
      </c>
      <c r="Y65" s="13">
        <v>0</v>
      </c>
      <c r="Z65" s="13">
        <v>0</v>
      </c>
      <c r="AA65" s="13">
        <v>0</v>
      </c>
      <c r="AB65" s="13"/>
      <c r="AC65" s="13">
        <f>(1 - CUSTOS!$M$31)*508.5787</f>
        <v>508.57870000000003</v>
      </c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P65" s="13">
        <f>IF((1 - CUSTOS!$M$31)&lt;&gt;0,1/(1 - CUSTOS!$M$31),1)</f>
        <v>1</v>
      </c>
    </row>
    <row r="66" spans="1:42" ht="11.25" customHeight="1" x14ac:dyDescent="0.3">
      <c r="A66" s="128"/>
      <c r="B66" s="128"/>
      <c r="C66" s="128"/>
      <c r="D66" s="128"/>
      <c r="E66" s="128"/>
      <c r="F66" s="128"/>
      <c r="G66" s="18" t="s">
        <v>90</v>
      </c>
      <c r="H66" s="18" t="s">
        <v>78</v>
      </c>
      <c r="I66" s="18">
        <f>'MERCADO TUSD'!$U$63</f>
        <v>24.489000000000001</v>
      </c>
      <c r="J66" s="15"/>
      <c r="L66" s="13"/>
      <c r="M66" s="13"/>
      <c r="N66" s="13"/>
      <c r="O66" s="13"/>
      <c r="P66" s="13"/>
      <c r="Q66" s="13"/>
      <c r="R66" s="13"/>
      <c r="S66" s="13"/>
      <c r="T66" s="13"/>
      <c r="U66" s="13">
        <f>(1 - CUSTOS!$M$31)*49.5575</f>
        <v>49.557499999999997</v>
      </c>
      <c r="V66" s="13">
        <f>(1 - CUSTOS!$M$31)*14.7543</f>
        <v>14.754300000000001</v>
      </c>
      <c r="W66" s="13">
        <f>(1 - CUSTOS!$M$31)*0.8024</f>
        <v>0.8024</v>
      </c>
      <c r="X66" s="13">
        <v>0</v>
      </c>
      <c r="Y66" s="13">
        <v>0</v>
      </c>
      <c r="Z66" s="13">
        <v>0</v>
      </c>
      <c r="AA66" s="13">
        <v>0</v>
      </c>
      <c r="AB66" s="13"/>
      <c r="AC66" s="13">
        <f>(1 - CUSTOS!$M$31)*305.1472</f>
        <v>305.1472</v>
      </c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P66" s="13">
        <f>IF((1 - CUSTOS!$M$31)&lt;&gt;0,1/(1 - CUSTOS!$M$31),1)</f>
        <v>1</v>
      </c>
    </row>
    <row r="67" spans="1:42" ht="11.25" customHeight="1" x14ac:dyDescent="0.3">
      <c r="A67" s="128"/>
      <c r="B67" s="128"/>
      <c r="C67" s="128"/>
      <c r="D67" s="128"/>
      <c r="E67" s="128"/>
      <c r="F67" s="128"/>
      <c r="G67" s="18" t="s">
        <v>80</v>
      </c>
      <c r="H67" s="18" t="s">
        <v>78</v>
      </c>
      <c r="I67" s="18">
        <f>'MERCADO TUSD'!$U$64</f>
        <v>464.17199999999997</v>
      </c>
      <c r="J67" s="15"/>
      <c r="L67" s="13"/>
      <c r="M67" s="13"/>
      <c r="N67" s="13"/>
      <c r="O67" s="13"/>
      <c r="P67" s="13"/>
      <c r="Q67" s="13"/>
      <c r="R67" s="13"/>
      <c r="S67" s="13"/>
      <c r="T67" s="13"/>
      <c r="U67" s="13">
        <f>(1 - CUSTOS!$M$31)*16.5192</f>
        <v>16.519200000000001</v>
      </c>
      <c r="V67" s="13">
        <f>(1 - CUSTOS!$M$31)*4.9181</f>
        <v>4.9180999999999999</v>
      </c>
      <c r="W67" s="13">
        <f>(1 - CUSTOS!$M$31)*0.2675</f>
        <v>0.26750000000000002</v>
      </c>
      <c r="X67" s="13">
        <v>0</v>
      </c>
      <c r="Y67" s="13">
        <v>0</v>
      </c>
      <c r="Z67" s="13">
        <v>0</v>
      </c>
      <c r="AA67" s="13">
        <v>0</v>
      </c>
      <c r="AB67" s="13"/>
      <c r="AC67" s="13">
        <f>(1 - CUSTOS!$M$31)*101.7157</f>
        <v>101.7157</v>
      </c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P67" s="13">
        <f>IF((1 - CUSTOS!$M$31)&lt;&gt;0,1/(1 - CUSTOS!$M$31),1)</f>
        <v>1</v>
      </c>
    </row>
    <row r="68" spans="1:42" ht="11.25" customHeight="1" x14ac:dyDescent="0.3">
      <c r="A68" s="128"/>
      <c r="B68" s="17" t="s">
        <v>23</v>
      </c>
      <c r="C68" s="17" t="s">
        <v>25</v>
      </c>
      <c r="D68" s="17" t="s">
        <v>25</v>
      </c>
      <c r="E68" s="17" t="s">
        <v>25</v>
      </c>
      <c r="F68" s="17" t="s">
        <v>25</v>
      </c>
      <c r="G68" s="18" t="s">
        <v>84</v>
      </c>
      <c r="H68" s="18" t="s">
        <v>78</v>
      </c>
      <c r="I68" s="18">
        <f>'MERCADO TUSD'!$U$65</f>
        <v>47738.307000000001</v>
      </c>
      <c r="J68" s="15"/>
      <c r="L68" s="13"/>
      <c r="M68" s="13"/>
      <c r="N68" s="13"/>
      <c r="O68" s="13"/>
      <c r="P68" s="13"/>
      <c r="Q68" s="13"/>
      <c r="R68" s="13"/>
      <c r="S68" s="13"/>
      <c r="T68" s="13"/>
      <c r="U68" s="13">
        <f>(1 - CUSTOS!$M$31)*25.029</f>
        <v>25.029</v>
      </c>
      <c r="V68" s="13">
        <f>(1 - CUSTOS!$M$31)*7.4517</f>
        <v>7.4516999999999998</v>
      </c>
      <c r="W68" s="13">
        <f>(1 - CUSTOS!$M$31)*0.4053</f>
        <v>0.40529999999999999</v>
      </c>
      <c r="X68" s="13">
        <v>0</v>
      </c>
      <c r="Y68" s="13">
        <v>0</v>
      </c>
      <c r="Z68" s="13">
        <v>0</v>
      </c>
      <c r="AA68" s="13">
        <v>0</v>
      </c>
      <c r="AB68" s="13"/>
      <c r="AC68" s="13">
        <f>(1 - CUSTOS!$M$31)*154.1147</f>
        <v>154.1147</v>
      </c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P68" s="13">
        <f>IF((1 - CUSTOS!$M$31)&lt;&gt;0,1/(1 - CUSTOS!$M$31),1)</f>
        <v>1</v>
      </c>
    </row>
    <row r="69" spans="1:42" ht="11.25" customHeight="1" x14ac:dyDescent="0.3">
      <c r="A69" s="128"/>
      <c r="B69" s="17" t="s">
        <v>92</v>
      </c>
      <c r="C69" s="17" t="s">
        <v>25</v>
      </c>
      <c r="D69" s="17" t="s">
        <v>25</v>
      </c>
      <c r="E69" s="17" t="s">
        <v>25</v>
      </c>
      <c r="F69" s="17" t="s">
        <v>25</v>
      </c>
      <c r="G69" s="18" t="s">
        <v>84</v>
      </c>
      <c r="H69" s="18" t="s">
        <v>78</v>
      </c>
      <c r="I69" s="18">
        <f>'MERCADO TUSD'!$U$66</f>
        <v>0</v>
      </c>
      <c r="J69" s="15"/>
      <c r="L69" s="13"/>
      <c r="M69" s="13"/>
      <c r="N69" s="13"/>
      <c r="O69" s="13"/>
      <c r="P69" s="13"/>
      <c r="Q69" s="13"/>
      <c r="R69" s="13"/>
      <c r="S69" s="13"/>
      <c r="T69" s="13"/>
      <c r="U69" s="13">
        <f>(1 - CUSTOS!$M$31)*25.029</f>
        <v>25.029</v>
      </c>
      <c r="V69" s="13">
        <f>(1 - CUSTOS!$M$31)*7.4517</f>
        <v>7.4516999999999998</v>
      </c>
      <c r="W69" s="13">
        <f>(1 - CUSTOS!$M$31)*0.4053</f>
        <v>0.40529999999999999</v>
      </c>
      <c r="X69" s="13">
        <v>0</v>
      </c>
      <c r="Y69" s="13">
        <v>0</v>
      </c>
      <c r="Z69" s="13">
        <v>0</v>
      </c>
      <c r="AA69" s="13">
        <v>0</v>
      </c>
      <c r="AB69" s="13"/>
      <c r="AC69" s="13">
        <f>(1 - CUSTOS!$M$31)*154.1147</f>
        <v>154.1147</v>
      </c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P69" s="13">
        <f>IF((1 - CUSTOS!$M$31)&lt;&gt;0,1/(1 - CUSTOS!$M$31),1)</f>
        <v>1</v>
      </c>
    </row>
    <row r="70" spans="1:42" ht="11.25" customHeight="1" x14ac:dyDescent="0.3">
      <c r="A70" s="128" t="s">
        <v>47</v>
      </c>
      <c r="B70" s="128" t="s">
        <v>23</v>
      </c>
      <c r="C70" s="128" t="s">
        <v>48</v>
      </c>
      <c r="D70" s="17" t="s">
        <v>49</v>
      </c>
      <c r="E70" s="17" t="s">
        <v>25</v>
      </c>
      <c r="F70" s="17" t="s">
        <v>25</v>
      </c>
      <c r="G70" s="18" t="s">
        <v>84</v>
      </c>
      <c r="H70" s="18" t="s">
        <v>78</v>
      </c>
      <c r="I70" s="18">
        <f>'MERCADO TUSD'!$U$67</f>
        <v>19654.344999999998</v>
      </c>
      <c r="J70" s="15"/>
      <c r="L70" s="13"/>
      <c r="M70" s="13"/>
      <c r="N70" s="13"/>
      <c r="O70" s="13"/>
      <c r="P70" s="13"/>
      <c r="Q70" s="13"/>
      <c r="R70" s="13"/>
      <c r="S70" s="13"/>
      <c r="T70" s="13"/>
      <c r="U70" s="13">
        <f>(1 - CUSTOS!$M$32)*25.029</f>
        <v>13.765950000000002</v>
      </c>
      <c r="V70" s="13">
        <f>(1 - CUSTOS!$M$32)*7.4517</f>
        <v>4.0984350000000003</v>
      </c>
      <c r="W70" s="13">
        <f>(1 - CUSTOS!$M$32)*0.4053</f>
        <v>0.222915</v>
      </c>
      <c r="X70" s="13">
        <v>0</v>
      </c>
      <c r="Y70" s="13">
        <v>0</v>
      </c>
      <c r="Z70" s="13">
        <v>0</v>
      </c>
      <c r="AA70" s="13">
        <v>0</v>
      </c>
      <c r="AB70" s="13"/>
      <c r="AC70" s="13">
        <f>(1 - CUSTOS!$M$32)*154.1147</f>
        <v>84.763085000000004</v>
      </c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P70" s="13">
        <f>IF((1 - CUSTOS!$M$32)&lt;&gt;0,1/(1 - CUSTOS!$M$32),1)</f>
        <v>1.8181818181818181</v>
      </c>
    </row>
    <row r="71" spans="1:42" ht="11.25" customHeight="1" x14ac:dyDescent="0.3">
      <c r="A71" s="128"/>
      <c r="B71" s="128"/>
      <c r="C71" s="128"/>
      <c r="D71" s="18" t="s">
        <v>95</v>
      </c>
      <c r="E71" s="18" t="s">
        <v>25</v>
      </c>
      <c r="F71" s="18" t="s">
        <v>25</v>
      </c>
      <c r="G71" s="18" t="s">
        <v>84</v>
      </c>
      <c r="H71" s="18" t="s">
        <v>78</v>
      </c>
      <c r="I71" s="18">
        <f>'MERCADO TUSD'!$U$68</f>
        <v>0</v>
      </c>
      <c r="J71" s="15"/>
      <c r="L71" s="13"/>
      <c r="M71" s="13"/>
      <c r="N71" s="13"/>
      <c r="O71" s="13"/>
      <c r="P71" s="13"/>
      <c r="Q71" s="13"/>
      <c r="R71" s="13"/>
      <c r="S71" s="13"/>
      <c r="T71" s="13"/>
      <c r="U71" s="13">
        <f>(1 - CUSTOS!$M$33)*25.029</f>
        <v>15.017399999999999</v>
      </c>
      <c r="V71" s="13">
        <f>(1 - CUSTOS!$M$33)*7.4517</f>
        <v>4.4710199999999993</v>
      </c>
      <c r="W71" s="13">
        <f>(1 - CUSTOS!$M$33)*0.4053</f>
        <v>0.24317999999999998</v>
      </c>
      <c r="X71" s="13">
        <v>0</v>
      </c>
      <c r="Y71" s="13">
        <v>0</v>
      </c>
      <c r="Z71" s="13">
        <v>0</v>
      </c>
      <c r="AA71" s="13">
        <v>0</v>
      </c>
      <c r="AB71" s="13"/>
      <c r="AC71" s="13">
        <f>(1 - CUSTOS!$M$33)*154.1147</f>
        <v>92.468819999999994</v>
      </c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P71" s="13">
        <f>IF((1 - CUSTOS!$M$33)&lt;&gt;0,1/(1 - CUSTOS!$M$33),1)</f>
        <v>1.6666666666666667</v>
      </c>
    </row>
  </sheetData>
  <mergeCells count="103">
    <mergeCell ref="E65:E67"/>
    <mergeCell ref="F65:F67"/>
    <mergeCell ref="A70:A71"/>
    <mergeCell ref="B70:B71"/>
    <mergeCell ref="C70:C71"/>
    <mergeCell ref="B62:B64"/>
    <mergeCell ref="C62:C64"/>
    <mergeCell ref="A65:A69"/>
    <mergeCell ref="B65:B67"/>
    <mergeCell ref="C65:C67"/>
    <mergeCell ref="D65:D67"/>
    <mergeCell ref="F54:F56"/>
    <mergeCell ref="B58:B60"/>
    <mergeCell ref="C58:C60"/>
    <mergeCell ref="D58:D60"/>
    <mergeCell ref="E58:E60"/>
    <mergeCell ref="F58:F60"/>
    <mergeCell ref="A50:A64"/>
    <mergeCell ref="B50:B52"/>
    <mergeCell ref="C50:C52"/>
    <mergeCell ref="D50:D52"/>
    <mergeCell ref="E50:E52"/>
    <mergeCell ref="F50:F52"/>
    <mergeCell ref="B54:B56"/>
    <mergeCell ref="C54:C56"/>
    <mergeCell ref="D54:D56"/>
    <mergeCell ref="E54:E56"/>
    <mergeCell ref="A37:A49"/>
    <mergeCell ref="B37:B39"/>
    <mergeCell ref="C37:C39"/>
    <mergeCell ref="D37:D39"/>
    <mergeCell ref="E37:E39"/>
    <mergeCell ref="F37:F39"/>
    <mergeCell ref="B40:B44"/>
    <mergeCell ref="C40:C44"/>
    <mergeCell ref="B45:B49"/>
    <mergeCell ref="C45:C49"/>
    <mergeCell ref="B33:B34"/>
    <mergeCell ref="C33:C34"/>
    <mergeCell ref="D33:D34"/>
    <mergeCell ref="E33:E34"/>
    <mergeCell ref="F33:F34"/>
    <mergeCell ref="A35:A36"/>
    <mergeCell ref="B35:B36"/>
    <mergeCell ref="C35:C36"/>
    <mergeCell ref="D35:D36"/>
    <mergeCell ref="A24:A34"/>
    <mergeCell ref="B24:B27"/>
    <mergeCell ref="B28:B32"/>
    <mergeCell ref="C28:C32"/>
    <mergeCell ref="D28:D32"/>
    <mergeCell ref="E28:E30"/>
    <mergeCell ref="F28:F30"/>
    <mergeCell ref="E31:E32"/>
    <mergeCell ref="F31:F32"/>
    <mergeCell ref="F19:F21"/>
    <mergeCell ref="E22:E23"/>
    <mergeCell ref="F22:F23"/>
    <mergeCell ref="C24:C27"/>
    <mergeCell ref="D24:D27"/>
    <mergeCell ref="E24:E26"/>
    <mergeCell ref="F24:F26"/>
    <mergeCell ref="A14:A23"/>
    <mergeCell ref="B14:B17"/>
    <mergeCell ref="C14:C17"/>
    <mergeCell ref="D14:D17"/>
    <mergeCell ref="E14:E16"/>
    <mergeCell ref="F14:F16"/>
    <mergeCell ref="B19:B23"/>
    <mergeCell ref="C19:C23"/>
    <mergeCell ref="D19:D23"/>
    <mergeCell ref="E19:E21"/>
    <mergeCell ref="A9:A13"/>
    <mergeCell ref="B9:B12"/>
    <mergeCell ref="C9:C12"/>
    <mergeCell ref="D9:D12"/>
    <mergeCell ref="E9:E11"/>
    <mergeCell ref="F9:F11"/>
    <mergeCell ref="AE3:AG3"/>
    <mergeCell ref="AH3:AL3"/>
    <mergeCell ref="AM3:AM4"/>
    <mergeCell ref="A5:A8"/>
    <mergeCell ref="B5:B8"/>
    <mergeCell ref="C5:C8"/>
    <mergeCell ref="D5:D8"/>
    <mergeCell ref="E5:E7"/>
    <mergeCell ref="F5:F7"/>
    <mergeCell ref="G1:G4"/>
    <mergeCell ref="H1:H4"/>
    <mergeCell ref="I1:I4"/>
    <mergeCell ref="J1:J4"/>
    <mergeCell ref="L1:AM1"/>
    <mergeCell ref="AP1:AP4"/>
    <mergeCell ref="L2:AM2"/>
    <mergeCell ref="L3:T3"/>
    <mergeCell ref="U3:AB3"/>
    <mergeCell ref="AC3:AD3"/>
    <mergeCell ref="A1:A4"/>
    <mergeCell ref="B1:B4"/>
    <mergeCell ref="C1:C4"/>
    <mergeCell ref="D1:D4"/>
    <mergeCell ref="E1:E4"/>
    <mergeCell ref="F1:F4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75CCD-4D2A-4C6F-9873-0AEEC0A730E6}">
  <sheetPr codeName="Planilha8"/>
  <dimension ref="A1:AP93"/>
  <sheetViews>
    <sheetView showGridLines="0" topLeftCell="C56" workbookViewId="0">
      <selection activeCell="K82" sqref="K82:P82"/>
    </sheetView>
  </sheetViews>
  <sheetFormatPr defaultRowHeight="11.25" customHeight="1" x14ac:dyDescent="0.3"/>
  <cols>
    <col min="1" max="1" width="9" style="9" bestFit="1" customWidth="1"/>
    <col min="2" max="2" width="19.441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4.109375" style="9" bestFit="1" customWidth="1"/>
    <col min="12" max="12" width="12.44140625" style="9" bestFit="1" customWidth="1"/>
    <col min="13" max="13" width="9.5546875" style="9" bestFit="1" customWidth="1"/>
    <col min="14" max="14" width="10.77734375" style="9" bestFit="1" customWidth="1"/>
    <col min="15" max="16" width="8.21875" style="9" bestFit="1" customWidth="1"/>
    <col min="17" max="17" width="9.88671875" style="9" bestFit="1" customWidth="1"/>
    <col min="18" max="18" width="9.109375" style="9" bestFit="1" customWidth="1"/>
    <col min="19" max="19" width="8" style="9" bestFit="1" customWidth="1"/>
    <col min="20" max="21" width="9.88671875" style="9" bestFit="1" customWidth="1"/>
    <col min="22" max="22" width="9.109375" style="9" bestFit="1" customWidth="1"/>
    <col min="23" max="23" width="9.21875" style="9" bestFit="1" customWidth="1"/>
    <col min="24" max="24" width="9.33203125" style="9" bestFit="1" customWidth="1"/>
    <col min="25" max="25" width="4.77734375" style="9" bestFit="1" customWidth="1"/>
    <col min="26" max="26" width="7.109375" style="9" bestFit="1" customWidth="1"/>
    <col min="27" max="27" width="9.33203125" style="9" bestFit="1" customWidth="1"/>
    <col min="28" max="28" width="9.88671875" style="9" bestFit="1" customWidth="1"/>
    <col min="29" max="29" width="11.109375" style="9" bestFit="1" customWidth="1"/>
    <col min="30" max="30" width="9.88671875" style="9" bestFit="1" customWidth="1"/>
    <col min="31" max="31" width="7.77734375" style="9" bestFit="1" customWidth="1"/>
    <col min="32" max="32" width="6.88671875" style="9" bestFit="1" customWidth="1"/>
    <col min="33" max="33" width="8.5546875" style="9" bestFit="1" customWidth="1"/>
    <col min="34" max="34" width="14.44140625" style="9" bestFit="1" customWidth="1"/>
    <col min="35" max="35" width="17.5546875" style="9" bestFit="1" customWidth="1"/>
    <col min="36" max="36" width="18.109375" style="9" bestFit="1" customWidth="1"/>
    <col min="37" max="37" width="7.88671875" style="9" bestFit="1" customWidth="1"/>
    <col min="38" max="38" width="9.5546875" style="9" bestFit="1" customWidth="1"/>
    <col min="39" max="39" width="10.6640625" style="9" bestFit="1" customWidth="1"/>
    <col min="40" max="41" width="8.88671875" style="9"/>
    <col min="42" max="42" width="7.21875" style="9" bestFit="1" customWidth="1"/>
    <col min="43" max="16384" width="8.88671875" style="9"/>
  </cols>
  <sheetData>
    <row r="1" spans="1:42" ht="11.25" customHeight="1" x14ac:dyDescent="0.3">
      <c r="A1" s="127" t="s">
        <v>68</v>
      </c>
      <c r="B1" s="127" t="s">
        <v>69</v>
      </c>
      <c r="C1" s="127" t="s">
        <v>70</v>
      </c>
      <c r="D1" s="127" t="s">
        <v>71</v>
      </c>
      <c r="E1" s="127" t="s">
        <v>72</v>
      </c>
      <c r="F1" s="127" t="s">
        <v>15</v>
      </c>
      <c r="G1" s="127" t="s">
        <v>74</v>
      </c>
      <c r="H1" s="127" t="s">
        <v>75</v>
      </c>
      <c r="I1" s="127" t="s">
        <v>757</v>
      </c>
      <c r="J1" s="123"/>
      <c r="L1" s="125" t="s">
        <v>758</v>
      </c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P1" s="125" t="s">
        <v>759</v>
      </c>
    </row>
    <row r="2" spans="1:42" ht="11.25" customHeight="1" x14ac:dyDescent="0.3">
      <c r="A2" s="127"/>
      <c r="B2" s="127"/>
      <c r="C2" s="127"/>
      <c r="D2" s="127"/>
      <c r="E2" s="127"/>
      <c r="F2" s="127"/>
      <c r="G2" s="127"/>
      <c r="H2" s="127"/>
      <c r="I2" s="127"/>
      <c r="J2" s="123"/>
      <c r="L2" s="125" t="s">
        <v>656</v>
      </c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P2" s="126"/>
    </row>
    <row r="3" spans="1:42" ht="11.25" customHeight="1" x14ac:dyDescent="0.3">
      <c r="A3" s="127"/>
      <c r="B3" s="127"/>
      <c r="C3" s="127"/>
      <c r="D3" s="127"/>
      <c r="E3" s="127"/>
      <c r="F3" s="127"/>
      <c r="G3" s="127"/>
      <c r="H3" s="127"/>
      <c r="I3" s="127"/>
      <c r="J3" s="123"/>
      <c r="L3" s="125" t="s">
        <v>657</v>
      </c>
      <c r="M3" s="125"/>
      <c r="N3" s="125"/>
      <c r="O3" s="125"/>
      <c r="P3" s="125"/>
      <c r="Q3" s="125"/>
      <c r="R3" s="125"/>
      <c r="S3" s="125"/>
      <c r="T3" s="125"/>
      <c r="U3" s="125" t="s">
        <v>666</v>
      </c>
      <c r="V3" s="125"/>
      <c r="W3" s="125"/>
      <c r="X3" s="125"/>
      <c r="Y3" s="125"/>
      <c r="Z3" s="125"/>
      <c r="AA3" s="125"/>
      <c r="AB3" s="125"/>
      <c r="AC3" s="125" t="s">
        <v>674</v>
      </c>
      <c r="AD3" s="125"/>
      <c r="AE3" s="125" t="s">
        <v>676</v>
      </c>
      <c r="AF3" s="125"/>
      <c r="AG3" s="125"/>
      <c r="AH3" s="125" t="s">
        <v>679</v>
      </c>
      <c r="AI3" s="125"/>
      <c r="AJ3" s="125"/>
      <c r="AK3" s="125"/>
      <c r="AL3" s="125"/>
      <c r="AM3" s="125" t="s">
        <v>665</v>
      </c>
      <c r="AP3" s="126"/>
    </row>
    <row r="4" spans="1:42" ht="11.25" customHeight="1" x14ac:dyDescent="0.3">
      <c r="A4" s="127"/>
      <c r="B4" s="127"/>
      <c r="C4" s="127"/>
      <c r="D4" s="127"/>
      <c r="E4" s="127"/>
      <c r="F4" s="127"/>
      <c r="G4" s="127"/>
      <c r="H4" s="127"/>
      <c r="I4" s="127"/>
      <c r="J4" s="123"/>
      <c r="L4" s="10" t="s">
        <v>742</v>
      </c>
      <c r="M4" s="10" t="s">
        <v>658</v>
      </c>
      <c r="N4" s="10" t="s">
        <v>659</v>
      </c>
      <c r="O4" s="10" t="s">
        <v>660</v>
      </c>
      <c r="P4" s="10" t="s">
        <v>661</v>
      </c>
      <c r="Q4" s="10" t="s">
        <v>662</v>
      </c>
      <c r="R4" s="10" t="s">
        <v>663</v>
      </c>
      <c r="S4" s="10" t="s">
        <v>664</v>
      </c>
      <c r="T4" s="10" t="s">
        <v>665</v>
      </c>
      <c r="U4" s="10" t="s">
        <v>667</v>
      </c>
      <c r="V4" s="10" t="s">
        <v>668</v>
      </c>
      <c r="W4" s="10" t="s">
        <v>669</v>
      </c>
      <c r="X4" s="10" t="s">
        <v>670</v>
      </c>
      <c r="Y4" s="10" t="s">
        <v>671</v>
      </c>
      <c r="Z4" s="10" t="s">
        <v>672</v>
      </c>
      <c r="AA4" s="10" t="s">
        <v>673</v>
      </c>
      <c r="AB4" s="10" t="s">
        <v>665</v>
      </c>
      <c r="AC4" s="10" t="s">
        <v>675</v>
      </c>
      <c r="AD4" s="10" t="s">
        <v>665</v>
      </c>
      <c r="AE4" s="10" t="s">
        <v>677</v>
      </c>
      <c r="AF4" s="10" t="s">
        <v>678</v>
      </c>
      <c r="AG4" s="10" t="s">
        <v>665</v>
      </c>
      <c r="AH4" s="10" t="s">
        <v>680</v>
      </c>
      <c r="AI4" s="10" t="s">
        <v>681</v>
      </c>
      <c r="AJ4" s="10" t="s">
        <v>682</v>
      </c>
      <c r="AK4" s="10" t="s">
        <v>683</v>
      </c>
      <c r="AL4" s="10" t="s">
        <v>665</v>
      </c>
      <c r="AM4" s="129"/>
      <c r="AP4" s="126"/>
    </row>
    <row r="5" spans="1:42" ht="11.25" customHeight="1" x14ac:dyDescent="0.3">
      <c r="A5" s="128" t="s">
        <v>54</v>
      </c>
      <c r="B5" s="128" t="s">
        <v>40</v>
      </c>
      <c r="C5" s="128" t="s">
        <v>25</v>
      </c>
      <c r="D5" s="128" t="s">
        <v>25</v>
      </c>
      <c r="E5" s="128" t="s">
        <v>25</v>
      </c>
      <c r="F5" s="128" t="s">
        <v>25</v>
      </c>
      <c r="G5" s="18" t="s">
        <v>82</v>
      </c>
      <c r="H5" s="18" t="s">
        <v>81</v>
      </c>
      <c r="I5" s="18">
        <f>'MERCADO TUSD'!$U$2</f>
        <v>45208</v>
      </c>
      <c r="J5" s="15"/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/>
      <c r="U5" s="13">
        <f>TRANSICAO!$U$5*CUSTOS!$O$3</f>
        <v>6.2137000000000002</v>
      </c>
      <c r="V5" s="13">
        <f>TRANSICAO!$V$5*CUSTOS!$O$3</f>
        <v>1.8431</v>
      </c>
      <c r="W5" s="13">
        <f>TRANSICAO!$W$5*CUSTOS!$O$3</f>
        <v>0.1022</v>
      </c>
      <c r="X5" s="13">
        <f>TRANSICAO!$X$5*CUSTOS!$O$3</f>
        <v>0</v>
      </c>
      <c r="Y5" s="13">
        <f>TRANSICAO!$Y$5*CUSTOS!$O$3</f>
        <v>0</v>
      </c>
      <c r="Z5" s="13">
        <f>TRANSICAO!$Z$5*CUSTOS!$O$3</f>
        <v>0</v>
      </c>
      <c r="AA5" s="13">
        <f>TRANSICAO!$AA$5*CUSTOS!$O$3</f>
        <v>0</v>
      </c>
      <c r="AB5" s="13">
        <f>TRANSICAO!$AB$5*CUSTOS!$O$3</f>
        <v>0</v>
      </c>
      <c r="AC5" s="13">
        <f>TRANSICAO!$AC$5*CUSTOS!$O$3</f>
        <v>10.379799999999999</v>
      </c>
      <c r="AD5" s="13">
        <f>TRANSICAO!$AD$5*CUSTOS!$O$3</f>
        <v>0</v>
      </c>
      <c r="AE5" s="13">
        <v>0</v>
      </c>
      <c r="AF5" s="13">
        <v>0</v>
      </c>
      <c r="AG5" s="13"/>
      <c r="AH5" s="13">
        <v>0</v>
      </c>
      <c r="AI5" s="13">
        <v>0</v>
      </c>
      <c r="AJ5" s="13">
        <v>0</v>
      </c>
      <c r="AK5" s="13">
        <f t="shared" ref="AK5:AK36" si="0">AJ5</f>
        <v>0</v>
      </c>
      <c r="AL5" s="13"/>
      <c r="AM5" s="13"/>
      <c r="AP5" s="13">
        <v>1</v>
      </c>
    </row>
    <row r="6" spans="1:42" ht="11.25" customHeight="1" x14ac:dyDescent="0.3">
      <c r="A6" s="128"/>
      <c r="B6" s="128"/>
      <c r="C6" s="128"/>
      <c r="D6" s="128"/>
      <c r="E6" s="128"/>
      <c r="F6" s="128"/>
      <c r="G6" s="18" t="s">
        <v>83</v>
      </c>
      <c r="H6" s="18" t="s">
        <v>81</v>
      </c>
      <c r="I6" s="18">
        <f>'MERCADO TUSD'!$U$3</f>
        <v>240000</v>
      </c>
      <c r="J6" s="15"/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/>
      <c r="U6" s="13">
        <f>TRANSICAO!$U$6*CUSTOS!$O$3</f>
        <v>4.6196999999999999</v>
      </c>
      <c r="V6" s="13">
        <f>TRANSICAO!$V$6*CUSTOS!$O$3</f>
        <v>1.3813</v>
      </c>
      <c r="W6" s="13">
        <f>TRANSICAO!$W$6*CUSTOS!$O$3</f>
        <v>7.3400000000000007E-2</v>
      </c>
      <c r="X6" s="13">
        <f>TRANSICAO!$X$6*CUSTOS!$O$3</f>
        <v>0</v>
      </c>
      <c r="Y6" s="13">
        <f>TRANSICAO!$Y$6*CUSTOS!$O$3</f>
        <v>0</v>
      </c>
      <c r="Z6" s="13">
        <f>TRANSICAO!$Z$6*CUSTOS!$O$3</f>
        <v>0</v>
      </c>
      <c r="AA6" s="13">
        <f>TRANSICAO!$AA$6*CUSTOS!$O$3</f>
        <v>0</v>
      </c>
      <c r="AB6" s="13">
        <f>TRANSICAO!$AB$6*CUSTOS!$O$3</f>
        <v>0</v>
      </c>
      <c r="AC6" s="13">
        <f>TRANSICAO!$AC$6*CUSTOS!$O$3</f>
        <v>1.2211000000000001</v>
      </c>
      <c r="AD6" s="13">
        <f>TRANSICAO!$AD$6*CUSTOS!$O$3</f>
        <v>0</v>
      </c>
      <c r="AE6" s="13">
        <v>0</v>
      </c>
      <c r="AF6" s="13">
        <v>0</v>
      </c>
      <c r="AG6" s="13"/>
      <c r="AH6" s="13">
        <v>0</v>
      </c>
      <c r="AI6" s="13">
        <v>0</v>
      </c>
      <c r="AJ6" s="13">
        <v>0</v>
      </c>
      <c r="AK6" s="13">
        <f t="shared" si="0"/>
        <v>0</v>
      </c>
      <c r="AL6" s="13"/>
      <c r="AM6" s="13"/>
      <c r="AP6" s="13">
        <v>1</v>
      </c>
    </row>
    <row r="7" spans="1:42" ht="11.25" customHeight="1" x14ac:dyDescent="0.3">
      <c r="A7" s="128"/>
      <c r="B7" s="128"/>
      <c r="C7" s="128"/>
      <c r="D7" s="128"/>
      <c r="E7" s="128"/>
      <c r="F7" s="128"/>
      <c r="G7" s="18" t="s">
        <v>84</v>
      </c>
      <c r="H7" s="18" t="s">
        <v>78</v>
      </c>
      <c r="I7" s="18">
        <f>'MERCADO TUSD'!$U$4</f>
        <v>117715.17200000002</v>
      </c>
      <c r="J7" s="15"/>
      <c r="L7" s="13">
        <f>0.62</f>
        <v>0.62</v>
      </c>
      <c r="M7" s="13">
        <f>IF(AND((+$I$7+$I$8)&lt;&gt;0,SUMPRODUCT($I$5:$I$71,$AC$5:$AC$71,$AP$5:$AP$71)&lt;&gt;0),$M$76*SUMPRODUCT($I$5:$I$8,$AC$5:$AC$8,$AP$5:$AP$8)/SUMPRODUCT($I$5:$I$71,$AC$5:$AC$71,$AP$5:$AP$71)/(+$I$7+$I$8),0)</f>
        <v>3.9822456927464903E-2</v>
      </c>
      <c r="N7" s="13">
        <f ca="1">(+M7+O7+R7+U7+V7+W7+X7+Y7+Z7+AA7+AC7+AH7+AI7+AJ7+AK7)*CUSTOS!$M$5</f>
        <v>3.2544229138903605E-2</v>
      </c>
      <c r="O7" s="13">
        <v>1</v>
      </c>
      <c r="P7" s="13">
        <v>1</v>
      </c>
      <c r="Q7" s="13">
        <f>0.62</f>
        <v>0.62</v>
      </c>
      <c r="R7" s="13">
        <v>1</v>
      </c>
      <c r="S7" s="13">
        <v>1</v>
      </c>
      <c r="T7" s="13"/>
      <c r="U7" s="13">
        <f>TRANSICAO!$U$7*CUSTOS!$O$3</f>
        <v>0</v>
      </c>
      <c r="V7" s="13">
        <f>TRANSICAO!$V$7*CUSTOS!$O$3</f>
        <v>0</v>
      </c>
      <c r="W7" s="13">
        <f>TRANSICAO!$W$7*CUSTOS!$O$3</f>
        <v>0</v>
      </c>
      <c r="X7" s="13">
        <f>TRANSICAO!$X$7*CUSTOS!$O$3</f>
        <v>0</v>
      </c>
      <c r="Y7" s="13">
        <f>TRANSICAO!$Y$7*CUSTOS!$O$3</f>
        <v>0</v>
      </c>
      <c r="Z7" s="13">
        <f>TRANSICAO!$Z$7*CUSTOS!$O$3</f>
        <v>0</v>
      </c>
      <c r="AA7" s="13">
        <f>TRANSICAO!$AA$7*CUSTOS!$O$3</f>
        <v>0</v>
      </c>
      <c r="AB7" s="13">
        <f>TRANSICAO!$AB$7*CUSTOS!$O$3</f>
        <v>0</v>
      </c>
      <c r="AC7" s="13">
        <f>TRANSICAO!$AC$7*CUSTOS!$O$3</f>
        <v>0</v>
      </c>
      <c r="AD7" s="13">
        <f>TRANSICAO!$AD$7*CUSTOS!$O$3</f>
        <v>0</v>
      </c>
      <c r="AE7" s="13">
        <v>0</v>
      </c>
      <c r="AF7" s="13">
        <v>0</v>
      </c>
      <c r="AG7" s="13"/>
      <c r="AH7" s="13">
        <v>0.1676</v>
      </c>
      <c r="AI7" s="13">
        <v>0.1676</v>
      </c>
      <c r="AJ7" s="13">
        <f ca="1">$N$83</f>
        <v>0.43970022848144769</v>
      </c>
      <c r="AK7" s="13">
        <f t="shared" ca="1" si="0"/>
        <v>0.43970022848144769</v>
      </c>
      <c r="AL7" s="13"/>
      <c r="AM7" s="13"/>
      <c r="AP7" s="13">
        <v>1</v>
      </c>
    </row>
    <row r="8" spans="1:42" ht="11.25" customHeight="1" x14ac:dyDescent="0.3">
      <c r="A8" s="128"/>
      <c r="B8" s="128"/>
      <c r="C8" s="128"/>
      <c r="D8" s="128"/>
      <c r="E8" s="17" t="s">
        <v>85</v>
      </c>
      <c r="F8" s="17" t="s">
        <v>25</v>
      </c>
      <c r="G8" s="18" t="s">
        <v>84</v>
      </c>
      <c r="H8" s="18" t="s">
        <v>78</v>
      </c>
      <c r="I8" s="18">
        <f>'MERCADO TUSD'!$U$5</f>
        <v>0</v>
      </c>
      <c r="J8" s="15"/>
      <c r="L8" s="13">
        <v>0</v>
      </c>
      <c r="M8" s="13">
        <f>IF(AND((+$I$7+$I$8)&lt;&gt;0,SUMPRODUCT($I$5:$I$71,$AC$5:$AC$71,$AP$5:$AP$71)&lt;&gt;0),$M$76*SUMPRODUCT($I$5:$I$8,$AC$5:$AC$8,$AP$5:$AP$8)/SUMPRODUCT($I$5:$I$71,$AC$5:$AC$71,$AP$5:$AP$71)/(+$I$7+$I$8),0)</f>
        <v>3.9822456927464903E-2</v>
      </c>
      <c r="N8" s="13">
        <f ca="1">(+M8+O8+R8+U8+V8+W8+X8+Y8+Z8+AA8+AC8+AH8+AI8+AJ8+AK8)*CUSTOS!$M$5</f>
        <v>2.2544229138903603E-2</v>
      </c>
      <c r="O8" s="13">
        <v>1</v>
      </c>
      <c r="P8" s="13">
        <v>0</v>
      </c>
      <c r="Q8" s="13">
        <v>0</v>
      </c>
      <c r="R8" s="13">
        <v>0</v>
      </c>
      <c r="S8" s="13">
        <v>0</v>
      </c>
      <c r="T8" s="13"/>
      <c r="U8" s="13">
        <f>TRANSICAO!$U$8*CUSTOS!$O$3</f>
        <v>0</v>
      </c>
      <c r="V8" s="13">
        <f>TRANSICAO!$V$8*CUSTOS!$O$3</f>
        <v>0</v>
      </c>
      <c r="W8" s="13">
        <f>TRANSICAO!$W$8*CUSTOS!$O$3</f>
        <v>0</v>
      </c>
      <c r="X8" s="13">
        <f>TRANSICAO!$X$8*CUSTOS!$O$3</f>
        <v>0</v>
      </c>
      <c r="Y8" s="13">
        <f>TRANSICAO!$Y$8*CUSTOS!$O$3</f>
        <v>0</v>
      </c>
      <c r="Z8" s="13">
        <f>TRANSICAO!$Z$8*CUSTOS!$O$3</f>
        <v>0</v>
      </c>
      <c r="AA8" s="13">
        <f>TRANSICAO!$AA$8*CUSTOS!$O$3</f>
        <v>0</v>
      </c>
      <c r="AB8" s="13">
        <f>TRANSICAO!$AB$8*CUSTOS!$O$3</f>
        <v>0</v>
      </c>
      <c r="AC8" s="13">
        <f>TRANSICAO!$AC$8*CUSTOS!$O$3</f>
        <v>0</v>
      </c>
      <c r="AD8" s="13">
        <f>TRANSICAO!$AD$8*CUSTOS!$O$3</f>
        <v>0</v>
      </c>
      <c r="AE8" s="13">
        <v>0</v>
      </c>
      <c r="AF8" s="13">
        <v>0</v>
      </c>
      <c r="AG8" s="13"/>
      <c r="AH8" s="13">
        <v>0.1676</v>
      </c>
      <c r="AI8" s="13">
        <v>0.1676</v>
      </c>
      <c r="AJ8" s="13">
        <f ca="1">$N$83</f>
        <v>0.43970022848144769</v>
      </c>
      <c r="AK8" s="13">
        <f t="shared" ca="1" si="0"/>
        <v>0.43970022848144769</v>
      </c>
      <c r="AL8" s="13"/>
      <c r="AM8" s="13"/>
      <c r="AP8" s="13">
        <v>1</v>
      </c>
    </row>
    <row r="9" spans="1:42" ht="11.25" customHeight="1" x14ac:dyDescent="0.3">
      <c r="A9" s="128" t="s">
        <v>60</v>
      </c>
      <c r="B9" s="128" t="s">
        <v>40</v>
      </c>
      <c r="C9" s="128" t="s">
        <v>25</v>
      </c>
      <c r="D9" s="128" t="s">
        <v>25</v>
      </c>
      <c r="E9" s="128" t="s">
        <v>25</v>
      </c>
      <c r="F9" s="128" t="s">
        <v>25</v>
      </c>
      <c r="G9" s="18" t="s">
        <v>82</v>
      </c>
      <c r="H9" s="18" t="s">
        <v>81</v>
      </c>
      <c r="I9" s="18">
        <f>'MERCADO TUSD'!$U$6</f>
        <v>0</v>
      </c>
      <c r="J9" s="15"/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/>
      <c r="U9" s="13">
        <f>TRANSICAO!$U$9*CUSTOS!$P$3</f>
        <v>5.6817000000000002</v>
      </c>
      <c r="V9" s="13">
        <f>TRANSICAO!$V$9*CUSTOS!$P$3</f>
        <v>1.6853</v>
      </c>
      <c r="W9" s="13">
        <f>TRANSICAO!$W$9*CUSTOS!$P$3</f>
        <v>9.35E-2</v>
      </c>
      <c r="X9" s="13">
        <f>TRANSICAO!$X$9*CUSTOS!$P$3</f>
        <v>0</v>
      </c>
      <c r="Y9" s="13">
        <f>TRANSICAO!$Y$9*CUSTOS!$P$3</f>
        <v>0</v>
      </c>
      <c r="Z9" s="13">
        <f>TRANSICAO!$Z$9*CUSTOS!$P$3</f>
        <v>0</v>
      </c>
      <c r="AA9" s="13">
        <f>TRANSICAO!$AA$9*CUSTOS!$P$3</f>
        <v>0</v>
      </c>
      <c r="AB9" s="13">
        <f>TRANSICAO!$AB$9*CUSTOS!$P$3</f>
        <v>0</v>
      </c>
      <c r="AC9" s="13">
        <f>TRANSICAO!$AC$9*CUSTOS!$P$3</f>
        <v>19.179099999999998</v>
      </c>
      <c r="AD9" s="13">
        <f>TRANSICAO!$AD$9*CUSTOS!$P$3</f>
        <v>0</v>
      </c>
      <c r="AE9" s="13">
        <v>0</v>
      </c>
      <c r="AF9" s="13">
        <v>0</v>
      </c>
      <c r="AG9" s="13"/>
      <c r="AH9" s="13">
        <v>0</v>
      </c>
      <c r="AI9" s="13">
        <v>0</v>
      </c>
      <c r="AJ9" s="13">
        <v>0</v>
      </c>
      <c r="AK9" s="13">
        <f t="shared" si="0"/>
        <v>0</v>
      </c>
      <c r="AL9" s="13"/>
      <c r="AM9" s="13"/>
      <c r="AP9" s="13">
        <v>1</v>
      </c>
    </row>
    <row r="10" spans="1:42" ht="11.25" customHeight="1" x14ac:dyDescent="0.3">
      <c r="A10" s="128"/>
      <c r="B10" s="128"/>
      <c r="C10" s="128"/>
      <c r="D10" s="128"/>
      <c r="E10" s="128"/>
      <c r="F10" s="128"/>
      <c r="G10" s="18" t="s">
        <v>83</v>
      </c>
      <c r="H10" s="18" t="s">
        <v>81</v>
      </c>
      <c r="I10" s="18">
        <f>'MERCADO TUSD'!$U$7</f>
        <v>0</v>
      </c>
      <c r="J10" s="15"/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/>
      <c r="U10" s="13">
        <f>TRANSICAO!$U$10*CUSTOS!$P$3</f>
        <v>4.1074000000000002</v>
      </c>
      <c r="V10" s="13">
        <f>TRANSICAO!$V$10*CUSTOS!$P$3</f>
        <v>1.2281</v>
      </c>
      <c r="W10" s="13">
        <f>TRANSICAO!$W$10*CUSTOS!$P$3</f>
        <v>6.5299999999999997E-2</v>
      </c>
      <c r="X10" s="13">
        <f>TRANSICAO!$X$10*CUSTOS!$P$3</f>
        <v>0</v>
      </c>
      <c r="Y10" s="13">
        <f>TRANSICAO!$Y$10*CUSTOS!$P$3</f>
        <v>0</v>
      </c>
      <c r="Z10" s="13">
        <f>TRANSICAO!$Z$10*CUSTOS!$P$3</f>
        <v>0</v>
      </c>
      <c r="AA10" s="13">
        <f>TRANSICAO!$AA$10*CUSTOS!$P$3</f>
        <v>0</v>
      </c>
      <c r="AB10" s="13">
        <f>TRANSICAO!$AB$10*CUSTOS!$P$3</f>
        <v>0</v>
      </c>
      <c r="AC10" s="13">
        <f>TRANSICAO!$AC$10*CUSTOS!$P$3</f>
        <v>5.1669</v>
      </c>
      <c r="AD10" s="13">
        <f>TRANSICAO!$AD$10*CUSTOS!$P$3</f>
        <v>0</v>
      </c>
      <c r="AE10" s="13">
        <v>0</v>
      </c>
      <c r="AF10" s="13">
        <v>0</v>
      </c>
      <c r="AG10" s="13"/>
      <c r="AH10" s="13">
        <v>0</v>
      </c>
      <c r="AI10" s="13">
        <v>0</v>
      </c>
      <c r="AJ10" s="13">
        <v>0</v>
      </c>
      <c r="AK10" s="13">
        <f t="shared" si="0"/>
        <v>0</v>
      </c>
      <c r="AL10" s="13"/>
      <c r="AM10" s="13"/>
      <c r="AP10" s="13">
        <v>1</v>
      </c>
    </row>
    <row r="11" spans="1:42" ht="11.25" customHeight="1" x14ac:dyDescent="0.3">
      <c r="A11" s="128"/>
      <c r="B11" s="128"/>
      <c r="C11" s="128"/>
      <c r="D11" s="128"/>
      <c r="E11" s="128"/>
      <c r="F11" s="128"/>
      <c r="G11" s="18" t="s">
        <v>84</v>
      </c>
      <c r="H11" s="18" t="s">
        <v>78</v>
      </c>
      <c r="I11" s="18">
        <f>'MERCADO TUSD'!$U$8</f>
        <v>0</v>
      </c>
      <c r="J11" s="15"/>
      <c r="L11" s="13">
        <f>0.62</f>
        <v>0.62</v>
      </c>
      <c r="M11" s="13">
        <f>IF(AND((+$I$11+$I$12)&lt;&gt;0,SUMPRODUCT($I$5:$I$71,$AC$5:$AC$71,$AP$5:$AP$71)&lt;&gt;0),$M$76*SUMPRODUCT($I$9:$I$13,$AC$9:$AC$13,$AP$9:$AP$13)/SUMPRODUCT($I$5:$I$71,$AC$5:$AC$71,$AP$5:$AP$71)/(+$I$11+$I$12),0)</f>
        <v>0</v>
      </c>
      <c r="N11" s="13">
        <f ca="1">(+M11+O11+R11+U11+V11+W11+X11+Y11+Z11+AA11+AC11+AH11+AI11+AJ11+AK11)*CUSTOS!$M$5</f>
        <v>0.15543999999999999</v>
      </c>
      <c r="O11" s="13">
        <v>1</v>
      </c>
      <c r="P11" s="13">
        <v>1</v>
      </c>
      <c r="Q11" s="13">
        <f>0.62</f>
        <v>0.62</v>
      </c>
      <c r="R11" s="13">
        <v>1</v>
      </c>
      <c r="S11" s="13">
        <v>1</v>
      </c>
      <c r="T11" s="13"/>
      <c r="U11" s="13">
        <f>TRANSICAO!$U$11*CUSTOS!$P$3</f>
        <v>0</v>
      </c>
      <c r="V11" s="13">
        <f>TRANSICAO!$V$11*CUSTOS!$P$3</f>
        <v>0</v>
      </c>
      <c r="W11" s="13">
        <f>TRANSICAO!$W$11*CUSTOS!$P$3</f>
        <v>0</v>
      </c>
      <c r="X11" s="13">
        <f>TRANSICAO!$X$11*CUSTOS!$P$3</f>
        <v>0</v>
      </c>
      <c r="Y11" s="13">
        <f>TRANSICAO!$Y$11*CUSTOS!$P$3</f>
        <v>0</v>
      </c>
      <c r="Z11" s="13">
        <f>TRANSICAO!$Z$11*CUSTOS!$P$3</f>
        <v>0</v>
      </c>
      <c r="AA11" s="13">
        <f>TRANSICAO!$AA$11*CUSTOS!$P$3</f>
        <v>0</v>
      </c>
      <c r="AB11" s="13">
        <f>TRANSICAO!$AB$11*CUSTOS!$P$3</f>
        <v>0</v>
      </c>
      <c r="AC11" s="13">
        <f>TRANSICAO!$AC$11*CUSTOS!$P$3</f>
        <v>0</v>
      </c>
      <c r="AD11" s="13">
        <f>TRANSICAO!$AD$11*CUSTOS!$P$3</f>
        <v>0</v>
      </c>
      <c r="AE11" s="13">
        <v>0</v>
      </c>
      <c r="AF11" s="13">
        <v>0</v>
      </c>
      <c r="AG11" s="13"/>
      <c r="AH11" s="13">
        <v>6.7720000000000002</v>
      </c>
      <c r="AI11" s="13">
        <v>6.7720000000000002</v>
      </c>
      <c r="AJ11" s="13">
        <f ca="1">$N$84</f>
        <v>0</v>
      </c>
      <c r="AK11" s="13">
        <f t="shared" ca="1" si="0"/>
        <v>0</v>
      </c>
      <c r="AL11" s="13"/>
      <c r="AM11" s="13"/>
      <c r="AP11" s="13">
        <v>1</v>
      </c>
    </row>
    <row r="12" spans="1:42" ht="11.25" customHeight="1" x14ac:dyDescent="0.3">
      <c r="A12" s="128"/>
      <c r="B12" s="128"/>
      <c r="C12" s="128"/>
      <c r="D12" s="128"/>
      <c r="E12" s="17" t="s">
        <v>85</v>
      </c>
      <c r="F12" s="17" t="s">
        <v>25</v>
      </c>
      <c r="G12" s="18" t="s">
        <v>84</v>
      </c>
      <c r="H12" s="18" t="s">
        <v>78</v>
      </c>
      <c r="I12" s="18">
        <f>'MERCADO TUSD'!$U$9</f>
        <v>0</v>
      </c>
      <c r="J12" s="15"/>
      <c r="L12" s="13">
        <v>0</v>
      </c>
      <c r="M12" s="13">
        <f>IF(AND((+$I$11+$I$12)&lt;&gt;0,SUMPRODUCT($I$5:$I$71,$AC$5:$AC$71,$AP$5:$AP$71)&lt;&gt;0),$M$76*SUMPRODUCT($I$9:$I$13,$AC$9:$AC$13,$AP$9:$AP$13)/SUMPRODUCT($I$5:$I$71,$AC$5:$AC$71,$AP$5:$AP$71)/(+$I$11+$I$12),0)</f>
        <v>0</v>
      </c>
      <c r="N12" s="13">
        <f ca="1">(+M12+O12+R12+U12+V12+W12+X12+Y12+Z12+AA12+AC12+AH12+AI12+AJ12+AK12)*CUSTOS!$M$5</f>
        <v>0.14544000000000001</v>
      </c>
      <c r="O12" s="13">
        <v>1</v>
      </c>
      <c r="P12" s="13">
        <v>0</v>
      </c>
      <c r="Q12" s="13">
        <v>0</v>
      </c>
      <c r="R12" s="13">
        <v>0</v>
      </c>
      <c r="S12" s="13">
        <v>0</v>
      </c>
      <c r="T12" s="13"/>
      <c r="U12" s="13">
        <f>TRANSICAO!$U$12*CUSTOS!$P$3</f>
        <v>0</v>
      </c>
      <c r="V12" s="13">
        <f>TRANSICAO!$V$12*CUSTOS!$P$3</f>
        <v>0</v>
      </c>
      <c r="W12" s="13">
        <f>TRANSICAO!$W$12*CUSTOS!$P$3</f>
        <v>0</v>
      </c>
      <c r="X12" s="13">
        <f>TRANSICAO!$X$12*CUSTOS!$P$3</f>
        <v>0</v>
      </c>
      <c r="Y12" s="13">
        <f>TRANSICAO!$Y$12*CUSTOS!$P$3</f>
        <v>0</v>
      </c>
      <c r="Z12" s="13">
        <f>TRANSICAO!$Z$12*CUSTOS!$P$3</f>
        <v>0</v>
      </c>
      <c r="AA12" s="13">
        <f>TRANSICAO!$AA$12*CUSTOS!$P$3</f>
        <v>0</v>
      </c>
      <c r="AB12" s="13">
        <f>TRANSICAO!$AB$12*CUSTOS!$P$3</f>
        <v>0</v>
      </c>
      <c r="AC12" s="13">
        <f>TRANSICAO!$AC$12*CUSTOS!$P$3</f>
        <v>0</v>
      </c>
      <c r="AD12" s="13">
        <f>TRANSICAO!$AD$12*CUSTOS!$P$3</f>
        <v>0</v>
      </c>
      <c r="AE12" s="13">
        <v>0</v>
      </c>
      <c r="AF12" s="13">
        <v>0</v>
      </c>
      <c r="AG12" s="13"/>
      <c r="AH12" s="13">
        <v>6.7720000000000002</v>
      </c>
      <c r="AI12" s="13">
        <v>6.7720000000000002</v>
      </c>
      <c r="AJ12" s="13">
        <f ca="1">$N$84</f>
        <v>0</v>
      </c>
      <c r="AK12" s="13">
        <f t="shared" ca="1" si="0"/>
        <v>0</v>
      </c>
      <c r="AL12" s="13"/>
      <c r="AM12" s="13"/>
      <c r="AP12" s="13">
        <v>1</v>
      </c>
    </row>
    <row r="13" spans="1:42" ht="11.25" customHeight="1" x14ac:dyDescent="0.3">
      <c r="A13" s="128"/>
      <c r="B13" s="17" t="s">
        <v>57</v>
      </c>
      <c r="C13" s="17" t="s">
        <v>25</v>
      </c>
      <c r="D13" s="17" t="s">
        <v>25</v>
      </c>
      <c r="E13" s="17" t="s">
        <v>25</v>
      </c>
      <c r="F13" s="17" t="s">
        <v>25</v>
      </c>
      <c r="G13" s="18" t="s">
        <v>9</v>
      </c>
      <c r="H13" s="18" t="s">
        <v>81</v>
      </c>
      <c r="I13" s="18">
        <f>'MERCADO TUSD'!$U$10</f>
        <v>93600</v>
      </c>
      <c r="J13" s="15"/>
      <c r="L13" s="13">
        <v>0</v>
      </c>
      <c r="M13" s="13">
        <f>(1+CUSTOS!$M$4)*0.0240127443473014</f>
        <v>2.5577414762810401E-2</v>
      </c>
      <c r="N13" s="13">
        <f>(1+CUSTOS!$M$4)*0.0719667322741849</f>
        <v>7.6656084530705659E-2</v>
      </c>
      <c r="O13" s="13">
        <f>(1+CUSTOS!$M$4)*0</f>
        <v>0</v>
      </c>
      <c r="P13" s="13">
        <v>0</v>
      </c>
      <c r="Q13" s="13">
        <v>0</v>
      </c>
      <c r="R13" s="13">
        <v>0</v>
      </c>
      <c r="S13" s="13">
        <v>0</v>
      </c>
      <c r="T13" s="13"/>
      <c r="U13" s="13">
        <f>TRANSICAO!$U$13*CUSTOS!$P$4</f>
        <v>6.1472566227996541</v>
      </c>
      <c r="V13" s="13">
        <f>TRANSICAO!$V$13*CUSTOS!$P$4</f>
        <v>2.5235874158486773</v>
      </c>
      <c r="W13" s="13">
        <f>TRANSICAO!$W$13*CUSTOS!$P$4</f>
        <v>0.61838560036918067</v>
      </c>
      <c r="X13" s="13">
        <f>TRANSICAO!$X$13*CUSTOS!$P$4</f>
        <v>0</v>
      </c>
      <c r="Y13" s="13">
        <f>TRANSICAO!$Y$13*CUSTOS!$P$4</f>
        <v>0</v>
      </c>
      <c r="Z13" s="13">
        <f>TRANSICAO!$Z$13*CUSTOS!$P$4</f>
        <v>0</v>
      </c>
      <c r="AA13" s="13">
        <f>TRANSICAO!$AA$13*CUSTOS!$P$4</f>
        <v>0</v>
      </c>
      <c r="AB13" s="13">
        <f>TRANSICAO!$AB$13*CUSTOS!$P$4</f>
        <v>0</v>
      </c>
      <c r="AC13" s="13">
        <f>TRANSICAO!$AC$13*CUSTOS!$P$4</f>
        <v>1.5818237693278272</v>
      </c>
      <c r="AD13" s="13">
        <f>TRANSICAO!$AD$13*CUSTOS!$P$4</f>
        <v>0</v>
      </c>
      <c r="AE13" s="13">
        <v>0</v>
      </c>
      <c r="AF13" s="13">
        <v>0</v>
      </c>
      <c r="AG13" s="13"/>
      <c r="AH13" s="13">
        <f>(1+CUSTOS!$M$4)*0</f>
        <v>0</v>
      </c>
      <c r="AI13" s="13">
        <f>(1+CUSTOS!$M$4)*0</f>
        <v>0</v>
      </c>
      <c r="AJ13" s="13">
        <v>0</v>
      </c>
      <c r="AK13" s="13">
        <f t="shared" si="0"/>
        <v>0</v>
      </c>
      <c r="AL13" s="13"/>
      <c r="AM13" s="13"/>
      <c r="AP13" s="13"/>
    </row>
    <row r="14" spans="1:42" ht="11.25" customHeight="1" x14ac:dyDescent="0.3">
      <c r="A14" s="128" t="s">
        <v>39</v>
      </c>
      <c r="B14" s="128" t="s">
        <v>40</v>
      </c>
      <c r="C14" s="128" t="s">
        <v>25</v>
      </c>
      <c r="D14" s="128" t="s">
        <v>25</v>
      </c>
      <c r="E14" s="128" t="s">
        <v>25</v>
      </c>
      <c r="F14" s="128" t="s">
        <v>25</v>
      </c>
      <c r="G14" s="18" t="s">
        <v>82</v>
      </c>
      <c r="H14" s="18" t="s">
        <v>81</v>
      </c>
      <c r="I14" s="18">
        <f>'MERCADO TUSD'!$U$11</f>
        <v>355389</v>
      </c>
      <c r="J14" s="15"/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/>
      <c r="U14" s="13">
        <f>TRANSICAO!$U$14*CUSTOS!$R$3</f>
        <v>5.1497000000000002</v>
      </c>
      <c r="V14" s="13">
        <f>TRANSICAO!$V$14*CUSTOS!$R$3</f>
        <v>1.5275000000000001</v>
      </c>
      <c r="W14" s="13">
        <f>TRANSICAO!$W$14*CUSTOS!$R$3</f>
        <v>8.4699999999999998E-2</v>
      </c>
      <c r="X14" s="13">
        <f>TRANSICAO!$X$14*CUSTOS!$R$3</f>
        <v>0</v>
      </c>
      <c r="Y14" s="13">
        <f>TRANSICAO!$Y$14*CUSTOS!$R$3</f>
        <v>0</v>
      </c>
      <c r="Z14" s="13">
        <f>TRANSICAO!$Z$14*CUSTOS!$R$3</f>
        <v>0</v>
      </c>
      <c r="AA14" s="13">
        <f>TRANSICAO!$AA$14*CUSTOS!$R$3</f>
        <v>0</v>
      </c>
      <c r="AB14" s="13">
        <f>TRANSICAO!$AB$14*CUSTOS!$R$3</f>
        <v>0</v>
      </c>
      <c r="AC14" s="13">
        <f>TRANSICAO!$AC$14*CUSTOS!$R$3</f>
        <v>27.978400000000001</v>
      </c>
      <c r="AD14" s="13">
        <f>TRANSICAO!$AD$14*CUSTOS!$R$3</f>
        <v>0</v>
      </c>
      <c r="AE14" s="13">
        <v>0</v>
      </c>
      <c r="AF14" s="13">
        <v>0</v>
      </c>
      <c r="AG14" s="13"/>
      <c r="AH14" s="13">
        <v>0</v>
      </c>
      <c r="AI14" s="13">
        <v>0</v>
      </c>
      <c r="AJ14" s="13">
        <v>0</v>
      </c>
      <c r="AK14" s="13">
        <f t="shared" si="0"/>
        <v>0</v>
      </c>
      <c r="AL14" s="13"/>
      <c r="AM14" s="13"/>
      <c r="AP14" s="13">
        <v>1</v>
      </c>
    </row>
    <row r="15" spans="1:42" ht="11.25" customHeight="1" x14ac:dyDescent="0.3">
      <c r="A15" s="128"/>
      <c r="B15" s="128"/>
      <c r="C15" s="128"/>
      <c r="D15" s="128"/>
      <c r="E15" s="128"/>
      <c r="F15" s="128"/>
      <c r="G15" s="18" t="s">
        <v>83</v>
      </c>
      <c r="H15" s="18" t="s">
        <v>81</v>
      </c>
      <c r="I15" s="18">
        <f>'MERCADO TUSD'!$U$12</f>
        <v>371113</v>
      </c>
      <c r="J15" s="15"/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/>
      <c r="U15" s="13">
        <f>TRANSICAO!$U$15*CUSTOS!$R$3</f>
        <v>3.5951</v>
      </c>
      <c r="V15" s="13">
        <f>TRANSICAO!$V$15*CUSTOS!$R$3</f>
        <v>1.0749</v>
      </c>
      <c r="W15" s="13">
        <f>TRANSICAO!$W$15*CUSTOS!$R$3</f>
        <v>5.7099999999999998E-2</v>
      </c>
      <c r="X15" s="13">
        <f>TRANSICAO!$X$15*CUSTOS!$R$3</f>
        <v>0</v>
      </c>
      <c r="Y15" s="13">
        <f>TRANSICAO!$Y$15*CUSTOS!$R$3</f>
        <v>0</v>
      </c>
      <c r="Z15" s="13">
        <f>TRANSICAO!$Z$15*CUSTOS!$R$3</f>
        <v>0</v>
      </c>
      <c r="AA15" s="13">
        <f>TRANSICAO!$AA$15*CUSTOS!$R$3</f>
        <v>0</v>
      </c>
      <c r="AB15" s="13">
        <f>TRANSICAO!$AB$15*CUSTOS!$R$3</f>
        <v>0</v>
      </c>
      <c r="AC15" s="13">
        <f>TRANSICAO!$AC$15*CUSTOS!$R$3</f>
        <v>9.1127000000000002</v>
      </c>
      <c r="AD15" s="13">
        <f>TRANSICAO!$AD$15*CUSTOS!$R$3</f>
        <v>0</v>
      </c>
      <c r="AE15" s="13">
        <v>0</v>
      </c>
      <c r="AF15" s="13">
        <v>0</v>
      </c>
      <c r="AG15" s="13"/>
      <c r="AH15" s="13">
        <v>0</v>
      </c>
      <c r="AI15" s="13">
        <v>0</v>
      </c>
      <c r="AJ15" s="13">
        <v>0</v>
      </c>
      <c r="AK15" s="13">
        <f t="shared" si="0"/>
        <v>0</v>
      </c>
      <c r="AL15" s="13"/>
      <c r="AM15" s="13"/>
      <c r="AP15" s="13">
        <v>1</v>
      </c>
    </row>
    <row r="16" spans="1:42" ht="11.25" customHeight="1" x14ac:dyDescent="0.3">
      <c r="A16" s="128"/>
      <c r="B16" s="128"/>
      <c r="C16" s="128"/>
      <c r="D16" s="128"/>
      <c r="E16" s="128"/>
      <c r="F16" s="128"/>
      <c r="G16" s="18" t="s">
        <v>84</v>
      </c>
      <c r="H16" s="18" t="s">
        <v>78</v>
      </c>
      <c r="I16" s="18">
        <f>'MERCADO TUSD'!$U$13</f>
        <v>175397.889</v>
      </c>
      <c r="J16" s="15"/>
      <c r="L16" s="13">
        <f>0.84</f>
        <v>0.84</v>
      </c>
      <c r="M16" s="13">
        <f>IF(AND((+$I$16+$I$17+$I$20+$I$21+$I$22+$I$23)&lt;&gt;0,SUMPRODUCT($I$5:$I$71,$AC$5:$AC$71,$AP$5:$AP$71)&lt;&gt;0),$M$76*SUMPRODUCT($I$14:$I$23,$AC$14:$AC$23,$AP$14:$AP$23)/SUMPRODUCT($I$5:$I$71,$AC$5:$AC$71,$AP$5:$AP$71)/(+$I$16+$I$17+$I$20+$I$21+$I$22+$I$23),0)</f>
        <v>0.49516514242004572</v>
      </c>
      <c r="N16" s="13">
        <f ca="1">(+M16+O16+R16+U16+V16+W16+X16+Y16+Z16+AA16+AC16+AH16+AI16+AJ16+AK16)*CUSTOS!$M$5</f>
        <v>0.31286195930046601</v>
      </c>
      <c r="O16" s="13">
        <v>1</v>
      </c>
      <c r="P16" s="13">
        <v>1</v>
      </c>
      <c r="Q16" s="13">
        <f>0.84</f>
        <v>0.84</v>
      </c>
      <c r="R16" s="13">
        <v>1</v>
      </c>
      <c r="S16" s="13">
        <v>1</v>
      </c>
      <c r="T16" s="13"/>
      <c r="U16" s="13">
        <f>TRANSICAO!$U$16*CUSTOS!$R$3</f>
        <v>0</v>
      </c>
      <c r="V16" s="13">
        <f>TRANSICAO!$V$16*CUSTOS!$R$3</f>
        <v>0</v>
      </c>
      <c r="W16" s="13">
        <f>TRANSICAO!$W$16*CUSTOS!$R$3</f>
        <v>0</v>
      </c>
      <c r="X16" s="13">
        <f>TRANSICAO!$X$16*CUSTOS!$R$3</f>
        <v>0</v>
      </c>
      <c r="Y16" s="13">
        <f>TRANSICAO!$Y$16*CUSTOS!$R$3</f>
        <v>0</v>
      </c>
      <c r="Z16" s="13">
        <f>TRANSICAO!$Z$16*CUSTOS!$R$3</f>
        <v>0</v>
      </c>
      <c r="AA16" s="13">
        <f>TRANSICAO!$AA$16*CUSTOS!$R$3</f>
        <v>0</v>
      </c>
      <c r="AB16" s="13">
        <f>TRANSICAO!$AB$16*CUSTOS!$R$3</f>
        <v>0</v>
      </c>
      <c r="AC16" s="13">
        <f>TRANSICAO!$AC$16*CUSTOS!$R$3</f>
        <v>0</v>
      </c>
      <c r="AD16" s="13">
        <f>TRANSICAO!$AD$16*CUSTOS!$R$3</f>
        <v>0</v>
      </c>
      <c r="AE16" s="13">
        <v>0</v>
      </c>
      <c r="AF16" s="13">
        <v>0</v>
      </c>
      <c r="AG16" s="13"/>
      <c r="AH16" s="13">
        <v>13.3765</v>
      </c>
      <c r="AI16" s="13">
        <v>13.3765</v>
      </c>
      <c r="AJ16" s="13">
        <f ca="1">$N$85</f>
        <v>1.0190153938132767</v>
      </c>
      <c r="AK16" s="13">
        <f t="shared" ca="1" si="0"/>
        <v>1.0190153938132767</v>
      </c>
      <c r="AL16" s="13"/>
      <c r="AM16" s="13"/>
      <c r="AP16" s="13">
        <v>1</v>
      </c>
    </row>
    <row r="17" spans="1:42" ht="11.25" customHeight="1" x14ac:dyDescent="0.3">
      <c r="A17" s="128"/>
      <c r="B17" s="128"/>
      <c r="C17" s="128"/>
      <c r="D17" s="128"/>
      <c r="E17" s="17" t="s">
        <v>85</v>
      </c>
      <c r="F17" s="17" t="s">
        <v>25</v>
      </c>
      <c r="G17" s="18" t="s">
        <v>84</v>
      </c>
      <c r="H17" s="18" t="s">
        <v>78</v>
      </c>
      <c r="I17" s="18">
        <f>'MERCADO TUSD'!$U$14</f>
        <v>0</v>
      </c>
      <c r="J17" s="15"/>
      <c r="L17" s="13">
        <v>0</v>
      </c>
      <c r="M17" s="13">
        <f>IF(AND((+$I$16+$I$17+$I$20+$I$21+$I$22+$I$23)&lt;&gt;0,SUMPRODUCT($I$5:$I$71,$AC$5:$AC$71,$AP$5:$AP$71)&lt;&gt;0),$M$76*SUMPRODUCT($I$14:$I$23,$AC$14:$AC$23,$AP$14:$AP$23)/SUMPRODUCT($I$5:$I$71,$AC$5:$AC$71,$AP$5:$AP$71)/(+$I$16+$I$17+$I$20+$I$21+$I$22+$I$23),0)</f>
        <v>0.49516514242004572</v>
      </c>
      <c r="N17" s="13">
        <f ca="1">(+M17+O17+R17+U17+V17+W17+X17+Y17+Z17+AA17+AC17+AH17+AI17+AJ17+AK17)*CUSTOS!$M$5</f>
        <v>0.302861959300466</v>
      </c>
      <c r="O17" s="13">
        <v>1</v>
      </c>
      <c r="P17" s="13">
        <v>0</v>
      </c>
      <c r="Q17" s="13">
        <v>0</v>
      </c>
      <c r="R17" s="13">
        <v>0</v>
      </c>
      <c r="S17" s="13">
        <v>0</v>
      </c>
      <c r="T17" s="13"/>
      <c r="U17" s="13">
        <f>TRANSICAO!$U$17*CUSTOS!$R$3</f>
        <v>0</v>
      </c>
      <c r="V17" s="13">
        <f>TRANSICAO!$V$17*CUSTOS!$R$3</f>
        <v>0</v>
      </c>
      <c r="W17" s="13">
        <f>TRANSICAO!$W$17*CUSTOS!$R$3</f>
        <v>0</v>
      </c>
      <c r="X17" s="13">
        <f>TRANSICAO!$X$17*CUSTOS!$R$3</f>
        <v>0</v>
      </c>
      <c r="Y17" s="13">
        <f>TRANSICAO!$Y$17*CUSTOS!$R$3</f>
        <v>0</v>
      </c>
      <c r="Z17" s="13">
        <f>TRANSICAO!$Z$17*CUSTOS!$R$3</f>
        <v>0</v>
      </c>
      <c r="AA17" s="13">
        <f>TRANSICAO!$AA$17*CUSTOS!$R$3</f>
        <v>0</v>
      </c>
      <c r="AB17" s="13">
        <f>TRANSICAO!$AB$17*CUSTOS!$R$3</f>
        <v>0</v>
      </c>
      <c r="AC17" s="13">
        <f>TRANSICAO!$AC$17*CUSTOS!$R$3</f>
        <v>0</v>
      </c>
      <c r="AD17" s="13">
        <f>TRANSICAO!$AD$17*CUSTOS!$R$3</f>
        <v>0</v>
      </c>
      <c r="AE17" s="13">
        <v>0</v>
      </c>
      <c r="AF17" s="13">
        <v>0</v>
      </c>
      <c r="AG17" s="13"/>
      <c r="AH17" s="13">
        <v>13.3765</v>
      </c>
      <c r="AI17" s="13">
        <v>13.3765</v>
      </c>
      <c r="AJ17" s="13">
        <f ca="1">$N$85</f>
        <v>1.0190153938132767</v>
      </c>
      <c r="AK17" s="13">
        <f t="shared" ca="1" si="0"/>
        <v>1.0190153938132767</v>
      </c>
      <c r="AL17" s="13"/>
      <c r="AM17" s="13"/>
      <c r="AP17" s="13">
        <v>1</v>
      </c>
    </row>
    <row r="18" spans="1:42" ht="11.25" customHeight="1" x14ac:dyDescent="0.3">
      <c r="A18" s="128"/>
      <c r="B18" s="17" t="s">
        <v>57</v>
      </c>
      <c r="C18" s="17" t="s">
        <v>25</v>
      </c>
      <c r="D18" s="17" t="s">
        <v>25</v>
      </c>
      <c r="E18" s="17" t="s">
        <v>25</v>
      </c>
      <c r="F18" s="17" t="s">
        <v>25</v>
      </c>
      <c r="G18" s="18" t="s">
        <v>9</v>
      </c>
      <c r="H18" s="18" t="s">
        <v>81</v>
      </c>
      <c r="I18" s="18">
        <f>'MERCADO TUSD'!$U$15</f>
        <v>105360</v>
      </c>
      <c r="J18" s="15"/>
      <c r="L18" s="13">
        <v>0</v>
      </c>
      <c r="M18" s="13">
        <v>1.2200000000000001E-2</v>
      </c>
      <c r="N18" s="13">
        <f>0.0308</f>
        <v>3.0800000000000001E-2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/>
      <c r="U18" s="13">
        <f>TRANSICAO!$U$18*CUSTOS!$R$4</f>
        <v>0</v>
      </c>
      <c r="V18" s="13">
        <f>TRANSICAO!$V$18*CUSTOS!$R$4</f>
        <v>0</v>
      </c>
      <c r="W18" s="13">
        <f>TRANSICAO!$W$18*CUSTOS!$R$4</f>
        <v>0</v>
      </c>
      <c r="X18" s="13">
        <f>TRANSICAO!$X$18*CUSTOS!$R$4</f>
        <v>0</v>
      </c>
      <c r="Y18" s="13">
        <f>TRANSICAO!$Y$18*CUSTOS!$R$4</f>
        <v>0</v>
      </c>
      <c r="Z18" s="13">
        <f>TRANSICAO!$Z$18*CUSTOS!$R$4</f>
        <v>0</v>
      </c>
      <c r="AA18" s="13">
        <f>TRANSICAO!$AA$18*CUSTOS!$R$4</f>
        <v>0</v>
      </c>
      <c r="AB18" s="13">
        <f>TRANSICAO!$AB$18*CUSTOS!$R$4</f>
        <v>0</v>
      </c>
      <c r="AC18" s="13">
        <f>TRANSICAO!$AC$18*CUSTOS!$R$4</f>
        <v>3.0596000000000001</v>
      </c>
      <c r="AD18" s="13">
        <f>TRANSICAO!$AD$18*CUSTOS!$R$4</f>
        <v>0</v>
      </c>
      <c r="AE18" s="13">
        <v>0</v>
      </c>
      <c r="AF18" s="13">
        <v>0</v>
      </c>
      <c r="AG18" s="13"/>
      <c r="AH18" s="13">
        <v>6.4000000000000003E-3</v>
      </c>
      <c r="AI18" s="13">
        <v>0</v>
      </c>
      <c r="AJ18" s="13">
        <v>0</v>
      </c>
      <c r="AK18" s="13">
        <f t="shared" si="0"/>
        <v>0</v>
      </c>
      <c r="AL18" s="13"/>
      <c r="AM18" s="13"/>
      <c r="AP18" s="13"/>
    </row>
    <row r="19" spans="1:42" ht="11.25" customHeight="1" x14ac:dyDescent="0.3">
      <c r="A19" s="128"/>
      <c r="B19" s="128" t="s">
        <v>41</v>
      </c>
      <c r="C19" s="128" t="s">
        <v>25</v>
      </c>
      <c r="D19" s="128" t="s">
        <v>25</v>
      </c>
      <c r="E19" s="128" t="s">
        <v>25</v>
      </c>
      <c r="F19" s="128" t="s">
        <v>25</v>
      </c>
      <c r="G19" s="18" t="s">
        <v>9</v>
      </c>
      <c r="H19" s="18" t="s">
        <v>81</v>
      </c>
      <c r="I19" s="18">
        <f>'MERCADO TUSD'!$U$16</f>
        <v>334187</v>
      </c>
      <c r="J19" s="15"/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/>
      <c r="U19" s="13">
        <f>TRANSICAO!$U$19*CUSTOS!$R$3</f>
        <v>3.5951</v>
      </c>
      <c r="V19" s="13">
        <f>TRANSICAO!$V$19*CUSTOS!$R$3</f>
        <v>1.0749</v>
      </c>
      <c r="W19" s="13">
        <f>TRANSICAO!$W$19*CUSTOS!$R$3</f>
        <v>5.7099999999999998E-2</v>
      </c>
      <c r="X19" s="13">
        <f>TRANSICAO!$X$19*CUSTOS!$R$3</f>
        <v>0</v>
      </c>
      <c r="Y19" s="13">
        <f>TRANSICAO!$Y$19*CUSTOS!$R$3</f>
        <v>0</v>
      </c>
      <c r="Z19" s="13">
        <f>TRANSICAO!$Z$19*CUSTOS!$R$3</f>
        <v>0</v>
      </c>
      <c r="AA19" s="13">
        <f>TRANSICAO!$AA$19*CUSTOS!$R$3</f>
        <v>0</v>
      </c>
      <c r="AB19" s="13">
        <f>TRANSICAO!$AB$19*CUSTOS!$R$3</f>
        <v>0</v>
      </c>
      <c r="AC19" s="13">
        <f>TRANSICAO!$AC$19*CUSTOS!$R$3</f>
        <v>9.1127000000000002</v>
      </c>
      <c r="AD19" s="13">
        <f>TRANSICAO!$AD$19*CUSTOS!$R$3</f>
        <v>0</v>
      </c>
      <c r="AE19" s="13">
        <v>0</v>
      </c>
      <c r="AF19" s="13">
        <v>0</v>
      </c>
      <c r="AG19" s="13"/>
      <c r="AH19" s="13">
        <v>0</v>
      </c>
      <c r="AI19" s="13">
        <v>0</v>
      </c>
      <c r="AJ19" s="13">
        <v>0</v>
      </c>
      <c r="AK19" s="13">
        <f t="shared" si="0"/>
        <v>0</v>
      </c>
      <c r="AL19" s="13"/>
      <c r="AM19" s="13"/>
      <c r="AP19" s="13">
        <v>1</v>
      </c>
    </row>
    <row r="20" spans="1:42" ht="11.25" customHeight="1" x14ac:dyDescent="0.3">
      <c r="A20" s="128"/>
      <c r="B20" s="128"/>
      <c r="C20" s="128"/>
      <c r="D20" s="128"/>
      <c r="E20" s="128"/>
      <c r="F20" s="128"/>
      <c r="G20" s="18" t="s">
        <v>79</v>
      </c>
      <c r="H20" s="18" t="s">
        <v>78</v>
      </c>
      <c r="I20" s="18">
        <f>'MERCADO TUSD'!$U$17</f>
        <v>7190.6020000000008</v>
      </c>
      <c r="J20" s="15"/>
      <c r="L20" s="13">
        <f>0.84</f>
        <v>0.84</v>
      </c>
      <c r="M20" s="13">
        <f>IF(AND((+$I$16+$I$17+$I$20+$I$21+$I$22+$I$23)&lt;&gt;0,SUMPRODUCT($I$5:$I$71,$AC$5:$AC$71,$AP$5:$AP$71)&lt;&gt;0),$M$76*SUMPRODUCT($I$14:$I$23,$AC$14:$AC$23,$AP$14:$AP$23)/SUMPRODUCT($I$5:$I$71,$AC$5:$AC$71,$AP$5:$AP$71)/(+$I$16+$I$17+$I$20+$I$21+$I$22+$I$23),0)</f>
        <v>0.49516514242004572</v>
      </c>
      <c r="N20" s="13">
        <f ca="1">(+M20+O20+R20+U20+V20+W20+X20+Y20+Z20+AA20+AC20+AH20+AI20+AJ20+AK20)*CUSTOS!$M$5</f>
        <v>8.6679199593004661</v>
      </c>
      <c r="O20" s="13">
        <v>1</v>
      </c>
      <c r="P20" s="13">
        <v>1</v>
      </c>
      <c r="Q20" s="13">
        <f>0.84</f>
        <v>0.84</v>
      </c>
      <c r="R20" s="13">
        <v>1</v>
      </c>
      <c r="S20" s="13">
        <v>1</v>
      </c>
      <c r="T20" s="13"/>
      <c r="U20" s="13">
        <f>TRANSICAO!$U$20*CUSTOS!$R$3</f>
        <v>123.8509</v>
      </c>
      <c r="V20" s="13">
        <f>TRANSICAO!$V$20*CUSTOS!$R$3</f>
        <v>36.736899999999999</v>
      </c>
      <c r="W20" s="13">
        <f>TRANSICAO!$W$20*CUSTOS!$R$3</f>
        <v>2.0377999999999998</v>
      </c>
      <c r="X20" s="13">
        <f>TRANSICAO!$X$20*CUSTOS!$R$3</f>
        <v>0</v>
      </c>
      <c r="Y20" s="13">
        <f>TRANSICAO!$Y$20*CUSTOS!$R$3</f>
        <v>0</v>
      </c>
      <c r="Z20" s="13">
        <f>TRANSICAO!$Z$20*CUSTOS!$R$3</f>
        <v>0</v>
      </c>
      <c r="AA20" s="13">
        <f>TRANSICAO!$AA$20*CUSTOS!$R$3</f>
        <v>0</v>
      </c>
      <c r="AB20" s="13">
        <f>TRANSICAO!$AB$20*CUSTOS!$R$3</f>
        <v>0</v>
      </c>
      <c r="AC20" s="13">
        <f>TRANSICAO!$AC$20*CUSTOS!$R$3</f>
        <v>672.88019999999995</v>
      </c>
      <c r="AD20" s="13">
        <f>TRANSICAO!$AD$20*CUSTOS!$R$3</f>
        <v>0</v>
      </c>
      <c r="AE20" s="13">
        <v>0</v>
      </c>
      <c r="AF20" s="13">
        <v>0</v>
      </c>
      <c r="AG20" s="13"/>
      <c r="AH20" s="13">
        <v>13.3765</v>
      </c>
      <c r="AI20" s="13">
        <v>13.3765</v>
      </c>
      <c r="AJ20" s="13">
        <f ca="1">$N$85</f>
        <v>1.0190153938132767</v>
      </c>
      <c r="AK20" s="13">
        <f t="shared" ca="1" si="0"/>
        <v>1.0190153938132767</v>
      </c>
      <c r="AL20" s="13"/>
      <c r="AM20" s="13"/>
      <c r="AP20" s="13">
        <v>1</v>
      </c>
    </row>
    <row r="21" spans="1:42" ht="11.25" customHeight="1" x14ac:dyDescent="0.3">
      <c r="A21" s="128"/>
      <c r="B21" s="128"/>
      <c r="C21" s="128"/>
      <c r="D21" s="128"/>
      <c r="E21" s="128"/>
      <c r="F21" s="128"/>
      <c r="G21" s="18" t="s">
        <v>80</v>
      </c>
      <c r="H21" s="18" t="s">
        <v>78</v>
      </c>
      <c r="I21" s="18">
        <f>'MERCADO TUSD'!$U$18</f>
        <v>80797.680999999997</v>
      </c>
      <c r="J21" s="15"/>
      <c r="L21" s="13">
        <f>0.84</f>
        <v>0.84</v>
      </c>
      <c r="M21" s="13">
        <f>IF(AND((+$I$16+$I$17+$I$20+$I$21+$I$22+$I$23)&lt;&gt;0,SUMPRODUCT($I$5:$I$71,$AC$5:$AC$71,$AP$5:$AP$71)&lt;&gt;0),$M$76*SUMPRODUCT($I$14:$I$23,$AC$14:$AC$23,$AP$14:$AP$23)/SUMPRODUCT($I$5:$I$71,$AC$5:$AC$71,$AP$5:$AP$71)/(+$I$16+$I$17+$I$20+$I$21+$I$22+$I$23),0)</f>
        <v>0.49516514242004572</v>
      </c>
      <c r="N21" s="13">
        <f ca="1">(+M21+O21+R21+U21+V21+W21+X21+Y21+Z21+AA21+AC21+AH21+AI21+AJ21+AK21)*CUSTOS!$M$5</f>
        <v>0.31286195930046601</v>
      </c>
      <c r="O21" s="13">
        <v>1</v>
      </c>
      <c r="P21" s="13">
        <v>1</v>
      </c>
      <c r="Q21" s="13">
        <f>0.84</f>
        <v>0.84</v>
      </c>
      <c r="R21" s="13">
        <v>1</v>
      </c>
      <c r="S21" s="13">
        <v>1</v>
      </c>
      <c r="T21" s="13"/>
      <c r="U21" s="13">
        <f>TRANSICAO!$U$21*CUSTOS!$R$3</f>
        <v>0</v>
      </c>
      <c r="V21" s="13">
        <f>TRANSICAO!$V$21*CUSTOS!$R$3</f>
        <v>0</v>
      </c>
      <c r="W21" s="13">
        <f>TRANSICAO!$W$21*CUSTOS!$R$3</f>
        <v>0</v>
      </c>
      <c r="X21" s="13">
        <f>TRANSICAO!$X$21*CUSTOS!$R$3</f>
        <v>0</v>
      </c>
      <c r="Y21" s="13">
        <f>TRANSICAO!$Y$21*CUSTOS!$R$3</f>
        <v>0</v>
      </c>
      <c r="Z21" s="13">
        <f>TRANSICAO!$Z$21*CUSTOS!$R$3</f>
        <v>0</v>
      </c>
      <c r="AA21" s="13">
        <f>TRANSICAO!$AA$21*CUSTOS!$R$3</f>
        <v>0</v>
      </c>
      <c r="AB21" s="13">
        <f>TRANSICAO!$AB$21*CUSTOS!$R$3</f>
        <v>0</v>
      </c>
      <c r="AC21" s="13">
        <f>TRANSICAO!$AC$21*CUSTOS!$R$3</f>
        <v>0</v>
      </c>
      <c r="AD21" s="13">
        <f>TRANSICAO!$AD$21*CUSTOS!$R$3</f>
        <v>0</v>
      </c>
      <c r="AE21" s="13">
        <v>0</v>
      </c>
      <c r="AF21" s="13">
        <v>0</v>
      </c>
      <c r="AG21" s="13"/>
      <c r="AH21" s="13">
        <v>13.3765</v>
      </c>
      <c r="AI21" s="13">
        <v>13.3765</v>
      </c>
      <c r="AJ21" s="13">
        <f ca="1">$N$85</f>
        <v>1.0190153938132767</v>
      </c>
      <c r="AK21" s="13">
        <f t="shared" ca="1" si="0"/>
        <v>1.0190153938132767</v>
      </c>
      <c r="AL21" s="13"/>
      <c r="AM21" s="13"/>
      <c r="AP21" s="13">
        <v>1</v>
      </c>
    </row>
    <row r="22" spans="1:42" ht="11.25" customHeight="1" x14ac:dyDescent="0.3">
      <c r="A22" s="128"/>
      <c r="B22" s="128"/>
      <c r="C22" s="128"/>
      <c r="D22" s="128"/>
      <c r="E22" s="128" t="s">
        <v>85</v>
      </c>
      <c r="F22" s="128" t="s">
        <v>25</v>
      </c>
      <c r="G22" s="18" t="s">
        <v>79</v>
      </c>
      <c r="H22" s="18" t="s">
        <v>78</v>
      </c>
      <c r="I22" s="18">
        <f>'MERCADO TUSD'!$U$19</f>
        <v>0</v>
      </c>
      <c r="J22" s="15"/>
      <c r="L22" s="13">
        <v>0</v>
      </c>
      <c r="M22" s="13">
        <f>IF(AND((+$I$16+$I$17+$I$20+$I$21+$I$22+$I$23)&lt;&gt;0,SUMPRODUCT($I$5:$I$71,$AC$5:$AC$71,$AP$5:$AP$71)&lt;&gt;0),$M$76*SUMPRODUCT($I$14:$I$23,$AC$14:$AC$23,$AP$14:$AP$23)/SUMPRODUCT($I$5:$I$71,$AC$5:$AC$71,$AP$5:$AP$71)/(+$I$16+$I$17+$I$20+$I$21+$I$22+$I$23),0)</f>
        <v>0.49516514242004572</v>
      </c>
      <c r="N22" s="13">
        <f ca="1">(+M22+O22+R22+U22+V22+W22+X22+Y22+Z22+AA22+AC22+AH22+AI22+AJ22+AK22)*CUSTOS!$M$5</f>
        <v>8.6579199593004663</v>
      </c>
      <c r="O22" s="13">
        <v>1</v>
      </c>
      <c r="P22" s="13">
        <v>0</v>
      </c>
      <c r="Q22" s="13">
        <v>0</v>
      </c>
      <c r="R22" s="13">
        <v>0</v>
      </c>
      <c r="S22" s="13">
        <v>0</v>
      </c>
      <c r="T22" s="13"/>
      <c r="U22" s="13">
        <f>TRANSICAO!$U$22*CUSTOS!$R$3</f>
        <v>123.8509</v>
      </c>
      <c r="V22" s="13">
        <f>TRANSICAO!$V$22*CUSTOS!$R$3</f>
        <v>36.736899999999999</v>
      </c>
      <c r="W22" s="13">
        <f>TRANSICAO!$W$22*CUSTOS!$R$3</f>
        <v>2.0377999999999998</v>
      </c>
      <c r="X22" s="13">
        <f>TRANSICAO!$X$22*CUSTOS!$R$3</f>
        <v>0</v>
      </c>
      <c r="Y22" s="13">
        <f>TRANSICAO!$Y$22*CUSTOS!$R$3</f>
        <v>0</v>
      </c>
      <c r="Z22" s="13">
        <f>TRANSICAO!$Z$22*CUSTOS!$R$3</f>
        <v>0</v>
      </c>
      <c r="AA22" s="13">
        <f>TRANSICAO!$AA$22*CUSTOS!$R$3</f>
        <v>0</v>
      </c>
      <c r="AB22" s="13">
        <f>TRANSICAO!$AB$22*CUSTOS!$R$3</f>
        <v>0</v>
      </c>
      <c r="AC22" s="13">
        <f>TRANSICAO!$AC$22*CUSTOS!$R$3</f>
        <v>672.88019999999995</v>
      </c>
      <c r="AD22" s="13">
        <f>TRANSICAO!$AD$22*CUSTOS!$R$3</f>
        <v>0</v>
      </c>
      <c r="AE22" s="13">
        <v>0</v>
      </c>
      <c r="AF22" s="13">
        <v>0</v>
      </c>
      <c r="AG22" s="13"/>
      <c r="AH22" s="13">
        <v>13.3765</v>
      </c>
      <c r="AI22" s="13">
        <v>13.3765</v>
      </c>
      <c r="AJ22" s="13">
        <f ca="1">$N$85</f>
        <v>1.0190153938132767</v>
      </c>
      <c r="AK22" s="13">
        <f t="shared" ca="1" si="0"/>
        <v>1.0190153938132767</v>
      </c>
      <c r="AL22" s="13"/>
      <c r="AM22" s="13"/>
      <c r="AP22" s="13">
        <v>1</v>
      </c>
    </row>
    <row r="23" spans="1:42" ht="11.25" customHeight="1" x14ac:dyDescent="0.3">
      <c r="A23" s="128"/>
      <c r="B23" s="128"/>
      <c r="C23" s="128"/>
      <c r="D23" s="128"/>
      <c r="E23" s="128"/>
      <c r="F23" s="128"/>
      <c r="G23" s="18" t="s">
        <v>80</v>
      </c>
      <c r="H23" s="18" t="s">
        <v>78</v>
      </c>
      <c r="I23" s="18">
        <f>'MERCADO TUSD'!$U$20</f>
        <v>0</v>
      </c>
      <c r="J23" s="15"/>
      <c r="L23" s="13">
        <v>0</v>
      </c>
      <c r="M23" s="13">
        <f>IF(AND((+$I$16+$I$17+$I$20+$I$21+$I$22+$I$23)&lt;&gt;0,SUMPRODUCT($I$5:$I$71,$AC$5:$AC$71,$AP$5:$AP$71)&lt;&gt;0),$M$76*SUMPRODUCT($I$14:$I$23,$AC$14:$AC$23,$AP$14:$AP$23)/SUMPRODUCT($I$5:$I$71,$AC$5:$AC$71,$AP$5:$AP$71)/(+$I$16+$I$17+$I$20+$I$21+$I$22+$I$23),0)</f>
        <v>0.49516514242004572</v>
      </c>
      <c r="N23" s="13">
        <f ca="1">(+M23+O23+R23+U23+V23+W23+X23+Y23+Z23+AA23+AC23+AH23+AI23+AJ23+AK23)*CUSTOS!$M$5</f>
        <v>0.302861959300466</v>
      </c>
      <c r="O23" s="13">
        <v>1</v>
      </c>
      <c r="P23" s="13">
        <v>0</v>
      </c>
      <c r="Q23" s="13">
        <v>0</v>
      </c>
      <c r="R23" s="13">
        <v>0</v>
      </c>
      <c r="S23" s="13">
        <v>0</v>
      </c>
      <c r="T23" s="13"/>
      <c r="U23" s="13">
        <f>TRANSICAO!$U$23*CUSTOS!$R$3</f>
        <v>0</v>
      </c>
      <c r="V23" s="13">
        <f>TRANSICAO!$V$23*CUSTOS!$R$3</f>
        <v>0</v>
      </c>
      <c r="W23" s="13">
        <f>TRANSICAO!$W$23*CUSTOS!$R$3</f>
        <v>0</v>
      </c>
      <c r="X23" s="13">
        <f>TRANSICAO!$X$23*CUSTOS!$R$3</f>
        <v>0</v>
      </c>
      <c r="Y23" s="13">
        <f>TRANSICAO!$Y$23*CUSTOS!$R$3</f>
        <v>0</v>
      </c>
      <c r="Z23" s="13">
        <f>TRANSICAO!$Z$23*CUSTOS!$R$3</f>
        <v>0</v>
      </c>
      <c r="AA23" s="13">
        <f>TRANSICAO!$AA$23*CUSTOS!$R$3</f>
        <v>0</v>
      </c>
      <c r="AB23" s="13">
        <f>TRANSICAO!$AB$23*CUSTOS!$R$3</f>
        <v>0</v>
      </c>
      <c r="AC23" s="13">
        <f>TRANSICAO!$AC$23*CUSTOS!$R$3</f>
        <v>0</v>
      </c>
      <c r="AD23" s="13">
        <f>TRANSICAO!$AD$23*CUSTOS!$R$3</f>
        <v>0</v>
      </c>
      <c r="AE23" s="13">
        <v>0</v>
      </c>
      <c r="AF23" s="13">
        <v>0</v>
      </c>
      <c r="AG23" s="13"/>
      <c r="AH23" s="13">
        <v>13.3765</v>
      </c>
      <c r="AI23" s="13">
        <v>13.3765</v>
      </c>
      <c r="AJ23" s="13">
        <f ca="1">$N$85</f>
        <v>1.0190153938132767</v>
      </c>
      <c r="AK23" s="13">
        <f t="shared" ca="1" si="0"/>
        <v>1.0190153938132767</v>
      </c>
      <c r="AL23" s="13"/>
      <c r="AM23" s="13"/>
      <c r="AP23" s="13">
        <v>1</v>
      </c>
    </row>
    <row r="24" spans="1:42" ht="11.25" customHeight="1" x14ac:dyDescent="0.3">
      <c r="A24" s="128" t="s">
        <v>43</v>
      </c>
      <c r="B24" s="128" t="s">
        <v>40</v>
      </c>
      <c r="C24" s="128" t="s">
        <v>25</v>
      </c>
      <c r="D24" s="128" t="s">
        <v>25</v>
      </c>
      <c r="E24" s="128" t="s">
        <v>25</v>
      </c>
      <c r="F24" s="128" t="s">
        <v>25</v>
      </c>
      <c r="G24" s="18" t="s">
        <v>82</v>
      </c>
      <c r="H24" s="18" t="s">
        <v>81</v>
      </c>
      <c r="I24" s="18">
        <f>'MERCADO TUSD'!$U$21</f>
        <v>0</v>
      </c>
      <c r="J24" s="15"/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/>
      <c r="U24" s="13">
        <f>TRANSICAO!$U$24*CUSTOS!$S$3</f>
        <v>5.0484</v>
      </c>
      <c r="V24" s="13">
        <f>TRANSICAO!$V$24*CUSTOS!$S$3</f>
        <v>1.4975000000000001</v>
      </c>
      <c r="W24" s="13">
        <f>TRANSICAO!$W$24*CUSTOS!$S$3</f>
        <v>8.3099999999999993E-2</v>
      </c>
      <c r="X24" s="13">
        <f>TRANSICAO!$X$24*CUSTOS!$S$3</f>
        <v>0</v>
      </c>
      <c r="Y24" s="13">
        <f>TRANSICAO!$Y$24*CUSTOS!$S$3</f>
        <v>0</v>
      </c>
      <c r="Z24" s="13">
        <f>TRANSICAO!$Z$24*CUSTOS!$S$3</f>
        <v>0</v>
      </c>
      <c r="AA24" s="13">
        <f>TRANSICAO!$AA$24*CUSTOS!$S$3</f>
        <v>0</v>
      </c>
      <c r="AB24" s="13">
        <f>TRANSICAO!$AB$24*CUSTOS!$S$3</f>
        <v>0</v>
      </c>
      <c r="AC24" s="13">
        <f>TRANSICAO!$AC$24*CUSTOS!$S$3</f>
        <v>52.745899999999999</v>
      </c>
      <c r="AD24" s="13">
        <f>TRANSICAO!$AD$24*CUSTOS!$S$3</f>
        <v>0</v>
      </c>
      <c r="AE24" s="13">
        <v>0</v>
      </c>
      <c r="AF24" s="13">
        <v>0</v>
      </c>
      <c r="AG24" s="13"/>
      <c r="AH24" s="13">
        <v>0</v>
      </c>
      <c r="AI24" s="13">
        <v>0</v>
      </c>
      <c r="AJ24" s="13">
        <v>0</v>
      </c>
      <c r="AK24" s="13">
        <f t="shared" si="0"/>
        <v>0</v>
      </c>
      <c r="AL24" s="13"/>
      <c r="AM24" s="13"/>
      <c r="AP24" s="13">
        <v>1</v>
      </c>
    </row>
    <row r="25" spans="1:42" ht="11.25" customHeight="1" x14ac:dyDescent="0.3">
      <c r="A25" s="128"/>
      <c r="B25" s="128"/>
      <c r="C25" s="128"/>
      <c r="D25" s="128"/>
      <c r="E25" s="128"/>
      <c r="F25" s="128"/>
      <c r="G25" s="18" t="s">
        <v>83</v>
      </c>
      <c r="H25" s="18" t="s">
        <v>81</v>
      </c>
      <c r="I25" s="18">
        <f>'MERCADO TUSD'!$U$22</f>
        <v>0</v>
      </c>
      <c r="J25" s="15"/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/>
      <c r="U25" s="13">
        <f>TRANSICAO!$U$25*CUSTOS!$S$3</f>
        <v>4.7443</v>
      </c>
      <c r="V25" s="13">
        <f>TRANSICAO!$V$25*CUSTOS!$S$3</f>
        <v>1.4185000000000001</v>
      </c>
      <c r="W25" s="13">
        <f>TRANSICAO!$W$25*CUSTOS!$S$3</f>
        <v>7.5399999999999995E-2</v>
      </c>
      <c r="X25" s="13">
        <f>TRANSICAO!$X$25*CUSTOS!$S$3</f>
        <v>0</v>
      </c>
      <c r="Y25" s="13">
        <f>TRANSICAO!$Y$25*CUSTOS!$S$3</f>
        <v>0</v>
      </c>
      <c r="Z25" s="13">
        <f>TRANSICAO!$Z$25*CUSTOS!$S$3</f>
        <v>0</v>
      </c>
      <c r="AA25" s="13">
        <f>TRANSICAO!$AA$25*CUSTOS!$S$3</f>
        <v>0</v>
      </c>
      <c r="AB25" s="13">
        <f>TRANSICAO!$AB$25*CUSTOS!$S$3</f>
        <v>0</v>
      </c>
      <c r="AC25" s="13">
        <f>TRANSICAO!$AC$25*CUSTOS!$S$3</f>
        <v>5.6367000000000003</v>
      </c>
      <c r="AD25" s="13">
        <f>TRANSICAO!$AD$25*CUSTOS!$S$3</f>
        <v>0</v>
      </c>
      <c r="AE25" s="13">
        <v>0</v>
      </c>
      <c r="AF25" s="13">
        <v>0</v>
      </c>
      <c r="AG25" s="13"/>
      <c r="AH25" s="13">
        <v>0</v>
      </c>
      <c r="AI25" s="13">
        <v>0</v>
      </c>
      <c r="AJ25" s="13">
        <v>0</v>
      </c>
      <c r="AK25" s="13">
        <f t="shared" si="0"/>
        <v>0</v>
      </c>
      <c r="AL25" s="13"/>
      <c r="AM25" s="13"/>
      <c r="AP25" s="13">
        <v>1</v>
      </c>
    </row>
    <row r="26" spans="1:42" ht="11.25" customHeight="1" x14ac:dyDescent="0.3">
      <c r="A26" s="128"/>
      <c r="B26" s="128"/>
      <c r="C26" s="128"/>
      <c r="D26" s="128"/>
      <c r="E26" s="128"/>
      <c r="F26" s="128"/>
      <c r="G26" s="18" t="s">
        <v>84</v>
      </c>
      <c r="H26" s="18" t="s">
        <v>78</v>
      </c>
      <c r="I26" s="18">
        <f>'MERCADO TUSD'!$U$23</f>
        <v>0</v>
      </c>
      <c r="J26" s="15"/>
      <c r="L26" s="13">
        <f>1</f>
        <v>1</v>
      </c>
      <c r="M26" s="13">
        <f>IF(AND((+$I$26+$I$27+$I$29+$I$30+$I$31+$I$32+$I$34)&lt;&gt;0,SUMPRODUCT($I$5:$I$71,$AC$5:$AC$71,$AP$5:$AP$71)&lt;&gt;0),$M$76*SUMPRODUCT($I$24:$I$34,$AC$24:$AC$34,$AP$24:$AP$34)/SUMPRODUCT($I$5:$I$71,$AC$5:$AC$71,$AP$5:$AP$71)/(+$I$26+$I$27+$I$29+$I$30+$I$31+$I$32+$I$34),0)</f>
        <v>0.94060248549469483</v>
      </c>
      <c r="N26" s="13">
        <f ca="1">(+M26+O26+R26+U26+V26+W26+X26+Y26+Z26+AA26+AC26+AH26+AI26+AJ26+AK26)*CUSTOS!$M$5</f>
        <v>1.8219362539636574</v>
      </c>
      <c r="O26" s="13">
        <v>1</v>
      </c>
      <c r="P26" s="13">
        <v>1</v>
      </c>
      <c r="Q26" s="13">
        <f>1</f>
        <v>1</v>
      </c>
      <c r="R26" s="13">
        <v>1</v>
      </c>
      <c r="S26" s="13">
        <v>1</v>
      </c>
      <c r="T26" s="13"/>
      <c r="U26" s="13">
        <f>TRANSICAO!$U$26*CUSTOS!$S$3</f>
        <v>0</v>
      </c>
      <c r="V26" s="13">
        <f>TRANSICAO!$V$26*CUSTOS!$S$3</f>
        <v>0</v>
      </c>
      <c r="W26" s="13">
        <f>TRANSICAO!$W$26*CUSTOS!$S$3</f>
        <v>0</v>
      </c>
      <c r="X26" s="13">
        <f>TRANSICAO!$X$26*CUSTOS!$S$3</f>
        <v>0</v>
      </c>
      <c r="Y26" s="13">
        <f>TRANSICAO!$Y$26*CUSTOS!$S$3</f>
        <v>0</v>
      </c>
      <c r="Z26" s="13">
        <f>TRANSICAO!$Z$26*CUSTOS!$S$3</f>
        <v>0</v>
      </c>
      <c r="AA26" s="13">
        <f>TRANSICAO!$AA$26*CUSTOS!$S$3</f>
        <v>0</v>
      </c>
      <c r="AB26" s="13">
        <f>TRANSICAO!$AB$26*CUSTOS!$S$3</f>
        <v>0</v>
      </c>
      <c r="AC26" s="13">
        <f>TRANSICAO!$AC$26*CUSTOS!$S$3</f>
        <v>0</v>
      </c>
      <c r="AD26" s="13">
        <f>TRANSICAO!$AD$26*CUSTOS!$S$3</f>
        <v>0</v>
      </c>
      <c r="AE26" s="13">
        <v>0</v>
      </c>
      <c r="AF26" s="13">
        <v>0</v>
      </c>
      <c r="AG26" s="13"/>
      <c r="AH26" s="13">
        <v>87.926400000000001</v>
      </c>
      <c r="AI26" s="13">
        <v>87.926400000000001</v>
      </c>
      <c r="AJ26" s="13">
        <f ca="1">$N$86</f>
        <v>1.7001114554355135</v>
      </c>
      <c r="AK26" s="13">
        <f t="shared" ca="1" si="0"/>
        <v>1.7001114554355135</v>
      </c>
      <c r="AL26" s="13"/>
      <c r="AM26" s="13"/>
      <c r="AP26" s="13">
        <v>1</v>
      </c>
    </row>
    <row r="27" spans="1:42" ht="11.25" customHeight="1" x14ac:dyDescent="0.3">
      <c r="A27" s="128"/>
      <c r="B27" s="128"/>
      <c r="C27" s="128"/>
      <c r="D27" s="128"/>
      <c r="E27" s="17" t="s">
        <v>85</v>
      </c>
      <c r="F27" s="17" t="s">
        <v>25</v>
      </c>
      <c r="G27" s="18" t="s">
        <v>84</v>
      </c>
      <c r="H27" s="18" t="s">
        <v>78</v>
      </c>
      <c r="I27" s="18">
        <f>'MERCADO TUSD'!$U$24</f>
        <v>0</v>
      </c>
      <c r="J27" s="15"/>
      <c r="L27" s="13">
        <v>0</v>
      </c>
      <c r="M27" s="13">
        <f>IF(AND((+$I$26+$I$27+$I$29+$I$30+$I$31+$I$32+$I$34)&lt;&gt;0,SUMPRODUCT($I$5:$I$71,$AC$5:$AC$71,$AP$5:$AP$71)&lt;&gt;0),$M$76*SUMPRODUCT($I$24:$I$34,$AC$24:$AC$34,$AP$24:$AP$34)/SUMPRODUCT($I$5:$I$71,$AC$5:$AC$71,$AP$5:$AP$71)/(+$I$26+$I$27+$I$29+$I$30+$I$31+$I$32+$I$34),0)</f>
        <v>0.94060248549469483</v>
      </c>
      <c r="N27" s="13">
        <f ca="1">(+M27+O27+R27+U27+V27+W27+X27+Y27+Z27+AA27+AC27+AH27+AI27+AJ27+AK27)*CUSTOS!$M$5</f>
        <v>1.8119362539636574</v>
      </c>
      <c r="O27" s="13">
        <v>1</v>
      </c>
      <c r="P27" s="13">
        <v>0</v>
      </c>
      <c r="Q27" s="13">
        <v>0</v>
      </c>
      <c r="R27" s="13">
        <v>0</v>
      </c>
      <c r="S27" s="13">
        <v>0</v>
      </c>
      <c r="T27" s="13"/>
      <c r="U27" s="13">
        <f>TRANSICAO!$U$27*CUSTOS!$S$3</f>
        <v>0</v>
      </c>
      <c r="V27" s="13">
        <f>TRANSICAO!$V$27*CUSTOS!$S$3</f>
        <v>0</v>
      </c>
      <c r="W27" s="13">
        <f>TRANSICAO!$W$27*CUSTOS!$S$3</f>
        <v>0</v>
      </c>
      <c r="X27" s="13">
        <f>TRANSICAO!$X$27*CUSTOS!$S$3</f>
        <v>0</v>
      </c>
      <c r="Y27" s="13">
        <f>TRANSICAO!$Y$27*CUSTOS!$S$3</f>
        <v>0</v>
      </c>
      <c r="Z27" s="13">
        <f>TRANSICAO!$Z$27*CUSTOS!$S$3</f>
        <v>0</v>
      </c>
      <c r="AA27" s="13">
        <f>TRANSICAO!$AA$27*CUSTOS!$S$3</f>
        <v>0</v>
      </c>
      <c r="AB27" s="13">
        <f>TRANSICAO!$AB$27*CUSTOS!$S$3</f>
        <v>0</v>
      </c>
      <c r="AC27" s="13">
        <f>TRANSICAO!$AC$27*CUSTOS!$S$3</f>
        <v>0</v>
      </c>
      <c r="AD27" s="13">
        <f>TRANSICAO!$AD$27*CUSTOS!$S$3</f>
        <v>0</v>
      </c>
      <c r="AE27" s="13">
        <v>0</v>
      </c>
      <c r="AF27" s="13">
        <v>0</v>
      </c>
      <c r="AG27" s="13"/>
      <c r="AH27" s="13">
        <v>87.926400000000001</v>
      </c>
      <c r="AI27" s="13">
        <v>87.926400000000001</v>
      </c>
      <c r="AJ27" s="13">
        <f ca="1">$N$86</f>
        <v>1.7001114554355135</v>
      </c>
      <c r="AK27" s="13">
        <f t="shared" ca="1" si="0"/>
        <v>1.7001114554355135</v>
      </c>
      <c r="AL27" s="13"/>
      <c r="AM27" s="13"/>
      <c r="AP27" s="13">
        <v>1</v>
      </c>
    </row>
    <row r="28" spans="1:42" ht="11.25" customHeight="1" x14ac:dyDescent="0.3">
      <c r="A28" s="128"/>
      <c r="B28" s="128" t="s">
        <v>41</v>
      </c>
      <c r="C28" s="128" t="s">
        <v>25</v>
      </c>
      <c r="D28" s="128" t="s">
        <v>25</v>
      </c>
      <c r="E28" s="128" t="s">
        <v>25</v>
      </c>
      <c r="F28" s="128" t="s">
        <v>25</v>
      </c>
      <c r="G28" s="18" t="s">
        <v>9</v>
      </c>
      <c r="H28" s="18" t="s">
        <v>81</v>
      </c>
      <c r="I28" s="18">
        <f>'MERCADO TUSD'!$U$25</f>
        <v>2892</v>
      </c>
      <c r="J28" s="15"/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/>
      <c r="U28" s="13">
        <f>TRANSICAO!$U$28*CUSTOS!$S$3</f>
        <v>4.7443</v>
      </c>
      <c r="V28" s="13">
        <f>TRANSICAO!$V$28*CUSTOS!$S$3</f>
        <v>1.4185000000000001</v>
      </c>
      <c r="W28" s="13">
        <f>TRANSICAO!$W$28*CUSTOS!$S$3</f>
        <v>7.5399999999999995E-2</v>
      </c>
      <c r="X28" s="13">
        <f>TRANSICAO!$X$28*CUSTOS!$S$3</f>
        <v>0</v>
      </c>
      <c r="Y28" s="13">
        <f>TRANSICAO!$Y$28*CUSTOS!$S$3</f>
        <v>0</v>
      </c>
      <c r="Z28" s="13">
        <f>TRANSICAO!$Z$28*CUSTOS!$S$3</f>
        <v>0</v>
      </c>
      <c r="AA28" s="13">
        <f>TRANSICAO!$AA$28*CUSTOS!$S$3</f>
        <v>0</v>
      </c>
      <c r="AB28" s="13">
        <f>TRANSICAO!$AB$28*CUSTOS!$S$3</f>
        <v>0</v>
      </c>
      <c r="AC28" s="13">
        <f>TRANSICAO!$AC$28*CUSTOS!$S$3</f>
        <v>5.6367000000000003</v>
      </c>
      <c r="AD28" s="13">
        <f>TRANSICAO!$AD$28*CUSTOS!$S$3</f>
        <v>0</v>
      </c>
      <c r="AE28" s="13">
        <v>0</v>
      </c>
      <c r="AF28" s="13">
        <v>0</v>
      </c>
      <c r="AG28" s="13"/>
      <c r="AH28" s="13">
        <v>0</v>
      </c>
      <c r="AI28" s="13">
        <v>0</v>
      </c>
      <c r="AJ28" s="13">
        <v>0</v>
      </c>
      <c r="AK28" s="13">
        <f t="shared" si="0"/>
        <v>0</v>
      </c>
      <c r="AL28" s="13"/>
      <c r="AM28" s="13"/>
      <c r="AP28" s="13">
        <v>1</v>
      </c>
    </row>
    <row r="29" spans="1:42" ht="11.25" customHeight="1" x14ac:dyDescent="0.3">
      <c r="A29" s="128"/>
      <c r="B29" s="128"/>
      <c r="C29" s="128"/>
      <c r="D29" s="128"/>
      <c r="E29" s="128"/>
      <c r="F29" s="128"/>
      <c r="G29" s="18" t="s">
        <v>79</v>
      </c>
      <c r="H29" s="18" t="s">
        <v>78</v>
      </c>
      <c r="I29" s="18">
        <f>'MERCADO TUSD'!$U$26</f>
        <v>55.301000000000002</v>
      </c>
      <c r="J29" s="15"/>
      <c r="L29" s="13">
        <f>1</f>
        <v>1</v>
      </c>
      <c r="M29" s="13">
        <f>IF(AND((+$I$26+$I$27+$I$29+$I$30+$I$31+$I$32+$I$34)&lt;&gt;0,SUMPRODUCT($I$5:$I$71,$AC$5:$AC$71,$AP$5:$AP$71)&lt;&gt;0),$M$76*SUMPRODUCT($I$24:$I$34,$AC$24:$AC$34,$AP$24:$AP$34)/SUMPRODUCT($I$5:$I$71,$AC$5:$AC$71,$AP$5:$AP$71)/(+$I$26+$I$27+$I$29+$I$30+$I$31+$I$32+$I$34),0)</f>
        <v>0.94060248549469483</v>
      </c>
      <c r="N29" s="13">
        <f ca="1">(+M29+O29+R29+U29+V29+W29+X29+Y29+Z29+AA29+AC29+AH29+AI29+AJ29+AK29)*CUSTOS!$M$5</f>
        <v>16.101589253963656</v>
      </c>
      <c r="O29" s="13">
        <v>1</v>
      </c>
      <c r="P29" s="13">
        <v>1</v>
      </c>
      <c r="Q29" s="13">
        <f>1</f>
        <v>1</v>
      </c>
      <c r="R29" s="13">
        <v>1</v>
      </c>
      <c r="S29" s="13">
        <v>1</v>
      </c>
      <c r="T29" s="13"/>
      <c r="U29" s="13">
        <f>TRANSICAO!$U$29*CUSTOS!$S$3</f>
        <v>121.41370000000001</v>
      </c>
      <c r="V29" s="13">
        <f>TRANSICAO!$V$29*CUSTOS!$S$3</f>
        <v>36.014000000000003</v>
      </c>
      <c r="W29" s="13">
        <f>TRANSICAO!$W$29*CUSTOS!$S$3</f>
        <v>1.9977</v>
      </c>
      <c r="X29" s="13">
        <f>TRANSICAO!$X$29*CUSTOS!$S$3</f>
        <v>0</v>
      </c>
      <c r="Y29" s="13">
        <f>TRANSICAO!$Y$29*CUSTOS!$S$3</f>
        <v>0</v>
      </c>
      <c r="Z29" s="13">
        <f>TRANSICAO!$Z$29*CUSTOS!$S$3</f>
        <v>0</v>
      </c>
      <c r="AA29" s="13">
        <f>TRANSICAO!$AA$29*CUSTOS!$S$3</f>
        <v>0</v>
      </c>
      <c r="AB29" s="13">
        <f>TRANSICAO!$AB$29*CUSTOS!$S$3</f>
        <v>0</v>
      </c>
      <c r="AC29" s="13">
        <f>TRANSICAO!$AC$29*CUSTOS!$S$3</f>
        <v>1268.5399</v>
      </c>
      <c r="AD29" s="13">
        <f>TRANSICAO!$AD$29*CUSTOS!$S$3</f>
        <v>0</v>
      </c>
      <c r="AE29" s="13">
        <v>0</v>
      </c>
      <c r="AF29" s="13">
        <v>0</v>
      </c>
      <c r="AG29" s="13"/>
      <c r="AH29" s="13">
        <v>87.926400000000001</v>
      </c>
      <c r="AI29" s="13">
        <v>87.926400000000001</v>
      </c>
      <c r="AJ29" s="13">
        <f ca="1">$N$86</f>
        <v>1.7001114554355135</v>
      </c>
      <c r="AK29" s="13">
        <f t="shared" ca="1" si="0"/>
        <v>1.7001114554355135</v>
      </c>
      <c r="AL29" s="13"/>
      <c r="AM29" s="13"/>
      <c r="AP29" s="13">
        <v>1</v>
      </c>
    </row>
    <row r="30" spans="1:42" ht="11.25" customHeight="1" x14ac:dyDescent="0.3">
      <c r="A30" s="128"/>
      <c r="B30" s="128"/>
      <c r="C30" s="128"/>
      <c r="D30" s="128"/>
      <c r="E30" s="128"/>
      <c r="F30" s="128"/>
      <c r="G30" s="18" t="s">
        <v>80</v>
      </c>
      <c r="H30" s="18" t="s">
        <v>78</v>
      </c>
      <c r="I30" s="18">
        <f>'MERCADO TUSD'!$U$27</f>
        <v>509.89599999999996</v>
      </c>
      <c r="J30" s="15"/>
      <c r="L30" s="13">
        <f>1</f>
        <v>1</v>
      </c>
      <c r="M30" s="13">
        <f>IF(AND((+$I$26+$I$27+$I$29+$I$30+$I$31+$I$32+$I$34)&lt;&gt;0,SUMPRODUCT($I$5:$I$71,$AC$5:$AC$71,$AP$5:$AP$71)&lt;&gt;0),$M$76*SUMPRODUCT($I$24:$I$34,$AC$24:$AC$34,$AP$24:$AP$34)/SUMPRODUCT($I$5:$I$71,$AC$5:$AC$71,$AP$5:$AP$71)/(+$I$26+$I$27+$I$29+$I$30+$I$31+$I$32+$I$34),0)</f>
        <v>0.94060248549469483</v>
      </c>
      <c r="N30" s="13">
        <f ca="1">(+M30+O30+R30+U30+V30+W30+X30+Y30+Z30+AA30+AC30+AH30+AI30+AJ30+AK30)*CUSTOS!$M$5</f>
        <v>1.8219362539636574</v>
      </c>
      <c r="O30" s="13">
        <v>1</v>
      </c>
      <c r="P30" s="13">
        <v>1</v>
      </c>
      <c r="Q30" s="13">
        <f>1</f>
        <v>1</v>
      </c>
      <c r="R30" s="13">
        <v>1</v>
      </c>
      <c r="S30" s="13">
        <v>1</v>
      </c>
      <c r="T30" s="13"/>
      <c r="U30" s="13">
        <f>TRANSICAO!$U$30*CUSTOS!$S$3</f>
        <v>0</v>
      </c>
      <c r="V30" s="13">
        <f>TRANSICAO!$V$30*CUSTOS!$S$3</f>
        <v>0</v>
      </c>
      <c r="W30" s="13">
        <f>TRANSICAO!$W$30*CUSTOS!$S$3</f>
        <v>0</v>
      </c>
      <c r="X30" s="13">
        <f>TRANSICAO!$X$30*CUSTOS!$S$3</f>
        <v>0</v>
      </c>
      <c r="Y30" s="13">
        <f>TRANSICAO!$Y$30*CUSTOS!$S$3</f>
        <v>0</v>
      </c>
      <c r="Z30" s="13">
        <f>TRANSICAO!$Z$30*CUSTOS!$S$3</f>
        <v>0</v>
      </c>
      <c r="AA30" s="13">
        <f>TRANSICAO!$AA$30*CUSTOS!$S$3</f>
        <v>0</v>
      </c>
      <c r="AB30" s="13">
        <f>TRANSICAO!$AB$30*CUSTOS!$S$3</f>
        <v>0</v>
      </c>
      <c r="AC30" s="13">
        <f>TRANSICAO!$AC$30*CUSTOS!$S$3</f>
        <v>0</v>
      </c>
      <c r="AD30" s="13">
        <f>TRANSICAO!$AD$30*CUSTOS!$S$3</f>
        <v>0</v>
      </c>
      <c r="AE30" s="13">
        <v>0</v>
      </c>
      <c r="AF30" s="13">
        <v>0</v>
      </c>
      <c r="AG30" s="13"/>
      <c r="AH30" s="13">
        <v>87.926400000000001</v>
      </c>
      <c r="AI30" s="13">
        <v>87.926400000000001</v>
      </c>
      <c r="AJ30" s="13">
        <f ca="1">$N$86</f>
        <v>1.7001114554355135</v>
      </c>
      <c r="AK30" s="13">
        <f t="shared" ca="1" si="0"/>
        <v>1.7001114554355135</v>
      </c>
      <c r="AL30" s="13"/>
      <c r="AM30" s="13"/>
      <c r="AP30" s="13">
        <v>1</v>
      </c>
    </row>
    <row r="31" spans="1:42" ht="11.25" customHeight="1" x14ac:dyDescent="0.3">
      <c r="A31" s="128"/>
      <c r="B31" s="128"/>
      <c r="C31" s="128"/>
      <c r="D31" s="128"/>
      <c r="E31" s="128" t="s">
        <v>85</v>
      </c>
      <c r="F31" s="128" t="s">
        <v>25</v>
      </c>
      <c r="G31" s="18" t="s">
        <v>79</v>
      </c>
      <c r="H31" s="18" t="s">
        <v>78</v>
      </c>
      <c r="I31" s="18">
        <f>'MERCADO TUSD'!$U$28</f>
        <v>0</v>
      </c>
      <c r="J31" s="15"/>
      <c r="L31" s="13">
        <v>0</v>
      </c>
      <c r="M31" s="13">
        <f>IF(AND((+$I$26+$I$27+$I$29+$I$30+$I$31+$I$32+$I$34)&lt;&gt;0,SUMPRODUCT($I$5:$I$71,$AC$5:$AC$71,$AP$5:$AP$71)&lt;&gt;0),$M$76*SUMPRODUCT($I$24:$I$34,$AC$24:$AC$34,$AP$24:$AP$34)/SUMPRODUCT($I$5:$I$71,$AC$5:$AC$71,$AP$5:$AP$71)/(+$I$26+$I$27+$I$29+$I$30+$I$31+$I$32+$I$34),0)</f>
        <v>0.94060248549469483</v>
      </c>
      <c r="N31" s="13">
        <f ca="1">(+M31+O31+R31+U31+V31+W31+X31+Y31+Z31+AA31+AC31+AH31+AI31+AJ31+AK31)*CUSTOS!$M$5</f>
        <v>16.091589253963658</v>
      </c>
      <c r="O31" s="13">
        <v>1</v>
      </c>
      <c r="P31" s="13">
        <v>0</v>
      </c>
      <c r="Q31" s="13">
        <v>0</v>
      </c>
      <c r="R31" s="13">
        <v>0</v>
      </c>
      <c r="S31" s="13">
        <v>0</v>
      </c>
      <c r="T31" s="13"/>
      <c r="U31" s="13">
        <f>TRANSICAO!$U$31*CUSTOS!$S$3</f>
        <v>121.41370000000001</v>
      </c>
      <c r="V31" s="13">
        <f>TRANSICAO!$V$31*CUSTOS!$S$3</f>
        <v>36.014000000000003</v>
      </c>
      <c r="W31" s="13">
        <f>TRANSICAO!$W$31*CUSTOS!$S$3</f>
        <v>1.9977</v>
      </c>
      <c r="X31" s="13">
        <f>TRANSICAO!$X$31*CUSTOS!$S$3</f>
        <v>0</v>
      </c>
      <c r="Y31" s="13">
        <f>TRANSICAO!$Y$31*CUSTOS!$S$3</f>
        <v>0</v>
      </c>
      <c r="Z31" s="13">
        <f>TRANSICAO!$Z$31*CUSTOS!$S$3</f>
        <v>0</v>
      </c>
      <c r="AA31" s="13">
        <f>TRANSICAO!$AA$31*CUSTOS!$S$3</f>
        <v>0</v>
      </c>
      <c r="AB31" s="13">
        <f>TRANSICAO!$AB$31*CUSTOS!$S$3</f>
        <v>0</v>
      </c>
      <c r="AC31" s="13">
        <f>TRANSICAO!$AC$31*CUSTOS!$S$3</f>
        <v>1268.5399</v>
      </c>
      <c r="AD31" s="13">
        <f>TRANSICAO!$AD$31*CUSTOS!$S$3</f>
        <v>0</v>
      </c>
      <c r="AE31" s="13">
        <v>0</v>
      </c>
      <c r="AF31" s="13">
        <v>0</v>
      </c>
      <c r="AG31" s="13"/>
      <c r="AH31" s="13">
        <v>87.926400000000001</v>
      </c>
      <c r="AI31" s="13">
        <v>87.926400000000001</v>
      </c>
      <c r="AJ31" s="13">
        <f ca="1">$N$86</f>
        <v>1.7001114554355135</v>
      </c>
      <c r="AK31" s="13">
        <f t="shared" ca="1" si="0"/>
        <v>1.7001114554355135</v>
      </c>
      <c r="AL31" s="13"/>
      <c r="AM31" s="13"/>
      <c r="AP31" s="13">
        <v>1</v>
      </c>
    </row>
    <row r="32" spans="1:42" ht="11.25" customHeight="1" x14ac:dyDescent="0.3">
      <c r="A32" s="128"/>
      <c r="B32" s="128"/>
      <c r="C32" s="128"/>
      <c r="D32" s="128"/>
      <c r="E32" s="128"/>
      <c r="F32" s="128"/>
      <c r="G32" s="18" t="s">
        <v>80</v>
      </c>
      <c r="H32" s="18" t="s">
        <v>78</v>
      </c>
      <c r="I32" s="18">
        <f>'MERCADO TUSD'!$U$29</f>
        <v>0</v>
      </c>
      <c r="J32" s="15"/>
      <c r="L32" s="13">
        <v>0</v>
      </c>
      <c r="M32" s="13">
        <f>IF(AND((+$I$26+$I$27+$I$29+$I$30+$I$31+$I$32+$I$34)&lt;&gt;0,SUMPRODUCT($I$5:$I$71,$AC$5:$AC$71,$AP$5:$AP$71)&lt;&gt;0),$M$76*SUMPRODUCT($I$24:$I$34,$AC$24:$AC$34,$AP$24:$AP$34)/SUMPRODUCT($I$5:$I$71,$AC$5:$AC$71,$AP$5:$AP$71)/(+$I$26+$I$27+$I$29+$I$30+$I$31+$I$32+$I$34),0)</f>
        <v>0.94060248549469483</v>
      </c>
      <c r="N32" s="13">
        <f ca="1">(+M32+O32+R32+U32+V32+W32+X32+Y32+Z32+AA32+AC32+AH32+AI32+AJ32+AK32)*CUSTOS!$M$5</f>
        <v>1.8119362539636574</v>
      </c>
      <c r="O32" s="13">
        <v>1</v>
      </c>
      <c r="P32" s="13">
        <v>0</v>
      </c>
      <c r="Q32" s="13">
        <v>0</v>
      </c>
      <c r="R32" s="13">
        <v>0</v>
      </c>
      <c r="S32" s="13">
        <v>0</v>
      </c>
      <c r="T32" s="13"/>
      <c r="U32" s="13">
        <f>TRANSICAO!$U$32*CUSTOS!$S$3</f>
        <v>0</v>
      </c>
      <c r="V32" s="13">
        <f>TRANSICAO!$V$32*CUSTOS!$S$3</f>
        <v>0</v>
      </c>
      <c r="W32" s="13">
        <f>TRANSICAO!$W$32*CUSTOS!$S$3</f>
        <v>0</v>
      </c>
      <c r="X32" s="13">
        <f>TRANSICAO!$X$32*CUSTOS!$S$3</f>
        <v>0</v>
      </c>
      <c r="Y32" s="13">
        <f>TRANSICAO!$Y$32*CUSTOS!$S$3</f>
        <v>0</v>
      </c>
      <c r="Z32" s="13">
        <f>TRANSICAO!$Z$32*CUSTOS!$S$3</f>
        <v>0</v>
      </c>
      <c r="AA32" s="13">
        <f>TRANSICAO!$AA$32*CUSTOS!$S$3</f>
        <v>0</v>
      </c>
      <c r="AB32" s="13">
        <f>TRANSICAO!$AB$32*CUSTOS!$S$3</f>
        <v>0</v>
      </c>
      <c r="AC32" s="13">
        <f>TRANSICAO!$AC$32*CUSTOS!$S$3</f>
        <v>0</v>
      </c>
      <c r="AD32" s="13">
        <f>TRANSICAO!$AD$32*CUSTOS!$S$3</f>
        <v>0</v>
      </c>
      <c r="AE32" s="13">
        <v>0</v>
      </c>
      <c r="AF32" s="13">
        <v>0</v>
      </c>
      <c r="AG32" s="13"/>
      <c r="AH32" s="13">
        <v>87.926400000000001</v>
      </c>
      <c r="AI32" s="13">
        <v>87.926400000000001</v>
      </c>
      <c r="AJ32" s="13">
        <f ca="1">$N$86</f>
        <v>1.7001114554355135</v>
      </c>
      <c r="AK32" s="13">
        <f t="shared" ca="1" si="0"/>
        <v>1.7001114554355135</v>
      </c>
      <c r="AL32" s="13"/>
      <c r="AM32" s="13"/>
      <c r="AP32" s="13">
        <v>1</v>
      </c>
    </row>
    <row r="33" spans="1:42" ht="11.25" customHeight="1" x14ac:dyDescent="0.3">
      <c r="A33" s="128"/>
      <c r="B33" s="128" t="s">
        <v>23</v>
      </c>
      <c r="C33" s="128" t="s">
        <v>25</v>
      </c>
      <c r="D33" s="128" t="s">
        <v>25</v>
      </c>
      <c r="E33" s="128" t="s">
        <v>25</v>
      </c>
      <c r="F33" s="128" t="s">
        <v>25</v>
      </c>
      <c r="G33" s="18" t="s">
        <v>9</v>
      </c>
      <c r="H33" s="18" t="s">
        <v>81</v>
      </c>
      <c r="I33" s="18">
        <f>'MERCADO TUSD'!$U$30</f>
        <v>0</v>
      </c>
      <c r="J33" s="15"/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/>
      <c r="U33" s="13">
        <f>TRANSICAO!$U$33*CUSTOS!$S$3</f>
        <v>8.3792000000000009</v>
      </c>
      <c r="V33" s="13">
        <f>TRANSICAO!$V$33*CUSTOS!$S$3</f>
        <v>2.4967000000000001</v>
      </c>
      <c r="W33" s="13">
        <f>TRANSICAO!$W$33*CUSTOS!$S$3</f>
        <v>0.13519999999999999</v>
      </c>
      <c r="X33" s="13">
        <f>TRANSICAO!$X$33*CUSTOS!$S$3</f>
        <v>0</v>
      </c>
      <c r="Y33" s="13">
        <f>TRANSICAO!$Y$33*CUSTOS!$S$3</f>
        <v>0</v>
      </c>
      <c r="Z33" s="13">
        <f>TRANSICAO!$Z$33*CUSTOS!$S$3</f>
        <v>0</v>
      </c>
      <c r="AA33" s="13">
        <f>TRANSICAO!$AA$33*CUSTOS!$S$3</f>
        <v>0</v>
      </c>
      <c r="AB33" s="13">
        <f>TRANSICAO!$AB$33*CUSTOS!$S$3</f>
        <v>0</v>
      </c>
      <c r="AC33" s="13">
        <f>TRANSICAO!$AC$33*CUSTOS!$S$3</f>
        <v>43.613700000000001</v>
      </c>
      <c r="AD33" s="13">
        <f>TRANSICAO!$AD$33*CUSTOS!$S$3</f>
        <v>0</v>
      </c>
      <c r="AE33" s="13">
        <v>0</v>
      </c>
      <c r="AF33" s="13">
        <v>0</v>
      </c>
      <c r="AG33" s="13"/>
      <c r="AH33" s="13">
        <v>0</v>
      </c>
      <c r="AI33" s="13">
        <v>0</v>
      </c>
      <c r="AJ33" s="13">
        <v>0</v>
      </c>
      <c r="AK33" s="13">
        <f t="shared" si="0"/>
        <v>0</v>
      </c>
      <c r="AL33" s="13"/>
      <c r="AM33" s="13"/>
      <c r="AP33" s="13">
        <v>1</v>
      </c>
    </row>
    <row r="34" spans="1:42" ht="11.25" customHeight="1" x14ac:dyDescent="0.3">
      <c r="A34" s="128"/>
      <c r="B34" s="128"/>
      <c r="C34" s="128"/>
      <c r="D34" s="128"/>
      <c r="E34" s="128"/>
      <c r="F34" s="128"/>
      <c r="G34" s="18" t="s">
        <v>84</v>
      </c>
      <c r="H34" s="18" t="s">
        <v>78</v>
      </c>
      <c r="I34" s="18">
        <f>'MERCADO TUSD'!$U$31</f>
        <v>0</v>
      </c>
      <c r="J34" s="15"/>
      <c r="L34" s="13">
        <f>1</f>
        <v>1</v>
      </c>
      <c r="M34" s="13">
        <f>IF(AND((+$I$26+$I$27+$I$29+$I$30+$I$31+$I$32+$I$34)&lt;&gt;0,SUMPRODUCT($I$5:$I$71,$AC$5:$AC$71,$AP$5:$AP$71)&lt;&gt;0),$M$76*SUMPRODUCT($I$24:$I$34,$AC$24:$AC$34,$AP$24:$AP$34)/SUMPRODUCT($I$5:$I$71,$AC$5:$AC$71,$AP$5:$AP$71)/(+$I$26+$I$27+$I$29+$I$30+$I$31+$I$32+$I$34),0)</f>
        <v>0.94060248549469483</v>
      </c>
      <c r="N34" s="13">
        <f ca="1">(+M34+O34+R34+U34+V34+W34+X34+Y34+Z34+AA34+AC34+AH34+AI34+AJ34+AK34)*CUSTOS!$M$5</f>
        <v>1.8219362539636574</v>
      </c>
      <c r="O34" s="13">
        <v>1</v>
      </c>
      <c r="P34" s="13">
        <v>1</v>
      </c>
      <c r="Q34" s="13">
        <f>1</f>
        <v>1</v>
      </c>
      <c r="R34" s="13">
        <v>1</v>
      </c>
      <c r="S34" s="13">
        <v>1</v>
      </c>
      <c r="T34" s="13"/>
      <c r="U34" s="13">
        <f>TRANSICAO!$U$34*CUSTOS!$S$3</f>
        <v>0</v>
      </c>
      <c r="V34" s="13">
        <f>TRANSICAO!$V$34*CUSTOS!$S$3</f>
        <v>0</v>
      </c>
      <c r="W34" s="13">
        <f>TRANSICAO!$W$34*CUSTOS!$S$3</f>
        <v>0</v>
      </c>
      <c r="X34" s="13">
        <f>TRANSICAO!$X$34*CUSTOS!$S$3</f>
        <v>0</v>
      </c>
      <c r="Y34" s="13">
        <f>TRANSICAO!$Y$34*CUSTOS!$S$3</f>
        <v>0</v>
      </c>
      <c r="Z34" s="13">
        <f>TRANSICAO!$Z$34*CUSTOS!$S$3</f>
        <v>0</v>
      </c>
      <c r="AA34" s="13">
        <f>TRANSICAO!$AA$34*CUSTOS!$S$3</f>
        <v>0</v>
      </c>
      <c r="AB34" s="13">
        <f>TRANSICAO!$AB$34*CUSTOS!$S$3</f>
        <v>0</v>
      </c>
      <c r="AC34" s="13">
        <f>TRANSICAO!$AC$34*CUSTOS!$S$3</f>
        <v>0</v>
      </c>
      <c r="AD34" s="13">
        <f>TRANSICAO!$AD$34*CUSTOS!$S$3</f>
        <v>0</v>
      </c>
      <c r="AE34" s="13">
        <v>0</v>
      </c>
      <c r="AF34" s="13">
        <v>0</v>
      </c>
      <c r="AG34" s="13"/>
      <c r="AH34" s="13">
        <v>87.926400000000001</v>
      </c>
      <c r="AI34" s="13">
        <v>87.926400000000001</v>
      </c>
      <c r="AJ34" s="13">
        <f ca="1">$N$86</f>
        <v>1.7001114554355135</v>
      </c>
      <c r="AK34" s="13">
        <f t="shared" ca="1" si="0"/>
        <v>1.7001114554355135</v>
      </c>
      <c r="AL34" s="13"/>
      <c r="AM34" s="13"/>
      <c r="AP34" s="13">
        <v>1</v>
      </c>
    </row>
    <row r="35" spans="1:42" ht="11.25" customHeight="1" x14ac:dyDescent="0.3">
      <c r="A35" s="128" t="s">
        <v>87</v>
      </c>
      <c r="B35" s="128" t="s">
        <v>57</v>
      </c>
      <c r="C35" s="128" t="s">
        <v>25</v>
      </c>
      <c r="D35" s="128" t="s">
        <v>25</v>
      </c>
      <c r="E35" s="17" t="s">
        <v>88</v>
      </c>
      <c r="F35" s="17" t="s">
        <v>25</v>
      </c>
      <c r="G35" s="18" t="s">
        <v>9</v>
      </c>
      <c r="H35" s="18" t="s">
        <v>81</v>
      </c>
      <c r="I35" s="18">
        <f>'MERCADO TUSD'!$U$32+0.00000001</f>
        <v>1E-8</v>
      </c>
      <c r="J35" s="15"/>
      <c r="L35" s="13">
        <v>0</v>
      </c>
      <c r="M35" s="13">
        <v>9.4999999999999998E-3</v>
      </c>
      <c r="N35" s="13">
        <f>0.024</f>
        <v>2.4E-2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/>
      <c r="U35" s="13">
        <f>TRANSICAO!$U$35*CUSTOS!$T$4</f>
        <v>0</v>
      </c>
      <c r="V35" s="13">
        <f>TRANSICAO!$V$35*CUSTOS!$T$4</f>
        <v>0</v>
      </c>
      <c r="W35" s="13">
        <f>TRANSICAO!$W$35*CUSTOS!$T$4</f>
        <v>0</v>
      </c>
      <c r="X35" s="13">
        <f>TRANSICAO!$X$35*CUSTOS!$T$4</f>
        <v>0</v>
      </c>
      <c r="Y35" s="13">
        <f>TRANSICAO!$Y$35*CUSTOS!$T$4</f>
        <v>0</v>
      </c>
      <c r="Z35" s="13">
        <f>TRANSICAO!$Z$35*CUSTOS!$T$4</f>
        <v>0</v>
      </c>
      <c r="AA35" s="13">
        <f>TRANSICAO!$AA$35*CUSTOS!$T$4</f>
        <v>0</v>
      </c>
      <c r="AB35" s="13">
        <f>TRANSICAO!$AB$35*CUSTOS!$T$4</f>
        <v>0</v>
      </c>
      <c r="AC35" s="13">
        <f>TRANSICAO!$AC$35*CUSTOS!$T$4</f>
        <v>2.3862999999999999</v>
      </c>
      <c r="AD35" s="13">
        <f>TRANSICAO!$AD$35*CUSTOS!$T$4</f>
        <v>0</v>
      </c>
      <c r="AE35" s="13">
        <v>0</v>
      </c>
      <c r="AF35" s="13">
        <v>0</v>
      </c>
      <c r="AG35" s="13"/>
      <c r="AH35" s="13">
        <v>0</v>
      </c>
      <c r="AI35" s="13">
        <v>0</v>
      </c>
      <c r="AJ35" s="13">
        <v>0</v>
      </c>
      <c r="AK35" s="13">
        <f t="shared" si="0"/>
        <v>0</v>
      </c>
      <c r="AL35" s="13"/>
      <c r="AM35" s="13"/>
      <c r="AP35" s="13"/>
    </row>
    <row r="36" spans="1:42" ht="11.25" customHeight="1" x14ac:dyDescent="0.3">
      <c r="A36" s="128"/>
      <c r="B36" s="128"/>
      <c r="C36" s="128"/>
      <c r="D36" s="128"/>
      <c r="E36" s="17" t="s">
        <v>89</v>
      </c>
      <c r="F36" s="17" t="s">
        <v>25</v>
      </c>
      <c r="G36" s="18" t="s">
        <v>9</v>
      </c>
      <c r="H36" s="18" t="s">
        <v>81</v>
      </c>
      <c r="I36" s="18">
        <f>'MERCADO TUSD'!$U$33+0.00000001</f>
        <v>1E-8</v>
      </c>
      <c r="J36" s="15"/>
      <c r="L36" s="13">
        <v>0</v>
      </c>
      <c r="M36" s="13">
        <v>9.4999999999999998E-3</v>
      </c>
      <c r="N36" s="13">
        <f>0.024</f>
        <v>2.4E-2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/>
      <c r="U36" s="13">
        <f>TRANSICAO!$U$36*CUSTOS!$T$4</f>
        <v>0</v>
      </c>
      <c r="V36" s="13">
        <f>TRANSICAO!$V$36*CUSTOS!$T$4</f>
        <v>0</v>
      </c>
      <c r="W36" s="13">
        <f>TRANSICAO!$W$36*CUSTOS!$T$4</f>
        <v>0</v>
      </c>
      <c r="X36" s="13">
        <f>TRANSICAO!$X$36*CUSTOS!$T$4</f>
        <v>0</v>
      </c>
      <c r="Y36" s="13">
        <f>TRANSICAO!$Y$36*CUSTOS!$T$4</f>
        <v>0</v>
      </c>
      <c r="Z36" s="13">
        <f>TRANSICAO!$Z$36*CUSTOS!$T$4</f>
        <v>0</v>
      </c>
      <c r="AA36" s="13">
        <f>TRANSICAO!$AA$36*CUSTOS!$T$4</f>
        <v>0</v>
      </c>
      <c r="AB36" s="13">
        <f>TRANSICAO!$AB$36*CUSTOS!$T$4</f>
        <v>0</v>
      </c>
      <c r="AC36" s="13">
        <f>TRANSICAO!$AC$36*CUSTOS!$T$4</f>
        <v>6.4222999999999999</v>
      </c>
      <c r="AD36" s="13">
        <f>TRANSICAO!$AD$36*CUSTOS!$T$4</f>
        <v>0</v>
      </c>
      <c r="AE36" s="13">
        <v>0</v>
      </c>
      <c r="AF36" s="13">
        <v>0</v>
      </c>
      <c r="AG36" s="13"/>
      <c r="AH36" s="13">
        <v>0</v>
      </c>
      <c r="AI36" s="13">
        <v>0</v>
      </c>
      <c r="AJ36" s="13">
        <v>0</v>
      </c>
      <c r="AK36" s="13">
        <f t="shared" si="0"/>
        <v>0</v>
      </c>
      <c r="AL36" s="13"/>
      <c r="AM36" s="13"/>
      <c r="AP36" s="13"/>
    </row>
    <row r="37" spans="1:42" ht="11.25" customHeight="1" x14ac:dyDescent="0.3">
      <c r="A37" s="128" t="s">
        <v>22</v>
      </c>
      <c r="B37" s="128" t="s">
        <v>33</v>
      </c>
      <c r="C37" s="128" t="s">
        <v>24</v>
      </c>
      <c r="D37" s="128" t="s">
        <v>24</v>
      </c>
      <c r="E37" s="128" t="s">
        <v>25</v>
      </c>
      <c r="F37" s="128" t="s">
        <v>25</v>
      </c>
      <c r="G37" s="18" t="s">
        <v>79</v>
      </c>
      <c r="H37" s="18" t="s">
        <v>78</v>
      </c>
      <c r="I37" s="18">
        <f>'MERCADO TUSD'!$U$34</f>
        <v>16.994999999999997</v>
      </c>
      <c r="J37" s="15"/>
      <c r="L37" s="13">
        <f>1</f>
        <v>1</v>
      </c>
      <c r="M37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</f>
        <v>0.94720875090633405</v>
      </c>
      <c r="N37" s="13">
        <f ca="1">(+M37+O37+R37+U37+V37+W37+X37+Y37+Z37+AA37+AC37+AH37+AI37+AJ37+AK37)*CUSTOS!$M$5</f>
        <v>6.7744612524481482</v>
      </c>
      <c r="O37" s="13">
        <v>1</v>
      </c>
      <c r="P37" s="13">
        <v>1</v>
      </c>
      <c r="Q37" s="13">
        <f>1</f>
        <v>1</v>
      </c>
      <c r="R37" s="13">
        <v>1</v>
      </c>
      <c r="S37" s="13">
        <v>1</v>
      </c>
      <c r="T37" s="13"/>
      <c r="U37" s="13">
        <f>TRANSICAO!$U$37*CUSTOS!$T$3</f>
        <v>66.326899999999995</v>
      </c>
      <c r="V37" s="13">
        <f>TRANSICAO!$V$37*CUSTOS!$T$3</f>
        <v>19.747</v>
      </c>
      <c r="W37" s="13">
        <f>TRANSICAO!$W$37*CUSTOS!$T$3</f>
        <v>1.0740000000000001</v>
      </c>
      <c r="X37" s="13">
        <f>TRANSICAO!$X$37*CUSTOS!$T$3</f>
        <v>0</v>
      </c>
      <c r="Y37" s="13">
        <f>TRANSICAO!$Y$37*CUSTOS!$T$3</f>
        <v>0</v>
      </c>
      <c r="Z37" s="13">
        <f>TRANSICAO!$Z$37*CUSTOS!$T$3</f>
        <v>0</v>
      </c>
      <c r="AA37" s="13">
        <f>TRANSICAO!$AA$37*CUSTOS!$T$3</f>
        <v>0</v>
      </c>
      <c r="AB37" s="13">
        <f>TRANSICAO!$AB$37*CUSTOS!$T$3</f>
        <v>0</v>
      </c>
      <c r="AC37" s="13">
        <f>TRANSICAO!$AC$37*CUSTOS!$T$3</f>
        <v>408.40410000000003</v>
      </c>
      <c r="AD37" s="13">
        <f>TRANSICAO!$AD$37*CUSTOS!$T$3</f>
        <v>0</v>
      </c>
      <c r="AE37" s="13">
        <v>0</v>
      </c>
      <c r="AF37" s="13">
        <v>0</v>
      </c>
      <c r="AG37" s="13"/>
      <c r="AH37" s="13">
        <v>87.926400000000001</v>
      </c>
      <c r="AI37" s="13">
        <v>87.926400000000001</v>
      </c>
      <c r="AJ37" s="13">
        <f ca="1">$N$87</f>
        <v>1.5470582469541849</v>
      </c>
      <c r="AK37" s="13">
        <f t="shared" ref="AK37:AK68" ca="1" si="1">AJ37</f>
        <v>1.5470582469541849</v>
      </c>
      <c r="AL37" s="13"/>
      <c r="AM37" s="13"/>
      <c r="AP37" s="13">
        <v>1</v>
      </c>
    </row>
    <row r="38" spans="1:42" ht="11.25" customHeight="1" x14ac:dyDescent="0.3">
      <c r="A38" s="128"/>
      <c r="B38" s="128"/>
      <c r="C38" s="128"/>
      <c r="D38" s="128"/>
      <c r="E38" s="128"/>
      <c r="F38" s="128"/>
      <c r="G38" s="18" t="s">
        <v>90</v>
      </c>
      <c r="H38" s="18" t="s">
        <v>78</v>
      </c>
      <c r="I38" s="18">
        <f>'MERCADO TUSD'!$U$35</f>
        <v>10.9</v>
      </c>
      <c r="J38" s="15"/>
      <c r="L38" s="13">
        <f>1</f>
        <v>1</v>
      </c>
      <c r="M38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</f>
        <v>0.94720875090633405</v>
      </c>
      <c r="N38" s="13">
        <f ca="1">(+M38+O38+R38+U38+V38+W38+X38+Y38+Z38+AA38+AC38+AH38+AI38+AJ38+AK38)*CUSTOS!$M$5</f>
        <v>4.7922532524481465</v>
      </c>
      <c r="O38" s="13">
        <v>1</v>
      </c>
      <c r="P38" s="13">
        <v>1</v>
      </c>
      <c r="Q38" s="13">
        <f>1</f>
        <v>1</v>
      </c>
      <c r="R38" s="13">
        <v>1</v>
      </c>
      <c r="S38" s="13">
        <v>1</v>
      </c>
      <c r="T38" s="13"/>
      <c r="U38" s="13">
        <f>TRANSICAO!$U$38*CUSTOS!$T$3</f>
        <v>39.796199999999999</v>
      </c>
      <c r="V38" s="13">
        <f>TRANSICAO!$V$38*CUSTOS!$T$3</f>
        <v>11.8482</v>
      </c>
      <c r="W38" s="13">
        <f>TRANSICAO!$W$38*CUSTOS!$T$3</f>
        <v>0.64439999999999997</v>
      </c>
      <c r="X38" s="13">
        <f>TRANSICAO!$X$38*CUSTOS!$T$3</f>
        <v>0</v>
      </c>
      <c r="Y38" s="13">
        <f>TRANSICAO!$Y$38*CUSTOS!$T$3</f>
        <v>0</v>
      </c>
      <c r="Z38" s="13">
        <f>TRANSICAO!$Z$38*CUSTOS!$T$3</f>
        <v>0</v>
      </c>
      <c r="AA38" s="13">
        <f>TRANSICAO!$AA$38*CUSTOS!$T$3</f>
        <v>0</v>
      </c>
      <c r="AB38" s="13">
        <f>TRANSICAO!$AB$38*CUSTOS!$T$3</f>
        <v>0</v>
      </c>
      <c r="AC38" s="13">
        <f>TRANSICAO!$AC$38*CUSTOS!$T$3</f>
        <v>245.04239999999999</v>
      </c>
      <c r="AD38" s="13">
        <f>TRANSICAO!$AD$38*CUSTOS!$T$3</f>
        <v>0</v>
      </c>
      <c r="AE38" s="13">
        <v>0</v>
      </c>
      <c r="AF38" s="13">
        <v>0</v>
      </c>
      <c r="AG38" s="13"/>
      <c r="AH38" s="13">
        <v>87.926400000000001</v>
      </c>
      <c r="AI38" s="13">
        <v>87.926400000000001</v>
      </c>
      <c r="AJ38" s="13">
        <f ca="1">$N$87</f>
        <v>1.5470582469541849</v>
      </c>
      <c r="AK38" s="13">
        <f t="shared" ca="1" si="1"/>
        <v>1.5470582469541849</v>
      </c>
      <c r="AL38" s="13"/>
      <c r="AM38" s="13"/>
      <c r="AP38" s="13">
        <v>1</v>
      </c>
    </row>
    <row r="39" spans="1:42" ht="11.25" customHeight="1" x14ac:dyDescent="0.3">
      <c r="A39" s="128"/>
      <c r="B39" s="128"/>
      <c r="C39" s="128"/>
      <c r="D39" s="128"/>
      <c r="E39" s="128"/>
      <c r="F39" s="128"/>
      <c r="G39" s="18" t="s">
        <v>80</v>
      </c>
      <c r="H39" s="18" t="s">
        <v>78</v>
      </c>
      <c r="I39" s="18">
        <f>'MERCADO TUSD'!$U$36</f>
        <v>127.76599999999999</v>
      </c>
      <c r="J39" s="15"/>
      <c r="L39" s="13">
        <f>1</f>
        <v>1</v>
      </c>
      <c r="M39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</f>
        <v>0.94720875090633405</v>
      </c>
      <c r="N39" s="13">
        <f ca="1">(+M39+O39+R39+U39+V39+W39+X39+Y39+Z39+AA39+AC39+AH39+AI39+AJ39+AK39)*CUSTOS!$M$5</f>
        <v>2.8100452524481474</v>
      </c>
      <c r="O39" s="13">
        <v>1</v>
      </c>
      <c r="P39" s="13">
        <v>1</v>
      </c>
      <c r="Q39" s="13">
        <f>1</f>
        <v>1</v>
      </c>
      <c r="R39" s="13">
        <v>1</v>
      </c>
      <c r="S39" s="13">
        <v>1</v>
      </c>
      <c r="T39" s="13"/>
      <c r="U39" s="13">
        <f>TRANSICAO!$U$39*CUSTOS!$T$3</f>
        <v>13.2654</v>
      </c>
      <c r="V39" s="13">
        <f>TRANSICAO!$V$39*CUSTOS!$T$3</f>
        <v>3.9493999999999998</v>
      </c>
      <c r="W39" s="13">
        <f>TRANSICAO!$W$39*CUSTOS!$T$3</f>
        <v>0.21479999999999999</v>
      </c>
      <c r="X39" s="13">
        <f>TRANSICAO!$X$39*CUSTOS!$T$3</f>
        <v>0</v>
      </c>
      <c r="Y39" s="13">
        <f>TRANSICAO!$Y$39*CUSTOS!$T$3</f>
        <v>0</v>
      </c>
      <c r="Z39" s="13">
        <f>TRANSICAO!$Z$39*CUSTOS!$T$3</f>
        <v>0</v>
      </c>
      <c r="AA39" s="13">
        <f>TRANSICAO!$AA$39*CUSTOS!$T$3</f>
        <v>0</v>
      </c>
      <c r="AB39" s="13">
        <f>TRANSICAO!$AB$39*CUSTOS!$T$3</f>
        <v>0</v>
      </c>
      <c r="AC39" s="13">
        <f>TRANSICAO!$AC$39*CUSTOS!$T$3</f>
        <v>81.680800000000005</v>
      </c>
      <c r="AD39" s="13">
        <f>TRANSICAO!$AD$39*CUSTOS!$T$3</f>
        <v>0</v>
      </c>
      <c r="AE39" s="13">
        <v>0</v>
      </c>
      <c r="AF39" s="13">
        <v>0</v>
      </c>
      <c r="AG39" s="13"/>
      <c r="AH39" s="13">
        <v>87.926400000000001</v>
      </c>
      <c r="AI39" s="13">
        <v>87.926400000000001</v>
      </c>
      <c r="AJ39" s="13">
        <f ca="1">$N$87</f>
        <v>1.5470582469541849</v>
      </c>
      <c r="AK39" s="13">
        <f t="shared" ca="1" si="1"/>
        <v>1.5470582469541849</v>
      </c>
      <c r="AL39" s="13"/>
      <c r="AM39" s="13"/>
      <c r="AP39" s="13">
        <v>1</v>
      </c>
    </row>
    <row r="40" spans="1:42" ht="11.25" customHeight="1" x14ac:dyDescent="0.3">
      <c r="A40" s="128"/>
      <c r="B40" s="128" t="s">
        <v>23</v>
      </c>
      <c r="C40" s="128" t="s">
        <v>24</v>
      </c>
      <c r="D40" s="17" t="s">
        <v>24</v>
      </c>
      <c r="E40" s="17" t="s">
        <v>25</v>
      </c>
      <c r="F40" s="17" t="s">
        <v>25</v>
      </c>
      <c r="G40" s="18" t="s">
        <v>84</v>
      </c>
      <c r="H40" s="18" t="s">
        <v>78</v>
      </c>
      <c r="I40" s="18">
        <f>'MERCADO TUSD'!$U$37</f>
        <v>126554.92199999999</v>
      </c>
      <c r="J40" s="15"/>
      <c r="L40" s="13">
        <f>1</f>
        <v>1</v>
      </c>
      <c r="M40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</f>
        <v>0.94720875090633405</v>
      </c>
      <c r="N40" s="13">
        <f ca="1">(+M40+O40+R40+U40+V40+W40+X40+Y40+Z40+AA40+AC40+AH40+AI40+AJ40+AK40)*CUSTOS!$M$5</f>
        <v>3.6889482524481467</v>
      </c>
      <c r="O40" s="13">
        <v>1</v>
      </c>
      <c r="P40" s="13">
        <v>1</v>
      </c>
      <c r="Q40" s="13">
        <f>1</f>
        <v>1</v>
      </c>
      <c r="R40" s="13">
        <v>1</v>
      </c>
      <c r="S40" s="13">
        <v>1</v>
      </c>
      <c r="T40" s="13"/>
      <c r="U40" s="13">
        <f>TRANSICAO!$U$40*CUSTOS!$T$3</f>
        <v>25.029</v>
      </c>
      <c r="V40" s="13">
        <f>TRANSICAO!$V$40*CUSTOS!$T$3</f>
        <v>7.4516999999999998</v>
      </c>
      <c r="W40" s="13">
        <f>TRANSICAO!$W$40*CUSTOS!$T$3</f>
        <v>0.40529999999999999</v>
      </c>
      <c r="X40" s="13">
        <f>TRANSICAO!$X$40*CUSTOS!$T$3</f>
        <v>0</v>
      </c>
      <c r="Y40" s="13">
        <f>TRANSICAO!$Y$40*CUSTOS!$T$3</f>
        <v>0</v>
      </c>
      <c r="Z40" s="13">
        <f>TRANSICAO!$Z$40*CUSTOS!$T$3</f>
        <v>0</v>
      </c>
      <c r="AA40" s="13">
        <f>TRANSICAO!$AA$40*CUSTOS!$T$3</f>
        <v>0</v>
      </c>
      <c r="AB40" s="13">
        <f>TRANSICAO!$AB$40*CUSTOS!$T$3</f>
        <v>0</v>
      </c>
      <c r="AC40" s="13">
        <f>TRANSICAO!$AC$40*CUSTOS!$T$3</f>
        <v>154.1147</v>
      </c>
      <c r="AD40" s="13">
        <f>TRANSICAO!$AD$40*CUSTOS!$T$3</f>
        <v>0</v>
      </c>
      <c r="AE40" s="13">
        <v>0</v>
      </c>
      <c r="AF40" s="13">
        <v>0</v>
      </c>
      <c r="AG40" s="13"/>
      <c r="AH40" s="13">
        <v>87.926400000000001</v>
      </c>
      <c r="AI40" s="13">
        <v>87.926400000000001</v>
      </c>
      <c r="AJ40" s="13">
        <f ca="1">$N$87</f>
        <v>1.5470582469541849</v>
      </c>
      <c r="AK40" s="13">
        <f t="shared" ca="1" si="1"/>
        <v>1.5470582469541849</v>
      </c>
      <c r="AL40" s="13"/>
      <c r="AM40" s="13"/>
      <c r="AP40" s="13">
        <v>1</v>
      </c>
    </row>
    <row r="41" spans="1:42" ht="11.25" customHeight="1" x14ac:dyDescent="0.3">
      <c r="A41" s="128"/>
      <c r="B41" s="128"/>
      <c r="C41" s="128"/>
      <c r="D41" s="17" t="s">
        <v>29</v>
      </c>
      <c r="E41" s="17" t="s">
        <v>25</v>
      </c>
      <c r="F41" s="17" t="s">
        <v>25</v>
      </c>
      <c r="G41" s="18" t="s">
        <v>84</v>
      </c>
      <c r="H41" s="18" t="s">
        <v>78</v>
      </c>
      <c r="I41" s="18">
        <f>'MERCADO TUSD'!$U$38</f>
        <v>2163.31</v>
      </c>
      <c r="J41" s="15"/>
      <c r="L41" s="13">
        <v>0</v>
      </c>
      <c r="M41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CUSTOS!$M$24)</f>
        <v>0.94720875090633405</v>
      </c>
      <c r="N41" s="13">
        <f ca="1">(+M41+O41+R41+U41+V41+W41+X41+Y41+Z41+AA41+AC41+AH41+AI41+AJ41+AK41)*CUSTOS!$M$5</f>
        <v>3.6789482524481469</v>
      </c>
      <c r="O41" s="13">
        <f>1 - CUSTOS!$M$24</f>
        <v>1</v>
      </c>
      <c r="P41" s="13">
        <v>0</v>
      </c>
      <c r="Q41" s="13">
        <v>0</v>
      </c>
      <c r="R41" s="13">
        <v>0</v>
      </c>
      <c r="S41" s="13">
        <f>1 - CUSTOS!$M$24</f>
        <v>1</v>
      </c>
      <c r="T41" s="13"/>
      <c r="U41" s="13">
        <f>TRANSICAO!$U$41*CUSTOS!$T$3</f>
        <v>25.029</v>
      </c>
      <c r="V41" s="13">
        <f>TRANSICAO!$V$41*CUSTOS!$T$3</f>
        <v>7.4516999999999998</v>
      </c>
      <c r="W41" s="13">
        <f>TRANSICAO!$W$41*CUSTOS!$T$3</f>
        <v>0.40529999999999999</v>
      </c>
      <c r="X41" s="13">
        <f>TRANSICAO!$X$41*CUSTOS!$T$3</f>
        <v>0</v>
      </c>
      <c r="Y41" s="13">
        <f>TRANSICAO!$Y$41*CUSTOS!$T$3</f>
        <v>0</v>
      </c>
      <c r="Z41" s="13">
        <f>TRANSICAO!$Z$41*CUSTOS!$T$3</f>
        <v>0</v>
      </c>
      <c r="AA41" s="13">
        <f>TRANSICAO!$AA$41*CUSTOS!$T$3</f>
        <v>0</v>
      </c>
      <c r="AB41" s="13">
        <f>TRANSICAO!$AB$41*CUSTOS!$T$3</f>
        <v>0</v>
      </c>
      <c r="AC41" s="13">
        <f>TRANSICAO!$AC$41*CUSTOS!$T$3</f>
        <v>154.1147</v>
      </c>
      <c r="AD41" s="13">
        <f>TRANSICAO!$AD$41*CUSTOS!$T$3</f>
        <v>0</v>
      </c>
      <c r="AE41" s="13">
        <v>0</v>
      </c>
      <c r="AF41" s="13">
        <v>0</v>
      </c>
      <c r="AG41" s="13"/>
      <c r="AH41" s="13">
        <f>(1 - CUSTOS!$M$24)*87.9264</f>
        <v>87.926400000000001</v>
      </c>
      <c r="AI41" s="13">
        <f>(1 - CUSTOS!$M$24)*87.9264</f>
        <v>87.926400000000001</v>
      </c>
      <c r="AJ41" s="13">
        <f ca="1">$N$87*(1-CUSTOS!$M$24)</f>
        <v>1.5470582469541849</v>
      </c>
      <c r="AK41" s="13">
        <f t="shared" ca="1" si="1"/>
        <v>1.5470582469541849</v>
      </c>
      <c r="AL41" s="13"/>
      <c r="AM41" s="13"/>
      <c r="AP41" s="13">
        <f>IF((1 - CUSTOS!$M$24)&lt;&gt;0,1/(1 - CUSTOS!$M$24),1)</f>
        <v>1</v>
      </c>
    </row>
    <row r="42" spans="1:42" ht="11.25" customHeight="1" x14ac:dyDescent="0.3">
      <c r="A42" s="128"/>
      <c r="B42" s="128"/>
      <c r="C42" s="128"/>
      <c r="D42" s="17" t="s">
        <v>30</v>
      </c>
      <c r="E42" s="17" t="s">
        <v>25</v>
      </c>
      <c r="F42" s="17" t="s">
        <v>25</v>
      </c>
      <c r="G42" s="18" t="s">
        <v>84</v>
      </c>
      <c r="H42" s="18" t="s">
        <v>78</v>
      </c>
      <c r="I42" s="18">
        <f>'MERCADO TUSD'!$U$39</f>
        <v>4329.2419999999993</v>
      </c>
      <c r="J42" s="15"/>
      <c r="L42" s="13">
        <v>0</v>
      </c>
      <c r="M42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CUSTOS!$M$25)</f>
        <v>0.94720875090633405</v>
      </c>
      <c r="N42" s="13">
        <f ca="1">(+M42+O42+R42+U42+V42+W42+X42+Y42+Z42+AA42+AC42+AH42+AI42+AJ42+AK42)*CUSTOS!$M$5</f>
        <v>3.6789482524481469</v>
      </c>
      <c r="O42" s="13">
        <f>1 - CUSTOS!$M$25</f>
        <v>1</v>
      </c>
      <c r="P42" s="13">
        <v>0</v>
      </c>
      <c r="Q42" s="13">
        <v>0</v>
      </c>
      <c r="R42" s="13">
        <v>0</v>
      </c>
      <c r="S42" s="13">
        <f>1 - CUSTOS!$M$25</f>
        <v>1</v>
      </c>
      <c r="T42" s="13"/>
      <c r="U42" s="13">
        <f>TRANSICAO!$U$42*CUSTOS!$T$3</f>
        <v>25.029</v>
      </c>
      <c r="V42" s="13">
        <f>TRANSICAO!$V$42*CUSTOS!$T$3</f>
        <v>7.4516999999999998</v>
      </c>
      <c r="W42" s="13">
        <f>TRANSICAO!$W$42*CUSTOS!$T$3</f>
        <v>0.40529999999999999</v>
      </c>
      <c r="X42" s="13">
        <f>TRANSICAO!$X$42*CUSTOS!$T$3</f>
        <v>0</v>
      </c>
      <c r="Y42" s="13">
        <f>TRANSICAO!$Y$42*CUSTOS!$T$3</f>
        <v>0</v>
      </c>
      <c r="Z42" s="13">
        <f>TRANSICAO!$Z$42*CUSTOS!$T$3</f>
        <v>0</v>
      </c>
      <c r="AA42" s="13">
        <f>TRANSICAO!$AA$42*CUSTOS!$T$3</f>
        <v>0</v>
      </c>
      <c r="AB42" s="13">
        <f>TRANSICAO!$AB$42*CUSTOS!$T$3</f>
        <v>0</v>
      </c>
      <c r="AC42" s="13">
        <f>TRANSICAO!$AC$42*CUSTOS!$T$3</f>
        <v>154.1147</v>
      </c>
      <c r="AD42" s="13">
        <f>TRANSICAO!$AD$42*CUSTOS!$T$3</f>
        <v>0</v>
      </c>
      <c r="AE42" s="13">
        <v>0</v>
      </c>
      <c r="AF42" s="13">
        <v>0</v>
      </c>
      <c r="AG42" s="13"/>
      <c r="AH42" s="13">
        <f>(1 - CUSTOS!$M$25)*87.9264</f>
        <v>87.926400000000001</v>
      </c>
      <c r="AI42" s="13">
        <f>(1 - CUSTOS!$M$25)*87.9264</f>
        <v>87.926400000000001</v>
      </c>
      <c r="AJ42" s="13">
        <f ca="1">$N$87*(1-CUSTOS!$M$25)</f>
        <v>1.5470582469541849</v>
      </c>
      <c r="AK42" s="13">
        <f t="shared" ca="1" si="1"/>
        <v>1.5470582469541849</v>
      </c>
      <c r="AL42" s="13"/>
      <c r="AM42" s="13"/>
      <c r="AP42" s="13">
        <f>IF((1 - CUSTOS!$M$25)&lt;&gt;0,1/(1 - CUSTOS!$M$25),1)</f>
        <v>1</v>
      </c>
    </row>
    <row r="43" spans="1:42" ht="11.25" customHeight="1" x14ac:dyDescent="0.3">
      <c r="A43" s="128"/>
      <c r="B43" s="128"/>
      <c r="C43" s="128"/>
      <c r="D43" s="17" t="s">
        <v>31</v>
      </c>
      <c r="E43" s="17" t="s">
        <v>25</v>
      </c>
      <c r="F43" s="17" t="s">
        <v>25</v>
      </c>
      <c r="G43" s="18" t="s">
        <v>84</v>
      </c>
      <c r="H43" s="18" t="s">
        <v>78</v>
      </c>
      <c r="I43" s="18">
        <f>'MERCADO TUSD'!$U$40</f>
        <v>3237.8510000000001</v>
      </c>
      <c r="J43" s="15"/>
      <c r="L43" s="13">
        <v>0</v>
      </c>
      <c r="M43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CUSTOS!$M$26)</f>
        <v>0.94720875090633405</v>
      </c>
      <c r="N43" s="13">
        <f ca="1">(+M43+O43+R43+U43+V43+W43+X43+Y43+Z43+AA43+AC43+AH43+AI43+AJ43+AK43)*CUSTOS!$M$5</f>
        <v>3.6789482524481469</v>
      </c>
      <c r="O43" s="13">
        <f>1 - CUSTOS!$M$26</f>
        <v>1</v>
      </c>
      <c r="P43" s="13">
        <v>0</v>
      </c>
      <c r="Q43" s="13">
        <v>0</v>
      </c>
      <c r="R43" s="13">
        <v>0</v>
      </c>
      <c r="S43" s="13">
        <f>1 - CUSTOS!$M$26</f>
        <v>1</v>
      </c>
      <c r="T43" s="13"/>
      <c r="U43" s="13">
        <f>TRANSICAO!$U$43*CUSTOS!$T$3</f>
        <v>25.029</v>
      </c>
      <c r="V43" s="13">
        <f>TRANSICAO!$V$43*CUSTOS!$T$3</f>
        <v>7.4516999999999998</v>
      </c>
      <c r="W43" s="13">
        <f>TRANSICAO!$W$43*CUSTOS!$T$3</f>
        <v>0.40529999999999999</v>
      </c>
      <c r="X43" s="13">
        <f>TRANSICAO!$X$43*CUSTOS!$T$3</f>
        <v>0</v>
      </c>
      <c r="Y43" s="13">
        <f>TRANSICAO!$Y$43*CUSTOS!$T$3</f>
        <v>0</v>
      </c>
      <c r="Z43" s="13">
        <f>TRANSICAO!$Z$43*CUSTOS!$T$3</f>
        <v>0</v>
      </c>
      <c r="AA43" s="13">
        <f>TRANSICAO!$AA$43*CUSTOS!$T$3</f>
        <v>0</v>
      </c>
      <c r="AB43" s="13">
        <f>TRANSICAO!$AB$43*CUSTOS!$T$3</f>
        <v>0</v>
      </c>
      <c r="AC43" s="13">
        <f>TRANSICAO!$AC$43*CUSTOS!$T$3</f>
        <v>154.1147</v>
      </c>
      <c r="AD43" s="13">
        <f>TRANSICAO!$AD$43*CUSTOS!$T$3</f>
        <v>0</v>
      </c>
      <c r="AE43" s="13">
        <v>0</v>
      </c>
      <c r="AF43" s="13">
        <v>0</v>
      </c>
      <c r="AG43" s="13"/>
      <c r="AH43" s="13">
        <f>(1 - CUSTOS!$M$26)*87.9264</f>
        <v>87.926400000000001</v>
      </c>
      <c r="AI43" s="13">
        <f>(1 - CUSTOS!$M$26)*87.9264</f>
        <v>87.926400000000001</v>
      </c>
      <c r="AJ43" s="13">
        <f ca="1">$N$87*(1-CUSTOS!$M$26)</f>
        <v>1.5470582469541849</v>
      </c>
      <c r="AK43" s="13">
        <f t="shared" ca="1" si="1"/>
        <v>1.5470582469541849</v>
      </c>
      <c r="AL43" s="13"/>
      <c r="AM43" s="13"/>
      <c r="AP43" s="13">
        <f>IF((1 - CUSTOS!$M$26)&lt;&gt;0,1/(1 - CUSTOS!$M$26),1)</f>
        <v>1</v>
      </c>
    </row>
    <row r="44" spans="1:42" ht="11.25" customHeight="1" x14ac:dyDescent="0.3">
      <c r="A44" s="128"/>
      <c r="B44" s="128"/>
      <c r="C44" s="128"/>
      <c r="D44" s="17" t="s">
        <v>32</v>
      </c>
      <c r="E44" s="17" t="s">
        <v>25</v>
      </c>
      <c r="F44" s="17" t="s">
        <v>25</v>
      </c>
      <c r="G44" s="18" t="s">
        <v>84</v>
      </c>
      <c r="H44" s="18" t="s">
        <v>78</v>
      </c>
      <c r="I44" s="18">
        <f>'MERCADO TUSD'!$U$41</f>
        <v>633.93299999999999</v>
      </c>
      <c r="J44" s="15"/>
      <c r="L44" s="13">
        <v>0</v>
      </c>
      <c r="M44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CUSTOS!$M$27)</f>
        <v>0.94720875090633405</v>
      </c>
      <c r="N44" s="13">
        <f ca="1">(+M44+O44+R44+U44+V44+W44+X44+Y44+Z44+AA44+AC44+AH44+AI44+AJ44+AK44)*CUSTOS!$M$5</f>
        <v>3.6789482524481469</v>
      </c>
      <c r="O44" s="13">
        <f>1 - CUSTOS!$M$27</f>
        <v>1</v>
      </c>
      <c r="P44" s="13">
        <v>0</v>
      </c>
      <c r="Q44" s="13">
        <v>0</v>
      </c>
      <c r="R44" s="13">
        <v>0</v>
      </c>
      <c r="S44" s="13">
        <f>1 - CUSTOS!$M$27</f>
        <v>1</v>
      </c>
      <c r="T44" s="13"/>
      <c r="U44" s="13">
        <f>TRANSICAO!$U$44*CUSTOS!$T$3</f>
        <v>25.029</v>
      </c>
      <c r="V44" s="13">
        <f>TRANSICAO!$V$44*CUSTOS!$T$3</f>
        <v>7.4516999999999998</v>
      </c>
      <c r="W44" s="13">
        <f>TRANSICAO!$W$44*CUSTOS!$T$3</f>
        <v>0.40529999999999999</v>
      </c>
      <c r="X44" s="13">
        <f>TRANSICAO!$X$44*CUSTOS!$T$3</f>
        <v>0</v>
      </c>
      <c r="Y44" s="13">
        <f>TRANSICAO!$Y$44*CUSTOS!$T$3</f>
        <v>0</v>
      </c>
      <c r="Z44" s="13">
        <f>TRANSICAO!$Z$44*CUSTOS!$T$3</f>
        <v>0</v>
      </c>
      <c r="AA44" s="13">
        <f>TRANSICAO!$AA$44*CUSTOS!$T$3</f>
        <v>0</v>
      </c>
      <c r="AB44" s="13">
        <f>TRANSICAO!$AB$44*CUSTOS!$T$3</f>
        <v>0</v>
      </c>
      <c r="AC44" s="13">
        <f>TRANSICAO!$AC$44*CUSTOS!$T$3</f>
        <v>154.1147</v>
      </c>
      <c r="AD44" s="13">
        <f>TRANSICAO!$AD$44*CUSTOS!$T$3</f>
        <v>0</v>
      </c>
      <c r="AE44" s="13">
        <v>0</v>
      </c>
      <c r="AF44" s="13">
        <v>0</v>
      </c>
      <c r="AG44" s="13"/>
      <c r="AH44" s="13">
        <f>(1 - CUSTOS!$M$27)*87.9264</f>
        <v>87.926400000000001</v>
      </c>
      <c r="AI44" s="13">
        <f>(1 - CUSTOS!$M$27)*87.9264</f>
        <v>87.926400000000001</v>
      </c>
      <c r="AJ44" s="13">
        <f ca="1">$N$87*(1-CUSTOS!$M$27)</f>
        <v>1.5470582469541849</v>
      </c>
      <c r="AK44" s="13">
        <f t="shared" ca="1" si="1"/>
        <v>1.5470582469541849</v>
      </c>
      <c r="AL44" s="13"/>
      <c r="AM44" s="13"/>
      <c r="AP44" s="13">
        <f>IF((1 - CUSTOS!$M$27)&lt;&gt;0,1/(1 - CUSTOS!$M$27),1)</f>
        <v>1</v>
      </c>
    </row>
    <row r="45" spans="1:42" ht="11.25" customHeight="1" x14ac:dyDescent="0.3">
      <c r="A45" s="128"/>
      <c r="B45" s="128" t="s">
        <v>92</v>
      </c>
      <c r="C45" s="128" t="s">
        <v>24</v>
      </c>
      <c r="D45" s="17" t="s">
        <v>24</v>
      </c>
      <c r="E45" s="17" t="s">
        <v>25</v>
      </c>
      <c r="F45" s="17" t="s">
        <v>25</v>
      </c>
      <c r="G45" s="18" t="s">
        <v>84</v>
      </c>
      <c r="H45" s="18" t="s">
        <v>78</v>
      </c>
      <c r="I45" s="18">
        <f>'MERCADO TUSD'!$U$42</f>
        <v>0</v>
      </c>
      <c r="J45" s="15"/>
      <c r="L45" s="13">
        <f>1</f>
        <v>1</v>
      </c>
      <c r="M45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</f>
        <v>0.94720875090633405</v>
      </c>
      <c r="N45" s="13">
        <f ca="1">(+M45+O45+R45+U45+V45+W45+X45+Y45+Z45+AA45+AC45+AH45+AI45+AJ45+AK45)*CUSTOS!$M$5</f>
        <v>3.6889482524481467</v>
      </c>
      <c r="O45" s="13">
        <v>1</v>
      </c>
      <c r="P45" s="13">
        <v>1</v>
      </c>
      <c r="Q45" s="13">
        <f>1</f>
        <v>1</v>
      </c>
      <c r="R45" s="13">
        <v>1</v>
      </c>
      <c r="S45" s="13">
        <v>1</v>
      </c>
      <c r="T45" s="13"/>
      <c r="U45" s="13">
        <f>TRANSICAO!$U$45*CUSTOS!$T$3</f>
        <v>25.029</v>
      </c>
      <c r="V45" s="13">
        <f>TRANSICAO!$V$45*CUSTOS!$T$3</f>
        <v>7.4516999999999998</v>
      </c>
      <c r="W45" s="13">
        <f>TRANSICAO!$W$45*CUSTOS!$T$3</f>
        <v>0.40529999999999999</v>
      </c>
      <c r="X45" s="13">
        <f>TRANSICAO!$X$45*CUSTOS!$T$3</f>
        <v>0</v>
      </c>
      <c r="Y45" s="13">
        <f>TRANSICAO!$Y$45*CUSTOS!$T$3</f>
        <v>0</v>
      </c>
      <c r="Z45" s="13">
        <f>TRANSICAO!$Z$45*CUSTOS!$T$3</f>
        <v>0</v>
      </c>
      <c r="AA45" s="13">
        <f>TRANSICAO!$AA$45*CUSTOS!$T$3</f>
        <v>0</v>
      </c>
      <c r="AB45" s="13">
        <f>TRANSICAO!$AB$45*CUSTOS!$T$3</f>
        <v>0</v>
      </c>
      <c r="AC45" s="13">
        <f>TRANSICAO!$AC$45*CUSTOS!$T$3</f>
        <v>154.1147</v>
      </c>
      <c r="AD45" s="13">
        <f>TRANSICAO!$AD$45*CUSTOS!$T$3</f>
        <v>0</v>
      </c>
      <c r="AE45" s="13">
        <v>0</v>
      </c>
      <c r="AF45" s="13">
        <v>0</v>
      </c>
      <c r="AG45" s="13"/>
      <c r="AH45" s="13">
        <v>87.926400000000001</v>
      </c>
      <c r="AI45" s="13">
        <v>87.926400000000001</v>
      </c>
      <c r="AJ45" s="13">
        <f ca="1">$N$87</f>
        <v>1.5470582469541849</v>
      </c>
      <c r="AK45" s="13">
        <f t="shared" ca="1" si="1"/>
        <v>1.5470582469541849</v>
      </c>
      <c r="AL45" s="13"/>
      <c r="AM45" s="13"/>
      <c r="AP45" s="13">
        <v>1</v>
      </c>
    </row>
    <row r="46" spans="1:42" ht="11.25" customHeight="1" x14ac:dyDescent="0.3">
      <c r="A46" s="128"/>
      <c r="B46" s="128"/>
      <c r="C46" s="128"/>
      <c r="D46" s="17" t="s">
        <v>29</v>
      </c>
      <c r="E46" s="17" t="s">
        <v>25</v>
      </c>
      <c r="F46" s="17" t="s">
        <v>25</v>
      </c>
      <c r="G46" s="18" t="s">
        <v>84</v>
      </c>
      <c r="H46" s="18" t="s">
        <v>78</v>
      </c>
      <c r="I46" s="18">
        <f>'MERCADO TUSD'!$U$43</f>
        <v>0</v>
      </c>
      <c r="J46" s="15"/>
      <c r="L46" s="13">
        <v>0</v>
      </c>
      <c r="M46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CUSTOS!$M$24)</f>
        <v>0.94720875090633405</v>
      </c>
      <c r="N46" s="13">
        <f ca="1">(+M46+O46+R46+U46+V46+W46+X46+Y46+Z46+AA46+AC46+AH46+AI46+AJ46+AK46)*CUSTOS!$M$5</f>
        <v>3.6789482524481469</v>
      </c>
      <c r="O46" s="13">
        <f>1 - CUSTOS!$M$24</f>
        <v>1</v>
      </c>
      <c r="P46" s="13">
        <v>0</v>
      </c>
      <c r="Q46" s="13">
        <v>0</v>
      </c>
      <c r="R46" s="13">
        <v>0</v>
      </c>
      <c r="S46" s="13">
        <f>1 - CUSTOS!$M$24</f>
        <v>1</v>
      </c>
      <c r="T46" s="13"/>
      <c r="U46" s="13">
        <f>TRANSICAO!$U$46*CUSTOS!$T$3</f>
        <v>25.029</v>
      </c>
      <c r="V46" s="13">
        <f>TRANSICAO!$V$46*CUSTOS!$T$3</f>
        <v>7.4516999999999998</v>
      </c>
      <c r="W46" s="13">
        <f>TRANSICAO!$W$46*CUSTOS!$T$3</f>
        <v>0.40529999999999999</v>
      </c>
      <c r="X46" s="13">
        <f>TRANSICAO!$X$46*CUSTOS!$T$3</f>
        <v>0</v>
      </c>
      <c r="Y46" s="13">
        <f>TRANSICAO!$Y$46*CUSTOS!$T$3</f>
        <v>0</v>
      </c>
      <c r="Z46" s="13">
        <f>TRANSICAO!$Z$46*CUSTOS!$T$3</f>
        <v>0</v>
      </c>
      <c r="AA46" s="13">
        <f>TRANSICAO!$AA$46*CUSTOS!$T$3</f>
        <v>0</v>
      </c>
      <c r="AB46" s="13">
        <f>TRANSICAO!$AB$46*CUSTOS!$T$3</f>
        <v>0</v>
      </c>
      <c r="AC46" s="13">
        <f>TRANSICAO!$AC$46*CUSTOS!$T$3</f>
        <v>154.1147</v>
      </c>
      <c r="AD46" s="13">
        <f>TRANSICAO!$AD$46*CUSTOS!$T$3</f>
        <v>0</v>
      </c>
      <c r="AE46" s="13">
        <v>0</v>
      </c>
      <c r="AF46" s="13">
        <v>0</v>
      </c>
      <c r="AG46" s="13"/>
      <c r="AH46" s="13">
        <f>(1 - CUSTOS!$M$24)*87.9264</f>
        <v>87.926400000000001</v>
      </c>
      <c r="AI46" s="13">
        <f>(1 - CUSTOS!$M$24)*87.9264</f>
        <v>87.926400000000001</v>
      </c>
      <c r="AJ46" s="13">
        <f ca="1">$N$87*(1-CUSTOS!$M$24)</f>
        <v>1.5470582469541849</v>
      </c>
      <c r="AK46" s="13">
        <f t="shared" ca="1" si="1"/>
        <v>1.5470582469541849</v>
      </c>
      <c r="AL46" s="13"/>
      <c r="AM46" s="13"/>
      <c r="AP46" s="13">
        <f>IF((1 - CUSTOS!$M$24)&lt;&gt;0,1/(1 - CUSTOS!$M$24),1)</f>
        <v>1</v>
      </c>
    </row>
    <row r="47" spans="1:42" ht="11.25" customHeight="1" x14ac:dyDescent="0.3">
      <c r="A47" s="128"/>
      <c r="B47" s="128"/>
      <c r="C47" s="128"/>
      <c r="D47" s="17" t="s">
        <v>30</v>
      </c>
      <c r="E47" s="17" t="s">
        <v>25</v>
      </c>
      <c r="F47" s="17" t="s">
        <v>25</v>
      </c>
      <c r="G47" s="18" t="s">
        <v>84</v>
      </c>
      <c r="H47" s="18" t="s">
        <v>78</v>
      </c>
      <c r="I47" s="18">
        <f>'MERCADO TUSD'!$U$44</f>
        <v>0</v>
      </c>
      <c r="J47" s="15"/>
      <c r="L47" s="13">
        <v>0</v>
      </c>
      <c r="M47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CUSTOS!$M$25)</f>
        <v>0.94720875090633405</v>
      </c>
      <c r="N47" s="13">
        <f ca="1">(+M47+O47+R47+U47+V47+W47+X47+Y47+Z47+AA47+AC47+AH47+AI47+AJ47+AK47)*CUSTOS!$M$5</f>
        <v>3.6789482524481469</v>
      </c>
      <c r="O47" s="13">
        <f>1 - CUSTOS!$M$25</f>
        <v>1</v>
      </c>
      <c r="P47" s="13">
        <v>0</v>
      </c>
      <c r="Q47" s="13">
        <v>0</v>
      </c>
      <c r="R47" s="13">
        <v>0</v>
      </c>
      <c r="S47" s="13">
        <f>1 - CUSTOS!$M$25</f>
        <v>1</v>
      </c>
      <c r="T47" s="13"/>
      <c r="U47" s="13">
        <f>TRANSICAO!$U$47*CUSTOS!$T$3</f>
        <v>25.029</v>
      </c>
      <c r="V47" s="13">
        <f>TRANSICAO!$V$47*CUSTOS!$T$3</f>
        <v>7.4516999999999998</v>
      </c>
      <c r="W47" s="13">
        <f>TRANSICAO!$W$47*CUSTOS!$T$3</f>
        <v>0.40529999999999999</v>
      </c>
      <c r="X47" s="13">
        <f>TRANSICAO!$X$47*CUSTOS!$T$3</f>
        <v>0</v>
      </c>
      <c r="Y47" s="13">
        <f>TRANSICAO!$Y$47*CUSTOS!$T$3</f>
        <v>0</v>
      </c>
      <c r="Z47" s="13">
        <f>TRANSICAO!$Z$47*CUSTOS!$T$3</f>
        <v>0</v>
      </c>
      <c r="AA47" s="13">
        <f>TRANSICAO!$AA$47*CUSTOS!$T$3</f>
        <v>0</v>
      </c>
      <c r="AB47" s="13">
        <f>TRANSICAO!$AB$47*CUSTOS!$T$3</f>
        <v>0</v>
      </c>
      <c r="AC47" s="13">
        <f>TRANSICAO!$AC$47*CUSTOS!$T$3</f>
        <v>154.1147</v>
      </c>
      <c r="AD47" s="13">
        <f>TRANSICAO!$AD$47*CUSTOS!$T$3</f>
        <v>0</v>
      </c>
      <c r="AE47" s="13">
        <v>0</v>
      </c>
      <c r="AF47" s="13">
        <v>0</v>
      </c>
      <c r="AG47" s="13"/>
      <c r="AH47" s="13">
        <f>(1 - CUSTOS!$M$25)*87.9264</f>
        <v>87.926400000000001</v>
      </c>
      <c r="AI47" s="13">
        <f>(1 - CUSTOS!$M$25)*87.9264</f>
        <v>87.926400000000001</v>
      </c>
      <c r="AJ47" s="13">
        <f ca="1">$N$87*(1-CUSTOS!$M$25)</f>
        <v>1.5470582469541849</v>
      </c>
      <c r="AK47" s="13">
        <f t="shared" ca="1" si="1"/>
        <v>1.5470582469541849</v>
      </c>
      <c r="AL47" s="13"/>
      <c r="AM47" s="13"/>
      <c r="AP47" s="13">
        <f>IF((1 - CUSTOS!$M$25)&lt;&gt;0,1/(1 - CUSTOS!$M$25),1)</f>
        <v>1</v>
      </c>
    </row>
    <row r="48" spans="1:42" ht="11.25" customHeight="1" x14ac:dyDescent="0.3">
      <c r="A48" s="128"/>
      <c r="B48" s="128"/>
      <c r="C48" s="128"/>
      <c r="D48" s="17" t="s">
        <v>31</v>
      </c>
      <c r="E48" s="17" t="s">
        <v>25</v>
      </c>
      <c r="F48" s="17" t="s">
        <v>25</v>
      </c>
      <c r="G48" s="18" t="s">
        <v>84</v>
      </c>
      <c r="H48" s="18" t="s">
        <v>78</v>
      </c>
      <c r="I48" s="18">
        <f>'MERCADO TUSD'!$U$45</f>
        <v>0</v>
      </c>
      <c r="J48" s="15"/>
      <c r="L48" s="13">
        <v>0</v>
      </c>
      <c r="M48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CUSTOS!$M$26)</f>
        <v>0.94720875090633405</v>
      </c>
      <c r="N48" s="13">
        <f ca="1">(+M48+O48+R48+U48+V48+W48+X48+Y48+Z48+AA48+AC48+AH48+AI48+AJ48+AK48)*CUSTOS!$M$5</f>
        <v>3.6789482524481469</v>
      </c>
      <c r="O48" s="13">
        <f>1 - CUSTOS!$M$26</f>
        <v>1</v>
      </c>
      <c r="P48" s="13">
        <v>0</v>
      </c>
      <c r="Q48" s="13">
        <v>0</v>
      </c>
      <c r="R48" s="13">
        <v>0</v>
      </c>
      <c r="S48" s="13">
        <f>1 - CUSTOS!$M$26</f>
        <v>1</v>
      </c>
      <c r="T48" s="13"/>
      <c r="U48" s="13">
        <f>TRANSICAO!$U$48*CUSTOS!$T$3</f>
        <v>25.029</v>
      </c>
      <c r="V48" s="13">
        <f>TRANSICAO!$V$48*CUSTOS!$T$3</f>
        <v>7.4516999999999998</v>
      </c>
      <c r="W48" s="13">
        <f>TRANSICAO!$W$48*CUSTOS!$T$3</f>
        <v>0.40529999999999999</v>
      </c>
      <c r="X48" s="13">
        <f>TRANSICAO!$X$48*CUSTOS!$T$3</f>
        <v>0</v>
      </c>
      <c r="Y48" s="13">
        <f>TRANSICAO!$Y$48*CUSTOS!$T$3</f>
        <v>0</v>
      </c>
      <c r="Z48" s="13">
        <f>TRANSICAO!$Z$48*CUSTOS!$T$3</f>
        <v>0</v>
      </c>
      <c r="AA48" s="13">
        <f>TRANSICAO!$AA$48*CUSTOS!$T$3</f>
        <v>0</v>
      </c>
      <c r="AB48" s="13">
        <f>TRANSICAO!$AB$48*CUSTOS!$T$3</f>
        <v>0</v>
      </c>
      <c r="AC48" s="13">
        <f>TRANSICAO!$AC$48*CUSTOS!$T$3</f>
        <v>154.1147</v>
      </c>
      <c r="AD48" s="13">
        <f>TRANSICAO!$AD$48*CUSTOS!$T$3</f>
        <v>0</v>
      </c>
      <c r="AE48" s="13">
        <v>0</v>
      </c>
      <c r="AF48" s="13">
        <v>0</v>
      </c>
      <c r="AG48" s="13"/>
      <c r="AH48" s="13">
        <f>(1 - CUSTOS!$M$26)*87.9264</f>
        <v>87.926400000000001</v>
      </c>
      <c r="AI48" s="13">
        <f>(1 - CUSTOS!$M$26)*87.9264</f>
        <v>87.926400000000001</v>
      </c>
      <c r="AJ48" s="13">
        <f ca="1">$N$87*(1-CUSTOS!$M$26)</f>
        <v>1.5470582469541849</v>
      </c>
      <c r="AK48" s="13">
        <f t="shared" ca="1" si="1"/>
        <v>1.5470582469541849</v>
      </c>
      <c r="AL48" s="13"/>
      <c r="AM48" s="13"/>
      <c r="AP48" s="13">
        <f>IF((1 - CUSTOS!$M$26)&lt;&gt;0,1/(1 - CUSTOS!$M$26),1)</f>
        <v>1</v>
      </c>
    </row>
    <row r="49" spans="1:42" ht="11.25" customHeight="1" x14ac:dyDescent="0.3">
      <c r="A49" s="128"/>
      <c r="B49" s="128"/>
      <c r="C49" s="128"/>
      <c r="D49" s="17" t="s">
        <v>32</v>
      </c>
      <c r="E49" s="17" t="s">
        <v>25</v>
      </c>
      <c r="F49" s="17" t="s">
        <v>25</v>
      </c>
      <c r="G49" s="18" t="s">
        <v>84</v>
      </c>
      <c r="H49" s="18" t="s">
        <v>78</v>
      </c>
      <c r="I49" s="18">
        <f>'MERCADO TUSD'!$U$46</f>
        <v>0</v>
      </c>
      <c r="J49" s="15"/>
      <c r="L49" s="13">
        <v>0</v>
      </c>
      <c r="M49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CUSTOS!$M$27)</f>
        <v>0.94720875090633405</v>
      </c>
      <c r="N49" s="13">
        <f ca="1">(+M49+O49+R49+U49+V49+W49+X49+Y49+Z49+AA49+AC49+AH49+AI49+AJ49+AK49)*CUSTOS!$M$5</f>
        <v>3.6789482524481469</v>
      </c>
      <c r="O49" s="13">
        <f>1 - CUSTOS!$M$27</f>
        <v>1</v>
      </c>
      <c r="P49" s="13">
        <v>0</v>
      </c>
      <c r="Q49" s="13">
        <v>0</v>
      </c>
      <c r="R49" s="13">
        <v>0</v>
      </c>
      <c r="S49" s="13">
        <f>1 - CUSTOS!$M$27</f>
        <v>1</v>
      </c>
      <c r="T49" s="13"/>
      <c r="U49" s="13">
        <f>TRANSICAO!$U$49*CUSTOS!$T$3</f>
        <v>25.029</v>
      </c>
      <c r="V49" s="13">
        <f>TRANSICAO!$V$49*CUSTOS!$T$3</f>
        <v>7.4516999999999998</v>
      </c>
      <c r="W49" s="13">
        <f>TRANSICAO!$W$49*CUSTOS!$T$3</f>
        <v>0.40529999999999999</v>
      </c>
      <c r="X49" s="13">
        <f>TRANSICAO!$X$49*CUSTOS!$T$3</f>
        <v>0</v>
      </c>
      <c r="Y49" s="13">
        <f>TRANSICAO!$Y$49*CUSTOS!$T$3</f>
        <v>0</v>
      </c>
      <c r="Z49" s="13">
        <f>TRANSICAO!$Z$49*CUSTOS!$T$3</f>
        <v>0</v>
      </c>
      <c r="AA49" s="13">
        <f>TRANSICAO!$AA$49*CUSTOS!$T$3</f>
        <v>0</v>
      </c>
      <c r="AB49" s="13">
        <f>TRANSICAO!$AB$49*CUSTOS!$T$3</f>
        <v>0</v>
      </c>
      <c r="AC49" s="13">
        <f>TRANSICAO!$AC$49*CUSTOS!$T$3</f>
        <v>154.1147</v>
      </c>
      <c r="AD49" s="13">
        <f>TRANSICAO!$AD$49*CUSTOS!$T$3</f>
        <v>0</v>
      </c>
      <c r="AE49" s="13">
        <v>0</v>
      </c>
      <c r="AF49" s="13">
        <v>0</v>
      </c>
      <c r="AG49" s="13"/>
      <c r="AH49" s="13">
        <f>(1 - CUSTOS!$M$27)*87.9264</f>
        <v>87.926400000000001</v>
      </c>
      <c r="AI49" s="13">
        <f>(1 - CUSTOS!$M$27)*87.9264</f>
        <v>87.926400000000001</v>
      </c>
      <c r="AJ49" s="13">
        <f ca="1">$N$87*(1-CUSTOS!$M$27)</f>
        <v>1.5470582469541849</v>
      </c>
      <c r="AK49" s="13">
        <f t="shared" ca="1" si="1"/>
        <v>1.5470582469541849</v>
      </c>
      <c r="AL49" s="13"/>
      <c r="AM49" s="13"/>
      <c r="AP49" s="13">
        <f>IF((1 - CUSTOS!$M$27)&lt;&gt;0,1/(1 - CUSTOS!$M$27),1)</f>
        <v>1</v>
      </c>
    </row>
    <row r="50" spans="1:42" ht="11.25" customHeight="1" x14ac:dyDescent="0.3">
      <c r="A50" s="128" t="s">
        <v>44</v>
      </c>
      <c r="B50" s="128" t="s">
        <v>33</v>
      </c>
      <c r="C50" s="128" t="s">
        <v>45</v>
      </c>
      <c r="D50" s="128" t="s">
        <v>25</v>
      </c>
      <c r="E50" s="128" t="s">
        <v>25</v>
      </c>
      <c r="F50" s="128" t="s">
        <v>25</v>
      </c>
      <c r="G50" s="18" t="s">
        <v>79</v>
      </c>
      <c r="H50" s="18" t="s">
        <v>78</v>
      </c>
      <c r="I50" s="18">
        <f>'MERCADO TUSD'!$U$47</f>
        <v>0</v>
      </c>
      <c r="J50" s="15"/>
      <c r="L50" s="13">
        <f>1*(1 - CUSTOS!$M$28)</f>
        <v>1</v>
      </c>
      <c r="M50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CUSTOS!$M$28)</f>
        <v>0.94720875090633405</v>
      </c>
      <c r="N50" s="13">
        <f ca="1">(+M50+O50+R50+U50+V50+W50+X50+Y50+Z50+AA50+AC50+AH50+AI50+AJ50+AK50)*CUSTOS!$M$5</f>
        <v>7.3354632524481485</v>
      </c>
      <c r="O50" s="13">
        <f>1 - CUSTOS!$M$28</f>
        <v>1</v>
      </c>
      <c r="P50" s="13">
        <f>1 - CUSTOS!$M$28</f>
        <v>1</v>
      </c>
      <c r="Q50" s="13">
        <f>1*(1 - CUSTOS!$M$28)</f>
        <v>1</v>
      </c>
      <c r="R50" s="13">
        <f>1 - CUSTOS!$M$28</f>
        <v>1</v>
      </c>
      <c r="S50" s="13">
        <f>1 - CUSTOS!$M$28</f>
        <v>1</v>
      </c>
      <c r="T50" s="13"/>
      <c r="U50" s="13">
        <f>TRANSICAO!$U$50*CUSTOS!$T$3</f>
        <v>73.835599999999999</v>
      </c>
      <c r="V50" s="13">
        <f>TRANSICAO!$V$50*CUSTOS!$T$3</f>
        <v>21.982500000000002</v>
      </c>
      <c r="W50" s="13">
        <f>TRANSICAO!$W$50*CUSTOS!$T$3</f>
        <v>1.1956</v>
      </c>
      <c r="X50" s="13">
        <f>TRANSICAO!$X$50*CUSTOS!$T$3</f>
        <v>0</v>
      </c>
      <c r="Y50" s="13">
        <f>TRANSICAO!$Y$50*CUSTOS!$T$3</f>
        <v>0</v>
      </c>
      <c r="Z50" s="13">
        <f>TRANSICAO!$Z$50*CUSTOS!$T$3</f>
        <v>0</v>
      </c>
      <c r="AA50" s="13">
        <f>TRANSICAO!$AA$50*CUSTOS!$T$3</f>
        <v>0</v>
      </c>
      <c r="AB50" s="13">
        <f>TRANSICAO!$AB$50*CUSTOS!$T$3</f>
        <v>0</v>
      </c>
      <c r="AC50" s="13">
        <f>TRANSICAO!$AC$50*CUSTOS!$T$3</f>
        <v>454.63850000000002</v>
      </c>
      <c r="AD50" s="13">
        <f>TRANSICAO!$AD$50*CUSTOS!$T$3</f>
        <v>0</v>
      </c>
      <c r="AE50" s="13">
        <v>0</v>
      </c>
      <c r="AF50" s="13">
        <v>0</v>
      </c>
      <c r="AG50" s="13"/>
      <c r="AH50" s="13">
        <f>(1 - CUSTOS!$M$28)*87.9264</f>
        <v>87.926400000000001</v>
      </c>
      <c r="AI50" s="13">
        <f>(1 - CUSTOS!$M$28)*87.9264</f>
        <v>87.926400000000001</v>
      </c>
      <c r="AJ50" s="13">
        <f ca="1">$N$87*(1-CUSTOS!$M$28)</f>
        <v>1.5470582469541849</v>
      </c>
      <c r="AK50" s="13">
        <f t="shared" ca="1" si="1"/>
        <v>1.5470582469541849</v>
      </c>
      <c r="AL50" s="13"/>
      <c r="AM50" s="13"/>
      <c r="AP50" s="13">
        <f>IF((1 - CUSTOS!$M$28)&lt;&gt;0,1/(1 - CUSTOS!$M$28),1)</f>
        <v>1</v>
      </c>
    </row>
    <row r="51" spans="1:42" ht="11.25" customHeight="1" x14ac:dyDescent="0.3">
      <c r="A51" s="128"/>
      <c r="B51" s="128"/>
      <c r="C51" s="128"/>
      <c r="D51" s="128"/>
      <c r="E51" s="128"/>
      <c r="F51" s="128"/>
      <c r="G51" s="18" t="s">
        <v>90</v>
      </c>
      <c r="H51" s="18" t="s">
        <v>78</v>
      </c>
      <c r="I51" s="18">
        <f>'MERCADO TUSD'!$U$48</f>
        <v>0</v>
      </c>
      <c r="J51" s="15"/>
      <c r="L51" s="13">
        <f>1*(1 - CUSTOS!$M$28)</f>
        <v>1</v>
      </c>
      <c r="M51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CUSTOS!$M$28)</f>
        <v>0.94720875090633405</v>
      </c>
      <c r="N51" s="13">
        <f ca="1">(+M51+O51+R51+U51+V51+W51+X51+Y51+Z51+AA51+AC51+AH51+AI51+AJ51+AK51)*CUSTOS!$M$5</f>
        <v>5.1288542524481482</v>
      </c>
      <c r="O51" s="13">
        <f>1 - CUSTOS!$M$28</f>
        <v>1</v>
      </c>
      <c r="P51" s="13">
        <f>1 - CUSTOS!$M$28</f>
        <v>1</v>
      </c>
      <c r="Q51" s="13">
        <f>1*(1 - CUSTOS!$M$28)</f>
        <v>1</v>
      </c>
      <c r="R51" s="13">
        <f>1 - CUSTOS!$M$28</f>
        <v>1</v>
      </c>
      <c r="S51" s="13">
        <f>1 - CUSTOS!$M$28</f>
        <v>1</v>
      </c>
      <c r="T51" s="13"/>
      <c r="U51" s="13">
        <f>TRANSICAO!$U$51*CUSTOS!$T$3</f>
        <v>44.301400000000001</v>
      </c>
      <c r="V51" s="13">
        <f>TRANSICAO!$V$51*CUSTOS!$T$3</f>
        <v>13.189500000000001</v>
      </c>
      <c r="W51" s="13">
        <f>TRANSICAO!$W$51*CUSTOS!$T$3</f>
        <v>0.71730000000000005</v>
      </c>
      <c r="X51" s="13">
        <f>TRANSICAO!$X$51*CUSTOS!$T$3</f>
        <v>0</v>
      </c>
      <c r="Y51" s="13">
        <f>TRANSICAO!$Y$51*CUSTOS!$T$3</f>
        <v>0</v>
      </c>
      <c r="Z51" s="13">
        <f>TRANSICAO!$Z$51*CUSTOS!$T$3</f>
        <v>0</v>
      </c>
      <c r="AA51" s="13">
        <f>TRANSICAO!$AA$51*CUSTOS!$T$3</f>
        <v>0</v>
      </c>
      <c r="AB51" s="13">
        <f>TRANSICAO!$AB$51*CUSTOS!$T$3</f>
        <v>0</v>
      </c>
      <c r="AC51" s="13">
        <f>TRANSICAO!$AC$51*CUSTOS!$T$3</f>
        <v>272.78309999999999</v>
      </c>
      <c r="AD51" s="13">
        <f>TRANSICAO!$AD$51*CUSTOS!$T$3</f>
        <v>0</v>
      </c>
      <c r="AE51" s="13">
        <v>0</v>
      </c>
      <c r="AF51" s="13">
        <v>0</v>
      </c>
      <c r="AG51" s="13"/>
      <c r="AH51" s="13">
        <f>(1 - CUSTOS!$M$28)*87.9264</f>
        <v>87.926400000000001</v>
      </c>
      <c r="AI51" s="13">
        <f>(1 - CUSTOS!$M$28)*87.9264</f>
        <v>87.926400000000001</v>
      </c>
      <c r="AJ51" s="13">
        <f ca="1">$N$87*(1-CUSTOS!$M$28)</f>
        <v>1.5470582469541849</v>
      </c>
      <c r="AK51" s="13">
        <f t="shared" ca="1" si="1"/>
        <v>1.5470582469541849</v>
      </c>
      <c r="AL51" s="13"/>
      <c r="AM51" s="13"/>
      <c r="AP51" s="13">
        <f>IF((1 - CUSTOS!$M$28)&lt;&gt;0,1/(1 - CUSTOS!$M$28),1)</f>
        <v>1</v>
      </c>
    </row>
    <row r="52" spans="1:42" ht="11.25" customHeight="1" x14ac:dyDescent="0.3">
      <c r="A52" s="128"/>
      <c r="B52" s="128"/>
      <c r="C52" s="128"/>
      <c r="D52" s="128"/>
      <c r="E52" s="128"/>
      <c r="F52" s="128"/>
      <c r="G52" s="18" t="s">
        <v>80</v>
      </c>
      <c r="H52" s="18" t="s">
        <v>78</v>
      </c>
      <c r="I52" s="18">
        <f>'MERCADO TUSD'!$U$49</f>
        <v>0</v>
      </c>
      <c r="J52" s="15"/>
      <c r="L52" s="13">
        <f>1*(1 - CUSTOS!$M$28)</f>
        <v>1</v>
      </c>
      <c r="M52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CUSTOS!$M$28)</f>
        <v>0.94720875090633405</v>
      </c>
      <c r="N52" s="13">
        <f ca="1">(+M52+O52+R52+U52+V52+W52+X52+Y52+Z52+AA52+AC52+AH52+AI52+AJ52+AK52)*CUSTOS!$M$5</f>
        <v>2.922245252448147</v>
      </c>
      <c r="O52" s="13">
        <f>1 - CUSTOS!$M$28</f>
        <v>1</v>
      </c>
      <c r="P52" s="13">
        <f>1 - CUSTOS!$M$28</f>
        <v>1</v>
      </c>
      <c r="Q52" s="13">
        <f>1*(1 - CUSTOS!$M$28)</f>
        <v>1</v>
      </c>
      <c r="R52" s="13">
        <f>1 - CUSTOS!$M$28</f>
        <v>1</v>
      </c>
      <c r="S52" s="13">
        <f>1 - CUSTOS!$M$28</f>
        <v>1</v>
      </c>
      <c r="T52" s="13"/>
      <c r="U52" s="13">
        <f>TRANSICAO!$U$52*CUSTOS!$T$3</f>
        <v>14.767099999999999</v>
      </c>
      <c r="V52" s="13">
        <f>TRANSICAO!$V$52*CUSTOS!$T$3</f>
        <v>4.3964999999999996</v>
      </c>
      <c r="W52" s="13">
        <f>TRANSICAO!$W$52*CUSTOS!$T$3</f>
        <v>0.23910000000000001</v>
      </c>
      <c r="X52" s="13">
        <f>TRANSICAO!$X$52*CUSTOS!$T$3</f>
        <v>0</v>
      </c>
      <c r="Y52" s="13">
        <f>TRANSICAO!$Y$52*CUSTOS!$T$3</f>
        <v>0</v>
      </c>
      <c r="Z52" s="13">
        <f>TRANSICAO!$Z$52*CUSTOS!$T$3</f>
        <v>0</v>
      </c>
      <c r="AA52" s="13">
        <f>TRANSICAO!$AA$52*CUSTOS!$T$3</f>
        <v>0</v>
      </c>
      <c r="AB52" s="13">
        <f>TRANSICAO!$AB$52*CUSTOS!$T$3</f>
        <v>0</v>
      </c>
      <c r="AC52" s="13">
        <f>TRANSICAO!$AC$52*CUSTOS!$T$3</f>
        <v>90.927700000000002</v>
      </c>
      <c r="AD52" s="13">
        <f>TRANSICAO!$AD$52*CUSTOS!$T$3</f>
        <v>0</v>
      </c>
      <c r="AE52" s="13">
        <v>0</v>
      </c>
      <c r="AF52" s="13">
        <v>0</v>
      </c>
      <c r="AG52" s="13"/>
      <c r="AH52" s="13">
        <f>(1 - CUSTOS!$M$28)*87.9264</f>
        <v>87.926400000000001</v>
      </c>
      <c r="AI52" s="13">
        <f>(1 - CUSTOS!$M$28)*87.9264</f>
        <v>87.926400000000001</v>
      </c>
      <c r="AJ52" s="13">
        <f ca="1">$N$87*(1-CUSTOS!$M$28)</f>
        <v>1.5470582469541849</v>
      </c>
      <c r="AK52" s="13">
        <f t="shared" ca="1" si="1"/>
        <v>1.5470582469541849</v>
      </c>
      <c r="AL52" s="13"/>
      <c r="AM52" s="13"/>
      <c r="AP52" s="13">
        <f>IF((1 - CUSTOS!$M$28)&lt;&gt;0,1/(1 - CUSTOS!$M$28),1)</f>
        <v>1</v>
      </c>
    </row>
    <row r="53" spans="1:42" ht="11.25" customHeight="1" x14ac:dyDescent="0.3">
      <c r="A53" s="128"/>
      <c r="B53" s="17" t="s">
        <v>23</v>
      </c>
      <c r="C53" s="17" t="s">
        <v>45</v>
      </c>
      <c r="D53" s="17" t="s">
        <v>25</v>
      </c>
      <c r="E53" s="17" t="s">
        <v>25</v>
      </c>
      <c r="F53" s="17" t="s">
        <v>25</v>
      </c>
      <c r="G53" s="18" t="s">
        <v>84</v>
      </c>
      <c r="H53" s="18" t="s">
        <v>78</v>
      </c>
      <c r="I53" s="18">
        <f>'MERCADO TUSD'!$U$50</f>
        <v>3773.6869999999999</v>
      </c>
      <c r="J53" s="15"/>
      <c r="L53" s="13">
        <f>1*(1 - CUSTOS!$M$28)</f>
        <v>1</v>
      </c>
      <c r="M53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CUSTOS!$M$28)</f>
        <v>0.94720875090633405</v>
      </c>
      <c r="N53" s="13">
        <f ca="1">(+M53+O53+R53+U53+V53+W53+X53+Y53+Z53+AA53+AC53+AH53+AI53+AJ53+AK53)*CUSTOS!$M$5</f>
        <v>3.6889482524481467</v>
      </c>
      <c r="O53" s="13">
        <f>1 - CUSTOS!$M$28</f>
        <v>1</v>
      </c>
      <c r="P53" s="13">
        <f>1 - CUSTOS!$M$28</f>
        <v>1</v>
      </c>
      <c r="Q53" s="13">
        <f>1*(1 - CUSTOS!$M$28)</f>
        <v>1</v>
      </c>
      <c r="R53" s="13">
        <f>1 - CUSTOS!$M$28</f>
        <v>1</v>
      </c>
      <c r="S53" s="13">
        <f>1 - CUSTOS!$M$28</f>
        <v>1</v>
      </c>
      <c r="T53" s="13"/>
      <c r="U53" s="13">
        <f>TRANSICAO!$U$53*CUSTOS!$T$3</f>
        <v>25.029</v>
      </c>
      <c r="V53" s="13">
        <f>TRANSICAO!$V$53*CUSTOS!$T$3</f>
        <v>7.4516999999999998</v>
      </c>
      <c r="W53" s="13">
        <f>TRANSICAO!$W$53*CUSTOS!$T$3</f>
        <v>0.40529999999999999</v>
      </c>
      <c r="X53" s="13">
        <f>TRANSICAO!$X$53*CUSTOS!$T$3</f>
        <v>0</v>
      </c>
      <c r="Y53" s="13">
        <f>TRANSICAO!$Y$53*CUSTOS!$T$3</f>
        <v>0</v>
      </c>
      <c r="Z53" s="13">
        <f>TRANSICAO!$Z$53*CUSTOS!$T$3</f>
        <v>0</v>
      </c>
      <c r="AA53" s="13">
        <f>TRANSICAO!$AA$53*CUSTOS!$T$3</f>
        <v>0</v>
      </c>
      <c r="AB53" s="13">
        <f>TRANSICAO!$AB$53*CUSTOS!$T$3</f>
        <v>0</v>
      </c>
      <c r="AC53" s="13">
        <f>TRANSICAO!$AC$53*CUSTOS!$T$3</f>
        <v>154.1147</v>
      </c>
      <c r="AD53" s="13">
        <f>TRANSICAO!$AD$53*CUSTOS!$T$3</f>
        <v>0</v>
      </c>
      <c r="AE53" s="13">
        <v>0</v>
      </c>
      <c r="AF53" s="13">
        <v>0</v>
      </c>
      <c r="AG53" s="13"/>
      <c r="AH53" s="13">
        <f>(1 - CUSTOS!$M$28)*87.9264</f>
        <v>87.926400000000001</v>
      </c>
      <c r="AI53" s="13">
        <f>(1 - CUSTOS!$M$28)*87.9264</f>
        <v>87.926400000000001</v>
      </c>
      <c r="AJ53" s="13">
        <f ca="1">$N$87*(1-CUSTOS!$M$28)</f>
        <v>1.5470582469541849</v>
      </c>
      <c r="AK53" s="13">
        <f t="shared" ca="1" si="1"/>
        <v>1.5470582469541849</v>
      </c>
      <c r="AL53" s="13"/>
      <c r="AM53" s="13"/>
      <c r="AP53" s="13">
        <f>IF((1 - CUSTOS!$M$28)&lt;&gt;0,1/(1 - CUSTOS!$M$28),1)</f>
        <v>1</v>
      </c>
    </row>
    <row r="54" spans="1:42" ht="11.25" customHeight="1" x14ac:dyDescent="0.3">
      <c r="A54" s="128"/>
      <c r="B54" s="128" t="s">
        <v>33</v>
      </c>
      <c r="C54" s="128" t="s">
        <v>45</v>
      </c>
      <c r="D54" s="128" t="s">
        <v>93</v>
      </c>
      <c r="E54" s="128" t="s">
        <v>25</v>
      </c>
      <c r="F54" s="128" t="s">
        <v>25</v>
      </c>
      <c r="G54" s="18" t="s">
        <v>79</v>
      </c>
      <c r="H54" s="18" t="s">
        <v>78</v>
      </c>
      <c r="I54" s="18">
        <f>'MERCADO TUSD'!$U$51</f>
        <v>0</v>
      </c>
      <c r="J54" s="15"/>
      <c r="L54" s="13">
        <f>1*(1 - CUSTOS!$M$29)</f>
        <v>1</v>
      </c>
      <c r="M54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CUSTOS!$M$29)</f>
        <v>0.94720875090633405</v>
      </c>
      <c r="N54" s="13">
        <f ca="1">(+M54+O54+R54+U54+V54+W54+X54+Y54+Z54+AA54+AC54+AH54+AI54+AJ54+AK54)*CUSTOS!$M$5</f>
        <v>7.3354632524481485</v>
      </c>
      <c r="O54" s="13">
        <f>1 - CUSTOS!$M$29</f>
        <v>1</v>
      </c>
      <c r="P54" s="13">
        <f>1 - CUSTOS!$M$29</f>
        <v>1</v>
      </c>
      <c r="Q54" s="13">
        <f>1*(1 - CUSTOS!$M$29)</f>
        <v>1</v>
      </c>
      <c r="R54" s="13">
        <f>1 - CUSTOS!$M$29</f>
        <v>1</v>
      </c>
      <c r="S54" s="13">
        <f>1 - CUSTOS!$M$29</f>
        <v>1</v>
      </c>
      <c r="T54" s="13"/>
      <c r="U54" s="13">
        <f>TRANSICAO!$U$54*CUSTOS!$T$3</f>
        <v>73.835599999999999</v>
      </c>
      <c r="V54" s="13">
        <f>TRANSICAO!$V$54*CUSTOS!$T$3</f>
        <v>21.982500000000002</v>
      </c>
      <c r="W54" s="13">
        <f>TRANSICAO!$W$54*CUSTOS!$T$3</f>
        <v>1.1956</v>
      </c>
      <c r="X54" s="13">
        <f>TRANSICAO!$X$54*CUSTOS!$T$3</f>
        <v>0</v>
      </c>
      <c r="Y54" s="13">
        <f>TRANSICAO!$Y$54*CUSTOS!$T$3</f>
        <v>0</v>
      </c>
      <c r="Z54" s="13">
        <f>TRANSICAO!$Z$54*CUSTOS!$T$3</f>
        <v>0</v>
      </c>
      <c r="AA54" s="13">
        <f>TRANSICAO!$AA$54*CUSTOS!$T$3</f>
        <v>0</v>
      </c>
      <c r="AB54" s="13">
        <f>TRANSICAO!$AB$54*CUSTOS!$T$3</f>
        <v>0</v>
      </c>
      <c r="AC54" s="13">
        <f>TRANSICAO!$AC$54*CUSTOS!$T$3</f>
        <v>454.63850000000002</v>
      </c>
      <c r="AD54" s="13">
        <f>TRANSICAO!$AD$54*CUSTOS!$T$3</f>
        <v>0</v>
      </c>
      <c r="AE54" s="13">
        <v>0</v>
      </c>
      <c r="AF54" s="13">
        <v>0</v>
      </c>
      <c r="AG54" s="13"/>
      <c r="AH54" s="13">
        <f>(1 - CUSTOS!$M$29)*87.9264</f>
        <v>87.926400000000001</v>
      </c>
      <c r="AI54" s="13">
        <f>(1 - CUSTOS!$M$29)*87.9264</f>
        <v>87.926400000000001</v>
      </c>
      <c r="AJ54" s="13">
        <f ca="1">$N$87*(1-CUSTOS!$M$29)</f>
        <v>1.5470582469541849</v>
      </c>
      <c r="AK54" s="13">
        <f t="shared" ca="1" si="1"/>
        <v>1.5470582469541849</v>
      </c>
      <c r="AL54" s="13"/>
      <c r="AM54" s="13"/>
      <c r="AP54" s="13">
        <f>IF((1 - CUSTOS!$M$29)&lt;&gt;0,1/(1 - CUSTOS!$M$29),1)</f>
        <v>1</v>
      </c>
    </row>
    <row r="55" spans="1:42" ht="11.25" customHeight="1" x14ac:dyDescent="0.3">
      <c r="A55" s="128"/>
      <c r="B55" s="128"/>
      <c r="C55" s="128"/>
      <c r="D55" s="128"/>
      <c r="E55" s="128"/>
      <c r="F55" s="128"/>
      <c r="G55" s="18" t="s">
        <v>90</v>
      </c>
      <c r="H55" s="18" t="s">
        <v>78</v>
      </c>
      <c r="I55" s="18">
        <f>'MERCADO TUSD'!$U$52</f>
        <v>0</v>
      </c>
      <c r="J55" s="15"/>
      <c r="L55" s="13">
        <f>1*(1 - CUSTOS!$M$29)</f>
        <v>1</v>
      </c>
      <c r="M55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CUSTOS!$M$29)</f>
        <v>0.94720875090633405</v>
      </c>
      <c r="N55" s="13">
        <f ca="1">(+M55+O55+R55+U55+V55+W55+X55+Y55+Z55+AA55+AC55+AH55+AI55+AJ55+AK55)*CUSTOS!$M$5</f>
        <v>5.1288542524481482</v>
      </c>
      <c r="O55" s="13">
        <f>1 - CUSTOS!$M$29</f>
        <v>1</v>
      </c>
      <c r="P55" s="13">
        <f>1 - CUSTOS!$M$29</f>
        <v>1</v>
      </c>
      <c r="Q55" s="13">
        <f>1*(1 - CUSTOS!$M$29)</f>
        <v>1</v>
      </c>
      <c r="R55" s="13">
        <f>1 - CUSTOS!$M$29</f>
        <v>1</v>
      </c>
      <c r="S55" s="13">
        <f>1 - CUSTOS!$M$29</f>
        <v>1</v>
      </c>
      <c r="T55" s="13"/>
      <c r="U55" s="13">
        <f>TRANSICAO!$U$55*CUSTOS!$T$3</f>
        <v>44.301400000000001</v>
      </c>
      <c r="V55" s="13">
        <f>TRANSICAO!$V$55*CUSTOS!$T$3</f>
        <v>13.189500000000001</v>
      </c>
      <c r="W55" s="13">
        <f>TRANSICAO!$W$55*CUSTOS!$T$3</f>
        <v>0.71730000000000005</v>
      </c>
      <c r="X55" s="13">
        <f>TRANSICAO!$X$55*CUSTOS!$T$3</f>
        <v>0</v>
      </c>
      <c r="Y55" s="13">
        <f>TRANSICAO!$Y$55*CUSTOS!$T$3</f>
        <v>0</v>
      </c>
      <c r="Z55" s="13">
        <f>TRANSICAO!$Z$55*CUSTOS!$T$3</f>
        <v>0</v>
      </c>
      <c r="AA55" s="13">
        <f>TRANSICAO!$AA$55*CUSTOS!$T$3</f>
        <v>0</v>
      </c>
      <c r="AB55" s="13">
        <f>TRANSICAO!$AB$55*CUSTOS!$T$3</f>
        <v>0</v>
      </c>
      <c r="AC55" s="13">
        <f>TRANSICAO!$AC$55*CUSTOS!$T$3</f>
        <v>272.78309999999999</v>
      </c>
      <c r="AD55" s="13">
        <f>TRANSICAO!$AD$55*CUSTOS!$T$3</f>
        <v>0</v>
      </c>
      <c r="AE55" s="13">
        <v>0</v>
      </c>
      <c r="AF55" s="13">
        <v>0</v>
      </c>
      <c r="AG55" s="13"/>
      <c r="AH55" s="13">
        <f>(1 - CUSTOS!$M$29)*87.9264</f>
        <v>87.926400000000001</v>
      </c>
      <c r="AI55" s="13">
        <f>(1 - CUSTOS!$M$29)*87.9264</f>
        <v>87.926400000000001</v>
      </c>
      <c r="AJ55" s="13">
        <f ca="1">$N$87*(1-CUSTOS!$M$29)</f>
        <v>1.5470582469541849</v>
      </c>
      <c r="AK55" s="13">
        <f t="shared" ca="1" si="1"/>
        <v>1.5470582469541849</v>
      </c>
      <c r="AL55" s="13"/>
      <c r="AM55" s="13"/>
      <c r="AP55" s="13">
        <f>IF((1 - CUSTOS!$M$29)&lt;&gt;0,1/(1 - CUSTOS!$M$29),1)</f>
        <v>1</v>
      </c>
    </row>
    <row r="56" spans="1:42" ht="11.25" customHeight="1" x14ac:dyDescent="0.3">
      <c r="A56" s="128"/>
      <c r="B56" s="128"/>
      <c r="C56" s="128"/>
      <c r="D56" s="128"/>
      <c r="E56" s="128"/>
      <c r="F56" s="128"/>
      <c r="G56" s="18" t="s">
        <v>80</v>
      </c>
      <c r="H56" s="18" t="s">
        <v>78</v>
      </c>
      <c r="I56" s="18">
        <f>'MERCADO TUSD'!$U$53</f>
        <v>0</v>
      </c>
      <c r="J56" s="15"/>
      <c r="L56" s="13">
        <f>1*(1 - CUSTOS!$M$29)</f>
        <v>1</v>
      </c>
      <c r="M56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CUSTOS!$M$29)</f>
        <v>0.94720875090633405</v>
      </c>
      <c r="N56" s="13">
        <f ca="1">(+M56+O56+R56+U56+V56+W56+X56+Y56+Z56+AA56+AC56+AH56+AI56+AJ56+AK56)*CUSTOS!$M$5</f>
        <v>2.922245252448147</v>
      </c>
      <c r="O56" s="13">
        <f>1 - CUSTOS!$M$29</f>
        <v>1</v>
      </c>
      <c r="P56" s="13">
        <f>1 - CUSTOS!$M$29</f>
        <v>1</v>
      </c>
      <c r="Q56" s="13">
        <f>1*(1 - CUSTOS!$M$29)</f>
        <v>1</v>
      </c>
      <c r="R56" s="13">
        <f>1 - CUSTOS!$M$29</f>
        <v>1</v>
      </c>
      <c r="S56" s="13">
        <f>1 - CUSTOS!$M$29</f>
        <v>1</v>
      </c>
      <c r="T56" s="13"/>
      <c r="U56" s="13">
        <f>TRANSICAO!$U$56*CUSTOS!$T$3</f>
        <v>14.767099999999999</v>
      </c>
      <c r="V56" s="13">
        <f>TRANSICAO!$V$56*CUSTOS!$T$3</f>
        <v>4.3964999999999996</v>
      </c>
      <c r="W56" s="13">
        <f>TRANSICAO!$W$56*CUSTOS!$T$3</f>
        <v>0.23910000000000001</v>
      </c>
      <c r="X56" s="13">
        <f>TRANSICAO!$X$56*CUSTOS!$T$3</f>
        <v>0</v>
      </c>
      <c r="Y56" s="13">
        <f>TRANSICAO!$Y$56*CUSTOS!$T$3</f>
        <v>0</v>
      </c>
      <c r="Z56" s="13">
        <f>TRANSICAO!$Z$56*CUSTOS!$T$3</f>
        <v>0</v>
      </c>
      <c r="AA56" s="13">
        <f>TRANSICAO!$AA$56*CUSTOS!$T$3</f>
        <v>0</v>
      </c>
      <c r="AB56" s="13">
        <f>TRANSICAO!$AB$56*CUSTOS!$T$3</f>
        <v>0</v>
      </c>
      <c r="AC56" s="13">
        <f>TRANSICAO!$AC$56*CUSTOS!$T$3</f>
        <v>90.927700000000002</v>
      </c>
      <c r="AD56" s="13">
        <f>TRANSICAO!$AD$56*CUSTOS!$T$3</f>
        <v>0</v>
      </c>
      <c r="AE56" s="13">
        <v>0</v>
      </c>
      <c r="AF56" s="13">
        <v>0</v>
      </c>
      <c r="AG56" s="13"/>
      <c r="AH56" s="13">
        <f>(1 - CUSTOS!$M$29)*87.9264</f>
        <v>87.926400000000001</v>
      </c>
      <c r="AI56" s="13">
        <f>(1 - CUSTOS!$M$29)*87.9264</f>
        <v>87.926400000000001</v>
      </c>
      <c r="AJ56" s="13">
        <f ca="1">$N$87*(1-CUSTOS!$M$29)</f>
        <v>1.5470582469541849</v>
      </c>
      <c r="AK56" s="13">
        <f t="shared" ca="1" si="1"/>
        <v>1.5470582469541849</v>
      </c>
      <c r="AL56" s="13"/>
      <c r="AM56" s="13"/>
      <c r="AP56" s="13">
        <f>IF((1 - CUSTOS!$M$29)&lt;&gt;0,1/(1 - CUSTOS!$M$29),1)</f>
        <v>1</v>
      </c>
    </row>
    <row r="57" spans="1:42" ht="11.25" customHeight="1" x14ac:dyDescent="0.3">
      <c r="A57" s="128"/>
      <c r="B57" s="17" t="s">
        <v>23</v>
      </c>
      <c r="C57" s="17" t="s">
        <v>45</v>
      </c>
      <c r="D57" s="17" t="s">
        <v>93</v>
      </c>
      <c r="E57" s="17" t="s">
        <v>25</v>
      </c>
      <c r="F57" s="17" t="s">
        <v>25</v>
      </c>
      <c r="G57" s="18" t="s">
        <v>84</v>
      </c>
      <c r="H57" s="18" t="s">
        <v>78</v>
      </c>
      <c r="I57" s="18">
        <f>'MERCADO TUSD'!$U$54</f>
        <v>0</v>
      </c>
      <c r="J57" s="15"/>
      <c r="L57" s="13">
        <f>1*(1 - CUSTOS!$M$29)</f>
        <v>1</v>
      </c>
      <c r="M57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CUSTOS!$M$29)</f>
        <v>0.94720875090633405</v>
      </c>
      <c r="N57" s="13">
        <f ca="1">(+M57+O57+R57+U57+V57+W57+X57+Y57+Z57+AA57+AC57+AH57+AI57+AJ57+AK57)*CUSTOS!$M$5</f>
        <v>3.6889482524481467</v>
      </c>
      <c r="O57" s="13">
        <f>1 - CUSTOS!$M$29</f>
        <v>1</v>
      </c>
      <c r="P57" s="13">
        <f>1 - CUSTOS!$M$29</f>
        <v>1</v>
      </c>
      <c r="Q57" s="13">
        <f>1*(1 - CUSTOS!$M$29)</f>
        <v>1</v>
      </c>
      <c r="R57" s="13">
        <f>1 - CUSTOS!$M$29</f>
        <v>1</v>
      </c>
      <c r="S57" s="13">
        <f>1 - CUSTOS!$M$29</f>
        <v>1</v>
      </c>
      <c r="T57" s="13"/>
      <c r="U57" s="13">
        <f>TRANSICAO!$U$57*CUSTOS!$T$3</f>
        <v>25.029</v>
      </c>
      <c r="V57" s="13">
        <f>TRANSICAO!$V$57*CUSTOS!$T$3</f>
        <v>7.4516999999999998</v>
      </c>
      <c r="W57" s="13">
        <f>TRANSICAO!$W$57*CUSTOS!$T$3</f>
        <v>0.40529999999999999</v>
      </c>
      <c r="X57" s="13">
        <f>TRANSICAO!$X$57*CUSTOS!$T$3</f>
        <v>0</v>
      </c>
      <c r="Y57" s="13">
        <f>TRANSICAO!$Y$57*CUSTOS!$T$3</f>
        <v>0</v>
      </c>
      <c r="Z57" s="13">
        <f>TRANSICAO!$Z$57*CUSTOS!$T$3</f>
        <v>0</v>
      </c>
      <c r="AA57" s="13">
        <f>TRANSICAO!$AA$57*CUSTOS!$T$3</f>
        <v>0</v>
      </c>
      <c r="AB57" s="13">
        <f>TRANSICAO!$AB$57*CUSTOS!$T$3</f>
        <v>0</v>
      </c>
      <c r="AC57" s="13">
        <f>TRANSICAO!$AC$57*CUSTOS!$T$3</f>
        <v>154.1147</v>
      </c>
      <c r="AD57" s="13">
        <f>TRANSICAO!$AD$57*CUSTOS!$T$3</f>
        <v>0</v>
      </c>
      <c r="AE57" s="13">
        <v>0</v>
      </c>
      <c r="AF57" s="13">
        <v>0</v>
      </c>
      <c r="AG57" s="13"/>
      <c r="AH57" s="13">
        <f>(1 - CUSTOS!$M$29)*87.9264</f>
        <v>87.926400000000001</v>
      </c>
      <c r="AI57" s="13">
        <f>(1 - CUSTOS!$M$29)*87.9264</f>
        <v>87.926400000000001</v>
      </c>
      <c r="AJ57" s="13">
        <f ca="1">$N$87*(1-CUSTOS!$M$29)</f>
        <v>1.5470582469541849</v>
      </c>
      <c r="AK57" s="13">
        <f t="shared" ca="1" si="1"/>
        <v>1.5470582469541849</v>
      </c>
      <c r="AL57" s="13"/>
      <c r="AM57" s="13"/>
      <c r="AP57" s="13">
        <f>IF((1 - CUSTOS!$M$29)&lt;&gt;0,1/(1 - CUSTOS!$M$29),1)</f>
        <v>1</v>
      </c>
    </row>
    <row r="58" spans="1:42" ht="11.25" customHeight="1" x14ac:dyDescent="0.3">
      <c r="A58" s="128"/>
      <c r="B58" s="128" t="s">
        <v>33</v>
      </c>
      <c r="C58" s="128" t="s">
        <v>45</v>
      </c>
      <c r="D58" s="128" t="s">
        <v>94</v>
      </c>
      <c r="E58" s="128" t="s">
        <v>25</v>
      </c>
      <c r="F58" s="128" t="s">
        <v>25</v>
      </c>
      <c r="G58" s="18" t="s">
        <v>79</v>
      </c>
      <c r="H58" s="18" t="s">
        <v>78</v>
      </c>
      <c r="I58" s="18">
        <f>'MERCADO TUSD'!$U$55</f>
        <v>0</v>
      </c>
      <c r="J58" s="15"/>
      <c r="L58" s="13">
        <f>1*(1 - CUSTOS!$M$30)</f>
        <v>1</v>
      </c>
      <c r="M58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CUSTOS!$M$30)</f>
        <v>0.94720875090633405</v>
      </c>
      <c r="N58" s="13">
        <f ca="1">(+M58+O58+R58+U58+V58+W58+X58+Y58+Z58+AA58+AC58+AH58+AI58+AJ58+AK58)*CUSTOS!$M$5</f>
        <v>7.3354632524481485</v>
      </c>
      <c r="O58" s="13">
        <f>1 - CUSTOS!$M$30</f>
        <v>1</v>
      </c>
      <c r="P58" s="13">
        <f>1 - CUSTOS!$M$30</f>
        <v>1</v>
      </c>
      <c r="Q58" s="13">
        <f>1*(1 - CUSTOS!$M$30)</f>
        <v>1</v>
      </c>
      <c r="R58" s="13">
        <f>1 - CUSTOS!$M$30</f>
        <v>1</v>
      </c>
      <c r="S58" s="13">
        <f>1 - CUSTOS!$M$30</f>
        <v>1</v>
      </c>
      <c r="T58" s="13"/>
      <c r="U58" s="13">
        <f>TRANSICAO!$U$58*CUSTOS!$T$3</f>
        <v>73.835599999999999</v>
      </c>
      <c r="V58" s="13">
        <f>TRANSICAO!$V$58*CUSTOS!$T$3</f>
        <v>21.982500000000002</v>
      </c>
      <c r="W58" s="13">
        <f>TRANSICAO!$W$58*CUSTOS!$T$3</f>
        <v>1.1956</v>
      </c>
      <c r="X58" s="13">
        <f>TRANSICAO!$X$58*CUSTOS!$T$3</f>
        <v>0</v>
      </c>
      <c r="Y58" s="13">
        <f>TRANSICAO!$Y$58*CUSTOS!$T$3</f>
        <v>0</v>
      </c>
      <c r="Z58" s="13">
        <f>TRANSICAO!$Z$58*CUSTOS!$T$3</f>
        <v>0</v>
      </c>
      <c r="AA58" s="13">
        <f>TRANSICAO!$AA$58*CUSTOS!$T$3</f>
        <v>0</v>
      </c>
      <c r="AB58" s="13">
        <f>TRANSICAO!$AB$58*CUSTOS!$T$3</f>
        <v>0</v>
      </c>
      <c r="AC58" s="13">
        <f>TRANSICAO!$AC$58*CUSTOS!$T$3</f>
        <v>454.63850000000002</v>
      </c>
      <c r="AD58" s="13">
        <f>TRANSICAO!$AD$58*CUSTOS!$T$3</f>
        <v>0</v>
      </c>
      <c r="AE58" s="13">
        <v>0</v>
      </c>
      <c r="AF58" s="13">
        <v>0</v>
      </c>
      <c r="AG58" s="13"/>
      <c r="AH58" s="13">
        <f>(1 - CUSTOS!$M$30)*87.9264</f>
        <v>87.926400000000001</v>
      </c>
      <c r="AI58" s="13">
        <f>(1 - CUSTOS!$M$30)*87.9264</f>
        <v>87.926400000000001</v>
      </c>
      <c r="AJ58" s="13">
        <f ca="1">$N$87*(1-CUSTOS!$M$30)</f>
        <v>1.5470582469541849</v>
      </c>
      <c r="AK58" s="13">
        <f t="shared" ca="1" si="1"/>
        <v>1.5470582469541849</v>
      </c>
      <c r="AL58" s="13"/>
      <c r="AM58" s="13"/>
      <c r="AP58" s="13">
        <f>IF((1 - CUSTOS!$M$30)&lt;&gt;0,1/(1 - CUSTOS!$M$30),1)</f>
        <v>1</v>
      </c>
    </row>
    <row r="59" spans="1:42" ht="11.25" customHeight="1" x14ac:dyDescent="0.3">
      <c r="A59" s="128"/>
      <c r="B59" s="128"/>
      <c r="C59" s="128"/>
      <c r="D59" s="128"/>
      <c r="E59" s="128"/>
      <c r="F59" s="128"/>
      <c r="G59" s="18" t="s">
        <v>90</v>
      </c>
      <c r="H59" s="18" t="s">
        <v>78</v>
      </c>
      <c r="I59" s="18">
        <f>'MERCADO TUSD'!$U$56</f>
        <v>0</v>
      </c>
      <c r="J59" s="15"/>
      <c r="L59" s="13">
        <f>1*(1 - CUSTOS!$M$30)</f>
        <v>1</v>
      </c>
      <c r="M59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CUSTOS!$M$30)</f>
        <v>0.94720875090633405</v>
      </c>
      <c r="N59" s="13">
        <f ca="1">(+M59+O59+R59+U59+V59+W59+X59+Y59+Z59+AA59+AC59+AH59+AI59+AJ59+AK59)*CUSTOS!$M$5</f>
        <v>5.1288542524481482</v>
      </c>
      <c r="O59" s="13">
        <f>1 - CUSTOS!$M$30</f>
        <v>1</v>
      </c>
      <c r="P59" s="13">
        <f>1 - CUSTOS!$M$30</f>
        <v>1</v>
      </c>
      <c r="Q59" s="13">
        <f>1*(1 - CUSTOS!$M$30)</f>
        <v>1</v>
      </c>
      <c r="R59" s="13">
        <f>1 - CUSTOS!$M$30</f>
        <v>1</v>
      </c>
      <c r="S59" s="13">
        <f>1 - CUSTOS!$M$30</f>
        <v>1</v>
      </c>
      <c r="T59" s="13"/>
      <c r="U59" s="13">
        <f>TRANSICAO!$U$59*CUSTOS!$T$3</f>
        <v>44.301400000000001</v>
      </c>
      <c r="V59" s="13">
        <f>TRANSICAO!$V$59*CUSTOS!$T$3</f>
        <v>13.189500000000001</v>
      </c>
      <c r="W59" s="13">
        <f>TRANSICAO!$W$59*CUSTOS!$T$3</f>
        <v>0.71730000000000005</v>
      </c>
      <c r="X59" s="13">
        <f>TRANSICAO!$X$59*CUSTOS!$T$3</f>
        <v>0</v>
      </c>
      <c r="Y59" s="13">
        <f>TRANSICAO!$Y$59*CUSTOS!$T$3</f>
        <v>0</v>
      </c>
      <c r="Z59" s="13">
        <f>TRANSICAO!$Z$59*CUSTOS!$T$3</f>
        <v>0</v>
      </c>
      <c r="AA59" s="13">
        <f>TRANSICAO!$AA$59*CUSTOS!$T$3</f>
        <v>0</v>
      </c>
      <c r="AB59" s="13">
        <f>TRANSICAO!$AB$59*CUSTOS!$T$3</f>
        <v>0</v>
      </c>
      <c r="AC59" s="13">
        <f>TRANSICAO!$AC$59*CUSTOS!$T$3</f>
        <v>272.78309999999999</v>
      </c>
      <c r="AD59" s="13">
        <f>TRANSICAO!$AD$59*CUSTOS!$T$3</f>
        <v>0</v>
      </c>
      <c r="AE59" s="13">
        <v>0</v>
      </c>
      <c r="AF59" s="13">
        <v>0</v>
      </c>
      <c r="AG59" s="13"/>
      <c r="AH59" s="13">
        <f>(1 - CUSTOS!$M$30)*87.9264</f>
        <v>87.926400000000001</v>
      </c>
      <c r="AI59" s="13">
        <f>(1 - CUSTOS!$M$30)*87.9264</f>
        <v>87.926400000000001</v>
      </c>
      <c r="AJ59" s="13">
        <f ca="1">$N$87*(1-CUSTOS!$M$30)</f>
        <v>1.5470582469541849</v>
      </c>
      <c r="AK59" s="13">
        <f t="shared" ca="1" si="1"/>
        <v>1.5470582469541849</v>
      </c>
      <c r="AL59" s="13"/>
      <c r="AM59" s="13"/>
      <c r="AP59" s="13">
        <f>IF((1 - CUSTOS!$M$30)&lt;&gt;0,1/(1 - CUSTOS!$M$30),1)</f>
        <v>1</v>
      </c>
    </row>
    <row r="60" spans="1:42" ht="11.25" customHeight="1" x14ac:dyDescent="0.3">
      <c r="A60" s="128"/>
      <c r="B60" s="128"/>
      <c r="C60" s="128"/>
      <c r="D60" s="128"/>
      <c r="E60" s="128"/>
      <c r="F60" s="128"/>
      <c r="G60" s="18" t="s">
        <v>80</v>
      </c>
      <c r="H60" s="18" t="s">
        <v>78</v>
      </c>
      <c r="I60" s="18">
        <f>'MERCADO TUSD'!$U$57</f>
        <v>0</v>
      </c>
      <c r="J60" s="15"/>
      <c r="L60" s="13">
        <f>1*(1 - CUSTOS!$M$30)</f>
        <v>1</v>
      </c>
      <c r="M60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CUSTOS!$M$30)</f>
        <v>0.94720875090633405</v>
      </c>
      <c r="N60" s="13">
        <f ca="1">(+M60+O60+R60+U60+V60+W60+X60+Y60+Z60+AA60+AC60+AH60+AI60+AJ60+AK60)*CUSTOS!$M$5</f>
        <v>2.922245252448147</v>
      </c>
      <c r="O60" s="13">
        <f>1 - CUSTOS!$M$30</f>
        <v>1</v>
      </c>
      <c r="P60" s="13">
        <f>1 - CUSTOS!$M$30</f>
        <v>1</v>
      </c>
      <c r="Q60" s="13">
        <f>1*(1 - CUSTOS!$M$30)</f>
        <v>1</v>
      </c>
      <c r="R60" s="13">
        <f>1 - CUSTOS!$M$30</f>
        <v>1</v>
      </c>
      <c r="S60" s="13">
        <f>1 - CUSTOS!$M$30</f>
        <v>1</v>
      </c>
      <c r="T60" s="13"/>
      <c r="U60" s="13">
        <f>TRANSICAO!$U$60*CUSTOS!$T$3</f>
        <v>14.767099999999999</v>
      </c>
      <c r="V60" s="13">
        <f>TRANSICAO!$V$60*CUSTOS!$T$3</f>
        <v>4.3964999999999996</v>
      </c>
      <c r="W60" s="13">
        <f>TRANSICAO!$W$60*CUSTOS!$T$3</f>
        <v>0.23910000000000001</v>
      </c>
      <c r="X60" s="13">
        <f>TRANSICAO!$X$60*CUSTOS!$T$3</f>
        <v>0</v>
      </c>
      <c r="Y60" s="13">
        <f>TRANSICAO!$Y$60*CUSTOS!$T$3</f>
        <v>0</v>
      </c>
      <c r="Z60" s="13">
        <f>TRANSICAO!$Z$60*CUSTOS!$T$3</f>
        <v>0</v>
      </c>
      <c r="AA60" s="13">
        <f>TRANSICAO!$AA$60*CUSTOS!$T$3</f>
        <v>0</v>
      </c>
      <c r="AB60" s="13">
        <f>TRANSICAO!$AB$60*CUSTOS!$T$3</f>
        <v>0</v>
      </c>
      <c r="AC60" s="13">
        <f>TRANSICAO!$AC$60*CUSTOS!$T$3</f>
        <v>90.927700000000002</v>
      </c>
      <c r="AD60" s="13">
        <f>TRANSICAO!$AD$60*CUSTOS!$T$3</f>
        <v>0</v>
      </c>
      <c r="AE60" s="13">
        <v>0</v>
      </c>
      <c r="AF60" s="13">
        <v>0</v>
      </c>
      <c r="AG60" s="13"/>
      <c r="AH60" s="13">
        <f>(1 - CUSTOS!$M$30)*87.9264</f>
        <v>87.926400000000001</v>
      </c>
      <c r="AI60" s="13">
        <f>(1 - CUSTOS!$M$30)*87.9264</f>
        <v>87.926400000000001</v>
      </c>
      <c r="AJ60" s="13">
        <f ca="1">$N$87*(1-CUSTOS!$M$30)</f>
        <v>1.5470582469541849</v>
      </c>
      <c r="AK60" s="13">
        <f t="shared" ca="1" si="1"/>
        <v>1.5470582469541849</v>
      </c>
      <c r="AL60" s="13"/>
      <c r="AM60" s="13"/>
      <c r="AP60" s="13">
        <f>IF((1 - CUSTOS!$M$30)&lt;&gt;0,1/(1 - CUSTOS!$M$30),1)</f>
        <v>1</v>
      </c>
    </row>
    <row r="61" spans="1:42" ht="11.25" customHeight="1" x14ac:dyDescent="0.3">
      <c r="A61" s="128"/>
      <c r="B61" s="17" t="s">
        <v>23</v>
      </c>
      <c r="C61" s="17" t="s">
        <v>45</v>
      </c>
      <c r="D61" s="17" t="s">
        <v>94</v>
      </c>
      <c r="E61" s="17" t="s">
        <v>25</v>
      </c>
      <c r="F61" s="17" t="s">
        <v>25</v>
      </c>
      <c r="G61" s="18" t="s">
        <v>84</v>
      </c>
      <c r="H61" s="18" t="s">
        <v>78</v>
      </c>
      <c r="I61" s="18">
        <f>'MERCADO TUSD'!$U$58</f>
        <v>0</v>
      </c>
      <c r="J61" s="15"/>
      <c r="L61" s="13">
        <f>1*(1 - CUSTOS!$M$30)</f>
        <v>1</v>
      </c>
      <c r="M61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CUSTOS!$M$30)</f>
        <v>0.94720875090633405</v>
      </c>
      <c r="N61" s="13">
        <f ca="1">(+M61+O61+R61+U61+V61+W61+X61+Y61+Z61+AA61+AC61+AH61+AI61+AJ61+AK61)*CUSTOS!$M$5</f>
        <v>3.6889482524481467</v>
      </c>
      <c r="O61" s="13">
        <f>1 - CUSTOS!$M$30</f>
        <v>1</v>
      </c>
      <c r="P61" s="13">
        <f>1 - CUSTOS!$M$30</f>
        <v>1</v>
      </c>
      <c r="Q61" s="13">
        <f>1*(1 - CUSTOS!$M$30)</f>
        <v>1</v>
      </c>
      <c r="R61" s="13">
        <f>1 - CUSTOS!$M$30</f>
        <v>1</v>
      </c>
      <c r="S61" s="13">
        <f>1 - CUSTOS!$M$30</f>
        <v>1</v>
      </c>
      <c r="T61" s="13"/>
      <c r="U61" s="13">
        <f>TRANSICAO!$U$61*CUSTOS!$T$3</f>
        <v>25.029</v>
      </c>
      <c r="V61" s="13">
        <f>TRANSICAO!$V$61*CUSTOS!$T$3</f>
        <v>7.4516999999999998</v>
      </c>
      <c r="W61" s="13">
        <f>TRANSICAO!$W$61*CUSTOS!$T$3</f>
        <v>0.40529999999999999</v>
      </c>
      <c r="X61" s="13">
        <f>TRANSICAO!$X$61*CUSTOS!$T$3</f>
        <v>0</v>
      </c>
      <c r="Y61" s="13">
        <f>TRANSICAO!$Y$61*CUSTOS!$T$3</f>
        <v>0</v>
      </c>
      <c r="Z61" s="13">
        <f>TRANSICAO!$Z$61*CUSTOS!$T$3</f>
        <v>0</v>
      </c>
      <c r="AA61" s="13">
        <f>TRANSICAO!$AA$61*CUSTOS!$T$3</f>
        <v>0</v>
      </c>
      <c r="AB61" s="13">
        <f>TRANSICAO!$AB$61*CUSTOS!$T$3</f>
        <v>0</v>
      </c>
      <c r="AC61" s="13">
        <f>TRANSICAO!$AC$61*CUSTOS!$T$3</f>
        <v>154.1147</v>
      </c>
      <c r="AD61" s="13">
        <f>TRANSICAO!$AD$61*CUSTOS!$T$3</f>
        <v>0</v>
      </c>
      <c r="AE61" s="13">
        <v>0</v>
      </c>
      <c r="AF61" s="13">
        <v>0</v>
      </c>
      <c r="AG61" s="13"/>
      <c r="AH61" s="13">
        <f>(1 - CUSTOS!$M$30)*87.9264</f>
        <v>87.926400000000001</v>
      </c>
      <c r="AI61" s="13">
        <f>(1 - CUSTOS!$M$30)*87.9264</f>
        <v>87.926400000000001</v>
      </c>
      <c r="AJ61" s="13">
        <f ca="1">$N$87*(1-CUSTOS!$M$30)</f>
        <v>1.5470582469541849</v>
      </c>
      <c r="AK61" s="13">
        <f t="shared" ca="1" si="1"/>
        <v>1.5470582469541849</v>
      </c>
      <c r="AL61" s="13"/>
      <c r="AM61" s="13"/>
      <c r="AP61" s="13">
        <f>IF((1 - CUSTOS!$M$30)&lt;&gt;0,1/(1 - CUSTOS!$M$30),1)</f>
        <v>1</v>
      </c>
    </row>
    <row r="62" spans="1:42" ht="11.25" customHeight="1" x14ac:dyDescent="0.3">
      <c r="A62" s="128"/>
      <c r="B62" s="128" t="s">
        <v>92</v>
      </c>
      <c r="C62" s="128" t="s">
        <v>45</v>
      </c>
      <c r="D62" s="17" t="s">
        <v>25</v>
      </c>
      <c r="E62" s="17" t="s">
        <v>25</v>
      </c>
      <c r="F62" s="17" t="s">
        <v>25</v>
      </c>
      <c r="G62" s="18" t="s">
        <v>84</v>
      </c>
      <c r="H62" s="18" t="s">
        <v>78</v>
      </c>
      <c r="I62" s="18">
        <f>'MERCADO TUSD'!$U$59</f>
        <v>0</v>
      </c>
      <c r="J62" s="15"/>
      <c r="L62" s="13">
        <f>1*(1 - CUSTOS!$M$28)</f>
        <v>1</v>
      </c>
      <c r="M62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CUSTOS!$M$28)</f>
        <v>0.94720875090633405</v>
      </c>
      <c r="N62" s="13">
        <f ca="1">(+M62+O62+R62+U62+V62+W62+X62+Y62+Z62+AA62+AC62+AH62+AI62+AJ62+AK62)*CUSTOS!$M$5</f>
        <v>3.6889482524481467</v>
      </c>
      <c r="O62" s="13">
        <f>1 - CUSTOS!$M$28</f>
        <v>1</v>
      </c>
      <c r="P62" s="13">
        <f>1 - CUSTOS!$M$28</f>
        <v>1</v>
      </c>
      <c r="Q62" s="13">
        <f>1*(1 - CUSTOS!$M$28)</f>
        <v>1</v>
      </c>
      <c r="R62" s="13">
        <f>1 - CUSTOS!$M$28</f>
        <v>1</v>
      </c>
      <c r="S62" s="13">
        <f>1 - CUSTOS!$M$28</f>
        <v>1</v>
      </c>
      <c r="T62" s="13"/>
      <c r="U62" s="13">
        <f>TRANSICAO!$U$62*CUSTOS!$T$3</f>
        <v>25.029</v>
      </c>
      <c r="V62" s="13">
        <f>TRANSICAO!$V$62*CUSTOS!$T$3</f>
        <v>7.4516999999999998</v>
      </c>
      <c r="W62" s="13">
        <f>TRANSICAO!$W$62*CUSTOS!$T$3</f>
        <v>0.40529999999999999</v>
      </c>
      <c r="X62" s="13">
        <f>TRANSICAO!$X$62*CUSTOS!$T$3</f>
        <v>0</v>
      </c>
      <c r="Y62" s="13">
        <f>TRANSICAO!$Y$62*CUSTOS!$T$3</f>
        <v>0</v>
      </c>
      <c r="Z62" s="13">
        <f>TRANSICAO!$Z$62*CUSTOS!$T$3</f>
        <v>0</v>
      </c>
      <c r="AA62" s="13">
        <f>TRANSICAO!$AA$62*CUSTOS!$T$3</f>
        <v>0</v>
      </c>
      <c r="AB62" s="13">
        <f>TRANSICAO!$AB$62*CUSTOS!$T$3</f>
        <v>0</v>
      </c>
      <c r="AC62" s="13">
        <f>TRANSICAO!$AC$62*CUSTOS!$T$3</f>
        <v>154.1147</v>
      </c>
      <c r="AD62" s="13">
        <f>TRANSICAO!$AD$62*CUSTOS!$T$3</f>
        <v>0</v>
      </c>
      <c r="AE62" s="13">
        <v>0</v>
      </c>
      <c r="AF62" s="13">
        <v>0</v>
      </c>
      <c r="AG62" s="13"/>
      <c r="AH62" s="13">
        <f>(1 - CUSTOS!$M$28)*87.9264</f>
        <v>87.926400000000001</v>
      </c>
      <c r="AI62" s="13">
        <f>(1 - CUSTOS!$M$28)*87.9264</f>
        <v>87.926400000000001</v>
      </c>
      <c r="AJ62" s="13">
        <f ca="1">$N$87*(1-CUSTOS!$M$28)</f>
        <v>1.5470582469541849</v>
      </c>
      <c r="AK62" s="13">
        <f t="shared" ca="1" si="1"/>
        <v>1.5470582469541849</v>
      </c>
      <c r="AL62" s="13"/>
      <c r="AM62" s="13"/>
      <c r="AP62" s="13">
        <f>IF((1 - CUSTOS!$M$28)&lt;&gt;0,1/(1 - CUSTOS!$M$28),1)</f>
        <v>1</v>
      </c>
    </row>
    <row r="63" spans="1:42" ht="11.25" customHeight="1" x14ac:dyDescent="0.3">
      <c r="A63" s="128"/>
      <c r="B63" s="128"/>
      <c r="C63" s="128"/>
      <c r="D63" s="17" t="s">
        <v>93</v>
      </c>
      <c r="E63" s="17" t="s">
        <v>25</v>
      </c>
      <c r="F63" s="17" t="s">
        <v>25</v>
      </c>
      <c r="G63" s="18" t="s">
        <v>84</v>
      </c>
      <c r="H63" s="18" t="s">
        <v>78</v>
      </c>
      <c r="I63" s="18">
        <f>'MERCADO TUSD'!$U$60</f>
        <v>0</v>
      </c>
      <c r="J63" s="15"/>
      <c r="L63" s="13">
        <f>1*(1 - CUSTOS!$M$29)</f>
        <v>1</v>
      </c>
      <c r="M63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CUSTOS!$M$29)</f>
        <v>0.94720875090633405</v>
      </c>
      <c r="N63" s="13">
        <f ca="1">(+M63+O63+R63+U63+V63+W63+X63+Y63+Z63+AA63+AC63+AH63+AI63+AJ63+AK63)*CUSTOS!$M$5</f>
        <v>3.6889482524481467</v>
      </c>
      <c r="O63" s="13">
        <f>1 - CUSTOS!$M$29</f>
        <v>1</v>
      </c>
      <c r="P63" s="13">
        <f>1 - CUSTOS!$M$29</f>
        <v>1</v>
      </c>
      <c r="Q63" s="13">
        <f>1*(1 - CUSTOS!$M$29)</f>
        <v>1</v>
      </c>
      <c r="R63" s="13">
        <f>1 - CUSTOS!$M$29</f>
        <v>1</v>
      </c>
      <c r="S63" s="13">
        <f>1 - CUSTOS!$M$29</f>
        <v>1</v>
      </c>
      <c r="T63" s="13"/>
      <c r="U63" s="13">
        <f>TRANSICAO!$U$63*CUSTOS!$T$3</f>
        <v>25.029</v>
      </c>
      <c r="V63" s="13">
        <f>TRANSICAO!$V$63*CUSTOS!$T$3</f>
        <v>7.4516999999999998</v>
      </c>
      <c r="W63" s="13">
        <f>TRANSICAO!$W$63*CUSTOS!$T$3</f>
        <v>0.40529999999999999</v>
      </c>
      <c r="X63" s="13">
        <f>TRANSICAO!$X$63*CUSTOS!$T$3</f>
        <v>0</v>
      </c>
      <c r="Y63" s="13">
        <f>TRANSICAO!$Y$63*CUSTOS!$T$3</f>
        <v>0</v>
      </c>
      <c r="Z63" s="13">
        <f>TRANSICAO!$Z$63*CUSTOS!$T$3</f>
        <v>0</v>
      </c>
      <c r="AA63" s="13">
        <f>TRANSICAO!$AA$63*CUSTOS!$T$3</f>
        <v>0</v>
      </c>
      <c r="AB63" s="13">
        <f>TRANSICAO!$AB$63*CUSTOS!$T$3</f>
        <v>0</v>
      </c>
      <c r="AC63" s="13">
        <f>TRANSICAO!$AC$63*CUSTOS!$T$3</f>
        <v>154.1147</v>
      </c>
      <c r="AD63" s="13">
        <f>TRANSICAO!$AD$63*CUSTOS!$T$3</f>
        <v>0</v>
      </c>
      <c r="AE63" s="13">
        <v>0</v>
      </c>
      <c r="AF63" s="13">
        <v>0</v>
      </c>
      <c r="AG63" s="13"/>
      <c r="AH63" s="13">
        <f>(1 - CUSTOS!$M$29)*87.9264</f>
        <v>87.926400000000001</v>
      </c>
      <c r="AI63" s="13">
        <f>(1 - CUSTOS!$M$29)*87.9264</f>
        <v>87.926400000000001</v>
      </c>
      <c r="AJ63" s="13">
        <f ca="1">$N$87*(1-CUSTOS!$M$29)</f>
        <v>1.5470582469541849</v>
      </c>
      <c r="AK63" s="13">
        <f t="shared" ca="1" si="1"/>
        <v>1.5470582469541849</v>
      </c>
      <c r="AL63" s="13"/>
      <c r="AM63" s="13"/>
      <c r="AP63" s="13">
        <f>IF((1 - CUSTOS!$M$29)&lt;&gt;0,1/(1 - CUSTOS!$M$29),1)</f>
        <v>1</v>
      </c>
    </row>
    <row r="64" spans="1:42" ht="11.25" customHeight="1" x14ac:dyDescent="0.3">
      <c r="A64" s="128"/>
      <c r="B64" s="128"/>
      <c r="C64" s="128"/>
      <c r="D64" s="17" t="s">
        <v>94</v>
      </c>
      <c r="E64" s="17" t="s">
        <v>25</v>
      </c>
      <c r="F64" s="17" t="s">
        <v>25</v>
      </c>
      <c r="G64" s="18" t="s">
        <v>84</v>
      </c>
      <c r="H64" s="18" t="s">
        <v>78</v>
      </c>
      <c r="I64" s="18">
        <f>'MERCADO TUSD'!$U$61</f>
        <v>0</v>
      </c>
      <c r="J64" s="15"/>
      <c r="L64" s="13">
        <f>1*(1 - CUSTOS!$M$30)</f>
        <v>1</v>
      </c>
      <c r="M64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CUSTOS!$M$30)</f>
        <v>0.94720875090633405</v>
      </c>
      <c r="N64" s="13">
        <f ca="1">(+M64+O64+R64+U64+V64+W64+X64+Y64+Z64+AA64+AC64+AH64+AI64+AJ64+AK64)*CUSTOS!$M$5</f>
        <v>3.6889482524481467</v>
      </c>
      <c r="O64" s="13">
        <f>1 - CUSTOS!$M$30</f>
        <v>1</v>
      </c>
      <c r="P64" s="13">
        <f>1 - CUSTOS!$M$30</f>
        <v>1</v>
      </c>
      <c r="Q64" s="13">
        <f>1*(1 - CUSTOS!$M$30)</f>
        <v>1</v>
      </c>
      <c r="R64" s="13">
        <f>1 - CUSTOS!$M$30</f>
        <v>1</v>
      </c>
      <c r="S64" s="13">
        <f>1 - CUSTOS!$M$30</f>
        <v>1</v>
      </c>
      <c r="T64" s="13"/>
      <c r="U64" s="13">
        <f>TRANSICAO!$U$64*CUSTOS!$T$3</f>
        <v>25.029</v>
      </c>
      <c r="V64" s="13">
        <f>TRANSICAO!$V$64*CUSTOS!$T$3</f>
        <v>7.4516999999999998</v>
      </c>
      <c r="W64" s="13">
        <f>TRANSICAO!$W$64*CUSTOS!$T$3</f>
        <v>0.40529999999999999</v>
      </c>
      <c r="X64" s="13">
        <f>TRANSICAO!$X$64*CUSTOS!$T$3</f>
        <v>0</v>
      </c>
      <c r="Y64" s="13">
        <f>TRANSICAO!$Y$64*CUSTOS!$T$3</f>
        <v>0</v>
      </c>
      <c r="Z64" s="13">
        <f>TRANSICAO!$Z$64*CUSTOS!$T$3</f>
        <v>0</v>
      </c>
      <c r="AA64" s="13">
        <f>TRANSICAO!$AA$64*CUSTOS!$T$3</f>
        <v>0</v>
      </c>
      <c r="AB64" s="13">
        <f>TRANSICAO!$AB$64*CUSTOS!$T$3</f>
        <v>0</v>
      </c>
      <c r="AC64" s="13">
        <f>TRANSICAO!$AC$64*CUSTOS!$T$3</f>
        <v>154.1147</v>
      </c>
      <c r="AD64" s="13">
        <f>TRANSICAO!$AD$64*CUSTOS!$T$3</f>
        <v>0</v>
      </c>
      <c r="AE64" s="13">
        <v>0</v>
      </c>
      <c r="AF64" s="13">
        <v>0</v>
      </c>
      <c r="AG64" s="13"/>
      <c r="AH64" s="13">
        <f>(1 - CUSTOS!$M$30)*87.9264</f>
        <v>87.926400000000001</v>
      </c>
      <c r="AI64" s="13">
        <f>(1 - CUSTOS!$M$30)*87.9264</f>
        <v>87.926400000000001</v>
      </c>
      <c r="AJ64" s="13">
        <f ca="1">$N$87*(1-CUSTOS!$M$30)</f>
        <v>1.5470582469541849</v>
      </c>
      <c r="AK64" s="13">
        <f t="shared" ca="1" si="1"/>
        <v>1.5470582469541849</v>
      </c>
      <c r="AL64" s="13"/>
      <c r="AM64" s="13"/>
      <c r="AP64" s="13">
        <f>IF((1 - CUSTOS!$M$30)&lt;&gt;0,1/(1 - CUSTOS!$M$30),1)</f>
        <v>1</v>
      </c>
    </row>
    <row r="65" spans="1:42" ht="11.25" customHeight="1" x14ac:dyDescent="0.3">
      <c r="A65" s="128" t="s">
        <v>37</v>
      </c>
      <c r="B65" s="128" t="s">
        <v>33</v>
      </c>
      <c r="C65" s="128" t="s">
        <v>25</v>
      </c>
      <c r="D65" s="128" t="s">
        <v>25</v>
      </c>
      <c r="E65" s="128" t="s">
        <v>25</v>
      </c>
      <c r="F65" s="128" t="s">
        <v>25</v>
      </c>
      <c r="G65" s="18" t="s">
        <v>79</v>
      </c>
      <c r="H65" s="18" t="s">
        <v>78</v>
      </c>
      <c r="I65" s="18">
        <f>'MERCADO TUSD'!$U$62</f>
        <v>22.301000000000002</v>
      </c>
      <c r="J65" s="15"/>
      <c r="L65" s="13">
        <f>1*(1 - CUSTOS!$M$31)</f>
        <v>1</v>
      </c>
      <c r="M65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CUSTOS!$M$31)</f>
        <v>0.94720875090633405</v>
      </c>
      <c r="N65" s="13">
        <f ca="1">(+M65+O65+R65+U65+V65+W65+X65+Y65+Z65+AA65+AC65+AH65+AI65+AJ65+AK65)*CUSTOS!$M$5</f>
        <v>7.9899662524481485</v>
      </c>
      <c r="O65" s="13">
        <f>1 - CUSTOS!$M$31</f>
        <v>1</v>
      </c>
      <c r="P65" s="13">
        <f>1 - CUSTOS!$M$31</f>
        <v>1</v>
      </c>
      <c r="Q65" s="13">
        <f>1*(1 - CUSTOS!$M$31)</f>
        <v>1</v>
      </c>
      <c r="R65" s="13">
        <f>1 - CUSTOS!$M$31</f>
        <v>1</v>
      </c>
      <c r="S65" s="13">
        <f>1 - CUSTOS!$M$31</f>
        <v>1</v>
      </c>
      <c r="T65" s="13"/>
      <c r="U65" s="13">
        <f>TRANSICAO!$U$65*CUSTOS!$T$3</f>
        <v>82.595799999999997</v>
      </c>
      <c r="V65" s="13">
        <f>TRANSICAO!$V$65*CUSTOS!$T$3</f>
        <v>24.590599999999998</v>
      </c>
      <c r="W65" s="13">
        <f>TRANSICAO!$W$65*CUSTOS!$T$3</f>
        <v>1.3373999999999999</v>
      </c>
      <c r="X65" s="13">
        <f>TRANSICAO!$X$65*CUSTOS!$T$3</f>
        <v>0</v>
      </c>
      <c r="Y65" s="13">
        <f>TRANSICAO!$Y$65*CUSTOS!$T$3</f>
        <v>0</v>
      </c>
      <c r="Z65" s="13">
        <f>TRANSICAO!$Z$65*CUSTOS!$T$3</f>
        <v>0</v>
      </c>
      <c r="AA65" s="13">
        <f>TRANSICAO!$AA$65*CUSTOS!$T$3</f>
        <v>0</v>
      </c>
      <c r="AB65" s="13">
        <f>TRANSICAO!$AB$65*CUSTOS!$T$3</f>
        <v>0</v>
      </c>
      <c r="AC65" s="13">
        <f>TRANSICAO!$AC$65*CUSTOS!$T$3</f>
        <v>508.57870000000003</v>
      </c>
      <c r="AD65" s="13">
        <f>TRANSICAO!$AD$65*CUSTOS!$T$3</f>
        <v>0</v>
      </c>
      <c r="AE65" s="13">
        <v>0</v>
      </c>
      <c r="AF65" s="13">
        <v>0</v>
      </c>
      <c r="AG65" s="13"/>
      <c r="AH65" s="13">
        <f>(1 - CUSTOS!$M$31)*87.9264</f>
        <v>87.926400000000001</v>
      </c>
      <c r="AI65" s="13">
        <f>(1 - CUSTOS!$M$31)*87.9264</f>
        <v>87.926400000000001</v>
      </c>
      <c r="AJ65" s="13">
        <f ca="1">$N$87*(1-CUSTOS!$M$31)</f>
        <v>1.5470582469541849</v>
      </c>
      <c r="AK65" s="13">
        <f t="shared" ca="1" si="1"/>
        <v>1.5470582469541849</v>
      </c>
      <c r="AL65" s="13"/>
      <c r="AM65" s="13"/>
      <c r="AP65" s="13">
        <f>IF((1 - CUSTOS!$M$31)&lt;&gt;0,1/(1 - CUSTOS!$M$31),1)</f>
        <v>1</v>
      </c>
    </row>
    <row r="66" spans="1:42" ht="11.25" customHeight="1" x14ac:dyDescent="0.3">
      <c r="A66" s="128"/>
      <c r="B66" s="128"/>
      <c r="C66" s="128"/>
      <c r="D66" s="128"/>
      <c r="E66" s="128"/>
      <c r="F66" s="128"/>
      <c r="G66" s="18" t="s">
        <v>90</v>
      </c>
      <c r="H66" s="18" t="s">
        <v>78</v>
      </c>
      <c r="I66" s="18">
        <f>'MERCADO TUSD'!$U$63</f>
        <v>24.489000000000001</v>
      </c>
      <c r="J66" s="15"/>
      <c r="L66" s="13">
        <f>1*(1 - CUSTOS!$M$31)</f>
        <v>1</v>
      </c>
      <c r="M66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CUSTOS!$M$31)</f>
        <v>0.94720875090633405</v>
      </c>
      <c r="N66" s="13">
        <f ca="1">(+M66+O66+R66+U66+V66+W66+X66+Y66+Z66+AA66+AC66+AH66+AI66+AJ66+AK66)*CUSTOS!$M$5</f>
        <v>5.521555252448147</v>
      </c>
      <c r="O66" s="13">
        <f>1 - CUSTOS!$M$31</f>
        <v>1</v>
      </c>
      <c r="P66" s="13">
        <f>1 - CUSTOS!$M$31</f>
        <v>1</v>
      </c>
      <c r="Q66" s="13">
        <f>1*(1 - CUSTOS!$M$31)</f>
        <v>1</v>
      </c>
      <c r="R66" s="13">
        <f>1 - CUSTOS!$M$31</f>
        <v>1</v>
      </c>
      <c r="S66" s="13">
        <f>1 - CUSTOS!$M$31</f>
        <v>1</v>
      </c>
      <c r="T66" s="13"/>
      <c r="U66" s="13">
        <f>TRANSICAO!$U$66*CUSTOS!$T$3</f>
        <v>49.557499999999997</v>
      </c>
      <c r="V66" s="13">
        <f>TRANSICAO!$V$66*CUSTOS!$T$3</f>
        <v>14.754300000000001</v>
      </c>
      <c r="W66" s="13">
        <f>TRANSICAO!$W$66*CUSTOS!$T$3</f>
        <v>0.8024</v>
      </c>
      <c r="X66" s="13">
        <f>TRANSICAO!$X$66*CUSTOS!$T$3</f>
        <v>0</v>
      </c>
      <c r="Y66" s="13">
        <f>TRANSICAO!$Y$66*CUSTOS!$T$3</f>
        <v>0</v>
      </c>
      <c r="Z66" s="13">
        <f>TRANSICAO!$Z$66*CUSTOS!$T$3</f>
        <v>0</v>
      </c>
      <c r="AA66" s="13">
        <f>TRANSICAO!$AA$66*CUSTOS!$T$3</f>
        <v>0</v>
      </c>
      <c r="AB66" s="13">
        <f>TRANSICAO!$AB$66*CUSTOS!$T$3</f>
        <v>0</v>
      </c>
      <c r="AC66" s="13">
        <f>TRANSICAO!$AC$66*CUSTOS!$T$3</f>
        <v>305.1472</v>
      </c>
      <c r="AD66" s="13">
        <f>TRANSICAO!$AD$66*CUSTOS!$T$3</f>
        <v>0</v>
      </c>
      <c r="AE66" s="13">
        <v>0</v>
      </c>
      <c r="AF66" s="13">
        <v>0</v>
      </c>
      <c r="AG66" s="13"/>
      <c r="AH66" s="13">
        <f>(1 - CUSTOS!$M$31)*87.9264</f>
        <v>87.926400000000001</v>
      </c>
      <c r="AI66" s="13">
        <f>(1 - CUSTOS!$M$31)*87.9264</f>
        <v>87.926400000000001</v>
      </c>
      <c r="AJ66" s="13">
        <f ca="1">$N$87*(1-CUSTOS!$M$31)</f>
        <v>1.5470582469541849</v>
      </c>
      <c r="AK66" s="13">
        <f t="shared" ca="1" si="1"/>
        <v>1.5470582469541849</v>
      </c>
      <c r="AL66" s="13"/>
      <c r="AM66" s="13"/>
      <c r="AP66" s="13">
        <f>IF((1 - CUSTOS!$M$31)&lt;&gt;0,1/(1 - CUSTOS!$M$31),1)</f>
        <v>1</v>
      </c>
    </row>
    <row r="67" spans="1:42" ht="11.25" customHeight="1" x14ac:dyDescent="0.3">
      <c r="A67" s="128"/>
      <c r="B67" s="128"/>
      <c r="C67" s="128"/>
      <c r="D67" s="128"/>
      <c r="E67" s="128"/>
      <c r="F67" s="128"/>
      <c r="G67" s="18" t="s">
        <v>80</v>
      </c>
      <c r="H67" s="18" t="s">
        <v>78</v>
      </c>
      <c r="I67" s="18">
        <f>'MERCADO TUSD'!$U$64</f>
        <v>464.17199999999997</v>
      </c>
      <c r="J67" s="15"/>
      <c r="L67" s="13">
        <f>1*(1 - CUSTOS!$M$31)</f>
        <v>1</v>
      </c>
      <c r="M67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CUSTOS!$M$31)</f>
        <v>0.94720875090633405</v>
      </c>
      <c r="N67" s="13">
        <f ca="1">(+M67+O67+R67+U67+V67+W67+X67+Y67+Z67+AA67+AC67+AH67+AI67+AJ67+AK67)*CUSTOS!$M$5</f>
        <v>3.0531462524481472</v>
      </c>
      <c r="O67" s="13">
        <f>1 - CUSTOS!$M$31</f>
        <v>1</v>
      </c>
      <c r="P67" s="13">
        <f>1 - CUSTOS!$M$31</f>
        <v>1</v>
      </c>
      <c r="Q67" s="13">
        <f>1*(1 - CUSTOS!$M$31)</f>
        <v>1</v>
      </c>
      <c r="R67" s="13">
        <f>1 - CUSTOS!$M$31</f>
        <v>1</v>
      </c>
      <c r="S67" s="13">
        <f>1 - CUSTOS!$M$31</f>
        <v>1</v>
      </c>
      <c r="T67" s="13"/>
      <c r="U67" s="13">
        <f>TRANSICAO!$U$67*CUSTOS!$T$3</f>
        <v>16.519200000000001</v>
      </c>
      <c r="V67" s="13">
        <f>TRANSICAO!$V$67*CUSTOS!$T$3</f>
        <v>4.9180999999999999</v>
      </c>
      <c r="W67" s="13">
        <f>TRANSICAO!$W$67*CUSTOS!$T$3</f>
        <v>0.26750000000000002</v>
      </c>
      <c r="X67" s="13">
        <f>TRANSICAO!$X$67*CUSTOS!$T$3</f>
        <v>0</v>
      </c>
      <c r="Y67" s="13">
        <f>TRANSICAO!$Y$67*CUSTOS!$T$3</f>
        <v>0</v>
      </c>
      <c r="Z67" s="13">
        <f>TRANSICAO!$Z$67*CUSTOS!$T$3</f>
        <v>0</v>
      </c>
      <c r="AA67" s="13">
        <f>TRANSICAO!$AA$67*CUSTOS!$T$3</f>
        <v>0</v>
      </c>
      <c r="AB67" s="13">
        <f>TRANSICAO!$AB$67*CUSTOS!$T$3</f>
        <v>0</v>
      </c>
      <c r="AC67" s="13">
        <f>TRANSICAO!$AC$67*CUSTOS!$T$3</f>
        <v>101.7157</v>
      </c>
      <c r="AD67" s="13">
        <f>TRANSICAO!$AD$67*CUSTOS!$T$3</f>
        <v>0</v>
      </c>
      <c r="AE67" s="13">
        <v>0</v>
      </c>
      <c r="AF67" s="13">
        <v>0</v>
      </c>
      <c r="AG67" s="13"/>
      <c r="AH67" s="13">
        <f>(1 - CUSTOS!$M$31)*87.9264</f>
        <v>87.926400000000001</v>
      </c>
      <c r="AI67" s="13">
        <f>(1 - CUSTOS!$M$31)*87.9264</f>
        <v>87.926400000000001</v>
      </c>
      <c r="AJ67" s="13">
        <f ca="1">$N$87*(1-CUSTOS!$M$31)</f>
        <v>1.5470582469541849</v>
      </c>
      <c r="AK67" s="13">
        <f t="shared" ca="1" si="1"/>
        <v>1.5470582469541849</v>
      </c>
      <c r="AL67" s="13"/>
      <c r="AM67" s="13"/>
      <c r="AP67" s="13">
        <f>IF((1 - CUSTOS!$M$31)&lt;&gt;0,1/(1 - CUSTOS!$M$31),1)</f>
        <v>1</v>
      </c>
    </row>
    <row r="68" spans="1:42" ht="11.25" customHeight="1" x14ac:dyDescent="0.3">
      <c r="A68" s="128"/>
      <c r="B68" s="17" t="s">
        <v>23</v>
      </c>
      <c r="C68" s="17" t="s">
        <v>25</v>
      </c>
      <c r="D68" s="17" t="s">
        <v>25</v>
      </c>
      <c r="E68" s="17" t="s">
        <v>25</v>
      </c>
      <c r="F68" s="17" t="s">
        <v>25</v>
      </c>
      <c r="G68" s="18" t="s">
        <v>84</v>
      </c>
      <c r="H68" s="18" t="s">
        <v>78</v>
      </c>
      <c r="I68" s="18">
        <f>'MERCADO TUSD'!$U$65</f>
        <v>47738.307000000001</v>
      </c>
      <c r="J68" s="15"/>
      <c r="L68" s="13">
        <f>1*(1 - CUSTOS!$M$31)</f>
        <v>1</v>
      </c>
      <c r="M68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CUSTOS!$M$31)</f>
        <v>0.94720875090633405</v>
      </c>
      <c r="N68" s="13">
        <f ca="1">(+M68+O68+R68+U68+V68+W68+X68+Y68+Z68+AA68+AC68+AH68+AI68+AJ68+AK68)*CUSTOS!$M$5</f>
        <v>3.6889482524481467</v>
      </c>
      <c r="O68" s="13">
        <f>1 - CUSTOS!$M$31</f>
        <v>1</v>
      </c>
      <c r="P68" s="13">
        <f>1 - CUSTOS!$M$31</f>
        <v>1</v>
      </c>
      <c r="Q68" s="13">
        <f>1*(1 - CUSTOS!$M$31)</f>
        <v>1</v>
      </c>
      <c r="R68" s="13">
        <f>1 - CUSTOS!$M$31</f>
        <v>1</v>
      </c>
      <c r="S68" s="13">
        <f>1 - CUSTOS!$M$31</f>
        <v>1</v>
      </c>
      <c r="T68" s="13"/>
      <c r="U68" s="13">
        <f>TRANSICAO!$U$68*CUSTOS!$T$3</f>
        <v>25.029</v>
      </c>
      <c r="V68" s="13">
        <f>TRANSICAO!$V$68*CUSTOS!$T$3</f>
        <v>7.4516999999999998</v>
      </c>
      <c r="W68" s="13">
        <f>TRANSICAO!$W$68*CUSTOS!$T$3</f>
        <v>0.40529999999999999</v>
      </c>
      <c r="X68" s="13">
        <f>TRANSICAO!$X$68*CUSTOS!$T$3</f>
        <v>0</v>
      </c>
      <c r="Y68" s="13">
        <f>TRANSICAO!$Y$68*CUSTOS!$T$3</f>
        <v>0</v>
      </c>
      <c r="Z68" s="13">
        <f>TRANSICAO!$Z$68*CUSTOS!$T$3</f>
        <v>0</v>
      </c>
      <c r="AA68" s="13">
        <f>TRANSICAO!$AA$68*CUSTOS!$T$3</f>
        <v>0</v>
      </c>
      <c r="AB68" s="13">
        <f>TRANSICAO!$AB$68*CUSTOS!$T$3</f>
        <v>0</v>
      </c>
      <c r="AC68" s="13">
        <f>TRANSICAO!$AC$68*CUSTOS!$T$3</f>
        <v>154.1147</v>
      </c>
      <c r="AD68" s="13">
        <f>TRANSICAO!$AD$68*CUSTOS!$T$3</f>
        <v>0</v>
      </c>
      <c r="AE68" s="13">
        <v>0</v>
      </c>
      <c r="AF68" s="13">
        <v>0</v>
      </c>
      <c r="AG68" s="13"/>
      <c r="AH68" s="13">
        <f>(1 - CUSTOS!$M$31)*87.9264</f>
        <v>87.926400000000001</v>
      </c>
      <c r="AI68" s="13">
        <f>(1 - CUSTOS!$M$31)*87.9264</f>
        <v>87.926400000000001</v>
      </c>
      <c r="AJ68" s="13">
        <f ca="1">$N$87*(1-CUSTOS!$M$31)</f>
        <v>1.5470582469541849</v>
      </c>
      <c r="AK68" s="13">
        <f t="shared" ca="1" si="1"/>
        <v>1.5470582469541849</v>
      </c>
      <c r="AL68" s="13"/>
      <c r="AM68" s="13"/>
      <c r="AP68" s="13">
        <f>IF((1 - CUSTOS!$M$31)&lt;&gt;0,1/(1 - CUSTOS!$M$31),1)</f>
        <v>1</v>
      </c>
    </row>
    <row r="69" spans="1:42" ht="11.25" customHeight="1" x14ac:dyDescent="0.3">
      <c r="A69" s="128"/>
      <c r="B69" s="17" t="s">
        <v>92</v>
      </c>
      <c r="C69" s="17" t="s">
        <v>25</v>
      </c>
      <c r="D69" s="17" t="s">
        <v>25</v>
      </c>
      <c r="E69" s="17" t="s">
        <v>25</v>
      </c>
      <c r="F69" s="17" t="s">
        <v>25</v>
      </c>
      <c r="G69" s="18" t="s">
        <v>84</v>
      </c>
      <c r="H69" s="18" t="s">
        <v>78</v>
      </c>
      <c r="I69" s="18">
        <f>'MERCADO TUSD'!$U$66</f>
        <v>0</v>
      </c>
      <c r="J69" s="15"/>
      <c r="L69" s="13">
        <f>1*(1 - CUSTOS!$M$31)</f>
        <v>1</v>
      </c>
      <c r="M69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CUSTOS!$M$31)</f>
        <v>0.94720875090633405</v>
      </c>
      <c r="N69" s="13">
        <f ca="1">(+M69+O69+R69+U69+V69+W69+X69+Y69+Z69+AA69+AC69+AH69+AI69+AJ69+AK69)*CUSTOS!$M$5</f>
        <v>3.6889482524481467</v>
      </c>
      <c r="O69" s="13">
        <f>1 - CUSTOS!$M$31</f>
        <v>1</v>
      </c>
      <c r="P69" s="13">
        <f>1 - CUSTOS!$M$31</f>
        <v>1</v>
      </c>
      <c r="Q69" s="13">
        <f>1*(1 - CUSTOS!$M$31)</f>
        <v>1</v>
      </c>
      <c r="R69" s="13">
        <f>1 - CUSTOS!$M$31</f>
        <v>1</v>
      </c>
      <c r="S69" s="13">
        <f>1 - CUSTOS!$M$31</f>
        <v>1</v>
      </c>
      <c r="T69" s="13"/>
      <c r="U69" s="13">
        <f>TRANSICAO!$U$69*CUSTOS!$T$3</f>
        <v>25.029</v>
      </c>
      <c r="V69" s="13">
        <f>TRANSICAO!$V$69*CUSTOS!$T$3</f>
        <v>7.4516999999999998</v>
      </c>
      <c r="W69" s="13">
        <f>TRANSICAO!$W$69*CUSTOS!$T$3</f>
        <v>0.40529999999999999</v>
      </c>
      <c r="X69" s="13">
        <f>TRANSICAO!$X$69*CUSTOS!$T$3</f>
        <v>0</v>
      </c>
      <c r="Y69" s="13">
        <f>TRANSICAO!$Y$69*CUSTOS!$T$3</f>
        <v>0</v>
      </c>
      <c r="Z69" s="13">
        <f>TRANSICAO!$Z$69*CUSTOS!$T$3</f>
        <v>0</v>
      </c>
      <c r="AA69" s="13">
        <f>TRANSICAO!$AA$69*CUSTOS!$T$3</f>
        <v>0</v>
      </c>
      <c r="AB69" s="13">
        <f>TRANSICAO!$AB$69*CUSTOS!$T$3</f>
        <v>0</v>
      </c>
      <c r="AC69" s="13">
        <f>TRANSICAO!$AC$69*CUSTOS!$T$3</f>
        <v>154.1147</v>
      </c>
      <c r="AD69" s="13">
        <f>TRANSICAO!$AD$69*CUSTOS!$T$3</f>
        <v>0</v>
      </c>
      <c r="AE69" s="13">
        <v>0</v>
      </c>
      <c r="AF69" s="13">
        <v>0</v>
      </c>
      <c r="AG69" s="13"/>
      <c r="AH69" s="13">
        <f>(1 - CUSTOS!$M$31)*87.9264</f>
        <v>87.926400000000001</v>
      </c>
      <c r="AI69" s="13">
        <f>(1 - CUSTOS!$M$31)*87.9264</f>
        <v>87.926400000000001</v>
      </c>
      <c r="AJ69" s="13">
        <f ca="1">$N$87*(1-CUSTOS!$M$31)</f>
        <v>1.5470582469541849</v>
      </c>
      <c r="AK69" s="13">
        <f t="shared" ref="AK69:AK71" ca="1" si="2">AJ69</f>
        <v>1.5470582469541849</v>
      </c>
      <c r="AL69" s="13"/>
      <c r="AM69" s="13"/>
      <c r="AP69" s="13">
        <f>IF((1 - CUSTOS!$M$31)&lt;&gt;0,1/(1 - CUSTOS!$M$31),1)</f>
        <v>1</v>
      </c>
    </row>
    <row r="70" spans="1:42" ht="11.25" customHeight="1" x14ac:dyDescent="0.3">
      <c r="A70" s="128" t="s">
        <v>47</v>
      </c>
      <c r="B70" s="128" t="s">
        <v>23</v>
      </c>
      <c r="C70" s="128" t="s">
        <v>48</v>
      </c>
      <c r="D70" s="17" t="s">
        <v>49</v>
      </c>
      <c r="E70" s="17" t="s">
        <v>25</v>
      </c>
      <c r="F70" s="17" t="s">
        <v>25</v>
      </c>
      <c r="G70" s="18" t="s">
        <v>84</v>
      </c>
      <c r="H70" s="18" t="s">
        <v>78</v>
      </c>
      <c r="I70" s="18">
        <f>'MERCADO TUSD'!$U$67</f>
        <v>19654.344999999998</v>
      </c>
      <c r="J70" s="15"/>
      <c r="L70" s="13">
        <f>1*(1 - CUSTOS!$M$32)</f>
        <v>0.55000000000000004</v>
      </c>
      <c r="M70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CUSTOS!$M$32)</f>
        <v>0.52096481299848374</v>
      </c>
      <c r="N70" s="13">
        <f ca="1">(+M70+O70+R70+U70+V70+W70+X70+Y70+Z70+AA70+AC70+AH70+AI70+AJ70+AK70)*CUSTOS!$M$5</f>
        <v>2.0289215388464812</v>
      </c>
      <c r="O70" s="13">
        <f>1 - CUSTOS!$M$32</f>
        <v>0.55000000000000004</v>
      </c>
      <c r="P70" s="13">
        <f>1 - CUSTOS!$M$32</f>
        <v>0.55000000000000004</v>
      </c>
      <c r="Q70" s="13">
        <f>1*(1 - CUSTOS!$M$32)</f>
        <v>0.55000000000000004</v>
      </c>
      <c r="R70" s="13">
        <f>1 - CUSTOS!$M$32</f>
        <v>0.55000000000000004</v>
      </c>
      <c r="S70" s="13">
        <f>1 - CUSTOS!$M$32</f>
        <v>0.55000000000000004</v>
      </c>
      <c r="T70" s="13"/>
      <c r="U70" s="13">
        <f>TRANSICAO!$U$70*CUSTOS!$T$3</f>
        <v>13.765950000000002</v>
      </c>
      <c r="V70" s="13">
        <f>TRANSICAO!$V$70*CUSTOS!$T$3</f>
        <v>4.0984350000000003</v>
      </c>
      <c r="W70" s="13">
        <f>TRANSICAO!$W$70*CUSTOS!$T$3</f>
        <v>0.222915</v>
      </c>
      <c r="X70" s="13">
        <f>TRANSICAO!$X$70*CUSTOS!$T$3</f>
        <v>0</v>
      </c>
      <c r="Y70" s="13">
        <f>TRANSICAO!$Y$70*CUSTOS!$T$3</f>
        <v>0</v>
      </c>
      <c r="Z70" s="13">
        <f>TRANSICAO!$Z$70*CUSTOS!$T$3</f>
        <v>0</v>
      </c>
      <c r="AA70" s="13">
        <f>TRANSICAO!$AA$70*CUSTOS!$T$3</f>
        <v>0</v>
      </c>
      <c r="AB70" s="13">
        <f>TRANSICAO!$AB$70*CUSTOS!$T$3</f>
        <v>0</v>
      </c>
      <c r="AC70" s="13">
        <f>TRANSICAO!$AC$70*CUSTOS!$T$3</f>
        <v>84.763085000000004</v>
      </c>
      <c r="AD70" s="13">
        <f>TRANSICAO!$AD$70*CUSTOS!$T$3</f>
        <v>0</v>
      </c>
      <c r="AE70" s="13">
        <v>0</v>
      </c>
      <c r="AF70" s="13">
        <v>0</v>
      </c>
      <c r="AG70" s="13"/>
      <c r="AH70" s="13">
        <f>(1 - CUSTOS!$M$32)*87.9264</f>
        <v>48.359520000000003</v>
      </c>
      <c r="AI70" s="13">
        <f>(1 - CUSTOS!$M$32)*87.9264</f>
        <v>48.359520000000003</v>
      </c>
      <c r="AJ70" s="13">
        <f ca="1">$N$87*(1-CUSTOS!$M$32)</f>
        <v>0.85088203582480182</v>
      </c>
      <c r="AK70" s="13">
        <f t="shared" ca="1" si="2"/>
        <v>0.85088203582480182</v>
      </c>
      <c r="AL70" s="13"/>
      <c r="AM70" s="13"/>
      <c r="AP70" s="13">
        <f>IF((1 - CUSTOS!$M$32)&lt;&gt;0,1/(1 - CUSTOS!$M$32),1)</f>
        <v>1.8181818181818181</v>
      </c>
    </row>
    <row r="71" spans="1:42" ht="11.25" customHeight="1" x14ac:dyDescent="0.3">
      <c r="A71" s="128"/>
      <c r="B71" s="128"/>
      <c r="C71" s="128"/>
      <c r="D71" s="18" t="s">
        <v>95</v>
      </c>
      <c r="E71" s="18" t="s">
        <v>25</v>
      </c>
      <c r="F71" s="18" t="s">
        <v>25</v>
      </c>
      <c r="G71" s="18" t="s">
        <v>84</v>
      </c>
      <c r="H71" s="18" t="s">
        <v>78</v>
      </c>
      <c r="I71" s="18">
        <f>'MERCADO TUSD'!$U$68</f>
        <v>0</v>
      </c>
      <c r="J71" s="15"/>
      <c r="L71" s="13">
        <f>1*(1 - CUSTOS!$M$33)</f>
        <v>0.6</v>
      </c>
      <c r="M71" s="13">
        <f>IF(AND((+$I$37+$I$38+$I$39+$I$40+$I$41+$I$42+$I$43+$I$44+$I$45+$I$46+$I$47+$I$48+$I$49+$I$50+$I$51+$I$52+$I$53+$I$54+$I$55+$I$56+$I$57+$I$58+$I$59+$I$60+$I$61+$I$62+$I$63+$I$64+$I$65+$I$66+$I$67+$I$68+$I$69+$I$70+$I$71)&lt;&gt;0,SUMPRODUCT($I$5:$I$71,$AC$5:$AC$71,$AP$5:$AP$71)&lt;&gt;0),$M$76*SUMPRODUCT($I$37:$I$71,$AC$37:$AC$71,$AP$37:$AP$71)/SUMPRODUCT($I$5:$I$71,$AC$5:$AC$71,$AP$5:$AP$71)/(+$I$37+$I$38+$I$39+$I$40+$I$41+$I$42+$I$43+$I$44+$I$45+$I$46+$I$47+$I$48+$I$49+$I$50+$I$51+$I$52+$I$53+$I$54+$I$55+$I$56+$I$57+$I$58+$I$59+$I$60+$I$61+$I$62+$I$63+$I$64+$I$65+$I$66+$I$67+$I$68+$I$69+$I$70+$I$71),0)*(1 - CUSTOS!$M$33)</f>
        <v>0.56832525054380045</v>
      </c>
      <c r="N71" s="13">
        <f ca="1">(+M71+O71+R71+U71+V71+W71+X71+Y71+Z71+AA71+AC71+AH71+AI71+AJ71+AK71)*CUSTOS!$M$5</f>
        <v>2.2133689514688881</v>
      </c>
      <c r="O71" s="13">
        <f>1 - CUSTOS!$M$33</f>
        <v>0.6</v>
      </c>
      <c r="P71" s="13">
        <f>1 - CUSTOS!$M$33</f>
        <v>0.6</v>
      </c>
      <c r="Q71" s="13">
        <f>1*(1 - CUSTOS!$M$33)</f>
        <v>0.6</v>
      </c>
      <c r="R71" s="13">
        <f>1 - CUSTOS!$M$33</f>
        <v>0.6</v>
      </c>
      <c r="S71" s="13">
        <f>1 - CUSTOS!$M$33</f>
        <v>0.6</v>
      </c>
      <c r="T71" s="13"/>
      <c r="U71" s="13">
        <f>TRANSICAO!$U$71*CUSTOS!$T$3</f>
        <v>15.017399999999999</v>
      </c>
      <c r="V71" s="13">
        <f>TRANSICAO!$V$71*CUSTOS!$T$3</f>
        <v>4.4710199999999993</v>
      </c>
      <c r="W71" s="13">
        <f>TRANSICAO!$W$71*CUSTOS!$T$3</f>
        <v>0.24317999999999998</v>
      </c>
      <c r="X71" s="13">
        <f>TRANSICAO!$X$71*CUSTOS!$T$3</f>
        <v>0</v>
      </c>
      <c r="Y71" s="13">
        <f>TRANSICAO!$Y$71*CUSTOS!$T$3</f>
        <v>0</v>
      </c>
      <c r="Z71" s="13">
        <f>TRANSICAO!$Z$71*CUSTOS!$T$3</f>
        <v>0</v>
      </c>
      <c r="AA71" s="13">
        <f>TRANSICAO!$AA$71*CUSTOS!$T$3</f>
        <v>0</v>
      </c>
      <c r="AB71" s="13">
        <f>TRANSICAO!$AB$71*CUSTOS!$T$3</f>
        <v>0</v>
      </c>
      <c r="AC71" s="13">
        <f>TRANSICAO!$AC$71*CUSTOS!$T$3</f>
        <v>92.468819999999994</v>
      </c>
      <c r="AD71" s="13">
        <f>TRANSICAO!$AD$71*CUSTOS!$T$3</f>
        <v>0</v>
      </c>
      <c r="AE71" s="13">
        <v>0</v>
      </c>
      <c r="AF71" s="13">
        <v>0</v>
      </c>
      <c r="AG71" s="13"/>
      <c r="AH71" s="13">
        <f>(1 - CUSTOS!$M$33)*87.9264</f>
        <v>52.755839999999999</v>
      </c>
      <c r="AI71" s="13">
        <f>(1 - CUSTOS!$M$33)*87.9264</f>
        <v>52.755839999999999</v>
      </c>
      <c r="AJ71" s="13">
        <f ca="1">$N$87*(1-CUSTOS!$M$33)</f>
        <v>0.92823494817251095</v>
      </c>
      <c r="AK71" s="13">
        <f t="shared" ca="1" si="2"/>
        <v>0.92823494817251095</v>
      </c>
      <c r="AL71" s="13"/>
      <c r="AM71" s="13"/>
      <c r="AP71" s="13">
        <f>IF((1 - CUSTOS!$M$33)&lt;&gt;0,1/(1 - CUSTOS!$M$33),1)</f>
        <v>1.6666666666666667</v>
      </c>
    </row>
    <row r="73" spans="1:42" ht="11.25" customHeight="1" x14ac:dyDescent="0.3">
      <c r="K73" s="16" t="s">
        <v>760</v>
      </c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</row>
    <row r="74" spans="1:42" ht="11.25" customHeight="1" x14ac:dyDescent="0.3">
      <c r="K74" s="16" t="s">
        <v>761</v>
      </c>
      <c r="L74" s="13">
        <f>IF(ISERROR(+SUMPRODUCT($L$13:$L$13,$I$13:$I$13)),0,+SUMPRODUCT($L$13:$L$13,$I$13:$I$13))</f>
        <v>0</v>
      </c>
      <c r="M74" s="13">
        <f>IF(ISERROR(+SUMPRODUCT($M$13:$M$13,$I$13:$I$13)),0,+SUMPRODUCT($M$13:$M$13,$I$13:$I$13))</f>
        <v>2394.0460217990535</v>
      </c>
      <c r="N74" s="13">
        <f>IF(ISERROR(+SUMPRODUCT($N$13:$N$13,$I$13:$I$13)),0,+SUMPRODUCT($N$13:$N$13,$I$13:$I$13))</f>
        <v>7175.0095120740498</v>
      </c>
      <c r="O74" s="13">
        <f>IF(ISERROR(+SUMPRODUCT($O$13:$O$13,$I$13:$I$13)),0,+SUMPRODUCT($O$13:$O$13,$I$13:$I$13))</f>
        <v>0</v>
      </c>
      <c r="P74" s="13">
        <f>IF(ISERROR(+SUMPRODUCT($P$13:$P$13,$I$13:$I$13)),0,+SUMPRODUCT($P$13:$P$13,$I$13:$I$13))</f>
        <v>0</v>
      </c>
      <c r="Q74" s="13">
        <f>IF(ISERROR(+SUMPRODUCT($Q$13:$Q$13,$I$13:$I$13)),0,+SUMPRODUCT($Q$13:$Q$13,$I$13:$I$13))</f>
        <v>0</v>
      </c>
      <c r="R74" s="13">
        <f>IF(ISERROR(+SUMPRODUCT($R$13:$R$13,$I$13:$I$13)),0,+SUMPRODUCT($R$13:$R$13,$I$13:$I$13))</f>
        <v>0</v>
      </c>
      <c r="S74" s="13">
        <f>IF(ISERROR(+SUMPRODUCT($S$13:$S$13,$I$13:$I$13)),0,+SUMPRODUCT($S$13:$S$13,$I$13:$I$13))</f>
        <v>0</v>
      </c>
      <c r="T74" s="13"/>
      <c r="U74" s="13">
        <f>IF(ISERROR(+SUMPRODUCT($U$13:$U$13,$I$13:$I$13)),0,+SUMPRODUCT($U$13:$U$13,$I$13:$I$13))</f>
        <v>575383.21989404759</v>
      </c>
      <c r="V74" s="13">
        <f>IF(ISERROR(+SUMPRODUCT($V$13:$V$13,$I$13:$I$13)),0,+SUMPRODUCT($V$13:$V$13,$I$13:$I$13))</f>
        <v>236207.78212343619</v>
      </c>
      <c r="W74" s="13">
        <f>IF(ISERROR(+SUMPRODUCT($W$13:$W$13,$I$13:$I$13)),0,+SUMPRODUCT($W$13:$W$13,$I$13:$I$13))</f>
        <v>57880.892194555308</v>
      </c>
      <c r="X74" s="13">
        <f>IF(ISERROR(+SUMPRODUCT($X$13:$X$13,$I$13:$I$13)),0,+SUMPRODUCT($X$13:$X$13,$I$13:$I$13))</f>
        <v>0</v>
      </c>
      <c r="Y74" s="13">
        <f>IF(ISERROR(+SUMPRODUCT($Y$13:$Y$13,$I$13:$I$13)),0,+SUMPRODUCT($Y$13:$Y$13,$I$13:$I$13))</f>
        <v>0</v>
      </c>
      <c r="Z74" s="13">
        <f>IF(ISERROR(+SUMPRODUCT($Z$13:$Z$13,$I$13:$I$13)),0,+SUMPRODUCT($Z$13:$Z$13,$I$13:$I$13))</f>
        <v>0</v>
      </c>
      <c r="AA74" s="13">
        <f>IF(ISERROR(+SUMPRODUCT($AA$13:$AA$13,$I$13:$I$13)),0,+SUMPRODUCT($AA$13:$AA$13,$I$13:$I$13))</f>
        <v>0</v>
      </c>
      <c r="AB74" s="13"/>
      <c r="AC74" s="13">
        <f>IF(ISERROR(+SUMPRODUCT($AC$13:$AC$13,$I$13:$I$13)),0,+SUMPRODUCT($AC$13:$AC$13,$I$13:$I$13))</f>
        <v>148058.70480908462</v>
      </c>
      <c r="AD74" s="13"/>
      <c r="AE74" s="13">
        <f>IF(ISERROR(+SUMPRODUCT($AE$13:$AE$13,$I$13:$I$13)),0,+SUMPRODUCT($AE$13:$AE$13,$I$13:$I$13))</f>
        <v>0</v>
      </c>
      <c r="AF74" s="13">
        <f>IF(ISERROR(+SUMPRODUCT($AF$13:$AF$13,$I$13:$I$13)),0,+SUMPRODUCT($AF$13:$AF$13,$I$13:$I$13))</f>
        <v>0</v>
      </c>
      <c r="AG74" s="13"/>
      <c r="AH74" s="13">
        <f>IF(ISERROR(+SUMPRODUCT($AH$13:$AH$13,$I$13:$I$13)),0,+SUMPRODUCT($AH$13:$AH$13,$I$13:$I$13))</f>
        <v>0</v>
      </c>
      <c r="AI74" s="13">
        <f>IF(ISERROR(+SUMPRODUCT($AI$13:$AI$13,$I$13:$I$13)),0,+SUMPRODUCT($AI$13:$AI$13,$I$13:$I$13))</f>
        <v>0</v>
      </c>
      <c r="AJ74" s="13">
        <f>IF(ISERROR(+SUMPRODUCT($AJ$13:$AJ$13,$I$13:$I$13)),0,+SUMPRODUCT($AJ$13:$AJ$13,$I$13:$I$13))</f>
        <v>0</v>
      </c>
      <c r="AK74" s="13">
        <f>IF(ISERROR(+SUMPRODUCT($AK$13:$AK$13,$I$13:$I$13)),0,+SUMPRODUCT($AK$13:$AK$13,$I$13:$I$13))</f>
        <v>0</v>
      </c>
      <c r="AL74" s="13"/>
      <c r="AM74" s="13"/>
    </row>
    <row r="75" spans="1:42" ht="11.25" customHeight="1" x14ac:dyDescent="0.3">
      <c r="K75" s="16" t="s">
        <v>762</v>
      </c>
      <c r="L75" s="13">
        <f>IF(ISERROR(+SUMPRODUCT($L$5:$L$8,$I$5:$I$8)+SUMPRODUCT($L$9:$L$12,$I$9:$I$12)+SUMPRODUCT($L$14:$L$17,$I$14:$I$17)+SUMPRODUCT($L$18:$L$18,$I$18:$I$18)+SUMPRODUCT($L$19:$L$23,$I$19:$I$23)+SUMPRODUCT($L$24:$L$27,$I$24:$I$27)+SUMPRODUCT($L$28:$L$32,$I$28:$I$32)+SUMPRODUCT($L$33:$L$34,$I$33:$I$34)+SUMPRODUCT($L$35:$L$36,$I$35:$I$36)+SUMPRODUCT($L$37:$L$39,$I$37:$I$39)+SUMPRODUCT($L$40:$L$44,$I$40:$I$44)+SUMPRODUCT($L$45:$L$49,$I$45:$I$49)+SUMPRODUCT($L$50:$L$52,$I$50:$I$52)+SUMPRODUCT($L$53:$L$53,$I$53:$I$53)+SUMPRODUCT($L$54:$L$56,$I$54:$I$56)+SUMPRODUCT($L$57:$L$57,$I$57:$I$57)+SUMPRODUCT($L$58:$L$60,$I$58:$I$60)+SUMPRODUCT($L$61:$L$61,$I$61:$I$61)+SUMPRODUCT($L$62:$L$64,$I$62:$I$64)+SUMPRODUCT($L$65:$L$67,$I$65:$I$67)+SUMPRODUCT($L$68:$L$68,$I$68:$I$68)+SUMPRODUCT($L$69:$L$69,$I$69:$I$69)+SUMPRODUCT($L$70:$L$71,$I$70:$I$71)),0,+SUMPRODUCT($L$5:$L$8,$I$5:$I$8)+SUMPRODUCT($L$9:$L$12,$I$9:$I$12)+SUMPRODUCT($L$14:$L$17,$I$14:$I$17)+SUMPRODUCT($L$18:$L$18,$I$18:$I$18)+SUMPRODUCT($L$19:$L$23,$I$19:$I$23)+SUMPRODUCT($L$24:$L$27,$I$24:$I$27)+SUMPRODUCT($L$28:$L$32,$I$28:$I$32)+SUMPRODUCT($L$33:$L$34,$I$33:$I$34)+SUMPRODUCT($L$35:$L$36,$I$35:$I$36)+SUMPRODUCT($L$37:$L$39,$I$37:$I$39)+SUMPRODUCT($L$40:$L$44,$I$40:$I$44)+SUMPRODUCT($L$45:$L$49,$I$45:$I$49)+SUMPRODUCT($L$50:$L$52,$I$50:$I$52)+SUMPRODUCT($L$53:$L$53,$I$53:$I$53)+SUMPRODUCT($L$54:$L$56,$I$54:$I$56)+SUMPRODUCT($L$57:$L$57,$I$57:$I$57)+SUMPRODUCT($L$58:$L$60,$I$58:$I$60)+SUMPRODUCT($L$61:$L$61,$I$61:$I$61)+SUMPRODUCT($L$62:$L$64,$I$62:$I$64)+SUMPRODUCT($L$65:$L$67,$I$65:$I$67)+SUMPRODUCT($L$68:$L$68,$I$68:$I$68)+SUMPRODUCT($L$69:$L$69,$I$69:$I$69)+SUMPRODUCT($L$70:$L$71,$I$70:$I$71))</f>
        <v>484336.41686999996</v>
      </c>
      <c r="M75" s="13">
        <f>IF(ISERROR(+SUMPRODUCT($M$5:$M$8,$I$5:$I$8)+SUMPRODUCT($M$9:$M$12,$I$9:$I$12)+SUMPRODUCT($M$14:$M$17,$I$14:$I$17)+SUMPRODUCT($M$18:$M$18,$I$18:$I$18)+SUMPRODUCT($M$19:$M$23,$I$19:$I$23)+SUMPRODUCT($M$24:$M$27,$I$24:$I$27)+SUMPRODUCT($M$28:$M$32,$I$28:$I$32)+SUMPRODUCT($M$33:$M$34,$I$33:$I$34)+SUMPRODUCT($M$35:$M$36,$I$35:$I$36)+SUMPRODUCT($M$37:$M$39,$I$37:$I$39)+SUMPRODUCT($M$40:$M$44,$I$40:$I$44)+SUMPRODUCT($M$45:$M$49,$I$45:$I$49)+SUMPRODUCT($M$50:$M$52,$I$50:$I$52)+SUMPRODUCT($M$53:$M$53,$I$53:$I$53)+SUMPRODUCT($M$54:$M$56,$I$54:$I$56)+SUMPRODUCT($M$57:$M$57,$I$57:$I$57)+SUMPRODUCT($M$58:$M$60,$I$58:$I$60)+SUMPRODUCT($M$61:$M$61,$I$61:$I$61)+SUMPRODUCT($M$62:$M$64,$I$62:$I$64)+SUMPRODUCT($M$65:$M$67,$I$65:$I$67)+SUMPRODUCT($M$68:$M$68,$I$68:$I$68)+SUMPRODUCT($M$69:$M$69,$I$69:$I$69)+SUMPRODUCT($M$70:$M$71,$I$70:$I$71)),0,+SUMPRODUCT($M$5:$M$8,$I$5:$I$8)+SUMPRODUCT($M$9:$M$12,$I$9:$I$12)+SUMPRODUCT($M$14:$M$17,$I$14:$I$17)+SUMPRODUCT($M$18:$M$18,$I$18:$I$18)+SUMPRODUCT($M$19:$M$23,$I$19:$I$23)+SUMPRODUCT($M$24:$M$27,$I$24:$I$27)+SUMPRODUCT($M$28:$M$32,$I$28:$I$32)+SUMPRODUCT($M$33:$M$34,$I$33:$I$34)+SUMPRODUCT($M$35:$M$36,$I$35:$I$36)+SUMPRODUCT($M$37:$M$39,$I$37:$I$39)+SUMPRODUCT($M$40:$M$44,$I$40:$I$44)+SUMPRODUCT($M$45:$M$49,$I$45:$I$49)+SUMPRODUCT($M$50:$M$52,$I$50:$I$52)+SUMPRODUCT($M$53:$M$53,$I$53:$I$53)+SUMPRODUCT($M$54:$M$56,$I$54:$I$56)+SUMPRODUCT($M$57:$M$57,$I$57:$I$57)+SUMPRODUCT($M$58:$M$60,$I$58:$I$60)+SUMPRODUCT($M$61:$M$61,$I$61:$I$61)+SUMPRODUCT($M$62:$M$64,$I$62:$I$64)+SUMPRODUCT($M$65:$M$67,$I$65:$I$67)+SUMPRODUCT($M$68:$M$68,$I$68:$I$68)+SUMPRODUCT($M$69:$M$69,$I$69:$I$69)+SUMPRODUCT($M$70:$M$71,$I$70:$I$71))</f>
        <v>326278.76058484893</v>
      </c>
      <c r="N75" s="13">
        <f ca="1">IF(ISERROR(+SUMPRODUCT($N$5:$N$8,$I$5:$I$8)+SUMPRODUCT($N$9:$N$12,$I$9:$I$12)+SUMPRODUCT($N$14:$N$17,$I$14:$I$17)+SUMPRODUCT($N$18:$N$18,$I$18:$I$18)+SUMPRODUCT($N$19:$N$23,$I$19:$I$23)+SUMPRODUCT($N$24:$N$27,$I$24:$I$27)+SUMPRODUCT($N$28:$N$32,$I$28:$I$32)+SUMPRODUCT($N$33:$N$34,$I$33:$I$34)+SUMPRODUCT($N$35:$N$36,$I$35:$I$36)+SUMPRODUCT($N$37:$N$39,$I$37:$I$39)+SUMPRODUCT($N$40:$N$44,$I$40:$I$44)+SUMPRODUCT($N$45:$N$49,$I$45:$I$49)+SUMPRODUCT($N$50:$N$52,$I$50:$I$52)+SUMPRODUCT($N$53:$N$53,$I$53:$I$53)+SUMPRODUCT($N$54:$N$56,$I$54:$I$56)+SUMPRODUCT($N$57:$N$57,$I$57:$I$57)+SUMPRODUCT($N$58:$N$60,$I$58:$I$60)+SUMPRODUCT($N$61:$N$61,$I$61:$I$61)+SUMPRODUCT($N$62:$N$64,$I$62:$I$64)+SUMPRODUCT($N$65:$N$67,$I$65:$I$67)+SUMPRODUCT($N$68:$N$68,$I$68:$I$68)+SUMPRODUCT($N$69:$N$69,$I$69:$I$69)+SUMPRODUCT($N$70:$N$71,$I$70:$I$71)),0,+SUMPRODUCT($N$5:$N$8,$I$5:$I$8)+SUMPRODUCT($N$9:$N$12,$I$9:$I$12)+SUMPRODUCT($N$14:$N$17,$I$14:$I$17)+SUMPRODUCT($N$18:$N$18,$I$18:$I$18)+SUMPRODUCT($N$19:$N$23,$I$19:$I$23)+SUMPRODUCT($N$24:$N$27,$I$24:$I$27)+SUMPRODUCT($N$28:$N$32,$I$28:$I$32)+SUMPRODUCT($N$33:$N$34,$I$33:$I$34)+SUMPRODUCT($N$35:$N$36,$I$35:$I$36)+SUMPRODUCT($N$37:$N$39,$I$37:$I$39)+SUMPRODUCT($N$40:$N$44,$I$40:$I$44)+SUMPRODUCT($N$45:$N$49,$I$45:$I$49)+SUMPRODUCT($N$50:$N$52,$I$50:$I$52)+SUMPRODUCT($N$53:$N$53,$I$53:$I$53)+SUMPRODUCT($N$54:$N$56,$I$54:$I$56)+SUMPRODUCT($N$57:$N$57,$I$57:$I$57)+SUMPRODUCT($N$58:$N$60,$I$58:$I$60)+SUMPRODUCT($N$61:$N$61,$I$61:$I$61)+SUMPRODUCT($N$62:$N$64,$I$62:$I$64)+SUMPRODUCT($N$65:$N$67,$I$65:$I$67)+SUMPRODUCT($N$68:$N$68,$I$68:$I$68)+SUMPRODUCT($N$69:$N$69,$I$69:$I$69)+SUMPRODUCT($N$70:$N$71,$I$70:$I$71))</f>
        <v>888520.4808075258</v>
      </c>
      <c r="O75" s="13">
        <f>IF(ISERROR(+SUMPRODUCT($O$5:$O$8,$I$5:$I$8)+SUMPRODUCT($O$9:$O$12,$I$9:$I$12)+SUMPRODUCT($O$14:$O$17,$I$14:$I$17)+SUMPRODUCT($O$18:$O$18,$I$18:$I$18)+SUMPRODUCT($O$19:$O$23,$I$19:$I$23)+SUMPRODUCT($O$24:$O$27,$I$24:$I$27)+SUMPRODUCT($O$28:$O$32,$I$28:$I$32)+SUMPRODUCT($O$33:$O$34,$I$33:$I$34)+SUMPRODUCT($O$35:$O$36,$I$35:$I$36)+SUMPRODUCT($O$37:$O$39,$I$37:$I$39)+SUMPRODUCT($O$40:$O$44,$I$40:$I$44)+SUMPRODUCT($O$45:$O$49,$I$45:$I$49)+SUMPRODUCT($O$50:$O$52,$I$50:$I$52)+SUMPRODUCT($O$53:$O$53,$I$53:$I$53)+SUMPRODUCT($O$54:$O$56,$I$54:$I$56)+SUMPRODUCT($O$57:$O$57,$I$57:$I$57)+SUMPRODUCT($O$58:$O$60,$I$58:$I$60)+SUMPRODUCT($O$61:$O$61,$I$61:$I$61)+SUMPRODUCT($O$62:$O$64,$I$62:$I$64)+SUMPRODUCT($O$65:$O$67,$I$65:$I$67)+SUMPRODUCT($O$68:$O$68,$I$68:$I$68)+SUMPRODUCT($O$69:$O$69,$I$69:$I$69)+SUMPRODUCT($O$70:$O$71,$I$70:$I$71)),0,+SUMPRODUCT($O$5:$O$8,$I$5:$I$8)+SUMPRODUCT($O$9:$O$12,$I$9:$I$12)+SUMPRODUCT($O$14:$O$17,$I$14:$I$17)+SUMPRODUCT($O$18:$O$18,$I$18:$I$18)+SUMPRODUCT($O$19:$O$23,$I$19:$I$23)+SUMPRODUCT($O$24:$O$27,$I$24:$I$27)+SUMPRODUCT($O$28:$O$32,$I$28:$I$32)+SUMPRODUCT($O$33:$O$34,$I$33:$I$34)+SUMPRODUCT($O$35:$O$36,$I$35:$I$36)+SUMPRODUCT($O$37:$O$39,$I$37:$I$39)+SUMPRODUCT($O$40:$O$44,$I$40:$I$44)+SUMPRODUCT($O$45:$O$49,$I$45:$I$49)+SUMPRODUCT($O$50:$O$52,$I$50:$I$52)+SUMPRODUCT($O$53:$O$53,$I$53:$I$53)+SUMPRODUCT($O$54:$O$56,$I$54:$I$56)+SUMPRODUCT($O$57:$O$57,$I$57:$I$57)+SUMPRODUCT($O$58:$O$60,$I$58:$I$60)+SUMPRODUCT($O$61:$O$61,$I$61:$I$61)+SUMPRODUCT($O$62:$O$64,$I$62:$I$64)+SUMPRODUCT($O$65:$O$67,$I$65:$I$67)+SUMPRODUCT($O$68:$O$68,$I$68:$I$68)+SUMPRODUCT($O$69:$O$69,$I$69:$I$69)+SUMPRODUCT($O$70:$O$71,$I$70:$I$71))</f>
        <v>581574.30574999994</v>
      </c>
      <c r="P75" s="13">
        <f>IF(ISERROR(+SUMPRODUCT($P$5:$P$8,$I$5:$I$8)+SUMPRODUCT($P$9:$P$12,$I$9:$I$12)+SUMPRODUCT($P$14:$P$17,$I$14:$I$17)+SUMPRODUCT($P$18:$P$18,$I$18:$I$18)+SUMPRODUCT($P$19:$P$23,$I$19:$I$23)+SUMPRODUCT($P$24:$P$27,$I$24:$I$27)+SUMPRODUCT($P$28:$P$32,$I$28:$I$32)+SUMPRODUCT($P$33:$P$34,$I$33:$I$34)+SUMPRODUCT($P$35:$P$36,$I$35:$I$36)+SUMPRODUCT($P$37:$P$39,$I$37:$I$39)+SUMPRODUCT($P$40:$P$44,$I$40:$I$44)+SUMPRODUCT($P$45:$P$49,$I$45:$I$49)+SUMPRODUCT($P$50:$P$52,$I$50:$I$52)+SUMPRODUCT($P$53:$P$53,$I$53:$I$53)+SUMPRODUCT($P$54:$P$56,$I$54:$I$56)+SUMPRODUCT($P$57:$P$57,$I$57:$I$57)+SUMPRODUCT($P$58:$P$60,$I$58:$I$60)+SUMPRODUCT($P$61:$P$61,$I$61:$I$61)+SUMPRODUCT($P$62:$P$64,$I$62:$I$64)+SUMPRODUCT($P$65:$P$67,$I$65:$I$67)+SUMPRODUCT($P$68:$P$68,$I$68:$I$68)+SUMPRODUCT($P$69:$P$69,$I$69:$I$69)+SUMPRODUCT($P$70:$P$71,$I$70:$I$71)),0,+SUMPRODUCT($P$5:$P$8,$I$5:$I$8)+SUMPRODUCT($P$9:$P$12,$I$9:$I$12)+SUMPRODUCT($P$14:$P$17,$I$14:$I$17)+SUMPRODUCT($P$18:$P$18,$I$18:$I$18)+SUMPRODUCT($P$19:$P$23,$I$19:$I$23)+SUMPRODUCT($P$24:$P$27,$I$24:$I$27)+SUMPRODUCT($P$28:$P$32,$I$28:$I$32)+SUMPRODUCT($P$33:$P$34,$I$33:$I$34)+SUMPRODUCT($P$35:$P$36,$I$35:$I$36)+SUMPRODUCT($P$37:$P$39,$I$37:$I$39)+SUMPRODUCT($P$40:$P$44,$I$40:$I$44)+SUMPRODUCT($P$45:$P$49,$I$45:$I$49)+SUMPRODUCT($P$50:$P$52,$I$50:$I$52)+SUMPRODUCT($P$53:$P$53,$I$53:$I$53)+SUMPRODUCT($P$54:$P$56,$I$54:$I$56)+SUMPRODUCT($P$57:$P$57,$I$57:$I$57)+SUMPRODUCT($P$58:$P$60,$I$58:$I$60)+SUMPRODUCT($P$61:$P$61,$I$61:$I$61)+SUMPRODUCT($P$62:$P$64,$I$62:$I$64)+SUMPRODUCT($P$65:$P$67,$I$65:$I$67)+SUMPRODUCT($P$68:$P$68,$I$68:$I$68)+SUMPRODUCT($P$69:$P$69,$I$69:$I$69)+SUMPRODUCT($P$70:$P$71,$I$70:$I$71))</f>
        <v>571209.96974999993</v>
      </c>
      <c r="Q75" s="13">
        <f>IF(ISERROR(+SUMPRODUCT($Q$5:$Q$8,$I$5:$I$8)+SUMPRODUCT($Q$9:$Q$12,$I$9:$I$12)+SUMPRODUCT($Q$14:$Q$17,$I$14:$I$17)+SUMPRODUCT($Q$18:$Q$18,$I$18:$I$18)+SUMPRODUCT($Q$19:$Q$23,$I$19:$I$23)+SUMPRODUCT($Q$24:$Q$27,$I$24:$I$27)+SUMPRODUCT($Q$28:$Q$32,$I$28:$I$32)+SUMPRODUCT($Q$33:$Q$34,$I$33:$I$34)+SUMPRODUCT($Q$35:$Q$36,$I$35:$I$36)+SUMPRODUCT($Q$37:$Q$39,$I$37:$I$39)+SUMPRODUCT($Q$40:$Q$44,$I$40:$I$44)+SUMPRODUCT($Q$45:$Q$49,$I$45:$I$49)+SUMPRODUCT($Q$50:$Q$52,$I$50:$I$52)+SUMPRODUCT($Q$53:$Q$53,$I$53:$I$53)+SUMPRODUCT($Q$54:$Q$56,$I$54:$I$56)+SUMPRODUCT($Q$57:$Q$57,$I$57:$I$57)+SUMPRODUCT($Q$58:$Q$60,$I$58:$I$60)+SUMPRODUCT($Q$61:$Q$61,$I$61:$I$61)+SUMPRODUCT($Q$62:$Q$64,$I$62:$I$64)+SUMPRODUCT($Q$65:$Q$67,$I$65:$I$67)+SUMPRODUCT($Q$68:$Q$68,$I$68:$I$68)+SUMPRODUCT($Q$69:$Q$69,$I$69:$I$69)+SUMPRODUCT($Q$70:$Q$71,$I$70:$I$71)),0,+SUMPRODUCT($Q$5:$Q$8,$I$5:$I$8)+SUMPRODUCT($Q$9:$Q$12,$I$9:$I$12)+SUMPRODUCT($Q$14:$Q$17,$I$14:$I$17)+SUMPRODUCT($Q$18:$Q$18,$I$18:$I$18)+SUMPRODUCT($Q$19:$Q$23,$I$19:$I$23)+SUMPRODUCT($Q$24:$Q$27,$I$24:$I$27)+SUMPRODUCT($Q$28:$Q$32,$I$28:$I$32)+SUMPRODUCT($Q$33:$Q$34,$I$33:$I$34)+SUMPRODUCT($Q$35:$Q$36,$I$35:$I$36)+SUMPRODUCT($Q$37:$Q$39,$I$37:$I$39)+SUMPRODUCT($Q$40:$Q$44,$I$40:$I$44)+SUMPRODUCT($Q$45:$Q$49,$I$45:$I$49)+SUMPRODUCT($Q$50:$Q$52,$I$50:$I$52)+SUMPRODUCT($Q$53:$Q$53,$I$53:$I$53)+SUMPRODUCT($Q$54:$Q$56,$I$54:$I$56)+SUMPRODUCT($Q$57:$Q$57,$I$57:$I$57)+SUMPRODUCT($Q$58:$Q$60,$I$58:$I$60)+SUMPRODUCT($Q$61:$Q$61,$I$61:$I$61)+SUMPRODUCT($Q$62:$Q$64,$I$62:$I$64)+SUMPRODUCT($Q$65:$Q$67,$I$65:$I$67)+SUMPRODUCT($Q$68:$Q$68,$I$68:$I$68)+SUMPRODUCT($Q$69:$Q$69,$I$69:$I$69)+SUMPRODUCT($Q$70:$Q$71,$I$70:$I$71))</f>
        <v>484336.41686999996</v>
      </c>
      <c r="R75" s="13">
        <f>IF(ISERROR(+SUMPRODUCT($R$5:$R$8,$I$5:$I$8)+SUMPRODUCT($R$9:$R$12,$I$9:$I$12)+SUMPRODUCT($R$14:$R$17,$I$14:$I$17)+SUMPRODUCT($R$18:$R$18,$I$18:$I$18)+SUMPRODUCT($R$19:$R$23,$I$19:$I$23)+SUMPRODUCT($R$24:$R$27,$I$24:$I$27)+SUMPRODUCT($R$28:$R$32,$I$28:$I$32)+SUMPRODUCT($R$33:$R$34,$I$33:$I$34)+SUMPRODUCT($R$35:$R$36,$I$35:$I$36)+SUMPRODUCT($R$37:$R$39,$I$37:$I$39)+SUMPRODUCT($R$40:$R$44,$I$40:$I$44)+SUMPRODUCT($R$45:$R$49,$I$45:$I$49)+SUMPRODUCT($R$50:$R$52,$I$50:$I$52)+SUMPRODUCT($R$53:$R$53,$I$53:$I$53)+SUMPRODUCT($R$54:$R$56,$I$54:$I$56)+SUMPRODUCT($R$57:$R$57,$I$57:$I$57)+SUMPRODUCT($R$58:$R$60,$I$58:$I$60)+SUMPRODUCT($R$61:$R$61,$I$61:$I$61)+SUMPRODUCT($R$62:$R$64,$I$62:$I$64)+SUMPRODUCT($R$65:$R$67,$I$65:$I$67)+SUMPRODUCT($R$68:$R$68,$I$68:$I$68)+SUMPRODUCT($R$69:$R$69,$I$69:$I$69)+SUMPRODUCT($R$70:$R$71,$I$70:$I$71)),0,+SUMPRODUCT($R$5:$R$8,$I$5:$I$8)+SUMPRODUCT($R$9:$R$12,$I$9:$I$12)+SUMPRODUCT($R$14:$R$17,$I$14:$I$17)+SUMPRODUCT($R$18:$R$18,$I$18:$I$18)+SUMPRODUCT($R$19:$R$23,$I$19:$I$23)+SUMPRODUCT($R$24:$R$27,$I$24:$I$27)+SUMPRODUCT($R$28:$R$32,$I$28:$I$32)+SUMPRODUCT($R$33:$R$34,$I$33:$I$34)+SUMPRODUCT($R$35:$R$36,$I$35:$I$36)+SUMPRODUCT($R$37:$R$39,$I$37:$I$39)+SUMPRODUCT($R$40:$R$44,$I$40:$I$44)+SUMPRODUCT($R$45:$R$49,$I$45:$I$49)+SUMPRODUCT($R$50:$R$52,$I$50:$I$52)+SUMPRODUCT($R$53:$R$53,$I$53:$I$53)+SUMPRODUCT($R$54:$R$56,$I$54:$I$56)+SUMPRODUCT($R$57:$R$57,$I$57:$I$57)+SUMPRODUCT($R$58:$R$60,$I$58:$I$60)+SUMPRODUCT($R$61:$R$61,$I$61:$I$61)+SUMPRODUCT($R$62:$R$64,$I$62:$I$64)+SUMPRODUCT($R$65:$R$67,$I$65:$I$67)+SUMPRODUCT($R$68:$R$68,$I$68:$I$68)+SUMPRODUCT($R$69:$R$69,$I$69:$I$69)+SUMPRODUCT($R$70:$R$71,$I$70:$I$71))</f>
        <v>571209.96974999993</v>
      </c>
      <c r="S75" s="13">
        <f>IF(ISERROR(+SUMPRODUCT($S$5:$S$8,$I$5:$I$8)+SUMPRODUCT($S$9:$S$12,$I$9:$I$12)+SUMPRODUCT($S$14:$S$17,$I$14:$I$17)+SUMPRODUCT($S$18:$S$18,$I$18:$I$18)+SUMPRODUCT($S$19:$S$23,$I$19:$I$23)+SUMPRODUCT($S$24:$S$27,$I$24:$I$27)+SUMPRODUCT($S$28:$S$32,$I$28:$I$32)+SUMPRODUCT($S$33:$S$34,$I$33:$I$34)+SUMPRODUCT($S$35:$S$36,$I$35:$I$36)+SUMPRODUCT($S$37:$S$39,$I$37:$I$39)+SUMPRODUCT($S$40:$S$44,$I$40:$I$44)+SUMPRODUCT($S$45:$S$49,$I$45:$I$49)+SUMPRODUCT($S$50:$S$52,$I$50:$I$52)+SUMPRODUCT($S$53:$S$53,$I$53:$I$53)+SUMPRODUCT($S$54:$S$56,$I$54:$I$56)+SUMPRODUCT($S$57:$S$57,$I$57:$I$57)+SUMPRODUCT($S$58:$S$60,$I$58:$I$60)+SUMPRODUCT($S$61:$S$61,$I$61:$I$61)+SUMPRODUCT($S$62:$S$64,$I$62:$I$64)+SUMPRODUCT($S$65:$S$67,$I$65:$I$67)+SUMPRODUCT($S$68:$S$68,$I$68:$I$68)+SUMPRODUCT($S$69:$S$69,$I$69:$I$69)+SUMPRODUCT($S$70:$S$71,$I$70:$I$71)),0,+SUMPRODUCT($S$5:$S$8,$I$5:$I$8)+SUMPRODUCT($S$9:$S$12,$I$9:$I$12)+SUMPRODUCT($S$14:$S$17,$I$14:$I$17)+SUMPRODUCT($S$18:$S$18,$I$18:$I$18)+SUMPRODUCT($S$19:$S$23,$I$19:$I$23)+SUMPRODUCT($S$24:$S$27,$I$24:$I$27)+SUMPRODUCT($S$28:$S$32,$I$28:$I$32)+SUMPRODUCT($S$33:$S$34,$I$33:$I$34)+SUMPRODUCT($S$35:$S$36,$I$35:$I$36)+SUMPRODUCT($S$37:$S$39,$I$37:$I$39)+SUMPRODUCT($S$40:$S$44,$I$40:$I$44)+SUMPRODUCT($S$45:$S$49,$I$45:$I$49)+SUMPRODUCT($S$50:$S$52,$I$50:$I$52)+SUMPRODUCT($S$53:$S$53,$I$53:$I$53)+SUMPRODUCT($S$54:$S$56,$I$54:$I$56)+SUMPRODUCT($S$57:$S$57,$I$57:$I$57)+SUMPRODUCT($S$58:$S$60,$I$58:$I$60)+SUMPRODUCT($S$61:$S$61,$I$61:$I$61)+SUMPRODUCT($S$62:$S$64,$I$62:$I$64)+SUMPRODUCT($S$65:$S$67,$I$65:$I$67)+SUMPRODUCT($S$68:$S$68,$I$68:$I$68)+SUMPRODUCT($S$69:$S$69,$I$69:$I$69)+SUMPRODUCT($S$70:$S$71,$I$70:$I$71))</f>
        <v>581574.30574999994</v>
      </c>
      <c r="T75" s="13"/>
      <c r="U75" s="13">
        <f>IF(ISERROR(+SUMPRODUCT($U$5:$U$8,$I$5:$I$8)+SUMPRODUCT($U$9:$U$12,$I$9:$I$12)+SUMPRODUCT($U$14:$U$17,$I$14:$I$17)+SUMPRODUCT($U$18:$U$18,$I$18:$I$18)+SUMPRODUCT($U$19:$U$23,$I$19:$I$23)+SUMPRODUCT($U$24:$U$27,$I$24:$I$27)+SUMPRODUCT($U$28:$U$32,$I$28:$I$32)+SUMPRODUCT($U$33:$U$34,$I$33:$I$34)+SUMPRODUCT($U$35:$U$36,$I$35:$I$36)+SUMPRODUCT($U$37:$U$39,$I$37:$I$39)+SUMPRODUCT($U$40:$U$44,$I$40:$I$44)+SUMPRODUCT($U$45:$U$49,$I$45:$I$49)+SUMPRODUCT($U$50:$U$52,$I$50:$I$52)+SUMPRODUCT($U$53:$U$53,$I$53:$I$53)+SUMPRODUCT($U$54:$U$56,$I$54:$I$56)+SUMPRODUCT($U$57:$U$57,$I$57:$I$57)+SUMPRODUCT($U$58:$U$60,$I$58:$I$60)+SUMPRODUCT($U$61:$U$61,$I$61:$I$61)+SUMPRODUCT($U$62:$U$64,$I$62:$I$64)+SUMPRODUCT($U$65:$U$67,$I$65:$I$67)+SUMPRODUCT($U$68:$U$68,$I$68:$I$68)+SUMPRODUCT($U$69:$U$69,$I$69:$I$69)+SUMPRODUCT($U$70:$U$71,$I$70:$I$71)),0,+SUMPRODUCT($U$5:$U$8,$I$5:$I$8)+SUMPRODUCT($U$9:$U$12,$I$9:$I$12)+SUMPRODUCT($U$14:$U$17,$I$14:$I$17)+SUMPRODUCT($U$18:$U$18,$I$18:$I$18)+SUMPRODUCT($U$19:$U$23,$I$19:$I$23)+SUMPRODUCT($U$24:$U$27,$I$24:$I$27)+SUMPRODUCT($U$28:$U$32,$I$28:$I$32)+SUMPRODUCT($U$33:$U$34,$I$33:$I$34)+SUMPRODUCT($U$35:$U$36,$I$35:$I$36)+SUMPRODUCT($U$37:$U$39,$I$37:$I$39)+SUMPRODUCT($U$40:$U$44,$I$40:$I$44)+SUMPRODUCT($U$45:$U$49,$I$45:$I$49)+SUMPRODUCT($U$50:$U$52,$I$50:$I$52)+SUMPRODUCT($U$53:$U$53,$I$53:$I$53)+SUMPRODUCT($U$54:$U$56,$I$54:$I$56)+SUMPRODUCT($U$57:$U$57,$I$57:$I$57)+SUMPRODUCT($U$58:$U$60,$I$58:$I$60)+SUMPRODUCT($U$61:$U$61,$I$61:$I$61)+SUMPRODUCT($U$62:$U$64,$I$62:$I$64)+SUMPRODUCT($U$65:$U$67,$I$65:$I$67)+SUMPRODUCT($U$68:$U$68,$I$68:$I$68)+SUMPRODUCT($U$69:$U$69,$I$69:$I$69)+SUMPRODUCT($U$70:$U$71,$I$70:$I$71))</f>
        <v>11667190.797623849</v>
      </c>
      <c r="V75" s="13">
        <f>IF(ISERROR(+SUMPRODUCT($V$5:$V$8,$I$5:$I$8)+SUMPRODUCT($V$9:$V$12,$I$9:$I$12)+SUMPRODUCT($V$14:$V$17,$I$14:$I$17)+SUMPRODUCT($V$18:$V$18,$I$18:$I$18)+SUMPRODUCT($V$19:$V$23,$I$19:$I$23)+SUMPRODUCT($V$24:$V$27,$I$24:$I$27)+SUMPRODUCT($V$28:$V$32,$I$28:$I$32)+SUMPRODUCT($V$33:$V$34,$I$33:$I$34)+SUMPRODUCT($V$35:$V$36,$I$35:$I$36)+SUMPRODUCT($V$37:$V$39,$I$37:$I$39)+SUMPRODUCT($V$40:$V$44,$I$40:$I$44)+SUMPRODUCT($V$45:$V$49,$I$45:$I$49)+SUMPRODUCT($V$50:$V$52,$I$50:$I$52)+SUMPRODUCT($V$53:$V$53,$I$53:$I$53)+SUMPRODUCT($V$54:$V$56,$I$54:$I$56)+SUMPRODUCT($V$57:$V$57,$I$57:$I$57)+SUMPRODUCT($V$58:$V$60,$I$58:$I$60)+SUMPRODUCT($V$61:$V$61,$I$61:$I$61)+SUMPRODUCT($V$62:$V$64,$I$62:$I$64)+SUMPRODUCT($V$65:$V$67,$I$65:$I$67)+SUMPRODUCT($V$68:$V$68,$I$68:$I$68)+SUMPRODUCT($V$69:$V$69,$I$69:$I$69)+SUMPRODUCT($V$70:$V$71,$I$70:$I$71)),0,+SUMPRODUCT($V$5:$V$8,$I$5:$I$8)+SUMPRODUCT($V$9:$V$12,$I$9:$I$12)+SUMPRODUCT($V$14:$V$17,$I$14:$I$17)+SUMPRODUCT($V$18:$V$18,$I$18:$I$18)+SUMPRODUCT($V$19:$V$23,$I$19:$I$23)+SUMPRODUCT($V$24:$V$27,$I$24:$I$27)+SUMPRODUCT($V$28:$V$32,$I$28:$I$32)+SUMPRODUCT($V$33:$V$34,$I$33:$I$34)+SUMPRODUCT($V$35:$V$36,$I$35:$I$36)+SUMPRODUCT($V$37:$V$39,$I$37:$I$39)+SUMPRODUCT($V$40:$V$44,$I$40:$I$44)+SUMPRODUCT($V$45:$V$49,$I$45:$I$49)+SUMPRODUCT($V$50:$V$52,$I$50:$I$52)+SUMPRODUCT($V$53:$V$53,$I$53:$I$53)+SUMPRODUCT($V$54:$V$56,$I$54:$I$56)+SUMPRODUCT($V$57:$V$57,$I$57:$I$57)+SUMPRODUCT($V$58:$V$60,$I$58:$I$60)+SUMPRODUCT($V$61:$V$61,$I$61:$I$61)+SUMPRODUCT($V$62:$V$64,$I$62:$I$64)+SUMPRODUCT($V$65:$V$67,$I$65:$I$67)+SUMPRODUCT($V$68:$V$68,$I$68:$I$68)+SUMPRODUCT($V$69:$V$69,$I$69:$I$69)+SUMPRODUCT($V$70:$V$71,$I$70:$I$71))</f>
        <v>3474919.9891281743</v>
      </c>
      <c r="W75" s="13">
        <f>IF(ISERROR(+SUMPRODUCT($W$5:$W$8,$I$5:$I$8)+SUMPRODUCT($W$9:$W$12,$I$9:$I$12)+SUMPRODUCT($W$14:$W$17,$I$14:$I$17)+SUMPRODUCT($W$18:$W$18,$I$18:$I$18)+SUMPRODUCT($W$19:$W$23,$I$19:$I$23)+SUMPRODUCT($W$24:$W$27,$I$24:$I$27)+SUMPRODUCT($W$28:$W$32,$I$28:$I$32)+SUMPRODUCT($W$33:$W$34,$I$33:$I$34)+SUMPRODUCT($W$35:$W$36,$I$35:$I$36)+SUMPRODUCT($W$37:$W$39,$I$37:$I$39)+SUMPRODUCT($W$40:$W$44,$I$40:$I$44)+SUMPRODUCT($W$45:$W$49,$I$45:$I$49)+SUMPRODUCT($W$50:$W$52,$I$50:$I$52)+SUMPRODUCT($W$53:$W$53,$I$53:$I$53)+SUMPRODUCT($W$54:$W$56,$I$54:$I$56)+SUMPRODUCT($W$57:$W$57,$I$57:$I$57)+SUMPRODUCT($W$58:$W$60,$I$58:$I$60)+SUMPRODUCT($W$61:$W$61,$I$61:$I$61)+SUMPRODUCT($W$62:$W$64,$I$62:$I$64)+SUMPRODUCT($W$65:$W$67,$I$65:$I$67)+SUMPRODUCT($W$68:$W$68,$I$68:$I$68)+SUMPRODUCT($W$69:$W$69,$I$69:$I$69)+SUMPRODUCT($W$70:$W$71,$I$70:$I$71)),0,+SUMPRODUCT($W$5:$W$8,$I$5:$I$8)+SUMPRODUCT($W$9:$W$12,$I$9:$I$12)+SUMPRODUCT($W$14:$W$17,$I$14:$I$17)+SUMPRODUCT($W$18:$W$18,$I$18:$I$18)+SUMPRODUCT($W$19:$W$23,$I$19:$I$23)+SUMPRODUCT($W$24:$W$27,$I$24:$I$27)+SUMPRODUCT($W$28:$W$32,$I$28:$I$32)+SUMPRODUCT($W$33:$W$34,$I$33:$I$34)+SUMPRODUCT($W$35:$W$36,$I$35:$I$36)+SUMPRODUCT($W$37:$W$39,$I$37:$I$39)+SUMPRODUCT($W$40:$W$44,$I$40:$I$44)+SUMPRODUCT($W$45:$W$49,$I$45:$I$49)+SUMPRODUCT($W$50:$W$52,$I$50:$I$52)+SUMPRODUCT($W$53:$W$53,$I$53:$I$53)+SUMPRODUCT($W$54:$W$56,$I$54:$I$56)+SUMPRODUCT($W$57:$W$57,$I$57:$I$57)+SUMPRODUCT($W$58:$W$60,$I$58:$I$60)+SUMPRODUCT($W$61:$W$61,$I$61:$I$61)+SUMPRODUCT($W$62:$W$64,$I$62:$I$64)+SUMPRODUCT($W$65:$W$67,$I$65:$I$67)+SUMPRODUCT($W$68:$W$68,$I$68:$I$68)+SUMPRODUCT($W$69:$W$69,$I$69:$I$69)+SUMPRODUCT($W$70:$W$71,$I$70:$I$71))</f>
        <v>188570.67308237503</v>
      </c>
      <c r="X75" s="13">
        <f>IF(ISERROR(+SUMPRODUCT($X$5:$X$8,$I$5:$I$8)+SUMPRODUCT($X$9:$X$12,$I$9:$I$12)+SUMPRODUCT($X$14:$X$17,$I$14:$I$17)+SUMPRODUCT($X$18:$X$18,$I$18:$I$18)+SUMPRODUCT($X$19:$X$23,$I$19:$I$23)+SUMPRODUCT($X$24:$X$27,$I$24:$I$27)+SUMPRODUCT($X$28:$X$32,$I$28:$I$32)+SUMPRODUCT($X$33:$X$34,$I$33:$I$34)+SUMPRODUCT($X$35:$X$36,$I$35:$I$36)+SUMPRODUCT($X$37:$X$39,$I$37:$I$39)+SUMPRODUCT($X$40:$X$44,$I$40:$I$44)+SUMPRODUCT($X$45:$X$49,$I$45:$I$49)+SUMPRODUCT($X$50:$X$52,$I$50:$I$52)+SUMPRODUCT($X$53:$X$53,$I$53:$I$53)+SUMPRODUCT($X$54:$X$56,$I$54:$I$56)+SUMPRODUCT($X$57:$X$57,$I$57:$I$57)+SUMPRODUCT($X$58:$X$60,$I$58:$I$60)+SUMPRODUCT($X$61:$X$61,$I$61:$I$61)+SUMPRODUCT($X$62:$X$64,$I$62:$I$64)+SUMPRODUCT($X$65:$X$67,$I$65:$I$67)+SUMPRODUCT($X$68:$X$68,$I$68:$I$68)+SUMPRODUCT($X$69:$X$69,$I$69:$I$69)+SUMPRODUCT($X$70:$X$71,$I$70:$I$71)),0,+SUMPRODUCT($X$5:$X$8,$I$5:$I$8)+SUMPRODUCT($X$9:$X$12,$I$9:$I$12)+SUMPRODUCT($X$14:$X$17,$I$14:$I$17)+SUMPRODUCT($X$18:$X$18,$I$18:$I$18)+SUMPRODUCT($X$19:$X$23,$I$19:$I$23)+SUMPRODUCT($X$24:$X$27,$I$24:$I$27)+SUMPRODUCT($X$28:$X$32,$I$28:$I$32)+SUMPRODUCT($X$33:$X$34,$I$33:$I$34)+SUMPRODUCT($X$35:$X$36,$I$35:$I$36)+SUMPRODUCT($X$37:$X$39,$I$37:$I$39)+SUMPRODUCT($X$40:$X$44,$I$40:$I$44)+SUMPRODUCT($X$45:$X$49,$I$45:$I$49)+SUMPRODUCT($X$50:$X$52,$I$50:$I$52)+SUMPRODUCT($X$53:$X$53,$I$53:$I$53)+SUMPRODUCT($X$54:$X$56,$I$54:$I$56)+SUMPRODUCT($X$57:$X$57,$I$57:$I$57)+SUMPRODUCT($X$58:$X$60,$I$58:$I$60)+SUMPRODUCT($X$61:$X$61,$I$61:$I$61)+SUMPRODUCT($X$62:$X$64,$I$62:$I$64)+SUMPRODUCT($X$65:$X$67,$I$65:$I$67)+SUMPRODUCT($X$68:$X$68,$I$68:$I$68)+SUMPRODUCT($X$69:$X$69,$I$69:$I$69)+SUMPRODUCT($X$70:$X$71,$I$70:$I$71))</f>
        <v>0</v>
      </c>
      <c r="Y75" s="13">
        <f>IF(ISERROR(+SUMPRODUCT($Y$5:$Y$8,$I$5:$I$8)+SUMPRODUCT($Y$9:$Y$12,$I$9:$I$12)+SUMPRODUCT($Y$14:$Y$17,$I$14:$I$17)+SUMPRODUCT($Y$18:$Y$18,$I$18:$I$18)+SUMPRODUCT($Y$19:$Y$23,$I$19:$I$23)+SUMPRODUCT($Y$24:$Y$27,$I$24:$I$27)+SUMPRODUCT($Y$28:$Y$32,$I$28:$I$32)+SUMPRODUCT($Y$33:$Y$34,$I$33:$I$34)+SUMPRODUCT($Y$35:$Y$36,$I$35:$I$36)+SUMPRODUCT($Y$37:$Y$39,$I$37:$I$39)+SUMPRODUCT($Y$40:$Y$44,$I$40:$I$44)+SUMPRODUCT($Y$45:$Y$49,$I$45:$I$49)+SUMPRODUCT($Y$50:$Y$52,$I$50:$I$52)+SUMPRODUCT($Y$53:$Y$53,$I$53:$I$53)+SUMPRODUCT($Y$54:$Y$56,$I$54:$I$56)+SUMPRODUCT($Y$57:$Y$57,$I$57:$I$57)+SUMPRODUCT($Y$58:$Y$60,$I$58:$I$60)+SUMPRODUCT($Y$61:$Y$61,$I$61:$I$61)+SUMPRODUCT($Y$62:$Y$64,$I$62:$I$64)+SUMPRODUCT($Y$65:$Y$67,$I$65:$I$67)+SUMPRODUCT($Y$68:$Y$68,$I$68:$I$68)+SUMPRODUCT($Y$69:$Y$69,$I$69:$I$69)+SUMPRODUCT($Y$70:$Y$71,$I$70:$I$71)),0,+SUMPRODUCT($Y$5:$Y$8,$I$5:$I$8)+SUMPRODUCT($Y$9:$Y$12,$I$9:$I$12)+SUMPRODUCT($Y$14:$Y$17,$I$14:$I$17)+SUMPRODUCT($Y$18:$Y$18,$I$18:$I$18)+SUMPRODUCT($Y$19:$Y$23,$I$19:$I$23)+SUMPRODUCT($Y$24:$Y$27,$I$24:$I$27)+SUMPRODUCT($Y$28:$Y$32,$I$28:$I$32)+SUMPRODUCT($Y$33:$Y$34,$I$33:$I$34)+SUMPRODUCT($Y$35:$Y$36,$I$35:$I$36)+SUMPRODUCT($Y$37:$Y$39,$I$37:$I$39)+SUMPRODUCT($Y$40:$Y$44,$I$40:$I$44)+SUMPRODUCT($Y$45:$Y$49,$I$45:$I$49)+SUMPRODUCT($Y$50:$Y$52,$I$50:$I$52)+SUMPRODUCT($Y$53:$Y$53,$I$53:$I$53)+SUMPRODUCT($Y$54:$Y$56,$I$54:$I$56)+SUMPRODUCT($Y$57:$Y$57,$I$57:$I$57)+SUMPRODUCT($Y$58:$Y$60,$I$58:$I$60)+SUMPRODUCT($Y$61:$Y$61,$I$61:$I$61)+SUMPRODUCT($Y$62:$Y$64,$I$62:$I$64)+SUMPRODUCT($Y$65:$Y$67,$I$65:$I$67)+SUMPRODUCT($Y$68:$Y$68,$I$68:$I$68)+SUMPRODUCT($Y$69:$Y$69,$I$69:$I$69)+SUMPRODUCT($Y$70:$Y$71,$I$70:$I$71))</f>
        <v>0</v>
      </c>
      <c r="Z75" s="13">
        <f>IF(ISERROR(+SUMPRODUCT($Z$5:$Z$8,$I$5:$I$8)+SUMPRODUCT($Z$9:$Z$12,$I$9:$I$12)+SUMPRODUCT($Z$14:$Z$17,$I$14:$I$17)+SUMPRODUCT($Z$18:$Z$18,$I$18:$I$18)+SUMPRODUCT($Z$19:$Z$23,$I$19:$I$23)+SUMPRODUCT($Z$24:$Z$27,$I$24:$I$27)+SUMPRODUCT($Z$28:$Z$32,$I$28:$I$32)+SUMPRODUCT($Z$33:$Z$34,$I$33:$I$34)+SUMPRODUCT($Z$35:$Z$36,$I$35:$I$36)+SUMPRODUCT($Z$37:$Z$39,$I$37:$I$39)+SUMPRODUCT($Z$40:$Z$44,$I$40:$I$44)+SUMPRODUCT($Z$45:$Z$49,$I$45:$I$49)+SUMPRODUCT($Z$50:$Z$52,$I$50:$I$52)+SUMPRODUCT($Z$53:$Z$53,$I$53:$I$53)+SUMPRODUCT($Z$54:$Z$56,$I$54:$I$56)+SUMPRODUCT($Z$57:$Z$57,$I$57:$I$57)+SUMPRODUCT($Z$58:$Z$60,$I$58:$I$60)+SUMPRODUCT($Z$61:$Z$61,$I$61:$I$61)+SUMPRODUCT($Z$62:$Z$64,$I$62:$I$64)+SUMPRODUCT($Z$65:$Z$67,$I$65:$I$67)+SUMPRODUCT($Z$68:$Z$68,$I$68:$I$68)+SUMPRODUCT($Z$69:$Z$69,$I$69:$I$69)+SUMPRODUCT($Z$70:$Z$71,$I$70:$I$71)),0,+SUMPRODUCT($Z$5:$Z$8,$I$5:$I$8)+SUMPRODUCT($Z$9:$Z$12,$I$9:$I$12)+SUMPRODUCT($Z$14:$Z$17,$I$14:$I$17)+SUMPRODUCT($Z$18:$Z$18,$I$18:$I$18)+SUMPRODUCT($Z$19:$Z$23,$I$19:$I$23)+SUMPRODUCT($Z$24:$Z$27,$I$24:$I$27)+SUMPRODUCT($Z$28:$Z$32,$I$28:$I$32)+SUMPRODUCT($Z$33:$Z$34,$I$33:$I$34)+SUMPRODUCT($Z$35:$Z$36,$I$35:$I$36)+SUMPRODUCT($Z$37:$Z$39,$I$37:$I$39)+SUMPRODUCT($Z$40:$Z$44,$I$40:$I$44)+SUMPRODUCT($Z$45:$Z$49,$I$45:$I$49)+SUMPRODUCT($Z$50:$Z$52,$I$50:$I$52)+SUMPRODUCT($Z$53:$Z$53,$I$53:$I$53)+SUMPRODUCT($Z$54:$Z$56,$I$54:$I$56)+SUMPRODUCT($Z$57:$Z$57,$I$57:$I$57)+SUMPRODUCT($Z$58:$Z$60,$I$58:$I$60)+SUMPRODUCT($Z$61:$Z$61,$I$61:$I$61)+SUMPRODUCT($Z$62:$Z$64,$I$62:$I$64)+SUMPRODUCT($Z$65:$Z$67,$I$65:$I$67)+SUMPRODUCT($Z$68:$Z$68,$I$68:$I$68)+SUMPRODUCT($Z$69:$Z$69,$I$69:$I$69)+SUMPRODUCT($Z$70:$Z$71,$I$70:$I$71))</f>
        <v>0</v>
      </c>
      <c r="AA75" s="13">
        <f>IF(ISERROR(+SUMPRODUCT($AA$5:$AA$8,$I$5:$I$8)+SUMPRODUCT($AA$9:$AA$12,$I$9:$I$12)+SUMPRODUCT($AA$14:$AA$17,$I$14:$I$17)+SUMPRODUCT($AA$18:$AA$18,$I$18:$I$18)+SUMPRODUCT($AA$19:$AA$23,$I$19:$I$23)+SUMPRODUCT($AA$24:$AA$27,$I$24:$I$27)+SUMPRODUCT($AA$28:$AA$32,$I$28:$I$32)+SUMPRODUCT($AA$33:$AA$34,$I$33:$I$34)+SUMPRODUCT($AA$35:$AA$36,$I$35:$I$36)+SUMPRODUCT($AA$37:$AA$39,$I$37:$I$39)+SUMPRODUCT($AA$40:$AA$44,$I$40:$I$44)+SUMPRODUCT($AA$45:$AA$49,$I$45:$I$49)+SUMPRODUCT($AA$50:$AA$52,$I$50:$I$52)+SUMPRODUCT($AA$53:$AA$53,$I$53:$I$53)+SUMPRODUCT($AA$54:$AA$56,$I$54:$I$56)+SUMPRODUCT($AA$57:$AA$57,$I$57:$I$57)+SUMPRODUCT($AA$58:$AA$60,$I$58:$I$60)+SUMPRODUCT($AA$61:$AA$61,$I$61:$I$61)+SUMPRODUCT($AA$62:$AA$64,$I$62:$I$64)+SUMPRODUCT($AA$65:$AA$67,$I$65:$I$67)+SUMPRODUCT($AA$68:$AA$68,$I$68:$I$68)+SUMPRODUCT($AA$69:$AA$69,$I$69:$I$69)+SUMPRODUCT($AA$70:$AA$71,$I$70:$I$71)),0,+SUMPRODUCT($AA$5:$AA$8,$I$5:$I$8)+SUMPRODUCT($AA$9:$AA$12,$I$9:$I$12)+SUMPRODUCT($AA$14:$AA$17,$I$14:$I$17)+SUMPRODUCT($AA$18:$AA$18,$I$18:$I$18)+SUMPRODUCT($AA$19:$AA$23,$I$19:$I$23)+SUMPRODUCT($AA$24:$AA$27,$I$24:$I$27)+SUMPRODUCT($AA$28:$AA$32,$I$28:$I$32)+SUMPRODUCT($AA$33:$AA$34,$I$33:$I$34)+SUMPRODUCT($AA$35:$AA$36,$I$35:$I$36)+SUMPRODUCT($AA$37:$AA$39,$I$37:$I$39)+SUMPRODUCT($AA$40:$AA$44,$I$40:$I$44)+SUMPRODUCT($AA$45:$AA$49,$I$45:$I$49)+SUMPRODUCT($AA$50:$AA$52,$I$50:$I$52)+SUMPRODUCT($AA$53:$AA$53,$I$53:$I$53)+SUMPRODUCT($AA$54:$AA$56,$I$54:$I$56)+SUMPRODUCT($AA$57:$AA$57,$I$57:$I$57)+SUMPRODUCT($AA$58:$AA$60,$I$58:$I$60)+SUMPRODUCT($AA$61:$AA$61,$I$61:$I$61)+SUMPRODUCT($AA$62:$AA$64,$I$62:$I$64)+SUMPRODUCT($AA$65:$AA$67,$I$65:$I$67)+SUMPRODUCT($AA$68:$AA$68,$I$68:$I$68)+SUMPRODUCT($AA$69:$AA$69,$I$69:$I$69)+SUMPRODUCT($AA$70:$AA$71,$I$70:$I$71))</f>
        <v>0</v>
      </c>
      <c r="AB75" s="13"/>
      <c r="AC75" s="13">
        <f>IF(ISERROR(+SUMPRODUCT($AC$5:$AC$8,$I$5:$I$8)+SUMPRODUCT($AC$9:$AC$12,$I$9:$I$12)+SUMPRODUCT($AC$14:$AC$17,$I$14:$I$17)+SUMPRODUCT($AC$18:$AC$18,$I$18:$I$18)+SUMPRODUCT($AC$19:$AC$23,$I$19:$I$23)+SUMPRODUCT($AC$24:$AC$27,$I$24:$I$27)+SUMPRODUCT($AC$28:$AC$32,$I$28:$I$32)+SUMPRODUCT($AC$33:$AC$34,$I$33:$I$34)+SUMPRODUCT($AC$35:$AC$36,$I$35:$I$36)+SUMPRODUCT($AC$37:$AC$39,$I$37:$I$39)+SUMPRODUCT($AC$40:$AC$44,$I$40:$I$44)+SUMPRODUCT($AC$45:$AC$49,$I$45:$I$49)+SUMPRODUCT($AC$50:$AC$52,$I$50:$I$52)+SUMPRODUCT($AC$53:$AC$53,$I$53:$I$53)+SUMPRODUCT($AC$54:$AC$56,$I$54:$I$56)+SUMPRODUCT($AC$57:$AC$57,$I$57:$I$57)+SUMPRODUCT($AC$58:$AC$60,$I$58:$I$60)+SUMPRODUCT($AC$61:$AC$61,$I$61:$I$61)+SUMPRODUCT($AC$62:$AC$64,$I$62:$I$64)+SUMPRODUCT($AC$65:$AC$67,$I$65:$I$67)+SUMPRODUCT($AC$68:$AC$68,$I$68:$I$68)+SUMPRODUCT($AC$69:$AC$69,$I$69:$I$69)+SUMPRODUCT($AC$70:$AC$71,$I$70:$I$71)),0,+SUMPRODUCT($AC$5:$AC$8,$I$5:$I$8)+SUMPRODUCT($AC$9:$AC$12,$I$9:$I$12)+SUMPRODUCT($AC$14:$AC$17,$I$14:$I$17)+SUMPRODUCT($AC$18:$AC$18,$I$18:$I$18)+SUMPRODUCT($AC$19:$AC$23,$I$19:$I$23)+SUMPRODUCT($AC$24:$AC$27,$I$24:$I$27)+SUMPRODUCT($AC$28:$AC$32,$I$28:$I$32)+SUMPRODUCT($AC$33:$AC$34,$I$33:$I$34)+SUMPRODUCT($AC$35:$AC$36,$I$35:$I$36)+SUMPRODUCT($AC$37:$AC$39,$I$37:$I$39)+SUMPRODUCT($AC$40:$AC$44,$I$40:$I$44)+SUMPRODUCT($AC$45:$AC$49,$I$45:$I$49)+SUMPRODUCT($AC$50:$AC$52,$I$50:$I$52)+SUMPRODUCT($AC$53:$AC$53,$I$53:$I$53)+SUMPRODUCT($AC$54:$AC$56,$I$54:$I$56)+SUMPRODUCT($AC$57:$AC$57,$I$57:$I$57)+SUMPRODUCT($AC$58:$AC$60,$I$58:$I$60)+SUMPRODUCT($AC$61:$AC$61,$I$61:$I$61)+SUMPRODUCT($AC$62:$AC$64,$I$62:$I$64)+SUMPRODUCT($AC$65:$AC$67,$I$65:$I$67)+SUMPRODUCT($AC$68:$AC$68,$I$68:$I$68)+SUMPRODUCT($AC$69:$AC$69,$I$69:$I$69)+SUMPRODUCT($AC$70:$AC$71,$I$70:$I$71))</f>
        <v>53172007.685951307</v>
      </c>
      <c r="AD75" s="13"/>
      <c r="AE75" s="13">
        <f>IF(ISERROR(+SUMPRODUCT($AE$5:$AE$8,$I$5:$I$8)+SUMPRODUCT($AE$9:$AE$12,$I$9:$I$12)+SUMPRODUCT($AE$14:$AE$17,$I$14:$I$17)+SUMPRODUCT($AE$18:$AE$18,$I$18:$I$18)+SUMPRODUCT($AE$19:$AE$23,$I$19:$I$23)+SUMPRODUCT($AE$24:$AE$27,$I$24:$I$27)+SUMPRODUCT($AE$28:$AE$32,$I$28:$I$32)+SUMPRODUCT($AE$33:$AE$34,$I$33:$I$34)+SUMPRODUCT($AE$35:$AE$36,$I$35:$I$36)+SUMPRODUCT($AE$37:$AE$39,$I$37:$I$39)+SUMPRODUCT($AE$40:$AE$44,$I$40:$I$44)+SUMPRODUCT($AE$45:$AE$49,$I$45:$I$49)+SUMPRODUCT($AE$50:$AE$52,$I$50:$I$52)+SUMPRODUCT($AE$53:$AE$53,$I$53:$I$53)+SUMPRODUCT($AE$54:$AE$56,$I$54:$I$56)+SUMPRODUCT($AE$57:$AE$57,$I$57:$I$57)+SUMPRODUCT($AE$58:$AE$60,$I$58:$I$60)+SUMPRODUCT($AE$61:$AE$61,$I$61:$I$61)+SUMPRODUCT($AE$62:$AE$64,$I$62:$I$64)+SUMPRODUCT($AE$65:$AE$67,$I$65:$I$67)+SUMPRODUCT($AE$68:$AE$68,$I$68:$I$68)+SUMPRODUCT($AE$69:$AE$69,$I$69:$I$69)+SUMPRODUCT($AE$70:$AE$71,$I$70:$I$71)),0,+SUMPRODUCT($AE$5:$AE$8,$I$5:$I$8)+SUMPRODUCT($AE$9:$AE$12,$I$9:$I$12)+SUMPRODUCT($AE$14:$AE$17,$I$14:$I$17)+SUMPRODUCT($AE$18:$AE$18,$I$18:$I$18)+SUMPRODUCT($AE$19:$AE$23,$I$19:$I$23)+SUMPRODUCT($AE$24:$AE$27,$I$24:$I$27)+SUMPRODUCT($AE$28:$AE$32,$I$28:$I$32)+SUMPRODUCT($AE$33:$AE$34,$I$33:$I$34)+SUMPRODUCT($AE$35:$AE$36,$I$35:$I$36)+SUMPRODUCT($AE$37:$AE$39,$I$37:$I$39)+SUMPRODUCT($AE$40:$AE$44,$I$40:$I$44)+SUMPRODUCT($AE$45:$AE$49,$I$45:$I$49)+SUMPRODUCT($AE$50:$AE$52,$I$50:$I$52)+SUMPRODUCT($AE$53:$AE$53,$I$53:$I$53)+SUMPRODUCT($AE$54:$AE$56,$I$54:$I$56)+SUMPRODUCT($AE$57:$AE$57,$I$57:$I$57)+SUMPRODUCT($AE$58:$AE$60,$I$58:$I$60)+SUMPRODUCT($AE$61:$AE$61,$I$61:$I$61)+SUMPRODUCT($AE$62:$AE$64,$I$62:$I$64)+SUMPRODUCT($AE$65:$AE$67,$I$65:$I$67)+SUMPRODUCT($AE$68:$AE$68,$I$68:$I$68)+SUMPRODUCT($AE$69:$AE$69,$I$69:$I$69)+SUMPRODUCT($AE$70:$AE$71,$I$70:$I$71))</f>
        <v>0</v>
      </c>
      <c r="AF75" s="13">
        <f>IF(ISERROR(+SUMPRODUCT($AF$5:$AF$8,$I$5:$I$8)+SUMPRODUCT($AF$9:$AF$12,$I$9:$I$12)+SUMPRODUCT($AF$14:$AF$17,$I$14:$I$17)+SUMPRODUCT($AF$18:$AF$18,$I$18:$I$18)+SUMPRODUCT($AF$19:$AF$23,$I$19:$I$23)+SUMPRODUCT($AF$24:$AF$27,$I$24:$I$27)+SUMPRODUCT($AF$28:$AF$32,$I$28:$I$32)+SUMPRODUCT($AF$33:$AF$34,$I$33:$I$34)+SUMPRODUCT($AF$35:$AF$36,$I$35:$I$36)+SUMPRODUCT($AF$37:$AF$39,$I$37:$I$39)+SUMPRODUCT($AF$40:$AF$44,$I$40:$I$44)+SUMPRODUCT($AF$45:$AF$49,$I$45:$I$49)+SUMPRODUCT($AF$50:$AF$52,$I$50:$I$52)+SUMPRODUCT($AF$53:$AF$53,$I$53:$I$53)+SUMPRODUCT($AF$54:$AF$56,$I$54:$I$56)+SUMPRODUCT($AF$57:$AF$57,$I$57:$I$57)+SUMPRODUCT($AF$58:$AF$60,$I$58:$I$60)+SUMPRODUCT($AF$61:$AF$61,$I$61:$I$61)+SUMPRODUCT($AF$62:$AF$64,$I$62:$I$64)+SUMPRODUCT($AF$65:$AF$67,$I$65:$I$67)+SUMPRODUCT($AF$68:$AF$68,$I$68:$I$68)+SUMPRODUCT($AF$69:$AF$69,$I$69:$I$69)+SUMPRODUCT($AF$70:$AF$71,$I$70:$I$71)),0,+SUMPRODUCT($AF$5:$AF$8,$I$5:$I$8)+SUMPRODUCT($AF$9:$AF$12,$I$9:$I$12)+SUMPRODUCT($AF$14:$AF$17,$I$14:$I$17)+SUMPRODUCT($AF$18:$AF$18,$I$18:$I$18)+SUMPRODUCT($AF$19:$AF$23,$I$19:$I$23)+SUMPRODUCT($AF$24:$AF$27,$I$24:$I$27)+SUMPRODUCT($AF$28:$AF$32,$I$28:$I$32)+SUMPRODUCT($AF$33:$AF$34,$I$33:$I$34)+SUMPRODUCT($AF$35:$AF$36,$I$35:$I$36)+SUMPRODUCT($AF$37:$AF$39,$I$37:$I$39)+SUMPRODUCT($AF$40:$AF$44,$I$40:$I$44)+SUMPRODUCT($AF$45:$AF$49,$I$45:$I$49)+SUMPRODUCT($AF$50:$AF$52,$I$50:$I$52)+SUMPRODUCT($AF$53:$AF$53,$I$53:$I$53)+SUMPRODUCT($AF$54:$AF$56,$I$54:$I$56)+SUMPRODUCT($AF$57:$AF$57,$I$57:$I$57)+SUMPRODUCT($AF$58:$AF$60,$I$58:$I$60)+SUMPRODUCT($AF$61:$AF$61,$I$61:$I$61)+SUMPRODUCT($AF$62:$AF$64,$I$62:$I$64)+SUMPRODUCT($AF$65:$AF$67,$I$65:$I$67)+SUMPRODUCT($AF$68:$AF$68,$I$68:$I$68)+SUMPRODUCT($AF$69:$AF$69,$I$69:$I$69)+SUMPRODUCT($AF$70:$AF$71,$I$70:$I$71))</f>
        <v>0</v>
      </c>
      <c r="AG75" s="13"/>
      <c r="AH75" s="13">
        <f>IF(ISERROR(+SUMPRODUCT($AH$5:$AH$8,$I$5:$I$8)+SUMPRODUCT($AH$9:$AH$12,$I$9:$I$12)+SUMPRODUCT($AH$14:$AH$17,$I$14:$I$17)+SUMPRODUCT($AH$18:$AH$18,$I$18:$I$18)+SUMPRODUCT($AH$19:$AH$23,$I$19:$I$23)+SUMPRODUCT($AH$24:$AH$27,$I$24:$I$27)+SUMPRODUCT($AH$28:$AH$32,$I$28:$I$32)+SUMPRODUCT($AH$33:$AH$34,$I$33:$I$34)+SUMPRODUCT($AH$35:$AH$36,$I$35:$I$36)+SUMPRODUCT($AH$37:$AH$39,$I$37:$I$39)+SUMPRODUCT($AH$40:$AH$44,$I$40:$I$44)+SUMPRODUCT($AH$45:$AH$49,$I$45:$I$49)+SUMPRODUCT($AH$50:$AH$52,$I$50:$I$52)+SUMPRODUCT($AH$53:$AH$53,$I$53:$I$53)+SUMPRODUCT($AH$54:$AH$56,$I$54:$I$56)+SUMPRODUCT($AH$57:$AH$57,$I$57:$I$57)+SUMPRODUCT($AH$58:$AH$60,$I$58:$I$60)+SUMPRODUCT($AH$61:$AH$61,$I$61:$I$61)+SUMPRODUCT($AH$62:$AH$64,$I$62:$I$64)+SUMPRODUCT($AH$65:$AH$67,$I$65:$I$67)+SUMPRODUCT($AH$68:$AH$68,$I$68:$I$68)+SUMPRODUCT($AH$69:$AH$69,$I$69:$I$69)+SUMPRODUCT($AH$70:$AH$71,$I$70:$I$71)),0,+SUMPRODUCT($AH$5:$AH$8,$I$5:$I$8)+SUMPRODUCT($AH$9:$AH$12,$I$9:$I$12)+SUMPRODUCT($AH$14:$AH$17,$I$14:$I$17)+SUMPRODUCT($AH$18:$AH$18,$I$18:$I$18)+SUMPRODUCT($AH$19:$AH$23,$I$19:$I$23)+SUMPRODUCT($AH$24:$AH$27,$I$24:$I$27)+SUMPRODUCT($AH$28:$AH$32,$I$28:$I$32)+SUMPRODUCT($AH$33:$AH$34,$I$33:$I$34)+SUMPRODUCT($AH$35:$AH$36,$I$35:$I$36)+SUMPRODUCT($AH$37:$AH$39,$I$37:$I$39)+SUMPRODUCT($AH$40:$AH$44,$I$40:$I$44)+SUMPRODUCT($AH$45:$AH$49,$I$45:$I$49)+SUMPRODUCT($AH$50:$AH$52,$I$50:$I$52)+SUMPRODUCT($AH$53:$AH$53,$I$53:$I$53)+SUMPRODUCT($AH$54:$AH$56,$I$54:$I$56)+SUMPRODUCT($AH$57:$AH$57,$I$57:$I$57)+SUMPRODUCT($AH$58:$AH$60,$I$58:$I$60)+SUMPRODUCT($AH$61:$AH$61,$I$61:$I$61)+SUMPRODUCT($AH$62:$AH$64,$I$62:$I$64)+SUMPRODUCT($AH$65:$AH$67,$I$65:$I$67)+SUMPRODUCT($AH$68:$AH$68,$I$68:$I$68)+SUMPRODUCT($AH$69:$AH$69,$I$69:$I$69)+SUMPRODUCT($AH$70:$AH$71,$I$70:$I$71))</f>
        <v>21170454.320600402</v>
      </c>
      <c r="AI75" s="13">
        <f>IF(ISERROR(+SUMPRODUCT($AI$5:$AI$8,$I$5:$I$8)+SUMPRODUCT($AI$9:$AI$12,$I$9:$I$12)+SUMPRODUCT($AI$14:$AI$17,$I$14:$I$17)+SUMPRODUCT($AI$18:$AI$18,$I$18:$I$18)+SUMPRODUCT($AI$19:$AI$23,$I$19:$I$23)+SUMPRODUCT($AI$24:$AI$27,$I$24:$I$27)+SUMPRODUCT($AI$28:$AI$32,$I$28:$I$32)+SUMPRODUCT($AI$33:$AI$34,$I$33:$I$34)+SUMPRODUCT($AI$35:$AI$36,$I$35:$I$36)+SUMPRODUCT($AI$37:$AI$39,$I$37:$I$39)+SUMPRODUCT($AI$40:$AI$44,$I$40:$I$44)+SUMPRODUCT($AI$45:$AI$49,$I$45:$I$49)+SUMPRODUCT($AI$50:$AI$52,$I$50:$I$52)+SUMPRODUCT($AI$53:$AI$53,$I$53:$I$53)+SUMPRODUCT($AI$54:$AI$56,$I$54:$I$56)+SUMPRODUCT($AI$57:$AI$57,$I$57:$I$57)+SUMPRODUCT($AI$58:$AI$60,$I$58:$I$60)+SUMPRODUCT($AI$61:$AI$61,$I$61:$I$61)+SUMPRODUCT($AI$62:$AI$64,$I$62:$I$64)+SUMPRODUCT($AI$65:$AI$67,$I$65:$I$67)+SUMPRODUCT($AI$68:$AI$68,$I$68:$I$68)+SUMPRODUCT($AI$69:$AI$69,$I$69:$I$69)+SUMPRODUCT($AI$70:$AI$71,$I$70:$I$71)),0,+SUMPRODUCT($AI$5:$AI$8,$I$5:$I$8)+SUMPRODUCT($AI$9:$AI$12,$I$9:$I$12)+SUMPRODUCT($AI$14:$AI$17,$I$14:$I$17)+SUMPRODUCT($AI$18:$AI$18,$I$18:$I$18)+SUMPRODUCT($AI$19:$AI$23,$I$19:$I$23)+SUMPRODUCT($AI$24:$AI$27,$I$24:$I$27)+SUMPRODUCT($AI$28:$AI$32,$I$28:$I$32)+SUMPRODUCT($AI$33:$AI$34,$I$33:$I$34)+SUMPRODUCT($AI$35:$AI$36,$I$35:$I$36)+SUMPRODUCT($AI$37:$AI$39,$I$37:$I$39)+SUMPRODUCT($AI$40:$AI$44,$I$40:$I$44)+SUMPRODUCT($AI$45:$AI$49,$I$45:$I$49)+SUMPRODUCT($AI$50:$AI$52,$I$50:$I$52)+SUMPRODUCT($AI$53:$AI$53,$I$53:$I$53)+SUMPRODUCT($AI$54:$AI$56,$I$54:$I$56)+SUMPRODUCT($AI$57:$AI$57,$I$57:$I$57)+SUMPRODUCT($AI$58:$AI$60,$I$58:$I$60)+SUMPRODUCT($AI$61:$AI$61,$I$61:$I$61)+SUMPRODUCT($AI$62:$AI$64,$I$62:$I$64)+SUMPRODUCT($AI$65:$AI$67,$I$65:$I$67)+SUMPRODUCT($AI$68:$AI$68,$I$68:$I$68)+SUMPRODUCT($AI$69:$AI$69,$I$69:$I$69)+SUMPRODUCT($AI$70:$AI$71,$I$70:$I$71))</f>
        <v>21169780.0166004</v>
      </c>
      <c r="AJ75" s="13">
        <f ca="1">IF(ISERROR(+SUMPRODUCT($AJ$5:$AJ$8,$I$5:$I$8)+SUMPRODUCT($AJ$9:$AJ$12,$I$9:$I$12)+SUMPRODUCT($AJ$14:$AJ$17,$I$14:$I$17)+SUMPRODUCT($AJ$18:$AJ$18,$I$18:$I$18)+SUMPRODUCT($AJ$19:$AJ$23,$I$19:$I$23)+SUMPRODUCT($AJ$24:$AJ$27,$I$24:$I$27)+SUMPRODUCT($AJ$28:$AJ$32,$I$28:$I$32)+SUMPRODUCT($AJ$33:$AJ$34,$I$33:$I$34)+SUMPRODUCT($AJ$35:$AJ$36,$I$35:$I$36)+SUMPRODUCT($AJ$37:$AJ$39,$I$37:$I$39)+SUMPRODUCT($AJ$40:$AJ$44,$I$40:$I$44)+SUMPRODUCT($AJ$45:$AJ$49,$I$45:$I$49)+SUMPRODUCT($AJ$50:$AJ$52,$I$50:$I$52)+SUMPRODUCT($AJ$53:$AJ$53,$I$53:$I$53)+SUMPRODUCT($AJ$54:$AJ$56,$I$54:$I$56)+SUMPRODUCT($AJ$57:$AJ$57,$I$57:$I$57)+SUMPRODUCT($AJ$58:$AJ$60,$I$58:$I$60)+SUMPRODUCT($AJ$61:$AJ$61,$I$61:$I$61)+SUMPRODUCT($AJ$62:$AJ$64,$I$62:$I$64)+SUMPRODUCT($AJ$65:$AJ$67,$I$65:$I$67)+SUMPRODUCT($AJ$68:$AJ$68,$I$68:$I$68)+SUMPRODUCT($AJ$69:$AJ$69,$I$69:$I$69)+SUMPRODUCT($AJ$70:$AJ$71,$I$70:$I$71)),0,+SUMPRODUCT($AJ$5:$AJ$8,$I$5:$I$8)+SUMPRODUCT($AJ$9:$AJ$12,$I$9:$I$12)+SUMPRODUCT($AJ$14:$AJ$17,$I$14:$I$17)+SUMPRODUCT($AJ$18:$AJ$18,$I$18:$I$18)+SUMPRODUCT($AJ$19:$AJ$23,$I$19:$I$23)+SUMPRODUCT($AJ$24:$AJ$27,$I$24:$I$27)+SUMPRODUCT($AJ$28:$AJ$32,$I$28:$I$32)+SUMPRODUCT($AJ$33:$AJ$34,$I$33:$I$34)+SUMPRODUCT($AJ$35:$AJ$36,$I$35:$I$36)+SUMPRODUCT($AJ$37:$AJ$39,$I$37:$I$39)+SUMPRODUCT($AJ$40:$AJ$44,$I$40:$I$44)+SUMPRODUCT($AJ$45:$AJ$49,$I$45:$I$49)+SUMPRODUCT($AJ$50:$AJ$52,$I$50:$I$52)+SUMPRODUCT($AJ$53:$AJ$53,$I$53:$I$53)+SUMPRODUCT($AJ$54:$AJ$56,$I$54:$I$56)+SUMPRODUCT($AJ$57:$AJ$57,$I$57:$I$57)+SUMPRODUCT($AJ$58:$AJ$60,$I$58:$I$60)+SUMPRODUCT($AJ$61:$AJ$61,$I$61:$I$61)+SUMPRODUCT($AJ$62:$AJ$64,$I$62:$I$64)+SUMPRODUCT($AJ$65:$AJ$67,$I$65:$I$67)+SUMPRODUCT($AJ$68:$AJ$68,$I$68:$I$68)+SUMPRODUCT($AJ$69:$AJ$69,$I$69:$I$69)+SUMPRODUCT($AJ$70:$AJ$71,$I$70:$I$71))</f>
        <v>630383.80579062668</v>
      </c>
      <c r="AK75" s="13">
        <f ca="1">IF(ISERROR(+SUMPRODUCT($AK$5:$AK$8,$I$5:$I$8)+SUMPRODUCT($AK$9:$AK$12,$I$9:$I$12)+SUMPRODUCT($AK$14:$AK$17,$I$14:$I$17)+SUMPRODUCT($AK$18:$AK$18,$I$18:$I$18)+SUMPRODUCT($AK$19:$AK$23,$I$19:$I$23)+SUMPRODUCT($AK$24:$AK$27,$I$24:$I$27)+SUMPRODUCT($AK$28:$AK$32,$I$28:$I$32)+SUMPRODUCT($AK$33:$AK$34,$I$33:$I$34)+SUMPRODUCT($AK$35:$AK$36,$I$35:$I$36)+SUMPRODUCT($AK$37:$AK$39,$I$37:$I$39)+SUMPRODUCT($AK$40:$AK$44,$I$40:$I$44)+SUMPRODUCT($AK$45:$AK$49,$I$45:$I$49)+SUMPRODUCT($AK$50:$AK$52,$I$50:$I$52)+SUMPRODUCT($AK$53:$AK$53,$I$53:$I$53)+SUMPRODUCT($AK$54:$AK$56,$I$54:$I$56)+SUMPRODUCT($AK$57:$AK$57,$I$57:$I$57)+SUMPRODUCT($AK$58:$AK$60,$I$58:$I$60)+SUMPRODUCT($AK$61:$AK$61,$I$61:$I$61)+SUMPRODUCT($AK$62:$AK$64,$I$62:$I$64)+SUMPRODUCT($AK$65:$AK$67,$I$65:$I$67)+SUMPRODUCT($AK$68:$AK$68,$I$68:$I$68)+SUMPRODUCT($AK$69:$AK$69,$I$69:$I$69)+SUMPRODUCT($AK$70:$AK$71,$I$70:$I$71)),0,+SUMPRODUCT($AK$5:$AK$8,$I$5:$I$8)+SUMPRODUCT($AK$9:$AK$12,$I$9:$I$12)+SUMPRODUCT($AK$14:$AK$17,$I$14:$I$17)+SUMPRODUCT($AK$18:$AK$18,$I$18:$I$18)+SUMPRODUCT($AK$19:$AK$23,$I$19:$I$23)+SUMPRODUCT($AK$24:$AK$27,$I$24:$I$27)+SUMPRODUCT($AK$28:$AK$32,$I$28:$I$32)+SUMPRODUCT($AK$33:$AK$34,$I$33:$I$34)+SUMPRODUCT($AK$35:$AK$36,$I$35:$I$36)+SUMPRODUCT($AK$37:$AK$39,$I$37:$I$39)+SUMPRODUCT($AK$40:$AK$44,$I$40:$I$44)+SUMPRODUCT($AK$45:$AK$49,$I$45:$I$49)+SUMPRODUCT($AK$50:$AK$52,$I$50:$I$52)+SUMPRODUCT($AK$53:$AK$53,$I$53:$I$53)+SUMPRODUCT($AK$54:$AK$56,$I$54:$I$56)+SUMPRODUCT($AK$57:$AK$57,$I$57:$I$57)+SUMPRODUCT($AK$58:$AK$60,$I$58:$I$60)+SUMPRODUCT($AK$61:$AK$61,$I$61:$I$61)+SUMPRODUCT($AK$62:$AK$64,$I$62:$I$64)+SUMPRODUCT($AK$65:$AK$67,$I$65:$I$67)+SUMPRODUCT($AK$68:$AK$68,$I$68:$I$68)+SUMPRODUCT($AK$69:$AK$69,$I$69:$I$69)+SUMPRODUCT($AK$70:$AK$71,$I$70:$I$71))</f>
        <v>630383.80579062668</v>
      </c>
      <c r="AL75" s="13"/>
      <c r="AM75" s="13"/>
    </row>
    <row r="76" spans="1:42" ht="11.25" customHeight="1" x14ac:dyDescent="0.3">
      <c r="K76" s="16" t="s">
        <v>698</v>
      </c>
      <c r="L76" s="13">
        <f>CUSTOS!$D$2</f>
        <v>3263782.2795950784</v>
      </c>
      <c r="M76" s="13">
        <f>CUSTOS!$D$3</f>
        <v>333370.91399464809</v>
      </c>
      <c r="N76" s="13">
        <f>CUSTOS!$D$4</f>
        <v>1124879.8979031066</v>
      </c>
      <c r="O76" s="13">
        <f>CUSTOS!$D$5</f>
        <v>0</v>
      </c>
      <c r="P76" s="13">
        <f>CUSTOS!$D$6</f>
        <v>0</v>
      </c>
      <c r="Q76" s="13">
        <f>CUSTOS!$D$7</f>
        <v>41969122.213877276</v>
      </c>
      <c r="R76" s="13">
        <f>CUSTOS!$D$8</f>
        <v>7792628.5853286218</v>
      </c>
      <c r="S76" s="13">
        <f>CUSTOS!$D$9</f>
        <v>0</v>
      </c>
      <c r="T76" s="13">
        <f>CUSTOS!$D$10</f>
        <v>54483783.890698731</v>
      </c>
      <c r="U76" s="13">
        <f>CUSTOS!$D$11</f>
        <v>12972589.400000002</v>
      </c>
      <c r="V76" s="13">
        <f>IF(SUM(V73:V75)&lt;&gt;0,CUSTOS!$D$12+CUSTOS!$D$16+CUSTOS!$D$17-'TR TUSD'!$Z$74-'TR TUSD'!$AA$74,0)</f>
        <v>2748681.3200000003</v>
      </c>
      <c r="W76" s="13">
        <f>CUSTOS!$D$13</f>
        <v>445314.77308886201</v>
      </c>
      <c r="X76" s="13">
        <f>CUSTOS!$D$14</f>
        <v>0</v>
      </c>
      <c r="Y76" s="13">
        <f>IF(SUM(V73:V75)=0,CUSTOS!$D$15+CUSTOS!$D$16+CUSTOS!$D$17-'TR TUSD'!$Z$74-'TR TUSD'!$AA$74,CUSTOS!$D$15)</f>
        <v>0</v>
      </c>
      <c r="Z76" s="13">
        <f>Z74</f>
        <v>0</v>
      </c>
      <c r="AA76" s="13">
        <f>AA74</f>
        <v>0</v>
      </c>
      <c r="AB76" s="13">
        <f>CUSTOS!$D$18</f>
        <v>16166585.493088864</v>
      </c>
      <c r="AC76" s="13">
        <f>CUSTOS!$D$19</f>
        <v>64256372.585481919</v>
      </c>
      <c r="AD76" s="13">
        <f>CUSTOS!$D$20</f>
        <v>64256372.585481919</v>
      </c>
      <c r="AE76" s="13">
        <f>CUSTOS!$D$21</f>
        <v>0</v>
      </c>
      <c r="AF76" s="13">
        <f>CUSTOS!$D$22</f>
        <v>0</v>
      </c>
      <c r="AG76" s="13">
        <f>CUSTOS!$D$23</f>
        <v>0</v>
      </c>
      <c r="AH76" s="13">
        <f>CUSTOS!$D$24</f>
        <v>5512893.3613592153</v>
      </c>
      <c r="AI76" s="13">
        <f>CUSTOS!$D$25</f>
        <v>95541.369012027237</v>
      </c>
      <c r="AJ76" s="13">
        <f>CUSTOS!$D$26</f>
        <v>644066.6932249564</v>
      </c>
      <c r="AK76" s="13">
        <f>CUSTOS!$D$27</f>
        <v>125878.08631896082</v>
      </c>
      <c r="AL76" s="13">
        <f>CUSTOS!$D$28</f>
        <v>6378379.5099151591</v>
      </c>
      <c r="AM76" s="13">
        <f>CUSTOS!$D$29</f>
        <v>141285121.47918469</v>
      </c>
    </row>
    <row r="77" spans="1:42" ht="11.25" customHeight="1" x14ac:dyDescent="0.3">
      <c r="K77" s="16" t="s">
        <v>699</v>
      </c>
      <c r="L77" s="13">
        <f>CUSTOS!$E$2</f>
        <v>-272918.45718012837</v>
      </c>
      <c r="M77" s="13">
        <f>CUSTOS!$E$3</f>
        <v>-716.77332712039424</v>
      </c>
      <c r="N77" s="13">
        <f>CUSTOS!$E$4</f>
        <v>7.8643862956890867E-2</v>
      </c>
      <c r="O77" s="13">
        <f>CUSTOS!$E$5</f>
        <v>0</v>
      </c>
      <c r="P77" s="13">
        <f>CUSTOS!$E$6</f>
        <v>0</v>
      </c>
      <c r="Q77" s="13">
        <f>CUSTOS!$E$7</f>
        <v>-779586.37970133126</v>
      </c>
      <c r="R77" s="13">
        <f>CUSTOS!$E$8</f>
        <v>-214649.38672727766</v>
      </c>
      <c r="S77" s="13">
        <f>CUSTOS!$E$9</f>
        <v>0</v>
      </c>
      <c r="T77" s="13">
        <f>CUSTOS!$E$10</f>
        <v>-1267870.9182919948</v>
      </c>
      <c r="U77" s="13">
        <f>CUSTOS!$E$11</f>
        <v>-188968.60819784435</v>
      </c>
      <c r="V77" s="13">
        <f>CUSTOS!$E$12</f>
        <v>-44420.893552581736</v>
      </c>
      <c r="W77" s="13">
        <f>CUSTOS!$E$13</f>
        <v>-1595.9885302039947</v>
      </c>
      <c r="X77" s="13">
        <f>CUSTOS!$E$14</f>
        <v>0</v>
      </c>
      <c r="Y77" s="13">
        <f>CUSTOS!$E$15</f>
        <v>0</v>
      </c>
      <c r="Z77" s="13">
        <f>CUSTOS!$E$16</f>
        <v>0</v>
      </c>
      <c r="AA77" s="13">
        <f>CUSTOS!$E$17</f>
        <v>0</v>
      </c>
      <c r="AB77" s="13">
        <f>CUSTOS!$E$18</f>
        <v>-234985.49028063007</v>
      </c>
      <c r="AC77" s="13">
        <f>CUSTOS!$E$19</f>
        <v>6947.701001350224</v>
      </c>
      <c r="AD77" s="13">
        <f>CUSTOS!$E$20</f>
        <v>6947.701001350224</v>
      </c>
      <c r="AE77" s="13">
        <f>CUSTOS!$E$21</f>
        <v>0</v>
      </c>
      <c r="AF77" s="13">
        <f>CUSTOS!$E$22</f>
        <v>0</v>
      </c>
      <c r="AG77" s="13">
        <f>CUSTOS!$E$23</f>
        <v>0</v>
      </c>
      <c r="AH77" s="13">
        <f>CUSTOS!$E$24</f>
        <v>2629305.7683312711</v>
      </c>
      <c r="AI77" s="13">
        <f>CUSTOS!$E$25</f>
        <v>45567.264989804564</v>
      </c>
      <c r="AJ77" s="13">
        <f>CUSTOS!$E$26</f>
        <v>307179.5807907487</v>
      </c>
      <c r="AK77" s="13">
        <f>CUSTOS!$E$27</f>
        <v>-7025.3394341108897</v>
      </c>
      <c r="AL77" s="13">
        <f>CUSTOS!$E$28</f>
        <v>2975027.2746777134</v>
      </c>
      <c r="AM77" s="13">
        <f>CUSTOS!$E$29</f>
        <v>1479118.5671064388</v>
      </c>
    </row>
    <row r="78" spans="1:42" ht="11.25" customHeight="1" x14ac:dyDescent="0.3">
      <c r="K78" s="16" t="s">
        <v>700</v>
      </c>
      <c r="L78" s="13">
        <f>CUSTOS!$F$2</f>
        <v>225997.53526647703</v>
      </c>
      <c r="M78" s="13">
        <f>CUSTOS!$F$3</f>
        <v>0</v>
      </c>
      <c r="N78" s="13">
        <f>CUSTOS!$F$4</f>
        <v>0</v>
      </c>
      <c r="O78" s="13">
        <f>CUSTOS!$F$5</f>
        <v>0</v>
      </c>
      <c r="P78" s="13">
        <f>CUSTOS!$F$6</f>
        <v>0</v>
      </c>
      <c r="Q78" s="13">
        <f>CUSTOS!$F$7</f>
        <v>11193747.975400001</v>
      </c>
      <c r="R78" s="13">
        <f>CUSTOS!$F$8</f>
        <v>3001959.0934000001</v>
      </c>
      <c r="S78" s="13">
        <f>CUSTOS!$F$9</f>
        <v>0</v>
      </c>
      <c r="T78" s="13">
        <f>CUSTOS!$F$10</f>
        <v>14421704.604066478</v>
      </c>
      <c r="U78" s="13">
        <f>CUSTOS!$F$11</f>
        <v>1133989.9410540168</v>
      </c>
      <c r="V78" s="13">
        <f>CUSTOS!$F$12</f>
        <v>240274.0788236986</v>
      </c>
      <c r="W78" s="13">
        <f>CUSTOS!$F$13</f>
        <v>0</v>
      </c>
      <c r="X78" s="13">
        <f>CUSTOS!$F$14</f>
        <v>0</v>
      </c>
      <c r="Y78" s="13">
        <f>CUSTOS!$F$15</f>
        <v>0</v>
      </c>
      <c r="Z78" s="13">
        <f>CUSTOS!$F$16</f>
        <v>0</v>
      </c>
      <c r="AA78" s="13">
        <f>CUSTOS!$F$17</f>
        <v>0</v>
      </c>
      <c r="AB78" s="13">
        <f>CUSTOS!$F$18</f>
        <v>1374264.0198777155</v>
      </c>
      <c r="AC78" s="13">
        <f>CUSTOS!$F$19</f>
        <v>0</v>
      </c>
      <c r="AD78" s="13">
        <f>CUSTOS!$F$20</f>
        <v>0</v>
      </c>
      <c r="AE78" s="13">
        <f>CUSTOS!$F$21</f>
        <v>0</v>
      </c>
      <c r="AF78" s="13">
        <f>CUSTOS!$F$22</f>
        <v>0</v>
      </c>
      <c r="AG78" s="13">
        <f>CUSTOS!$F$23</f>
        <v>0</v>
      </c>
      <c r="AH78" s="13">
        <f>CUSTOS!$F$24</f>
        <v>-804303.06857384951</v>
      </c>
      <c r="AI78" s="13">
        <f>CUSTOS!$F$25</f>
        <v>-13938.999221485739</v>
      </c>
      <c r="AJ78" s="13">
        <f>CUSTOS!$F$26</f>
        <v>-93966.05081425418</v>
      </c>
      <c r="AK78" s="13">
        <f>CUSTOS!$F$27</f>
        <v>0</v>
      </c>
      <c r="AL78" s="13">
        <f>CUSTOS!$F$28</f>
        <v>-912208.11860958941</v>
      </c>
      <c r="AM78" s="13">
        <f>CUSTOS!$F$29</f>
        <v>14883760.505334605</v>
      </c>
    </row>
    <row r="79" spans="1:42" ht="11.25" customHeight="1" x14ac:dyDescent="0.3">
      <c r="K79" s="16" t="s">
        <v>763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/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/>
      <c r="AC79" s="13">
        <v>0</v>
      </c>
      <c r="AD79" s="13"/>
      <c r="AE79" s="13">
        <v>0</v>
      </c>
      <c r="AF79" s="13">
        <v>0</v>
      </c>
      <c r="AG79" s="13"/>
      <c r="AH79" s="13">
        <v>0</v>
      </c>
      <c r="AI79" s="13">
        <v>0</v>
      </c>
      <c r="AJ79" s="13">
        <v>0</v>
      </c>
      <c r="AK79" s="13">
        <v>0</v>
      </c>
      <c r="AL79" s="13"/>
      <c r="AM79" s="13"/>
    </row>
    <row r="80" spans="1:42" ht="11.25" customHeight="1" x14ac:dyDescent="0.3">
      <c r="K80" s="16" t="s">
        <v>764</v>
      </c>
      <c r="L80" s="13">
        <f t="shared" ref="L80:S80" si="3">IF((L75+L73)&lt;&gt;0,(L76-L74-L79)/(L75+L73),0)</f>
        <v>6.7386679297978649</v>
      </c>
      <c r="M80" s="13">
        <f t="shared" si="3"/>
        <v>1.0143990598087931</v>
      </c>
      <c r="N80" s="13">
        <f t="shared" ca="1" si="3"/>
        <v>1.2579393638458554</v>
      </c>
      <c r="O80" s="13">
        <f t="shared" si="3"/>
        <v>0</v>
      </c>
      <c r="P80" s="13">
        <f t="shared" si="3"/>
        <v>0</v>
      </c>
      <c r="Q80" s="13">
        <f t="shared" si="3"/>
        <v>86.65283210604035</v>
      </c>
      <c r="R80" s="13">
        <f t="shared" si="3"/>
        <v>13.642318933507415</v>
      </c>
      <c r="S80" s="13">
        <f t="shared" si="3"/>
        <v>0</v>
      </c>
      <c r="T80" s="13"/>
      <c r="U80" s="13">
        <f>IF(U75&lt;&gt;0,(U76-U74-U73-U79)/U75,0)</f>
        <v>1.062569936083567</v>
      </c>
      <c r="V80" s="13">
        <f>IF(V75&lt;&gt;0,(V76-V74-V73-V79)/V75,0)</f>
        <v>0.72303061530545365</v>
      </c>
      <c r="W80" s="13">
        <f>IF(W75&lt;&gt;0,(W76-W74-W73-W79)/W75,0)</f>
        <v>2.0545818422415052</v>
      </c>
      <c r="X80" s="13">
        <f>IF(X75&lt;&gt;0,(X76-X74-X73-X79)/X75,0)</f>
        <v>0</v>
      </c>
      <c r="Y80" s="13">
        <f>IF(Y75&lt;&gt;0,(Y76-Y74-Y73-Y79)/Y75,0)</f>
        <v>0</v>
      </c>
      <c r="Z80" s="13"/>
      <c r="AA80" s="13"/>
      <c r="AB80" s="13"/>
      <c r="AC80" s="13">
        <f>IF(AC75&lt;&gt;0,(AC76-AC74-AC73-AC79)/AC75,0)</f>
        <v>1.2056778871189968</v>
      </c>
      <c r="AD80" s="13"/>
      <c r="AE80" s="13">
        <f>IF((AE75+AE73)&lt;&gt;0,(AE76-AE74-AE79)/(AE75+AE73),0)</f>
        <v>0</v>
      </c>
      <c r="AF80" s="13">
        <f>IF((AF75+AF73)&lt;&gt;0,(AF76-AF74-AF79)/(AF75+AF73),0)</f>
        <v>0</v>
      </c>
      <c r="AG80" s="13"/>
      <c r="AH80" s="13">
        <f>IF(AH75&lt;&gt;0,(AH76-AH74-AH73-AH79)/AH75,0)</f>
        <v>0.26040505687186727</v>
      </c>
      <c r="AI80" s="13">
        <f>IF(AI75&lt;&gt;0,(AI76-AI74-AI73-AI79)/AI75,0)</f>
        <v>4.5131016447553041E-3</v>
      </c>
      <c r="AJ80" s="13">
        <f ca="1">IF((AJ75+AJ73)&lt;&gt;0,(AJ76-AJ74-AJ79)/(AJ75+AJ73),0)</f>
        <v>1.0217056455268052</v>
      </c>
      <c r="AK80" s="13">
        <f ca="1">IF((AK75+AK73)&lt;&gt;0,(AK76-AK74-AK79)/(AK75+AK73),0)</f>
        <v>0.19968483511578261</v>
      </c>
      <c r="AL80" s="13"/>
      <c r="AM80" s="13"/>
    </row>
    <row r="82" spans="11:16" ht="11.25" customHeight="1" x14ac:dyDescent="0.3">
      <c r="K82" s="19" t="s">
        <v>768</v>
      </c>
      <c r="L82" s="19" t="s">
        <v>769</v>
      </c>
      <c r="M82" s="19" t="s">
        <v>770</v>
      </c>
      <c r="N82" s="19" t="s">
        <v>771</v>
      </c>
      <c r="O82" s="19" t="s">
        <v>772</v>
      </c>
      <c r="P82" s="19" t="s">
        <v>773</v>
      </c>
    </row>
    <row r="83" spans="11:16" ht="11.25" customHeight="1" x14ac:dyDescent="0.3">
      <c r="K83" s="18" t="s">
        <v>54</v>
      </c>
      <c r="L83" s="18">
        <f ca="1">+(+'TUSD BE'!$L$5+'TUSD BE'!$M$5+'TUSD BE'!$N$5+'TUSD BE'!$O$5+'TUSD BE'!$P$5+'TUSD BE'!$Q$5+'TUSD BE'!$R$5+'TUSD BE'!$S$5+'TUSD BE'!$U$5+'TUSD BE'!$V$5+'TUSD BE'!$W$5+'TUSD BE'!$X$5+'TUSD BE'!$Y$5+'TUSD BE'!$Z$5+'TUSD BE'!$AA$5+'TUSD BE'!$AC$5+'TUSD BE'!$AH$5+'TUSD BE'!$AI$5)*'TUSD BE'!$I$5+(+'TUSD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</f>
        <v>11178054.73300511</v>
      </c>
      <c r="M83" s="18">
        <f>+'TUSD BE'!$I$7+'TUSD BE'!$I$8</f>
        <v>117715.17200000002</v>
      </c>
      <c r="N83" s="18">
        <f t="shared" ref="N83:N88" ca="1" si="4">IF(AND($L$93&lt;&gt;0,M83&lt;&gt;0),(L83/$L$93*$AJ$76)/M83,0)</f>
        <v>0.43970022848144769</v>
      </c>
      <c r="O83" s="18"/>
      <c r="P83" s="18"/>
    </row>
    <row r="84" spans="11:16" ht="11.25" customHeight="1" x14ac:dyDescent="0.3">
      <c r="K84" s="18" t="s">
        <v>60</v>
      </c>
      <c r="L84" s="18">
        <f ca="1">+(+'TUSD BE'!$L$9+'TUSD BE'!$M$9+'TUSD BE'!$N$9+'TUSD BE'!$O$9+'TUSD BE'!$P$9+'TUSD BE'!$Q$9+'TUSD BE'!$R$9+'TUSD BE'!$S$9+'TUSD BE'!$U$9+'TUSD BE'!$V$9+'TUSD BE'!$W$9+'TUSD BE'!$X$9+'TUSD BE'!$Y$9+'TUSD BE'!$Z$9+'TUSD BE'!$AA$9+'TUSD BE'!$AC$9+'TUSD BE'!$AH$9+'TUSD BE'!$AI$9)*'TUSD BE'!$I$9+(+'TUSD BE'!$L$10+'TUSD BE'!$M$10+'TUSD BE'!$N$10+'TUSD BE'!$O$10+'TUSD BE'!$P$10+'TUSD BE'!$Q$10+'TUSD BE'!$R$10+'TUSD BE'!$S$10+'TUSD BE'!$U$10+'TUSD BE'!$V$10+'TUSD BE'!$W$10+'TUSD BE'!$X$10+'TUSD BE'!$Y$10+'TUSD BE'!$Z$10+'TUSD BE'!$AA$10+'TUSD BE'!$AC$10+'TUSD BE'!$AH$10+'TUSD BE'!$AI$10)*'TUSD BE'!$I$10+(+'TUSD BE'!$L$11+'TUSD BE'!$M$11+'TUSD BE'!$N$11+'TUSD BE'!$O$11+'TUSD BE'!$P$11+'TUSD BE'!$Q$11+'TUSD BE'!$R$11+'TUSD BE'!$S$11+'TUSD BE'!$U$11+'TUSD BE'!$V$11+'TUSD BE'!$W$11+'TUSD BE'!$X$11+'TUSD BE'!$Y$11+'TUSD BE'!$Z$11+'TUSD BE'!$AA$11+'TUSD BE'!$AC$11+'TUSD BE'!$AH$11+'TUSD BE'!$AI$11)*'TUSD BE'!$I$11+(+'TUSD BE'!$L$12+'TUSD BE'!$M$12+'TUSD BE'!$N$12+'TUSD BE'!$O$12+'TUSD BE'!$P$12+'TUSD BE'!$Q$12+'TUSD BE'!$R$12+'TUSD BE'!$S$12+'TUSD BE'!$U$12+'TUSD BE'!$V$12+'TUSD BE'!$W$12+'TUSD BE'!$X$12+'TUSD BE'!$Y$12+'TUSD BE'!$Z$12+'TUSD BE'!$AA$12+'TUSD BE'!$AC$12+'TUSD BE'!$AH$12+'TUSD BE'!$AI$12)*'TUSD BE'!$I$12</f>
        <v>0</v>
      </c>
      <c r="M84" s="18">
        <f>+'TUSD BE'!$I$11+'TUSD BE'!$I$12</f>
        <v>0</v>
      </c>
      <c r="N84" s="18">
        <f t="shared" ca="1" si="4"/>
        <v>0</v>
      </c>
      <c r="O84" s="18"/>
      <c r="P84" s="18"/>
    </row>
    <row r="85" spans="11:16" ht="11.25" customHeight="1" x14ac:dyDescent="0.3">
      <c r="K85" s="18" t="s">
        <v>39</v>
      </c>
      <c r="L85" s="18">
        <f ca="1">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BE'!$I$14+(+'TUSD BE'!$L$15+'TUSD BE'!$M$15+'TUSD BE'!$N$15+'TUSD BE'!$O$15+'TUSD BE'!$P$15+'TUSD BE'!$Q$15+'TUSD BE'!$R$15+'TUSD BE'!$S$15+'TUSD BE'!$U$15+'TUSD BE'!$V$15+'TUSD BE'!$W$15+'TUSD BE'!$X$15+'TUSD BE'!$Y$15+'TUSD BE'!$Z$15+'TUSD BE'!$AA$15+'TUSD BE'!$AC$15+'TUSD BE'!$AH$15+'TUSD BE'!$AI$15)*'TUSD BE'!$I$15+(+'TUSD BE'!$L$16+'TUSD BE'!$M$16+'TUSD BE'!$N$16+'TUSD BE'!$O$16+'TUSD BE'!$P$16+'TUSD BE'!$Q$16+'TUSD BE'!$R$16+'TUSD BE'!$S$16+'TUSD BE'!$U$16+'TUSD BE'!$V$16+'TUSD BE'!$W$16+'TUSD BE'!$X$16+'TUSD BE'!$Y$16+'TUSD BE'!$Z$16+'TUSD BE'!$AA$16+'TUSD BE'!$AC$16+'TUSD BE'!$AH$16+'TUSD BE'!$AI$16)*'TUSD BE'!$I$16+(+'TUSD BE'!$L$17+'TUSD BE'!$M$17+'TUSD BE'!$N$17+'TUSD BE'!$O$17+'TUSD BE'!$P$17+'TUSD BE'!$Q$17+'TUSD BE'!$R$17+'TUSD BE'!$S$17+'TUSD BE'!$U$17+'TUSD BE'!$V$17+'TUSD BE'!$W$17+'TUSD BE'!$X$17+'TUSD BE'!$Y$17+'TUSD BE'!$Z$17+'TUSD BE'!$AA$17+'TUSD BE'!$AC$17+'TUSD BE'!$AH$17+'TUSD BE'!$AI$17)*'TUSD BE'!$I$17+(+'TUSD BE'!$L$19+'TUSD BE'!$M$19+'TUSD BE'!$N$19+'TUSD BE'!$O$19+'TUSD BE'!$P$19+'TUSD BE'!$Q$19+'TUSD BE'!$R$19+'TUSD BE'!$S$19+'TUSD BE'!$U$19+'TUSD BE'!$V$19+'TUSD BE'!$W$19+'TUSD BE'!$X$19+'TUSD BE'!$Y$19+'TUSD BE'!$Z$19+'TUSD BE'!$AA$19+'TUSD BE'!$AC$19+'TUSD BE'!$AH$19+'TUSD BE'!$AI$19)*'TUSD BE'!$I$19+(+'TUSD BE'!$L$20+'TUSD BE'!$M$20+'TUSD BE'!$N$20+'TUSD BE'!$O$20+'TUSD BE'!$P$20+'TUSD BE'!$Q$20+'TUSD BE'!$R$20+'TUSD BE'!$S$20+'TUSD BE'!$U$20+'TUSD BE'!$V$20+'TUSD BE'!$W$20+'TUSD BE'!$X$20+'TUSD BE'!$Y$20+'TUSD BE'!$Z$20+'TUSD BE'!$AA$20+'TUSD BE'!$AC$20+'TUSD BE'!$AH$20+'TUSD BE'!$AI$20)*'TUSD BE'!$I$20+(+'TUSD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</f>
        <v>57962994.51293955</v>
      </c>
      <c r="M85" s="18">
        <f>+'TUSD BE'!$I$16+'TUSD BE'!$I$17+'TUSD BE'!$I$20+'TUSD BE'!$I$21+'TUSD BE'!$I$22+'TUSD BE'!$I$23</f>
        <v>263386.17200000002</v>
      </c>
      <c r="N85" s="18">
        <f t="shared" ca="1" si="4"/>
        <v>1.0190153938132767</v>
      </c>
      <c r="O85" s="18"/>
      <c r="P85" s="18"/>
    </row>
    <row r="86" spans="11:16" ht="11.25" customHeight="1" x14ac:dyDescent="0.3">
      <c r="K86" s="18" t="s">
        <v>43</v>
      </c>
      <c r="L86" s="18">
        <f ca="1">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BE'!$I$24+(+'TUSD BE'!$L$25+'TUSD BE'!$M$25+'TUSD BE'!$N$25+'TUSD BE'!$O$25+'TUSD BE'!$P$25+'TUSD BE'!$Q$25+'TUSD BE'!$R$25+'TUSD BE'!$S$25+'TUSD BE'!$U$25+'TUSD BE'!$V$25+'TUSD BE'!$W$25+'TUSD BE'!$X$25+'TUSD BE'!$Y$25+'TUSD BE'!$Z$25+'TUSD BE'!$AA$25+'TUSD BE'!$AC$25+'TUSD BE'!$AH$25+'TUSD BE'!$AI$25)*'TUSD BE'!$I$25+(+'TUSD BE'!$L$26+'TUSD BE'!$M$26+'TUSD BE'!$N$26+'TUSD BE'!$O$26+'TUSD BE'!$P$26+'TUSD BE'!$Q$26+'TUSD BE'!$R$26+'TUSD BE'!$S$26+'TUSD BE'!$U$26+'TUSD BE'!$V$26+'TUSD BE'!$W$26+'TUSD BE'!$X$26+'TUSD BE'!$Y$26+'TUSD BE'!$Z$26+'TUSD BE'!$AA$26+'TUSD BE'!$AC$26+'TUSD BE'!$AH$26+'TUSD BE'!$AI$26)*'TUSD BE'!$I$26+(+'TUSD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</f>
        <v>207517.31550725544</v>
      </c>
      <c r="M86" s="18">
        <f>+'TUSD BE'!$I$26+'TUSD BE'!$I$27+'TUSD BE'!$I$29+'TUSD BE'!$I$30+'TUSD BE'!$I$31+'TUSD BE'!$I$32+'TUSD BE'!$I$34</f>
        <v>565.197</v>
      </c>
      <c r="N86" s="18">
        <f t="shared" ca="1" si="4"/>
        <v>1.7001114554355135</v>
      </c>
      <c r="O86" s="18"/>
      <c r="P86" s="18"/>
    </row>
    <row r="87" spans="11:16" ht="11.25" customHeight="1" x14ac:dyDescent="0.3">
      <c r="K87" s="18" t="s">
        <v>87</v>
      </c>
      <c r="L87" s="18">
        <f ca="1">+$L$88+$L$89+$L$90+$L$91+$L$92</f>
        <v>69745287.199288726</v>
      </c>
      <c r="M87" s="18">
        <f>+$M$88+$M$89+$M$90+$M$91+$M$92</f>
        <v>208752.21999999997</v>
      </c>
      <c r="N87" s="18">
        <f t="shared" ca="1" si="4"/>
        <v>1.5470582469541849</v>
      </c>
      <c r="O87" s="18"/>
      <c r="P87" s="18"/>
    </row>
    <row r="88" spans="11:16" ht="11.25" customHeight="1" x14ac:dyDescent="0.3">
      <c r="K88" s="18" t="s">
        <v>87</v>
      </c>
      <c r="L88" s="18"/>
      <c r="M88" s="18"/>
      <c r="N88" s="18">
        <f t="shared" ca="1" si="4"/>
        <v>0</v>
      </c>
      <c r="O88" s="18"/>
      <c r="P88" s="18"/>
    </row>
    <row r="89" spans="11:16" ht="11.25" customHeight="1" x14ac:dyDescent="0.3">
      <c r="K89" s="18" t="s">
        <v>22</v>
      </c>
      <c r="L89" s="18">
        <f ca="1">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</f>
        <v>47485716.46935264</v>
      </c>
      <c r="M89" s="18">
        <f>+'TUSD BE'!$I$37+'TUSD BE'!$I$38+'TUSD BE'!$I$39+'TUSD BE'!$I$40+'TUSD BE'!$I$41+'TUSD BE'!$I$42+'TUSD BE'!$I$43+'TUSD BE'!$I$44+'TUSD BE'!$I$45+'TUSD BE'!$I$46+'TUSD BE'!$I$47+'TUSD BE'!$I$48+'TUSD BE'!$I$49</f>
        <v>137074.91899999997</v>
      </c>
      <c r="N89" s="18"/>
      <c r="O89" s="18"/>
      <c r="P89" s="18"/>
    </row>
    <row r="90" spans="11:16" ht="11.25" customHeight="1" x14ac:dyDescent="0.3">
      <c r="K90" s="18" t="s">
        <v>44</v>
      </c>
      <c r="L90" s="18">
        <f ca="1">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BE'!$I$51+(+'TUSD BE'!$L$52+'TUSD BE'!$M$52+'TUSD BE'!$N$52+'TUSD BE'!$O$52+'TUSD BE'!$P$52+'TUSD BE'!$Q$52+'TUSD BE'!$R$52+'TUSD BE'!$S$52+'TUSD BE'!$U$52+'TUSD BE'!$V$52+'TUSD BE'!$W$52+'TUSD BE'!$X$52+'TUSD BE'!$Y$52+'TUSD BE'!$Z$52+'TUSD BE'!$AA$52+'TUSD BE'!$AC$52+'TUSD BE'!$AH$52+'TUSD BE'!$AI$52)*'TUSD BE'!$I$52+(+'TUSD BE'!$L$53+'TUSD BE'!$M$53+'TUSD BE'!$N$53+'TUSD BE'!$O$53+'TUSD BE'!$P$53+'TUSD BE'!$Q$53+'TUSD BE'!$R$53+'TUSD BE'!$S$53+'TUSD BE'!$U$53+'TUSD BE'!$V$53+'TUSD BE'!$W$53+'TUSD BE'!$X$53+'TUSD BE'!$Y$53+'TUSD BE'!$Z$53+'TUSD BE'!$AA$53+'TUSD BE'!$AC$53+'TUSD BE'!$AH$53+'TUSD BE'!$AI$53)*'TUSD BE'!$I$53+(+'TUSD BE'!$L$54+'TUSD BE'!$M$54+'TUSD BE'!$N$54+'TUSD BE'!$O$54+'TUSD BE'!$P$54+'TUSD BE'!$Q$54+'TUSD BE'!$R$54+'TUSD BE'!$S$54+'TUSD BE'!$U$54+'TUSD BE'!$V$54+'TUSD BE'!$W$54+'TUSD BE'!$X$54+'TUSD BE'!$Y$54+'TUSD BE'!$Z$54+'TUSD BE'!$AA$54+'TUSD BE'!$AC$54+'TUSD BE'!$AH$54+'TUSD BE'!$AI$54)*'TUSD BE'!$I$54+(+'TUSD BE'!$L$55+'TUSD BE'!$M$55+'TUSD BE'!$N$55+'TUSD BE'!$O$55+'TUSD BE'!$P$55+'TUSD BE'!$Q$55+'TUSD BE'!$R$55+'TUSD BE'!$S$55+'TUSD BE'!$U$55+'TUSD BE'!$V$55+'TUSD BE'!$W$55+'TUSD BE'!$X$55+'TUSD BE'!$Y$55+'TUSD BE'!$Z$55+'TUSD BE'!$AA$55+'TUSD BE'!$AC$55+'TUSD BE'!$AH$55+'TUSD BE'!$AI$55)*'TUSD BE'!$I$55+(+'TUSD BE'!$L$56+'TUSD BE'!$M$56+'TUSD BE'!$N$56+'TUSD BE'!$O$56+'TUSD BE'!$P$56+'TUSD BE'!$Q$56+'TUSD BE'!$R$56+'TUSD BE'!$S$56+'TUSD BE'!$U$56+'TUSD BE'!$V$56+'TUSD BE'!$W$56+'TUSD BE'!$X$56+'TUSD BE'!$Y$56+'TUSD BE'!$Z$56+'TUSD BE'!$AA$56+'TUSD BE'!$AC$56+'TUSD BE'!$AH$56+'TUSD BE'!$AI$56)*'TUSD BE'!$I$56+(+'TUSD BE'!$L$57+'TUSD BE'!$M$57+'TUSD BE'!$N$57+'TUSD BE'!$O$57+'TUSD BE'!$P$57+'TUSD BE'!$Q$57+'TUSD BE'!$R$57+'TUSD BE'!$S$57+'TUSD BE'!$U$57+'TUSD BE'!$V$57+'TUSD BE'!$W$57+'TUSD BE'!$X$57+'TUSD BE'!$Y$57+'TUSD BE'!$Z$57+'TUSD BE'!$AA$57+'TUSD BE'!$AC$57+'TUSD BE'!$AH$57+'TUSD BE'!$AI$57)*'TUSD BE'!$I$57+(+'TUSD BE'!$L$58+'TUSD BE'!$M$58+'TUSD BE'!$N$58+'TUSD BE'!$O$58+'TUSD BE'!$P$58+'TUSD BE'!$Q$58+'TUSD BE'!$R$58+'TUSD BE'!$S$58+'TUSD BE'!$U$58+'TUSD BE'!$V$58+'TUSD BE'!$W$58+'TUSD BE'!$X$58+'TUSD BE'!$Y$58+'TUSD BE'!$Z$58+'TUSD BE'!$AA$58+'TUSD BE'!$AC$58+'TUSD BE'!$AH$58+'TUSD BE'!$AI$58)*'TUSD BE'!$I$58+(+'TUSD BE'!$L$59+'TUSD BE'!$M$59+'TUSD BE'!$N$59+'TUSD BE'!$O$59+'TUSD BE'!$P$59+'TUSD BE'!$Q$59+'TUSD BE'!$R$59+'TUSD BE'!$S$59+'TUSD BE'!$U$59+'TUSD BE'!$V$59+'TUSD BE'!$W$59+'TUSD BE'!$X$59+'TUSD BE'!$Y$59+'TUSD BE'!$Z$59+'TUSD BE'!$AA$59+'TUSD BE'!$AC$59+'TUSD BE'!$AH$59+'TUSD BE'!$AI$59)*'TUSD BE'!$I$59+(+'TUSD BE'!$L$60+'TUSD BE'!$M$60+'TUSD BE'!$N$60+'TUSD BE'!$O$60+'TUSD BE'!$P$60+'TUSD BE'!$Q$60+'TUSD BE'!$R$60+'TUSD BE'!$S$60+'TUSD BE'!$U$60+'TUSD BE'!$V$60+'TUSD BE'!$W$60+'TUSD BE'!$X$60+'TUSD BE'!$Y$60+'TUSD BE'!$Z$60+'TUSD BE'!$AA$60+'TUSD BE'!$AC$60+'TUSD BE'!$AH$60+'TUSD BE'!$AI$60)*'TUSD BE'!$I$60+(+'TUSD BE'!$L$61+'TUSD BE'!$M$61+'TUSD BE'!$N$61+'TUSD BE'!$O$61+'TUSD BE'!$P$61+'TUSD BE'!$Q$61+'TUSD BE'!$R$61+'TUSD BE'!$S$61+'TUSD BE'!$U$61+'TUSD BE'!$V$61+'TUSD BE'!$W$61+'TUSD BE'!$X$61+'TUSD BE'!$Y$61+'TUSD BE'!$Z$61+'TUSD BE'!$AA$61+'TUSD BE'!$AC$61+'TUSD BE'!$AH$61+'TUSD BE'!$AI$61)*'TUSD BE'!$I$61+(+'TUSD BE'!$L$62+'TUSD BE'!$M$62+'TUSD BE'!$N$62+'TUSD BE'!$O$62+'TUSD BE'!$P$62+'TUSD BE'!$Q$62+'TUSD BE'!$R$62+'TUSD BE'!$S$62+'TUSD BE'!$U$62+'TUSD BE'!$V$62+'TUSD BE'!$W$62+'TUSD BE'!$X$62+'TUSD BE'!$Y$62+'TUSD BE'!$Z$62+'TUSD BE'!$AA$62+'TUSD BE'!$AC$62+'TUSD BE'!$AH$62+'TUSD BE'!$AI$62)*'TUSD BE'!$I$62+(+'TUSD BE'!$L$63+'TUSD BE'!$M$63+'TUSD BE'!$N$63+'TUSD BE'!$O$63+'TUSD BE'!$P$63+'TUSD BE'!$Q$63+'TUSD BE'!$R$63+'TUSD BE'!$S$63+'TUSD BE'!$U$63+'TUSD BE'!$V$63+'TUSD BE'!$W$63+'TUSD BE'!$X$63+'TUSD BE'!$Y$63+'TUSD BE'!$Z$63+'TUSD BE'!$AA$63+'TUSD BE'!$AC$63+'TUSD BE'!$AH$63+'TUSD BE'!$AI$63)*'TUSD BE'!$I$63+(+'TUSD BE'!$L$64+'TUSD BE'!$M$64+'TUSD BE'!$N$64+'TUSD BE'!$O$64+'TUSD BE'!$P$64+'TUSD BE'!$Q$64+'TUSD BE'!$R$64+'TUSD BE'!$S$64+'TUSD BE'!$U$64+'TUSD BE'!$V$64+'TUSD BE'!$W$64+'TUSD BE'!$X$64+'TUSD BE'!$Y$64+'TUSD BE'!$Z$64+'TUSD BE'!$AA$64+'TUSD BE'!$AC$64+'TUSD BE'!$AH$64+'TUSD BE'!$AI$64)*'TUSD BE'!$I$64</f>
        <v>1337986.0770399871</v>
      </c>
      <c r="M90" s="18">
        <f>+'TUSD BE'!$I$50+'TUSD BE'!$I$51+'TUSD BE'!$I$52+'TUSD BE'!$I$53+'TUSD BE'!$I$54+'TUSD BE'!$I$55+'TUSD BE'!$I$56+'TUSD BE'!$I$57+'TUSD BE'!$I$58+'TUSD BE'!$I$59+'TUSD BE'!$I$60+'TUSD BE'!$I$61+'TUSD BE'!$I$62+'TUSD BE'!$I$63+'TUSD BE'!$I$64</f>
        <v>3773.6869999999999</v>
      </c>
      <c r="N90" s="18"/>
      <c r="O90" s="18"/>
      <c r="P90" s="18"/>
    </row>
    <row r="91" spans="11:16" ht="11.25" customHeight="1" x14ac:dyDescent="0.3">
      <c r="K91" s="18" t="s">
        <v>37</v>
      </c>
      <c r="L91" s="18">
        <f ca="1">+(+'TUSD BE'!$L$65+'TUSD BE'!$M$65+'TUSD BE'!$N$65+'TUSD BE'!$O$65+'TUSD BE'!$P$65+'TUSD BE'!$Q$65+'TUSD BE'!$R$65+'TUSD BE'!$S$65+'TUSD BE'!$U$65+'TUSD BE'!$V$65+'TUSD BE'!$W$65+'TUSD BE'!$X$65+'TUSD BE'!$Y$65+'TUSD BE'!$Z$65+'TUSD BE'!$AA$65+'TUSD BE'!$AC$65+'TUSD BE'!$AH$65+'TUSD BE'!$AI$65)*'TUSD BE'!$I$65+(+'TUSD BE'!$L$66+'TUSD BE'!$M$66+'TUSD BE'!$N$66+'TUSD BE'!$O$66+'TUSD BE'!$P$66+'TUSD BE'!$Q$66+'TUSD BE'!$R$66+'TUSD BE'!$S$66+'TUSD BE'!$U$66+'TUSD BE'!$V$66+'TUSD BE'!$W$66+'TUSD BE'!$X$66+'TUSD BE'!$Y$66+'TUSD BE'!$Z$66+'TUSD BE'!$AA$66+'TUSD BE'!$AC$66+'TUSD BE'!$AH$66+'TUSD BE'!$AI$66)*'TUSD BE'!$I$66+(+'TUSD BE'!$L$67+'TUSD BE'!$M$67+'TUSD BE'!$N$67+'TUSD BE'!$O$67+'TUSD BE'!$P$67+'TUSD BE'!$Q$67+'TUSD BE'!$R$67+'TUSD BE'!$S$67+'TUSD BE'!$U$67+'TUSD BE'!$V$67+'TUSD BE'!$W$67+'TUSD BE'!$X$67+'TUSD BE'!$Y$67+'TUSD BE'!$Z$67+'TUSD BE'!$AA$67+'TUSD BE'!$AC$67+'TUSD BE'!$AH$67+'TUSD BE'!$AI$67)*'TUSD BE'!$I$67+(+'TUSD BE'!$L$68+'TUSD BE'!$M$68+'TUSD BE'!$N$68+'TUSD BE'!$O$68+'TUSD BE'!$P$68+'TUSD BE'!$Q$68+'TUSD BE'!$R$68+'TUSD BE'!$S$68+'TUSD BE'!$U$68+'TUSD BE'!$V$68+'TUSD BE'!$W$68+'TUSD BE'!$X$68+'TUSD BE'!$Y$68+'TUSD BE'!$Z$68+'TUSD BE'!$AA$68+'TUSD BE'!$AC$68+'TUSD BE'!$AH$68+'TUSD BE'!$AI$68)*'TUSD BE'!$I$68+(+'TUSD BE'!$L$69+'TUSD BE'!$M$69+'TUSD BE'!$N$69+'TUSD BE'!$O$69+'TUSD BE'!$P$69+'TUSD BE'!$Q$69+'TUSD BE'!$R$69+'TUSD BE'!$S$69+'TUSD BE'!$U$69+'TUSD BE'!$V$69+'TUSD BE'!$W$69+'TUSD BE'!$X$69+'TUSD BE'!$Y$69+'TUSD BE'!$Z$69+'TUSD BE'!$AA$69+'TUSD BE'!$AC$69+'TUSD BE'!$AH$69+'TUSD BE'!$AI$69)*'TUSD BE'!$I$69</f>
        <v>17088865.622452598</v>
      </c>
      <c r="M91" s="18">
        <f>+'TUSD BE'!$I$65+'TUSD BE'!$I$66+'TUSD BE'!$I$67+'TUSD BE'!$I$68+'TUSD BE'!$I$69</f>
        <v>48249.269</v>
      </c>
      <c r="N91" s="18"/>
      <c r="O91" s="18"/>
      <c r="P91" s="18"/>
    </row>
    <row r="92" spans="11:16" ht="11.25" customHeight="1" x14ac:dyDescent="0.3">
      <c r="K92" s="18" t="s">
        <v>47</v>
      </c>
      <c r="L92" s="18">
        <f ca="1">+(+'TUSD BE'!$L$70+'TUSD BE'!$M$70+'TUSD BE'!$N$70+'TUSD BE'!$O$70+'TUSD BE'!$P$70+'TUSD BE'!$Q$70+'TUSD BE'!$R$70+'TUSD BE'!$S$70+'TUSD BE'!$U$70+'TUSD BE'!$V$70+'TUSD BE'!$W$70+'TUSD BE'!$X$70+'TUSD BE'!$Y$70+'TUSD BE'!$Z$70+'TUSD BE'!$AA$70+'TUSD BE'!$AC$70+'TUSD BE'!$AH$70+'TUSD BE'!$AI$70)*'TUSD BE'!$I$70+(+'TUSD BE'!$L$71+'TUSD BE'!$M$71+'TUSD BE'!$N$71+'TUSD BE'!$O$71+'TUSD BE'!$P$71+'TUSD BE'!$Q$71+'TUSD BE'!$R$71+'TUSD BE'!$S$71+'TUSD BE'!$U$71+'TUSD BE'!$V$71+'TUSD BE'!$W$71+'TUSD BE'!$X$71+'TUSD BE'!$Y$71+'TUSD BE'!$Z$71+'TUSD BE'!$AA$71+'TUSD BE'!$AC$71+'TUSD BE'!$AH$71+'TUSD BE'!$AI$71)*'TUSD BE'!$I$71</f>
        <v>3832719.0304435082</v>
      </c>
      <c r="M92" s="18">
        <f>+'TUSD BE'!$I$70+'TUSD BE'!$I$71</f>
        <v>19654.344999999998</v>
      </c>
      <c r="N92" s="18"/>
      <c r="O92" s="18"/>
      <c r="P92" s="18"/>
    </row>
    <row r="93" spans="11:16" ht="11.25" customHeight="1" x14ac:dyDescent="0.3">
      <c r="K93" s="18"/>
      <c r="L93" s="18">
        <f ca="1">SUM($L$83:$L$92,-$L$87)</f>
        <v>139093853.76074064</v>
      </c>
      <c r="M93" s="18">
        <f>SUM($M$83:$M$92,-$M$87)</f>
        <v>590418.76099999994</v>
      </c>
      <c r="N93" s="18"/>
      <c r="O93" s="18"/>
      <c r="P93" s="18"/>
    </row>
  </sheetData>
  <mergeCells count="103">
    <mergeCell ref="A9:A13"/>
    <mergeCell ref="B9:B12"/>
    <mergeCell ref="C9:C12"/>
    <mergeCell ref="D9:D12"/>
    <mergeCell ref="E9:E11"/>
    <mergeCell ref="F9:F11"/>
    <mergeCell ref="A5:A8"/>
    <mergeCell ref="B5:B8"/>
    <mergeCell ref="C5:C8"/>
    <mergeCell ref="D5:D8"/>
    <mergeCell ref="E5:E7"/>
    <mergeCell ref="F5:F7"/>
    <mergeCell ref="F19:F21"/>
    <mergeCell ref="E22:E23"/>
    <mergeCell ref="F22:F23"/>
    <mergeCell ref="C24:C27"/>
    <mergeCell ref="D24:D27"/>
    <mergeCell ref="E24:E26"/>
    <mergeCell ref="F24:F26"/>
    <mergeCell ref="A14:A23"/>
    <mergeCell ref="B14:B17"/>
    <mergeCell ref="C14:C17"/>
    <mergeCell ref="D14:D17"/>
    <mergeCell ref="E14:E16"/>
    <mergeCell ref="F14:F16"/>
    <mergeCell ref="B19:B23"/>
    <mergeCell ref="C19:C23"/>
    <mergeCell ref="D19:D23"/>
    <mergeCell ref="E19:E21"/>
    <mergeCell ref="B33:B34"/>
    <mergeCell ref="C33:C34"/>
    <mergeCell ref="D33:D34"/>
    <mergeCell ref="E33:E34"/>
    <mergeCell ref="F33:F34"/>
    <mergeCell ref="A35:A36"/>
    <mergeCell ref="B35:B36"/>
    <mergeCell ref="C35:C36"/>
    <mergeCell ref="D35:D36"/>
    <mergeCell ref="A24:A34"/>
    <mergeCell ref="B24:B27"/>
    <mergeCell ref="B28:B32"/>
    <mergeCell ref="C28:C32"/>
    <mergeCell ref="D28:D32"/>
    <mergeCell ref="E28:E30"/>
    <mergeCell ref="F28:F30"/>
    <mergeCell ref="E31:E32"/>
    <mergeCell ref="F31:F32"/>
    <mergeCell ref="A37:A49"/>
    <mergeCell ref="B37:B39"/>
    <mergeCell ref="C37:C39"/>
    <mergeCell ref="D37:D39"/>
    <mergeCell ref="E37:E39"/>
    <mergeCell ref="F37:F39"/>
    <mergeCell ref="B40:B44"/>
    <mergeCell ref="C40:C44"/>
    <mergeCell ref="B45:B49"/>
    <mergeCell ref="C45:C49"/>
    <mergeCell ref="B50:B52"/>
    <mergeCell ref="C50:C52"/>
    <mergeCell ref="D50:D52"/>
    <mergeCell ref="E50:E52"/>
    <mergeCell ref="F50:F52"/>
    <mergeCell ref="B54:B56"/>
    <mergeCell ref="C54:C56"/>
    <mergeCell ref="D54:D56"/>
    <mergeCell ref="E54:E56"/>
    <mergeCell ref="A1:A4"/>
    <mergeCell ref="B1:B4"/>
    <mergeCell ref="C1:C4"/>
    <mergeCell ref="D1:D4"/>
    <mergeCell ref="E1:E4"/>
    <mergeCell ref="F1:F4"/>
    <mergeCell ref="E65:E67"/>
    <mergeCell ref="F65:F67"/>
    <mergeCell ref="A70:A71"/>
    <mergeCell ref="B70:B71"/>
    <mergeCell ref="C70:C71"/>
    <mergeCell ref="B62:B64"/>
    <mergeCell ref="C62:C64"/>
    <mergeCell ref="A65:A69"/>
    <mergeCell ref="B65:B67"/>
    <mergeCell ref="C65:C67"/>
    <mergeCell ref="D65:D67"/>
    <mergeCell ref="F54:F56"/>
    <mergeCell ref="B58:B60"/>
    <mergeCell ref="C58:C60"/>
    <mergeCell ref="D58:D60"/>
    <mergeCell ref="E58:E60"/>
    <mergeCell ref="F58:F60"/>
    <mergeCell ref="A50:A64"/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E6FB3-4B84-462A-930F-EBF6E0D07C45}">
  <sheetPr codeName="Planilha9"/>
  <dimension ref="A1:AP78"/>
  <sheetViews>
    <sheetView showGridLines="0" topLeftCell="X56" workbookViewId="0">
      <selection activeCell="AM73" sqref="AM73"/>
    </sheetView>
  </sheetViews>
  <sheetFormatPr defaultRowHeight="11.25" customHeight="1" x14ac:dyDescent="0.3"/>
  <cols>
    <col min="1" max="1" width="9" style="9" bestFit="1" customWidth="1"/>
    <col min="2" max="2" width="19.441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4.109375" style="9" bestFit="1" customWidth="1"/>
    <col min="12" max="12" width="12.44140625" style="9" bestFit="1" customWidth="1"/>
    <col min="13" max="13" width="7.88671875" style="9" bestFit="1" customWidth="1"/>
    <col min="14" max="14" width="9.109375" style="9" bestFit="1" customWidth="1"/>
    <col min="15" max="15" width="3.88671875" style="9" bestFit="1" customWidth="1"/>
    <col min="16" max="16" width="3.77734375" style="9" bestFit="1" customWidth="1"/>
    <col min="17" max="17" width="9.88671875" style="9" bestFit="1" customWidth="1"/>
    <col min="18" max="18" width="9.109375" style="9" bestFit="1" customWidth="1"/>
    <col min="19" max="19" width="8" style="9" bestFit="1" customWidth="1"/>
    <col min="20" max="21" width="9.88671875" style="9" bestFit="1" customWidth="1"/>
    <col min="22" max="22" width="9.109375" style="9" bestFit="1" customWidth="1"/>
    <col min="23" max="23" width="9.21875" style="9" bestFit="1" customWidth="1"/>
    <col min="24" max="24" width="9.33203125" style="9" bestFit="1" customWidth="1"/>
    <col min="25" max="25" width="4.77734375" style="9" bestFit="1" customWidth="1"/>
    <col min="26" max="26" width="7.109375" style="9" bestFit="1" customWidth="1"/>
    <col min="27" max="27" width="9.33203125" style="9" bestFit="1" customWidth="1"/>
    <col min="28" max="28" width="9.88671875" style="9" bestFit="1" customWidth="1"/>
    <col min="29" max="29" width="11.109375" style="9" bestFit="1" customWidth="1"/>
    <col min="30" max="30" width="9.88671875" style="9" bestFit="1" customWidth="1"/>
    <col min="31" max="31" width="7.77734375" style="9" bestFit="1" customWidth="1"/>
    <col min="32" max="32" width="6.88671875" style="9" bestFit="1" customWidth="1"/>
    <col min="33" max="33" width="8.5546875" style="9" bestFit="1" customWidth="1"/>
    <col min="34" max="34" width="14.44140625" style="9" bestFit="1" customWidth="1"/>
    <col min="35" max="35" width="17.5546875" style="9" bestFit="1" customWidth="1"/>
    <col min="36" max="36" width="18.109375" style="9" bestFit="1" customWidth="1"/>
    <col min="37" max="37" width="7.88671875" style="9" bestFit="1" customWidth="1"/>
    <col min="38" max="38" width="9.5546875" style="9" bestFit="1" customWidth="1"/>
    <col min="39" max="39" width="10.6640625" style="9" bestFit="1" customWidth="1"/>
    <col min="40" max="41" width="8.88671875" style="9"/>
    <col min="42" max="42" width="7.21875" style="9" bestFit="1" customWidth="1"/>
    <col min="43" max="16384" width="8.88671875" style="9"/>
  </cols>
  <sheetData>
    <row r="1" spans="1:42" ht="11.25" customHeight="1" x14ac:dyDescent="0.3">
      <c r="A1" s="127" t="s">
        <v>68</v>
      </c>
      <c r="B1" s="127" t="s">
        <v>69</v>
      </c>
      <c r="C1" s="127" t="s">
        <v>70</v>
      </c>
      <c r="D1" s="127" t="s">
        <v>71</v>
      </c>
      <c r="E1" s="127" t="s">
        <v>72</v>
      </c>
      <c r="F1" s="127" t="s">
        <v>15</v>
      </c>
      <c r="G1" s="127" t="s">
        <v>74</v>
      </c>
      <c r="H1" s="127" t="s">
        <v>75</v>
      </c>
      <c r="I1" s="127" t="s">
        <v>757</v>
      </c>
      <c r="J1" s="123"/>
      <c r="L1" s="125" t="s">
        <v>765</v>
      </c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P1" s="125" t="s">
        <v>759</v>
      </c>
    </row>
    <row r="2" spans="1:42" ht="11.25" customHeight="1" x14ac:dyDescent="0.3">
      <c r="A2" s="127"/>
      <c r="B2" s="127"/>
      <c r="C2" s="127"/>
      <c r="D2" s="127"/>
      <c r="E2" s="127"/>
      <c r="F2" s="127"/>
      <c r="G2" s="127"/>
      <c r="H2" s="127"/>
      <c r="I2" s="127"/>
      <c r="J2" s="123"/>
      <c r="L2" s="125" t="s">
        <v>656</v>
      </c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P2" s="126"/>
    </row>
    <row r="3" spans="1:42" ht="11.25" customHeight="1" x14ac:dyDescent="0.3">
      <c r="A3" s="127"/>
      <c r="B3" s="127"/>
      <c r="C3" s="127"/>
      <c r="D3" s="127"/>
      <c r="E3" s="127"/>
      <c r="F3" s="127"/>
      <c r="G3" s="127"/>
      <c r="H3" s="127"/>
      <c r="I3" s="127"/>
      <c r="J3" s="123"/>
      <c r="L3" s="125" t="s">
        <v>657</v>
      </c>
      <c r="M3" s="125"/>
      <c r="N3" s="125"/>
      <c r="O3" s="125"/>
      <c r="P3" s="125"/>
      <c r="Q3" s="125"/>
      <c r="R3" s="125"/>
      <c r="S3" s="125"/>
      <c r="T3" s="125"/>
      <c r="U3" s="125" t="s">
        <v>666</v>
      </c>
      <c r="V3" s="125"/>
      <c r="W3" s="125"/>
      <c r="X3" s="125"/>
      <c r="Y3" s="125"/>
      <c r="Z3" s="125"/>
      <c r="AA3" s="125"/>
      <c r="AB3" s="125"/>
      <c r="AC3" s="125" t="s">
        <v>674</v>
      </c>
      <c r="AD3" s="125"/>
      <c r="AE3" s="125" t="s">
        <v>676</v>
      </c>
      <c r="AF3" s="125"/>
      <c r="AG3" s="125"/>
      <c r="AH3" s="125" t="s">
        <v>679</v>
      </c>
      <c r="AI3" s="125"/>
      <c r="AJ3" s="125"/>
      <c r="AK3" s="125"/>
      <c r="AL3" s="125"/>
      <c r="AM3" s="125" t="s">
        <v>665</v>
      </c>
      <c r="AP3" s="126"/>
    </row>
    <row r="4" spans="1:42" ht="11.25" customHeight="1" x14ac:dyDescent="0.3">
      <c r="A4" s="127"/>
      <c r="B4" s="127"/>
      <c r="C4" s="127"/>
      <c r="D4" s="127"/>
      <c r="E4" s="127"/>
      <c r="F4" s="127"/>
      <c r="G4" s="127"/>
      <c r="H4" s="127"/>
      <c r="I4" s="127"/>
      <c r="J4" s="123"/>
      <c r="L4" s="10" t="s">
        <v>742</v>
      </c>
      <c r="M4" s="10" t="s">
        <v>658</v>
      </c>
      <c r="N4" s="10" t="s">
        <v>659</v>
      </c>
      <c r="O4" s="10" t="s">
        <v>660</v>
      </c>
      <c r="P4" s="10" t="s">
        <v>661</v>
      </c>
      <c r="Q4" s="10" t="s">
        <v>662</v>
      </c>
      <c r="R4" s="10" t="s">
        <v>663</v>
      </c>
      <c r="S4" s="10" t="s">
        <v>664</v>
      </c>
      <c r="T4" s="10" t="s">
        <v>665</v>
      </c>
      <c r="U4" s="10" t="s">
        <v>667</v>
      </c>
      <c r="V4" s="10" t="s">
        <v>668</v>
      </c>
      <c r="W4" s="10" t="s">
        <v>669</v>
      </c>
      <c r="X4" s="10" t="s">
        <v>670</v>
      </c>
      <c r="Y4" s="10" t="s">
        <v>671</v>
      </c>
      <c r="Z4" s="10" t="s">
        <v>672</v>
      </c>
      <c r="AA4" s="10" t="s">
        <v>673</v>
      </c>
      <c r="AB4" s="10" t="s">
        <v>665</v>
      </c>
      <c r="AC4" s="10" t="s">
        <v>675</v>
      </c>
      <c r="AD4" s="10" t="s">
        <v>665</v>
      </c>
      <c r="AE4" s="10" t="s">
        <v>677</v>
      </c>
      <c r="AF4" s="10" t="s">
        <v>678</v>
      </c>
      <c r="AG4" s="10" t="s">
        <v>665</v>
      </c>
      <c r="AH4" s="10" t="s">
        <v>680</v>
      </c>
      <c r="AI4" s="10" t="s">
        <v>681</v>
      </c>
      <c r="AJ4" s="10" t="s">
        <v>682</v>
      </c>
      <c r="AK4" s="10" t="s">
        <v>683</v>
      </c>
      <c r="AL4" s="10" t="s">
        <v>665</v>
      </c>
      <c r="AM4" s="129"/>
      <c r="AP4" s="126"/>
    </row>
    <row r="5" spans="1:42" ht="11.25" customHeight="1" x14ac:dyDescent="0.3">
      <c r="A5" s="128" t="s">
        <v>54</v>
      </c>
      <c r="B5" s="128" t="s">
        <v>40</v>
      </c>
      <c r="C5" s="128" t="s">
        <v>25</v>
      </c>
      <c r="D5" s="128" t="s">
        <v>25</v>
      </c>
      <c r="E5" s="128" t="s">
        <v>25</v>
      </c>
      <c r="F5" s="128" t="s">
        <v>25</v>
      </c>
      <c r="G5" s="18" t="s">
        <v>82</v>
      </c>
      <c r="H5" s="18" t="s">
        <v>81</v>
      </c>
      <c r="I5" s="18">
        <f>'MERCADO TUSD'!$U$2</f>
        <v>45208</v>
      </c>
      <c r="J5" s="15"/>
      <c r="L5" s="13">
        <f>'TR TUSD'!$L$5*'TR TUSD'!$L$80</f>
        <v>0</v>
      </c>
      <c r="M5" s="13">
        <f>'TR TUSD'!$M$5*'TR TUSD'!$M$80</f>
        <v>0</v>
      </c>
      <c r="N5" s="13">
        <f ca="1">'TR TUSD'!$N$5*'TR TUSD'!$N$80</f>
        <v>0</v>
      </c>
      <c r="O5" s="13">
        <f>'TR TUSD'!$O$5*'TR TUSD'!$O$80</f>
        <v>0</v>
      </c>
      <c r="P5" s="13">
        <f>'TR TUSD'!$P$5*'TR TUSD'!$P$80</f>
        <v>0</v>
      </c>
      <c r="Q5" s="13">
        <f>'TR TUSD'!$Q$5*'TR TUSD'!$Q$80</f>
        <v>0</v>
      </c>
      <c r="R5" s="13">
        <f>'TR TUSD'!$R$5*'TR TUSD'!$R$80</f>
        <v>0</v>
      </c>
      <c r="S5" s="13">
        <f>'TR TUSD'!$S$5*'TR TUSD'!$S$80</f>
        <v>0</v>
      </c>
      <c r="T5" s="13">
        <f ca="1">SUM($L$5:$S$5)</f>
        <v>0</v>
      </c>
      <c r="U5" s="13">
        <f>'TR TUSD'!$U$5*'TR TUSD'!$U$80</f>
        <v>6.6024908118424603</v>
      </c>
      <c r="V5" s="13">
        <f>'TR TUSD'!$V$5*'TR TUSD'!$V$80</f>
        <v>1.3326177270694817</v>
      </c>
      <c r="W5" s="13">
        <f>'TR TUSD'!$W$5*'TR TUSD'!$W$80</f>
        <v>0.20997826427708183</v>
      </c>
      <c r="X5" s="13">
        <f>'TR TUSD'!$X$5*'TR TUSD'!$X$80</f>
        <v>0</v>
      </c>
      <c r="Y5" s="13">
        <f>'TR TUSD'!$Y$5*'TR TUSD'!$Y$80</f>
        <v>0</v>
      </c>
      <c r="Z5" s="13">
        <f>'TR TUSD'!$Z$5</f>
        <v>0</v>
      </c>
      <c r="AA5" s="13">
        <f>'TR TUSD'!$AA$5</f>
        <v>0</v>
      </c>
      <c r="AB5" s="13">
        <f>SUM($U$5:$AA$5)</f>
        <v>8.1450868031890238</v>
      </c>
      <c r="AC5" s="13">
        <f>'TR TUSD'!$AC$5*'TR TUSD'!$AC$80</f>
        <v>12.514695332717762</v>
      </c>
      <c r="AD5" s="13">
        <f>SUM($AC$5:$AC$5)</f>
        <v>12.514695332717762</v>
      </c>
      <c r="AE5" s="13">
        <v>0</v>
      </c>
      <c r="AF5" s="13">
        <v>0</v>
      </c>
      <c r="AG5" s="13">
        <f>SUM($AE$5:$AF$5)</f>
        <v>0</v>
      </c>
      <c r="AH5" s="13">
        <f>'TR TUSD'!$AH$5*'TR TUSD'!$AH$80</f>
        <v>0</v>
      </c>
      <c r="AI5" s="13">
        <f>'TR TUSD'!$AI$5*'TR TUSD'!$AI$80</f>
        <v>0</v>
      </c>
      <c r="AJ5" s="13">
        <f ca="1">'TR TUSD'!$AJ$5*'TR TUSD'!$AJ$80</f>
        <v>0</v>
      </c>
      <c r="AK5" s="13">
        <f ca="1">'TR TUSD'!$AK$5*'TR TUSD'!$AK$80</f>
        <v>0</v>
      </c>
      <c r="AL5" s="13">
        <f ca="1">SUM($AH$5:$AK$5)</f>
        <v>0</v>
      </c>
      <c r="AM5" s="13">
        <f ca="1">SUMIF($L$4:$AL$4,"SUBTOTAL",$L$5:$AL$5)</f>
        <v>20.659782135906788</v>
      </c>
      <c r="AP5" s="13">
        <v>1</v>
      </c>
    </row>
    <row r="6" spans="1:42" ht="11.25" customHeight="1" x14ac:dyDescent="0.3">
      <c r="A6" s="128"/>
      <c r="B6" s="128"/>
      <c r="C6" s="128"/>
      <c r="D6" s="128"/>
      <c r="E6" s="128"/>
      <c r="F6" s="128"/>
      <c r="G6" s="18" t="s">
        <v>83</v>
      </c>
      <c r="H6" s="18" t="s">
        <v>81</v>
      </c>
      <c r="I6" s="18">
        <f>'MERCADO TUSD'!$U$3</f>
        <v>240000</v>
      </c>
      <c r="J6" s="15"/>
      <c r="L6" s="13">
        <f>'TR TUSD'!$L$6*'TR TUSD'!$L$80</f>
        <v>0</v>
      </c>
      <c r="M6" s="13">
        <f>'TR TUSD'!$M$6*'TR TUSD'!$M$80</f>
        <v>0</v>
      </c>
      <c r="N6" s="13">
        <f ca="1">'TR TUSD'!$N$6*'TR TUSD'!$N$80</f>
        <v>0</v>
      </c>
      <c r="O6" s="13">
        <f>'TR TUSD'!$O$6*'TR TUSD'!$O$80</f>
        <v>0</v>
      </c>
      <c r="P6" s="13">
        <f>'TR TUSD'!$P$6*'TR TUSD'!$P$80</f>
        <v>0</v>
      </c>
      <c r="Q6" s="13">
        <f>'TR TUSD'!$Q$6*'TR TUSD'!$Q$80</f>
        <v>0</v>
      </c>
      <c r="R6" s="13">
        <f>'TR TUSD'!$R$6*'TR TUSD'!$R$80</f>
        <v>0</v>
      </c>
      <c r="S6" s="13">
        <f>'TR TUSD'!$S$6*'TR TUSD'!$S$80</f>
        <v>0</v>
      </c>
      <c r="T6" s="13">
        <f ca="1">SUM($L$6:$S$6)</f>
        <v>0</v>
      </c>
      <c r="U6" s="13">
        <f>'TR TUSD'!$U$6*'TR TUSD'!$U$80</f>
        <v>4.9087543337252546</v>
      </c>
      <c r="V6" s="13">
        <f>'TR TUSD'!$V$6*'TR TUSD'!$V$80</f>
        <v>0.99872218892142306</v>
      </c>
      <c r="W6" s="13">
        <f>'TR TUSD'!$W$6*'TR TUSD'!$W$80</f>
        <v>0.15080630722052649</v>
      </c>
      <c r="X6" s="13">
        <f>'TR TUSD'!$X$6*'TR TUSD'!$X$80</f>
        <v>0</v>
      </c>
      <c r="Y6" s="13">
        <f>'TR TUSD'!$Y$6*'TR TUSD'!$Y$80</f>
        <v>0</v>
      </c>
      <c r="Z6" s="13">
        <f>'TR TUSD'!$Z$6</f>
        <v>0</v>
      </c>
      <c r="AA6" s="13">
        <f>'TR TUSD'!$AA$6</f>
        <v>0</v>
      </c>
      <c r="AB6" s="13">
        <f>SUM($U$6:$AA$6)</f>
        <v>6.0582828298672045</v>
      </c>
      <c r="AC6" s="13">
        <f>'TR TUSD'!$AC$6*'TR TUSD'!$AC$80</f>
        <v>1.4722532679610072</v>
      </c>
      <c r="AD6" s="13">
        <f>SUM($AC$6:$AC$6)</f>
        <v>1.4722532679610072</v>
      </c>
      <c r="AE6" s="13">
        <v>0</v>
      </c>
      <c r="AF6" s="13">
        <v>0</v>
      </c>
      <c r="AG6" s="13">
        <f>SUM($AE$6:$AF$6)</f>
        <v>0</v>
      </c>
      <c r="AH6" s="13">
        <f>'TR TUSD'!$AH$6*'TR TUSD'!$AH$80</f>
        <v>0</v>
      </c>
      <c r="AI6" s="13">
        <f>'TR TUSD'!$AI$6*'TR TUSD'!$AI$80</f>
        <v>0</v>
      </c>
      <c r="AJ6" s="13">
        <f ca="1">'TR TUSD'!$AJ$6*'TR TUSD'!$AJ$80</f>
        <v>0</v>
      </c>
      <c r="AK6" s="13">
        <f ca="1">'TR TUSD'!$AK$6*'TR TUSD'!$AK$80</f>
        <v>0</v>
      </c>
      <c r="AL6" s="13">
        <f ca="1">SUM($AH$6:$AK$6)</f>
        <v>0</v>
      </c>
      <c r="AM6" s="13">
        <f ca="1">SUMIF($L$4:$AL$4,"SUBTOTAL",$L$6:$AL$6)</f>
        <v>7.5305360978282119</v>
      </c>
      <c r="AP6" s="13">
        <v>1</v>
      </c>
    </row>
    <row r="7" spans="1:42" ht="11.25" customHeight="1" x14ac:dyDescent="0.3">
      <c r="A7" s="128"/>
      <c r="B7" s="128"/>
      <c r="C7" s="128"/>
      <c r="D7" s="128"/>
      <c r="E7" s="128"/>
      <c r="F7" s="128"/>
      <c r="G7" s="18" t="s">
        <v>84</v>
      </c>
      <c r="H7" s="18" t="s">
        <v>78</v>
      </c>
      <c r="I7" s="18">
        <f>'MERCADO TUSD'!$U$4</f>
        <v>117715.17200000002</v>
      </c>
      <c r="J7" s="15"/>
      <c r="L7" s="13">
        <f>'TR TUSD'!$L$7*'TR TUSD'!$L$80</f>
        <v>4.177974116474676</v>
      </c>
      <c r="M7" s="13">
        <f>'TR TUSD'!$M$7*'TR TUSD'!$M$80</f>
        <v>4.0395862866496553E-2</v>
      </c>
      <c r="N7" s="13">
        <f ca="1">'TR TUSD'!$N$7*'TR TUSD'!$N$80</f>
        <v>4.0938666899846148E-2</v>
      </c>
      <c r="O7" s="13">
        <f>'TR TUSD'!$O$7*'TR TUSD'!$O$80</f>
        <v>0</v>
      </c>
      <c r="P7" s="13">
        <f>'TR TUSD'!$P$7*'TR TUSD'!$P$80</f>
        <v>0</v>
      </c>
      <c r="Q7" s="13">
        <f>'TR TUSD'!$Q$7*'TR TUSD'!$Q$80</f>
        <v>53.724755905745013</v>
      </c>
      <c r="R7" s="13">
        <f>'TR TUSD'!$R$7*'TR TUSD'!$R$80</f>
        <v>13.642318933507415</v>
      </c>
      <c r="S7" s="13">
        <f>'TR TUSD'!$S$7*'TR TUSD'!$S$80</f>
        <v>0</v>
      </c>
      <c r="T7" s="13">
        <f ca="1">SUM($L$7:$S$7)</f>
        <v>71.626383485493449</v>
      </c>
      <c r="U7" s="13">
        <f>'TR TUSD'!$U$7*'TR TUSD'!$U$80</f>
        <v>0</v>
      </c>
      <c r="V7" s="13">
        <f>'TR TUSD'!$V$7*'TR TUSD'!$V$80</f>
        <v>0</v>
      </c>
      <c r="W7" s="13">
        <f>'TR TUSD'!$W$7*'TR TUSD'!$W$80</f>
        <v>0</v>
      </c>
      <c r="X7" s="13">
        <f>'TR TUSD'!$X$7*'TR TUSD'!$X$80</f>
        <v>0</v>
      </c>
      <c r="Y7" s="13">
        <f>'TR TUSD'!$Y$7*'TR TUSD'!$Y$80</f>
        <v>0</v>
      </c>
      <c r="Z7" s="13">
        <f>'TR TUSD'!$Z$7</f>
        <v>0</v>
      </c>
      <c r="AA7" s="13">
        <f>'TR TUSD'!$AA$7</f>
        <v>0</v>
      </c>
      <c r="AB7" s="13">
        <f>SUM($U$7:$AA$7)</f>
        <v>0</v>
      </c>
      <c r="AC7" s="13">
        <f>'TR TUSD'!$AC$7*'TR TUSD'!$AC$80</f>
        <v>0</v>
      </c>
      <c r="AD7" s="13">
        <f>SUM($AC$7:$AC$7)</f>
        <v>0</v>
      </c>
      <c r="AE7" s="13">
        <v>0</v>
      </c>
      <c r="AF7" s="13">
        <v>0</v>
      </c>
      <c r="AG7" s="13">
        <f>SUM($AE$7:$AF$7)</f>
        <v>0</v>
      </c>
      <c r="AH7" s="13">
        <f>'TR TUSD'!$AH$7*'TR TUSD'!$AH$80</f>
        <v>4.3643887531724955E-2</v>
      </c>
      <c r="AI7" s="13">
        <f>'TR TUSD'!$AI$7*'TR TUSD'!$AI$80</f>
        <v>7.5639583566098896E-4</v>
      </c>
      <c r="AJ7" s="13">
        <f ca="1">'TR TUSD'!$AJ$7*'TR TUSD'!$AJ$80</f>
        <v>0.44924420577892127</v>
      </c>
      <c r="AK7" s="13">
        <f ca="1">'TR TUSD'!$AK$7*'TR TUSD'!$AK$80</f>
        <v>8.7801467624689822E-2</v>
      </c>
      <c r="AL7" s="13">
        <f ca="1">SUM($AH$7:$AK$7)</f>
        <v>0.58144595677099709</v>
      </c>
      <c r="AM7" s="13">
        <f ca="1">SUMIF($L$4:$AL$4,"SUBTOTAL",$L$7:$AL$7)</f>
        <v>72.20782944226444</v>
      </c>
      <c r="AP7" s="13">
        <v>1</v>
      </c>
    </row>
    <row r="8" spans="1:42" ht="11.25" customHeight="1" x14ac:dyDescent="0.3">
      <c r="A8" s="128"/>
      <c r="B8" s="128"/>
      <c r="C8" s="128"/>
      <c r="D8" s="128"/>
      <c r="E8" s="17" t="s">
        <v>85</v>
      </c>
      <c r="F8" s="17" t="s">
        <v>25</v>
      </c>
      <c r="G8" s="18" t="s">
        <v>84</v>
      </c>
      <c r="H8" s="18" t="s">
        <v>78</v>
      </c>
      <c r="I8" s="18">
        <f>'MERCADO TUSD'!$U$5</f>
        <v>0</v>
      </c>
      <c r="J8" s="15"/>
      <c r="L8" s="13">
        <f>'TR TUSD'!$L$8*'TR TUSD'!$L$80</f>
        <v>0</v>
      </c>
      <c r="M8" s="13">
        <f>'TR TUSD'!$M$8*'TR TUSD'!$M$80</f>
        <v>4.0395862866496553E-2</v>
      </c>
      <c r="N8" s="13">
        <f ca="1">'TR TUSD'!$N$8*'TR TUSD'!$N$80</f>
        <v>2.8359273261387593E-2</v>
      </c>
      <c r="O8" s="13">
        <f>'TR TUSD'!$O$8*'TR TUSD'!$O$80</f>
        <v>0</v>
      </c>
      <c r="P8" s="13">
        <f>'TR TUSD'!$P$8*'TR TUSD'!$P$80</f>
        <v>0</v>
      </c>
      <c r="Q8" s="13">
        <f>'TR TUSD'!$Q$8*'TR TUSD'!$Q$80</f>
        <v>0</v>
      </c>
      <c r="R8" s="13">
        <f>'TR TUSD'!$R$8*'TR TUSD'!$R$80</f>
        <v>0</v>
      </c>
      <c r="S8" s="13">
        <f>'TR TUSD'!$S$8*'TR TUSD'!$S$80</f>
        <v>0</v>
      </c>
      <c r="T8" s="13">
        <f ca="1">SUM($L$8:$S$8)</f>
        <v>6.8755136127884142E-2</v>
      </c>
      <c r="U8" s="13">
        <f>'TR TUSD'!$U$8*'TR TUSD'!$U$80</f>
        <v>0</v>
      </c>
      <c r="V8" s="13">
        <f>'TR TUSD'!$V$8*'TR TUSD'!$V$80</f>
        <v>0</v>
      </c>
      <c r="W8" s="13">
        <f>'TR TUSD'!$W$8*'TR TUSD'!$W$80</f>
        <v>0</v>
      </c>
      <c r="X8" s="13">
        <f>'TR TUSD'!$X$8*'TR TUSD'!$X$80</f>
        <v>0</v>
      </c>
      <c r="Y8" s="13">
        <f>'TR TUSD'!$Y$8*'TR TUSD'!$Y$80</f>
        <v>0</v>
      </c>
      <c r="Z8" s="13">
        <f>'TR TUSD'!$Z$8</f>
        <v>0</v>
      </c>
      <c r="AA8" s="13">
        <f>'TR TUSD'!$AA$8</f>
        <v>0</v>
      </c>
      <c r="AB8" s="13">
        <f>SUM($U$8:$AA$8)</f>
        <v>0</v>
      </c>
      <c r="AC8" s="13">
        <f>'TR TUSD'!$AC$8*'TR TUSD'!$AC$80</f>
        <v>0</v>
      </c>
      <c r="AD8" s="13">
        <f>SUM($AC$8:$AC$8)</f>
        <v>0</v>
      </c>
      <c r="AE8" s="13">
        <v>0</v>
      </c>
      <c r="AF8" s="13">
        <v>0</v>
      </c>
      <c r="AG8" s="13">
        <f>SUM($AE$8:$AF$8)</f>
        <v>0</v>
      </c>
      <c r="AH8" s="13">
        <f>'TR TUSD'!$AH$8*'TR TUSD'!$AH$80</f>
        <v>4.3643887531724955E-2</v>
      </c>
      <c r="AI8" s="13">
        <f>'TR TUSD'!$AI$8*'TR TUSD'!$AI$80</f>
        <v>7.5639583566098896E-4</v>
      </c>
      <c r="AJ8" s="13">
        <f ca="1">'TR TUSD'!$AJ$8*'TR TUSD'!$AJ$80</f>
        <v>0.44924420577892127</v>
      </c>
      <c r="AK8" s="13">
        <f ca="1">'TR TUSD'!$AK$8*'TR TUSD'!$AK$80</f>
        <v>8.7801467624689822E-2</v>
      </c>
      <c r="AL8" s="13">
        <f ca="1">SUM($AH$8:$AK$8)</f>
        <v>0.58144595677099709</v>
      </c>
      <c r="AM8" s="13">
        <f ca="1">SUMIF($L$4:$AL$4,"SUBTOTAL",$L$8:$AL$8)</f>
        <v>0.65020109289888128</v>
      </c>
      <c r="AP8" s="13">
        <v>1</v>
      </c>
    </row>
    <row r="9" spans="1:42" ht="11.25" customHeight="1" x14ac:dyDescent="0.3">
      <c r="A9" s="128" t="s">
        <v>60</v>
      </c>
      <c r="B9" s="128" t="s">
        <v>40</v>
      </c>
      <c r="C9" s="128" t="s">
        <v>25</v>
      </c>
      <c r="D9" s="128" t="s">
        <v>25</v>
      </c>
      <c r="E9" s="128" t="s">
        <v>25</v>
      </c>
      <c r="F9" s="128" t="s">
        <v>25</v>
      </c>
      <c r="G9" s="18" t="s">
        <v>82</v>
      </c>
      <c r="H9" s="18" t="s">
        <v>81</v>
      </c>
      <c r="I9" s="18">
        <f>'MERCADO TUSD'!$U$6</f>
        <v>0</v>
      </c>
      <c r="J9" s="15"/>
      <c r="L9" s="13">
        <f>'TR TUSD'!$L$9*'TR TUSD'!$L$80</f>
        <v>0</v>
      </c>
      <c r="M9" s="13">
        <f>'TR TUSD'!$M$9*'TR TUSD'!$M$80</f>
        <v>0</v>
      </c>
      <c r="N9" s="13">
        <f ca="1">'TR TUSD'!$N$9*'TR TUSD'!$N$80</f>
        <v>0</v>
      </c>
      <c r="O9" s="13">
        <f>'TR TUSD'!$O$9*'TR TUSD'!$O$80</f>
        <v>0</v>
      </c>
      <c r="P9" s="13">
        <f>'TR TUSD'!$P$9*'TR TUSD'!$P$80</f>
        <v>0</v>
      </c>
      <c r="Q9" s="13">
        <f>'TR TUSD'!$Q$9*'TR TUSD'!$Q$80</f>
        <v>0</v>
      </c>
      <c r="R9" s="13">
        <f>'TR TUSD'!$R$9*'TR TUSD'!$R$80</f>
        <v>0</v>
      </c>
      <c r="S9" s="13">
        <f>'TR TUSD'!$S$9*'TR TUSD'!$S$80</f>
        <v>0</v>
      </c>
      <c r="T9" s="13">
        <f ca="1">SUM($L$9:$S$9)</f>
        <v>0</v>
      </c>
      <c r="U9" s="13">
        <f>'TR TUSD'!$U$9*'TR TUSD'!$U$80</f>
        <v>6.0372036058460026</v>
      </c>
      <c r="V9" s="13">
        <f>'TR TUSD'!$V$9*'TR TUSD'!$V$80</f>
        <v>1.218523495974281</v>
      </c>
      <c r="W9" s="13">
        <f>'TR TUSD'!$W$9*'TR TUSD'!$W$80</f>
        <v>0.19210340224958072</v>
      </c>
      <c r="X9" s="13">
        <f>'TR TUSD'!$X$9*'TR TUSD'!$X$80</f>
        <v>0</v>
      </c>
      <c r="Y9" s="13">
        <f>'TR TUSD'!$Y$9*'TR TUSD'!$Y$80</f>
        <v>0</v>
      </c>
      <c r="Z9" s="13">
        <f>'TR TUSD'!$Z$9</f>
        <v>0</v>
      </c>
      <c r="AA9" s="13">
        <f>'TR TUSD'!$AA$9</f>
        <v>0</v>
      </c>
      <c r="AB9" s="13">
        <f>SUM($U$9:$AA$9)</f>
        <v>7.4478305040698647</v>
      </c>
      <c r="AC9" s="13">
        <f>'TR TUSD'!$AC$9*'TR TUSD'!$AC$80</f>
        <v>23.123816764843951</v>
      </c>
      <c r="AD9" s="13">
        <f>SUM($AC$9:$AC$9)</f>
        <v>23.123816764843951</v>
      </c>
      <c r="AE9" s="13">
        <v>0</v>
      </c>
      <c r="AF9" s="13">
        <v>0</v>
      </c>
      <c r="AG9" s="13">
        <f>SUM($AE$9:$AF$9)</f>
        <v>0</v>
      </c>
      <c r="AH9" s="13">
        <f>'TR TUSD'!$AH$9*'TR TUSD'!$AH$80</f>
        <v>0</v>
      </c>
      <c r="AI9" s="13">
        <f>'TR TUSD'!$AI$9*'TR TUSD'!$AI$80</f>
        <v>0</v>
      </c>
      <c r="AJ9" s="13">
        <f ca="1">'TR TUSD'!$AJ$9*'TR TUSD'!$AJ$80</f>
        <v>0</v>
      </c>
      <c r="AK9" s="13">
        <f ca="1">'TR TUSD'!$AK$9*'TR TUSD'!$AK$80</f>
        <v>0</v>
      </c>
      <c r="AL9" s="13">
        <f ca="1">SUM($AH$9:$AK$9)</f>
        <v>0</v>
      </c>
      <c r="AM9" s="13">
        <f ca="1">SUMIF($L$4:$AL$4,"SUBTOTAL",$L$9:$AL$9)</f>
        <v>30.571647268913814</v>
      </c>
      <c r="AP9" s="13">
        <v>1</v>
      </c>
    </row>
    <row r="10" spans="1:42" ht="11.25" customHeight="1" x14ac:dyDescent="0.3">
      <c r="A10" s="128"/>
      <c r="B10" s="128"/>
      <c r="C10" s="128"/>
      <c r="D10" s="128"/>
      <c r="E10" s="128"/>
      <c r="F10" s="128"/>
      <c r="G10" s="18" t="s">
        <v>83</v>
      </c>
      <c r="H10" s="18" t="s">
        <v>81</v>
      </c>
      <c r="I10" s="18">
        <f>'MERCADO TUSD'!$U$7</f>
        <v>0</v>
      </c>
      <c r="J10" s="15"/>
      <c r="L10" s="13">
        <f>'TR TUSD'!$L$10*'TR TUSD'!$L$80</f>
        <v>0</v>
      </c>
      <c r="M10" s="13">
        <f>'TR TUSD'!$M$10*'TR TUSD'!$M$80</f>
        <v>0</v>
      </c>
      <c r="N10" s="13">
        <f ca="1">'TR TUSD'!$N$10*'TR TUSD'!$N$80</f>
        <v>0</v>
      </c>
      <c r="O10" s="13">
        <f>'TR TUSD'!$O$10*'TR TUSD'!$O$80</f>
        <v>0</v>
      </c>
      <c r="P10" s="13">
        <f>'TR TUSD'!$P$10*'TR TUSD'!$P$80</f>
        <v>0</v>
      </c>
      <c r="Q10" s="13">
        <f>'TR TUSD'!$Q$10*'TR TUSD'!$Q$80</f>
        <v>0</v>
      </c>
      <c r="R10" s="13">
        <f>'TR TUSD'!$R$10*'TR TUSD'!$R$80</f>
        <v>0</v>
      </c>
      <c r="S10" s="13">
        <f>'TR TUSD'!$S$10*'TR TUSD'!$S$80</f>
        <v>0</v>
      </c>
      <c r="T10" s="13">
        <f ca="1">SUM($L$10:$S$10)</f>
        <v>0</v>
      </c>
      <c r="U10" s="13">
        <f>'TR TUSD'!$U$10*'TR TUSD'!$U$80</f>
        <v>4.364399755469643</v>
      </c>
      <c r="V10" s="13">
        <f>'TR TUSD'!$V$10*'TR TUSD'!$V$80</f>
        <v>0.88795389865662766</v>
      </c>
      <c r="W10" s="13">
        <f>'TR TUSD'!$W$10*'TR TUSD'!$W$80</f>
        <v>0.13416419429837029</v>
      </c>
      <c r="X10" s="13">
        <f>'TR TUSD'!$X$10*'TR TUSD'!$X$80</f>
        <v>0</v>
      </c>
      <c r="Y10" s="13">
        <f>'TR TUSD'!$Y$10*'TR TUSD'!$Y$80</f>
        <v>0</v>
      </c>
      <c r="Z10" s="13">
        <f>'TR TUSD'!$Z$10</f>
        <v>0</v>
      </c>
      <c r="AA10" s="13">
        <f>'TR TUSD'!$AA$10</f>
        <v>0</v>
      </c>
      <c r="AB10" s="13">
        <f>SUM($U$10:$AA$10)</f>
        <v>5.3865178484246412</v>
      </c>
      <c r="AC10" s="13">
        <f>'TR TUSD'!$AC$10*'TR TUSD'!$AC$80</f>
        <v>6.2296170749551445</v>
      </c>
      <c r="AD10" s="13">
        <f>SUM($AC$10:$AC$10)</f>
        <v>6.2296170749551445</v>
      </c>
      <c r="AE10" s="13">
        <v>0</v>
      </c>
      <c r="AF10" s="13">
        <v>0</v>
      </c>
      <c r="AG10" s="13">
        <f>SUM($AE$10:$AF$10)</f>
        <v>0</v>
      </c>
      <c r="AH10" s="13">
        <f>'TR TUSD'!$AH$10*'TR TUSD'!$AH$80</f>
        <v>0</v>
      </c>
      <c r="AI10" s="13">
        <f>'TR TUSD'!$AI$10*'TR TUSD'!$AI$80</f>
        <v>0</v>
      </c>
      <c r="AJ10" s="13">
        <f ca="1">'TR TUSD'!$AJ$10*'TR TUSD'!$AJ$80</f>
        <v>0</v>
      </c>
      <c r="AK10" s="13">
        <f ca="1">'TR TUSD'!$AK$10*'TR TUSD'!$AK$80</f>
        <v>0</v>
      </c>
      <c r="AL10" s="13">
        <f ca="1">SUM($AH$10:$AK$10)</f>
        <v>0</v>
      </c>
      <c r="AM10" s="13">
        <f ca="1">SUMIF($L$4:$AL$4,"SUBTOTAL",$L$10:$AL$10)</f>
        <v>11.616134923379786</v>
      </c>
      <c r="AP10" s="13">
        <v>1</v>
      </c>
    </row>
    <row r="11" spans="1:42" ht="11.25" customHeight="1" x14ac:dyDescent="0.3">
      <c r="A11" s="128"/>
      <c r="B11" s="128"/>
      <c r="C11" s="128"/>
      <c r="D11" s="128"/>
      <c r="E11" s="128"/>
      <c r="F11" s="128"/>
      <c r="G11" s="18" t="s">
        <v>84</v>
      </c>
      <c r="H11" s="18" t="s">
        <v>78</v>
      </c>
      <c r="I11" s="18">
        <f>'MERCADO TUSD'!$U$8</f>
        <v>0</v>
      </c>
      <c r="J11" s="15"/>
      <c r="L11" s="13">
        <f>'TR TUSD'!$L$11*'TR TUSD'!$L$80</f>
        <v>4.177974116474676</v>
      </c>
      <c r="M11" s="13">
        <f>'TR TUSD'!$M$11*'TR TUSD'!$M$80</f>
        <v>0</v>
      </c>
      <c r="N11" s="13">
        <f ca="1">'TR TUSD'!$N$11*'TR TUSD'!$N$80</f>
        <v>0.19553409471619976</v>
      </c>
      <c r="O11" s="13">
        <f>'TR TUSD'!$O$11*'TR TUSD'!$O$80</f>
        <v>0</v>
      </c>
      <c r="P11" s="13">
        <f>'TR TUSD'!$P$11*'TR TUSD'!$P$80</f>
        <v>0</v>
      </c>
      <c r="Q11" s="13">
        <f>'TR TUSD'!$Q$11*'TR TUSD'!$Q$80</f>
        <v>53.724755905745013</v>
      </c>
      <c r="R11" s="13">
        <f>'TR TUSD'!$R$11*'TR TUSD'!$R$80</f>
        <v>13.642318933507415</v>
      </c>
      <c r="S11" s="13">
        <f>'TR TUSD'!$S$11*'TR TUSD'!$S$80</f>
        <v>0</v>
      </c>
      <c r="T11" s="13">
        <f ca="1">SUM($L$11:$S$11)</f>
        <v>71.740583050443306</v>
      </c>
      <c r="U11" s="13">
        <f>'TR TUSD'!$U$11*'TR TUSD'!$U$80</f>
        <v>0</v>
      </c>
      <c r="V11" s="13">
        <f>'TR TUSD'!$V$11*'TR TUSD'!$V$80</f>
        <v>0</v>
      </c>
      <c r="W11" s="13">
        <f>'TR TUSD'!$W$11*'TR TUSD'!$W$80</f>
        <v>0</v>
      </c>
      <c r="X11" s="13">
        <f>'TR TUSD'!$X$11*'TR TUSD'!$X$80</f>
        <v>0</v>
      </c>
      <c r="Y11" s="13">
        <f>'TR TUSD'!$Y$11*'TR TUSD'!$Y$80</f>
        <v>0</v>
      </c>
      <c r="Z11" s="13">
        <f>'TR TUSD'!$Z$11</f>
        <v>0</v>
      </c>
      <c r="AA11" s="13">
        <f>'TR TUSD'!$AA$11</f>
        <v>0</v>
      </c>
      <c r="AB11" s="13">
        <f>SUM($U$11:$AA$11)</f>
        <v>0</v>
      </c>
      <c r="AC11" s="13">
        <f>'TR TUSD'!$AC$11*'TR TUSD'!$AC$80</f>
        <v>0</v>
      </c>
      <c r="AD11" s="13">
        <f>SUM($AC$11:$AC$11)</f>
        <v>0</v>
      </c>
      <c r="AE11" s="13">
        <v>0</v>
      </c>
      <c r="AF11" s="13">
        <v>0</v>
      </c>
      <c r="AG11" s="13">
        <f>SUM($AE$11:$AF$11)</f>
        <v>0</v>
      </c>
      <c r="AH11" s="13">
        <f>'TR TUSD'!$AH$11*'TR TUSD'!$AH$80</f>
        <v>1.7634630451362852</v>
      </c>
      <c r="AI11" s="13">
        <f>'TR TUSD'!$AI$11*'TR TUSD'!$AI$80</f>
        <v>3.0562724338282922E-2</v>
      </c>
      <c r="AJ11" s="13">
        <f ca="1">'TR TUSD'!$AJ$11*'TR TUSD'!$AJ$80</f>
        <v>0</v>
      </c>
      <c r="AK11" s="13">
        <f ca="1">'TR TUSD'!$AK$11*'TR TUSD'!$AK$80</f>
        <v>0</v>
      </c>
      <c r="AL11" s="13">
        <f ca="1">SUM($AH$11:$AK$11)</f>
        <v>1.794025769474568</v>
      </c>
      <c r="AM11" s="13">
        <f ca="1">SUMIF($L$4:$AL$4,"SUBTOTAL",$L$11:$AL$11)</f>
        <v>73.534608819917878</v>
      </c>
      <c r="AP11" s="13">
        <v>1</v>
      </c>
    </row>
    <row r="12" spans="1:42" ht="11.25" customHeight="1" x14ac:dyDescent="0.3">
      <c r="A12" s="128"/>
      <c r="B12" s="128"/>
      <c r="C12" s="128"/>
      <c r="D12" s="128"/>
      <c r="E12" s="17" t="s">
        <v>85</v>
      </c>
      <c r="F12" s="17" t="s">
        <v>25</v>
      </c>
      <c r="G12" s="18" t="s">
        <v>84</v>
      </c>
      <c r="H12" s="18" t="s">
        <v>78</v>
      </c>
      <c r="I12" s="18">
        <f>'MERCADO TUSD'!$U$9</f>
        <v>0</v>
      </c>
      <c r="J12" s="15"/>
      <c r="L12" s="13">
        <f>'TR TUSD'!$L$12*'TR TUSD'!$L$80</f>
        <v>0</v>
      </c>
      <c r="M12" s="13">
        <f>'TR TUSD'!$M$12*'TR TUSD'!$M$80</f>
        <v>0</v>
      </c>
      <c r="N12" s="13">
        <f ca="1">'TR TUSD'!$N$12*'TR TUSD'!$N$80</f>
        <v>0.18295470107774123</v>
      </c>
      <c r="O12" s="13">
        <f>'TR TUSD'!$O$12*'TR TUSD'!$O$80</f>
        <v>0</v>
      </c>
      <c r="P12" s="13">
        <f>'TR TUSD'!$P$12*'TR TUSD'!$P$80</f>
        <v>0</v>
      </c>
      <c r="Q12" s="13">
        <f>'TR TUSD'!$Q$12*'TR TUSD'!$Q$80</f>
        <v>0</v>
      </c>
      <c r="R12" s="13">
        <f>'TR TUSD'!$R$12*'TR TUSD'!$R$80</f>
        <v>0</v>
      </c>
      <c r="S12" s="13">
        <f>'TR TUSD'!$S$12*'TR TUSD'!$S$80</f>
        <v>0</v>
      </c>
      <c r="T12" s="13">
        <f ca="1">SUM($L$12:$S$12)</f>
        <v>0.18295470107774123</v>
      </c>
      <c r="U12" s="13">
        <f>'TR TUSD'!$U$12*'TR TUSD'!$U$80</f>
        <v>0</v>
      </c>
      <c r="V12" s="13">
        <f>'TR TUSD'!$V$12*'TR TUSD'!$V$80</f>
        <v>0</v>
      </c>
      <c r="W12" s="13">
        <f>'TR TUSD'!$W$12*'TR TUSD'!$W$80</f>
        <v>0</v>
      </c>
      <c r="X12" s="13">
        <f>'TR TUSD'!$X$12*'TR TUSD'!$X$80</f>
        <v>0</v>
      </c>
      <c r="Y12" s="13">
        <f>'TR TUSD'!$Y$12*'TR TUSD'!$Y$80</f>
        <v>0</v>
      </c>
      <c r="Z12" s="13">
        <f>'TR TUSD'!$Z$12</f>
        <v>0</v>
      </c>
      <c r="AA12" s="13">
        <f>'TR TUSD'!$AA$12</f>
        <v>0</v>
      </c>
      <c r="AB12" s="13">
        <f>SUM($U$12:$AA$12)</f>
        <v>0</v>
      </c>
      <c r="AC12" s="13">
        <f>'TR TUSD'!$AC$12*'TR TUSD'!$AC$80</f>
        <v>0</v>
      </c>
      <c r="AD12" s="13">
        <f>SUM($AC$12:$AC$12)</f>
        <v>0</v>
      </c>
      <c r="AE12" s="13">
        <v>0</v>
      </c>
      <c r="AF12" s="13">
        <v>0</v>
      </c>
      <c r="AG12" s="13">
        <f>SUM($AE$12:$AF$12)</f>
        <v>0</v>
      </c>
      <c r="AH12" s="13">
        <f>'TR TUSD'!$AH$12*'TR TUSD'!$AH$80</f>
        <v>1.7634630451362852</v>
      </c>
      <c r="AI12" s="13">
        <f>'TR TUSD'!$AI$12*'TR TUSD'!$AI$80</f>
        <v>3.0562724338282922E-2</v>
      </c>
      <c r="AJ12" s="13">
        <f ca="1">'TR TUSD'!$AJ$12*'TR TUSD'!$AJ$80</f>
        <v>0</v>
      </c>
      <c r="AK12" s="13">
        <f ca="1">'TR TUSD'!$AK$12*'TR TUSD'!$AK$80</f>
        <v>0</v>
      </c>
      <c r="AL12" s="13">
        <f ca="1">SUM($AH$12:$AK$12)</f>
        <v>1.794025769474568</v>
      </c>
      <c r="AM12" s="13">
        <f ca="1">SUMIF($L$4:$AL$4,"SUBTOTAL",$L$12:$AL$12)</f>
        <v>1.9769804705523093</v>
      </c>
      <c r="AP12" s="13">
        <v>1</v>
      </c>
    </row>
    <row r="13" spans="1:42" ht="11.25" customHeight="1" x14ac:dyDescent="0.3">
      <c r="A13" s="128"/>
      <c r="B13" s="17" t="s">
        <v>57</v>
      </c>
      <c r="C13" s="17" t="s">
        <v>25</v>
      </c>
      <c r="D13" s="17" t="s">
        <v>25</v>
      </c>
      <c r="E13" s="17" t="s">
        <v>25</v>
      </c>
      <c r="F13" s="17" t="s">
        <v>25</v>
      </c>
      <c r="G13" s="18" t="s">
        <v>9</v>
      </c>
      <c r="H13" s="18" t="s">
        <v>81</v>
      </c>
      <c r="I13" s="18">
        <f>'MERCADO TUSD'!$U$10</f>
        <v>93600</v>
      </c>
      <c r="J13" s="15"/>
      <c r="L13" s="13">
        <f>'TR TUSD'!$L$13</f>
        <v>0</v>
      </c>
      <c r="M13" s="13">
        <f>'TR TUSD'!$M$13</f>
        <v>2.5577414762810401E-2</v>
      </c>
      <c r="N13" s="13">
        <f>'TR TUSD'!$N$13</f>
        <v>7.6656084530705659E-2</v>
      </c>
      <c r="O13" s="13">
        <f>'TR TUSD'!$O$13</f>
        <v>0</v>
      </c>
      <c r="P13" s="13">
        <f>'TR TUSD'!$P$13</f>
        <v>0</v>
      </c>
      <c r="Q13" s="13">
        <f>'TR TUSD'!$Q$13</f>
        <v>0</v>
      </c>
      <c r="R13" s="13">
        <f>'TR TUSD'!$R$13</f>
        <v>0</v>
      </c>
      <c r="S13" s="13">
        <f>'TR TUSD'!$S$13</f>
        <v>0</v>
      </c>
      <c r="T13" s="13">
        <f>SUM($L$13:$S$13)</f>
        <v>0.10223349929351606</v>
      </c>
      <c r="U13" s="13">
        <f>'TR TUSD'!$U$13</f>
        <v>6.1472566227996541</v>
      </c>
      <c r="V13" s="13">
        <f>'TR TUSD'!$V$13</f>
        <v>2.5235874158486773</v>
      </c>
      <c r="W13" s="13">
        <f>'TR TUSD'!$W$13</f>
        <v>0.61838560036918067</v>
      </c>
      <c r="X13" s="13">
        <f>'TR TUSD'!$X$13</f>
        <v>0</v>
      </c>
      <c r="Y13" s="13">
        <f>'TR TUSD'!$Y$13</f>
        <v>0</v>
      </c>
      <c r="Z13" s="13">
        <f>'TR TUSD'!$Z$13</f>
        <v>0</v>
      </c>
      <c r="AA13" s="13">
        <f>'TR TUSD'!$AA$13</f>
        <v>0</v>
      </c>
      <c r="AB13" s="13">
        <f>SUM($U$13:$AA$13)</f>
        <v>9.2892296390175115</v>
      </c>
      <c r="AC13" s="13">
        <f>'TR TUSD'!$AC$13</f>
        <v>1.5818237693278272</v>
      </c>
      <c r="AD13" s="13">
        <f>SUM($AC$13:$AC$13)</f>
        <v>1.5818237693278272</v>
      </c>
      <c r="AE13" s="13">
        <v>0</v>
      </c>
      <c r="AF13" s="13">
        <v>0</v>
      </c>
      <c r="AG13" s="13">
        <f>SUM($AE$13:$AF$13)</f>
        <v>0</v>
      </c>
      <c r="AH13" s="13">
        <f>'TR TUSD'!$AH$13</f>
        <v>0</v>
      </c>
      <c r="AI13" s="13">
        <f>'TR TUSD'!$AI$13</f>
        <v>0</v>
      </c>
      <c r="AJ13" s="13">
        <f>'TR TUSD'!$AJ$13</f>
        <v>0</v>
      </c>
      <c r="AK13" s="13">
        <f>'TR TUSD'!$AK$13</f>
        <v>0</v>
      </c>
      <c r="AL13" s="13">
        <f>SUM($AH$13:$AK$13)</f>
        <v>0</v>
      </c>
      <c r="AM13" s="13">
        <f>SUMIF($L$4:$AL$4,"SUBTOTAL",$L$13:$AL$13)</f>
        <v>10.973286907638855</v>
      </c>
      <c r="AP13" s="13"/>
    </row>
    <row r="14" spans="1:42" ht="11.25" customHeight="1" x14ac:dyDescent="0.3">
      <c r="A14" s="128" t="s">
        <v>39</v>
      </c>
      <c r="B14" s="128" t="s">
        <v>40</v>
      </c>
      <c r="C14" s="128" t="s">
        <v>25</v>
      </c>
      <c r="D14" s="128" t="s">
        <v>25</v>
      </c>
      <c r="E14" s="128" t="s">
        <v>25</v>
      </c>
      <c r="F14" s="128" t="s">
        <v>25</v>
      </c>
      <c r="G14" s="18" t="s">
        <v>82</v>
      </c>
      <c r="H14" s="18" t="s">
        <v>81</v>
      </c>
      <c r="I14" s="18">
        <f>'MERCADO TUSD'!$U$11</f>
        <v>355389</v>
      </c>
      <c r="J14" s="15"/>
      <c r="L14" s="13">
        <f>'TR TUSD'!$L$14*'TR TUSD'!$L$80</f>
        <v>0</v>
      </c>
      <c r="M14" s="13">
        <f>'TR TUSD'!$M$14*'TR TUSD'!$M$80</f>
        <v>0</v>
      </c>
      <c r="N14" s="13">
        <f ca="1">'TR TUSD'!$N$14*'TR TUSD'!$N$80</f>
        <v>0</v>
      </c>
      <c r="O14" s="13">
        <f>'TR TUSD'!$O$14*'TR TUSD'!$O$80</f>
        <v>0</v>
      </c>
      <c r="P14" s="13">
        <f>'TR TUSD'!$P$14*'TR TUSD'!$P$80</f>
        <v>0</v>
      </c>
      <c r="Q14" s="13">
        <f>'TR TUSD'!$Q$14*'TR TUSD'!$Q$80</f>
        <v>0</v>
      </c>
      <c r="R14" s="13">
        <f>'TR TUSD'!$R$14*'TR TUSD'!$R$80</f>
        <v>0</v>
      </c>
      <c r="S14" s="13">
        <f>'TR TUSD'!$S$14*'TR TUSD'!$S$80</f>
        <v>0</v>
      </c>
      <c r="T14" s="13">
        <f ca="1">SUM($L$14:$S$14)</f>
        <v>0</v>
      </c>
      <c r="U14" s="13">
        <f>'TR TUSD'!$U$14*'TR TUSD'!$U$80</f>
        <v>5.4719163998495448</v>
      </c>
      <c r="V14" s="13">
        <f>'TR TUSD'!$V$14*'TR TUSD'!$V$80</f>
        <v>1.1044292648790806</v>
      </c>
      <c r="W14" s="13">
        <f>'TR TUSD'!$W$14*'TR TUSD'!$W$80</f>
        <v>0.17402308203785549</v>
      </c>
      <c r="X14" s="13">
        <f>'TR TUSD'!$X$14*'TR TUSD'!$X$80</f>
        <v>0</v>
      </c>
      <c r="Y14" s="13">
        <f>'TR TUSD'!$Y$14*'TR TUSD'!$Y$80</f>
        <v>0</v>
      </c>
      <c r="Z14" s="13">
        <f>'TR TUSD'!$Z$14</f>
        <v>0</v>
      </c>
      <c r="AA14" s="13">
        <f>'TR TUSD'!$AA$14</f>
        <v>0</v>
      </c>
      <c r="AB14" s="13">
        <f>SUM($U$14:$AA$14)</f>
        <v>6.7503687467664815</v>
      </c>
      <c r="AC14" s="13">
        <f>'TR TUSD'!$AC$14*'TR TUSD'!$AC$80</f>
        <v>33.732938196970139</v>
      </c>
      <c r="AD14" s="13">
        <f>SUM($AC$14:$AC$14)</f>
        <v>33.732938196970139</v>
      </c>
      <c r="AE14" s="13">
        <v>0</v>
      </c>
      <c r="AF14" s="13">
        <v>0</v>
      </c>
      <c r="AG14" s="13">
        <f>SUM($AE$14:$AF$14)</f>
        <v>0</v>
      </c>
      <c r="AH14" s="13">
        <f>'TR TUSD'!$AH$14*'TR TUSD'!$AH$80</f>
        <v>0</v>
      </c>
      <c r="AI14" s="13">
        <f>'TR TUSD'!$AI$14*'TR TUSD'!$AI$80</f>
        <v>0</v>
      </c>
      <c r="AJ14" s="13">
        <f ca="1">'TR TUSD'!$AJ$14*'TR TUSD'!$AJ$80</f>
        <v>0</v>
      </c>
      <c r="AK14" s="13">
        <f ca="1">'TR TUSD'!$AK$14*'TR TUSD'!$AK$80</f>
        <v>0</v>
      </c>
      <c r="AL14" s="13">
        <f ca="1">SUM($AH$14:$AK$14)</f>
        <v>0</v>
      </c>
      <c r="AM14" s="13">
        <f ca="1">SUMIF($L$4:$AL$4,"SUBTOTAL",$L$14:$AL$14)</f>
        <v>40.483306943736622</v>
      </c>
      <c r="AP14" s="13">
        <v>1</v>
      </c>
    </row>
    <row r="15" spans="1:42" ht="11.25" customHeight="1" x14ac:dyDescent="0.3">
      <c r="A15" s="128"/>
      <c r="B15" s="128"/>
      <c r="C15" s="128"/>
      <c r="D15" s="128"/>
      <c r="E15" s="128"/>
      <c r="F15" s="128"/>
      <c r="G15" s="18" t="s">
        <v>83</v>
      </c>
      <c r="H15" s="18" t="s">
        <v>81</v>
      </c>
      <c r="I15" s="18">
        <f>'MERCADO TUSD'!$U$12</f>
        <v>371113</v>
      </c>
      <c r="J15" s="15"/>
      <c r="L15" s="13">
        <f>'TR TUSD'!$L$15*'TR TUSD'!$L$80</f>
        <v>0</v>
      </c>
      <c r="M15" s="13">
        <f>'TR TUSD'!$M$15*'TR TUSD'!$M$80</f>
        <v>0</v>
      </c>
      <c r="N15" s="13">
        <f ca="1">'TR TUSD'!$N$15*'TR TUSD'!$N$80</f>
        <v>0</v>
      </c>
      <c r="O15" s="13">
        <f>'TR TUSD'!$O$15*'TR TUSD'!$O$80</f>
        <v>0</v>
      </c>
      <c r="P15" s="13">
        <f>'TR TUSD'!$P$15*'TR TUSD'!$P$80</f>
        <v>0</v>
      </c>
      <c r="Q15" s="13">
        <f>'TR TUSD'!$Q$15*'TR TUSD'!$Q$80</f>
        <v>0</v>
      </c>
      <c r="R15" s="13">
        <f>'TR TUSD'!$R$15*'TR TUSD'!$R$80</f>
        <v>0</v>
      </c>
      <c r="S15" s="13">
        <f>'TR TUSD'!$S$15*'TR TUSD'!$S$80</f>
        <v>0</v>
      </c>
      <c r="T15" s="13">
        <f ca="1">SUM($L$15:$S$15)</f>
        <v>0</v>
      </c>
      <c r="U15" s="13">
        <f>'TR TUSD'!$U$15*'TR TUSD'!$U$80</f>
        <v>3.8200451772140318</v>
      </c>
      <c r="V15" s="13">
        <f>'TR TUSD'!$V$15*'TR TUSD'!$V$80</f>
        <v>0.77718560839183215</v>
      </c>
      <c r="W15" s="13">
        <f>'TR TUSD'!$W$15*'TR TUSD'!$W$80</f>
        <v>0.11731662319198995</v>
      </c>
      <c r="X15" s="13">
        <f>'TR TUSD'!$X$15*'TR TUSD'!$X$80</f>
        <v>0</v>
      </c>
      <c r="Y15" s="13">
        <f>'TR TUSD'!$Y$15*'TR TUSD'!$Y$80</f>
        <v>0</v>
      </c>
      <c r="Z15" s="13">
        <f>'TR TUSD'!$Z$15</f>
        <v>0</v>
      </c>
      <c r="AA15" s="13">
        <f>'TR TUSD'!$AA$15</f>
        <v>0</v>
      </c>
      <c r="AB15" s="13">
        <f>SUM($U$15:$AA$15)</f>
        <v>4.7145474087978538</v>
      </c>
      <c r="AC15" s="13">
        <f>'TR TUSD'!$AC$15*'TR TUSD'!$AC$80</f>
        <v>10.986980881949282</v>
      </c>
      <c r="AD15" s="13">
        <f>SUM($AC$15:$AC$15)</f>
        <v>10.986980881949282</v>
      </c>
      <c r="AE15" s="13">
        <v>0</v>
      </c>
      <c r="AF15" s="13">
        <v>0</v>
      </c>
      <c r="AG15" s="13">
        <f>SUM($AE$15:$AF$15)</f>
        <v>0</v>
      </c>
      <c r="AH15" s="13">
        <f>'TR TUSD'!$AH$15*'TR TUSD'!$AH$80</f>
        <v>0</v>
      </c>
      <c r="AI15" s="13">
        <f>'TR TUSD'!$AI$15*'TR TUSD'!$AI$80</f>
        <v>0</v>
      </c>
      <c r="AJ15" s="13">
        <f ca="1">'TR TUSD'!$AJ$15*'TR TUSD'!$AJ$80</f>
        <v>0</v>
      </c>
      <c r="AK15" s="13">
        <f ca="1">'TR TUSD'!$AK$15*'TR TUSD'!$AK$80</f>
        <v>0</v>
      </c>
      <c r="AL15" s="13">
        <f ca="1">SUM($AH$15:$AK$15)</f>
        <v>0</v>
      </c>
      <c r="AM15" s="13">
        <f ca="1">SUMIF($L$4:$AL$4,"SUBTOTAL",$L$15:$AL$15)</f>
        <v>15.701528290747136</v>
      </c>
      <c r="AP15" s="13">
        <v>1</v>
      </c>
    </row>
    <row r="16" spans="1:42" ht="11.25" customHeight="1" x14ac:dyDescent="0.3">
      <c r="A16" s="128"/>
      <c r="B16" s="128"/>
      <c r="C16" s="128"/>
      <c r="D16" s="128"/>
      <c r="E16" s="128"/>
      <c r="F16" s="128"/>
      <c r="G16" s="18" t="s">
        <v>84</v>
      </c>
      <c r="H16" s="18" t="s">
        <v>78</v>
      </c>
      <c r="I16" s="18">
        <f>'MERCADO TUSD'!$U$13</f>
        <v>175397.889</v>
      </c>
      <c r="J16" s="15"/>
      <c r="L16" s="13">
        <f>'TR TUSD'!$L$16*'TR TUSD'!$L$80</f>
        <v>5.6604810610302065</v>
      </c>
      <c r="M16" s="13">
        <f>'TR TUSD'!$M$16*'TR TUSD'!$M$80</f>
        <v>0.50229505492098148</v>
      </c>
      <c r="N16" s="13">
        <f ca="1">'TR TUSD'!$N$16*'TR TUSD'!$N$80</f>
        <v>0.3935613740539961</v>
      </c>
      <c r="O16" s="13">
        <f>'TR TUSD'!$O$16*'TR TUSD'!$O$80</f>
        <v>0</v>
      </c>
      <c r="P16" s="13">
        <f>'TR TUSD'!$P$16*'TR TUSD'!$P$80</f>
        <v>0</v>
      </c>
      <c r="Q16" s="13">
        <f>'TR TUSD'!$Q$16*'TR TUSD'!$Q$80</f>
        <v>72.788378969073889</v>
      </c>
      <c r="R16" s="13">
        <f>'TR TUSD'!$R$16*'TR TUSD'!$R$80</f>
        <v>13.642318933507415</v>
      </c>
      <c r="S16" s="13">
        <f>'TR TUSD'!$S$16*'TR TUSD'!$S$80</f>
        <v>0</v>
      </c>
      <c r="T16" s="13">
        <f ca="1">SUM($L$16:$S$16)</f>
        <v>92.987035392586492</v>
      </c>
      <c r="U16" s="13">
        <f>'TR TUSD'!$U$16*'TR TUSD'!$U$80</f>
        <v>0</v>
      </c>
      <c r="V16" s="13">
        <f>'TR TUSD'!$V$16*'TR TUSD'!$V$80</f>
        <v>0</v>
      </c>
      <c r="W16" s="13">
        <f>'TR TUSD'!$W$16*'TR TUSD'!$W$80</f>
        <v>0</v>
      </c>
      <c r="X16" s="13">
        <f>'TR TUSD'!$X$16*'TR TUSD'!$X$80</f>
        <v>0</v>
      </c>
      <c r="Y16" s="13">
        <f>'TR TUSD'!$Y$16*'TR TUSD'!$Y$80</f>
        <v>0</v>
      </c>
      <c r="Z16" s="13">
        <f>'TR TUSD'!$Z$16</f>
        <v>0</v>
      </c>
      <c r="AA16" s="13">
        <f>'TR TUSD'!$AA$16</f>
        <v>0</v>
      </c>
      <c r="AB16" s="13">
        <f>SUM($U$16:$AA$16)</f>
        <v>0</v>
      </c>
      <c r="AC16" s="13">
        <f>'TR TUSD'!$AC$16*'TR TUSD'!$AC$80</f>
        <v>0</v>
      </c>
      <c r="AD16" s="13">
        <f>SUM($AC$16:$AC$16)</f>
        <v>0</v>
      </c>
      <c r="AE16" s="13">
        <v>0</v>
      </c>
      <c r="AF16" s="13">
        <v>0</v>
      </c>
      <c r="AG16" s="13">
        <f>SUM($AE$16:$AF$16)</f>
        <v>0</v>
      </c>
      <c r="AH16" s="13">
        <f>'TR TUSD'!$AH$16*'TR TUSD'!$AH$80</f>
        <v>3.4833082432465323</v>
      </c>
      <c r="AI16" s="13">
        <f>'TR TUSD'!$AI$16*'TR TUSD'!$AI$80</f>
        <v>6.0369504151069328E-2</v>
      </c>
      <c r="AJ16" s="13">
        <f ca="1">'TR TUSD'!$AJ$16*'TR TUSD'!$AJ$80</f>
        <v>1.0411337807377454</v>
      </c>
      <c r="AK16" s="13">
        <f ca="1">'TR TUSD'!$AK$16*'TR TUSD'!$AK$80</f>
        <v>0.20348192089404843</v>
      </c>
      <c r="AL16" s="13">
        <f ca="1">SUM($AH$16:$AK$16)</f>
        <v>4.7882934490293954</v>
      </c>
      <c r="AM16" s="13">
        <f ca="1">SUMIF($L$4:$AL$4,"SUBTOTAL",$L$16:$AL$16)</f>
        <v>97.775328841615888</v>
      </c>
      <c r="AP16" s="13">
        <v>1</v>
      </c>
    </row>
    <row r="17" spans="1:42" ht="11.25" customHeight="1" x14ac:dyDescent="0.3">
      <c r="A17" s="128"/>
      <c r="B17" s="128"/>
      <c r="C17" s="128"/>
      <c r="D17" s="128"/>
      <c r="E17" s="17" t="s">
        <v>85</v>
      </c>
      <c r="F17" s="17" t="s">
        <v>25</v>
      </c>
      <c r="G17" s="18" t="s">
        <v>84</v>
      </c>
      <c r="H17" s="18" t="s">
        <v>78</v>
      </c>
      <c r="I17" s="18">
        <f>'MERCADO TUSD'!$U$14</f>
        <v>0</v>
      </c>
      <c r="J17" s="15"/>
      <c r="L17" s="13">
        <f>'TR TUSD'!$L$17*'TR TUSD'!$L$80</f>
        <v>0</v>
      </c>
      <c r="M17" s="13">
        <f>'TR TUSD'!$M$17*'TR TUSD'!$M$80</f>
        <v>0.50229505492098148</v>
      </c>
      <c r="N17" s="13">
        <f ca="1">'TR TUSD'!$N$17*'TR TUSD'!$N$80</f>
        <v>0.38098198041553755</v>
      </c>
      <c r="O17" s="13">
        <f>'TR TUSD'!$O$17*'TR TUSD'!$O$80</f>
        <v>0</v>
      </c>
      <c r="P17" s="13">
        <f>'TR TUSD'!$P$17*'TR TUSD'!$P$80</f>
        <v>0</v>
      </c>
      <c r="Q17" s="13">
        <f>'TR TUSD'!$Q$17*'TR TUSD'!$Q$80</f>
        <v>0</v>
      </c>
      <c r="R17" s="13">
        <f>'TR TUSD'!$R$17*'TR TUSD'!$R$80</f>
        <v>0</v>
      </c>
      <c r="S17" s="13">
        <f>'TR TUSD'!$S$17*'TR TUSD'!$S$80</f>
        <v>0</v>
      </c>
      <c r="T17" s="13">
        <f ca="1">SUM($L$17:$S$17)</f>
        <v>0.88327703533651902</v>
      </c>
      <c r="U17" s="13">
        <f>'TR TUSD'!$U$17*'TR TUSD'!$U$80</f>
        <v>0</v>
      </c>
      <c r="V17" s="13">
        <f>'TR TUSD'!$V$17*'TR TUSD'!$V$80</f>
        <v>0</v>
      </c>
      <c r="W17" s="13">
        <f>'TR TUSD'!$W$17*'TR TUSD'!$W$80</f>
        <v>0</v>
      </c>
      <c r="X17" s="13">
        <f>'TR TUSD'!$X$17*'TR TUSD'!$X$80</f>
        <v>0</v>
      </c>
      <c r="Y17" s="13">
        <f>'TR TUSD'!$Y$17*'TR TUSD'!$Y$80</f>
        <v>0</v>
      </c>
      <c r="Z17" s="13">
        <f>'TR TUSD'!$Z$17</f>
        <v>0</v>
      </c>
      <c r="AA17" s="13">
        <f>'TR TUSD'!$AA$17</f>
        <v>0</v>
      </c>
      <c r="AB17" s="13">
        <f>SUM($U$17:$AA$17)</f>
        <v>0</v>
      </c>
      <c r="AC17" s="13">
        <f>'TR TUSD'!$AC$17*'TR TUSD'!$AC$80</f>
        <v>0</v>
      </c>
      <c r="AD17" s="13">
        <f>SUM($AC$17:$AC$17)</f>
        <v>0</v>
      </c>
      <c r="AE17" s="13">
        <v>0</v>
      </c>
      <c r="AF17" s="13">
        <v>0</v>
      </c>
      <c r="AG17" s="13">
        <f>SUM($AE$17:$AF$17)</f>
        <v>0</v>
      </c>
      <c r="AH17" s="13">
        <f>'TR TUSD'!$AH$17*'TR TUSD'!$AH$80</f>
        <v>3.4833082432465323</v>
      </c>
      <c r="AI17" s="13">
        <f>'TR TUSD'!$AI$17*'TR TUSD'!$AI$80</f>
        <v>6.0369504151069328E-2</v>
      </c>
      <c r="AJ17" s="13">
        <f ca="1">'TR TUSD'!$AJ$17*'TR TUSD'!$AJ$80</f>
        <v>1.0411337807377454</v>
      </c>
      <c r="AK17" s="13">
        <f ca="1">'TR TUSD'!$AK$17*'TR TUSD'!$AK$80</f>
        <v>0.20348192089404843</v>
      </c>
      <c r="AL17" s="13">
        <f ca="1">SUM($AH$17:$AK$17)</f>
        <v>4.7882934490293954</v>
      </c>
      <c r="AM17" s="13">
        <f ca="1">SUMIF($L$4:$AL$4,"SUBTOTAL",$L$17:$AL$17)</f>
        <v>5.6715704843659145</v>
      </c>
      <c r="AP17" s="13">
        <v>1</v>
      </c>
    </row>
    <row r="18" spans="1:42" ht="11.25" customHeight="1" x14ac:dyDescent="0.3">
      <c r="A18" s="128"/>
      <c r="B18" s="17" t="s">
        <v>57</v>
      </c>
      <c r="C18" s="17" t="s">
        <v>25</v>
      </c>
      <c r="D18" s="17" t="s">
        <v>25</v>
      </c>
      <c r="E18" s="17" t="s">
        <v>25</v>
      </c>
      <c r="F18" s="17" t="s">
        <v>25</v>
      </c>
      <c r="G18" s="18" t="s">
        <v>9</v>
      </c>
      <c r="H18" s="18" t="s">
        <v>81</v>
      </c>
      <c r="I18" s="18">
        <f>'MERCADO TUSD'!$U$15</f>
        <v>105360</v>
      </c>
      <c r="J18" s="15"/>
      <c r="L18" s="13">
        <f>'TR TUSD'!$L$18*'TR TUSD'!$L$80</f>
        <v>0</v>
      </c>
      <c r="M18" s="13">
        <f>'TR TUSD'!$M$18*'TR TUSD'!$M$80</f>
        <v>1.2375668529667276E-2</v>
      </c>
      <c r="N18" s="13">
        <f ca="1">'TR TUSD'!$N$18*'TR TUSD'!$N$80</f>
        <v>3.8744532406452349E-2</v>
      </c>
      <c r="O18" s="13">
        <f>'TR TUSD'!$O$18*'TR TUSD'!$O$80</f>
        <v>0</v>
      </c>
      <c r="P18" s="13">
        <f>'TR TUSD'!$P$18*'TR TUSD'!$P$80</f>
        <v>0</v>
      </c>
      <c r="Q18" s="13">
        <f>'TR TUSD'!$Q$18*'TR TUSD'!$Q$80</f>
        <v>0</v>
      </c>
      <c r="R18" s="13">
        <f>'TR TUSD'!$R$18*'TR TUSD'!$R$80</f>
        <v>0</v>
      </c>
      <c r="S18" s="13">
        <f>'TR TUSD'!$S$18*'TR TUSD'!$S$80</f>
        <v>0</v>
      </c>
      <c r="T18" s="13">
        <f ca="1">SUM($L$18:$S$18)</f>
        <v>5.1120200936119624E-2</v>
      </c>
      <c r="U18" s="13">
        <f>'TR TUSD'!$U$18*'TR TUSD'!$U$80</f>
        <v>0</v>
      </c>
      <c r="V18" s="13">
        <f>'TR TUSD'!$V$18*'TR TUSD'!$V$80</f>
        <v>0</v>
      </c>
      <c r="W18" s="13">
        <f>'TR TUSD'!$W$18*'TR TUSD'!$W$80</f>
        <v>0</v>
      </c>
      <c r="X18" s="13">
        <f>'TR TUSD'!$X$18*'TR TUSD'!$X$80</f>
        <v>0</v>
      </c>
      <c r="Y18" s="13">
        <f>'TR TUSD'!$Y$18*'TR TUSD'!$Y$80</f>
        <v>0</v>
      </c>
      <c r="Z18" s="13">
        <f>'TR TUSD'!$Z$18*'TR TUSD'!$Z$80</f>
        <v>0</v>
      </c>
      <c r="AA18" s="13">
        <f>'TR TUSD'!$AA$18*'TR TUSD'!$AA$80</f>
        <v>0</v>
      </c>
      <c r="AB18" s="13">
        <f>SUM($U$18:$AA$18)</f>
        <v>0</v>
      </c>
      <c r="AC18" s="13">
        <f>'TR TUSD'!$AC$18*'TR TUSD'!$AC$80</f>
        <v>3.6888920634292828</v>
      </c>
      <c r="AD18" s="13">
        <f>SUM($AC$18:$AC$18)</f>
        <v>3.6888920634292828</v>
      </c>
      <c r="AE18" s="13">
        <v>0</v>
      </c>
      <c r="AF18" s="13">
        <v>0</v>
      </c>
      <c r="AG18" s="13">
        <f>SUM($AE$18:$AF$18)</f>
        <v>0</v>
      </c>
      <c r="AH18" s="13">
        <f>'TR TUSD'!$AH$18*'TR TUSD'!$AH$80</f>
        <v>1.6665923639799505E-3</v>
      </c>
      <c r="AI18" s="13">
        <f>'TR TUSD'!$AI$18*'TR TUSD'!$AI$80</f>
        <v>0</v>
      </c>
      <c r="AJ18" s="13">
        <f ca="1">'TR TUSD'!$AJ$18*'TR TUSD'!$AJ$80</f>
        <v>0</v>
      </c>
      <c r="AK18" s="13">
        <f ca="1">'TR TUSD'!$AK$18*'TR TUSD'!$AK$80</f>
        <v>0</v>
      </c>
      <c r="AL18" s="13">
        <f ca="1">SUM($AH$18:$AK$18)</f>
        <v>1.6665923639799505E-3</v>
      </c>
      <c r="AM18" s="13">
        <f ca="1">SUMIF($L$4:$AL$4,"SUBTOTAL",$L$18:$AL$18)</f>
        <v>3.7416788567293824</v>
      </c>
      <c r="AP18" s="13"/>
    </row>
    <row r="19" spans="1:42" ht="11.25" customHeight="1" x14ac:dyDescent="0.3">
      <c r="A19" s="128"/>
      <c r="B19" s="128" t="s">
        <v>41</v>
      </c>
      <c r="C19" s="128" t="s">
        <v>25</v>
      </c>
      <c r="D19" s="128" t="s">
        <v>25</v>
      </c>
      <c r="E19" s="128" t="s">
        <v>25</v>
      </c>
      <c r="F19" s="128" t="s">
        <v>25</v>
      </c>
      <c r="G19" s="18" t="s">
        <v>9</v>
      </c>
      <c r="H19" s="18" t="s">
        <v>81</v>
      </c>
      <c r="I19" s="18">
        <f>'MERCADO TUSD'!$U$16</f>
        <v>334187</v>
      </c>
      <c r="J19" s="15"/>
      <c r="L19" s="13">
        <f>'TR TUSD'!$L$19*'TR TUSD'!$L$80</f>
        <v>0</v>
      </c>
      <c r="M19" s="13">
        <f>'TR TUSD'!$M$19*'TR TUSD'!$M$80</f>
        <v>0</v>
      </c>
      <c r="N19" s="13">
        <f ca="1">'TR TUSD'!$N$19*'TR TUSD'!$N$80</f>
        <v>0</v>
      </c>
      <c r="O19" s="13">
        <f>'TR TUSD'!$O$19*'TR TUSD'!$O$80</f>
        <v>0</v>
      </c>
      <c r="P19" s="13">
        <f>'TR TUSD'!$P$19*'TR TUSD'!$P$80</f>
        <v>0</v>
      </c>
      <c r="Q19" s="13">
        <f>'TR TUSD'!$Q$19*'TR TUSD'!$Q$80</f>
        <v>0</v>
      </c>
      <c r="R19" s="13">
        <f>'TR TUSD'!$R$19*'TR TUSD'!$R$80</f>
        <v>0</v>
      </c>
      <c r="S19" s="13">
        <f>'TR TUSD'!$S$19*'TR TUSD'!$S$80</f>
        <v>0</v>
      </c>
      <c r="T19" s="13">
        <f ca="1">SUM($L$19:$S$19)</f>
        <v>0</v>
      </c>
      <c r="U19" s="13">
        <f>'TR TUSD'!$U$19*'TR TUSD'!$U$80</f>
        <v>3.8200451772140318</v>
      </c>
      <c r="V19" s="13">
        <f>'TR TUSD'!$V$19*'TR TUSD'!$V$80</f>
        <v>0.77718560839183215</v>
      </c>
      <c r="W19" s="13">
        <f>'TR TUSD'!$W$19*'TR TUSD'!$W$80</f>
        <v>0.11731662319198995</v>
      </c>
      <c r="X19" s="13">
        <f>'TR TUSD'!$X$19*'TR TUSD'!$X$80</f>
        <v>0</v>
      </c>
      <c r="Y19" s="13">
        <f>'TR TUSD'!$Y$19*'TR TUSD'!$Y$80</f>
        <v>0</v>
      </c>
      <c r="Z19" s="13">
        <f>'TR TUSD'!$Z$19</f>
        <v>0</v>
      </c>
      <c r="AA19" s="13">
        <f>'TR TUSD'!$AA$19</f>
        <v>0</v>
      </c>
      <c r="AB19" s="13">
        <f>SUM($U$19:$AA$19)</f>
        <v>4.7145474087978538</v>
      </c>
      <c r="AC19" s="13">
        <f>'TR TUSD'!$AC$19*'TR TUSD'!$AC$80</f>
        <v>10.986980881949282</v>
      </c>
      <c r="AD19" s="13">
        <f>SUM($AC$19:$AC$19)</f>
        <v>10.986980881949282</v>
      </c>
      <c r="AE19" s="13">
        <v>0</v>
      </c>
      <c r="AF19" s="13">
        <v>0</v>
      </c>
      <c r="AG19" s="13">
        <f>SUM($AE$19:$AF$19)</f>
        <v>0</v>
      </c>
      <c r="AH19" s="13">
        <f>'TR TUSD'!$AH$19*'TR TUSD'!$AH$80</f>
        <v>0</v>
      </c>
      <c r="AI19" s="13">
        <f>'TR TUSD'!$AI$19*'TR TUSD'!$AI$80</f>
        <v>0</v>
      </c>
      <c r="AJ19" s="13">
        <f ca="1">'TR TUSD'!$AJ$19*'TR TUSD'!$AJ$80</f>
        <v>0</v>
      </c>
      <c r="AK19" s="13">
        <f ca="1">'TR TUSD'!$AK$19*'TR TUSD'!$AK$80</f>
        <v>0</v>
      </c>
      <c r="AL19" s="13">
        <f ca="1">SUM($AH$19:$AK$19)</f>
        <v>0</v>
      </c>
      <c r="AM19" s="13">
        <f ca="1">SUMIF($L$4:$AL$4,"SUBTOTAL",$L$19:$AL$19)</f>
        <v>15.701528290747136</v>
      </c>
      <c r="AP19" s="13">
        <v>1</v>
      </c>
    </row>
    <row r="20" spans="1:42" ht="11.25" customHeight="1" x14ac:dyDescent="0.3">
      <c r="A20" s="128"/>
      <c r="B20" s="128"/>
      <c r="C20" s="128"/>
      <c r="D20" s="128"/>
      <c r="E20" s="128"/>
      <c r="F20" s="128"/>
      <c r="G20" s="18" t="s">
        <v>79</v>
      </c>
      <c r="H20" s="18" t="s">
        <v>78</v>
      </c>
      <c r="I20" s="18">
        <f>'MERCADO TUSD'!$U$17</f>
        <v>7190.6020000000008</v>
      </c>
      <c r="J20" s="15"/>
      <c r="L20" s="13">
        <f>'TR TUSD'!$L$20*'TR TUSD'!$L$80</f>
        <v>5.6604810610302065</v>
      </c>
      <c r="M20" s="13">
        <f>'TR TUSD'!$M$20*'TR TUSD'!$M$80</f>
        <v>0.50229505492098148</v>
      </c>
      <c r="N20" s="13">
        <f ca="1">'TR TUSD'!$N$20*'TR TUSD'!$N$80</f>
        <v>10.903717719469221</v>
      </c>
      <c r="O20" s="13">
        <f>'TR TUSD'!$O$20*'TR TUSD'!$O$80</f>
        <v>0</v>
      </c>
      <c r="P20" s="13">
        <f>'TR TUSD'!$P$20*'TR TUSD'!$P$80</f>
        <v>0</v>
      </c>
      <c r="Q20" s="13">
        <f>'TR TUSD'!$Q$20*'TR TUSD'!$Q$80</f>
        <v>72.788378969073889</v>
      </c>
      <c r="R20" s="13">
        <f>'TR TUSD'!$R$20*'TR TUSD'!$R$80</f>
        <v>13.642318933507415</v>
      </c>
      <c r="S20" s="13">
        <f>'TR TUSD'!$S$20*'TR TUSD'!$S$80</f>
        <v>0</v>
      </c>
      <c r="T20" s="13">
        <f ca="1">SUM($L$20:$S$20)</f>
        <v>103.49719173800172</v>
      </c>
      <c r="U20" s="13">
        <f>'TR TUSD'!$U$20*'TR TUSD'!$U$80</f>
        <v>131.60024289689224</v>
      </c>
      <c r="V20" s="13">
        <f>'TR TUSD'!$V$20*'TR TUSD'!$V$80</f>
        <v>26.561903411414921</v>
      </c>
      <c r="W20" s="13">
        <f>'TR TUSD'!$W$20*'TR TUSD'!$W$80</f>
        <v>4.1868268781197386</v>
      </c>
      <c r="X20" s="13">
        <f>'TR TUSD'!$X$20*'TR TUSD'!$X$80</f>
        <v>0</v>
      </c>
      <c r="Y20" s="13">
        <f>'TR TUSD'!$Y$20*'TR TUSD'!$Y$80</f>
        <v>0</v>
      </c>
      <c r="Z20" s="13">
        <f>'TR TUSD'!$Z$20</f>
        <v>0</v>
      </c>
      <c r="AA20" s="13">
        <f>'TR TUSD'!$AA$20</f>
        <v>0</v>
      </c>
      <c r="AB20" s="13">
        <f>SUM($U$20:$AA$20)</f>
        <v>162.34897318642692</v>
      </c>
      <c r="AC20" s="13">
        <f>'TR TUSD'!$AC$20*'TR TUSD'!$AC$80</f>
        <v>811.27677782020794</v>
      </c>
      <c r="AD20" s="13">
        <f>SUM($AC$20:$AC$20)</f>
        <v>811.27677782020794</v>
      </c>
      <c r="AE20" s="13">
        <v>0</v>
      </c>
      <c r="AF20" s="13">
        <v>0</v>
      </c>
      <c r="AG20" s="13">
        <f>SUM($AE$20:$AF$20)</f>
        <v>0</v>
      </c>
      <c r="AH20" s="13">
        <f>'TR TUSD'!$AH$20*'TR TUSD'!$AH$80</f>
        <v>3.4833082432465323</v>
      </c>
      <c r="AI20" s="13">
        <f>'TR TUSD'!$AI$20*'TR TUSD'!$AI$80</f>
        <v>6.0369504151069328E-2</v>
      </c>
      <c r="AJ20" s="13">
        <f ca="1">'TR TUSD'!$AJ$20*'TR TUSD'!$AJ$80</f>
        <v>1.0411337807377454</v>
      </c>
      <c r="AK20" s="13">
        <f ca="1">'TR TUSD'!$AK$20*'TR TUSD'!$AK$80</f>
        <v>0.20348192089404843</v>
      </c>
      <c r="AL20" s="13">
        <f ca="1">SUM($AH$20:$AK$20)</f>
        <v>4.7882934490293954</v>
      </c>
      <c r="AM20" s="13">
        <f ca="1">SUMIF($L$4:$AL$4,"SUBTOTAL",$L$20:$AL$20)</f>
        <v>1081.9112361936659</v>
      </c>
      <c r="AP20" s="13">
        <v>1</v>
      </c>
    </row>
    <row r="21" spans="1:42" ht="11.25" customHeight="1" x14ac:dyDescent="0.3">
      <c r="A21" s="128"/>
      <c r="B21" s="128"/>
      <c r="C21" s="128"/>
      <c r="D21" s="128"/>
      <c r="E21" s="128"/>
      <c r="F21" s="128"/>
      <c r="G21" s="18" t="s">
        <v>80</v>
      </c>
      <c r="H21" s="18" t="s">
        <v>78</v>
      </c>
      <c r="I21" s="18">
        <f>'MERCADO TUSD'!$U$18</f>
        <v>80797.680999999997</v>
      </c>
      <c r="J21" s="15"/>
      <c r="L21" s="13">
        <f>'TR TUSD'!$L$21*'TR TUSD'!$L$80</f>
        <v>5.6604810610302065</v>
      </c>
      <c r="M21" s="13">
        <f>'TR TUSD'!$M$21*'TR TUSD'!$M$80</f>
        <v>0.50229505492098148</v>
      </c>
      <c r="N21" s="13">
        <f ca="1">'TR TUSD'!$N$21*'TR TUSD'!$N$80</f>
        <v>0.3935613740539961</v>
      </c>
      <c r="O21" s="13">
        <f>'TR TUSD'!$O$21*'TR TUSD'!$O$80</f>
        <v>0</v>
      </c>
      <c r="P21" s="13">
        <f>'TR TUSD'!$P$21*'TR TUSD'!$P$80</f>
        <v>0</v>
      </c>
      <c r="Q21" s="13">
        <f>'TR TUSD'!$Q$21*'TR TUSD'!$Q$80</f>
        <v>72.788378969073889</v>
      </c>
      <c r="R21" s="13">
        <f>'TR TUSD'!$R$21*'TR TUSD'!$R$80</f>
        <v>13.642318933507415</v>
      </c>
      <c r="S21" s="13">
        <f>'TR TUSD'!$S$21*'TR TUSD'!$S$80</f>
        <v>0</v>
      </c>
      <c r="T21" s="13">
        <f ca="1">SUM($L$21:$S$21)</f>
        <v>92.987035392586492</v>
      </c>
      <c r="U21" s="13">
        <f>'TR TUSD'!$U$21*'TR TUSD'!$U$80</f>
        <v>0</v>
      </c>
      <c r="V21" s="13">
        <f>'TR TUSD'!$V$21*'TR TUSD'!$V$80</f>
        <v>0</v>
      </c>
      <c r="W21" s="13">
        <f>'TR TUSD'!$W$21*'TR TUSD'!$W$80</f>
        <v>0</v>
      </c>
      <c r="X21" s="13">
        <f>'TR TUSD'!$X$21*'TR TUSD'!$X$80</f>
        <v>0</v>
      </c>
      <c r="Y21" s="13">
        <f>'TR TUSD'!$Y$21*'TR TUSD'!$Y$80</f>
        <v>0</v>
      </c>
      <c r="Z21" s="13">
        <f>'TR TUSD'!$Z$21</f>
        <v>0</v>
      </c>
      <c r="AA21" s="13">
        <f>'TR TUSD'!$AA$21</f>
        <v>0</v>
      </c>
      <c r="AB21" s="13">
        <f>SUM($U$21:$AA$21)</f>
        <v>0</v>
      </c>
      <c r="AC21" s="13">
        <f>'TR TUSD'!$AC$21*'TR TUSD'!$AC$80</f>
        <v>0</v>
      </c>
      <c r="AD21" s="13">
        <f>SUM($AC$21:$AC$21)</f>
        <v>0</v>
      </c>
      <c r="AE21" s="13">
        <v>0</v>
      </c>
      <c r="AF21" s="13">
        <v>0</v>
      </c>
      <c r="AG21" s="13">
        <f>SUM($AE$21:$AF$21)</f>
        <v>0</v>
      </c>
      <c r="AH21" s="13">
        <f>'TR TUSD'!$AH$21*'TR TUSD'!$AH$80</f>
        <v>3.4833082432465323</v>
      </c>
      <c r="AI21" s="13">
        <f>'TR TUSD'!$AI$21*'TR TUSD'!$AI$80</f>
        <v>6.0369504151069328E-2</v>
      </c>
      <c r="AJ21" s="13">
        <f ca="1">'TR TUSD'!$AJ$21*'TR TUSD'!$AJ$80</f>
        <v>1.0411337807377454</v>
      </c>
      <c r="AK21" s="13">
        <f ca="1">'TR TUSD'!$AK$21*'TR TUSD'!$AK$80</f>
        <v>0.20348192089404843</v>
      </c>
      <c r="AL21" s="13">
        <f ca="1">SUM($AH$21:$AK$21)</f>
        <v>4.7882934490293954</v>
      </c>
      <c r="AM21" s="13">
        <f ca="1">SUMIF($L$4:$AL$4,"SUBTOTAL",$L$21:$AL$21)</f>
        <v>97.775328841615888</v>
      </c>
      <c r="AP21" s="13">
        <v>1</v>
      </c>
    </row>
    <row r="22" spans="1:42" ht="11.25" customHeight="1" x14ac:dyDescent="0.3">
      <c r="A22" s="128"/>
      <c r="B22" s="128"/>
      <c r="C22" s="128"/>
      <c r="D22" s="128"/>
      <c r="E22" s="128" t="s">
        <v>85</v>
      </c>
      <c r="F22" s="128" t="s">
        <v>25</v>
      </c>
      <c r="G22" s="18" t="s">
        <v>79</v>
      </c>
      <c r="H22" s="18" t="s">
        <v>78</v>
      </c>
      <c r="I22" s="18">
        <f>'MERCADO TUSD'!$U$19</f>
        <v>0</v>
      </c>
      <c r="J22" s="15"/>
      <c r="L22" s="13">
        <f>'TR TUSD'!$L$22*'TR TUSD'!$L$80</f>
        <v>0</v>
      </c>
      <c r="M22" s="13">
        <f>'TR TUSD'!$M$22*'TR TUSD'!$M$80</f>
        <v>0.50229505492098148</v>
      </c>
      <c r="N22" s="13">
        <f ca="1">'TR TUSD'!$N$22*'TR TUSD'!$N$80</f>
        <v>10.891138325830763</v>
      </c>
      <c r="O22" s="13">
        <f>'TR TUSD'!$O$22*'TR TUSD'!$O$80</f>
        <v>0</v>
      </c>
      <c r="P22" s="13">
        <f>'TR TUSD'!$P$22*'TR TUSD'!$P$80</f>
        <v>0</v>
      </c>
      <c r="Q22" s="13">
        <f>'TR TUSD'!$Q$22*'TR TUSD'!$Q$80</f>
        <v>0</v>
      </c>
      <c r="R22" s="13">
        <f>'TR TUSD'!$R$22*'TR TUSD'!$R$80</f>
        <v>0</v>
      </c>
      <c r="S22" s="13">
        <f>'TR TUSD'!$S$22*'TR TUSD'!$S$80</f>
        <v>0</v>
      </c>
      <c r="T22" s="13">
        <f ca="1">SUM($L$22:$S$22)</f>
        <v>11.393433380751745</v>
      </c>
      <c r="U22" s="13">
        <f>'TR TUSD'!$U$22*'TR TUSD'!$U$80</f>
        <v>131.60024289689224</v>
      </c>
      <c r="V22" s="13">
        <f>'TR TUSD'!$V$22*'TR TUSD'!$V$80</f>
        <v>26.561903411414921</v>
      </c>
      <c r="W22" s="13">
        <f>'TR TUSD'!$W$22*'TR TUSD'!$W$80</f>
        <v>4.1868268781197386</v>
      </c>
      <c r="X22" s="13">
        <f>'TR TUSD'!$X$22*'TR TUSD'!$X$80</f>
        <v>0</v>
      </c>
      <c r="Y22" s="13">
        <f>'TR TUSD'!$Y$22*'TR TUSD'!$Y$80</f>
        <v>0</v>
      </c>
      <c r="Z22" s="13">
        <f>'TR TUSD'!$Z$22</f>
        <v>0</v>
      </c>
      <c r="AA22" s="13">
        <f>'TR TUSD'!$AA$22</f>
        <v>0</v>
      </c>
      <c r="AB22" s="13">
        <f>SUM($U$22:$AA$22)</f>
        <v>162.34897318642692</v>
      </c>
      <c r="AC22" s="13">
        <f>'TR TUSD'!$AC$22*'TR TUSD'!$AC$80</f>
        <v>811.27677782020794</v>
      </c>
      <c r="AD22" s="13">
        <f>SUM($AC$22:$AC$22)</f>
        <v>811.27677782020794</v>
      </c>
      <c r="AE22" s="13">
        <v>0</v>
      </c>
      <c r="AF22" s="13">
        <v>0</v>
      </c>
      <c r="AG22" s="13">
        <f>SUM($AE$22:$AF$22)</f>
        <v>0</v>
      </c>
      <c r="AH22" s="13">
        <f>'TR TUSD'!$AH$22*'TR TUSD'!$AH$80</f>
        <v>3.4833082432465323</v>
      </c>
      <c r="AI22" s="13">
        <f>'TR TUSD'!$AI$22*'TR TUSD'!$AI$80</f>
        <v>6.0369504151069328E-2</v>
      </c>
      <c r="AJ22" s="13">
        <f ca="1">'TR TUSD'!$AJ$22*'TR TUSD'!$AJ$80</f>
        <v>1.0411337807377454</v>
      </c>
      <c r="AK22" s="13">
        <f ca="1">'TR TUSD'!$AK$22*'TR TUSD'!$AK$80</f>
        <v>0.20348192089404843</v>
      </c>
      <c r="AL22" s="13">
        <f ca="1">SUM($AH$22:$AK$22)</f>
        <v>4.7882934490293954</v>
      </c>
      <c r="AM22" s="13">
        <f ca="1">SUMIF($L$4:$AL$4,"SUBTOTAL",$L$22:$AL$22)</f>
        <v>989.80747783641596</v>
      </c>
      <c r="AP22" s="13">
        <v>1</v>
      </c>
    </row>
    <row r="23" spans="1:42" ht="11.25" customHeight="1" x14ac:dyDescent="0.3">
      <c r="A23" s="128"/>
      <c r="B23" s="128"/>
      <c r="C23" s="128"/>
      <c r="D23" s="128"/>
      <c r="E23" s="128"/>
      <c r="F23" s="128"/>
      <c r="G23" s="18" t="s">
        <v>80</v>
      </c>
      <c r="H23" s="18" t="s">
        <v>78</v>
      </c>
      <c r="I23" s="18">
        <f>'MERCADO TUSD'!$U$20</f>
        <v>0</v>
      </c>
      <c r="J23" s="15"/>
      <c r="L23" s="13">
        <f>'TR TUSD'!$L$23*'TR TUSD'!$L$80</f>
        <v>0</v>
      </c>
      <c r="M23" s="13">
        <f>'TR TUSD'!$M$23*'TR TUSD'!$M$80</f>
        <v>0.50229505492098148</v>
      </c>
      <c r="N23" s="13">
        <f ca="1">'TR TUSD'!$N$23*'TR TUSD'!$N$80</f>
        <v>0.38098198041553755</v>
      </c>
      <c r="O23" s="13">
        <f>'TR TUSD'!$O$23*'TR TUSD'!$O$80</f>
        <v>0</v>
      </c>
      <c r="P23" s="13">
        <f>'TR TUSD'!$P$23*'TR TUSD'!$P$80</f>
        <v>0</v>
      </c>
      <c r="Q23" s="13">
        <f>'TR TUSD'!$Q$23*'TR TUSD'!$Q$80</f>
        <v>0</v>
      </c>
      <c r="R23" s="13">
        <f>'TR TUSD'!$R$23*'TR TUSD'!$R$80</f>
        <v>0</v>
      </c>
      <c r="S23" s="13">
        <f>'TR TUSD'!$S$23*'TR TUSD'!$S$80</f>
        <v>0</v>
      </c>
      <c r="T23" s="13">
        <f ca="1">SUM($L$23:$S$23)</f>
        <v>0.88327703533651902</v>
      </c>
      <c r="U23" s="13">
        <f>'TR TUSD'!$U$23*'TR TUSD'!$U$80</f>
        <v>0</v>
      </c>
      <c r="V23" s="13">
        <f>'TR TUSD'!$V$23*'TR TUSD'!$V$80</f>
        <v>0</v>
      </c>
      <c r="W23" s="13">
        <f>'TR TUSD'!$W$23*'TR TUSD'!$W$80</f>
        <v>0</v>
      </c>
      <c r="X23" s="13">
        <f>'TR TUSD'!$X$23*'TR TUSD'!$X$80</f>
        <v>0</v>
      </c>
      <c r="Y23" s="13">
        <f>'TR TUSD'!$Y$23*'TR TUSD'!$Y$80</f>
        <v>0</v>
      </c>
      <c r="Z23" s="13">
        <f>'TR TUSD'!$Z$23</f>
        <v>0</v>
      </c>
      <c r="AA23" s="13">
        <f>'TR TUSD'!$AA$23</f>
        <v>0</v>
      </c>
      <c r="AB23" s="13">
        <f>SUM($U$23:$AA$23)</f>
        <v>0</v>
      </c>
      <c r="AC23" s="13">
        <f>'TR TUSD'!$AC$23*'TR TUSD'!$AC$80</f>
        <v>0</v>
      </c>
      <c r="AD23" s="13">
        <f>SUM($AC$23:$AC$23)</f>
        <v>0</v>
      </c>
      <c r="AE23" s="13">
        <v>0</v>
      </c>
      <c r="AF23" s="13">
        <v>0</v>
      </c>
      <c r="AG23" s="13">
        <f>SUM($AE$23:$AF$23)</f>
        <v>0</v>
      </c>
      <c r="AH23" s="13">
        <f>'TR TUSD'!$AH$23*'TR TUSD'!$AH$80</f>
        <v>3.4833082432465323</v>
      </c>
      <c r="AI23" s="13">
        <f>'TR TUSD'!$AI$23*'TR TUSD'!$AI$80</f>
        <v>6.0369504151069328E-2</v>
      </c>
      <c r="AJ23" s="13">
        <f ca="1">'TR TUSD'!$AJ$23*'TR TUSD'!$AJ$80</f>
        <v>1.0411337807377454</v>
      </c>
      <c r="AK23" s="13">
        <f ca="1">'TR TUSD'!$AK$23*'TR TUSD'!$AK$80</f>
        <v>0.20348192089404843</v>
      </c>
      <c r="AL23" s="13">
        <f ca="1">SUM($AH$23:$AK$23)</f>
        <v>4.7882934490293954</v>
      </c>
      <c r="AM23" s="13">
        <f ca="1">SUMIF($L$4:$AL$4,"SUBTOTAL",$L$23:$AL$23)</f>
        <v>5.6715704843659145</v>
      </c>
      <c r="AP23" s="13">
        <v>1</v>
      </c>
    </row>
    <row r="24" spans="1:42" ht="11.25" customHeight="1" x14ac:dyDescent="0.3">
      <c r="A24" s="128" t="s">
        <v>43</v>
      </c>
      <c r="B24" s="128" t="s">
        <v>40</v>
      </c>
      <c r="C24" s="128" t="s">
        <v>25</v>
      </c>
      <c r="D24" s="128" t="s">
        <v>25</v>
      </c>
      <c r="E24" s="128" t="s">
        <v>25</v>
      </c>
      <c r="F24" s="128" t="s">
        <v>25</v>
      </c>
      <c r="G24" s="18" t="s">
        <v>82</v>
      </c>
      <c r="H24" s="18" t="s">
        <v>81</v>
      </c>
      <c r="I24" s="18">
        <f>'MERCADO TUSD'!$U$21</f>
        <v>0</v>
      </c>
      <c r="J24" s="15"/>
      <c r="L24" s="13">
        <f>'TR TUSD'!$L$24*'TR TUSD'!$L$80</f>
        <v>0</v>
      </c>
      <c r="M24" s="13">
        <f>'TR TUSD'!$M$24*'TR TUSD'!$M$80</f>
        <v>0</v>
      </c>
      <c r="N24" s="13">
        <f ca="1">'TR TUSD'!$N$24*'TR TUSD'!$N$80</f>
        <v>0</v>
      </c>
      <c r="O24" s="13">
        <f>'TR TUSD'!$O$24*'TR TUSD'!$O$80</f>
        <v>0</v>
      </c>
      <c r="P24" s="13">
        <f>'TR TUSD'!$P$24*'TR TUSD'!$P$80</f>
        <v>0</v>
      </c>
      <c r="Q24" s="13">
        <f>'TR TUSD'!$Q$24*'TR TUSD'!$Q$80</f>
        <v>0</v>
      </c>
      <c r="R24" s="13">
        <f>'TR TUSD'!$R$24*'TR TUSD'!$R$80</f>
        <v>0</v>
      </c>
      <c r="S24" s="13">
        <f>'TR TUSD'!$S$24*'TR TUSD'!$S$80</f>
        <v>0</v>
      </c>
      <c r="T24" s="13">
        <f ca="1">SUM($L$24:$S$24)</f>
        <v>0</v>
      </c>
      <c r="U24" s="13">
        <f>'TR TUSD'!$U$24*'TR TUSD'!$U$80</f>
        <v>5.3642780653242799</v>
      </c>
      <c r="V24" s="13">
        <f>'TR TUSD'!$V$24*'TR TUSD'!$V$80</f>
        <v>1.082738346419917</v>
      </c>
      <c r="W24" s="13">
        <f>'TR TUSD'!$W$24*'TR TUSD'!$W$80</f>
        <v>0.17073575109026906</v>
      </c>
      <c r="X24" s="13">
        <f>'TR TUSD'!$X$24*'TR TUSD'!$X$80</f>
        <v>0</v>
      </c>
      <c r="Y24" s="13">
        <f>'TR TUSD'!$Y$24*'TR TUSD'!$Y$80</f>
        <v>0</v>
      </c>
      <c r="Z24" s="13">
        <f>'TR TUSD'!$Z$24</f>
        <v>0</v>
      </c>
      <c r="AA24" s="13">
        <f>'TR TUSD'!$AA$24</f>
        <v>0</v>
      </c>
      <c r="AB24" s="13">
        <f>SUM($U$24:$AA$24)</f>
        <v>6.6177521628344653</v>
      </c>
      <c r="AC24" s="13">
        <f>'TR TUSD'!$AC$24*'TR TUSD'!$AC$80</f>
        <v>63.594565266189896</v>
      </c>
      <c r="AD24" s="13">
        <f>SUM($AC$24:$AC$24)</f>
        <v>63.594565266189896</v>
      </c>
      <c r="AE24" s="13">
        <v>0</v>
      </c>
      <c r="AF24" s="13">
        <v>0</v>
      </c>
      <c r="AG24" s="13">
        <f>SUM($AE$24:$AF$24)</f>
        <v>0</v>
      </c>
      <c r="AH24" s="13">
        <f>'TR TUSD'!$AH$24*'TR TUSD'!$AH$80</f>
        <v>0</v>
      </c>
      <c r="AI24" s="13">
        <f>'TR TUSD'!$AI$24*'TR TUSD'!$AI$80</f>
        <v>0</v>
      </c>
      <c r="AJ24" s="13">
        <f ca="1">'TR TUSD'!$AJ$24*'TR TUSD'!$AJ$80</f>
        <v>0</v>
      </c>
      <c r="AK24" s="13">
        <f ca="1">'TR TUSD'!$AK$24*'TR TUSD'!$AK$80</f>
        <v>0</v>
      </c>
      <c r="AL24" s="13">
        <f ca="1">SUM($AH$24:$AK$24)</f>
        <v>0</v>
      </c>
      <c r="AM24" s="13">
        <f ca="1">SUMIF($L$4:$AL$4,"SUBTOTAL",$L$24:$AL$24)</f>
        <v>70.212317429024367</v>
      </c>
      <c r="AP24" s="13">
        <v>1</v>
      </c>
    </row>
    <row r="25" spans="1:42" ht="11.25" customHeight="1" x14ac:dyDescent="0.3">
      <c r="A25" s="128"/>
      <c r="B25" s="128"/>
      <c r="C25" s="128"/>
      <c r="D25" s="128"/>
      <c r="E25" s="128"/>
      <c r="F25" s="128"/>
      <c r="G25" s="18" t="s">
        <v>83</v>
      </c>
      <c r="H25" s="18" t="s">
        <v>81</v>
      </c>
      <c r="I25" s="18">
        <f>'MERCADO TUSD'!$U$22</f>
        <v>0</v>
      </c>
      <c r="J25" s="15"/>
      <c r="L25" s="13">
        <f>'TR TUSD'!$L$25*'TR TUSD'!$L$80</f>
        <v>0</v>
      </c>
      <c r="M25" s="13">
        <f>'TR TUSD'!$M$25*'TR TUSD'!$M$80</f>
        <v>0</v>
      </c>
      <c r="N25" s="13">
        <f ca="1">'TR TUSD'!$N$25*'TR TUSD'!$N$80</f>
        <v>0</v>
      </c>
      <c r="O25" s="13">
        <f>'TR TUSD'!$O$25*'TR TUSD'!$O$80</f>
        <v>0</v>
      </c>
      <c r="P25" s="13">
        <f>'TR TUSD'!$P$25*'TR TUSD'!$P$80</f>
        <v>0</v>
      </c>
      <c r="Q25" s="13">
        <f>'TR TUSD'!$Q$25*'TR TUSD'!$Q$80</f>
        <v>0</v>
      </c>
      <c r="R25" s="13">
        <f>'TR TUSD'!$R$25*'TR TUSD'!$R$80</f>
        <v>0</v>
      </c>
      <c r="S25" s="13">
        <f>'TR TUSD'!$S$25*'TR TUSD'!$S$80</f>
        <v>0</v>
      </c>
      <c r="T25" s="13">
        <f ca="1">SUM($L$25:$S$25)</f>
        <v>0</v>
      </c>
      <c r="U25" s="13">
        <f>'TR TUSD'!$U$25*'TR TUSD'!$U$80</f>
        <v>5.0411505477612666</v>
      </c>
      <c r="V25" s="13">
        <f>'TR TUSD'!$V$25*'TR TUSD'!$V$80</f>
        <v>1.0256189278107861</v>
      </c>
      <c r="W25" s="13">
        <f>'TR TUSD'!$W$25*'TR TUSD'!$W$80</f>
        <v>0.15491547090500948</v>
      </c>
      <c r="X25" s="13">
        <f>'TR TUSD'!$X$25*'TR TUSD'!$X$80</f>
        <v>0</v>
      </c>
      <c r="Y25" s="13">
        <f>'TR TUSD'!$Y$25*'TR TUSD'!$Y$80</f>
        <v>0</v>
      </c>
      <c r="Z25" s="13">
        <f>'TR TUSD'!$Z$25</f>
        <v>0</v>
      </c>
      <c r="AA25" s="13">
        <f>'TR TUSD'!$AA$25</f>
        <v>0</v>
      </c>
      <c r="AB25" s="13">
        <f>SUM($U$25:$AA$25)</f>
        <v>6.2216849464770618</v>
      </c>
      <c r="AC25" s="13">
        <f>'TR TUSD'!$AC$25*'TR TUSD'!$AC$80</f>
        <v>6.7960445463236496</v>
      </c>
      <c r="AD25" s="13">
        <f>SUM($AC$25:$AC$25)</f>
        <v>6.7960445463236496</v>
      </c>
      <c r="AE25" s="13">
        <v>0</v>
      </c>
      <c r="AF25" s="13">
        <v>0</v>
      </c>
      <c r="AG25" s="13">
        <f>SUM($AE$25:$AF$25)</f>
        <v>0</v>
      </c>
      <c r="AH25" s="13">
        <f>'TR TUSD'!$AH$25*'TR TUSD'!$AH$80</f>
        <v>0</v>
      </c>
      <c r="AI25" s="13">
        <f>'TR TUSD'!$AI$25*'TR TUSD'!$AI$80</f>
        <v>0</v>
      </c>
      <c r="AJ25" s="13">
        <f ca="1">'TR TUSD'!$AJ$25*'TR TUSD'!$AJ$80</f>
        <v>0</v>
      </c>
      <c r="AK25" s="13">
        <f ca="1">'TR TUSD'!$AK$25*'TR TUSD'!$AK$80</f>
        <v>0</v>
      </c>
      <c r="AL25" s="13">
        <f ca="1">SUM($AH$25:$AK$25)</f>
        <v>0</v>
      </c>
      <c r="AM25" s="13">
        <f ca="1">SUMIF($L$4:$AL$4,"SUBTOTAL",$L$25:$AL$25)</f>
        <v>13.017729492800711</v>
      </c>
      <c r="AP25" s="13">
        <v>1</v>
      </c>
    </row>
    <row r="26" spans="1:42" ht="11.25" customHeight="1" x14ac:dyDescent="0.3">
      <c r="A26" s="128"/>
      <c r="B26" s="128"/>
      <c r="C26" s="128"/>
      <c r="D26" s="128"/>
      <c r="E26" s="128"/>
      <c r="F26" s="128"/>
      <c r="G26" s="18" t="s">
        <v>84</v>
      </c>
      <c r="H26" s="18" t="s">
        <v>78</v>
      </c>
      <c r="I26" s="18">
        <f>'MERCADO TUSD'!$U$23</f>
        <v>0</v>
      </c>
      <c r="J26" s="15"/>
      <c r="L26" s="13">
        <f>'TR TUSD'!$L$26*'TR TUSD'!$L$80</f>
        <v>6.7386679297978649</v>
      </c>
      <c r="M26" s="13">
        <f>'TR TUSD'!$M$26*'TR TUSD'!$M$80</f>
        <v>0.95414627693963239</v>
      </c>
      <c r="N26" s="13">
        <f ca="1">'TR TUSD'!$N$26*'TR TUSD'!$N$80</f>
        <v>2.2918853322787438</v>
      </c>
      <c r="O26" s="13">
        <f>'TR TUSD'!$O$26*'TR TUSD'!$O$80</f>
        <v>0</v>
      </c>
      <c r="P26" s="13">
        <f>'TR TUSD'!$P$26*'TR TUSD'!$P$80</f>
        <v>0</v>
      </c>
      <c r="Q26" s="13">
        <f>'TR TUSD'!$Q$26*'TR TUSD'!$Q$80</f>
        <v>86.65283210604035</v>
      </c>
      <c r="R26" s="13">
        <f>'TR TUSD'!$R$26*'TR TUSD'!$R$80</f>
        <v>13.642318933507415</v>
      </c>
      <c r="S26" s="13">
        <f>'TR TUSD'!$S$26*'TR TUSD'!$S$80</f>
        <v>0</v>
      </c>
      <c r="T26" s="13">
        <f ca="1">SUM($L$26:$S$26)</f>
        <v>110.27985057856399</v>
      </c>
      <c r="U26" s="13">
        <f>'TR TUSD'!$U$26*'TR TUSD'!$U$80</f>
        <v>0</v>
      </c>
      <c r="V26" s="13">
        <f>'TR TUSD'!$V$26*'TR TUSD'!$V$80</f>
        <v>0</v>
      </c>
      <c r="W26" s="13">
        <f>'TR TUSD'!$W$26*'TR TUSD'!$W$80</f>
        <v>0</v>
      </c>
      <c r="X26" s="13">
        <f>'TR TUSD'!$X$26*'TR TUSD'!$X$80</f>
        <v>0</v>
      </c>
      <c r="Y26" s="13">
        <f>'TR TUSD'!$Y$26*'TR TUSD'!$Y$80</f>
        <v>0</v>
      </c>
      <c r="Z26" s="13">
        <f>'TR TUSD'!$Z$26</f>
        <v>0</v>
      </c>
      <c r="AA26" s="13">
        <f>'TR TUSD'!$AA$26</f>
        <v>0</v>
      </c>
      <c r="AB26" s="13">
        <f>SUM($U$26:$AA$26)</f>
        <v>0</v>
      </c>
      <c r="AC26" s="13">
        <f>'TR TUSD'!$AC$26*'TR TUSD'!$AC$80</f>
        <v>0</v>
      </c>
      <c r="AD26" s="13">
        <f>SUM($AC$26:$AC$26)</f>
        <v>0</v>
      </c>
      <c r="AE26" s="13">
        <v>0</v>
      </c>
      <c r="AF26" s="13">
        <v>0</v>
      </c>
      <c r="AG26" s="13">
        <f>SUM($AE$26:$AF$26)</f>
        <v>0</v>
      </c>
      <c r="AH26" s="13">
        <f>'TR TUSD'!$AH$26*'TR TUSD'!$AH$80</f>
        <v>22.89647919253855</v>
      </c>
      <c r="AI26" s="13">
        <f>'TR TUSD'!$AI$26*'TR TUSD'!$AI$80</f>
        <v>0.39682078045741276</v>
      </c>
      <c r="AJ26" s="13">
        <f ca="1">'TR TUSD'!$AJ$26*'TR TUSD'!$AJ$80</f>
        <v>1.7370134720432575</v>
      </c>
      <c r="AK26" s="13">
        <f ca="1">'TR TUSD'!$AK$26*'TR TUSD'!$AK$80</f>
        <v>0.33948647565709372</v>
      </c>
      <c r="AL26" s="13">
        <f ca="1">SUM($AH$26:$AK$26)</f>
        <v>25.369799920696316</v>
      </c>
      <c r="AM26" s="13">
        <f ca="1">SUMIF($L$4:$AL$4,"SUBTOTAL",$L$26:$AL$26)</f>
        <v>135.6496504992603</v>
      </c>
      <c r="AP26" s="13">
        <v>1</v>
      </c>
    </row>
    <row r="27" spans="1:42" ht="11.25" customHeight="1" x14ac:dyDescent="0.3">
      <c r="A27" s="128"/>
      <c r="B27" s="128"/>
      <c r="C27" s="128"/>
      <c r="D27" s="128"/>
      <c r="E27" s="17" t="s">
        <v>85</v>
      </c>
      <c r="F27" s="17" t="s">
        <v>25</v>
      </c>
      <c r="G27" s="18" t="s">
        <v>84</v>
      </c>
      <c r="H27" s="18" t="s">
        <v>78</v>
      </c>
      <c r="I27" s="18">
        <f>'MERCADO TUSD'!$U$24</f>
        <v>0</v>
      </c>
      <c r="J27" s="15"/>
      <c r="L27" s="13">
        <f>'TR TUSD'!$L$27*'TR TUSD'!$L$80</f>
        <v>0</v>
      </c>
      <c r="M27" s="13">
        <f>'TR TUSD'!$M$27*'TR TUSD'!$M$80</f>
        <v>0.95414627693963239</v>
      </c>
      <c r="N27" s="13">
        <f ca="1">'TR TUSD'!$N$27*'TR TUSD'!$N$80</f>
        <v>2.2793059386402854</v>
      </c>
      <c r="O27" s="13">
        <f>'TR TUSD'!$O$27*'TR TUSD'!$O$80</f>
        <v>0</v>
      </c>
      <c r="P27" s="13">
        <f>'TR TUSD'!$P$27*'TR TUSD'!$P$80</f>
        <v>0</v>
      </c>
      <c r="Q27" s="13">
        <f>'TR TUSD'!$Q$27*'TR TUSD'!$Q$80</f>
        <v>0</v>
      </c>
      <c r="R27" s="13">
        <f>'TR TUSD'!$R$27*'TR TUSD'!$R$80</f>
        <v>0</v>
      </c>
      <c r="S27" s="13">
        <f>'TR TUSD'!$S$27*'TR TUSD'!$S$80</f>
        <v>0</v>
      </c>
      <c r="T27" s="13">
        <f ca="1">SUM($L$27:$S$27)</f>
        <v>3.2334522155799177</v>
      </c>
      <c r="U27" s="13">
        <f>'TR TUSD'!$U$27*'TR TUSD'!$U$80</f>
        <v>0</v>
      </c>
      <c r="V27" s="13">
        <f>'TR TUSD'!$V$27*'TR TUSD'!$V$80</f>
        <v>0</v>
      </c>
      <c r="W27" s="13">
        <f>'TR TUSD'!$W$27*'TR TUSD'!$W$80</f>
        <v>0</v>
      </c>
      <c r="X27" s="13">
        <f>'TR TUSD'!$X$27*'TR TUSD'!$X$80</f>
        <v>0</v>
      </c>
      <c r="Y27" s="13">
        <f>'TR TUSD'!$Y$27*'TR TUSD'!$Y$80</f>
        <v>0</v>
      </c>
      <c r="Z27" s="13">
        <f>'TR TUSD'!$Z$27</f>
        <v>0</v>
      </c>
      <c r="AA27" s="13">
        <f>'TR TUSD'!$AA$27</f>
        <v>0</v>
      </c>
      <c r="AB27" s="13">
        <f>SUM($U$27:$AA$27)</f>
        <v>0</v>
      </c>
      <c r="AC27" s="13">
        <f>'TR TUSD'!$AC$27*'TR TUSD'!$AC$80</f>
        <v>0</v>
      </c>
      <c r="AD27" s="13">
        <f>SUM($AC$27:$AC$27)</f>
        <v>0</v>
      </c>
      <c r="AE27" s="13">
        <v>0</v>
      </c>
      <c r="AF27" s="13">
        <v>0</v>
      </c>
      <c r="AG27" s="13">
        <f>SUM($AE$27:$AF$27)</f>
        <v>0</v>
      </c>
      <c r="AH27" s="13">
        <f>'TR TUSD'!$AH$27*'TR TUSD'!$AH$80</f>
        <v>22.89647919253855</v>
      </c>
      <c r="AI27" s="13">
        <f>'TR TUSD'!$AI$27*'TR TUSD'!$AI$80</f>
        <v>0.39682078045741276</v>
      </c>
      <c r="AJ27" s="13">
        <f ca="1">'TR TUSD'!$AJ$27*'TR TUSD'!$AJ$80</f>
        <v>1.7370134720432575</v>
      </c>
      <c r="AK27" s="13">
        <f ca="1">'TR TUSD'!$AK$27*'TR TUSD'!$AK$80</f>
        <v>0.33948647565709372</v>
      </c>
      <c r="AL27" s="13">
        <f ca="1">SUM($AH$27:$AK$27)</f>
        <v>25.369799920696316</v>
      </c>
      <c r="AM27" s="13">
        <f ca="1">SUMIF($L$4:$AL$4,"SUBTOTAL",$L$27:$AL$27)</f>
        <v>28.603252136276232</v>
      </c>
      <c r="AP27" s="13">
        <v>1</v>
      </c>
    </row>
    <row r="28" spans="1:42" ht="11.25" customHeight="1" x14ac:dyDescent="0.3">
      <c r="A28" s="128"/>
      <c r="B28" s="128" t="s">
        <v>41</v>
      </c>
      <c r="C28" s="128" t="s">
        <v>25</v>
      </c>
      <c r="D28" s="128" t="s">
        <v>25</v>
      </c>
      <c r="E28" s="128" t="s">
        <v>25</v>
      </c>
      <c r="F28" s="128" t="s">
        <v>25</v>
      </c>
      <c r="G28" s="18" t="s">
        <v>9</v>
      </c>
      <c r="H28" s="18" t="s">
        <v>81</v>
      </c>
      <c r="I28" s="18">
        <f>'MERCADO TUSD'!$U$25</f>
        <v>2892</v>
      </c>
      <c r="J28" s="15"/>
      <c r="L28" s="13">
        <f>'TR TUSD'!$L$28*'TR TUSD'!$L$80</f>
        <v>0</v>
      </c>
      <c r="M28" s="13">
        <f>'TR TUSD'!$M$28*'TR TUSD'!$M$80</f>
        <v>0</v>
      </c>
      <c r="N28" s="13">
        <f ca="1">'TR TUSD'!$N$28*'TR TUSD'!$N$80</f>
        <v>0</v>
      </c>
      <c r="O28" s="13">
        <f>'TR TUSD'!$O$28*'TR TUSD'!$O$80</f>
        <v>0</v>
      </c>
      <c r="P28" s="13">
        <f>'TR TUSD'!$P$28*'TR TUSD'!$P$80</f>
        <v>0</v>
      </c>
      <c r="Q28" s="13">
        <f>'TR TUSD'!$Q$28*'TR TUSD'!$Q$80</f>
        <v>0</v>
      </c>
      <c r="R28" s="13">
        <f>'TR TUSD'!$R$28*'TR TUSD'!$R$80</f>
        <v>0</v>
      </c>
      <c r="S28" s="13">
        <f>'TR TUSD'!$S$28*'TR TUSD'!$S$80</f>
        <v>0</v>
      </c>
      <c r="T28" s="13">
        <f ca="1">SUM($L$28:$S$28)</f>
        <v>0</v>
      </c>
      <c r="U28" s="13">
        <f>'TR TUSD'!$U$28*'TR TUSD'!$U$80</f>
        <v>5.0411505477612666</v>
      </c>
      <c r="V28" s="13">
        <f>'TR TUSD'!$V$28*'TR TUSD'!$V$80</f>
        <v>1.0256189278107861</v>
      </c>
      <c r="W28" s="13">
        <f>'TR TUSD'!$W$28*'TR TUSD'!$W$80</f>
        <v>0.15491547090500948</v>
      </c>
      <c r="X28" s="13">
        <f>'TR TUSD'!$X$28*'TR TUSD'!$X$80</f>
        <v>0</v>
      </c>
      <c r="Y28" s="13">
        <f>'TR TUSD'!$Y$28*'TR TUSD'!$Y$80</f>
        <v>0</v>
      </c>
      <c r="Z28" s="13">
        <f>'TR TUSD'!$Z$28</f>
        <v>0</v>
      </c>
      <c r="AA28" s="13">
        <f>'TR TUSD'!$AA$28</f>
        <v>0</v>
      </c>
      <c r="AB28" s="13">
        <f>SUM($U$28:$AA$28)</f>
        <v>6.2216849464770618</v>
      </c>
      <c r="AC28" s="13">
        <f>'TR TUSD'!$AC$28*'TR TUSD'!$AC$80</f>
        <v>6.7960445463236496</v>
      </c>
      <c r="AD28" s="13">
        <f>SUM($AC$28:$AC$28)</f>
        <v>6.7960445463236496</v>
      </c>
      <c r="AE28" s="13">
        <v>0</v>
      </c>
      <c r="AF28" s="13">
        <v>0</v>
      </c>
      <c r="AG28" s="13">
        <f>SUM($AE$28:$AF$28)</f>
        <v>0</v>
      </c>
      <c r="AH28" s="13">
        <f>'TR TUSD'!$AH$28*'TR TUSD'!$AH$80</f>
        <v>0</v>
      </c>
      <c r="AI28" s="13">
        <f>'TR TUSD'!$AI$28*'TR TUSD'!$AI$80</f>
        <v>0</v>
      </c>
      <c r="AJ28" s="13">
        <f ca="1">'TR TUSD'!$AJ$28*'TR TUSD'!$AJ$80</f>
        <v>0</v>
      </c>
      <c r="AK28" s="13">
        <f ca="1">'TR TUSD'!$AK$28*'TR TUSD'!$AK$80</f>
        <v>0</v>
      </c>
      <c r="AL28" s="13">
        <f ca="1">SUM($AH$28:$AK$28)</f>
        <v>0</v>
      </c>
      <c r="AM28" s="13">
        <f ca="1">SUMIF($L$4:$AL$4,"SUBTOTAL",$L$28:$AL$28)</f>
        <v>13.017729492800711</v>
      </c>
      <c r="AP28" s="13">
        <v>1</v>
      </c>
    </row>
    <row r="29" spans="1:42" ht="11.25" customHeight="1" x14ac:dyDescent="0.3">
      <c r="A29" s="128"/>
      <c r="B29" s="128"/>
      <c r="C29" s="128"/>
      <c r="D29" s="128"/>
      <c r="E29" s="128"/>
      <c r="F29" s="128"/>
      <c r="G29" s="18" t="s">
        <v>79</v>
      </c>
      <c r="H29" s="18" t="s">
        <v>78</v>
      </c>
      <c r="I29" s="18">
        <f>'MERCADO TUSD'!$U$26</f>
        <v>55.301000000000002</v>
      </c>
      <c r="J29" s="15"/>
      <c r="L29" s="13">
        <f>'TR TUSD'!$L$29*'TR TUSD'!$L$80</f>
        <v>6.7386679297978649</v>
      </c>
      <c r="M29" s="13">
        <f>'TR TUSD'!$M$29*'TR TUSD'!$M$80</f>
        <v>0.95414627693963239</v>
      </c>
      <c r="N29" s="13">
        <f ca="1">'TR TUSD'!$N$29*'TR TUSD'!$N$80</f>
        <v>20.254822943038302</v>
      </c>
      <c r="O29" s="13">
        <f>'TR TUSD'!$O$29*'TR TUSD'!$O$80</f>
        <v>0</v>
      </c>
      <c r="P29" s="13">
        <f>'TR TUSD'!$P$29*'TR TUSD'!$P$80</f>
        <v>0</v>
      </c>
      <c r="Q29" s="13">
        <f>'TR TUSD'!$Q$29*'TR TUSD'!$Q$80</f>
        <v>86.65283210604035</v>
      </c>
      <c r="R29" s="13">
        <f>'TR TUSD'!$R$29*'TR TUSD'!$R$80</f>
        <v>13.642318933507415</v>
      </c>
      <c r="S29" s="13">
        <f>'TR TUSD'!$S$29*'TR TUSD'!$S$80</f>
        <v>0</v>
      </c>
      <c r="T29" s="13">
        <f ca="1">SUM($L$29:$S$29)</f>
        <v>128.24278818932356</v>
      </c>
      <c r="U29" s="13">
        <f>'TR TUSD'!$U$29*'TR TUSD'!$U$80</f>
        <v>129.01054744866937</v>
      </c>
      <c r="V29" s="13">
        <f>'TR TUSD'!$V$29*'TR TUSD'!$V$80</f>
        <v>26.039224579610611</v>
      </c>
      <c r="W29" s="13">
        <f>'TR TUSD'!$W$29*'TR TUSD'!$W$80</f>
        <v>4.1044381462458546</v>
      </c>
      <c r="X29" s="13">
        <f>'TR TUSD'!$X$29*'TR TUSD'!$X$80</f>
        <v>0</v>
      </c>
      <c r="Y29" s="13">
        <f>'TR TUSD'!$Y$29*'TR TUSD'!$Y$80</f>
        <v>0</v>
      </c>
      <c r="Z29" s="13">
        <f>'TR TUSD'!$Z$29</f>
        <v>0</v>
      </c>
      <c r="AA29" s="13">
        <f>'TR TUSD'!$AA$29</f>
        <v>0</v>
      </c>
      <c r="AB29" s="13">
        <f>SUM($U$29:$AA$29)</f>
        <v>159.15421017452584</v>
      </c>
      <c r="AC29" s="13">
        <f>'TR TUSD'!$AC$29*'TR TUSD'!$AC$80</f>
        <v>1529.4505063581435</v>
      </c>
      <c r="AD29" s="13">
        <f>SUM($AC$29:$AC$29)</f>
        <v>1529.4505063581435</v>
      </c>
      <c r="AE29" s="13">
        <v>0</v>
      </c>
      <c r="AF29" s="13">
        <v>0</v>
      </c>
      <c r="AG29" s="13">
        <f>SUM($AE$29:$AF$29)</f>
        <v>0</v>
      </c>
      <c r="AH29" s="13">
        <f>'TR TUSD'!$AH$29*'TR TUSD'!$AH$80</f>
        <v>22.89647919253855</v>
      </c>
      <c r="AI29" s="13">
        <f>'TR TUSD'!$AI$29*'TR TUSD'!$AI$80</f>
        <v>0.39682078045741276</v>
      </c>
      <c r="AJ29" s="13">
        <f ca="1">'TR TUSD'!$AJ$29*'TR TUSD'!$AJ$80</f>
        <v>1.7370134720432575</v>
      </c>
      <c r="AK29" s="13">
        <f ca="1">'TR TUSD'!$AK$29*'TR TUSD'!$AK$80</f>
        <v>0.33948647565709372</v>
      </c>
      <c r="AL29" s="13">
        <f ca="1">SUM($AH$29:$AK$29)</f>
        <v>25.369799920696316</v>
      </c>
      <c r="AM29" s="13">
        <f ca="1">SUMIF($L$4:$AL$4,"SUBTOTAL",$L$29:$AL$29)</f>
        <v>1842.2173046426892</v>
      </c>
      <c r="AP29" s="13">
        <v>1</v>
      </c>
    </row>
    <row r="30" spans="1:42" ht="11.25" customHeight="1" x14ac:dyDescent="0.3">
      <c r="A30" s="128"/>
      <c r="B30" s="128"/>
      <c r="C30" s="128"/>
      <c r="D30" s="128"/>
      <c r="E30" s="128"/>
      <c r="F30" s="128"/>
      <c r="G30" s="18" t="s">
        <v>80</v>
      </c>
      <c r="H30" s="18" t="s">
        <v>78</v>
      </c>
      <c r="I30" s="18">
        <f>'MERCADO TUSD'!$U$27</f>
        <v>509.89599999999996</v>
      </c>
      <c r="J30" s="15"/>
      <c r="L30" s="13">
        <f>'TR TUSD'!$L$30*'TR TUSD'!$L$80</f>
        <v>6.7386679297978649</v>
      </c>
      <c r="M30" s="13">
        <f>'TR TUSD'!$M$30*'TR TUSD'!$M$80</f>
        <v>0.95414627693963239</v>
      </c>
      <c r="N30" s="13">
        <f ca="1">'TR TUSD'!$N$30*'TR TUSD'!$N$80</f>
        <v>2.2918853322787438</v>
      </c>
      <c r="O30" s="13">
        <f>'TR TUSD'!$O$30*'TR TUSD'!$O$80</f>
        <v>0</v>
      </c>
      <c r="P30" s="13">
        <f>'TR TUSD'!$P$30*'TR TUSD'!$P$80</f>
        <v>0</v>
      </c>
      <c r="Q30" s="13">
        <f>'TR TUSD'!$Q$30*'TR TUSD'!$Q$80</f>
        <v>86.65283210604035</v>
      </c>
      <c r="R30" s="13">
        <f>'TR TUSD'!$R$30*'TR TUSD'!$R$80</f>
        <v>13.642318933507415</v>
      </c>
      <c r="S30" s="13">
        <f>'TR TUSD'!$S$30*'TR TUSD'!$S$80</f>
        <v>0</v>
      </c>
      <c r="T30" s="13">
        <f ca="1">SUM($L$30:$S$30)</f>
        <v>110.27985057856399</v>
      </c>
      <c r="U30" s="13">
        <f>'TR TUSD'!$U$30*'TR TUSD'!$U$80</f>
        <v>0</v>
      </c>
      <c r="V30" s="13">
        <f>'TR TUSD'!$V$30*'TR TUSD'!$V$80</f>
        <v>0</v>
      </c>
      <c r="W30" s="13">
        <f>'TR TUSD'!$W$30*'TR TUSD'!$W$80</f>
        <v>0</v>
      </c>
      <c r="X30" s="13">
        <f>'TR TUSD'!$X$30*'TR TUSD'!$X$80</f>
        <v>0</v>
      </c>
      <c r="Y30" s="13">
        <f>'TR TUSD'!$Y$30*'TR TUSD'!$Y$80</f>
        <v>0</v>
      </c>
      <c r="Z30" s="13">
        <f>'TR TUSD'!$Z$30</f>
        <v>0</v>
      </c>
      <c r="AA30" s="13">
        <f>'TR TUSD'!$AA$30</f>
        <v>0</v>
      </c>
      <c r="AB30" s="13">
        <f>SUM($U$30:$AA$30)</f>
        <v>0</v>
      </c>
      <c r="AC30" s="13">
        <f>'TR TUSD'!$AC$30*'TR TUSD'!$AC$80</f>
        <v>0</v>
      </c>
      <c r="AD30" s="13">
        <f>SUM($AC$30:$AC$30)</f>
        <v>0</v>
      </c>
      <c r="AE30" s="13">
        <v>0</v>
      </c>
      <c r="AF30" s="13">
        <v>0</v>
      </c>
      <c r="AG30" s="13">
        <f>SUM($AE$30:$AF$30)</f>
        <v>0</v>
      </c>
      <c r="AH30" s="13">
        <f>'TR TUSD'!$AH$30*'TR TUSD'!$AH$80</f>
        <v>22.89647919253855</v>
      </c>
      <c r="AI30" s="13">
        <f>'TR TUSD'!$AI$30*'TR TUSD'!$AI$80</f>
        <v>0.39682078045741276</v>
      </c>
      <c r="AJ30" s="13">
        <f ca="1">'TR TUSD'!$AJ$30*'TR TUSD'!$AJ$80</f>
        <v>1.7370134720432575</v>
      </c>
      <c r="AK30" s="13">
        <f ca="1">'TR TUSD'!$AK$30*'TR TUSD'!$AK$80</f>
        <v>0.33948647565709372</v>
      </c>
      <c r="AL30" s="13">
        <f ca="1">SUM($AH$30:$AK$30)</f>
        <v>25.369799920696316</v>
      </c>
      <c r="AM30" s="13">
        <f ca="1">SUMIF($L$4:$AL$4,"SUBTOTAL",$L$30:$AL$30)</f>
        <v>135.6496504992603</v>
      </c>
      <c r="AP30" s="13">
        <v>1</v>
      </c>
    </row>
    <row r="31" spans="1:42" ht="11.25" customHeight="1" x14ac:dyDescent="0.3">
      <c r="A31" s="128"/>
      <c r="B31" s="128"/>
      <c r="C31" s="128"/>
      <c r="D31" s="128"/>
      <c r="E31" s="128" t="s">
        <v>85</v>
      </c>
      <c r="F31" s="128" t="s">
        <v>25</v>
      </c>
      <c r="G31" s="18" t="s">
        <v>79</v>
      </c>
      <c r="H31" s="18" t="s">
        <v>78</v>
      </c>
      <c r="I31" s="18">
        <f>'MERCADO TUSD'!$U$28</f>
        <v>0</v>
      </c>
      <c r="J31" s="15"/>
      <c r="L31" s="13">
        <f>'TR TUSD'!$L$31*'TR TUSD'!$L$80</f>
        <v>0</v>
      </c>
      <c r="M31" s="13">
        <f>'TR TUSD'!$M$31*'TR TUSD'!$M$80</f>
        <v>0.95414627693963239</v>
      </c>
      <c r="N31" s="13">
        <f ca="1">'TR TUSD'!$N$31*'TR TUSD'!$N$80</f>
        <v>20.242243549399845</v>
      </c>
      <c r="O31" s="13">
        <f>'TR TUSD'!$O$31*'TR TUSD'!$O$80</f>
        <v>0</v>
      </c>
      <c r="P31" s="13">
        <f>'TR TUSD'!$P$31*'TR TUSD'!$P$80</f>
        <v>0</v>
      </c>
      <c r="Q31" s="13">
        <f>'TR TUSD'!$Q$31*'TR TUSD'!$Q$80</f>
        <v>0</v>
      </c>
      <c r="R31" s="13">
        <f>'TR TUSD'!$R$31*'TR TUSD'!$R$80</f>
        <v>0</v>
      </c>
      <c r="S31" s="13">
        <f>'TR TUSD'!$S$31*'TR TUSD'!$S$80</f>
        <v>0</v>
      </c>
      <c r="T31" s="13">
        <f ca="1">SUM($L$31:$S$31)</f>
        <v>21.196389826339477</v>
      </c>
      <c r="U31" s="13">
        <f>'TR TUSD'!$U$31*'TR TUSD'!$U$80</f>
        <v>129.01054744866937</v>
      </c>
      <c r="V31" s="13">
        <f>'TR TUSD'!$V$31*'TR TUSD'!$V$80</f>
        <v>26.039224579610611</v>
      </c>
      <c r="W31" s="13">
        <f>'TR TUSD'!$W$31*'TR TUSD'!$W$80</f>
        <v>4.1044381462458546</v>
      </c>
      <c r="X31" s="13">
        <f>'TR TUSD'!$X$31*'TR TUSD'!$X$80</f>
        <v>0</v>
      </c>
      <c r="Y31" s="13">
        <f>'TR TUSD'!$Y$31*'TR TUSD'!$Y$80</f>
        <v>0</v>
      </c>
      <c r="Z31" s="13">
        <f>'TR TUSD'!$Z$31</f>
        <v>0</v>
      </c>
      <c r="AA31" s="13">
        <f>'TR TUSD'!$AA$31</f>
        <v>0</v>
      </c>
      <c r="AB31" s="13">
        <f>SUM($U$31:$AA$31)</f>
        <v>159.15421017452584</v>
      </c>
      <c r="AC31" s="13">
        <f>'TR TUSD'!$AC$31*'TR TUSD'!$AC$80</f>
        <v>1529.4505063581435</v>
      </c>
      <c r="AD31" s="13">
        <f>SUM($AC$31:$AC$31)</f>
        <v>1529.4505063581435</v>
      </c>
      <c r="AE31" s="13">
        <v>0</v>
      </c>
      <c r="AF31" s="13">
        <v>0</v>
      </c>
      <c r="AG31" s="13">
        <f>SUM($AE$31:$AF$31)</f>
        <v>0</v>
      </c>
      <c r="AH31" s="13">
        <f>'TR TUSD'!$AH$31*'TR TUSD'!$AH$80</f>
        <v>22.89647919253855</v>
      </c>
      <c r="AI31" s="13">
        <f>'TR TUSD'!$AI$31*'TR TUSD'!$AI$80</f>
        <v>0.39682078045741276</v>
      </c>
      <c r="AJ31" s="13">
        <f ca="1">'TR TUSD'!$AJ$31*'TR TUSD'!$AJ$80</f>
        <v>1.7370134720432575</v>
      </c>
      <c r="AK31" s="13">
        <f ca="1">'TR TUSD'!$AK$31*'TR TUSD'!$AK$80</f>
        <v>0.33948647565709372</v>
      </c>
      <c r="AL31" s="13">
        <f ca="1">SUM($AH$31:$AK$31)</f>
        <v>25.369799920696316</v>
      </c>
      <c r="AM31" s="13">
        <f ca="1">SUMIF($L$4:$AL$4,"SUBTOTAL",$L$31:$AL$31)</f>
        <v>1735.1709062797052</v>
      </c>
      <c r="AP31" s="13">
        <v>1</v>
      </c>
    </row>
    <row r="32" spans="1:42" ht="11.25" customHeight="1" x14ac:dyDescent="0.3">
      <c r="A32" s="128"/>
      <c r="B32" s="128"/>
      <c r="C32" s="128"/>
      <c r="D32" s="128"/>
      <c r="E32" s="128"/>
      <c r="F32" s="128"/>
      <c r="G32" s="18" t="s">
        <v>80</v>
      </c>
      <c r="H32" s="18" t="s">
        <v>78</v>
      </c>
      <c r="I32" s="18">
        <f>'MERCADO TUSD'!$U$29</f>
        <v>0</v>
      </c>
      <c r="J32" s="15"/>
      <c r="L32" s="13">
        <f>'TR TUSD'!$L$32*'TR TUSD'!$L$80</f>
        <v>0</v>
      </c>
      <c r="M32" s="13">
        <f>'TR TUSD'!$M$32*'TR TUSD'!$M$80</f>
        <v>0.95414627693963239</v>
      </c>
      <c r="N32" s="13">
        <f ca="1">'TR TUSD'!$N$32*'TR TUSD'!$N$80</f>
        <v>2.2793059386402854</v>
      </c>
      <c r="O32" s="13">
        <f>'TR TUSD'!$O$32*'TR TUSD'!$O$80</f>
        <v>0</v>
      </c>
      <c r="P32" s="13">
        <f>'TR TUSD'!$P$32*'TR TUSD'!$P$80</f>
        <v>0</v>
      </c>
      <c r="Q32" s="13">
        <f>'TR TUSD'!$Q$32*'TR TUSD'!$Q$80</f>
        <v>0</v>
      </c>
      <c r="R32" s="13">
        <f>'TR TUSD'!$R$32*'TR TUSD'!$R$80</f>
        <v>0</v>
      </c>
      <c r="S32" s="13">
        <f>'TR TUSD'!$S$32*'TR TUSD'!$S$80</f>
        <v>0</v>
      </c>
      <c r="T32" s="13">
        <f ca="1">SUM($L$32:$S$32)</f>
        <v>3.2334522155799177</v>
      </c>
      <c r="U32" s="13">
        <f>'TR TUSD'!$U$32*'TR TUSD'!$U$80</f>
        <v>0</v>
      </c>
      <c r="V32" s="13">
        <f>'TR TUSD'!$V$32*'TR TUSD'!$V$80</f>
        <v>0</v>
      </c>
      <c r="W32" s="13">
        <f>'TR TUSD'!$W$32*'TR TUSD'!$W$80</f>
        <v>0</v>
      </c>
      <c r="X32" s="13">
        <f>'TR TUSD'!$X$32*'TR TUSD'!$X$80</f>
        <v>0</v>
      </c>
      <c r="Y32" s="13">
        <f>'TR TUSD'!$Y$32*'TR TUSD'!$Y$80</f>
        <v>0</v>
      </c>
      <c r="Z32" s="13">
        <f>'TR TUSD'!$Z$32</f>
        <v>0</v>
      </c>
      <c r="AA32" s="13">
        <f>'TR TUSD'!$AA$32</f>
        <v>0</v>
      </c>
      <c r="AB32" s="13">
        <f>SUM($U$32:$AA$32)</f>
        <v>0</v>
      </c>
      <c r="AC32" s="13">
        <f>'TR TUSD'!$AC$32*'TR TUSD'!$AC$80</f>
        <v>0</v>
      </c>
      <c r="AD32" s="13">
        <f>SUM($AC$32:$AC$32)</f>
        <v>0</v>
      </c>
      <c r="AE32" s="13">
        <v>0</v>
      </c>
      <c r="AF32" s="13">
        <v>0</v>
      </c>
      <c r="AG32" s="13">
        <f>SUM($AE$32:$AF$32)</f>
        <v>0</v>
      </c>
      <c r="AH32" s="13">
        <f>'TR TUSD'!$AH$32*'TR TUSD'!$AH$80</f>
        <v>22.89647919253855</v>
      </c>
      <c r="AI32" s="13">
        <f>'TR TUSD'!$AI$32*'TR TUSD'!$AI$80</f>
        <v>0.39682078045741276</v>
      </c>
      <c r="AJ32" s="13">
        <f ca="1">'TR TUSD'!$AJ$32*'TR TUSD'!$AJ$80</f>
        <v>1.7370134720432575</v>
      </c>
      <c r="AK32" s="13">
        <f ca="1">'TR TUSD'!$AK$32*'TR TUSD'!$AK$80</f>
        <v>0.33948647565709372</v>
      </c>
      <c r="AL32" s="13">
        <f ca="1">SUM($AH$32:$AK$32)</f>
        <v>25.369799920696316</v>
      </c>
      <c r="AM32" s="13">
        <f ca="1">SUMIF($L$4:$AL$4,"SUBTOTAL",$L$32:$AL$32)</f>
        <v>28.603252136276232</v>
      </c>
      <c r="AP32" s="13">
        <v>1</v>
      </c>
    </row>
    <row r="33" spans="1:42" ht="11.25" customHeight="1" x14ac:dyDescent="0.3">
      <c r="A33" s="128"/>
      <c r="B33" s="128" t="s">
        <v>23</v>
      </c>
      <c r="C33" s="128" t="s">
        <v>25</v>
      </c>
      <c r="D33" s="128" t="s">
        <v>25</v>
      </c>
      <c r="E33" s="128" t="s">
        <v>25</v>
      </c>
      <c r="F33" s="128" t="s">
        <v>25</v>
      </c>
      <c r="G33" s="18" t="s">
        <v>9</v>
      </c>
      <c r="H33" s="18" t="s">
        <v>81</v>
      </c>
      <c r="I33" s="18">
        <f>'MERCADO TUSD'!$U$30</f>
        <v>0</v>
      </c>
      <c r="J33" s="15"/>
      <c r="L33" s="13">
        <f>'TR TUSD'!$L$33*'TR TUSD'!$L$80</f>
        <v>0</v>
      </c>
      <c r="M33" s="13">
        <f>'TR TUSD'!$M$33*'TR TUSD'!$M$80</f>
        <v>0</v>
      </c>
      <c r="N33" s="13">
        <f ca="1">'TR TUSD'!$N$33*'TR TUSD'!$N$80</f>
        <v>0</v>
      </c>
      <c r="O33" s="13">
        <f>'TR TUSD'!$O$33*'TR TUSD'!$O$80</f>
        <v>0</v>
      </c>
      <c r="P33" s="13">
        <f>'TR TUSD'!$P$33*'TR TUSD'!$P$80</f>
        <v>0</v>
      </c>
      <c r="Q33" s="13">
        <f>'TR TUSD'!$Q$33*'TR TUSD'!$Q$80</f>
        <v>0</v>
      </c>
      <c r="R33" s="13">
        <f>'TR TUSD'!$R$33*'TR TUSD'!$R$80</f>
        <v>0</v>
      </c>
      <c r="S33" s="13">
        <f>'TR TUSD'!$S$33*'TR TUSD'!$S$80</f>
        <v>0</v>
      </c>
      <c r="T33" s="13">
        <f ca="1">SUM($L$33:$S$33)</f>
        <v>0</v>
      </c>
      <c r="U33" s="13">
        <f>'TR TUSD'!$U$33*'TR TUSD'!$U$80</f>
        <v>8.9034860084314253</v>
      </c>
      <c r="V33" s="13">
        <f>'TR TUSD'!$V$33*'TR TUSD'!$V$80</f>
        <v>1.8051905372331263</v>
      </c>
      <c r="W33" s="13">
        <f>'TR TUSD'!$W$33*'TR TUSD'!$W$80</f>
        <v>0.2777794650710515</v>
      </c>
      <c r="X33" s="13">
        <f>'TR TUSD'!$X$33*'TR TUSD'!$X$80</f>
        <v>0</v>
      </c>
      <c r="Y33" s="13">
        <f>'TR TUSD'!$Y$33*'TR TUSD'!$Y$80</f>
        <v>0</v>
      </c>
      <c r="Z33" s="13">
        <f>'TR TUSD'!$Z$33</f>
        <v>0</v>
      </c>
      <c r="AA33" s="13">
        <f>'TR TUSD'!$AA$33</f>
        <v>0</v>
      </c>
      <c r="AB33" s="13">
        <f>SUM($U$33:$AA$33)</f>
        <v>10.986456010735603</v>
      </c>
      <c r="AC33" s="13">
        <f>'TR TUSD'!$AC$33*'TR TUSD'!$AC$80</f>
        <v>52.584073665441792</v>
      </c>
      <c r="AD33" s="13">
        <f>SUM($AC$33:$AC$33)</f>
        <v>52.584073665441792</v>
      </c>
      <c r="AE33" s="13">
        <v>0</v>
      </c>
      <c r="AF33" s="13">
        <v>0</v>
      </c>
      <c r="AG33" s="13">
        <f>SUM($AE$33:$AF$33)</f>
        <v>0</v>
      </c>
      <c r="AH33" s="13">
        <f>'TR TUSD'!$AH$33*'TR TUSD'!$AH$80</f>
        <v>0</v>
      </c>
      <c r="AI33" s="13">
        <f>'TR TUSD'!$AI$33*'TR TUSD'!$AI$80</f>
        <v>0</v>
      </c>
      <c r="AJ33" s="13">
        <f ca="1">'TR TUSD'!$AJ$33*'TR TUSD'!$AJ$80</f>
        <v>0</v>
      </c>
      <c r="AK33" s="13">
        <f ca="1">'TR TUSD'!$AK$33*'TR TUSD'!$AK$80</f>
        <v>0</v>
      </c>
      <c r="AL33" s="13">
        <f ca="1">SUM($AH$33:$AK$33)</f>
        <v>0</v>
      </c>
      <c r="AM33" s="13">
        <f ca="1">SUMIF($L$4:$AL$4,"SUBTOTAL",$L$33:$AL$33)</f>
        <v>63.570529676177394</v>
      </c>
      <c r="AP33" s="13">
        <v>1</v>
      </c>
    </row>
    <row r="34" spans="1:42" ht="11.25" customHeight="1" x14ac:dyDescent="0.3">
      <c r="A34" s="128"/>
      <c r="B34" s="128"/>
      <c r="C34" s="128"/>
      <c r="D34" s="128"/>
      <c r="E34" s="128"/>
      <c r="F34" s="128"/>
      <c r="G34" s="18" t="s">
        <v>84</v>
      </c>
      <c r="H34" s="18" t="s">
        <v>78</v>
      </c>
      <c r="I34" s="18">
        <f>'MERCADO TUSD'!$U$31</f>
        <v>0</v>
      </c>
      <c r="J34" s="15"/>
      <c r="L34" s="13">
        <f>'TR TUSD'!$L$34*'TR TUSD'!$L$80</f>
        <v>6.7386679297978649</v>
      </c>
      <c r="M34" s="13">
        <f>'TR TUSD'!$M$34*'TR TUSD'!$M$80</f>
        <v>0.95414627693963239</v>
      </c>
      <c r="N34" s="13">
        <f ca="1">'TR TUSD'!$N$34*'TR TUSD'!$N$80</f>
        <v>2.2918853322787438</v>
      </c>
      <c r="O34" s="13">
        <f>'TR TUSD'!$O$34*'TR TUSD'!$O$80</f>
        <v>0</v>
      </c>
      <c r="P34" s="13">
        <f>'TR TUSD'!$P$34*'TR TUSD'!$P$80</f>
        <v>0</v>
      </c>
      <c r="Q34" s="13">
        <f>'TR TUSD'!$Q$34*'TR TUSD'!$Q$80</f>
        <v>86.65283210604035</v>
      </c>
      <c r="R34" s="13">
        <f>'TR TUSD'!$R$34*'TR TUSD'!$R$80</f>
        <v>13.642318933507415</v>
      </c>
      <c r="S34" s="13">
        <f>'TR TUSD'!$S$34*'TR TUSD'!$S$80</f>
        <v>0</v>
      </c>
      <c r="T34" s="13">
        <f ca="1">SUM($L$34:$S$34)</f>
        <v>110.27985057856399</v>
      </c>
      <c r="U34" s="13">
        <f>'TR TUSD'!$U$34*'TR TUSD'!$U$80</f>
        <v>0</v>
      </c>
      <c r="V34" s="13">
        <f>'TR TUSD'!$V$34*'TR TUSD'!$V$80</f>
        <v>0</v>
      </c>
      <c r="W34" s="13">
        <f>'TR TUSD'!$W$34*'TR TUSD'!$W$80</f>
        <v>0</v>
      </c>
      <c r="X34" s="13">
        <f>'TR TUSD'!$X$34*'TR TUSD'!$X$80</f>
        <v>0</v>
      </c>
      <c r="Y34" s="13">
        <f>'TR TUSD'!$Y$34*'TR TUSD'!$Y$80</f>
        <v>0</v>
      </c>
      <c r="Z34" s="13">
        <f>'TR TUSD'!$Z$34</f>
        <v>0</v>
      </c>
      <c r="AA34" s="13">
        <f>'TR TUSD'!$AA$34</f>
        <v>0</v>
      </c>
      <c r="AB34" s="13">
        <f>SUM($U$34:$AA$34)</f>
        <v>0</v>
      </c>
      <c r="AC34" s="13">
        <f>'TR TUSD'!$AC$34*'TR TUSD'!$AC$80</f>
        <v>0</v>
      </c>
      <c r="AD34" s="13">
        <f>SUM($AC$34:$AC$34)</f>
        <v>0</v>
      </c>
      <c r="AE34" s="13">
        <v>0</v>
      </c>
      <c r="AF34" s="13">
        <v>0</v>
      </c>
      <c r="AG34" s="13">
        <f>SUM($AE$34:$AF$34)</f>
        <v>0</v>
      </c>
      <c r="AH34" s="13">
        <f>'TR TUSD'!$AH$34*'TR TUSD'!$AH$80</f>
        <v>22.89647919253855</v>
      </c>
      <c r="AI34" s="13">
        <f>'TR TUSD'!$AI$34*'TR TUSD'!$AI$80</f>
        <v>0.39682078045741276</v>
      </c>
      <c r="AJ34" s="13">
        <f ca="1">'TR TUSD'!$AJ$34*'TR TUSD'!$AJ$80</f>
        <v>1.7370134720432575</v>
      </c>
      <c r="AK34" s="13">
        <f ca="1">'TR TUSD'!$AK$34*'TR TUSD'!$AK$80</f>
        <v>0.33948647565709372</v>
      </c>
      <c r="AL34" s="13">
        <f ca="1">SUM($AH$34:$AK$34)</f>
        <v>25.369799920696316</v>
      </c>
      <c r="AM34" s="13">
        <f ca="1">SUMIF($L$4:$AL$4,"SUBTOTAL",$L$34:$AL$34)</f>
        <v>135.6496504992603</v>
      </c>
      <c r="AP34" s="13">
        <v>1</v>
      </c>
    </row>
    <row r="35" spans="1:42" ht="11.25" customHeight="1" x14ac:dyDescent="0.3">
      <c r="A35" s="128" t="s">
        <v>87</v>
      </c>
      <c r="B35" s="128" t="s">
        <v>57</v>
      </c>
      <c r="C35" s="128" t="s">
        <v>25</v>
      </c>
      <c r="D35" s="128" t="s">
        <v>25</v>
      </c>
      <c r="E35" s="17" t="s">
        <v>88</v>
      </c>
      <c r="F35" s="17" t="s">
        <v>25</v>
      </c>
      <c r="G35" s="18" t="s">
        <v>9</v>
      </c>
      <c r="H35" s="18" t="s">
        <v>81</v>
      </c>
      <c r="I35" s="18">
        <f>'MERCADO TUSD'!$U$32+0.00000001</f>
        <v>1E-8</v>
      </c>
      <c r="J35" s="15"/>
      <c r="L35" s="13">
        <f>'TR TUSD'!$L$35*'TR TUSD'!$L$80</f>
        <v>0</v>
      </c>
      <c r="M35" s="13">
        <f>'TR TUSD'!$M$35*'TR TUSD'!$M$80</f>
        <v>9.6367910681835339E-3</v>
      </c>
      <c r="N35" s="13">
        <f ca="1">'TR TUSD'!$N$35*'TR TUSD'!$N$80</f>
        <v>3.0190544732300529E-2</v>
      </c>
      <c r="O35" s="13">
        <f>'TR TUSD'!$O$35*'TR TUSD'!$O$80</f>
        <v>0</v>
      </c>
      <c r="P35" s="13">
        <f>'TR TUSD'!$P$35*'TR TUSD'!$P$80</f>
        <v>0</v>
      </c>
      <c r="Q35" s="13">
        <f>'TR TUSD'!$Q$35*'TR TUSD'!$Q$80</f>
        <v>0</v>
      </c>
      <c r="R35" s="13">
        <f>'TR TUSD'!$R$35*'TR TUSD'!$R$80</f>
        <v>0</v>
      </c>
      <c r="S35" s="13">
        <f>'TR TUSD'!$S$35*'TR TUSD'!$S$80</f>
        <v>0</v>
      </c>
      <c r="T35" s="13">
        <f ca="1">SUM($L$35:$S$35)</f>
        <v>3.9827335800484059E-2</v>
      </c>
      <c r="U35" s="13">
        <f>'TR TUSD'!$U$35*'TR TUSD'!$U$80</f>
        <v>0</v>
      </c>
      <c r="V35" s="13">
        <f>'TR TUSD'!$V$35*'TR TUSD'!$V$80</f>
        <v>0</v>
      </c>
      <c r="W35" s="13">
        <f>'TR TUSD'!$W$35*'TR TUSD'!$W$80</f>
        <v>0</v>
      </c>
      <c r="X35" s="13">
        <f>'TR TUSD'!$X$35*'TR TUSD'!$X$80</f>
        <v>0</v>
      </c>
      <c r="Y35" s="13">
        <f>'TR TUSD'!$Y$35*'TR TUSD'!$Y$80</f>
        <v>0</v>
      </c>
      <c r="Z35" s="13">
        <f>'TR TUSD'!$Z$35*'TR TUSD'!$Z$80</f>
        <v>0</v>
      </c>
      <c r="AA35" s="13">
        <f>'TR TUSD'!$AA$35*'TR TUSD'!$AA$80</f>
        <v>0</v>
      </c>
      <c r="AB35" s="13">
        <f>SUM($U$35:$AA$35)</f>
        <v>0</v>
      </c>
      <c r="AC35" s="13">
        <f>'TR TUSD'!$AC$35*'TR TUSD'!$AC$80</f>
        <v>2.877109142032062</v>
      </c>
      <c r="AD35" s="13">
        <f>SUM($AC$35:$AC$35)</f>
        <v>2.877109142032062</v>
      </c>
      <c r="AE35" s="13">
        <v>0</v>
      </c>
      <c r="AF35" s="13">
        <v>0</v>
      </c>
      <c r="AG35" s="13">
        <f>SUM($AE$35:$AF$35)</f>
        <v>0</v>
      </c>
      <c r="AH35" s="13">
        <f>'TR TUSD'!$AH$35*'TR TUSD'!$AH$80</f>
        <v>0</v>
      </c>
      <c r="AI35" s="13">
        <f>'TR TUSD'!$AI$35*'TR TUSD'!$AI$80</f>
        <v>0</v>
      </c>
      <c r="AJ35" s="13">
        <f ca="1">'TR TUSD'!$AJ$35*'TR TUSD'!$AJ$80</f>
        <v>0</v>
      </c>
      <c r="AK35" s="13">
        <f ca="1">'TR TUSD'!$AK$35*'TR TUSD'!$AK$80</f>
        <v>0</v>
      </c>
      <c r="AL35" s="13">
        <f ca="1">SUM($AH$35:$AK$35)</f>
        <v>0</v>
      </c>
      <c r="AM35" s="13">
        <f ca="1">SUMIF($L$4:$AL$4,"SUBTOTAL",$L$35:$AL$35)</f>
        <v>2.9169364778325462</v>
      </c>
      <c r="AP35" s="13"/>
    </row>
    <row r="36" spans="1:42" ht="11.25" customHeight="1" x14ac:dyDescent="0.3">
      <c r="A36" s="128"/>
      <c r="B36" s="128"/>
      <c r="C36" s="128"/>
      <c r="D36" s="128"/>
      <c r="E36" s="17" t="s">
        <v>89</v>
      </c>
      <c r="F36" s="17" t="s">
        <v>25</v>
      </c>
      <c r="G36" s="18" t="s">
        <v>9</v>
      </c>
      <c r="H36" s="18" t="s">
        <v>81</v>
      </c>
      <c r="I36" s="18">
        <f>'MERCADO TUSD'!$U$33+0.00000001</f>
        <v>1E-8</v>
      </c>
      <c r="J36" s="15"/>
      <c r="L36" s="13">
        <f>'TR TUSD'!$L$36*'TR TUSD'!$L$80</f>
        <v>0</v>
      </c>
      <c r="M36" s="13">
        <f>'TR TUSD'!$M$36*'TR TUSD'!$M$80</f>
        <v>9.6367910681835339E-3</v>
      </c>
      <c r="N36" s="13">
        <f ca="1">'TR TUSD'!$N$36*'TR TUSD'!$N$80</f>
        <v>3.0190544732300529E-2</v>
      </c>
      <c r="O36" s="13">
        <f>'TR TUSD'!$O$36*'TR TUSD'!$O$80</f>
        <v>0</v>
      </c>
      <c r="P36" s="13">
        <f>'TR TUSD'!$P$36*'TR TUSD'!$P$80</f>
        <v>0</v>
      </c>
      <c r="Q36" s="13">
        <f>'TR TUSD'!$Q$36*'TR TUSD'!$Q$80</f>
        <v>0</v>
      </c>
      <c r="R36" s="13">
        <f>'TR TUSD'!$R$36*'TR TUSD'!$R$80</f>
        <v>0</v>
      </c>
      <c r="S36" s="13">
        <f>'TR TUSD'!$S$36*'TR TUSD'!$S$80</f>
        <v>0</v>
      </c>
      <c r="T36" s="13">
        <f ca="1">SUM($L$36:$S$36)</f>
        <v>3.9827335800484059E-2</v>
      </c>
      <c r="U36" s="13">
        <f>'TR TUSD'!$U$36*'TR TUSD'!$U$80</f>
        <v>0</v>
      </c>
      <c r="V36" s="13">
        <f>'TR TUSD'!$V$36*'TR TUSD'!$V$80</f>
        <v>0</v>
      </c>
      <c r="W36" s="13">
        <f>'TR TUSD'!$W$36*'TR TUSD'!$W$80</f>
        <v>0</v>
      </c>
      <c r="X36" s="13">
        <f>'TR TUSD'!$X$36*'TR TUSD'!$X$80</f>
        <v>0</v>
      </c>
      <c r="Y36" s="13">
        <f>'TR TUSD'!$Y$36*'TR TUSD'!$Y$80</f>
        <v>0</v>
      </c>
      <c r="Z36" s="13">
        <f>'TR TUSD'!$Z$36*'TR TUSD'!$Z$80</f>
        <v>0</v>
      </c>
      <c r="AA36" s="13">
        <f>'TR TUSD'!$AA$36*'TR TUSD'!$AA$80</f>
        <v>0</v>
      </c>
      <c r="AB36" s="13">
        <f>SUM($U$36:$AA$36)</f>
        <v>0</v>
      </c>
      <c r="AC36" s="13">
        <f>'TR TUSD'!$AC$36*'TR TUSD'!$AC$80</f>
        <v>7.743225094444333</v>
      </c>
      <c r="AD36" s="13">
        <f>SUM($AC$36:$AC$36)</f>
        <v>7.743225094444333</v>
      </c>
      <c r="AE36" s="13">
        <v>0</v>
      </c>
      <c r="AF36" s="13">
        <v>0</v>
      </c>
      <c r="AG36" s="13">
        <f>SUM($AE$36:$AF$36)</f>
        <v>0</v>
      </c>
      <c r="AH36" s="13">
        <f>'TR TUSD'!$AH$36*'TR TUSD'!$AH$80</f>
        <v>0</v>
      </c>
      <c r="AI36" s="13">
        <f>'TR TUSD'!$AI$36*'TR TUSD'!$AI$80</f>
        <v>0</v>
      </c>
      <c r="AJ36" s="13">
        <f ca="1">'TR TUSD'!$AJ$36*'TR TUSD'!$AJ$80</f>
        <v>0</v>
      </c>
      <c r="AK36" s="13">
        <f ca="1">'TR TUSD'!$AK$36*'TR TUSD'!$AK$80</f>
        <v>0</v>
      </c>
      <c r="AL36" s="13">
        <f ca="1">SUM($AH$36:$AK$36)</f>
        <v>0</v>
      </c>
      <c r="AM36" s="13">
        <f ca="1">SUMIF($L$4:$AL$4,"SUBTOTAL",$L$36:$AL$36)</f>
        <v>7.7830524302448172</v>
      </c>
      <c r="AP36" s="13"/>
    </row>
    <row r="37" spans="1:42" ht="11.25" customHeight="1" x14ac:dyDescent="0.3">
      <c r="A37" s="128" t="s">
        <v>22</v>
      </c>
      <c r="B37" s="128" t="s">
        <v>33</v>
      </c>
      <c r="C37" s="128" t="s">
        <v>24</v>
      </c>
      <c r="D37" s="128" t="s">
        <v>24</v>
      </c>
      <c r="E37" s="128" t="s">
        <v>25</v>
      </c>
      <c r="F37" s="128" t="s">
        <v>25</v>
      </c>
      <c r="G37" s="18" t="s">
        <v>79</v>
      </c>
      <c r="H37" s="18" t="s">
        <v>78</v>
      </c>
      <c r="I37" s="18">
        <f>'MERCADO TUSD'!$U$34</f>
        <v>16.994999999999997</v>
      </c>
      <c r="J37" s="15"/>
      <c r="L37" s="13">
        <f>'TR TUSD'!$L$37*'TR TUSD'!$L$80</f>
        <v>6.7386679297978649</v>
      </c>
      <c r="M37" s="13">
        <f>'TR TUSD'!$M$37*'TR TUSD'!$M$80</f>
        <v>0.96084766636204655</v>
      </c>
      <c r="N37" s="13">
        <f ca="1">'TR TUSD'!$N$37*'TR TUSD'!$N$80</f>
        <v>8.5218614783030198</v>
      </c>
      <c r="O37" s="13">
        <f>'TR TUSD'!$O$37*'TR TUSD'!$O$80</f>
        <v>0</v>
      </c>
      <c r="P37" s="13">
        <f>'TR TUSD'!$P$37*'TR TUSD'!$P$80</f>
        <v>0</v>
      </c>
      <c r="Q37" s="13">
        <f>'TR TUSD'!$Q$37*'TR TUSD'!$Q$80</f>
        <v>86.65283210604035</v>
      </c>
      <c r="R37" s="13">
        <f>'TR TUSD'!$R$37*'TR TUSD'!$R$80</f>
        <v>13.642318933507415</v>
      </c>
      <c r="S37" s="13">
        <f>'TR TUSD'!$S$37*'TR TUSD'!$S$80</f>
        <v>0</v>
      </c>
      <c r="T37" s="13">
        <f ca="1">SUM($L$37:$S$37)</f>
        <v>116.5165281140107</v>
      </c>
      <c r="U37" s="13">
        <f>'TR TUSD'!$U$37*'TR TUSD'!$U$80</f>
        <v>70.476969893621131</v>
      </c>
      <c r="V37" s="13">
        <f>'TR TUSD'!$V$37*'TR TUSD'!$V$80</f>
        <v>14.277685560436794</v>
      </c>
      <c r="W37" s="13">
        <f>'TR TUSD'!$W$37*'TR TUSD'!$W$80</f>
        <v>2.2066208985673765</v>
      </c>
      <c r="X37" s="13">
        <f>'TR TUSD'!$X$37*'TR TUSD'!$X$80</f>
        <v>0</v>
      </c>
      <c r="Y37" s="13">
        <f>'TR TUSD'!$Y$37*'TR TUSD'!$Y$80</f>
        <v>0</v>
      </c>
      <c r="Z37" s="13">
        <f>'TR TUSD'!$Z$37</f>
        <v>0</v>
      </c>
      <c r="AA37" s="13">
        <f>'TR TUSD'!$AA$37</f>
        <v>0</v>
      </c>
      <c r="AB37" s="13">
        <f>SUM($U$37:$AA$37)</f>
        <v>86.961276352625305</v>
      </c>
      <c r="AC37" s="13">
        <f>'TR TUSD'!$AC$37*'TR TUSD'!$AC$80</f>
        <v>492.40379237873555</v>
      </c>
      <c r="AD37" s="13">
        <f>SUM($AC$37:$AC$37)</f>
        <v>492.40379237873555</v>
      </c>
      <c r="AE37" s="13">
        <v>0</v>
      </c>
      <c r="AF37" s="13">
        <v>0</v>
      </c>
      <c r="AG37" s="13">
        <f>SUM($AE$37:$AF$37)</f>
        <v>0</v>
      </c>
      <c r="AH37" s="13">
        <f>'TR TUSD'!$AH$37*'TR TUSD'!$AH$80</f>
        <v>22.89647919253855</v>
      </c>
      <c r="AI37" s="13">
        <f>'TR TUSD'!$AI$37*'TR TUSD'!$AI$80</f>
        <v>0.39682078045741276</v>
      </c>
      <c r="AJ37" s="13">
        <f ca="1">'TR TUSD'!$AJ$37*'TR TUSD'!$AJ$80</f>
        <v>1.5806381448718931</v>
      </c>
      <c r="AK37" s="13">
        <f ca="1">'TR TUSD'!$AK$37*'TR TUSD'!$AK$80</f>
        <v>0.30892407095755814</v>
      </c>
      <c r="AL37" s="13">
        <f ca="1">SUM($AH$37:$AK$37)</f>
        <v>25.182862188825418</v>
      </c>
      <c r="AM37" s="13">
        <f ca="1">SUMIF($L$4:$AL$4,"SUBTOTAL",$L$37:$AL$37)</f>
        <v>721.06445903419694</v>
      </c>
      <c r="AP37" s="13">
        <v>1</v>
      </c>
    </row>
    <row r="38" spans="1:42" ht="11.25" customHeight="1" x14ac:dyDescent="0.3">
      <c r="A38" s="128"/>
      <c r="B38" s="128"/>
      <c r="C38" s="128"/>
      <c r="D38" s="128"/>
      <c r="E38" s="128"/>
      <c r="F38" s="128"/>
      <c r="G38" s="18" t="s">
        <v>90</v>
      </c>
      <c r="H38" s="18" t="s">
        <v>78</v>
      </c>
      <c r="I38" s="18">
        <f>'MERCADO TUSD'!$U$35</f>
        <v>10.9</v>
      </c>
      <c r="J38" s="15"/>
      <c r="L38" s="13">
        <f>'TR TUSD'!$L$38*'TR TUSD'!$L$80</f>
        <v>6.7386679297978649</v>
      </c>
      <c r="M38" s="13">
        <f>'TR TUSD'!$M$38*'TR TUSD'!$M$80</f>
        <v>0.96084766636204655</v>
      </c>
      <c r="N38" s="13">
        <f ca="1">'TR TUSD'!$N$38*'TR TUSD'!$N$80</f>
        <v>6.0283640077728524</v>
      </c>
      <c r="O38" s="13">
        <f>'TR TUSD'!$O$38*'TR TUSD'!$O$80</f>
        <v>0</v>
      </c>
      <c r="P38" s="13">
        <f>'TR TUSD'!$P$38*'TR TUSD'!$P$80</f>
        <v>0</v>
      </c>
      <c r="Q38" s="13">
        <f>'TR TUSD'!$Q$38*'TR TUSD'!$Q$80</f>
        <v>86.65283210604035</v>
      </c>
      <c r="R38" s="13">
        <f>'TR TUSD'!$R$38*'TR TUSD'!$R$80</f>
        <v>13.642318933507415</v>
      </c>
      <c r="S38" s="13">
        <f>'TR TUSD'!$S$38*'TR TUSD'!$S$80</f>
        <v>0</v>
      </c>
      <c r="T38" s="13">
        <f ca="1">SUM($L$38:$S$38)</f>
        <v>114.02303064348052</v>
      </c>
      <c r="U38" s="13">
        <f>'TR TUSD'!$U$38*'TR TUSD'!$U$80</f>
        <v>42.286245690368844</v>
      </c>
      <c r="V38" s="13">
        <f>'TR TUSD'!$V$38*'TR TUSD'!$V$80</f>
        <v>8.5666113362620759</v>
      </c>
      <c r="W38" s="13">
        <f>'TR TUSD'!$W$38*'TR TUSD'!$W$80</f>
        <v>1.3239725391404258</v>
      </c>
      <c r="X38" s="13">
        <f>'TR TUSD'!$X$38*'TR TUSD'!$X$80</f>
        <v>0</v>
      </c>
      <c r="Y38" s="13">
        <f>'TR TUSD'!$Y$38*'TR TUSD'!$Y$80</f>
        <v>0</v>
      </c>
      <c r="Z38" s="13">
        <f>'TR TUSD'!$Z$38</f>
        <v>0</v>
      </c>
      <c r="AA38" s="13">
        <f>'TR TUSD'!$AA$38</f>
        <v>0</v>
      </c>
      <c r="AB38" s="13">
        <f>SUM($U$38:$AA$38)</f>
        <v>52.176829565771349</v>
      </c>
      <c r="AC38" s="13">
        <f>'TR TUSD'!$AC$38*'TR TUSD'!$AC$80</f>
        <v>295.44220308656804</v>
      </c>
      <c r="AD38" s="13">
        <f>SUM($AC$38:$AC$38)</f>
        <v>295.44220308656804</v>
      </c>
      <c r="AE38" s="13">
        <v>0</v>
      </c>
      <c r="AF38" s="13">
        <v>0</v>
      </c>
      <c r="AG38" s="13">
        <f>SUM($AE$38:$AF$38)</f>
        <v>0</v>
      </c>
      <c r="AH38" s="13">
        <f>'TR TUSD'!$AH$38*'TR TUSD'!$AH$80</f>
        <v>22.89647919253855</v>
      </c>
      <c r="AI38" s="13">
        <f>'TR TUSD'!$AI$38*'TR TUSD'!$AI$80</f>
        <v>0.39682078045741276</v>
      </c>
      <c r="AJ38" s="13">
        <f ca="1">'TR TUSD'!$AJ$38*'TR TUSD'!$AJ$80</f>
        <v>1.5806381448718931</v>
      </c>
      <c r="AK38" s="13">
        <f ca="1">'TR TUSD'!$AK$38*'TR TUSD'!$AK$80</f>
        <v>0.30892407095755814</v>
      </c>
      <c r="AL38" s="13">
        <f ca="1">SUM($AH$38:$AK$38)</f>
        <v>25.182862188825418</v>
      </c>
      <c r="AM38" s="13">
        <f ca="1">SUMIF($L$4:$AL$4,"SUBTOTAL",$L$38:$AL$38)</f>
        <v>486.82492548464535</v>
      </c>
      <c r="AP38" s="13">
        <v>1</v>
      </c>
    </row>
    <row r="39" spans="1:42" ht="11.25" customHeight="1" x14ac:dyDescent="0.3">
      <c r="A39" s="128"/>
      <c r="B39" s="128"/>
      <c r="C39" s="128"/>
      <c r="D39" s="128"/>
      <c r="E39" s="128"/>
      <c r="F39" s="128"/>
      <c r="G39" s="18" t="s">
        <v>80</v>
      </c>
      <c r="H39" s="18" t="s">
        <v>78</v>
      </c>
      <c r="I39" s="18">
        <f>'MERCADO TUSD'!$U$36</f>
        <v>127.76599999999999</v>
      </c>
      <c r="J39" s="15"/>
      <c r="L39" s="13">
        <f>'TR TUSD'!$L$39*'TR TUSD'!$L$80</f>
        <v>6.7386679297978649</v>
      </c>
      <c r="M39" s="13">
        <f>'TR TUSD'!$M$39*'TR TUSD'!$M$80</f>
        <v>0.96084766636204655</v>
      </c>
      <c r="N39" s="13">
        <f ca="1">'TR TUSD'!$N$39*'TR TUSD'!$N$80</f>
        <v>3.5348665372426886</v>
      </c>
      <c r="O39" s="13">
        <f>'TR TUSD'!$O$39*'TR TUSD'!$O$80</f>
        <v>0</v>
      </c>
      <c r="P39" s="13">
        <f>'TR TUSD'!$P$39*'TR TUSD'!$P$80</f>
        <v>0</v>
      </c>
      <c r="Q39" s="13">
        <f>'TR TUSD'!$Q$39*'TR TUSD'!$Q$80</f>
        <v>86.65283210604035</v>
      </c>
      <c r="R39" s="13">
        <f>'TR TUSD'!$R$39*'TR TUSD'!$R$80</f>
        <v>13.642318933507415</v>
      </c>
      <c r="S39" s="13">
        <f>'TR TUSD'!$S$39*'TR TUSD'!$S$80</f>
        <v>0</v>
      </c>
      <c r="T39" s="13">
        <f ca="1">SUM($L$39:$S$39)</f>
        <v>111.52953317295037</v>
      </c>
      <c r="U39" s="13">
        <f>'TR TUSD'!$U$39*'TR TUSD'!$U$80</f>
        <v>14.095415230122949</v>
      </c>
      <c r="V39" s="13">
        <f>'TR TUSD'!$V$39*'TR TUSD'!$V$80</f>
        <v>2.8555371120873585</v>
      </c>
      <c r="W39" s="13">
        <f>'TR TUSD'!$W$39*'TR TUSD'!$W$80</f>
        <v>0.44132417971347532</v>
      </c>
      <c r="X39" s="13">
        <f>'TR TUSD'!$X$39*'TR TUSD'!$X$80</f>
        <v>0</v>
      </c>
      <c r="Y39" s="13">
        <f>'TR TUSD'!$Y$39*'TR TUSD'!$Y$80</f>
        <v>0</v>
      </c>
      <c r="Z39" s="13">
        <f>'TR TUSD'!$Z$39</f>
        <v>0</v>
      </c>
      <c r="AA39" s="13">
        <f>'TR TUSD'!$AA$39</f>
        <v>0</v>
      </c>
      <c r="AB39" s="13">
        <f>SUM($U$39:$AA$39)</f>
        <v>17.392276521923783</v>
      </c>
      <c r="AC39" s="13">
        <f>'TR TUSD'!$AC$39*'TR TUSD'!$AC$80</f>
        <v>98.480734362189366</v>
      </c>
      <c r="AD39" s="13">
        <f>SUM($AC$39:$AC$39)</f>
        <v>98.480734362189366</v>
      </c>
      <c r="AE39" s="13">
        <v>0</v>
      </c>
      <c r="AF39" s="13">
        <v>0</v>
      </c>
      <c r="AG39" s="13">
        <f>SUM($AE$39:$AF$39)</f>
        <v>0</v>
      </c>
      <c r="AH39" s="13">
        <f>'TR TUSD'!$AH$39*'TR TUSD'!$AH$80</f>
        <v>22.89647919253855</v>
      </c>
      <c r="AI39" s="13">
        <f>'TR TUSD'!$AI$39*'TR TUSD'!$AI$80</f>
        <v>0.39682078045741276</v>
      </c>
      <c r="AJ39" s="13">
        <f ca="1">'TR TUSD'!$AJ$39*'TR TUSD'!$AJ$80</f>
        <v>1.5806381448718931</v>
      </c>
      <c r="AK39" s="13">
        <f ca="1">'TR TUSD'!$AK$39*'TR TUSD'!$AK$80</f>
        <v>0.30892407095755814</v>
      </c>
      <c r="AL39" s="13">
        <f ca="1">SUM($AH$39:$AK$39)</f>
        <v>25.182862188825418</v>
      </c>
      <c r="AM39" s="13">
        <f ca="1">SUMIF($L$4:$AL$4,"SUBTOTAL",$L$39:$AL$39)</f>
        <v>252.58540624588895</v>
      </c>
      <c r="AP39" s="13">
        <v>1</v>
      </c>
    </row>
    <row r="40" spans="1:42" ht="11.25" customHeight="1" x14ac:dyDescent="0.3">
      <c r="A40" s="128"/>
      <c r="B40" s="128" t="s">
        <v>23</v>
      </c>
      <c r="C40" s="128" t="s">
        <v>24</v>
      </c>
      <c r="D40" s="17" t="s">
        <v>24</v>
      </c>
      <c r="E40" s="17" t="s">
        <v>25</v>
      </c>
      <c r="F40" s="17" t="s">
        <v>25</v>
      </c>
      <c r="G40" s="18" t="s">
        <v>84</v>
      </c>
      <c r="H40" s="18" t="s">
        <v>78</v>
      </c>
      <c r="I40" s="18">
        <f>'MERCADO TUSD'!$U$37</f>
        <v>126554.92199999999</v>
      </c>
      <c r="J40" s="15"/>
      <c r="L40" s="13">
        <f>'TR TUSD'!$L$40*'TR TUSD'!$L$80</f>
        <v>6.7386679297978649</v>
      </c>
      <c r="M40" s="13">
        <f>'TR TUSD'!$M$40*'TR TUSD'!$M$80</f>
        <v>0.96084766636204655</v>
      </c>
      <c r="N40" s="13">
        <f ca="1">'TR TUSD'!$N$40*'TR TUSD'!$N$80</f>
        <v>4.6404732179449013</v>
      </c>
      <c r="O40" s="13">
        <f>'TR TUSD'!$O$40*'TR TUSD'!$O$80</f>
        <v>0</v>
      </c>
      <c r="P40" s="13">
        <f>'TR TUSD'!$P$40*'TR TUSD'!$P$80</f>
        <v>0</v>
      </c>
      <c r="Q40" s="13">
        <f>'TR TUSD'!$Q$40*'TR TUSD'!$Q$80</f>
        <v>86.65283210604035</v>
      </c>
      <c r="R40" s="13">
        <f>'TR TUSD'!$R$40*'TR TUSD'!$R$80</f>
        <v>13.642318933507415</v>
      </c>
      <c r="S40" s="13">
        <f>'TR TUSD'!$S$40*'TR TUSD'!$S$80</f>
        <v>0</v>
      </c>
      <c r="T40" s="13">
        <f ca="1">SUM($L$40:$S$40)</f>
        <v>112.63513985365257</v>
      </c>
      <c r="U40" s="13">
        <f>'TR TUSD'!$U$40*'TR TUSD'!$U$80</f>
        <v>26.595062930235599</v>
      </c>
      <c r="V40" s="13">
        <f>'TR TUSD'!$V$40*'TR TUSD'!$V$80</f>
        <v>5.3878072360716489</v>
      </c>
      <c r="W40" s="13">
        <f>'TR TUSD'!$W$40*'TR TUSD'!$W$80</f>
        <v>0.83272202066048207</v>
      </c>
      <c r="X40" s="13">
        <f>'TR TUSD'!$X$40*'TR TUSD'!$X$80</f>
        <v>0</v>
      </c>
      <c r="Y40" s="13">
        <f>'TR TUSD'!$Y$40*'TR TUSD'!$Y$80</f>
        <v>0</v>
      </c>
      <c r="Z40" s="13">
        <f>'TR TUSD'!$Z$40</f>
        <v>0</v>
      </c>
      <c r="AA40" s="13">
        <f>'TR TUSD'!$AA$40</f>
        <v>0</v>
      </c>
      <c r="AB40" s="13">
        <f>SUM($U$40:$AA$40)</f>
        <v>32.815592186967727</v>
      </c>
      <c r="AC40" s="13">
        <f>'TR TUSD'!$AC$40*'TR TUSD'!$AC$80</f>
        <v>185.81268586997805</v>
      </c>
      <c r="AD40" s="13">
        <f>SUM($AC$40:$AC$40)</f>
        <v>185.81268586997805</v>
      </c>
      <c r="AE40" s="13">
        <v>0</v>
      </c>
      <c r="AF40" s="13">
        <v>0</v>
      </c>
      <c r="AG40" s="13">
        <f>SUM($AE$40:$AF$40)</f>
        <v>0</v>
      </c>
      <c r="AH40" s="13">
        <f>'TR TUSD'!$AH$40*'TR TUSD'!$AH$80</f>
        <v>22.89647919253855</v>
      </c>
      <c r="AI40" s="13">
        <f>'TR TUSD'!$AI$40*'TR TUSD'!$AI$80</f>
        <v>0.39682078045741276</v>
      </c>
      <c r="AJ40" s="13">
        <f ca="1">'TR TUSD'!$AJ$40*'TR TUSD'!$AJ$80</f>
        <v>1.5806381448718931</v>
      </c>
      <c r="AK40" s="13">
        <f ca="1">'TR TUSD'!$AK$40*'TR TUSD'!$AK$80</f>
        <v>0.30892407095755814</v>
      </c>
      <c r="AL40" s="13">
        <f ca="1">SUM($AH$40:$AK$40)</f>
        <v>25.182862188825418</v>
      </c>
      <c r="AM40" s="13">
        <f ca="1">SUMIF($L$4:$AL$4,"SUBTOTAL",$L$40:$AL$40)</f>
        <v>356.4462800994238</v>
      </c>
      <c r="AP40" s="13">
        <v>1</v>
      </c>
    </row>
    <row r="41" spans="1:42" ht="11.25" customHeight="1" x14ac:dyDescent="0.3">
      <c r="A41" s="128"/>
      <c r="B41" s="128"/>
      <c r="C41" s="128"/>
      <c r="D41" s="17" t="s">
        <v>29</v>
      </c>
      <c r="E41" s="17" t="s">
        <v>25</v>
      </c>
      <c r="F41" s="17" t="s">
        <v>25</v>
      </c>
      <c r="G41" s="18" t="s">
        <v>84</v>
      </c>
      <c r="H41" s="18" t="s">
        <v>78</v>
      </c>
      <c r="I41" s="18">
        <f>'MERCADO TUSD'!$U$38</f>
        <v>2163.31</v>
      </c>
      <c r="J41" s="15"/>
      <c r="L41" s="13">
        <f>'TR TUSD'!$L$41*'TR TUSD'!$L$80</f>
        <v>0</v>
      </c>
      <c r="M41" s="13">
        <f>'TR TUSD'!$M$41*'TR TUSD'!$M$80</f>
        <v>0.96084766636204655</v>
      </c>
      <c r="N41" s="13">
        <f ca="1">'TR TUSD'!$N$41*'TR TUSD'!$N$80</f>
        <v>4.6278938243064429</v>
      </c>
      <c r="O41" s="13">
        <f>'TR TUSD'!$O$41*'TR TUSD'!$O$80</f>
        <v>0</v>
      </c>
      <c r="P41" s="13">
        <f>'TR TUSD'!$P$41*'TR TUSD'!$P$80</f>
        <v>0</v>
      </c>
      <c r="Q41" s="13">
        <f>'TR TUSD'!$Q$41*'TR TUSD'!$Q$80</f>
        <v>0</v>
      </c>
      <c r="R41" s="13">
        <f>'TR TUSD'!$R$41*'TR TUSD'!$R$80</f>
        <v>0</v>
      </c>
      <c r="S41" s="13">
        <f>'TR TUSD'!$S$41*'TR TUSD'!$S$80</f>
        <v>0</v>
      </c>
      <c r="T41" s="13">
        <f ca="1">SUM($L$41:$S$41)</f>
        <v>5.5887414906684896</v>
      </c>
      <c r="U41" s="13">
        <f>'TR TUSD'!$U$41*'TR TUSD'!$U$80</f>
        <v>26.595062930235599</v>
      </c>
      <c r="V41" s="13">
        <f>'TR TUSD'!$V$41*'TR TUSD'!$V$80</f>
        <v>5.3878072360716489</v>
      </c>
      <c r="W41" s="13">
        <f>'TR TUSD'!$W$41*'TR TUSD'!$W$80</f>
        <v>0.83272202066048207</v>
      </c>
      <c r="X41" s="13">
        <f>'TR TUSD'!$X$41*'TR TUSD'!$X$80</f>
        <v>0</v>
      </c>
      <c r="Y41" s="13">
        <f>'TR TUSD'!$Y$41*'TR TUSD'!$Y$80</f>
        <v>0</v>
      </c>
      <c r="Z41" s="13">
        <f>'TR TUSD'!$Z$41</f>
        <v>0</v>
      </c>
      <c r="AA41" s="13">
        <f>'TR TUSD'!$AA$41</f>
        <v>0</v>
      </c>
      <c r="AB41" s="13">
        <f>SUM($U$41:$AA$41)</f>
        <v>32.815592186967727</v>
      </c>
      <c r="AC41" s="13">
        <f>'TR TUSD'!$AC$41*'TR TUSD'!$AC$80</f>
        <v>185.81268586997805</v>
      </c>
      <c r="AD41" s="13">
        <f>SUM($AC$41:$AC$41)</f>
        <v>185.81268586997805</v>
      </c>
      <c r="AE41" s="13">
        <v>0</v>
      </c>
      <c r="AF41" s="13">
        <v>0</v>
      </c>
      <c r="AG41" s="13">
        <f>SUM($AE$41:$AF$41)</f>
        <v>0</v>
      </c>
      <c r="AH41" s="13">
        <f>'TR TUSD'!$AH$41*'TR TUSD'!$AH$80</f>
        <v>22.89647919253855</v>
      </c>
      <c r="AI41" s="13">
        <f>'TR TUSD'!$AI$41*'TR TUSD'!$AI$80</f>
        <v>0.39682078045741276</v>
      </c>
      <c r="AJ41" s="13">
        <f ca="1">'TR TUSD'!$AJ$41*'TR TUSD'!$AJ$80</f>
        <v>1.5806381448718931</v>
      </c>
      <c r="AK41" s="13">
        <f ca="1">'TR TUSD'!$AK$41*'TR TUSD'!$AK$80</f>
        <v>0.30892407095755814</v>
      </c>
      <c r="AL41" s="13">
        <f ca="1">SUM($AH$41:$AK$41)</f>
        <v>25.182862188825418</v>
      </c>
      <c r="AM41" s="13">
        <f ca="1">SUMIF($L$4:$AL$4,"SUBTOTAL",$L$41:$AL$41)</f>
        <v>249.39988173643968</v>
      </c>
      <c r="AP41" s="13">
        <f>IF((1 - CUSTOS!$M$24)&lt;&gt;0,1/(1 - CUSTOS!$M$24),1)</f>
        <v>1</v>
      </c>
    </row>
    <row r="42" spans="1:42" ht="11.25" customHeight="1" x14ac:dyDescent="0.3">
      <c r="A42" s="128"/>
      <c r="B42" s="128"/>
      <c r="C42" s="128"/>
      <c r="D42" s="17" t="s">
        <v>30</v>
      </c>
      <c r="E42" s="17" t="s">
        <v>25</v>
      </c>
      <c r="F42" s="17" t="s">
        <v>25</v>
      </c>
      <c r="G42" s="18" t="s">
        <v>84</v>
      </c>
      <c r="H42" s="18" t="s">
        <v>78</v>
      </c>
      <c r="I42" s="18">
        <f>'MERCADO TUSD'!$U$39</f>
        <v>4329.2419999999993</v>
      </c>
      <c r="J42" s="15"/>
      <c r="L42" s="13">
        <f>'TR TUSD'!$L$42*'TR TUSD'!$L$80</f>
        <v>0</v>
      </c>
      <c r="M42" s="13">
        <f>'TR TUSD'!$M$42*'TR TUSD'!$M$80</f>
        <v>0.96084766636204655</v>
      </c>
      <c r="N42" s="13">
        <f ca="1">'TR TUSD'!$N$42*'TR TUSD'!$N$80</f>
        <v>4.6278938243064429</v>
      </c>
      <c r="O42" s="13">
        <f>'TR TUSD'!$O$42*'TR TUSD'!$O$80</f>
        <v>0</v>
      </c>
      <c r="P42" s="13">
        <f>'TR TUSD'!$P$42*'TR TUSD'!$P$80</f>
        <v>0</v>
      </c>
      <c r="Q42" s="13">
        <f>'TR TUSD'!$Q$42*'TR TUSD'!$Q$80</f>
        <v>0</v>
      </c>
      <c r="R42" s="13">
        <f>'TR TUSD'!$R$42*'TR TUSD'!$R$80</f>
        <v>0</v>
      </c>
      <c r="S42" s="13">
        <f>'TR TUSD'!$S$42*'TR TUSD'!$S$80</f>
        <v>0</v>
      </c>
      <c r="T42" s="13">
        <f ca="1">SUM($L$42:$S$42)</f>
        <v>5.5887414906684896</v>
      </c>
      <c r="U42" s="13">
        <f>'TR TUSD'!$U$42*'TR TUSD'!$U$80</f>
        <v>26.595062930235599</v>
      </c>
      <c r="V42" s="13">
        <f>'TR TUSD'!$V$42*'TR TUSD'!$V$80</f>
        <v>5.3878072360716489</v>
      </c>
      <c r="W42" s="13">
        <f>'TR TUSD'!$W$42*'TR TUSD'!$W$80</f>
        <v>0.83272202066048207</v>
      </c>
      <c r="X42" s="13">
        <f>'TR TUSD'!$X$42*'TR TUSD'!$X$80</f>
        <v>0</v>
      </c>
      <c r="Y42" s="13">
        <f>'TR TUSD'!$Y$42*'TR TUSD'!$Y$80</f>
        <v>0</v>
      </c>
      <c r="Z42" s="13">
        <f>'TR TUSD'!$Z$42</f>
        <v>0</v>
      </c>
      <c r="AA42" s="13">
        <f>'TR TUSD'!$AA$42</f>
        <v>0</v>
      </c>
      <c r="AB42" s="13">
        <f>SUM($U$42:$AA$42)</f>
        <v>32.815592186967727</v>
      </c>
      <c r="AC42" s="13">
        <f>'TR TUSD'!$AC$42*'TR TUSD'!$AC$80</f>
        <v>185.81268586997805</v>
      </c>
      <c r="AD42" s="13">
        <f>SUM($AC$42:$AC$42)</f>
        <v>185.81268586997805</v>
      </c>
      <c r="AE42" s="13">
        <v>0</v>
      </c>
      <c r="AF42" s="13">
        <v>0</v>
      </c>
      <c r="AG42" s="13">
        <f>SUM($AE$42:$AF$42)</f>
        <v>0</v>
      </c>
      <c r="AH42" s="13">
        <f>'TR TUSD'!$AH$42*'TR TUSD'!$AH$80</f>
        <v>22.89647919253855</v>
      </c>
      <c r="AI42" s="13">
        <f>'TR TUSD'!$AI$42*'TR TUSD'!$AI$80</f>
        <v>0.39682078045741276</v>
      </c>
      <c r="AJ42" s="13">
        <f ca="1">'TR TUSD'!$AJ$42*'TR TUSD'!$AJ$80</f>
        <v>1.5806381448718931</v>
      </c>
      <c r="AK42" s="13">
        <f ca="1">'TR TUSD'!$AK$42*'TR TUSD'!$AK$80</f>
        <v>0.30892407095755814</v>
      </c>
      <c r="AL42" s="13">
        <f ca="1">SUM($AH$42:$AK$42)</f>
        <v>25.182862188825418</v>
      </c>
      <c r="AM42" s="13">
        <f ca="1">SUMIF($L$4:$AL$4,"SUBTOTAL",$L$42:$AL$42)</f>
        <v>249.39988173643968</v>
      </c>
      <c r="AP42" s="13">
        <f>IF((1 - CUSTOS!$M$25)&lt;&gt;0,1/(1 - CUSTOS!$M$25),1)</f>
        <v>1</v>
      </c>
    </row>
    <row r="43" spans="1:42" ht="11.25" customHeight="1" x14ac:dyDescent="0.3">
      <c r="A43" s="128"/>
      <c r="B43" s="128"/>
      <c r="C43" s="128"/>
      <c r="D43" s="17" t="s">
        <v>31</v>
      </c>
      <c r="E43" s="17" t="s">
        <v>25</v>
      </c>
      <c r="F43" s="17" t="s">
        <v>25</v>
      </c>
      <c r="G43" s="18" t="s">
        <v>84</v>
      </c>
      <c r="H43" s="18" t="s">
        <v>78</v>
      </c>
      <c r="I43" s="18">
        <f>'MERCADO TUSD'!$U$40</f>
        <v>3237.8510000000001</v>
      </c>
      <c r="J43" s="15"/>
      <c r="L43" s="13">
        <f>'TR TUSD'!$L$43*'TR TUSD'!$L$80</f>
        <v>0</v>
      </c>
      <c r="M43" s="13">
        <f>'TR TUSD'!$M$43*'TR TUSD'!$M$80</f>
        <v>0.96084766636204655</v>
      </c>
      <c r="N43" s="13">
        <f ca="1">'TR TUSD'!$N$43*'TR TUSD'!$N$80</f>
        <v>4.6278938243064429</v>
      </c>
      <c r="O43" s="13">
        <f>'TR TUSD'!$O$43*'TR TUSD'!$O$80</f>
        <v>0</v>
      </c>
      <c r="P43" s="13">
        <f>'TR TUSD'!$P$43*'TR TUSD'!$P$80</f>
        <v>0</v>
      </c>
      <c r="Q43" s="13">
        <f>'TR TUSD'!$Q$43*'TR TUSD'!$Q$80</f>
        <v>0</v>
      </c>
      <c r="R43" s="13">
        <f>'TR TUSD'!$R$43*'TR TUSD'!$R$80</f>
        <v>0</v>
      </c>
      <c r="S43" s="13">
        <f>'TR TUSD'!$S$43*'TR TUSD'!$S$80</f>
        <v>0</v>
      </c>
      <c r="T43" s="13">
        <f ca="1">SUM($L$43:$S$43)</f>
        <v>5.5887414906684896</v>
      </c>
      <c r="U43" s="13">
        <f>'TR TUSD'!$U$43*'TR TUSD'!$U$80</f>
        <v>26.595062930235599</v>
      </c>
      <c r="V43" s="13">
        <f>'TR TUSD'!$V$43*'TR TUSD'!$V$80</f>
        <v>5.3878072360716489</v>
      </c>
      <c r="W43" s="13">
        <f>'TR TUSD'!$W$43*'TR TUSD'!$W$80</f>
        <v>0.83272202066048207</v>
      </c>
      <c r="X43" s="13">
        <f>'TR TUSD'!$X$43*'TR TUSD'!$X$80</f>
        <v>0</v>
      </c>
      <c r="Y43" s="13">
        <f>'TR TUSD'!$Y$43*'TR TUSD'!$Y$80</f>
        <v>0</v>
      </c>
      <c r="Z43" s="13">
        <f>'TR TUSD'!$Z$43</f>
        <v>0</v>
      </c>
      <c r="AA43" s="13">
        <f>'TR TUSD'!$AA$43</f>
        <v>0</v>
      </c>
      <c r="AB43" s="13">
        <f>SUM($U$43:$AA$43)</f>
        <v>32.815592186967727</v>
      </c>
      <c r="AC43" s="13">
        <f>'TR TUSD'!$AC$43*'TR TUSD'!$AC$80</f>
        <v>185.81268586997805</v>
      </c>
      <c r="AD43" s="13">
        <f>SUM($AC$43:$AC$43)</f>
        <v>185.81268586997805</v>
      </c>
      <c r="AE43" s="13">
        <v>0</v>
      </c>
      <c r="AF43" s="13">
        <v>0</v>
      </c>
      <c r="AG43" s="13">
        <f>SUM($AE$43:$AF$43)</f>
        <v>0</v>
      </c>
      <c r="AH43" s="13">
        <f>'TR TUSD'!$AH$43*'TR TUSD'!$AH$80</f>
        <v>22.89647919253855</v>
      </c>
      <c r="AI43" s="13">
        <f>'TR TUSD'!$AI$43*'TR TUSD'!$AI$80</f>
        <v>0.39682078045741276</v>
      </c>
      <c r="AJ43" s="13">
        <f ca="1">'TR TUSD'!$AJ$43*'TR TUSD'!$AJ$80</f>
        <v>1.5806381448718931</v>
      </c>
      <c r="AK43" s="13">
        <f ca="1">'TR TUSD'!$AK$43*'TR TUSD'!$AK$80</f>
        <v>0.30892407095755814</v>
      </c>
      <c r="AL43" s="13">
        <f ca="1">SUM($AH$43:$AK$43)</f>
        <v>25.182862188825418</v>
      </c>
      <c r="AM43" s="13">
        <f ca="1">SUMIF($L$4:$AL$4,"SUBTOTAL",$L$43:$AL$43)</f>
        <v>249.39988173643968</v>
      </c>
      <c r="AP43" s="13">
        <f>IF((1 - CUSTOS!$M$26)&lt;&gt;0,1/(1 - CUSTOS!$M$26),1)</f>
        <v>1</v>
      </c>
    </row>
    <row r="44" spans="1:42" ht="11.25" customHeight="1" x14ac:dyDescent="0.3">
      <c r="A44" s="128"/>
      <c r="B44" s="128"/>
      <c r="C44" s="128"/>
      <c r="D44" s="17" t="s">
        <v>32</v>
      </c>
      <c r="E44" s="17" t="s">
        <v>25</v>
      </c>
      <c r="F44" s="17" t="s">
        <v>25</v>
      </c>
      <c r="G44" s="18" t="s">
        <v>84</v>
      </c>
      <c r="H44" s="18" t="s">
        <v>78</v>
      </c>
      <c r="I44" s="18">
        <f>'MERCADO TUSD'!$U$41</f>
        <v>633.93299999999999</v>
      </c>
      <c r="J44" s="15"/>
      <c r="L44" s="13">
        <f>'TR TUSD'!$L$44*'TR TUSD'!$L$80</f>
        <v>0</v>
      </c>
      <c r="M44" s="13">
        <f>'TR TUSD'!$M$44*'TR TUSD'!$M$80</f>
        <v>0.96084766636204655</v>
      </c>
      <c r="N44" s="13">
        <f ca="1">'TR TUSD'!$N$44*'TR TUSD'!$N$80</f>
        <v>4.6278938243064429</v>
      </c>
      <c r="O44" s="13">
        <f>'TR TUSD'!$O$44*'TR TUSD'!$O$80</f>
        <v>0</v>
      </c>
      <c r="P44" s="13">
        <f>'TR TUSD'!$P$44*'TR TUSD'!$P$80</f>
        <v>0</v>
      </c>
      <c r="Q44" s="13">
        <f>'TR TUSD'!$Q$44*'TR TUSD'!$Q$80</f>
        <v>0</v>
      </c>
      <c r="R44" s="13">
        <f>'TR TUSD'!$R$44*'TR TUSD'!$R$80</f>
        <v>0</v>
      </c>
      <c r="S44" s="13">
        <f>'TR TUSD'!$S$44*'TR TUSD'!$S$80</f>
        <v>0</v>
      </c>
      <c r="T44" s="13">
        <f ca="1">SUM($L$44:$S$44)</f>
        <v>5.5887414906684896</v>
      </c>
      <c r="U44" s="13">
        <f>'TR TUSD'!$U$44*'TR TUSD'!$U$80</f>
        <v>26.595062930235599</v>
      </c>
      <c r="V44" s="13">
        <f>'TR TUSD'!$V$44*'TR TUSD'!$V$80</f>
        <v>5.3878072360716489</v>
      </c>
      <c r="W44" s="13">
        <f>'TR TUSD'!$W$44*'TR TUSD'!$W$80</f>
        <v>0.83272202066048207</v>
      </c>
      <c r="X44" s="13">
        <f>'TR TUSD'!$X$44*'TR TUSD'!$X$80</f>
        <v>0</v>
      </c>
      <c r="Y44" s="13">
        <f>'TR TUSD'!$Y$44*'TR TUSD'!$Y$80</f>
        <v>0</v>
      </c>
      <c r="Z44" s="13">
        <f>'TR TUSD'!$Z$44</f>
        <v>0</v>
      </c>
      <c r="AA44" s="13">
        <f>'TR TUSD'!$AA$44</f>
        <v>0</v>
      </c>
      <c r="AB44" s="13">
        <f>SUM($U$44:$AA$44)</f>
        <v>32.815592186967727</v>
      </c>
      <c r="AC44" s="13">
        <f>'TR TUSD'!$AC$44*'TR TUSD'!$AC$80</f>
        <v>185.81268586997805</v>
      </c>
      <c r="AD44" s="13">
        <f>SUM($AC$44:$AC$44)</f>
        <v>185.81268586997805</v>
      </c>
      <c r="AE44" s="13">
        <v>0</v>
      </c>
      <c r="AF44" s="13">
        <v>0</v>
      </c>
      <c r="AG44" s="13">
        <f>SUM($AE$44:$AF$44)</f>
        <v>0</v>
      </c>
      <c r="AH44" s="13">
        <f>'TR TUSD'!$AH$44*'TR TUSD'!$AH$80</f>
        <v>22.89647919253855</v>
      </c>
      <c r="AI44" s="13">
        <f>'TR TUSD'!$AI$44*'TR TUSD'!$AI$80</f>
        <v>0.39682078045741276</v>
      </c>
      <c r="AJ44" s="13">
        <f ca="1">'TR TUSD'!$AJ$44*'TR TUSD'!$AJ$80</f>
        <v>1.5806381448718931</v>
      </c>
      <c r="AK44" s="13">
        <f ca="1">'TR TUSD'!$AK$44*'TR TUSD'!$AK$80</f>
        <v>0.30892407095755814</v>
      </c>
      <c r="AL44" s="13">
        <f ca="1">SUM($AH$44:$AK$44)</f>
        <v>25.182862188825418</v>
      </c>
      <c r="AM44" s="13">
        <f ca="1">SUMIF($L$4:$AL$4,"SUBTOTAL",$L$44:$AL$44)</f>
        <v>249.39988173643968</v>
      </c>
      <c r="AP44" s="13">
        <f>IF((1 - CUSTOS!$M$27)&lt;&gt;0,1/(1 - CUSTOS!$M$27),1)</f>
        <v>1</v>
      </c>
    </row>
    <row r="45" spans="1:42" ht="11.25" customHeight="1" x14ac:dyDescent="0.3">
      <c r="A45" s="128"/>
      <c r="B45" s="128" t="s">
        <v>92</v>
      </c>
      <c r="C45" s="128" t="s">
        <v>24</v>
      </c>
      <c r="D45" s="17" t="s">
        <v>24</v>
      </c>
      <c r="E45" s="17" t="s">
        <v>25</v>
      </c>
      <c r="F45" s="17" t="s">
        <v>25</v>
      </c>
      <c r="G45" s="18" t="s">
        <v>84</v>
      </c>
      <c r="H45" s="18" t="s">
        <v>78</v>
      </c>
      <c r="I45" s="18">
        <f>'MERCADO TUSD'!$U$42</f>
        <v>0</v>
      </c>
      <c r="J45" s="15"/>
      <c r="L45" s="13">
        <f>'TR TUSD'!$L$45*'TR TUSD'!$L$80</f>
        <v>6.7386679297978649</v>
      </c>
      <c r="M45" s="13">
        <f>'TR TUSD'!$M$45*'TR TUSD'!$M$80</f>
        <v>0.96084766636204655</v>
      </c>
      <c r="N45" s="13">
        <f ca="1">'TR TUSD'!$N$45*'TR TUSD'!$N$80</f>
        <v>4.6404732179449013</v>
      </c>
      <c r="O45" s="13">
        <f>'TR TUSD'!$O$45*'TR TUSD'!$O$80</f>
        <v>0</v>
      </c>
      <c r="P45" s="13">
        <f>'TR TUSD'!$P$45*'TR TUSD'!$P$80</f>
        <v>0</v>
      </c>
      <c r="Q45" s="13">
        <f>'TR TUSD'!$Q$45*'TR TUSD'!$Q$80</f>
        <v>86.65283210604035</v>
      </c>
      <c r="R45" s="13">
        <f>'TR TUSD'!$R$45*'TR TUSD'!$R$80</f>
        <v>13.642318933507415</v>
      </c>
      <c r="S45" s="13">
        <f>'TR TUSD'!$S$45*'TR TUSD'!$S$80</f>
        <v>0</v>
      </c>
      <c r="T45" s="13">
        <f ca="1">SUM($L$45:$S$45)</f>
        <v>112.63513985365257</v>
      </c>
      <c r="U45" s="13">
        <f>'TR TUSD'!$U$45*'TR TUSD'!$U$80</f>
        <v>26.595062930235599</v>
      </c>
      <c r="V45" s="13">
        <f>'TR TUSD'!$V$45*'TR TUSD'!$V$80</f>
        <v>5.3878072360716489</v>
      </c>
      <c r="W45" s="13">
        <f>'TR TUSD'!$W$45*'TR TUSD'!$W$80</f>
        <v>0.83272202066048207</v>
      </c>
      <c r="X45" s="13">
        <f>'TR TUSD'!$X$45*'TR TUSD'!$X$80</f>
        <v>0</v>
      </c>
      <c r="Y45" s="13">
        <f>'TR TUSD'!$Y$45*'TR TUSD'!$Y$80</f>
        <v>0</v>
      </c>
      <c r="Z45" s="13">
        <f>'TR TUSD'!$Z$45</f>
        <v>0</v>
      </c>
      <c r="AA45" s="13">
        <f>'TR TUSD'!$AA$45</f>
        <v>0</v>
      </c>
      <c r="AB45" s="13">
        <f>SUM($U$45:$AA$45)</f>
        <v>32.815592186967727</v>
      </c>
      <c r="AC45" s="13">
        <f>'TR TUSD'!$AC$45*'TR TUSD'!$AC$80</f>
        <v>185.81268586997805</v>
      </c>
      <c r="AD45" s="13">
        <f>SUM($AC$45:$AC$45)</f>
        <v>185.81268586997805</v>
      </c>
      <c r="AE45" s="13">
        <v>0</v>
      </c>
      <c r="AF45" s="13">
        <v>0</v>
      </c>
      <c r="AG45" s="13">
        <f>SUM($AE$45:$AF$45)</f>
        <v>0</v>
      </c>
      <c r="AH45" s="13">
        <f>'TR TUSD'!$AH$45*'TR TUSD'!$AH$80</f>
        <v>22.89647919253855</v>
      </c>
      <c r="AI45" s="13">
        <f>'TR TUSD'!$AI$45*'TR TUSD'!$AI$80</f>
        <v>0.39682078045741276</v>
      </c>
      <c r="AJ45" s="13">
        <f ca="1">'TR TUSD'!$AJ$45*'TR TUSD'!$AJ$80</f>
        <v>1.5806381448718931</v>
      </c>
      <c r="AK45" s="13">
        <f ca="1">'TR TUSD'!$AK$45*'TR TUSD'!$AK$80</f>
        <v>0.30892407095755814</v>
      </c>
      <c r="AL45" s="13">
        <f ca="1">SUM($AH$45:$AK$45)</f>
        <v>25.182862188825418</v>
      </c>
      <c r="AM45" s="13">
        <f ca="1">SUMIF($L$4:$AL$4,"SUBTOTAL",$L$45:$AL$45)</f>
        <v>356.4462800994238</v>
      </c>
      <c r="AP45" s="13">
        <v>1</v>
      </c>
    </row>
    <row r="46" spans="1:42" ht="11.25" customHeight="1" x14ac:dyDescent="0.3">
      <c r="A46" s="128"/>
      <c r="B46" s="128"/>
      <c r="C46" s="128"/>
      <c r="D46" s="17" t="s">
        <v>29</v>
      </c>
      <c r="E46" s="17" t="s">
        <v>25</v>
      </c>
      <c r="F46" s="17" t="s">
        <v>25</v>
      </c>
      <c r="G46" s="18" t="s">
        <v>84</v>
      </c>
      <c r="H46" s="18" t="s">
        <v>78</v>
      </c>
      <c r="I46" s="18">
        <f>'MERCADO TUSD'!$U$43</f>
        <v>0</v>
      </c>
      <c r="J46" s="15"/>
      <c r="L46" s="13">
        <f>'TR TUSD'!$L$46*'TR TUSD'!$L$80</f>
        <v>0</v>
      </c>
      <c r="M46" s="13">
        <f>'TR TUSD'!$M$46*'TR TUSD'!$M$80</f>
        <v>0.96084766636204655</v>
      </c>
      <c r="N46" s="13">
        <f ca="1">'TR TUSD'!$N$46*'TR TUSD'!$N$80</f>
        <v>4.6278938243064429</v>
      </c>
      <c r="O46" s="13">
        <f>'TR TUSD'!$O$46*'TR TUSD'!$O$80</f>
        <v>0</v>
      </c>
      <c r="P46" s="13">
        <f>'TR TUSD'!$P$46*'TR TUSD'!$P$80</f>
        <v>0</v>
      </c>
      <c r="Q46" s="13">
        <f>'TR TUSD'!$Q$46*'TR TUSD'!$Q$80</f>
        <v>0</v>
      </c>
      <c r="R46" s="13">
        <f>'TR TUSD'!$R$46*'TR TUSD'!$R$80</f>
        <v>0</v>
      </c>
      <c r="S46" s="13">
        <f>'TR TUSD'!$S$46*'TR TUSD'!$S$80</f>
        <v>0</v>
      </c>
      <c r="T46" s="13">
        <f ca="1">SUM($L$46:$S$46)</f>
        <v>5.5887414906684896</v>
      </c>
      <c r="U46" s="13">
        <f>'TR TUSD'!$U$46*'TR TUSD'!$U$80</f>
        <v>26.595062930235599</v>
      </c>
      <c r="V46" s="13">
        <f>'TR TUSD'!$V$46*'TR TUSD'!$V$80</f>
        <v>5.3878072360716489</v>
      </c>
      <c r="W46" s="13">
        <f>'TR TUSD'!$W$46*'TR TUSD'!$W$80</f>
        <v>0.83272202066048207</v>
      </c>
      <c r="X46" s="13">
        <f>'TR TUSD'!$X$46*'TR TUSD'!$X$80</f>
        <v>0</v>
      </c>
      <c r="Y46" s="13">
        <f>'TR TUSD'!$Y$46*'TR TUSD'!$Y$80</f>
        <v>0</v>
      </c>
      <c r="Z46" s="13">
        <f>'TR TUSD'!$Z$46</f>
        <v>0</v>
      </c>
      <c r="AA46" s="13">
        <f>'TR TUSD'!$AA$46</f>
        <v>0</v>
      </c>
      <c r="AB46" s="13">
        <f>SUM($U$46:$AA$46)</f>
        <v>32.815592186967727</v>
      </c>
      <c r="AC46" s="13">
        <f>'TR TUSD'!$AC$46*'TR TUSD'!$AC$80</f>
        <v>185.81268586997805</v>
      </c>
      <c r="AD46" s="13">
        <f>SUM($AC$46:$AC$46)</f>
        <v>185.81268586997805</v>
      </c>
      <c r="AE46" s="13">
        <v>0</v>
      </c>
      <c r="AF46" s="13">
        <v>0</v>
      </c>
      <c r="AG46" s="13">
        <f>SUM($AE$46:$AF$46)</f>
        <v>0</v>
      </c>
      <c r="AH46" s="13">
        <f>'TR TUSD'!$AH$46*'TR TUSD'!$AH$80</f>
        <v>22.89647919253855</v>
      </c>
      <c r="AI46" s="13">
        <f>'TR TUSD'!$AI$46*'TR TUSD'!$AI$80</f>
        <v>0.39682078045741276</v>
      </c>
      <c r="AJ46" s="13">
        <f ca="1">'TR TUSD'!$AJ$46*'TR TUSD'!$AJ$80</f>
        <v>1.5806381448718931</v>
      </c>
      <c r="AK46" s="13">
        <f ca="1">'TR TUSD'!$AK$46*'TR TUSD'!$AK$80</f>
        <v>0.30892407095755814</v>
      </c>
      <c r="AL46" s="13">
        <f ca="1">SUM($AH$46:$AK$46)</f>
        <v>25.182862188825418</v>
      </c>
      <c r="AM46" s="13">
        <f ca="1">SUMIF($L$4:$AL$4,"SUBTOTAL",$L$46:$AL$46)</f>
        <v>249.39988173643968</v>
      </c>
      <c r="AP46" s="13">
        <f>IF((1 - CUSTOS!$M$24)&lt;&gt;0,1/(1 - CUSTOS!$M$24),1)</f>
        <v>1</v>
      </c>
    </row>
    <row r="47" spans="1:42" ht="11.25" customHeight="1" x14ac:dyDescent="0.3">
      <c r="A47" s="128"/>
      <c r="B47" s="128"/>
      <c r="C47" s="128"/>
      <c r="D47" s="17" t="s">
        <v>30</v>
      </c>
      <c r="E47" s="17" t="s">
        <v>25</v>
      </c>
      <c r="F47" s="17" t="s">
        <v>25</v>
      </c>
      <c r="G47" s="18" t="s">
        <v>84</v>
      </c>
      <c r="H47" s="18" t="s">
        <v>78</v>
      </c>
      <c r="I47" s="18">
        <f>'MERCADO TUSD'!$U$44</f>
        <v>0</v>
      </c>
      <c r="J47" s="15"/>
      <c r="L47" s="13">
        <f>'TR TUSD'!$L$47*'TR TUSD'!$L$80</f>
        <v>0</v>
      </c>
      <c r="M47" s="13">
        <f>'TR TUSD'!$M$47*'TR TUSD'!$M$80</f>
        <v>0.96084766636204655</v>
      </c>
      <c r="N47" s="13">
        <f ca="1">'TR TUSD'!$N$47*'TR TUSD'!$N$80</f>
        <v>4.6278938243064429</v>
      </c>
      <c r="O47" s="13">
        <f>'TR TUSD'!$O$47*'TR TUSD'!$O$80</f>
        <v>0</v>
      </c>
      <c r="P47" s="13">
        <f>'TR TUSD'!$P$47*'TR TUSD'!$P$80</f>
        <v>0</v>
      </c>
      <c r="Q47" s="13">
        <f>'TR TUSD'!$Q$47*'TR TUSD'!$Q$80</f>
        <v>0</v>
      </c>
      <c r="R47" s="13">
        <f>'TR TUSD'!$R$47*'TR TUSD'!$R$80</f>
        <v>0</v>
      </c>
      <c r="S47" s="13">
        <f>'TR TUSD'!$S$47*'TR TUSD'!$S$80</f>
        <v>0</v>
      </c>
      <c r="T47" s="13">
        <f ca="1">SUM($L$47:$S$47)</f>
        <v>5.5887414906684896</v>
      </c>
      <c r="U47" s="13">
        <f>'TR TUSD'!$U$47*'TR TUSD'!$U$80</f>
        <v>26.595062930235599</v>
      </c>
      <c r="V47" s="13">
        <f>'TR TUSD'!$V$47*'TR TUSD'!$V$80</f>
        <v>5.3878072360716489</v>
      </c>
      <c r="W47" s="13">
        <f>'TR TUSD'!$W$47*'TR TUSD'!$W$80</f>
        <v>0.83272202066048207</v>
      </c>
      <c r="X47" s="13">
        <f>'TR TUSD'!$X$47*'TR TUSD'!$X$80</f>
        <v>0</v>
      </c>
      <c r="Y47" s="13">
        <f>'TR TUSD'!$Y$47*'TR TUSD'!$Y$80</f>
        <v>0</v>
      </c>
      <c r="Z47" s="13">
        <f>'TR TUSD'!$Z$47</f>
        <v>0</v>
      </c>
      <c r="AA47" s="13">
        <f>'TR TUSD'!$AA$47</f>
        <v>0</v>
      </c>
      <c r="AB47" s="13">
        <f>SUM($U$47:$AA$47)</f>
        <v>32.815592186967727</v>
      </c>
      <c r="AC47" s="13">
        <f>'TR TUSD'!$AC$47*'TR TUSD'!$AC$80</f>
        <v>185.81268586997805</v>
      </c>
      <c r="AD47" s="13">
        <f>SUM($AC$47:$AC$47)</f>
        <v>185.81268586997805</v>
      </c>
      <c r="AE47" s="13">
        <v>0</v>
      </c>
      <c r="AF47" s="13">
        <v>0</v>
      </c>
      <c r="AG47" s="13">
        <f>SUM($AE$47:$AF$47)</f>
        <v>0</v>
      </c>
      <c r="AH47" s="13">
        <f>'TR TUSD'!$AH$47*'TR TUSD'!$AH$80</f>
        <v>22.89647919253855</v>
      </c>
      <c r="AI47" s="13">
        <f>'TR TUSD'!$AI$47*'TR TUSD'!$AI$80</f>
        <v>0.39682078045741276</v>
      </c>
      <c r="AJ47" s="13">
        <f ca="1">'TR TUSD'!$AJ$47*'TR TUSD'!$AJ$80</f>
        <v>1.5806381448718931</v>
      </c>
      <c r="AK47" s="13">
        <f ca="1">'TR TUSD'!$AK$47*'TR TUSD'!$AK$80</f>
        <v>0.30892407095755814</v>
      </c>
      <c r="AL47" s="13">
        <f ca="1">SUM($AH$47:$AK$47)</f>
        <v>25.182862188825418</v>
      </c>
      <c r="AM47" s="13">
        <f ca="1">SUMIF($L$4:$AL$4,"SUBTOTAL",$L$47:$AL$47)</f>
        <v>249.39988173643968</v>
      </c>
      <c r="AP47" s="13">
        <f>IF((1 - CUSTOS!$M$25)&lt;&gt;0,1/(1 - CUSTOS!$M$25),1)</f>
        <v>1</v>
      </c>
    </row>
    <row r="48" spans="1:42" ht="11.25" customHeight="1" x14ac:dyDescent="0.3">
      <c r="A48" s="128"/>
      <c r="B48" s="128"/>
      <c r="C48" s="128"/>
      <c r="D48" s="17" t="s">
        <v>31</v>
      </c>
      <c r="E48" s="17" t="s">
        <v>25</v>
      </c>
      <c r="F48" s="17" t="s">
        <v>25</v>
      </c>
      <c r="G48" s="18" t="s">
        <v>84</v>
      </c>
      <c r="H48" s="18" t="s">
        <v>78</v>
      </c>
      <c r="I48" s="18">
        <f>'MERCADO TUSD'!$U$45</f>
        <v>0</v>
      </c>
      <c r="J48" s="15"/>
      <c r="L48" s="13">
        <f>'TR TUSD'!$L$48*'TR TUSD'!$L$80</f>
        <v>0</v>
      </c>
      <c r="M48" s="13">
        <f>'TR TUSD'!$M$48*'TR TUSD'!$M$80</f>
        <v>0.96084766636204655</v>
      </c>
      <c r="N48" s="13">
        <f ca="1">'TR TUSD'!$N$48*'TR TUSD'!$N$80</f>
        <v>4.6278938243064429</v>
      </c>
      <c r="O48" s="13">
        <f>'TR TUSD'!$O$48*'TR TUSD'!$O$80</f>
        <v>0</v>
      </c>
      <c r="P48" s="13">
        <f>'TR TUSD'!$P$48*'TR TUSD'!$P$80</f>
        <v>0</v>
      </c>
      <c r="Q48" s="13">
        <f>'TR TUSD'!$Q$48*'TR TUSD'!$Q$80</f>
        <v>0</v>
      </c>
      <c r="R48" s="13">
        <f>'TR TUSD'!$R$48*'TR TUSD'!$R$80</f>
        <v>0</v>
      </c>
      <c r="S48" s="13">
        <f>'TR TUSD'!$S$48*'TR TUSD'!$S$80</f>
        <v>0</v>
      </c>
      <c r="T48" s="13">
        <f ca="1">SUM($L$48:$S$48)</f>
        <v>5.5887414906684896</v>
      </c>
      <c r="U48" s="13">
        <f>'TR TUSD'!$U$48*'TR TUSD'!$U$80</f>
        <v>26.595062930235599</v>
      </c>
      <c r="V48" s="13">
        <f>'TR TUSD'!$V$48*'TR TUSD'!$V$80</f>
        <v>5.3878072360716489</v>
      </c>
      <c r="W48" s="13">
        <f>'TR TUSD'!$W$48*'TR TUSD'!$W$80</f>
        <v>0.83272202066048207</v>
      </c>
      <c r="X48" s="13">
        <f>'TR TUSD'!$X$48*'TR TUSD'!$X$80</f>
        <v>0</v>
      </c>
      <c r="Y48" s="13">
        <f>'TR TUSD'!$Y$48*'TR TUSD'!$Y$80</f>
        <v>0</v>
      </c>
      <c r="Z48" s="13">
        <f>'TR TUSD'!$Z$48</f>
        <v>0</v>
      </c>
      <c r="AA48" s="13">
        <f>'TR TUSD'!$AA$48</f>
        <v>0</v>
      </c>
      <c r="AB48" s="13">
        <f>SUM($U$48:$AA$48)</f>
        <v>32.815592186967727</v>
      </c>
      <c r="AC48" s="13">
        <f>'TR TUSD'!$AC$48*'TR TUSD'!$AC$80</f>
        <v>185.81268586997805</v>
      </c>
      <c r="AD48" s="13">
        <f>SUM($AC$48:$AC$48)</f>
        <v>185.81268586997805</v>
      </c>
      <c r="AE48" s="13">
        <v>0</v>
      </c>
      <c r="AF48" s="13">
        <v>0</v>
      </c>
      <c r="AG48" s="13">
        <f>SUM($AE$48:$AF$48)</f>
        <v>0</v>
      </c>
      <c r="AH48" s="13">
        <f>'TR TUSD'!$AH$48*'TR TUSD'!$AH$80</f>
        <v>22.89647919253855</v>
      </c>
      <c r="AI48" s="13">
        <f>'TR TUSD'!$AI$48*'TR TUSD'!$AI$80</f>
        <v>0.39682078045741276</v>
      </c>
      <c r="AJ48" s="13">
        <f ca="1">'TR TUSD'!$AJ$48*'TR TUSD'!$AJ$80</f>
        <v>1.5806381448718931</v>
      </c>
      <c r="AK48" s="13">
        <f ca="1">'TR TUSD'!$AK$48*'TR TUSD'!$AK$80</f>
        <v>0.30892407095755814</v>
      </c>
      <c r="AL48" s="13">
        <f ca="1">SUM($AH$48:$AK$48)</f>
        <v>25.182862188825418</v>
      </c>
      <c r="AM48" s="13">
        <f ca="1">SUMIF($L$4:$AL$4,"SUBTOTAL",$L$48:$AL$48)</f>
        <v>249.39988173643968</v>
      </c>
      <c r="AP48" s="13">
        <f>IF((1 - CUSTOS!$M$26)&lt;&gt;0,1/(1 - CUSTOS!$M$26),1)</f>
        <v>1</v>
      </c>
    </row>
    <row r="49" spans="1:42" ht="11.25" customHeight="1" x14ac:dyDescent="0.3">
      <c r="A49" s="128"/>
      <c r="B49" s="128"/>
      <c r="C49" s="128"/>
      <c r="D49" s="17" t="s">
        <v>32</v>
      </c>
      <c r="E49" s="17" t="s">
        <v>25</v>
      </c>
      <c r="F49" s="17" t="s">
        <v>25</v>
      </c>
      <c r="G49" s="18" t="s">
        <v>84</v>
      </c>
      <c r="H49" s="18" t="s">
        <v>78</v>
      </c>
      <c r="I49" s="18">
        <f>'MERCADO TUSD'!$U$46</f>
        <v>0</v>
      </c>
      <c r="J49" s="15"/>
      <c r="L49" s="13">
        <f>'TR TUSD'!$L$49*'TR TUSD'!$L$80</f>
        <v>0</v>
      </c>
      <c r="M49" s="13">
        <f>'TR TUSD'!$M$49*'TR TUSD'!$M$80</f>
        <v>0.96084766636204655</v>
      </c>
      <c r="N49" s="13">
        <f ca="1">'TR TUSD'!$N$49*'TR TUSD'!$N$80</f>
        <v>4.6278938243064429</v>
      </c>
      <c r="O49" s="13">
        <f>'TR TUSD'!$O$49*'TR TUSD'!$O$80</f>
        <v>0</v>
      </c>
      <c r="P49" s="13">
        <f>'TR TUSD'!$P$49*'TR TUSD'!$P$80</f>
        <v>0</v>
      </c>
      <c r="Q49" s="13">
        <f>'TR TUSD'!$Q$49*'TR TUSD'!$Q$80</f>
        <v>0</v>
      </c>
      <c r="R49" s="13">
        <f>'TR TUSD'!$R$49*'TR TUSD'!$R$80</f>
        <v>0</v>
      </c>
      <c r="S49" s="13">
        <f>'TR TUSD'!$S$49*'TR TUSD'!$S$80</f>
        <v>0</v>
      </c>
      <c r="T49" s="13">
        <f ca="1">SUM($L$49:$S$49)</f>
        <v>5.5887414906684896</v>
      </c>
      <c r="U49" s="13">
        <f>'TR TUSD'!$U$49*'TR TUSD'!$U$80</f>
        <v>26.595062930235599</v>
      </c>
      <c r="V49" s="13">
        <f>'TR TUSD'!$V$49*'TR TUSD'!$V$80</f>
        <v>5.3878072360716489</v>
      </c>
      <c r="W49" s="13">
        <f>'TR TUSD'!$W$49*'TR TUSD'!$W$80</f>
        <v>0.83272202066048207</v>
      </c>
      <c r="X49" s="13">
        <f>'TR TUSD'!$X$49*'TR TUSD'!$X$80</f>
        <v>0</v>
      </c>
      <c r="Y49" s="13">
        <f>'TR TUSD'!$Y$49*'TR TUSD'!$Y$80</f>
        <v>0</v>
      </c>
      <c r="Z49" s="13">
        <f>'TR TUSD'!$Z$49</f>
        <v>0</v>
      </c>
      <c r="AA49" s="13">
        <f>'TR TUSD'!$AA$49</f>
        <v>0</v>
      </c>
      <c r="AB49" s="13">
        <f>SUM($U$49:$AA$49)</f>
        <v>32.815592186967727</v>
      </c>
      <c r="AC49" s="13">
        <f>'TR TUSD'!$AC$49*'TR TUSD'!$AC$80</f>
        <v>185.81268586997805</v>
      </c>
      <c r="AD49" s="13">
        <f>SUM($AC$49:$AC$49)</f>
        <v>185.81268586997805</v>
      </c>
      <c r="AE49" s="13">
        <v>0</v>
      </c>
      <c r="AF49" s="13">
        <v>0</v>
      </c>
      <c r="AG49" s="13">
        <f>SUM($AE$49:$AF$49)</f>
        <v>0</v>
      </c>
      <c r="AH49" s="13">
        <f>'TR TUSD'!$AH$49*'TR TUSD'!$AH$80</f>
        <v>22.89647919253855</v>
      </c>
      <c r="AI49" s="13">
        <f>'TR TUSD'!$AI$49*'TR TUSD'!$AI$80</f>
        <v>0.39682078045741276</v>
      </c>
      <c r="AJ49" s="13">
        <f ca="1">'TR TUSD'!$AJ$49*'TR TUSD'!$AJ$80</f>
        <v>1.5806381448718931</v>
      </c>
      <c r="AK49" s="13">
        <f ca="1">'TR TUSD'!$AK$49*'TR TUSD'!$AK$80</f>
        <v>0.30892407095755814</v>
      </c>
      <c r="AL49" s="13">
        <f ca="1">SUM($AH$49:$AK$49)</f>
        <v>25.182862188825418</v>
      </c>
      <c r="AM49" s="13">
        <f ca="1">SUMIF($L$4:$AL$4,"SUBTOTAL",$L$49:$AL$49)</f>
        <v>249.39988173643968</v>
      </c>
      <c r="AP49" s="13">
        <f>IF((1 - CUSTOS!$M$27)&lt;&gt;0,1/(1 - CUSTOS!$M$27),1)</f>
        <v>1</v>
      </c>
    </row>
    <row r="50" spans="1:42" ht="11.25" customHeight="1" x14ac:dyDescent="0.3">
      <c r="A50" s="128" t="s">
        <v>44</v>
      </c>
      <c r="B50" s="128" t="s">
        <v>33</v>
      </c>
      <c r="C50" s="128" t="s">
        <v>45</v>
      </c>
      <c r="D50" s="128" t="s">
        <v>25</v>
      </c>
      <c r="E50" s="128" t="s">
        <v>25</v>
      </c>
      <c r="F50" s="128" t="s">
        <v>25</v>
      </c>
      <c r="G50" s="18" t="s">
        <v>79</v>
      </c>
      <c r="H50" s="18" t="s">
        <v>78</v>
      </c>
      <c r="I50" s="18">
        <f>'MERCADO TUSD'!$U$47</f>
        <v>0</v>
      </c>
      <c r="J50" s="15"/>
      <c r="L50" s="13">
        <f>'TR TUSD'!$L$50*'TR TUSD'!$L$80</f>
        <v>6.7386679297978649</v>
      </c>
      <c r="M50" s="13">
        <f>'TR TUSD'!$M$50*'TR TUSD'!$M$80</f>
        <v>0.96084766636204655</v>
      </c>
      <c r="N50" s="13">
        <f ca="1">'TR TUSD'!$N$50*'TR TUSD'!$N$80</f>
        <v>9.2275679772992731</v>
      </c>
      <c r="O50" s="13">
        <f>'TR TUSD'!$O$50*'TR TUSD'!$O$80</f>
        <v>0</v>
      </c>
      <c r="P50" s="13">
        <f>'TR TUSD'!$P$50*'TR TUSD'!$P$80</f>
        <v>0</v>
      </c>
      <c r="Q50" s="13">
        <f>'TR TUSD'!$Q$50*'TR TUSD'!$Q$80</f>
        <v>86.65283210604035</v>
      </c>
      <c r="R50" s="13">
        <f>'TR TUSD'!$R$50*'TR TUSD'!$R$80</f>
        <v>13.642318933507415</v>
      </c>
      <c r="S50" s="13">
        <f>'TR TUSD'!$S$50*'TR TUSD'!$S$80</f>
        <v>0</v>
      </c>
      <c r="T50" s="13">
        <f ca="1">SUM($L$50:$S$50)</f>
        <v>117.22223461300695</v>
      </c>
      <c r="U50" s="13">
        <f>'TR TUSD'!$U$50*'TR TUSD'!$U$80</f>
        <v>78.455488772691822</v>
      </c>
      <c r="V50" s="13">
        <f>'TR TUSD'!$V$50*'TR TUSD'!$V$80</f>
        <v>15.894020500952136</v>
      </c>
      <c r="W50" s="13">
        <f>'TR TUSD'!$W$50*'TR TUSD'!$W$80</f>
        <v>2.4564580505839437</v>
      </c>
      <c r="X50" s="13">
        <f>'TR TUSD'!$X$50*'TR TUSD'!$X$80</f>
        <v>0</v>
      </c>
      <c r="Y50" s="13">
        <f>'TR TUSD'!$Y$50*'TR TUSD'!$Y$80</f>
        <v>0</v>
      </c>
      <c r="Z50" s="13">
        <f>'TR TUSD'!$Z$50</f>
        <v>0</v>
      </c>
      <c r="AA50" s="13">
        <f>'TR TUSD'!$AA$50</f>
        <v>0</v>
      </c>
      <c r="AB50" s="13">
        <f>SUM($U$50:$AA$50)</f>
        <v>96.805967324227908</v>
      </c>
      <c r="AC50" s="13">
        <f>'TR TUSD'!$AC$50*'TR TUSD'!$AC$80</f>
        <v>548.14758608295006</v>
      </c>
      <c r="AD50" s="13">
        <f>SUM($AC$50:$AC$50)</f>
        <v>548.14758608295006</v>
      </c>
      <c r="AE50" s="13">
        <v>0</v>
      </c>
      <c r="AF50" s="13">
        <v>0</v>
      </c>
      <c r="AG50" s="13">
        <f>SUM($AE$50:$AF$50)</f>
        <v>0</v>
      </c>
      <c r="AH50" s="13">
        <f>'TR TUSD'!$AH$50*'TR TUSD'!$AH$80</f>
        <v>22.89647919253855</v>
      </c>
      <c r="AI50" s="13">
        <f>'TR TUSD'!$AI$50*'TR TUSD'!$AI$80</f>
        <v>0.39682078045741276</v>
      </c>
      <c r="AJ50" s="13">
        <f ca="1">'TR TUSD'!$AJ$50*'TR TUSD'!$AJ$80</f>
        <v>1.5806381448718931</v>
      </c>
      <c r="AK50" s="13">
        <f ca="1">'TR TUSD'!$AK$50*'TR TUSD'!$AK$80</f>
        <v>0.30892407095755814</v>
      </c>
      <c r="AL50" s="13">
        <f ca="1">SUM($AH$50:$AK$50)</f>
        <v>25.182862188825418</v>
      </c>
      <c r="AM50" s="13">
        <f ca="1">SUMIF($L$4:$AL$4,"SUBTOTAL",$L$50:$AL$50)</f>
        <v>787.35865020901031</v>
      </c>
      <c r="AP50" s="13">
        <f>IF((1 - CUSTOS!$M$28)&lt;&gt;0,1/(1 - CUSTOS!$M$28),1)</f>
        <v>1</v>
      </c>
    </row>
    <row r="51" spans="1:42" ht="11.25" customHeight="1" x14ac:dyDescent="0.3">
      <c r="A51" s="128"/>
      <c r="B51" s="128"/>
      <c r="C51" s="128"/>
      <c r="D51" s="128"/>
      <c r="E51" s="128"/>
      <c r="F51" s="128"/>
      <c r="G51" s="18" t="s">
        <v>90</v>
      </c>
      <c r="H51" s="18" t="s">
        <v>78</v>
      </c>
      <c r="I51" s="18">
        <f>'MERCADO TUSD'!$U$48</f>
        <v>0</v>
      </c>
      <c r="J51" s="15"/>
      <c r="L51" s="13">
        <f>'TR TUSD'!$L$51*'TR TUSD'!$L$80</f>
        <v>6.7386679297978649</v>
      </c>
      <c r="M51" s="13">
        <f>'TR TUSD'!$M$51*'TR TUSD'!$M$80</f>
        <v>0.96084766636204655</v>
      </c>
      <c r="N51" s="13">
        <f ca="1">'TR TUSD'!$N$51*'TR TUSD'!$N$80</f>
        <v>6.4517876555827334</v>
      </c>
      <c r="O51" s="13">
        <f>'TR TUSD'!$O$51*'TR TUSD'!$O$80</f>
        <v>0</v>
      </c>
      <c r="P51" s="13">
        <f>'TR TUSD'!$P$51*'TR TUSD'!$P$80</f>
        <v>0</v>
      </c>
      <c r="Q51" s="13">
        <f>'TR TUSD'!$Q$51*'TR TUSD'!$Q$80</f>
        <v>86.65283210604035</v>
      </c>
      <c r="R51" s="13">
        <f>'TR TUSD'!$R$51*'TR TUSD'!$R$80</f>
        <v>13.642318933507415</v>
      </c>
      <c r="S51" s="13">
        <f>'TR TUSD'!$S$51*'TR TUSD'!$S$80</f>
        <v>0</v>
      </c>
      <c r="T51" s="13">
        <f ca="1">SUM($L$51:$S$51)</f>
        <v>114.44645429129041</v>
      </c>
      <c r="U51" s="13">
        <f>'TR TUSD'!$U$51*'TR TUSD'!$U$80</f>
        <v>47.073335766412534</v>
      </c>
      <c r="V51" s="13">
        <f>'TR TUSD'!$V$51*'TR TUSD'!$V$80</f>
        <v>9.536412300571282</v>
      </c>
      <c r="W51" s="13">
        <f>'TR TUSD'!$W$51*'TR TUSD'!$W$80</f>
        <v>1.4737515554398317</v>
      </c>
      <c r="X51" s="13">
        <f>'TR TUSD'!$X$51*'TR TUSD'!$X$80</f>
        <v>0</v>
      </c>
      <c r="Y51" s="13">
        <f>'TR TUSD'!$Y$51*'TR TUSD'!$Y$80</f>
        <v>0</v>
      </c>
      <c r="Z51" s="13">
        <f>'TR TUSD'!$Z$51</f>
        <v>0</v>
      </c>
      <c r="AA51" s="13">
        <f>'TR TUSD'!$AA$51</f>
        <v>0</v>
      </c>
      <c r="AB51" s="13">
        <f>SUM($U$51:$AA$51)</f>
        <v>58.083499622423645</v>
      </c>
      <c r="AC51" s="13">
        <f>'TR TUSD'!$AC$51*'TR TUSD'!$AC$80</f>
        <v>328.88855164977002</v>
      </c>
      <c r="AD51" s="13">
        <f>SUM($AC$51:$AC$51)</f>
        <v>328.88855164977002</v>
      </c>
      <c r="AE51" s="13">
        <v>0</v>
      </c>
      <c r="AF51" s="13">
        <v>0</v>
      </c>
      <c r="AG51" s="13">
        <f>SUM($AE$51:$AF$51)</f>
        <v>0</v>
      </c>
      <c r="AH51" s="13">
        <f>'TR TUSD'!$AH$51*'TR TUSD'!$AH$80</f>
        <v>22.89647919253855</v>
      </c>
      <c r="AI51" s="13">
        <f>'TR TUSD'!$AI$51*'TR TUSD'!$AI$80</f>
        <v>0.39682078045741276</v>
      </c>
      <c r="AJ51" s="13">
        <f ca="1">'TR TUSD'!$AJ$51*'TR TUSD'!$AJ$80</f>
        <v>1.5806381448718931</v>
      </c>
      <c r="AK51" s="13">
        <f ca="1">'TR TUSD'!$AK$51*'TR TUSD'!$AK$80</f>
        <v>0.30892407095755814</v>
      </c>
      <c r="AL51" s="13">
        <f ca="1">SUM($AH$51:$AK$51)</f>
        <v>25.182862188825418</v>
      </c>
      <c r="AM51" s="13">
        <f ca="1">SUMIF($L$4:$AL$4,"SUBTOTAL",$L$51:$AL$51)</f>
        <v>526.60136775230944</v>
      </c>
      <c r="AP51" s="13">
        <f>IF((1 - CUSTOS!$M$28)&lt;&gt;0,1/(1 - CUSTOS!$M$28),1)</f>
        <v>1</v>
      </c>
    </row>
    <row r="52" spans="1:42" ht="11.25" customHeight="1" x14ac:dyDescent="0.3">
      <c r="A52" s="128"/>
      <c r="B52" s="128"/>
      <c r="C52" s="128"/>
      <c r="D52" s="128"/>
      <c r="E52" s="128"/>
      <c r="F52" s="128"/>
      <c r="G52" s="18" t="s">
        <v>80</v>
      </c>
      <c r="H52" s="18" t="s">
        <v>78</v>
      </c>
      <c r="I52" s="18">
        <f>'MERCADO TUSD'!$U$49</f>
        <v>0</v>
      </c>
      <c r="J52" s="15"/>
      <c r="L52" s="13">
        <f>'TR TUSD'!$L$52*'TR TUSD'!$L$80</f>
        <v>6.7386679297978649</v>
      </c>
      <c r="M52" s="13">
        <f>'TR TUSD'!$M$52*'TR TUSD'!$M$80</f>
        <v>0.96084766636204655</v>
      </c>
      <c r="N52" s="13">
        <f ca="1">'TR TUSD'!$N$52*'TR TUSD'!$N$80</f>
        <v>3.6760073338661932</v>
      </c>
      <c r="O52" s="13">
        <f>'TR TUSD'!$O$52*'TR TUSD'!$O$80</f>
        <v>0</v>
      </c>
      <c r="P52" s="13">
        <f>'TR TUSD'!$P$52*'TR TUSD'!$P$80</f>
        <v>0</v>
      </c>
      <c r="Q52" s="13">
        <f>'TR TUSD'!$Q$52*'TR TUSD'!$Q$80</f>
        <v>86.65283210604035</v>
      </c>
      <c r="R52" s="13">
        <f>'TR TUSD'!$R$52*'TR TUSD'!$R$80</f>
        <v>13.642318933507415</v>
      </c>
      <c r="S52" s="13">
        <f>'TR TUSD'!$S$52*'TR TUSD'!$S$80</f>
        <v>0</v>
      </c>
      <c r="T52" s="13">
        <f ca="1">SUM($L$52:$S$52)</f>
        <v>111.67067396957387</v>
      </c>
      <c r="U52" s="13">
        <f>'TR TUSD'!$U$52*'TR TUSD'!$U$80</f>
        <v>15.691076503139641</v>
      </c>
      <c r="V52" s="13">
        <f>'TR TUSD'!$V$52*'TR TUSD'!$V$80</f>
        <v>3.1788041001904266</v>
      </c>
      <c r="W52" s="13">
        <f>'TR TUSD'!$W$52*'TR TUSD'!$W$80</f>
        <v>0.49125051847994389</v>
      </c>
      <c r="X52" s="13">
        <f>'TR TUSD'!$X$52*'TR TUSD'!$X$80</f>
        <v>0</v>
      </c>
      <c r="Y52" s="13">
        <f>'TR TUSD'!$Y$52*'TR TUSD'!$Y$80</f>
        <v>0</v>
      </c>
      <c r="Z52" s="13">
        <f>'TR TUSD'!$Z$52</f>
        <v>0</v>
      </c>
      <c r="AA52" s="13">
        <f>'TR TUSD'!$AA$52</f>
        <v>0</v>
      </c>
      <c r="AB52" s="13">
        <f>SUM($U$52:$AA$52)</f>
        <v>19.361131121810011</v>
      </c>
      <c r="AC52" s="13">
        <f>'TR TUSD'!$AC$52*'TR TUSD'!$AC$80</f>
        <v>109.62951721659</v>
      </c>
      <c r="AD52" s="13">
        <f>SUM($AC$52:$AC$52)</f>
        <v>109.62951721659</v>
      </c>
      <c r="AE52" s="13">
        <v>0</v>
      </c>
      <c r="AF52" s="13">
        <v>0</v>
      </c>
      <c r="AG52" s="13">
        <f>SUM($AE$52:$AF$52)</f>
        <v>0</v>
      </c>
      <c r="AH52" s="13">
        <f>'TR TUSD'!$AH$52*'TR TUSD'!$AH$80</f>
        <v>22.89647919253855</v>
      </c>
      <c r="AI52" s="13">
        <f>'TR TUSD'!$AI$52*'TR TUSD'!$AI$80</f>
        <v>0.39682078045741276</v>
      </c>
      <c r="AJ52" s="13">
        <f ca="1">'TR TUSD'!$AJ$52*'TR TUSD'!$AJ$80</f>
        <v>1.5806381448718931</v>
      </c>
      <c r="AK52" s="13">
        <f ca="1">'TR TUSD'!$AK$52*'TR TUSD'!$AK$80</f>
        <v>0.30892407095755814</v>
      </c>
      <c r="AL52" s="13">
        <f ca="1">SUM($AH$52:$AK$52)</f>
        <v>25.182862188825418</v>
      </c>
      <c r="AM52" s="13">
        <f ca="1">SUMIF($L$4:$AL$4,"SUBTOTAL",$L$52:$AL$52)</f>
        <v>265.8441844967993</v>
      </c>
      <c r="AP52" s="13">
        <f>IF((1 - CUSTOS!$M$28)&lt;&gt;0,1/(1 - CUSTOS!$M$28),1)</f>
        <v>1</v>
      </c>
    </row>
    <row r="53" spans="1:42" ht="11.25" customHeight="1" x14ac:dyDescent="0.3">
      <c r="A53" s="128"/>
      <c r="B53" s="17" t="s">
        <v>23</v>
      </c>
      <c r="C53" s="17" t="s">
        <v>45</v>
      </c>
      <c r="D53" s="17" t="s">
        <v>25</v>
      </c>
      <c r="E53" s="17" t="s">
        <v>25</v>
      </c>
      <c r="F53" s="17" t="s">
        <v>25</v>
      </c>
      <c r="G53" s="18" t="s">
        <v>84</v>
      </c>
      <c r="H53" s="18" t="s">
        <v>78</v>
      </c>
      <c r="I53" s="18">
        <f>'MERCADO TUSD'!$U$50</f>
        <v>3773.6869999999999</v>
      </c>
      <c r="J53" s="15"/>
      <c r="L53" s="13">
        <f>'TR TUSD'!$L$53*'TR TUSD'!$L$80</f>
        <v>6.7386679297978649</v>
      </c>
      <c r="M53" s="13">
        <f>'TR TUSD'!$M$53*'TR TUSD'!$M$80</f>
        <v>0.96084766636204655</v>
      </c>
      <c r="N53" s="13">
        <f ca="1">'TR TUSD'!$N$53*'TR TUSD'!$N$80</f>
        <v>4.6404732179449013</v>
      </c>
      <c r="O53" s="13">
        <f>'TR TUSD'!$O$53*'TR TUSD'!$O$80</f>
        <v>0</v>
      </c>
      <c r="P53" s="13">
        <f>'TR TUSD'!$P$53*'TR TUSD'!$P$80</f>
        <v>0</v>
      </c>
      <c r="Q53" s="13">
        <f>'TR TUSD'!$Q$53*'TR TUSD'!$Q$80</f>
        <v>86.65283210604035</v>
      </c>
      <c r="R53" s="13">
        <f>'TR TUSD'!$R$53*'TR TUSD'!$R$80</f>
        <v>13.642318933507415</v>
      </c>
      <c r="S53" s="13">
        <f>'TR TUSD'!$S$53*'TR TUSD'!$S$80</f>
        <v>0</v>
      </c>
      <c r="T53" s="13">
        <f ca="1">SUM($L$53:$S$53)</f>
        <v>112.63513985365257</v>
      </c>
      <c r="U53" s="13">
        <f>'TR TUSD'!$U$53*'TR TUSD'!$U$80</f>
        <v>26.595062930235599</v>
      </c>
      <c r="V53" s="13">
        <f>'TR TUSD'!$V$53*'TR TUSD'!$V$80</f>
        <v>5.3878072360716489</v>
      </c>
      <c r="W53" s="13">
        <f>'TR TUSD'!$W$53*'TR TUSD'!$W$80</f>
        <v>0.83272202066048207</v>
      </c>
      <c r="X53" s="13">
        <f>'TR TUSD'!$X$53*'TR TUSD'!$X$80</f>
        <v>0</v>
      </c>
      <c r="Y53" s="13">
        <f>'TR TUSD'!$Y$53*'TR TUSD'!$Y$80</f>
        <v>0</v>
      </c>
      <c r="Z53" s="13">
        <f>'TR TUSD'!$Z$53</f>
        <v>0</v>
      </c>
      <c r="AA53" s="13">
        <f>'TR TUSD'!$AA$53</f>
        <v>0</v>
      </c>
      <c r="AB53" s="13">
        <f>SUM($U$53:$AA$53)</f>
        <v>32.815592186967727</v>
      </c>
      <c r="AC53" s="13">
        <f>'TR TUSD'!$AC$53*'TR TUSD'!$AC$80</f>
        <v>185.81268586997805</v>
      </c>
      <c r="AD53" s="13">
        <f>SUM($AC$53:$AC$53)</f>
        <v>185.81268586997805</v>
      </c>
      <c r="AE53" s="13">
        <v>0</v>
      </c>
      <c r="AF53" s="13">
        <v>0</v>
      </c>
      <c r="AG53" s="13">
        <f>SUM($AE$53:$AF$53)</f>
        <v>0</v>
      </c>
      <c r="AH53" s="13">
        <f>'TR TUSD'!$AH$53*'TR TUSD'!$AH$80</f>
        <v>22.89647919253855</v>
      </c>
      <c r="AI53" s="13">
        <f>'TR TUSD'!$AI$53*'TR TUSD'!$AI$80</f>
        <v>0.39682078045741276</v>
      </c>
      <c r="AJ53" s="13">
        <f ca="1">'TR TUSD'!$AJ$53*'TR TUSD'!$AJ$80</f>
        <v>1.5806381448718931</v>
      </c>
      <c r="AK53" s="13">
        <f ca="1">'TR TUSD'!$AK$53*'TR TUSD'!$AK$80</f>
        <v>0.30892407095755814</v>
      </c>
      <c r="AL53" s="13">
        <f ca="1">SUM($AH$53:$AK$53)</f>
        <v>25.182862188825418</v>
      </c>
      <c r="AM53" s="13">
        <f ca="1">SUMIF($L$4:$AL$4,"SUBTOTAL",$L$53:$AL$53)</f>
        <v>356.4462800994238</v>
      </c>
      <c r="AP53" s="13">
        <f>IF((1 - CUSTOS!$M$28)&lt;&gt;0,1/(1 - CUSTOS!$M$28),1)</f>
        <v>1</v>
      </c>
    </row>
    <row r="54" spans="1:42" ht="11.25" customHeight="1" x14ac:dyDescent="0.3">
      <c r="A54" s="128"/>
      <c r="B54" s="128" t="s">
        <v>33</v>
      </c>
      <c r="C54" s="128" t="s">
        <v>45</v>
      </c>
      <c r="D54" s="128" t="s">
        <v>93</v>
      </c>
      <c r="E54" s="128" t="s">
        <v>25</v>
      </c>
      <c r="F54" s="128" t="s">
        <v>25</v>
      </c>
      <c r="G54" s="18" t="s">
        <v>79</v>
      </c>
      <c r="H54" s="18" t="s">
        <v>78</v>
      </c>
      <c r="I54" s="18">
        <f>'MERCADO TUSD'!$U$51</f>
        <v>0</v>
      </c>
      <c r="J54" s="15"/>
      <c r="L54" s="13">
        <f>'TR TUSD'!$L$54*'TR TUSD'!$L$80</f>
        <v>6.7386679297978649</v>
      </c>
      <c r="M54" s="13">
        <f>'TR TUSD'!$M$54*'TR TUSD'!$M$80</f>
        <v>0.96084766636204655</v>
      </c>
      <c r="N54" s="13">
        <f ca="1">'TR TUSD'!$N$54*'TR TUSD'!$N$80</f>
        <v>9.2275679772992731</v>
      </c>
      <c r="O54" s="13">
        <f>'TR TUSD'!$O$54*'TR TUSD'!$O$80</f>
        <v>0</v>
      </c>
      <c r="P54" s="13">
        <f>'TR TUSD'!$P$54*'TR TUSD'!$P$80</f>
        <v>0</v>
      </c>
      <c r="Q54" s="13">
        <f>'TR TUSD'!$Q$54*'TR TUSD'!$Q$80</f>
        <v>86.65283210604035</v>
      </c>
      <c r="R54" s="13">
        <f>'TR TUSD'!$R$54*'TR TUSD'!$R$80</f>
        <v>13.642318933507415</v>
      </c>
      <c r="S54" s="13">
        <f>'TR TUSD'!$S$54*'TR TUSD'!$S$80</f>
        <v>0</v>
      </c>
      <c r="T54" s="13">
        <f ca="1">SUM($L$54:$S$54)</f>
        <v>117.22223461300695</v>
      </c>
      <c r="U54" s="13">
        <f>'TR TUSD'!$U$54*'TR TUSD'!$U$80</f>
        <v>78.455488772691822</v>
      </c>
      <c r="V54" s="13">
        <f>'TR TUSD'!$V$54*'TR TUSD'!$V$80</f>
        <v>15.894020500952136</v>
      </c>
      <c r="W54" s="13">
        <f>'TR TUSD'!$W$54*'TR TUSD'!$W$80</f>
        <v>2.4564580505839437</v>
      </c>
      <c r="X54" s="13">
        <f>'TR TUSD'!$X$54*'TR TUSD'!$X$80</f>
        <v>0</v>
      </c>
      <c r="Y54" s="13">
        <f>'TR TUSD'!$Y$54*'TR TUSD'!$Y$80</f>
        <v>0</v>
      </c>
      <c r="Z54" s="13">
        <f>'TR TUSD'!$Z$54</f>
        <v>0</v>
      </c>
      <c r="AA54" s="13">
        <f>'TR TUSD'!$AA$54</f>
        <v>0</v>
      </c>
      <c r="AB54" s="13">
        <f>SUM($U$54:$AA$54)</f>
        <v>96.805967324227908</v>
      </c>
      <c r="AC54" s="13">
        <f>'TR TUSD'!$AC$54*'TR TUSD'!$AC$80</f>
        <v>548.14758608295006</v>
      </c>
      <c r="AD54" s="13">
        <f>SUM($AC$54:$AC$54)</f>
        <v>548.14758608295006</v>
      </c>
      <c r="AE54" s="13">
        <v>0</v>
      </c>
      <c r="AF54" s="13">
        <v>0</v>
      </c>
      <c r="AG54" s="13">
        <f>SUM($AE$54:$AF$54)</f>
        <v>0</v>
      </c>
      <c r="AH54" s="13">
        <f>'TR TUSD'!$AH$54*'TR TUSD'!$AH$80</f>
        <v>22.89647919253855</v>
      </c>
      <c r="AI54" s="13">
        <f>'TR TUSD'!$AI$54*'TR TUSD'!$AI$80</f>
        <v>0.39682078045741276</v>
      </c>
      <c r="AJ54" s="13">
        <f ca="1">'TR TUSD'!$AJ$54*'TR TUSD'!$AJ$80</f>
        <v>1.5806381448718931</v>
      </c>
      <c r="AK54" s="13">
        <f ca="1">'TR TUSD'!$AK$54*'TR TUSD'!$AK$80</f>
        <v>0.30892407095755814</v>
      </c>
      <c r="AL54" s="13">
        <f ca="1">SUM($AH$54:$AK$54)</f>
        <v>25.182862188825418</v>
      </c>
      <c r="AM54" s="13">
        <f ca="1">SUMIF($L$4:$AL$4,"SUBTOTAL",$L$54:$AL$54)</f>
        <v>787.35865020901031</v>
      </c>
      <c r="AP54" s="13">
        <f>IF((1 - CUSTOS!$M$29)&lt;&gt;0,1/(1 - CUSTOS!$M$29),1)</f>
        <v>1</v>
      </c>
    </row>
    <row r="55" spans="1:42" ht="11.25" customHeight="1" x14ac:dyDescent="0.3">
      <c r="A55" s="128"/>
      <c r="B55" s="128"/>
      <c r="C55" s="128"/>
      <c r="D55" s="128"/>
      <c r="E55" s="128"/>
      <c r="F55" s="128"/>
      <c r="G55" s="18" t="s">
        <v>90</v>
      </c>
      <c r="H55" s="18" t="s">
        <v>78</v>
      </c>
      <c r="I55" s="18">
        <f>'MERCADO TUSD'!$U$52</f>
        <v>0</v>
      </c>
      <c r="J55" s="15"/>
      <c r="L55" s="13">
        <f>'TR TUSD'!$L$55*'TR TUSD'!$L$80</f>
        <v>6.7386679297978649</v>
      </c>
      <c r="M55" s="13">
        <f>'TR TUSD'!$M$55*'TR TUSD'!$M$80</f>
        <v>0.96084766636204655</v>
      </c>
      <c r="N55" s="13">
        <f ca="1">'TR TUSD'!$N$55*'TR TUSD'!$N$80</f>
        <v>6.4517876555827334</v>
      </c>
      <c r="O55" s="13">
        <f>'TR TUSD'!$O$55*'TR TUSD'!$O$80</f>
        <v>0</v>
      </c>
      <c r="P55" s="13">
        <f>'TR TUSD'!$P$55*'TR TUSD'!$P$80</f>
        <v>0</v>
      </c>
      <c r="Q55" s="13">
        <f>'TR TUSD'!$Q$55*'TR TUSD'!$Q$80</f>
        <v>86.65283210604035</v>
      </c>
      <c r="R55" s="13">
        <f>'TR TUSD'!$R$55*'TR TUSD'!$R$80</f>
        <v>13.642318933507415</v>
      </c>
      <c r="S55" s="13">
        <f>'TR TUSD'!$S$55*'TR TUSD'!$S$80</f>
        <v>0</v>
      </c>
      <c r="T55" s="13">
        <f ca="1">SUM($L$55:$S$55)</f>
        <v>114.44645429129041</v>
      </c>
      <c r="U55" s="13">
        <f>'TR TUSD'!$U$55*'TR TUSD'!$U$80</f>
        <v>47.073335766412534</v>
      </c>
      <c r="V55" s="13">
        <f>'TR TUSD'!$V$55*'TR TUSD'!$V$80</f>
        <v>9.536412300571282</v>
      </c>
      <c r="W55" s="13">
        <f>'TR TUSD'!$W$55*'TR TUSD'!$W$80</f>
        <v>1.4737515554398317</v>
      </c>
      <c r="X55" s="13">
        <f>'TR TUSD'!$X$55*'TR TUSD'!$X$80</f>
        <v>0</v>
      </c>
      <c r="Y55" s="13">
        <f>'TR TUSD'!$Y$55*'TR TUSD'!$Y$80</f>
        <v>0</v>
      </c>
      <c r="Z55" s="13">
        <f>'TR TUSD'!$Z$55</f>
        <v>0</v>
      </c>
      <c r="AA55" s="13">
        <f>'TR TUSD'!$AA$55</f>
        <v>0</v>
      </c>
      <c r="AB55" s="13">
        <f>SUM($U$55:$AA$55)</f>
        <v>58.083499622423645</v>
      </c>
      <c r="AC55" s="13">
        <f>'TR TUSD'!$AC$55*'TR TUSD'!$AC$80</f>
        <v>328.88855164977002</v>
      </c>
      <c r="AD55" s="13">
        <f>SUM($AC$55:$AC$55)</f>
        <v>328.88855164977002</v>
      </c>
      <c r="AE55" s="13">
        <v>0</v>
      </c>
      <c r="AF55" s="13">
        <v>0</v>
      </c>
      <c r="AG55" s="13">
        <f>SUM($AE$55:$AF$55)</f>
        <v>0</v>
      </c>
      <c r="AH55" s="13">
        <f>'TR TUSD'!$AH$55*'TR TUSD'!$AH$80</f>
        <v>22.89647919253855</v>
      </c>
      <c r="AI55" s="13">
        <f>'TR TUSD'!$AI$55*'TR TUSD'!$AI$80</f>
        <v>0.39682078045741276</v>
      </c>
      <c r="AJ55" s="13">
        <f ca="1">'TR TUSD'!$AJ$55*'TR TUSD'!$AJ$80</f>
        <v>1.5806381448718931</v>
      </c>
      <c r="AK55" s="13">
        <f ca="1">'TR TUSD'!$AK$55*'TR TUSD'!$AK$80</f>
        <v>0.30892407095755814</v>
      </c>
      <c r="AL55" s="13">
        <f ca="1">SUM($AH$55:$AK$55)</f>
        <v>25.182862188825418</v>
      </c>
      <c r="AM55" s="13">
        <f ca="1">SUMIF($L$4:$AL$4,"SUBTOTAL",$L$55:$AL$55)</f>
        <v>526.60136775230944</v>
      </c>
      <c r="AP55" s="13">
        <f>IF((1 - CUSTOS!$M$29)&lt;&gt;0,1/(1 - CUSTOS!$M$29),1)</f>
        <v>1</v>
      </c>
    </row>
    <row r="56" spans="1:42" ht="11.25" customHeight="1" x14ac:dyDescent="0.3">
      <c r="A56" s="128"/>
      <c r="B56" s="128"/>
      <c r="C56" s="128"/>
      <c r="D56" s="128"/>
      <c r="E56" s="128"/>
      <c r="F56" s="128"/>
      <c r="G56" s="18" t="s">
        <v>80</v>
      </c>
      <c r="H56" s="18" t="s">
        <v>78</v>
      </c>
      <c r="I56" s="18">
        <f>'MERCADO TUSD'!$U$53</f>
        <v>0</v>
      </c>
      <c r="J56" s="15"/>
      <c r="L56" s="13">
        <f>'TR TUSD'!$L$56*'TR TUSD'!$L$80</f>
        <v>6.7386679297978649</v>
      </c>
      <c r="M56" s="13">
        <f>'TR TUSD'!$M$56*'TR TUSD'!$M$80</f>
        <v>0.96084766636204655</v>
      </c>
      <c r="N56" s="13">
        <f ca="1">'TR TUSD'!$N$56*'TR TUSD'!$N$80</f>
        <v>3.6760073338661932</v>
      </c>
      <c r="O56" s="13">
        <f>'TR TUSD'!$O$56*'TR TUSD'!$O$80</f>
        <v>0</v>
      </c>
      <c r="P56" s="13">
        <f>'TR TUSD'!$P$56*'TR TUSD'!$P$80</f>
        <v>0</v>
      </c>
      <c r="Q56" s="13">
        <f>'TR TUSD'!$Q$56*'TR TUSD'!$Q$80</f>
        <v>86.65283210604035</v>
      </c>
      <c r="R56" s="13">
        <f>'TR TUSD'!$R$56*'TR TUSD'!$R$80</f>
        <v>13.642318933507415</v>
      </c>
      <c r="S56" s="13">
        <f>'TR TUSD'!$S$56*'TR TUSD'!$S$80</f>
        <v>0</v>
      </c>
      <c r="T56" s="13">
        <f ca="1">SUM($L$56:$S$56)</f>
        <v>111.67067396957387</v>
      </c>
      <c r="U56" s="13">
        <f>'TR TUSD'!$U$56*'TR TUSD'!$U$80</f>
        <v>15.691076503139641</v>
      </c>
      <c r="V56" s="13">
        <f>'TR TUSD'!$V$56*'TR TUSD'!$V$80</f>
        <v>3.1788041001904266</v>
      </c>
      <c r="W56" s="13">
        <f>'TR TUSD'!$W$56*'TR TUSD'!$W$80</f>
        <v>0.49125051847994389</v>
      </c>
      <c r="X56" s="13">
        <f>'TR TUSD'!$X$56*'TR TUSD'!$X$80</f>
        <v>0</v>
      </c>
      <c r="Y56" s="13">
        <f>'TR TUSD'!$Y$56*'TR TUSD'!$Y$80</f>
        <v>0</v>
      </c>
      <c r="Z56" s="13">
        <f>'TR TUSD'!$Z$56</f>
        <v>0</v>
      </c>
      <c r="AA56" s="13">
        <f>'TR TUSD'!$AA$56</f>
        <v>0</v>
      </c>
      <c r="AB56" s="13">
        <f>SUM($U$56:$AA$56)</f>
        <v>19.361131121810011</v>
      </c>
      <c r="AC56" s="13">
        <f>'TR TUSD'!$AC$56*'TR TUSD'!$AC$80</f>
        <v>109.62951721659</v>
      </c>
      <c r="AD56" s="13">
        <f>SUM($AC$56:$AC$56)</f>
        <v>109.62951721659</v>
      </c>
      <c r="AE56" s="13">
        <v>0</v>
      </c>
      <c r="AF56" s="13">
        <v>0</v>
      </c>
      <c r="AG56" s="13">
        <f>SUM($AE$56:$AF$56)</f>
        <v>0</v>
      </c>
      <c r="AH56" s="13">
        <f>'TR TUSD'!$AH$56*'TR TUSD'!$AH$80</f>
        <v>22.89647919253855</v>
      </c>
      <c r="AI56" s="13">
        <f>'TR TUSD'!$AI$56*'TR TUSD'!$AI$80</f>
        <v>0.39682078045741276</v>
      </c>
      <c r="AJ56" s="13">
        <f ca="1">'TR TUSD'!$AJ$56*'TR TUSD'!$AJ$80</f>
        <v>1.5806381448718931</v>
      </c>
      <c r="AK56" s="13">
        <f ca="1">'TR TUSD'!$AK$56*'TR TUSD'!$AK$80</f>
        <v>0.30892407095755814</v>
      </c>
      <c r="AL56" s="13">
        <f ca="1">SUM($AH$56:$AK$56)</f>
        <v>25.182862188825418</v>
      </c>
      <c r="AM56" s="13">
        <f ca="1">SUMIF($L$4:$AL$4,"SUBTOTAL",$L$56:$AL$56)</f>
        <v>265.8441844967993</v>
      </c>
      <c r="AP56" s="13">
        <f>IF((1 - CUSTOS!$M$29)&lt;&gt;0,1/(1 - CUSTOS!$M$29),1)</f>
        <v>1</v>
      </c>
    </row>
    <row r="57" spans="1:42" ht="11.25" customHeight="1" x14ac:dyDescent="0.3">
      <c r="A57" s="128"/>
      <c r="B57" s="17" t="s">
        <v>23</v>
      </c>
      <c r="C57" s="17" t="s">
        <v>45</v>
      </c>
      <c r="D57" s="17" t="s">
        <v>93</v>
      </c>
      <c r="E57" s="17" t="s">
        <v>25</v>
      </c>
      <c r="F57" s="17" t="s">
        <v>25</v>
      </c>
      <c r="G57" s="18" t="s">
        <v>84</v>
      </c>
      <c r="H57" s="18" t="s">
        <v>78</v>
      </c>
      <c r="I57" s="18">
        <f>'MERCADO TUSD'!$U$54</f>
        <v>0</v>
      </c>
      <c r="J57" s="15"/>
      <c r="L57" s="13">
        <f>'TR TUSD'!$L$57*'TR TUSD'!$L$80</f>
        <v>6.7386679297978649</v>
      </c>
      <c r="M57" s="13">
        <f>'TR TUSD'!$M$57*'TR TUSD'!$M$80</f>
        <v>0.96084766636204655</v>
      </c>
      <c r="N57" s="13">
        <f ca="1">'TR TUSD'!$N$57*'TR TUSD'!$N$80</f>
        <v>4.6404732179449013</v>
      </c>
      <c r="O57" s="13">
        <f>'TR TUSD'!$O$57*'TR TUSD'!$O$80</f>
        <v>0</v>
      </c>
      <c r="P57" s="13">
        <f>'TR TUSD'!$P$57*'TR TUSD'!$P$80</f>
        <v>0</v>
      </c>
      <c r="Q57" s="13">
        <f>'TR TUSD'!$Q$57*'TR TUSD'!$Q$80</f>
        <v>86.65283210604035</v>
      </c>
      <c r="R57" s="13">
        <f>'TR TUSD'!$R$57*'TR TUSD'!$R$80</f>
        <v>13.642318933507415</v>
      </c>
      <c r="S57" s="13">
        <f>'TR TUSD'!$S$57*'TR TUSD'!$S$80</f>
        <v>0</v>
      </c>
      <c r="T57" s="13">
        <f ca="1">SUM($L$57:$S$57)</f>
        <v>112.63513985365257</v>
      </c>
      <c r="U57" s="13">
        <f>'TR TUSD'!$U$57*'TR TUSD'!$U$80</f>
        <v>26.595062930235599</v>
      </c>
      <c r="V57" s="13">
        <f>'TR TUSD'!$V$57*'TR TUSD'!$V$80</f>
        <v>5.3878072360716489</v>
      </c>
      <c r="W57" s="13">
        <f>'TR TUSD'!$W$57*'TR TUSD'!$W$80</f>
        <v>0.83272202066048207</v>
      </c>
      <c r="X57" s="13">
        <f>'TR TUSD'!$X$57*'TR TUSD'!$X$80</f>
        <v>0</v>
      </c>
      <c r="Y57" s="13">
        <f>'TR TUSD'!$Y$57*'TR TUSD'!$Y$80</f>
        <v>0</v>
      </c>
      <c r="Z57" s="13">
        <f>'TR TUSD'!$Z$57</f>
        <v>0</v>
      </c>
      <c r="AA57" s="13">
        <f>'TR TUSD'!$AA$57</f>
        <v>0</v>
      </c>
      <c r="AB57" s="13">
        <f>SUM($U$57:$AA$57)</f>
        <v>32.815592186967727</v>
      </c>
      <c r="AC57" s="13">
        <f>'TR TUSD'!$AC$57*'TR TUSD'!$AC$80</f>
        <v>185.81268586997805</v>
      </c>
      <c r="AD57" s="13">
        <f>SUM($AC$57:$AC$57)</f>
        <v>185.81268586997805</v>
      </c>
      <c r="AE57" s="13">
        <v>0</v>
      </c>
      <c r="AF57" s="13">
        <v>0</v>
      </c>
      <c r="AG57" s="13">
        <f>SUM($AE$57:$AF$57)</f>
        <v>0</v>
      </c>
      <c r="AH57" s="13">
        <f>'TR TUSD'!$AH$57*'TR TUSD'!$AH$80</f>
        <v>22.89647919253855</v>
      </c>
      <c r="AI57" s="13">
        <f>'TR TUSD'!$AI$57*'TR TUSD'!$AI$80</f>
        <v>0.39682078045741276</v>
      </c>
      <c r="AJ57" s="13">
        <f ca="1">'TR TUSD'!$AJ$57*'TR TUSD'!$AJ$80</f>
        <v>1.5806381448718931</v>
      </c>
      <c r="AK57" s="13">
        <f ca="1">'TR TUSD'!$AK$57*'TR TUSD'!$AK$80</f>
        <v>0.30892407095755814</v>
      </c>
      <c r="AL57" s="13">
        <f ca="1">SUM($AH$57:$AK$57)</f>
        <v>25.182862188825418</v>
      </c>
      <c r="AM57" s="13">
        <f ca="1">SUMIF($L$4:$AL$4,"SUBTOTAL",$L$57:$AL$57)</f>
        <v>356.4462800994238</v>
      </c>
      <c r="AP57" s="13">
        <f>IF((1 - CUSTOS!$M$29)&lt;&gt;0,1/(1 - CUSTOS!$M$29),1)</f>
        <v>1</v>
      </c>
    </row>
    <row r="58" spans="1:42" ht="11.25" customHeight="1" x14ac:dyDescent="0.3">
      <c r="A58" s="128"/>
      <c r="B58" s="128" t="s">
        <v>33</v>
      </c>
      <c r="C58" s="128" t="s">
        <v>45</v>
      </c>
      <c r="D58" s="128" t="s">
        <v>94</v>
      </c>
      <c r="E58" s="128" t="s">
        <v>25</v>
      </c>
      <c r="F58" s="128" t="s">
        <v>25</v>
      </c>
      <c r="G58" s="18" t="s">
        <v>79</v>
      </c>
      <c r="H58" s="18" t="s">
        <v>78</v>
      </c>
      <c r="I58" s="18">
        <f>'MERCADO TUSD'!$U$55</f>
        <v>0</v>
      </c>
      <c r="J58" s="15"/>
      <c r="L58" s="13">
        <f>'TR TUSD'!$L$58*'TR TUSD'!$L$80</f>
        <v>6.7386679297978649</v>
      </c>
      <c r="M58" s="13">
        <f>'TR TUSD'!$M$58*'TR TUSD'!$M$80</f>
        <v>0.96084766636204655</v>
      </c>
      <c r="N58" s="13">
        <f ca="1">'TR TUSD'!$N$58*'TR TUSD'!$N$80</f>
        <v>9.2275679772992731</v>
      </c>
      <c r="O58" s="13">
        <f>'TR TUSD'!$O$58*'TR TUSD'!$O$80</f>
        <v>0</v>
      </c>
      <c r="P58" s="13">
        <f>'TR TUSD'!$P$58*'TR TUSD'!$P$80</f>
        <v>0</v>
      </c>
      <c r="Q58" s="13">
        <f>'TR TUSD'!$Q$58*'TR TUSD'!$Q$80</f>
        <v>86.65283210604035</v>
      </c>
      <c r="R58" s="13">
        <f>'TR TUSD'!$R$58*'TR TUSD'!$R$80</f>
        <v>13.642318933507415</v>
      </c>
      <c r="S58" s="13">
        <f>'TR TUSD'!$S$58*'TR TUSD'!$S$80</f>
        <v>0</v>
      </c>
      <c r="T58" s="13">
        <f ca="1">SUM($L$58:$S$58)</f>
        <v>117.22223461300695</v>
      </c>
      <c r="U58" s="13">
        <f>'TR TUSD'!$U$58*'TR TUSD'!$U$80</f>
        <v>78.455488772691822</v>
      </c>
      <c r="V58" s="13">
        <f>'TR TUSD'!$V$58*'TR TUSD'!$V$80</f>
        <v>15.894020500952136</v>
      </c>
      <c r="W58" s="13">
        <f>'TR TUSD'!$W$58*'TR TUSD'!$W$80</f>
        <v>2.4564580505839437</v>
      </c>
      <c r="X58" s="13">
        <f>'TR TUSD'!$X$58*'TR TUSD'!$X$80</f>
        <v>0</v>
      </c>
      <c r="Y58" s="13">
        <f>'TR TUSD'!$Y$58*'TR TUSD'!$Y$80</f>
        <v>0</v>
      </c>
      <c r="Z58" s="13">
        <f>'TR TUSD'!$Z$58</f>
        <v>0</v>
      </c>
      <c r="AA58" s="13">
        <f>'TR TUSD'!$AA$58</f>
        <v>0</v>
      </c>
      <c r="AB58" s="13">
        <f>SUM($U$58:$AA$58)</f>
        <v>96.805967324227908</v>
      </c>
      <c r="AC58" s="13">
        <f>'TR TUSD'!$AC$58*'TR TUSD'!$AC$80</f>
        <v>548.14758608295006</v>
      </c>
      <c r="AD58" s="13">
        <f>SUM($AC$58:$AC$58)</f>
        <v>548.14758608295006</v>
      </c>
      <c r="AE58" s="13">
        <v>0</v>
      </c>
      <c r="AF58" s="13">
        <v>0</v>
      </c>
      <c r="AG58" s="13">
        <f>SUM($AE$58:$AF$58)</f>
        <v>0</v>
      </c>
      <c r="AH58" s="13">
        <f>'TR TUSD'!$AH$58*'TR TUSD'!$AH$80</f>
        <v>22.89647919253855</v>
      </c>
      <c r="AI58" s="13">
        <f>'TR TUSD'!$AI$58*'TR TUSD'!$AI$80</f>
        <v>0.39682078045741276</v>
      </c>
      <c r="AJ58" s="13">
        <f ca="1">'TR TUSD'!$AJ$58*'TR TUSD'!$AJ$80</f>
        <v>1.5806381448718931</v>
      </c>
      <c r="AK58" s="13">
        <f ca="1">'TR TUSD'!$AK$58*'TR TUSD'!$AK$80</f>
        <v>0.30892407095755814</v>
      </c>
      <c r="AL58" s="13">
        <f ca="1">SUM($AH$58:$AK$58)</f>
        <v>25.182862188825418</v>
      </c>
      <c r="AM58" s="13">
        <f ca="1">SUMIF($L$4:$AL$4,"SUBTOTAL",$L$58:$AL$58)</f>
        <v>787.35865020901031</v>
      </c>
      <c r="AP58" s="13">
        <f>IF((1 - CUSTOS!$M$30)&lt;&gt;0,1/(1 - CUSTOS!$M$30),1)</f>
        <v>1</v>
      </c>
    </row>
    <row r="59" spans="1:42" ht="11.25" customHeight="1" x14ac:dyDescent="0.3">
      <c r="A59" s="128"/>
      <c r="B59" s="128"/>
      <c r="C59" s="128"/>
      <c r="D59" s="128"/>
      <c r="E59" s="128"/>
      <c r="F59" s="128"/>
      <c r="G59" s="18" t="s">
        <v>90</v>
      </c>
      <c r="H59" s="18" t="s">
        <v>78</v>
      </c>
      <c r="I59" s="18">
        <f>'MERCADO TUSD'!$U$56</f>
        <v>0</v>
      </c>
      <c r="J59" s="15"/>
      <c r="L59" s="13">
        <f>'TR TUSD'!$L$59*'TR TUSD'!$L$80</f>
        <v>6.7386679297978649</v>
      </c>
      <c r="M59" s="13">
        <f>'TR TUSD'!$M$59*'TR TUSD'!$M$80</f>
        <v>0.96084766636204655</v>
      </c>
      <c r="N59" s="13">
        <f ca="1">'TR TUSD'!$N$59*'TR TUSD'!$N$80</f>
        <v>6.4517876555827334</v>
      </c>
      <c r="O59" s="13">
        <f>'TR TUSD'!$O$59*'TR TUSD'!$O$80</f>
        <v>0</v>
      </c>
      <c r="P59" s="13">
        <f>'TR TUSD'!$P$59*'TR TUSD'!$P$80</f>
        <v>0</v>
      </c>
      <c r="Q59" s="13">
        <f>'TR TUSD'!$Q$59*'TR TUSD'!$Q$80</f>
        <v>86.65283210604035</v>
      </c>
      <c r="R59" s="13">
        <f>'TR TUSD'!$R$59*'TR TUSD'!$R$80</f>
        <v>13.642318933507415</v>
      </c>
      <c r="S59" s="13">
        <f>'TR TUSD'!$S$59*'TR TUSD'!$S$80</f>
        <v>0</v>
      </c>
      <c r="T59" s="13">
        <f ca="1">SUM($L$59:$S$59)</f>
        <v>114.44645429129041</v>
      </c>
      <c r="U59" s="13">
        <f>'TR TUSD'!$U$59*'TR TUSD'!$U$80</f>
        <v>47.073335766412534</v>
      </c>
      <c r="V59" s="13">
        <f>'TR TUSD'!$V$59*'TR TUSD'!$V$80</f>
        <v>9.536412300571282</v>
      </c>
      <c r="W59" s="13">
        <f>'TR TUSD'!$W$59*'TR TUSD'!$W$80</f>
        <v>1.4737515554398317</v>
      </c>
      <c r="X59" s="13">
        <f>'TR TUSD'!$X$59*'TR TUSD'!$X$80</f>
        <v>0</v>
      </c>
      <c r="Y59" s="13">
        <f>'TR TUSD'!$Y$59*'TR TUSD'!$Y$80</f>
        <v>0</v>
      </c>
      <c r="Z59" s="13">
        <f>'TR TUSD'!$Z$59</f>
        <v>0</v>
      </c>
      <c r="AA59" s="13">
        <f>'TR TUSD'!$AA$59</f>
        <v>0</v>
      </c>
      <c r="AB59" s="13">
        <f>SUM($U$59:$AA$59)</f>
        <v>58.083499622423645</v>
      </c>
      <c r="AC59" s="13">
        <f>'TR TUSD'!$AC$59*'TR TUSD'!$AC$80</f>
        <v>328.88855164977002</v>
      </c>
      <c r="AD59" s="13">
        <f>SUM($AC$59:$AC$59)</f>
        <v>328.88855164977002</v>
      </c>
      <c r="AE59" s="13">
        <v>0</v>
      </c>
      <c r="AF59" s="13">
        <v>0</v>
      </c>
      <c r="AG59" s="13">
        <f>SUM($AE$59:$AF$59)</f>
        <v>0</v>
      </c>
      <c r="AH59" s="13">
        <f>'TR TUSD'!$AH$59*'TR TUSD'!$AH$80</f>
        <v>22.89647919253855</v>
      </c>
      <c r="AI59" s="13">
        <f>'TR TUSD'!$AI$59*'TR TUSD'!$AI$80</f>
        <v>0.39682078045741276</v>
      </c>
      <c r="AJ59" s="13">
        <f ca="1">'TR TUSD'!$AJ$59*'TR TUSD'!$AJ$80</f>
        <v>1.5806381448718931</v>
      </c>
      <c r="AK59" s="13">
        <f ca="1">'TR TUSD'!$AK$59*'TR TUSD'!$AK$80</f>
        <v>0.30892407095755814</v>
      </c>
      <c r="AL59" s="13">
        <f ca="1">SUM($AH$59:$AK$59)</f>
        <v>25.182862188825418</v>
      </c>
      <c r="AM59" s="13">
        <f ca="1">SUMIF($L$4:$AL$4,"SUBTOTAL",$L$59:$AL$59)</f>
        <v>526.60136775230944</v>
      </c>
      <c r="AP59" s="13">
        <f>IF((1 - CUSTOS!$M$30)&lt;&gt;0,1/(1 - CUSTOS!$M$30),1)</f>
        <v>1</v>
      </c>
    </row>
    <row r="60" spans="1:42" ht="11.25" customHeight="1" x14ac:dyDescent="0.3">
      <c r="A60" s="128"/>
      <c r="B60" s="128"/>
      <c r="C60" s="128"/>
      <c r="D60" s="128"/>
      <c r="E60" s="128"/>
      <c r="F60" s="128"/>
      <c r="G60" s="18" t="s">
        <v>80</v>
      </c>
      <c r="H60" s="18" t="s">
        <v>78</v>
      </c>
      <c r="I60" s="18">
        <f>'MERCADO TUSD'!$U$57</f>
        <v>0</v>
      </c>
      <c r="J60" s="15"/>
      <c r="L60" s="13">
        <f>'TR TUSD'!$L$60*'TR TUSD'!$L$80</f>
        <v>6.7386679297978649</v>
      </c>
      <c r="M60" s="13">
        <f>'TR TUSD'!$M$60*'TR TUSD'!$M$80</f>
        <v>0.96084766636204655</v>
      </c>
      <c r="N60" s="13">
        <f ca="1">'TR TUSD'!$N$60*'TR TUSD'!$N$80</f>
        <v>3.6760073338661932</v>
      </c>
      <c r="O60" s="13">
        <f>'TR TUSD'!$O$60*'TR TUSD'!$O$80</f>
        <v>0</v>
      </c>
      <c r="P60" s="13">
        <f>'TR TUSD'!$P$60*'TR TUSD'!$P$80</f>
        <v>0</v>
      </c>
      <c r="Q60" s="13">
        <f>'TR TUSD'!$Q$60*'TR TUSD'!$Q$80</f>
        <v>86.65283210604035</v>
      </c>
      <c r="R60" s="13">
        <f>'TR TUSD'!$R$60*'TR TUSD'!$R$80</f>
        <v>13.642318933507415</v>
      </c>
      <c r="S60" s="13">
        <f>'TR TUSD'!$S$60*'TR TUSD'!$S$80</f>
        <v>0</v>
      </c>
      <c r="T60" s="13">
        <f ca="1">SUM($L$60:$S$60)</f>
        <v>111.67067396957387</v>
      </c>
      <c r="U60" s="13">
        <f>'TR TUSD'!$U$60*'TR TUSD'!$U$80</f>
        <v>15.691076503139641</v>
      </c>
      <c r="V60" s="13">
        <f>'TR TUSD'!$V$60*'TR TUSD'!$V$80</f>
        <v>3.1788041001904266</v>
      </c>
      <c r="W60" s="13">
        <f>'TR TUSD'!$W$60*'TR TUSD'!$W$80</f>
        <v>0.49125051847994389</v>
      </c>
      <c r="X60" s="13">
        <f>'TR TUSD'!$X$60*'TR TUSD'!$X$80</f>
        <v>0</v>
      </c>
      <c r="Y60" s="13">
        <f>'TR TUSD'!$Y$60*'TR TUSD'!$Y$80</f>
        <v>0</v>
      </c>
      <c r="Z60" s="13">
        <f>'TR TUSD'!$Z$60</f>
        <v>0</v>
      </c>
      <c r="AA60" s="13">
        <f>'TR TUSD'!$AA$60</f>
        <v>0</v>
      </c>
      <c r="AB60" s="13">
        <f>SUM($U$60:$AA$60)</f>
        <v>19.361131121810011</v>
      </c>
      <c r="AC60" s="13">
        <f>'TR TUSD'!$AC$60*'TR TUSD'!$AC$80</f>
        <v>109.62951721659</v>
      </c>
      <c r="AD60" s="13">
        <f>SUM($AC$60:$AC$60)</f>
        <v>109.62951721659</v>
      </c>
      <c r="AE60" s="13">
        <v>0</v>
      </c>
      <c r="AF60" s="13">
        <v>0</v>
      </c>
      <c r="AG60" s="13">
        <f>SUM($AE$60:$AF$60)</f>
        <v>0</v>
      </c>
      <c r="AH60" s="13">
        <f>'TR TUSD'!$AH$60*'TR TUSD'!$AH$80</f>
        <v>22.89647919253855</v>
      </c>
      <c r="AI60" s="13">
        <f>'TR TUSD'!$AI$60*'TR TUSD'!$AI$80</f>
        <v>0.39682078045741276</v>
      </c>
      <c r="AJ60" s="13">
        <f ca="1">'TR TUSD'!$AJ$60*'TR TUSD'!$AJ$80</f>
        <v>1.5806381448718931</v>
      </c>
      <c r="AK60" s="13">
        <f ca="1">'TR TUSD'!$AK$60*'TR TUSD'!$AK$80</f>
        <v>0.30892407095755814</v>
      </c>
      <c r="AL60" s="13">
        <f ca="1">SUM($AH$60:$AK$60)</f>
        <v>25.182862188825418</v>
      </c>
      <c r="AM60" s="13">
        <f ca="1">SUMIF($L$4:$AL$4,"SUBTOTAL",$L$60:$AL$60)</f>
        <v>265.8441844967993</v>
      </c>
      <c r="AP60" s="13">
        <f>IF((1 - CUSTOS!$M$30)&lt;&gt;0,1/(1 - CUSTOS!$M$30),1)</f>
        <v>1</v>
      </c>
    </row>
    <row r="61" spans="1:42" ht="11.25" customHeight="1" x14ac:dyDescent="0.3">
      <c r="A61" s="128"/>
      <c r="B61" s="17" t="s">
        <v>23</v>
      </c>
      <c r="C61" s="17" t="s">
        <v>45</v>
      </c>
      <c r="D61" s="17" t="s">
        <v>94</v>
      </c>
      <c r="E61" s="17" t="s">
        <v>25</v>
      </c>
      <c r="F61" s="17" t="s">
        <v>25</v>
      </c>
      <c r="G61" s="18" t="s">
        <v>84</v>
      </c>
      <c r="H61" s="18" t="s">
        <v>78</v>
      </c>
      <c r="I61" s="18">
        <f>'MERCADO TUSD'!$U$58</f>
        <v>0</v>
      </c>
      <c r="J61" s="15"/>
      <c r="L61" s="13">
        <f>'TR TUSD'!$L$61*'TR TUSD'!$L$80</f>
        <v>6.7386679297978649</v>
      </c>
      <c r="M61" s="13">
        <f>'TR TUSD'!$M$61*'TR TUSD'!$M$80</f>
        <v>0.96084766636204655</v>
      </c>
      <c r="N61" s="13">
        <f ca="1">'TR TUSD'!$N$61*'TR TUSD'!$N$80</f>
        <v>4.6404732179449013</v>
      </c>
      <c r="O61" s="13">
        <f>'TR TUSD'!$O$61*'TR TUSD'!$O$80</f>
        <v>0</v>
      </c>
      <c r="P61" s="13">
        <f>'TR TUSD'!$P$61*'TR TUSD'!$P$80</f>
        <v>0</v>
      </c>
      <c r="Q61" s="13">
        <f>'TR TUSD'!$Q$61*'TR TUSD'!$Q$80</f>
        <v>86.65283210604035</v>
      </c>
      <c r="R61" s="13">
        <f>'TR TUSD'!$R$61*'TR TUSD'!$R$80</f>
        <v>13.642318933507415</v>
      </c>
      <c r="S61" s="13">
        <f>'TR TUSD'!$S$61*'TR TUSD'!$S$80</f>
        <v>0</v>
      </c>
      <c r="T61" s="13">
        <f ca="1">SUM($L$61:$S$61)</f>
        <v>112.63513985365257</v>
      </c>
      <c r="U61" s="13">
        <f>'TR TUSD'!$U$61*'TR TUSD'!$U$80</f>
        <v>26.595062930235599</v>
      </c>
      <c r="V61" s="13">
        <f>'TR TUSD'!$V$61*'TR TUSD'!$V$80</f>
        <v>5.3878072360716489</v>
      </c>
      <c r="W61" s="13">
        <f>'TR TUSD'!$W$61*'TR TUSD'!$W$80</f>
        <v>0.83272202066048207</v>
      </c>
      <c r="X61" s="13">
        <f>'TR TUSD'!$X$61*'TR TUSD'!$X$80</f>
        <v>0</v>
      </c>
      <c r="Y61" s="13">
        <f>'TR TUSD'!$Y$61*'TR TUSD'!$Y$80</f>
        <v>0</v>
      </c>
      <c r="Z61" s="13">
        <f>'TR TUSD'!$Z$61</f>
        <v>0</v>
      </c>
      <c r="AA61" s="13">
        <f>'TR TUSD'!$AA$61</f>
        <v>0</v>
      </c>
      <c r="AB61" s="13">
        <f>SUM($U$61:$AA$61)</f>
        <v>32.815592186967727</v>
      </c>
      <c r="AC61" s="13">
        <f>'TR TUSD'!$AC$61*'TR TUSD'!$AC$80</f>
        <v>185.81268586997805</v>
      </c>
      <c r="AD61" s="13">
        <f>SUM($AC$61:$AC$61)</f>
        <v>185.81268586997805</v>
      </c>
      <c r="AE61" s="13">
        <v>0</v>
      </c>
      <c r="AF61" s="13">
        <v>0</v>
      </c>
      <c r="AG61" s="13">
        <f>SUM($AE$61:$AF$61)</f>
        <v>0</v>
      </c>
      <c r="AH61" s="13">
        <f>'TR TUSD'!$AH$61*'TR TUSD'!$AH$80</f>
        <v>22.89647919253855</v>
      </c>
      <c r="AI61" s="13">
        <f>'TR TUSD'!$AI$61*'TR TUSD'!$AI$80</f>
        <v>0.39682078045741276</v>
      </c>
      <c r="AJ61" s="13">
        <f ca="1">'TR TUSD'!$AJ$61*'TR TUSD'!$AJ$80</f>
        <v>1.5806381448718931</v>
      </c>
      <c r="AK61" s="13">
        <f ca="1">'TR TUSD'!$AK$61*'TR TUSD'!$AK$80</f>
        <v>0.30892407095755814</v>
      </c>
      <c r="AL61" s="13">
        <f ca="1">SUM($AH$61:$AK$61)</f>
        <v>25.182862188825418</v>
      </c>
      <c r="AM61" s="13">
        <f ca="1">SUMIF($L$4:$AL$4,"SUBTOTAL",$L$61:$AL$61)</f>
        <v>356.4462800994238</v>
      </c>
      <c r="AP61" s="13">
        <f>IF((1 - CUSTOS!$M$30)&lt;&gt;0,1/(1 - CUSTOS!$M$30),1)</f>
        <v>1</v>
      </c>
    </row>
    <row r="62" spans="1:42" ht="11.25" customHeight="1" x14ac:dyDescent="0.3">
      <c r="A62" s="128"/>
      <c r="B62" s="128" t="s">
        <v>92</v>
      </c>
      <c r="C62" s="128" t="s">
        <v>45</v>
      </c>
      <c r="D62" s="17" t="s">
        <v>25</v>
      </c>
      <c r="E62" s="17" t="s">
        <v>25</v>
      </c>
      <c r="F62" s="17" t="s">
        <v>25</v>
      </c>
      <c r="G62" s="18" t="s">
        <v>84</v>
      </c>
      <c r="H62" s="18" t="s">
        <v>78</v>
      </c>
      <c r="I62" s="18">
        <f>'MERCADO TUSD'!$U$59</f>
        <v>0</v>
      </c>
      <c r="J62" s="15"/>
      <c r="L62" s="13">
        <f>'TR TUSD'!$L$62*'TR TUSD'!$L$80</f>
        <v>6.7386679297978649</v>
      </c>
      <c r="M62" s="13">
        <f>'TR TUSD'!$M$62*'TR TUSD'!$M$80</f>
        <v>0.96084766636204655</v>
      </c>
      <c r="N62" s="13">
        <f ca="1">'TR TUSD'!$N$62*'TR TUSD'!$N$80</f>
        <v>4.6404732179449013</v>
      </c>
      <c r="O62" s="13">
        <f>'TR TUSD'!$O$62*'TR TUSD'!$O$80</f>
        <v>0</v>
      </c>
      <c r="P62" s="13">
        <f>'TR TUSD'!$P$62*'TR TUSD'!$P$80</f>
        <v>0</v>
      </c>
      <c r="Q62" s="13">
        <f>'TR TUSD'!$Q$62*'TR TUSD'!$Q$80</f>
        <v>86.65283210604035</v>
      </c>
      <c r="R62" s="13">
        <f>'TR TUSD'!$R$62*'TR TUSD'!$R$80</f>
        <v>13.642318933507415</v>
      </c>
      <c r="S62" s="13">
        <f>'TR TUSD'!$S$62*'TR TUSD'!$S$80</f>
        <v>0</v>
      </c>
      <c r="T62" s="13">
        <f ca="1">SUM($L$62:$S$62)</f>
        <v>112.63513985365257</v>
      </c>
      <c r="U62" s="13">
        <f>'TR TUSD'!$U$62*'TR TUSD'!$U$80</f>
        <v>26.595062930235599</v>
      </c>
      <c r="V62" s="13">
        <f>'TR TUSD'!$V$62*'TR TUSD'!$V$80</f>
        <v>5.3878072360716489</v>
      </c>
      <c r="W62" s="13">
        <f>'TR TUSD'!$W$62*'TR TUSD'!$W$80</f>
        <v>0.83272202066048207</v>
      </c>
      <c r="X62" s="13">
        <f>'TR TUSD'!$X$62*'TR TUSD'!$X$80</f>
        <v>0</v>
      </c>
      <c r="Y62" s="13">
        <f>'TR TUSD'!$Y$62*'TR TUSD'!$Y$80</f>
        <v>0</v>
      </c>
      <c r="Z62" s="13">
        <f>'TR TUSD'!$Z$62</f>
        <v>0</v>
      </c>
      <c r="AA62" s="13">
        <f>'TR TUSD'!$AA$62</f>
        <v>0</v>
      </c>
      <c r="AB62" s="13">
        <f>SUM($U$62:$AA$62)</f>
        <v>32.815592186967727</v>
      </c>
      <c r="AC62" s="13">
        <f>'TR TUSD'!$AC$62*'TR TUSD'!$AC$80</f>
        <v>185.81268586997805</v>
      </c>
      <c r="AD62" s="13">
        <f>SUM($AC$62:$AC$62)</f>
        <v>185.81268586997805</v>
      </c>
      <c r="AE62" s="13">
        <v>0</v>
      </c>
      <c r="AF62" s="13">
        <v>0</v>
      </c>
      <c r="AG62" s="13">
        <f>SUM($AE$62:$AF$62)</f>
        <v>0</v>
      </c>
      <c r="AH62" s="13">
        <f>'TR TUSD'!$AH$62*'TR TUSD'!$AH$80</f>
        <v>22.89647919253855</v>
      </c>
      <c r="AI62" s="13">
        <f>'TR TUSD'!$AI$62*'TR TUSD'!$AI$80</f>
        <v>0.39682078045741276</v>
      </c>
      <c r="AJ62" s="13">
        <f ca="1">'TR TUSD'!$AJ$62*'TR TUSD'!$AJ$80</f>
        <v>1.5806381448718931</v>
      </c>
      <c r="AK62" s="13">
        <f ca="1">'TR TUSD'!$AK$62*'TR TUSD'!$AK$80</f>
        <v>0.30892407095755814</v>
      </c>
      <c r="AL62" s="13">
        <f ca="1">SUM($AH$62:$AK$62)</f>
        <v>25.182862188825418</v>
      </c>
      <c r="AM62" s="13">
        <f ca="1">SUMIF($L$4:$AL$4,"SUBTOTAL",$L$62:$AL$62)</f>
        <v>356.4462800994238</v>
      </c>
      <c r="AP62" s="13">
        <f>IF((1 - CUSTOS!$M$28)&lt;&gt;0,1/(1 - CUSTOS!$M$28),1)</f>
        <v>1</v>
      </c>
    </row>
    <row r="63" spans="1:42" ht="11.25" customHeight="1" x14ac:dyDescent="0.3">
      <c r="A63" s="128"/>
      <c r="B63" s="128"/>
      <c r="C63" s="128"/>
      <c r="D63" s="17" t="s">
        <v>93</v>
      </c>
      <c r="E63" s="17" t="s">
        <v>25</v>
      </c>
      <c r="F63" s="17" t="s">
        <v>25</v>
      </c>
      <c r="G63" s="18" t="s">
        <v>84</v>
      </c>
      <c r="H63" s="18" t="s">
        <v>78</v>
      </c>
      <c r="I63" s="18">
        <f>'MERCADO TUSD'!$U$60</f>
        <v>0</v>
      </c>
      <c r="J63" s="15"/>
      <c r="L63" s="13">
        <f>'TR TUSD'!$L$63*'TR TUSD'!$L$80</f>
        <v>6.7386679297978649</v>
      </c>
      <c r="M63" s="13">
        <f>'TR TUSD'!$M$63*'TR TUSD'!$M$80</f>
        <v>0.96084766636204655</v>
      </c>
      <c r="N63" s="13">
        <f ca="1">'TR TUSD'!$N$63*'TR TUSD'!$N$80</f>
        <v>4.6404732179449013</v>
      </c>
      <c r="O63" s="13">
        <f>'TR TUSD'!$O$63*'TR TUSD'!$O$80</f>
        <v>0</v>
      </c>
      <c r="P63" s="13">
        <f>'TR TUSD'!$P$63*'TR TUSD'!$P$80</f>
        <v>0</v>
      </c>
      <c r="Q63" s="13">
        <f>'TR TUSD'!$Q$63*'TR TUSD'!$Q$80</f>
        <v>86.65283210604035</v>
      </c>
      <c r="R63" s="13">
        <f>'TR TUSD'!$R$63*'TR TUSD'!$R$80</f>
        <v>13.642318933507415</v>
      </c>
      <c r="S63" s="13">
        <f>'TR TUSD'!$S$63*'TR TUSD'!$S$80</f>
        <v>0</v>
      </c>
      <c r="T63" s="13">
        <f ca="1">SUM($L$63:$S$63)</f>
        <v>112.63513985365257</v>
      </c>
      <c r="U63" s="13">
        <f>'TR TUSD'!$U$63*'TR TUSD'!$U$80</f>
        <v>26.595062930235599</v>
      </c>
      <c r="V63" s="13">
        <f>'TR TUSD'!$V$63*'TR TUSD'!$V$80</f>
        <v>5.3878072360716489</v>
      </c>
      <c r="W63" s="13">
        <f>'TR TUSD'!$W$63*'TR TUSD'!$W$80</f>
        <v>0.83272202066048207</v>
      </c>
      <c r="X63" s="13">
        <f>'TR TUSD'!$X$63*'TR TUSD'!$X$80</f>
        <v>0</v>
      </c>
      <c r="Y63" s="13">
        <f>'TR TUSD'!$Y$63*'TR TUSD'!$Y$80</f>
        <v>0</v>
      </c>
      <c r="Z63" s="13">
        <f>'TR TUSD'!$Z$63</f>
        <v>0</v>
      </c>
      <c r="AA63" s="13">
        <f>'TR TUSD'!$AA$63</f>
        <v>0</v>
      </c>
      <c r="AB63" s="13">
        <f>SUM($U$63:$AA$63)</f>
        <v>32.815592186967727</v>
      </c>
      <c r="AC63" s="13">
        <f>'TR TUSD'!$AC$63*'TR TUSD'!$AC$80</f>
        <v>185.81268586997805</v>
      </c>
      <c r="AD63" s="13">
        <f>SUM($AC$63:$AC$63)</f>
        <v>185.81268586997805</v>
      </c>
      <c r="AE63" s="13">
        <v>0</v>
      </c>
      <c r="AF63" s="13">
        <v>0</v>
      </c>
      <c r="AG63" s="13">
        <f>SUM($AE$63:$AF$63)</f>
        <v>0</v>
      </c>
      <c r="AH63" s="13">
        <f>'TR TUSD'!$AH$63*'TR TUSD'!$AH$80</f>
        <v>22.89647919253855</v>
      </c>
      <c r="AI63" s="13">
        <f>'TR TUSD'!$AI$63*'TR TUSD'!$AI$80</f>
        <v>0.39682078045741276</v>
      </c>
      <c r="AJ63" s="13">
        <f ca="1">'TR TUSD'!$AJ$63*'TR TUSD'!$AJ$80</f>
        <v>1.5806381448718931</v>
      </c>
      <c r="AK63" s="13">
        <f ca="1">'TR TUSD'!$AK$63*'TR TUSD'!$AK$80</f>
        <v>0.30892407095755814</v>
      </c>
      <c r="AL63" s="13">
        <f ca="1">SUM($AH$63:$AK$63)</f>
        <v>25.182862188825418</v>
      </c>
      <c r="AM63" s="13">
        <f ca="1">SUMIF($L$4:$AL$4,"SUBTOTAL",$L$63:$AL$63)</f>
        <v>356.4462800994238</v>
      </c>
      <c r="AP63" s="13">
        <f>IF((1 - CUSTOS!$M$29)&lt;&gt;0,1/(1 - CUSTOS!$M$29),1)</f>
        <v>1</v>
      </c>
    </row>
    <row r="64" spans="1:42" ht="11.25" customHeight="1" x14ac:dyDescent="0.3">
      <c r="A64" s="128"/>
      <c r="B64" s="128"/>
      <c r="C64" s="128"/>
      <c r="D64" s="17" t="s">
        <v>94</v>
      </c>
      <c r="E64" s="17" t="s">
        <v>25</v>
      </c>
      <c r="F64" s="17" t="s">
        <v>25</v>
      </c>
      <c r="G64" s="18" t="s">
        <v>84</v>
      </c>
      <c r="H64" s="18" t="s">
        <v>78</v>
      </c>
      <c r="I64" s="18">
        <f>'MERCADO TUSD'!$U$61</f>
        <v>0</v>
      </c>
      <c r="J64" s="15"/>
      <c r="L64" s="13">
        <f>'TR TUSD'!$L$64*'TR TUSD'!$L$80</f>
        <v>6.7386679297978649</v>
      </c>
      <c r="M64" s="13">
        <f>'TR TUSD'!$M$64*'TR TUSD'!$M$80</f>
        <v>0.96084766636204655</v>
      </c>
      <c r="N64" s="13">
        <f ca="1">'TR TUSD'!$N$64*'TR TUSD'!$N$80</f>
        <v>4.6404732179449013</v>
      </c>
      <c r="O64" s="13">
        <f>'TR TUSD'!$O$64*'TR TUSD'!$O$80</f>
        <v>0</v>
      </c>
      <c r="P64" s="13">
        <f>'TR TUSD'!$P$64*'TR TUSD'!$P$80</f>
        <v>0</v>
      </c>
      <c r="Q64" s="13">
        <f>'TR TUSD'!$Q$64*'TR TUSD'!$Q$80</f>
        <v>86.65283210604035</v>
      </c>
      <c r="R64" s="13">
        <f>'TR TUSD'!$R$64*'TR TUSD'!$R$80</f>
        <v>13.642318933507415</v>
      </c>
      <c r="S64" s="13">
        <f>'TR TUSD'!$S$64*'TR TUSD'!$S$80</f>
        <v>0</v>
      </c>
      <c r="T64" s="13">
        <f ca="1">SUM($L$64:$S$64)</f>
        <v>112.63513985365257</v>
      </c>
      <c r="U64" s="13">
        <f>'TR TUSD'!$U$64*'TR TUSD'!$U$80</f>
        <v>26.595062930235599</v>
      </c>
      <c r="V64" s="13">
        <f>'TR TUSD'!$V$64*'TR TUSD'!$V$80</f>
        <v>5.3878072360716489</v>
      </c>
      <c r="W64" s="13">
        <f>'TR TUSD'!$W$64*'TR TUSD'!$W$80</f>
        <v>0.83272202066048207</v>
      </c>
      <c r="X64" s="13">
        <f>'TR TUSD'!$X$64*'TR TUSD'!$X$80</f>
        <v>0</v>
      </c>
      <c r="Y64" s="13">
        <f>'TR TUSD'!$Y$64*'TR TUSD'!$Y$80</f>
        <v>0</v>
      </c>
      <c r="Z64" s="13">
        <f>'TR TUSD'!$Z$64</f>
        <v>0</v>
      </c>
      <c r="AA64" s="13">
        <f>'TR TUSD'!$AA$64</f>
        <v>0</v>
      </c>
      <c r="AB64" s="13">
        <f>SUM($U$64:$AA$64)</f>
        <v>32.815592186967727</v>
      </c>
      <c r="AC64" s="13">
        <f>'TR TUSD'!$AC$64*'TR TUSD'!$AC$80</f>
        <v>185.81268586997805</v>
      </c>
      <c r="AD64" s="13">
        <f>SUM($AC$64:$AC$64)</f>
        <v>185.81268586997805</v>
      </c>
      <c r="AE64" s="13">
        <v>0</v>
      </c>
      <c r="AF64" s="13">
        <v>0</v>
      </c>
      <c r="AG64" s="13">
        <f>SUM($AE$64:$AF$64)</f>
        <v>0</v>
      </c>
      <c r="AH64" s="13">
        <f>'TR TUSD'!$AH$64*'TR TUSD'!$AH$80</f>
        <v>22.89647919253855</v>
      </c>
      <c r="AI64" s="13">
        <f>'TR TUSD'!$AI$64*'TR TUSD'!$AI$80</f>
        <v>0.39682078045741276</v>
      </c>
      <c r="AJ64" s="13">
        <f ca="1">'TR TUSD'!$AJ$64*'TR TUSD'!$AJ$80</f>
        <v>1.5806381448718931</v>
      </c>
      <c r="AK64" s="13">
        <f ca="1">'TR TUSD'!$AK$64*'TR TUSD'!$AK$80</f>
        <v>0.30892407095755814</v>
      </c>
      <c r="AL64" s="13">
        <f ca="1">SUM($AH$64:$AK$64)</f>
        <v>25.182862188825418</v>
      </c>
      <c r="AM64" s="13">
        <f ca="1">SUMIF($L$4:$AL$4,"SUBTOTAL",$L$64:$AL$64)</f>
        <v>356.4462800994238</v>
      </c>
      <c r="AP64" s="13">
        <f>IF((1 - CUSTOS!$M$30)&lt;&gt;0,1/(1 - CUSTOS!$M$30),1)</f>
        <v>1</v>
      </c>
    </row>
    <row r="65" spans="1:42" ht="11.25" customHeight="1" x14ac:dyDescent="0.3">
      <c r="A65" s="128" t="s">
        <v>37</v>
      </c>
      <c r="B65" s="128" t="s">
        <v>33</v>
      </c>
      <c r="C65" s="128" t="s">
        <v>25</v>
      </c>
      <c r="D65" s="128" t="s">
        <v>25</v>
      </c>
      <c r="E65" s="128" t="s">
        <v>25</v>
      </c>
      <c r="F65" s="128" t="s">
        <v>25</v>
      </c>
      <c r="G65" s="18" t="s">
        <v>79</v>
      </c>
      <c r="H65" s="18" t="s">
        <v>78</v>
      </c>
      <c r="I65" s="18">
        <f>'MERCADO TUSD'!$U$62</f>
        <v>22.301000000000002</v>
      </c>
      <c r="J65" s="15"/>
      <c r="L65" s="13">
        <f>'TR TUSD'!$L$65*'TR TUSD'!$L$80</f>
        <v>6.7386679297978649</v>
      </c>
      <c r="M65" s="13">
        <f>'TR TUSD'!$M$65*'TR TUSD'!$M$80</f>
        <v>0.96084766636204655</v>
      </c>
      <c r="N65" s="13">
        <f ca="1">'TR TUSD'!$N$65*'TR TUSD'!$N$80</f>
        <v>10.050893064754478</v>
      </c>
      <c r="O65" s="13">
        <f>'TR TUSD'!$O$65*'TR TUSD'!$O$80</f>
        <v>0</v>
      </c>
      <c r="P65" s="13">
        <f>'TR TUSD'!$P$65*'TR TUSD'!$P$80</f>
        <v>0</v>
      </c>
      <c r="Q65" s="13">
        <f>'TR TUSD'!$Q$65*'TR TUSD'!$Q$80</f>
        <v>86.65283210604035</v>
      </c>
      <c r="R65" s="13">
        <f>'TR TUSD'!$R$65*'TR TUSD'!$R$80</f>
        <v>13.642318933507415</v>
      </c>
      <c r="S65" s="13">
        <f>'TR TUSD'!$S$65*'TR TUSD'!$S$80</f>
        <v>0</v>
      </c>
      <c r="T65" s="13">
        <f ca="1">SUM($L$65:$S$65)</f>
        <v>118.04555970046215</v>
      </c>
      <c r="U65" s="13">
        <f>'TR TUSD'!$U$65*'TR TUSD'!$U$80</f>
        <v>87.763813926771078</v>
      </c>
      <c r="V65" s="13">
        <f>'TR TUSD'!$V$65*'TR TUSD'!$V$80</f>
        <v>17.779756648730288</v>
      </c>
      <c r="W65" s="13">
        <f>'TR TUSD'!$W$65*'TR TUSD'!$W$80</f>
        <v>2.7477977558137887</v>
      </c>
      <c r="X65" s="13">
        <f>'TR TUSD'!$X$65*'TR TUSD'!$X$80</f>
        <v>0</v>
      </c>
      <c r="Y65" s="13">
        <f>'TR TUSD'!$Y$65*'TR TUSD'!$Y$80</f>
        <v>0</v>
      </c>
      <c r="Z65" s="13">
        <f>'TR TUSD'!$Z$65</f>
        <v>0</v>
      </c>
      <c r="AA65" s="13">
        <f>'TR TUSD'!$AA$65</f>
        <v>0</v>
      </c>
      <c r="AB65" s="13">
        <f>SUM($U$65:$AA$65)</f>
        <v>108.29136833131516</v>
      </c>
      <c r="AC65" s="13">
        <f>'TR TUSD'!$AC$65*'TR TUSD'!$AC$80</f>
        <v>613.18209244972616</v>
      </c>
      <c r="AD65" s="13">
        <f>SUM($AC$65:$AC$65)</f>
        <v>613.18209244972616</v>
      </c>
      <c r="AE65" s="13">
        <v>0</v>
      </c>
      <c r="AF65" s="13">
        <v>0</v>
      </c>
      <c r="AG65" s="13">
        <f>SUM($AE$65:$AF$65)</f>
        <v>0</v>
      </c>
      <c r="AH65" s="13">
        <f>'TR TUSD'!$AH$65*'TR TUSD'!$AH$80</f>
        <v>22.89647919253855</v>
      </c>
      <c r="AI65" s="13">
        <f>'TR TUSD'!$AI$65*'TR TUSD'!$AI$80</f>
        <v>0.39682078045741276</v>
      </c>
      <c r="AJ65" s="13">
        <f ca="1">'TR TUSD'!$AJ$65*'TR TUSD'!$AJ$80</f>
        <v>1.5806381448718931</v>
      </c>
      <c r="AK65" s="13">
        <f ca="1">'TR TUSD'!$AK$65*'TR TUSD'!$AK$80</f>
        <v>0.30892407095755814</v>
      </c>
      <c r="AL65" s="13">
        <f ca="1">SUM($AH$65:$AK$65)</f>
        <v>25.182862188825418</v>
      </c>
      <c r="AM65" s="13">
        <f ca="1">SUMIF($L$4:$AL$4,"SUBTOTAL",$L$65:$AL$65)</f>
        <v>864.70188267032893</v>
      </c>
      <c r="AP65" s="13">
        <f>IF((1 - CUSTOS!$M$31)&lt;&gt;0,1/(1 - CUSTOS!$M$31),1)</f>
        <v>1</v>
      </c>
    </row>
    <row r="66" spans="1:42" ht="11.25" customHeight="1" x14ac:dyDescent="0.3">
      <c r="A66" s="128"/>
      <c r="B66" s="128"/>
      <c r="C66" s="128"/>
      <c r="D66" s="128"/>
      <c r="E66" s="128"/>
      <c r="F66" s="128"/>
      <c r="G66" s="18" t="s">
        <v>90</v>
      </c>
      <c r="H66" s="18" t="s">
        <v>78</v>
      </c>
      <c r="I66" s="18">
        <f>'MERCADO TUSD'!$U$63</f>
        <v>24.489000000000001</v>
      </c>
      <c r="J66" s="15"/>
      <c r="L66" s="13">
        <f>'TR TUSD'!$L$66*'TR TUSD'!$L$80</f>
        <v>6.7386679297978649</v>
      </c>
      <c r="M66" s="13">
        <f>'TR TUSD'!$M$66*'TR TUSD'!$M$80</f>
        <v>0.96084766636204655</v>
      </c>
      <c r="N66" s="13">
        <f ca="1">'TR TUSD'!$N$66*'TR TUSD'!$N$80</f>
        <v>6.9457817017043633</v>
      </c>
      <c r="O66" s="13">
        <f>'TR TUSD'!$O$66*'TR TUSD'!$O$80</f>
        <v>0</v>
      </c>
      <c r="P66" s="13">
        <f>'TR TUSD'!$P$66*'TR TUSD'!$P$80</f>
        <v>0</v>
      </c>
      <c r="Q66" s="13">
        <f>'TR TUSD'!$Q$66*'TR TUSD'!$Q$80</f>
        <v>86.65283210604035</v>
      </c>
      <c r="R66" s="13">
        <f>'TR TUSD'!$R$66*'TR TUSD'!$R$80</f>
        <v>13.642318933507415</v>
      </c>
      <c r="S66" s="13">
        <f>'TR TUSD'!$S$66*'TR TUSD'!$S$80</f>
        <v>0</v>
      </c>
      <c r="T66" s="13">
        <f ca="1">SUM($L$66:$S$66)</f>
        <v>114.94044833741204</v>
      </c>
      <c r="U66" s="13">
        <f>'TR TUSD'!$U$66*'TR TUSD'!$U$80</f>
        <v>52.658309607461369</v>
      </c>
      <c r="V66" s="13">
        <f>'TR TUSD'!$V$66*'TR TUSD'!$V$80</f>
        <v>10.667810607401256</v>
      </c>
      <c r="W66" s="13">
        <f>'TR TUSD'!$W$66*'TR TUSD'!$W$80</f>
        <v>1.6485964702145837</v>
      </c>
      <c r="X66" s="13">
        <f>'TR TUSD'!$X$66*'TR TUSD'!$X$80</f>
        <v>0</v>
      </c>
      <c r="Y66" s="13">
        <f>'TR TUSD'!$Y$66*'TR TUSD'!$Y$80</f>
        <v>0</v>
      </c>
      <c r="Z66" s="13">
        <f>'TR TUSD'!$Z$66</f>
        <v>0</v>
      </c>
      <c r="AA66" s="13">
        <f>'TR TUSD'!$AA$66</f>
        <v>0</v>
      </c>
      <c r="AB66" s="13">
        <f>SUM($U$66:$AA$66)</f>
        <v>64.974716685077212</v>
      </c>
      <c r="AC66" s="13">
        <f>'TR TUSD'!$AC$66*'TR TUSD'!$AC$80</f>
        <v>367.90923135627793</v>
      </c>
      <c r="AD66" s="13">
        <f>SUM($AC$66:$AC$66)</f>
        <v>367.90923135627793</v>
      </c>
      <c r="AE66" s="13">
        <v>0</v>
      </c>
      <c r="AF66" s="13">
        <v>0</v>
      </c>
      <c r="AG66" s="13">
        <f>SUM($AE$66:$AF$66)</f>
        <v>0</v>
      </c>
      <c r="AH66" s="13">
        <f>'TR TUSD'!$AH$66*'TR TUSD'!$AH$80</f>
        <v>22.89647919253855</v>
      </c>
      <c r="AI66" s="13">
        <f>'TR TUSD'!$AI$66*'TR TUSD'!$AI$80</f>
        <v>0.39682078045741276</v>
      </c>
      <c r="AJ66" s="13">
        <f ca="1">'TR TUSD'!$AJ$66*'TR TUSD'!$AJ$80</f>
        <v>1.5806381448718931</v>
      </c>
      <c r="AK66" s="13">
        <f ca="1">'TR TUSD'!$AK$66*'TR TUSD'!$AK$80</f>
        <v>0.30892407095755814</v>
      </c>
      <c r="AL66" s="13">
        <f ca="1">SUM($AH$66:$AK$66)</f>
        <v>25.182862188825418</v>
      </c>
      <c r="AM66" s="13">
        <f ca="1">SUMIF($L$4:$AL$4,"SUBTOTAL",$L$66:$AL$66)</f>
        <v>573.00725856759266</v>
      </c>
      <c r="AP66" s="13">
        <f>IF((1 - CUSTOS!$M$31)&lt;&gt;0,1/(1 - CUSTOS!$M$31),1)</f>
        <v>1</v>
      </c>
    </row>
    <row r="67" spans="1:42" ht="11.25" customHeight="1" x14ac:dyDescent="0.3">
      <c r="A67" s="128"/>
      <c r="B67" s="128"/>
      <c r="C67" s="128"/>
      <c r="D67" s="128"/>
      <c r="E67" s="128"/>
      <c r="F67" s="128"/>
      <c r="G67" s="18" t="s">
        <v>80</v>
      </c>
      <c r="H67" s="18" t="s">
        <v>78</v>
      </c>
      <c r="I67" s="18">
        <f>'MERCADO TUSD'!$U$64</f>
        <v>464.17199999999997</v>
      </c>
      <c r="J67" s="15"/>
      <c r="L67" s="13">
        <f>'TR TUSD'!$L$67*'TR TUSD'!$L$80</f>
        <v>6.7386679297978649</v>
      </c>
      <c r="M67" s="13">
        <f>'TR TUSD'!$M$67*'TR TUSD'!$M$80</f>
        <v>0.96084766636204655</v>
      </c>
      <c r="N67" s="13">
        <f ca="1">'TR TUSD'!$N$67*'TR TUSD'!$N$80</f>
        <v>3.8406728545329796</v>
      </c>
      <c r="O67" s="13">
        <f>'TR TUSD'!$O$67*'TR TUSD'!$O$80</f>
        <v>0</v>
      </c>
      <c r="P67" s="13">
        <f>'TR TUSD'!$P$67*'TR TUSD'!$P$80</f>
        <v>0</v>
      </c>
      <c r="Q67" s="13">
        <f>'TR TUSD'!$Q$67*'TR TUSD'!$Q$80</f>
        <v>86.65283210604035</v>
      </c>
      <c r="R67" s="13">
        <f>'TR TUSD'!$R$67*'TR TUSD'!$R$80</f>
        <v>13.642318933507415</v>
      </c>
      <c r="S67" s="13">
        <f>'TR TUSD'!$S$67*'TR TUSD'!$S$80</f>
        <v>0</v>
      </c>
      <c r="T67" s="13">
        <f ca="1">SUM($L$67:$S$67)</f>
        <v>111.83533949024066</v>
      </c>
      <c r="U67" s="13">
        <f>'TR TUSD'!$U$67*'TR TUSD'!$U$80</f>
        <v>17.55280528815166</v>
      </c>
      <c r="V67" s="13">
        <f>'TR TUSD'!$V$67*'TR TUSD'!$V$80</f>
        <v>3.5559368691337516</v>
      </c>
      <c r="W67" s="13">
        <f>'TR TUSD'!$W$67*'TR TUSD'!$W$80</f>
        <v>0.54960064279960263</v>
      </c>
      <c r="X67" s="13">
        <f>'TR TUSD'!$X$67*'TR TUSD'!$X$80</f>
        <v>0</v>
      </c>
      <c r="Y67" s="13">
        <f>'TR TUSD'!$Y$67*'TR TUSD'!$Y$80</f>
        <v>0</v>
      </c>
      <c r="Z67" s="13">
        <f>'TR TUSD'!$Z$67</f>
        <v>0</v>
      </c>
      <c r="AA67" s="13">
        <f>'TR TUSD'!$AA$67</f>
        <v>0</v>
      </c>
      <c r="AB67" s="13">
        <f>SUM($U$67:$AA$67)</f>
        <v>21.658342800085016</v>
      </c>
      <c r="AC67" s="13">
        <f>'TR TUSD'!$AC$67*'TR TUSD'!$AC$80</f>
        <v>122.63637026282974</v>
      </c>
      <c r="AD67" s="13">
        <f>SUM($AC$67:$AC$67)</f>
        <v>122.63637026282974</v>
      </c>
      <c r="AE67" s="13">
        <v>0</v>
      </c>
      <c r="AF67" s="13">
        <v>0</v>
      </c>
      <c r="AG67" s="13">
        <f>SUM($AE$67:$AF$67)</f>
        <v>0</v>
      </c>
      <c r="AH67" s="13">
        <f>'TR TUSD'!$AH$67*'TR TUSD'!$AH$80</f>
        <v>22.89647919253855</v>
      </c>
      <c r="AI67" s="13">
        <f>'TR TUSD'!$AI$67*'TR TUSD'!$AI$80</f>
        <v>0.39682078045741276</v>
      </c>
      <c r="AJ67" s="13">
        <f ca="1">'TR TUSD'!$AJ$67*'TR TUSD'!$AJ$80</f>
        <v>1.5806381448718931</v>
      </c>
      <c r="AK67" s="13">
        <f ca="1">'TR TUSD'!$AK$67*'TR TUSD'!$AK$80</f>
        <v>0.30892407095755814</v>
      </c>
      <c r="AL67" s="13">
        <f ca="1">SUM($AH$67:$AK$67)</f>
        <v>25.182862188825418</v>
      </c>
      <c r="AM67" s="13">
        <f ca="1">SUMIF($L$4:$AL$4,"SUBTOTAL",$L$67:$AL$67)</f>
        <v>281.31291474198082</v>
      </c>
      <c r="AP67" s="13">
        <f>IF((1 - CUSTOS!$M$31)&lt;&gt;0,1/(1 - CUSTOS!$M$31),1)</f>
        <v>1</v>
      </c>
    </row>
    <row r="68" spans="1:42" ht="11.25" customHeight="1" x14ac:dyDescent="0.3">
      <c r="A68" s="128"/>
      <c r="B68" s="17" t="s">
        <v>23</v>
      </c>
      <c r="C68" s="17" t="s">
        <v>25</v>
      </c>
      <c r="D68" s="17" t="s">
        <v>25</v>
      </c>
      <c r="E68" s="17" t="s">
        <v>25</v>
      </c>
      <c r="F68" s="17" t="s">
        <v>25</v>
      </c>
      <c r="G68" s="18" t="s">
        <v>84</v>
      </c>
      <c r="H68" s="18" t="s">
        <v>78</v>
      </c>
      <c r="I68" s="18">
        <f>'MERCADO TUSD'!$U$65</f>
        <v>47738.307000000001</v>
      </c>
      <c r="J68" s="15"/>
      <c r="L68" s="13">
        <f>'TR TUSD'!$L$68*'TR TUSD'!$L$80</f>
        <v>6.7386679297978649</v>
      </c>
      <c r="M68" s="13">
        <f>'TR TUSD'!$M$68*'TR TUSD'!$M$80</f>
        <v>0.96084766636204655</v>
      </c>
      <c r="N68" s="13">
        <f ca="1">'TR TUSD'!$N$68*'TR TUSD'!$N$80</f>
        <v>4.6404732179449013</v>
      </c>
      <c r="O68" s="13">
        <f>'TR TUSD'!$O$68*'TR TUSD'!$O$80</f>
        <v>0</v>
      </c>
      <c r="P68" s="13">
        <f>'TR TUSD'!$P$68*'TR TUSD'!$P$80</f>
        <v>0</v>
      </c>
      <c r="Q68" s="13">
        <f>'TR TUSD'!$Q$68*'TR TUSD'!$Q$80</f>
        <v>86.65283210604035</v>
      </c>
      <c r="R68" s="13">
        <f>'TR TUSD'!$R$68*'TR TUSD'!$R$80</f>
        <v>13.642318933507415</v>
      </c>
      <c r="S68" s="13">
        <f>'TR TUSD'!$S$68*'TR TUSD'!$S$80</f>
        <v>0</v>
      </c>
      <c r="T68" s="13">
        <f ca="1">SUM($L$68:$S$68)</f>
        <v>112.63513985365257</v>
      </c>
      <c r="U68" s="13">
        <f>'TR TUSD'!$U$68*'TR TUSD'!$U$80</f>
        <v>26.595062930235599</v>
      </c>
      <c r="V68" s="13">
        <f>'TR TUSD'!$V$68*'TR TUSD'!$V$80</f>
        <v>5.3878072360716489</v>
      </c>
      <c r="W68" s="13">
        <f>'TR TUSD'!$W$68*'TR TUSD'!$W$80</f>
        <v>0.83272202066048207</v>
      </c>
      <c r="X68" s="13">
        <f>'TR TUSD'!$X$68*'TR TUSD'!$X$80</f>
        <v>0</v>
      </c>
      <c r="Y68" s="13">
        <f>'TR TUSD'!$Y$68*'TR TUSD'!$Y$80</f>
        <v>0</v>
      </c>
      <c r="Z68" s="13">
        <f>'TR TUSD'!$Z$68</f>
        <v>0</v>
      </c>
      <c r="AA68" s="13">
        <f>'TR TUSD'!$AA$68</f>
        <v>0</v>
      </c>
      <c r="AB68" s="13">
        <f>SUM($U$68:$AA$68)</f>
        <v>32.815592186967727</v>
      </c>
      <c r="AC68" s="13">
        <f>'TR TUSD'!$AC$68*'TR TUSD'!$AC$80</f>
        <v>185.81268586997805</v>
      </c>
      <c r="AD68" s="13">
        <f>SUM($AC$68:$AC$68)</f>
        <v>185.81268586997805</v>
      </c>
      <c r="AE68" s="13">
        <v>0</v>
      </c>
      <c r="AF68" s="13">
        <v>0</v>
      </c>
      <c r="AG68" s="13">
        <f>SUM($AE$68:$AF$68)</f>
        <v>0</v>
      </c>
      <c r="AH68" s="13">
        <f>'TR TUSD'!$AH$68*'TR TUSD'!$AH$80</f>
        <v>22.89647919253855</v>
      </c>
      <c r="AI68" s="13">
        <f>'TR TUSD'!$AI$68*'TR TUSD'!$AI$80</f>
        <v>0.39682078045741276</v>
      </c>
      <c r="AJ68" s="13">
        <f ca="1">'TR TUSD'!$AJ$68*'TR TUSD'!$AJ$80</f>
        <v>1.5806381448718931</v>
      </c>
      <c r="AK68" s="13">
        <f ca="1">'TR TUSD'!$AK$68*'TR TUSD'!$AK$80</f>
        <v>0.30892407095755814</v>
      </c>
      <c r="AL68" s="13">
        <f ca="1">SUM($AH$68:$AK$68)</f>
        <v>25.182862188825418</v>
      </c>
      <c r="AM68" s="13">
        <f ca="1">SUMIF($L$4:$AL$4,"SUBTOTAL",$L$68:$AL$68)</f>
        <v>356.4462800994238</v>
      </c>
      <c r="AP68" s="13">
        <f>IF((1 - CUSTOS!$M$31)&lt;&gt;0,1/(1 - CUSTOS!$M$31),1)</f>
        <v>1</v>
      </c>
    </row>
    <row r="69" spans="1:42" ht="11.25" customHeight="1" x14ac:dyDescent="0.3">
      <c r="A69" s="128"/>
      <c r="B69" s="17" t="s">
        <v>92</v>
      </c>
      <c r="C69" s="17" t="s">
        <v>25</v>
      </c>
      <c r="D69" s="17" t="s">
        <v>25</v>
      </c>
      <c r="E69" s="17" t="s">
        <v>25</v>
      </c>
      <c r="F69" s="17" t="s">
        <v>25</v>
      </c>
      <c r="G69" s="18" t="s">
        <v>84</v>
      </c>
      <c r="H69" s="18" t="s">
        <v>78</v>
      </c>
      <c r="I69" s="18">
        <f>'MERCADO TUSD'!$U$66</f>
        <v>0</v>
      </c>
      <c r="J69" s="15"/>
      <c r="L69" s="13">
        <f>'TR TUSD'!$L$69*'TR TUSD'!$L$80</f>
        <v>6.7386679297978649</v>
      </c>
      <c r="M69" s="13">
        <f>'TR TUSD'!$M$69*'TR TUSD'!$M$80</f>
        <v>0.96084766636204655</v>
      </c>
      <c r="N69" s="13">
        <f ca="1">'TR TUSD'!$N$69*'TR TUSD'!$N$80</f>
        <v>4.6404732179449013</v>
      </c>
      <c r="O69" s="13">
        <f>'TR TUSD'!$O$69*'TR TUSD'!$O$80</f>
        <v>0</v>
      </c>
      <c r="P69" s="13">
        <f>'TR TUSD'!$P$69*'TR TUSD'!$P$80</f>
        <v>0</v>
      </c>
      <c r="Q69" s="13">
        <f>'TR TUSD'!$Q$69*'TR TUSD'!$Q$80</f>
        <v>86.65283210604035</v>
      </c>
      <c r="R69" s="13">
        <f>'TR TUSD'!$R$69*'TR TUSD'!$R$80</f>
        <v>13.642318933507415</v>
      </c>
      <c r="S69" s="13">
        <f>'TR TUSD'!$S$69*'TR TUSD'!$S$80</f>
        <v>0</v>
      </c>
      <c r="T69" s="13">
        <f ca="1">SUM($L$69:$S$69)</f>
        <v>112.63513985365257</v>
      </c>
      <c r="U69" s="13">
        <f>'TR TUSD'!$U$69*'TR TUSD'!$U$80</f>
        <v>26.595062930235599</v>
      </c>
      <c r="V69" s="13">
        <f>'TR TUSD'!$V$69*'TR TUSD'!$V$80</f>
        <v>5.3878072360716489</v>
      </c>
      <c r="W69" s="13">
        <f>'TR TUSD'!$W$69*'TR TUSD'!$W$80</f>
        <v>0.83272202066048207</v>
      </c>
      <c r="X69" s="13">
        <f>'TR TUSD'!$X$69*'TR TUSD'!$X$80</f>
        <v>0</v>
      </c>
      <c r="Y69" s="13">
        <f>'TR TUSD'!$Y$69*'TR TUSD'!$Y$80</f>
        <v>0</v>
      </c>
      <c r="Z69" s="13">
        <f>'TR TUSD'!$Z$69</f>
        <v>0</v>
      </c>
      <c r="AA69" s="13">
        <f>'TR TUSD'!$AA$69</f>
        <v>0</v>
      </c>
      <c r="AB69" s="13">
        <f>SUM($U$69:$AA$69)</f>
        <v>32.815592186967727</v>
      </c>
      <c r="AC69" s="13">
        <f>'TR TUSD'!$AC$69*'TR TUSD'!$AC$80</f>
        <v>185.81268586997805</v>
      </c>
      <c r="AD69" s="13">
        <f>SUM($AC$69:$AC$69)</f>
        <v>185.81268586997805</v>
      </c>
      <c r="AE69" s="13">
        <v>0</v>
      </c>
      <c r="AF69" s="13">
        <v>0</v>
      </c>
      <c r="AG69" s="13">
        <f>SUM($AE$69:$AF$69)</f>
        <v>0</v>
      </c>
      <c r="AH69" s="13">
        <f>'TR TUSD'!$AH$69*'TR TUSD'!$AH$80</f>
        <v>22.89647919253855</v>
      </c>
      <c r="AI69" s="13">
        <f>'TR TUSD'!$AI$69*'TR TUSD'!$AI$80</f>
        <v>0.39682078045741276</v>
      </c>
      <c r="AJ69" s="13">
        <f ca="1">'TR TUSD'!$AJ$69*'TR TUSD'!$AJ$80</f>
        <v>1.5806381448718931</v>
      </c>
      <c r="AK69" s="13">
        <f ca="1">'TR TUSD'!$AK$69*'TR TUSD'!$AK$80</f>
        <v>0.30892407095755814</v>
      </c>
      <c r="AL69" s="13">
        <f ca="1">SUM($AH$69:$AK$69)</f>
        <v>25.182862188825418</v>
      </c>
      <c r="AM69" s="13">
        <f ca="1">SUMIF($L$4:$AL$4,"SUBTOTAL",$L$69:$AL$69)</f>
        <v>356.4462800994238</v>
      </c>
      <c r="AP69" s="13">
        <f>IF((1 - CUSTOS!$M$31)&lt;&gt;0,1/(1 - CUSTOS!$M$31),1)</f>
        <v>1</v>
      </c>
    </row>
    <row r="70" spans="1:42" ht="11.25" customHeight="1" x14ac:dyDescent="0.3">
      <c r="A70" s="128" t="s">
        <v>47</v>
      </c>
      <c r="B70" s="128" t="s">
        <v>23</v>
      </c>
      <c r="C70" s="128" t="s">
        <v>48</v>
      </c>
      <c r="D70" s="17" t="s">
        <v>49</v>
      </c>
      <c r="E70" s="17" t="s">
        <v>25</v>
      </c>
      <c r="F70" s="17" t="s">
        <v>25</v>
      </c>
      <c r="G70" s="18" t="s">
        <v>84</v>
      </c>
      <c r="H70" s="18" t="s">
        <v>78</v>
      </c>
      <c r="I70" s="18">
        <f>'MERCADO TUSD'!$U$67</f>
        <v>19654.344999999998</v>
      </c>
      <c r="J70" s="15"/>
      <c r="L70" s="13">
        <f>'TR TUSD'!$L$70*'TR TUSD'!$L$80</f>
        <v>3.706267361388826</v>
      </c>
      <c r="M70" s="13">
        <f>'TR TUSD'!$M$70*'TR TUSD'!$M$80</f>
        <v>0.52846621649912562</v>
      </c>
      <c r="N70" s="13">
        <f ca="1">'TR TUSD'!$N$70*'TR TUSD'!$N$80</f>
        <v>2.5522602698696963</v>
      </c>
      <c r="O70" s="13">
        <f>'TR TUSD'!$O$70*'TR TUSD'!$O$80</f>
        <v>0</v>
      </c>
      <c r="P70" s="13">
        <f>'TR TUSD'!$P$70*'TR TUSD'!$P$80</f>
        <v>0</v>
      </c>
      <c r="Q70" s="13">
        <f>'TR TUSD'!$Q$70*'TR TUSD'!$Q$80</f>
        <v>47.659057658322197</v>
      </c>
      <c r="R70" s="13">
        <f>'TR TUSD'!$R$70*'TR TUSD'!$R$80</f>
        <v>7.5032754134290789</v>
      </c>
      <c r="S70" s="13">
        <f>'TR TUSD'!$S$70*'TR TUSD'!$S$80</f>
        <v>0</v>
      </c>
      <c r="T70" s="13">
        <f ca="1">SUM($L$70:$S$70)</f>
        <v>61.949326919508927</v>
      </c>
      <c r="U70" s="13">
        <f>'TR TUSD'!$U$70*'TR TUSD'!$U$80</f>
        <v>14.62728461162958</v>
      </c>
      <c r="V70" s="13">
        <f>'TR TUSD'!$V$70*'TR TUSD'!$V$80</f>
        <v>2.9632939798394071</v>
      </c>
      <c r="W70" s="13">
        <f>'TR TUSD'!$W$70*'TR TUSD'!$W$80</f>
        <v>0.45799711136326515</v>
      </c>
      <c r="X70" s="13">
        <f>'TR TUSD'!$X$70*'TR TUSD'!$X$80</f>
        <v>0</v>
      </c>
      <c r="Y70" s="13">
        <f>'TR TUSD'!$Y$70*'TR TUSD'!$Y$80</f>
        <v>0</v>
      </c>
      <c r="Z70" s="13">
        <f>'TR TUSD'!$Z$70</f>
        <v>0</v>
      </c>
      <c r="AA70" s="13">
        <f>'TR TUSD'!$AA$70</f>
        <v>0</v>
      </c>
      <c r="AB70" s="13">
        <f>SUM($U$70:$AA$70)</f>
        <v>18.048575702832252</v>
      </c>
      <c r="AC70" s="13">
        <f>'TR TUSD'!$AC$70*'TR TUSD'!$AC$80</f>
        <v>102.19697722848794</v>
      </c>
      <c r="AD70" s="13">
        <f>SUM($AC$70:$AC$70)</f>
        <v>102.19697722848794</v>
      </c>
      <c r="AE70" s="13">
        <v>0</v>
      </c>
      <c r="AF70" s="13">
        <v>0</v>
      </c>
      <c r="AG70" s="13">
        <f>SUM($AE$70:$AF$70)</f>
        <v>0</v>
      </c>
      <c r="AH70" s="13">
        <f>'TR TUSD'!$AH$70*'TR TUSD'!$AH$80</f>
        <v>12.593063555896203</v>
      </c>
      <c r="AI70" s="13">
        <f>'TR TUSD'!$AI$70*'TR TUSD'!$AI$80</f>
        <v>0.21825142925157703</v>
      </c>
      <c r="AJ70" s="13">
        <f ca="1">'TR TUSD'!$AJ$70*'TR TUSD'!$AJ$80</f>
        <v>0.86935097967954134</v>
      </c>
      <c r="AK70" s="13">
        <f ca="1">'TR TUSD'!$AK$70*'TR TUSD'!$AK$80</f>
        <v>0.16990823902665697</v>
      </c>
      <c r="AL70" s="13">
        <f ca="1">SUM($AH$70:$AK$70)</f>
        <v>13.850574203853979</v>
      </c>
      <c r="AM70" s="13">
        <f ca="1">SUMIF($L$4:$AL$4,"SUBTOTAL",$L$70:$AL$70)</f>
        <v>196.04545405468309</v>
      </c>
      <c r="AP70" s="13">
        <f>IF((1 - CUSTOS!$M$32)&lt;&gt;0,1/(1 - CUSTOS!$M$32),1)</f>
        <v>1.8181818181818181</v>
      </c>
    </row>
    <row r="71" spans="1:42" ht="11.25" customHeight="1" x14ac:dyDescent="0.3">
      <c r="A71" s="128"/>
      <c r="B71" s="128"/>
      <c r="C71" s="128"/>
      <c r="D71" s="18" t="s">
        <v>95</v>
      </c>
      <c r="E71" s="18" t="s">
        <v>25</v>
      </c>
      <c r="F71" s="18" t="s">
        <v>25</v>
      </c>
      <c r="G71" s="18" t="s">
        <v>84</v>
      </c>
      <c r="H71" s="18" t="s">
        <v>78</v>
      </c>
      <c r="I71" s="18">
        <f>'MERCADO TUSD'!$U$68</f>
        <v>0</v>
      </c>
      <c r="J71" s="15"/>
      <c r="L71" s="13">
        <f>'TR TUSD'!$L$71*'TR TUSD'!$L$80</f>
        <v>4.0432007578787186</v>
      </c>
      <c r="M71" s="13">
        <f>'TR TUSD'!$M$71*'TR TUSD'!$M$80</f>
        <v>0.57650859981722791</v>
      </c>
      <c r="N71" s="13">
        <f ca="1">'TR TUSD'!$N$71*'TR TUSD'!$N$80</f>
        <v>2.7842839307669411</v>
      </c>
      <c r="O71" s="13">
        <f>'TR TUSD'!$O$71*'TR TUSD'!$O$80</f>
        <v>0</v>
      </c>
      <c r="P71" s="13">
        <f>'TR TUSD'!$P$71*'TR TUSD'!$P$80</f>
        <v>0</v>
      </c>
      <c r="Q71" s="13">
        <f>'TR TUSD'!$Q$71*'TR TUSD'!$Q$80</f>
        <v>51.991699263624206</v>
      </c>
      <c r="R71" s="13">
        <f>'TR TUSD'!$R$71*'TR TUSD'!$R$80</f>
        <v>8.1853913601044486</v>
      </c>
      <c r="S71" s="13">
        <f>'TR TUSD'!$S$71*'TR TUSD'!$S$80</f>
        <v>0</v>
      </c>
      <c r="T71" s="13">
        <f ca="1">SUM($L$71:$S$71)</f>
        <v>67.581083912191545</v>
      </c>
      <c r="U71" s="13">
        <f>'TR TUSD'!$U$71*'TR TUSD'!$U$80</f>
        <v>15.957037758141357</v>
      </c>
      <c r="V71" s="13">
        <f>'TR TUSD'!$V$71*'TR TUSD'!$V$80</f>
        <v>3.2326843416429889</v>
      </c>
      <c r="W71" s="13">
        <f>'TR TUSD'!$W$71*'TR TUSD'!$W$80</f>
        <v>0.49963321239628922</v>
      </c>
      <c r="X71" s="13">
        <f>'TR TUSD'!$X$71*'TR TUSD'!$X$80</f>
        <v>0</v>
      </c>
      <c r="Y71" s="13">
        <f>'TR TUSD'!$Y$71*'TR TUSD'!$Y$80</f>
        <v>0</v>
      </c>
      <c r="Z71" s="13">
        <f>'TR TUSD'!$Z$71</f>
        <v>0</v>
      </c>
      <c r="AA71" s="13">
        <f>'TR TUSD'!$AA$71</f>
        <v>0</v>
      </c>
      <c r="AB71" s="13">
        <f>SUM($U$71:$AA$71)</f>
        <v>19.689355312180638</v>
      </c>
      <c r="AC71" s="13">
        <f>'TR TUSD'!$AC$71*'TR TUSD'!$AC$80</f>
        <v>111.48761152198682</v>
      </c>
      <c r="AD71" s="13">
        <f>SUM($AC$71:$AC$71)</f>
        <v>111.48761152198682</v>
      </c>
      <c r="AE71" s="13">
        <v>0</v>
      </c>
      <c r="AF71" s="13">
        <v>0</v>
      </c>
      <c r="AG71" s="13">
        <f>SUM($AE$71:$AF$71)</f>
        <v>0</v>
      </c>
      <c r="AH71" s="13">
        <f>'TR TUSD'!$AH$71*'TR TUSD'!$AH$80</f>
        <v>13.737887515523131</v>
      </c>
      <c r="AI71" s="13">
        <f>'TR TUSD'!$AI$71*'TR TUSD'!$AI$80</f>
        <v>0.23809246827444766</v>
      </c>
      <c r="AJ71" s="13">
        <f ca="1">'TR TUSD'!$AJ$71*'TR TUSD'!$AJ$80</f>
        <v>0.94838288692313588</v>
      </c>
      <c r="AK71" s="13">
        <f ca="1">'TR TUSD'!$AK$71*'TR TUSD'!$AK$80</f>
        <v>0.18535444257453487</v>
      </c>
      <c r="AL71" s="13">
        <f ca="1">SUM($AH$71:$AK$71)</f>
        <v>15.109717313295251</v>
      </c>
      <c r="AM71" s="13">
        <f ca="1">SUMIF($L$4:$AL$4,"SUBTOTAL",$L$71:$AL$71)</f>
        <v>213.86776805965425</v>
      </c>
      <c r="AP71" s="13">
        <f>IF((1 - CUSTOS!$M$33)&lt;&gt;0,1/(1 - CUSTOS!$M$33),1)</f>
        <v>1.6666666666666667</v>
      </c>
    </row>
    <row r="73" spans="1:42" ht="11.25" customHeight="1" x14ac:dyDescent="0.3">
      <c r="K73" s="16" t="s">
        <v>766</v>
      </c>
      <c r="L73" s="13">
        <f>SUMPRODUCT($I$5:$I71,$L$5:$L71)</f>
        <v>3263782.2795950789</v>
      </c>
      <c r="M73" s="13">
        <f>SUMPRODUCT($I$5:$I71,$M$5:$M71)</f>
        <v>333370.91399464797</v>
      </c>
      <c r="N73" s="13">
        <f ca="1">SUMPRODUCT($I$5:$I71,$N$5:$N71)</f>
        <v>1124879.8979031062</v>
      </c>
      <c r="O73" s="13">
        <f>SUMPRODUCT($I$5:$I71,$O$5:$O71)</f>
        <v>0</v>
      </c>
      <c r="P73" s="13">
        <f>SUMPRODUCT($I$5:$I71,$P$5:$P71)</f>
        <v>0</v>
      </c>
      <c r="Q73" s="13">
        <f>SUMPRODUCT($I$5:$I71,$Q$5:$Q71)</f>
        <v>41969122.213877283</v>
      </c>
      <c r="R73" s="13">
        <f>SUMPRODUCT($I$5:$I71,$R$5:$R71)</f>
        <v>7792628.5853286218</v>
      </c>
      <c r="S73" s="13">
        <f>SUMPRODUCT($I$5:$I71,$S$5:$S71)</f>
        <v>0</v>
      </c>
      <c r="T73" s="13">
        <f ca="1">SUMPRODUCT($I$5:$I71,$T$5:$T71)</f>
        <v>54483783.890698731</v>
      </c>
      <c r="U73" s="13">
        <f>SUMPRODUCT($I$5:$I71,$U$5:$U71)</f>
        <v>12972589.400000004</v>
      </c>
      <c r="V73" s="13">
        <f>SUMPRODUCT($I$5:$I71,$V$5:$V71)</f>
        <v>2748681.3200000012</v>
      </c>
      <c r="W73" s="13">
        <f>SUMPRODUCT($I$5:$I71,$W$5:$W71)</f>
        <v>445314.77308886184</v>
      </c>
      <c r="X73" s="13">
        <f>SUMPRODUCT($I$5:$I71,$X$5:$X71)</f>
        <v>0</v>
      </c>
      <c r="Y73" s="13">
        <f>SUMPRODUCT($I$5:$I71,$Y$5:$Y71)</f>
        <v>0</v>
      </c>
      <c r="Z73" s="13">
        <f>SUMPRODUCT($I$5:$I71,$Z$5:$Z71)</f>
        <v>0</v>
      </c>
      <c r="AA73" s="13">
        <f>SUMPRODUCT($I$5:$I71,$AA$5:$AA71)</f>
        <v>0</v>
      </c>
      <c r="AB73" s="13">
        <f>SUMPRODUCT($I$5:$I71,$AB$5:$AB71)</f>
        <v>16166585.493088868</v>
      </c>
      <c r="AC73" s="13">
        <f>SUMPRODUCT($I$5:$I71,$AC$5:$AC71)</f>
        <v>64256372.585481919</v>
      </c>
      <c r="AD73" s="13">
        <f>SUMPRODUCT($I$5:$I71,$AD$5:$AD71)</f>
        <v>64256372.585481919</v>
      </c>
      <c r="AE73" s="13">
        <f>SUMPRODUCT($I$5:$I71,$AE$5:$AE71)</f>
        <v>0</v>
      </c>
      <c r="AF73" s="13">
        <f>SUMPRODUCT($I$5:$I71,$AF$5:$AF71)</f>
        <v>0</v>
      </c>
      <c r="AG73" s="13">
        <f>SUMPRODUCT($I$5:$I71,$AG$5:$AG71)</f>
        <v>0</v>
      </c>
      <c r="AH73" s="13">
        <f>SUMPRODUCT($I$5:$I71,$AH$5:$AH71)</f>
        <v>5512893.3613592144</v>
      </c>
      <c r="AI73" s="13">
        <f>SUMPRODUCT($I$5:$I71,$AI$5:$AI71)</f>
        <v>95541.369012027222</v>
      </c>
      <c r="AJ73" s="13">
        <f ca="1">SUMPRODUCT($I$5:$I71,$AJ$5:$AJ71)</f>
        <v>644066.69322495651</v>
      </c>
      <c r="AK73" s="13">
        <f ca="1">SUMPRODUCT($I$5:$I71,$AK$5:$AK71)</f>
        <v>125878.08631896085</v>
      </c>
      <c r="AL73" s="13">
        <f ca="1">SUMPRODUCT($I$5:$I71,$AL$5:$AL71)</f>
        <v>6378379.50991516</v>
      </c>
      <c r="AM73" s="13">
        <f ca="1">SUMPRODUCT($I$5:$I71,$AM$5:$AM71)</f>
        <v>141285121.47918466</v>
      </c>
    </row>
    <row r="74" spans="1:42" ht="11.25" customHeight="1" x14ac:dyDescent="0.3">
      <c r="K74" s="16" t="s">
        <v>698</v>
      </c>
      <c r="L74" s="13">
        <f>'TR TUSD'!$L$76</f>
        <v>3263782.2795950784</v>
      </c>
      <c r="M74" s="13">
        <f>'TR TUSD'!$M$76</f>
        <v>333370.91399464809</v>
      </c>
      <c r="N74" s="13">
        <f>'TR TUSD'!$N$76</f>
        <v>1124879.8979031066</v>
      </c>
      <c r="O74" s="13">
        <f>'TR TUSD'!$O$76</f>
        <v>0</v>
      </c>
      <c r="P74" s="13">
        <f>'TR TUSD'!$P$76</f>
        <v>0</v>
      </c>
      <c r="Q74" s="13">
        <f>'TR TUSD'!$Q$76</f>
        <v>41969122.213877276</v>
      </c>
      <c r="R74" s="13">
        <f>'TR TUSD'!$R$76</f>
        <v>7792628.5853286218</v>
      </c>
      <c r="S74" s="13">
        <f>'TR TUSD'!$S$76</f>
        <v>0</v>
      </c>
      <c r="T74" s="13">
        <f>'TR TUSD'!$T$76</f>
        <v>54483783.890698731</v>
      </c>
      <c r="U74" s="13">
        <f>'TR TUSD'!$U$76</f>
        <v>12972589.400000002</v>
      </c>
      <c r="V74" s="13">
        <f>'TR TUSD'!$V$76</f>
        <v>2748681.3200000003</v>
      </c>
      <c r="W74" s="13">
        <f>'TR TUSD'!$W$76</f>
        <v>445314.77308886201</v>
      </c>
      <c r="X74" s="13">
        <f>'TR TUSD'!$X$76</f>
        <v>0</v>
      </c>
      <c r="Y74" s="13">
        <f>'TR TUSD'!$Y$76</f>
        <v>0</v>
      </c>
      <c r="Z74" s="13">
        <f>'TR TUSD'!$Z$76</f>
        <v>0</v>
      </c>
      <c r="AA74" s="13">
        <f>'TR TUSD'!$AA$76</f>
        <v>0</v>
      </c>
      <c r="AB74" s="13">
        <f>'TR TUSD'!$AB$76</f>
        <v>16166585.493088864</v>
      </c>
      <c r="AC74" s="13">
        <f>'TR TUSD'!$AC$76</f>
        <v>64256372.585481919</v>
      </c>
      <c r="AD74" s="13">
        <f>'TR TUSD'!$AD$76</f>
        <v>64256372.585481919</v>
      </c>
      <c r="AE74" s="13">
        <f>'TR TUSD'!$AE$76</f>
        <v>0</v>
      </c>
      <c r="AF74" s="13">
        <f>'TR TUSD'!$AF$76</f>
        <v>0</v>
      </c>
      <c r="AG74" s="13">
        <f>'TR TUSD'!$AG$76</f>
        <v>0</v>
      </c>
      <c r="AH74" s="13">
        <f>'TR TUSD'!$AH$76</f>
        <v>5512893.3613592153</v>
      </c>
      <c r="AI74" s="13">
        <f>'TR TUSD'!$AI$76</f>
        <v>95541.369012027237</v>
      </c>
      <c r="AJ74" s="13">
        <f>'TR TUSD'!$AJ$76</f>
        <v>644066.6932249564</v>
      </c>
      <c r="AK74" s="13">
        <f>'TR TUSD'!$AK$76</f>
        <v>125878.08631896082</v>
      </c>
      <c r="AL74" s="13">
        <f>'TR TUSD'!$AL$76</f>
        <v>6378379.5099151591</v>
      </c>
      <c r="AM74" s="13">
        <f>CUSTOS!$D$29</f>
        <v>141285121.47918469</v>
      </c>
    </row>
    <row r="75" spans="1:42" ht="11.25" customHeight="1" x14ac:dyDescent="0.3">
      <c r="K75" s="16" t="s">
        <v>699</v>
      </c>
      <c r="L75" s="13">
        <f>CUSTOS!$E$2</f>
        <v>-272918.45718012837</v>
      </c>
      <c r="M75" s="13">
        <f>CUSTOS!$E$3</f>
        <v>-716.77332712039424</v>
      </c>
      <c r="N75" s="13">
        <f>CUSTOS!$E$4</f>
        <v>7.8643862956890867E-2</v>
      </c>
      <c r="O75" s="13">
        <f>CUSTOS!$E$5</f>
        <v>0</v>
      </c>
      <c r="P75" s="13">
        <f>CUSTOS!$E$6</f>
        <v>0</v>
      </c>
      <c r="Q75" s="13">
        <f>CUSTOS!$E$7</f>
        <v>-779586.37970133126</v>
      </c>
      <c r="R75" s="13">
        <f>CUSTOS!$E$8</f>
        <v>-214649.38672727766</v>
      </c>
      <c r="S75" s="13">
        <f>CUSTOS!$E$9</f>
        <v>0</v>
      </c>
      <c r="T75" s="13">
        <f>CUSTOS!$E$10</f>
        <v>-1267870.9182919948</v>
      </c>
      <c r="U75" s="13">
        <f>CUSTOS!$E$11</f>
        <v>-188968.60819784435</v>
      </c>
      <c r="V75" s="13">
        <f>CUSTOS!$E$12</f>
        <v>-44420.893552581736</v>
      </c>
      <c r="W75" s="13">
        <f>CUSTOS!$E$13</f>
        <v>-1595.9885302039947</v>
      </c>
      <c r="X75" s="13">
        <f>CUSTOS!$E$14</f>
        <v>0</v>
      </c>
      <c r="Y75" s="13">
        <f>CUSTOS!$E$15</f>
        <v>0</v>
      </c>
      <c r="Z75" s="13">
        <f>CUSTOS!$E$16</f>
        <v>0</v>
      </c>
      <c r="AA75" s="13">
        <f>CUSTOS!$E$17</f>
        <v>0</v>
      </c>
      <c r="AB75" s="13">
        <f>CUSTOS!$E$18</f>
        <v>-234985.49028063007</v>
      </c>
      <c r="AC75" s="13">
        <f>CUSTOS!$E$19</f>
        <v>6947.701001350224</v>
      </c>
      <c r="AD75" s="13">
        <f>CUSTOS!$E$20</f>
        <v>6947.701001350224</v>
      </c>
      <c r="AE75" s="13">
        <f>CUSTOS!$E$21</f>
        <v>0</v>
      </c>
      <c r="AF75" s="13">
        <f>CUSTOS!$E$22</f>
        <v>0</v>
      </c>
      <c r="AG75" s="13">
        <f>CUSTOS!$E$23</f>
        <v>0</v>
      </c>
      <c r="AH75" s="13">
        <f>CUSTOS!$E$24</f>
        <v>2629305.7683312711</v>
      </c>
      <c r="AI75" s="13">
        <f>CUSTOS!$E$25</f>
        <v>45567.264989804564</v>
      </c>
      <c r="AJ75" s="13">
        <f>CUSTOS!$E$26</f>
        <v>307179.5807907487</v>
      </c>
      <c r="AK75" s="13">
        <f>CUSTOS!$E$27</f>
        <v>-7025.3394341108897</v>
      </c>
      <c r="AL75" s="13">
        <f>CUSTOS!$E$28</f>
        <v>2975027.2746777134</v>
      </c>
      <c r="AM75" s="13">
        <f>CUSTOS!$E$29</f>
        <v>1479118.5671064388</v>
      </c>
    </row>
    <row r="76" spans="1:42" ht="11.25" customHeight="1" x14ac:dyDescent="0.3">
      <c r="K76" s="16" t="s">
        <v>700</v>
      </c>
      <c r="L76" s="13">
        <f>CUSTOS!$F$2</f>
        <v>225997.53526647703</v>
      </c>
      <c r="M76" s="13">
        <f>CUSTOS!$F$3</f>
        <v>0</v>
      </c>
      <c r="N76" s="13">
        <f>CUSTOS!$F$4</f>
        <v>0</v>
      </c>
      <c r="O76" s="13">
        <f>CUSTOS!$F$5</f>
        <v>0</v>
      </c>
      <c r="P76" s="13">
        <f>CUSTOS!$F$6</f>
        <v>0</v>
      </c>
      <c r="Q76" s="13">
        <f>CUSTOS!$F$7</f>
        <v>11193747.975400001</v>
      </c>
      <c r="R76" s="13">
        <f>CUSTOS!$F$8</f>
        <v>3001959.0934000001</v>
      </c>
      <c r="S76" s="13">
        <f>CUSTOS!$F$9</f>
        <v>0</v>
      </c>
      <c r="T76" s="13">
        <f>CUSTOS!$F$10</f>
        <v>14421704.604066478</v>
      </c>
      <c r="U76" s="13">
        <f>CUSTOS!$F$11</f>
        <v>1133989.9410540168</v>
      </c>
      <c r="V76" s="13">
        <f>CUSTOS!$F$12</f>
        <v>240274.0788236986</v>
      </c>
      <c r="W76" s="13">
        <f>CUSTOS!$F$13</f>
        <v>0</v>
      </c>
      <c r="X76" s="13">
        <f>CUSTOS!$F$14</f>
        <v>0</v>
      </c>
      <c r="Y76" s="13">
        <f>CUSTOS!$F$15</f>
        <v>0</v>
      </c>
      <c r="Z76" s="13">
        <f>CUSTOS!$F$16</f>
        <v>0</v>
      </c>
      <c r="AA76" s="13">
        <f>CUSTOS!$F$17</f>
        <v>0</v>
      </c>
      <c r="AB76" s="13">
        <f>CUSTOS!$F$18</f>
        <v>1374264.0198777155</v>
      </c>
      <c r="AC76" s="13">
        <f>CUSTOS!$F$19</f>
        <v>0</v>
      </c>
      <c r="AD76" s="13">
        <f>CUSTOS!$F$20</f>
        <v>0</v>
      </c>
      <c r="AE76" s="13">
        <f>CUSTOS!$F$21</f>
        <v>0</v>
      </c>
      <c r="AF76" s="13">
        <f>CUSTOS!$F$22</f>
        <v>0</v>
      </c>
      <c r="AG76" s="13">
        <f>CUSTOS!$F$23</f>
        <v>0</v>
      </c>
      <c r="AH76" s="13">
        <f>CUSTOS!$F$24</f>
        <v>-804303.06857384951</v>
      </c>
      <c r="AI76" s="13">
        <f>CUSTOS!$F$25</f>
        <v>-13938.999221485739</v>
      </c>
      <c r="AJ76" s="13">
        <f>CUSTOS!$F$26</f>
        <v>-93966.05081425418</v>
      </c>
      <c r="AK76" s="13">
        <f>CUSTOS!$F$27</f>
        <v>0</v>
      </c>
      <c r="AL76" s="13">
        <f>CUSTOS!$F$28</f>
        <v>-912208.11860958941</v>
      </c>
      <c r="AM76" s="13">
        <f>CUSTOS!$F$29</f>
        <v>14883760.505334605</v>
      </c>
    </row>
    <row r="77" spans="1:42" ht="11.25" customHeight="1" x14ac:dyDescent="0.3">
      <c r="K77" s="16" t="s">
        <v>763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f>SUM($L$77:$S$77)</f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f>SUM($U$77:$AA$77)</f>
        <v>0</v>
      </c>
      <c r="AC77" s="13">
        <v>0</v>
      </c>
      <c r="AD77" s="13">
        <f>SUM($AC$77:$AC$77)</f>
        <v>0</v>
      </c>
      <c r="AE77" s="13">
        <v>0</v>
      </c>
      <c r="AF77" s="13">
        <v>0</v>
      </c>
      <c r="AG77" s="13">
        <f>SUM($AE$77:$AF$77)</f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f>SUM($AH$77:$AK$77)</f>
        <v>0</v>
      </c>
      <c r="AM77" s="13">
        <f>SUMIF($L$4:$AL$4,"SUBTOTAL",$L$77:$AL$77)</f>
        <v>0</v>
      </c>
    </row>
    <row r="78" spans="1:42" ht="11.25" customHeight="1" x14ac:dyDescent="0.3">
      <c r="K78" s="16" t="s">
        <v>767</v>
      </c>
      <c r="L78" s="13">
        <f t="shared" ref="L78:R78" si="0">IF((L73-(0))&lt;&gt;0,(L75)/(L73-(0)),0)</f>
        <v>-8.362030117216887E-2</v>
      </c>
      <c r="M78" s="13">
        <f t="shared" si="0"/>
        <v>-2.1500775773494792E-3</v>
      </c>
      <c r="N78" s="13">
        <f t="shared" ca="1" si="0"/>
        <v>6.9913119705927059E-8</v>
      </c>
      <c r="O78" s="13">
        <f t="shared" si="0"/>
        <v>0</v>
      </c>
      <c r="P78" s="13">
        <f t="shared" si="0"/>
        <v>0</v>
      </c>
      <c r="Q78" s="13">
        <f t="shared" si="0"/>
        <v>-1.8575236711611695E-2</v>
      </c>
      <c r="R78" s="13">
        <f t="shared" si="0"/>
        <v>-2.7545183807605494E-2</v>
      </c>
      <c r="S78" s="13">
        <f>IF((R73-(0)&lt;&gt;0),(S75)/(R73-(0)),0)</f>
        <v>0</v>
      </c>
      <c r="T78" s="13"/>
      <c r="U78" s="13">
        <f t="shared" ref="U78:AA78" si="1">IF((U73-(0))&lt;&gt;0,(U75)/(U73-(0)),0)</f>
        <v>-1.4566760911884276E-2</v>
      </c>
      <c r="V78" s="13">
        <f t="shared" si="1"/>
        <v>-1.6160801628535722E-2</v>
      </c>
      <c r="W78" s="13">
        <f t="shared" si="1"/>
        <v>-3.583955949032748E-3</v>
      </c>
      <c r="X78" s="13">
        <f t="shared" si="1"/>
        <v>0</v>
      </c>
      <c r="Y78" s="13">
        <f t="shared" si="1"/>
        <v>0</v>
      </c>
      <c r="Z78" s="13">
        <f t="shared" si="1"/>
        <v>0</v>
      </c>
      <c r="AA78" s="13">
        <f t="shared" si="1"/>
        <v>0</v>
      </c>
      <c r="AB78" s="13"/>
      <c r="AC78" s="13">
        <f>IF((AC73-(0))&lt;&gt;0,(AC75)/(AC73-(0)),0)</f>
        <v>1.0812469988260724E-4</v>
      </c>
      <c r="AD78" s="13"/>
      <c r="AE78" s="13">
        <f ca="1">IF(($AM73-(0))&lt;&gt;0,(AE75)/($AM73-(0)),0)</f>
        <v>0</v>
      </c>
      <c r="AF78" s="13">
        <f ca="1">IF(($AM73-(0))&lt;&gt;0,(AF75)/($AM73-(0)),0)</f>
        <v>0</v>
      </c>
      <c r="AG78" s="13"/>
      <c r="AH78" s="13">
        <f>IF((AH73-(0))&lt;&gt;0,(AH75)/(AH73-(0)),0)</f>
        <v>0.4769375346094144</v>
      </c>
      <c r="AI78" s="13">
        <f>IF((AI73-(0))&lt;&gt;0,(AI75)/(AI73-(0)),0)</f>
        <v>0.4769375346094144</v>
      </c>
      <c r="AJ78" s="13">
        <f ca="1">IF((AJ73-(0))&lt;&gt;0,(AJ75)/(AJ73-(0)),0)</f>
        <v>0.47693753460941429</v>
      </c>
      <c r="AK78" s="13">
        <f ca="1">IF((AK73-(0))&lt;&gt;0,(AK75)/(AK73-(0)),0)</f>
        <v>-5.5810662836972856E-2</v>
      </c>
      <c r="AL78" s="13"/>
      <c r="AM78" s="13"/>
    </row>
  </sheetData>
  <mergeCells count="103">
    <mergeCell ref="E65:E67"/>
    <mergeCell ref="F65:F67"/>
    <mergeCell ref="A70:A71"/>
    <mergeCell ref="B70:B71"/>
    <mergeCell ref="C70:C71"/>
    <mergeCell ref="B62:B64"/>
    <mergeCell ref="C62:C64"/>
    <mergeCell ref="A65:A69"/>
    <mergeCell ref="B65:B67"/>
    <mergeCell ref="C65:C67"/>
    <mergeCell ref="D65:D67"/>
    <mergeCell ref="F54:F56"/>
    <mergeCell ref="B58:B60"/>
    <mergeCell ref="C58:C60"/>
    <mergeCell ref="D58:D60"/>
    <mergeCell ref="E58:E60"/>
    <mergeCell ref="F58:F60"/>
    <mergeCell ref="A50:A64"/>
    <mergeCell ref="B50:B52"/>
    <mergeCell ref="C50:C52"/>
    <mergeCell ref="D50:D52"/>
    <mergeCell ref="E50:E52"/>
    <mergeCell ref="F50:F52"/>
    <mergeCell ref="B54:B56"/>
    <mergeCell ref="C54:C56"/>
    <mergeCell ref="D54:D56"/>
    <mergeCell ref="E54:E56"/>
    <mergeCell ref="A37:A49"/>
    <mergeCell ref="B37:B39"/>
    <mergeCell ref="C37:C39"/>
    <mergeCell ref="D37:D39"/>
    <mergeCell ref="E37:E39"/>
    <mergeCell ref="F37:F39"/>
    <mergeCell ref="B40:B44"/>
    <mergeCell ref="C40:C44"/>
    <mergeCell ref="B45:B49"/>
    <mergeCell ref="C45:C49"/>
    <mergeCell ref="B33:B34"/>
    <mergeCell ref="C33:C34"/>
    <mergeCell ref="D33:D34"/>
    <mergeCell ref="E33:E34"/>
    <mergeCell ref="F33:F34"/>
    <mergeCell ref="A35:A36"/>
    <mergeCell ref="B35:B36"/>
    <mergeCell ref="C35:C36"/>
    <mergeCell ref="D35:D36"/>
    <mergeCell ref="A24:A34"/>
    <mergeCell ref="B24:B27"/>
    <mergeCell ref="B28:B32"/>
    <mergeCell ref="C28:C32"/>
    <mergeCell ref="D28:D32"/>
    <mergeCell ref="E28:E30"/>
    <mergeCell ref="F28:F30"/>
    <mergeCell ref="E31:E32"/>
    <mergeCell ref="F31:F32"/>
    <mergeCell ref="F19:F21"/>
    <mergeCell ref="E22:E23"/>
    <mergeCell ref="F22:F23"/>
    <mergeCell ref="C24:C27"/>
    <mergeCell ref="D24:D27"/>
    <mergeCell ref="E24:E26"/>
    <mergeCell ref="F24:F26"/>
    <mergeCell ref="A14:A23"/>
    <mergeCell ref="B14:B17"/>
    <mergeCell ref="C14:C17"/>
    <mergeCell ref="D14:D17"/>
    <mergeCell ref="E14:E16"/>
    <mergeCell ref="F14:F16"/>
    <mergeCell ref="B19:B23"/>
    <mergeCell ref="C19:C23"/>
    <mergeCell ref="D19:D23"/>
    <mergeCell ref="E19:E21"/>
    <mergeCell ref="A9:A13"/>
    <mergeCell ref="B9:B12"/>
    <mergeCell ref="C9:C12"/>
    <mergeCell ref="D9:D12"/>
    <mergeCell ref="E9:E11"/>
    <mergeCell ref="F9:F11"/>
    <mergeCell ref="AE3:AG3"/>
    <mergeCell ref="AH3:AL3"/>
    <mergeCell ref="AM3:AM4"/>
    <mergeCell ref="A5:A8"/>
    <mergeCell ref="B5:B8"/>
    <mergeCell ref="C5:C8"/>
    <mergeCell ref="D5:D8"/>
    <mergeCell ref="E5:E7"/>
    <mergeCell ref="F5:F7"/>
    <mergeCell ref="G1:G4"/>
    <mergeCell ref="H1:H4"/>
    <mergeCell ref="I1:I4"/>
    <mergeCell ref="J1:J4"/>
    <mergeCell ref="L1:AM1"/>
    <mergeCell ref="AP1:AP4"/>
    <mergeCell ref="L2:AM2"/>
    <mergeCell ref="L3:T3"/>
    <mergeCell ref="U3:AB3"/>
    <mergeCell ref="AC3:AD3"/>
    <mergeCell ref="A1:A4"/>
    <mergeCell ref="B1:B4"/>
    <mergeCell ref="C1:C4"/>
    <mergeCell ref="D1:D4"/>
    <mergeCell ref="E1:E4"/>
    <mergeCell ref="F1:F4"/>
  </mergeCells>
  <conditionalFormatting sqref="L73">
    <cfRule type="cellIs" dxfId="1337" priority="55" operator="notEqual">
      <formula>$L$74-$L$77</formula>
    </cfRule>
    <cfRule type="cellIs" dxfId="1336" priority="56" operator="equal">
      <formula>$L$74-$L$77</formula>
    </cfRule>
  </conditionalFormatting>
  <conditionalFormatting sqref="M73">
    <cfRule type="cellIs" dxfId="1335" priority="53" operator="notEqual">
      <formula>$M$74-$M$77</formula>
    </cfRule>
    <cfRule type="cellIs" dxfId="1334" priority="54" operator="equal">
      <formula>$M$74-$M$77</formula>
    </cfRule>
  </conditionalFormatting>
  <conditionalFormatting sqref="N73">
    <cfRule type="cellIs" dxfId="1333" priority="51" operator="notEqual">
      <formula>$N$74-$N$77</formula>
    </cfRule>
    <cfRule type="cellIs" dxfId="1332" priority="52" operator="equal">
      <formula>$N$74-$N$77</formula>
    </cfRule>
  </conditionalFormatting>
  <conditionalFormatting sqref="O73">
    <cfRule type="cellIs" dxfId="1331" priority="49" operator="notEqual">
      <formula>$O$74-$O$77</formula>
    </cfRule>
    <cfRule type="cellIs" dxfId="1330" priority="50" operator="equal">
      <formula>$O$74-$O$77</formula>
    </cfRule>
  </conditionalFormatting>
  <conditionalFormatting sqref="P73">
    <cfRule type="cellIs" dxfId="1329" priority="47" operator="notEqual">
      <formula>$P$74-$P$77</formula>
    </cfRule>
    <cfRule type="cellIs" dxfId="1328" priority="48" operator="equal">
      <formula>$P$74-$P$77</formula>
    </cfRule>
  </conditionalFormatting>
  <conditionalFormatting sqref="Q73">
    <cfRule type="cellIs" dxfId="1327" priority="45" operator="notEqual">
      <formula>$Q$74-$Q$77</formula>
    </cfRule>
    <cfRule type="cellIs" dxfId="1326" priority="46" operator="equal">
      <formula>$Q$74-$Q$77</formula>
    </cfRule>
  </conditionalFormatting>
  <conditionalFormatting sqref="R73">
    <cfRule type="cellIs" dxfId="1325" priority="43" operator="notEqual">
      <formula>$R$74-$R$77</formula>
    </cfRule>
    <cfRule type="cellIs" dxfId="1324" priority="44" operator="equal">
      <formula>$R$74-$R$77</formula>
    </cfRule>
  </conditionalFormatting>
  <conditionalFormatting sqref="S73">
    <cfRule type="cellIs" dxfId="1323" priority="41" operator="notEqual">
      <formula>$S$74-$S$77</formula>
    </cfRule>
    <cfRule type="cellIs" dxfId="1322" priority="42" operator="equal">
      <formula>$S$74-$S$77</formula>
    </cfRule>
  </conditionalFormatting>
  <conditionalFormatting sqref="T73">
    <cfRule type="cellIs" dxfId="1321" priority="39" operator="notEqual">
      <formula>$T$74-$T$77</formula>
    </cfRule>
    <cfRule type="cellIs" dxfId="1320" priority="40" operator="equal">
      <formula>$T$74-$T$77</formula>
    </cfRule>
  </conditionalFormatting>
  <conditionalFormatting sqref="U73">
    <cfRule type="cellIs" dxfId="1319" priority="37" operator="notEqual">
      <formula>$U$74-$U$77</formula>
    </cfRule>
    <cfRule type="cellIs" dxfId="1318" priority="38" operator="equal">
      <formula>$U$74-$U$77</formula>
    </cfRule>
  </conditionalFormatting>
  <conditionalFormatting sqref="V73">
    <cfRule type="cellIs" dxfId="1317" priority="35" operator="notEqual">
      <formula>$V$74-$V$77</formula>
    </cfRule>
    <cfRule type="cellIs" dxfId="1316" priority="36" operator="equal">
      <formula>$V$74-$V$77</formula>
    </cfRule>
  </conditionalFormatting>
  <conditionalFormatting sqref="W73">
    <cfRule type="cellIs" dxfId="1315" priority="33" operator="notEqual">
      <formula>$W$74-$W$77</formula>
    </cfRule>
    <cfRule type="cellIs" dxfId="1314" priority="34" operator="equal">
      <formula>$W$74-$W$77</formula>
    </cfRule>
  </conditionalFormatting>
  <conditionalFormatting sqref="X73">
    <cfRule type="cellIs" dxfId="1313" priority="31" operator="notEqual">
      <formula>$X$74-$X$77</formula>
    </cfRule>
    <cfRule type="cellIs" dxfId="1312" priority="32" operator="equal">
      <formula>$X$74-$X$77</formula>
    </cfRule>
  </conditionalFormatting>
  <conditionalFormatting sqref="Y73">
    <cfRule type="cellIs" dxfId="1311" priority="29" operator="notEqual">
      <formula>$Y$74-$Y$77</formula>
    </cfRule>
    <cfRule type="cellIs" dxfId="1310" priority="30" operator="equal">
      <formula>$Y$74-$Y$77</formula>
    </cfRule>
  </conditionalFormatting>
  <conditionalFormatting sqref="Z73">
    <cfRule type="cellIs" dxfId="1309" priority="27" operator="notEqual">
      <formula>$Z$74-$Z$77</formula>
    </cfRule>
    <cfRule type="cellIs" dxfId="1308" priority="28" operator="equal">
      <formula>$Z$74-$Z$77</formula>
    </cfRule>
  </conditionalFormatting>
  <conditionalFormatting sqref="AA73">
    <cfRule type="cellIs" dxfId="1307" priority="25" operator="notEqual">
      <formula>$AA$74-$AA$77</formula>
    </cfRule>
    <cfRule type="cellIs" dxfId="1306" priority="26" operator="equal">
      <formula>$AA$74-$AA$77</formula>
    </cfRule>
  </conditionalFormatting>
  <conditionalFormatting sqref="AB73">
    <cfRule type="cellIs" dxfId="1305" priority="23" operator="notEqual">
      <formula>$AB$74-$AB$77</formula>
    </cfRule>
    <cfRule type="cellIs" dxfId="1304" priority="24" operator="equal">
      <formula>$AB$74-$AB$77</formula>
    </cfRule>
  </conditionalFormatting>
  <conditionalFormatting sqref="AC73">
    <cfRule type="cellIs" dxfId="1303" priority="21" operator="notEqual">
      <formula>$AC$74-$AC$77</formula>
    </cfRule>
    <cfRule type="cellIs" dxfId="1302" priority="22" operator="equal">
      <formula>$AC$74-$AC$77</formula>
    </cfRule>
  </conditionalFormatting>
  <conditionalFormatting sqref="AD73">
    <cfRule type="cellIs" dxfId="1301" priority="19" operator="notEqual">
      <formula>$AD$74-$AD$77</formula>
    </cfRule>
    <cfRule type="cellIs" dxfId="1300" priority="20" operator="equal">
      <formula>$AD$74-$AD$77</formula>
    </cfRule>
  </conditionalFormatting>
  <conditionalFormatting sqref="AE73">
    <cfRule type="cellIs" dxfId="1299" priority="17" operator="notEqual">
      <formula>$AE$74-$AE$77</formula>
    </cfRule>
    <cfRule type="cellIs" dxfId="1298" priority="18" operator="equal">
      <formula>$AE$74-$AE$77</formula>
    </cfRule>
  </conditionalFormatting>
  <conditionalFormatting sqref="AF73">
    <cfRule type="cellIs" dxfId="1297" priority="16" operator="equal">
      <formula>$AF$74-$AF$77</formula>
    </cfRule>
  </conditionalFormatting>
  <conditionalFormatting sqref="AF73">
    <cfRule type="cellIs" dxfId="1296" priority="15" operator="notEqual">
      <formula>$AF$74-$AF$77</formula>
    </cfRule>
  </conditionalFormatting>
  <conditionalFormatting sqref="AG73">
    <cfRule type="cellIs" dxfId="1295" priority="14" operator="equal">
      <formula>$AG$74-$AG$77</formula>
    </cfRule>
  </conditionalFormatting>
  <conditionalFormatting sqref="AG73">
    <cfRule type="cellIs" dxfId="1294" priority="13" operator="notEqual">
      <formula>$AG$74-$AG$77</formula>
    </cfRule>
  </conditionalFormatting>
  <conditionalFormatting sqref="AH73">
    <cfRule type="cellIs" dxfId="1293" priority="12" operator="equal">
      <formula>$AH$74-$AH$77</formula>
    </cfRule>
  </conditionalFormatting>
  <conditionalFormatting sqref="AH73">
    <cfRule type="cellIs" dxfId="1292" priority="11" operator="notEqual">
      <formula>$AH$74-$AH$77</formula>
    </cfRule>
  </conditionalFormatting>
  <conditionalFormatting sqref="AI73">
    <cfRule type="cellIs" dxfId="1291" priority="10" operator="equal">
      <formula>$AI$74-$AI$77</formula>
    </cfRule>
  </conditionalFormatting>
  <conditionalFormatting sqref="AI73">
    <cfRule type="cellIs" dxfId="1290" priority="9" operator="notEqual">
      <formula>$AI$74-$AI$77</formula>
    </cfRule>
  </conditionalFormatting>
  <conditionalFormatting sqref="AJ73">
    <cfRule type="cellIs" dxfId="1289" priority="8" operator="equal">
      <formula>$AJ$74-$AJ$77</formula>
    </cfRule>
  </conditionalFormatting>
  <conditionalFormatting sqref="AJ73">
    <cfRule type="cellIs" dxfId="1288" priority="7" operator="notEqual">
      <formula>$AJ$74-$AJ$77</formula>
    </cfRule>
  </conditionalFormatting>
  <conditionalFormatting sqref="AK73">
    <cfRule type="cellIs" dxfId="1287" priority="6" operator="equal">
      <formula>$AK$74-$AK$77</formula>
    </cfRule>
  </conditionalFormatting>
  <conditionalFormatting sqref="AK73">
    <cfRule type="cellIs" dxfId="1286" priority="5" operator="notEqual">
      <formula>$AK$74-$AK$77</formula>
    </cfRule>
  </conditionalFormatting>
  <conditionalFormatting sqref="AL73">
    <cfRule type="cellIs" dxfId="1285" priority="4" operator="equal">
      <formula>$AL$74-$AL$77</formula>
    </cfRule>
  </conditionalFormatting>
  <conditionalFormatting sqref="AL73">
    <cfRule type="cellIs" dxfId="1284" priority="3" operator="notEqual">
      <formula>$AL$74-$AL$77</formula>
    </cfRule>
  </conditionalFormatting>
  <conditionalFormatting sqref="AM73">
    <cfRule type="cellIs" dxfId="1283" priority="2" operator="equal">
      <formula>$AM$74-$AM$77</formula>
    </cfRule>
  </conditionalFormatting>
  <conditionalFormatting sqref="AM73">
    <cfRule type="cellIs" dxfId="1282" priority="1" operator="notEqual">
      <formula>$AM$74-$AM$77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EC7CD-469F-4B43-87DD-0F0CA13226C5}">
  <sheetPr codeName="Planilha10"/>
  <dimension ref="A1:AP78"/>
  <sheetViews>
    <sheetView showGridLines="0" topLeftCell="X56" workbookViewId="0">
      <selection activeCell="AO73" sqref="AO73:AP75"/>
    </sheetView>
  </sheetViews>
  <sheetFormatPr defaultRowHeight="11.25" customHeight="1" x14ac:dyDescent="0.3"/>
  <cols>
    <col min="1" max="1" width="9" style="9" bestFit="1" customWidth="1"/>
    <col min="2" max="2" width="19.441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4.109375" style="9" bestFit="1" customWidth="1"/>
    <col min="12" max="12" width="12.44140625" style="9" bestFit="1" customWidth="1"/>
    <col min="13" max="13" width="7.88671875" style="9" bestFit="1" customWidth="1"/>
    <col min="14" max="14" width="9.109375" style="9" bestFit="1" customWidth="1"/>
    <col min="15" max="15" width="3.88671875" style="9" bestFit="1" customWidth="1"/>
    <col min="16" max="16" width="3.77734375" style="9" bestFit="1" customWidth="1"/>
    <col min="17" max="17" width="9.88671875" style="9" bestFit="1" customWidth="1"/>
    <col min="18" max="18" width="9.109375" style="9" bestFit="1" customWidth="1"/>
    <col min="19" max="19" width="8" style="9" bestFit="1" customWidth="1"/>
    <col min="20" max="21" width="9.88671875" style="9" bestFit="1" customWidth="1"/>
    <col min="22" max="22" width="9.109375" style="9" bestFit="1" customWidth="1"/>
    <col min="23" max="23" width="9.21875" style="9" bestFit="1" customWidth="1"/>
    <col min="24" max="24" width="9.33203125" style="9" bestFit="1" customWidth="1"/>
    <col min="25" max="25" width="4.77734375" style="9" bestFit="1" customWidth="1"/>
    <col min="26" max="26" width="7.109375" style="9" bestFit="1" customWidth="1"/>
    <col min="27" max="27" width="9.33203125" style="9" bestFit="1" customWidth="1"/>
    <col min="28" max="28" width="9.88671875" style="9" bestFit="1" customWidth="1"/>
    <col min="29" max="29" width="11.109375" style="9" bestFit="1" customWidth="1"/>
    <col min="30" max="30" width="9.88671875" style="9" bestFit="1" customWidth="1"/>
    <col min="31" max="31" width="7.77734375" style="9" bestFit="1" customWidth="1"/>
    <col min="32" max="32" width="6.88671875" style="9" bestFit="1" customWidth="1"/>
    <col min="33" max="33" width="8.5546875" style="9" bestFit="1" customWidth="1"/>
    <col min="34" max="34" width="14.44140625" style="9" bestFit="1" customWidth="1"/>
    <col min="35" max="35" width="17.5546875" style="9" bestFit="1" customWidth="1"/>
    <col min="36" max="36" width="18.109375" style="9" bestFit="1" customWidth="1"/>
    <col min="37" max="37" width="7.88671875" style="9" bestFit="1" customWidth="1"/>
    <col min="38" max="38" width="9.5546875" style="9" bestFit="1" customWidth="1"/>
    <col min="39" max="39" width="10.6640625" style="9" bestFit="1" customWidth="1"/>
    <col min="40" max="40" width="8.88671875" style="9"/>
    <col min="41" max="42" width="10.6640625" style="9" bestFit="1" customWidth="1"/>
    <col min="43" max="16384" width="8.88671875" style="9"/>
  </cols>
  <sheetData>
    <row r="1" spans="1:42" ht="11.25" customHeight="1" x14ac:dyDescent="0.3">
      <c r="A1" s="127" t="s">
        <v>68</v>
      </c>
      <c r="B1" s="127" t="s">
        <v>69</v>
      </c>
      <c r="C1" s="127" t="s">
        <v>70</v>
      </c>
      <c r="D1" s="127" t="s">
        <v>71</v>
      </c>
      <c r="E1" s="127" t="s">
        <v>72</v>
      </c>
      <c r="F1" s="127" t="s">
        <v>15</v>
      </c>
      <c r="G1" s="127" t="s">
        <v>74</v>
      </c>
      <c r="H1" s="127" t="s">
        <v>75</v>
      </c>
      <c r="I1" s="127" t="s">
        <v>757</v>
      </c>
      <c r="J1" s="123"/>
      <c r="L1" s="125" t="s">
        <v>774</v>
      </c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O1" s="20"/>
      <c r="AP1" s="130" t="s">
        <v>759</v>
      </c>
    </row>
    <row r="2" spans="1:42" ht="11.25" customHeight="1" x14ac:dyDescent="0.3">
      <c r="A2" s="127"/>
      <c r="B2" s="127"/>
      <c r="C2" s="127"/>
      <c r="D2" s="127"/>
      <c r="E2" s="127"/>
      <c r="F2" s="127"/>
      <c r="G2" s="127"/>
      <c r="H2" s="127"/>
      <c r="I2" s="127"/>
      <c r="J2" s="123"/>
      <c r="L2" s="125" t="s">
        <v>656</v>
      </c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O2" s="20"/>
      <c r="AP2" s="131"/>
    </row>
    <row r="3" spans="1:42" ht="11.25" customHeight="1" x14ac:dyDescent="0.3">
      <c r="A3" s="127"/>
      <c r="B3" s="127"/>
      <c r="C3" s="127"/>
      <c r="D3" s="127"/>
      <c r="E3" s="127"/>
      <c r="F3" s="127"/>
      <c r="G3" s="127"/>
      <c r="H3" s="127"/>
      <c r="I3" s="127"/>
      <c r="J3" s="123"/>
      <c r="L3" s="125" t="s">
        <v>657</v>
      </c>
      <c r="M3" s="125"/>
      <c r="N3" s="125"/>
      <c r="O3" s="125"/>
      <c r="P3" s="125"/>
      <c r="Q3" s="125"/>
      <c r="R3" s="125"/>
      <c r="S3" s="125"/>
      <c r="T3" s="125"/>
      <c r="U3" s="125" t="s">
        <v>666</v>
      </c>
      <c r="V3" s="125"/>
      <c r="W3" s="125"/>
      <c r="X3" s="125"/>
      <c r="Y3" s="125"/>
      <c r="Z3" s="125"/>
      <c r="AA3" s="125"/>
      <c r="AB3" s="125"/>
      <c r="AC3" s="125" t="s">
        <v>674</v>
      </c>
      <c r="AD3" s="125"/>
      <c r="AE3" s="125" t="s">
        <v>676</v>
      </c>
      <c r="AF3" s="125"/>
      <c r="AG3" s="125"/>
      <c r="AH3" s="125" t="s">
        <v>679</v>
      </c>
      <c r="AI3" s="125"/>
      <c r="AJ3" s="125"/>
      <c r="AK3" s="125"/>
      <c r="AL3" s="125"/>
      <c r="AM3" s="125" t="s">
        <v>665</v>
      </c>
      <c r="AO3" s="20"/>
      <c r="AP3" s="131"/>
    </row>
    <row r="4" spans="1:42" ht="11.25" customHeight="1" x14ac:dyDescent="0.3">
      <c r="A4" s="127"/>
      <c r="B4" s="127"/>
      <c r="C4" s="127"/>
      <c r="D4" s="127"/>
      <c r="E4" s="127"/>
      <c r="F4" s="127"/>
      <c r="G4" s="127"/>
      <c r="H4" s="127"/>
      <c r="I4" s="127"/>
      <c r="J4" s="123"/>
      <c r="L4" s="10" t="s">
        <v>742</v>
      </c>
      <c r="M4" s="10" t="s">
        <v>658</v>
      </c>
      <c r="N4" s="10" t="s">
        <v>659</v>
      </c>
      <c r="O4" s="10" t="s">
        <v>660</v>
      </c>
      <c r="P4" s="10" t="s">
        <v>661</v>
      </c>
      <c r="Q4" s="10" t="s">
        <v>662</v>
      </c>
      <c r="R4" s="10" t="s">
        <v>663</v>
      </c>
      <c r="S4" s="10" t="s">
        <v>664</v>
      </c>
      <c r="T4" s="10" t="s">
        <v>665</v>
      </c>
      <c r="U4" s="10" t="s">
        <v>667</v>
      </c>
      <c r="V4" s="10" t="s">
        <v>668</v>
      </c>
      <c r="W4" s="10" t="s">
        <v>669</v>
      </c>
      <c r="X4" s="10" t="s">
        <v>670</v>
      </c>
      <c r="Y4" s="10" t="s">
        <v>671</v>
      </c>
      <c r="Z4" s="10" t="s">
        <v>672</v>
      </c>
      <c r="AA4" s="10" t="s">
        <v>673</v>
      </c>
      <c r="AB4" s="10" t="s">
        <v>665</v>
      </c>
      <c r="AC4" s="10" t="s">
        <v>675</v>
      </c>
      <c r="AD4" s="10" t="s">
        <v>665</v>
      </c>
      <c r="AE4" s="10" t="s">
        <v>677</v>
      </c>
      <c r="AF4" s="10" t="s">
        <v>678</v>
      </c>
      <c r="AG4" s="10" t="s">
        <v>665</v>
      </c>
      <c r="AH4" s="10" t="s">
        <v>680</v>
      </c>
      <c r="AI4" s="10" t="s">
        <v>681</v>
      </c>
      <c r="AJ4" s="10" t="s">
        <v>682</v>
      </c>
      <c r="AK4" s="10" t="s">
        <v>683</v>
      </c>
      <c r="AL4" s="10" t="s">
        <v>665</v>
      </c>
      <c r="AM4" s="129"/>
      <c r="AO4" s="21" t="s">
        <v>776</v>
      </c>
      <c r="AP4" s="132"/>
    </row>
    <row r="5" spans="1:42" ht="11.25" customHeight="1" x14ac:dyDescent="0.3">
      <c r="A5" s="128" t="s">
        <v>54</v>
      </c>
      <c r="B5" s="128" t="s">
        <v>40</v>
      </c>
      <c r="C5" s="128" t="s">
        <v>25</v>
      </c>
      <c r="D5" s="128" t="s">
        <v>25</v>
      </c>
      <c r="E5" s="128" t="s">
        <v>25</v>
      </c>
      <c r="F5" s="128" t="s">
        <v>25</v>
      </c>
      <c r="G5" s="18" t="s">
        <v>82</v>
      </c>
      <c r="H5" s="18" t="s">
        <v>81</v>
      </c>
      <c r="I5" s="18">
        <f>'MERCADO TUSD'!$U$2</f>
        <v>45208</v>
      </c>
      <c r="J5" s="15"/>
      <c r="L5" s="13">
        <f>'TUSD BE'!$L$5*'TUSD BE'!$L$78</f>
        <v>0</v>
      </c>
      <c r="M5" s="13">
        <f>'TUSD BE'!$M$5*'TUSD BE'!$M$78</f>
        <v>0</v>
      </c>
      <c r="N5" s="13">
        <f ca="1">'TUSD BE'!$N$5*'TUSD BE'!$N$78</f>
        <v>0</v>
      </c>
      <c r="O5" s="13">
        <f>'TUSD BE'!$O$5*'TUSD BE'!$O$78</f>
        <v>0</v>
      </c>
      <c r="P5" s="13">
        <f>'TUSD BE'!$P$5*'TUSD BE'!$P$78</f>
        <v>0</v>
      </c>
      <c r="Q5" s="13">
        <f>'TUSD BE'!$Q$5*'TUSD BE'!$Q$78</f>
        <v>0</v>
      </c>
      <c r="R5" s="13">
        <f>'TUSD BE'!$R$5*'TUSD BE'!$R$78</f>
        <v>0</v>
      </c>
      <c r="S5" s="13">
        <f>'TUSD BE'!$R$5*'TUSD BE'!$S$78</f>
        <v>0</v>
      </c>
      <c r="T5" s="13">
        <f ca="1">SUM($L$5:$S$5)</f>
        <v>0</v>
      </c>
      <c r="U5" s="13">
        <f>'TUSD BE'!$U$5*'TUSD BE'!$U$78</f>
        <v>-9.6176905079021838E-2</v>
      </c>
      <c r="V5" s="13">
        <f>'TUSD BE'!$V$5*'TUSD BE'!$V$78</f>
        <v>-2.1536170733840052E-2</v>
      </c>
      <c r="W5" s="13">
        <f>'TUSD BE'!$W$5*'TUSD BE'!$W$78</f>
        <v>-7.5255284942341797E-4</v>
      </c>
      <c r="X5" s="13">
        <f>'TUSD BE'!$X$5*'TUSD BE'!$X$78</f>
        <v>0</v>
      </c>
      <c r="Y5" s="13">
        <f>'TUSD BE'!$Y$5*'TUSD BE'!$Y$78</f>
        <v>0</v>
      </c>
      <c r="Z5" s="13">
        <f>'TUSD BE'!$Z$5*'TUSD BE'!$Z$78</f>
        <v>0</v>
      </c>
      <c r="AA5" s="13">
        <f>'TUSD BE'!$AA$5*'TUSD BE'!$AA$78</f>
        <v>0</v>
      </c>
      <c r="AB5" s="13">
        <f>SUM($U$5:$AA$5)</f>
        <v>-0.11846562866228531</v>
      </c>
      <c r="AC5" s="13">
        <f>'TUSD BE'!$AC$5*'TUSD BE'!$AC$78</f>
        <v>1.3531476769723736E-3</v>
      </c>
      <c r="AD5" s="13">
        <f>SUM($AC$5:$AC$5)</f>
        <v>1.3531476769723736E-3</v>
      </c>
      <c r="AE5" s="13">
        <f ca="1">$AO$5*$AO$75</f>
        <v>0</v>
      </c>
      <c r="AF5" s="13">
        <f ca="1">$AP$5*$AP$75</f>
        <v>0</v>
      </c>
      <c r="AG5" s="13">
        <f ca="1">SUM($AE$5:$AF$5)</f>
        <v>0</v>
      </c>
      <c r="AH5" s="13">
        <f>'TUSD BE'!$AH$5*'TUSD BE'!$AH$78</f>
        <v>0</v>
      </c>
      <c r="AI5" s="13">
        <f>'TUSD BE'!$AI$5*'TUSD BE'!$AI$78</f>
        <v>0</v>
      </c>
      <c r="AJ5" s="13">
        <f ca="1">'TUSD BE'!$AJ$5*'TUSD BE'!$AJ$78</f>
        <v>0</v>
      </c>
      <c r="AK5" s="13">
        <f ca="1">'TUSD BE'!$AK$5*'TUSD BE'!$AK$78</f>
        <v>0</v>
      </c>
      <c r="AL5" s="13">
        <f ca="1">SUM($AH$5:$AK$5)</f>
        <v>0</v>
      </c>
      <c r="AM5" s="13">
        <f ca="1">SUMIF($L$4:$AL$4,"SUBTOTAL",$L$5:$AL$5)</f>
        <v>-0.11711248098531293</v>
      </c>
      <c r="AO5" s="20">
        <f ca="1">+'TUSD BE'!$T$5+'TUSD BE'!$AB$5+'TUSD BE'!$AD$5+'TUSD BE'!$AL$5</f>
        <v>20.659782135906788</v>
      </c>
      <c r="AP5" s="20">
        <f ca="1">+'TUSD BE'!$T$5+'TUSD BE'!$AB$5+'TUSD BE'!$AD$5+'TUSD BE'!$AL$5</f>
        <v>20.659782135906788</v>
      </c>
    </row>
    <row r="6" spans="1:42" ht="11.25" customHeight="1" x14ac:dyDescent="0.3">
      <c r="A6" s="128"/>
      <c r="B6" s="128"/>
      <c r="C6" s="128"/>
      <c r="D6" s="128"/>
      <c r="E6" s="128"/>
      <c r="F6" s="128"/>
      <c r="G6" s="18" t="s">
        <v>83</v>
      </c>
      <c r="H6" s="18" t="s">
        <v>81</v>
      </c>
      <c r="I6" s="18">
        <f>'MERCADO TUSD'!$U$3</f>
        <v>240000</v>
      </c>
      <c r="J6" s="15"/>
      <c r="L6" s="13">
        <f>'TUSD BE'!$L$6*'TUSD BE'!$L$78</f>
        <v>0</v>
      </c>
      <c r="M6" s="13">
        <f>'TUSD BE'!$M$6*'TUSD BE'!$M$78</f>
        <v>0</v>
      </c>
      <c r="N6" s="13">
        <f ca="1">'TUSD BE'!$N$6*'TUSD BE'!$N$78</f>
        <v>0</v>
      </c>
      <c r="O6" s="13">
        <f>'TUSD BE'!$O$6*'TUSD BE'!$O$78</f>
        <v>0</v>
      </c>
      <c r="P6" s="13">
        <f>'TUSD BE'!$P$6*'TUSD BE'!$P$78</f>
        <v>0</v>
      </c>
      <c r="Q6" s="13">
        <f>'TUSD BE'!$Q$6*'TUSD BE'!$Q$78</f>
        <v>0</v>
      </c>
      <c r="R6" s="13">
        <f>'TUSD BE'!$R$6*'TUSD BE'!$R$78</f>
        <v>0</v>
      </c>
      <c r="S6" s="13">
        <f>'TUSD BE'!$R$6*'TUSD BE'!$S$78</f>
        <v>0</v>
      </c>
      <c r="T6" s="13">
        <f ca="1">SUM($L$6:$S$6)</f>
        <v>0</v>
      </c>
      <c r="U6" s="13">
        <f>'TUSD BE'!$U$6*'TUSD BE'!$U$78</f>
        <v>-7.1504650754551577E-2</v>
      </c>
      <c r="V6" s="13">
        <f>'TUSD BE'!$V$6*'TUSD BE'!$V$78</f>
        <v>-1.6140151177176095E-2</v>
      </c>
      <c r="W6" s="13">
        <f>'TUSD BE'!$W$6*'TUSD BE'!$W$78</f>
        <v>-5.4048316191466616E-4</v>
      </c>
      <c r="X6" s="13">
        <f>'TUSD BE'!$X$6*'TUSD BE'!$X$78</f>
        <v>0</v>
      </c>
      <c r="Y6" s="13">
        <f>'TUSD BE'!$Y$6*'TUSD BE'!$Y$78</f>
        <v>0</v>
      </c>
      <c r="Z6" s="13">
        <f>'TUSD BE'!$Z$6*'TUSD BE'!$Z$78</f>
        <v>0</v>
      </c>
      <c r="AA6" s="13">
        <f>'TUSD BE'!$AA$6*'TUSD BE'!$AA$78</f>
        <v>0</v>
      </c>
      <c r="AB6" s="13">
        <f>SUM($U$6:$AA$6)</f>
        <v>-8.8185285093642346E-2</v>
      </c>
      <c r="AC6" s="13">
        <f>'TUSD BE'!$AC$6*'TUSD BE'!$AC$78</f>
        <v>1.5918694274947163E-4</v>
      </c>
      <c r="AD6" s="13">
        <f>SUM($AC$6:$AC$6)</f>
        <v>1.5918694274947163E-4</v>
      </c>
      <c r="AE6" s="13">
        <f ca="1">$AO$6*$AO$75</f>
        <v>0</v>
      </c>
      <c r="AF6" s="13">
        <f ca="1">$AP$6*$AP$75</f>
        <v>0</v>
      </c>
      <c r="AG6" s="13">
        <f ca="1">SUM($AE$6:$AF$6)</f>
        <v>0</v>
      </c>
      <c r="AH6" s="13">
        <f>'TUSD BE'!$AH$6*'TUSD BE'!$AH$78</f>
        <v>0</v>
      </c>
      <c r="AI6" s="13">
        <f>'TUSD BE'!$AI$6*'TUSD BE'!$AI$78</f>
        <v>0</v>
      </c>
      <c r="AJ6" s="13">
        <f ca="1">'TUSD BE'!$AJ$6*'TUSD BE'!$AJ$78</f>
        <v>0</v>
      </c>
      <c r="AK6" s="13">
        <f ca="1">'TUSD BE'!$AK$6*'TUSD BE'!$AK$78</f>
        <v>0</v>
      </c>
      <c r="AL6" s="13">
        <f ca="1">SUM($AH$6:$AK$6)</f>
        <v>0</v>
      </c>
      <c r="AM6" s="13">
        <f ca="1">SUMIF($L$4:$AL$4,"SUBTOTAL",$L$6:$AL$6)</f>
        <v>-8.8026098150892879E-2</v>
      </c>
      <c r="AO6" s="20">
        <f ca="1">+'TUSD BE'!$T$6+'TUSD BE'!$AB$6+'TUSD BE'!$AD$6+'TUSD BE'!$AL$6</f>
        <v>7.5305360978282119</v>
      </c>
      <c r="AP6" s="20">
        <f ca="1">+'TUSD BE'!$T$6+'TUSD BE'!$AB$6+'TUSD BE'!$AD$6+'TUSD BE'!$AL$6</f>
        <v>7.5305360978282119</v>
      </c>
    </row>
    <row r="7" spans="1:42" ht="11.25" customHeight="1" x14ac:dyDescent="0.3">
      <c r="A7" s="128"/>
      <c r="B7" s="128"/>
      <c r="C7" s="128"/>
      <c r="D7" s="128"/>
      <c r="E7" s="128"/>
      <c r="F7" s="128"/>
      <c r="G7" s="18" t="s">
        <v>84</v>
      </c>
      <c r="H7" s="18" t="s">
        <v>78</v>
      </c>
      <c r="I7" s="18">
        <f>'MERCADO TUSD'!$U$4</f>
        <v>117715.17200000002</v>
      </c>
      <c r="J7" s="15"/>
      <c r="L7" s="13">
        <f>'TUSD BE'!$L$7*'TUSD BE'!$L$78</f>
        <v>-0.34936345390913853</v>
      </c>
      <c r="M7" s="13">
        <f>'TUSD BE'!$M$7*'TUSD BE'!$M$78</f>
        <v>-8.6854238966938704E-5</v>
      </c>
      <c r="N7" s="13">
        <f ca="1">'TUSD BE'!$N$7*'TUSD BE'!$N$78</f>
        <v>2.8621499195700176E-9</v>
      </c>
      <c r="O7" s="13">
        <f>'TUSD BE'!$O$7*'TUSD BE'!$O$78</f>
        <v>0</v>
      </c>
      <c r="P7" s="13">
        <f>'TUSD BE'!$P$7*'TUSD BE'!$P$78</f>
        <v>0</v>
      </c>
      <c r="Q7" s="13">
        <f>'TUSD BE'!$Q$7*'TUSD BE'!$Q$78</f>
        <v>-0.99795005822277194</v>
      </c>
      <c r="R7" s="13">
        <f>'TUSD BE'!$R$7*'TUSD BE'!$R$78</f>
        <v>-0.37578018258543827</v>
      </c>
      <c r="S7" s="13">
        <f>'TUSD BE'!$R$7*'TUSD BE'!$S$78</f>
        <v>0</v>
      </c>
      <c r="T7" s="13">
        <f ca="1">SUM($L$7:$S$7)</f>
        <v>-1.7231805460941658</v>
      </c>
      <c r="U7" s="13">
        <f>'TUSD BE'!$U$7*'TUSD BE'!$U$78</f>
        <v>0</v>
      </c>
      <c r="V7" s="13">
        <f>'TUSD BE'!$V$7*'TUSD BE'!$V$78</f>
        <v>0</v>
      </c>
      <c r="W7" s="13">
        <f>'TUSD BE'!$W$7*'TUSD BE'!$W$78</f>
        <v>0</v>
      </c>
      <c r="X7" s="13">
        <f>'TUSD BE'!$X$7*'TUSD BE'!$X$78</f>
        <v>0</v>
      </c>
      <c r="Y7" s="13">
        <f>'TUSD BE'!$Y$7*'TUSD BE'!$Y$78</f>
        <v>0</v>
      </c>
      <c r="Z7" s="13">
        <f>'TUSD BE'!$Z$7*'TUSD BE'!$Z$78</f>
        <v>0</v>
      </c>
      <c r="AA7" s="13">
        <f>'TUSD BE'!$AA$7*'TUSD BE'!$AA$78</f>
        <v>0</v>
      </c>
      <c r="AB7" s="13">
        <f>SUM($U$7:$AA$7)</f>
        <v>0</v>
      </c>
      <c r="AC7" s="13">
        <f>'TUSD BE'!$AC$7*'TUSD BE'!$AC$78</f>
        <v>0</v>
      </c>
      <c r="AD7" s="13">
        <f>SUM($AC$7:$AC$7)</f>
        <v>0</v>
      </c>
      <c r="AE7" s="13">
        <f ca="1">$AO$7*$AO$75</f>
        <v>0</v>
      </c>
      <c r="AF7" s="13">
        <f ca="1">$AP$7*$AP$75</f>
        <v>0</v>
      </c>
      <c r="AG7" s="13">
        <f ca="1">SUM($AE$7:$AF$7)</f>
        <v>0</v>
      </c>
      <c r="AH7" s="13">
        <f>'TUSD BE'!$AH$7*'TUSD BE'!$AH$78</f>
        <v>2.0815408120151462E-2</v>
      </c>
      <c r="AI7" s="13">
        <f>'TUSD BE'!$AI$7*'TUSD BE'!$AI$78</f>
        <v>3.6075356504897983E-4</v>
      </c>
      <c r="AJ7" s="13">
        <f ca="1">'TUSD BE'!$AJ$7*'TUSD BE'!$AJ$78</f>
        <v>0.21426142394176309</v>
      </c>
      <c r="AK7" s="13">
        <f ca="1">'TUSD BE'!$AK$7*'TUSD BE'!$AK$78</f>
        <v>-4.9002581061929514E-3</v>
      </c>
      <c r="AL7" s="13">
        <f ca="1">SUM($AH$7:$AK$7)</f>
        <v>0.23053732752077058</v>
      </c>
      <c r="AM7" s="13">
        <f ca="1">SUMIF($L$4:$AL$4,"SUBTOTAL",$L$7:$AL$7)</f>
        <v>-1.4926432185733953</v>
      </c>
      <c r="AO7" s="20">
        <f ca="1">+'TUSD BE'!$T$7+'TUSD BE'!$AB$7+'TUSD BE'!$AD$7+'TUSD BE'!$AL$7</f>
        <v>72.20782944226444</v>
      </c>
      <c r="AP7" s="20">
        <f ca="1">+'TUSD BE'!$T$7+'TUSD BE'!$AB$7+'TUSD BE'!$AD$7+'TUSD BE'!$AL$7</f>
        <v>72.20782944226444</v>
      </c>
    </row>
    <row r="8" spans="1:42" ht="11.25" customHeight="1" x14ac:dyDescent="0.3">
      <c r="A8" s="128"/>
      <c r="B8" s="128"/>
      <c r="C8" s="128"/>
      <c r="D8" s="128"/>
      <c r="E8" s="17" t="s">
        <v>85</v>
      </c>
      <c r="F8" s="17" t="s">
        <v>25</v>
      </c>
      <c r="G8" s="18" t="s">
        <v>84</v>
      </c>
      <c r="H8" s="18" t="s">
        <v>78</v>
      </c>
      <c r="I8" s="18">
        <f>'MERCADO TUSD'!$U$5</f>
        <v>0</v>
      </c>
      <c r="J8" s="15"/>
      <c r="L8" s="13">
        <f>'TUSD BE'!$L$8*'TUSD BE'!$L$78</f>
        <v>0</v>
      </c>
      <c r="M8" s="13">
        <f>'TUSD BE'!$M$8*'TUSD BE'!$M$78</f>
        <v>-8.6854238966938704E-5</v>
      </c>
      <c r="N8" s="13">
        <f ca="1">'TUSD BE'!$N$8*'TUSD BE'!$N$78</f>
        <v>1.9826852662964871E-9</v>
      </c>
      <c r="O8" s="13">
        <f>'TUSD BE'!$O$8*'TUSD BE'!$O$78</f>
        <v>0</v>
      </c>
      <c r="P8" s="13">
        <f>'TUSD BE'!$P$8*'TUSD BE'!$P$78</f>
        <v>0</v>
      </c>
      <c r="Q8" s="13">
        <f>'TUSD BE'!$Q$8*'TUSD BE'!$Q$78</f>
        <v>0</v>
      </c>
      <c r="R8" s="13">
        <f>'TUSD BE'!$R$8*'TUSD BE'!$R$78</f>
        <v>0</v>
      </c>
      <c r="S8" s="13">
        <f>'TUSD BE'!$R$8*'TUSD BE'!$S$78</f>
        <v>0</v>
      </c>
      <c r="T8" s="13">
        <f ca="1">SUM($L$8:$S$8)</f>
        <v>-8.6852256281672412E-5</v>
      </c>
      <c r="U8" s="13">
        <f>'TUSD BE'!$U$8*'TUSD BE'!$U$78</f>
        <v>0</v>
      </c>
      <c r="V8" s="13">
        <f>'TUSD BE'!$V$8*'TUSD BE'!$V$78</f>
        <v>0</v>
      </c>
      <c r="W8" s="13">
        <f>'TUSD BE'!$W$8*'TUSD BE'!$W$78</f>
        <v>0</v>
      </c>
      <c r="X8" s="13">
        <f>'TUSD BE'!$X$8*'TUSD BE'!$X$78</f>
        <v>0</v>
      </c>
      <c r="Y8" s="13">
        <f>'TUSD BE'!$Y$8*'TUSD BE'!$Y$78</f>
        <v>0</v>
      </c>
      <c r="Z8" s="13">
        <f>'TUSD BE'!$Z$8*'TUSD BE'!$Z$78</f>
        <v>0</v>
      </c>
      <c r="AA8" s="13">
        <f>'TUSD BE'!$AA$8*'TUSD BE'!$AA$78</f>
        <v>0</v>
      </c>
      <c r="AB8" s="13">
        <f>SUM($U$8:$AA$8)</f>
        <v>0</v>
      </c>
      <c r="AC8" s="13">
        <f>'TUSD BE'!$AC$8*'TUSD BE'!$AC$78</f>
        <v>0</v>
      </c>
      <c r="AD8" s="13">
        <f>SUM($AC$8:$AC$8)</f>
        <v>0</v>
      </c>
      <c r="AE8" s="13">
        <f ca="1">$AO$8*$AO$75</f>
        <v>0</v>
      </c>
      <c r="AF8" s="13">
        <f ca="1">$AP$8*$AP$75</f>
        <v>0</v>
      </c>
      <c r="AG8" s="13">
        <f ca="1">SUM($AE$8:$AF$8)</f>
        <v>0</v>
      </c>
      <c r="AH8" s="13">
        <f>'TUSD BE'!$AH$8*'TUSD BE'!$AH$78</f>
        <v>2.0815408120151462E-2</v>
      </c>
      <c r="AI8" s="13">
        <f>'TUSD BE'!$AI$8*'TUSD BE'!$AI$78</f>
        <v>3.6075356504897983E-4</v>
      </c>
      <c r="AJ8" s="13">
        <f ca="1">'TUSD BE'!$AJ$8*'TUSD BE'!$AJ$78</f>
        <v>0.21426142394176309</v>
      </c>
      <c r="AK8" s="13">
        <f ca="1">'TUSD BE'!$AK$8*'TUSD BE'!$AK$78</f>
        <v>-4.9002581061929514E-3</v>
      </c>
      <c r="AL8" s="13">
        <f ca="1">SUM($AH$8:$AK$8)</f>
        <v>0.23053732752077058</v>
      </c>
      <c r="AM8" s="13">
        <f ca="1">SUMIF($L$4:$AL$4,"SUBTOTAL",$L$8:$AL$8)</f>
        <v>0.23045047526448892</v>
      </c>
      <c r="AO8" s="20">
        <f ca="1">+'TUSD BE'!$T$8+'TUSD BE'!$AB$8+'TUSD BE'!$AD$8+'TUSD BE'!$AL$8</f>
        <v>0.65020109289888128</v>
      </c>
      <c r="AP8" s="20">
        <f ca="1">+'TUSD BE'!$T$8+'TUSD BE'!$AB$8+'TUSD BE'!$AD$8+'TUSD BE'!$AL$8</f>
        <v>0.65020109289888128</v>
      </c>
    </row>
    <row r="9" spans="1:42" ht="11.25" customHeight="1" x14ac:dyDescent="0.3">
      <c r="A9" s="128" t="s">
        <v>60</v>
      </c>
      <c r="B9" s="128" t="s">
        <v>40</v>
      </c>
      <c r="C9" s="128" t="s">
        <v>25</v>
      </c>
      <c r="D9" s="128" t="s">
        <v>25</v>
      </c>
      <c r="E9" s="128" t="s">
        <v>25</v>
      </c>
      <c r="F9" s="128" t="s">
        <v>25</v>
      </c>
      <c r="G9" s="18" t="s">
        <v>82</v>
      </c>
      <c r="H9" s="18" t="s">
        <v>81</v>
      </c>
      <c r="I9" s="18">
        <f>'MERCADO TUSD'!$U$6</f>
        <v>0</v>
      </c>
      <c r="J9" s="15"/>
      <c r="L9" s="13">
        <f>'TUSD BE'!$L$9*'TUSD BE'!$L$78</f>
        <v>0</v>
      </c>
      <c r="M9" s="13">
        <f>'TUSD BE'!$M$9*'TUSD BE'!$M$78</f>
        <v>0</v>
      </c>
      <c r="N9" s="13">
        <f ca="1">'TUSD BE'!$N$9*'TUSD BE'!$N$78</f>
        <v>0</v>
      </c>
      <c r="O9" s="13">
        <f>'TUSD BE'!$O$9*'TUSD BE'!$O$78</f>
        <v>0</v>
      </c>
      <c r="P9" s="13">
        <f>'TUSD BE'!$P$9*'TUSD BE'!$P$78</f>
        <v>0</v>
      </c>
      <c r="Q9" s="13">
        <f>'TUSD BE'!$Q$9*'TUSD BE'!$Q$78</f>
        <v>0</v>
      </c>
      <c r="R9" s="13">
        <f>'TUSD BE'!$R$9*'TUSD BE'!$R$78</f>
        <v>0</v>
      </c>
      <c r="S9" s="13">
        <f>'TUSD BE'!$R$9*'TUSD BE'!$S$78</f>
        <v>0</v>
      </c>
      <c r="T9" s="13">
        <f ca="1">SUM($L$9:$S$9)</f>
        <v>0</v>
      </c>
      <c r="U9" s="13">
        <f>'TUSD BE'!$U$9*'TUSD BE'!$U$78</f>
        <v>-8.7942501502724355E-2</v>
      </c>
      <c r="V9" s="13">
        <f>'TUSD BE'!$V$9*'TUSD BE'!$V$78</f>
        <v>-1.9692316498150203E-2</v>
      </c>
      <c r="W9" s="13">
        <f>'TUSD BE'!$W$9*'TUSD BE'!$W$78</f>
        <v>-6.8849013132181577E-4</v>
      </c>
      <c r="X9" s="13">
        <f>'TUSD BE'!$X$9*'TUSD BE'!$X$78</f>
        <v>0</v>
      </c>
      <c r="Y9" s="13">
        <f>'TUSD BE'!$Y$9*'TUSD BE'!$Y$78</f>
        <v>0</v>
      </c>
      <c r="Z9" s="13">
        <f>'TUSD BE'!$Z$9*'TUSD BE'!$Z$78</f>
        <v>0</v>
      </c>
      <c r="AA9" s="13">
        <f>'TUSD BE'!$AA$9*'TUSD BE'!$AA$78</f>
        <v>0</v>
      </c>
      <c r="AB9" s="13">
        <f>SUM($U$9:$AA$9)</f>
        <v>-0.10832330813219637</v>
      </c>
      <c r="AC9" s="13">
        <f>'TUSD BE'!$AC$9*'TUSD BE'!$AC$78</f>
        <v>2.5002557478391542E-3</v>
      </c>
      <c r="AD9" s="13">
        <f>SUM($AC$9:$AC$9)</f>
        <v>2.5002557478391542E-3</v>
      </c>
      <c r="AE9" s="13">
        <f ca="1">$AO$9*$AO$75</f>
        <v>0</v>
      </c>
      <c r="AF9" s="13">
        <f ca="1">$AP$9*$AP$75</f>
        <v>0</v>
      </c>
      <c r="AG9" s="13">
        <f ca="1">SUM($AE$9:$AF$9)</f>
        <v>0</v>
      </c>
      <c r="AH9" s="13">
        <f>'TUSD BE'!$AH$9*'TUSD BE'!$AH$78</f>
        <v>0</v>
      </c>
      <c r="AI9" s="13">
        <f>'TUSD BE'!$AI$9*'TUSD BE'!$AI$78</f>
        <v>0</v>
      </c>
      <c r="AJ9" s="13">
        <f ca="1">'TUSD BE'!$AJ$9*'TUSD BE'!$AJ$78</f>
        <v>0</v>
      </c>
      <c r="AK9" s="13">
        <f ca="1">'TUSD BE'!$AK$9*'TUSD BE'!$AK$78</f>
        <v>0</v>
      </c>
      <c r="AL9" s="13">
        <f ca="1">SUM($AH$9:$AK$9)</f>
        <v>0</v>
      </c>
      <c r="AM9" s="13">
        <f ca="1">SUMIF($L$4:$AL$4,"SUBTOTAL",$L$9:$AL$9)</f>
        <v>-0.10582305238435721</v>
      </c>
      <c r="AO9" s="20">
        <f ca="1">+'TUSD BE'!$T$9+'TUSD BE'!$AB$9+'TUSD BE'!$AD$9+'TUSD BE'!$AL$9</f>
        <v>30.571647268913814</v>
      </c>
      <c r="AP9" s="20">
        <f ca="1">+'TUSD BE'!$T$9+'TUSD BE'!$AB$9+'TUSD BE'!$AD$9+'TUSD BE'!$AL$9</f>
        <v>30.571647268913814</v>
      </c>
    </row>
    <row r="10" spans="1:42" ht="11.25" customHeight="1" x14ac:dyDescent="0.3">
      <c r="A10" s="128"/>
      <c r="B10" s="128"/>
      <c r="C10" s="128"/>
      <c r="D10" s="128"/>
      <c r="E10" s="128"/>
      <c r="F10" s="128"/>
      <c r="G10" s="18" t="s">
        <v>83</v>
      </c>
      <c r="H10" s="18" t="s">
        <v>81</v>
      </c>
      <c r="I10" s="18">
        <f>'MERCADO TUSD'!$U$7</f>
        <v>0</v>
      </c>
      <c r="J10" s="15"/>
      <c r="L10" s="13">
        <f>'TUSD BE'!$L$10*'TUSD BE'!$L$78</f>
        <v>0</v>
      </c>
      <c r="M10" s="13">
        <f>'TUSD BE'!$M$10*'TUSD BE'!$M$78</f>
        <v>0</v>
      </c>
      <c r="N10" s="13">
        <f ca="1">'TUSD BE'!$N$10*'TUSD BE'!$N$78</f>
        <v>0</v>
      </c>
      <c r="O10" s="13">
        <f>'TUSD BE'!$O$10*'TUSD BE'!$O$78</f>
        <v>0</v>
      </c>
      <c r="P10" s="13">
        <f>'TUSD BE'!$P$10*'TUSD BE'!$P$78</f>
        <v>0</v>
      </c>
      <c r="Q10" s="13">
        <f>'TUSD BE'!$Q$10*'TUSD BE'!$Q$78</f>
        <v>0</v>
      </c>
      <c r="R10" s="13">
        <f>'TUSD BE'!$R$10*'TUSD BE'!$R$78</f>
        <v>0</v>
      </c>
      <c r="S10" s="13">
        <f>'TUSD BE'!$R$10*'TUSD BE'!$S$78</f>
        <v>0</v>
      </c>
      <c r="T10" s="13">
        <f ca="1">SUM($L$10:$S$10)</f>
        <v>0</v>
      </c>
      <c r="U10" s="13">
        <f>'TUSD BE'!$U$10*'TUSD BE'!$U$78</f>
        <v>-6.357516776181249E-2</v>
      </c>
      <c r="V10" s="13">
        <f>'TUSD BE'!$V$10*'TUSD BE'!$V$78</f>
        <v>-1.4350046811474672E-2</v>
      </c>
      <c r="W10" s="13">
        <f>'TUSD BE'!$W$10*'TUSD BE'!$W$78</f>
        <v>-4.8083856230282966E-4</v>
      </c>
      <c r="X10" s="13">
        <f>'TUSD BE'!$X$10*'TUSD BE'!$X$78</f>
        <v>0</v>
      </c>
      <c r="Y10" s="13">
        <f>'TUSD BE'!$Y$10*'TUSD BE'!$Y$78</f>
        <v>0</v>
      </c>
      <c r="Z10" s="13">
        <f>'TUSD BE'!$Z$10*'TUSD BE'!$Z$78</f>
        <v>0</v>
      </c>
      <c r="AA10" s="13">
        <f>'TUSD BE'!$AA$10*'TUSD BE'!$AA$78</f>
        <v>0</v>
      </c>
      <c r="AB10" s="13">
        <f>SUM($U$10:$AA$10)</f>
        <v>-7.8406053135589987E-2</v>
      </c>
      <c r="AC10" s="13">
        <f>'TUSD BE'!$AC$10*'TUSD BE'!$AC$78</f>
        <v>6.7357547661309062E-4</v>
      </c>
      <c r="AD10" s="13">
        <f>SUM($AC$10:$AC$10)</f>
        <v>6.7357547661309062E-4</v>
      </c>
      <c r="AE10" s="13">
        <f ca="1">$AO$10*$AO$75</f>
        <v>0</v>
      </c>
      <c r="AF10" s="13">
        <f ca="1">$AP$10*$AP$75</f>
        <v>0</v>
      </c>
      <c r="AG10" s="13">
        <f ca="1">SUM($AE$10:$AF$10)</f>
        <v>0</v>
      </c>
      <c r="AH10" s="13">
        <f>'TUSD BE'!$AH$10*'TUSD BE'!$AH$78</f>
        <v>0</v>
      </c>
      <c r="AI10" s="13">
        <f>'TUSD BE'!$AI$10*'TUSD BE'!$AI$78</f>
        <v>0</v>
      </c>
      <c r="AJ10" s="13">
        <f ca="1">'TUSD BE'!$AJ$10*'TUSD BE'!$AJ$78</f>
        <v>0</v>
      </c>
      <c r="AK10" s="13">
        <f ca="1">'TUSD BE'!$AK$10*'TUSD BE'!$AK$78</f>
        <v>0</v>
      </c>
      <c r="AL10" s="13">
        <f ca="1">SUM($AH$10:$AK$10)</f>
        <v>0</v>
      </c>
      <c r="AM10" s="13">
        <f ca="1">SUMIF($L$4:$AL$4,"SUBTOTAL",$L$10:$AL$10)</f>
        <v>-7.7732477658976895E-2</v>
      </c>
      <c r="AO10" s="20">
        <f ca="1">+'TUSD BE'!$T$10+'TUSD BE'!$AB$10+'TUSD BE'!$AD$10+'TUSD BE'!$AL$10</f>
        <v>11.616134923379786</v>
      </c>
      <c r="AP10" s="20">
        <f ca="1">+'TUSD BE'!$T$10+'TUSD BE'!$AB$10+'TUSD BE'!$AD$10+'TUSD BE'!$AL$10</f>
        <v>11.616134923379786</v>
      </c>
    </row>
    <row r="11" spans="1:42" ht="11.25" customHeight="1" x14ac:dyDescent="0.3">
      <c r="A11" s="128"/>
      <c r="B11" s="128"/>
      <c r="C11" s="128"/>
      <c r="D11" s="128"/>
      <c r="E11" s="128"/>
      <c r="F11" s="128"/>
      <c r="G11" s="18" t="s">
        <v>84</v>
      </c>
      <c r="H11" s="18" t="s">
        <v>78</v>
      </c>
      <c r="I11" s="18">
        <f>'MERCADO TUSD'!$U$8</f>
        <v>0</v>
      </c>
      <c r="J11" s="15"/>
      <c r="L11" s="13">
        <f>'TUSD BE'!$L$11*'TUSD BE'!$L$78</f>
        <v>-0.34936345390913853</v>
      </c>
      <c r="M11" s="13">
        <f>'TUSD BE'!$M$11*'TUSD BE'!$M$78</f>
        <v>0</v>
      </c>
      <c r="N11" s="13">
        <f ca="1">'TUSD BE'!$N$11*'TUSD BE'!$N$78</f>
        <v>1.3670398570483753E-8</v>
      </c>
      <c r="O11" s="13">
        <f>'TUSD BE'!$O$11*'TUSD BE'!$O$78</f>
        <v>0</v>
      </c>
      <c r="P11" s="13">
        <f>'TUSD BE'!$P$11*'TUSD BE'!$P$78</f>
        <v>0</v>
      </c>
      <c r="Q11" s="13">
        <f>'TUSD BE'!$Q$11*'TUSD BE'!$Q$78</f>
        <v>-0.99795005822277194</v>
      </c>
      <c r="R11" s="13">
        <f>'TUSD BE'!$R$11*'TUSD BE'!$R$78</f>
        <v>-0.37578018258543827</v>
      </c>
      <c r="S11" s="13">
        <f>'TUSD BE'!$R$11*'TUSD BE'!$S$78</f>
        <v>0</v>
      </c>
      <c r="T11" s="13">
        <f ca="1">SUM($L$11:$S$11)</f>
        <v>-1.7230936810469502</v>
      </c>
      <c r="U11" s="13">
        <f>'TUSD BE'!$U$11*'TUSD BE'!$U$78</f>
        <v>0</v>
      </c>
      <c r="V11" s="13">
        <f>'TUSD BE'!$V$11*'TUSD BE'!$V$78</f>
        <v>0</v>
      </c>
      <c r="W11" s="13">
        <f>'TUSD BE'!$W$11*'TUSD BE'!$W$78</f>
        <v>0</v>
      </c>
      <c r="X11" s="13">
        <f>'TUSD BE'!$X$11*'TUSD BE'!$X$78</f>
        <v>0</v>
      </c>
      <c r="Y11" s="13">
        <f>'TUSD BE'!$Y$11*'TUSD BE'!$Y$78</f>
        <v>0</v>
      </c>
      <c r="Z11" s="13">
        <f>'TUSD BE'!$Z$11*'TUSD BE'!$Z$78</f>
        <v>0</v>
      </c>
      <c r="AA11" s="13">
        <f>'TUSD BE'!$AA$11*'TUSD BE'!$AA$78</f>
        <v>0</v>
      </c>
      <c r="AB11" s="13">
        <f>SUM($U$11:$AA$11)</f>
        <v>0</v>
      </c>
      <c r="AC11" s="13">
        <f>'TUSD BE'!$AC$11*'TUSD BE'!$AC$78</f>
        <v>0</v>
      </c>
      <c r="AD11" s="13">
        <f>SUM($AC$11:$AC$11)</f>
        <v>0</v>
      </c>
      <c r="AE11" s="13">
        <f ca="1">$AO$11*$AO$75</f>
        <v>0</v>
      </c>
      <c r="AF11" s="13">
        <f ca="1">$AP$11*$AP$75</f>
        <v>0</v>
      </c>
      <c r="AG11" s="13">
        <f ca="1">SUM($AE$11:$AF$11)</f>
        <v>0</v>
      </c>
      <c r="AH11" s="13">
        <f>'TUSD BE'!$AH$11*'TUSD BE'!$AH$78</f>
        <v>0.84106171712211031</v>
      </c>
      <c r="AI11" s="13">
        <f>'TUSD BE'!$AI$11*'TUSD BE'!$AI$78</f>
        <v>1.4576510396847804E-2</v>
      </c>
      <c r="AJ11" s="13">
        <f ca="1">'TUSD BE'!$AJ$11*'TUSD BE'!$AJ$78</f>
        <v>0</v>
      </c>
      <c r="AK11" s="13">
        <f ca="1">'TUSD BE'!$AK$11*'TUSD BE'!$AK$78</f>
        <v>0</v>
      </c>
      <c r="AL11" s="13">
        <f ca="1">SUM($AH$11:$AK$11)</f>
        <v>0.85563822751895813</v>
      </c>
      <c r="AM11" s="13">
        <f ca="1">SUMIF($L$4:$AL$4,"SUBTOTAL",$L$11:$AL$11)</f>
        <v>-0.86745545352799203</v>
      </c>
      <c r="AO11" s="20">
        <f ca="1">+'TUSD BE'!$T$11+'TUSD BE'!$AB$11+'TUSD BE'!$AD$11+'TUSD BE'!$AL$11</f>
        <v>73.534608819917878</v>
      </c>
      <c r="AP11" s="20">
        <f ca="1">+'TUSD BE'!$T$11+'TUSD BE'!$AB$11+'TUSD BE'!$AD$11+'TUSD BE'!$AL$11</f>
        <v>73.534608819917878</v>
      </c>
    </row>
    <row r="12" spans="1:42" ht="11.25" customHeight="1" x14ac:dyDescent="0.3">
      <c r="A12" s="128"/>
      <c r="B12" s="128"/>
      <c r="C12" s="128"/>
      <c r="D12" s="128"/>
      <c r="E12" s="17" t="s">
        <v>85</v>
      </c>
      <c r="F12" s="17" t="s">
        <v>25</v>
      </c>
      <c r="G12" s="18" t="s">
        <v>84</v>
      </c>
      <c r="H12" s="18" t="s">
        <v>78</v>
      </c>
      <c r="I12" s="18">
        <f>'MERCADO TUSD'!$U$9</f>
        <v>0</v>
      </c>
      <c r="J12" s="15"/>
      <c r="L12" s="13">
        <f>'TUSD BE'!$L$12*'TUSD BE'!$L$78</f>
        <v>0</v>
      </c>
      <c r="M12" s="13">
        <f>'TUSD BE'!$M$12*'TUSD BE'!$M$78</f>
        <v>0</v>
      </c>
      <c r="N12" s="13">
        <f ca="1">'TUSD BE'!$N$12*'TUSD BE'!$N$78</f>
        <v>1.2790933917210224E-8</v>
      </c>
      <c r="O12" s="13">
        <f>'TUSD BE'!$O$12*'TUSD BE'!$O$78</f>
        <v>0</v>
      </c>
      <c r="P12" s="13">
        <f>'TUSD BE'!$P$12*'TUSD BE'!$P$78</f>
        <v>0</v>
      </c>
      <c r="Q12" s="13">
        <f>'TUSD BE'!$Q$12*'TUSD BE'!$Q$78</f>
        <v>0</v>
      </c>
      <c r="R12" s="13">
        <f>'TUSD BE'!$R$12*'TUSD BE'!$R$78</f>
        <v>0</v>
      </c>
      <c r="S12" s="13">
        <f>'TUSD BE'!$R$12*'TUSD BE'!$S$78</f>
        <v>0</v>
      </c>
      <c r="T12" s="13">
        <f ca="1">SUM($L$12:$S$12)</f>
        <v>1.2790933917210224E-8</v>
      </c>
      <c r="U12" s="13">
        <f>'TUSD BE'!$U$12*'TUSD BE'!$U$78</f>
        <v>0</v>
      </c>
      <c r="V12" s="13">
        <f>'TUSD BE'!$V$12*'TUSD BE'!$V$78</f>
        <v>0</v>
      </c>
      <c r="W12" s="13">
        <f>'TUSD BE'!$W$12*'TUSD BE'!$W$78</f>
        <v>0</v>
      </c>
      <c r="X12" s="13">
        <f>'TUSD BE'!$X$12*'TUSD BE'!$X$78</f>
        <v>0</v>
      </c>
      <c r="Y12" s="13">
        <f>'TUSD BE'!$Y$12*'TUSD BE'!$Y$78</f>
        <v>0</v>
      </c>
      <c r="Z12" s="13">
        <f>'TUSD BE'!$Z$12*'TUSD BE'!$Z$78</f>
        <v>0</v>
      </c>
      <c r="AA12" s="13">
        <f>'TUSD BE'!$AA$12*'TUSD BE'!$AA$78</f>
        <v>0</v>
      </c>
      <c r="AB12" s="13">
        <f>SUM($U$12:$AA$12)</f>
        <v>0</v>
      </c>
      <c r="AC12" s="13">
        <f>'TUSD BE'!$AC$12*'TUSD BE'!$AC$78</f>
        <v>0</v>
      </c>
      <c r="AD12" s="13">
        <f>SUM($AC$12:$AC$12)</f>
        <v>0</v>
      </c>
      <c r="AE12" s="13">
        <f ca="1">$AO$12*$AO$75</f>
        <v>0</v>
      </c>
      <c r="AF12" s="13">
        <f ca="1">$AP$12*$AP$75</f>
        <v>0</v>
      </c>
      <c r="AG12" s="13">
        <f ca="1">SUM($AE$12:$AF$12)</f>
        <v>0</v>
      </c>
      <c r="AH12" s="13">
        <f>'TUSD BE'!$AH$12*'TUSD BE'!$AH$78</f>
        <v>0.84106171712211031</v>
      </c>
      <c r="AI12" s="13">
        <f>'TUSD BE'!$AI$12*'TUSD BE'!$AI$78</f>
        <v>1.4576510396847804E-2</v>
      </c>
      <c r="AJ12" s="13">
        <f ca="1">'TUSD BE'!$AJ$12*'TUSD BE'!$AJ$78</f>
        <v>0</v>
      </c>
      <c r="AK12" s="13">
        <f ca="1">'TUSD BE'!$AK$12*'TUSD BE'!$AK$78</f>
        <v>0</v>
      </c>
      <c r="AL12" s="13">
        <f ca="1">SUM($AH$12:$AK$12)</f>
        <v>0.85563822751895813</v>
      </c>
      <c r="AM12" s="13">
        <f ca="1">SUMIF($L$4:$AL$4,"SUBTOTAL",$L$12:$AL$12)</f>
        <v>0.855638240309892</v>
      </c>
      <c r="AO12" s="20">
        <f ca="1">+'TUSD BE'!$T$12+'TUSD BE'!$AB$12+'TUSD BE'!$AD$12+'TUSD BE'!$AL$12</f>
        <v>1.9769804705523093</v>
      </c>
      <c r="AP12" s="20">
        <f ca="1">+'TUSD BE'!$T$12+'TUSD BE'!$AB$12+'TUSD BE'!$AD$12+'TUSD BE'!$AL$12</f>
        <v>1.9769804705523093</v>
      </c>
    </row>
    <row r="13" spans="1:42" ht="11.25" customHeight="1" x14ac:dyDescent="0.3">
      <c r="A13" s="128"/>
      <c r="B13" s="17" t="s">
        <v>57</v>
      </c>
      <c r="C13" s="17" t="s">
        <v>25</v>
      </c>
      <c r="D13" s="17" t="s">
        <v>25</v>
      </c>
      <c r="E13" s="17" t="s">
        <v>25</v>
      </c>
      <c r="F13" s="17" t="s">
        <v>25</v>
      </c>
      <c r="G13" s="18" t="s">
        <v>9</v>
      </c>
      <c r="H13" s="18" t="s">
        <v>81</v>
      </c>
      <c r="I13" s="18">
        <f>'MERCADO TUSD'!$U$10</f>
        <v>93600</v>
      </c>
      <c r="J13" s="15"/>
      <c r="L13" s="13">
        <f>'TUSD BE'!$L$13*'TUSD BE'!$L$78</f>
        <v>0</v>
      </c>
      <c r="M13" s="13">
        <f>'TUSD BE'!$M$13*'TUSD BE'!$M$78</f>
        <v>-5.4993425968086189E-5</v>
      </c>
      <c r="N13" s="13">
        <f ca="1">'TUSD BE'!$N$13*'TUSD BE'!$N$78</f>
        <v>5.3592660139828884E-9</v>
      </c>
      <c r="O13" s="13">
        <f>'TUSD BE'!$O$13*'TUSD BE'!$O$78</f>
        <v>0</v>
      </c>
      <c r="P13" s="13">
        <f>'TUSD BE'!$P$13*'TUSD BE'!$P$78</f>
        <v>0</v>
      </c>
      <c r="Q13" s="13">
        <f>'TUSD BE'!$Q$13*'TUSD BE'!$Q$78</f>
        <v>0</v>
      </c>
      <c r="R13" s="13">
        <f>'TUSD BE'!$R$13*'TUSD BE'!$R$78</f>
        <v>0</v>
      </c>
      <c r="S13" s="13">
        <f>'TUSD BE'!$R$13*'TUSD BE'!$S$78</f>
        <v>0</v>
      </c>
      <c r="T13" s="13">
        <f ca="1">SUM($L$13:$S$13)</f>
        <v>-5.4988066702072206E-5</v>
      </c>
      <c r="U13" s="13">
        <f>'TUSD BE'!$U$13*'TUSD BE'!$U$78</f>
        <v>-8.954561748831974E-2</v>
      </c>
      <c r="V13" s="13">
        <f>'TUSD BE'!$V$13*'TUSD BE'!$V$78</f>
        <v>-4.078319561979956E-2</v>
      </c>
      <c r="W13" s="13">
        <f>'TUSD BE'!$W$13*'TUSD BE'!$W$78</f>
        <v>-2.2162667512393127E-3</v>
      </c>
      <c r="X13" s="13">
        <f>'TUSD BE'!$X$13*'TUSD BE'!$X$78</f>
        <v>0</v>
      </c>
      <c r="Y13" s="13">
        <f>'TUSD BE'!$Y$13*'TUSD BE'!$Y$78</f>
        <v>0</v>
      </c>
      <c r="Z13" s="13">
        <f>'TUSD BE'!$Z$13*'TUSD BE'!$Z$78</f>
        <v>0</v>
      </c>
      <c r="AA13" s="13">
        <f>'TUSD BE'!$AA$13*'TUSD BE'!$AA$78</f>
        <v>0</v>
      </c>
      <c r="AB13" s="13">
        <f>SUM($U$13:$AA$13)</f>
        <v>-0.13254507985935862</v>
      </c>
      <c r="AC13" s="13">
        <f>'TUSD BE'!$AC$13*'TUSD BE'!$AC$78</f>
        <v>1.7103422032574585E-4</v>
      </c>
      <c r="AD13" s="13">
        <f>SUM($AC$13:$AC$13)</f>
        <v>1.7103422032574585E-4</v>
      </c>
      <c r="AE13" s="13">
        <f ca="1">$AO$13*$AO$75</f>
        <v>0</v>
      </c>
      <c r="AF13" s="13">
        <f ca="1">$AP$13*$AP$75</f>
        <v>0</v>
      </c>
      <c r="AG13" s="13">
        <f ca="1">SUM($AE$13:$AF$13)</f>
        <v>0</v>
      </c>
      <c r="AH13" s="13">
        <f>'TUSD BE'!$AH$13*'TUSD BE'!$AH$78</f>
        <v>0</v>
      </c>
      <c r="AI13" s="13">
        <f>'TUSD BE'!$AI$13*'TUSD BE'!$AI$78</f>
        <v>0</v>
      </c>
      <c r="AJ13" s="13">
        <f ca="1">'TUSD BE'!$AJ$13*'TUSD BE'!$AJ$78</f>
        <v>0</v>
      </c>
      <c r="AK13" s="13">
        <f ca="1">'TUSD BE'!$AK$13*'TUSD BE'!$AK$78</f>
        <v>0</v>
      </c>
      <c r="AL13" s="13">
        <f ca="1">SUM($AH$13:$AK$13)</f>
        <v>0</v>
      </c>
      <c r="AM13" s="13">
        <f ca="1">SUMIF($L$4:$AL$4,"SUBTOTAL",$L$13:$AL$13)</f>
        <v>-0.13242903370573494</v>
      </c>
      <c r="AO13" s="20">
        <f>+'TUSD BE'!$T$13+'TUSD BE'!$AB$13+'TUSD BE'!$AD$13+'TUSD BE'!$AL$13</f>
        <v>10.973286907638855</v>
      </c>
      <c r="AP13" s="20">
        <f>+'TUSD BE'!$T$13+'TUSD BE'!$AB$13+'TUSD BE'!$AD$13+'TUSD BE'!$AL$13</f>
        <v>10.973286907638855</v>
      </c>
    </row>
    <row r="14" spans="1:42" ht="11.25" customHeight="1" x14ac:dyDescent="0.3">
      <c r="A14" s="128" t="s">
        <v>39</v>
      </c>
      <c r="B14" s="128" t="s">
        <v>40</v>
      </c>
      <c r="C14" s="128" t="s">
        <v>25</v>
      </c>
      <c r="D14" s="128" t="s">
        <v>25</v>
      </c>
      <c r="E14" s="128" t="s">
        <v>25</v>
      </c>
      <c r="F14" s="128" t="s">
        <v>25</v>
      </c>
      <c r="G14" s="18" t="s">
        <v>82</v>
      </c>
      <c r="H14" s="18" t="s">
        <v>81</v>
      </c>
      <c r="I14" s="18">
        <f>'MERCADO TUSD'!$U$11</f>
        <v>355389</v>
      </c>
      <c r="J14" s="15"/>
      <c r="L14" s="13">
        <f>'TUSD BE'!$L$14*'TUSD BE'!$L$78</f>
        <v>0</v>
      </c>
      <c r="M14" s="13">
        <f>'TUSD BE'!$M$14*'TUSD BE'!$M$78</f>
        <v>0</v>
      </c>
      <c r="N14" s="13">
        <f ca="1">'TUSD BE'!$N$14*'TUSD BE'!$N$78</f>
        <v>0</v>
      </c>
      <c r="O14" s="13">
        <f>'TUSD BE'!$O$14*'TUSD BE'!$O$78</f>
        <v>0</v>
      </c>
      <c r="P14" s="13">
        <f>'TUSD BE'!$P$14*'TUSD BE'!$P$78</f>
        <v>0</v>
      </c>
      <c r="Q14" s="13">
        <f>'TUSD BE'!$Q$14*'TUSD BE'!$Q$78</f>
        <v>0</v>
      </c>
      <c r="R14" s="13">
        <f>'TUSD BE'!$R$14*'TUSD BE'!$R$78</f>
        <v>0</v>
      </c>
      <c r="S14" s="13">
        <f>'TUSD BE'!$R$14*'TUSD BE'!$S$78</f>
        <v>0</v>
      </c>
      <c r="T14" s="13">
        <f ca="1">SUM($L$14:$S$14)</f>
        <v>0</v>
      </c>
      <c r="U14" s="13">
        <f>'TUSD BE'!$U$14*'TUSD BE'!$U$78</f>
        <v>-7.9708097926426885E-2</v>
      </c>
      <c r="V14" s="13">
        <f>'TUSD BE'!$V$14*'TUSD BE'!$V$78</f>
        <v>-1.7848462262460354E-2</v>
      </c>
      <c r="W14" s="13">
        <f>'TUSD BE'!$W$14*'TUSD BE'!$W$78</f>
        <v>-6.2369106013858617E-4</v>
      </c>
      <c r="X14" s="13">
        <f>'TUSD BE'!$X$14*'TUSD BE'!$X$78</f>
        <v>0</v>
      </c>
      <c r="Y14" s="13">
        <f>'TUSD BE'!$Y$14*'TUSD BE'!$Y$78</f>
        <v>0</v>
      </c>
      <c r="Z14" s="13">
        <f>'TUSD BE'!$Z$14*'TUSD BE'!$Z$78</f>
        <v>0</v>
      </c>
      <c r="AA14" s="13">
        <f>'TUSD BE'!$AA$14*'TUSD BE'!$AA$78</f>
        <v>0</v>
      </c>
      <c r="AB14" s="13">
        <f>SUM($U$14:$AA$14)</f>
        <v>-9.8180251249025824E-2</v>
      </c>
      <c r="AC14" s="13">
        <f>'TUSD BE'!$AC$14*'TUSD BE'!$AC$78</f>
        <v>3.6473638187059345E-3</v>
      </c>
      <c r="AD14" s="13">
        <f>SUM($AC$14:$AC$14)</f>
        <v>3.6473638187059345E-3</v>
      </c>
      <c r="AE14" s="13">
        <f ca="1">$AO$14*$AO$75</f>
        <v>0</v>
      </c>
      <c r="AF14" s="13">
        <f ca="1">$AP$14*$AP$75</f>
        <v>0</v>
      </c>
      <c r="AG14" s="13">
        <f ca="1">SUM($AE$14:$AF$14)</f>
        <v>0</v>
      </c>
      <c r="AH14" s="13">
        <f>'TUSD BE'!$AH$14*'TUSD BE'!$AH$78</f>
        <v>0</v>
      </c>
      <c r="AI14" s="13">
        <f>'TUSD BE'!$AI$14*'TUSD BE'!$AI$78</f>
        <v>0</v>
      </c>
      <c r="AJ14" s="13">
        <f ca="1">'TUSD BE'!$AJ$14*'TUSD BE'!$AJ$78</f>
        <v>0</v>
      </c>
      <c r="AK14" s="13">
        <f ca="1">'TUSD BE'!$AK$14*'TUSD BE'!$AK$78</f>
        <v>0</v>
      </c>
      <c r="AL14" s="13">
        <f ca="1">SUM($AH$14:$AK$14)</f>
        <v>0</v>
      </c>
      <c r="AM14" s="13">
        <f ca="1">SUMIF($L$4:$AL$4,"SUBTOTAL",$L$14:$AL$14)</f>
        <v>-9.4532887430319887E-2</v>
      </c>
      <c r="AO14" s="20">
        <f ca="1">+'TUSD BE'!$T$14+'TUSD BE'!$AB$14+'TUSD BE'!$AD$14+'TUSD BE'!$AL$14</f>
        <v>40.483306943736622</v>
      </c>
      <c r="AP14" s="20">
        <f ca="1">+'TUSD BE'!$T$14+'TUSD BE'!$AB$14+'TUSD BE'!$AD$14+'TUSD BE'!$AL$14</f>
        <v>40.483306943736622</v>
      </c>
    </row>
    <row r="15" spans="1:42" ht="11.25" customHeight="1" x14ac:dyDescent="0.3">
      <c r="A15" s="128"/>
      <c r="B15" s="128"/>
      <c r="C15" s="128"/>
      <c r="D15" s="128"/>
      <c r="E15" s="128"/>
      <c r="F15" s="128"/>
      <c r="G15" s="18" t="s">
        <v>83</v>
      </c>
      <c r="H15" s="18" t="s">
        <v>81</v>
      </c>
      <c r="I15" s="18">
        <f>'MERCADO TUSD'!$U$12</f>
        <v>371113</v>
      </c>
      <c r="J15" s="15"/>
      <c r="L15" s="13">
        <f>'TUSD BE'!$L$15*'TUSD BE'!$L$78</f>
        <v>0</v>
      </c>
      <c r="M15" s="13">
        <f>'TUSD BE'!$M$15*'TUSD BE'!$M$78</f>
        <v>0</v>
      </c>
      <c r="N15" s="13">
        <f ca="1">'TUSD BE'!$N$15*'TUSD BE'!$N$78</f>
        <v>0</v>
      </c>
      <c r="O15" s="13">
        <f>'TUSD BE'!$O$15*'TUSD BE'!$O$78</f>
        <v>0</v>
      </c>
      <c r="P15" s="13">
        <f>'TUSD BE'!$P$15*'TUSD BE'!$P$78</f>
        <v>0</v>
      </c>
      <c r="Q15" s="13">
        <f>'TUSD BE'!$Q$15*'TUSD BE'!$Q$78</f>
        <v>0</v>
      </c>
      <c r="R15" s="13">
        <f>'TUSD BE'!$R$15*'TUSD BE'!$R$78</f>
        <v>0</v>
      </c>
      <c r="S15" s="13">
        <f>'TUSD BE'!$R$15*'TUSD BE'!$S$78</f>
        <v>0</v>
      </c>
      <c r="T15" s="13">
        <f ca="1">SUM($L$15:$S$15)</f>
        <v>0</v>
      </c>
      <c r="U15" s="13">
        <f>'TUSD BE'!$U$15*'TUSD BE'!$U$78</f>
        <v>-5.5645684769073403E-2</v>
      </c>
      <c r="V15" s="13">
        <f>'TUSD BE'!$V$15*'TUSD BE'!$V$78</f>
        <v>-1.2559942445773247E-2</v>
      </c>
      <c r="W15" s="13">
        <f>'TUSD BE'!$W$15*'TUSD BE'!$W$78</f>
        <v>-4.2045760960936565E-4</v>
      </c>
      <c r="X15" s="13">
        <f>'TUSD BE'!$X$15*'TUSD BE'!$X$78</f>
        <v>0</v>
      </c>
      <c r="Y15" s="13">
        <f>'TUSD BE'!$Y$15*'TUSD BE'!$Y$78</f>
        <v>0</v>
      </c>
      <c r="Z15" s="13">
        <f>'TUSD BE'!$Z$15*'TUSD BE'!$Z$78</f>
        <v>0</v>
      </c>
      <c r="AA15" s="13">
        <f>'TUSD BE'!$AA$15*'TUSD BE'!$AA$78</f>
        <v>0</v>
      </c>
      <c r="AB15" s="13">
        <f>SUM($U$15:$AA$15)</f>
        <v>-6.8626084824456007E-2</v>
      </c>
      <c r="AC15" s="13">
        <f>'TUSD BE'!$AC$15*'TUSD BE'!$AC$78</f>
        <v>1.1879640104767097E-3</v>
      </c>
      <c r="AD15" s="13">
        <f>SUM($AC$15:$AC$15)</f>
        <v>1.1879640104767097E-3</v>
      </c>
      <c r="AE15" s="13">
        <f ca="1">$AO$15*$AO$75</f>
        <v>0</v>
      </c>
      <c r="AF15" s="13">
        <f ca="1">$AP$15*$AP$75</f>
        <v>0</v>
      </c>
      <c r="AG15" s="13">
        <f ca="1">SUM($AE$15:$AF$15)</f>
        <v>0</v>
      </c>
      <c r="AH15" s="13">
        <f>'TUSD BE'!$AH$15*'TUSD BE'!$AH$78</f>
        <v>0</v>
      </c>
      <c r="AI15" s="13">
        <f>'TUSD BE'!$AI$15*'TUSD BE'!$AI$78</f>
        <v>0</v>
      </c>
      <c r="AJ15" s="13">
        <f ca="1">'TUSD BE'!$AJ$15*'TUSD BE'!$AJ$78</f>
        <v>0</v>
      </c>
      <c r="AK15" s="13">
        <f ca="1">'TUSD BE'!$AK$15*'TUSD BE'!$AK$78</f>
        <v>0</v>
      </c>
      <c r="AL15" s="13">
        <f ca="1">SUM($AH$15:$AK$15)</f>
        <v>0</v>
      </c>
      <c r="AM15" s="13">
        <f ca="1">SUMIF($L$4:$AL$4,"SUBTOTAL",$L$15:$AL$15)</f>
        <v>-6.7438120813979291E-2</v>
      </c>
      <c r="AO15" s="20">
        <f ca="1">+'TUSD BE'!$T$15+'TUSD BE'!$AB$15+'TUSD BE'!$AD$15+'TUSD BE'!$AL$15</f>
        <v>15.701528290747136</v>
      </c>
      <c r="AP15" s="20">
        <f ca="1">+'TUSD BE'!$T$15+'TUSD BE'!$AB$15+'TUSD BE'!$AD$15+'TUSD BE'!$AL$15</f>
        <v>15.701528290747136</v>
      </c>
    </row>
    <row r="16" spans="1:42" ht="11.25" customHeight="1" x14ac:dyDescent="0.3">
      <c r="A16" s="128"/>
      <c r="B16" s="128"/>
      <c r="C16" s="128"/>
      <c r="D16" s="128"/>
      <c r="E16" s="128"/>
      <c r="F16" s="128"/>
      <c r="G16" s="18" t="s">
        <v>84</v>
      </c>
      <c r="H16" s="18" t="s">
        <v>78</v>
      </c>
      <c r="I16" s="18">
        <f>'MERCADO TUSD'!$U$13</f>
        <v>175397.889</v>
      </c>
      <c r="J16" s="15"/>
      <c r="L16" s="13">
        <f>'TUSD BE'!$L$16*'TUSD BE'!$L$78</f>
        <v>-0.47333113110270386</v>
      </c>
      <c r="M16" s="13">
        <f>'TUSD BE'!$M$16*'TUSD BE'!$M$78</f>
        <v>-1.0799733347991276E-3</v>
      </c>
      <c r="N16" s="13">
        <f ca="1">'TUSD BE'!$N$16*'TUSD BE'!$N$78</f>
        <v>2.7515103455866166E-8</v>
      </c>
      <c r="O16" s="13">
        <f>'TUSD BE'!$O$16*'TUSD BE'!$O$78</f>
        <v>0</v>
      </c>
      <c r="P16" s="13">
        <f>'TUSD BE'!$P$16*'TUSD BE'!$P$78</f>
        <v>0</v>
      </c>
      <c r="Q16" s="13">
        <f>'TUSD BE'!$Q$16*'TUSD BE'!$Q$78</f>
        <v>-1.352061369205046</v>
      </c>
      <c r="R16" s="13">
        <f>'TUSD BE'!$R$16*'TUSD BE'!$R$78</f>
        <v>-0.37578018258543827</v>
      </c>
      <c r="S16" s="13">
        <f>'TUSD BE'!$R$16*'TUSD BE'!$S$78</f>
        <v>0</v>
      </c>
      <c r="T16" s="13">
        <f ca="1">SUM($L$16:$S$16)</f>
        <v>-2.2022526287128836</v>
      </c>
      <c r="U16" s="13">
        <f>'TUSD BE'!$U$16*'TUSD BE'!$U$78</f>
        <v>0</v>
      </c>
      <c r="V16" s="13">
        <f>'TUSD BE'!$V$16*'TUSD BE'!$V$78</f>
        <v>0</v>
      </c>
      <c r="W16" s="13">
        <f>'TUSD BE'!$W$16*'TUSD BE'!$W$78</f>
        <v>0</v>
      </c>
      <c r="X16" s="13">
        <f>'TUSD BE'!$X$16*'TUSD BE'!$X$78</f>
        <v>0</v>
      </c>
      <c r="Y16" s="13">
        <f>'TUSD BE'!$Y$16*'TUSD BE'!$Y$78</f>
        <v>0</v>
      </c>
      <c r="Z16" s="13">
        <f>'TUSD BE'!$Z$16*'TUSD BE'!$Z$78</f>
        <v>0</v>
      </c>
      <c r="AA16" s="13">
        <f>'TUSD BE'!$AA$16*'TUSD BE'!$AA$78</f>
        <v>0</v>
      </c>
      <c r="AB16" s="13">
        <f>SUM($U$16:$AA$16)</f>
        <v>0</v>
      </c>
      <c r="AC16" s="13">
        <f>'TUSD BE'!$AC$16*'TUSD BE'!$AC$78</f>
        <v>0</v>
      </c>
      <c r="AD16" s="13">
        <f>SUM($AC$16:$AC$16)</f>
        <v>0</v>
      </c>
      <c r="AE16" s="13">
        <f ca="1">$AO$16*$AO$75</f>
        <v>0</v>
      </c>
      <c r="AF16" s="13">
        <f ca="1">$AP$16*$AP$75</f>
        <v>0</v>
      </c>
      <c r="AG16" s="13">
        <f ca="1">SUM($AE$16:$AF$16)</f>
        <v>0</v>
      </c>
      <c r="AH16" s="13">
        <f>'TUSD BE'!$AH$16*'TUSD BE'!$AH$78</f>
        <v>1.6613204458186515</v>
      </c>
      <c r="AI16" s="13">
        <f>'TUSD BE'!$AI$16*'TUSD BE'!$AI$78</f>
        <v>2.8792482475403815E-2</v>
      </c>
      <c r="AJ16" s="13">
        <f ca="1">'TUSD BE'!$AJ$16*'TUSD BE'!$AJ$78</f>
        <v>0.49655577858363881</v>
      </c>
      <c r="AK16" s="13">
        <f ca="1">'TUSD BE'!$AK$16*'TUSD BE'!$AK$78</f>
        <v>-1.1356460880437319E-2</v>
      </c>
      <c r="AL16" s="13">
        <f ca="1">SUM($AH$16:$AK$16)</f>
        <v>2.1753122459972567</v>
      </c>
      <c r="AM16" s="13">
        <f ca="1">SUMIF($L$4:$AL$4,"SUBTOTAL",$L$16:$AL$16)</f>
        <v>-2.6940382715626932E-2</v>
      </c>
      <c r="AO16" s="20">
        <f ca="1">+'TUSD BE'!$T$16+'TUSD BE'!$AB$16+'TUSD BE'!$AD$16+'TUSD BE'!$AL$16</f>
        <v>97.775328841615888</v>
      </c>
      <c r="AP16" s="20">
        <f ca="1">+'TUSD BE'!$T$16+'TUSD BE'!$AB$16+'TUSD BE'!$AD$16+'TUSD BE'!$AL$16</f>
        <v>97.775328841615888</v>
      </c>
    </row>
    <row r="17" spans="1:42" ht="11.25" customHeight="1" x14ac:dyDescent="0.3">
      <c r="A17" s="128"/>
      <c r="B17" s="128"/>
      <c r="C17" s="128"/>
      <c r="D17" s="128"/>
      <c r="E17" s="17" t="s">
        <v>85</v>
      </c>
      <c r="F17" s="17" t="s">
        <v>25</v>
      </c>
      <c r="G17" s="18" t="s">
        <v>84</v>
      </c>
      <c r="H17" s="18" t="s">
        <v>78</v>
      </c>
      <c r="I17" s="18">
        <f>'MERCADO TUSD'!$U$14</f>
        <v>0</v>
      </c>
      <c r="J17" s="15"/>
      <c r="L17" s="13">
        <f>'TUSD BE'!$L$17*'TUSD BE'!$L$78</f>
        <v>0</v>
      </c>
      <c r="M17" s="13">
        <f>'TUSD BE'!$M$17*'TUSD BE'!$M$78</f>
        <v>-1.0799733347991276E-3</v>
      </c>
      <c r="N17" s="13">
        <f ca="1">'TUSD BE'!$N$17*'TUSD BE'!$N$78</f>
        <v>2.6635638802592634E-8</v>
      </c>
      <c r="O17" s="13">
        <f>'TUSD BE'!$O$17*'TUSD BE'!$O$78</f>
        <v>0</v>
      </c>
      <c r="P17" s="13">
        <f>'TUSD BE'!$P$17*'TUSD BE'!$P$78</f>
        <v>0</v>
      </c>
      <c r="Q17" s="13">
        <f>'TUSD BE'!$Q$17*'TUSD BE'!$Q$78</f>
        <v>0</v>
      </c>
      <c r="R17" s="13">
        <f>'TUSD BE'!$R$17*'TUSD BE'!$R$78</f>
        <v>0</v>
      </c>
      <c r="S17" s="13">
        <f>'TUSD BE'!$R$17*'TUSD BE'!$S$78</f>
        <v>0</v>
      </c>
      <c r="T17" s="13">
        <f ca="1">SUM($L$17:$S$17)</f>
        <v>-1.0799466991603249E-3</v>
      </c>
      <c r="U17" s="13">
        <f>'TUSD BE'!$U$17*'TUSD BE'!$U$78</f>
        <v>0</v>
      </c>
      <c r="V17" s="13">
        <f>'TUSD BE'!$V$17*'TUSD BE'!$V$78</f>
        <v>0</v>
      </c>
      <c r="W17" s="13">
        <f>'TUSD BE'!$W$17*'TUSD BE'!$W$78</f>
        <v>0</v>
      </c>
      <c r="X17" s="13">
        <f>'TUSD BE'!$X$17*'TUSD BE'!$X$78</f>
        <v>0</v>
      </c>
      <c r="Y17" s="13">
        <f>'TUSD BE'!$Y$17*'TUSD BE'!$Y$78</f>
        <v>0</v>
      </c>
      <c r="Z17" s="13">
        <f>'TUSD BE'!$Z$17*'TUSD BE'!$Z$78</f>
        <v>0</v>
      </c>
      <c r="AA17" s="13">
        <f>'TUSD BE'!$AA$17*'TUSD BE'!$AA$78</f>
        <v>0</v>
      </c>
      <c r="AB17" s="13">
        <f>SUM($U$17:$AA$17)</f>
        <v>0</v>
      </c>
      <c r="AC17" s="13">
        <f>'TUSD BE'!$AC$17*'TUSD BE'!$AC$78</f>
        <v>0</v>
      </c>
      <c r="AD17" s="13">
        <f>SUM($AC$17:$AC$17)</f>
        <v>0</v>
      </c>
      <c r="AE17" s="13">
        <f ca="1">$AO$17*$AO$75</f>
        <v>0</v>
      </c>
      <c r="AF17" s="13">
        <f ca="1">$AP$17*$AP$75</f>
        <v>0</v>
      </c>
      <c r="AG17" s="13">
        <f ca="1">SUM($AE$17:$AF$17)</f>
        <v>0</v>
      </c>
      <c r="AH17" s="13">
        <f>'TUSD BE'!$AH$17*'TUSD BE'!$AH$78</f>
        <v>1.6613204458186515</v>
      </c>
      <c r="AI17" s="13">
        <f>'TUSD BE'!$AI$17*'TUSD BE'!$AI$78</f>
        <v>2.8792482475403815E-2</v>
      </c>
      <c r="AJ17" s="13">
        <f ca="1">'TUSD BE'!$AJ$17*'TUSD BE'!$AJ$78</f>
        <v>0.49655577858363881</v>
      </c>
      <c r="AK17" s="13">
        <f ca="1">'TUSD BE'!$AK$17*'TUSD BE'!$AK$78</f>
        <v>-1.1356460880437319E-2</v>
      </c>
      <c r="AL17" s="13">
        <f ca="1">SUM($AH$17:$AK$17)</f>
        <v>2.1753122459972567</v>
      </c>
      <c r="AM17" s="13">
        <f ca="1">SUMIF($L$4:$AL$4,"SUBTOTAL",$L$17:$AL$17)</f>
        <v>2.1742322992980965</v>
      </c>
      <c r="AO17" s="20">
        <f ca="1">+'TUSD BE'!$T$17+'TUSD BE'!$AB$17+'TUSD BE'!$AD$17+'TUSD BE'!$AL$17</f>
        <v>5.6715704843659145</v>
      </c>
      <c r="AP17" s="20">
        <f ca="1">+'TUSD BE'!$T$17+'TUSD BE'!$AB$17+'TUSD BE'!$AD$17+'TUSD BE'!$AL$17</f>
        <v>5.6715704843659145</v>
      </c>
    </row>
    <row r="18" spans="1:42" ht="11.25" customHeight="1" x14ac:dyDescent="0.3">
      <c r="A18" s="128"/>
      <c r="B18" s="17" t="s">
        <v>57</v>
      </c>
      <c r="C18" s="17" t="s">
        <v>25</v>
      </c>
      <c r="D18" s="17" t="s">
        <v>25</v>
      </c>
      <c r="E18" s="17" t="s">
        <v>25</v>
      </c>
      <c r="F18" s="17" t="s">
        <v>25</v>
      </c>
      <c r="G18" s="18" t="s">
        <v>9</v>
      </c>
      <c r="H18" s="18" t="s">
        <v>81</v>
      </c>
      <c r="I18" s="18">
        <f>'MERCADO TUSD'!$U$15</f>
        <v>105360</v>
      </c>
      <c r="J18" s="15"/>
      <c r="L18" s="13">
        <f>'TUSD BE'!$L$18*'TUSD BE'!$L$78</f>
        <v>0</v>
      </c>
      <c r="M18" s="13">
        <f>'TUSD BE'!$M$18*'TUSD BE'!$M$78</f>
        <v>-2.6608647410347208E-5</v>
      </c>
      <c r="N18" s="13">
        <f ca="1">'TUSD BE'!$N$18*'TUSD BE'!$N$78</f>
        <v>2.7087511320824731E-9</v>
      </c>
      <c r="O18" s="13">
        <f>'TUSD BE'!$O$18*'TUSD BE'!$O$78</f>
        <v>0</v>
      </c>
      <c r="P18" s="13">
        <f>'TUSD BE'!$P$18*'TUSD BE'!$P$78</f>
        <v>0</v>
      </c>
      <c r="Q18" s="13">
        <f>'TUSD BE'!$Q$18*'TUSD BE'!$Q$78</f>
        <v>0</v>
      </c>
      <c r="R18" s="13">
        <f>'TUSD BE'!$R$18*'TUSD BE'!$R$78</f>
        <v>0</v>
      </c>
      <c r="S18" s="13">
        <f>'TUSD BE'!$R$18*'TUSD BE'!$S$78</f>
        <v>0</v>
      </c>
      <c r="T18" s="13">
        <f ca="1">SUM($L$18:$S$18)</f>
        <v>-2.6605938659215127E-5</v>
      </c>
      <c r="U18" s="13">
        <f>'TUSD BE'!$U$18*'TUSD BE'!$U$78</f>
        <v>0</v>
      </c>
      <c r="V18" s="13">
        <f>'TUSD BE'!$V$18*'TUSD BE'!$V$78</f>
        <v>0</v>
      </c>
      <c r="W18" s="13">
        <f>'TUSD BE'!$W$18*'TUSD BE'!$W$78</f>
        <v>0</v>
      </c>
      <c r="X18" s="13">
        <f>'TUSD BE'!$X$18*'TUSD BE'!$X$78</f>
        <v>0</v>
      </c>
      <c r="Y18" s="13">
        <f>'TUSD BE'!$Y$18*'TUSD BE'!$Y$78</f>
        <v>0</v>
      </c>
      <c r="Z18" s="13">
        <f>'TUSD BE'!$Z$18*'TUSD BE'!$Z$78</f>
        <v>0</v>
      </c>
      <c r="AA18" s="13">
        <f>'TUSD BE'!$AA$18*'TUSD BE'!$AA$78</f>
        <v>0</v>
      </c>
      <c r="AB18" s="13">
        <f>SUM($U$18:$AA$18)</f>
        <v>0</v>
      </c>
      <c r="AC18" s="13">
        <f>'TUSD BE'!$AC$18*'TUSD BE'!$AC$78</f>
        <v>3.9886034725762295E-4</v>
      </c>
      <c r="AD18" s="13">
        <f>SUM($AC$18:$AC$18)</f>
        <v>3.9886034725762295E-4</v>
      </c>
      <c r="AE18" s="13">
        <f ca="1">$AO$18*$AO$75</f>
        <v>0</v>
      </c>
      <c r="AF18" s="13">
        <f ca="1">$AP$18*$AP$75</f>
        <v>0</v>
      </c>
      <c r="AG18" s="13">
        <f ca="1">SUM($AE$18:$AF$18)</f>
        <v>0</v>
      </c>
      <c r="AH18" s="13">
        <f>'TUSD BE'!$AH$18*'TUSD BE'!$AH$78</f>
        <v>7.9486045327547346E-4</v>
      </c>
      <c r="AI18" s="13">
        <f>'TUSD BE'!$AI$18*'TUSD BE'!$AI$78</f>
        <v>0</v>
      </c>
      <c r="AJ18" s="13">
        <f ca="1">'TUSD BE'!$AJ$18*'TUSD BE'!$AJ$78</f>
        <v>0</v>
      </c>
      <c r="AK18" s="13">
        <f ca="1">'TUSD BE'!$AK$18*'TUSD BE'!$AK$78</f>
        <v>0</v>
      </c>
      <c r="AL18" s="13">
        <f ca="1">SUM($AH$18:$AK$18)</f>
        <v>7.9486045327547346E-4</v>
      </c>
      <c r="AM18" s="13">
        <f ca="1">SUMIF($L$4:$AL$4,"SUBTOTAL",$L$18:$AL$18)</f>
        <v>1.1671148618738812E-3</v>
      </c>
      <c r="AO18" s="20">
        <f ca="1">+'TUSD BE'!$T$18+'TUSD BE'!$AB$18+'TUSD BE'!$AD$18+'TUSD BE'!$AL$18</f>
        <v>3.7416788567293824</v>
      </c>
      <c r="AP18" s="20">
        <f ca="1">+'TUSD BE'!$T$18+'TUSD BE'!$AB$18+'TUSD BE'!$AD$18+'TUSD BE'!$AL$18</f>
        <v>3.7416788567293824</v>
      </c>
    </row>
    <row r="19" spans="1:42" ht="11.25" customHeight="1" x14ac:dyDescent="0.3">
      <c r="A19" s="128"/>
      <c r="B19" s="128" t="s">
        <v>41</v>
      </c>
      <c r="C19" s="128" t="s">
        <v>25</v>
      </c>
      <c r="D19" s="128" t="s">
        <v>25</v>
      </c>
      <c r="E19" s="128" t="s">
        <v>25</v>
      </c>
      <c r="F19" s="128" t="s">
        <v>25</v>
      </c>
      <c r="G19" s="18" t="s">
        <v>9</v>
      </c>
      <c r="H19" s="18" t="s">
        <v>81</v>
      </c>
      <c r="I19" s="18">
        <f>'MERCADO TUSD'!$U$16</f>
        <v>334187</v>
      </c>
      <c r="J19" s="15"/>
      <c r="L19" s="13">
        <f>'TUSD BE'!$L$19*'TUSD BE'!$L$78</f>
        <v>0</v>
      </c>
      <c r="M19" s="13">
        <f>'TUSD BE'!$M$19*'TUSD BE'!$M$78</f>
        <v>0</v>
      </c>
      <c r="N19" s="13">
        <f ca="1">'TUSD BE'!$N$19*'TUSD BE'!$N$78</f>
        <v>0</v>
      </c>
      <c r="O19" s="13">
        <f>'TUSD BE'!$O$19*'TUSD BE'!$O$78</f>
        <v>0</v>
      </c>
      <c r="P19" s="13">
        <f>'TUSD BE'!$P$19*'TUSD BE'!$P$78</f>
        <v>0</v>
      </c>
      <c r="Q19" s="13">
        <f>'TUSD BE'!$Q$19*'TUSD BE'!$Q$78</f>
        <v>0</v>
      </c>
      <c r="R19" s="13">
        <f>'TUSD BE'!$R$19*'TUSD BE'!$R$78</f>
        <v>0</v>
      </c>
      <c r="S19" s="13">
        <f>'TUSD BE'!$R$19*'TUSD BE'!$S$78</f>
        <v>0</v>
      </c>
      <c r="T19" s="13">
        <f ca="1">SUM($L$19:$S$19)</f>
        <v>0</v>
      </c>
      <c r="U19" s="13">
        <f>'TUSD BE'!$U$19*'TUSD BE'!$U$78</f>
        <v>-5.5645684769073403E-2</v>
      </c>
      <c r="V19" s="13">
        <f>'TUSD BE'!$V$19*'TUSD BE'!$V$78</f>
        <v>-1.2559942445773247E-2</v>
      </c>
      <c r="W19" s="13">
        <f>'TUSD BE'!$W$19*'TUSD BE'!$W$78</f>
        <v>-4.2045760960936565E-4</v>
      </c>
      <c r="X19" s="13">
        <f>'TUSD BE'!$X$19*'TUSD BE'!$X$78</f>
        <v>0</v>
      </c>
      <c r="Y19" s="13">
        <f>'TUSD BE'!$Y$19*'TUSD BE'!$Y$78</f>
        <v>0</v>
      </c>
      <c r="Z19" s="13">
        <f>'TUSD BE'!$Z$19*'TUSD BE'!$Z$78</f>
        <v>0</v>
      </c>
      <c r="AA19" s="13">
        <f>'TUSD BE'!$AA$19*'TUSD BE'!$AA$78</f>
        <v>0</v>
      </c>
      <c r="AB19" s="13">
        <f>SUM($U$19:$AA$19)</f>
        <v>-6.8626084824456007E-2</v>
      </c>
      <c r="AC19" s="13">
        <f>'TUSD BE'!$AC$19*'TUSD BE'!$AC$78</f>
        <v>1.1879640104767097E-3</v>
      </c>
      <c r="AD19" s="13">
        <f>SUM($AC$19:$AC$19)</f>
        <v>1.1879640104767097E-3</v>
      </c>
      <c r="AE19" s="13">
        <f ca="1">$AO$19*$AO$75</f>
        <v>0</v>
      </c>
      <c r="AF19" s="13">
        <f ca="1">$AP$19*$AP$75</f>
        <v>0</v>
      </c>
      <c r="AG19" s="13">
        <f ca="1">SUM($AE$19:$AF$19)</f>
        <v>0</v>
      </c>
      <c r="AH19" s="13">
        <f>'TUSD BE'!$AH$19*'TUSD BE'!$AH$78</f>
        <v>0</v>
      </c>
      <c r="AI19" s="13">
        <f>'TUSD BE'!$AI$19*'TUSD BE'!$AI$78</f>
        <v>0</v>
      </c>
      <c r="AJ19" s="13">
        <f ca="1">'TUSD BE'!$AJ$19*'TUSD BE'!$AJ$78</f>
        <v>0</v>
      </c>
      <c r="AK19" s="13">
        <f ca="1">'TUSD BE'!$AK$19*'TUSD BE'!$AK$78</f>
        <v>0</v>
      </c>
      <c r="AL19" s="13">
        <f ca="1">SUM($AH$19:$AK$19)</f>
        <v>0</v>
      </c>
      <c r="AM19" s="13">
        <f ca="1">SUMIF($L$4:$AL$4,"SUBTOTAL",$L$19:$AL$19)</f>
        <v>-6.7438120813979291E-2</v>
      </c>
      <c r="AO19" s="20">
        <f ca="1">+'TUSD BE'!$T$19+'TUSD BE'!$AB$19+'TUSD BE'!$AD$19+'TUSD BE'!$AL$19</f>
        <v>15.701528290747136</v>
      </c>
      <c r="AP19" s="20">
        <f ca="1">+'TUSD BE'!$T$19+'TUSD BE'!$AB$19+'TUSD BE'!$AD$19+'TUSD BE'!$AL$19</f>
        <v>15.701528290747136</v>
      </c>
    </row>
    <row r="20" spans="1:42" ht="11.25" customHeight="1" x14ac:dyDescent="0.3">
      <c r="A20" s="128"/>
      <c r="B20" s="128"/>
      <c r="C20" s="128"/>
      <c r="D20" s="128"/>
      <c r="E20" s="128"/>
      <c r="F20" s="128"/>
      <c r="G20" s="18" t="s">
        <v>79</v>
      </c>
      <c r="H20" s="18" t="s">
        <v>78</v>
      </c>
      <c r="I20" s="18">
        <f>'MERCADO TUSD'!$U$17</f>
        <v>7190.6020000000008</v>
      </c>
      <c r="J20" s="15"/>
      <c r="L20" s="13">
        <f>'TUSD BE'!$L$20*'TUSD BE'!$L$78</f>
        <v>-0.47333113110270386</v>
      </c>
      <c r="M20" s="13">
        <f>'TUSD BE'!$M$20*'TUSD BE'!$M$78</f>
        <v>-1.0799733347991276E-3</v>
      </c>
      <c r="N20" s="13">
        <f ca="1">'TUSD BE'!$N$20*'TUSD BE'!$N$78</f>
        <v>7.6231292216088963E-7</v>
      </c>
      <c r="O20" s="13">
        <f>'TUSD BE'!$O$20*'TUSD BE'!$O$78</f>
        <v>0</v>
      </c>
      <c r="P20" s="13">
        <f>'TUSD BE'!$P$20*'TUSD BE'!$P$78</f>
        <v>0</v>
      </c>
      <c r="Q20" s="13">
        <f>'TUSD BE'!$Q$20*'TUSD BE'!$Q$78</f>
        <v>-1.352061369205046</v>
      </c>
      <c r="R20" s="13">
        <f>'TUSD BE'!$R$20*'TUSD BE'!$R$78</f>
        <v>-0.37578018258543827</v>
      </c>
      <c r="S20" s="13">
        <f>'TUSD BE'!$R$20*'TUSD BE'!$S$78</f>
        <v>0</v>
      </c>
      <c r="T20" s="13">
        <f ca="1">SUM($L$20:$S$20)</f>
        <v>-2.202251893915065</v>
      </c>
      <c r="U20" s="13">
        <f>'TUSD BE'!$U$20*'TUSD BE'!$U$78</f>
        <v>-1.9169892742249262</v>
      </c>
      <c r="V20" s="13">
        <f>'TUSD BE'!$V$20*'TUSD BE'!$V$78</f>
        <v>-0.42926165190820281</v>
      </c>
      <c r="W20" s="13">
        <f>'TUSD BE'!$W$20*'TUSD BE'!$W$78</f>
        <v>-1.5005403097407445E-2</v>
      </c>
      <c r="X20" s="13">
        <f>'TUSD BE'!$X$20*'TUSD BE'!$X$78</f>
        <v>0</v>
      </c>
      <c r="Y20" s="13">
        <f>'TUSD BE'!$Y$20*'TUSD BE'!$Y$78</f>
        <v>0</v>
      </c>
      <c r="Z20" s="13">
        <f>'TUSD BE'!$Z$20*'TUSD BE'!$Z$78</f>
        <v>0</v>
      </c>
      <c r="AA20" s="13">
        <f>'TUSD BE'!$AA$20*'TUSD BE'!$AA$78</f>
        <v>0</v>
      </c>
      <c r="AB20" s="13">
        <f>SUM($U$20:$AA$20)</f>
        <v>-2.3612563292305362</v>
      </c>
      <c r="AC20" s="13">
        <f>'TUSD BE'!$AC$20*'TUSD BE'!$AC$78</f>
        <v>8.7719058123538612E-2</v>
      </c>
      <c r="AD20" s="13">
        <f>SUM($AC$20:$AC$20)</f>
        <v>8.7719058123538612E-2</v>
      </c>
      <c r="AE20" s="13">
        <f ca="1">$AO$20*$AO$75</f>
        <v>0</v>
      </c>
      <c r="AF20" s="13">
        <f ca="1">$AP$20*$AP$75</f>
        <v>0</v>
      </c>
      <c r="AG20" s="13">
        <f ca="1">SUM($AE$20:$AF$20)</f>
        <v>0</v>
      </c>
      <c r="AH20" s="13">
        <f>'TUSD BE'!$AH$20*'TUSD BE'!$AH$78</f>
        <v>1.6613204458186515</v>
      </c>
      <c r="AI20" s="13">
        <f>'TUSD BE'!$AI$20*'TUSD BE'!$AI$78</f>
        <v>2.8792482475403815E-2</v>
      </c>
      <c r="AJ20" s="13">
        <f ca="1">'TUSD BE'!$AJ$20*'TUSD BE'!$AJ$78</f>
        <v>0.49655577858363881</v>
      </c>
      <c r="AK20" s="13">
        <f ca="1">'TUSD BE'!$AK$20*'TUSD BE'!$AK$78</f>
        <v>-1.1356460880437319E-2</v>
      </c>
      <c r="AL20" s="13">
        <f ca="1">SUM($AH$20:$AK$20)</f>
        <v>2.1753122459972567</v>
      </c>
      <c r="AM20" s="13">
        <f ca="1">SUMIF($L$4:$AL$4,"SUBTOTAL",$L$20:$AL$20)</f>
        <v>-2.3004769190248058</v>
      </c>
      <c r="AO20" s="20">
        <f ca="1">+'TUSD BE'!$T$20+'TUSD BE'!$AB$20+'TUSD BE'!$AD$20+'TUSD BE'!$AL$20</f>
        <v>1081.9112361936659</v>
      </c>
      <c r="AP20" s="20">
        <f ca="1">+'TUSD BE'!$T$20+'TUSD BE'!$AB$20+'TUSD BE'!$AD$20+'TUSD BE'!$AL$20</f>
        <v>1081.9112361936659</v>
      </c>
    </row>
    <row r="21" spans="1:42" ht="11.25" customHeight="1" x14ac:dyDescent="0.3">
      <c r="A21" s="128"/>
      <c r="B21" s="128"/>
      <c r="C21" s="128"/>
      <c r="D21" s="128"/>
      <c r="E21" s="128"/>
      <c r="F21" s="128"/>
      <c r="G21" s="18" t="s">
        <v>80</v>
      </c>
      <c r="H21" s="18" t="s">
        <v>78</v>
      </c>
      <c r="I21" s="18">
        <f>'MERCADO TUSD'!$U$18</f>
        <v>80797.680999999997</v>
      </c>
      <c r="J21" s="15"/>
      <c r="L21" s="13">
        <f>'TUSD BE'!$L$21*'TUSD BE'!$L$78</f>
        <v>-0.47333113110270386</v>
      </c>
      <c r="M21" s="13">
        <f>'TUSD BE'!$M$21*'TUSD BE'!$M$78</f>
        <v>-1.0799733347991276E-3</v>
      </c>
      <c r="N21" s="13">
        <f ca="1">'TUSD BE'!$N$21*'TUSD BE'!$N$78</f>
        <v>2.7515103455866166E-8</v>
      </c>
      <c r="O21" s="13">
        <f>'TUSD BE'!$O$21*'TUSD BE'!$O$78</f>
        <v>0</v>
      </c>
      <c r="P21" s="13">
        <f>'TUSD BE'!$P$21*'TUSD BE'!$P$78</f>
        <v>0</v>
      </c>
      <c r="Q21" s="13">
        <f>'TUSD BE'!$Q$21*'TUSD BE'!$Q$78</f>
        <v>-1.352061369205046</v>
      </c>
      <c r="R21" s="13">
        <f>'TUSD BE'!$R$21*'TUSD BE'!$R$78</f>
        <v>-0.37578018258543827</v>
      </c>
      <c r="S21" s="13">
        <f>'TUSD BE'!$R$21*'TUSD BE'!$S$78</f>
        <v>0</v>
      </c>
      <c r="T21" s="13">
        <f ca="1">SUM($L$21:$S$21)</f>
        <v>-2.2022526287128836</v>
      </c>
      <c r="U21" s="13">
        <f>'TUSD BE'!$U$21*'TUSD BE'!$U$78</f>
        <v>0</v>
      </c>
      <c r="V21" s="13">
        <f>'TUSD BE'!$V$21*'TUSD BE'!$V$78</f>
        <v>0</v>
      </c>
      <c r="W21" s="13">
        <f>'TUSD BE'!$W$21*'TUSD BE'!$W$78</f>
        <v>0</v>
      </c>
      <c r="X21" s="13">
        <f>'TUSD BE'!$X$21*'TUSD BE'!$X$78</f>
        <v>0</v>
      </c>
      <c r="Y21" s="13">
        <f>'TUSD BE'!$Y$21*'TUSD BE'!$Y$78</f>
        <v>0</v>
      </c>
      <c r="Z21" s="13">
        <f>'TUSD BE'!$Z$21*'TUSD BE'!$Z$78</f>
        <v>0</v>
      </c>
      <c r="AA21" s="13">
        <f>'TUSD BE'!$AA$21*'TUSD BE'!$AA$78</f>
        <v>0</v>
      </c>
      <c r="AB21" s="13">
        <f>SUM($U$21:$AA$21)</f>
        <v>0</v>
      </c>
      <c r="AC21" s="13">
        <f>'TUSD BE'!$AC$21*'TUSD BE'!$AC$78</f>
        <v>0</v>
      </c>
      <c r="AD21" s="13">
        <f>SUM($AC$21:$AC$21)</f>
        <v>0</v>
      </c>
      <c r="AE21" s="13">
        <f ca="1">$AO$21*$AO$75</f>
        <v>0</v>
      </c>
      <c r="AF21" s="13">
        <f ca="1">$AP$21*$AP$75</f>
        <v>0</v>
      </c>
      <c r="AG21" s="13">
        <f ca="1">SUM($AE$21:$AF$21)</f>
        <v>0</v>
      </c>
      <c r="AH21" s="13">
        <f>'TUSD BE'!$AH$21*'TUSD BE'!$AH$78</f>
        <v>1.6613204458186515</v>
      </c>
      <c r="AI21" s="13">
        <f>'TUSD BE'!$AI$21*'TUSD BE'!$AI$78</f>
        <v>2.8792482475403815E-2</v>
      </c>
      <c r="AJ21" s="13">
        <f ca="1">'TUSD BE'!$AJ$21*'TUSD BE'!$AJ$78</f>
        <v>0.49655577858363881</v>
      </c>
      <c r="AK21" s="13">
        <f ca="1">'TUSD BE'!$AK$21*'TUSD BE'!$AK$78</f>
        <v>-1.1356460880437319E-2</v>
      </c>
      <c r="AL21" s="13">
        <f ca="1">SUM($AH$21:$AK$21)</f>
        <v>2.1753122459972567</v>
      </c>
      <c r="AM21" s="13">
        <f ca="1">SUMIF($L$4:$AL$4,"SUBTOTAL",$L$21:$AL$21)</f>
        <v>-2.6940382715626932E-2</v>
      </c>
      <c r="AO21" s="20">
        <f ca="1">+'TUSD BE'!$T$21+'TUSD BE'!$AB$21+'TUSD BE'!$AD$21+'TUSD BE'!$AL$21</f>
        <v>97.775328841615888</v>
      </c>
      <c r="AP21" s="20">
        <f ca="1">+'TUSD BE'!$T$21+'TUSD BE'!$AB$21+'TUSD BE'!$AD$21+'TUSD BE'!$AL$21</f>
        <v>97.775328841615888</v>
      </c>
    </row>
    <row r="22" spans="1:42" ht="11.25" customHeight="1" x14ac:dyDescent="0.3">
      <c r="A22" s="128"/>
      <c r="B22" s="128"/>
      <c r="C22" s="128"/>
      <c r="D22" s="128"/>
      <c r="E22" s="128" t="s">
        <v>85</v>
      </c>
      <c r="F22" s="128" t="s">
        <v>25</v>
      </c>
      <c r="G22" s="18" t="s">
        <v>79</v>
      </c>
      <c r="H22" s="18" t="s">
        <v>78</v>
      </c>
      <c r="I22" s="18">
        <f>'MERCADO TUSD'!$U$19</f>
        <v>0</v>
      </c>
      <c r="J22" s="15"/>
      <c r="L22" s="13">
        <f>'TUSD BE'!$L$22*'TUSD BE'!$L$78</f>
        <v>0</v>
      </c>
      <c r="M22" s="13">
        <f>'TUSD BE'!$M$22*'TUSD BE'!$M$78</f>
        <v>-1.0799733347991276E-3</v>
      </c>
      <c r="N22" s="13">
        <f ca="1">'TUSD BE'!$N$22*'TUSD BE'!$N$78</f>
        <v>7.6143345750761621E-7</v>
      </c>
      <c r="O22" s="13">
        <f>'TUSD BE'!$O$22*'TUSD BE'!$O$78</f>
        <v>0</v>
      </c>
      <c r="P22" s="13">
        <f>'TUSD BE'!$P$22*'TUSD BE'!$P$78</f>
        <v>0</v>
      </c>
      <c r="Q22" s="13">
        <f>'TUSD BE'!$Q$22*'TUSD BE'!$Q$78</f>
        <v>0</v>
      </c>
      <c r="R22" s="13">
        <f>'TUSD BE'!$R$22*'TUSD BE'!$R$78</f>
        <v>0</v>
      </c>
      <c r="S22" s="13">
        <f>'TUSD BE'!$R$22*'TUSD BE'!$S$78</f>
        <v>0</v>
      </c>
      <c r="T22" s="13">
        <f ca="1">SUM($L$22:$S$22)</f>
        <v>-1.0792119013416199E-3</v>
      </c>
      <c r="U22" s="13">
        <f>'TUSD BE'!$U$22*'TUSD BE'!$U$78</f>
        <v>-1.9169892742249262</v>
      </c>
      <c r="V22" s="13">
        <f>'TUSD BE'!$V$22*'TUSD BE'!$V$78</f>
        <v>-0.42926165190820281</v>
      </c>
      <c r="W22" s="13">
        <f>'TUSD BE'!$W$22*'TUSD BE'!$W$78</f>
        <v>-1.5005403097407445E-2</v>
      </c>
      <c r="X22" s="13">
        <f>'TUSD BE'!$X$22*'TUSD BE'!$X$78</f>
        <v>0</v>
      </c>
      <c r="Y22" s="13">
        <f>'TUSD BE'!$Y$22*'TUSD BE'!$Y$78</f>
        <v>0</v>
      </c>
      <c r="Z22" s="13">
        <f>'TUSD BE'!$Z$22*'TUSD BE'!$Z$78</f>
        <v>0</v>
      </c>
      <c r="AA22" s="13">
        <f>'TUSD BE'!$AA$22*'TUSD BE'!$AA$78</f>
        <v>0</v>
      </c>
      <c r="AB22" s="13">
        <f>SUM($U$22:$AA$22)</f>
        <v>-2.3612563292305362</v>
      </c>
      <c r="AC22" s="13">
        <f>'TUSD BE'!$AC$22*'TUSD BE'!$AC$78</f>
        <v>8.7719058123538612E-2</v>
      </c>
      <c r="AD22" s="13">
        <f>SUM($AC$22:$AC$22)</f>
        <v>8.7719058123538612E-2</v>
      </c>
      <c r="AE22" s="13">
        <f ca="1">$AO$22*$AO$75</f>
        <v>0</v>
      </c>
      <c r="AF22" s="13">
        <f ca="1">$AP$22*$AP$75</f>
        <v>0</v>
      </c>
      <c r="AG22" s="13">
        <f ca="1">SUM($AE$22:$AF$22)</f>
        <v>0</v>
      </c>
      <c r="AH22" s="13">
        <f>'TUSD BE'!$AH$22*'TUSD BE'!$AH$78</f>
        <v>1.6613204458186515</v>
      </c>
      <c r="AI22" s="13">
        <f>'TUSD BE'!$AI$22*'TUSD BE'!$AI$78</f>
        <v>2.8792482475403815E-2</v>
      </c>
      <c r="AJ22" s="13">
        <f ca="1">'TUSD BE'!$AJ$22*'TUSD BE'!$AJ$78</f>
        <v>0.49655577858363881</v>
      </c>
      <c r="AK22" s="13">
        <f ca="1">'TUSD BE'!$AK$22*'TUSD BE'!$AK$78</f>
        <v>-1.1356460880437319E-2</v>
      </c>
      <c r="AL22" s="13">
        <f ca="1">SUM($AH$22:$AK$22)</f>
        <v>2.1753122459972567</v>
      </c>
      <c r="AM22" s="13">
        <f ca="1">SUMIF($L$4:$AL$4,"SUBTOTAL",$L$22:$AL$22)</f>
        <v>-9.9304237011082375E-2</v>
      </c>
      <c r="AO22" s="20">
        <f ca="1">+'TUSD BE'!$T$22+'TUSD BE'!$AB$22+'TUSD BE'!$AD$22+'TUSD BE'!$AL$22</f>
        <v>989.80747783641596</v>
      </c>
      <c r="AP22" s="20">
        <f ca="1">+'TUSD BE'!$T$22+'TUSD BE'!$AB$22+'TUSD BE'!$AD$22+'TUSD BE'!$AL$22</f>
        <v>989.80747783641596</v>
      </c>
    </row>
    <row r="23" spans="1:42" ht="11.25" customHeight="1" x14ac:dyDescent="0.3">
      <c r="A23" s="128"/>
      <c r="B23" s="128"/>
      <c r="C23" s="128"/>
      <c r="D23" s="128"/>
      <c r="E23" s="128"/>
      <c r="F23" s="128"/>
      <c r="G23" s="18" t="s">
        <v>80</v>
      </c>
      <c r="H23" s="18" t="s">
        <v>78</v>
      </c>
      <c r="I23" s="18">
        <f>'MERCADO TUSD'!$U$20</f>
        <v>0</v>
      </c>
      <c r="J23" s="15"/>
      <c r="L23" s="13">
        <f>'TUSD BE'!$L$23*'TUSD BE'!$L$78</f>
        <v>0</v>
      </c>
      <c r="M23" s="13">
        <f>'TUSD BE'!$M$23*'TUSD BE'!$M$78</f>
        <v>-1.0799733347991276E-3</v>
      </c>
      <c r="N23" s="13">
        <f ca="1">'TUSD BE'!$N$23*'TUSD BE'!$N$78</f>
        <v>2.6635638802592634E-8</v>
      </c>
      <c r="O23" s="13">
        <f>'TUSD BE'!$O$23*'TUSD BE'!$O$78</f>
        <v>0</v>
      </c>
      <c r="P23" s="13">
        <f>'TUSD BE'!$P$23*'TUSD BE'!$P$78</f>
        <v>0</v>
      </c>
      <c r="Q23" s="13">
        <f>'TUSD BE'!$Q$23*'TUSD BE'!$Q$78</f>
        <v>0</v>
      </c>
      <c r="R23" s="13">
        <f>'TUSD BE'!$R$23*'TUSD BE'!$R$78</f>
        <v>0</v>
      </c>
      <c r="S23" s="13">
        <f>'TUSD BE'!$R$23*'TUSD BE'!$S$78</f>
        <v>0</v>
      </c>
      <c r="T23" s="13">
        <f ca="1">SUM($L$23:$S$23)</f>
        <v>-1.0799466991603249E-3</v>
      </c>
      <c r="U23" s="13">
        <f>'TUSD BE'!$U$23*'TUSD BE'!$U$78</f>
        <v>0</v>
      </c>
      <c r="V23" s="13">
        <f>'TUSD BE'!$V$23*'TUSD BE'!$V$78</f>
        <v>0</v>
      </c>
      <c r="W23" s="13">
        <f>'TUSD BE'!$W$23*'TUSD BE'!$W$78</f>
        <v>0</v>
      </c>
      <c r="X23" s="13">
        <f>'TUSD BE'!$X$23*'TUSD BE'!$X$78</f>
        <v>0</v>
      </c>
      <c r="Y23" s="13">
        <f>'TUSD BE'!$Y$23*'TUSD BE'!$Y$78</f>
        <v>0</v>
      </c>
      <c r="Z23" s="13">
        <f>'TUSD BE'!$Z$23*'TUSD BE'!$Z$78</f>
        <v>0</v>
      </c>
      <c r="AA23" s="13">
        <f>'TUSD BE'!$AA$23*'TUSD BE'!$AA$78</f>
        <v>0</v>
      </c>
      <c r="AB23" s="13">
        <f>SUM($U$23:$AA$23)</f>
        <v>0</v>
      </c>
      <c r="AC23" s="13">
        <f>'TUSD BE'!$AC$23*'TUSD BE'!$AC$78</f>
        <v>0</v>
      </c>
      <c r="AD23" s="13">
        <f>SUM($AC$23:$AC$23)</f>
        <v>0</v>
      </c>
      <c r="AE23" s="13">
        <f ca="1">$AO$23*$AO$75</f>
        <v>0</v>
      </c>
      <c r="AF23" s="13">
        <f ca="1">$AP$23*$AP$75</f>
        <v>0</v>
      </c>
      <c r="AG23" s="13">
        <f ca="1">SUM($AE$23:$AF$23)</f>
        <v>0</v>
      </c>
      <c r="AH23" s="13">
        <f>'TUSD BE'!$AH$23*'TUSD BE'!$AH$78</f>
        <v>1.6613204458186515</v>
      </c>
      <c r="AI23" s="13">
        <f>'TUSD BE'!$AI$23*'TUSD BE'!$AI$78</f>
        <v>2.8792482475403815E-2</v>
      </c>
      <c r="AJ23" s="13">
        <f ca="1">'TUSD BE'!$AJ$23*'TUSD BE'!$AJ$78</f>
        <v>0.49655577858363881</v>
      </c>
      <c r="AK23" s="13">
        <f ca="1">'TUSD BE'!$AK$23*'TUSD BE'!$AK$78</f>
        <v>-1.1356460880437319E-2</v>
      </c>
      <c r="AL23" s="13">
        <f ca="1">SUM($AH$23:$AK$23)</f>
        <v>2.1753122459972567</v>
      </c>
      <c r="AM23" s="13">
        <f ca="1">SUMIF($L$4:$AL$4,"SUBTOTAL",$L$23:$AL$23)</f>
        <v>2.1742322992980965</v>
      </c>
      <c r="AO23" s="20">
        <f ca="1">+'TUSD BE'!$T$23+'TUSD BE'!$AB$23+'TUSD BE'!$AD$23+'TUSD BE'!$AL$23</f>
        <v>5.6715704843659145</v>
      </c>
      <c r="AP23" s="20">
        <f ca="1">+'TUSD BE'!$T$23+'TUSD BE'!$AB$23+'TUSD BE'!$AD$23+'TUSD BE'!$AL$23</f>
        <v>5.6715704843659145</v>
      </c>
    </row>
    <row r="24" spans="1:42" ht="11.25" customHeight="1" x14ac:dyDescent="0.3">
      <c r="A24" s="128" t="s">
        <v>43</v>
      </c>
      <c r="B24" s="128" t="s">
        <v>40</v>
      </c>
      <c r="C24" s="128" t="s">
        <v>25</v>
      </c>
      <c r="D24" s="128" t="s">
        <v>25</v>
      </c>
      <c r="E24" s="128" t="s">
        <v>25</v>
      </c>
      <c r="F24" s="128" t="s">
        <v>25</v>
      </c>
      <c r="G24" s="18" t="s">
        <v>82</v>
      </c>
      <c r="H24" s="18" t="s">
        <v>81</v>
      </c>
      <c r="I24" s="18">
        <f>'MERCADO TUSD'!$U$21</f>
        <v>0</v>
      </c>
      <c r="J24" s="15"/>
      <c r="L24" s="13">
        <f>'TUSD BE'!$L$24*'TUSD BE'!$L$78</f>
        <v>0</v>
      </c>
      <c r="M24" s="13">
        <f>'TUSD BE'!$M$24*'TUSD BE'!$M$78</f>
        <v>0</v>
      </c>
      <c r="N24" s="13">
        <f ca="1">'TUSD BE'!$N$24*'TUSD BE'!$N$78</f>
        <v>0</v>
      </c>
      <c r="O24" s="13">
        <f>'TUSD BE'!$O$24*'TUSD BE'!$O$78</f>
        <v>0</v>
      </c>
      <c r="P24" s="13">
        <f>'TUSD BE'!$P$24*'TUSD BE'!$P$78</f>
        <v>0</v>
      </c>
      <c r="Q24" s="13">
        <f>'TUSD BE'!$Q$24*'TUSD BE'!$Q$78</f>
        <v>0</v>
      </c>
      <c r="R24" s="13">
        <f>'TUSD BE'!$R$24*'TUSD BE'!$R$78</f>
        <v>0</v>
      </c>
      <c r="S24" s="13">
        <f>'TUSD BE'!$R$24*'TUSD BE'!$S$78</f>
        <v>0</v>
      </c>
      <c r="T24" s="13">
        <f ca="1">SUM($L$24:$S$24)</f>
        <v>0</v>
      </c>
      <c r="U24" s="13">
        <f>'TUSD BE'!$U$24*'TUSD BE'!$U$78</f>
        <v>-7.8140156042443926E-2</v>
      </c>
      <c r="V24" s="13">
        <f>'TUSD BE'!$V$24*'TUSD BE'!$V$78</f>
        <v>-1.749791963210107E-2</v>
      </c>
      <c r="W24" s="13">
        <f>'TUSD BE'!$W$24*'TUSD BE'!$W$78</f>
        <v>-6.1190941083254431E-4</v>
      </c>
      <c r="X24" s="13">
        <f>'TUSD BE'!$X$24*'TUSD BE'!$X$78</f>
        <v>0</v>
      </c>
      <c r="Y24" s="13">
        <f>'TUSD BE'!$Y$24*'TUSD BE'!$Y$78</f>
        <v>0</v>
      </c>
      <c r="Z24" s="13">
        <f>'TUSD BE'!$Z$24*'TUSD BE'!$Z$78</f>
        <v>0</v>
      </c>
      <c r="AA24" s="13">
        <f>'TUSD BE'!$AA$24*'TUSD BE'!$AA$78</f>
        <v>0</v>
      </c>
      <c r="AB24" s="13">
        <f>SUM($U$24:$AA$24)</f>
        <v>-9.6249985085377535E-2</v>
      </c>
      <c r="AC24" s="13">
        <f>'TUSD BE'!$AC$24*'TUSD BE'!$AC$78</f>
        <v>6.8761432835716613E-3</v>
      </c>
      <c r="AD24" s="13">
        <f>SUM($AC$24:$AC$24)</f>
        <v>6.8761432835716613E-3</v>
      </c>
      <c r="AE24" s="13">
        <f ca="1">$AO$24*$AO$75</f>
        <v>0</v>
      </c>
      <c r="AF24" s="13">
        <f ca="1">$AP$24*$AP$75</f>
        <v>0</v>
      </c>
      <c r="AG24" s="13">
        <f ca="1">SUM($AE$24:$AF$24)</f>
        <v>0</v>
      </c>
      <c r="AH24" s="13">
        <f>'TUSD BE'!$AH$24*'TUSD BE'!$AH$78</f>
        <v>0</v>
      </c>
      <c r="AI24" s="13">
        <f>'TUSD BE'!$AI$24*'TUSD BE'!$AI$78</f>
        <v>0</v>
      </c>
      <c r="AJ24" s="13">
        <f ca="1">'TUSD BE'!$AJ$24*'TUSD BE'!$AJ$78</f>
        <v>0</v>
      </c>
      <c r="AK24" s="13">
        <f ca="1">'TUSD BE'!$AK$24*'TUSD BE'!$AK$78</f>
        <v>0</v>
      </c>
      <c r="AL24" s="13">
        <f ca="1">SUM($AH$24:$AK$24)</f>
        <v>0</v>
      </c>
      <c r="AM24" s="13">
        <f ca="1">SUMIF($L$4:$AL$4,"SUBTOTAL",$L$24:$AL$24)</f>
        <v>-8.9373841801805867E-2</v>
      </c>
      <c r="AO24" s="20">
        <f ca="1">+'TUSD BE'!$T$24+'TUSD BE'!$AB$24+'TUSD BE'!$AD$24+'TUSD BE'!$AL$24</f>
        <v>70.212317429024367</v>
      </c>
      <c r="AP24" s="20">
        <f ca="1">+'TUSD BE'!$T$24+'TUSD BE'!$AB$24+'TUSD BE'!$AD$24+'TUSD BE'!$AL$24</f>
        <v>70.212317429024367</v>
      </c>
    </row>
    <row r="25" spans="1:42" ht="11.25" customHeight="1" x14ac:dyDescent="0.3">
      <c r="A25" s="128"/>
      <c r="B25" s="128"/>
      <c r="C25" s="128"/>
      <c r="D25" s="128"/>
      <c r="E25" s="128"/>
      <c r="F25" s="128"/>
      <c r="G25" s="18" t="s">
        <v>83</v>
      </c>
      <c r="H25" s="18" t="s">
        <v>81</v>
      </c>
      <c r="I25" s="18">
        <f>'MERCADO TUSD'!$U$22</f>
        <v>0</v>
      </c>
      <c r="J25" s="15"/>
      <c r="L25" s="13">
        <f>'TUSD BE'!$L$25*'TUSD BE'!$L$78</f>
        <v>0</v>
      </c>
      <c r="M25" s="13">
        <f>'TUSD BE'!$M$25*'TUSD BE'!$M$78</f>
        <v>0</v>
      </c>
      <c r="N25" s="13">
        <f ca="1">'TUSD BE'!$N$25*'TUSD BE'!$N$78</f>
        <v>0</v>
      </c>
      <c r="O25" s="13">
        <f>'TUSD BE'!$O$25*'TUSD BE'!$O$78</f>
        <v>0</v>
      </c>
      <c r="P25" s="13">
        <f>'TUSD BE'!$P$25*'TUSD BE'!$P$78</f>
        <v>0</v>
      </c>
      <c r="Q25" s="13">
        <f>'TUSD BE'!$Q$25*'TUSD BE'!$Q$78</f>
        <v>0</v>
      </c>
      <c r="R25" s="13">
        <f>'TUSD BE'!$R$25*'TUSD BE'!$R$78</f>
        <v>0</v>
      </c>
      <c r="S25" s="13">
        <f>'TUSD BE'!$R$25*'TUSD BE'!$S$78</f>
        <v>0</v>
      </c>
      <c r="T25" s="13">
        <f ca="1">SUM($L$25:$S$25)</f>
        <v>0</v>
      </c>
      <c r="U25" s="13">
        <f>'TUSD BE'!$U$25*'TUSD BE'!$U$78</f>
        <v>-7.3433234750052825E-2</v>
      </c>
      <c r="V25" s="13">
        <f>'TUSD BE'!$V$25*'TUSD BE'!$V$78</f>
        <v>-1.6574824038821614E-2</v>
      </c>
      <c r="W25" s="13">
        <f>'TUSD BE'!$W$25*'TUSD BE'!$W$78</f>
        <v>-5.5521022354721827E-4</v>
      </c>
      <c r="X25" s="13">
        <f>'TUSD BE'!$X$25*'TUSD BE'!$X$78</f>
        <v>0</v>
      </c>
      <c r="Y25" s="13">
        <f>'TUSD BE'!$Y$25*'TUSD BE'!$Y$78</f>
        <v>0</v>
      </c>
      <c r="Z25" s="13">
        <f>'TUSD BE'!$Z$25*'TUSD BE'!$Z$78</f>
        <v>0</v>
      </c>
      <c r="AA25" s="13">
        <f>'TUSD BE'!$AA$25*'TUSD BE'!$AA$78</f>
        <v>0</v>
      </c>
      <c r="AB25" s="13">
        <f>SUM($U$25:$AA$25)</f>
        <v>-9.0563269012421663E-2</v>
      </c>
      <c r="AC25" s="13">
        <f>'TUSD BE'!$AC$25*'TUSD BE'!$AC$78</f>
        <v>7.348202769600743E-4</v>
      </c>
      <c r="AD25" s="13">
        <f>SUM($AC$25:$AC$25)</f>
        <v>7.348202769600743E-4</v>
      </c>
      <c r="AE25" s="13">
        <f ca="1">$AO$25*$AO$75</f>
        <v>0</v>
      </c>
      <c r="AF25" s="13">
        <f ca="1">$AP$25*$AP$75</f>
        <v>0</v>
      </c>
      <c r="AG25" s="13">
        <f ca="1">SUM($AE$25:$AF$25)</f>
        <v>0</v>
      </c>
      <c r="AH25" s="13">
        <f>'TUSD BE'!$AH$25*'TUSD BE'!$AH$78</f>
        <v>0</v>
      </c>
      <c r="AI25" s="13">
        <f>'TUSD BE'!$AI$25*'TUSD BE'!$AI$78</f>
        <v>0</v>
      </c>
      <c r="AJ25" s="13">
        <f ca="1">'TUSD BE'!$AJ$25*'TUSD BE'!$AJ$78</f>
        <v>0</v>
      </c>
      <c r="AK25" s="13">
        <f ca="1">'TUSD BE'!$AK$25*'TUSD BE'!$AK$78</f>
        <v>0</v>
      </c>
      <c r="AL25" s="13">
        <f ca="1">SUM($AH$25:$AK$25)</f>
        <v>0</v>
      </c>
      <c r="AM25" s="13">
        <f ca="1">SUMIF($L$4:$AL$4,"SUBTOTAL",$L$25:$AL$25)</f>
        <v>-8.9828448735461586E-2</v>
      </c>
      <c r="AO25" s="20">
        <f ca="1">+'TUSD BE'!$T$25+'TUSD BE'!$AB$25+'TUSD BE'!$AD$25+'TUSD BE'!$AL$25</f>
        <v>13.017729492800711</v>
      </c>
      <c r="AP25" s="20">
        <f ca="1">+'TUSD BE'!$T$25+'TUSD BE'!$AB$25+'TUSD BE'!$AD$25+'TUSD BE'!$AL$25</f>
        <v>13.017729492800711</v>
      </c>
    </row>
    <row r="26" spans="1:42" ht="11.25" customHeight="1" x14ac:dyDescent="0.3">
      <c r="A26" s="128"/>
      <c r="B26" s="128"/>
      <c r="C26" s="128"/>
      <c r="D26" s="128"/>
      <c r="E26" s="128"/>
      <c r="F26" s="128"/>
      <c r="G26" s="18" t="s">
        <v>84</v>
      </c>
      <c r="H26" s="18" t="s">
        <v>78</v>
      </c>
      <c r="I26" s="18">
        <f>'MERCADO TUSD'!$U$23</f>
        <v>0</v>
      </c>
      <c r="J26" s="15"/>
      <c r="L26" s="13">
        <f>'TUSD BE'!$L$26*'TUSD BE'!$L$78</f>
        <v>-0.56348944178893323</v>
      </c>
      <c r="M26" s="13">
        <f>'TUSD BE'!$M$26*'TUSD BE'!$M$78</f>
        <v>-2.0514885155593901E-3</v>
      </c>
      <c r="N26" s="13">
        <f ca="1">'TUSD BE'!$N$26*'TUSD BE'!$N$78</f>
        <v>1.6023285358786223E-7</v>
      </c>
      <c r="O26" s="13">
        <f>'TUSD BE'!$O$26*'TUSD BE'!$O$78</f>
        <v>0</v>
      </c>
      <c r="P26" s="13">
        <f>'TUSD BE'!$P$26*'TUSD BE'!$P$78</f>
        <v>0</v>
      </c>
      <c r="Q26" s="13">
        <f>'TUSD BE'!$Q$26*'TUSD BE'!$Q$78</f>
        <v>-1.6095968681012454</v>
      </c>
      <c r="R26" s="13">
        <f>'TUSD BE'!$R$26*'TUSD BE'!$R$78</f>
        <v>-0.37578018258543827</v>
      </c>
      <c r="S26" s="13">
        <f>'TUSD BE'!$R$26*'TUSD BE'!$S$78</f>
        <v>0</v>
      </c>
      <c r="T26" s="13">
        <f ca="1">SUM($L$26:$S$26)</f>
        <v>-2.5509178207583227</v>
      </c>
      <c r="U26" s="13">
        <f>'TUSD BE'!$U$26*'TUSD BE'!$U$78</f>
        <v>0</v>
      </c>
      <c r="V26" s="13">
        <f>'TUSD BE'!$V$26*'TUSD BE'!$V$78</f>
        <v>0</v>
      </c>
      <c r="W26" s="13">
        <f>'TUSD BE'!$W$26*'TUSD BE'!$W$78</f>
        <v>0</v>
      </c>
      <c r="X26" s="13">
        <f>'TUSD BE'!$X$26*'TUSD BE'!$X$78</f>
        <v>0</v>
      </c>
      <c r="Y26" s="13">
        <f>'TUSD BE'!$Y$26*'TUSD BE'!$Y$78</f>
        <v>0</v>
      </c>
      <c r="Z26" s="13">
        <f>'TUSD BE'!$Z$26*'TUSD BE'!$Z$78</f>
        <v>0</v>
      </c>
      <c r="AA26" s="13">
        <f>'TUSD BE'!$AA$26*'TUSD BE'!$AA$78</f>
        <v>0</v>
      </c>
      <c r="AB26" s="13">
        <f>SUM($U$26:$AA$26)</f>
        <v>0</v>
      </c>
      <c r="AC26" s="13">
        <f>'TUSD BE'!$AC$26*'TUSD BE'!$AC$78</f>
        <v>0</v>
      </c>
      <c r="AD26" s="13">
        <f>SUM($AC$26:$AC$26)</f>
        <v>0</v>
      </c>
      <c r="AE26" s="13">
        <f ca="1">$AO$26*$AO$75</f>
        <v>0</v>
      </c>
      <c r="AF26" s="13">
        <f ca="1">$AP$26*$AP$75</f>
        <v>0</v>
      </c>
      <c r="AG26" s="13">
        <f ca="1">SUM($AE$26:$AF$26)</f>
        <v>0</v>
      </c>
      <c r="AH26" s="13">
        <f>'TUSD BE'!$AH$26*'TUSD BE'!$AH$78</f>
        <v>10.920190337325092</v>
      </c>
      <c r="AI26" s="13">
        <f>'TUSD BE'!$AI$26*'TUSD BE'!$AI$78</f>
        <v>0.18925872471314215</v>
      </c>
      <c r="AJ26" s="13">
        <f ca="1">'TUSD BE'!$AJ$26*'TUSD BE'!$AJ$78</f>
        <v>0.82844692293965005</v>
      </c>
      <c r="AK26" s="13">
        <f ca="1">'TUSD BE'!$AK$26*'TUSD BE'!$AK$78</f>
        <v>-1.8946965230610249E-2</v>
      </c>
      <c r="AL26" s="13">
        <f ca="1">SUM($AH$26:$AK$26)</f>
        <v>11.918949019747274</v>
      </c>
      <c r="AM26" s="13">
        <f ca="1">SUMIF($L$4:$AL$4,"SUBTOTAL",$L$26:$AL$26)</f>
        <v>9.3680311989889518</v>
      </c>
      <c r="AO26" s="20">
        <f ca="1">+'TUSD BE'!$T$26+'TUSD BE'!$AB$26+'TUSD BE'!$AD$26+'TUSD BE'!$AL$26</f>
        <v>135.6496504992603</v>
      </c>
      <c r="AP26" s="20">
        <f ca="1">+'TUSD BE'!$T$26+'TUSD BE'!$AB$26+'TUSD BE'!$AD$26+'TUSD BE'!$AL$26</f>
        <v>135.6496504992603</v>
      </c>
    </row>
    <row r="27" spans="1:42" ht="11.25" customHeight="1" x14ac:dyDescent="0.3">
      <c r="A27" s="128"/>
      <c r="B27" s="128"/>
      <c r="C27" s="128"/>
      <c r="D27" s="128"/>
      <c r="E27" s="17" t="s">
        <v>85</v>
      </c>
      <c r="F27" s="17" t="s">
        <v>25</v>
      </c>
      <c r="G27" s="18" t="s">
        <v>84</v>
      </c>
      <c r="H27" s="18" t="s">
        <v>78</v>
      </c>
      <c r="I27" s="18">
        <f>'MERCADO TUSD'!$U$24</f>
        <v>0</v>
      </c>
      <c r="J27" s="15"/>
      <c r="L27" s="13">
        <f>'TUSD BE'!$L$27*'TUSD BE'!$L$78</f>
        <v>0</v>
      </c>
      <c r="M27" s="13">
        <f>'TUSD BE'!$M$27*'TUSD BE'!$M$78</f>
        <v>-2.0514885155593901E-3</v>
      </c>
      <c r="N27" s="13">
        <f ca="1">'TUSD BE'!$N$27*'TUSD BE'!$N$78</f>
        <v>1.5935338893458872E-7</v>
      </c>
      <c r="O27" s="13">
        <f>'TUSD BE'!$O$27*'TUSD BE'!$O$78</f>
        <v>0</v>
      </c>
      <c r="P27" s="13">
        <f>'TUSD BE'!$P$27*'TUSD BE'!$P$78</f>
        <v>0</v>
      </c>
      <c r="Q27" s="13">
        <f>'TUSD BE'!$Q$27*'TUSD BE'!$Q$78</f>
        <v>0</v>
      </c>
      <c r="R27" s="13">
        <f>'TUSD BE'!$R$27*'TUSD BE'!$R$78</f>
        <v>0</v>
      </c>
      <c r="S27" s="13">
        <f>'TUSD BE'!$R$27*'TUSD BE'!$S$78</f>
        <v>0</v>
      </c>
      <c r="T27" s="13">
        <f ca="1">SUM($L$27:$S$27)</f>
        <v>-2.0513291621704556E-3</v>
      </c>
      <c r="U27" s="13">
        <f>'TUSD BE'!$U$27*'TUSD BE'!$U$78</f>
        <v>0</v>
      </c>
      <c r="V27" s="13">
        <f>'TUSD BE'!$V$27*'TUSD BE'!$V$78</f>
        <v>0</v>
      </c>
      <c r="W27" s="13">
        <f>'TUSD BE'!$W$27*'TUSD BE'!$W$78</f>
        <v>0</v>
      </c>
      <c r="X27" s="13">
        <f>'TUSD BE'!$X$27*'TUSD BE'!$X$78</f>
        <v>0</v>
      </c>
      <c r="Y27" s="13">
        <f>'TUSD BE'!$Y$27*'TUSD BE'!$Y$78</f>
        <v>0</v>
      </c>
      <c r="Z27" s="13">
        <f>'TUSD BE'!$Z$27*'TUSD BE'!$Z$78</f>
        <v>0</v>
      </c>
      <c r="AA27" s="13">
        <f>'TUSD BE'!$AA$27*'TUSD BE'!$AA$78</f>
        <v>0</v>
      </c>
      <c r="AB27" s="13">
        <f>SUM($U$27:$AA$27)</f>
        <v>0</v>
      </c>
      <c r="AC27" s="13">
        <f>'TUSD BE'!$AC$27*'TUSD BE'!$AC$78</f>
        <v>0</v>
      </c>
      <c r="AD27" s="13">
        <f>SUM($AC$27:$AC$27)</f>
        <v>0</v>
      </c>
      <c r="AE27" s="13">
        <f ca="1">$AO$27*$AO$75</f>
        <v>0</v>
      </c>
      <c r="AF27" s="13">
        <f ca="1">$AP$27*$AP$75</f>
        <v>0</v>
      </c>
      <c r="AG27" s="13">
        <f ca="1">SUM($AE$27:$AF$27)</f>
        <v>0</v>
      </c>
      <c r="AH27" s="13">
        <f>'TUSD BE'!$AH$27*'TUSD BE'!$AH$78</f>
        <v>10.920190337325092</v>
      </c>
      <c r="AI27" s="13">
        <f>'TUSD BE'!$AI$27*'TUSD BE'!$AI$78</f>
        <v>0.18925872471314215</v>
      </c>
      <c r="AJ27" s="13">
        <f ca="1">'TUSD BE'!$AJ$27*'TUSD BE'!$AJ$78</f>
        <v>0.82844692293965005</v>
      </c>
      <c r="AK27" s="13">
        <f ca="1">'TUSD BE'!$AK$27*'TUSD BE'!$AK$78</f>
        <v>-1.8946965230610249E-2</v>
      </c>
      <c r="AL27" s="13">
        <f ca="1">SUM($AH$27:$AK$27)</f>
        <v>11.918949019747274</v>
      </c>
      <c r="AM27" s="13">
        <f ca="1">SUMIF($L$4:$AL$4,"SUBTOTAL",$L$27:$AL$27)</f>
        <v>11.916897690585103</v>
      </c>
      <c r="AO27" s="20">
        <f ca="1">+'TUSD BE'!$T$27+'TUSD BE'!$AB$27+'TUSD BE'!$AD$27+'TUSD BE'!$AL$27</f>
        <v>28.603252136276232</v>
      </c>
      <c r="AP27" s="20">
        <f ca="1">+'TUSD BE'!$T$27+'TUSD BE'!$AB$27+'TUSD BE'!$AD$27+'TUSD BE'!$AL$27</f>
        <v>28.603252136276232</v>
      </c>
    </row>
    <row r="28" spans="1:42" ht="11.25" customHeight="1" x14ac:dyDescent="0.3">
      <c r="A28" s="128"/>
      <c r="B28" s="128" t="s">
        <v>41</v>
      </c>
      <c r="C28" s="128" t="s">
        <v>25</v>
      </c>
      <c r="D28" s="128" t="s">
        <v>25</v>
      </c>
      <c r="E28" s="128" t="s">
        <v>25</v>
      </c>
      <c r="F28" s="128" t="s">
        <v>25</v>
      </c>
      <c r="G28" s="18" t="s">
        <v>9</v>
      </c>
      <c r="H28" s="18" t="s">
        <v>81</v>
      </c>
      <c r="I28" s="18">
        <f>'MERCADO TUSD'!$U$25</f>
        <v>2892</v>
      </c>
      <c r="J28" s="15"/>
      <c r="L28" s="13">
        <f>'TUSD BE'!$L$28*'TUSD BE'!$L$78</f>
        <v>0</v>
      </c>
      <c r="M28" s="13">
        <f>'TUSD BE'!$M$28*'TUSD BE'!$M$78</f>
        <v>0</v>
      </c>
      <c r="N28" s="13">
        <f ca="1">'TUSD BE'!$N$28*'TUSD BE'!$N$78</f>
        <v>0</v>
      </c>
      <c r="O28" s="13">
        <f>'TUSD BE'!$O$28*'TUSD BE'!$O$78</f>
        <v>0</v>
      </c>
      <c r="P28" s="13">
        <f>'TUSD BE'!$P$28*'TUSD BE'!$P$78</f>
        <v>0</v>
      </c>
      <c r="Q28" s="13">
        <f>'TUSD BE'!$Q$28*'TUSD BE'!$Q$78</f>
        <v>0</v>
      </c>
      <c r="R28" s="13">
        <f>'TUSD BE'!$R$28*'TUSD BE'!$R$78</f>
        <v>0</v>
      </c>
      <c r="S28" s="13">
        <f>'TUSD BE'!$R$28*'TUSD BE'!$S$78</f>
        <v>0</v>
      </c>
      <c r="T28" s="13">
        <f ca="1">SUM($L$28:$S$28)</f>
        <v>0</v>
      </c>
      <c r="U28" s="13">
        <f>'TUSD BE'!$U$28*'TUSD BE'!$U$78</f>
        <v>-7.3433234750052825E-2</v>
      </c>
      <c r="V28" s="13">
        <f>'TUSD BE'!$V$28*'TUSD BE'!$V$78</f>
        <v>-1.6574824038821614E-2</v>
      </c>
      <c r="W28" s="13">
        <f>'TUSD BE'!$W$28*'TUSD BE'!$W$78</f>
        <v>-5.5521022354721827E-4</v>
      </c>
      <c r="X28" s="13">
        <f>'TUSD BE'!$X$28*'TUSD BE'!$X$78</f>
        <v>0</v>
      </c>
      <c r="Y28" s="13">
        <f>'TUSD BE'!$Y$28*'TUSD BE'!$Y$78</f>
        <v>0</v>
      </c>
      <c r="Z28" s="13">
        <f>'TUSD BE'!$Z$28*'TUSD BE'!$Z$78</f>
        <v>0</v>
      </c>
      <c r="AA28" s="13">
        <f>'TUSD BE'!$AA$28*'TUSD BE'!$AA$78</f>
        <v>0</v>
      </c>
      <c r="AB28" s="13">
        <f>SUM($U$28:$AA$28)</f>
        <v>-9.0563269012421663E-2</v>
      </c>
      <c r="AC28" s="13">
        <f>'TUSD BE'!$AC$28*'TUSD BE'!$AC$78</f>
        <v>7.348202769600743E-4</v>
      </c>
      <c r="AD28" s="13">
        <f>SUM($AC$28:$AC$28)</f>
        <v>7.348202769600743E-4</v>
      </c>
      <c r="AE28" s="13">
        <f ca="1">$AO$28*$AO$75</f>
        <v>0</v>
      </c>
      <c r="AF28" s="13">
        <f ca="1">$AP$28*$AP$75</f>
        <v>0</v>
      </c>
      <c r="AG28" s="13">
        <f ca="1">SUM($AE$28:$AF$28)</f>
        <v>0</v>
      </c>
      <c r="AH28" s="13">
        <f>'TUSD BE'!$AH$28*'TUSD BE'!$AH$78</f>
        <v>0</v>
      </c>
      <c r="AI28" s="13">
        <f>'TUSD BE'!$AI$28*'TUSD BE'!$AI$78</f>
        <v>0</v>
      </c>
      <c r="AJ28" s="13">
        <f ca="1">'TUSD BE'!$AJ$28*'TUSD BE'!$AJ$78</f>
        <v>0</v>
      </c>
      <c r="AK28" s="13">
        <f ca="1">'TUSD BE'!$AK$28*'TUSD BE'!$AK$78</f>
        <v>0</v>
      </c>
      <c r="AL28" s="13">
        <f ca="1">SUM($AH$28:$AK$28)</f>
        <v>0</v>
      </c>
      <c r="AM28" s="13">
        <f ca="1">SUMIF($L$4:$AL$4,"SUBTOTAL",$L$28:$AL$28)</f>
        <v>-8.9828448735461586E-2</v>
      </c>
      <c r="AO28" s="20">
        <f ca="1">+'TUSD BE'!$T$28+'TUSD BE'!$AB$28+'TUSD BE'!$AD$28+'TUSD BE'!$AL$28</f>
        <v>13.017729492800711</v>
      </c>
      <c r="AP28" s="20">
        <f ca="1">+'TUSD BE'!$T$28+'TUSD BE'!$AB$28+'TUSD BE'!$AD$28+'TUSD BE'!$AL$28</f>
        <v>13.017729492800711</v>
      </c>
    </row>
    <row r="29" spans="1:42" ht="11.25" customHeight="1" x14ac:dyDescent="0.3">
      <c r="A29" s="128"/>
      <c r="B29" s="128"/>
      <c r="C29" s="128"/>
      <c r="D29" s="128"/>
      <c r="E29" s="128"/>
      <c r="F29" s="128"/>
      <c r="G29" s="18" t="s">
        <v>79</v>
      </c>
      <c r="H29" s="18" t="s">
        <v>78</v>
      </c>
      <c r="I29" s="18">
        <f>'MERCADO TUSD'!$U$26</f>
        <v>55.301000000000002</v>
      </c>
      <c r="J29" s="15"/>
      <c r="L29" s="13">
        <f>'TUSD BE'!$L$29*'TUSD BE'!$L$78</f>
        <v>-0.56348944178893323</v>
      </c>
      <c r="M29" s="13">
        <f>'TUSD BE'!$M$29*'TUSD BE'!$M$78</f>
        <v>-2.0514885155593901E-3</v>
      </c>
      <c r="N29" s="13">
        <f ca="1">'TUSD BE'!$N$29*'TUSD BE'!$N$78</f>
        <v>1.4160778610389946E-6</v>
      </c>
      <c r="O29" s="13">
        <f>'TUSD BE'!$O$29*'TUSD BE'!$O$78</f>
        <v>0</v>
      </c>
      <c r="P29" s="13">
        <f>'TUSD BE'!$P$29*'TUSD BE'!$P$78</f>
        <v>0</v>
      </c>
      <c r="Q29" s="13">
        <f>'TUSD BE'!$Q$29*'TUSD BE'!$Q$78</f>
        <v>-1.6095968681012454</v>
      </c>
      <c r="R29" s="13">
        <f>'TUSD BE'!$R$29*'TUSD BE'!$R$78</f>
        <v>-0.37578018258543827</v>
      </c>
      <c r="S29" s="13">
        <f>'TUSD BE'!$R$29*'TUSD BE'!$S$78</f>
        <v>0</v>
      </c>
      <c r="T29" s="13">
        <f ca="1">SUM($L$29:$S$29)</f>
        <v>-2.5509165649133152</v>
      </c>
      <c r="U29" s="13">
        <f>'TUSD BE'!$U$29*'TUSD BE'!$U$78</f>
        <v>-1.8792657997960687</v>
      </c>
      <c r="V29" s="13">
        <f>'TUSD BE'!$V$29*'TUSD BE'!$V$78</f>
        <v>-0.42081474299197857</v>
      </c>
      <c r="W29" s="13">
        <f>'TUSD BE'!$W$29*'TUSD BE'!$W$78</f>
        <v>-1.4710125511674775E-2</v>
      </c>
      <c r="X29" s="13">
        <f>'TUSD BE'!$X$29*'TUSD BE'!$X$78</f>
        <v>0</v>
      </c>
      <c r="Y29" s="13">
        <f>'TUSD BE'!$Y$29*'TUSD BE'!$Y$78</f>
        <v>0</v>
      </c>
      <c r="Z29" s="13">
        <f>'TUSD BE'!$Z$29*'TUSD BE'!$Z$78</f>
        <v>0</v>
      </c>
      <c r="AA29" s="13">
        <f>'TUSD BE'!$AA$29*'TUSD BE'!$AA$78</f>
        <v>0</v>
      </c>
      <c r="AB29" s="13">
        <f>SUM($U$29:$AA$29)</f>
        <v>-2.3147906682997221</v>
      </c>
      <c r="AC29" s="13">
        <f>'TUSD BE'!$AC$29*'TUSD BE'!$AC$78</f>
        <v>0.16537137698527593</v>
      </c>
      <c r="AD29" s="13">
        <f>SUM($AC$29:$AC$29)</f>
        <v>0.16537137698527593</v>
      </c>
      <c r="AE29" s="13">
        <f ca="1">$AO$29*$AO$75</f>
        <v>0</v>
      </c>
      <c r="AF29" s="13">
        <f ca="1">$AP$29*$AP$75</f>
        <v>0</v>
      </c>
      <c r="AG29" s="13">
        <f ca="1">SUM($AE$29:$AF$29)</f>
        <v>0</v>
      </c>
      <c r="AH29" s="13">
        <f>'TUSD BE'!$AH$29*'TUSD BE'!$AH$78</f>
        <v>10.920190337325092</v>
      </c>
      <c r="AI29" s="13">
        <f>'TUSD BE'!$AI$29*'TUSD BE'!$AI$78</f>
        <v>0.18925872471314215</v>
      </c>
      <c r="AJ29" s="13">
        <f ca="1">'TUSD BE'!$AJ$29*'TUSD BE'!$AJ$78</f>
        <v>0.82844692293965005</v>
      </c>
      <c r="AK29" s="13">
        <f ca="1">'TUSD BE'!$AK$29*'TUSD BE'!$AK$78</f>
        <v>-1.8946965230610249E-2</v>
      </c>
      <c r="AL29" s="13">
        <f ca="1">SUM($AH$29:$AK$29)</f>
        <v>11.918949019747274</v>
      </c>
      <c r="AM29" s="13">
        <f ca="1">SUMIF($L$4:$AL$4,"SUBTOTAL",$L$29:$AL$29)</f>
        <v>7.218613163519513</v>
      </c>
      <c r="AO29" s="20">
        <f ca="1">+'TUSD BE'!$T$29+'TUSD BE'!$AB$29+'TUSD BE'!$AD$29+'TUSD BE'!$AL$29</f>
        <v>1842.2173046426892</v>
      </c>
      <c r="AP29" s="20">
        <f ca="1">+'TUSD BE'!$T$29+'TUSD BE'!$AB$29+'TUSD BE'!$AD$29+'TUSD BE'!$AL$29</f>
        <v>1842.2173046426892</v>
      </c>
    </row>
    <row r="30" spans="1:42" ht="11.25" customHeight="1" x14ac:dyDescent="0.3">
      <c r="A30" s="128"/>
      <c r="B30" s="128"/>
      <c r="C30" s="128"/>
      <c r="D30" s="128"/>
      <c r="E30" s="128"/>
      <c r="F30" s="128"/>
      <c r="G30" s="18" t="s">
        <v>80</v>
      </c>
      <c r="H30" s="18" t="s">
        <v>78</v>
      </c>
      <c r="I30" s="18">
        <f>'MERCADO TUSD'!$U$27</f>
        <v>509.89599999999996</v>
      </c>
      <c r="J30" s="15"/>
      <c r="L30" s="13">
        <f>'TUSD BE'!$L$30*'TUSD BE'!$L$78</f>
        <v>-0.56348944178893323</v>
      </c>
      <c r="M30" s="13">
        <f>'TUSD BE'!$M$30*'TUSD BE'!$M$78</f>
        <v>-2.0514885155593901E-3</v>
      </c>
      <c r="N30" s="13">
        <f ca="1">'TUSD BE'!$N$30*'TUSD BE'!$N$78</f>
        <v>1.6023285358786223E-7</v>
      </c>
      <c r="O30" s="13">
        <f>'TUSD BE'!$O$30*'TUSD BE'!$O$78</f>
        <v>0</v>
      </c>
      <c r="P30" s="13">
        <f>'TUSD BE'!$P$30*'TUSD BE'!$P$78</f>
        <v>0</v>
      </c>
      <c r="Q30" s="13">
        <f>'TUSD BE'!$Q$30*'TUSD BE'!$Q$78</f>
        <v>-1.6095968681012454</v>
      </c>
      <c r="R30" s="13">
        <f>'TUSD BE'!$R$30*'TUSD BE'!$R$78</f>
        <v>-0.37578018258543827</v>
      </c>
      <c r="S30" s="13">
        <f>'TUSD BE'!$R$30*'TUSD BE'!$S$78</f>
        <v>0</v>
      </c>
      <c r="T30" s="13">
        <f ca="1">SUM($L$30:$S$30)</f>
        <v>-2.5509178207583227</v>
      </c>
      <c r="U30" s="13">
        <f>'TUSD BE'!$U$30*'TUSD BE'!$U$78</f>
        <v>0</v>
      </c>
      <c r="V30" s="13">
        <f>'TUSD BE'!$V$30*'TUSD BE'!$V$78</f>
        <v>0</v>
      </c>
      <c r="W30" s="13">
        <f>'TUSD BE'!$W$30*'TUSD BE'!$W$78</f>
        <v>0</v>
      </c>
      <c r="X30" s="13">
        <f>'TUSD BE'!$X$30*'TUSD BE'!$X$78</f>
        <v>0</v>
      </c>
      <c r="Y30" s="13">
        <f>'TUSD BE'!$Y$30*'TUSD BE'!$Y$78</f>
        <v>0</v>
      </c>
      <c r="Z30" s="13">
        <f>'TUSD BE'!$Z$30*'TUSD BE'!$Z$78</f>
        <v>0</v>
      </c>
      <c r="AA30" s="13">
        <f>'TUSD BE'!$AA$30*'TUSD BE'!$AA$78</f>
        <v>0</v>
      </c>
      <c r="AB30" s="13">
        <f>SUM($U$30:$AA$30)</f>
        <v>0</v>
      </c>
      <c r="AC30" s="13">
        <f>'TUSD BE'!$AC$30*'TUSD BE'!$AC$78</f>
        <v>0</v>
      </c>
      <c r="AD30" s="13">
        <f>SUM($AC$30:$AC$30)</f>
        <v>0</v>
      </c>
      <c r="AE30" s="13">
        <f ca="1">$AO$30*$AO$75</f>
        <v>0</v>
      </c>
      <c r="AF30" s="13">
        <f ca="1">$AP$30*$AP$75</f>
        <v>0</v>
      </c>
      <c r="AG30" s="13">
        <f ca="1">SUM($AE$30:$AF$30)</f>
        <v>0</v>
      </c>
      <c r="AH30" s="13">
        <f>'TUSD BE'!$AH$30*'TUSD BE'!$AH$78</f>
        <v>10.920190337325092</v>
      </c>
      <c r="AI30" s="13">
        <f>'TUSD BE'!$AI$30*'TUSD BE'!$AI$78</f>
        <v>0.18925872471314215</v>
      </c>
      <c r="AJ30" s="13">
        <f ca="1">'TUSD BE'!$AJ$30*'TUSD BE'!$AJ$78</f>
        <v>0.82844692293965005</v>
      </c>
      <c r="AK30" s="13">
        <f ca="1">'TUSD BE'!$AK$30*'TUSD BE'!$AK$78</f>
        <v>-1.8946965230610249E-2</v>
      </c>
      <c r="AL30" s="13">
        <f ca="1">SUM($AH$30:$AK$30)</f>
        <v>11.918949019747274</v>
      </c>
      <c r="AM30" s="13">
        <f ca="1">SUMIF($L$4:$AL$4,"SUBTOTAL",$L$30:$AL$30)</f>
        <v>9.3680311989889518</v>
      </c>
      <c r="AO30" s="20">
        <f ca="1">+'TUSD BE'!$T$30+'TUSD BE'!$AB$30+'TUSD BE'!$AD$30+'TUSD BE'!$AL$30</f>
        <v>135.6496504992603</v>
      </c>
      <c r="AP30" s="20">
        <f ca="1">+'TUSD BE'!$T$30+'TUSD BE'!$AB$30+'TUSD BE'!$AD$30+'TUSD BE'!$AL$30</f>
        <v>135.6496504992603</v>
      </c>
    </row>
    <row r="31" spans="1:42" ht="11.25" customHeight="1" x14ac:dyDescent="0.3">
      <c r="A31" s="128"/>
      <c r="B31" s="128"/>
      <c r="C31" s="128"/>
      <c r="D31" s="128"/>
      <c r="E31" s="128" t="s">
        <v>85</v>
      </c>
      <c r="F31" s="128" t="s">
        <v>25</v>
      </c>
      <c r="G31" s="18" t="s">
        <v>79</v>
      </c>
      <c r="H31" s="18" t="s">
        <v>78</v>
      </c>
      <c r="I31" s="18">
        <f>'MERCADO TUSD'!$U$28</f>
        <v>0</v>
      </c>
      <c r="J31" s="15"/>
      <c r="L31" s="13">
        <f>'TUSD BE'!$L$31*'TUSD BE'!$L$78</f>
        <v>0</v>
      </c>
      <c r="M31" s="13">
        <f>'TUSD BE'!$M$31*'TUSD BE'!$M$78</f>
        <v>-2.0514885155593901E-3</v>
      </c>
      <c r="N31" s="13">
        <f ca="1">'TUSD BE'!$N$31*'TUSD BE'!$N$78</f>
        <v>1.4151983963857211E-6</v>
      </c>
      <c r="O31" s="13">
        <f>'TUSD BE'!$O$31*'TUSD BE'!$O$78</f>
        <v>0</v>
      </c>
      <c r="P31" s="13">
        <f>'TUSD BE'!$P$31*'TUSD BE'!$P$78</f>
        <v>0</v>
      </c>
      <c r="Q31" s="13">
        <f>'TUSD BE'!$Q$31*'TUSD BE'!$Q$78</f>
        <v>0</v>
      </c>
      <c r="R31" s="13">
        <f>'TUSD BE'!$R$31*'TUSD BE'!$R$78</f>
        <v>0</v>
      </c>
      <c r="S31" s="13">
        <f>'TUSD BE'!$R$31*'TUSD BE'!$S$78</f>
        <v>0</v>
      </c>
      <c r="T31" s="13">
        <f ca="1">SUM($L$31:$S$31)</f>
        <v>-2.0500733171630045E-3</v>
      </c>
      <c r="U31" s="13">
        <f>'TUSD BE'!$U$31*'TUSD BE'!$U$78</f>
        <v>-1.8792657997960687</v>
      </c>
      <c r="V31" s="13">
        <f>'TUSD BE'!$V$31*'TUSD BE'!$V$78</f>
        <v>-0.42081474299197857</v>
      </c>
      <c r="W31" s="13">
        <f>'TUSD BE'!$W$31*'TUSD BE'!$W$78</f>
        <v>-1.4710125511674775E-2</v>
      </c>
      <c r="X31" s="13">
        <f>'TUSD BE'!$X$31*'TUSD BE'!$X$78</f>
        <v>0</v>
      </c>
      <c r="Y31" s="13">
        <f>'TUSD BE'!$Y$31*'TUSD BE'!$Y$78</f>
        <v>0</v>
      </c>
      <c r="Z31" s="13">
        <f>'TUSD BE'!$Z$31*'TUSD BE'!$Z$78</f>
        <v>0</v>
      </c>
      <c r="AA31" s="13">
        <f>'TUSD BE'!$AA$31*'TUSD BE'!$AA$78</f>
        <v>0</v>
      </c>
      <c r="AB31" s="13">
        <f>SUM($U$31:$AA$31)</f>
        <v>-2.3147906682997221</v>
      </c>
      <c r="AC31" s="13">
        <f>'TUSD BE'!$AC$31*'TUSD BE'!$AC$78</f>
        <v>0.16537137698527593</v>
      </c>
      <c r="AD31" s="13">
        <f>SUM($AC$31:$AC$31)</f>
        <v>0.16537137698527593</v>
      </c>
      <c r="AE31" s="13">
        <f ca="1">$AO$31*$AO$75</f>
        <v>0</v>
      </c>
      <c r="AF31" s="13">
        <f ca="1">$AP$31*$AP$75</f>
        <v>0</v>
      </c>
      <c r="AG31" s="13">
        <f ca="1">SUM($AE$31:$AF$31)</f>
        <v>0</v>
      </c>
      <c r="AH31" s="13">
        <f>'TUSD BE'!$AH$31*'TUSD BE'!$AH$78</f>
        <v>10.920190337325092</v>
      </c>
      <c r="AI31" s="13">
        <f>'TUSD BE'!$AI$31*'TUSD BE'!$AI$78</f>
        <v>0.18925872471314215</v>
      </c>
      <c r="AJ31" s="13">
        <f ca="1">'TUSD BE'!$AJ$31*'TUSD BE'!$AJ$78</f>
        <v>0.82844692293965005</v>
      </c>
      <c r="AK31" s="13">
        <f ca="1">'TUSD BE'!$AK$31*'TUSD BE'!$AK$78</f>
        <v>-1.8946965230610249E-2</v>
      </c>
      <c r="AL31" s="13">
        <f ca="1">SUM($AH$31:$AK$31)</f>
        <v>11.918949019747274</v>
      </c>
      <c r="AM31" s="13">
        <f ca="1">SUMIF($L$4:$AL$4,"SUBTOTAL",$L$31:$AL$31)</f>
        <v>9.7674796551156646</v>
      </c>
      <c r="AO31" s="20">
        <f ca="1">+'TUSD BE'!$T$31+'TUSD BE'!$AB$31+'TUSD BE'!$AD$31+'TUSD BE'!$AL$31</f>
        <v>1735.1709062797052</v>
      </c>
      <c r="AP31" s="20">
        <f ca="1">+'TUSD BE'!$T$31+'TUSD BE'!$AB$31+'TUSD BE'!$AD$31+'TUSD BE'!$AL$31</f>
        <v>1735.1709062797052</v>
      </c>
    </row>
    <row r="32" spans="1:42" ht="11.25" customHeight="1" x14ac:dyDescent="0.3">
      <c r="A32" s="128"/>
      <c r="B32" s="128"/>
      <c r="C32" s="128"/>
      <c r="D32" s="128"/>
      <c r="E32" s="128"/>
      <c r="F32" s="128"/>
      <c r="G32" s="18" t="s">
        <v>80</v>
      </c>
      <c r="H32" s="18" t="s">
        <v>78</v>
      </c>
      <c r="I32" s="18">
        <f>'MERCADO TUSD'!$U$29</f>
        <v>0</v>
      </c>
      <c r="J32" s="15"/>
      <c r="L32" s="13">
        <f>'TUSD BE'!$L$32*'TUSD BE'!$L$78</f>
        <v>0</v>
      </c>
      <c r="M32" s="13">
        <f>'TUSD BE'!$M$32*'TUSD BE'!$M$78</f>
        <v>-2.0514885155593901E-3</v>
      </c>
      <c r="N32" s="13">
        <f ca="1">'TUSD BE'!$N$32*'TUSD BE'!$N$78</f>
        <v>1.5935338893458872E-7</v>
      </c>
      <c r="O32" s="13">
        <f>'TUSD BE'!$O$32*'TUSD BE'!$O$78</f>
        <v>0</v>
      </c>
      <c r="P32" s="13">
        <f>'TUSD BE'!$P$32*'TUSD BE'!$P$78</f>
        <v>0</v>
      </c>
      <c r="Q32" s="13">
        <f>'TUSD BE'!$Q$32*'TUSD BE'!$Q$78</f>
        <v>0</v>
      </c>
      <c r="R32" s="13">
        <f>'TUSD BE'!$R$32*'TUSD BE'!$R$78</f>
        <v>0</v>
      </c>
      <c r="S32" s="13">
        <f>'TUSD BE'!$R$32*'TUSD BE'!$S$78</f>
        <v>0</v>
      </c>
      <c r="T32" s="13">
        <f ca="1">SUM($L$32:$S$32)</f>
        <v>-2.0513291621704556E-3</v>
      </c>
      <c r="U32" s="13">
        <f>'TUSD BE'!$U$32*'TUSD BE'!$U$78</f>
        <v>0</v>
      </c>
      <c r="V32" s="13">
        <f>'TUSD BE'!$V$32*'TUSD BE'!$V$78</f>
        <v>0</v>
      </c>
      <c r="W32" s="13">
        <f>'TUSD BE'!$W$32*'TUSD BE'!$W$78</f>
        <v>0</v>
      </c>
      <c r="X32" s="13">
        <f>'TUSD BE'!$X$32*'TUSD BE'!$X$78</f>
        <v>0</v>
      </c>
      <c r="Y32" s="13">
        <f>'TUSD BE'!$Y$32*'TUSD BE'!$Y$78</f>
        <v>0</v>
      </c>
      <c r="Z32" s="13">
        <f>'TUSD BE'!$Z$32*'TUSD BE'!$Z$78</f>
        <v>0</v>
      </c>
      <c r="AA32" s="13">
        <f>'TUSD BE'!$AA$32*'TUSD BE'!$AA$78</f>
        <v>0</v>
      </c>
      <c r="AB32" s="13">
        <f>SUM($U$32:$AA$32)</f>
        <v>0</v>
      </c>
      <c r="AC32" s="13">
        <f>'TUSD BE'!$AC$32*'TUSD BE'!$AC$78</f>
        <v>0</v>
      </c>
      <c r="AD32" s="13">
        <f>SUM($AC$32:$AC$32)</f>
        <v>0</v>
      </c>
      <c r="AE32" s="13">
        <f ca="1">$AO$32*$AO$75</f>
        <v>0</v>
      </c>
      <c r="AF32" s="13">
        <f ca="1">$AP$32*$AP$75</f>
        <v>0</v>
      </c>
      <c r="AG32" s="13">
        <f ca="1">SUM($AE$32:$AF$32)</f>
        <v>0</v>
      </c>
      <c r="AH32" s="13">
        <f>'TUSD BE'!$AH$32*'TUSD BE'!$AH$78</f>
        <v>10.920190337325092</v>
      </c>
      <c r="AI32" s="13">
        <f>'TUSD BE'!$AI$32*'TUSD BE'!$AI$78</f>
        <v>0.18925872471314215</v>
      </c>
      <c r="AJ32" s="13">
        <f ca="1">'TUSD BE'!$AJ$32*'TUSD BE'!$AJ$78</f>
        <v>0.82844692293965005</v>
      </c>
      <c r="AK32" s="13">
        <f ca="1">'TUSD BE'!$AK$32*'TUSD BE'!$AK$78</f>
        <v>-1.8946965230610249E-2</v>
      </c>
      <c r="AL32" s="13">
        <f ca="1">SUM($AH$32:$AK$32)</f>
        <v>11.918949019747274</v>
      </c>
      <c r="AM32" s="13">
        <f ca="1">SUMIF($L$4:$AL$4,"SUBTOTAL",$L$32:$AL$32)</f>
        <v>11.916897690585103</v>
      </c>
      <c r="AO32" s="20">
        <f ca="1">+'TUSD BE'!$T$32+'TUSD BE'!$AB$32+'TUSD BE'!$AD$32+'TUSD BE'!$AL$32</f>
        <v>28.603252136276232</v>
      </c>
      <c r="AP32" s="20">
        <f ca="1">+'TUSD BE'!$T$32+'TUSD BE'!$AB$32+'TUSD BE'!$AD$32+'TUSD BE'!$AL$32</f>
        <v>28.603252136276232</v>
      </c>
    </row>
    <row r="33" spans="1:42" ht="11.25" customHeight="1" x14ac:dyDescent="0.3">
      <c r="A33" s="128"/>
      <c r="B33" s="128" t="s">
        <v>23</v>
      </c>
      <c r="C33" s="128" t="s">
        <v>25</v>
      </c>
      <c r="D33" s="128" t="s">
        <v>25</v>
      </c>
      <c r="E33" s="128" t="s">
        <v>25</v>
      </c>
      <c r="F33" s="128" t="s">
        <v>25</v>
      </c>
      <c r="G33" s="18" t="s">
        <v>9</v>
      </c>
      <c r="H33" s="18" t="s">
        <v>81</v>
      </c>
      <c r="I33" s="18">
        <f>'MERCADO TUSD'!$U$30</f>
        <v>0</v>
      </c>
      <c r="J33" s="15"/>
      <c r="L33" s="13">
        <f>'TUSD BE'!$L$33*'TUSD BE'!$L$78</f>
        <v>0</v>
      </c>
      <c r="M33" s="13">
        <f>'TUSD BE'!$M$33*'TUSD BE'!$M$78</f>
        <v>0</v>
      </c>
      <c r="N33" s="13">
        <f ca="1">'TUSD BE'!$N$33*'TUSD BE'!$N$78</f>
        <v>0</v>
      </c>
      <c r="O33" s="13">
        <f>'TUSD BE'!$O$33*'TUSD BE'!$O$78</f>
        <v>0</v>
      </c>
      <c r="P33" s="13">
        <f>'TUSD BE'!$P$33*'TUSD BE'!$P$78</f>
        <v>0</v>
      </c>
      <c r="Q33" s="13">
        <f>'TUSD BE'!$Q$33*'TUSD BE'!$Q$78</f>
        <v>0</v>
      </c>
      <c r="R33" s="13">
        <f>'TUSD BE'!$R$33*'TUSD BE'!$R$78</f>
        <v>0</v>
      </c>
      <c r="S33" s="13">
        <f>'TUSD BE'!$R$33*'TUSD BE'!$S$78</f>
        <v>0</v>
      </c>
      <c r="T33" s="13">
        <f ca="1">SUM($L$33:$S$33)</f>
        <v>0</v>
      </c>
      <c r="U33" s="13">
        <f>'TUSD BE'!$U$33*'TUSD BE'!$U$78</f>
        <v>-0.12969495196712744</v>
      </c>
      <c r="V33" s="13">
        <f>'TUSD BE'!$V$33*'TUSD BE'!$V$78</f>
        <v>-2.9173326173934384E-2</v>
      </c>
      <c r="W33" s="13">
        <f>'TUSD BE'!$W$33*'TUSD BE'!$W$78</f>
        <v>-9.9554936636052946E-4</v>
      </c>
      <c r="X33" s="13">
        <f>'TUSD BE'!$X$33*'TUSD BE'!$X$78</f>
        <v>0</v>
      </c>
      <c r="Y33" s="13">
        <f>'TUSD BE'!$Y$33*'TUSD BE'!$Y$78</f>
        <v>0</v>
      </c>
      <c r="Z33" s="13">
        <f>'TUSD BE'!$Z$33*'TUSD BE'!$Z$78</f>
        <v>0</v>
      </c>
      <c r="AA33" s="13">
        <f>'TUSD BE'!$AA$33*'TUSD BE'!$AA$78</f>
        <v>0</v>
      </c>
      <c r="AB33" s="13">
        <f>SUM($U$33:$AA$33)</f>
        <v>-0.15986382750742237</v>
      </c>
      <c r="AC33" s="13">
        <f>'TUSD BE'!$AC$33*'TUSD BE'!$AC$78</f>
        <v>5.6856371836808044E-3</v>
      </c>
      <c r="AD33" s="13">
        <f>SUM($AC$33:$AC$33)</f>
        <v>5.6856371836808044E-3</v>
      </c>
      <c r="AE33" s="13">
        <f ca="1">$AO$33*$AO$75</f>
        <v>0</v>
      </c>
      <c r="AF33" s="13">
        <f ca="1">$AP$33*$AP$75</f>
        <v>0</v>
      </c>
      <c r="AG33" s="13">
        <f ca="1">SUM($AE$33:$AF$33)</f>
        <v>0</v>
      </c>
      <c r="AH33" s="13">
        <f>'TUSD BE'!$AH$33*'TUSD BE'!$AH$78</f>
        <v>0</v>
      </c>
      <c r="AI33" s="13">
        <f>'TUSD BE'!$AI$33*'TUSD BE'!$AI$78</f>
        <v>0</v>
      </c>
      <c r="AJ33" s="13">
        <f ca="1">'TUSD BE'!$AJ$33*'TUSD BE'!$AJ$78</f>
        <v>0</v>
      </c>
      <c r="AK33" s="13">
        <f ca="1">'TUSD BE'!$AK$33*'TUSD BE'!$AK$78</f>
        <v>0</v>
      </c>
      <c r="AL33" s="13">
        <f ca="1">SUM($AH$33:$AK$33)</f>
        <v>0</v>
      </c>
      <c r="AM33" s="13">
        <f ca="1">SUMIF($L$4:$AL$4,"SUBTOTAL",$L$33:$AL$33)</f>
        <v>-0.15417819032374155</v>
      </c>
      <c r="AO33" s="20">
        <f ca="1">+'TUSD BE'!$T$33+'TUSD BE'!$AB$33+'TUSD BE'!$AD$33+'TUSD BE'!$AL$33</f>
        <v>63.570529676177394</v>
      </c>
      <c r="AP33" s="20">
        <f ca="1">+'TUSD BE'!$T$33+'TUSD BE'!$AB$33+'TUSD BE'!$AD$33+'TUSD BE'!$AL$33</f>
        <v>63.570529676177394</v>
      </c>
    </row>
    <row r="34" spans="1:42" ht="11.25" customHeight="1" x14ac:dyDescent="0.3">
      <c r="A34" s="128"/>
      <c r="B34" s="128"/>
      <c r="C34" s="128"/>
      <c r="D34" s="128"/>
      <c r="E34" s="128"/>
      <c r="F34" s="128"/>
      <c r="G34" s="18" t="s">
        <v>84</v>
      </c>
      <c r="H34" s="18" t="s">
        <v>78</v>
      </c>
      <c r="I34" s="18">
        <f>'MERCADO TUSD'!$U$31</f>
        <v>0</v>
      </c>
      <c r="J34" s="15"/>
      <c r="L34" s="13">
        <f>'TUSD BE'!$L$34*'TUSD BE'!$L$78</f>
        <v>-0.56348944178893323</v>
      </c>
      <c r="M34" s="13">
        <f>'TUSD BE'!$M$34*'TUSD BE'!$M$78</f>
        <v>-2.0514885155593901E-3</v>
      </c>
      <c r="N34" s="13">
        <f ca="1">'TUSD BE'!$N$34*'TUSD BE'!$N$78</f>
        <v>1.6023285358786223E-7</v>
      </c>
      <c r="O34" s="13">
        <f>'TUSD BE'!$O$34*'TUSD BE'!$O$78</f>
        <v>0</v>
      </c>
      <c r="P34" s="13">
        <f>'TUSD BE'!$P$34*'TUSD BE'!$P$78</f>
        <v>0</v>
      </c>
      <c r="Q34" s="13">
        <f>'TUSD BE'!$Q$34*'TUSD BE'!$Q$78</f>
        <v>-1.6095968681012454</v>
      </c>
      <c r="R34" s="13">
        <f>'TUSD BE'!$R$34*'TUSD BE'!$R$78</f>
        <v>-0.37578018258543827</v>
      </c>
      <c r="S34" s="13">
        <f>'TUSD BE'!$R$34*'TUSD BE'!$S$78</f>
        <v>0</v>
      </c>
      <c r="T34" s="13">
        <f ca="1">SUM($L$34:$S$34)</f>
        <v>-2.5509178207583227</v>
      </c>
      <c r="U34" s="13">
        <f>'TUSD BE'!$U$34*'TUSD BE'!$U$78</f>
        <v>0</v>
      </c>
      <c r="V34" s="13">
        <f>'TUSD BE'!$V$34*'TUSD BE'!$V$78</f>
        <v>0</v>
      </c>
      <c r="W34" s="13">
        <f>'TUSD BE'!$W$34*'TUSD BE'!$W$78</f>
        <v>0</v>
      </c>
      <c r="X34" s="13">
        <f>'TUSD BE'!$X$34*'TUSD BE'!$X$78</f>
        <v>0</v>
      </c>
      <c r="Y34" s="13">
        <f>'TUSD BE'!$Y$34*'TUSD BE'!$Y$78</f>
        <v>0</v>
      </c>
      <c r="Z34" s="13">
        <f>'TUSD BE'!$Z$34*'TUSD BE'!$Z$78</f>
        <v>0</v>
      </c>
      <c r="AA34" s="13">
        <f>'TUSD BE'!$AA$34*'TUSD BE'!$AA$78</f>
        <v>0</v>
      </c>
      <c r="AB34" s="13">
        <f>SUM($U$34:$AA$34)</f>
        <v>0</v>
      </c>
      <c r="AC34" s="13">
        <f>'TUSD BE'!$AC$34*'TUSD BE'!$AC$78</f>
        <v>0</v>
      </c>
      <c r="AD34" s="13">
        <f>SUM($AC$34:$AC$34)</f>
        <v>0</v>
      </c>
      <c r="AE34" s="13">
        <f ca="1">$AO$34*$AO$75</f>
        <v>0</v>
      </c>
      <c r="AF34" s="13">
        <f ca="1">$AP$34*$AP$75</f>
        <v>0</v>
      </c>
      <c r="AG34" s="13">
        <f ca="1">SUM($AE$34:$AF$34)</f>
        <v>0</v>
      </c>
      <c r="AH34" s="13">
        <f>'TUSD BE'!$AH$34*'TUSD BE'!$AH$78</f>
        <v>10.920190337325092</v>
      </c>
      <c r="AI34" s="13">
        <f>'TUSD BE'!$AI$34*'TUSD BE'!$AI$78</f>
        <v>0.18925872471314215</v>
      </c>
      <c r="AJ34" s="13">
        <f ca="1">'TUSD BE'!$AJ$34*'TUSD BE'!$AJ$78</f>
        <v>0.82844692293965005</v>
      </c>
      <c r="AK34" s="13">
        <f ca="1">'TUSD BE'!$AK$34*'TUSD BE'!$AK$78</f>
        <v>-1.8946965230610249E-2</v>
      </c>
      <c r="AL34" s="13">
        <f ca="1">SUM($AH$34:$AK$34)</f>
        <v>11.918949019747274</v>
      </c>
      <c r="AM34" s="13">
        <f ca="1">SUMIF($L$4:$AL$4,"SUBTOTAL",$L$34:$AL$34)</f>
        <v>9.3680311989889518</v>
      </c>
      <c r="AO34" s="20">
        <f ca="1">+'TUSD BE'!$T$34+'TUSD BE'!$AB$34+'TUSD BE'!$AD$34+'TUSD BE'!$AL$34</f>
        <v>135.6496504992603</v>
      </c>
      <c r="AP34" s="20">
        <f ca="1">+'TUSD BE'!$T$34+'TUSD BE'!$AB$34+'TUSD BE'!$AD$34+'TUSD BE'!$AL$34</f>
        <v>135.6496504992603</v>
      </c>
    </row>
    <row r="35" spans="1:42" ht="11.25" customHeight="1" x14ac:dyDescent="0.3">
      <c r="A35" s="128" t="s">
        <v>87</v>
      </c>
      <c r="B35" s="128" t="s">
        <v>57</v>
      </c>
      <c r="C35" s="128" t="s">
        <v>25</v>
      </c>
      <c r="D35" s="128" t="s">
        <v>25</v>
      </c>
      <c r="E35" s="17" t="s">
        <v>88</v>
      </c>
      <c r="F35" s="17" t="s">
        <v>25</v>
      </c>
      <c r="G35" s="18" t="s">
        <v>9</v>
      </c>
      <c r="H35" s="18" t="s">
        <v>81</v>
      </c>
      <c r="I35" s="18">
        <f>'MERCADO TUSD'!$U$32+0.00000001</f>
        <v>1E-8</v>
      </c>
      <c r="J35" s="15"/>
      <c r="L35" s="13">
        <f>'TUSD BE'!$L$35*'TUSD BE'!$L$78</f>
        <v>0</v>
      </c>
      <c r="M35" s="13">
        <f>'TUSD BE'!$M$35*'TUSD BE'!$M$78</f>
        <v>-2.0719848393303153E-5</v>
      </c>
      <c r="N35" s="13">
        <f ca="1">'TUSD BE'!$N$35*'TUSD BE'!$N$78</f>
        <v>2.1107151678564724E-9</v>
      </c>
      <c r="O35" s="13">
        <f>'TUSD BE'!$O$35*'TUSD BE'!$O$78</f>
        <v>0</v>
      </c>
      <c r="P35" s="13">
        <f>'TUSD BE'!$P$35*'TUSD BE'!$P$78</f>
        <v>0</v>
      </c>
      <c r="Q35" s="13">
        <f>'TUSD BE'!$Q$35*'TUSD BE'!$Q$78</f>
        <v>0</v>
      </c>
      <c r="R35" s="13">
        <f>'TUSD BE'!$R$35*'TUSD BE'!$R$78</f>
        <v>0</v>
      </c>
      <c r="S35" s="13">
        <f>'TUSD BE'!$R$35*'TUSD BE'!$S$78</f>
        <v>0</v>
      </c>
      <c r="T35" s="13">
        <f ca="1">SUM($L$35:$S$35)</f>
        <v>-2.0717737678135297E-5</v>
      </c>
      <c r="U35" s="13">
        <f>'TUSD BE'!$U$35*'TUSD BE'!$U$78</f>
        <v>0</v>
      </c>
      <c r="V35" s="13">
        <f>'TUSD BE'!$V$35*'TUSD BE'!$V$78</f>
        <v>0</v>
      </c>
      <c r="W35" s="13">
        <f>'TUSD BE'!$W$35*'TUSD BE'!$W$78</f>
        <v>0</v>
      </c>
      <c r="X35" s="13">
        <f>'TUSD BE'!$X$35*'TUSD BE'!$X$78</f>
        <v>0</v>
      </c>
      <c r="Y35" s="13">
        <f>'TUSD BE'!$Y$35*'TUSD BE'!$Y$78</f>
        <v>0</v>
      </c>
      <c r="Z35" s="13">
        <f>'TUSD BE'!$Z$35*'TUSD BE'!$Z$78</f>
        <v>0</v>
      </c>
      <c r="AA35" s="13">
        <f>'TUSD BE'!$AA$35*'TUSD BE'!$AA$78</f>
        <v>0</v>
      </c>
      <c r="AB35" s="13">
        <f>SUM($U$35:$AA$35)</f>
        <v>0</v>
      </c>
      <c r="AC35" s="13">
        <f>'TUSD BE'!$AC$35*'TUSD BE'!$AC$78</f>
        <v>3.1108656251172234E-4</v>
      </c>
      <c r="AD35" s="13">
        <f>SUM($AC$35:$AC$35)</f>
        <v>3.1108656251172234E-4</v>
      </c>
      <c r="AE35" s="13">
        <f ca="1">$AO$35*$AO$75</f>
        <v>0</v>
      </c>
      <c r="AF35" s="13">
        <f ca="1">$AP$35*$AP$75</f>
        <v>0</v>
      </c>
      <c r="AG35" s="13">
        <f ca="1">SUM($AE$35:$AF$35)</f>
        <v>0</v>
      </c>
      <c r="AH35" s="13">
        <f>'TUSD BE'!$AH$35*'TUSD BE'!$AH$78</f>
        <v>0</v>
      </c>
      <c r="AI35" s="13">
        <f>'TUSD BE'!$AI$35*'TUSD BE'!$AI$78</f>
        <v>0</v>
      </c>
      <c r="AJ35" s="13">
        <f ca="1">'TUSD BE'!$AJ$35*'TUSD BE'!$AJ$78</f>
        <v>0</v>
      </c>
      <c r="AK35" s="13">
        <f ca="1">'TUSD BE'!$AK$35*'TUSD BE'!$AK$78</f>
        <v>0</v>
      </c>
      <c r="AL35" s="13">
        <f ca="1">SUM($AH$35:$AK$35)</f>
        <v>0</v>
      </c>
      <c r="AM35" s="13">
        <f ca="1">SUMIF($L$4:$AL$4,"SUBTOTAL",$L$35:$AL$35)</f>
        <v>2.9036882483358706E-4</v>
      </c>
      <c r="AO35" s="20">
        <f ca="1">+'TUSD BE'!$T$35+'TUSD BE'!$AB$35+'TUSD BE'!$AD$35+'TUSD BE'!$AL$35</f>
        <v>2.9169364778325462</v>
      </c>
      <c r="AP35" s="20">
        <f ca="1">+'TUSD BE'!$T$35+'TUSD BE'!$AB$35+'TUSD BE'!$AD$35+'TUSD BE'!$AL$35</f>
        <v>2.9169364778325462</v>
      </c>
    </row>
    <row r="36" spans="1:42" ht="11.25" customHeight="1" x14ac:dyDescent="0.3">
      <c r="A36" s="128"/>
      <c r="B36" s="128"/>
      <c r="C36" s="128"/>
      <c r="D36" s="128"/>
      <c r="E36" s="17" t="s">
        <v>89</v>
      </c>
      <c r="F36" s="17" t="s">
        <v>25</v>
      </c>
      <c r="G36" s="18" t="s">
        <v>9</v>
      </c>
      <c r="H36" s="18" t="s">
        <v>81</v>
      </c>
      <c r="I36" s="18">
        <f>'MERCADO TUSD'!$U$33+0.00000001</f>
        <v>1E-8</v>
      </c>
      <c r="J36" s="15"/>
      <c r="L36" s="13">
        <f>'TUSD BE'!$L$36*'TUSD BE'!$L$78</f>
        <v>0</v>
      </c>
      <c r="M36" s="13">
        <f>'TUSD BE'!$M$36*'TUSD BE'!$M$78</f>
        <v>-2.0719848393303153E-5</v>
      </c>
      <c r="N36" s="13">
        <f ca="1">'TUSD BE'!$N$36*'TUSD BE'!$N$78</f>
        <v>2.1107151678564724E-9</v>
      </c>
      <c r="O36" s="13">
        <f>'TUSD BE'!$O$36*'TUSD BE'!$O$78</f>
        <v>0</v>
      </c>
      <c r="P36" s="13">
        <f>'TUSD BE'!$P$36*'TUSD BE'!$P$78</f>
        <v>0</v>
      </c>
      <c r="Q36" s="13">
        <f>'TUSD BE'!$Q$36*'TUSD BE'!$Q$78</f>
        <v>0</v>
      </c>
      <c r="R36" s="13">
        <f>'TUSD BE'!$R$36*'TUSD BE'!$R$78</f>
        <v>0</v>
      </c>
      <c r="S36" s="13">
        <f>'TUSD BE'!$R$36*'TUSD BE'!$S$78</f>
        <v>0</v>
      </c>
      <c r="T36" s="13">
        <f ca="1">SUM($L$36:$S$36)</f>
        <v>-2.0717737678135297E-5</v>
      </c>
      <c r="U36" s="13">
        <f>'TUSD BE'!$U$36*'TUSD BE'!$U$78</f>
        <v>0</v>
      </c>
      <c r="V36" s="13">
        <f>'TUSD BE'!$V$36*'TUSD BE'!$V$78</f>
        <v>0</v>
      </c>
      <c r="W36" s="13">
        <f>'TUSD BE'!$W$36*'TUSD BE'!$W$78</f>
        <v>0</v>
      </c>
      <c r="X36" s="13">
        <f>'TUSD BE'!$X$36*'TUSD BE'!$X$78</f>
        <v>0</v>
      </c>
      <c r="Y36" s="13">
        <f>'TUSD BE'!$Y$36*'TUSD BE'!$Y$78</f>
        <v>0</v>
      </c>
      <c r="Z36" s="13">
        <f>'TUSD BE'!$Z$36*'TUSD BE'!$Z$78</f>
        <v>0</v>
      </c>
      <c r="AA36" s="13">
        <f>'TUSD BE'!$AA$36*'TUSD BE'!$AA$78</f>
        <v>0</v>
      </c>
      <c r="AB36" s="13">
        <f>SUM($U$36:$AA$36)</f>
        <v>0</v>
      </c>
      <c r="AC36" s="13">
        <f>'TUSD BE'!$AC$36*'TUSD BE'!$AC$78</f>
        <v>8.3723388946026667E-4</v>
      </c>
      <c r="AD36" s="13">
        <f>SUM($AC$36:$AC$36)</f>
        <v>8.3723388946026667E-4</v>
      </c>
      <c r="AE36" s="13">
        <f ca="1">$AO$36*$AO$75</f>
        <v>0</v>
      </c>
      <c r="AF36" s="13">
        <f ca="1">$AP$36*$AP$75</f>
        <v>0</v>
      </c>
      <c r="AG36" s="13">
        <f ca="1">SUM($AE$36:$AF$36)</f>
        <v>0</v>
      </c>
      <c r="AH36" s="13">
        <f>'TUSD BE'!$AH$36*'TUSD BE'!$AH$78</f>
        <v>0</v>
      </c>
      <c r="AI36" s="13">
        <f>'TUSD BE'!$AI$36*'TUSD BE'!$AI$78</f>
        <v>0</v>
      </c>
      <c r="AJ36" s="13">
        <f ca="1">'TUSD BE'!$AJ$36*'TUSD BE'!$AJ$78</f>
        <v>0</v>
      </c>
      <c r="AK36" s="13">
        <f ca="1">'TUSD BE'!$AK$36*'TUSD BE'!$AK$78</f>
        <v>0</v>
      </c>
      <c r="AL36" s="13">
        <f ca="1">SUM($AH$36:$AK$36)</f>
        <v>0</v>
      </c>
      <c r="AM36" s="13">
        <f ca="1">SUMIF($L$4:$AL$4,"SUBTOTAL",$L$36:$AL$36)</f>
        <v>8.1651615178213134E-4</v>
      </c>
      <c r="AO36" s="20">
        <f ca="1">+'TUSD BE'!$T$36+'TUSD BE'!$AB$36+'TUSD BE'!$AD$36+'TUSD BE'!$AL$36</f>
        <v>7.7830524302448172</v>
      </c>
      <c r="AP36" s="20">
        <f ca="1">+'TUSD BE'!$T$36+'TUSD BE'!$AB$36+'TUSD BE'!$AD$36+'TUSD BE'!$AL$36</f>
        <v>7.7830524302448172</v>
      </c>
    </row>
    <row r="37" spans="1:42" ht="11.25" customHeight="1" x14ac:dyDescent="0.3">
      <c r="A37" s="128" t="s">
        <v>22</v>
      </c>
      <c r="B37" s="128" t="s">
        <v>33</v>
      </c>
      <c r="C37" s="128" t="s">
        <v>24</v>
      </c>
      <c r="D37" s="128" t="s">
        <v>24</v>
      </c>
      <c r="E37" s="128" t="s">
        <v>25</v>
      </c>
      <c r="F37" s="128" t="s">
        <v>25</v>
      </c>
      <c r="G37" s="18" t="s">
        <v>79</v>
      </c>
      <c r="H37" s="18" t="s">
        <v>78</v>
      </c>
      <c r="I37" s="18">
        <f>'MERCADO TUSD'!$U$34</f>
        <v>16.994999999999997</v>
      </c>
      <c r="J37" s="15"/>
      <c r="L37" s="13">
        <f>'TUSD BE'!$L$37*'TUSD BE'!$L$78</f>
        <v>-0.56348944178893323</v>
      </c>
      <c r="M37" s="13">
        <f>'TUSD BE'!$M$37*'TUSD BE'!$M$78</f>
        <v>-2.0658970226936097E-3</v>
      </c>
      <c r="N37" s="13">
        <f ca="1">'TUSD BE'!$N$37*'TUSD BE'!$N$78</f>
        <v>5.9578992164992758E-7</v>
      </c>
      <c r="O37" s="13">
        <f>'TUSD BE'!$O$37*'TUSD BE'!$O$78</f>
        <v>0</v>
      </c>
      <c r="P37" s="13">
        <f>'TUSD BE'!$P$37*'TUSD BE'!$P$78</f>
        <v>0</v>
      </c>
      <c r="Q37" s="13">
        <f>'TUSD BE'!$Q$37*'TUSD BE'!$Q$78</f>
        <v>-1.6095968681012454</v>
      </c>
      <c r="R37" s="13">
        <f>'TUSD BE'!$R$37*'TUSD BE'!$R$78</f>
        <v>-0.37578018258543827</v>
      </c>
      <c r="S37" s="13">
        <f>'TUSD BE'!$R$37*'TUSD BE'!$S$78</f>
        <v>0</v>
      </c>
      <c r="T37" s="13">
        <f ca="1">SUM($L$37:$S$37)</f>
        <v>-2.5509317937083886</v>
      </c>
      <c r="U37" s="13">
        <f>'TUSD BE'!$U$37*'TUSD BE'!$U$78</f>
        <v>-1.0266211702344452</v>
      </c>
      <c r="V37" s="13">
        <f>'TUSD BE'!$V$37*'TUSD BE'!$V$78</f>
        <v>-0.2307388440568279</v>
      </c>
      <c r="W37" s="13">
        <f>'TUSD BE'!$W$37*'TUSD BE'!$W$78</f>
        <v>-7.9084320966805368E-3</v>
      </c>
      <c r="X37" s="13">
        <f>'TUSD BE'!$X$37*'TUSD BE'!$X$78</f>
        <v>0</v>
      </c>
      <c r="Y37" s="13">
        <f>'TUSD BE'!$Y$37*'TUSD BE'!$Y$78</f>
        <v>0</v>
      </c>
      <c r="Z37" s="13">
        <f>'TUSD BE'!$Z$37*'TUSD BE'!$Z$78</f>
        <v>0</v>
      </c>
      <c r="AA37" s="13">
        <f>'TUSD BE'!$AA$37*'TUSD BE'!$AA$78</f>
        <v>0</v>
      </c>
      <c r="AB37" s="13">
        <f>SUM($U$37:$AA$37)</f>
        <v>-1.2652684463879535</v>
      </c>
      <c r="AC37" s="13">
        <f>'TUSD BE'!$AC$37*'TUSD BE'!$AC$78</f>
        <v>5.3241012272008427E-2</v>
      </c>
      <c r="AD37" s="13">
        <f>SUM($AC$37:$AC$37)</f>
        <v>5.3241012272008427E-2</v>
      </c>
      <c r="AE37" s="13">
        <f ca="1">$AO$37*$AO$75</f>
        <v>0</v>
      </c>
      <c r="AF37" s="13">
        <f ca="1">$AP$37*$AP$75</f>
        <v>0</v>
      </c>
      <c r="AG37" s="13">
        <f ca="1">SUM($AE$37:$AF$37)</f>
        <v>0</v>
      </c>
      <c r="AH37" s="13">
        <f>'TUSD BE'!$AH$37*'TUSD BE'!$AH$78</f>
        <v>10.920190337325092</v>
      </c>
      <c r="AI37" s="13">
        <f>'TUSD BE'!$AI$37*'TUSD BE'!$AI$78</f>
        <v>0.18925872471314215</v>
      </c>
      <c r="AJ37" s="13">
        <f ca="1">'TUSD BE'!$AJ$37*'TUSD BE'!$AJ$78</f>
        <v>0.75386565992479893</v>
      </c>
      <c r="AK37" s="13">
        <f ca="1">'TUSD BE'!$AK$37*'TUSD BE'!$AK$78</f>
        <v>-1.7241257166437356E-2</v>
      </c>
      <c r="AL37" s="13">
        <f ca="1">SUM($AH$37:$AK$37)</f>
        <v>11.846073464796595</v>
      </c>
      <c r="AM37" s="13">
        <f ca="1">SUMIF($L$4:$AL$4,"SUBTOTAL",$L$37:$AL$37)</f>
        <v>8.0831142369722606</v>
      </c>
      <c r="AO37" s="20">
        <f ca="1">+'TUSD BE'!$T$37+'TUSD BE'!$AB$37+'TUSD BE'!$AD$37+'TUSD BE'!$AL$37</f>
        <v>721.06445903419694</v>
      </c>
      <c r="AP37" s="20">
        <f ca="1">+'TUSD BE'!$T$37+'TUSD BE'!$AB$37+'TUSD BE'!$AD$37+'TUSD BE'!$AL$37</f>
        <v>721.06445903419694</v>
      </c>
    </row>
    <row r="38" spans="1:42" ht="11.25" customHeight="1" x14ac:dyDescent="0.3">
      <c r="A38" s="128"/>
      <c r="B38" s="128"/>
      <c r="C38" s="128"/>
      <c r="D38" s="128"/>
      <c r="E38" s="128"/>
      <c r="F38" s="128"/>
      <c r="G38" s="18" t="s">
        <v>90</v>
      </c>
      <c r="H38" s="18" t="s">
        <v>78</v>
      </c>
      <c r="I38" s="18">
        <f>'MERCADO TUSD'!$U$35</f>
        <v>10.9</v>
      </c>
      <c r="J38" s="15"/>
      <c r="L38" s="13">
        <f>'TUSD BE'!$L$38*'TUSD BE'!$L$78</f>
        <v>-0.56348944178893323</v>
      </c>
      <c r="M38" s="13">
        <f>'TUSD BE'!$M$38*'TUSD BE'!$M$78</f>
        <v>-2.0658970226936097E-3</v>
      </c>
      <c r="N38" s="13">
        <f ca="1">'TUSD BE'!$N$38*'TUSD BE'!$N$78</f>
        <v>4.2146173450632565E-7</v>
      </c>
      <c r="O38" s="13">
        <f>'TUSD BE'!$O$38*'TUSD BE'!$O$78</f>
        <v>0</v>
      </c>
      <c r="P38" s="13">
        <f>'TUSD BE'!$P$38*'TUSD BE'!$P$78</f>
        <v>0</v>
      </c>
      <c r="Q38" s="13">
        <f>'TUSD BE'!$Q$38*'TUSD BE'!$Q$78</f>
        <v>-1.6095968681012454</v>
      </c>
      <c r="R38" s="13">
        <f>'TUSD BE'!$R$38*'TUSD BE'!$R$78</f>
        <v>-0.37578018258543827</v>
      </c>
      <c r="S38" s="13">
        <f>'TUSD BE'!$R$38*'TUSD BE'!$S$78</f>
        <v>0</v>
      </c>
      <c r="T38" s="13">
        <f ca="1">SUM($L$38:$S$38)</f>
        <v>-2.5509319680365756</v>
      </c>
      <c r="U38" s="13">
        <f>'TUSD BE'!$U$38*'TUSD BE'!$U$78</f>
        <v>-0.61597363083279977</v>
      </c>
      <c r="V38" s="13">
        <f>'TUSD BE'!$V$38*'TUSD BE'!$V$78</f>
        <v>-0.13844330643409675</v>
      </c>
      <c r="W38" s="13">
        <f>'TUSD BE'!$W$38*'TUSD BE'!$W$78</f>
        <v>-4.7450592580083216E-3</v>
      </c>
      <c r="X38" s="13">
        <f>'TUSD BE'!$X$38*'TUSD BE'!$X$78</f>
        <v>0</v>
      </c>
      <c r="Y38" s="13">
        <f>'TUSD BE'!$Y$38*'TUSD BE'!$Y$78</f>
        <v>0</v>
      </c>
      <c r="Z38" s="13">
        <f>'TUSD BE'!$Z$38*'TUSD BE'!$Z$78</f>
        <v>0</v>
      </c>
      <c r="AA38" s="13">
        <f>'TUSD BE'!$AA$38*'TUSD BE'!$AA$78</f>
        <v>0</v>
      </c>
      <c r="AB38" s="13">
        <f>SUM($U$38:$AA$38)</f>
        <v>-0.75916199652490479</v>
      </c>
      <c r="AC38" s="13">
        <f>'TUSD BE'!$AC$38*'TUSD BE'!$AC$78</f>
        <v>3.194459954139147E-2</v>
      </c>
      <c r="AD38" s="13">
        <f>SUM($AC$38:$AC$38)</f>
        <v>3.194459954139147E-2</v>
      </c>
      <c r="AE38" s="13">
        <f ca="1">$AO$38*$AO$75</f>
        <v>0</v>
      </c>
      <c r="AF38" s="13">
        <f ca="1">$AP$38*$AP$75</f>
        <v>0</v>
      </c>
      <c r="AG38" s="13">
        <f ca="1">SUM($AE$38:$AF$38)</f>
        <v>0</v>
      </c>
      <c r="AH38" s="13">
        <f>'TUSD BE'!$AH$38*'TUSD BE'!$AH$78</f>
        <v>10.920190337325092</v>
      </c>
      <c r="AI38" s="13">
        <f>'TUSD BE'!$AI$38*'TUSD BE'!$AI$78</f>
        <v>0.18925872471314215</v>
      </c>
      <c r="AJ38" s="13">
        <f ca="1">'TUSD BE'!$AJ$38*'TUSD BE'!$AJ$78</f>
        <v>0.75386565992479893</v>
      </c>
      <c r="AK38" s="13">
        <f ca="1">'TUSD BE'!$AK$38*'TUSD BE'!$AK$78</f>
        <v>-1.7241257166437356E-2</v>
      </c>
      <c r="AL38" s="13">
        <f ca="1">SUM($AH$38:$AK$38)</f>
        <v>11.846073464796595</v>
      </c>
      <c r="AM38" s="13">
        <f ca="1">SUMIF($L$4:$AL$4,"SUBTOTAL",$L$38:$AL$38)</f>
        <v>8.5679240997765049</v>
      </c>
      <c r="AO38" s="20">
        <f ca="1">+'TUSD BE'!$T$38+'TUSD BE'!$AB$38+'TUSD BE'!$AD$38+'TUSD BE'!$AL$38</f>
        <v>486.82492548464535</v>
      </c>
      <c r="AP38" s="20">
        <f ca="1">+'TUSD BE'!$T$38+'TUSD BE'!$AB$38+'TUSD BE'!$AD$38+'TUSD BE'!$AL$38</f>
        <v>486.82492548464535</v>
      </c>
    </row>
    <row r="39" spans="1:42" ht="11.25" customHeight="1" x14ac:dyDescent="0.3">
      <c r="A39" s="128"/>
      <c r="B39" s="128"/>
      <c r="C39" s="128"/>
      <c r="D39" s="128"/>
      <c r="E39" s="128"/>
      <c r="F39" s="128"/>
      <c r="G39" s="18" t="s">
        <v>80</v>
      </c>
      <c r="H39" s="18" t="s">
        <v>78</v>
      </c>
      <c r="I39" s="18">
        <f>'MERCADO TUSD'!$U$36</f>
        <v>127.76599999999999</v>
      </c>
      <c r="J39" s="15"/>
      <c r="L39" s="13">
        <f>'TUSD BE'!$L$39*'TUSD BE'!$L$78</f>
        <v>-0.56348944178893323</v>
      </c>
      <c r="M39" s="13">
        <f>'TUSD BE'!$M$39*'TUSD BE'!$M$78</f>
        <v>-2.0658970226936097E-3</v>
      </c>
      <c r="N39" s="13">
        <f ca="1">'TUSD BE'!$N$39*'TUSD BE'!$N$78</f>
        <v>2.4713354736272399E-7</v>
      </c>
      <c r="O39" s="13">
        <f>'TUSD BE'!$O$39*'TUSD BE'!$O$78</f>
        <v>0</v>
      </c>
      <c r="P39" s="13">
        <f>'TUSD BE'!$P$39*'TUSD BE'!$P$78</f>
        <v>0</v>
      </c>
      <c r="Q39" s="13">
        <f>'TUSD BE'!$Q$39*'TUSD BE'!$Q$78</f>
        <v>-1.6095968681012454</v>
      </c>
      <c r="R39" s="13">
        <f>'TUSD BE'!$R$39*'TUSD BE'!$R$78</f>
        <v>-0.37578018258543827</v>
      </c>
      <c r="S39" s="13">
        <f>'TUSD BE'!$R$39*'TUSD BE'!$S$78</f>
        <v>0</v>
      </c>
      <c r="T39" s="13">
        <f ca="1">SUM($L$39:$S$39)</f>
        <v>-2.5509321423647631</v>
      </c>
      <c r="U39" s="13">
        <f>'TUSD BE'!$U$39*'TUSD BE'!$U$78</f>
        <v>-0.20532454361093327</v>
      </c>
      <c r="V39" s="13">
        <f>'TUSD BE'!$V$39*'TUSD BE'!$V$78</f>
        <v>-4.6147768811365578E-2</v>
      </c>
      <c r="W39" s="13">
        <f>'TUSD BE'!$W$39*'TUSD BE'!$W$78</f>
        <v>-1.5816864193361074E-3</v>
      </c>
      <c r="X39" s="13">
        <f>'TUSD BE'!$X$39*'TUSD BE'!$X$78</f>
        <v>0</v>
      </c>
      <c r="Y39" s="13">
        <f>'TUSD BE'!$Y$39*'TUSD BE'!$Y$78</f>
        <v>0</v>
      </c>
      <c r="Z39" s="13">
        <f>'TUSD BE'!$Z$39*'TUSD BE'!$Z$78</f>
        <v>0</v>
      </c>
      <c r="AA39" s="13">
        <f>'TUSD BE'!$AA$39*'TUSD BE'!$AA$78</f>
        <v>0</v>
      </c>
      <c r="AB39" s="13">
        <f>SUM($U$39:$AA$39)</f>
        <v>-0.25305399884163493</v>
      </c>
      <c r="AC39" s="13">
        <f>'TUSD BE'!$AC$39*'TUSD BE'!$AC$78</f>
        <v>1.0648199847130491E-2</v>
      </c>
      <c r="AD39" s="13">
        <f>SUM($AC$39:$AC$39)</f>
        <v>1.0648199847130491E-2</v>
      </c>
      <c r="AE39" s="13">
        <f ca="1">$AO$39*$AO$75</f>
        <v>0</v>
      </c>
      <c r="AF39" s="13">
        <f ca="1">$AP$39*$AP$75</f>
        <v>0</v>
      </c>
      <c r="AG39" s="13">
        <f ca="1">SUM($AE$39:$AF$39)</f>
        <v>0</v>
      </c>
      <c r="AH39" s="13">
        <f>'TUSD BE'!$AH$39*'TUSD BE'!$AH$78</f>
        <v>10.920190337325092</v>
      </c>
      <c r="AI39" s="13">
        <f>'TUSD BE'!$AI$39*'TUSD BE'!$AI$78</f>
        <v>0.18925872471314215</v>
      </c>
      <c r="AJ39" s="13">
        <f ca="1">'TUSD BE'!$AJ$39*'TUSD BE'!$AJ$78</f>
        <v>0.75386565992479893</v>
      </c>
      <c r="AK39" s="13">
        <f ca="1">'TUSD BE'!$AK$39*'TUSD BE'!$AK$78</f>
        <v>-1.7241257166437356E-2</v>
      </c>
      <c r="AL39" s="13">
        <f ca="1">SUM($AH$39:$AK$39)</f>
        <v>11.846073464796595</v>
      </c>
      <c r="AM39" s="13">
        <f ca="1">SUMIF($L$4:$AL$4,"SUBTOTAL",$L$39:$AL$39)</f>
        <v>9.0527355234373275</v>
      </c>
      <c r="AO39" s="20">
        <f ca="1">+'TUSD BE'!$T$39+'TUSD BE'!$AB$39+'TUSD BE'!$AD$39+'TUSD BE'!$AL$39</f>
        <v>252.58540624588895</v>
      </c>
      <c r="AP39" s="20">
        <f ca="1">+'TUSD BE'!$T$39+'TUSD BE'!$AB$39+'TUSD BE'!$AD$39+'TUSD BE'!$AL$39</f>
        <v>252.58540624588895</v>
      </c>
    </row>
    <row r="40" spans="1:42" ht="11.25" customHeight="1" x14ac:dyDescent="0.3">
      <c r="A40" s="128"/>
      <c r="B40" s="128" t="s">
        <v>23</v>
      </c>
      <c r="C40" s="128" t="s">
        <v>24</v>
      </c>
      <c r="D40" s="17" t="s">
        <v>24</v>
      </c>
      <c r="E40" s="17" t="s">
        <v>25</v>
      </c>
      <c r="F40" s="17" t="s">
        <v>25</v>
      </c>
      <c r="G40" s="18" t="s">
        <v>84</v>
      </c>
      <c r="H40" s="18" t="s">
        <v>78</v>
      </c>
      <c r="I40" s="18">
        <f>'MERCADO TUSD'!$U$37</f>
        <v>126554.92199999999</v>
      </c>
      <c r="J40" s="15"/>
      <c r="L40" s="13">
        <f>'TUSD BE'!$L$40*'TUSD BE'!$L$78</f>
        <v>-0.56348944178893323</v>
      </c>
      <c r="M40" s="13">
        <f>'TUSD BE'!$M$40*'TUSD BE'!$M$78</f>
        <v>-2.0658970226936097E-3</v>
      </c>
      <c r="N40" s="13">
        <f ca="1">'TUSD BE'!$N$40*'TUSD BE'!$N$78</f>
        <v>3.2442995957833044E-7</v>
      </c>
      <c r="O40" s="13">
        <f>'TUSD BE'!$O$40*'TUSD BE'!$O$78</f>
        <v>0</v>
      </c>
      <c r="P40" s="13">
        <f>'TUSD BE'!$P$40*'TUSD BE'!$P$78</f>
        <v>0</v>
      </c>
      <c r="Q40" s="13">
        <f>'TUSD BE'!$Q$40*'TUSD BE'!$Q$78</f>
        <v>-1.6095968681012454</v>
      </c>
      <c r="R40" s="13">
        <f>'TUSD BE'!$R$40*'TUSD BE'!$R$78</f>
        <v>-0.37578018258543827</v>
      </c>
      <c r="S40" s="13">
        <f>'TUSD BE'!$R$40*'TUSD BE'!$S$78</f>
        <v>0</v>
      </c>
      <c r="T40" s="13">
        <f ca="1">SUM($L$40:$S$40)</f>
        <v>-2.5509320650683507</v>
      </c>
      <c r="U40" s="13">
        <f>'TUSD BE'!$U$40*'TUSD BE'!$U$78</f>
        <v>-0.38740392314125843</v>
      </c>
      <c r="V40" s="13">
        <f>'TUSD BE'!$V$40*'TUSD BE'!$V$78</f>
        <v>-8.7071283954943249E-2</v>
      </c>
      <c r="W40" s="13">
        <f>'TUSD BE'!$W$40*'TUSD BE'!$W$78</f>
        <v>-2.9844390398367057E-3</v>
      </c>
      <c r="X40" s="13">
        <f>'TUSD BE'!$X$40*'TUSD BE'!$X$78</f>
        <v>0</v>
      </c>
      <c r="Y40" s="13">
        <f>'TUSD BE'!$Y$40*'TUSD BE'!$Y$78</f>
        <v>0</v>
      </c>
      <c r="Z40" s="13">
        <f>'TUSD BE'!$Z$40*'TUSD BE'!$Z$78</f>
        <v>0</v>
      </c>
      <c r="AA40" s="13">
        <f>'TUSD BE'!$AA$40*'TUSD BE'!$AA$78</f>
        <v>0</v>
      </c>
      <c r="AB40" s="13">
        <f>SUM($U$40:$AA$40)</f>
        <v>-0.47745964613603836</v>
      </c>
      <c r="AC40" s="13">
        <f>'TUSD BE'!$AC$40*'TUSD BE'!$AC$78</f>
        <v>2.0090940894072554E-2</v>
      </c>
      <c r="AD40" s="13">
        <f>SUM($AC$40:$AC$40)</f>
        <v>2.0090940894072554E-2</v>
      </c>
      <c r="AE40" s="13">
        <f ca="1">$AO$40*$AO$75</f>
        <v>0</v>
      </c>
      <c r="AF40" s="13">
        <f ca="1">$AP$40*$AP$75</f>
        <v>0</v>
      </c>
      <c r="AG40" s="13">
        <f ca="1">SUM($AE$40:$AF$40)</f>
        <v>0</v>
      </c>
      <c r="AH40" s="13">
        <f>'TUSD BE'!$AH$40*'TUSD BE'!$AH$78</f>
        <v>10.920190337325092</v>
      </c>
      <c r="AI40" s="13">
        <f>'TUSD BE'!$AI$40*'TUSD BE'!$AI$78</f>
        <v>0.18925872471314215</v>
      </c>
      <c r="AJ40" s="13">
        <f ca="1">'TUSD BE'!$AJ$40*'TUSD BE'!$AJ$78</f>
        <v>0.75386565992479893</v>
      </c>
      <c r="AK40" s="13">
        <f ca="1">'TUSD BE'!$AK$40*'TUSD BE'!$AK$78</f>
        <v>-1.7241257166437356E-2</v>
      </c>
      <c r="AL40" s="13">
        <f ca="1">SUM($AH$40:$AK$40)</f>
        <v>11.846073464796595</v>
      </c>
      <c r="AM40" s="13">
        <f ca="1">SUMIF($L$4:$AL$4,"SUBTOTAL",$L$40:$AL$40)</f>
        <v>8.8377726944862776</v>
      </c>
      <c r="AO40" s="20">
        <f ca="1">+'TUSD BE'!$T$40+'TUSD BE'!$AB$40+'TUSD BE'!$AD$40+'TUSD BE'!$AL$40</f>
        <v>356.4462800994238</v>
      </c>
      <c r="AP40" s="20">
        <f ca="1">+'TUSD BE'!$T$40+'TUSD BE'!$AB$40+'TUSD BE'!$AD$40+'TUSD BE'!$AL$40</f>
        <v>356.4462800994238</v>
      </c>
    </row>
    <row r="41" spans="1:42" ht="11.25" customHeight="1" x14ac:dyDescent="0.3">
      <c r="A41" s="128"/>
      <c r="B41" s="128"/>
      <c r="C41" s="128"/>
      <c r="D41" s="17" t="s">
        <v>29</v>
      </c>
      <c r="E41" s="17" t="s">
        <v>25</v>
      </c>
      <c r="F41" s="17" t="s">
        <v>25</v>
      </c>
      <c r="G41" s="18" t="s">
        <v>84</v>
      </c>
      <c r="H41" s="18" t="s">
        <v>78</v>
      </c>
      <c r="I41" s="18">
        <f>'MERCADO TUSD'!$U$38</f>
        <v>2163.31</v>
      </c>
      <c r="J41" s="15"/>
      <c r="L41" s="13">
        <f>'TUSD BE'!$L$41*'TUSD BE'!$L$78</f>
        <v>0</v>
      </c>
      <c r="M41" s="13">
        <f>'TUSD BE'!$M$41*'TUSD BE'!$M$78</f>
        <v>-2.0658970226936097E-3</v>
      </c>
      <c r="N41" s="13">
        <f ca="1">'TUSD BE'!$N$41*'TUSD BE'!$N$78</f>
        <v>3.2355049492505691E-7</v>
      </c>
      <c r="O41" s="13">
        <f>'TUSD BE'!$O$41*'TUSD BE'!$O$78</f>
        <v>0</v>
      </c>
      <c r="P41" s="13">
        <f>'TUSD BE'!$P$41*'TUSD BE'!$P$78</f>
        <v>0</v>
      </c>
      <c r="Q41" s="13">
        <f>'TUSD BE'!$Q$41*'TUSD BE'!$Q$78</f>
        <v>0</v>
      </c>
      <c r="R41" s="13">
        <f>'TUSD BE'!$R$41*'TUSD BE'!$R$78</f>
        <v>0</v>
      </c>
      <c r="S41" s="13">
        <f>'TUSD BE'!$R$41*'TUSD BE'!$S$78</f>
        <v>0</v>
      </c>
      <c r="T41" s="13">
        <f ca="1">SUM($L$41:$S$41)</f>
        <v>-2.0655734721986845E-3</v>
      </c>
      <c r="U41" s="13">
        <f>'TUSD BE'!$U$41*'TUSD BE'!$U$78</f>
        <v>-0.38740392314125843</v>
      </c>
      <c r="V41" s="13">
        <f>'TUSD BE'!$V$41*'TUSD BE'!$V$78</f>
        <v>-8.7071283954943249E-2</v>
      </c>
      <c r="W41" s="13">
        <f>'TUSD BE'!$W$41*'TUSD BE'!$W$78</f>
        <v>-2.9844390398367057E-3</v>
      </c>
      <c r="X41" s="13">
        <f>'TUSD BE'!$X$41*'TUSD BE'!$X$78</f>
        <v>0</v>
      </c>
      <c r="Y41" s="13">
        <f>'TUSD BE'!$Y$41*'TUSD BE'!$Y$78</f>
        <v>0</v>
      </c>
      <c r="Z41" s="13">
        <f>'TUSD BE'!$Z$41*'TUSD BE'!$Z$78</f>
        <v>0</v>
      </c>
      <c r="AA41" s="13">
        <f>'TUSD BE'!$AA$41*'TUSD BE'!$AA$78</f>
        <v>0</v>
      </c>
      <c r="AB41" s="13">
        <f>SUM($U$41:$AA$41)</f>
        <v>-0.47745964613603836</v>
      </c>
      <c r="AC41" s="13">
        <f>'TUSD BE'!$AC$41*'TUSD BE'!$AC$78</f>
        <v>2.0090940894072554E-2</v>
      </c>
      <c r="AD41" s="13">
        <f>SUM($AC$41:$AC$41)</f>
        <v>2.0090940894072554E-2</v>
      </c>
      <c r="AE41" s="13">
        <f ca="1">$AO$41*$AO$75</f>
        <v>0</v>
      </c>
      <c r="AF41" s="13">
        <f ca="1">$AP$41*$AP$75</f>
        <v>0</v>
      </c>
      <c r="AG41" s="13">
        <f ca="1">SUM($AE$41:$AF$41)</f>
        <v>0</v>
      </c>
      <c r="AH41" s="13">
        <f>'TUSD BE'!$AH$41*'TUSD BE'!$AH$78</f>
        <v>10.920190337325092</v>
      </c>
      <c r="AI41" s="13">
        <f>'TUSD BE'!$AI$41*'TUSD BE'!$AI$78</f>
        <v>0.18925872471314215</v>
      </c>
      <c r="AJ41" s="13">
        <f ca="1">'TUSD BE'!$AJ$41*'TUSD BE'!$AJ$78</f>
        <v>0.75386565992479893</v>
      </c>
      <c r="AK41" s="13">
        <f ca="1">'TUSD BE'!$AK$41*'TUSD BE'!$AK$78</f>
        <v>-1.7241257166437356E-2</v>
      </c>
      <c r="AL41" s="13">
        <f ca="1">SUM($AH$41:$AK$41)</f>
        <v>11.846073464796595</v>
      </c>
      <c r="AM41" s="13">
        <f ca="1">SUMIF($L$4:$AL$4,"SUBTOTAL",$L$41:$AL$41)</f>
        <v>11.38663918608243</v>
      </c>
      <c r="AO41" s="20">
        <f ca="1">+'TUSD BE'!$T$41+'TUSD BE'!$AB$41+'TUSD BE'!$AD$41+'TUSD BE'!$AL$41</f>
        <v>249.39988173643968</v>
      </c>
      <c r="AP41" s="20">
        <f ca="1">+'TUSD BE'!$T$41+'TUSD BE'!$AB$41+'TUSD BE'!$AD$41+'TUSD BE'!$AL$41</f>
        <v>249.39988173643968</v>
      </c>
    </row>
    <row r="42" spans="1:42" ht="11.25" customHeight="1" x14ac:dyDescent="0.3">
      <c r="A42" s="128"/>
      <c r="B42" s="128"/>
      <c r="C42" s="128"/>
      <c r="D42" s="17" t="s">
        <v>30</v>
      </c>
      <c r="E42" s="17" t="s">
        <v>25</v>
      </c>
      <c r="F42" s="17" t="s">
        <v>25</v>
      </c>
      <c r="G42" s="18" t="s">
        <v>84</v>
      </c>
      <c r="H42" s="18" t="s">
        <v>78</v>
      </c>
      <c r="I42" s="18">
        <f>'MERCADO TUSD'!$U$39</f>
        <v>4329.2419999999993</v>
      </c>
      <c r="J42" s="15"/>
      <c r="L42" s="13">
        <f>'TUSD BE'!$L$42*'TUSD BE'!$L$78</f>
        <v>0</v>
      </c>
      <c r="M42" s="13">
        <f>'TUSD BE'!$M$42*'TUSD BE'!$M$78</f>
        <v>-2.0658970226936097E-3</v>
      </c>
      <c r="N42" s="13">
        <f ca="1">'TUSD BE'!$N$42*'TUSD BE'!$N$78</f>
        <v>3.2355049492505691E-7</v>
      </c>
      <c r="O42" s="13">
        <f>'TUSD BE'!$O$42*'TUSD BE'!$O$78</f>
        <v>0</v>
      </c>
      <c r="P42" s="13">
        <f>'TUSD BE'!$P$42*'TUSD BE'!$P$78</f>
        <v>0</v>
      </c>
      <c r="Q42" s="13">
        <f>'TUSD BE'!$Q$42*'TUSD BE'!$Q$78</f>
        <v>0</v>
      </c>
      <c r="R42" s="13">
        <f>'TUSD BE'!$R$42*'TUSD BE'!$R$78</f>
        <v>0</v>
      </c>
      <c r="S42" s="13">
        <f>'TUSD BE'!$R$42*'TUSD BE'!$S$78</f>
        <v>0</v>
      </c>
      <c r="T42" s="13">
        <f ca="1">SUM($L$42:$S$42)</f>
        <v>-2.0655734721986845E-3</v>
      </c>
      <c r="U42" s="13">
        <f>'TUSD BE'!$U$42*'TUSD BE'!$U$78</f>
        <v>-0.38740392314125843</v>
      </c>
      <c r="V42" s="13">
        <f>'TUSD BE'!$V$42*'TUSD BE'!$V$78</f>
        <v>-8.7071283954943249E-2</v>
      </c>
      <c r="W42" s="13">
        <f>'TUSD BE'!$W$42*'TUSD BE'!$W$78</f>
        <v>-2.9844390398367057E-3</v>
      </c>
      <c r="X42" s="13">
        <f>'TUSD BE'!$X$42*'TUSD BE'!$X$78</f>
        <v>0</v>
      </c>
      <c r="Y42" s="13">
        <f>'TUSD BE'!$Y$42*'TUSD BE'!$Y$78</f>
        <v>0</v>
      </c>
      <c r="Z42" s="13">
        <f>'TUSD BE'!$Z$42*'TUSD BE'!$Z$78</f>
        <v>0</v>
      </c>
      <c r="AA42" s="13">
        <f>'TUSD BE'!$AA$42*'TUSD BE'!$AA$78</f>
        <v>0</v>
      </c>
      <c r="AB42" s="13">
        <f>SUM($U$42:$AA$42)</f>
        <v>-0.47745964613603836</v>
      </c>
      <c r="AC42" s="13">
        <f>'TUSD BE'!$AC$42*'TUSD BE'!$AC$78</f>
        <v>2.0090940894072554E-2</v>
      </c>
      <c r="AD42" s="13">
        <f>SUM($AC$42:$AC$42)</f>
        <v>2.0090940894072554E-2</v>
      </c>
      <c r="AE42" s="13">
        <f ca="1">$AO$42*$AO$75</f>
        <v>0</v>
      </c>
      <c r="AF42" s="13">
        <f ca="1">$AP$42*$AP$75</f>
        <v>0</v>
      </c>
      <c r="AG42" s="13">
        <f ca="1">SUM($AE$42:$AF$42)</f>
        <v>0</v>
      </c>
      <c r="AH42" s="13">
        <f>'TUSD BE'!$AH$42*'TUSD BE'!$AH$78</f>
        <v>10.920190337325092</v>
      </c>
      <c r="AI42" s="13">
        <f>'TUSD BE'!$AI$42*'TUSD BE'!$AI$78</f>
        <v>0.18925872471314215</v>
      </c>
      <c r="AJ42" s="13">
        <f ca="1">'TUSD BE'!$AJ$42*'TUSD BE'!$AJ$78</f>
        <v>0.75386565992479893</v>
      </c>
      <c r="AK42" s="13">
        <f ca="1">'TUSD BE'!$AK$42*'TUSD BE'!$AK$78</f>
        <v>-1.7241257166437356E-2</v>
      </c>
      <c r="AL42" s="13">
        <f ca="1">SUM($AH$42:$AK$42)</f>
        <v>11.846073464796595</v>
      </c>
      <c r="AM42" s="13">
        <f ca="1">SUMIF($L$4:$AL$4,"SUBTOTAL",$L$42:$AL$42)</f>
        <v>11.38663918608243</v>
      </c>
      <c r="AO42" s="20">
        <f ca="1">+'TUSD BE'!$T$42+'TUSD BE'!$AB$42+'TUSD BE'!$AD$42+'TUSD BE'!$AL$42</f>
        <v>249.39988173643968</v>
      </c>
      <c r="AP42" s="20">
        <f ca="1">+'TUSD BE'!$T$42+'TUSD BE'!$AB$42+'TUSD BE'!$AD$42+'TUSD BE'!$AL$42</f>
        <v>249.39988173643968</v>
      </c>
    </row>
    <row r="43" spans="1:42" ht="11.25" customHeight="1" x14ac:dyDescent="0.3">
      <c r="A43" s="128"/>
      <c r="B43" s="128"/>
      <c r="C43" s="128"/>
      <c r="D43" s="17" t="s">
        <v>31</v>
      </c>
      <c r="E43" s="17" t="s">
        <v>25</v>
      </c>
      <c r="F43" s="17" t="s">
        <v>25</v>
      </c>
      <c r="G43" s="18" t="s">
        <v>84</v>
      </c>
      <c r="H43" s="18" t="s">
        <v>78</v>
      </c>
      <c r="I43" s="18">
        <f>'MERCADO TUSD'!$U$40</f>
        <v>3237.8510000000001</v>
      </c>
      <c r="J43" s="15"/>
      <c r="L43" s="13">
        <f>'TUSD BE'!$L$43*'TUSD BE'!$L$78</f>
        <v>0</v>
      </c>
      <c r="M43" s="13">
        <f>'TUSD BE'!$M$43*'TUSD BE'!$M$78</f>
        <v>-2.0658970226936097E-3</v>
      </c>
      <c r="N43" s="13">
        <f ca="1">'TUSD BE'!$N$43*'TUSD BE'!$N$78</f>
        <v>3.2355049492505691E-7</v>
      </c>
      <c r="O43" s="13">
        <f>'TUSD BE'!$O$43*'TUSD BE'!$O$78</f>
        <v>0</v>
      </c>
      <c r="P43" s="13">
        <f>'TUSD BE'!$P$43*'TUSD BE'!$P$78</f>
        <v>0</v>
      </c>
      <c r="Q43" s="13">
        <f>'TUSD BE'!$Q$43*'TUSD BE'!$Q$78</f>
        <v>0</v>
      </c>
      <c r="R43" s="13">
        <f>'TUSD BE'!$R$43*'TUSD BE'!$R$78</f>
        <v>0</v>
      </c>
      <c r="S43" s="13">
        <f>'TUSD BE'!$R$43*'TUSD BE'!$S$78</f>
        <v>0</v>
      </c>
      <c r="T43" s="13">
        <f ca="1">SUM($L$43:$S$43)</f>
        <v>-2.0655734721986845E-3</v>
      </c>
      <c r="U43" s="13">
        <f>'TUSD BE'!$U$43*'TUSD BE'!$U$78</f>
        <v>-0.38740392314125843</v>
      </c>
      <c r="V43" s="13">
        <f>'TUSD BE'!$V$43*'TUSD BE'!$V$78</f>
        <v>-8.7071283954943249E-2</v>
      </c>
      <c r="W43" s="13">
        <f>'TUSD BE'!$W$43*'TUSD BE'!$W$78</f>
        <v>-2.9844390398367057E-3</v>
      </c>
      <c r="X43" s="13">
        <f>'TUSD BE'!$X$43*'TUSD BE'!$X$78</f>
        <v>0</v>
      </c>
      <c r="Y43" s="13">
        <f>'TUSD BE'!$Y$43*'TUSD BE'!$Y$78</f>
        <v>0</v>
      </c>
      <c r="Z43" s="13">
        <f>'TUSD BE'!$Z$43*'TUSD BE'!$Z$78</f>
        <v>0</v>
      </c>
      <c r="AA43" s="13">
        <f>'TUSD BE'!$AA$43*'TUSD BE'!$AA$78</f>
        <v>0</v>
      </c>
      <c r="AB43" s="13">
        <f>SUM($U$43:$AA$43)</f>
        <v>-0.47745964613603836</v>
      </c>
      <c r="AC43" s="13">
        <f>'TUSD BE'!$AC$43*'TUSD BE'!$AC$78</f>
        <v>2.0090940894072554E-2</v>
      </c>
      <c r="AD43" s="13">
        <f>SUM($AC$43:$AC$43)</f>
        <v>2.0090940894072554E-2</v>
      </c>
      <c r="AE43" s="13">
        <f ca="1">$AO$43*$AO$75</f>
        <v>0</v>
      </c>
      <c r="AF43" s="13">
        <f ca="1">$AP$43*$AP$75</f>
        <v>0</v>
      </c>
      <c r="AG43" s="13">
        <f ca="1">SUM($AE$43:$AF$43)</f>
        <v>0</v>
      </c>
      <c r="AH43" s="13">
        <f>'TUSD BE'!$AH$43*'TUSD BE'!$AH$78</f>
        <v>10.920190337325092</v>
      </c>
      <c r="AI43" s="13">
        <f>'TUSD BE'!$AI$43*'TUSD BE'!$AI$78</f>
        <v>0.18925872471314215</v>
      </c>
      <c r="AJ43" s="13">
        <f ca="1">'TUSD BE'!$AJ$43*'TUSD BE'!$AJ$78</f>
        <v>0.75386565992479893</v>
      </c>
      <c r="AK43" s="13">
        <f ca="1">'TUSD BE'!$AK$43*'TUSD BE'!$AK$78</f>
        <v>-1.7241257166437356E-2</v>
      </c>
      <c r="AL43" s="13">
        <f ca="1">SUM($AH$43:$AK$43)</f>
        <v>11.846073464796595</v>
      </c>
      <c r="AM43" s="13">
        <f ca="1">SUMIF($L$4:$AL$4,"SUBTOTAL",$L$43:$AL$43)</f>
        <v>11.38663918608243</v>
      </c>
      <c r="AO43" s="20">
        <f ca="1">+'TUSD BE'!$T$43+'TUSD BE'!$AB$43+'TUSD BE'!$AD$43+'TUSD BE'!$AL$43</f>
        <v>249.39988173643968</v>
      </c>
      <c r="AP43" s="20">
        <f ca="1">+'TUSD BE'!$T$43+'TUSD BE'!$AB$43+'TUSD BE'!$AD$43+'TUSD BE'!$AL$43</f>
        <v>249.39988173643968</v>
      </c>
    </row>
    <row r="44" spans="1:42" ht="11.25" customHeight="1" x14ac:dyDescent="0.3">
      <c r="A44" s="128"/>
      <c r="B44" s="128"/>
      <c r="C44" s="128"/>
      <c r="D44" s="17" t="s">
        <v>32</v>
      </c>
      <c r="E44" s="17" t="s">
        <v>25</v>
      </c>
      <c r="F44" s="17" t="s">
        <v>25</v>
      </c>
      <c r="G44" s="18" t="s">
        <v>84</v>
      </c>
      <c r="H44" s="18" t="s">
        <v>78</v>
      </c>
      <c r="I44" s="18">
        <f>'MERCADO TUSD'!$U$41</f>
        <v>633.93299999999999</v>
      </c>
      <c r="J44" s="15"/>
      <c r="L44" s="13">
        <f>'TUSD BE'!$L$44*'TUSD BE'!$L$78</f>
        <v>0</v>
      </c>
      <c r="M44" s="13">
        <f>'TUSD BE'!$M$44*'TUSD BE'!$M$78</f>
        <v>-2.0658970226936097E-3</v>
      </c>
      <c r="N44" s="13">
        <f ca="1">'TUSD BE'!$N$44*'TUSD BE'!$N$78</f>
        <v>3.2355049492505691E-7</v>
      </c>
      <c r="O44" s="13">
        <f>'TUSD BE'!$O$44*'TUSD BE'!$O$78</f>
        <v>0</v>
      </c>
      <c r="P44" s="13">
        <f>'TUSD BE'!$P$44*'TUSD BE'!$P$78</f>
        <v>0</v>
      </c>
      <c r="Q44" s="13">
        <f>'TUSD BE'!$Q$44*'TUSD BE'!$Q$78</f>
        <v>0</v>
      </c>
      <c r="R44" s="13">
        <f>'TUSD BE'!$R$44*'TUSD BE'!$R$78</f>
        <v>0</v>
      </c>
      <c r="S44" s="13">
        <f>'TUSD BE'!$R$44*'TUSD BE'!$S$78</f>
        <v>0</v>
      </c>
      <c r="T44" s="13">
        <f ca="1">SUM($L$44:$S$44)</f>
        <v>-2.0655734721986845E-3</v>
      </c>
      <c r="U44" s="13">
        <f>'TUSD BE'!$U$44*'TUSD BE'!$U$78</f>
        <v>-0.38740392314125843</v>
      </c>
      <c r="V44" s="13">
        <f>'TUSD BE'!$V$44*'TUSD BE'!$V$78</f>
        <v>-8.7071283954943249E-2</v>
      </c>
      <c r="W44" s="13">
        <f>'TUSD BE'!$W$44*'TUSD BE'!$W$78</f>
        <v>-2.9844390398367057E-3</v>
      </c>
      <c r="X44" s="13">
        <f>'TUSD BE'!$X$44*'TUSD BE'!$X$78</f>
        <v>0</v>
      </c>
      <c r="Y44" s="13">
        <f>'TUSD BE'!$Y$44*'TUSD BE'!$Y$78</f>
        <v>0</v>
      </c>
      <c r="Z44" s="13">
        <f>'TUSD BE'!$Z$44*'TUSD BE'!$Z$78</f>
        <v>0</v>
      </c>
      <c r="AA44" s="13">
        <f>'TUSD BE'!$AA$44*'TUSD BE'!$AA$78</f>
        <v>0</v>
      </c>
      <c r="AB44" s="13">
        <f>SUM($U$44:$AA$44)</f>
        <v>-0.47745964613603836</v>
      </c>
      <c r="AC44" s="13">
        <f>'TUSD BE'!$AC$44*'TUSD BE'!$AC$78</f>
        <v>2.0090940894072554E-2</v>
      </c>
      <c r="AD44" s="13">
        <f>SUM($AC$44:$AC$44)</f>
        <v>2.0090940894072554E-2</v>
      </c>
      <c r="AE44" s="13">
        <f ca="1">$AO$44*$AO$75</f>
        <v>0</v>
      </c>
      <c r="AF44" s="13">
        <f ca="1">$AP$44*$AP$75</f>
        <v>0</v>
      </c>
      <c r="AG44" s="13">
        <f ca="1">SUM($AE$44:$AF$44)</f>
        <v>0</v>
      </c>
      <c r="AH44" s="13">
        <f>'TUSD BE'!$AH$44*'TUSD BE'!$AH$78</f>
        <v>10.920190337325092</v>
      </c>
      <c r="AI44" s="13">
        <f>'TUSD BE'!$AI$44*'TUSD BE'!$AI$78</f>
        <v>0.18925872471314215</v>
      </c>
      <c r="AJ44" s="13">
        <f ca="1">'TUSD BE'!$AJ$44*'TUSD BE'!$AJ$78</f>
        <v>0.75386565992479893</v>
      </c>
      <c r="AK44" s="13">
        <f ca="1">'TUSD BE'!$AK$44*'TUSD BE'!$AK$78</f>
        <v>-1.7241257166437356E-2</v>
      </c>
      <c r="AL44" s="13">
        <f ca="1">SUM($AH$44:$AK$44)</f>
        <v>11.846073464796595</v>
      </c>
      <c r="AM44" s="13">
        <f ca="1">SUMIF($L$4:$AL$4,"SUBTOTAL",$L$44:$AL$44)</f>
        <v>11.38663918608243</v>
      </c>
      <c r="AO44" s="20">
        <f ca="1">+'TUSD BE'!$T$44+'TUSD BE'!$AB$44+'TUSD BE'!$AD$44+'TUSD BE'!$AL$44</f>
        <v>249.39988173643968</v>
      </c>
      <c r="AP44" s="20">
        <f ca="1">+'TUSD BE'!$T$44+'TUSD BE'!$AB$44+'TUSD BE'!$AD$44+'TUSD BE'!$AL$44</f>
        <v>249.39988173643968</v>
      </c>
    </row>
    <row r="45" spans="1:42" ht="11.25" customHeight="1" x14ac:dyDescent="0.3">
      <c r="A45" s="128"/>
      <c r="B45" s="128" t="s">
        <v>92</v>
      </c>
      <c r="C45" s="128" t="s">
        <v>24</v>
      </c>
      <c r="D45" s="17" t="s">
        <v>24</v>
      </c>
      <c r="E45" s="17" t="s">
        <v>25</v>
      </c>
      <c r="F45" s="17" t="s">
        <v>25</v>
      </c>
      <c r="G45" s="18" t="s">
        <v>84</v>
      </c>
      <c r="H45" s="18" t="s">
        <v>78</v>
      </c>
      <c r="I45" s="18">
        <f>'MERCADO TUSD'!$U$42</f>
        <v>0</v>
      </c>
      <c r="J45" s="15"/>
      <c r="L45" s="13">
        <f>'TUSD BE'!$L$45*'TUSD BE'!$L$78</f>
        <v>-0.56348944178893323</v>
      </c>
      <c r="M45" s="13">
        <f>'TUSD BE'!$M$45*'TUSD BE'!$M$78</f>
        <v>-2.0658970226936097E-3</v>
      </c>
      <c r="N45" s="13">
        <f ca="1">'TUSD BE'!$N$45*'TUSD BE'!$N$78</f>
        <v>3.2442995957833044E-7</v>
      </c>
      <c r="O45" s="13">
        <f>'TUSD BE'!$O$45*'TUSD BE'!$O$78</f>
        <v>0</v>
      </c>
      <c r="P45" s="13">
        <f>'TUSD BE'!$P$45*'TUSD BE'!$P$78</f>
        <v>0</v>
      </c>
      <c r="Q45" s="13">
        <f>'TUSD BE'!$Q$45*'TUSD BE'!$Q$78</f>
        <v>-1.6095968681012454</v>
      </c>
      <c r="R45" s="13">
        <f>'TUSD BE'!$R$45*'TUSD BE'!$R$78</f>
        <v>-0.37578018258543827</v>
      </c>
      <c r="S45" s="13">
        <f>'TUSD BE'!$R$45*'TUSD BE'!$S$78</f>
        <v>0</v>
      </c>
      <c r="T45" s="13">
        <f ca="1">SUM($L$45:$S$45)</f>
        <v>-2.5509320650683507</v>
      </c>
      <c r="U45" s="13">
        <f>'TUSD BE'!$U$45*'TUSD BE'!$U$78</f>
        <v>-0.38740392314125843</v>
      </c>
      <c r="V45" s="13">
        <f>'TUSD BE'!$V$45*'TUSD BE'!$V$78</f>
        <v>-8.7071283954943249E-2</v>
      </c>
      <c r="W45" s="13">
        <f>'TUSD BE'!$W$45*'TUSD BE'!$W$78</f>
        <v>-2.9844390398367057E-3</v>
      </c>
      <c r="X45" s="13">
        <f>'TUSD BE'!$X$45*'TUSD BE'!$X$78</f>
        <v>0</v>
      </c>
      <c r="Y45" s="13">
        <f>'TUSD BE'!$Y$45*'TUSD BE'!$Y$78</f>
        <v>0</v>
      </c>
      <c r="Z45" s="13">
        <f>'TUSD BE'!$Z$45*'TUSD BE'!$Z$78</f>
        <v>0</v>
      </c>
      <c r="AA45" s="13">
        <f>'TUSD BE'!$AA$45*'TUSD BE'!$AA$78</f>
        <v>0</v>
      </c>
      <c r="AB45" s="13">
        <f>SUM($U$45:$AA$45)</f>
        <v>-0.47745964613603836</v>
      </c>
      <c r="AC45" s="13">
        <f>'TUSD BE'!$AC$45*'TUSD BE'!$AC$78</f>
        <v>2.0090940894072554E-2</v>
      </c>
      <c r="AD45" s="13">
        <f>SUM($AC$45:$AC$45)</f>
        <v>2.0090940894072554E-2</v>
      </c>
      <c r="AE45" s="13">
        <f ca="1">$AO$45*$AO$75</f>
        <v>0</v>
      </c>
      <c r="AF45" s="13">
        <f ca="1">$AP$45*$AP$75</f>
        <v>0</v>
      </c>
      <c r="AG45" s="13">
        <f ca="1">SUM($AE$45:$AF$45)</f>
        <v>0</v>
      </c>
      <c r="AH45" s="13">
        <f>'TUSD BE'!$AH$45*'TUSD BE'!$AH$78</f>
        <v>10.920190337325092</v>
      </c>
      <c r="AI45" s="13">
        <f>'TUSD BE'!$AI$45*'TUSD BE'!$AI$78</f>
        <v>0.18925872471314215</v>
      </c>
      <c r="AJ45" s="13">
        <f ca="1">'TUSD BE'!$AJ$45*'TUSD BE'!$AJ$78</f>
        <v>0.75386565992479893</v>
      </c>
      <c r="AK45" s="13">
        <f ca="1">'TUSD BE'!$AK$45*'TUSD BE'!$AK$78</f>
        <v>-1.7241257166437356E-2</v>
      </c>
      <c r="AL45" s="13">
        <f ca="1">SUM($AH$45:$AK$45)</f>
        <v>11.846073464796595</v>
      </c>
      <c r="AM45" s="13">
        <f ca="1">SUMIF($L$4:$AL$4,"SUBTOTAL",$L$45:$AL$45)</f>
        <v>8.8377726944862776</v>
      </c>
      <c r="AO45" s="20">
        <f ca="1">+'TUSD BE'!$T$45+'TUSD BE'!$AB$45+'TUSD BE'!$AD$45+'TUSD BE'!$AL$45</f>
        <v>356.4462800994238</v>
      </c>
      <c r="AP45" s="20">
        <f ca="1">+'TUSD BE'!$T$45+'TUSD BE'!$AB$45+'TUSD BE'!$AD$45+'TUSD BE'!$AL$45</f>
        <v>356.4462800994238</v>
      </c>
    </row>
    <row r="46" spans="1:42" ht="11.25" customHeight="1" x14ac:dyDescent="0.3">
      <c r="A46" s="128"/>
      <c r="B46" s="128"/>
      <c r="C46" s="128"/>
      <c r="D46" s="17" t="s">
        <v>29</v>
      </c>
      <c r="E46" s="17" t="s">
        <v>25</v>
      </c>
      <c r="F46" s="17" t="s">
        <v>25</v>
      </c>
      <c r="G46" s="18" t="s">
        <v>84</v>
      </c>
      <c r="H46" s="18" t="s">
        <v>78</v>
      </c>
      <c r="I46" s="18">
        <f>'MERCADO TUSD'!$U$43</f>
        <v>0</v>
      </c>
      <c r="J46" s="15"/>
      <c r="L46" s="13">
        <f>'TUSD BE'!$L$46*'TUSD BE'!$L$78</f>
        <v>0</v>
      </c>
      <c r="M46" s="13">
        <f>'TUSD BE'!$M$46*'TUSD BE'!$M$78</f>
        <v>-2.0658970226936097E-3</v>
      </c>
      <c r="N46" s="13">
        <f ca="1">'TUSD BE'!$N$46*'TUSD BE'!$N$78</f>
        <v>3.2355049492505691E-7</v>
      </c>
      <c r="O46" s="13">
        <f>'TUSD BE'!$O$46*'TUSD BE'!$O$78</f>
        <v>0</v>
      </c>
      <c r="P46" s="13">
        <f>'TUSD BE'!$P$46*'TUSD BE'!$P$78</f>
        <v>0</v>
      </c>
      <c r="Q46" s="13">
        <f>'TUSD BE'!$Q$46*'TUSD BE'!$Q$78</f>
        <v>0</v>
      </c>
      <c r="R46" s="13">
        <f>'TUSD BE'!$R$46*'TUSD BE'!$R$78</f>
        <v>0</v>
      </c>
      <c r="S46" s="13">
        <f>'TUSD BE'!$R$46*'TUSD BE'!$S$78</f>
        <v>0</v>
      </c>
      <c r="T46" s="13">
        <f ca="1">SUM($L$46:$S$46)</f>
        <v>-2.0655734721986845E-3</v>
      </c>
      <c r="U46" s="13">
        <f>'TUSD BE'!$U$46*'TUSD BE'!$U$78</f>
        <v>-0.38740392314125843</v>
      </c>
      <c r="V46" s="13">
        <f>'TUSD BE'!$V$46*'TUSD BE'!$V$78</f>
        <v>-8.7071283954943249E-2</v>
      </c>
      <c r="W46" s="13">
        <f>'TUSD BE'!$W$46*'TUSD BE'!$W$78</f>
        <v>-2.9844390398367057E-3</v>
      </c>
      <c r="X46" s="13">
        <f>'TUSD BE'!$X$46*'TUSD BE'!$X$78</f>
        <v>0</v>
      </c>
      <c r="Y46" s="13">
        <f>'TUSD BE'!$Y$46*'TUSD BE'!$Y$78</f>
        <v>0</v>
      </c>
      <c r="Z46" s="13">
        <f>'TUSD BE'!$Z$46*'TUSD BE'!$Z$78</f>
        <v>0</v>
      </c>
      <c r="AA46" s="13">
        <f>'TUSD BE'!$AA$46*'TUSD BE'!$AA$78</f>
        <v>0</v>
      </c>
      <c r="AB46" s="13">
        <f>SUM($U$46:$AA$46)</f>
        <v>-0.47745964613603836</v>
      </c>
      <c r="AC46" s="13">
        <f>'TUSD BE'!$AC$46*'TUSD BE'!$AC$78</f>
        <v>2.0090940894072554E-2</v>
      </c>
      <c r="AD46" s="13">
        <f>SUM($AC$46:$AC$46)</f>
        <v>2.0090940894072554E-2</v>
      </c>
      <c r="AE46" s="13">
        <f ca="1">$AO$46*$AO$75</f>
        <v>0</v>
      </c>
      <c r="AF46" s="13">
        <f ca="1">$AP$46*$AP$75</f>
        <v>0</v>
      </c>
      <c r="AG46" s="13">
        <f ca="1">SUM($AE$46:$AF$46)</f>
        <v>0</v>
      </c>
      <c r="AH46" s="13">
        <f>'TUSD BE'!$AH$46*'TUSD BE'!$AH$78</f>
        <v>10.920190337325092</v>
      </c>
      <c r="AI46" s="13">
        <f>'TUSD BE'!$AI$46*'TUSD BE'!$AI$78</f>
        <v>0.18925872471314215</v>
      </c>
      <c r="AJ46" s="13">
        <f ca="1">'TUSD BE'!$AJ$46*'TUSD BE'!$AJ$78</f>
        <v>0.75386565992479893</v>
      </c>
      <c r="AK46" s="13">
        <f ca="1">'TUSD BE'!$AK$46*'TUSD BE'!$AK$78</f>
        <v>-1.7241257166437356E-2</v>
      </c>
      <c r="AL46" s="13">
        <f ca="1">SUM($AH$46:$AK$46)</f>
        <v>11.846073464796595</v>
      </c>
      <c r="AM46" s="13">
        <f ca="1">SUMIF($L$4:$AL$4,"SUBTOTAL",$L$46:$AL$46)</f>
        <v>11.38663918608243</v>
      </c>
      <c r="AO46" s="20">
        <f ca="1">+'TUSD BE'!$T$46+'TUSD BE'!$AB$46+'TUSD BE'!$AD$46+'TUSD BE'!$AL$46</f>
        <v>249.39988173643968</v>
      </c>
      <c r="AP46" s="20">
        <f ca="1">+'TUSD BE'!$T$46+'TUSD BE'!$AB$46+'TUSD BE'!$AD$46+'TUSD BE'!$AL$46</f>
        <v>249.39988173643968</v>
      </c>
    </row>
    <row r="47" spans="1:42" ht="11.25" customHeight="1" x14ac:dyDescent="0.3">
      <c r="A47" s="128"/>
      <c r="B47" s="128"/>
      <c r="C47" s="128"/>
      <c r="D47" s="17" t="s">
        <v>30</v>
      </c>
      <c r="E47" s="17" t="s">
        <v>25</v>
      </c>
      <c r="F47" s="17" t="s">
        <v>25</v>
      </c>
      <c r="G47" s="18" t="s">
        <v>84</v>
      </c>
      <c r="H47" s="18" t="s">
        <v>78</v>
      </c>
      <c r="I47" s="18">
        <f>'MERCADO TUSD'!$U$44</f>
        <v>0</v>
      </c>
      <c r="J47" s="15"/>
      <c r="L47" s="13">
        <f>'TUSD BE'!$L$47*'TUSD BE'!$L$78</f>
        <v>0</v>
      </c>
      <c r="M47" s="13">
        <f>'TUSD BE'!$M$47*'TUSD BE'!$M$78</f>
        <v>-2.0658970226936097E-3</v>
      </c>
      <c r="N47" s="13">
        <f ca="1">'TUSD BE'!$N$47*'TUSD BE'!$N$78</f>
        <v>3.2355049492505691E-7</v>
      </c>
      <c r="O47" s="13">
        <f>'TUSD BE'!$O$47*'TUSD BE'!$O$78</f>
        <v>0</v>
      </c>
      <c r="P47" s="13">
        <f>'TUSD BE'!$P$47*'TUSD BE'!$P$78</f>
        <v>0</v>
      </c>
      <c r="Q47" s="13">
        <f>'TUSD BE'!$Q$47*'TUSD BE'!$Q$78</f>
        <v>0</v>
      </c>
      <c r="R47" s="13">
        <f>'TUSD BE'!$R$47*'TUSD BE'!$R$78</f>
        <v>0</v>
      </c>
      <c r="S47" s="13">
        <f>'TUSD BE'!$R$47*'TUSD BE'!$S$78</f>
        <v>0</v>
      </c>
      <c r="T47" s="13">
        <f ca="1">SUM($L$47:$S$47)</f>
        <v>-2.0655734721986845E-3</v>
      </c>
      <c r="U47" s="13">
        <f>'TUSD BE'!$U$47*'TUSD BE'!$U$78</f>
        <v>-0.38740392314125843</v>
      </c>
      <c r="V47" s="13">
        <f>'TUSD BE'!$V$47*'TUSD BE'!$V$78</f>
        <v>-8.7071283954943249E-2</v>
      </c>
      <c r="W47" s="13">
        <f>'TUSD BE'!$W$47*'TUSD BE'!$W$78</f>
        <v>-2.9844390398367057E-3</v>
      </c>
      <c r="X47" s="13">
        <f>'TUSD BE'!$X$47*'TUSD BE'!$X$78</f>
        <v>0</v>
      </c>
      <c r="Y47" s="13">
        <f>'TUSD BE'!$Y$47*'TUSD BE'!$Y$78</f>
        <v>0</v>
      </c>
      <c r="Z47" s="13">
        <f>'TUSD BE'!$Z$47*'TUSD BE'!$Z$78</f>
        <v>0</v>
      </c>
      <c r="AA47" s="13">
        <f>'TUSD BE'!$AA$47*'TUSD BE'!$AA$78</f>
        <v>0</v>
      </c>
      <c r="AB47" s="13">
        <f>SUM($U$47:$AA$47)</f>
        <v>-0.47745964613603836</v>
      </c>
      <c r="AC47" s="13">
        <f>'TUSD BE'!$AC$47*'TUSD BE'!$AC$78</f>
        <v>2.0090940894072554E-2</v>
      </c>
      <c r="AD47" s="13">
        <f>SUM($AC$47:$AC$47)</f>
        <v>2.0090940894072554E-2</v>
      </c>
      <c r="AE47" s="13">
        <f ca="1">$AO$47*$AO$75</f>
        <v>0</v>
      </c>
      <c r="AF47" s="13">
        <f ca="1">$AP$47*$AP$75</f>
        <v>0</v>
      </c>
      <c r="AG47" s="13">
        <f ca="1">SUM($AE$47:$AF$47)</f>
        <v>0</v>
      </c>
      <c r="AH47" s="13">
        <f>'TUSD BE'!$AH$47*'TUSD BE'!$AH$78</f>
        <v>10.920190337325092</v>
      </c>
      <c r="AI47" s="13">
        <f>'TUSD BE'!$AI$47*'TUSD BE'!$AI$78</f>
        <v>0.18925872471314215</v>
      </c>
      <c r="AJ47" s="13">
        <f ca="1">'TUSD BE'!$AJ$47*'TUSD BE'!$AJ$78</f>
        <v>0.75386565992479893</v>
      </c>
      <c r="AK47" s="13">
        <f ca="1">'TUSD BE'!$AK$47*'TUSD BE'!$AK$78</f>
        <v>-1.7241257166437356E-2</v>
      </c>
      <c r="AL47" s="13">
        <f ca="1">SUM($AH$47:$AK$47)</f>
        <v>11.846073464796595</v>
      </c>
      <c r="AM47" s="13">
        <f ca="1">SUMIF($L$4:$AL$4,"SUBTOTAL",$L$47:$AL$47)</f>
        <v>11.38663918608243</v>
      </c>
      <c r="AO47" s="20">
        <f ca="1">+'TUSD BE'!$T$47+'TUSD BE'!$AB$47+'TUSD BE'!$AD$47+'TUSD BE'!$AL$47</f>
        <v>249.39988173643968</v>
      </c>
      <c r="AP47" s="20">
        <f ca="1">+'TUSD BE'!$T$47+'TUSD BE'!$AB$47+'TUSD BE'!$AD$47+'TUSD BE'!$AL$47</f>
        <v>249.39988173643968</v>
      </c>
    </row>
    <row r="48" spans="1:42" ht="11.25" customHeight="1" x14ac:dyDescent="0.3">
      <c r="A48" s="128"/>
      <c r="B48" s="128"/>
      <c r="C48" s="128"/>
      <c r="D48" s="17" t="s">
        <v>31</v>
      </c>
      <c r="E48" s="17" t="s">
        <v>25</v>
      </c>
      <c r="F48" s="17" t="s">
        <v>25</v>
      </c>
      <c r="G48" s="18" t="s">
        <v>84</v>
      </c>
      <c r="H48" s="18" t="s">
        <v>78</v>
      </c>
      <c r="I48" s="18">
        <f>'MERCADO TUSD'!$U$45</f>
        <v>0</v>
      </c>
      <c r="J48" s="15"/>
      <c r="L48" s="13">
        <f>'TUSD BE'!$L$48*'TUSD BE'!$L$78</f>
        <v>0</v>
      </c>
      <c r="M48" s="13">
        <f>'TUSD BE'!$M$48*'TUSD BE'!$M$78</f>
        <v>-2.0658970226936097E-3</v>
      </c>
      <c r="N48" s="13">
        <f ca="1">'TUSD BE'!$N$48*'TUSD BE'!$N$78</f>
        <v>3.2355049492505691E-7</v>
      </c>
      <c r="O48" s="13">
        <f>'TUSD BE'!$O$48*'TUSD BE'!$O$78</f>
        <v>0</v>
      </c>
      <c r="P48" s="13">
        <f>'TUSD BE'!$P$48*'TUSD BE'!$P$78</f>
        <v>0</v>
      </c>
      <c r="Q48" s="13">
        <f>'TUSD BE'!$Q$48*'TUSD BE'!$Q$78</f>
        <v>0</v>
      </c>
      <c r="R48" s="13">
        <f>'TUSD BE'!$R$48*'TUSD BE'!$R$78</f>
        <v>0</v>
      </c>
      <c r="S48" s="13">
        <f>'TUSD BE'!$R$48*'TUSD BE'!$S$78</f>
        <v>0</v>
      </c>
      <c r="T48" s="13">
        <f ca="1">SUM($L$48:$S$48)</f>
        <v>-2.0655734721986845E-3</v>
      </c>
      <c r="U48" s="13">
        <f>'TUSD BE'!$U$48*'TUSD BE'!$U$78</f>
        <v>-0.38740392314125843</v>
      </c>
      <c r="V48" s="13">
        <f>'TUSD BE'!$V$48*'TUSD BE'!$V$78</f>
        <v>-8.7071283954943249E-2</v>
      </c>
      <c r="W48" s="13">
        <f>'TUSD BE'!$W$48*'TUSD BE'!$W$78</f>
        <v>-2.9844390398367057E-3</v>
      </c>
      <c r="X48" s="13">
        <f>'TUSD BE'!$X$48*'TUSD BE'!$X$78</f>
        <v>0</v>
      </c>
      <c r="Y48" s="13">
        <f>'TUSD BE'!$Y$48*'TUSD BE'!$Y$78</f>
        <v>0</v>
      </c>
      <c r="Z48" s="13">
        <f>'TUSD BE'!$Z$48*'TUSD BE'!$Z$78</f>
        <v>0</v>
      </c>
      <c r="AA48" s="13">
        <f>'TUSD BE'!$AA$48*'TUSD BE'!$AA$78</f>
        <v>0</v>
      </c>
      <c r="AB48" s="13">
        <f>SUM($U$48:$AA$48)</f>
        <v>-0.47745964613603836</v>
      </c>
      <c r="AC48" s="13">
        <f>'TUSD BE'!$AC$48*'TUSD BE'!$AC$78</f>
        <v>2.0090940894072554E-2</v>
      </c>
      <c r="AD48" s="13">
        <f>SUM($AC$48:$AC$48)</f>
        <v>2.0090940894072554E-2</v>
      </c>
      <c r="AE48" s="13">
        <f ca="1">$AO$48*$AO$75</f>
        <v>0</v>
      </c>
      <c r="AF48" s="13">
        <f ca="1">$AP$48*$AP$75</f>
        <v>0</v>
      </c>
      <c r="AG48" s="13">
        <f ca="1">SUM($AE$48:$AF$48)</f>
        <v>0</v>
      </c>
      <c r="AH48" s="13">
        <f>'TUSD BE'!$AH$48*'TUSD BE'!$AH$78</f>
        <v>10.920190337325092</v>
      </c>
      <c r="AI48" s="13">
        <f>'TUSD BE'!$AI$48*'TUSD BE'!$AI$78</f>
        <v>0.18925872471314215</v>
      </c>
      <c r="AJ48" s="13">
        <f ca="1">'TUSD BE'!$AJ$48*'TUSD BE'!$AJ$78</f>
        <v>0.75386565992479893</v>
      </c>
      <c r="AK48" s="13">
        <f ca="1">'TUSD BE'!$AK$48*'TUSD BE'!$AK$78</f>
        <v>-1.7241257166437356E-2</v>
      </c>
      <c r="AL48" s="13">
        <f ca="1">SUM($AH$48:$AK$48)</f>
        <v>11.846073464796595</v>
      </c>
      <c r="AM48" s="13">
        <f ca="1">SUMIF($L$4:$AL$4,"SUBTOTAL",$L$48:$AL$48)</f>
        <v>11.38663918608243</v>
      </c>
      <c r="AO48" s="20">
        <f ca="1">+'TUSD BE'!$T$48+'TUSD BE'!$AB$48+'TUSD BE'!$AD$48+'TUSD BE'!$AL$48</f>
        <v>249.39988173643968</v>
      </c>
      <c r="AP48" s="20">
        <f ca="1">+'TUSD BE'!$T$48+'TUSD BE'!$AB$48+'TUSD BE'!$AD$48+'TUSD BE'!$AL$48</f>
        <v>249.39988173643968</v>
      </c>
    </row>
    <row r="49" spans="1:42" ht="11.25" customHeight="1" x14ac:dyDescent="0.3">
      <c r="A49" s="128"/>
      <c r="B49" s="128"/>
      <c r="C49" s="128"/>
      <c r="D49" s="17" t="s">
        <v>32</v>
      </c>
      <c r="E49" s="17" t="s">
        <v>25</v>
      </c>
      <c r="F49" s="17" t="s">
        <v>25</v>
      </c>
      <c r="G49" s="18" t="s">
        <v>84</v>
      </c>
      <c r="H49" s="18" t="s">
        <v>78</v>
      </c>
      <c r="I49" s="18">
        <f>'MERCADO TUSD'!$U$46</f>
        <v>0</v>
      </c>
      <c r="J49" s="15"/>
      <c r="L49" s="13">
        <f>'TUSD BE'!$L$49*'TUSD BE'!$L$78</f>
        <v>0</v>
      </c>
      <c r="M49" s="13">
        <f>'TUSD BE'!$M$49*'TUSD BE'!$M$78</f>
        <v>-2.0658970226936097E-3</v>
      </c>
      <c r="N49" s="13">
        <f ca="1">'TUSD BE'!$N$49*'TUSD BE'!$N$78</f>
        <v>3.2355049492505691E-7</v>
      </c>
      <c r="O49" s="13">
        <f>'TUSD BE'!$O$49*'TUSD BE'!$O$78</f>
        <v>0</v>
      </c>
      <c r="P49" s="13">
        <f>'TUSD BE'!$P$49*'TUSD BE'!$P$78</f>
        <v>0</v>
      </c>
      <c r="Q49" s="13">
        <f>'TUSD BE'!$Q$49*'TUSD BE'!$Q$78</f>
        <v>0</v>
      </c>
      <c r="R49" s="13">
        <f>'TUSD BE'!$R$49*'TUSD BE'!$R$78</f>
        <v>0</v>
      </c>
      <c r="S49" s="13">
        <f>'TUSD BE'!$R$49*'TUSD BE'!$S$78</f>
        <v>0</v>
      </c>
      <c r="T49" s="13">
        <f ca="1">SUM($L$49:$S$49)</f>
        <v>-2.0655734721986845E-3</v>
      </c>
      <c r="U49" s="13">
        <f>'TUSD BE'!$U$49*'TUSD BE'!$U$78</f>
        <v>-0.38740392314125843</v>
      </c>
      <c r="V49" s="13">
        <f>'TUSD BE'!$V$49*'TUSD BE'!$V$78</f>
        <v>-8.7071283954943249E-2</v>
      </c>
      <c r="W49" s="13">
        <f>'TUSD BE'!$W$49*'TUSD BE'!$W$78</f>
        <v>-2.9844390398367057E-3</v>
      </c>
      <c r="X49" s="13">
        <f>'TUSD BE'!$X$49*'TUSD BE'!$X$78</f>
        <v>0</v>
      </c>
      <c r="Y49" s="13">
        <f>'TUSD BE'!$Y$49*'TUSD BE'!$Y$78</f>
        <v>0</v>
      </c>
      <c r="Z49" s="13">
        <f>'TUSD BE'!$Z$49*'TUSD BE'!$Z$78</f>
        <v>0</v>
      </c>
      <c r="AA49" s="13">
        <f>'TUSD BE'!$AA$49*'TUSD BE'!$AA$78</f>
        <v>0</v>
      </c>
      <c r="AB49" s="13">
        <f>SUM($U$49:$AA$49)</f>
        <v>-0.47745964613603836</v>
      </c>
      <c r="AC49" s="13">
        <f>'TUSD BE'!$AC$49*'TUSD BE'!$AC$78</f>
        <v>2.0090940894072554E-2</v>
      </c>
      <c r="AD49" s="13">
        <f>SUM($AC$49:$AC$49)</f>
        <v>2.0090940894072554E-2</v>
      </c>
      <c r="AE49" s="13">
        <f ca="1">$AO$49*$AO$75</f>
        <v>0</v>
      </c>
      <c r="AF49" s="13">
        <f ca="1">$AP$49*$AP$75</f>
        <v>0</v>
      </c>
      <c r="AG49" s="13">
        <f ca="1">SUM($AE$49:$AF$49)</f>
        <v>0</v>
      </c>
      <c r="AH49" s="13">
        <f>'TUSD BE'!$AH$49*'TUSD BE'!$AH$78</f>
        <v>10.920190337325092</v>
      </c>
      <c r="AI49" s="13">
        <f>'TUSD BE'!$AI$49*'TUSD BE'!$AI$78</f>
        <v>0.18925872471314215</v>
      </c>
      <c r="AJ49" s="13">
        <f ca="1">'TUSD BE'!$AJ$49*'TUSD BE'!$AJ$78</f>
        <v>0.75386565992479893</v>
      </c>
      <c r="AK49" s="13">
        <f ca="1">'TUSD BE'!$AK$49*'TUSD BE'!$AK$78</f>
        <v>-1.7241257166437356E-2</v>
      </c>
      <c r="AL49" s="13">
        <f ca="1">SUM($AH$49:$AK$49)</f>
        <v>11.846073464796595</v>
      </c>
      <c r="AM49" s="13">
        <f ca="1">SUMIF($L$4:$AL$4,"SUBTOTAL",$L$49:$AL$49)</f>
        <v>11.38663918608243</v>
      </c>
      <c r="AO49" s="20">
        <f ca="1">+'TUSD BE'!$T$49+'TUSD BE'!$AB$49+'TUSD BE'!$AD$49+'TUSD BE'!$AL$49</f>
        <v>249.39988173643968</v>
      </c>
      <c r="AP49" s="20">
        <f ca="1">+'TUSD BE'!$T$49+'TUSD BE'!$AB$49+'TUSD BE'!$AD$49+'TUSD BE'!$AL$49</f>
        <v>249.39988173643968</v>
      </c>
    </row>
    <row r="50" spans="1:42" ht="11.25" customHeight="1" x14ac:dyDescent="0.3">
      <c r="A50" s="128" t="s">
        <v>44</v>
      </c>
      <c r="B50" s="128" t="s">
        <v>33</v>
      </c>
      <c r="C50" s="128" t="s">
        <v>45</v>
      </c>
      <c r="D50" s="128" t="s">
        <v>25</v>
      </c>
      <c r="E50" s="128" t="s">
        <v>25</v>
      </c>
      <c r="F50" s="128" t="s">
        <v>25</v>
      </c>
      <c r="G50" s="18" t="s">
        <v>79</v>
      </c>
      <c r="H50" s="18" t="s">
        <v>78</v>
      </c>
      <c r="I50" s="18">
        <f>'MERCADO TUSD'!$U$47</f>
        <v>0</v>
      </c>
      <c r="J50" s="15"/>
      <c r="L50" s="13">
        <f>'TUSD BE'!$L$50*'TUSD BE'!$L$78</f>
        <v>-0.56348944178893323</v>
      </c>
      <c r="M50" s="13">
        <f>'TUSD BE'!$M$50*'TUSD BE'!$M$78</f>
        <v>-2.0658970226936097E-3</v>
      </c>
      <c r="N50" s="13">
        <f ca="1">'TUSD BE'!$N$50*'TUSD BE'!$N$78</f>
        <v>6.4512806459150336E-7</v>
      </c>
      <c r="O50" s="13">
        <f>'TUSD BE'!$O$50*'TUSD BE'!$O$78</f>
        <v>0</v>
      </c>
      <c r="P50" s="13">
        <f>'TUSD BE'!$P$50*'TUSD BE'!$P$78</f>
        <v>0</v>
      </c>
      <c r="Q50" s="13">
        <f>'TUSD BE'!$Q$50*'TUSD BE'!$Q$78</f>
        <v>-1.6095968681012454</v>
      </c>
      <c r="R50" s="13">
        <f>'TUSD BE'!$R$50*'TUSD BE'!$R$78</f>
        <v>-0.37578018258543827</v>
      </c>
      <c r="S50" s="13">
        <f>'TUSD BE'!$R$50*'TUSD BE'!$S$78</f>
        <v>0</v>
      </c>
      <c r="T50" s="13">
        <f ca="1">SUM($L$50:$S$50)</f>
        <v>-2.5509317443702457</v>
      </c>
      <c r="U50" s="13">
        <f>'TUSD BE'!$U$50*'TUSD BE'!$U$78</f>
        <v>-1.142842347176823</v>
      </c>
      <c r="V50" s="13">
        <f>'TUSD BE'!$V$50*'TUSD BE'!$V$78</f>
        <v>-0.25686011239576745</v>
      </c>
      <c r="W50" s="13">
        <f>'TUSD BE'!$W$50*'TUSD BE'!$W$78</f>
        <v>-8.8038374439397115E-3</v>
      </c>
      <c r="X50" s="13">
        <f>'TUSD BE'!$X$50*'TUSD BE'!$X$78</f>
        <v>0</v>
      </c>
      <c r="Y50" s="13">
        <f>'TUSD BE'!$Y$50*'TUSD BE'!$Y$78</f>
        <v>0</v>
      </c>
      <c r="Z50" s="13">
        <f>'TUSD BE'!$Z$50*'TUSD BE'!$Z$78</f>
        <v>0</v>
      </c>
      <c r="AA50" s="13">
        <f>'TUSD BE'!$AA$50*'TUSD BE'!$AA$78</f>
        <v>0</v>
      </c>
      <c r="AB50" s="13">
        <f>SUM($U$50:$AA$50)</f>
        <v>-1.4085062970165301</v>
      </c>
      <c r="AC50" s="13">
        <f>'TUSD BE'!$AC$50*'TUSD BE'!$AC$78</f>
        <v>5.9268293236594591E-2</v>
      </c>
      <c r="AD50" s="13">
        <f>SUM($AC$50:$AC$50)</f>
        <v>5.9268293236594591E-2</v>
      </c>
      <c r="AE50" s="13">
        <f ca="1">$AO$50*$AO$75</f>
        <v>0</v>
      </c>
      <c r="AF50" s="13">
        <f ca="1">$AP$50*$AP$75</f>
        <v>0</v>
      </c>
      <c r="AG50" s="13">
        <f ca="1">SUM($AE$50:$AF$50)</f>
        <v>0</v>
      </c>
      <c r="AH50" s="13">
        <f>'TUSD BE'!$AH$50*'TUSD BE'!$AH$78</f>
        <v>10.920190337325092</v>
      </c>
      <c r="AI50" s="13">
        <f>'TUSD BE'!$AI$50*'TUSD BE'!$AI$78</f>
        <v>0.18925872471314215</v>
      </c>
      <c r="AJ50" s="13">
        <f ca="1">'TUSD BE'!$AJ$50*'TUSD BE'!$AJ$78</f>
        <v>0.75386565992479893</v>
      </c>
      <c r="AK50" s="13">
        <f ca="1">'TUSD BE'!$AK$50*'TUSD BE'!$AK$78</f>
        <v>-1.7241257166437356E-2</v>
      </c>
      <c r="AL50" s="13">
        <f ca="1">SUM($AH$50:$AK$50)</f>
        <v>11.846073464796595</v>
      </c>
      <c r="AM50" s="13">
        <f ca="1">SUMIF($L$4:$AL$4,"SUBTOTAL",$L$50:$AL$50)</f>
        <v>7.9459037166464128</v>
      </c>
      <c r="AO50" s="20">
        <f ca="1">+'TUSD BE'!$T$50+'TUSD BE'!$AB$50+'TUSD BE'!$AD$50+'TUSD BE'!$AL$50</f>
        <v>787.35865020901031</v>
      </c>
      <c r="AP50" s="20">
        <f ca="1">+'TUSD BE'!$T$50+'TUSD BE'!$AB$50+'TUSD BE'!$AD$50+'TUSD BE'!$AL$50</f>
        <v>787.35865020901031</v>
      </c>
    </row>
    <row r="51" spans="1:42" ht="11.25" customHeight="1" x14ac:dyDescent="0.3">
      <c r="A51" s="128"/>
      <c r="B51" s="128"/>
      <c r="C51" s="128"/>
      <c r="D51" s="128"/>
      <c r="E51" s="128"/>
      <c r="F51" s="128"/>
      <c r="G51" s="18" t="s">
        <v>90</v>
      </c>
      <c r="H51" s="18" t="s">
        <v>78</v>
      </c>
      <c r="I51" s="18">
        <f>'MERCADO TUSD'!$U$48</f>
        <v>0</v>
      </c>
      <c r="J51" s="15"/>
      <c r="L51" s="13">
        <f>'TUSD BE'!$L$51*'TUSD BE'!$L$78</f>
        <v>-0.56348944178893323</v>
      </c>
      <c r="M51" s="13">
        <f>'TUSD BE'!$M$51*'TUSD BE'!$M$78</f>
        <v>-2.0658970226936097E-3</v>
      </c>
      <c r="N51" s="13">
        <f ca="1">'TUSD BE'!$N$51*'TUSD BE'!$N$78</f>
        <v>4.5106460268197813E-7</v>
      </c>
      <c r="O51" s="13">
        <f>'TUSD BE'!$O$51*'TUSD BE'!$O$78</f>
        <v>0</v>
      </c>
      <c r="P51" s="13">
        <f>'TUSD BE'!$P$51*'TUSD BE'!$P$78</f>
        <v>0</v>
      </c>
      <c r="Q51" s="13">
        <f>'TUSD BE'!$Q$51*'TUSD BE'!$Q$78</f>
        <v>-1.6095968681012454</v>
      </c>
      <c r="R51" s="13">
        <f>'TUSD BE'!$R$51*'TUSD BE'!$R$78</f>
        <v>-0.37578018258543827</v>
      </c>
      <c r="S51" s="13">
        <f>'TUSD BE'!$R$51*'TUSD BE'!$S$78</f>
        <v>0</v>
      </c>
      <c r="T51" s="13">
        <f ca="1">SUM($L$51:$S$51)</f>
        <v>-2.5509319384337079</v>
      </c>
      <c r="U51" s="13">
        <f>'TUSD BE'!$U$51*'TUSD BE'!$U$78</f>
        <v>-0.68570602743418219</v>
      </c>
      <c r="V51" s="13">
        <f>'TUSD BE'!$V$51*'TUSD BE'!$V$78</f>
        <v>-0.15411606743746048</v>
      </c>
      <c r="W51" s="13">
        <f>'TUSD BE'!$W$51*'TUSD BE'!$W$78</f>
        <v>-5.2818606545148505E-3</v>
      </c>
      <c r="X51" s="13">
        <f>'TUSD BE'!$X$51*'TUSD BE'!$X$78</f>
        <v>0</v>
      </c>
      <c r="Y51" s="13">
        <f>'TUSD BE'!$Y$51*'TUSD BE'!$Y$78</f>
        <v>0</v>
      </c>
      <c r="Z51" s="13">
        <f>'TUSD BE'!$Z$51*'TUSD BE'!$Z$78</f>
        <v>0</v>
      </c>
      <c r="AA51" s="13">
        <f>'TUSD BE'!$AA$51*'TUSD BE'!$AA$78</f>
        <v>0</v>
      </c>
      <c r="AB51" s="13">
        <f>SUM($U$51:$AA$51)</f>
        <v>-0.84510395552615747</v>
      </c>
      <c r="AC51" s="13">
        <f>'TUSD BE'!$AC$51*'TUSD BE'!$AC$78</f>
        <v>3.5560975941956757E-2</v>
      </c>
      <c r="AD51" s="13">
        <f>SUM($AC$51:$AC$51)</f>
        <v>3.5560975941956757E-2</v>
      </c>
      <c r="AE51" s="13">
        <f ca="1">$AO$51*$AO$75</f>
        <v>0</v>
      </c>
      <c r="AF51" s="13">
        <f ca="1">$AP$51*$AP$75</f>
        <v>0</v>
      </c>
      <c r="AG51" s="13">
        <f ca="1">SUM($AE$51:$AF$51)</f>
        <v>0</v>
      </c>
      <c r="AH51" s="13">
        <f>'TUSD BE'!$AH$51*'TUSD BE'!$AH$78</f>
        <v>10.920190337325092</v>
      </c>
      <c r="AI51" s="13">
        <f>'TUSD BE'!$AI$51*'TUSD BE'!$AI$78</f>
        <v>0.18925872471314215</v>
      </c>
      <c r="AJ51" s="13">
        <f ca="1">'TUSD BE'!$AJ$51*'TUSD BE'!$AJ$78</f>
        <v>0.75386565992479893</v>
      </c>
      <c r="AK51" s="13">
        <f ca="1">'TUSD BE'!$AK$51*'TUSD BE'!$AK$78</f>
        <v>-1.7241257166437356E-2</v>
      </c>
      <c r="AL51" s="13">
        <f ca="1">SUM($AH$51:$AK$51)</f>
        <v>11.846073464796595</v>
      </c>
      <c r="AM51" s="13">
        <f ca="1">SUMIF($L$4:$AL$4,"SUBTOTAL",$L$51:$AL$51)</f>
        <v>8.4855985467786859</v>
      </c>
      <c r="AO51" s="20">
        <f ca="1">+'TUSD BE'!$T$51+'TUSD BE'!$AB$51+'TUSD BE'!$AD$51+'TUSD BE'!$AL$51</f>
        <v>526.60136775230944</v>
      </c>
      <c r="AP51" s="20">
        <f ca="1">+'TUSD BE'!$T$51+'TUSD BE'!$AB$51+'TUSD BE'!$AD$51+'TUSD BE'!$AL$51</f>
        <v>526.60136775230944</v>
      </c>
    </row>
    <row r="52" spans="1:42" ht="11.25" customHeight="1" x14ac:dyDescent="0.3">
      <c r="A52" s="128"/>
      <c r="B52" s="128"/>
      <c r="C52" s="128"/>
      <c r="D52" s="128"/>
      <c r="E52" s="128"/>
      <c r="F52" s="128"/>
      <c r="G52" s="18" t="s">
        <v>80</v>
      </c>
      <c r="H52" s="18" t="s">
        <v>78</v>
      </c>
      <c r="I52" s="18">
        <f>'MERCADO TUSD'!$U$49</f>
        <v>0</v>
      </c>
      <c r="J52" s="15"/>
      <c r="L52" s="13">
        <f>'TUSD BE'!$L$52*'TUSD BE'!$L$78</f>
        <v>-0.56348944178893323</v>
      </c>
      <c r="M52" s="13">
        <f>'TUSD BE'!$M$52*'TUSD BE'!$M$78</f>
        <v>-2.0658970226936097E-3</v>
      </c>
      <c r="N52" s="13">
        <f ca="1">'TUSD BE'!$N$52*'TUSD BE'!$N$78</f>
        <v>2.5700114077245296E-7</v>
      </c>
      <c r="O52" s="13">
        <f>'TUSD BE'!$O$52*'TUSD BE'!$O$78</f>
        <v>0</v>
      </c>
      <c r="P52" s="13">
        <f>'TUSD BE'!$P$52*'TUSD BE'!$P$78</f>
        <v>0</v>
      </c>
      <c r="Q52" s="13">
        <f>'TUSD BE'!$Q$52*'TUSD BE'!$Q$78</f>
        <v>-1.6095968681012454</v>
      </c>
      <c r="R52" s="13">
        <f>'TUSD BE'!$R$52*'TUSD BE'!$R$78</f>
        <v>-0.37578018258543827</v>
      </c>
      <c r="S52" s="13">
        <f>'TUSD BE'!$R$52*'TUSD BE'!$S$78</f>
        <v>0</v>
      </c>
      <c r="T52" s="13">
        <f ca="1">SUM($L$52:$S$52)</f>
        <v>-2.5509321324971697</v>
      </c>
      <c r="U52" s="13">
        <f>'TUSD BE'!$U$52*'TUSD BE'!$U$78</f>
        <v>-0.22856815987132034</v>
      </c>
      <c r="V52" s="13">
        <f>'TUSD BE'!$V$52*'TUSD BE'!$V$78</f>
        <v>-5.1372022479153477E-2</v>
      </c>
      <c r="W52" s="13">
        <f>'TUSD BE'!$W$52*'TUSD BE'!$W$78</f>
        <v>-1.7606202181716169E-3</v>
      </c>
      <c r="X52" s="13">
        <f>'TUSD BE'!$X$52*'TUSD BE'!$X$78</f>
        <v>0</v>
      </c>
      <c r="Y52" s="13">
        <f>'TUSD BE'!$Y$52*'TUSD BE'!$Y$78</f>
        <v>0</v>
      </c>
      <c r="Z52" s="13">
        <f>'TUSD BE'!$Z$52*'TUSD BE'!$Z$78</f>
        <v>0</v>
      </c>
      <c r="AA52" s="13">
        <f>'TUSD BE'!$AA$52*'TUSD BE'!$AA$78</f>
        <v>0</v>
      </c>
      <c r="AB52" s="13">
        <f>SUM($U$52:$AA$52)</f>
        <v>-0.28170080256864544</v>
      </c>
      <c r="AC52" s="13">
        <f>'TUSD BE'!$AC$52*'TUSD BE'!$AC$78</f>
        <v>1.1853658647318919E-2</v>
      </c>
      <c r="AD52" s="13">
        <f>SUM($AC$52:$AC$52)</f>
        <v>1.1853658647318919E-2</v>
      </c>
      <c r="AE52" s="13">
        <f ca="1">$AO$52*$AO$75</f>
        <v>0</v>
      </c>
      <c r="AF52" s="13">
        <f ca="1">$AP$52*$AP$75</f>
        <v>0</v>
      </c>
      <c r="AG52" s="13">
        <f ca="1">SUM($AE$52:$AF$52)</f>
        <v>0</v>
      </c>
      <c r="AH52" s="13">
        <f>'TUSD BE'!$AH$52*'TUSD BE'!$AH$78</f>
        <v>10.920190337325092</v>
      </c>
      <c r="AI52" s="13">
        <f>'TUSD BE'!$AI$52*'TUSD BE'!$AI$78</f>
        <v>0.18925872471314215</v>
      </c>
      <c r="AJ52" s="13">
        <f ca="1">'TUSD BE'!$AJ$52*'TUSD BE'!$AJ$78</f>
        <v>0.75386565992479893</v>
      </c>
      <c r="AK52" s="13">
        <f ca="1">'TUSD BE'!$AK$52*'TUSD BE'!$AK$78</f>
        <v>-1.7241257166437356E-2</v>
      </c>
      <c r="AL52" s="13">
        <f ca="1">SUM($AH$52:$AK$52)</f>
        <v>11.846073464796595</v>
      </c>
      <c r="AM52" s="13">
        <f ca="1">SUMIF($L$4:$AL$4,"SUBTOTAL",$L$52:$AL$52)</f>
        <v>9.0252941883780977</v>
      </c>
      <c r="AO52" s="20">
        <f ca="1">+'TUSD BE'!$T$52+'TUSD BE'!$AB$52+'TUSD BE'!$AD$52+'TUSD BE'!$AL$52</f>
        <v>265.8441844967993</v>
      </c>
      <c r="AP52" s="20">
        <f ca="1">+'TUSD BE'!$T$52+'TUSD BE'!$AB$52+'TUSD BE'!$AD$52+'TUSD BE'!$AL$52</f>
        <v>265.8441844967993</v>
      </c>
    </row>
    <row r="53" spans="1:42" ht="11.25" customHeight="1" x14ac:dyDescent="0.3">
      <c r="A53" s="128"/>
      <c r="B53" s="17" t="s">
        <v>23</v>
      </c>
      <c r="C53" s="17" t="s">
        <v>45</v>
      </c>
      <c r="D53" s="17" t="s">
        <v>25</v>
      </c>
      <c r="E53" s="17" t="s">
        <v>25</v>
      </c>
      <c r="F53" s="17" t="s">
        <v>25</v>
      </c>
      <c r="G53" s="18" t="s">
        <v>84</v>
      </c>
      <c r="H53" s="18" t="s">
        <v>78</v>
      </c>
      <c r="I53" s="18">
        <f>'MERCADO TUSD'!$U$50</f>
        <v>3773.6869999999999</v>
      </c>
      <c r="J53" s="15"/>
      <c r="L53" s="13">
        <f>'TUSD BE'!$L$53*'TUSD BE'!$L$78</f>
        <v>-0.56348944178893323</v>
      </c>
      <c r="M53" s="13">
        <f>'TUSD BE'!$M$53*'TUSD BE'!$M$78</f>
        <v>-2.0658970226936097E-3</v>
      </c>
      <c r="N53" s="13">
        <f ca="1">'TUSD BE'!$N$53*'TUSD BE'!$N$78</f>
        <v>3.2442995957833044E-7</v>
      </c>
      <c r="O53" s="13">
        <f>'TUSD BE'!$O$53*'TUSD BE'!$O$78</f>
        <v>0</v>
      </c>
      <c r="P53" s="13">
        <f>'TUSD BE'!$P$53*'TUSD BE'!$P$78</f>
        <v>0</v>
      </c>
      <c r="Q53" s="13">
        <f>'TUSD BE'!$Q$53*'TUSD BE'!$Q$78</f>
        <v>-1.6095968681012454</v>
      </c>
      <c r="R53" s="13">
        <f>'TUSD BE'!$R$53*'TUSD BE'!$R$78</f>
        <v>-0.37578018258543827</v>
      </c>
      <c r="S53" s="13">
        <f>'TUSD BE'!$R$53*'TUSD BE'!$S$78</f>
        <v>0</v>
      </c>
      <c r="T53" s="13">
        <f ca="1">SUM($L$53:$S$53)</f>
        <v>-2.5509320650683507</v>
      </c>
      <c r="U53" s="13">
        <f>'TUSD BE'!$U$53*'TUSD BE'!$U$78</f>
        <v>-0.38740392314125843</v>
      </c>
      <c r="V53" s="13">
        <f>'TUSD BE'!$V$53*'TUSD BE'!$V$78</f>
        <v>-8.7071283954943249E-2</v>
      </c>
      <c r="W53" s="13">
        <f>'TUSD BE'!$W$53*'TUSD BE'!$W$78</f>
        <v>-2.9844390398367057E-3</v>
      </c>
      <c r="X53" s="13">
        <f>'TUSD BE'!$X$53*'TUSD BE'!$X$78</f>
        <v>0</v>
      </c>
      <c r="Y53" s="13">
        <f>'TUSD BE'!$Y$53*'TUSD BE'!$Y$78</f>
        <v>0</v>
      </c>
      <c r="Z53" s="13">
        <f>'TUSD BE'!$Z$53*'TUSD BE'!$Z$78</f>
        <v>0</v>
      </c>
      <c r="AA53" s="13">
        <f>'TUSD BE'!$AA$53*'TUSD BE'!$AA$78</f>
        <v>0</v>
      </c>
      <c r="AB53" s="13">
        <f>SUM($U$53:$AA$53)</f>
        <v>-0.47745964613603836</v>
      </c>
      <c r="AC53" s="13">
        <f>'TUSD BE'!$AC$53*'TUSD BE'!$AC$78</f>
        <v>2.0090940894072554E-2</v>
      </c>
      <c r="AD53" s="13">
        <f>SUM($AC$53:$AC$53)</f>
        <v>2.0090940894072554E-2</v>
      </c>
      <c r="AE53" s="13">
        <f ca="1">$AO$53*$AO$75</f>
        <v>0</v>
      </c>
      <c r="AF53" s="13">
        <f ca="1">$AP$53*$AP$75</f>
        <v>0</v>
      </c>
      <c r="AG53" s="13">
        <f ca="1">SUM($AE$53:$AF$53)</f>
        <v>0</v>
      </c>
      <c r="AH53" s="13">
        <f>'TUSD BE'!$AH$53*'TUSD BE'!$AH$78</f>
        <v>10.920190337325092</v>
      </c>
      <c r="AI53" s="13">
        <f>'TUSD BE'!$AI$53*'TUSD BE'!$AI$78</f>
        <v>0.18925872471314215</v>
      </c>
      <c r="AJ53" s="13">
        <f ca="1">'TUSD BE'!$AJ$53*'TUSD BE'!$AJ$78</f>
        <v>0.75386565992479893</v>
      </c>
      <c r="AK53" s="13">
        <f ca="1">'TUSD BE'!$AK$53*'TUSD BE'!$AK$78</f>
        <v>-1.7241257166437356E-2</v>
      </c>
      <c r="AL53" s="13">
        <f ca="1">SUM($AH$53:$AK$53)</f>
        <v>11.846073464796595</v>
      </c>
      <c r="AM53" s="13">
        <f ca="1">SUMIF($L$4:$AL$4,"SUBTOTAL",$L$53:$AL$53)</f>
        <v>8.8377726944862776</v>
      </c>
      <c r="AO53" s="20">
        <f ca="1">+'TUSD BE'!$T$53+'TUSD BE'!$AB$53+'TUSD BE'!$AD$53+'TUSD BE'!$AL$53</f>
        <v>356.4462800994238</v>
      </c>
      <c r="AP53" s="20">
        <f ca="1">+'TUSD BE'!$T$53+'TUSD BE'!$AB$53+'TUSD BE'!$AD$53+'TUSD BE'!$AL$53</f>
        <v>356.4462800994238</v>
      </c>
    </row>
    <row r="54" spans="1:42" ht="11.25" customHeight="1" x14ac:dyDescent="0.3">
      <c r="A54" s="128"/>
      <c r="B54" s="128" t="s">
        <v>33</v>
      </c>
      <c r="C54" s="128" t="s">
        <v>45</v>
      </c>
      <c r="D54" s="128" t="s">
        <v>93</v>
      </c>
      <c r="E54" s="128" t="s">
        <v>25</v>
      </c>
      <c r="F54" s="128" t="s">
        <v>25</v>
      </c>
      <c r="G54" s="18" t="s">
        <v>79</v>
      </c>
      <c r="H54" s="18" t="s">
        <v>78</v>
      </c>
      <c r="I54" s="18">
        <f>'MERCADO TUSD'!$U$51</f>
        <v>0</v>
      </c>
      <c r="J54" s="15"/>
      <c r="L54" s="13">
        <f>'TUSD BE'!$L$54*'TUSD BE'!$L$78</f>
        <v>-0.56348944178893323</v>
      </c>
      <c r="M54" s="13">
        <f>'TUSD BE'!$M$54*'TUSD BE'!$M$78</f>
        <v>-2.0658970226936097E-3</v>
      </c>
      <c r="N54" s="13">
        <f ca="1">'TUSD BE'!$N$54*'TUSD BE'!$N$78</f>
        <v>6.4512806459150336E-7</v>
      </c>
      <c r="O54" s="13">
        <f>'TUSD BE'!$O$54*'TUSD BE'!$O$78</f>
        <v>0</v>
      </c>
      <c r="P54" s="13">
        <f>'TUSD BE'!$P$54*'TUSD BE'!$P$78</f>
        <v>0</v>
      </c>
      <c r="Q54" s="13">
        <f>'TUSD BE'!$Q$54*'TUSD BE'!$Q$78</f>
        <v>-1.6095968681012454</v>
      </c>
      <c r="R54" s="13">
        <f>'TUSD BE'!$R$54*'TUSD BE'!$R$78</f>
        <v>-0.37578018258543827</v>
      </c>
      <c r="S54" s="13">
        <f>'TUSD BE'!$R$54*'TUSD BE'!$S$78</f>
        <v>0</v>
      </c>
      <c r="T54" s="13">
        <f ca="1">SUM($L$54:$S$54)</f>
        <v>-2.5509317443702457</v>
      </c>
      <c r="U54" s="13">
        <f>'TUSD BE'!$U$54*'TUSD BE'!$U$78</f>
        <v>-1.142842347176823</v>
      </c>
      <c r="V54" s="13">
        <f>'TUSD BE'!$V$54*'TUSD BE'!$V$78</f>
        <v>-0.25686011239576745</v>
      </c>
      <c r="W54" s="13">
        <f>'TUSD BE'!$W$54*'TUSD BE'!$W$78</f>
        <v>-8.8038374439397115E-3</v>
      </c>
      <c r="X54" s="13">
        <f>'TUSD BE'!$X$54*'TUSD BE'!$X$78</f>
        <v>0</v>
      </c>
      <c r="Y54" s="13">
        <f>'TUSD BE'!$Y$54*'TUSD BE'!$Y$78</f>
        <v>0</v>
      </c>
      <c r="Z54" s="13">
        <f>'TUSD BE'!$Z$54*'TUSD BE'!$Z$78</f>
        <v>0</v>
      </c>
      <c r="AA54" s="13">
        <f>'TUSD BE'!$AA$54*'TUSD BE'!$AA$78</f>
        <v>0</v>
      </c>
      <c r="AB54" s="13">
        <f>SUM($U$54:$AA$54)</f>
        <v>-1.4085062970165301</v>
      </c>
      <c r="AC54" s="13">
        <f>'TUSD BE'!$AC$54*'TUSD BE'!$AC$78</f>
        <v>5.9268293236594591E-2</v>
      </c>
      <c r="AD54" s="13">
        <f>SUM($AC$54:$AC$54)</f>
        <v>5.9268293236594591E-2</v>
      </c>
      <c r="AE54" s="13">
        <f ca="1">$AO$54*$AO$75</f>
        <v>0</v>
      </c>
      <c r="AF54" s="13">
        <f ca="1">$AP$54*$AP$75</f>
        <v>0</v>
      </c>
      <c r="AG54" s="13">
        <f ca="1">SUM($AE$54:$AF$54)</f>
        <v>0</v>
      </c>
      <c r="AH54" s="13">
        <f>'TUSD BE'!$AH$54*'TUSD BE'!$AH$78</f>
        <v>10.920190337325092</v>
      </c>
      <c r="AI54" s="13">
        <f>'TUSD BE'!$AI$54*'TUSD BE'!$AI$78</f>
        <v>0.18925872471314215</v>
      </c>
      <c r="AJ54" s="13">
        <f ca="1">'TUSD BE'!$AJ$54*'TUSD BE'!$AJ$78</f>
        <v>0.75386565992479893</v>
      </c>
      <c r="AK54" s="13">
        <f ca="1">'TUSD BE'!$AK$54*'TUSD BE'!$AK$78</f>
        <v>-1.7241257166437356E-2</v>
      </c>
      <c r="AL54" s="13">
        <f ca="1">SUM($AH$54:$AK$54)</f>
        <v>11.846073464796595</v>
      </c>
      <c r="AM54" s="13">
        <f ca="1">SUMIF($L$4:$AL$4,"SUBTOTAL",$L$54:$AL$54)</f>
        <v>7.9459037166464128</v>
      </c>
      <c r="AO54" s="20">
        <f ca="1">+'TUSD BE'!$T$54+'TUSD BE'!$AB$54+'TUSD BE'!$AD$54+'TUSD BE'!$AL$54</f>
        <v>787.35865020901031</v>
      </c>
      <c r="AP54" s="20">
        <f ca="1">+'TUSD BE'!$T$54+'TUSD BE'!$AB$54+'TUSD BE'!$AD$54+'TUSD BE'!$AL$54</f>
        <v>787.35865020901031</v>
      </c>
    </row>
    <row r="55" spans="1:42" ht="11.25" customHeight="1" x14ac:dyDescent="0.3">
      <c r="A55" s="128"/>
      <c r="B55" s="128"/>
      <c r="C55" s="128"/>
      <c r="D55" s="128"/>
      <c r="E55" s="128"/>
      <c r="F55" s="128"/>
      <c r="G55" s="18" t="s">
        <v>90</v>
      </c>
      <c r="H55" s="18" t="s">
        <v>78</v>
      </c>
      <c r="I55" s="18">
        <f>'MERCADO TUSD'!$U$52</f>
        <v>0</v>
      </c>
      <c r="J55" s="15"/>
      <c r="L55" s="13">
        <f>'TUSD BE'!$L$55*'TUSD BE'!$L$78</f>
        <v>-0.56348944178893323</v>
      </c>
      <c r="M55" s="13">
        <f>'TUSD BE'!$M$55*'TUSD BE'!$M$78</f>
        <v>-2.0658970226936097E-3</v>
      </c>
      <c r="N55" s="13">
        <f ca="1">'TUSD BE'!$N$55*'TUSD BE'!$N$78</f>
        <v>4.5106460268197813E-7</v>
      </c>
      <c r="O55" s="13">
        <f>'TUSD BE'!$O$55*'TUSD BE'!$O$78</f>
        <v>0</v>
      </c>
      <c r="P55" s="13">
        <f>'TUSD BE'!$P$55*'TUSD BE'!$P$78</f>
        <v>0</v>
      </c>
      <c r="Q55" s="13">
        <f>'TUSD BE'!$Q$55*'TUSD BE'!$Q$78</f>
        <v>-1.6095968681012454</v>
      </c>
      <c r="R55" s="13">
        <f>'TUSD BE'!$R$55*'TUSD BE'!$R$78</f>
        <v>-0.37578018258543827</v>
      </c>
      <c r="S55" s="13">
        <f>'TUSD BE'!$R$55*'TUSD BE'!$S$78</f>
        <v>0</v>
      </c>
      <c r="T55" s="13">
        <f ca="1">SUM($L$55:$S$55)</f>
        <v>-2.5509319384337079</v>
      </c>
      <c r="U55" s="13">
        <f>'TUSD BE'!$U$55*'TUSD BE'!$U$78</f>
        <v>-0.68570602743418219</v>
      </c>
      <c r="V55" s="13">
        <f>'TUSD BE'!$V$55*'TUSD BE'!$V$78</f>
        <v>-0.15411606743746048</v>
      </c>
      <c r="W55" s="13">
        <f>'TUSD BE'!$W$55*'TUSD BE'!$W$78</f>
        <v>-5.2818606545148505E-3</v>
      </c>
      <c r="X55" s="13">
        <f>'TUSD BE'!$X$55*'TUSD BE'!$X$78</f>
        <v>0</v>
      </c>
      <c r="Y55" s="13">
        <f>'TUSD BE'!$Y$55*'TUSD BE'!$Y$78</f>
        <v>0</v>
      </c>
      <c r="Z55" s="13">
        <f>'TUSD BE'!$Z$55*'TUSD BE'!$Z$78</f>
        <v>0</v>
      </c>
      <c r="AA55" s="13">
        <f>'TUSD BE'!$AA$55*'TUSD BE'!$AA$78</f>
        <v>0</v>
      </c>
      <c r="AB55" s="13">
        <f>SUM($U$55:$AA$55)</f>
        <v>-0.84510395552615747</v>
      </c>
      <c r="AC55" s="13">
        <f>'TUSD BE'!$AC$55*'TUSD BE'!$AC$78</f>
        <v>3.5560975941956757E-2</v>
      </c>
      <c r="AD55" s="13">
        <f>SUM($AC$55:$AC$55)</f>
        <v>3.5560975941956757E-2</v>
      </c>
      <c r="AE55" s="13">
        <f ca="1">$AO$55*$AO$75</f>
        <v>0</v>
      </c>
      <c r="AF55" s="13">
        <f ca="1">$AP$55*$AP$75</f>
        <v>0</v>
      </c>
      <c r="AG55" s="13">
        <f ca="1">SUM($AE$55:$AF$55)</f>
        <v>0</v>
      </c>
      <c r="AH55" s="13">
        <f>'TUSD BE'!$AH$55*'TUSD BE'!$AH$78</f>
        <v>10.920190337325092</v>
      </c>
      <c r="AI55" s="13">
        <f>'TUSD BE'!$AI$55*'TUSD BE'!$AI$78</f>
        <v>0.18925872471314215</v>
      </c>
      <c r="AJ55" s="13">
        <f ca="1">'TUSD BE'!$AJ$55*'TUSD BE'!$AJ$78</f>
        <v>0.75386565992479893</v>
      </c>
      <c r="AK55" s="13">
        <f ca="1">'TUSD BE'!$AK$55*'TUSD BE'!$AK$78</f>
        <v>-1.7241257166437356E-2</v>
      </c>
      <c r="AL55" s="13">
        <f ca="1">SUM($AH$55:$AK$55)</f>
        <v>11.846073464796595</v>
      </c>
      <c r="AM55" s="13">
        <f ca="1">SUMIF($L$4:$AL$4,"SUBTOTAL",$L$55:$AL$55)</f>
        <v>8.4855985467786859</v>
      </c>
      <c r="AO55" s="20">
        <f ca="1">+'TUSD BE'!$T$55+'TUSD BE'!$AB$55+'TUSD BE'!$AD$55+'TUSD BE'!$AL$55</f>
        <v>526.60136775230944</v>
      </c>
      <c r="AP55" s="20">
        <f ca="1">+'TUSD BE'!$T$55+'TUSD BE'!$AB$55+'TUSD BE'!$AD$55+'TUSD BE'!$AL$55</f>
        <v>526.60136775230944</v>
      </c>
    </row>
    <row r="56" spans="1:42" ht="11.25" customHeight="1" x14ac:dyDescent="0.3">
      <c r="A56" s="128"/>
      <c r="B56" s="128"/>
      <c r="C56" s="128"/>
      <c r="D56" s="128"/>
      <c r="E56" s="128"/>
      <c r="F56" s="128"/>
      <c r="G56" s="18" t="s">
        <v>80</v>
      </c>
      <c r="H56" s="18" t="s">
        <v>78</v>
      </c>
      <c r="I56" s="18">
        <f>'MERCADO TUSD'!$U$53</f>
        <v>0</v>
      </c>
      <c r="J56" s="15"/>
      <c r="L56" s="13">
        <f>'TUSD BE'!$L$56*'TUSD BE'!$L$78</f>
        <v>-0.56348944178893323</v>
      </c>
      <c r="M56" s="13">
        <f>'TUSD BE'!$M$56*'TUSD BE'!$M$78</f>
        <v>-2.0658970226936097E-3</v>
      </c>
      <c r="N56" s="13">
        <f ca="1">'TUSD BE'!$N$56*'TUSD BE'!$N$78</f>
        <v>2.5700114077245296E-7</v>
      </c>
      <c r="O56" s="13">
        <f>'TUSD BE'!$O$56*'TUSD BE'!$O$78</f>
        <v>0</v>
      </c>
      <c r="P56" s="13">
        <f>'TUSD BE'!$P$56*'TUSD BE'!$P$78</f>
        <v>0</v>
      </c>
      <c r="Q56" s="13">
        <f>'TUSD BE'!$Q$56*'TUSD BE'!$Q$78</f>
        <v>-1.6095968681012454</v>
      </c>
      <c r="R56" s="13">
        <f>'TUSD BE'!$R$56*'TUSD BE'!$R$78</f>
        <v>-0.37578018258543827</v>
      </c>
      <c r="S56" s="13">
        <f>'TUSD BE'!$R$56*'TUSD BE'!$S$78</f>
        <v>0</v>
      </c>
      <c r="T56" s="13">
        <f ca="1">SUM($L$56:$S$56)</f>
        <v>-2.5509321324971697</v>
      </c>
      <c r="U56" s="13">
        <f>'TUSD BE'!$U$56*'TUSD BE'!$U$78</f>
        <v>-0.22856815987132034</v>
      </c>
      <c r="V56" s="13">
        <f>'TUSD BE'!$V$56*'TUSD BE'!$V$78</f>
        <v>-5.1372022479153477E-2</v>
      </c>
      <c r="W56" s="13">
        <f>'TUSD BE'!$W$56*'TUSD BE'!$W$78</f>
        <v>-1.7606202181716169E-3</v>
      </c>
      <c r="X56" s="13">
        <f>'TUSD BE'!$X$56*'TUSD BE'!$X$78</f>
        <v>0</v>
      </c>
      <c r="Y56" s="13">
        <f>'TUSD BE'!$Y$56*'TUSD BE'!$Y$78</f>
        <v>0</v>
      </c>
      <c r="Z56" s="13">
        <f>'TUSD BE'!$Z$56*'TUSD BE'!$Z$78</f>
        <v>0</v>
      </c>
      <c r="AA56" s="13">
        <f>'TUSD BE'!$AA$56*'TUSD BE'!$AA$78</f>
        <v>0</v>
      </c>
      <c r="AB56" s="13">
        <f>SUM($U$56:$AA$56)</f>
        <v>-0.28170080256864544</v>
      </c>
      <c r="AC56" s="13">
        <f>'TUSD BE'!$AC$56*'TUSD BE'!$AC$78</f>
        <v>1.1853658647318919E-2</v>
      </c>
      <c r="AD56" s="13">
        <f>SUM($AC$56:$AC$56)</f>
        <v>1.1853658647318919E-2</v>
      </c>
      <c r="AE56" s="13">
        <f ca="1">$AO$56*$AO$75</f>
        <v>0</v>
      </c>
      <c r="AF56" s="13">
        <f ca="1">$AP$56*$AP$75</f>
        <v>0</v>
      </c>
      <c r="AG56" s="13">
        <f ca="1">SUM($AE$56:$AF$56)</f>
        <v>0</v>
      </c>
      <c r="AH56" s="13">
        <f>'TUSD BE'!$AH$56*'TUSD BE'!$AH$78</f>
        <v>10.920190337325092</v>
      </c>
      <c r="AI56" s="13">
        <f>'TUSD BE'!$AI$56*'TUSD BE'!$AI$78</f>
        <v>0.18925872471314215</v>
      </c>
      <c r="AJ56" s="13">
        <f ca="1">'TUSD BE'!$AJ$56*'TUSD BE'!$AJ$78</f>
        <v>0.75386565992479893</v>
      </c>
      <c r="AK56" s="13">
        <f ca="1">'TUSD BE'!$AK$56*'TUSD BE'!$AK$78</f>
        <v>-1.7241257166437356E-2</v>
      </c>
      <c r="AL56" s="13">
        <f ca="1">SUM($AH$56:$AK$56)</f>
        <v>11.846073464796595</v>
      </c>
      <c r="AM56" s="13">
        <f ca="1">SUMIF($L$4:$AL$4,"SUBTOTAL",$L$56:$AL$56)</f>
        <v>9.0252941883780977</v>
      </c>
      <c r="AO56" s="20">
        <f ca="1">+'TUSD BE'!$T$56+'TUSD BE'!$AB$56+'TUSD BE'!$AD$56+'TUSD BE'!$AL$56</f>
        <v>265.8441844967993</v>
      </c>
      <c r="AP56" s="20">
        <f ca="1">+'TUSD BE'!$T$56+'TUSD BE'!$AB$56+'TUSD BE'!$AD$56+'TUSD BE'!$AL$56</f>
        <v>265.8441844967993</v>
      </c>
    </row>
    <row r="57" spans="1:42" ht="11.25" customHeight="1" x14ac:dyDescent="0.3">
      <c r="A57" s="128"/>
      <c r="B57" s="17" t="s">
        <v>23</v>
      </c>
      <c r="C57" s="17" t="s">
        <v>45</v>
      </c>
      <c r="D57" s="17" t="s">
        <v>93</v>
      </c>
      <c r="E57" s="17" t="s">
        <v>25</v>
      </c>
      <c r="F57" s="17" t="s">
        <v>25</v>
      </c>
      <c r="G57" s="18" t="s">
        <v>84</v>
      </c>
      <c r="H57" s="18" t="s">
        <v>78</v>
      </c>
      <c r="I57" s="18">
        <f>'MERCADO TUSD'!$U$54</f>
        <v>0</v>
      </c>
      <c r="J57" s="15"/>
      <c r="L57" s="13">
        <f>'TUSD BE'!$L$57*'TUSD BE'!$L$78</f>
        <v>-0.56348944178893323</v>
      </c>
      <c r="M57" s="13">
        <f>'TUSD BE'!$M$57*'TUSD BE'!$M$78</f>
        <v>-2.0658970226936097E-3</v>
      </c>
      <c r="N57" s="13">
        <f ca="1">'TUSD BE'!$N$57*'TUSD BE'!$N$78</f>
        <v>3.2442995957833044E-7</v>
      </c>
      <c r="O57" s="13">
        <f>'TUSD BE'!$O$57*'TUSD BE'!$O$78</f>
        <v>0</v>
      </c>
      <c r="P57" s="13">
        <f>'TUSD BE'!$P$57*'TUSD BE'!$P$78</f>
        <v>0</v>
      </c>
      <c r="Q57" s="13">
        <f>'TUSD BE'!$Q$57*'TUSD BE'!$Q$78</f>
        <v>-1.6095968681012454</v>
      </c>
      <c r="R57" s="13">
        <f>'TUSD BE'!$R$57*'TUSD BE'!$R$78</f>
        <v>-0.37578018258543827</v>
      </c>
      <c r="S57" s="13">
        <f>'TUSD BE'!$R$57*'TUSD BE'!$S$78</f>
        <v>0</v>
      </c>
      <c r="T57" s="13">
        <f ca="1">SUM($L$57:$S$57)</f>
        <v>-2.5509320650683507</v>
      </c>
      <c r="U57" s="13">
        <f>'TUSD BE'!$U$57*'TUSD BE'!$U$78</f>
        <v>-0.38740392314125843</v>
      </c>
      <c r="V57" s="13">
        <f>'TUSD BE'!$V$57*'TUSD BE'!$V$78</f>
        <v>-8.7071283954943249E-2</v>
      </c>
      <c r="W57" s="13">
        <f>'TUSD BE'!$W$57*'TUSD BE'!$W$78</f>
        <v>-2.9844390398367057E-3</v>
      </c>
      <c r="X57" s="13">
        <f>'TUSD BE'!$X$57*'TUSD BE'!$X$78</f>
        <v>0</v>
      </c>
      <c r="Y57" s="13">
        <f>'TUSD BE'!$Y$57*'TUSD BE'!$Y$78</f>
        <v>0</v>
      </c>
      <c r="Z57" s="13">
        <f>'TUSD BE'!$Z$57*'TUSD BE'!$Z$78</f>
        <v>0</v>
      </c>
      <c r="AA57" s="13">
        <f>'TUSD BE'!$AA$57*'TUSD BE'!$AA$78</f>
        <v>0</v>
      </c>
      <c r="AB57" s="13">
        <f>SUM($U$57:$AA$57)</f>
        <v>-0.47745964613603836</v>
      </c>
      <c r="AC57" s="13">
        <f>'TUSD BE'!$AC$57*'TUSD BE'!$AC$78</f>
        <v>2.0090940894072554E-2</v>
      </c>
      <c r="AD57" s="13">
        <f>SUM($AC$57:$AC$57)</f>
        <v>2.0090940894072554E-2</v>
      </c>
      <c r="AE57" s="13">
        <f ca="1">$AO$57*$AO$75</f>
        <v>0</v>
      </c>
      <c r="AF57" s="13">
        <f ca="1">$AP$57*$AP$75</f>
        <v>0</v>
      </c>
      <c r="AG57" s="13">
        <f ca="1">SUM($AE$57:$AF$57)</f>
        <v>0</v>
      </c>
      <c r="AH57" s="13">
        <f>'TUSD BE'!$AH$57*'TUSD BE'!$AH$78</f>
        <v>10.920190337325092</v>
      </c>
      <c r="AI57" s="13">
        <f>'TUSD BE'!$AI$57*'TUSD BE'!$AI$78</f>
        <v>0.18925872471314215</v>
      </c>
      <c r="AJ57" s="13">
        <f ca="1">'TUSD BE'!$AJ$57*'TUSD BE'!$AJ$78</f>
        <v>0.75386565992479893</v>
      </c>
      <c r="AK57" s="13">
        <f ca="1">'TUSD BE'!$AK$57*'TUSD BE'!$AK$78</f>
        <v>-1.7241257166437356E-2</v>
      </c>
      <c r="AL57" s="13">
        <f ca="1">SUM($AH$57:$AK$57)</f>
        <v>11.846073464796595</v>
      </c>
      <c r="AM57" s="13">
        <f ca="1">SUMIF($L$4:$AL$4,"SUBTOTAL",$L$57:$AL$57)</f>
        <v>8.8377726944862776</v>
      </c>
      <c r="AO57" s="20">
        <f ca="1">+'TUSD BE'!$T$57+'TUSD BE'!$AB$57+'TUSD BE'!$AD$57+'TUSD BE'!$AL$57</f>
        <v>356.4462800994238</v>
      </c>
      <c r="AP57" s="20">
        <f ca="1">+'TUSD BE'!$T$57+'TUSD BE'!$AB$57+'TUSD BE'!$AD$57+'TUSD BE'!$AL$57</f>
        <v>356.4462800994238</v>
      </c>
    </row>
    <row r="58" spans="1:42" ht="11.25" customHeight="1" x14ac:dyDescent="0.3">
      <c r="A58" s="128"/>
      <c r="B58" s="128" t="s">
        <v>33</v>
      </c>
      <c r="C58" s="128" t="s">
        <v>45</v>
      </c>
      <c r="D58" s="128" t="s">
        <v>94</v>
      </c>
      <c r="E58" s="128" t="s">
        <v>25</v>
      </c>
      <c r="F58" s="128" t="s">
        <v>25</v>
      </c>
      <c r="G58" s="18" t="s">
        <v>79</v>
      </c>
      <c r="H58" s="18" t="s">
        <v>78</v>
      </c>
      <c r="I58" s="18">
        <f>'MERCADO TUSD'!$U$55</f>
        <v>0</v>
      </c>
      <c r="J58" s="15"/>
      <c r="L58" s="13">
        <f>'TUSD BE'!$L$58*'TUSD BE'!$L$78</f>
        <v>-0.56348944178893323</v>
      </c>
      <c r="M58" s="13">
        <f>'TUSD BE'!$M$58*'TUSD BE'!$M$78</f>
        <v>-2.0658970226936097E-3</v>
      </c>
      <c r="N58" s="13">
        <f ca="1">'TUSD BE'!$N$58*'TUSD BE'!$N$78</f>
        <v>6.4512806459150336E-7</v>
      </c>
      <c r="O58" s="13">
        <f>'TUSD BE'!$O$58*'TUSD BE'!$O$78</f>
        <v>0</v>
      </c>
      <c r="P58" s="13">
        <f>'TUSD BE'!$P$58*'TUSD BE'!$P$78</f>
        <v>0</v>
      </c>
      <c r="Q58" s="13">
        <f>'TUSD BE'!$Q$58*'TUSD BE'!$Q$78</f>
        <v>-1.6095968681012454</v>
      </c>
      <c r="R58" s="13">
        <f>'TUSD BE'!$R$58*'TUSD BE'!$R$78</f>
        <v>-0.37578018258543827</v>
      </c>
      <c r="S58" s="13">
        <f>'TUSD BE'!$R$58*'TUSD BE'!$S$78</f>
        <v>0</v>
      </c>
      <c r="T58" s="13">
        <f ca="1">SUM($L$58:$S$58)</f>
        <v>-2.5509317443702457</v>
      </c>
      <c r="U58" s="13">
        <f>'TUSD BE'!$U$58*'TUSD BE'!$U$78</f>
        <v>-1.142842347176823</v>
      </c>
      <c r="V58" s="13">
        <f>'TUSD BE'!$V$58*'TUSD BE'!$V$78</f>
        <v>-0.25686011239576745</v>
      </c>
      <c r="W58" s="13">
        <f>'TUSD BE'!$W$58*'TUSD BE'!$W$78</f>
        <v>-8.8038374439397115E-3</v>
      </c>
      <c r="X58" s="13">
        <f>'TUSD BE'!$X$58*'TUSD BE'!$X$78</f>
        <v>0</v>
      </c>
      <c r="Y58" s="13">
        <f>'TUSD BE'!$Y$58*'TUSD BE'!$Y$78</f>
        <v>0</v>
      </c>
      <c r="Z58" s="13">
        <f>'TUSD BE'!$Z$58*'TUSD BE'!$Z$78</f>
        <v>0</v>
      </c>
      <c r="AA58" s="13">
        <f>'TUSD BE'!$AA$58*'TUSD BE'!$AA$78</f>
        <v>0</v>
      </c>
      <c r="AB58" s="13">
        <f>SUM($U$58:$AA$58)</f>
        <v>-1.4085062970165301</v>
      </c>
      <c r="AC58" s="13">
        <f>'TUSD BE'!$AC$58*'TUSD BE'!$AC$78</f>
        <v>5.9268293236594591E-2</v>
      </c>
      <c r="AD58" s="13">
        <f>SUM($AC$58:$AC$58)</f>
        <v>5.9268293236594591E-2</v>
      </c>
      <c r="AE58" s="13">
        <f ca="1">$AO$58*$AO$75</f>
        <v>0</v>
      </c>
      <c r="AF58" s="13">
        <f ca="1">$AP$58*$AP$75</f>
        <v>0</v>
      </c>
      <c r="AG58" s="13">
        <f ca="1">SUM($AE$58:$AF$58)</f>
        <v>0</v>
      </c>
      <c r="AH58" s="13">
        <f>'TUSD BE'!$AH$58*'TUSD BE'!$AH$78</f>
        <v>10.920190337325092</v>
      </c>
      <c r="AI58" s="13">
        <f>'TUSD BE'!$AI$58*'TUSD BE'!$AI$78</f>
        <v>0.18925872471314215</v>
      </c>
      <c r="AJ58" s="13">
        <f ca="1">'TUSD BE'!$AJ$58*'TUSD BE'!$AJ$78</f>
        <v>0.75386565992479893</v>
      </c>
      <c r="AK58" s="13">
        <f ca="1">'TUSD BE'!$AK$58*'TUSD BE'!$AK$78</f>
        <v>-1.7241257166437356E-2</v>
      </c>
      <c r="AL58" s="13">
        <f ca="1">SUM($AH$58:$AK$58)</f>
        <v>11.846073464796595</v>
      </c>
      <c r="AM58" s="13">
        <f ca="1">SUMIF($L$4:$AL$4,"SUBTOTAL",$L$58:$AL$58)</f>
        <v>7.9459037166464128</v>
      </c>
      <c r="AO58" s="20">
        <f ca="1">+'TUSD BE'!$T$58+'TUSD BE'!$AB$58+'TUSD BE'!$AD$58+'TUSD BE'!$AL$58</f>
        <v>787.35865020901031</v>
      </c>
      <c r="AP58" s="20">
        <f ca="1">+'TUSD BE'!$T$58+'TUSD BE'!$AB$58+'TUSD BE'!$AD$58+'TUSD BE'!$AL$58</f>
        <v>787.35865020901031</v>
      </c>
    </row>
    <row r="59" spans="1:42" ht="11.25" customHeight="1" x14ac:dyDescent="0.3">
      <c r="A59" s="128"/>
      <c r="B59" s="128"/>
      <c r="C59" s="128"/>
      <c r="D59" s="128"/>
      <c r="E59" s="128"/>
      <c r="F59" s="128"/>
      <c r="G59" s="18" t="s">
        <v>90</v>
      </c>
      <c r="H59" s="18" t="s">
        <v>78</v>
      </c>
      <c r="I59" s="18">
        <f>'MERCADO TUSD'!$U$56</f>
        <v>0</v>
      </c>
      <c r="J59" s="15"/>
      <c r="L59" s="13">
        <f>'TUSD BE'!$L$59*'TUSD BE'!$L$78</f>
        <v>-0.56348944178893323</v>
      </c>
      <c r="M59" s="13">
        <f>'TUSD BE'!$M$59*'TUSD BE'!$M$78</f>
        <v>-2.0658970226936097E-3</v>
      </c>
      <c r="N59" s="13">
        <f ca="1">'TUSD BE'!$N$59*'TUSD BE'!$N$78</f>
        <v>4.5106460268197813E-7</v>
      </c>
      <c r="O59" s="13">
        <f>'TUSD BE'!$O$59*'TUSD BE'!$O$78</f>
        <v>0</v>
      </c>
      <c r="P59" s="13">
        <f>'TUSD BE'!$P$59*'TUSD BE'!$P$78</f>
        <v>0</v>
      </c>
      <c r="Q59" s="13">
        <f>'TUSD BE'!$Q$59*'TUSD BE'!$Q$78</f>
        <v>-1.6095968681012454</v>
      </c>
      <c r="R59" s="13">
        <f>'TUSD BE'!$R$59*'TUSD BE'!$R$78</f>
        <v>-0.37578018258543827</v>
      </c>
      <c r="S59" s="13">
        <f>'TUSD BE'!$R$59*'TUSD BE'!$S$78</f>
        <v>0</v>
      </c>
      <c r="T59" s="13">
        <f ca="1">SUM($L$59:$S$59)</f>
        <v>-2.5509319384337079</v>
      </c>
      <c r="U59" s="13">
        <f>'TUSD BE'!$U$59*'TUSD BE'!$U$78</f>
        <v>-0.68570602743418219</v>
      </c>
      <c r="V59" s="13">
        <f>'TUSD BE'!$V$59*'TUSD BE'!$V$78</f>
        <v>-0.15411606743746048</v>
      </c>
      <c r="W59" s="13">
        <f>'TUSD BE'!$W$59*'TUSD BE'!$W$78</f>
        <v>-5.2818606545148505E-3</v>
      </c>
      <c r="X59" s="13">
        <f>'TUSD BE'!$X$59*'TUSD BE'!$X$78</f>
        <v>0</v>
      </c>
      <c r="Y59" s="13">
        <f>'TUSD BE'!$Y$59*'TUSD BE'!$Y$78</f>
        <v>0</v>
      </c>
      <c r="Z59" s="13">
        <f>'TUSD BE'!$Z$59*'TUSD BE'!$Z$78</f>
        <v>0</v>
      </c>
      <c r="AA59" s="13">
        <f>'TUSD BE'!$AA$59*'TUSD BE'!$AA$78</f>
        <v>0</v>
      </c>
      <c r="AB59" s="13">
        <f>SUM($U$59:$AA$59)</f>
        <v>-0.84510395552615747</v>
      </c>
      <c r="AC59" s="13">
        <f>'TUSD BE'!$AC$59*'TUSD BE'!$AC$78</f>
        <v>3.5560975941956757E-2</v>
      </c>
      <c r="AD59" s="13">
        <f>SUM($AC$59:$AC$59)</f>
        <v>3.5560975941956757E-2</v>
      </c>
      <c r="AE59" s="13">
        <f ca="1">$AO$59*$AO$75</f>
        <v>0</v>
      </c>
      <c r="AF59" s="13">
        <f ca="1">$AP$59*$AP$75</f>
        <v>0</v>
      </c>
      <c r="AG59" s="13">
        <f ca="1">SUM($AE$59:$AF$59)</f>
        <v>0</v>
      </c>
      <c r="AH59" s="13">
        <f>'TUSD BE'!$AH$59*'TUSD BE'!$AH$78</f>
        <v>10.920190337325092</v>
      </c>
      <c r="AI59" s="13">
        <f>'TUSD BE'!$AI$59*'TUSD BE'!$AI$78</f>
        <v>0.18925872471314215</v>
      </c>
      <c r="AJ59" s="13">
        <f ca="1">'TUSD BE'!$AJ$59*'TUSD BE'!$AJ$78</f>
        <v>0.75386565992479893</v>
      </c>
      <c r="AK59" s="13">
        <f ca="1">'TUSD BE'!$AK$59*'TUSD BE'!$AK$78</f>
        <v>-1.7241257166437356E-2</v>
      </c>
      <c r="AL59" s="13">
        <f ca="1">SUM($AH$59:$AK$59)</f>
        <v>11.846073464796595</v>
      </c>
      <c r="AM59" s="13">
        <f ca="1">SUMIF($L$4:$AL$4,"SUBTOTAL",$L$59:$AL$59)</f>
        <v>8.4855985467786859</v>
      </c>
      <c r="AO59" s="20">
        <f ca="1">+'TUSD BE'!$T$59+'TUSD BE'!$AB$59+'TUSD BE'!$AD$59+'TUSD BE'!$AL$59</f>
        <v>526.60136775230944</v>
      </c>
      <c r="AP59" s="20">
        <f ca="1">+'TUSD BE'!$T$59+'TUSD BE'!$AB$59+'TUSD BE'!$AD$59+'TUSD BE'!$AL$59</f>
        <v>526.60136775230944</v>
      </c>
    </row>
    <row r="60" spans="1:42" ht="11.25" customHeight="1" x14ac:dyDescent="0.3">
      <c r="A60" s="128"/>
      <c r="B60" s="128"/>
      <c r="C60" s="128"/>
      <c r="D60" s="128"/>
      <c r="E60" s="128"/>
      <c r="F60" s="128"/>
      <c r="G60" s="18" t="s">
        <v>80</v>
      </c>
      <c r="H60" s="18" t="s">
        <v>78</v>
      </c>
      <c r="I60" s="18">
        <f>'MERCADO TUSD'!$U$57</f>
        <v>0</v>
      </c>
      <c r="J60" s="15"/>
      <c r="L60" s="13">
        <f>'TUSD BE'!$L$60*'TUSD BE'!$L$78</f>
        <v>-0.56348944178893323</v>
      </c>
      <c r="M60" s="13">
        <f>'TUSD BE'!$M$60*'TUSD BE'!$M$78</f>
        <v>-2.0658970226936097E-3</v>
      </c>
      <c r="N60" s="13">
        <f ca="1">'TUSD BE'!$N$60*'TUSD BE'!$N$78</f>
        <v>2.5700114077245296E-7</v>
      </c>
      <c r="O60" s="13">
        <f>'TUSD BE'!$O$60*'TUSD BE'!$O$78</f>
        <v>0</v>
      </c>
      <c r="P60" s="13">
        <f>'TUSD BE'!$P$60*'TUSD BE'!$P$78</f>
        <v>0</v>
      </c>
      <c r="Q60" s="13">
        <f>'TUSD BE'!$Q$60*'TUSD BE'!$Q$78</f>
        <v>-1.6095968681012454</v>
      </c>
      <c r="R60" s="13">
        <f>'TUSD BE'!$R$60*'TUSD BE'!$R$78</f>
        <v>-0.37578018258543827</v>
      </c>
      <c r="S60" s="13">
        <f>'TUSD BE'!$R$60*'TUSD BE'!$S$78</f>
        <v>0</v>
      </c>
      <c r="T60" s="13">
        <f ca="1">SUM($L$60:$S$60)</f>
        <v>-2.5509321324971697</v>
      </c>
      <c r="U60" s="13">
        <f>'TUSD BE'!$U$60*'TUSD BE'!$U$78</f>
        <v>-0.22856815987132034</v>
      </c>
      <c r="V60" s="13">
        <f>'TUSD BE'!$V$60*'TUSD BE'!$V$78</f>
        <v>-5.1372022479153477E-2</v>
      </c>
      <c r="W60" s="13">
        <f>'TUSD BE'!$W$60*'TUSD BE'!$W$78</f>
        <v>-1.7606202181716169E-3</v>
      </c>
      <c r="X60" s="13">
        <f>'TUSD BE'!$X$60*'TUSD BE'!$X$78</f>
        <v>0</v>
      </c>
      <c r="Y60" s="13">
        <f>'TUSD BE'!$Y$60*'TUSD BE'!$Y$78</f>
        <v>0</v>
      </c>
      <c r="Z60" s="13">
        <f>'TUSD BE'!$Z$60*'TUSD BE'!$Z$78</f>
        <v>0</v>
      </c>
      <c r="AA60" s="13">
        <f>'TUSD BE'!$AA$60*'TUSD BE'!$AA$78</f>
        <v>0</v>
      </c>
      <c r="AB60" s="13">
        <f>SUM($U$60:$AA$60)</f>
        <v>-0.28170080256864544</v>
      </c>
      <c r="AC60" s="13">
        <f>'TUSD BE'!$AC$60*'TUSD BE'!$AC$78</f>
        <v>1.1853658647318919E-2</v>
      </c>
      <c r="AD60" s="13">
        <f>SUM($AC$60:$AC$60)</f>
        <v>1.1853658647318919E-2</v>
      </c>
      <c r="AE60" s="13">
        <f ca="1">$AO$60*$AO$75</f>
        <v>0</v>
      </c>
      <c r="AF60" s="13">
        <f ca="1">$AP$60*$AP$75</f>
        <v>0</v>
      </c>
      <c r="AG60" s="13">
        <f ca="1">SUM($AE$60:$AF$60)</f>
        <v>0</v>
      </c>
      <c r="AH60" s="13">
        <f>'TUSD BE'!$AH$60*'TUSD BE'!$AH$78</f>
        <v>10.920190337325092</v>
      </c>
      <c r="AI60" s="13">
        <f>'TUSD BE'!$AI$60*'TUSD BE'!$AI$78</f>
        <v>0.18925872471314215</v>
      </c>
      <c r="AJ60" s="13">
        <f ca="1">'TUSD BE'!$AJ$60*'TUSD BE'!$AJ$78</f>
        <v>0.75386565992479893</v>
      </c>
      <c r="AK60" s="13">
        <f ca="1">'TUSD BE'!$AK$60*'TUSD BE'!$AK$78</f>
        <v>-1.7241257166437356E-2</v>
      </c>
      <c r="AL60" s="13">
        <f ca="1">SUM($AH$60:$AK$60)</f>
        <v>11.846073464796595</v>
      </c>
      <c r="AM60" s="13">
        <f ca="1">SUMIF($L$4:$AL$4,"SUBTOTAL",$L$60:$AL$60)</f>
        <v>9.0252941883780977</v>
      </c>
      <c r="AO60" s="20">
        <f ca="1">+'TUSD BE'!$T$60+'TUSD BE'!$AB$60+'TUSD BE'!$AD$60+'TUSD BE'!$AL$60</f>
        <v>265.8441844967993</v>
      </c>
      <c r="AP60" s="20">
        <f ca="1">+'TUSD BE'!$T$60+'TUSD BE'!$AB$60+'TUSD BE'!$AD$60+'TUSD BE'!$AL$60</f>
        <v>265.8441844967993</v>
      </c>
    </row>
    <row r="61" spans="1:42" ht="11.25" customHeight="1" x14ac:dyDescent="0.3">
      <c r="A61" s="128"/>
      <c r="B61" s="17" t="s">
        <v>23</v>
      </c>
      <c r="C61" s="17" t="s">
        <v>45</v>
      </c>
      <c r="D61" s="17" t="s">
        <v>94</v>
      </c>
      <c r="E61" s="17" t="s">
        <v>25</v>
      </c>
      <c r="F61" s="17" t="s">
        <v>25</v>
      </c>
      <c r="G61" s="18" t="s">
        <v>84</v>
      </c>
      <c r="H61" s="18" t="s">
        <v>78</v>
      </c>
      <c r="I61" s="18">
        <f>'MERCADO TUSD'!$U$58</f>
        <v>0</v>
      </c>
      <c r="J61" s="15"/>
      <c r="L61" s="13">
        <f>'TUSD BE'!$L$61*'TUSD BE'!$L$78</f>
        <v>-0.56348944178893323</v>
      </c>
      <c r="M61" s="13">
        <f>'TUSD BE'!$M$61*'TUSD BE'!$M$78</f>
        <v>-2.0658970226936097E-3</v>
      </c>
      <c r="N61" s="13">
        <f ca="1">'TUSD BE'!$N$61*'TUSD BE'!$N$78</f>
        <v>3.2442995957833044E-7</v>
      </c>
      <c r="O61" s="13">
        <f>'TUSD BE'!$O$61*'TUSD BE'!$O$78</f>
        <v>0</v>
      </c>
      <c r="P61" s="13">
        <f>'TUSD BE'!$P$61*'TUSD BE'!$P$78</f>
        <v>0</v>
      </c>
      <c r="Q61" s="13">
        <f>'TUSD BE'!$Q$61*'TUSD BE'!$Q$78</f>
        <v>-1.6095968681012454</v>
      </c>
      <c r="R61" s="13">
        <f>'TUSD BE'!$R$61*'TUSD BE'!$R$78</f>
        <v>-0.37578018258543827</v>
      </c>
      <c r="S61" s="13">
        <f>'TUSD BE'!$R$61*'TUSD BE'!$S$78</f>
        <v>0</v>
      </c>
      <c r="T61" s="13">
        <f ca="1">SUM($L$61:$S$61)</f>
        <v>-2.5509320650683507</v>
      </c>
      <c r="U61" s="13">
        <f>'TUSD BE'!$U$61*'TUSD BE'!$U$78</f>
        <v>-0.38740392314125843</v>
      </c>
      <c r="V61" s="13">
        <f>'TUSD BE'!$V$61*'TUSD BE'!$V$78</f>
        <v>-8.7071283954943249E-2</v>
      </c>
      <c r="W61" s="13">
        <f>'TUSD BE'!$W$61*'TUSD BE'!$W$78</f>
        <v>-2.9844390398367057E-3</v>
      </c>
      <c r="X61" s="13">
        <f>'TUSD BE'!$X$61*'TUSD BE'!$X$78</f>
        <v>0</v>
      </c>
      <c r="Y61" s="13">
        <f>'TUSD BE'!$Y$61*'TUSD BE'!$Y$78</f>
        <v>0</v>
      </c>
      <c r="Z61" s="13">
        <f>'TUSD BE'!$Z$61*'TUSD BE'!$Z$78</f>
        <v>0</v>
      </c>
      <c r="AA61" s="13">
        <f>'TUSD BE'!$AA$61*'TUSD BE'!$AA$78</f>
        <v>0</v>
      </c>
      <c r="AB61" s="13">
        <f>SUM($U$61:$AA$61)</f>
        <v>-0.47745964613603836</v>
      </c>
      <c r="AC61" s="13">
        <f>'TUSD BE'!$AC$61*'TUSD BE'!$AC$78</f>
        <v>2.0090940894072554E-2</v>
      </c>
      <c r="AD61" s="13">
        <f>SUM($AC$61:$AC$61)</f>
        <v>2.0090940894072554E-2</v>
      </c>
      <c r="AE61" s="13">
        <f ca="1">$AO$61*$AO$75</f>
        <v>0</v>
      </c>
      <c r="AF61" s="13">
        <f ca="1">$AP$61*$AP$75</f>
        <v>0</v>
      </c>
      <c r="AG61" s="13">
        <f ca="1">SUM($AE$61:$AF$61)</f>
        <v>0</v>
      </c>
      <c r="AH61" s="13">
        <f>'TUSD BE'!$AH$61*'TUSD BE'!$AH$78</f>
        <v>10.920190337325092</v>
      </c>
      <c r="AI61" s="13">
        <f>'TUSD BE'!$AI$61*'TUSD BE'!$AI$78</f>
        <v>0.18925872471314215</v>
      </c>
      <c r="AJ61" s="13">
        <f ca="1">'TUSD BE'!$AJ$61*'TUSD BE'!$AJ$78</f>
        <v>0.75386565992479893</v>
      </c>
      <c r="AK61" s="13">
        <f ca="1">'TUSD BE'!$AK$61*'TUSD BE'!$AK$78</f>
        <v>-1.7241257166437356E-2</v>
      </c>
      <c r="AL61" s="13">
        <f ca="1">SUM($AH$61:$AK$61)</f>
        <v>11.846073464796595</v>
      </c>
      <c r="AM61" s="13">
        <f ca="1">SUMIF($L$4:$AL$4,"SUBTOTAL",$L$61:$AL$61)</f>
        <v>8.8377726944862776</v>
      </c>
      <c r="AO61" s="20">
        <f ca="1">+'TUSD BE'!$T$61+'TUSD BE'!$AB$61+'TUSD BE'!$AD$61+'TUSD BE'!$AL$61</f>
        <v>356.4462800994238</v>
      </c>
      <c r="AP61" s="20">
        <f ca="1">+'TUSD BE'!$T$61+'TUSD BE'!$AB$61+'TUSD BE'!$AD$61+'TUSD BE'!$AL$61</f>
        <v>356.4462800994238</v>
      </c>
    </row>
    <row r="62" spans="1:42" ht="11.25" customHeight="1" x14ac:dyDescent="0.3">
      <c r="A62" s="128"/>
      <c r="B62" s="128" t="s">
        <v>92</v>
      </c>
      <c r="C62" s="128" t="s">
        <v>45</v>
      </c>
      <c r="D62" s="17" t="s">
        <v>25</v>
      </c>
      <c r="E62" s="17" t="s">
        <v>25</v>
      </c>
      <c r="F62" s="17" t="s">
        <v>25</v>
      </c>
      <c r="G62" s="18" t="s">
        <v>84</v>
      </c>
      <c r="H62" s="18" t="s">
        <v>78</v>
      </c>
      <c r="I62" s="18">
        <f>'MERCADO TUSD'!$U$59</f>
        <v>0</v>
      </c>
      <c r="J62" s="15"/>
      <c r="L62" s="13">
        <f>'TUSD BE'!$L$62*'TUSD BE'!$L$78</f>
        <v>-0.56348944178893323</v>
      </c>
      <c r="M62" s="13">
        <f>'TUSD BE'!$M$62*'TUSD BE'!$M$78</f>
        <v>-2.0658970226936097E-3</v>
      </c>
      <c r="N62" s="13">
        <f ca="1">'TUSD BE'!$N$62*'TUSD BE'!$N$78</f>
        <v>3.2442995957833044E-7</v>
      </c>
      <c r="O62" s="13">
        <f>'TUSD BE'!$O$62*'TUSD BE'!$O$78</f>
        <v>0</v>
      </c>
      <c r="P62" s="13">
        <f>'TUSD BE'!$P$62*'TUSD BE'!$P$78</f>
        <v>0</v>
      </c>
      <c r="Q62" s="13">
        <f>'TUSD BE'!$Q$62*'TUSD BE'!$Q$78</f>
        <v>-1.6095968681012454</v>
      </c>
      <c r="R62" s="13">
        <f>'TUSD BE'!$R$62*'TUSD BE'!$R$78</f>
        <v>-0.37578018258543827</v>
      </c>
      <c r="S62" s="13">
        <f>'TUSD BE'!$R$62*'TUSD BE'!$S$78</f>
        <v>0</v>
      </c>
      <c r="T62" s="13">
        <f ca="1">SUM($L$62:$S$62)</f>
        <v>-2.5509320650683507</v>
      </c>
      <c r="U62" s="13">
        <f>'TUSD BE'!$U$62*'TUSD BE'!$U$78</f>
        <v>-0.38740392314125843</v>
      </c>
      <c r="V62" s="13">
        <f>'TUSD BE'!$V$62*'TUSD BE'!$V$78</f>
        <v>-8.7071283954943249E-2</v>
      </c>
      <c r="W62" s="13">
        <f>'TUSD BE'!$W$62*'TUSD BE'!$W$78</f>
        <v>-2.9844390398367057E-3</v>
      </c>
      <c r="X62" s="13">
        <f>'TUSD BE'!$X$62*'TUSD BE'!$X$78</f>
        <v>0</v>
      </c>
      <c r="Y62" s="13">
        <f>'TUSD BE'!$Y$62*'TUSD BE'!$Y$78</f>
        <v>0</v>
      </c>
      <c r="Z62" s="13">
        <f>'TUSD BE'!$Z$62*'TUSD BE'!$Z$78</f>
        <v>0</v>
      </c>
      <c r="AA62" s="13">
        <f>'TUSD BE'!$AA$62*'TUSD BE'!$AA$78</f>
        <v>0</v>
      </c>
      <c r="AB62" s="13">
        <f>SUM($U$62:$AA$62)</f>
        <v>-0.47745964613603836</v>
      </c>
      <c r="AC62" s="13">
        <f>'TUSD BE'!$AC$62*'TUSD BE'!$AC$78</f>
        <v>2.0090940894072554E-2</v>
      </c>
      <c r="AD62" s="13">
        <f>SUM($AC$62:$AC$62)</f>
        <v>2.0090940894072554E-2</v>
      </c>
      <c r="AE62" s="13">
        <f ca="1">$AO$62*$AO$75</f>
        <v>0</v>
      </c>
      <c r="AF62" s="13">
        <f ca="1">$AP$62*$AP$75</f>
        <v>0</v>
      </c>
      <c r="AG62" s="13">
        <f ca="1">SUM($AE$62:$AF$62)</f>
        <v>0</v>
      </c>
      <c r="AH62" s="13">
        <f>'TUSD BE'!$AH$62*'TUSD BE'!$AH$78</f>
        <v>10.920190337325092</v>
      </c>
      <c r="AI62" s="13">
        <f>'TUSD BE'!$AI$62*'TUSD BE'!$AI$78</f>
        <v>0.18925872471314215</v>
      </c>
      <c r="AJ62" s="13">
        <f ca="1">'TUSD BE'!$AJ$62*'TUSD BE'!$AJ$78</f>
        <v>0.75386565992479893</v>
      </c>
      <c r="AK62" s="13">
        <f ca="1">'TUSD BE'!$AK$62*'TUSD BE'!$AK$78</f>
        <v>-1.7241257166437356E-2</v>
      </c>
      <c r="AL62" s="13">
        <f ca="1">SUM($AH$62:$AK$62)</f>
        <v>11.846073464796595</v>
      </c>
      <c r="AM62" s="13">
        <f ca="1">SUMIF($L$4:$AL$4,"SUBTOTAL",$L$62:$AL$62)</f>
        <v>8.8377726944862776</v>
      </c>
      <c r="AO62" s="20">
        <f ca="1">+'TUSD BE'!$T$62+'TUSD BE'!$AB$62+'TUSD BE'!$AD$62+'TUSD BE'!$AL$62</f>
        <v>356.4462800994238</v>
      </c>
      <c r="AP62" s="20">
        <f ca="1">+'TUSD BE'!$T$62+'TUSD BE'!$AB$62+'TUSD BE'!$AD$62+'TUSD BE'!$AL$62</f>
        <v>356.4462800994238</v>
      </c>
    </row>
    <row r="63" spans="1:42" ht="11.25" customHeight="1" x14ac:dyDescent="0.3">
      <c r="A63" s="128"/>
      <c r="B63" s="128"/>
      <c r="C63" s="128"/>
      <c r="D63" s="17" t="s">
        <v>93</v>
      </c>
      <c r="E63" s="17" t="s">
        <v>25</v>
      </c>
      <c r="F63" s="17" t="s">
        <v>25</v>
      </c>
      <c r="G63" s="18" t="s">
        <v>84</v>
      </c>
      <c r="H63" s="18" t="s">
        <v>78</v>
      </c>
      <c r="I63" s="18">
        <f>'MERCADO TUSD'!$U$60</f>
        <v>0</v>
      </c>
      <c r="J63" s="15"/>
      <c r="L63" s="13">
        <f>'TUSD BE'!$L$63*'TUSD BE'!$L$78</f>
        <v>-0.56348944178893323</v>
      </c>
      <c r="M63" s="13">
        <f>'TUSD BE'!$M$63*'TUSD BE'!$M$78</f>
        <v>-2.0658970226936097E-3</v>
      </c>
      <c r="N63" s="13">
        <f ca="1">'TUSD BE'!$N$63*'TUSD BE'!$N$78</f>
        <v>3.2442995957833044E-7</v>
      </c>
      <c r="O63" s="13">
        <f>'TUSD BE'!$O$63*'TUSD BE'!$O$78</f>
        <v>0</v>
      </c>
      <c r="P63" s="13">
        <f>'TUSD BE'!$P$63*'TUSD BE'!$P$78</f>
        <v>0</v>
      </c>
      <c r="Q63" s="13">
        <f>'TUSD BE'!$Q$63*'TUSD BE'!$Q$78</f>
        <v>-1.6095968681012454</v>
      </c>
      <c r="R63" s="13">
        <f>'TUSD BE'!$R$63*'TUSD BE'!$R$78</f>
        <v>-0.37578018258543827</v>
      </c>
      <c r="S63" s="13">
        <f>'TUSD BE'!$R$63*'TUSD BE'!$S$78</f>
        <v>0</v>
      </c>
      <c r="T63" s="13">
        <f ca="1">SUM($L$63:$S$63)</f>
        <v>-2.5509320650683507</v>
      </c>
      <c r="U63" s="13">
        <f>'TUSD BE'!$U$63*'TUSD BE'!$U$78</f>
        <v>-0.38740392314125843</v>
      </c>
      <c r="V63" s="13">
        <f>'TUSD BE'!$V$63*'TUSD BE'!$V$78</f>
        <v>-8.7071283954943249E-2</v>
      </c>
      <c r="W63" s="13">
        <f>'TUSD BE'!$W$63*'TUSD BE'!$W$78</f>
        <v>-2.9844390398367057E-3</v>
      </c>
      <c r="X63" s="13">
        <f>'TUSD BE'!$X$63*'TUSD BE'!$X$78</f>
        <v>0</v>
      </c>
      <c r="Y63" s="13">
        <f>'TUSD BE'!$Y$63*'TUSD BE'!$Y$78</f>
        <v>0</v>
      </c>
      <c r="Z63" s="13">
        <f>'TUSD BE'!$Z$63*'TUSD BE'!$Z$78</f>
        <v>0</v>
      </c>
      <c r="AA63" s="13">
        <f>'TUSD BE'!$AA$63*'TUSD BE'!$AA$78</f>
        <v>0</v>
      </c>
      <c r="AB63" s="13">
        <f>SUM($U$63:$AA$63)</f>
        <v>-0.47745964613603836</v>
      </c>
      <c r="AC63" s="13">
        <f>'TUSD BE'!$AC$63*'TUSD BE'!$AC$78</f>
        <v>2.0090940894072554E-2</v>
      </c>
      <c r="AD63" s="13">
        <f>SUM($AC$63:$AC$63)</f>
        <v>2.0090940894072554E-2</v>
      </c>
      <c r="AE63" s="13">
        <f ca="1">$AO$63*$AO$75</f>
        <v>0</v>
      </c>
      <c r="AF63" s="13">
        <f ca="1">$AP$63*$AP$75</f>
        <v>0</v>
      </c>
      <c r="AG63" s="13">
        <f ca="1">SUM($AE$63:$AF$63)</f>
        <v>0</v>
      </c>
      <c r="AH63" s="13">
        <f>'TUSD BE'!$AH$63*'TUSD BE'!$AH$78</f>
        <v>10.920190337325092</v>
      </c>
      <c r="AI63" s="13">
        <f>'TUSD BE'!$AI$63*'TUSD BE'!$AI$78</f>
        <v>0.18925872471314215</v>
      </c>
      <c r="AJ63" s="13">
        <f ca="1">'TUSD BE'!$AJ$63*'TUSD BE'!$AJ$78</f>
        <v>0.75386565992479893</v>
      </c>
      <c r="AK63" s="13">
        <f ca="1">'TUSD BE'!$AK$63*'TUSD BE'!$AK$78</f>
        <v>-1.7241257166437356E-2</v>
      </c>
      <c r="AL63" s="13">
        <f ca="1">SUM($AH$63:$AK$63)</f>
        <v>11.846073464796595</v>
      </c>
      <c r="AM63" s="13">
        <f ca="1">SUMIF($L$4:$AL$4,"SUBTOTAL",$L$63:$AL$63)</f>
        <v>8.8377726944862776</v>
      </c>
      <c r="AO63" s="20">
        <f ca="1">+'TUSD BE'!$T$63+'TUSD BE'!$AB$63+'TUSD BE'!$AD$63+'TUSD BE'!$AL$63</f>
        <v>356.4462800994238</v>
      </c>
      <c r="AP63" s="20">
        <f ca="1">+'TUSD BE'!$T$63+'TUSD BE'!$AB$63+'TUSD BE'!$AD$63+'TUSD BE'!$AL$63</f>
        <v>356.4462800994238</v>
      </c>
    </row>
    <row r="64" spans="1:42" ht="11.25" customHeight="1" x14ac:dyDescent="0.3">
      <c r="A64" s="128"/>
      <c r="B64" s="128"/>
      <c r="C64" s="128"/>
      <c r="D64" s="17" t="s">
        <v>94</v>
      </c>
      <c r="E64" s="17" t="s">
        <v>25</v>
      </c>
      <c r="F64" s="17" t="s">
        <v>25</v>
      </c>
      <c r="G64" s="18" t="s">
        <v>84</v>
      </c>
      <c r="H64" s="18" t="s">
        <v>78</v>
      </c>
      <c r="I64" s="18">
        <f>'MERCADO TUSD'!$U$61</f>
        <v>0</v>
      </c>
      <c r="J64" s="15"/>
      <c r="L64" s="13">
        <f>'TUSD BE'!$L$64*'TUSD BE'!$L$78</f>
        <v>-0.56348944178893323</v>
      </c>
      <c r="M64" s="13">
        <f>'TUSD BE'!$M$64*'TUSD BE'!$M$78</f>
        <v>-2.0658970226936097E-3</v>
      </c>
      <c r="N64" s="13">
        <f ca="1">'TUSD BE'!$N$64*'TUSD BE'!$N$78</f>
        <v>3.2442995957833044E-7</v>
      </c>
      <c r="O64" s="13">
        <f>'TUSD BE'!$O$64*'TUSD BE'!$O$78</f>
        <v>0</v>
      </c>
      <c r="P64" s="13">
        <f>'TUSD BE'!$P$64*'TUSD BE'!$P$78</f>
        <v>0</v>
      </c>
      <c r="Q64" s="13">
        <f>'TUSD BE'!$Q$64*'TUSD BE'!$Q$78</f>
        <v>-1.6095968681012454</v>
      </c>
      <c r="R64" s="13">
        <f>'TUSD BE'!$R$64*'TUSD BE'!$R$78</f>
        <v>-0.37578018258543827</v>
      </c>
      <c r="S64" s="13">
        <f>'TUSD BE'!$R$64*'TUSD BE'!$S$78</f>
        <v>0</v>
      </c>
      <c r="T64" s="13">
        <f ca="1">SUM($L$64:$S$64)</f>
        <v>-2.5509320650683507</v>
      </c>
      <c r="U64" s="13">
        <f>'TUSD BE'!$U$64*'TUSD BE'!$U$78</f>
        <v>-0.38740392314125843</v>
      </c>
      <c r="V64" s="13">
        <f>'TUSD BE'!$V$64*'TUSD BE'!$V$78</f>
        <v>-8.7071283954943249E-2</v>
      </c>
      <c r="W64" s="13">
        <f>'TUSD BE'!$W$64*'TUSD BE'!$W$78</f>
        <v>-2.9844390398367057E-3</v>
      </c>
      <c r="X64" s="13">
        <f>'TUSD BE'!$X$64*'TUSD BE'!$X$78</f>
        <v>0</v>
      </c>
      <c r="Y64" s="13">
        <f>'TUSD BE'!$Y$64*'TUSD BE'!$Y$78</f>
        <v>0</v>
      </c>
      <c r="Z64" s="13">
        <f>'TUSD BE'!$Z$64*'TUSD BE'!$Z$78</f>
        <v>0</v>
      </c>
      <c r="AA64" s="13">
        <f>'TUSD BE'!$AA$64*'TUSD BE'!$AA$78</f>
        <v>0</v>
      </c>
      <c r="AB64" s="13">
        <f>SUM($U$64:$AA$64)</f>
        <v>-0.47745964613603836</v>
      </c>
      <c r="AC64" s="13">
        <f>'TUSD BE'!$AC$64*'TUSD BE'!$AC$78</f>
        <v>2.0090940894072554E-2</v>
      </c>
      <c r="AD64" s="13">
        <f>SUM($AC$64:$AC$64)</f>
        <v>2.0090940894072554E-2</v>
      </c>
      <c r="AE64" s="13">
        <f ca="1">$AO$64*$AO$75</f>
        <v>0</v>
      </c>
      <c r="AF64" s="13">
        <f ca="1">$AP$64*$AP$75</f>
        <v>0</v>
      </c>
      <c r="AG64" s="13">
        <f ca="1">SUM($AE$64:$AF$64)</f>
        <v>0</v>
      </c>
      <c r="AH64" s="13">
        <f>'TUSD BE'!$AH$64*'TUSD BE'!$AH$78</f>
        <v>10.920190337325092</v>
      </c>
      <c r="AI64" s="13">
        <f>'TUSD BE'!$AI$64*'TUSD BE'!$AI$78</f>
        <v>0.18925872471314215</v>
      </c>
      <c r="AJ64" s="13">
        <f ca="1">'TUSD BE'!$AJ$64*'TUSD BE'!$AJ$78</f>
        <v>0.75386565992479893</v>
      </c>
      <c r="AK64" s="13">
        <f ca="1">'TUSD BE'!$AK$64*'TUSD BE'!$AK$78</f>
        <v>-1.7241257166437356E-2</v>
      </c>
      <c r="AL64" s="13">
        <f ca="1">SUM($AH$64:$AK$64)</f>
        <v>11.846073464796595</v>
      </c>
      <c r="AM64" s="13">
        <f ca="1">SUMIF($L$4:$AL$4,"SUBTOTAL",$L$64:$AL$64)</f>
        <v>8.8377726944862776</v>
      </c>
      <c r="AO64" s="20">
        <f ca="1">+'TUSD BE'!$T$64+'TUSD BE'!$AB$64+'TUSD BE'!$AD$64+'TUSD BE'!$AL$64</f>
        <v>356.4462800994238</v>
      </c>
      <c r="AP64" s="20">
        <f ca="1">+'TUSD BE'!$T$64+'TUSD BE'!$AB$64+'TUSD BE'!$AD$64+'TUSD BE'!$AL$64</f>
        <v>356.4462800994238</v>
      </c>
    </row>
    <row r="65" spans="1:42" ht="11.25" customHeight="1" x14ac:dyDescent="0.3">
      <c r="A65" s="128" t="s">
        <v>37</v>
      </c>
      <c r="B65" s="128" t="s">
        <v>33</v>
      </c>
      <c r="C65" s="128" t="s">
        <v>25</v>
      </c>
      <c r="D65" s="128" t="s">
        <v>25</v>
      </c>
      <c r="E65" s="128" t="s">
        <v>25</v>
      </c>
      <c r="F65" s="128" t="s">
        <v>25</v>
      </c>
      <c r="G65" s="18" t="s">
        <v>79</v>
      </c>
      <c r="H65" s="18" t="s">
        <v>78</v>
      </c>
      <c r="I65" s="18">
        <f>'MERCADO TUSD'!$U$62</f>
        <v>22.301000000000002</v>
      </c>
      <c r="J65" s="15"/>
      <c r="L65" s="13">
        <f>'TUSD BE'!$L$65*'TUSD BE'!$L$78</f>
        <v>-0.56348944178893323</v>
      </c>
      <c r="M65" s="13">
        <f>'TUSD BE'!$M$65*'TUSD BE'!$M$78</f>
        <v>-2.0658970226936097E-3</v>
      </c>
      <c r="N65" s="13">
        <f ca="1">'TUSD BE'!$N$65*'TUSD BE'!$N$78</f>
        <v>7.0268928998765192E-7</v>
      </c>
      <c r="O65" s="13">
        <f>'TUSD BE'!$O$65*'TUSD BE'!$O$78</f>
        <v>0</v>
      </c>
      <c r="P65" s="13">
        <f>'TUSD BE'!$P$65*'TUSD BE'!$P$78</f>
        <v>0</v>
      </c>
      <c r="Q65" s="13">
        <f>'TUSD BE'!$Q$65*'TUSD BE'!$Q$78</f>
        <v>-1.6095968681012454</v>
      </c>
      <c r="R65" s="13">
        <f>'TUSD BE'!$R$65*'TUSD BE'!$R$78</f>
        <v>-0.37578018258543827</v>
      </c>
      <c r="S65" s="13">
        <f>'TUSD BE'!$R$65*'TUSD BE'!$S$78</f>
        <v>0</v>
      </c>
      <c r="T65" s="13">
        <f ca="1">SUM($L$65:$S$65)</f>
        <v>-2.5509316868090206</v>
      </c>
      <c r="U65" s="13">
        <f>'TUSD BE'!$U$65*'TUSD BE'!$U$78</f>
        <v>-1.2784344941863739</v>
      </c>
      <c r="V65" s="13">
        <f>'TUSD BE'!$V$65*'TUSD BE'!$V$78</f>
        <v>-0.28733512020376928</v>
      </c>
      <c r="W65" s="13">
        <f>'TUSD BE'!$W$65*'TUSD BE'!$W$78</f>
        <v>-9.847986113687663E-3</v>
      </c>
      <c r="X65" s="13">
        <f>'TUSD BE'!$X$65*'TUSD BE'!$X$78</f>
        <v>0</v>
      </c>
      <c r="Y65" s="13">
        <f>'TUSD BE'!$Y$65*'TUSD BE'!$Y$78</f>
        <v>0</v>
      </c>
      <c r="Z65" s="13">
        <f>'TUSD BE'!$Z$65*'TUSD BE'!$Z$78</f>
        <v>0</v>
      </c>
      <c r="AA65" s="13">
        <f>'TUSD BE'!$AA$65*'TUSD BE'!$AA$78</f>
        <v>0</v>
      </c>
      <c r="AB65" s="13">
        <f>SUM($U$65:$AA$65)</f>
        <v>-1.5756176005038309</v>
      </c>
      <c r="AC65" s="13">
        <f>'TUSD BE'!$AC$65*'TUSD BE'!$AC$78</f>
        <v>6.6300129719515766E-2</v>
      </c>
      <c r="AD65" s="13">
        <f>SUM($AC$65:$AC$65)</f>
        <v>6.6300129719515766E-2</v>
      </c>
      <c r="AE65" s="13">
        <f ca="1">$AO$65*$AO$75</f>
        <v>0</v>
      </c>
      <c r="AF65" s="13">
        <f ca="1">$AP$65*$AP$75</f>
        <v>0</v>
      </c>
      <c r="AG65" s="13">
        <f ca="1">SUM($AE$65:$AF$65)</f>
        <v>0</v>
      </c>
      <c r="AH65" s="13">
        <f>'TUSD BE'!$AH$65*'TUSD BE'!$AH$78</f>
        <v>10.920190337325092</v>
      </c>
      <c r="AI65" s="13">
        <f>'TUSD BE'!$AI$65*'TUSD BE'!$AI$78</f>
        <v>0.18925872471314215</v>
      </c>
      <c r="AJ65" s="13">
        <f ca="1">'TUSD BE'!$AJ$65*'TUSD BE'!$AJ$78</f>
        <v>0.75386565992479893</v>
      </c>
      <c r="AK65" s="13">
        <f ca="1">'TUSD BE'!$AK$65*'TUSD BE'!$AK$78</f>
        <v>-1.7241257166437356E-2</v>
      </c>
      <c r="AL65" s="13">
        <f ca="1">SUM($AH$65:$AK$65)</f>
        <v>11.846073464796595</v>
      </c>
      <c r="AM65" s="13">
        <f ca="1">SUMIF($L$4:$AL$4,"SUBTOTAL",$L$65:$AL$65)</f>
        <v>7.7858243072032591</v>
      </c>
      <c r="AO65" s="20">
        <f ca="1">+'TUSD BE'!$T$65+'TUSD BE'!$AB$65+'TUSD BE'!$AD$65+'TUSD BE'!$AL$65</f>
        <v>864.70188267032893</v>
      </c>
      <c r="AP65" s="20">
        <f ca="1">+'TUSD BE'!$T$65+'TUSD BE'!$AB$65+'TUSD BE'!$AD$65+'TUSD BE'!$AL$65</f>
        <v>864.70188267032893</v>
      </c>
    </row>
    <row r="66" spans="1:42" ht="11.25" customHeight="1" x14ac:dyDescent="0.3">
      <c r="A66" s="128"/>
      <c r="B66" s="128"/>
      <c r="C66" s="128"/>
      <c r="D66" s="128"/>
      <c r="E66" s="128"/>
      <c r="F66" s="128"/>
      <c r="G66" s="18" t="s">
        <v>90</v>
      </c>
      <c r="H66" s="18" t="s">
        <v>78</v>
      </c>
      <c r="I66" s="18">
        <f>'MERCADO TUSD'!$U$63</f>
        <v>24.489000000000001</v>
      </c>
      <c r="J66" s="15"/>
      <c r="L66" s="13">
        <f>'TUSD BE'!$L$66*'TUSD BE'!$L$78</f>
        <v>-0.56348944178893323</v>
      </c>
      <c r="M66" s="13">
        <f>'TUSD BE'!$M$66*'TUSD BE'!$M$78</f>
        <v>-2.0658970226936097E-3</v>
      </c>
      <c r="N66" s="13">
        <f ca="1">'TUSD BE'!$N$66*'TUSD BE'!$N$78</f>
        <v>4.8560126756249488E-7</v>
      </c>
      <c r="O66" s="13">
        <f>'TUSD BE'!$O$66*'TUSD BE'!$O$78</f>
        <v>0</v>
      </c>
      <c r="P66" s="13">
        <f>'TUSD BE'!$P$66*'TUSD BE'!$P$78</f>
        <v>0</v>
      </c>
      <c r="Q66" s="13">
        <f>'TUSD BE'!$Q$66*'TUSD BE'!$Q$78</f>
        <v>-1.6095968681012454</v>
      </c>
      <c r="R66" s="13">
        <f>'TUSD BE'!$R$66*'TUSD BE'!$R$78</f>
        <v>-0.37578018258543827</v>
      </c>
      <c r="S66" s="13">
        <f>'TUSD BE'!$R$66*'TUSD BE'!$S$78</f>
        <v>0</v>
      </c>
      <c r="T66" s="13">
        <f ca="1">SUM($L$66:$S$66)</f>
        <v>-2.5509319038970428</v>
      </c>
      <c r="U66" s="13">
        <f>'TUSD BE'!$U$66*'TUSD BE'!$U$78</f>
        <v>-0.76706100607586847</v>
      </c>
      <c r="V66" s="13">
        <f>'TUSD BE'!$V$66*'TUSD BE'!$V$78</f>
        <v>-0.17240037103700087</v>
      </c>
      <c r="W66" s="13">
        <f>'TUSD BE'!$W$66*'TUSD BE'!$W$78</f>
        <v>-5.9084971269799469E-3</v>
      </c>
      <c r="X66" s="13">
        <f>'TUSD BE'!$X$66*'TUSD BE'!$X$78</f>
        <v>0</v>
      </c>
      <c r="Y66" s="13">
        <f>'TUSD BE'!$Y$66*'TUSD BE'!$Y$78</f>
        <v>0</v>
      </c>
      <c r="Z66" s="13">
        <f>'TUSD BE'!$Z$66*'TUSD BE'!$Z$78</f>
        <v>0</v>
      </c>
      <c r="AA66" s="13">
        <f>'TUSD BE'!$AA$66*'TUSD BE'!$AA$78</f>
        <v>0</v>
      </c>
      <c r="AB66" s="13">
        <f>SUM($U$66:$AA$66)</f>
        <v>-0.94536987423984931</v>
      </c>
      <c r="AC66" s="13">
        <f>'TUSD BE'!$AC$66*'TUSD BE'!$AC$78</f>
        <v>3.9780075224438265E-2</v>
      </c>
      <c r="AD66" s="13">
        <f>SUM($AC$66:$AC$66)</f>
        <v>3.9780075224438265E-2</v>
      </c>
      <c r="AE66" s="13">
        <f ca="1">$AO$66*$AO$75</f>
        <v>0</v>
      </c>
      <c r="AF66" s="13">
        <f ca="1">$AP$66*$AP$75</f>
        <v>0</v>
      </c>
      <c r="AG66" s="13">
        <f ca="1">SUM($AE$66:$AF$66)</f>
        <v>0</v>
      </c>
      <c r="AH66" s="13">
        <f>'TUSD BE'!$AH$66*'TUSD BE'!$AH$78</f>
        <v>10.920190337325092</v>
      </c>
      <c r="AI66" s="13">
        <f>'TUSD BE'!$AI$66*'TUSD BE'!$AI$78</f>
        <v>0.18925872471314215</v>
      </c>
      <c r="AJ66" s="13">
        <f ca="1">'TUSD BE'!$AJ$66*'TUSD BE'!$AJ$78</f>
        <v>0.75386565992479893</v>
      </c>
      <c r="AK66" s="13">
        <f ca="1">'TUSD BE'!$AK$66*'TUSD BE'!$AK$78</f>
        <v>-1.7241257166437356E-2</v>
      </c>
      <c r="AL66" s="13">
        <f ca="1">SUM($AH$66:$AK$66)</f>
        <v>11.846073464796595</v>
      </c>
      <c r="AM66" s="13">
        <f ca="1">SUMIF($L$4:$AL$4,"SUBTOTAL",$L$66:$AL$66)</f>
        <v>8.3895517618841406</v>
      </c>
      <c r="AO66" s="20">
        <f ca="1">+'TUSD BE'!$T$66+'TUSD BE'!$AB$66+'TUSD BE'!$AD$66+'TUSD BE'!$AL$66</f>
        <v>573.00725856759266</v>
      </c>
      <c r="AP66" s="20">
        <f ca="1">+'TUSD BE'!$T$66+'TUSD BE'!$AB$66+'TUSD BE'!$AD$66+'TUSD BE'!$AL$66</f>
        <v>573.00725856759266</v>
      </c>
    </row>
    <row r="67" spans="1:42" ht="11.25" customHeight="1" x14ac:dyDescent="0.3">
      <c r="A67" s="128"/>
      <c r="B67" s="128"/>
      <c r="C67" s="128"/>
      <c r="D67" s="128"/>
      <c r="E67" s="128"/>
      <c r="F67" s="128"/>
      <c r="G67" s="18" t="s">
        <v>80</v>
      </c>
      <c r="H67" s="18" t="s">
        <v>78</v>
      </c>
      <c r="I67" s="18">
        <f>'MERCADO TUSD'!$U$64</f>
        <v>464.17199999999997</v>
      </c>
      <c r="J67" s="15"/>
      <c r="L67" s="13">
        <f>'TUSD BE'!$L$67*'TUSD BE'!$L$78</f>
        <v>-0.56348944178893323</v>
      </c>
      <c r="M67" s="13">
        <f>'TUSD BE'!$M$67*'TUSD BE'!$M$78</f>
        <v>-2.0658970226936097E-3</v>
      </c>
      <c r="N67" s="13">
        <f ca="1">'TUSD BE'!$N$67*'TUSD BE'!$N$78</f>
        <v>2.6851342103026876E-7</v>
      </c>
      <c r="O67" s="13">
        <f>'TUSD BE'!$O$67*'TUSD BE'!$O$78</f>
        <v>0</v>
      </c>
      <c r="P67" s="13">
        <f>'TUSD BE'!$P$67*'TUSD BE'!$P$78</f>
        <v>0</v>
      </c>
      <c r="Q67" s="13">
        <f>'TUSD BE'!$Q$67*'TUSD BE'!$Q$78</f>
        <v>-1.6095968681012454</v>
      </c>
      <c r="R67" s="13">
        <f>'TUSD BE'!$R$67*'TUSD BE'!$R$78</f>
        <v>-0.37578018258543827</v>
      </c>
      <c r="S67" s="13">
        <f>'TUSD BE'!$R$67*'TUSD BE'!$S$78</f>
        <v>0</v>
      </c>
      <c r="T67" s="13">
        <f ca="1">SUM($L$67:$S$67)</f>
        <v>-2.5509321209848892</v>
      </c>
      <c r="U67" s="13">
        <f>'TUSD BE'!$U$67*'TUSD BE'!$U$78</f>
        <v>-0.25568751796536321</v>
      </c>
      <c r="V67" s="13">
        <f>'TUSD BE'!$V$67*'TUSD BE'!$V$78</f>
        <v>-5.746679034566695E-2</v>
      </c>
      <c r="W67" s="13">
        <f>'TUSD BE'!$W$67*'TUSD BE'!$W$78</f>
        <v>-1.969744493353858E-3</v>
      </c>
      <c r="X67" s="13">
        <f>'TUSD BE'!$X$67*'TUSD BE'!$X$78</f>
        <v>0</v>
      </c>
      <c r="Y67" s="13">
        <f>'TUSD BE'!$Y$67*'TUSD BE'!$Y$78</f>
        <v>0</v>
      </c>
      <c r="Z67" s="13">
        <f>'TUSD BE'!$Z$67*'TUSD BE'!$Z$78</f>
        <v>0</v>
      </c>
      <c r="AA67" s="13">
        <f>'TUSD BE'!$AA$67*'TUSD BE'!$AA$78</f>
        <v>0</v>
      </c>
      <c r="AB67" s="13">
        <f>SUM($U$67:$AA$67)</f>
        <v>-0.31512405280438399</v>
      </c>
      <c r="AC67" s="13">
        <f>'TUSD BE'!$AC$67*'TUSD BE'!$AC$78</f>
        <v>1.3260020729360765E-2</v>
      </c>
      <c r="AD67" s="13">
        <f>SUM($AC$67:$AC$67)</f>
        <v>1.3260020729360765E-2</v>
      </c>
      <c r="AE67" s="13">
        <f ca="1">$AO$67*$AO$75</f>
        <v>0</v>
      </c>
      <c r="AF67" s="13">
        <f ca="1">$AP$67*$AP$75</f>
        <v>0</v>
      </c>
      <c r="AG67" s="13">
        <f ca="1">SUM($AE$67:$AF$67)</f>
        <v>0</v>
      </c>
      <c r="AH67" s="13">
        <f>'TUSD BE'!$AH$67*'TUSD BE'!$AH$78</f>
        <v>10.920190337325092</v>
      </c>
      <c r="AI67" s="13">
        <f>'TUSD BE'!$AI$67*'TUSD BE'!$AI$78</f>
        <v>0.18925872471314215</v>
      </c>
      <c r="AJ67" s="13">
        <f ca="1">'TUSD BE'!$AJ$67*'TUSD BE'!$AJ$78</f>
        <v>0.75386565992479893</v>
      </c>
      <c r="AK67" s="13">
        <f ca="1">'TUSD BE'!$AK$67*'TUSD BE'!$AK$78</f>
        <v>-1.7241257166437356E-2</v>
      </c>
      <c r="AL67" s="13">
        <f ca="1">SUM($AH$67:$AK$67)</f>
        <v>11.846073464796595</v>
      </c>
      <c r="AM67" s="13">
        <f ca="1">SUMIF($L$4:$AL$4,"SUBTOTAL",$L$67:$AL$67)</f>
        <v>8.9932773117366818</v>
      </c>
      <c r="AO67" s="20">
        <f ca="1">+'TUSD BE'!$T$67+'TUSD BE'!$AB$67+'TUSD BE'!$AD$67+'TUSD BE'!$AL$67</f>
        <v>281.31291474198082</v>
      </c>
      <c r="AP67" s="20">
        <f ca="1">+'TUSD BE'!$T$67+'TUSD BE'!$AB$67+'TUSD BE'!$AD$67+'TUSD BE'!$AL$67</f>
        <v>281.31291474198082</v>
      </c>
    </row>
    <row r="68" spans="1:42" ht="11.25" customHeight="1" x14ac:dyDescent="0.3">
      <c r="A68" s="128"/>
      <c r="B68" s="17" t="s">
        <v>23</v>
      </c>
      <c r="C68" s="17" t="s">
        <v>25</v>
      </c>
      <c r="D68" s="17" t="s">
        <v>25</v>
      </c>
      <c r="E68" s="17" t="s">
        <v>25</v>
      </c>
      <c r="F68" s="17" t="s">
        <v>25</v>
      </c>
      <c r="G68" s="18" t="s">
        <v>84</v>
      </c>
      <c r="H68" s="18" t="s">
        <v>78</v>
      </c>
      <c r="I68" s="18">
        <f>'MERCADO TUSD'!$U$65</f>
        <v>47738.307000000001</v>
      </c>
      <c r="J68" s="15"/>
      <c r="L68" s="13">
        <f>'TUSD BE'!$L$68*'TUSD BE'!$L$78</f>
        <v>-0.56348944178893323</v>
      </c>
      <c r="M68" s="13">
        <f>'TUSD BE'!$M$68*'TUSD BE'!$M$78</f>
        <v>-2.0658970226936097E-3</v>
      </c>
      <c r="N68" s="13">
        <f ca="1">'TUSD BE'!$N$68*'TUSD BE'!$N$78</f>
        <v>3.2442995957833044E-7</v>
      </c>
      <c r="O68" s="13">
        <f>'TUSD BE'!$O$68*'TUSD BE'!$O$78</f>
        <v>0</v>
      </c>
      <c r="P68" s="13">
        <f>'TUSD BE'!$P$68*'TUSD BE'!$P$78</f>
        <v>0</v>
      </c>
      <c r="Q68" s="13">
        <f>'TUSD BE'!$Q$68*'TUSD BE'!$Q$78</f>
        <v>-1.6095968681012454</v>
      </c>
      <c r="R68" s="13">
        <f>'TUSD BE'!$R$68*'TUSD BE'!$R$78</f>
        <v>-0.37578018258543827</v>
      </c>
      <c r="S68" s="13">
        <f>'TUSD BE'!$R$68*'TUSD BE'!$S$78</f>
        <v>0</v>
      </c>
      <c r="T68" s="13">
        <f ca="1">SUM($L$68:$S$68)</f>
        <v>-2.5509320650683507</v>
      </c>
      <c r="U68" s="13">
        <f>'TUSD BE'!$U$68*'TUSD BE'!$U$78</f>
        <v>-0.38740392314125843</v>
      </c>
      <c r="V68" s="13">
        <f>'TUSD BE'!$V$68*'TUSD BE'!$V$78</f>
        <v>-8.7071283954943249E-2</v>
      </c>
      <c r="W68" s="13">
        <f>'TUSD BE'!$W$68*'TUSD BE'!$W$78</f>
        <v>-2.9844390398367057E-3</v>
      </c>
      <c r="X68" s="13">
        <f>'TUSD BE'!$X$68*'TUSD BE'!$X$78</f>
        <v>0</v>
      </c>
      <c r="Y68" s="13">
        <f>'TUSD BE'!$Y$68*'TUSD BE'!$Y$78</f>
        <v>0</v>
      </c>
      <c r="Z68" s="13">
        <f>'TUSD BE'!$Z$68*'TUSD BE'!$Z$78</f>
        <v>0</v>
      </c>
      <c r="AA68" s="13">
        <f>'TUSD BE'!$AA$68*'TUSD BE'!$AA$78</f>
        <v>0</v>
      </c>
      <c r="AB68" s="13">
        <f>SUM($U$68:$AA$68)</f>
        <v>-0.47745964613603836</v>
      </c>
      <c r="AC68" s="13">
        <f>'TUSD BE'!$AC$68*'TUSD BE'!$AC$78</f>
        <v>2.0090940894072554E-2</v>
      </c>
      <c r="AD68" s="13">
        <f>SUM($AC$68:$AC$68)</f>
        <v>2.0090940894072554E-2</v>
      </c>
      <c r="AE68" s="13">
        <f ca="1">$AO$68*$AO$75</f>
        <v>0</v>
      </c>
      <c r="AF68" s="13">
        <f ca="1">$AP$68*$AP$75</f>
        <v>0</v>
      </c>
      <c r="AG68" s="13">
        <f ca="1">SUM($AE$68:$AF$68)</f>
        <v>0</v>
      </c>
      <c r="AH68" s="13">
        <f>'TUSD BE'!$AH$68*'TUSD BE'!$AH$78</f>
        <v>10.920190337325092</v>
      </c>
      <c r="AI68" s="13">
        <f>'TUSD BE'!$AI$68*'TUSD BE'!$AI$78</f>
        <v>0.18925872471314215</v>
      </c>
      <c r="AJ68" s="13">
        <f ca="1">'TUSD BE'!$AJ$68*'TUSD BE'!$AJ$78</f>
        <v>0.75386565992479893</v>
      </c>
      <c r="AK68" s="13">
        <f ca="1">'TUSD BE'!$AK$68*'TUSD BE'!$AK$78</f>
        <v>-1.7241257166437356E-2</v>
      </c>
      <c r="AL68" s="13">
        <f ca="1">SUM($AH$68:$AK$68)</f>
        <v>11.846073464796595</v>
      </c>
      <c r="AM68" s="13">
        <f ca="1">SUMIF($L$4:$AL$4,"SUBTOTAL",$L$68:$AL$68)</f>
        <v>8.8377726944862776</v>
      </c>
      <c r="AO68" s="20">
        <f ca="1">+'TUSD BE'!$T$68+'TUSD BE'!$AB$68+'TUSD BE'!$AD$68+'TUSD BE'!$AL$68</f>
        <v>356.4462800994238</v>
      </c>
      <c r="AP68" s="20">
        <f ca="1">+'TUSD BE'!$T$68+'TUSD BE'!$AB$68+'TUSD BE'!$AD$68+'TUSD BE'!$AL$68</f>
        <v>356.4462800994238</v>
      </c>
    </row>
    <row r="69" spans="1:42" ht="11.25" customHeight="1" x14ac:dyDescent="0.3">
      <c r="A69" s="128"/>
      <c r="B69" s="17" t="s">
        <v>92</v>
      </c>
      <c r="C69" s="17" t="s">
        <v>25</v>
      </c>
      <c r="D69" s="17" t="s">
        <v>25</v>
      </c>
      <c r="E69" s="17" t="s">
        <v>25</v>
      </c>
      <c r="F69" s="17" t="s">
        <v>25</v>
      </c>
      <c r="G69" s="18" t="s">
        <v>84</v>
      </c>
      <c r="H69" s="18" t="s">
        <v>78</v>
      </c>
      <c r="I69" s="18">
        <f>'MERCADO TUSD'!$U$66</f>
        <v>0</v>
      </c>
      <c r="J69" s="15"/>
      <c r="L69" s="13">
        <f>'TUSD BE'!$L$69*'TUSD BE'!$L$78</f>
        <v>-0.56348944178893323</v>
      </c>
      <c r="M69" s="13">
        <f>'TUSD BE'!$M$69*'TUSD BE'!$M$78</f>
        <v>-2.0658970226936097E-3</v>
      </c>
      <c r="N69" s="13">
        <f ca="1">'TUSD BE'!$N$69*'TUSD BE'!$N$78</f>
        <v>3.2442995957833044E-7</v>
      </c>
      <c r="O69" s="13">
        <f>'TUSD BE'!$O$69*'TUSD BE'!$O$78</f>
        <v>0</v>
      </c>
      <c r="P69" s="13">
        <f>'TUSD BE'!$P$69*'TUSD BE'!$P$78</f>
        <v>0</v>
      </c>
      <c r="Q69" s="13">
        <f>'TUSD BE'!$Q$69*'TUSD BE'!$Q$78</f>
        <v>-1.6095968681012454</v>
      </c>
      <c r="R69" s="13">
        <f>'TUSD BE'!$R$69*'TUSD BE'!$R$78</f>
        <v>-0.37578018258543827</v>
      </c>
      <c r="S69" s="13">
        <f>'TUSD BE'!$R$69*'TUSD BE'!$S$78</f>
        <v>0</v>
      </c>
      <c r="T69" s="13">
        <f ca="1">SUM($L$69:$S$69)</f>
        <v>-2.5509320650683507</v>
      </c>
      <c r="U69" s="13">
        <f>'TUSD BE'!$U$69*'TUSD BE'!$U$78</f>
        <v>-0.38740392314125843</v>
      </c>
      <c r="V69" s="13">
        <f>'TUSD BE'!$V$69*'TUSD BE'!$V$78</f>
        <v>-8.7071283954943249E-2</v>
      </c>
      <c r="W69" s="13">
        <f>'TUSD BE'!$W$69*'TUSD BE'!$W$78</f>
        <v>-2.9844390398367057E-3</v>
      </c>
      <c r="X69" s="13">
        <f>'TUSD BE'!$X$69*'TUSD BE'!$X$78</f>
        <v>0</v>
      </c>
      <c r="Y69" s="13">
        <f>'TUSD BE'!$Y$69*'TUSD BE'!$Y$78</f>
        <v>0</v>
      </c>
      <c r="Z69" s="13">
        <f>'TUSD BE'!$Z$69*'TUSD BE'!$Z$78</f>
        <v>0</v>
      </c>
      <c r="AA69" s="13">
        <f>'TUSD BE'!$AA$69*'TUSD BE'!$AA$78</f>
        <v>0</v>
      </c>
      <c r="AB69" s="13">
        <f>SUM($U$69:$AA$69)</f>
        <v>-0.47745964613603836</v>
      </c>
      <c r="AC69" s="13">
        <f>'TUSD BE'!$AC$69*'TUSD BE'!$AC$78</f>
        <v>2.0090940894072554E-2</v>
      </c>
      <c r="AD69" s="13">
        <f>SUM($AC$69:$AC$69)</f>
        <v>2.0090940894072554E-2</v>
      </c>
      <c r="AE69" s="13">
        <f ca="1">$AO$69*$AO$75</f>
        <v>0</v>
      </c>
      <c r="AF69" s="13">
        <f ca="1">$AP$69*$AP$75</f>
        <v>0</v>
      </c>
      <c r="AG69" s="13">
        <f ca="1">SUM($AE$69:$AF$69)</f>
        <v>0</v>
      </c>
      <c r="AH69" s="13">
        <f>'TUSD BE'!$AH$69*'TUSD BE'!$AH$78</f>
        <v>10.920190337325092</v>
      </c>
      <c r="AI69" s="13">
        <f>'TUSD BE'!$AI$69*'TUSD BE'!$AI$78</f>
        <v>0.18925872471314215</v>
      </c>
      <c r="AJ69" s="13">
        <f ca="1">'TUSD BE'!$AJ$69*'TUSD BE'!$AJ$78</f>
        <v>0.75386565992479893</v>
      </c>
      <c r="AK69" s="13">
        <f ca="1">'TUSD BE'!$AK$69*'TUSD BE'!$AK$78</f>
        <v>-1.7241257166437356E-2</v>
      </c>
      <c r="AL69" s="13">
        <f ca="1">SUM($AH$69:$AK$69)</f>
        <v>11.846073464796595</v>
      </c>
      <c r="AM69" s="13">
        <f ca="1">SUMIF($L$4:$AL$4,"SUBTOTAL",$L$69:$AL$69)</f>
        <v>8.8377726944862776</v>
      </c>
      <c r="AO69" s="20">
        <f ca="1">+'TUSD BE'!$T$69+'TUSD BE'!$AB$69+'TUSD BE'!$AD$69+'TUSD BE'!$AL$69</f>
        <v>356.4462800994238</v>
      </c>
      <c r="AP69" s="20">
        <f ca="1">+'TUSD BE'!$T$69+'TUSD BE'!$AB$69+'TUSD BE'!$AD$69+'TUSD BE'!$AL$69</f>
        <v>356.4462800994238</v>
      </c>
    </row>
    <row r="70" spans="1:42" ht="11.25" customHeight="1" x14ac:dyDescent="0.3">
      <c r="A70" s="128" t="s">
        <v>47</v>
      </c>
      <c r="B70" s="128" t="s">
        <v>23</v>
      </c>
      <c r="C70" s="128" t="s">
        <v>48</v>
      </c>
      <c r="D70" s="17" t="s">
        <v>49</v>
      </c>
      <c r="E70" s="17" t="s">
        <v>25</v>
      </c>
      <c r="F70" s="17" t="s">
        <v>25</v>
      </c>
      <c r="G70" s="18" t="s">
        <v>84</v>
      </c>
      <c r="H70" s="18" t="s">
        <v>78</v>
      </c>
      <c r="I70" s="18">
        <f>'MERCADO TUSD'!$U$67</f>
        <v>19654.344999999998</v>
      </c>
      <c r="J70" s="15"/>
      <c r="L70" s="13">
        <f>'TUSD BE'!$L$70*'TUSD BE'!$L$78</f>
        <v>-0.30991919298391329</v>
      </c>
      <c r="M70" s="13">
        <f>'TUSD BE'!$M$70*'TUSD BE'!$M$78</f>
        <v>-1.1362433624814855E-3</v>
      </c>
      <c r="N70" s="13">
        <f ca="1">'TUSD BE'!$N$70*'TUSD BE'!$N$78</f>
        <v>1.7843647776808178E-7</v>
      </c>
      <c r="O70" s="13">
        <f>'TUSD BE'!$O$70*'TUSD BE'!$O$78</f>
        <v>0</v>
      </c>
      <c r="P70" s="13">
        <f>'TUSD BE'!$P$70*'TUSD BE'!$P$78</f>
        <v>0</v>
      </c>
      <c r="Q70" s="13">
        <f>'TUSD BE'!$Q$70*'TUSD BE'!$Q$78</f>
        <v>-0.88527827745568499</v>
      </c>
      <c r="R70" s="13">
        <f>'TUSD BE'!$R$70*'TUSD BE'!$R$78</f>
        <v>-0.20667910042199109</v>
      </c>
      <c r="S70" s="13">
        <f>'TUSD BE'!$R$70*'TUSD BE'!$S$78</f>
        <v>0</v>
      </c>
      <c r="T70" s="13">
        <f ca="1">SUM($L$70:$S$70)</f>
        <v>-1.4030126357875929</v>
      </c>
      <c r="U70" s="13">
        <f>'TUSD BE'!$U$70*'TUSD BE'!$U$78</f>
        <v>-0.21307215772769214</v>
      </c>
      <c r="V70" s="13">
        <f>'TUSD BE'!$V$70*'TUSD BE'!$V$78</f>
        <v>-4.7889206175218794E-2</v>
      </c>
      <c r="W70" s="13">
        <f>'TUSD BE'!$W$70*'TUSD BE'!$W$78</f>
        <v>-1.6414414719101882E-3</v>
      </c>
      <c r="X70" s="13">
        <f>'TUSD BE'!$X$70*'TUSD BE'!$X$78</f>
        <v>0</v>
      </c>
      <c r="Y70" s="13">
        <f>'TUSD BE'!$Y$70*'TUSD BE'!$Y$78</f>
        <v>0</v>
      </c>
      <c r="Z70" s="13">
        <f>'TUSD BE'!$Z$70*'TUSD BE'!$Z$78</f>
        <v>0</v>
      </c>
      <c r="AA70" s="13">
        <f>'TUSD BE'!$AA$70*'TUSD BE'!$AA$78</f>
        <v>0</v>
      </c>
      <c r="AB70" s="13">
        <f>SUM($U$70:$AA$70)</f>
        <v>-0.26260280537482111</v>
      </c>
      <c r="AC70" s="13">
        <f>'TUSD BE'!$AC$70*'TUSD BE'!$AC$78</f>
        <v>1.1050017491739905E-2</v>
      </c>
      <c r="AD70" s="13">
        <f>SUM($AC$70:$AC$70)</f>
        <v>1.1050017491739905E-2</v>
      </c>
      <c r="AE70" s="13">
        <f ca="1">$AO$70*$AO$75</f>
        <v>0</v>
      </c>
      <c r="AF70" s="13">
        <f ca="1">$AP$70*$AP$75</f>
        <v>0</v>
      </c>
      <c r="AG70" s="13">
        <f ca="1">SUM($AE$70:$AF$70)</f>
        <v>0</v>
      </c>
      <c r="AH70" s="13">
        <f>'TUSD BE'!$AH$70*'TUSD BE'!$AH$78</f>
        <v>6.0061046855288005</v>
      </c>
      <c r="AI70" s="13">
        <f>'TUSD BE'!$AI$70*'TUSD BE'!$AI$78</f>
        <v>0.10409229859222818</v>
      </c>
      <c r="AJ70" s="13">
        <f ca="1">'TUSD BE'!$AJ$70*'TUSD BE'!$AJ$78</f>
        <v>0.41462611295863949</v>
      </c>
      <c r="AK70" s="13">
        <f ca="1">'TUSD BE'!$AK$70*'TUSD BE'!$AK$78</f>
        <v>-9.4826914415405451E-3</v>
      </c>
      <c r="AL70" s="13">
        <f ca="1">SUM($AH$70:$AK$70)</f>
        <v>6.5153404056381277</v>
      </c>
      <c r="AM70" s="13">
        <f ca="1">SUMIF($L$4:$AL$4,"SUBTOTAL",$L$70:$AL$70)</f>
        <v>4.8607749819674533</v>
      </c>
      <c r="AO70" s="20">
        <f ca="1">+'TUSD BE'!$T$70+'TUSD BE'!$AB$70+'TUSD BE'!$AD$70+'TUSD BE'!$AL$70</f>
        <v>196.04545405468309</v>
      </c>
      <c r="AP70" s="20">
        <f ca="1">+'TUSD BE'!$T$70+'TUSD BE'!$AB$70+'TUSD BE'!$AD$70+'TUSD BE'!$AL$70</f>
        <v>196.04545405468309</v>
      </c>
    </row>
    <row r="71" spans="1:42" ht="11.25" customHeight="1" x14ac:dyDescent="0.3">
      <c r="A71" s="128"/>
      <c r="B71" s="128"/>
      <c r="C71" s="128"/>
      <c r="D71" s="18" t="s">
        <v>95</v>
      </c>
      <c r="E71" s="18" t="s">
        <v>25</v>
      </c>
      <c r="F71" s="18" t="s">
        <v>25</v>
      </c>
      <c r="G71" s="18" t="s">
        <v>84</v>
      </c>
      <c r="H71" s="18" t="s">
        <v>78</v>
      </c>
      <c r="I71" s="18">
        <f>'MERCADO TUSD'!$U$68</f>
        <v>0</v>
      </c>
      <c r="J71" s="15"/>
      <c r="L71" s="13">
        <f>'TUSD BE'!$L$71*'TUSD BE'!$L$78</f>
        <v>-0.33809366507335986</v>
      </c>
      <c r="M71" s="13">
        <f>'TUSD BE'!$M$71*'TUSD BE'!$M$78</f>
        <v>-1.2395382136161659E-3</v>
      </c>
      <c r="N71" s="13">
        <f ca="1">'TUSD BE'!$N$71*'TUSD BE'!$N$78</f>
        <v>1.9465797574699829E-7</v>
      </c>
      <c r="O71" s="13">
        <f>'TUSD BE'!$O$71*'TUSD BE'!$O$78</f>
        <v>0</v>
      </c>
      <c r="P71" s="13">
        <f>'TUSD BE'!$P$71*'TUSD BE'!$P$78</f>
        <v>0</v>
      </c>
      <c r="Q71" s="13">
        <f>'TUSD BE'!$Q$71*'TUSD BE'!$Q$78</f>
        <v>-0.96575812086074708</v>
      </c>
      <c r="R71" s="13">
        <f>'TUSD BE'!$R$71*'TUSD BE'!$R$78</f>
        <v>-0.22546810955126298</v>
      </c>
      <c r="S71" s="13">
        <f>'TUSD BE'!$R$71*'TUSD BE'!$S$78</f>
        <v>0</v>
      </c>
      <c r="T71" s="13">
        <f ca="1">SUM($L$71:$S$71)</f>
        <v>-1.5305592390410103</v>
      </c>
      <c r="U71" s="13">
        <f>'TUSD BE'!$U$71*'TUSD BE'!$U$78</f>
        <v>-0.23244235388475504</v>
      </c>
      <c r="V71" s="13">
        <f>'TUSD BE'!$V$71*'TUSD BE'!$V$78</f>
        <v>-5.2242770372965944E-2</v>
      </c>
      <c r="W71" s="13">
        <f>'TUSD BE'!$W$71*'TUSD BE'!$W$78</f>
        <v>-1.7906634239020234E-3</v>
      </c>
      <c r="X71" s="13">
        <f>'TUSD BE'!$X$71*'TUSD BE'!$X$78</f>
        <v>0</v>
      </c>
      <c r="Y71" s="13">
        <f>'TUSD BE'!$Y$71*'TUSD BE'!$Y$78</f>
        <v>0</v>
      </c>
      <c r="Z71" s="13">
        <f>'TUSD BE'!$Z$71*'TUSD BE'!$Z$78</f>
        <v>0</v>
      </c>
      <c r="AA71" s="13">
        <f>'TUSD BE'!$AA$71*'TUSD BE'!$AA$78</f>
        <v>0</v>
      </c>
      <c r="AB71" s="13">
        <f>SUM($U$71:$AA$71)</f>
        <v>-0.28647578768162302</v>
      </c>
      <c r="AC71" s="13">
        <f>'TUSD BE'!$AC$71*'TUSD BE'!$AC$78</f>
        <v>1.205456453644353E-2</v>
      </c>
      <c r="AD71" s="13">
        <f>SUM($AC$71:$AC$71)</f>
        <v>1.205456453644353E-2</v>
      </c>
      <c r="AE71" s="13">
        <f ca="1">$AO$71*$AO$75</f>
        <v>0</v>
      </c>
      <c r="AF71" s="13">
        <f ca="1">$AP$71*$AP$75</f>
        <v>0</v>
      </c>
      <c r="AG71" s="13">
        <f ca="1">SUM($AE$71:$AF$71)</f>
        <v>0</v>
      </c>
      <c r="AH71" s="13">
        <f>'TUSD BE'!$AH$71*'TUSD BE'!$AH$78</f>
        <v>6.5521142023950549</v>
      </c>
      <c r="AI71" s="13">
        <f>'TUSD BE'!$AI$71*'TUSD BE'!$AI$78</f>
        <v>0.11355523482788528</v>
      </c>
      <c r="AJ71" s="13">
        <f ca="1">'TUSD BE'!$AJ$71*'TUSD BE'!$AJ$78</f>
        <v>0.45231939595487936</v>
      </c>
      <c r="AK71" s="13">
        <f ca="1">'TUSD BE'!$AK$71*'TUSD BE'!$AK$78</f>
        <v>-1.0344754299862412E-2</v>
      </c>
      <c r="AL71" s="13">
        <f ca="1">SUM($AH$71:$AK$71)</f>
        <v>7.1076440788779571</v>
      </c>
      <c r="AM71" s="13">
        <f ca="1">SUMIF($L$4:$AL$4,"SUBTOTAL",$L$71:$AL$71)</f>
        <v>5.3026636166917669</v>
      </c>
      <c r="AO71" s="20">
        <f ca="1">+'TUSD BE'!$T$71+'TUSD BE'!$AB$71+'TUSD BE'!$AD$71+'TUSD BE'!$AL$71</f>
        <v>213.86776805965425</v>
      </c>
      <c r="AP71" s="20">
        <f ca="1">+'TUSD BE'!$T$71+'TUSD BE'!$AB$71+'TUSD BE'!$AD$71+'TUSD BE'!$AL$71</f>
        <v>213.86776805965425</v>
      </c>
    </row>
    <row r="73" spans="1:42" ht="11.25" customHeight="1" x14ac:dyDescent="0.3">
      <c r="K73" s="16" t="s">
        <v>766</v>
      </c>
      <c r="L73" s="13">
        <f>SUMPRODUCT($I$5:$I71,$L$5:$L71)</f>
        <v>-272918.45718012837</v>
      </c>
      <c r="M73" s="13">
        <f>SUMPRODUCT($I$5:$I71,$M$5:$M71)</f>
        <v>-716.77332712039458</v>
      </c>
      <c r="N73" s="13">
        <f ca="1">SUMPRODUCT($I$5:$I71,$N$5:$N71)</f>
        <v>7.8643862956890895E-2</v>
      </c>
      <c r="O73" s="13">
        <f>SUMPRODUCT($I$5:$I71,$O$5:$O71)</f>
        <v>0</v>
      </c>
      <c r="P73" s="13">
        <f>SUMPRODUCT($I$5:$I71,$P$5:$P71)</f>
        <v>0</v>
      </c>
      <c r="Q73" s="13">
        <f>SUMPRODUCT($I$5:$I71,$Q$5:$Q71)</f>
        <v>-779586.37970133102</v>
      </c>
      <c r="R73" s="13">
        <f>SUMPRODUCT($I$5:$I71,$R$5:$R71)</f>
        <v>-214649.38672727768</v>
      </c>
      <c r="S73" s="13">
        <f>SUMPRODUCT($I$5:$I71,$S$5:$S71)</f>
        <v>0</v>
      </c>
      <c r="T73" s="13">
        <f ca="1">SUMPRODUCT($I$5:$I71,$T$5:$T71)</f>
        <v>-1267870.9182919944</v>
      </c>
      <c r="U73" s="13">
        <f>SUMPRODUCT($I$5:$I71,$U$5:$U71)</f>
        <v>-188968.60819784438</v>
      </c>
      <c r="V73" s="13">
        <f>SUMPRODUCT($I$5:$I71,$V$5:$V71)</f>
        <v>-44420.893552581743</v>
      </c>
      <c r="W73" s="13">
        <f>SUMPRODUCT($I$5:$I71,$W$5:$W71)</f>
        <v>-1595.9885302039947</v>
      </c>
      <c r="X73" s="13">
        <f>SUMPRODUCT($I$5:$I71,$X$5:$X71)</f>
        <v>0</v>
      </c>
      <c r="Y73" s="13">
        <f>SUMPRODUCT($I$5:$I71,$Y$5:$Y71)</f>
        <v>0</v>
      </c>
      <c r="Z73" s="13">
        <f>SUMPRODUCT($I$5:$I71,$Z$5:$Z71)</f>
        <v>0</v>
      </c>
      <c r="AA73" s="13">
        <f>SUMPRODUCT($I$5:$I71,$AA$5:$AA71)</f>
        <v>0</v>
      </c>
      <c r="AB73" s="13">
        <f>SUMPRODUCT($I$5:$I71,$AB$5:$AB71)</f>
        <v>-234985.49028063004</v>
      </c>
      <c r="AC73" s="13">
        <f>SUMPRODUCT($I$5:$I71,$AC$5:$AC71)</f>
        <v>6947.701001350224</v>
      </c>
      <c r="AD73" s="13">
        <f>SUMPRODUCT($I$5:$I71,$AD$5:$AD71)</f>
        <v>6947.701001350224</v>
      </c>
      <c r="AE73" s="13">
        <f ca="1">SUMPRODUCT($I$5:$I71,$AE$5:$AE71)</f>
        <v>0</v>
      </c>
      <c r="AF73" s="13">
        <f ca="1">SUMPRODUCT($I$5:$I71,$AF$5:$AF71)</f>
        <v>0</v>
      </c>
      <c r="AG73" s="13">
        <f ca="1">SUMPRODUCT($I$5:$I71,$AG$5:$AG71)</f>
        <v>0</v>
      </c>
      <c r="AH73" s="13">
        <f>SUMPRODUCT($I$5:$I71,$AH$5:$AH71)</f>
        <v>2629305.7683312716</v>
      </c>
      <c r="AI73" s="13">
        <f>SUMPRODUCT($I$5:$I71,$AI$5:$AI71)</f>
        <v>45567.264989804564</v>
      </c>
      <c r="AJ73" s="13">
        <f ca="1">SUMPRODUCT($I$5:$I71,$AJ$5:$AJ71)</f>
        <v>307179.5807907487</v>
      </c>
      <c r="AK73" s="13">
        <f ca="1">SUMPRODUCT($I$5:$I71,$AK$5:$AK71)</f>
        <v>-7025.3394341108869</v>
      </c>
      <c r="AL73" s="13">
        <f ca="1">SUMPRODUCT($I$5:$I71,$AL$5:$AL71)</f>
        <v>2975027.2746777143</v>
      </c>
      <c r="AM73" s="13">
        <f ca="1">SUMPRODUCT($I$5:$I71,$AM$5:$AM71)</f>
        <v>1479118.5671064395</v>
      </c>
      <c r="AO73" s="18">
        <f ca="1">SUMPRODUCT($I$5:$I71,$AO$5:$AO71)</f>
        <v>141285121.47918466</v>
      </c>
      <c r="AP73" s="18">
        <f ca="1">SUMPRODUCT($I$5:$I71,$AP$5:$AP71)</f>
        <v>141285121.47918466</v>
      </c>
    </row>
    <row r="74" spans="1:42" ht="11.25" customHeight="1" x14ac:dyDescent="0.3">
      <c r="K74" s="16" t="s">
        <v>698</v>
      </c>
      <c r="L74" s="13">
        <f>'TR TUSD'!$L$76</f>
        <v>3263782.2795950784</v>
      </c>
      <c r="M74" s="13">
        <f>'TR TUSD'!$M$76</f>
        <v>333370.91399464809</v>
      </c>
      <c r="N74" s="13">
        <f>'TR TUSD'!$N$76</f>
        <v>1124879.8979031066</v>
      </c>
      <c r="O74" s="13">
        <f>'TR TUSD'!$O$76</f>
        <v>0</v>
      </c>
      <c r="P74" s="13">
        <f>'TR TUSD'!$P$76</f>
        <v>0</v>
      </c>
      <c r="Q74" s="13">
        <f>'TR TUSD'!$Q$76</f>
        <v>41969122.213877276</v>
      </c>
      <c r="R74" s="13">
        <f>'TR TUSD'!$R$76</f>
        <v>7792628.5853286218</v>
      </c>
      <c r="S74" s="13">
        <f>'TR TUSD'!$S$76</f>
        <v>0</v>
      </c>
      <c r="T74" s="13">
        <f>'TR TUSD'!$T$76</f>
        <v>54483783.890698731</v>
      </c>
      <c r="U74" s="13">
        <f>'TR TUSD'!$U$76</f>
        <v>12972589.400000002</v>
      </c>
      <c r="V74" s="13">
        <f>'TR TUSD'!$V$76</f>
        <v>2748681.3200000003</v>
      </c>
      <c r="W74" s="13">
        <f>'TR TUSD'!$W$76</f>
        <v>445314.77308886201</v>
      </c>
      <c r="X74" s="13">
        <f>'TR TUSD'!$X$76</f>
        <v>0</v>
      </c>
      <c r="Y74" s="13">
        <f>'TR TUSD'!$Y$76</f>
        <v>0</v>
      </c>
      <c r="Z74" s="13">
        <f>'TR TUSD'!$Z$76</f>
        <v>0</v>
      </c>
      <c r="AA74" s="13">
        <f>'TR TUSD'!$AA$76</f>
        <v>0</v>
      </c>
      <c r="AB74" s="13">
        <f>'TR TUSD'!$AB$76</f>
        <v>16166585.493088864</v>
      </c>
      <c r="AC74" s="13">
        <f>'TR TUSD'!$AC$76</f>
        <v>64256372.585481919</v>
      </c>
      <c r="AD74" s="13">
        <f>'TR TUSD'!$AD$76</f>
        <v>64256372.585481919</v>
      </c>
      <c r="AE74" s="13">
        <f>'TR TUSD'!$AE$76</f>
        <v>0</v>
      </c>
      <c r="AF74" s="13">
        <f>'TR TUSD'!$AF$76</f>
        <v>0</v>
      </c>
      <c r="AG74" s="13">
        <f>'TR TUSD'!$AG$76</f>
        <v>0</v>
      </c>
      <c r="AH74" s="13">
        <f>'TR TUSD'!$AH$76</f>
        <v>5512893.3613592153</v>
      </c>
      <c r="AI74" s="13">
        <f>'TR TUSD'!$AI$76</f>
        <v>95541.369012027237</v>
      </c>
      <c r="AJ74" s="13">
        <f>'TR TUSD'!$AJ$76</f>
        <v>644066.6932249564</v>
      </c>
      <c r="AK74" s="13">
        <f>'TR TUSD'!$AK$76</f>
        <v>125878.08631896082</v>
      </c>
      <c r="AL74" s="13">
        <f>'TR TUSD'!$AL$76</f>
        <v>6378379.5099151591</v>
      </c>
      <c r="AM74" s="13">
        <f>'TUSD BE'!$AM$74</f>
        <v>141285121.47918469</v>
      </c>
      <c r="AO74" s="18">
        <f>$AE$75</f>
        <v>0</v>
      </c>
      <c r="AP74" s="18">
        <f>$AF$75</f>
        <v>0</v>
      </c>
    </row>
    <row r="75" spans="1:42" ht="11.25" customHeight="1" x14ac:dyDescent="0.3">
      <c r="K75" s="16" t="s">
        <v>699</v>
      </c>
      <c r="L75" s="13">
        <f>CUSTOS!$E$2</f>
        <v>-272918.45718012837</v>
      </c>
      <c r="M75" s="13">
        <f>CUSTOS!$E$3</f>
        <v>-716.77332712039424</v>
      </c>
      <c r="N75" s="13">
        <f>CUSTOS!$E$4</f>
        <v>7.8643862956890867E-2</v>
      </c>
      <c r="O75" s="13">
        <f>CUSTOS!$E$5</f>
        <v>0</v>
      </c>
      <c r="P75" s="13">
        <f>CUSTOS!$E$6</f>
        <v>0</v>
      </c>
      <c r="Q75" s="13">
        <f>CUSTOS!$E$7</f>
        <v>-779586.37970133126</v>
      </c>
      <c r="R75" s="13">
        <f>CUSTOS!$E$8</f>
        <v>-214649.38672727766</v>
      </c>
      <c r="S75" s="13">
        <f>CUSTOS!$E$9</f>
        <v>0</v>
      </c>
      <c r="T75" s="13">
        <f>CUSTOS!$E$10</f>
        <v>-1267870.9182919948</v>
      </c>
      <c r="U75" s="13">
        <f>CUSTOS!$E$11</f>
        <v>-188968.60819784435</v>
      </c>
      <c r="V75" s="13">
        <f>CUSTOS!$E$12</f>
        <v>-44420.893552581736</v>
      </c>
      <c r="W75" s="13">
        <f>CUSTOS!$E$13</f>
        <v>-1595.9885302039947</v>
      </c>
      <c r="X75" s="13">
        <f>CUSTOS!$E$14</f>
        <v>0</v>
      </c>
      <c r="Y75" s="13">
        <f>CUSTOS!$E$15</f>
        <v>0</v>
      </c>
      <c r="Z75" s="13">
        <f>CUSTOS!$E$16</f>
        <v>0</v>
      </c>
      <c r="AA75" s="13">
        <f>CUSTOS!$E$17</f>
        <v>0</v>
      </c>
      <c r="AB75" s="13">
        <f>CUSTOS!$E$18</f>
        <v>-234985.49028063007</v>
      </c>
      <c r="AC75" s="13">
        <f>CUSTOS!$E$19</f>
        <v>6947.701001350224</v>
      </c>
      <c r="AD75" s="13">
        <f>CUSTOS!$E$20</f>
        <v>6947.701001350224</v>
      </c>
      <c r="AE75" s="13">
        <f>CUSTOS!$E$21</f>
        <v>0</v>
      </c>
      <c r="AF75" s="13">
        <f>CUSTOS!$E$22</f>
        <v>0</v>
      </c>
      <c r="AG75" s="13">
        <f>CUSTOS!$E$23</f>
        <v>0</v>
      </c>
      <c r="AH75" s="13">
        <f>CUSTOS!$E$24</f>
        <v>2629305.7683312711</v>
      </c>
      <c r="AI75" s="13">
        <f>CUSTOS!$E$25</f>
        <v>45567.264989804564</v>
      </c>
      <c r="AJ75" s="13">
        <f>CUSTOS!$E$26</f>
        <v>307179.5807907487</v>
      </c>
      <c r="AK75" s="13">
        <f>CUSTOS!$E$27</f>
        <v>-7025.3394341108897</v>
      </c>
      <c r="AL75" s="13">
        <f>CUSTOS!$E$28</f>
        <v>2975027.2746777134</v>
      </c>
      <c r="AM75" s="13">
        <f>CUSTOS!$E$29</f>
        <v>1479118.5671064388</v>
      </c>
      <c r="AO75" s="18">
        <f ca="1">IF(AO73&lt;&gt;0,AO74/AO73,0)</f>
        <v>0</v>
      </c>
      <c r="AP75" s="18">
        <f ca="1">IF(AP73&lt;&gt;0,AP74/AP73,0)</f>
        <v>0</v>
      </c>
    </row>
    <row r="76" spans="1:42" ht="11.25" customHeight="1" x14ac:dyDescent="0.3">
      <c r="K76" s="16" t="s">
        <v>700</v>
      </c>
      <c r="L76" s="13">
        <f>CUSTOS!$F$2</f>
        <v>225997.53526647703</v>
      </c>
      <c r="M76" s="13">
        <f>CUSTOS!$F$3</f>
        <v>0</v>
      </c>
      <c r="N76" s="13">
        <f>CUSTOS!$F$4</f>
        <v>0</v>
      </c>
      <c r="O76" s="13">
        <f>CUSTOS!$F$5</f>
        <v>0</v>
      </c>
      <c r="P76" s="13">
        <f>CUSTOS!$F$6</f>
        <v>0</v>
      </c>
      <c r="Q76" s="13">
        <f>CUSTOS!$F$7</f>
        <v>11193747.975400001</v>
      </c>
      <c r="R76" s="13">
        <f>CUSTOS!$F$8</f>
        <v>3001959.0934000001</v>
      </c>
      <c r="S76" s="13">
        <f>CUSTOS!$F$9</f>
        <v>0</v>
      </c>
      <c r="T76" s="13">
        <f>CUSTOS!$F$10</f>
        <v>14421704.604066478</v>
      </c>
      <c r="U76" s="13">
        <f>CUSTOS!$F$11</f>
        <v>1133989.9410540168</v>
      </c>
      <c r="V76" s="13">
        <f>CUSTOS!$F$12</f>
        <v>240274.0788236986</v>
      </c>
      <c r="W76" s="13">
        <f>CUSTOS!$F$13</f>
        <v>0</v>
      </c>
      <c r="X76" s="13">
        <f>CUSTOS!$F$14</f>
        <v>0</v>
      </c>
      <c r="Y76" s="13">
        <f>CUSTOS!$F$15</f>
        <v>0</v>
      </c>
      <c r="Z76" s="13">
        <f>CUSTOS!$F$16</f>
        <v>0</v>
      </c>
      <c r="AA76" s="13">
        <f>CUSTOS!$F$17</f>
        <v>0</v>
      </c>
      <c r="AB76" s="13">
        <f>CUSTOS!$F$18</f>
        <v>1374264.0198777155</v>
      </c>
      <c r="AC76" s="13">
        <f>CUSTOS!$F$19</f>
        <v>0</v>
      </c>
      <c r="AD76" s="13">
        <f>CUSTOS!$F$20</f>
        <v>0</v>
      </c>
      <c r="AE76" s="13">
        <f>CUSTOS!$F$21</f>
        <v>0</v>
      </c>
      <c r="AF76" s="13">
        <f>CUSTOS!$F$22</f>
        <v>0</v>
      </c>
      <c r="AG76" s="13">
        <f>CUSTOS!$F$23</f>
        <v>0</v>
      </c>
      <c r="AH76" s="13">
        <f>CUSTOS!$F$24</f>
        <v>-804303.06857384951</v>
      </c>
      <c r="AI76" s="13">
        <f>CUSTOS!$F$25</f>
        <v>-13938.999221485739</v>
      </c>
      <c r="AJ76" s="13">
        <f>CUSTOS!$F$26</f>
        <v>-93966.05081425418</v>
      </c>
      <c r="AK76" s="13">
        <f>CUSTOS!$F$27</f>
        <v>0</v>
      </c>
      <c r="AL76" s="13">
        <f>CUSTOS!$F$28</f>
        <v>-912208.11860958941</v>
      </c>
      <c r="AM76" s="13">
        <f>CUSTOS!$F$29</f>
        <v>14883760.505334605</v>
      </c>
    </row>
    <row r="77" spans="1:42" ht="11.25" customHeight="1" x14ac:dyDescent="0.3">
      <c r="K77" s="16" t="s">
        <v>763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f>SUM($L$77:$S$77)</f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f>SUM($U$77:$AA$77)</f>
        <v>0</v>
      </c>
      <c r="AC77" s="13">
        <v>0</v>
      </c>
      <c r="AD77" s="13">
        <f>SUM($AC$77:$AC$77)</f>
        <v>0</v>
      </c>
      <c r="AE77" s="13">
        <v>0</v>
      </c>
      <c r="AF77" s="13">
        <v>0</v>
      </c>
      <c r="AG77" s="13">
        <f>SUM($AE$77:$AF$77)</f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f>SUM($AH$77:$AK$77)</f>
        <v>0</v>
      </c>
      <c r="AM77" s="13"/>
    </row>
    <row r="78" spans="1:42" ht="11.25" customHeight="1" x14ac:dyDescent="0.3">
      <c r="K78" s="16" t="s">
        <v>775</v>
      </c>
      <c r="L78" s="13">
        <f t="shared" ref="L78:R78" si="0">IF((L74-(0))&lt;&gt;0,(L76)/(L74-(0)),0)</f>
        <v>6.9244059776718755E-2</v>
      </c>
      <c r="M78" s="13">
        <f t="shared" si="0"/>
        <v>0</v>
      </c>
      <c r="N78" s="13">
        <f t="shared" si="0"/>
        <v>0</v>
      </c>
      <c r="O78" s="13">
        <f t="shared" si="0"/>
        <v>0</v>
      </c>
      <c r="P78" s="13">
        <f t="shared" si="0"/>
        <v>0</v>
      </c>
      <c r="Q78" s="13">
        <f t="shared" si="0"/>
        <v>0.2667138930939742</v>
      </c>
      <c r="R78" s="13">
        <f t="shared" si="0"/>
        <v>0.38523061384599594</v>
      </c>
      <c r="S78" s="13">
        <f>IF((R73-(0)&lt;&gt;0),(S75)/(R73-(0)),0)</f>
        <v>0</v>
      </c>
      <c r="T78" s="13"/>
      <c r="U78" s="13">
        <f t="shared" ref="U78:AA78" si="1">IF((U74-(0))&lt;&gt;0,(U76)/(U74-(0)),0)</f>
        <v>8.7414309209078694E-2</v>
      </c>
      <c r="V78" s="13">
        <f t="shared" si="1"/>
        <v>8.7414309209078694E-2</v>
      </c>
      <c r="W78" s="13">
        <f t="shared" si="1"/>
        <v>0</v>
      </c>
      <c r="X78" s="13">
        <f t="shared" si="1"/>
        <v>0</v>
      </c>
      <c r="Y78" s="13">
        <f t="shared" si="1"/>
        <v>0</v>
      </c>
      <c r="Z78" s="13">
        <f t="shared" si="1"/>
        <v>0</v>
      </c>
      <c r="AA78" s="13">
        <f t="shared" si="1"/>
        <v>0</v>
      </c>
      <c r="AB78" s="13"/>
      <c r="AC78" s="13">
        <f>IF((AC74-(0))&lt;&gt;0,(AC76)/(AC74-(0)),0)</f>
        <v>0</v>
      </c>
      <c r="AD78" s="13"/>
      <c r="AE78" s="13">
        <f ca="1">IF(($AM73-(0))&lt;&gt;0,(AE75)/($AM73-(0)),0)</f>
        <v>0</v>
      </c>
      <c r="AF78" s="13">
        <f ca="1">IF(($AM73-(0))&lt;&gt;0,(AF75)/($AM73-(0)),0)</f>
        <v>0</v>
      </c>
      <c r="AG78" s="13"/>
      <c r="AH78" s="13">
        <f>IF((AH74-(0))&lt;&gt;0,(AH76)/(AH74-(0)),0)</f>
        <v>-0.14589490778315126</v>
      </c>
      <c r="AI78" s="13">
        <f>IF((AI74-(0))&lt;&gt;0,(AI76)/(AI74-(0)),0)</f>
        <v>-0.14589490778315126</v>
      </c>
      <c r="AJ78" s="13">
        <f>IF((AJ74-(0))&lt;&gt;0,(AJ76)/(AJ74-(0)),0)</f>
        <v>-0.14589490778315126</v>
      </c>
      <c r="AK78" s="13">
        <f>IF((AK74-(0))&lt;&gt;0,(AK76)/(AK74-(0)),0)</f>
        <v>0</v>
      </c>
      <c r="AL78" s="13"/>
      <c r="AM78" s="13"/>
    </row>
  </sheetData>
  <mergeCells count="103">
    <mergeCell ref="AP1:AP4"/>
    <mergeCell ref="L2:AM2"/>
    <mergeCell ref="L3:T3"/>
    <mergeCell ref="U3:AB3"/>
    <mergeCell ref="AC3:AD3"/>
    <mergeCell ref="A1:A4"/>
    <mergeCell ref="B1:B4"/>
    <mergeCell ref="C1:C4"/>
    <mergeCell ref="D1:D4"/>
    <mergeCell ref="E1:E4"/>
    <mergeCell ref="F1:F4"/>
    <mergeCell ref="A9:A13"/>
    <mergeCell ref="B9:B12"/>
    <mergeCell ref="C9:C12"/>
    <mergeCell ref="D9:D12"/>
    <mergeCell ref="E9:E11"/>
    <mergeCell ref="F9:F11"/>
    <mergeCell ref="AE3:AG3"/>
    <mergeCell ref="AH3:AL3"/>
    <mergeCell ref="AM3:AM4"/>
    <mergeCell ref="A5:A8"/>
    <mergeCell ref="B5:B8"/>
    <mergeCell ref="C5:C8"/>
    <mergeCell ref="D5:D8"/>
    <mergeCell ref="E5:E7"/>
    <mergeCell ref="F5:F7"/>
    <mergeCell ref="G1:G4"/>
    <mergeCell ref="H1:H4"/>
    <mergeCell ref="I1:I4"/>
    <mergeCell ref="J1:J4"/>
    <mergeCell ref="L1:AM1"/>
    <mergeCell ref="F19:F21"/>
    <mergeCell ref="E22:E23"/>
    <mergeCell ref="F22:F23"/>
    <mergeCell ref="C24:C27"/>
    <mergeCell ref="D24:D27"/>
    <mergeCell ref="E24:E26"/>
    <mergeCell ref="F24:F26"/>
    <mergeCell ref="A14:A23"/>
    <mergeCell ref="B14:B17"/>
    <mergeCell ref="C14:C17"/>
    <mergeCell ref="D14:D17"/>
    <mergeCell ref="E14:E16"/>
    <mergeCell ref="F14:F16"/>
    <mergeCell ref="B19:B23"/>
    <mergeCell ref="C19:C23"/>
    <mergeCell ref="D19:D23"/>
    <mergeCell ref="E19:E21"/>
    <mergeCell ref="B33:B34"/>
    <mergeCell ref="C33:C34"/>
    <mergeCell ref="D33:D34"/>
    <mergeCell ref="E33:E34"/>
    <mergeCell ref="F33:F34"/>
    <mergeCell ref="A35:A36"/>
    <mergeCell ref="B35:B36"/>
    <mergeCell ref="C35:C36"/>
    <mergeCell ref="D35:D36"/>
    <mergeCell ref="A24:A34"/>
    <mergeCell ref="B24:B27"/>
    <mergeCell ref="B28:B32"/>
    <mergeCell ref="C28:C32"/>
    <mergeCell ref="D28:D32"/>
    <mergeCell ref="E28:E30"/>
    <mergeCell ref="F28:F30"/>
    <mergeCell ref="E31:E32"/>
    <mergeCell ref="F31:F32"/>
    <mergeCell ref="A37:A49"/>
    <mergeCell ref="B37:B39"/>
    <mergeCell ref="C37:C39"/>
    <mergeCell ref="D37:D39"/>
    <mergeCell ref="E37:E39"/>
    <mergeCell ref="F37:F39"/>
    <mergeCell ref="B40:B44"/>
    <mergeCell ref="C40:C44"/>
    <mergeCell ref="B45:B49"/>
    <mergeCell ref="C45:C49"/>
    <mergeCell ref="F54:F56"/>
    <mergeCell ref="B58:B60"/>
    <mergeCell ref="C58:C60"/>
    <mergeCell ref="D58:D60"/>
    <mergeCell ref="E58:E60"/>
    <mergeCell ref="F58:F60"/>
    <mergeCell ref="A50:A64"/>
    <mergeCell ref="B50:B52"/>
    <mergeCell ref="C50:C52"/>
    <mergeCell ref="D50:D52"/>
    <mergeCell ref="E50:E52"/>
    <mergeCell ref="F50:F52"/>
    <mergeCell ref="B54:B56"/>
    <mergeCell ref="C54:C56"/>
    <mergeCell ref="D54:D56"/>
    <mergeCell ref="E54:E56"/>
    <mergeCell ref="E65:E67"/>
    <mergeCell ref="F65:F67"/>
    <mergeCell ref="A70:A71"/>
    <mergeCell ref="B70:B71"/>
    <mergeCell ref="C70:C71"/>
    <mergeCell ref="B62:B64"/>
    <mergeCell ref="C62:C64"/>
    <mergeCell ref="A65:A69"/>
    <mergeCell ref="B65:B67"/>
    <mergeCell ref="C65:C67"/>
    <mergeCell ref="D65:D67"/>
  </mergeCells>
  <conditionalFormatting sqref="L73">
    <cfRule type="cellIs" dxfId="1281" priority="55" operator="notEqual">
      <formula>$L$75</formula>
    </cfRule>
    <cfRule type="cellIs" dxfId="1280" priority="56" operator="equal">
      <formula>$L$75</formula>
    </cfRule>
  </conditionalFormatting>
  <conditionalFormatting sqref="M73">
    <cfRule type="cellIs" dxfId="1279" priority="53" operator="notEqual">
      <formula>$M$75</formula>
    </cfRule>
    <cfRule type="cellIs" dxfId="1278" priority="54" operator="equal">
      <formula>$M$75</formula>
    </cfRule>
  </conditionalFormatting>
  <conditionalFormatting sqref="N73">
    <cfRule type="cellIs" dxfId="1277" priority="51" operator="notEqual">
      <formula>$N$75</formula>
    </cfRule>
    <cfRule type="cellIs" dxfId="1276" priority="52" operator="equal">
      <formula>$N$75</formula>
    </cfRule>
  </conditionalFormatting>
  <conditionalFormatting sqref="O73">
    <cfRule type="cellIs" dxfId="1275" priority="49" operator="notEqual">
      <formula>$O$75</formula>
    </cfRule>
    <cfRule type="cellIs" dxfId="1274" priority="50" operator="equal">
      <formula>$O$75</formula>
    </cfRule>
  </conditionalFormatting>
  <conditionalFormatting sqref="P73">
    <cfRule type="cellIs" dxfId="1273" priority="47" operator="notEqual">
      <formula>$P$75</formula>
    </cfRule>
    <cfRule type="cellIs" dxfId="1272" priority="48" operator="equal">
      <formula>$P$75</formula>
    </cfRule>
  </conditionalFormatting>
  <conditionalFormatting sqref="Q73">
    <cfRule type="cellIs" dxfId="1271" priority="45" operator="notEqual">
      <formula>$Q$75</formula>
    </cfRule>
    <cfRule type="cellIs" dxfId="1270" priority="46" operator="equal">
      <formula>$Q$75</formula>
    </cfRule>
  </conditionalFormatting>
  <conditionalFormatting sqref="R73">
    <cfRule type="cellIs" dxfId="1269" priority="43" operator="notEqual">
      <formula>$R$75</formula>
    </cfRule>
    <cfRule type="cellIs" dxfId="1268" priority="44" operator="equal">
      <formula>$R$75</formula>
    </cfRule>
  </conditionalFormatting>
  <conditionalFormatting sqref="S73">
    <cfRule type="cellIs" dxfId="1267" priority="41" operator="notEqual">
      <formula>$S$75</formula>
    </cfRule>
    <cfRule type="cellIs" dxfId="1266" priority="42" operator="equal">
      <formula>$S$75</formula>
    </cfRule>
  </conditionalFormatting>
  <conditionalFormatting sqref="T73">
    <cfRule type="cellIs" dxfId="1265" priority="39" operator="notEqual">
      <formula>$T$75</formula>
    </cfRule>
    <cfRule type="cellIs" dxfId="1264" priority="40" operator="equal">
      <formula>$T$75</formula>
    </cfRule>
  </conditionalFormatting>
  <conditionalFormatting sqref="U73">
    <cfRule type="cellIs" dxfId="1263" priority="37" operator="notEqual">
      <formula>$U$75</formula>
    </cfRule>
    <cfRule type="cellIs" dxfId="1262" priority="38" operator="equal">
      <formula>$U$75</formula>
    </cfRule>
  </conditionalFormatting>
  <conditionalFormatting sqref="V73">
    <cfRule type="cellIs" dxfId="1261" priority="35" operator="notEqual">
      <formula>$V$75</formula>
    </cfRule>
    <cfRule type="cellIs" dxfId="1260" priority="36" operator="equal">
      <formula>$V$75</formula>
    </cfRule>
  </conditionalFormatting>
  <conditionalFormatting sqref="W73">
    <cfRule type="cellIs" dxfId="1259" priority="33" operator="notEqual">
      <formula>$W$75</formula>
    </cfRule>
    <cfRule type="cellIs" dxfId="1258" priority="34" operator="equal">
      <formula>$W$75</formula>
    </cfRule>
  </conditionalFormatting>
  <conditionalFormatting sqref="X73">
    <cfRule type="cellIs" dxfId="1257" priority="31" operator="notEqual">
      <formula>$X$75</formula>
    </cfRule>
    <cfRule type="cellIs" dxfId="1256" priority="32" operator="equal">
      <formula>$X$75</formula>
    </cfRule>
  </conditionalFormatting>
  <conditionalFormatting sqref="Y73">
    <cfRule type="cellIs" dxfId="1255" priority="29" operator="notEqual">
      <formula>$Y$75</formula>
    </cfRule>
    <cfRule type="cellIs" dxfId="1254" priority="30" operator="equal">
      <formula>$Y$75</formula>
    </cfRule>
  </conditionalFormatting>
  <conditionalFormatting sqref="Z73">
    <cfRule type="cellIs" dxfId="1253" priority="27" operator="notEqual">
      <formula>$Z$75</formula>
    </cfRule>
    <cfRule type="cellIs" dxfId="1252" priority="28" operator="equal">
      <formula>$Z$75</formula>
    </cfRule>
  </conditionalFormatting>
  <conditionalFormatting sqref="AA73">
    <cfRule type="cellIs" dxfId="1251" priority="25" operator="notEqual">
      <formula>$AA$75</formula>
    </cfRule>
    <cfRule type="cellIs" dxfId="1250" priority="26" operator="equal">
      <formula>$AA$75</formula>
    </cfRule>
  </conditionalFormatting>
  <conditionalFormatting sqref="AB73">
    <cfRule type="cellIs" dxfId="1249" priority="23" operator="notEqual">
      <formula>$AB$75</formula>
    </cfRule>
    <cfRule type="cellIs" dxfId="1248" priority="24" operator="equal">
      <formula>$AB$75</formula>
    </cfRule>
  </conditionalFormatting>
  <conditionalFormatting sqref="AC73">
    <cfRule type="cellIs" dxfId="1247" priority="21" operator="notEqual">
      <formula>$AC$75</formula>
    </cfRule>
    <cfRule type="cellIs" dxfId="1246" priority="22" operator="equal">
      <formula>$AC$75</formula>
    </cfRule>
  </conditionalFormatting>
  <conditionalFormatting sqref="AD73">
    <cfRule type="cellIs" dxfId="1245" priority="19" operator="notEqual">
      <formula>$AD$75</formula>
    </cfRule>
    <cfRule type="cellIs" dxfId="1244" priority="20" operator="equal">
      <formula>$AD$75</formula>
    </cfRule>
  </conditionalFormatting>
  <conditionalFormatting sqref="AE73">
    <cfRule type="cellIs" dxfId="1243" priority="17" operator="notEqual">
      <formula>$AE$75</formula>
    </cfRule>
    <cfRule type="cellIs" dxfId="1242" priority="18" operator="equal">
      <formula>$AE$75</formula>
    </cfRule>
  </conditionalFormatting>
  <conditionalFormatting sqref="AF73">
    <cfRule type="cellIs" dxfId="1241" priority="16" operator="equal">
      <formula>$AF$75</formula>
    </cfRule>
  </conditionalFormatting>
  <conditionalFormatting sqref="AF73">
    <cfRule type="cellIs" dxfId="1240" priority="15" operator="notEqual">
      <formula>$AF$75</formula>
    </cfRule>
  </conditionalFormatting>
  <conditionalFormatting sqref="AG73">
    <cfRule type="cellIs" dxfId="1239" priority="14" operator="equal">
      <formula>$AG$75</formula>
    </cfRule>
  </conditionalFormatting>
  <conditionalFormatting sqref="AG73">
    <cfRule type="cellIs" dxfId="1238" priority="13" operator="notEqual">
      <formula>$AG$75</formula>
    </cfRule>
  </conditionalFormatting>
  <conditionalFormatting sqref="AH73">
    <cfRule type="cellIs" dxfId="1237" priority="12" operator="equal">
      <formula>$AH$75</formula>
    </cfRule>
  </conditionalFormatting>
  <conditionalFormatting sqref="AH73">
    <cfRule type="cellIs" dxfId="1236" priority="11" operator="notEqual">
      <formula>$AH$75</formula>
    </cfRule>
  </conditionalFormatting>
  <conditionalFormatting sqref="AI73">
    <cfRule type="cellIs" dxfId="1235" priority="10" operator="equal">
      <formula>$AI$75</formula>
    </cfRule>
  </conditionalFormatting>
  <conditionalFormatting sqref="AI73">
    <cfRule type="cellIs" dxfId="1234" priority="9" operator="notEqual">
      <formula>$AI$75</formula>
    </cfRule>
  </conditionalFormatting>
  <conditionalFormatting sqref="AJ73">
    <cfRule type="cellIs" dxfId="1233" priority="8" operator="equal">
      <formula>$AJ$75</formula>
    </cfRule>
  </conditionalFormatting>
  <conditionalFormatting sqref="AJ73">
    <cfRule type="cellIs" dxfId="1232" priority="7" operator="notEqual">
      <formula>$AJ$75</formula>
    </cfRule>
  </conditionalFormatting>
  <conditionalFormatting sqref="AK73">
    <cfRule type="cellIs" dxfId="1231" priority="6" operator="equal">
      <formula>$AK$75</formula>
    </cfRule>
  </conditionalFormatting>
  <conditionalFormatting sqref="AK73">
    <cfRule type="cellIs" dxfId="1230" priority="5" operator="notEqual">
      <formula>$AK$75</formula>
    </cfRule>
  </conditionalFormatting>
  <conditionalFormatting sqref="AL73">
    <cfRule type="cellIs" dxfId="1229" priority="4" operator="equal">
      <formula>$AL$75</formula>
    </cfRule>
  </conditionalFormatting>
  <conditionalFormatting sqref="AL73">
    <cfRule type="cellIs" dxfId="1228" priority="3" operator="notEqual">
      <formula>$AL$75</formula>
    </cfRule>
  </conditionalFormatting>
  <conditionalFormatting sqref="AM73">
    <cfRule type="cellIs" dxfId="1227" priority="2" operator="equal">
      <formula>$AM$75</formula>
    </cfRule>
  </conditionalFormatting>
  <conditionalFormatting sqref="AM73">
    <cfRule type="cellIs" dxfId="1226" priority="1" operator="notEqual">
      <formula>$AM$75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834C6-998E-4222-919F-40EA5B6F76F8}">
  <sheetPr codeName="Planilha11"/>
  <dimension ref="A1:AP77"/>
  <sheetViews>
    <sheetView showGridLines="0" topLeftCell="X56" workbookViewId="0">
      <selection activeCell="AO73" sqref="AO73:AP75"/>
    </sheetView>
  </sheetViews>
  <sheetFormatPr defaultRowHeight="11.25" customHeight="1" x14ac:dyDescent="0.3"/>
  <cols>
    <col min="1" max="1" width="9" style="9" bestFit="1" customWidth="1"/>
    <col min="2" max="2" width="19.441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4.109375" style="9" bestFit="1" customWidth="1"/>
    <col min="12" max="12" width="12.44140625" style="9" bestFit="1" customWidth="1"/>
    <col min="13" max="13" width="7.88671875" style="9" bestFit="1" customWidth="1"/>
    <col min="14" max="14" width="9.109375" style="9" bestFit="1" customWidth="1"/>
    <col min="15" max="16" width="4.77734375" style="9" bestFit="1" customWidth="1"/>
    <col min="17" max="17" width="9.88671875" style="9" bestFit="1" customWidth="1"/>
    <col min="18" max="18" width="9.109375" style="9" bestFit="1" customWidth="1"/>
    <col min="19" max="19" width="8" style="9" bestFit="1" customWidth="1"/>
    <col min="20" max="21" width="9.88671875" style="9" bestFit="1" customWidth="1"/>
    <col min="22" max="22" width="7.88671875" style="9" bestFit="1" customWidth="1"/>
    <col min="23" max="23" width="9.21875" style="9" bestFit="1" customWidth="1"/>
    <col min="24" max="24" width="9.33203125" style="9" bestFit="1" customWidth="1"/>
    <col min="25" max="25" width="4.77734375" style="9" bestFit="1" customWidth="1"/>
    <col min="26" max="26" width="7.109375" style="9" bestFit="1" customWidth="1"/>
    <col min="27" max="27" width="9.33203125" style="9" bestFit="1" customWidth="1"/>
    <col min="28" max="28" width="9.88671875" style="9" bestFit="1" customWidth="1"/>
    <col min="29" max="29" width="11.109375" style="9" bestFit="1" customWidth="1"/>
    <col min="30" max="30" width="9.88671875" style="9" bestFit="1" customWidth="1"/>
    <col min="31" max="31" width="7.77734375" style="9" bestFit="1" customWidth="1"/>
    <col min="32" max="32" width="6.88671875" style="9" bestFit="1" customWidth="1"/>
    <col min="33" max="33" width="8.5546875" style="9" bestFit="1" customWidth="1"/>
    <col min="34" max="34" width="14.44140625" style="9" bestFit="1" customWidth="1"/>
    <col min="35" max="35" width="17.5546875" style="9" bestFit="1" customWidth="1"/>
    <col min="36" max="36" width="18.109375" style="9" bestFit="1" customWidth="1"/>
    <col min="37" max="37" width="7.88671875" style="9" bestFit="1" customWidth="1"/>
    <col min="38" max="38" width="9.5546875" style="9" bestFit="1" customWidth="1"/>
    <col min="39" max="39" width="10.6640625" style="9" bestFit="1" customWidth="1"/>
    <col min="40" max="40" width="8.88671875" style="9"/>
    <col min="41" max="42" width="10.6640625" style="9" bestFit="1" customWidth="1"/>
    <col min="43" max="16384" width="8.88671875" style="9"/>
  </cols>
  <sheetData>
    <row r="1" spans="1:42" ht="11.25" customHeight="1" x14ac:dyDescent="0.3">
      <c r="A1" s="127" t="s">
        <v>68</v>
      </c>
      <c r="B1" s="127" t="s">
        <v>69</v>
      </c>
      <c r="C1" s="127" t="s">
        <v>70</v>
      </c>
      <c r="D1" s="127" t="s">
        <v>71</v>
      </c>
      <c r="E1" s="127" t="s">
        <v>72</v>
      </c>
      <c r="F1" s="127" t="s">
        <v>15</v>
      </c>
      <c r="G1" s="127" t="s">
        <v>74</v>
      </c>
      <c r="H1" s="127" t="s">
        <v>75</v>
      </c>
      <c r="I1" s="127" t="s">
        <v>757</v>
      </c>
      <c r="J1" s="123"/>
      <c r="L1" s="125" t="s">
        <v>777</v>
      </c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O1" s="20"/>
      <c r="AP1" s="130" t="s">
        <v>759</v>
      </c>
    </row>
    <row r="2" spans="1:42" ht="11.25" customHeight="1" x14ac:dyDescent="0.3">
      <c r="A2" s="127"/>
      <c r="B2" s="127"/>
      <c r="C2" s="127"/>
      <c r="D2" s="127"/>
      <c r="E2" s="127"/>
      <c r="F2" s="127"/>
      <c r="G2" s="127"/>
      <c r="H2" s="127"/>
      <c r="I2" s="127"/>
      <c r="J2" s="123"/>
      <c r="L2" s="125" t="s">
        <v>656</v>
      </c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O2" s="20"/>
      <c r="AP2" s="131"/>
    </row>
    <row r="3" spans="1:42" ht="11.25" customHeight="1" x14ac:dyDescent="0.3">
      <c r="A3" s="127"/>
      <c r="B3" s="127"/>
      <c r="C3" s="127"/>
      <c r="D3" s="127"/>
      <c r="E3" s="127"/>
      <c r="F3" s="127"/>
      <c r="G3" s="127"/>
      <c r="H3" s="127"/>
      <c r="I3" s="127"/>
      <c r="J3" s="123"/>
      <c r="L3" s="125" t="s">
        <v>657</v>
      </c>
      <c r="M3" s="125"/>
      <c r="N3" s="125"/>
      <c r="O3" s="125"/>
      <c r="P3" s="125"/>
      <c r="Q3" s="125"/>
      <c r="R3" s="125"/>
      <c r="S3" s="125"/>
      <c r="T3" s="125"/>
      <c r="U3" s="125" t="s">
        <v>666</v>
      </c>
      <c r="V3" s="125"/>
      <c r="W3" s="125"/>
      <c r="X3" s="125"/>
      <c r="Y3" s="125"/>
      <c r="Z3" s="125"/>
      <c r="AA3" s="125"/>
      <c r="AB3" s="125"/>
      <c r="AC3" s="125" t="s">
        <v>674</v>
      </c>
      <c r="AD3" s="125"/>
      <c r="AE3" s="125" t="s">
        <v>676</v>
      </c>
      <c r="AF3" s="125"/>
      <c r="AG3" s="125"/>
      <c r="AH3" s="125" t="s">
        <v>679</v>
      </c>
      <c r="AI3" s="125"/>
      <c r="AJ3" s="125"/>
      <c r="AK3" s="125"/>
      <c r="AL3" s="125"/>
      <c r="AM3" s="125" t="s">
        <v>665</v>
      </c>
      <c r="AO3" s="20"/>
      <c r="AP3" s="131"/>
    </row>
    <row r="4" spans="1:42" ht="11.25" customHeight="1" x14ac:dyDescent="0.3">
      <c r="A4" s="127"/>
      <c r="B4" s="127"/>
      <c r="C4" s="127"/>
      <c r="D4" s="127"/>
      <c r="E4" s="127"/>
      <c r="F4" s="127"/>
      <c r="G4" s="127"/>
      <c r="H4" s="127"/>
      <c r="I4" s="127"/>
      <c r="J4" s="123"/>
      <c r="L4" s="10" t="s">
        <v>742</v>
      </c>
      <c r="M4" s="10" t="s">
        <v>658</v>
      </c>
      <c r="N4" s="10" t="s">
        <v>659</v>
      </c>
      <c r="O4" s="10" t="s">
        <v>660</v>
      </c>
      <c r="P4" s="10" t="s">
        <v>661</v>
      </c>
      <c r="Q4" s="10" t="s">
        <v>662</v>
      </c>
      <c r="R4" s="10" t="s">
        <v>663</v>
      </c>
      <c r="S4" s="10" t="s">
        <v>664</v>
      </c>
      <c r="T4" s="10" t="s">
        <v>665</v>
      </c>
      <c r="U4" s="10" t="s">
        <v>667</v>
      </c>
      <c r="V4" s="10" t="s">
        <v>668</v>
      </c>
      <c r="W4" s="10" t="s">
        <v>669</v>
      </c>
      <c r="X4" s="10" t="s">
        <v>670</v>
      </c>
      <c r="Y4" s="10" t="s">
        <v>671</v>
      </c>
      <c r="Z4" s="10" t="s">
        <v>672</v>
      </c>
      <c r="AA4" s="10" t="s">
        <v>673</v>
      </c>
      <c r="AB4" s="10" t="s">
        <v>665</v>
      </c>
      <c r="AC4" s="10" t="s">
        <v>675</v>
      </c>
      <c r="AD4" s="10" t="s">
        <v>665</v>
      </c>
      <c r="AE4" s="10" t="s">
        <v>677</v>
      </c>
      <c r="AF4" s="10" t="s">
        <v>678</v>
      </c>
      <c r="AG4" s="10" t="s">
        <v>665</v>
      </c>
      <c r="AH4" s="10" t="s">
        <v>680</v>
      </c>
      <c r="AI4" s="10" t="s">
        <v>681</v>
      </c>
      <c r="AJ4" s="10" t="s">
        <v>682</v>
      </c>
      <c r="AK4" s="10" t="s">
        <v>683</v>
      </c>
      <c r="AL4" s="10" t="s">
        <v>665</v>
      </c>
      <c r="AM4" s="129"/>
      <c r="AO4" s="21" t="s">
        <v>776</v>
      </c>
      <c r="AP4" s="132"/>
    </row>
    <row r="5" spans="1:42" ht="11.25" customHeight="1" x14ac:dyDescent="0.3">
      <c r="A5" s="128" t="s">
        <v>54</v>
      </c>
      <c r="B5" s="128" t="s">
        <v>40</v>
      </c>
      <c r="C5" s="128" t="s">
        <v>25</v>
      </c>
      <c r="D5" s="128" t="s">
        <v>25</v>
      </c>
      <c r="E5" s="128" t="s">
        <v>25</v>
      </c>
      <c r="F5" s="128" t="s">
        <v>25</v>
      </c>
      <c r="G5" s="18" t="s">
        <v>82</v>
      </c>
      <c r="H5" s="18" t="s">
        <v>81</v>
      </c>
      <c r="I5" s="18">
        <f>'MERCADO TUSD'!$U$2</f>
        <v>45208</v>
      </c>
      <c r="J5" s="15"/>
      <c r="L5" s="13">
        <f>'TUSD BE'!$L$5*'TUSD BF'!$L$78</f>
        <v>0</v>
      </c>
      <c r="M5" s="13">
        <f>'TUSD BE'!$M$5*'TUSD BF'!$M$78</f>
        <v>0</v>
      </c>
      <c r="N5" s="13">
        <f ca="1">'TUSD BE'!$N$5*'TUSD BF'!$N$78</f>
        <v>0</v>
      </c>
      <c r="O5" s="13">
        <f>'TUSD BE'!$O$5*'TUSD BF'!$O$78</f>
        <v>0</v>
      </c>
      <c r="P5" s="13">
        <f>'TUSD BE'!$P$5*'TUSD BF'!$P$78</f>
        <v>0</v>
      </c>
      <c r="Q5" s="13">
        <f>'TUSD BE'!$Q$5*'TUSD BF'!$Q$78</f>
        <v>0</v>
      </c>
      <c r="R5" s="13">
        <f>'TUSD BE'!$R$5*'TUSD BF'!$R$78</f>
        <v>0</v>
      </c>
      <c r="S5" s="13">
        <f>'TUSD BE'!$R$5*'TUSD BF'!$S$78</f>
        <v>0</v>
      </c>
      <c r="T5" s="13">
        <f ca="1">SUM($L$5:$S$5)</f>
        <v>0</v>
      </c>
      <c r="U5" s="13">
        <f>'TUSD BE'!$U$5*'TUSD BF'!$U$78</f>
        <v>0.57715217337649782</v>
      </c>
      <c r="V5" s="13">
        <f>'TUSD BE'!$V$5*'TUSD BF'!$V$78</f>
        <v>0.11648985805155131</v>
      </c>
      <c r="W5" s="13">
        <f>'TUSD BE'!$W$5*'TUSD BF'!$W$78</f>
        <v>0</v>
      </c>
      <c r="X5" s="13">
        <f>'TUSD BE'!$X$5*'TUSD BF'!$X$78</f>
        <v>0</v>
      </c>
      <c r="Y5" s="13">
        <f>'TUSD BE'!$Y$5*'TUSD BF'!$Y$78</f>
        <v>0</v>
      </c>
      <c r="Z5" s="13">
        <f>'TUSD BE'!$Z$5*'TUSD BF'!$Z$78</f>
        <v>0</v>
      </c>
      <c r="AA5" s="13">
        <f>'TUSD BE'!$AA$5*'TUSD BF'!$AA$78</f>
        <v>0</v>
      </c>
      <c r="AB5" s="13">
        <f>SUM($U$5:$AA$5)</f>
        <v>0.69364203142804914</v>
      </c>
      <c r="AC5" s="13">
        <f>'TUSD BE'!$AC$5*'TUSD BF'!$AC$78</f>
        <v>0</v>
      </c>
      <c r="AD5" s="13">
        <f>SUM($AC$5:$AC$5)</f>
        <v>0</v>
      </c>
      <c r="AE5" s="13">
        <f ca="1">$AO$5*$AO$75</f>
        <v>0</v>
      </c>
      <c r="AF5" s="13">
        <f ca="1">$AP$5*$AP$75</f>
        <v>0</v>
      </c>
      <c r="AG5" s="13">
        <f ca="1">SUM($AE$5:$AF$5)</f>
        <v>0</v>
      </c>
      <c r="AH5" s="13">
        <f>'TUSD BE'!$AH$5*'TUSD BF'!$AH$78</f>
        <v>0</v>
      </c>
      <c r="AI5" s="13">
        <f>'TUSD BE'!$AI$5*'TUSD BF'!$AI$78</f>
        <v>0</v>
      </c>
      <c r="AJ5" s="13">
        <f ca="1">'TUSD BE'!$AJ$5*'TUSD BF'!$AJ$78</f>
        <v>0</v>
      </c>
      <c r="AK5" s="13">
        <f ca="1">'TUSD BE'!$AK$5*'TUSD BF'!$AK$78</f>
        <v>0</v>
      </c>
      <c r="AL5" s="13">
        <f ca="1">SUM($AH$5:$AK$5)</f>
        <v>0</v>
      </c>
      <c r="AM5" s="13">
        <f ca="1">SUMIF($L$4:$AL$4,"SUBTOTAL",$L$5:$AL$5)</f>
        <v>0.69364203142804914</v>
      </c>
      <c r="AO5" s="20">
        <f ca="1">+'TUSD BE'!$T$5+'TUSD BE'!$AB$5+'TUSD BE'!$AD$5+'TUSD BE'!$AL$5</f>
        <v>20.659782135906788</v>
      </c>
      <c r="AP5" s="20">
        <f ca="1">+'TUSD BE'!$T$5+'TUSD BE'!$AB$5+'TUSD BE'!$AD$5+'TUSD BE'!$AL$5</f>
        <v>20.659782135906788</v>
      </c>
    </row>
    <row r="6" spans="1:42" ht="11.25" customHeight="1" x14ac:dyDescent="0.3">
      <c r="A6" s="128"/>
      <c r="B6" s="128"/>
      <c r="C6" s="128"/>
      <c r="D6" s="128"/>
      <c r="E6" s="128"/>
      <c r="F6" s="128"/>
      <c r="G6" s="18" t="s">
        <v>83</v>
      </c>
      <c r="H6" s="18" t="s">
        <v>81</v>
      </c>
      <c r="I6" s="18">
        <f>'MERCADO TUSD'!$U$3</f>
        <v>240000</v>
      </c>
      <c r="J6" s="15"/>
      <c r="L6" s="13">
        <f>'TUSD BE'!$L$6*'TUSD BF'!$L$78</f>
        <v>0</v>
      </c>
      <c r="M6" s="13">
        <f>'TUSD BE'!$M$6*'TUSD BF'!$M$78</f>
        <v>0</v>
      </c>
      <c r="N6" s="13">
        <f ca="1">'TUSD BE'!$N$6*'TUSD BF'!$N$78</f>
        <v>0</v>
      </c>
      <c r="O6" s="13">
        <f>'TUSD BE'!$O$6*'TUSD BF'!$O$78</f>
        <v>0</v>
      </c>
      <c r="P6" s="13">
        <f>'TUSD BE'!$P$6*'TUSD BF'!$P$78</f>
        <v>0</v>
      </c>
      <c r="Q6" s="13">
        <f>'TUSD BE'!$Q$6*'TUSD BF'!$Q$78</f>
        <v>0</v>
      </c>
      <c r="R6" s="13">
        <f>'TUSD BE'!$R$6*'TUSD BF'!$R$78</f>
        <v>0</v>
      </c>
      <c r="S6" s="13">
        <f>'TUSD BE'!$R$6*'TUSD BF'!$S$78</f>
        <v>0</v>
      </c>
      <c r="T6" s="13">
        <f ca="1">SUM($L$6:$S$6)</f>
        <v>0</v>
      </c>
      <c r="U6" s="13">
        <f>'TUSD BE'!$U$6*'TUSD BF'!$U$78</f>
        <v>0.42909536915966445</v>
      </c>
      <c r="V6" s="13">
        <f>'TUSD BE'!$V$6*'TUSD BF'!$V$78</f>
        <v>8.7302610236345182E-2</v>
      </c>
      <c r="W6" s="13">
        <f>'TUSD BE'!$W$6*'TUSD BF'!$W$78</f>
        <v>0</v>
      </c>
      <c r="X6" s="13">
        <f>'TUSD BE'!$X$6*'TUSD BF'!$X$78</f>
        <v>0</v>
      </c>
      <c r="Y6" s="13">
        <f>'TUSD BE'!$Y$6*'TUSD BF'!$Y$78</f>
        <v>0</v>
      </c>
      <c r="Z6" s="13">
        <f>'TUSD BE'!$Z$6*'TUSD BF'!$Z$78</f>
        <v>0</v>
      </c>
      <c r="AA6" s="13">
        <f>'TUSD BE'!$AA$6*'TUSD BF'!$AA$78</f>
        <v>0</v>
      </c>
      <c r="AB6" s="13">
        <f>SUM($U$6:$AA$6)</f>
        <v>0.51639797939600962</v>
      </c>
      <c r="AC6" s="13">
        <f>'TUSD BE'!$AC$6*'TUSD BF'!$AC$78</f>
        <v>0</v>
      </c>
      <c r="AD6" s="13">
        <f>SUM($AC$6:$AC$6)</f>
        <v>0</v>
      </c>
      <c r="AE6" s="13">
        <f ca="1">$AO$6*$AO$75</f>
        <v>0</v>
      </c>
      <c r="AF6" s="13">
        <f ca="1">$AP$6*$AP$75</f>
        <v>0</v>
      </c>
      <c r="AG6" s="13">
        <f ca="1">SUM($AE$6:$AF$6)</f>
        <v>0</v>
      </c>
      <c r="AH6" s="13">
        <f>'TUSD BE'!$AH$6*'TUSD BF'!$AH$78</f>
        <v>0</v>
      </c>
      <c r="AI6" s="13">
        <f>'TUSD BE'!$AI$6*'TUSD BF'!$AI$78</f>
        <v>0</v>
      </c>
      <c r="AJ6" s="13">
        <f ca="1">'TUSD BE'!$AJ$6*'TUSD BF'!$AJ$78</f>
        <v>0</v>
      </c>
      <c r="AK6" s="13">
        <f ca="1">'TUSD BE'!$AK$6*'TUSD BF'!$AK$78</f>
        <v>0</v>
      </c>
      <c r="AL6" s="13">
        <f ca="1">SUM($AH$6:$AK$6)</f>
        <v>0</v>
      </c>
      <c r="AM6" s="13">
        <f ca="1">SUMIF($L$4:$AL$4,"SUBTOTAL",$L$6:$AL$6)</f>
        <v>0.51639797939600962</v>
      </c>
      <c r="AO6" s="20">
        <f ca="1">+'TUSD BE'!$T$6+'TUSD BE'!$AB$6+'TUSD BE'!$AD$6+'TUSD BE'!$AL$6</f>
        <v>7.5305360978282119</v>
      </c>
      <c r="AP6" s="20">
        <f ca="1">+'TUSD BE'!$T$6+'TUSD BE'!$AB$6+'TUSD BE'!$AD$6+'TUSD BE'!$AL$6</f>
        <v>7.5305360978282119</v>
      </c>
    </row>
    <row r="7" spans="1:42" ht="11.25" customHeight="1" x14ac:dyDescent="0.3">
      <c r="A7" s="128"/>
      <c r="B7" s="128"/>
      <c r="C7" s="128"/>
      <c r="D7" s="128"/>
      <c r="E7" s="128"/>
      <c r="F7" s="128"/>
      <c r="G7" s="18" t="s">
        <v>84</v>
      </c>
      <c r="H7" s="18" t="s">
        <v>78</v>
      </c>
      <c r="I7" s="18">
        <f>'MERCADO TUSD'!$U$4</f>
        <v>117715.17200000002</v>
      </c>
      <c r="J7" s="15"/>
      <c r="L7" s="13">
        <f>'TUSD BE'!$L$7*'TUSD BF'!$L$78</f>
        <v>0.28929988946675617</v>
      </c>
      <c r="M7" s="13">
        <f>'TUSD BE'!$M$7*'TUSD BF'!$M$78</f>
        <v>0</v>
      </c>
      <c r="N7" s="13">
        <f ca="1">'TUSD BE'!$N$7*'TUSD BF'!$N$78</f>
        <v>0</v>
      </c>
      <c r="O7" s="13">
        <f>'TUSD BE'!$O$7*'TUSD BF'!$O$78</f>
        <v>0</v>
      </c>
      <c r="P7" s="13">
        <f>'TUSD BE'!$P$7*'TUSD BF'!$P$78</f>
        <v>0</v>
      </c>
      <c r="Q7" s="13">
        <f>'TUSD BE'!$Q$7*'TUSD BF'!$Q$78</f>
        <v>14.329138803144735</v>
      </c>
      <c r="R7" s="13">
        <f>'TUSD BE'!$R$7*'TUSD BF'!$R$78</f>
        <v>5.255438897037914</v>
      </c>
      <c r="S7" s="13">
        <f>'TUSD BE'!$R$7*'TUSD BF'!$S$78</f>
        <v>0</v>
      </c>
      <c r="T7" s="13">
        <f ca="1">SUM($L$7:$S$7)</f>
        <v>19.873877589649403</v>
      </c>
      <c r="U7" s="13">
        <f>'TUSD BE'!$U$7*'TUSD BF'!$U$78</f>
        <v>0</v>
      </c>
      <c r="V7" s="13">
        <f>'TUSD BE'!$V$7*'TUSD BF'!$V$78</f>
        <v>0</v>
      </c>
      <c r="W7" s="13">
        <f>'TUSD BE'!$W$7*'TUSD BF'!$W$78</f>
        <v>0</v>
      </c>
      <c r="X7" s="13">
        <f>'TUSD BE'!$X$7*'TUSD BF'!$X$78</f>
        <v>0</v>
      </c>
      <c r="Y7" s="13">
        <f>'TUSD BE'!$Y$7*'TUSD BF'!$Y$78</f>
        <v>0</v>
      </c>
      <c r="Z7" s="13">
        <f>'TUSD BE'!$Z$7*'TUSD BF'!$Z$78</f>
        <v>0</v>
      </c>
      <c r="AA7" s="13">
        <f>'TUSD BE'!$AA$7*'TUSD BF'!$AA$78</f>
        <v>0</v>
      </c>
      <c r="AB7" s="13">
        <f>SUM($U$7:$AA$7)</f>
        <v>0</v>
      </c>
      <c r="AC7" s="13">
        <f>'TUSD BE'!$AC$7*'TUSD BF'!$AC$78</f>
        <v>0</v>
      </c>
      <c r="AD7" s="13">
        <f>SUM($AC$7:$AC$7)</f>
        <v>0</v>
      </c>
      <c r="AE7" s="13">
        <f ca="1">$AO$7*$AO$75</f>
        <v>0</v>
      </c>
      <c r="AF7" s="13">
        <f ca="1">$AP$7*$AP$75</f>
        <v>0</v>
      </c>
      <c r="AG7" s="13">
        <f ca="1">SUM($AE$7:$AF$7)</f>
        <v>0</v>
      </c>
      <c r="AH7" s="13">
        <f>'TUSD BE'!$AH$7*'TUSD BF'!$AH$78</f>
        <v>-6.3674209467392369E-3</v>
      </c>
      <c r="AI7" s="13">
        <f>'TUSD BE'!$AI$7*'TUSD BF'!$AI$78</f>
        <v>-1.1035430069131962E-4</v>
      </c>
      <c r="AJ7" s="13">
        <f ca="1">'TUSD BE'!$AJ$7*'TUSD BF'!$AJ$78</f>
        <v>-6.5542441974230745E-2</v>
      </c>
      <c r="AK7" s="13">
        <f ca="1">'TUSD BE'!$AK$7*'TUSD BF'!$AK$78</f>
        <v>0</v>
      </c>
      <c r="AL7" s="13">
        <f ca="1">SUM($AH$7:$AK$7)</f>
        <v>-7.2020217221661298E-2</v>
      </c>
      <c r="AM7" s="13">
        <f ca="1">SUMIF($L$4:$AL$4,"SUBTOTAL",$L$7:$AL$7)</f>
        <v>19.80185737242774</v>
      </c>
      <c r="AO7" s="20">
        <f ca="1">+'TUSD BE'!$T$7+'TUSD BE'!$AB$7+'TUSD BE'!$AD$7+'TUSD BE'!$AL$7</f>
        <v>72.20782944226444</v>
      </c>
      <c r="AP7" s="20">
        <f ca="1">+'TUSD BE'!$T$7+'TUSD BE'!$AB$7+'TUSD BE'!$AD$7+'TUSD BE'!$AL$7</f>
        <v>72.20782944226444</v>
      </c>
    </row>
    <row r="8" spans="1:42" ht="11.25" customHeight="1" x14ac:dyDescent="0.3">
      <c r="A8" s="128"/>
      <c r="B8" s="128"/>
      <c r="C8" s="128"/>
      <c r="D8" s="128"/>
      <c r="E8" s="17" t="s">
        <v>85</v>
      </c>
      <c r="F8" s="17" t="s">
        <v>25</v>
      </c>
      <c r="G8" s="18" t="s">
        <v>84</v>
      </c>
      <c r="H8" s="18" t="s">
        <v>78</v>
      </c>
      <c r="I8" s="18">
        <f>'MERCADO TUSD'!$U$5</f>
        <v>0</v>
      </c>
      <c r="J8" s="15"/>
      <c r="L8" s="13">
        <f>'TUSD BE'!$L$8*'TUSD BF'!$L$78</f>
        <v>0</v>
      </c>
      <c r="M8" s="13">
        <f>'TUSD BE'!$M$8*'TUSD BF'!$M$78</f>
        <v>0</v>
      </c>
      <c r="N8" s="13">
        <f ca="1">'TUSD BE'!$N$8*'TUSD BF'!$N$78</f>
        <v>0</v>
      </c>
      <c r="O8" s="13">
        <f>'TUSD BE'!$O$8*'TUSD BF'!$O$78</f>
        <v>0</v>
      </c>
      <c r="P8" s="13">
        <f>'TUSD BE'!$P$8*'TUSD BF'!$P$78</f>
        <v>0</v>
      </c>
      <c r="Q8" s="13">
        <f>'TUSD BE'!$Q$8*'TUSD BF'!$Q$78</f>
        <v>0</v>
      </c>
      <c r="R8" s="13">
        <f>'TUSD BE'!$R$8*'TUSD BF'!$R$78</f>
        <v>0</v>
      </c>
      <c r="S8" s="13">
        <f>'TUSD BE'!$R$8*'TUSD BF'!$S$78</f>
        <v>0</v>
      </c>
      <c r="T8" s="13">
        <f ca="1">SUM($L$8:$S$8)</f>
        <v>0</v>
      </c>
      <c r="U8" s="13">
        <f>'TUSD BE'!$U$8*'TUSD BF'!$U$78</f>
        <v>0</v>
      </c>
      <c r="V8" s="13">
        <f>'TUSD BE'!$V$8*'TUSD BF'!$V$78</f>
        <v>0</v>
      </c>
      <c r="W8" s="13">
        <f>'TUSD BE'!$W$8*'TUSD BF'!$W$78</f>
        <v>0</v>
      </c>
      <c r="X8" s="13">
        <f>'TUSD BE'!$X$8*'TUSD BF'!$X$78</f>
        <v>0</v>
      </c>
      <c r="Y8" s="13">
        <f>'TUSD BE'!$Y$8*'TUSD BF'!$Y$78</f>
        <v>0</v>
      </c>
      <c r="Z8" s="13">
        <f>'TUSD BE'!$Z$8*'TUSD BF'!$Z$78</f>
        <v>0</v>
      </c>
      <c r="AA8" s="13">
        <f>'TUSD BE'!$AA$8*'TUSD BF'!$AA$78</f>
        <v>0</v>
      </c>
      <c r="AB8" s="13">
        <f>SUM($U$8:$AA$8)</f>
        <v>0</v>
      </c>
      <c r="AC8" s="13">
        <f>'TUSD BE'!$AC$8*'TUSD BF'!$AC$78</f>
        <v>0</v>
      </c>
      <c r="AD8" s="13">
        <f>SUM($AC$8:$AC$8)</f>
        <v>0</v>
      </c>
      <c r="AE8" s="13">
        <f ca="1">$AO$8*$AO$75</f>
        <v>0</v>
      </c>
      <c r="AF8" s="13">
        <f ca="1">$AP$8*$AP$75</f>
        <v>0</v>
      </c>
      <c r="AG8" s="13">
        <f ca="1">SUM($AE$8:$AF$8)</f>
        <v>0</v>
      </c>
      <c r="AH8" s="13">
        <f>'TUSD BE'!$AH$8*'TUSD BF'!$AH$78</f>
        <v>-6.3674209467392369E-3</v>
      </c>
      <c r="AI8" s="13">
        <f>'TUSD BE'!$AI$8*'TUSD BF'!$AI$78</f>
        <v>-1.1035430069131962E-4</v>
      </c>
      <c r="AJ8" s="13">
        <f ca="1">'TUSD BE'!$AJ$8*'TUSD BF'!$AJ$78</f>
        <v>-6.5542441974230745E-2</v>
      </c>
      <c r="AK8" s="13">
        <f ca="1">'TUSD BE'!$AK$8*'TUSD BF'!$AK$78</f>
        <v>0</v>
      </c>
      <c r="AL8" s="13">
        <f ca="1">SUM($AH$8:$AK$8)</f>
        <v>-7.2020217221661298E-2</v>
      </c>
      <c r="AM8" s="13">
        <f ca="1">SUMIF($L$4:$AL$4,"SUBTOTAL",$L$8:$AL$8)</f>
        <v>-7.2020217221661298E-2</v>
      </c>
      <c r="AO8" s="20">
        <f ca="1">+'TUSD BE'!$T$8+'TUSD BE'!$AB$8+'TUSD BE'!$AD$8+'TUSD BE'!$AL$8</f>
        <v>0.65020109289888128</v>
      </c>
      <c r="AP8" s="20">
        <f ca="1">+'TUSD BE'!$T$8+'TUSD BE'!$AB$8+'TUSD BE'!$AD$8+'TUSD BE'!$AL$8</f>
        <v>0.65020109289888128</v>
      </c>
    </row>
    <row r="9" spans="1:42" ht="11.25" customHeight="1" x14ac:dyDescent="0.3">
      <c r="A9" s="128" t="s">
        <v>60</v>
      </c>
      <c r="B9" s="128" t="s">
        <v>40</v>
      </c>
      <c r="C9" s="128" t="s">
        <v>25</v>
      </c>
      <c r="D9" s="128" t="s">
        <v>25</v>
      </c>
      <c r="E9" s="128" t="s">
        <v>25</v>
      </c>
      <c r="F9" s="128" t="s">
        <v>25</v>
      </c>
      <c r="G9" s="18" t="s">
        <v>82</v>
      </c>
      <c r="H9" s="18" t="s">
        <v>81</v>
      </c>
      <c r="I9" s="18">
        <f>'MERCADO TUSD'!$U$6</f>
        <v>0</v>
      </c>
      <c r="J9" s="15"/>
      <c r="L9" s="13">
        <f>'TUSD BE'!$L$9*'TUSD BF'!$L$78</f>
        <v>0</v>
      </c>
      <c r="M9" s="13">
        <f>'TUSD BE'!$M$9*'TUSD BF'!$M$78</f>
        <v>0</v>
      </c>
      <c r="N9" s="13">
        <f ca="1">'TUSD BE'!$N$9*'TUSD BF'!$N$78</f>
        <v>0</v>
      </c>
      <c r="O9" s="13">
        <f>'TUSD BE'!$O$9*'TUSD BF'!$O$78</f>
        <v>0</v>
      </c>
      <c r="P9" s="13">
        <f>'TUSD BE'!$P$9*'TUSD BF'!$P$78</f>
        <v>0</v>
      </c>
      <c r="Q9" s="13">
        <f>'TUSD BE'!$Q$9*'TUSD BF'!$Q$78</f>
        <v>0</v>
      </c>
      <c r="R9" s="13">
        <f>'TUSD BE'!$R$9*'TUSD BF'!$R$78</f>
        <v>0</v>
      </c>
      <c r="S9" s="13">
        <f>'TUSD BE'!$R$9*'TUSD BF'!$S$78</f>
        <v>0</v>
      </c>
      <c r="T9" s="13">
        <f ca="1">SUM($L$9:$S$9)</f>
        <v>0</v>
      </c>
      <c r="U9" s="13">
        <f>'TUSD BE'!$U$9*'TUSD BF'!$U$78</f>
        <v>0.52773798275958728</v>
      </c>
      <c r="V9" s="13">
        <f>'TUSD BE'!$V$9*'TUSD BF'!$V$78</f>
        <v>0.10651638965562335</v>
      </c>
      <c r="W9" s="13">
        <f>'TUSD BE'!$W$9*'TUSD BF'!$W$78</f>
        <v>0</v>
      </c>
      <c r="X9" s="13">
        <f>'TUSD BE'!$X$9*'TUSD BF'!$X$78</f>
        <v>0</v>
      </c>
      <c r="Y9" s="13">
        <f>'TUSD BE'!$Y$9*'TUSD BF'!$Y$78</f>
        <v>0</v>
      </c>
      <c r="Z9" s="13">
        <f>'TUSD BE'!$Z$9*'TUSD BF'!$Z$78</f>
        <v>0</v>
      </c>
      <c r="AA9" s="13">
        <f>'TUSD BE'!$AA$9*'TUSD BF'!$AA$78</f>
        <v>0</v>
      </c>
      <c r="AB9" s="13">
        <f>SUM($U$9:$AA$9)</f>
        <v>0.63425437241521065</v>
      </c>
      <c r="AC9" s="13">
        <f>'TUSD BE'!$AC$9*'TUSD BF'!$AC$78</f>
        <v>0</v>
      </c>
      <c r="AD9" s="13">
        <f>SUM($AC$9:$AC$9)</f>
        <v>0</v>
      </c>
      <c r="AE9" s="13">
        <f ca="1">$AO$9*$AO$75</f>
        <v>0</v>
      </c>
      <c r="AF9" s="13">
        <f ca="1">$AP$9*$AP$75</f>
        <v>0</v>
      </c>
      <c r="AG9" s="13">
        <f ca="1">SUM($AE$9:$AF$9)</f>
        <v>0</v>
      </c>
      <c r="AH9" s="13">
        <f>'TUSD BE'!$AH$9*'TUSD BF'!$AH$78</f>
        <v>0</v>
      </c>
      <c r="AI9" s="13">
        <f>'TUSD BE'!$AI$9*'TUSD BF'!$AI$78</f>
        <v>0</v>
      </c>
      <c r="AJ9" s="13">
        <f ca="1">'TUSD BE'!$AJ$9*'TUSD BF'!$AJ$78</f>
        <v>0</v>
      </c>
      <c r="AK9" s="13">
        <f ca="1">'TUSD BE'!$AK$9*'TUSD BF'!$AK$78</f>
        <v>0</v>
      </c>
      <c r="AL9" s="13">
        <f ca="1">SUM($AH$9:$AK$9)</f>
        <v>0</v>
      </c>
      <c r="AM9" s="13">
        <f ca="1">SUMIF($L$4:$AL$4,"SUBTOTAL",$L$9:$AL$9)</f>
        <v>0.63425437241521065</v>
      </c>
      <c r="AO9" s="20">
        <f ca="1">+'TUSD BE'!$T$9+'TUSD BE'!$AB$9+'TUSD BE'!$AD$9+'TUSD BE'!$AL$9</f>
        <v>30.571647268913814</v>
      </c>
      <c r="AP9" s="20">
        <f ca="1">+'TUSD BE'!$T$9+'TUSD BE'!$AB$9+'TUSD BE'!$AD$9+'TUSD BE'!$AL$9</f>
        <v>30.571647268913814</v>
      </c>
    </row>
    <row r="10" spans="1:42" ht="11.25" customHeight="1" x14ac:dyDescent="0.3">
      <c r="A10" s="128"/>
      <c r="B10" s="128"/>
      <c r="C10" s="128"/>
      <c r="D10" s="128"/>
      <c r="E10" s="128"/>
      <c r="F10" s="128"/>
      <c r="G10" s="18" t="s">
        <v>83</v>
      </c>
      <c r="H10" s="18" t="s">
        <v>81</v>
      </c>
      <c r="I10" s="18">
        <f>'MERCADO TUSD'!$U$7</f>
        <v>0</v>
      </c>
      <c r="J10" s="15"/>
      <c r="L10" s="13">
        <f>'TUSD BE'!$L$10*'TUSD BF'!$L$78</f>
        <v>0</v>
      </c>
      <c r="M10" s="13">
        <f>'TUSD BE'!$M$10*'TUSD BF'!$M$78</f>
        <v>0</v>
      </c>
      <c r="N10" s="13">
        <f ca="1">'TUSD BE'!$N$10*'TUSD BF'!$N$78</f>
        <v>0</v>
      </c>
      <c r="O10" s="13">
        <f>'TUSD BE'!$O$10*'TUSD BF'!$O$78</f>
        <v>0</v>
      </c>
      <c r="P10" s="13">
        <f>'TUSD BE'!$P$10*'TUSD BF'!$P$78</f>
        <v>0</v>
      </c>
      <c r="Q10" s="13">
        <f>'TUSD BE'!$Q$10*'TUSD BF'!$Q$78</f>
        <v>0</v>
      </c>
      <c r="R10" s="13">
        <f>'TUSD BE'!$R$10*'TUSD BF'!$R$78</f>
        <v>0</v>
      </c>
      <c r="S10" s="13">
        <f>'TUSD BE'!$R$10*'TUSD BF'!$S$78</f>
        <v>0</v>
      </c>
      <c r="T10" s="13">
        <f ca="1">SUM($L$10:$S$10)</f>
        <v>0</v>
      </c>
      <c r="U10" s="13">
        <f>'TUSD BE'!$U$10*'TUSD BF'!$U$78</f>
        <v>0.38151098973665082</v>
      </c>
      <c r="V10" s="13">
        <f>'TUSD BE'!$V$10*'TUSD BF'!$V$78</f>
        <v>7.7619876660577375E-2</v>
      </c>
      <c r="W10" s="13">
        <f>'TUSD BE'!$W$10*'TUSD BF'!$W$78</f>
        <v>0</v>
      </c>
      <c r="X10" s="13">
        <f>'TUSD BE'!$X$10*'TUSD BF'!$X$78</f>
        <v>0</v>
      </c>
      <c r="Y10" s="13">
        <f>'TUSD BE'!$Y$10*'TUSD BF'!$Y$78</f>
        <v>0</v>
      </c>
      <c r="Z10" s="13">
        <f>'TUSD BE'!$Z$10*'TUSD BF'!$Z$78</f>
        <v>0</v>
      </c>
      <c r="AA10" s="13">
        <f>'TUSD BE'!$AA$10*'TUSD BF'!$AA$78</f>
        <v>0</v>
      </c>
      <c r="AB10" s="13">
        <f>SUM($U$10:$AA$10)</f>
        <v>0.45913086639722822</v>
      </c>
      <c r="AC10" s="13">
        <f>'TUSD BE'!$AC$10*'TUSD BF'!$AC$78</f>
        <v>0</v>
      </c>
      <c r="AD10" s="13">
        <f>SUM($AC$10:$AC$10)</f>
        <v>0</v>
      </c>
      <c r="AE10" s="13">
        <f ca="1">$AO$10*$AO$75</f>
        <v>0</v>
      </c>
      <c r="AF10" s="13">
        <f ca="1">$AP$10*$AP$75</f>
        <v>0</v>
      </c>
      <c r="AG10" s="13">
        <f ca="1">SUM($AE$10:$AF$10)</f>
        <v>0</v>
      </c>
      <c r="AH10" s="13">
        <f>'TUSD BE'!$AH$10*'TUSD BF'!$AH$78</f>
        <v>0</v>
      </c>
      <c r="AI10" s="13">
        <f>'TUSD BE'!$AI$10*'TUSD BF'!$AI$78</f>
        <v>0</v>
      </c>
      <c r="AJ10" s="13">
        <f ca="1">'TUSD BE'!$AJ$10*'TUSD BF'!$AJ$78</f>
        <v>0</v>
      </c>
      <c r="AK10" s="13">
        <f ca="1">'TUSD BE'!$AK$10*'TUSD BF'!$AK$78</f>
        <v>0</v>
      </c>
      <c r="AL10" s="13">
        <f ca="1">SUM($AH$10:$AK$10)</f>
        <v>0</v>
      </c>
      <c r="AM10" s="13">
        <f ca="1">SUMIF($L$4:$AL$4,"SUBTOTAL",$L$10:$AL$10)</f>
        <v>0.45913086639722822</v>
      </c>
      <c r="AO10" s="20">
        <f ca="1">+'TUSD BE'!$T$10+'TUSD BE'!$AB$10+'TUSD BE'!$AD$10+'TUSD BE'!$AL$10</f>
        <v>11.616134923379786</v>
      </c>
      <c r="AP10" s="20">
        <f ca="1">+'TUSD BE'!$T$10+'TUSD BE'!$AB$10+'TUSD BE'!$AD$10+'TUSD BE'!$AL$10</f>
        <v>11.616134923379786</v>
      </c>
    </row>
    <row r="11" spans="1:42" ht="11.25" customHeight="1" x14ac:dyDescent="0.3">
      <c r="A11" s="128"/>
      <c r="B11" s="128"/>
      <c r="C11" s="128"/>
      <c r="D11" s="128"/>
      <c r="E11" s="128"/>
      <c r="F11" s="128"/>
      <c r="G11" s="18" t="s">
        <v>84</v>
      </c>
      <c r="H11" s="18" t="s">
        <v>78</v>
      </c>
      <c r="I11" s="18">
        <f>'MERCADO TUSD'!$U$8</f>
        <v>0</v>
      </c>
      <c r="J11" s="15"/>
      <c r="L11" s="13">
        <f>'TUSD BE'!$L$11*'TUSD BF'!$L$78</f>
        <v>0.28929988946675617</v>
      </c>
      <c r="M11" s="13">
        <f>'TUSD BE'!$M$11*'TUSD BF'!$M$78</f>
        <v>0</v>
      </c>
      <c r="N11" s="13">
        <f ca="1">'TUSD BE'!$N$11*'TUSD BF'!$N$78</f>
        <v>0</v>
      </c>
      <c r="O11" s="13">
        <f>'TUSD BE'!$O$11*'TUSD BF'!$O$78</f>
        <v>0</v>
      </c>
      <c r="P11" s="13">
        <f>'TUSD BE'!$P$11*'TUSD BF'!$P$78</f>
        <v>0</v>
      </c>
      <c r="Q11" s="13">
        <f>'TUSD BE'!$Q$11*'TUSD BF'!$Q$78</f>
        <v>14.329138803144735</v>
      </c>
      <c r="R11" s="13">
        <f>'TUSD BE'!$R$11*'TUSD BF'!$R$78</f>
        <v>5.255438897037914</v>
      </c>
      <c r="S11" s="13">
        <f>'TUSD BE'!$R$11*'TUSD BF'!$S$78</f>
        <v>0</v>
      </c>
      <c r="T11" s="13">
        <f ca="1">SUM($L$11:$S$11)</f>
        <v>19.873877589649403</v>
      </c>
      <c r="U11" s="13">
        <f>'TUSD BE'!$U$11*'TUSD BF'!$U$78</f>
        <v>0</v>
      </c>
      <c r="V11" s="13">
        <f>'TUSD BE'!$V$11*'TUSD BF'!$V$78</f>
        <v>0</v>
      </c>
      <c r="W11" s="13">
        <f>'TUSD BE'!$W$11*'TUSD BF'!$W$78</f>
        <v>0</v>
      </c>
      <c r="X11" s="13">
        <f>'TUSD BE'!$X$11*'TUSD BF'!$X$78</f>
        <v>0</v>
      </c>
      <c r="Y11" s="13">
        <f>'TUSD BE'!$Y$11*'TUSD BF'!$Y$78</f>
        <v>0</v>
      </c>
      <c r="Z11" s="13">
        <f>'TUSD BE'!$Z$11*'TUSD BF'!$Z$78</f>
        <v>0</v>
      </c>
      <c r="AA11" s="13">
        <f>'TUSD BE'!$AA$11*'TUSD BF'!$AA$78</f>
        <v>0</v>
      </c>
      <c r="AB11" s="13">
        <f>SUM($U$11:$AA$11)</f>
        <v>0</v>
      </c>
      <c r="AC11" s="13">
        <f>'TUSD BE'!$AC$11*'TUSD BF'!$AC$78</f>
        <v>0</v>
      </c>
      <c r="AD11" s="13">
        <f>SUM($AC$11:$AC$11)</f>
        <v>0</v>
      </c>
      <c r="AE11" s="13">
        <f ca="1">$AO$11*$AO$75</f>
        <v>0</v>
      </c>
      <c r="AF11" s="13">
        <f ca="1">$AP$11*$AP$75</f>
        <v>0</v>
      </c>
      <c r="AG11" s="13">
        <f ca="1">SUM($AE$11:$AF$11)</f>
        <v>0</v>
      </c>
      <c r="AH11" s="13">
        <f>'TUSD BE'!$AH$11*'TUSD BF'!$AH$78</f>
        <v>-0.2572802783491534</v>
      </c>
      <c r="AI11" s="13">
        <f>'TUSD BE'!$AI$11*'TUSD BF'!$AI$78</f>
        <v>-4.4589458489356594E-3</v>
      </c>
      <c r="AJ11" s="13">
        <f ca="1">'TUSD BE'!$AJ$11*'TUSD BF'!$AJ$78</f>
        <v>0</v>
      </c>
      <c r="AK11" s="13">
        <f ca="1">'TUSD BE'!$AK$11*'TUSD BF'!$AK$78</f>
        <v>0</v>
      </c>
      <c r="AL11" s="13">
        <f ca="1">SUM($AH$11:$AK$11)</f>
        <v>-0.26173922419808904</v>
      </c>
      <c r="AM11" s="13">
        <f ca="1">SUMIF($L$4:$AL$4,"SUBTOTAL",$L$11:$AL$11)</f>
        <v>19.612138365451315</v>
      </c>
      <c r="AO11" s="20">
        <f ca="1">+'TUSD BE'!$T$11+'TUSD BE'!$AB$11+'TUSD BE'!$AD$11+'TUSD BE'!$AL$11</f>
        <v>73.534608819917878</v>
      </c>
      <c r="AP11" s="20">
        <f ca="1">+'TUSD BE'!$T$11+'TUSD BE'!$AB$11+'TUSD BE'!$AD$11+'TUSD BE'!$AL$11</f>
        <v>73.534608819917878</v>
      </c>
    </row>
    <row r="12" spans="1:42" ht="11.25" customHeight="1" x14ac:dyDescent="0.3">
      <c r="A12" s="128"/>
      <c r="B12" s="128"/>
      <c r="C12" s="128"/>
      <c r="D12" s="128"/>
      <c r="E12" s="17" t="s">
        <v>85</v>
      </c>
      <c r="F12" s="17" t="s">
        <v>25</v>
      </c>
      <c r="G12" s="18" t="s">
        <v>84</v>
      </c>
      <c r="H12" s="18" t="s">
        <v>78</v>
      </c>
      <c r="I12" s="18">
        <f>'MERCADO TUSD'!$U$9</f>
        <v>0</v>
      </c>
      <c r="J12" s="15"/>
      <c r="L12" s="13">
        <f>'TUSD BE'!$L$12*'TUSD BF'!$L$78</f>
        <v>0</v>
      </c>
      <c r="M12" s="13">
        <f>'TUSD BE'!$M$12*'TUSD BF'!$M$78</f>
        <v>0</v>
      </c>
      <c r="N12" s="13">
        <f ca="1">'TUSD BE'!$N$12*'TUSD BF'!$N$78</f>
        <v>0</v>
      </c>
      <c r="O12" s="13">
        <f>'TUSD BE'!$O$12*'TUSD BF'!$O$78</f>
        <v>0</v>
      </c>
      <c r="P12" s="13">
        <f>'TUSD BE'!$P$12*'TUSD BF'!$P$78</f>
        <v>0</v>
      </c>
      <c r="Q12" s="13">
        <f>'TUSD BE'!$Q$12*'TUSD BF'!$Q$78</f>
        <v>0</v>
      </c>
      <c r="R12" s="13">
        <f>'TUSD BE'!$R$12*'TUSD BF'!$R$78</f>
        <v>0</v>
      </c>
      <c r="S12" s="13">
        <f>'TUSD BE'!$R$12*'TUSD BF'!$S$78</f>
        <v>0</v>
      </c>
      <c r="T12" s="13">
        <f ca="1">SUM($L$12:$S$12)</f>
        <v>0</v>
      </c>
      <c r="U12" s="13">
        <f>'TUSD BE'!$U$12*'TUSD BF'!$U$78</f>
        <v>0</v>
      </c>
      <c r="V12" s="13">
        <f>'TUSD BE'!$V$12*'TUSD BF'!$V$78</f>
        <v>0</v>
      </c>
      <c r="W12" s="13">
        <f>'TUSD BE'!$W$12*'TUSD BF'!$W$78</f>
        <v>0</v>
      </c>
      <c r="X12" s="13">
        <f>'TUSD BE'!$X$12*'TUSD BF'!$X$78</f>
        <v>0</v>
      </c>
      <c r="Y12" s="13">
        <f>'TUSD BE'!$Y$12*'TUSD BF'!$Y$78</f>
        <v>0</v>
      </c>
      <c r="Z12" s="13">
        <f>'TUSD BE'!$Z$12*'TUSD BF'!$Z$78</f>
        <v>0</v>
      </c>
      <c r="AA12" s="13">
        <f>'TUSD BE'!$AA$12*'TUSD BF'!$AA$78</f>
        <v>0</v>
      </c>
      <c r="AB12" s="13">
        <f>SUM($U$12:$AA$12)</f>
        <v>0</v>
      </c>
      <c r="AC12" s="13">
        <f>'TUSD BE'!$AC$12*'TUSD BF'!$AC$78</f>
        <v>0</v>
      </c>
      <c r="AD12" s="13">
        <f>SUM($AC$12:$AC$12)</f>
        <v>0</v>
      </c>
      <c r="AE12" s="13">
        <f ca="1">$AO$12*$AO$75</f>
        <v>0</v>
      </c>
      <c r="AF12" s="13">
        <f ca="1">$AP$12*$AP$75</f>
        <v>0</v>
      </c>
      <c r="AG12" s="13">
        <f ca="1">SUM($AE$12:$AF$12)</f>
        <v>0</v>
      </c>
      <c r="AH12" s="13">
        <f>'TUSD BE'!$AH$12*'TUSD BF'!$AH$78</f>
        <v>-0.2572802783491534</v>
      </c>
      <c r="AI12" s="13">
        <f>'TUSD BE'!$AI$12*'TUSD BF'!$AI$78</f>
        <v>-4.4589458489356594E-3</v>
      </c>
      <c r="AJ12" s="13">
        <f ca="1">'TUSD BE'!$AJ$12*'TUSD BF'!$AJ$78</f>
        <v>0</v>
      </c>
      <c r="AK12" s="13">
        <f ca="1">'TUSD BE'!$AK$12*'TUSD BF'!$AK$78</f>
        <v>0</v>
      </c>
      <c r="AL12" s="13">
        <f ca="1">SUM($AH$12:$AK$12)</f>
        <v>-0.26173922419808904</v>
      </c>
      <c r="AM12" s="13">
        <f ca="1">SUMIF($L$4:$AL$4,"SUBTOTAL",$L$12:$AL$12)</f>
        <v>-0.26173922419808904</v>
      </c>
      <c r="AO12" s="20">
        <f ca="1">+'TUSD BE'!$T$12+'TUSD BE'!$AB$12+'TUSD BE'!$AD$12+'TUSD BE'!$AL$12</f>
        <v>1.9769804705523093</v>
      </c>
      <c r="AP12" s="20">
        <f ca="1">+'TUSD BE'!$T$12+'TUSD BE'!$AB$12+'TUSD BE'!$AD$12+'TUSD BE'!$AL$12</f>
        <v>1.9769804705523093</v>
      </c>
    </row>
    <row r="13" spans="1:42" ht="11.25" customHeight="1" x14ac:dyDescent="0.3">
      <c r="A13" s="128"/>
      <c r="B13" s="17" t="s">
        <v>57</v>
      </c>
      <c r="C13" s="17" t="s">
        <v>25</v>
      </c>
      <c r="D13" s="17" t="s">
        <v>25</v>
      </c>
      <c r="E13" s="17" t="s">
        <v>25</v>
      </c>
      <c r="F13" s="17" t="s">
        <v>25</v>
      </c>
      <c r="G13" s="18" t="s">
        <v>9</v>
      </c>
      <c r="H13" s="18" t="s">
        <v>81</v>
      </c>
      <c r="I13" s="18">
        <f>'MERCADO TUSD'!$U$10</f>
        <v>93600</v>
      </c>
      <c r="J13" s="15"/>
      <c r="L13" s="13">
        <f>'TUSD BE'!$L$13*'TUSD BF'!$L$78</f>
        <v>0</v>
      </c>
      <c r="M13" s="13">
        <f>'TUSD BE'!$M$13*'TUSD BF'!$M$78</f>
        <v>0</v>
      </c>
      <c r="N13" s="13">
        <f>'TUSD BE'!$N$13*'TUSD BF'!$N$78</f>
        <v>0</v>
      </c>
      <c r="O13" s="13">
        <f>'TUSD BE'!$O$13*'TUSD BF'!$O$78</f>
        <v>0</v>
      </c>
      <c r="P13" s="13">
        <f>'TUSD BE'!$P$13*'TUSD BF'!$P$78</f>
        <v>0</v>
      </c>
      <c r="Q13" s="13">
        <f>'TUSD BE'!$Q$13*'TUSD BF'!$Q$78</f>
        <v>0</v>
      </c>
      <c r="R13" s="13">
        <f>'TUSD BE'!$R$13*'TUSD BF'!$R$78</f>
        <v>0</v>
      </c>
      <c r="S13" s="13">
        <f>'TUSD BE'!$R$13*'TUSD BF'!$S$78</f>
        <v>0</v>
      </c>
      <c r="T13" s="13">
        <f>SUM($L$13:$S$13)</f>
        <v>0</v>
      </c>
      <c r="U13" s="13">
        <f>'TUSD BE'!$U$13*'TUSD BF'!$U$78</f>
        <v>0.5373581912129658</v>
      </c>
      <c r="V13" s="13">
        <f>'TUSD BE'!$V$13*'TUSD BF'!$V$78</f>
        <v>0.22059765068513615</v>
      </c>
      <c r="W13" s="13">
        <f>'TUSD BE'!$W$13*'TUSD BF'!$W$78</f>
        <v>0</v>
      </c>
      <c r="X13" s="13">
        <f>'TUSD BE'!$X$13*'TUSD BF'!$X$78</f>
        <v>0</v>
      </c>
      <c r="Y13" s="13">
        <f>'TUSD BE'!$Y$13*'TUSD BF'!$Y$78</f>
        <v>0</v>
      </c>
      <c r="Z13" s="13">
        <f>'TUSD BE'!$Z$13*'TUSD BF'!$Z$78</f>
        <v>0</v>
      </c>
      <c r="AA13" s="13">
        <f>'TUSD BE'!$AA$13*'TUSD BF'!$AA$78</f>
        <v>0</v>
      </c>
      <c r="AB13" s="13">
        <f>SUM($U$13:$AA$13)</f>
        <v>0.75795584189810195</v>
      </c>
      <c r="AC13" s="13">
        <f>'TUSD BE'!$AC$13*'TUSD BF'!$AC$78</f>
        <v>0</v>
      </c>
      <c r="AD13" s="13">
        <f>SUM($AC$13:$AC$13)</f>
        <v>0</v>
      </c>
      <c r="AE13" s="13">
        <f ca="1">$AO$13*$AO$75</f>
        <v>0</v>
      </c>
      <c r="AF13" s="13">
        <f ca="1">$AP$13*$AP$75</f>
        <v>0</v>
      </c>
      <c r="AG13" s="13">
        <f ca="1">SUM($AE$13:$AF$13)</f>
        <v>0</v>
      </c>
      <c r="AH13" s="13">
        <f>'TUSD BE'!$AH$13*'TUSD BF'!$AH$78</f>
        <v>0</v>
      </c>
      <c r="AI13" s="13">
        <f>'TUSD BE'!$AI$13*'TUSD BF'!$AI$78</f>
        <v>0</v>
      </c>
      <c r="AJ13" s="13">
        <f>'TUSD BE'!$AJ$13*'TUSD BF'!$AJ$78</f>
        <v>0</v>
      </c>
      <c r="AK13" s="13">
        <f>'TUSD BE'!$AK$13*'TUSD BF'!$AK$78</f>
        <v>0</v>
      </c>
      <c r="AL13" s="13">
        <f>SUM($AH$13:$AK$13)</f>
        <v>0</v>
      </c>
      <c r="AM13" s="13">
        <f ca="1">SUMIF($L$4:$AL$4,"SUBTOTAL",$L$13:$AL$13)</f>
        <v>0.75795584189810195</v>
      </c>
      <c r="AO13" s="20">
        <f>+'TUSD BE'!$T$13+'TUSD BE'!$AB$13+'TUSD BE'!$AD$13+'TUSD BE'!$AL$13</f>
        <v>10.973286907638855</v>
      </c>
      <c r="AP13" s="20">
        <f>+'TUSD BE'!$T$13+'TUSD BE'!$AB$13+'TUSD BE'!$AD$13+'TUSD BE'!$AL$13</f>
        <v>10.973286907638855</v>
      </c>
    </row>
    <row r="14" spans="1:42" ht="11.25" customHeight="1" x14ac:dyDescent="0.3">
      <c r="A14" s="128" t="s">
        <v>39</v>
      </c>
      <c r="B14" s="128" t="s">
        <v>40</v>
      </c>
      <c r="C14" s="128" t="s">
        <v>25</v>
      </c>
      <c r="D14" s="128" t="s">
        <v>25</v>
      </c>
      <c r="E14" s="128" t="s">
        <v>25</v>
      </c>
      <c r="F14" s="128" t="s">
        <v>25</v>
      </c>
      <c r="G14" s="18" t="s">
        <v>82</v>
      </c>
      <c r="H14" s="18" t="s">
        <v>81</v>
      </c>
      <c r="I14" s="18">
        <f>'MERCADO TUSD'!$U$11</f>
        <v>355389</v>
      </c>
      <c r="J14" s="15"/>
      <c r="L14" s="13">
        <f>'TUSD BE'!$L$14*'TUSD BF'!$L$78</f>
        <v>0</v>
      </c>
      <c r="M14" s="13">
        <f>'TUSD BE'!$M$14*'TUSD BF'!$M$78</f>
        <v>0</v>
      </c>
      <c r="N14" s="13">
        <f ca="1">'TUSD BE'!$N$14*'TUSD BF'!$N$78</f>
        <v>0</v>
      </c>
      <c r="O14" s="13">
        <f>'TUSD BE'!$O$14*'TUSD BF'!$O$78</f>
        <v>0</v>
      </c>
      <c r="P14" s="13">
        <f>'TUSD BE'!$P$14*'TUSD BF'!$P$78</f>
        <v>0</v>
      </c>
      <c r="Q14" s="13">
        <f>'TUSD BE'!$Q$14*'TUSD BF'!$Q$78</f>
        <v>0</v>
      </c>
      <c r="R14" s="13">
        <f>'TUSD BE'!$R$14*'TUSD BF'!$R$78</f>
        <v>0</v>
      </c>
      <c r="S14" s="13">
        <f>'TUSD BE'!$R$14*'TUSD BF'!$S$78</f>
        <v>0</v>
      </c>
      <c r="T14" s="13">
        <f ca="1">SUM($L$14:$S$14)</f>
        <v>0</v>
      </c>
      <c r="U14" s="13">
        <f>'TUSD BE'!$U$14*'TUSD BF'!$U$78</f>
        <v>0.47832379214267678</v>
      </c>
      <c r="V14" s="13">
        <f>'TUSD BE'!$V$14*'TUSD BF'!$V$78</f>
        <v>9.6542921259695422E-2</v>
      </c>
      <c r="W14" s="13">
        <f>'TUSD BE'!$W$14*'TUSD BF'!$W$78</f>
        <v>0</v>
      </c>
      <c r="X14" s="13">
        <f>'TUSD BE'!$X$14*'TUSD BF'!$X$78</f>
        <v>0</v>
      </c>
      <c r="Y14" s="13">
        <f>'TUSD BE'!$Y$14*'TUSD BF'!$Y$78</f>
        <v>0</v>
      </c>
      <c r="Z14" s="13">
        <f>'TUSD BE'!$Z$14*'TUSD BF'!$Z$78</f>
        <v>0</v>
      </c>
      <c r="AA14" s="13">
        <f>'TUSD BE'!$AA$14*'TUSD BF'!$AA$78</f>
        <v>0</v>
      </c>
      <c r="AB14" s="13">
        <f>SUM($U$14:$AA$14)</f>
        <v>0.57486671340237216</v>
      </c>
      <c r="AC14" s="13">
        <f>'TUSD BE'!$AC$14*'TUSD BF'!$AC$78</f>
        <v>0</v>
      </c>
      <c r="AD14" s="13">
        <f>SUM($AC$14:$AC$14)</f>
        <v>0</v>
      </c>
      <c r="AE14" s="13">
        <f ca="1">$AO$14*$AO$75</f>
        <v>0</v>
      </c>
      <c r="AF14" s="13">
        <f ca="1">$AP$14*$AP$75</f>
        <v>0</v>
      </c>
      <c r="AG14" s="13">
        <f ca="1">SUM($AE$14:$AF$14)</f>
        <v>0</v>
      </c>
      <c r="AH14" s="13">
        <f>'TUSD BE'!$AH$14*'TUSD BF'!$AH$78</f>
        <v>0</v>
      </c>
      <c r="AI14" s="13">
        <f>'TUSD BE'!$AI$14*'TUSD BF'!$AI$78</f>
        <v>0</v>
      </c>
      <c r="AJ14" s="13">
        <f ca="1">'TUSD BE'!$AJ$14*'TUSD BF'!$AJ$78</f>
        <v>0</v>
      </c>
      <c r="AK14" s="13">
        <f ca="1">'TUSD BE'!$AK$14*'TUSD BF'!$AK$78</f>
        <v>0</v>
      </c>
      <c r="AL14" s="13">
        <f ca="1">SUM($AH$14:$AK$14)</f>
        <v>0</v>
      </c>
      <c r="AM14" s="13">
        <f ca="1">SUMIF($L$4:$AL$4,"SUBTOTAL",$L$14:$AL$14)</f>
        <v>0.57486671340237216</v>
      </c>
      <c r="AO14" s="20">
        <f ca="1">+'TUSD BE'!$T$14+'TUSD BE'!$AB$14+'TUSD BE'!$AD$14+'TUSD BE'!$AL$14</f>
        <v>40.483306943736622</v>
      </c>
      <c r="AP14" s="20">
        <f ca="1">+'TUSD BE'!$T$14+'TUSD BE'!$AB$14+'TUSD BE'!$AD$14+'TUSD BE'!$AL$14</f>
        <v>40.483306943736622</v>
      </c>
    </row>
    <row r="15" spans="1:42" ht="11.25" customHeight="1" x14ac:dyDescent="0.3">
      <c r="A15" s="128"/>
      <c r="B15" s="128"/>
      <c r="C15" s="128"/>
      <c r="D15" s="128"/>
      <c r="E15" s="128"/>
      <c r="F15" s="128"/>
      <c r="G15" s="18" t="s">
        <v>83</v>
      </c>
      <c r="H15" s="18" t="s">
        <v>81</v>
      </c>
      <c r="I15" s="18">
        <f>'MERCADO TUSD'!$U$12</f>
        <v>371113</v>
      </c>
      <c r="J15" s="15"/>
      <c r="L15" s="13">
        <f>'TUSD BE'!$L$15*'TUSD BF'!$L$78</f>
        <v>0</v>
      </c>
      <c r="M15" s="13">
        <f>'TUSD BE'!$M$15*'TUSD BF'!$M$78</f>
        <v>0</v>
      </c>
      <c r="N15" s="13">
        <f ca="1">'TUSD BE'!$N$15*'TUSD BF'!$N$78</f>
        <v>0</v>
      </c>
      <c r="O15" s="13">
        <f>'TUSD BE'!$O$15*'TUSD BF'!$O$78</f>
        <v>0</v>
      </c>
      <c r="P15" s="13">
        <f>'TUSD BE'!$P$15*'TUSD BF'!$P$78</f>
        <v>0</v>
      </c>
      <c r="Q15" s="13">
        <f>'TUSD BE'!$Q$15*'TUSD BF'!$Q$78</f>
        <v>0</v>
      </c>
      <c r="R15" s="13">
        <f>'TUSD BE'!$R$15*'TUSD BF'!$R$78</f>
        <v>0</v>
      </c>
      <c r="S15" s="13">
        <f>'TUSD BE'!$R$15*'TUSD BF'!$S$78</f>
        <v>0</v>
      </c>
      <c r="T15" s="13">
        <f ca="1">SUM($L$15:$S$15)</f>
        <v>0</v>
      </c>
      <c r="U15" s="13">
        <f>'TUSD BE'!$U$15*'TUSD BF'!$U$78</f>
        <v>0.33392661031363718</v>
      </c>
      <c r="V15" s="13">
        <f>'TUSD BE'!$V$15*'TUSD BF'!$V$78</f>
        <v>6.7937143084809568E-2</v>
      </c>
      <c r="W15" s="13">
        <f>'TUSD BE'!$W$15*'TUSD BF'!$W$78</f>
        <v>0</v>
      </c>
      <c r="X15" s="13">
        <f>'TUSD BE'!$X$15*'TUSD BF'!$X$78</f>
        <v>0</v>
      </c>
      <c r="Y15" s="13">
        <f>'TUSD BE'!$Y$15*'TUSD BF'!$Y$78</f>
        <v>0</v>
      </c>
      <c r="Z15" s="13">
        <f>'TUSD BE'!$Z$15*'TUSD BF'!$Z$78</f>
        <v>0</v>
      </c>
      <c r="AA15" s="13">
        <f>'TUSD BE'!$AA$15*'TUSD BF'!$AA$78</f>
        <v>0</v>
      </c>
      <c r="AB15" s="13">
        <f>SUM($U$15:$AA$15)</f>
        <v>0.40186375339844677</v>
      </c>
      <c r="AC15" s="13">
        <f>'TUSD BE'!$AC$15*'TUSD BF'!$AC$78</f>
        <v>0</v>
      </c>
      <c r="AD15" s="13">
        <f>SUM($AC$15:$AC$15)</f>
        <v>0</v>
      </c>
      <c r="AE15" s="13">
        <f ca="1">$AO$15*$AO$75</f>
        <v>0</v>
      </c>
      <c r="AF15" s="13">
        <f ca="1">$AP$15*$AP$75</f>
        <v>0</v>
      </c>
      <c r="AG15" s="13">
        <f ca="1">SUM($AE$15:$AF$15)</f>
        <v>0</v>
      </c>
      <c r="AH15" s="13">
        <f>'TUSD BE'!$AH$15*'TUSD BF'!$AH$78</f>
        <v>0</v>
      </c>
      <c r="AI15" s="13">
        <f>'TUSD BE'!$AI$15*'TUSD BF'!$AI$78</f>
        <v>0</v>
      </c>
      <c r="AJ15" s="13">
        <f ca="1">'TUSD BE'!$AJ$15*'TUSD BF'!$AJ$78</f>
        <v>0</v>
      </c>
      <c r="AK15" s="13">
        <f ca="1">'TUSD BE'!$AK$15*'TUSD BF'!$AK$78</f>
        <v>0</v>
      </c>
      <c r="AL15" s="13">
        <f ca="1">SUM($AH$15:$AK$15)</f>
        <v>0</v>
      </c>
      <c r="AM15" s="13">
        <f ca="1">SUMIF($L$4:$AL$4,"SUBTOTAL",$L$15:$AL$15)</f>
        <v>0.40186375339844677</v>
      </c>
      <c r="AO15" s="20">
        <f ca="1">+'TUSD BE'!$T$15+'TUSD BE'!$AB$15+'TUSD BE'!$AD$15+'TUSD BE'!$AL$15</f>
        <v>15.701528290747136</v>
      </c>
      <c r="AP15" s="20">
        <f ca="1">+'TUSD BE'!$T$15+'TUSD BE'!$AB$15+'TUSD BE'!$AD$15+'TUSD BE'!$AL$15</f>
        <v>15.701528290747136</v>
      </c>
    </row>
    <row r="16" spans="1:42" ht="11.25" customHeight="1" x14ac:dyDescent="0.3">
      <c r="A16" s="128"/>
      <c r="B16" s="128"/>
      <c r="C16" s="128"/>
      <c r="D16" s="128"/>
      <c r="E16" s="128"/>
      <c r="F16" s="128"/>
      <c r="G16" s="18" t="s">
        <v>84</v>
      </c>
      <c r="H16" s="18" t="s">
        <v>78</v>
      </c>
      <c r="I16" s="18">
        <f>'MERCADO TUSD'!$U$13</f>
        <v>175397.889</v>
      </c>
      <c r="J16" s="15"/>
      <c r="L16" s="13">
        <f>'TUSD BE'!$L$16*'TUSD BF'!$L$78</f>
        <v>0.39195468895496005</v>
      </c>
      <c r="M16" s="13">
        <f>'TUSD BE'!$M$16*'TUSD BF'!$M$78</f>
        <v>0</v>
      </c>
      <c r="N16" s="13">
        <f ca="1">'TUSD BE'!$N$16*'TUSD BF'!$N$78</f>
        <v>0</v>
      </c>
      <c r="O16" s="13">
        <f>'TUSD BE'!$O$16*'TUSD BF'!$O$78</f>
        <v>0</v>
      </c>
      <c r="P16" s="13">
        <f>'TUSD BE'!$P$16*'TUSD BF'!$P$78</f>
        <v>0</v>
      </c>
      <c r="Q16" s="13">
        <f>'TUSD BE'!$Q$16*'TUSD BF'!$Q$78</f>
        <v>19.413671926841253</v>
      </c>
      <c r="R16" s="13">
        <f>'TUSD BE'!$R$16*'TUSD BF'!$R$78</f>
        <v>5.255438897037914</v>
      </c>
      <c r="S16" s="13">
        <f>'TUSD BE'!$R$16*'TUSD BF'!$S$78</f>
        <v>0</v>
      </c>
      <c r="T16" s="13">
        <f ca="1">SUM($L$16:$S$16)</f>
        <v>25.061065512834126</v>
      </c>
      <c r="U16" s="13">
        <f>'TUSD BE'!$U$16*'TUSD BF'!$U$78</f>
        <v>0</v>
      </c>
      <c r="V16" s="13">
        <f>'TUSD BE'!$V$16*'TUSD BF'!$V$78</f>
        <v>0</v>
      </c>
      <c r="W16" s="13">
        <f>'TUSD BE'!$W$16*'TUSD BF'!$W$78</f>
        <v>0</v>
      </c>
      <c r="X16" s="13">
        <f>'TUSD BE'!$X$16*'TUSD BF'!$X$78</f>
        <v>0</v>
      </c>
      <c r="Y16" s="13">
        <f>'TUSD BE'!$Y$16*'TUSD BF'!$Y$78</f>
        <v>0</v>
      </c>
      <c r="Z16" s="13">
        <f>'TUSD BE'!$Z$16*'TUSD BF'!$Z$78</f>
        <v>0</v>
      </c>
      <c r="AA16" s="13">
        <f>'TUSD BE'!$AA$16*'TUSD BF'!$AA$78</f>
        <v>0</v>
      </c>
      <c r="AB16" s="13">
        <f>SUM($U$16:$AA$16)</f>
        <v>0</v>
      </c>
      <c r="AC16" s="13">
        <f>'TUSD BE'!$AC$16*'TUSD BF'!$AC$78</f>
        <v>0</v>
      </c>
      <c r="AD16" s="13">
        <f>SUM($AC$16:$AC$16)</f>
        <v>0</v>
      </c>
      <c r="AE16" s="13">
        <f ca="1">$AO$16*$AO$75</f>
        <v>0</v>
      </c>
      <c r="AF16" s="13">
        <f ca="1">$AP$16*$AP$75</f>
        <v>0</v>
      </c>
      <c r="AG16" s="13">
        <f ca="1">SUM($AE$16:$AF$16)</f>
        <v>0</v>
      </c>
      <c r="AH16" s="13">
        <f>'TUSD BE'!$AH$16*'TUSD BF'!$AH$78</f>
        <v>-0.5081969349287434</v>
      </c>
      <c r="AI16" s="13">
        <f>'TUSD BE'!$AI$16*'TUSD BF'!$AI$78</f>
        <v>-8.8076032410348264E-3</v>
      </c>
      <c r="AJ16" s="13">
        <f ca="1">'TUSD BE'!$AJ$16*'TUSD BF'!$AJ$78</f>
        <v>-0.15189611693065699</v>
      </c>
      <c r="AK16" s="13">
        <f ca="1">'TUSD BE'!$AK$16*'TUSD BF'!$AK$78</f>
        <v>0</v>
      </c>
      <c r="AL16" s="13">
        <f ca="1">SUM($AH$16:$AK$16)</f>
        <v>-0.66890065510043517</v>
      </c>
      <c r="AM16" s="13">
        <f ca="1">SUMIF($L$4:$AL$4,"SUBTOTAL",$L$16:$AL$16)</f>
        <v>24.39216485773369</v>
      </c>
      <c r="AO16" s="20">
        <f ca="1">+'TUSD BE'!$T$16+'TUSD BE'!$AB$16+'TUSD BE'!$AD$16+'TUSD BE'!$AL$16</f>
        <v>97.775328841615888</v>
      </c>
      <c r="AP16" s="20">
        <f ca="1">+'TUSD BE'!$T$16+'TUSD BE'!$AB$16+'TUSD BE'!$AD$16+'TUSD BE'!$AL$16</f>
        <v>97.775328841615888</v>
      </c>
    </row>
    <row r="17" spans="1:42" ht="11.25" customHeight="1" x14ac:dyDescent="0.3">
      <c r="A17" s="128"/>
      <c r="B17" s="128"/>
      <c r="C17" s="128"/>
      <c r="D17" s="128"/>
      <c r="E17" s="17" t="s">
        <v>85</v>
      </c>
      <c r="F17" s="17" t="s">
        <v>25</v>
      </c>
      <c r="G17" s="18" t="s">
        <v>84</v>
      </c>
      <c r="H17" s="18" t="s">
        <v>78</v>
      </c>
      <c r="I17" s="18">
        <f>'MERCADO TUSD'!$U$14</f>
        <v>0</v>
      </c>
      <c r="J17" s="15"/>
      <c r="L17" s="13">
        <f>'TUSD BE'!$L$17*'TUSD BF'!$L$78</f>
        <v>0</v>
      </c>
      <c r="M17" s="13">
        <f>'TUSD BE'!$M$17*'TUSD BF'!$M$78</f>
        <v>0</v>
      </c>
      <c r="N17" s="13">
        <f ca="1">'TUSD BE'!$N$17*'TUSD BF'!$N$78</f>
        <v>0</v>
      </c>
      <c r="O17" s="13">
        <f>'TUSD BE'!$O$17*'TUSD BF'!$O$78</f>
        <v>0</v>
      </c>
      <c r="P17" s="13">
        <f>'TUSD BE'!$P$17*'TUSD BF'!$P$78</f>
        <v>0</v>
      </c>
      <c r="Q17" s="13">
        <f>'TUSD BE'!$Q$17*'TUSD BF'!$Q$78</f>
        <v>0</v>
      </c>
      <c r="R17" s="13">
        <f>'TUSD BE'!$R$17*'TUSD BF'!$R$78</f>
        <v>0</v>
      </c>
      <c r="S17" s="13">
        <f>'TUSD BE'!$R$17*'TUSD BF'!$S$78</f>
        <v>0</v>
      </c>
      <c r="T17" s="13">
        <f ca="1">SUM($L$17:$S$17)</f>
        <v>0</v>
      </c>
      <c r="U17" s="13">
        <f>'TUSD BE'!$U$17*'TUSD BF'!$U$78</f>
        <v>0</v>
      </c>
      <c r="V17" s="13">
        <f>'TUSD BE'!$V$17*'TUSD BF'!$V$78</f>
        <v>0</v>
      </c>
      <c r="W17" s="13">
        <f>'TUSD BE'!$W$17*'TUSD BF'!$W$78</f>
        <v>0</v>
      </c>
      <c r="X17" s="13">
        <f>'TUSD BE'!$X$17*'TUSD BF'!$X$78</f>
        <v>0</v>
      </c>
      <c r="Y17" s="13">
        <f>'TUSD BE'!$Y$17*'TUSD BF'!$Y$78</f>
        <v>0</v>
      </c>
      <c r="Z17" s="13">
        <f>'TUSD BE'!$Z$17*'TUSD BF'!$Z$78</f>
        <v>0</v>
      </c>
      <c r="AA17" s="13">
        <f>'TUSD BE'!$AA$17*'TUSD BF'!$AA$78</f>
        <v>0</v>
      </c>
      <c r="AB17" s="13">
        <f>SUM($U$17:$AA$17)</f>
        <v>0</v>
      </c>
      <c r="AC17" s="13">
        <f>'TUSD BE'!$AC$17*'TUSD BF'!$AC$78</f>
        <v>0</v>
      </c>
      <c r="AD17" s="13">
        <f>SUM($AC$17:$AC$17)</f>
        <v>0</v>
      </c>
      <c r="AE17" s="13">
        <f ca="1">$AO$17*$AO$75</f>
        <v>0</v>
      </c>
      <c r="AF17" s="13">
        <f ca="1">$AP$17*$AP$75</f>
        <v>0</v>
      </c>
      <c r="AG17" s="13">
        <f ca="1">SUM($AE$17:$AF$17)</f>
        <v>0</v>
      </c>
      <c r="AH17" s="13">
        <f>'TUSD BE'!$AH$17*'TUSD BF'!$AH$78</f>
        <v>-0.5081969349287434</v>
      </c>
      <c r="AI17" s="13">
        <f>'TUSD BE'!$AI$17*'TUSD BF'!$AI$78</f>
        <v>-8.8076032410348264E-3</v>
      </c>
      <c r="AJ17" s="13">
        <f ca="1">'TUSD BE'!$AJ$17*'TUSD BF'!$AJ$78</f>
        <v>-0.15189611693065699</v>
      </c>
      <c r="AK17" s="13">
        <f ca="1">'TUSD BE'!$AK$17*'TUSD BF'!$AK$78</f>
        <v>0</v>
      </c>
      <c r="AL17" s="13">
        <f ca="1">SUM($AH$17:$AK$17)</f>
        <v>-0.66890065510043517</v>
      </c>
      <c r="AM17" s="13">
        <f ca="1">SUMIF($L$4:$AL$4,"SUBTOTAL",$L$17:$AL$17)</f>
        <v>-0.66890065510043517</v>
      </c>
      <c r="AO17" s="20">
        <f ca="1">+'TUSD BE'!$T$17+'TUSD BE'!$AB$17+'TUSD BE'!$AD$17+'TUSD BE'!$AL$17</f>
        <v>5.6715704843659145</v>
      </c>
      <c r="AP17" s="20">
        <f ca="1">+'TUSD BE'!$T$17+'TUSD BE'!$AB$17+'TUSD BE'!$AD$17+'TUSD BE'!$AL$17</f>
        <v>5.6715704843659145</v>
      </c>
    </row>
    <row r="18" spans="1:42" ht="11.25" customHeight="1" x14ac:dyDescent="0.3">
      <c r="A18" s="128"/>
      <c r="B18" s="17" t="s">
        <v>57</v>
      </c>
      <c r="C18" s="17" t="s">
        <v>25</v>
      </c>
      <c r="D18" s="17" t="s">
        <v>25</v>
      </c>
      <c r="E18" s="17" t="s">
        <v>25</v>
      </c>
      <c r="F18" s="17" t="s">
        <v>25</v>
      </c>
      <c r="G18" s="18" t="s">
        <v>9</v>
      </c>
      <c r="H18" s="18" t="s">
        <v>81</v>
      </c>
      <c r="I18" s="18">
        <f>'MERCADO TUSD'!$U$15</f>
        <v>105360</v>
      </c>
      <c r="J18" s="15"/>
      <c r="L18" s="13">
        <f>'TUSD BE'!$L$18*'TUSD BF'!$L$78</f>
        <v>0</v>
      </c>
      <c r="M18" s="13">
        <f>'TUSD BE'!$M$18*'TUSD BF'!$M$78</f>
        <v>0</v>
      </c>
      <c r="N18" s="13">
        <f ca="1">'TUSD BE'!$N$18*'TUSD BF'!$N$78</f>
        <v>0</v>
      </c>
      <c r="O18" s="13">
        <f>'TUSD BE'!$O$18*'TUSD BF'!$O$78</f>
        <v>0</v>
      </c>
      <c r="P18" s="13">
        <f>'TUSD BE'!$P$18*'TUSD BF'!$P$78</f>
        <v>0</v>
      </c>
      <c r="Q18" s="13">
        <f>'TUSD BE'!$Q$18*'TUSD BF'!$Q$78</f>
        <v>0</v>
      </c>
      <c r="R18" s="13">
        <f>'TUSD BE'!$R$18*'TUSD BF'!$R$78</f>
        <v>0</v>
      </c>
      <c r="S18" s="13">
        <f>'TUSD BE'!$R$18*'TUSD BF'!$S$78</f>
        <v>0</v>
      </c>
      <c r="T18" s="13">
        <f ca="1">SUM($L$18:$S$18)</f>
        <v>0</v>
      </c>
      <c r="U18" s="13">
        <f>'TUSD BE'!$U$18*'TUSD BF'!$U$78</f>
        <v>0</v>
      </c>
      <c r="V18" s="13">
        <f>'TUSD BE'!$V$18*'TUSD BF'!$V$78</f>
        <v>0</v>
      </c>
      <c r="W18" s="13">
        <f>'TUSD BE'!$W$18*'TUSD BF'!$W$78</f>
        <v>0</v>
      </c>
      <c r="X18" s="13">
        <f>'TUSD BE'!$X$18*'TUSD BF'!$X$78</f>
        <v>0</v>
      </c>
      <c r="Y18" s="13">
        <f>'TUSD BE'!$Y$18*'TUSD BF'!$Y$78</f>
        <v>0</v>
      </c>
      <c r="Z18" s="13">
        <f>'TUSD BE'!$Z$18*'TUSD BF'!$Z$78</f>
        <v>0</v>
      </c>
      <c r="AA18" s="13">
        <f>'TUSD BE'!$AA$18*'TUSD BF'!$AA$78</f>
        <v>0</v>
      </c>
      <c r="AB18" s="13">
        <f>SUM($U$18:$AA$18)</f>
        <v>0</v>
      </c>
      <c r="AC18" s="13">
        <f>'TUSD BE'!$AC$18*'TUSD BF'!$AC$78</f>
        <v>0</v>
      </c>
      <c r="AD18" s="13">
        <f>SUM($AC$18:$AC$18)</f>
        <v>0</v>
      </c>
      <c r="AE18" s="13">
        <f ca="1">$AO$18*$AO$75</f>
        <v>0</v>
      </c>
      <c r="AF18" s="13">
        <f ca="1">$AP$18*$AP$75</f>
        <v>0</v>
      </c>
      <c r="AG18" s="13">
        <f ca="1">SUM($AE$18:$AF$18)</f>
        <v>0</v>
      </c>
      <c r="AH18" s="13">
        <f>'TUSD BE'!$AH$18*'TUSD BF'!$AH$78</f>
        <v>-2.4314733925495893E-4</v>
      </c>
      <c r="AI18" s="13">
        <f>'TUSD BE'!$AI$18*'TUSD BF'!$AI$78</f>
        <v>0</v>
      </c>
      <c r="AJ18" s="13">
        <f ca="1">'TUSD BE'!$AJ$18*'TUSD BF'!$AJ$78</f>
        <v>0</v>
      </c>
      <c r="AK18" s="13">
        <f ca="1">'TUSD BE'!$AK$18*'TUSD BF'!$AK$78</f>
        <v>0</v>
      </c>
      <c r="AL18" s="13">
        <f ca="1">SUM($AH$18:$AK$18)</f>
        <v>-2.4314733925495893E-4</v>
      </c>
      <c r="AM18" s="13">
        <f ca="1">SUMIF($L$4:$AL$4,"SUBTOTAL",$L$18:$AL$18)</f>
        <v>-2.4314733925495893E-4</v>
      </c>
      <c r="AO18" s="20">
        <f ca="1">+'TUSD BE'!$T$18+'TUSD BE'!$AB$18+'TUSD BE'!$AD$18+'TUSD BE'!$AL$18</f>
        <v>3.7416788567293824</v>
      </c>
      <c r="AP18" s="20">
        <f ca="1">+'TUSD BE'!$T$18+'TUSD BE'!$AB$18+'TUSD BE'!$AD$18+'TUSD BE'!$AL$18</f>
        <v>3.7416788567293824</v>
      </c>
    </row>
    <row r="19" spans="1:42" ht="11.25" customHeight="1" x14ac:dyDescent="0.3">
      <c r="A19" s="128"/>
      <c r="B19" s="128" t="s">
        <v>41</v>
      </c>
      <c r="C19" s="128" t="s">
        <v>25</v>
      </c>
      <c r="D19" s="128" t="s">
        <v>25</v>
      </c>
      <c r="E19" s="128" t="s">
        <v>25</v>
      </c>
      <c r="F19" s="128" t="s">
        <v>25</v>
      </c>
      <c r="G19" s="18" t="s">
        <v>9</v>
      </c>
      <c r="H19" s="18" t="s">
        <v>81</v>
      </c>
      <c r="I19" s="18">
        <f>'MERCADO TUSD'!$U$16</f>
        <v>334187</v>
      </c>
      <c r="J19" s="15"/>
      <c r="L19" s="13">
        <f>'TUSD BE'!$L$19*'TUSD BF'!$L$78</f>
        <v>0</v>
      </c>
      <c r="M19" s="13">
        <f>'TUSD BE'!$M$19*'TUSD BF'!$M$78</f>
        <v>0</v>
      </c>
      <c r="N19" s="13">
        <f ca="1">'TUSD BE'!$N$19*'TUSD BF'!$N$78</f>
        <v>0</v>
      </c>
      <c r="O19" s="13">
        <f>'TUSD BE'!$O$19*'TUSD BF'!$O$78</f>
        <v>0</v>
      </c>
      <c r="P19" s="13">
        <f>'TUSD BE'!$P$19*'TUSD BF'!$P$78</f>
        <v>0</v>
      </c>
      <c r="Q19" s="13">
        <f>'TUSD BE'!$Q$19*'TUSD BF'!$Q$78</f>
        <v>0</v>
      </c>
      <c r="R19" s="13">
        <f>'TUSD BE'!$R$19*'TUSD BF'!$R$78</f>
        <v>0</v>
      </c>
      <c r="S19" s="13">
        <f>'TUSD BE'!$R$19*'TUSD BF'!$S$78</f>
        <v>0</v>
      </c>
      <c r="T19" s="13">
        <f ca="1">SUM($L$19:$S$19)</f>
        <v>0</v>
      </c>
      <c r="U19" s="13">
        <f>'TUSD BE'!$U$19*'TUSD BF'!$U$78</f>
        <v>0.33392661031363718</v>
      </c>
      <c r="V19" s="13">
        <f>'TUSD BE'!$V$19*'TUSD BF'!$V$78</f>
        <v>6.7937143084809568E-2</v>
      </c>
      <c r="W19" s="13">
        <f>'TUSD BE'!$W$19*'TUSD BF'!$W$78</f>
        <v>0</v>
      </c>
      <c r="X19" s="13">
        <f>'TUSD BE'!$X$19*'TUSD BF'!$X$78</f>
        <v>0</v>
      </c>
      <c r="Y19" s="13">
        <f>'TUSD BE'!$Y$19*'TUSD BF'!$Y$78</f>
        <v>0</v>
      </c>
      <c r="Z19" s="13">
        <f>'TUSD BE'!$Z$19*'TUSD BF'!$Z$78</f>
        <v>0</v>
      </c>
      <c r="AA19" s="13">
        <f>'TUSD BE'!$AA$19*'TUSD BF'!$AA$78</f>
        <v>0</v>
      </c>
      <c r="AB19" s="13">
        <f>SUM($U$19:$AA$19)</f>
        <v>0.40186375339844677</v>
      </c>
      <c r="AC19" s="13">
        <f>'TUSD BE'!$AC$19*'TUSD BF'!$AC$78</f>
        <v>0</v>
      </c>
      <c r="AD19" s="13">
        <f>SUM($AC$19:$AC$19)</f>
        <v>0</v>
      </c>
      <c r="AE19" s="13">
        <f ca="1">$AO$19*$AO$75</f>
        <v>0</v>
      </c>
      <c r="AF19" s="13">
        <f ca="1">$AP$19*$AP$75</f>
        <v>0</v>
      </c>
      <c r="AG19" s="13">
        <f ca="1">SUM($AE$19:$AF$19)</f>
        <v>0</v>
      </c>
      <c r="AH19" s="13">
        <f>'TUSD BE'!$AH$19*'TUSD BF'!$AH$78</f>
        <v>0</v>
      </c>
      <c r="AI19" s="13">
        <f>'TUSD BE'!$AI$19*'TUSD BF'!$AI$78</f>
        <v>0</v>
      </c>
      <c r="AJ19" s="13">
        <f ca="1">'TUSD BE'!$AJ$19*'TUSD BF'!$AJ$78</f>
        <v>0</v>
      </c>
      <c r="AK19" s="13">
        <f ca="1">'TUSD BE'!$AK$19*'TUSD BF'!$AK$78</f>
        <v>0</v>
      </c>
      <c r="AL19" s="13">
        <f ca="1">SUM($AH$19:$AK$19)</f>
        <v>0</v>
      </c>
      <c r="AM19" s="13">
        <f ca="1">SUMIF($L$4:$AL$4,"SUBTOTAL",$L$19:$AL$19)</f>
        <v>0.40186375339844677</v>
      </c>
      <c r="AO19" s="20">
        <f ca="1">+'TUSD BE'!$T$19+'TUSD BE'!$AB$19+'TUSD BE'!$AD$19+'TUSD BE'!$AL$19</f>
        <v>15.701528290747136</v>
      </c>
      <c r="AP19" s="20">
        <f ca="1">+'TUSD BE'!$T$19+'TUSD BE'!$AB$19+'TUSD BE'!$AD$19+'TUSD BE'!$AL$19</f>
        <v>15.701528290747136</v>
      </c>
    </row>
    <row r="20" spans="1:42" ht="11.25" customHeight="1" x14ac:dyDescent="0.3">
      <c r="A20" s="128"/>
      <c r="B20" s="128"/>
      <c r="C20" s="128"/>
      <c r="D20" s="128"/>
      <c r="E20" s="128"/>
      <c r="F20" s="128"/>
      <c r="G20" s="18" t="s">
        <v>79</v>
      </c>
      <c r="H20" s="18" t="s">
        <v>78</v>
      </c>
      <c r="I20" s="18">
        <f>'MERCADO TUSD'!$U$17</f>
        <v>7190.6020000000008</v>
      </c>
      <c r="J20" s="15"/>
      <c r="L20" s="13">
        <f>'TUSD BE'!$L$20*'TUSD BF'!$L$78</f>
        <v>0.39195468895496005</v>
      </c>
      <c r="M20" s="13">
        <f>'TUSD BE'!$M$20*'TUSD BF'!$M$78</f>
        <v>0</v>
      </c>
      <c r="N20" s="13">
        <f ca="1">'TUSD BE'!$N$20*'TUSD BF'!$N$78</f>
        <v>0</v>
      </c>
      <c r="O20" s="13">
        <f>'TUSD BE'!$O$20*'TUSD BF'!$O$78</f>
        <v>0</v>
      </c>
      <c r="P20" s="13">
        <f>'TUSD BE'!$P$20*'TUSD BF'!$P$78</f>
        <v>0</v>
      </c>
      <c r="Q20" s="13">
        <f>'TUSD BE'!$Q$20*'TUSD BF'!$Q$78</f>
        <v>19.413671926841253</v>
      </c>
      <c r="R20" s="13">
        <f>'TUSD BE'!$R$20*'TUSD BF'!$R$78</f>
        <v>5.255438897037914</v>
      </c>
      <c r="S20" s="13">
        <f>'TUSD BE'!$R$20*'TUSD BF'!$S$78</f>
        <v>0</v>
      </c>
      <c r="T20" s="13">
        <f ca="1">SUM($L$20:$S$20)</f>
        <v>25.061065512834126</v>
      </c>
      <c r="U20" s="13">
        <f>'TUSD BE'!$U$20*'TUSD BF'!$U$78</f>
        <v>11.5037443245788</v>
      </c>
      <c r="V20" s="13">
        <f>'TUSD BE'!$V$20*'TUSD BF'!$V$78</f>
        <v>2.3218904379871059</v>
      </c>
      <c r="W20" s="13">
        <f>'TUSD BE'!$W$20*'TUSD BF'!$W$78</f>
        <v>0</v>
      </c>
      <c r="X20" s="13">
        <f>'TUSD BE'!$X$20*'TUSD BF'!$X$78</f>
        <v>0</v>
      </c>
      <c r="Y20" s="13">
        <f>'TUSD BE'!$Y$20*'TUSD BF'!$Y$78</f>
        <v>0</v>
      </c>
      <c r="Z20" s="13">
        <f>'TUSD BE'!$Z$20*'TUSD BF'!$Z$78</f>
        <v>0</v>
      </c>
      <c r="AA20" s="13">
        <f>'TUSD BE'!$AA$20*'TUSD BF'!$AA$78</f>
        <v>0</v>
      </c>
      <c r="AB20" s="13">
        <f>SUM($U$20:$AA$20)</f>
        <v>13.825634762565906</v>
      </c>
      <c r="AC20" s="13">
        <f>'TUSD BE'!$AC$20*'TUSD BF'!$AC$78</f>
        <v>0</v>
      </c>
      <c r="AD20" s="13">
        <f>SUM($AC$20:$AC$20)</f>
        <v>0</v>
      </c>
      <c r="AE20" s="13">
        <f ca="1">$AO$20*$AO$75</f>
        <v>0</v>
      </c>
      <c r="AF20" s="13">
        <f ca="1">$AP$20*$AP$75</f>
        <v>0</v>
      </c>
      <c r="AG20" s="13">
        <f ca="1">SUM($AE$20:$AF$20)</f>
        <v>0</v>
      </c>
      <c r="AH20" s="13">
        <f>'TUSD BE'!$AH$20*'TUSD BF'!$AH$78</f>
        <v>-0.5081969349287434</v>
      </c>
      <c r="AI20" s="13">
        <f>'TUSD BE'!$AI$20*'TUSD BF'!$AI$78</f>
        <v>-8.8076032410348264E-3</v>
      </c>
      <c r="AJ20" s="13">
        <f ca="1">'TUSD BE'!$AJ$20*'TUSD BF'!$AJ$78</f>
        <v>-0.15189611693065699</v>
      </c>
      <c r="AK20" s="13">
        <f ca="1">'TUSD BE'!$AK$20*'TUSD BF'!$AK$78</f>
        <v>0</v>
      </c>
      <c r="AL20" s="13">
        <f ca="1">SUM($AH$20:$AK$20)</f>
        <v>-0.66890065510043517</v>
      </c>
      <c r="AM20" s="13">
        <f ca="1">SUMIF($L$4:$AL$4,"SUBTOTAL",$L$20:$AL$20)</f>
        <v>38.217799620299594</v>
      </c>
      <c r="AO20" s="20">
        <f ca="1">+'TUSD BE'!$T$20+'TUSD BE'!$AB$20+'TUSD BE'!$AD$20+'TUSD BE'!$AL$20</f>
        <v>1081.9112361936659</v>
      </c>
      <c r="AP20" s="20">
        <f ca="1">+'TUSD BE'!$T$20+'TUSD BE'!$AB$20+'TUSD BE'!$AD$20+'TUSD BE'!$AL$20</f>
        <v>1081.9112361936659</v>
      </c>
    </row>
    <row r="21" spans="1:42" ht="11.25" customHeight="1" x14ac:dyDescent="0.3">
      <c r="A21" s="128"/>
      <c r="B21" s="128"/>
      <c r="C21" s="128"/>
      <c r="D21" s="128"/>
      <c r="E21" s="128"/>
      <c r="F21" s="128"/>
      <c r="G21" s="18" t="s">
        <v>80</v>
      </c>
      <c r="H21" s="18" t="s">
        <v>78</v>
      </c>
      <c r="I21" s="18">
        <f>'MERCADO TUSD'!$U$18</f>
        <v>80797.680999999997</v>
      </c>
      <c r="J21" s="15"/>
      <c r="L21" s="13">
        <f>'TUSD BE'!$L$21*'TUSD BF'!$L$78</f>
        <v>0.39195468895496005</v>
      </c>
      <c r="M21" s="13">
        <f>'TUSD BE'!$M$21*'TUSD BF'!$M$78</f>
        <v>0</v>
      </c>
      <c r="N21" s="13">
        <f ca="1">'TUSD BE'!$N$21*'TUSD BF'!$N$78</f>
        <v>0</v>
      </c>
      <c r="O21" s="13">
        <f>'TUSD BE'!$O$21*'TUSD BF'!$O$78</f>
        <v>0</v>
      </c>
      <c r="P21" s="13">
        <f>'TUSD BE'!$P$21*'TUSD BF'!$P$78</f>
        <v>0</v>
      </c>
      <c r="Q21" s="13">
        <f>'TUSD BE'!$Q$21*'TUSD BF'!$Q$78</f>
        <v>19.413671926841253</v>
      </c>
      <c r="R21" s="13">
        <f>'TUSD BE'!$R$21*'TUSD BF'!$R$78</f>
        <v>5.255438897037914</v>
      </c>
      <c r="S21" s="13">
        <f>'TUSD BE'!$R$21*'TUSD BF'!$S$78</f>
        <v>0</v>
      </c>
      <c r="T21" s="13">
        <f ca="1">SUM($L$21:$S$21)</f>
        <v>25.061065512834126</v>
      </c>
      <c r="U21" s="13">
        <f>'TUSD BE'!$U$21*'TUSD BF'!$U$78</f>
        <v>0</v>
      </c>
      <c r="V21" s="13">
        <f>'TUSD BE'!$V$21*'TUSD BF'!$V$78</f>
        <v>0</v>
      </c>
      <c r="W21" s="13">
        <f>'TUSD BE'!$W$21*'TUSD BF'!$W$78</f>
        <v>0</v>
      </c>
      <c r="X21" s="13">
        <f>'TUSD BE'!$X$21*'TUSD BF'!$X$78</f>
        <v>0</v>
      </c>
      <c r="Y21" s="13">
        <f>'TUSD BE'!$Y$21*'TUSD BF'!$Y$78</f>
        <v>0</v>
      </c>
      <c r="Z21" s="13">
        <f>'TUSD BE'!$Z$21*'TUSD BF'!$Z$78</f>
        <v>0</v>
      </c>
      <c r="AA21" s="13">
        <f>'TUSD BE'!$AA$21*'TUSD BF'!$AA$78</f>
        <v>0</v>
      </c>
      <c r="AB21" s="13">
        <f>SUM($U$21:$AA$21)</f>
        <v>0</v>
      </c>
      <c r="AC21" s="13">
        <f>'TUSD BE'!$AC$21*'TUSD BF'!$AC$78</f>
        <v>0</v>
      </c>
      <c r="AD21" s="13">
        <f>SUM($AC$21:$AC$21)</f>
        <v>0</v>
      </c>
      <c r="AE21" s="13">
        <f ca="1">$AO$21*$AO$75</f>
        <v>0</v>
      </c>
      <c r="AF21" s="13">
        <f ca="1">$AP$21*$AP$75</f>
        <v>0</v>
      </c>
      <c r="AG21" s="13">
        <f ca="1">SUM($AE$21:$AF$21)</f>
        <v>0</v>
      </c>
      <c r="AH21" s="13">
        <f>'TUSD BE'!$AH$21*'TUSD BF'!$AH$78</f>
        <v>-0.5081969349287434</v>
      </c>
      <c r="AI21" s="13">
        <f>'TUSD BE'!$AI$21*'TUSD BF'!$AI$78</f>
        <v>-8.8076032410348264E-3</v>
      </c>
      <c r="AJ21" s="13">
        <f ca="1">'TUSD BE'!$AJ$21*'TUSD BF'!$AJ$78</f>
        <v>-0.15189611693065699</v>
      </c>
      <c r="AK21" s="13">
        <f ca="1">'TUSD BE'!$AK$21*'TUSD BF'!$AK$78</f>
        <v>0</v>
      </c>
      <c r="AL21" s="13">
        <f ca="1">SUM($AH$21:$AK$21)</f>
        <v>-0.66890065510043517</v>
      </c>
      <c r="AM21" s="13">
        <f ca="1">SUMIF($L$4:$AL$4,"SUBTOTAL",$L$21:$AL$21)</f>
        <v>24.39216485773369</v>
      </c>
      <c r="AO21" s="20">
        <f ca="1">+'TUSD BE'!$T$21+'TUSD BE'!$AB$21+'TUSD BE'!$AD$21+'TUSD BE'!$AL$21</f>
        <v>97.775328841615888</v>
      </c>
      <c r="AP21" s="20">
        <f ca="1">+'TUSD BE'!$T$21+'TUSD BE'!$AB$21+'TUSD BE'!$AD$21+'TUSD BE'!$AL$21</f>
        <v>97.775328841615888</v>
      </c>
    </row>
    <row r="22" spans="1:42" ht="11.25" customHeight="1" x14ac:dyDescent="0.3">
      <c r="A22" s="128"/>
      <c r="B22" s="128"/>
      <c r="C22" s="128"/>
      <c r="D22" s="128"/>
      <c r="E22" s="128" t="s">
        <v>85</v>
      </c>
      <c r="F22" s="128" t="s">
        <v>25</v>
      </c>
      <c r="G22" s="18" t="s">
        <v>79</v>
      </c>
      <c r="H22" s="18" t="s">
        <v>78</v>
      </c>
      <c r="I22" s="18">
        <f>'MERCADO TUSD'!$U$19</f>
        <v>0</v>
      </c>
      <c r="J22" s="15"/>
      <c r="L22" s="13">
        <f>'TUSD BE'!$L$22*'TUSD BF'!$L$78</f>
        <v>0</v>
      </c>
      <c r="M22" s="13">
        <f>'TUSD BE'!$M$22*'TUSD BF'!$M$78</f>
        <v>0</v>
      </c>
      <c r="N22" s="13">
        <f ca="1">'TUSD BE'!$N$22*'TUSD BF'!$N$78</f>
        <v>0</v>
      </c>
      <c r="O22" s="13">
        <f>'TUSD BE'!$O$22*'TUSD BF'!$O$78</f>
        <v>0</v>
      </c>
      <c r="P22" s="13">
        <f>'TUSD BE'!$P$22*'TUSD BF'!$P$78</f>
        <v>0</v>
      </c>
      <c r="Q22" s="13">
        <f>'TUSD BE'!$Q$22*'TUSD BF'!$Q$78</f>
        <v>0</v>
      </c>
      <c r="R22" s="13">
        <f>'TUSD BE'!$R$22*'TUSD BF'!$R$78</f>
        <v>0</v>
      </c>
      <c r="S22" s="13">
        <f>'TUSD BE'!$R$22*'TUSD BF'!$S$78</f>
        <v>0</v>
      </c>
      <c r="T22" s="13">
        <f ca="1">SUM($L$22:$S$22)</f>
        <v>0</v>
      </c>
      <c r="U22" s="13">
        <f>'TUSD BE'!$U$22*'TUSD BF'!$U$78</f>
        <v>11.5037443245788</v>
      </c>
      <c r="V22" s="13">
        <f>'TUSD BE'!$V$22*'TUSD BF'!$V$78</f>
        <v>2.3218904379871059</v>
      </c>
      <c r="W22" s="13">
        <f>'TUSD BE'!$W$22*'TUSD BF'!$W$78</f>
        <v>0</v>
      </c>
      <c r="X22" s="13">
        <f>'TUSD BE'!$X$22*'TUSD BF'!$X$78</f>
        <v>0</v>
      </c>
      <c r="Y22" s="13">
        <f>'TUSD BE'!$Y$22*'TUSD BF'!$Y$78</f>
        <v>0</v>
      </c>
      <c r="Z22" s="13">
        <f>'TUSD BE'!$Z$22*'TUSD BF'!$Z$78</f>
        <v>0</v>
      </c>
      <c r="AA22" s="13">
        <f>'TUSD BE'!$AA$22*'TUSD BF'!$AA$78</f>
        <v>0</v>
      </c>
      <c r="AB22" s="13">
        <f>SUM($U$22:$AA$22)</f>
        <v>13.825634762565906</v>
      </c>
      <c r="AC22" s="13">
        <f>'TUSD BE'!$AC$22*'TUSD BF'!$AC$78</f>
        <v>0</v>
      </c>
      <c r="AD22" s="13">
        <f>SUM($AC$22:$AC$22)</f>
        <v>0</v>
      </c>
      <c r="AE22" s="13">
        <f ca="1">$AO$22*$AO$75</f>
        <v>0</v>
      </c>
      <c r="AF22" s="13">
        <f ca="1">$AP$22*$AP$75</f>
        <v>0</v>
      </c>
      <c r="AG22" s="13">
        <f ca="1">SUM($AE$22:$AF$22)</f>
        <v>0</v>
      </c>
      <c r="AH22" s="13">
        <f>'TUSD BE'!$AH$22*'TUSD BF'!$AH$78</f>
        <v>-0.5081969349287434</v>
      </c>
      <c r="AI22" s="13">
        <f>'TUSD BE'!$AI$22*'TUSD BF'!$AI$78</f>
        <v>-8.8076032410348264E-3</v>
      </c>
      <c r="AJ22" s="13">
        <f ca="1">'TUSD BE'!$AJ$22*'TUSD BF'!$AJ$78</f>
        <v>-0.15189611693065699</v>
      </c>
      <c r="AK22" s="13">
        <f ca="1">'TUSD BE'!$AK$22*'TUSD BF'!$AK$78</f>
        <v>0</v>
      </c>
      <c r="AL22" s="13">
        <f ca="1">SUM($AH$22:$AK$22)</f>
        <v>-0.66890065510043517</v>
      </c>
      <c r="AM22" s="13">
        <f ca="1">SUMIF($L$4:$AL$4,"SUBTOTAL",$L$22:$AL$22)</f>
        <v>13.156734107465471</v>
      </c>
      <c r="AO22" s="20">
        <f ca="1">+'TUSD BE'!$T$22+'TUSD BE'!$AB$22+'TUSD BE'!$AD$22+'TUSD BE'!$AL$22</f>
        <v>989.80747783641596</v>
      </c>
      <c r="AP22" s="20">
        <f ca="1">+'TUSD BE'!$T$22+'TUSD BE'!$AB$22+'TUSD BE'!$AD$22+'TUSD BE'!$AL$22</f>
        <v>989.80747783641596</v>
      </c>
    </row>
    <row r="23" spans="1:42" ht="11.25" customHeight="1" x14ac:dyDescent="0.3">
      <c r="A23" s="128"/>
      <c r="B23" s="128"/>
      <c r="C23" s="128"/>
      <c r="D23" s="128"/>
      <c r="E23" s="128"/>
      <c r="F23" s="128"/>
      <c r="G23" s="18" t="s">
        <v>80</v>
      </c>
      <c r="H23" s="18" t="s">
        <v>78</v>
      </c>
      <c r="I23" s="18">
        <f>'MERCADO TUSD'!$U$20</f>
        <v>0</v>
      </c>
      <c r="J23" s="15"/>
      <c r="L23" s="13">
        <f>'TUSD BE'!$L$23*'TUSD BF'!$L$78</f>
        <v>0</v>
      </c>
      <c r="M23" s="13">
        <f>'TUSD BE'!$M$23*'TUSD BF'!$M$78</f>
        <v>0</v>
      </c>
      <c r="N23" s="13">
        <f ca="1">'TUSD BE'!$N$23*'TUSD BF'!$N$78</f>
        <v>0</v>
      </c>
      <c r="O23" s="13">
        <f>'TUSD BE'!$O$23*'TUSD BF'!$O$78</f>
        <v>0</v>
      </c>
      <c r="P23" s="13">
        <f>'TUSD BE'!$P$23*'TUSD BF'!$P$78</f>
        <v>0</v>
      </c>
      <c r="Q23" s="13">
        <f>'TUSD BE'!$Q$23*'TUSD BF'!$Q$78</f>
        <v>0</v>
      </c>
      <c r="R23" s="13">
        <f>'TUSD BE'!$R$23*'TUSD BF'!$R$78</f>
        <v>0</v>
      </c>
      <c r="S23" s="13">
        <f>'TUSD BE'!$R$23*'TUSD BF'!$S$78</f>
        <v>0</v>
      </c>
      <c r="T23" s="13">
        <f ca="1">SUM($L$23:$S$23)</f>
        <v>0</v>
      </c>
      <c r="U23" s="13">
        <f>'TUSD BE'!$U$23*'TUSD BF'!$U$78</f>
        <v>0</v>
      </c>
      <c r="V23" s="13">
        <f>'TUSD BE'!$V$23*'TUSD BF'!$V$78</f>
        <v>0</v>
      </c>
      <c r="W23" s="13">
        <f>'TUSD BE'!$W$23*'TUSD BF'!$W$78</f>
        <v>0</v>
      </c>
      <c r="X23" s="13">
        <f>'TUSD BE'!$X$23*'TUSD BF'!$X$78</f>
        <v>0</v>
      </c>
      <c r="Y23" s="13">
        <f>'TUSD BE'!$Y$23*'TUSD BF'!$Y$78</f>
        <v>0</v>
      </c>
      <c r="Z23" s="13">
        <f>'TUSD BE'!$Z$23*'TUSD BF'!$Z$78</f>
        <v>0</v>
      </c>
      <c r="AA23" s="13">
        <f>'TUSD BE'!$AA$23*'TUSD BF'!$AA$78</f>
        <v>0</v>
      </c>
      <c r="AB23" s="13">
        <f>SUM($U$23:$AA$23)</f>
        <v>0</v>
      </c>
      <c r="AC23" s="13">
        <f>'TUSD BE'!$AC$23*'TUSD BF'!$AC$78</f>
        <v>0</v>
      </c>
      <c r="AD23" s="13">
        <f>SUM($AC$23:$AC$23)</f>
        <v>0</v>
      </c>
      <c r="AE23" s="13">
        <f ca="1">$AO$23*$AO$75</f>
        <v>0</v>
      </c>
      <c r="AF23" s="13">
        <f ca="1">$AP$23*$AP$75</f>
        <v>0</v>
      </c>
      <c r="AG23" s="13">
        <f ca="1">SUM($AE$23:$AF$23)</f>
        <v>0</v>
      </c>
      <c r="AH23" s="13">
        <f>'TUSD BE'!$AH$23*'TUSD BF'!$AH$78</f>
        <v>-0.5081969349287434</v>
      </c>
      <c r="AI23" s="13">
        <f>'TUSD BE'!$AI$23*'TUSD BF'!$AI$78</f>
        <v>-8.8076032410348264E-3</v>
      </c>
      <c r="AJ23" s="13">
        <f ca="1">'TUSD BE'!$AJ$23*'TUSD BF'!$AJ$78</f>
        <v>-0.15189611693065699</v>
      </c>
      <c r="AK23" s="13">
        <f ca="1">'TUSD BE'!$AK$23*'TUSD BF'!$AK$78</f>
        <v>0</v>
      </c>
      <c r="AL23" s="13">
        <f ca="1">SUM($AH$23:$AK$23)</f>
        <v>-0.66890065510043517</v>
      </c>
      <c r="AM23" s="13">
        <f ca="1">SUMIF($L$4:$AL$4,"SUBTOTAL",$L$23:$AL$23)</f>
        <v>-0.66890065510043517</v>
      </c>
      <c r="AO23" s="20">
        <f ca="1">+'TUSD BE'!$T$23+'TUSD BE'!$AB$23+'TUSD BE'!$AD$23+'TUSD BE'!$AL$23</f>
        <v>5.6715704843659145</v>
      </c>
      <c r="AP23" s="20">
        <f ca="1">+'TUSD BE'!$T$23+'TUSD BE'!$AB$23+'TUSD BE'!$AD$23+'TUSD BE'!$AL$23</f>
        <v>5.6715704843659145</v>
      </c>
    </row>
    <row r="24" spans="1:42" ht="11.25" customHeight="1" x14ac:dyDescent="0.3">
      <c r="A24" s="128" t="s">
        <v>43</v>
      </c>
      <c r="B24" s="128" t="s">
        <v>40</v>
      </c>
      <c r="C24" s="128" t="s">
        <v>25</v>
      </c>
      <c r="D24" s="128" t="s">
        <v>25</v>
      </c>
      <c r="E24" s="128" t="s">
        <v>25</v>
      </c>
      <c r="F24" s="128" t="s">
        <v>25</v>
      </c>
      <c r="G24" s="18" t="s">
        <v>82</v>
      </c>
      <c r="H24" s="18" t="s">
        <v>81</v>
      </c>
      <c r="I24" s="18">
        <f>'MERCADO TUSD'!$U$21</f>
        <v>0</v>
      </c>
      <c r="J24" s="15"/>
      <c r="L24" s="13">
        <f>'TUSD BE'!$L$24*'TUSD BF'!$L$78</f>
        <v>0</v>
      </c>
      <c r="M24" s="13">
        <f>'TUSD BE'!$M$24*'TUSD BF'!$M$78</f>
        <v>0</v>
      </c>
      <c r="N24" s="13">
        <f ca="1">'TUSD BE'!$N$24*'TUSD BF'!$N$78</f>
        <v>0</v>
      </c>
      <c r="O24" s="13">
        <f>'TUSD BE'!$O$24*'TUSD BF'!$O$78</f>
        <v>0</v>
      </c>
      <c r="P24" s="13">
        <f>'TUSD BE'!$P$24*'TUSD BF'!$P$78</f>
        <v>0</v>
      </c>
      <c r="Q24" s="13">
        <f>'TUSD BE'!$Q$24*'TUSD BF'!$Q$78</f>
        <v>0</v>
      </c>
      <c r="R24" s="13">
        <f>'TUSD BE'!$R$24*'TUSD BF'!$R$78</f>
        <v>0</v>
      </c>
      <c r="S24" s="13">
        <f>'TUSD BE'!$R$24*'TUSD BF'!$S$78</f>
        <v>0</v>
      </c>
      <c r="T24" s="13">
        <f ca="1">SUM($L$24:$S$24)</f>
        <v>0</v>
      </c>
      <c r="U24" s="13">
        <f>'TUSD BE'!$U$24*'TUSD BF'!$U$78</f>
        <v>0.46891466148573502</v>
      </c>
      <c r="V24" s="13">
        <f>'TUSD BE'!$V$24*'TUSD BF'!$V$78</f>
        <v>9.4646824606477178E-2</v>
      </c>
      <c r="W24" s="13">
        <f>'TUSD BE'!$W$24*'TUSD BF'!$W$78</f>
        <v>0</v>
      </c>
      <c r="X24" s="13">
        <f>'TUSD BE'!$X$24*'TUSD BF'!$X$78</f>
        <v>0</v>
      </c>
      <c r="Y24" s="13">
        <f>'TUSD BE'!$Y$24*'TUSD BF'!$Y$78</f>
        <v>0</v>
      </c>
      <c r="Z24" s="13">
        <f>'TUSD BE'!$Z$24*'TUSD BF'!$Z$78</f>
        <v>0</v>
      </c>
      <c r="AA24" s="13">
        <f>'TUSD BE'!$AA$24*'TUSD BF'!$AA$78</f>
        <v>0</v>
      </c>
      <c r="AB24" s="13">
        <f>SUM($U$24:$AA$24)</f>
        <v>0.56356148609221224</v>
      </c>
      <c r="AC24" s="13">
        <f>'TUSD BE'!$AC$24*'TUSD BF'!$AC$78</f>
        <v>0</v>
      </c>
      <c r="AD24" s="13">
        <f>SUM($AC$24:$AC$24)</f>
        <v>0</v>
      </c>
      <c r="AE24" s="13">
        <f ca="1">$AO$24*$AO$75</f>
        <v>0</v>
      </c>
      <c r="AF24" s="13">
        <f ca="1">$AP$24*$AP$75</f>
        <v>0</v>
      </c>
      <c r="AG24" s="13">
        <f ca="1">SUM($AE$24:$AF$24)</f>
        <v>0</v>
      </c>
      <c r="AH24" s="13">
        <f>'TUSD BE'!$AH$24*'TUSD BF'!$AH$78</f>
        <v>0</v>
      </c>
      <c r="AI24" s="13">
        <f>'TUSD BE'!$AI$24*'TUSD BF'!$AI$78</f>
        <v>0</v>
      </c>
      <c r="AJ24" s="13">
        <f ca="1">'TUSD BE'!$AJ$24*'TUSD BF'!$AJ$78</f>
        <v>0</v>
      </c>
      <c r="AK24" s="13">
        <f ca="1">'TUSD BE'!$AK$24*'TUSD BF'!$AK$78</f>
        <v>0</v>
      </c>
      <c r="AL24" s="13">
        <f ca="1">SUM($AH$24:$AK$24)</f>
        <v>0</v>
      </c>
      <c r="AM24" s="13">
        <f ca="1">SUMIF($L$4:$AL$4,"SUBTOTAL",$L$24:$AL$24)</f>
        <v>0.56356148609221224</v>
      </c>
      <c r="AO24" s="20">
        <f ca="1">+'TUSD BE'!$T$24+'TUSD BE'!$AB$24+'TUSD BE'!$AD$24+'TUSD BE'!$AL$24</f>
        <v>70.212317429024367</v>
      </c>
      <c r="AP24" s="20">
        <f ca="1">+'TUSD BE'!$T$24+'TUSD BE'!$AB$24+'TUSD BE'!$AD$24+'TUSD BE'!$AL$24</f>
        <v>70.212317429024367</v>
      </c>
    </row>
    <row r="25" spans="1:42" ht="11.25" customHeight="1" x14ac:dyDescent="0.3">
      <c r="A25" s="128"/>
      <c r="B25" s="128"/>
      <c r="C25" s="128"/>
      <c r="D25" s="128"/>
      <c r="E25" s="128"/>
      <c r="F25" s="128"/>
      <c r="G25" s="18" t="s">
        <v>83</v>
      </c>
      <c r="H25" s="18" t="s">
        <v>81</v>
      </c>
      <c r="I25" s="18">
        <f>'MERCADO TUSD'!$U$22</f>
        <v>0</v>
      </c>
      <c r="J25" s="15"/>
      <c r="L25" s="13">
        <f>'TUSD BE'!$L$25*'TUSD BF'!$L$78</f>
        <v>0</v>
      </c>
      <c r="M25" s="13">
        <f>'TUSD BE'!$M$25*'TUSD BF'!$M$78</f>
        <v>0</v>
      </c>
      <c r="N25" s="13">
        <f ca="1">'TUSD BE'!$N$25*'TUSD BF'!$N$78</f>
        <v>0</v>
      </c>
      <c r="O25" s="13">
        <f>'TUSD BE'!$O$25*'TUSD BF'!$O$78</f>
        <v>0</v>
      </c>
      <c r="P25" s="13">
        <f>'TUSD BE'!$P$25*'TUSD BF'!$P$78</f>
        <v>0</v>
      </c>
      <c r="Q25" s="13">
        <f>'TUSD BE'!$Q$25*'TUSD BF'!$Q$78</f>
        <v>0</v>
      </c>
      <c r="R25" s="13">
        <f>'TUSD BE'!$R$25*'TUSD BF'!$R$78</f>
        <v>0</v>
      </c>
      <c r="S25" s="13">
        <f>'TUSD BE'!$R$25*'TUSD BF'!$S$78</f>
        <v>0</v>
      </c>
      <c r="T25" s="13">
        <f ca="1">SUM($L$25:$S$25)</f>
        <v>0</v>
      </c>
      <c r="U25" s="13">
        <f>'TUSD BE'!$U$25*'TUSD BF'!$U$78</f>
        <v>0.44066869275151976</v>
      </c>
      <c r="V25" s="13">
        <f>'TUSD BE'!$V$25*'TUSD BF'!$V$78</f>
        <v>8.9653770086335821E-2</v>
      </c>
      <c r="W25" s="13">
        <f>'TUSD BE'!$W$25*'TUSD BF'!$W$78</f>
        <v>0</v>
      </c>
      <c r="X25" s="13">
        <f>'TUSD BE'!$X$25*'TUSD BF'!$X$78</f>
        <v>0</v>
      </c>
      <c r="Y25" s="13">
        <f>'TUSD BE'!$Y$25*'TUSD BF'!$Y$78</f>
        <v>0</v>
      </c>
      <c r="Z25" s="13">
        <f>'TUSD BE'!$Z$25*'TUSD BF'!$Z$78</f>
        <v>0</v>
      </c>
      <c r="AA25" s="13">
        <f>'TUSD BE'!$AA$25*'TUSD BF'!$AA$78</f>
        <v>0</v>
      </c>
      <c r="AB25" s="13">
        <f>SUM($U$25:$AA$25)</f>
        <v>0.53032246283785556</v>
      </c>
      <c r="AC25" s="13">
        <f>'TUSD BE'!$AC$25*'TUSD BF'!$AC$78</f>
        <v>0</v>
      </c>
      <c r="AD25" s="13">
        <f>SUM($AC$25:$AC$25)</f>
        <v>0</v>
      </c>
      <c r="AE25" s="13">
        <f ca="1">$AO$25*$AO$75</f>
        <v>0</v>
      </c>
      <c r="AF25" s="13">
        <f ca="1">$AP$25*$AP$75</f>
        <v>0</v>
      </c>
      <c r="AG25" s="13">
        <f ca="1">SUM($AE$25:$AF$25)</f>
        <v>0</v>
      </c>
      <c r="AH25" s="13">
        <f>'TUSD BE'!$AH$25*'TUSD BF'!$AH$78</f>
        <v>0</v>
      </c>
      <c r="AI25" s="13">
        <f>'TUSD BE'!$AI$25*'TUSD BF'!$AI$78</f>
        <v>0</v>
      </c>
      <c r="AJ25" s="13">
        <f ca="1">'TUSD BE'!$AJ$25*'TUSD BF'!$AJ$78</f>
        <v>0</v>
      </c>
      <c r="AK25" s="13">
        <f ca="1">'TUSD BE'!$AK$25*'TUSD BF'!$AK$78</f>
        <v>0</v>
      </c>
      <c r="AL25" s="13">
        <f ca="1">SUM($AH$25:$AK$25)</f>
        <v>0</v>
      </c>
      <c r="AM25" s="13">
        <f ca="1">SUMIF($L$4:$AL$4,"SUBTOTAL",$L$25:$AL$25)</f>
        <v>0.53032246283785556</v>
      </c>
      <c r="AO25" s="20">
        <f ca="1">+'TUSD BE'!$T$25+'TUSD BE'!$AB$25+'TUSD BE'!$AD$25+'TUSD BE'!$AL$25</f>
        <v>13.017729492800711</v>
      </c>
      <c r="AP25" s="20">
        <f ca="1">+'TUSD BE'!$T$25+'TUSD BE'!$AB$25+'TUSD BE'!$AD$25+'TUSD BE'!$AL$25</f>
        <v>13.017729492800711</v>
      </c>
    </row>
    <row r="26" spans="1:42" ht="11.25" customHeight="1" x14ac:dyDescent="0.3">
      <c r="A26" s="128"/>
      <c r="B26" s="128"/>
      <c r="C26" s="128"/>
      <c r="D26" s="128"/>
      <c r="E26" s="128"/>
      <c r="F26" s="128"/>
      <c r="G26" s="18" t="s">
        <v>84</v>
      </c>
      <c r="H26" s="18" t="s">
        <v>78</v>
      </c>
      <c r="I26" s="18">
        <f>'MERCADO TUSD'!$U$23</f>
        <v>0</v>
      </c>
      <c r="J26" s="15"/>
      <c r="L26" s="13">
        <f>'TUSD BE'!$L$26*'TUSD BF'!$L$78</f>
        <v>0.46661272494638101</v>
      </c>
      <c r="M26" s="13">
        <f>'TUSD BE'!$M$26*'TUSD BF'!$M$78</f>
        <v>0</v>
      </c>
      <c r="N26" s="13">
        <f ca="1">'TUSD BE'!$N$26*'TUSD BF'!$N$78</f>
        <v>0</v>
      </c>
      <c r="O26" s="13">
        <f>'TUSD BE'!$O$26*'TUSD BF'!$O$78</f>
        <v>0</v>
      </c>
      <c r="P26" s="13">
        <f>'TUSD BE'!$P$26*'TUSD BF'!$P$78</f>
        <v>0</v>
      </c>
      <c r="Q26" s="13">
        <f>'TUSD BE'!$Q$26*'TUSD BF'!$Q$78</f>
        <v>23.11151419862054</v>
      </c>
      <c r="R26" s="13">
        <f>'TUSD BE'!$R$26*'TUSD BF'!$R$78</f>
        <v>5.255438897037914</v>
      </c>
      <c r="S26" s="13">
        <f>'TUSD BE'!$R$26*'TUSD BF'!$S$78</f>
        <v>0</v>
      </c>
      <c r="T26" s="13">
        <f ca="1">SUM($L$26:$S$26)</f>
        <v>28.833565820604832</v>
      </c>
      <c r="U26" s="13">
        <f>'TUSD BE'!$U$26*'TUSD BF'!$U$78</f>
        <v>0</v>
      </c>
      <c r="V26" s="13">
        <f>'TUSD BE'!$V$26*'TUSD BF'!$V$78</f>
        <v>0</v>
      </c>
      <c r="W26" s="13">
        <f>'TUSD BE'!$W$26*'TUSD BF'!$W$78</f>
        <v>0</v>
      </c>
      <c r="X26" s="13">
        <f>'TUSD BE'!$X$26*'TUSD BF'!$X$78</f>
        <v>0</v>
      </c>
      <c r="Y26" s="13">
        <f>'TUSD BE'!$Y$26*'TUSD BF'!$Y$78</f>
        <v>0</v>
      </c>
      <c r="Z26" s="13">
        <f>'TUSD BE'!$Z$26*'TUSD BF'!$Z$78</f>
        <v>0</v>
      </c>
      <c r="AA26" s="13">
        <f>'TUSD BE'!$AA$26*'TUSD BF'!$AA$78</f>
        <v>0</v>
      </c>
      <c r="AB26" s="13">
        <f>SUM($U$26:$AA$26)</f>
        <v>0</v>
      </c>
      <c r="AC26" s="13">
        <f>'TUSD BE'!$AC$26*'TUSD BF'!$AC$78</f>
        <v>0</v>
      </c>
      <c r="AD26" s="13">
        <f>SUM($AC$26:$AC$26)</f>
        <v>0</v>
      </c>
      <c r="AE26" s="13">
        <f ca="1">$AO$26*$AO$75</f>
        <v>0</v>
      </c>
      <c r="AF26" s="13">
        <f ca="1">$AP$26*$AP$75</f>
        <v>0</v>
      </c>
      <c r="AG26" s="13">
        <f ca="1">SUM($AE$26:$AF$26)</f>
        <v>0</v>
      </c>
      <c r="AH26" s="13">
        <f>'TUSD BE'!$AH$26*'TUSD BF'!$AH$78</f>
        <v>-3.3404797203542533</v>
      </c>
      <c r="AI26" s="13">
        <f>'TUSD BE'!$AI$26*'TUSD BF'!$AI$78</f>
        <v>-5.7894131171272345E-2</v>
      </c>
      <c r="AJ26" s="13">
        <f ca="1">'TUSD BE'!$AJ$26*'TUSD BF'!$AJ$78</f>
        <v>-0.25342142032184245</v>
      </c>
      <c r="AK26" s="13">
        <f ca="1">'TUSD BE'!$AK$26*'TUSD BF'!$AK$78</f>
        <v>0</v>
      </c>
      <c r="AL26" s="13">
        <f ca="1">SUM($AH$26:$AK$26)</f>
        <v>-3.6517952718473681</v>
      </c>
      <c r="AM26" s="13">
        <f ca="1">SUMIF($L$4:$AL$4,"SUBTOTAL",$L$26:$AL$26)</f>
        <v>25.181770548757463</v>
      </c>
      <c r="AO26" s="20">
        <f ca="1">+'TUSD BE'!$T$26+'TUSD BE'!$AB$26+'TUSD BE'!$AD$26+'TUSD BE'!$AL$26</f>
        <v>135.6496504992603</v>
      </c>
      <c r="AP26" s="20">
        <f ca="1">+'TUSD BE'!$T$26+'TUSD BE'!$AB$26+'TUSD BE'!$AD$26+'TUSD BE'!$AL$26</f>
        <v>135.6496504992603</v>
      </c>
    </row>
    <row r="27" spans="1:42" ht="11.25" customHeight="1" x14ac:dyDescent="0.3">
      <c r="A27" s="128"/>
      <c r="B27" s="128"/>
      <c r="C27" s="128"/>
      <c r="D27" s="128"/>
      <c r="E27" s="17" t="s">
        <v>85</v>
      </c>
      <c r="F27" s="17" t="s">
        <v>25</v>
      </c>
      <c r="G27" s="18" t="s">
        <v>84</v>
      </c>
      <c r="H27" s="18" t="s">
        <v>78</v>
      </c>
      <c r="I27" s="18">
        <f>'MERCADO TUSD'!$U$24</f>
        <v>0</v>
      </c>
      <c r="J27" s="15"/>
      <c r="L27" s="13">
        <f>'TUSD BE'!$L$27*'TUSD BF'!$L$78</f>
        <v>0</v>
      </c>
      <c r="M27" s="13">
        <f>'TUSD BE'!$M$27*'TUSD BF'!$M$78</f>
        <v>0</v>
      </c>
      <c r="N27" s="13">
        <f ca="1">'TUSD BE'!$N$27*'TUSD BF'!$N$78</f>
        <v>0</v>
      </c>
      <c r="O27" s="13">
        <f>'TUSD BE'!$O$27*'TUSD BF'!$O$78</f>
        <v>0</v>
      </c>
      <c r="P27" s="13">
        <f>'TUSD BE'!$P$27*'TUSD BF'!$P$78</f>
        <v>0</v>
      </c>
      <c r="Q27" s="13">
        <f>'TUSD BE'!$Q$27*'TUSD BF'!$Q$78</f>
        <v>0</v>
      </c>
      <c r="R27" s="13">
        <f>'TUSD BE'!$R$27*'TUSD BF'!$R$78</f>
        <v>0</v>
      </c>
      <c r="S27" s="13">
        <f>'TUSD BE'!$R$27*'TUSD BF'!$S$78</f>
        <v>0</v>
      </c>
      <c r="T27" s="13">
        <f ca="1">SUM($L$27:$S$27)</f>
        <v>0</v>
      </c>
      <c r="U27" s="13">
        <f>'TUSD BE'!$U$27*'TUSD BF'!$U$78</f>
        <v>0</v>
      </c>
      <c r="V27" s="13">
        <f>'TUSD BE'!$V$27*'TUSD BF'!$V$78</f>
        <v>0</v>
      </c>
      <c r="W27" s="13">
        <f>'TUSD BE'!$W$27*'TUSD BF'!$W$78</f>
        <v>0</v>
      </c>
      <c r="X27" s="13">
        <f>'TUSD BE'!$X$27*'TUSD BF'!$X$78</f>
        <v>0</v>
      </c>
      <c r="Y27" s="13">
        <f>'TUSD BE'!$Y$27*'TUSD BF'!$Y$78</f>
        <v>0</v>
      </c>
      <c r="Z27" s="13">
        <f>'TUSD BE'!$Z$27*'TUSD BF'!$Z$78</f>
        <v>0</v>
      </c>
      <c r="AA27" s="13">
        <f>'TUSD BE'!$AA$27*'TUSD BF'!$AA$78</f>
        <v>0</v>
      </c>
      <c r="AB27" s="13">
        <f>SUM($U$27:$AA$27)</f>
        <v>0</v>
      </c>
      <c r="AC27" s="13">
        <f>'TUSD BE'!$AC$27*'TUSD BF'!$AC$78</f>
        <v>0</v>
      </c>
      <c r="AD27" s="13">
        <f>SUM($AC$27:$AC$27)</f>
        <v>0</v>
      </c>
      <c r="AE27" s="13">
        <f ca="1">$AO$27*$AO$75</f>
        <v>0</v>
      </c>
      <c r="AF27" s="13">
        <f ca="1">$AP$27*$AP$75</f>
        <v>0</v>
      </c>
      <c r="AG27" s="13">
        <f ca="1">SUM($AE$27:$AF$27)</f>
        <v>0</v>
      </c>
      <c r="AH27" s="13">
        <f>'TUSD BE'!$AH$27*'TUSD BF'!$AH$78</f>
        <v>-3.3404797203542533</v>
      </c>
      <c r="AI27" s="13">
        <f>'TUSD BE'!$AI$27*'TUSD BF'!$AI$78</f>
        <v>-5.7894131171272345E-2</v>
      </c>
      <c r="AJ27" s="13">
        <f ca="1">'TUSD BE'!$AJ$27*'TUSD BF'!$AJ$78</f>
        <v>-0.25342142032184245</v>
      </c>
      <c r="AK27" s="13">
        <f ca="1">'TUSD BE'!$AK$27*'TUSD BF'!$AK$78</f>
        <v>0</v>
      </c>
      <c r="AL27" s="13">
        <f ca="1">SUM($AH$27:$AK$27)</f>
        <v>-3.6517952718473681</v>
      </c>
      <c r="AM27" s="13">
        <f ca="1">SUMIF($L$4:$AL$4,"SUBTOTAL",$L$27:$AL$27)</f>
        <v>-3.6517952718473681</v>
      </c>
      <c r="AO27" s="20">
        <f ca="1">+'TUSD BE'!$T$27+'TUSD BE'!$AB$27+'TUSD BE'!$AD$27+'TUSD BE'!$AL$27</f>
        <v>28.603252136276232</v>
      </c>
      <c r="AP27" s="20">
        <f ca="1">+'TUSD BE'!$T$27+'TUSD BE'!$AB$27+'TUSD BE'!$AD$27+'TUSD BE'!$AL$27</f>
        <v>28.603252136276232</v>
      </c>
    </row>
    <row r="28" spans="1:42" ht="11.25" customHeight="1" x14ac:dyDescent="0.3">
      <c r="A28" s="128"/>
      <c r="B28" s="128" t="s">
        <v>41</v>
      </c>
      <c r="C28" s="128" t="s">
        <v>25</v>
      </c>
      <c r="D28" s="128" t="s">
        <v>25</v>
      </c>
      <c r="E28" s="128" t="s">
        <v>25</v>
      </c>
      <c r="F28" s="128" t="s">
        <v>25</v>
      </c>
      <c r="G28" s="18" t="s">
        <v>9</v>
      </c>
      <c r="H28" s="18" t="s">
        <v>81</v>
      </c>
      <c r="I28" s="18">
        <f>'MERCADO TUSD'!$U$25</f>
        <v>2892</v>
      </c>
      <c r="J28" s="15"/>
      <c r="L28" s="13">
        <f>'TUSD BE'!$L$28*'TUSD BF'!$L$78</f>
        <v>0</v>
      </c>
      <c r="M28" s="13">
        <f>'TUSD BE'!$M$28*'TUSD BF'!$M$78</f>
        <v>0</v>
      </c>
      <c r="N28" s="13">
        <f ca="1">'TUSD BE'!$N$28*'TUSD BF'!$N$78</f>
        <v>0</v>
      </c>
      <c r="O28" s="13">
        <f>'TUSD BE'!$O$28*'TUSD BF'!$O$78</f>
        <v>0</v>
      </c>
      <c r="P28" s="13">
        <f>'TUSD BE'!$P$28*'TUSD BF'!$P$78</f>
        <v>0</v>
      </c>
      <c r="Q28" s="13">
        <f>'TUSD BE'!$Q$28*'TUSD BF'!$Q$78</f>
        <v>0</v>
      </c>
      <c r="R28" s="13">
        <f>'TUSD BE'!$R$28*'TUSD BF'!$R$78</f>
        <v>0</v>
      </c>
      <c r="S28" s="13">
        <f>'TUSD BE'!$R$28*'TUSD BF'!$S$78</f>
        <v>0</v>
      </c>
      <c r="T28" s="13">
        <f ca="1">SUM($L$28:$S$28)</f>
        <v>0</v>
      </c>
      <c r="U28" s="13">
        <f>'TUSD BE'!$U$28*'TUSD BF'!$U$78</f>
        <v>0.44066869275151976</v>
      </c>
      <c r="V28" s="13">
        <f>'TUSD BE'!$V$28*'TUSD BF'!$V$78</f>
        <v>8.9653770086335821E-2</v>
      </c>
      <c r="W28" s="13">
        <f>'TUSD BE'!$W$28*'TUSD BF'!$W$78</f>
        <v>0</v>
      </c>
      <c r="X28" s="13">
        <f>'TUSD BE'!$X$28*'TUSD BF'!$X$78</f>
        <v>0</v>
      </c>
      <c r="Y28" s="13">
        <f>'TUSD BE'!$Y$28*'TUSD BF'!$Y$78</f>
        <v>0</v>
      </c>
      <c r="Z28" s="13">
        <f>'TUSD BE'!$Z$28*'TUSD BF'!$Z$78</f>
        <v>0</v>
      </c>
      <c r="AA28" s="13">
        <f>'TUSD BE'!$AA$28*'TUSD BF'!$AA$78</f>
        <v>0</v>
      </c>
      <c r="AB28" s="13">
        <f>SUM($U$28:$AA$28)</f>
        <v>0.53032246283785556</v>
      </c>
      <c r="AC28" s="13">
        <f>'TUSD BE'!$AC$28*'TUSD BF'!$AC$78</f>
        <v>0</v>
      </c>
      <c r="AD28" s="13">
        <f>SUM($AC$28:$AC$28)</f>
        <v>0</v>
      </c>
      <c r="AE28" s="13">
        <f ca="1">$AO$28*$AO$75</f>
        <v>0</v>
      </c>
      <c r="AF28" s="13">
        <f ca="1">$AP$28*$AP$75</f>
        <v>0</v>
      </c>
      <c r="AG28" s="13">
        <f ca="1">SUM($AE$28:$AF$28)</f>
        <v>0</v>
      </c>
      <c r="AH28" s="13">
        <f>'TUSD BE'!$AH$28*'TUSD BF'!$AH$78</f>
        <v>0</v>
      </c>
      <c r="AI28" s="13">
        <f>'TUSD BE'!$AI$28*'TUSD BF'!$AI$78</f>
        <v>0</v>
      </c>
      <c r="AJ28" s="13">
        <f ca="1">'TUSD BE'!$AJ$28*'TUSD BF'!$AJ$78</f>
        <v>0</v>
      </c>
      <c r="AK28" s="13">
        <f ca="1">'TUSD BE'!$AK$28*'TUSD BF'!$AK$78</f>
        <v>0</v>
      </c>
      <c r="AL28" s="13">
        <f ca="1">SUM($AH$28:$AK$28)</f>
        <v>0</v>
      </c>
      <c r="AM28" s="13">
        <f ca="1">SUMIF($L$4:$AL$4,"SUBTOTAL",$L$28:$AL$28)</f>
        <v>0.53032246283785556</v>
      </c>
      <c r="AO28" s="20">
        <f ca="1">+'TUSD BE'!$T$28+'TUSD BE'!$AB$28+'TUSD BE'!$AD$28+'TUSD BE'!$AL$28</f>
        <v>13.017729492800711</v>
      </c>
      <c r="AP28" s="20">
        <f ca="1">+'TUSD BE'!$T$28+'TUSD BE'!$AB$28+'TUSD BE'!$AD$28+'TUSD BE'!$AL$28</f>
        <v>13.017729492800711</v>
      </c>
    </row>
    <row r="29" spans="1:42" ht="11.25" customHeight="1" x14ac:dyDescent="0.3">
      <c r="A29" s="128"/>
      <c r="B29" s="128"/>
      <c r="C29" s="128"/>
      <c r="D29" s="128"/>
      <c r="E29" s="128"/>
      <c r="F29" s="128"/>
      <c r="G29" s="18" t="s">
        <v>79</v>
      </c>
      <c r="H29" s="18" t="s">
        <v>78</v>
      </c>
      <c r="I29" s="18">
        <f>'MERCADO TUSD'!$U$26</f>
        <v>55.301000000000002</v>
      </c>
      <c r="J29" s="15"/>
      <c r="L29" s="13">
        <f>'TUSD BE'!$L$29*'TUSD BF'!$L$78</f>
        <v>0.46661272494638101</v>
      </c>
      <c r="M29" s="13">
        <f>'TUSD BE'!$M$29*'TUSD BF'!$M$78</f>
        <v>0</v>
      </c>
      <c r="N29" s="13">
        <f ca="1">'TUSD BE'!$N$29*'TUSD BF'!$N$78</f>
        <v>0</v>
      </c>
      <c r="O29" s="13">
        <f>'TUSD BE'!$O$29*'TUSD BF'!$O$78</f>
        <v>0</v>
      </c>
      <c r="P29" s="13">
        <f>'TUSD BE'!$P$29*'TUSD BF'!$P$78</f>
        <v>0</v>
      </c>
      <c r="Q29" s="13">
        <f>'TUSD BE'!$Q$29*'TUSD BF'!$Q$78</f>
        <v>23.11151419862054</v>
      </c>
      <c r="R29" s="13">
        <f>'TUSD BE'!$R$29*'TUSD BF'!$R$78</f>
        <v>5.255438897037914</v>
      </c>
      <c r="S29" s="13">
        <f>'TUSD BE'!$R$29*'TUSD BF'!$S$78</f>
        <v>0</v>
      </c>
      <c r="T29" s="13">
        <f ca="1">SUM($L$29:$S$29)</f>
        <v>28.833565820604832</v>
      </c>
      <c r="U29" s="13">
        <f>'TUSD BE'!$U$29*'TUSD BF'!$U$78</f>
        <v>11.277367885910502</v>
      </c>
      <c r="V29" s="13">
        <f>'TUSD BE'!$V$29*'TUSD BF'!$V$78</f>
        <v>2.2762008289667239</v>
      </c>
      <c r="W29" s="13">
        <f>'TUSD BE'!$W$29*'TUSD BF'!$W$78</f>
        <v>0</v>
      </c>
      <c r="X29" s="13">
        <f>'TUSD BE'!$X$29*'TUSD BF'!$X$78</f>
        <v>0</v>
      </c>
      <c r="Y29" s="13">
        <f>'TUSD BE'!$Y$29*'TUSD BF'!$Y$78</f>
        <v>0</v>
      </c>
      <c r="Z29" s="13">
        <f>'TUSD BE'!$Z$29*'TUSD BF'!$Z$78</f>
        <v>0</v>
      </c>
      <c r="AA29" s="13">
        <f>'TUSD BE'!$AA$29*'TUSD BF'!$AA$78</f>
        <v>0</v>
      </c>
      <c r="AB29" s="13">
        <f>SUM($U$29:$AA$29)</f>
        <v>13.553568714877226</v>
      </c>
      <c r="AC29" s="13">
        <f>'TUSD BE'!$AC$29*'TUSD BF'!$AC$78</f>
        <v>0</v>
      </c>
      <c r="AD29" s="13">
        <f>SUM($AC$29:$AC$29)</f>
        <v>0</v>
      </c>
      <c r="AE29" s="13">
        <f ca="1">$AO$29*$AO$75</f>
        <v>0</v>
      </c>
      <c r="AF29" s="13">
        <f ca="1">$AP$29*$AP$75</f>
        <v>0</v>
      </c>
      <c r="AG29" s="13">
        <f ca="1">SUM($AE$29:$AF$29)</f>
        <v>0</v>
      </c>
      <c r="AH29" s="13">
        <f>'TUSD BE'!$AH$29*'TUSD BF'!$AH$78</f>
        <v>-3.3404797203542533</v>
      </c>
      <c r="AI29" s="13">
        <f>'TUSD BE'!$AI$29*'TUSD BF'!$AI$78</f>
        <v>-5.7894131171272345E-2</v>
      </c>
      <c r="AJ29" s="13">
        <f ca="1">'TUSD BE'!$AJ$29*'TUSD BF'!$AJ$78</f>
        <v>-0.25342142032184245</v>
      </c>
      <c r="AK29" s="13">
        <f ca="1">'TUSD BE'!$AK$29*'TUSD BF'!$AK$78</f>
        <v>0</v>
      </c>
      <c r="AL29" s="13">
        <f ca="1">SUM($AH$29:$AK$29)</f>
        <v>-3.6517952718473681</v>
      </c>
      <c r="AM29" s="13">
        <f ca="1">SUMIF($L$4:$AL$4,"SUBTOTAL",$L$29:$AL$29)</f>
        <v>38.735339263634692</v>
      </c>
      <c r="AO29" s="20">
        <f ca="1">+'TUSD BE'!$T$29+'TUSD BE'!$AB$29+'TUSD BE'!$AD$29+'TUSD BE'!$AL$29</f>
        <v>1842.2173046426892</v>
      </c>
      <c r="AP29" s="20">
        <f ca="1">+'TUSD BE'!$T$29+'TUSD BE'!$AB$29+'TUSD BE'!$AD$29+'TUSD BE'!$AL$29</f>
        <v>1842.2173046426892</v>
      </c>
    </row>
    <row r="30" spans="1:42" ht="11.25" customHeight="1" x14ac:dyDescent="0.3">
      <c r="A30" s="128"/>
      <c r="B30" s="128"/>
      <c r="C30" s="128"/>
      <c r="D30" s="128"/>
      <c r="E30" s="128"/>
      <c r="F30" s="128"/>
      <c r="G30" s="18" t="s">
        <v>80</v>
      </c>
      <c r="H30" s="18" t="s">
        <v>78</v>
      </c>
      <c r="I30" s="18">
        <f>'MERCADO TUSD'!$U$27</f>
        <v>509.89599999999996</v>
      </c>
      <c r="J30" s="15"/>
      <c r="L30" s="13">
        <f>'TUSD BE'!$L$30*'TUSD BF'!$L$78</f>
        <v>0.46661272494638101</v>
      </c>
      <c r="M30" s="13">
        <f>'TUSD BE'!$M$30*'TUSD BF'!$M$78</f>
        <v>0</v>
      </c>
      <c r="N30" s="13">
        <f ca="1">'TUSD BE'!$N$30*'TUSD BF'!$N$78</f>
        <v>0</v>
      </c>
      <c r="O30" s="13">
        <f>'TUSD BE'!$O$30*'TUSD BF'!$O$78</f>
        <v>0</v>
      </c>
      <c r="P30" s="13">
        <f>'TUSD BE'!$P$30*'TUSD BF'!$P$78</f>
        <v>0</v>
      </c>
      <c r="Q30" s="13">
        <f>'TUSD BE'!$Q$30*'TUSD BF'!$Q$78</f>
        <v>23.11151419862054</v>
      </c>
      <c r="R30" s="13">
        <f>'TUSD BE'!$R$30*'TUSD BF'!$R$78</f>
        <v>5.255438897037914</v>
      </c>
      <c r="S30" s="13">
        <f>'TUSD BE'!$R$30*'TUSD BF'!$S$78</f>
        <v>0</v>
      </c>
      <c r="T30" s="13">
        <f ca="1">SUM($L$30:$S$30)</f>
        <v>28.833565820604832</v>
      </c>
      <c r="U30" s="13">
        <f>'TUSD BE'!$U$30*'TUSD BF'!$U$78</f>
        <v>0</v>
      </c>
      <c r="V30" s="13">
        <f>'TUSD BE'!$V$30*'TUSD BF'!$V$78</f>
        <v>0</v>
      </c>
      <c r="W30" s="13">
        <f>'TUSD BE'!$W$30*'TUSD BF'!$W$78</f>
        <v>0</v>
      </c>
      <c r="X30" s="13">
        <f>'TUSD BE'!$X$30*'TUSD BF'!$X$78</f>
        <v>0</v>
      </c>
      <c r="Y30" s="13">
        <f>'TUSD BE'!$Y$30*'TUSD BF'!$Y$78</f>
        <v>0</v>
      </c>
      <c r="Z30" s="13">
        <f>'TUSD BE'!$Z$30*'TUSD BF'!$Z$78</f>
        <v>0</v>
      </c>
      <c r="AA30" s="13">
        <f>'TUSD BE'!$AA$30*'TUSD BF'!$AA$78</f>
        <v>0</v>
      </c>
      <c r="AB30" s="13">
        <f>SUM($U$30:$AA$30)</f>
        <v>0</v>
      </c>
      <c r="AC30" s="13">
        <f>'TUSD BE'!$AC$30*'TUSD BF'!$AC$78</f>
        <v>0</v>
      </c>
      <c r="AD30" s="13">
        <f>SUM($AC$30:$AC$30)</f>
        <v>0</v>
      </c>
      <c r="AE30" s="13">
        <f ca="1">$AO$30*$AO$75</f>
        <v>0</v>
      </c>
      <c r="AF30" s="13">
        <f ca="1">$AP$30*$AP$75</f>
        <v>0</v>
      </c>
      <c r="AG30" s="13">
        <f ca="1">SUM($AE$30:$AF$30)</f>
        <v>0</v>
      </c>
      <c r="AH30" s="13">
        <f>'TUSD BE'!$AH$30*'TUSD BF'!$AH$78</f>
        <v>-3.3404797203542533</v>
      </c>
      <c r="AI30" s="13">
        <f>'TUSD BE'!$AI$30*'TUSD BF'!$AI$78</f>
        <v>-5.7894131171272345E-2</v>
      </c>
      <c r="AJ30" s="13">
        <f ca="1">'TUSD BE'!$AJ$30*'TUSD BF'!$AJ$78</f>
        <v>-0.25342142032184245</v>
      </c>
      <c r="AK30" s="13">
        <f ca="1">'TUSD BE'!$AK$30*'TUSD BF'!$AK$78</f>
        <v>0</v>
      </c>
      <c r="AL30" s="13">
        <f ca="1">SUM($AH$30:$AK$30)</f>
        <v>-3.6517952718473681</v>
      </c>
      <c r="AM30" s="13">
        <f ca="1">SUMIF($L$4:$AL$4,"SUBTOTAL",$L$30:$AL$30)</f>
        <v>25.181770548757463</v>
      </c>
      <c r="AO30" s="20">
        <f ca="1">+'TUSD BE'!$T$30+'TUSD BE'!$AB$30+'TUSD BE'!$AD$30+'TUSD BE'!$AL$30</f>
        <v>135.6496504992603</v>
      </c>
      <c r="AP30" s="20">
        <f ca="1">+'TUSD BE'!$T$30+'TUSD BE'!$AB$30+'TUSD BE'!$AD$30+'TUSD BE'!$AL$30</f>
        <v>135.6496504992603</v>
      </c>
    </row>
    <row r="31" spans="1:42" ht="11.25" customHeight="1" x14ac:dyDescent="0.3">
      <c r="A31" s="128"/>
      <c r="B31" s="128"/>
      <c r="C31" s="128"/>
      <c r="D31" s="128"/>
      <c r="E31" s="128" t="s">
        <v>85</v>
      </c>
      <c r="F31" s="128" t="s">
        <v>25</v>
      </c>
      <c r="G31" s="18" t="s">
        <v>79</v>
      </c>
      <c r="H31" s="18" t="s">
        <v>78</v>
      </c>
      <c r="I31" s="18">
        <f>'MERCADO TUSD'!$U$28</f>
        <v>0</v>
      </c>
      <c r="J31" s="15"/>
      <c r="L31" s="13">
        <f>'TUSD BE'!$L$31*'TUSD BF'!$L$78</f>
        <v>0</v>
      </c>
      <c r="M31" s="13">
        <f>'TUSD BE'!$M$31*'TUSD BF'!$M$78</f>
        <v>0</v>
      </c>
      <c r="N31" s="13">
        <f ca="1">'TUSD BE'!$N$31*'TUSD BF'!$N$78</f>
        <v>0</v>
      </c>
      <c r="O31" s="13">
        <f>'TUSD BE'!$O$31*'TUSD BF'!$O$78</f>
        <v>0</v>
      </c>
      <c r="P31" s="13">
        <f>'TUSD BE'!$P$31*'TUSD BF'!$P$78</f>
        <v>0</v>
      </c>
      <c r="Q31" s="13">
        <f>'TUSD BE'!$Q$31*'TUSD BF'!$Q$78</f>
        <v>0</v>
      </c>
      <c r="R31" s="13">
        <f>'TUSD BE'!$R$31*'TUSD BF'!$R$78</f>
        <v>0</v>
      </c>
      <c r="S31" s="13">
        <f>'TUSD BE'!$R$31*'TUSD BF'!$S$78</f>
        <v>0</v>
      </c>
      <c r="T31" s="13">
        <f ca="1">SUM($L$31:$S$31)</f>
        <v>0</v>
      </c>
      <c r="U31" s="13">
        <f>'TUSD BE'!$U$31*'TUSD BF'!$U$78</f>
        <v>11.277367885910502</v>
      </c>
      <c r="V31" s="13">
        <f>'TUSD BE'!$V$31*'TUSD BF'!$V$78</f>
        <v>2.2762008289667239</v>
      </c>
      <c r="W31" s="13">
        <f>'TUSD BE'!$W$31*'TUSD BF'!$W$78</f>
        <v>0</v>
      </c>
      <c r="X31" s="13">
        <f>'TUSD BE'!$X$31*'TUSD BF'!$X$78</f>
        <v>0</v>
      </c>
      <c r="Y31" s="13">
        <f>'TUSD BE'!$Y$31*'TUSD BF'!$Y$78</f>
        <v>0</v>
      </c>
      <c r="Z31" s="13">
        <f>'TUSD BE'!$Z$31*'TUSD BF'!$Z$78</f>
        <v>0</v>
      </c>
      <c r="AA31" s="13">
        <f>'TUSD BE'!$AA$31*'TUSD BF'!$AA$78</f>
        <v>0</v>
      </c>
      <c r="AB31" s="13">
        <f>SUM($U$31:$AA$31)</f>
        <v>13.553568714877226</v>
      </c>
      <c r="AC31" s="13">
        <f>'TUSD BE'!$AC$31*'TUSD BF'!$AC$78</f>
        <v>0</v>
      </c>
      <c r="AD31" s="13">
        <f>SUM($AC$31:$AC$31)</f>
        <v>0</v>
      </c>
      <c r="AE31" s="13">
        <f ca="1">$AO$31*$AO$75</f>
        <v>0</v>
      </c>
      <c r="AF31" s="13">
        <f ca="1">$AP$31*$AP$75</f>
        <v>0</v>
      </c>
      <c r="AG31" s="13">
        <f ca="1">SUM($AE$31:$AF$31)</f>
        <v>0</v>
      </c>
      <c r="AH31" s="13">
        <f>'TUSD BE'!$AH$31*'TUSD BF'!$AH$78</f>
        <v>-3.3404797203542533</v>
      </c>
      <c r="AI31" s="13">
        <f>'TUSD BE'!$AI$31*'TUSD BF'!$AI$78</f>
        <v>-5.7894131171272345E-2</v>
      </c>
      <c r="AJ31" s="13">
        <f ca="1">'TUSD BE'!$AJ$31*'TUSD BF'!$AJ$78</f>
        <v>-0.25342142032184245</v>
      </c>
      <c r="AK31" s="13">
        <f ca="1">'TUSD BE'!$AK$31*'TUSD BF'!$AK$78</f>
        <v>0</v>
      </c>
      <c r="AL31" s="13">
        <f ca="1">SUM($AH$31:$AK$31)</f>
        <v>-3.6517952718473681</v>
      </c>
      <c r="AM31" s="13">
        <f ca="1">SUMIF($L$4:$AL$4,"SUBTOTAL",$L$31:$AL$31)</f>
        <v>9.9017734430298585</v>
      </c>
      <c r="AO31" s="20">
        <f ca="1">+'TUSD BE'!$T$31+'TUSD BE'!$AB$31+'TUSD BE'!$AD$31+'TUSD BE'!$AL$31</f>
        <v>1735.1709062797052</v>
      </c>
      <c r="AP31" s="20">
        <f ca="1">+'TUSD BE'!$T$31+'TUSD BE'!$AB$31+'TUSD BE'!$AD$31+'TUSD BE'!$AL$31</f>
        <v>1735.1709062797052</v>
      </c>
    </row>
    <row r="32" spans="1:42" ht="11.25" customHeight="1" x14ac:dyDescent="0.3">
      <c r="A32" s="128"/>
      <c r="B32" s="128"/>
      <c r="C32" s="128"/>
      <c r="D32" s="128"/>
      <c r="E32" s="128"/>
      <c r="F32" s="128"/>
      <c r="G32" s="18" t="s">
        <v>80</v>
      </c>
      <c r="H32" s="18" t="s">
        <v>78</v>
      </c>
      <c r="I32" s="18">
        <f>'MERCADO TUSD'!$U$29</f>
        <v>0</v>
      </c>
      <c r="J32" s="15"/>
      <c r="L32" s="13">
        <f>'TUSD BE'!$L$32*'TUSD BF'!$L$78</f>
        <v>0</v>
      </c>
      <c r="M32" s="13">
        <f>'TUSD BE'!$M$32*'TUSD BF'!$M$78</f>
        <v>0</v>
      </c>
      <c r="N32" s="13">
        <f ca="1">'TUSD BE'!$N$32*'TUSD BF'!$N$78</f>
        <v>0</v>
      </c>
      <c r="O32" s="13">
        <f>'TUSD BE'!$O$32*'TUSD BF'!$O$78</f>
        <v>0</v>
      </c>
      <c r="P32" s="13">
        <f>'TUSD BE'!$P$32*'TUSD BF'!$P$78</f>
        <v>0</v>
      </c>
      <c r="Q32" s="13">
        <f>'TUSD BE'!$Q$32*'TUSD BF'!$Q$78</f>
        <v>0</v>
      </c>
      <c r="R32" s="13">
        <f>'TUSD BE'!$R$32*'TUSD BF'!$R$78</f>
        <v>0</v>
      </c>
      <c r="S32" s="13">
        <f>'TUSD BE'!$R$32*'TUSD BF'!$S$78</f>
        <v>0</v>
      </c>
      <c r="T32" s="13">
        <f ca="1">SUM($L$32:$S$32)</f>
        <v>0</v>
      </c>
      <c r="U32" s="13">
        <f>'TUSD BE'!$U$32*'TUSD BF'!$U$78</f>
        <v>0</v>
      </c>
      <c r="V32" s="13">
        <f>'TUSD BE'!$V$32*'TUSD BF'!$V$78</f>
        <v>0</v>
      </c>
      <c r="W32" s="13">
        <f>'TUSD BE'!$W$32*'TUSD BF'!$W$78</f>
        <v>0</v>
      </c>
      <c r="X32" s="13">
        <f>'TUSD BE'!$X$32*'TUSD BF'!$X$78</f>
        <v>0</v>
      </c>
      <c r="Y32" s="13">
        <f>'TUSD BE'!$Y$32*'TUSD BF'!$Y$78</f>
        <v>0</v>
      </c>
      <c r="Z32" s="13">
        <f>'TUSD BE'!$Z$32*'TUSD BF'!$Z$78</f>
        <v>0</v>
      </c>
      <c r="AA32" s="13">
        <f>'TUSD BE'!$AA$32*'TUSD BF'!$AA$78</f>
        <v>0</v>
      </c>
      <c r="AB32" s="13">
        <f>SUM($U$32:$AA$32)</f>
        <v>0</v>
      </c>
      <c r="AC32" s="13">
        <f>'TUSD BE'!$AC$32*'TUSD BF'!$AC$78</f>
        <v>0</v>
      </c>
      <c r="AD32" s="13">
        <f>SUM($AC$32:$AC$32)</f>
        <v>0</v>
      </c>
      <c r="AE32" s="13">
        <f ca="1">$AO$32*$AO$75</f>
        <v>0</v>
      </c>
      <c r="AF32" s="13">
        <f ca="1">$AP$32*$AP$75</f>
        <v>0</v>
      </c>
      <c r="AG32" s="13">
        <f ca="1">SUM($AE$32:$AF$32)</f>
        <v>0</v>
      </c>
      <c r="AH32" s="13">
        <f>'TUSD BE'!$AH$32*'TUSD BF'!$AH$78</f>
        <v>-3.3404797203542533</v>
      </c>
      <c r="AI32" s="13">
        <f>'TUSD BE'!$AI$32*'TUSD BF'!$AI$78</f>
        <v>-5.7894131171272345E-2</v>
      </c>
      <c r="AJ32" s="13">
        <f ca="1">'TUSD BE'!$AJ$32*'TUSD BF'!$AJ$78</f>
        <v>-0.25342142032184245</v>
      </c>
      <c r="AK32" s="13">
        <f ca="1">'TUSD BE'!$AK$32*'TUSD BF'!$AK$78</f>
        <v>0</v>
      </c>
      <c r="AL32" s="13">
        <f ca="1">SUM($AH$32:$AK$32)</f>
        <v>-3.6517952718473681</v>
      </c>
      <c r="AM32" s="13">
        <f ca="1">SUMIF($L$4:$AL$4,"SUBTOTAL",$L$32:$AL$32)</f>
        <v>-3.6517952718473681</v>
      </c>
      <c r="AO32" s="20">
        <f ca="1">+'TUSD BE'!$T$32+'TUSD BE'!$AB$32+'TUSD BE'!$AD$32+'TUSD BE'!$AL$32</f>
        <v>28.603252136276232</v>
      </c>
      <c r="AP32" s="20">
        <f ca="1">+'TUSD BE'!$T$32+'TUSD BE'!$AB$32+'TUSD BE'!$AD$32+'TUSD BE'!$AL$32</f>
        <v>28.603252136276232</v>
      </c>
    </row>
    <row r="33" spans="1:42" ht="11.25" customHeight="1" x14ac:dyDescent="0.3">
      <c r="A33" s="128"/>
      <c r="B33" s="128" t="s">
        <v>23</v>
      </c>
      <c r="C33" s="128" t="s">
        <v>25</v>
      </c>
      <c r="D33" s="128" t="s">
        <v>25</v>
      </c>
      <c r="E33" s="128" t="s">
        <v>25</v>
      </c>
      <c r="F33" s="128" t="s">
        <v>25</v>
      </c>
      <c r="G33" s="18" t="s">
        <v>9</v>
      </c>
      <c r="H33" s="18" t="s">
        <v>81</v>
      </c>
      <c r="I33" s="18">
        <f>'MERCADO TUSD'!$U$30</f>
        <v>0</v>
      </c>
      <c r="J33" s="15"/>
      <c r="L33" s="13">
        <f>'TUSD BE'!$L$33*'TUSD BF'!$L$78</f>
        <v>0</v>
      </c>
      <c r="M33" s="13">
        <f>'TUSD BE'!$M$33*'TUSD BF'!$M$78</f>
        <v>0</v>
      </c>
      <c r="N33" s="13">
        <f ca="1">'TUSD BE'!$N$33*'TUSD BF'!$N$78</f>
        <v>0</v>
      </c>
      <c r="O33" s="13">
        <f>'TUSD BE'!$O$33*'TUSD BF'!$O$78</f>
        <v>0</v>
      </c>
      <c r="P33" s="13">
        <f>'TUSD BE'!$P$33*'TUSD BF'!$P$78</f>
        <v>0</v>
      </c>
      <c r="Q33" s="13">
        <f>'TUSD BE'!$Q$33*'TUSD BF'!$Q$78</f>
        <v>0</v>
      </c>
      <c r="R33" s="13">
        <f>'TUSD BE'!$R$33*'TUSD BF'!$R$78</f>
        <v>0</v>
      </c>
      <c r="S33" s="13">
        <f>'TUSD BE'!$R$33*'TUSD BF'!$S$78</f>
        <v>0</v>
      </c>
      <c r="T33" s="13">
        <f ca="1">SUM($L$33:$S$33)</f>
        <v>0</v>
      </c>
      <c r="U33" s="13">
        <f>'TUSD BE'!$U$33*'TUSD BF'!$U$78</f>
        <v>0.77829207897973041</v>
      </c>
      <c r="V33" s="13">
        <f>'TUSD BE'!$V$33*'TUSD BF'!$V$78</f>
        <v>0.15779948380299938</v>
      </c>
      <c r="W33" s="13">
        <f>'TUSD BE'!$W$33*'TUSD BF'!$W$78</f>
        <v>0</v>
      </c>
      <c r="X33" s="13">
        <f>'TUSD BE'!$X$33*'TUSD BF'!$X$78</f>
        <v>0</v>
      </c>
      <c r="Y33" s="13">
        <f>'TUSD BE'!$Y$33*'TUSD BF'!$Y$78</f>
        <v>0</v>
      </c>
      <c r="Z33" s="13">
        <f>'TUSD BE'!$Z$33*'TUSD BF'!$Z$78</f>
        <v>0</v>
      </c>
      <c r="AA33" s="13">
        <f>'TUSD BE'!$AA$33*'TUSD BF'!$AA$78</f>
        <v>0</v>
      </c>
      <c r="AB33" s="13">
        <f>SUM($U$33:$AA$33)</f>
        <v>0.93609156278272976</v>
      </c>
      <c r="AC33" s="13">
        <f>'TUSD BE'!$AC$33*'TUSD BF'!$AC$78</f>
        <v>0</v>
      </c>
      <c r="AD33" s="13">
        <f>SUM($AC$33:$AC$33)</f>
        <v>0</v>
      </c>
      <c r="AE33" s="13">
        <f ca="1">$AO$33*$AO$75</f>
        <v>0</v>
      </c>
      <c r="AF33" s="13">
        <f ca="1">$AP$33*$AP$75</f>
        <v>0</v>
      </c>
      <c r="AG33" s="13">
        <f ca="1">SUM($AE$33:$AF$33)</f>
        <v>0</v>
      </c>
      <c r="AH33" s="13">
        <f>'TUSD BE'!$AH$33*'TUSD BF'!$AH$78</f>
        <v>0</v>
      </c>
      <c r="AI33" s="13">
        <f>'TUSD BE'!$AI$33*'TUSD BF'!$AI$78</f>
        <v>0</v>
      </c>
      <c r="AJ33" s="13">
        <f ca="1">'TUSD BE'!$AJ$33*'TUSD BF'!$AJ$78</f>
        <v>0</v>
      </c>
      <c r="AK33" s="13">
        <f ca="1">'TUSD BE'!$AK$33*'TUSD BF'!$AK$78</f>
        <v>0</v>
      </c>
      <c r="AL33" s="13">
        <f ca="1">SUM($AH$33:$AK$33)</f>
        <v>0</v>
      </c>
      <c r="AM33" s="13">
        <f ca="1">SUMIF($L$4:$AL$4,"SUBTOTAL",$L$33:$AL$33)</f>
        <v>0.93609156278272976</v>
      </c>
      <c r="AO33" s="20">
        <f ca="1">+'TUSD BE'!$T$33+'TUSD BE'!$AB$33+'TUSD BE'!$AD$33+'TUSD BE'!$AL$33</f>
        <v>63.570529676177394</v>
      </c>
      <c r="AP33" s="20">
        <f ca="1">+'TUSD BE'!$T$33+'TUSD BE'!$AB$33+'TUSD BE'!$AD$33+'TUSD BE'!$AL$33</f>
        <v>63.570529676177394</v>
      </c>
    </row>
    <row r="34" spans="1:42" ht="11.25" customHeight="1" x14ac:dyDescent="0.3">
      <c r="A34" s="128"/>
      <c r="B34" s="128"/>
      <c r="C34" s="128"/>
      <c r="D34" s="128"/>
      <c r="E34" s="128"/>
      <c r="F34" s="128"/>
      <c r="G34" s="18" t="s">
        <v>84</v>
      </c>
      <c r="H34" s="18" t="s">
        <v>78</v>
      </c>
      <c r="I34" s="18">
        <f>'MERCADO TUSD'!$U$31</f>
        <v>0</v>
      </c>
      <c r="J34" s="15"/>
      <c r="L34" s="13">
        <f>'TUSD BE'!$L$34*'TUSD BF'!$L$78</f>
        <v>0.46661272494638101</v>
      </c>
      <c r="M34" s="13">
        <f>'TUSD BE'!$M$34*'TUSD BF'!$M$78</f>
        <v>0</v>
      </c>
      <c r="N34" s="13">
        <f ca="1">'TUSD BE'!$N$34*'TUSD BF'!$N$78</f>
        <v>0</v>
      </c>
      <c r="O34" s="13">
        <f>'TUSD BE'!$O$34*'TUSD BF'!$O$78</f>
        <v>0</v>
      </c>
      <c r="P34" s="13">
        <f>'TUSD BE'!$P$34*'TUSD BF'!$P$78</f>
        <v>0</v>
      </c>
      <c r="Q34" s="13">
        <f>'TUSD BE'!$Q$34*'TUSD BF'!$Q$78</f>
        <v>23.11151419862054</v>
      </c>
      <c r="R34" s="13">
        <f>'TUSD BE'!$R$34*'TUSD BF'!$R$78</f>
        <v>5.255438897037914</v>
      </c>
      <c r="S34" s="13">
        <f>'TUSD BE'!$R$34*'TUSD BF'!$S$78</f>
        <v>0</v>
      </c>
      <c r="T34" s="13">
        <f ca="1">SUM($L$34:$S$34)</f>
        <v>28.833565820604832</v>
      </c>
      <c r="U34" s="13">
        <f>'TUSD BE'!$U$34*'TUSD BF'!$U$78</f>
        <v>0</v>
      </c>
      <c r="V34" s="13">
        <f>'TUSD BE'!$V$34*'TUSD BF'!$V$78</f>
        <v>0</v>
      </c>
      <c r="W34" s="13">
        <f>'TUSD BE'!$W$34*'TUSD BF'!$W$78</f>
        <v>0</v>
      </c>
      <c r="X34" s="13">
        <f>'TUSD BE'!$X$34*'TUSD BF'!$X$78</f>
        <v>0</v>
      </c>
      <c r="Y34" s="13">
        <f>'TUSD BE'!$Y$34*'TUSD BF'!$Y$78</f>
        <v>0</v>
      </c>
      <c r="Z34" s="13">
        <f>'TUSD BE'!$Z$34*'TUSD BF'!$Z$78</f>
        <v>0</v>
      </c>
      <c r="AA34" s="13">
        <f>'TUSD BE'!$AA$34*'TUSD BF'!$AA$78</f>
        <v>0</v>
      </c>
      <c r="AB34" s="13">
        <f>SUM($U$34:$AA$34)</f>
        <v>0</v>
      </c>
      <c r="AC34" s="13">
        <f>'TUSD BE'!$AC$34*'TUSD BF'!$AC$78</f>
        <v>0</v>
      </c>
      <c r="AD34" s="13">
        <f>SUM($AC$34:$AC$34)</f>
        <v>0</v>
      </c>
      <c r="AE34" s="13">
        <f ca="1">$AO$34*$AO$75</f>
        <v>0</v>
      </c>
      <c r="AF34" s="13">
        <f ca="1">$AP$34*$AP$75</f>
        <v>0</v>
      </c>
      <c r="AG34" s="13">
        <f ca="1">SUM($AE$34:$AF$34)</f>
        <v>0</v>
      </c>
      <c r="AH34" s="13">
        <f>'TUSD BE'!$AH$34*'TUSD BF'!$AH$78</f>
        <v>-3.3404797203542533</v>
      </c>
      <c r="AI34" s="13">
        <f>'TUSD BE'!$AI$34*'TUSD BF'!$AI$78</f>
        <v>-5.7894131171272345E-2</v>
      </c>
      <c r="AJ34" s="13">
        <f ca="1">'TUSD BE'!$AJ$34*'TUSD BF'!$AJ$78</f>
        <v>-0.25342142032184245</v>
      </c>
      <c r="AK34" s="13">
        <f ca="1">'TUSD BE'!$AK$34*'TUSD BF'!$AK$78</f>
        <v>0</v>
      </c>
      <c r="AL34" s="13">
        <f ca="1">SUM($AH$34:$AK$34)</f>
        <v>-3.6517952718473681</v>
      </c>
      <c r="AM34" s="13">
        <f ca="1">SUMIF($L$4:$AL$4,"SUBTOTAL",$L$34:$AL$34)</f>
        <v>25.181770548757463</v>
      </c>
      <c r="AO34" s="20">
        <f ca="1">+'TUSD BE'!$T$34+'TUSD BE'!$AB$34+'TUSD BE'!$AD$34+'TUSD BE'!$AL$34</f>
        <v>135.6496504992603</v>
      </c>
      <c r="AP34" s="20">
        <f ca="1">+'TUSD BE'!$T$34+'TUSD BE'!$AB$34+'TUSD BE'!$AD$34+'TUSD BE'!$AL$34</f>
        <v>135.6496504992603</v>
      </c>
    </row>
    <row r="35" spans="1:42" ht="11.25" customHeight="1" x14ac:dyDescent="0.3">
      <c r="A35" s="128" t="s">
        <v>87</v>
      </c>
      <c r="B35" s="128" t="s">
        <v>57</v>
      </c>
      <c r="C35" s="128" t="s">
        <v>25</v>
      </c>
      <c r="D35" s="128" t="s">
        <v>25</v>
      </c>
      <c r="E35" s="17" t="s">
        <v>88</v>
      </c>
      <c r="F35" s="17" t="s">
        <v>25</v>
      </c>
      <c r="G35" s="18" t="s">
        <v>9</v>
      </c>
      <c r="H35" s="18" t="s">
        <v>81</v>
      </c>
      <c r="I35" s="18">
        <f>'MERCADO TUSD'!$U$32+0.00000001</f>
        <v>1E-8</v>
      </c>
      <c r="J35" s="15"/>
      <c r="L35" s="13">
        <f>'TUSD BE'!$L$35*'TUSD BF'!$L$78</f>
        <v>0</v>
      </c>
      <c r="M35" s="13">
        <f>'TUSD BE'!$M$35*'TUSD BF'!$M$78</f>
        <v>0</v>
      </c>
      <c r="N35" s="13">
        <f ca="1">'TUSD BE'!$N$35*'TUSD BF'!$N$78</f>
        <v>0</v>
      </c>
      <c r="O35" s="13">
        <f>'TUSD BE'!$O$35*'TUSD BF'!$O$78</f>
        <v>0</v>
      </c>
      <c r="P35" s="13">
        <f>'TUSD BE'!$P$35*'TUSD BF'!$P$78</f>
        <v>0</v>
      </c>
      <c r="Q35" s="13">
        <f>'TUSD BE'!$Q$35*'TUSD BF'!$Q$78</f>
        <v>0</v>
      </c>
      <c r="R35" s="13">
        <f>'TUSD BE'!$R$35*'TUSD BF'!$R$78</f>
        <v>0</v>
      </c>
      <c r="S35" s="13">
        <f>'TUSD BE'!$R$35*'TUSD BF'!$S$78</f>
        <v>0</v>
      </c>
      <c r="T35" s="13">
        <f ca="1">SUM($L$35:$S$35)</f>
        <v>0</v>
      </c>
      <c r="U35" s="13">
        <f>'TUSD BE'!$U$35*'TUSD BF'!$U$78</f>
        <v>0</v>
      </c>
      <c r="V35" s="13">
        <f>'TUSD BE'!$V$35*'TUSD BF'!$V$78</f>
        <v>0</v>
      </c>
      <c r="W35" s="13">
        <f>'TUSD BE'!$W$35*'TUSD BF'!$W$78</f>
        <v>0</v>
      </c>
      <c r="X35" s="13">
        <f>'TUSD BE'!$X$35*'TUSD BF'!$X$78</f>
        <v>0</v>
      </c>
      <c r="Y35" s="13">
        <f>'TUSD BE'!$Y$35*'TUSD BF'!$Y$78</f>
        <v>0</v>
      </c>
      <c r="Z35" s="13">
        <f>'TUSD BE'!$Z$35*'TUSD BF'!$Z$78</f>
        <v>0</v>
      </c>
      <c r="AA35" s="13">
        <f>'TUSD BE'!$AA$35*'TUSD BF'!$AA$78</f>
        <v>0</v>
      </c>
      <c r="AB35" s="13">
        <f>SUM($U$35:$AA$35)</f>
        <v>0</v>
      </c>
      <c r="AC35" s="13">
        <f>'TUSD BE'!$AC$35*'TUSD BF'!$AC$78</f>
        <v>0</v>
      </c>
      <c r="AD35" s="13">
        <f>SUM($AC$35:$AC$35)</f>
        <v>0</v>
      </c>
      <c r="AE35" s="13">
        <f ca="1">$AO$35*$AO$75</f>
        <v>0</v>
      </c>
      <c r="AF35" s="13">
        <f ca="1">$AP$35*$AP$75</f>
        <v>0</v>
      </c>
      <c r="AG35" s="13">
        <f ca="1">SUM($AE$35:$AF$35)</f>
        <v>0</v>
      </c>
      <c r="AH35" s="13">
        <f>'TUSD BE'!$AH$35*'TUSD BF'!$AH$78</f>
        <v>0</v>
      </c>
      <c r="AI35" s="13">
        <f>'TUSD BE'!$AI$35*'TUSD BF'!$AI$78</f>
        <v>0</v>
      </c>
      <c r="AJ35" s="13">
        <f ca="1">'TUSD BE'!$AJ$35*'TUSD BF'!$AJ$78</f>
        <v>0</v>
      </c>
      <c r="AK35" s="13">
        <f ca="1">'TUSD BE'!$AK$35*'TUSD BF'!$AK$78</f>
        <v>0</v>
      </c>
      <c r="AL35" s="13">
        <f ca="1">SUM($AH$35:$AK$35)</f>
        <v>0</v>
      </c>
      <c r="AM35" s="13">
        <f ca="1">SUMIF($L$4:$AL$4,"SUBTOTAL",$L$35:$AL$35)</f>
        <v>0</v>
      </c>
      <c r="AO35" s="20">
        <f ca="1">+'TUSD BE'!$T$35+'TUSD BE'!$AB$35+'TUSD BE'!$AD$35+'TUSD BE'!$AL$35</f>
        <v>2.9169364778325462</v>
      </c>
      <c r="AP35" s="20">
        <f ca="1">+'TUSD BE'!$T$35+'TUSD BE'!$AB$35+'TUSD BE'!$AD$35+'TUSD BE'!$AL$35</f>
        <v>2.9169364778325462</v>
      </c>
    </row>
    <row r="36" spans="1:42" ht="11.25" customHeight="1" x14ac:dyDescent="0.3">
      <c r="A36" s="128"/>
      <c r="B36" s="128"/>
      <c r="C36" s="128"/>
      <c r="D36" s="128"/>
      <c r="E36" s="17" t="s">
        <v>89</v>
      </c>
      <c r="F36" s="17" t="s">
        <v>25</v>
      </c>
      <c r="G36" s="18" t="s">
        <v>9</v>
      </c>
      <c r="H36" s="18" t="s">
        <v>81</v>
      </c>
      <c r="I36" s="18">
        <f>'MERCADO TUSD'!$U$33+0.00000001</f>
        <v>1E-8</v>
      </c>
      <c r="J36" s="15"/>
      <c r="L36" s="13">
        <f>'TUSD BE'!$L$36*'TUSD BF'!$L$78</f>
        <v>0</v>
      </c>
      <c r="M36" s="13">
        <f>'TUSD BE'!$M$36*'TUSD BF'!$M$78</f>
        <v>0</v>
      </c>
      <c r="N36" s="13">
        <f ca="1">'TUSD BE'!$N$36*'TUSD BF'!$N$78</f>
        <v>0</v>
      </c>
      <c r="O36" s="13">
        <f>'TUSD BE'!$O$36*'TUSD BF'!$O$78</f>
        <v>0</v>
      </c>
      <c r="P36" s="13">
        <f>'TUSD BE'!$P$36*'TUSD BF'!$P$78</f>
        <v>0</v>
      </c>
      <c r="Q36" s="13">
        <f>'TUSD BE'!$Q$36*'TUSD BF'!$Q$78</f>
        <v>0</v>
      </c>
      <c r="R36" s="13">
        <f>'TUSD BE'!$R$36*'TUSD BF'!$R$78</f>
        <v>0</v>
      </c>
      <c r="S36" s="13">
        <f>'TUSD BE'!$R$36*'TUSD BF'!$S$78</f>
        <v>0</v>
      </c>
      <c r="T36" s="13">
        <f ca="1">SUM($L$36:$S$36)</f>
        <v>0</v>
      </c>
      <c r="U36" s="13">
        <f>'TUSD BE'!$U$36*'TUSD BF'!$U$78</f>
        <v>0</v>
      </c>
      <c r="V36" s="13">
        <f>'TUSD BE'!$V$36*'TUSD BF'!$V$78</f>
        <v>0</v>
      </c>
      <c r="W36" s="13">
        <f>'TUSD BE'!$W$36*'TUSD BF'!$W$78</f>
        <v>0</v>
      </c>
      <c r="X36" s="13">
        <f>'TUSD BE'!$X$36*'TUSD BF'!$X$78</f>
        <v>0</v>
      </c>
      <c r="Y36" s="13">
        <f>'TUSD BE'!$Y$36*'TUSD BF'!$Y$78</f>
        <v>0</v>
      </c>
      <c r="Z36" s="13">
        <f>'TUSD BE'!$Z$36*'TUSD BF'!$Z$78</f>
        <v>0</v>
      </c>
      <c r="AA36" s="13">
        <f>'TUSD BE'!$AA$36*'TUSD BF'!$AA$78</f>
        <v>0</v>
      </c>
      <c r="AB36" s="13">
        <f>SUM($U$36:$AA$36)</f>
        <v>0</v>
      </c>
      <c r="AC36" s="13">
        <f>'TUSD BE'!$AC$36*'TUSD BF'!$AC$78</f>
        <v>0</v>
      </c>
      <c r="AD36" s="13">
        <f>SUM($AC$36:$AC$36)</f>
        <v>0</v>
      </c>
      <c r="AE36" s="13">
        <f ca="1">$AO$36*$AO$75</f>
        <v>0</v>
      </c>
      <c r="AF36" s="13">
        <f ca="1">$AP$36*$AP$75</f>
        <v>0</v>
      </c>
      <c r="AG36" s="13">
        <f ca="1">SUM($AE$36:$AF$36)</f>
        <v>0</v>
      </c>
      <c r="AH36" s="13">
        <f>'TUSD BE'!$AH$36*'TUSD BF'!$AH$78</f>
        <v>0</v>
      </c>
      <c r="AI36" s="13">
        <f>'TUSD BE'!$AI$36*'TUSD BF'!$AI$78</f>
        <v>0</v>
      </c>
      <c r="AJ36" s="13">
        <f ca="1">'TUSD BE'!$AJ$36*'TUSD BF'!$AJ$78</f>
        <v>0</v>
      </c>
      <c r="AK36" s="13">
        <f ca="1">'TUSD BE'!$AK$36*'TUSD BF'!$AK$78</f>
        <v>0</v>
      </c>
      <c r="AL36" s="13">
        <f ca="1">SUM($AH$36:$AK$36)</f>
        <v>0</v>
      </c>
      <c r="AM36" s="13">
        <f ca="1">SUMIF($L$4:$AL$4,"SUBTOTAL",$L$36:$AL$36)</f>
        <v>0</v>
      </c>
      <c r="AO36" s="20">
        <f ca="1">+'TUSD BE'!$T$36+'TUSD BE'!$AB$36+'TUSD BE'!$AD$36+'TUSD BE'!$AL$36</f>
        <v>7.7830524302448172</v>
      </c>
      <c r="AP36" s="20">
        <f ca="1">+'TUSD BE'!$T$36+'TUSD BE'!$AB$36+'TUSD BE'!$AD$36+'TUSD BE'!$AL$36</f>
        <v>7.7830524302448172</v>
      </c>
    </row>
    <row r="37" spans="1:42" ht="11.25" customHeight="1" x14ac:dyDescent="0.3">
      <c r="A37" s="128" t="s">
        <v>22</v>
      </c>
      <c r="B37" s="128" t="s">
        <v>33</v>
      </c>
      <c r="C37" s="128" t="s">
        <v>24</v>
      </c>
      <c r="D37" s="128" t="s">
        <v>24</v>
      </c>
      <c r="E37" s="128" t="s">
        <v>25</v>
      </c>
      <c r="F37" s="128" t="s">
        <v>25</v>
      </c>
      <c r="G37" s="18" t="s">
        <v>79</v>
      </c>
      <c r="H37" s="18" t="s">
        <v>78</v>
      </c>
      <c r="I37" s="18">
        <f>'MERCADO TUSD'!$U$34</f>
        <v>16.994999999999997</v>
      </c>
      <c r="J37" s="15"/>
      <c r="L37" s="13">
        <f>'TUSD BE'!$L$37*'TUSD BF'!$L$78</f>
        <v>0.46661272494638101</v>
      </c>
      <c r="M37" s="13">
        <f>'TUSD BE'!$M$37*'TUSD BF'!$M$78</f>
        <v>0</v>
      </c>
      <c r="N37" s="13">
        <f ca="1">'TUSD BE'!$N$37*'TUSD BF'!$N$78</f>
        <v>0</v>
      </c>
      <c r="O37" s="13">
        <f>'TUSD BE'!$O$37*'TUSD BF'!$O$78</f>
        <v>0</v>
      </c>
      <c r="P37" s="13">
        <f>'TUSD BE'!$P$37*'TUSD BF'!$P$78</f>
        <v>0</v>
      </c>
      <c r="Q37" s="13">
        <f>'TUSD BE'!$Q$37*'TUSD BF'!$Q$78</f>
        <v>23.11151419862054</v>
      </c>
      <c r="R37" s="13">
        <f>'TUSD BE'!$R$37*'TUSD BF'!$R$78</f>
        <v>5.255438897037914</v>
      </c>
      <c r="S37" s="13">
        <f>'TUSD BE'!$R$37*'TUSD BF'!$S$78</f>
        <v>0</v>
      </c>
      <c r="T37" s="13">
        <f ca="1">SUM($L$37:$S$37)</f>
        <v>28.833565820604832</v>
      </c>
      <c r="U37" s="13">
        <f>'TUSD BE'!$U$37*'TUSD BF'!$U$78</f>
        <v>6.1606956383999272</v>
      </c>
      <c r="V37" s="13">
        <f>'TUSD BE'!$V$37*'TUSD BF'!$V$78</f>
        <v>1.24807402037002</v>
      </c>
      <c r="W37" s="13">
        <f>'TUSD BE'!$W$37*'TUSD BF'!$W$78</f>
        <v>0</v>
      </c>
      <c r="X37" s="13">
        <f>'TUSD BE'!$X$37*'TUSD BF'!$X$78</f>
        <v>0</v>
      </c>
      <c r="Y37" s="13">
        <f>'TUSD BE'!$Y$37*'TUSD BF'!$Y$78</f>
        <v>0</v>
      </c>
      <c r="Z37" s="13">
        <f>'TUSD BE'!$Z$37*'TUSD BF'!$Z$78</f>
        <v>0</v>
      </c>
      <c r="AA37" s="13">
        <f>'TUSD BE'!$AA$37*'TUSD BF'!$AA$78</f>
        <v>0</v>
      </c>
      <c r="AB37" s="13">
        <f>SUM($U$37:$AA$37)</f>
        <v>7.4087696587699474</v>
      </c>
      <c r="AC37" s="13">
        <f>'TUSD BE'!$AC$37*'TUSD BF'!$AC$78</f>
        <v>0</v>
      </c>
      <c r="AD37" s="13">
        <f>SUM($AC$37:$AC$37)</f>
        <v>0</v>
      </c>
      <c r="AE37" s="13">
        <f ca="1">$AO$37*$AO$75</f>
        <v>0</v>
      </c>
      <c r="AF37" s="13">
        <f ca="1">$AP$37*$AP$75</f>
        <v>0</v>
      </c>
      <c r="AG37" s="13">
        <f ca="1">SUM($AE$37:$AF$37)</f>
        <v>0</v>
      </c>
      <c r="AH37" s="13">
        <f>'TUSD BE'!$AH$37*'TUSD BF'!$AH$78</f>
        <v>-3.3404797203542533</v>
      </c>
      <c r="AI37" s="13">
        <f>'TUSD BE'!$AI$37*'TUSD BF'!$AI$78</f>
        <v>-5.7894131171272345E-2</v>
      </c>
      <c r="AJ37" s="13">
        <f ca="1">'TUSD BE'!$AJ$37*'TUSD BF'!$AJ$78</f>
        <v>-0.23060705638461612</v>
      </c>
      <c r="AK37" s="13">
        <f ca="1">'TUSD BE'!$AK$37*'TUSD BF'!$AK$78</f>
        <v>0</v>
      </c>
      <c r="AL37" s="13">
        <f ca="1">SUM($AH$37:$AK$37)</f>
        <v>-3.6289809079101416</v>
      </c>
      <c r="AM37" s="13">
        <f ca="1">SUMIF($L$4:$AL$4,"SUBTOTAL",$L$37:$AL$37)</f>
        <v>32.61335457146464</v>
      </c>
      <c r="AO37" s="20">
        <f ca="1">+'TUSD BE'!$T$37+'TUSD BE'!$AB$37+'TUSD BE'!$AD$37+'TUSD BE'!$AL$37</f>
        <v>721.06445903419694</v>
      </c>
      <c r="AP37" s="20">
        <f ca="1">+'TUSD BE'!$T$37+'TUSD BE'!$AB$37+'TUSD BE'!$AD$37+'TUSD BE'!$AL$37</f>
        <v>721.06445903419694</v>
      </c>
    </row>
    <row r="38" spans="1:42" ht="11.25" customHeight="1" x14ac:dyDescent="0.3">
      <c r="A38" s="128"/>
      <c r="B38" s="128"/>
      <c r="C38" s="128"/>
      <c r="D38" s="128"/>
      <c r="E38" s="128"/>
      <c r="F38" s="128"/>
      <c r="G38" s="18" t="s">
        <v>90</v>
      </c>
      <c r="H38" s="18" t="s">
        <v>78</v>
      </c>
      <c r="I38" s="18">
        <f>'MERCADO TUSD'!$U$35</f>
        <v>10.9</v>
      </c>
      <c r="J38" s="15"/>
      <c r="L38" s="13">
        <f>'TUSD BE'!$L$38*'TUSD BF'!$L$78</f>
        <v>0.46661272494638101</v>
      </c>
      <c r="M38" s="13">
        <f>'TUSD BE'!$M$38*'TUSD BF'!$M$78</f>
        <v>0</v>
      </c>
      <c r="N38" s="13">
        <f ca="1">'TUSD BE'!$N$38*'TUSD BF'!$N$78</f>
        <v>0</v>
      </c>
      <c r="O38" s="13">
        <f>'TUSD BE'!$O$38*'TUSD BF'!$O$78</f>
        <v>0</v>
      </c>
      <c r="P38" s="13">
        <f>'TUSD BE'!$P$38*'TUSD BF'!$P$78</f>
        <v>0</v>
      </c>
      <c r="Q38" s="13">
        <f>'TUSD BE'!$Q$38*'TUSD BF'!$Q$78</f>
        <v>23.11151419862054</v>
      </c>
      <c r="R38" s="13">
        <f>'TUSD BE'!$R$38*'TUSD BF'!$R$78</f>
        <v>5.255438897037914</v>
      </c>
      <c r="S38" s="13">
        <f>'TUSD BE'!$R$38*'TUSD BF'!$S$78</f>
        <v>0</v>
      </c>
      <c r="T38" s="13">
        <f ca="1">SUM($L$38:$S$38)</f>
        <v>28.833565820604832</v>
      </c>
      <c r="U38" s="13">
        <f>'TUSD BE'!$U$38*'TUSD BF'!$U$78</f>
        <v>3.6964229560689734</v>
      </c>
      <c r="V38" s="13">
        <f>'TUSD BE'!$V$38*'TUSD BF'!$V$78</f>
        <v>0.74884441222201192</v>
      </c>
      <c r="W38" s="13">
        <f>'TUSD BE'!$W$38*'TUSD BF'!$W$78</f>
        <v>0</v>
      </c>
      <c r="X38" s="13">
        <f>'TUSD BE'!$X$38*'TUSD BF'!$X$78</f>
        <v>0</v>
      </c>
      <c r="Y38" s="13">
        <f>'TUSD BE'!$Y$38*'TUSD BF'!$Y$78</f>
        <v>0</v>
      </c>
      <c r="Z38" s="13">
        <f>'TUSD BE'!$Z$38*'TUSD BF'!$Z$78</f>
        <v>0</v>
      </c>
      <c r="AA38" s="13">
        <f>'TUSD BE'!$AA$38*'TUSD BF'!$AA$78</f>
        <v>0</v>
      </c>
      <c r="AB38" s="13">
        <f>SUM($U$38:$AA$38)</f>
        <v>4.4452673682909856</v>
      </c>
      <c r="AC38" s="13">
        <f>'TUSD BE'!$AC$38*'TUSD BF'!$AC$78</f>
        <v>0</v>
      </c>
      <c r="AD38" s="13">
        <f>SUM($AC$38:$AC$38)</f>
        <v>0</v>
      </c>
      <c r="AE38" s="13">
        <f ca="1">$AO$38*$AO$75</f>
        <v>0</v>
      </c>
      <c r="AF38" s="13">
        <f ca="1">$AP$38*$AP$75</f>
        <v>0</v>
      </c>
      <c r="AG38" s="13">
        <f ca="1">SUM($AE$38:$AF$38)</f>
        <v>0</v>
      </c>
      <c r="AH38" s="13">
        <f>'TUSD BE'!$AH$38*'TUSD BF'!$AH$78</f>
        <v>-3.3404797203542533</v>
      </c>
      <c r="AI38" s="13">
        <f>'TUSD BE'!$AI$38*'TUSD BF'!$AI$78</f>
        <v>-5.7894131171272345E-2</v>
      </c>
      <c r="AJ38" s="13">
        <f ca="1">'TUSD BE'!$AJ$38*'TUSD BF'!$AJ$78</f>
        <v>-0.23060705638461612</v>
      </c>
      <c r="AK38" s="13">
        <f ca="1">'TUSD BE'!$AK$38*'TUSD BF'!$AK$78</f>
        <v>0</v>
      </c>
      <c r="AL38" s="13">
        <f ca="1">SUM($AH$38:$AK$38)</f>
        <v>-3.6289809079101416</v>
      </c>
      <c r="AM38" s="13">
        <f ca="1">SUMIF($L$4:$AL$4,"SUBTOTAL",$L$38:$AL$38)</f>
        <v>29.649852280985677</v>
      </c>
      <c r="AO38" s="20">
        <f ca="1">+'TUSD BE'!$T$38+'TUSD BE'!$AB$38+'TUSD BE'!$AD$38+'TUSD BE'!$AL$38</f>
        <v>486.82492548464535</v>
      </c>
      <c r="AP38" s="20">
        <f ca="1">+'TUSD BE'!$T$38+'TUSD BE'!$AB$38+'TUSD BE'!$AD$38+'TUSD BE'!$AL$38</f>
        <v>486.82492548464535</v>
      </c>
    </row>
    <row r="39" spans="1:42" ht="11.25" customHeight="1" x14ac:dyDescent="0.3">
      <c r="A39" s="128"/>
      <c r="B39" s="128"/>
      <c r="C39" s="128"/>
      <c r="D39" s="128"/>
      <c r="E39" s="128"/>
      <c r="F39" s="128"/>
      <c r="G39" s="18" t="s">
        <v>80</v>
      </c>
      <c r="H39" s="18" t="s">
        <v>78</v>
      </c>
      <c r="I39" s="18">
        <f>'MERCADO TUSD'!$U$36</f>
        <v>127.76599999999999</v>
      </c>
      <c r="J39" s="15"/>
      <c r="L39" s="13">
        <f>'TUSD BE'!$L$39*'TUSD BF'!$L$78</f>
        <v>0.46661272494638101</v>
      </c>
      <c r="M39" s="13">
        <f>'TUSD BE'!$M$39*'TUSD BF'!$M$78</f>
        <v>0</v>
      </c>
      <c r="N39" s="13">
        <f ca="1">'TUSD BE'!$N$39*'TUSD BF'!$N$78</f>
        <v>0</v>
      </c>
      <c r="O39" s="13">
        <f>'TUSD BE'!$O$39*'TUSD BF'!$O$78</f>
        <v>0</v>
      </c>
      <c r="P39" s="13">
        <f>'TUSD BE'!$P$39*'TUSD BF'!$P$78</f>
        <v>0</v>
      </c>
      <c r="Q39" s="13">
        <f>'TUSD BE'!$Q$39*'TUSD BF'!$Q$78</f>
        <v>23.11151419862054</v>
      </c>
      <c r="R39" s="13">
        <f>'TUSD BE'!$R$39*'TUSD BF'!$R$78</f>
        <v>5.255438897037914</v>
      </c>
      <c r="S39" s="13">
        <f>'TUSD BE'!$R$39*'TUSD BF'!$S$78</f>
        <v>0</v>
      </c>
      <c r="T39" s="13">
        <f ca="1">SUM($L$39:$S$39)</f>
        <v>28.833565820604832</v>
      </c>
      <c r="U39" s="13">
        <f>'TUSD BE'!$U$39*'TUSD BF'!$U$78</f>
        <v>1.2321409853563245</v>
      </c>
      <c r="V39" s="13">
        <f>'TUSD BE'!$V$39*'TUSD BF'!$V$78</f>
        <v>0.24961480407400397</v>
      </c>
      <c r="W39" s="13">
        <f>'TUSD BE'!$W$39*'TUSD BF'!$W$78</f>
        <v>0</v>
      </c>
      <c r="X39" s="13">
        <f>'TUSD BE'!$X$39*'TUSD BF'!$X$78</f>
        <v>0</v>
      </c>
      <c r="Y39" s="13">
        <f>'TUSD BE'!$Y$39*'TUSD BF'!$Y$78</f>
        <v>0</v>
      </c>
      <c r="Z39" s="13">
        <f>'TUSD BE'!$Z$39*'TUSD BF'!$Z$78</f>
        <v>0</v>
      </c>
      <c r="AA39" s="13">
        <f>'TUSD BE'!$AA$39*'TUSD BF'!$AA$78</f>
        <v>0</v>
      </c>
      <c r="AB39" s="13">
        <f>SUM($U$39:$AA$39)</f>
        <v>1.4817557894303286</v>
      </c>
      <c r="AC39" s="13">
        <f>'TUSD BE'!$AC$39*'TUSD BF'!$AC$78</f>
        <v>0</v>
      </c>
      <c r="AD39" s="13">
        <f>SUM($AC$39:$AC$39)</f>
        <v>0</v>
      </c>
      <c r="AE39" s="13">
        <f ca="1">$AO$39*$AO$75</f>
        <v>0</v>
      </c>
      <c r="AF39" s="13">
        <f ca="1">$AP$39*$AP$75</f>
        <v>0</v>
      </c>
      <c r="AG39" s="13">
        <f ca="1">SUM($AE$39:$AF$39)</f>
        <v>0</v>
      </c>
      <c r="AH39" s="13">
        <f>'TUSD BE'!$AH$39*'TUSD BF'!$AH$78</f>
        <v>-3.3404797203542533</v>
      </c>
      <c r="AI39" s="13">
        <f>'TUSD BE'!$AI$39*'TUSD BF'!$AI$78</f>
        <v>-5.7894131171272345E-2</v>
      </c>
      <c r="AJ39" s="13">
        <f ca="1">'TUSD BE'!$AJ$39*'TUSD BF'!$AJ$78</f>
        <v>-0.23060705638461612</v>
      </c>
      <c r="AK39" s="13">
        <f ca="1">'TUSD BE'!$AK$39*'TUSD BF'!$AK$78</f>
        <v>0</v>
      </c>
      <c r="AL39" s="13">
        <f ca="1">SUM($AH$39:$AK$39)</f>
        <v>-3.6289809079101416</v>
      </c>
      <c r="AM39" s="13">
        <f ca="1">SUMIF($L$4:$AL$4,"SUBTOTAL",$L$39:$AL$39)</f>
        <v>26.686340702125019</v>
      </c>
      <c r="AO39" s="20">
        <f ca="1">+'TUSD BE'!$T$39+'TUSD BE'!$AB$39+'TUSD BE'!$AD$39+'TUSD BE'!$AL$39</f>
        <v>252.58540624588895</v>
      </c>
      <c r="AP39" s="20">
        <f ca="1">+'TUSD BE'!$T$39+'TUSD BE'!$AB$39+'TUSD BE'!$AD$39+'TUSD BE'!$AL$39</f>
        <v>252.58540624588895</v>
      </c>
    </row>
    <row r="40" spans="1:42" ht="11.25" customHeight="1" x14ac:dyDescent="0.3">
      <c r="A40" s="128"/>
      <c r="B40" s="128" t="s">
        <v>23</v>
      </c>
      <c r="C40" s="128" t="s">
        <v>24</v>
      </c>
      <c r="D40" s="17" t="s">
        <v>24</v>
      </c>
      <c r="E40" s="17" t="s">
        <v>25</v>
      </c>
      <c r="F40" s="17" t="s">
        <v>25</v>
      </c>
      <c r="G40" s="18" t="s">
        <v>84</v>
      </c>
      <c r="H40" s="18" t="s">
        <v>78</v>
      </c>
      <c r="I40" s="18">
        <f>'MERCADO TUSD'!$U$37</f>
        <v>126554.92199999999</v>
      </c>
      <c r="J40" s="15"/>
      <c r="L40" s="13">
        <f>'TUSD BE'!$L$40*'TUSD BF'!$L$78</f>
        <v>0.46661272494638101</v>
      </c>
      <c r="M40" s="13">
        <f>'TUSD BE'!$M$40*'TUSD BF'!$M$78</f>
        <v>0</v>
      </c>
      <c r="N40" s="13">
        <f ca="1">'TUSD BE'!$N$40*'TUSD BF'!$N$78</f>
        <v>0</v>
      </c>
      <c r="O40" s="13">
        <f>'TUSD BE'!$O$40*'TUSD BF'!$O$78</f>
        <v>0</v>
      </c>
      <c r="P40" s="13">
        <f>'TUSD BE'!$P$40*'TUSD BF'!$P$78</f>
        <v>0</v>
      </c>
      <c r="Q40" s="13">
        <f>'TUSD BE'!$Q$40*'TUSD BF'!$Q$78</f>
        <v>23.11151419862054</v>
      </c>
      <c r="R40" s="13">
        <f>'TUSD BE'!$R$40*'TUSD BF'!$R$78</f>
        <v>5.255438897037914</v>
      </c>
      <c r="S40" s="13">
        <f>'TUSD BE'!$R$40*'TUSD BF'!$S$78</f>
        <v>0</v>
      </c>
      <c r="T40" s="13">
        <f ca="1">SUM($L$40:$S$40)</f>
        <v>28.833565820604832</v>
      </c>
      <c r="U40" s="13">
        <f>'TUSD BE'!$U$40*'TUSD BF'!$U$78</f>
        <v>2.3247890544185212</v>
      </c>
      <c r="V40" s="13">
        <f>'TUSD BE'!$V$40*'TUSD BF'!$V$78</f>
        <v>0.47097144769287874</v>
      </c>
      <c r="W40" s="13">
        <f>'TUSD BE'!$W$40*'TUSD BF'!$W$78</f>
        <v>0</v>
      </c>
      <c r="X40" s="13">
        <f>'TUSD BE'!$X$40*'TUSD BF'!$X$78</f>
        <v>0</v>
      </c>
      <c r="Y40" s="13">
        <f>'TUSD BE'!$Y$40*'TUSD BF'!$Y$78</f>
        <v>0</v>
      </c>
      <c r="Z40" s="13">
        <f>'TUSD BE'!$Z$40*'TUSD BF'!$Z$78</f>
        <v>0</v>
      </c>
      <c r="AA40" s="13">
        <f>'TUSD BE'!$AA$40*'TUSD BF'!$AA$78</f>
        <v>0</v>
      </c>
      <c r="AB40" s="13">
        <f>SUM($U$40:$AA$40)</f>
        <v>2.7957605021114</v>
      </c>
      <c r="AC40" s="13">
        <f>'TUSD BE'!$AC$40*'TUSD BF'!$AC$78</f>
        <v>0</v>
      </c>
      <c r="AD40" s="13">
        <f>SUM($AC$40:$AC$40)</f>
        <v>0</v>
      </c>
      <c r="AE40" s="13">
        <f ca="1">$AO$40*$AO$75</f>
        <v>0</v>
      </c>
      <c r="AF40" s="13">
        <f ca="1">$AP$40*$AP$75</f>
        <v>0</v>
      </c>
      <c r="AG40" s="13">
        <f ca="1">SUM($AE$40:$AF$40)</f>
        <v>0</v>
      </c>
      <c r="AH40" s="13">
        <f>'TUSD BE'!$AH$40*'TUSD BF'!$AH$78</f>
        <v>-3.3404797203542533</v>
      </c>
      <c r="AI40" s="13">
        <f>'TUSD BE'!$AI$40*'TUSD BF'!$AI$78</f>
        <v>-5.7894131171272345E-2</v>
      </c>
      <c r="AJ40" s="13">
        <f ca="1">'TUSD BE'!$AJ$40*'TUSD BF'!$AJ$78</f>
        <v>-0.23060705638461612</v>
      </c>
      <c r="AK40" s="13">
        <f ca="1">'TUSD BE'!$AK$40*'TUSD BF'!$AK$78</f>
        <v>0</v>
      </c>
      <c r="AL40" s="13">
        <f ca="1">SUM($AH$40:$AK$40)</f>
        <v>-3.6289809079101416</v>
      </c>
      <c r="AM40" s="13">
        <f ca="1">SUMIF($L$4:$AL$4,"SUBTOTAL",$L$40:$AL$40)</f>
        <v>28.000345414806091</v>
      </c>
      <c r="AO40" s="20">
        <f ca="1">+'TUSD BE'!$T$40+'TUSD BE'!$AB$40+'TUSD BE'!$AD$40+'TUSD BE'!$AL$40</f>
        <v>356.4462800994238</v>
      </c>
      <c r="AP40" s="20">
        <f ca="1">+'TUSD BE'!$T$40+'TUSD BE'!$AB$40+'TUSD BE'!$AD$40+'TUSD BE'!$AL$40</f>
        <v>356.4462800994238</v>
      </c>
    </row>
    <row r="41" spans="1:42" ht="11.25" customHeight="1" x14ac:dyDescent="0.3">
      <c r="A41" s="128"/>
      <c r="B41" s="128"/>
      <c r="C41" s="128"/>
      <c r="D41" s="17" t="s">
        <v>29</v>
      </c>
      <c r="E41" s="17" t="s">
        <v>25</v>
      </c>
      <c r="F41" s="17" t="s">
        <v>25</v>
      </c>
      <c r="G41" s="18" t="s">
        <v>84</v>
      </c>
      <c r="H41" s="18" t="s">
        <v>78</v>
      </c>
      <c r="I41" s="18">
        <f>'MERCADO TUSD'!$U$38</f>
        <v>2163.31</v>
      </c>
      <c r="J41" s="15"/>
      <c r="L41" s="13">
        <f>'TUSD BE'!$L$41*'TUSD BF'!$L$78</f>
        <v>0</v>
      </c>
      <c r="M41" s="13">
        <f>'TUSD BE'!$M$41*'TUSD BF'!$M$78</f>
        <v>0</v>
      </c>
      <c r="N41" s="13">
        <f ca="1">'TUSD BE'!$N$41*'TUSD BF'!$N$78</f>
        <v>0</v>
      </c>
      <c r="O41" s="13">
        <f>'TUSD BE'!$O$41*'TUSD BF'!$O$78</f>
        <v>0</v>
      </c>
      <c r="P41" s="13">
        <f>'TUSD BE'!$P$41*'TUSD BF'!$P$78</f>
        <v>0</v>
      </c>
      <c r="Q41" s="13">
        <f>'TUSD BE'!$Q$41*'TUSD BF'!$Q$78</f>
        <v>0</v>
      </c>
      <c r="R41" s="13">
        <f>'TUSD BE'!$R$41*'TUSD BF'!$R$78</f>
        <v>0</v>
      </c>
      <c r="S41" s="13">
        <f>'TUSD BE'!$R$41*'TUSD BF'!$S$78</f>
        <v>0</v>
      </c>
      <c r="T41" s="13">
        <f ca="1">SUM($L$41:$S$41)</f>
        <v>0</v>
      </c>
      <c r="U41" s="13">
        <f>'TUSD BE'!$U$41*'TUSD BF'!$U$78</f>
        <v>2.3247890544185212</v>
      </c>
      <c r="V41" s="13">
        <f>'TUSD BE'!$V$41*'TUSD BF'!$V$78</f>
        <v>0.47097144769287874</v>
      </c>
      <c r="W41" s="13">
        <f>'TUSD BE'!$W$41*'TUSD BF'!$W$78</f>
        <v>0</v>
      </c>
      <c r="X41" s="13">
        <f>'TUSD BE'!$X$41*'TUSD BF'!$X$78</f>
        <v>0</v>
      </c>
      <c r="Y41" s="13">
        <f>'TUSD BE'!$Y$41*'TUSD BF'!$Y$78</f>
        <v>0</v>
      </c>
      <c r="Z41" s="13">
        <f>'TUSD BE'!$Z$41*'TUSD BF'!$Z$78</f>
        <v>0</v>
      </c>
      <c r="AA41" s="13">
        <f>'TUSD BE'!$AA$41*'TUSD BF'!$AA$78</f>
        <v>0</v>
      </c>
      <c r="AB41" s="13">
        <f>SUM($U$41:$AA$41)</f>
        <v>2.7957605021114</v>
      </c>
      <c r="AC41" s="13">
        <f>'TUSD BE'!$AC$41*'TUSD BF'!$AC$78</f>
        <v>0</v>
      </c>
      <c r="AD41" s="13">
        <f>SUM($AC$41:$AC$41)</f>
        <v>0</v>
      </c>
      <c r="AE41" s="13">
        <f ca="1">$AO$41*$AO$75</f>
        <v>0</v>
      </c>
      <c r="AF41" s="13">
        <f ca="1">$AP$41*$AP$75</f>
        <v>0</v>
      </c>
      <c r="AG41" s="13">
        <f ca="1">SUM($AE$41:$AF$41)</f>
        <v>0</v>
      </c>
      <c r="AH41" s="13">
        <f>'TUSD BE'!$AH$41*'TUSD BF'!$AH$78</f>
        <v>-3.3404797203542533</v>
      </c>
      <c r="AI41" s="13">
        <f>'TUSD BE'!$AI$41*'TUSD BF'!$AI$78</f>
        <v>-5.7894131171272345E-2</v>
      </c>
      <c r="AJ41" s="13">
        <f ca="1">'TUSD BE'!$AJ$41*'TUSD BF'!$AJ$78</f>
        <v>-0.23060705638461612</v>
      </c>
      <c r="AK41" s="13">
        <f ca="1">'TUSD BE'!$AK$41*'TUSD BF'!$AK$78</f>
        <v>0</v>
      </c>
      <c r="AL41" s="13">
        <f ca="1">SUM($AH$41:$AK$41)</f>
        <v>-3.6289809079101416</v>
      </c>
      <c r="AM41" s="13">
        <f ca="1">SUMIF($L$4:$AL$4,"SUBTOTAL",$L$41:$AL$41)</f>
        <v>-0.83322040579874157</v>
      </c>
      <c r="AO41" s="20">
        <f ca="1">+'TUSD BE'!$T$41+'TUSD BE'!$AB$41+'TUSD BE'!$AD$41+'TUSD BE'!$AL$41</f>
        <v>249.39988173643968</v>
      </c>
      <c r="AP41" s="20">
        <f ca="1">+'TUSD BE'!$T$41+'TUSD BE'!$AB$41+'TUSD BE'!$AD$41+'TUSD BE'!$AL$41</f>
        <v>249.39988173643968</v>
      </c>
    </row>
    <row r="42" spans="1:42" ht="11.25" customHeight="1" x14ac:dyDescent="0.3">
      <c r="A42" s="128"/>
      <c r="B42" s="128"/>
      <c r="C42" s="128"/>
      <c r="D42" s="17" t="s">
        <v>30</v>
      </c>
      <c r="E42" s="17" t="s">
        <v>25</v>
      </c>
      <c r="F42" s="17" t="s">
        <v>25</v>
      </c>
      <c r="G42" s="18" t="s">
        <v>84</v>
      </c>
      <c r="H42" s="18" t="s">
        <v>78</v>
      </c>
      <c r="I42" s="18">
        <f>'MERCADO TUSD'!$U$39</f>
        <v>4329.2419999999993</v>
      </c>
      <c r="J42" s="15"/>
      <c r="L42" s="13">
        <f>'TUSD BE'!$L$42*'TUSD BF'!$L$78</f>
        <v>0</v>
      </c>
      <c r="M42" s="13">
        <f>'TUSD BE'!$M$42*'TUSD BF'!$M$78</f>
        <v>0</v>
      </c>
      <c r="N42" s="13">
        <f ca="1">'TUSD BE'!$N$42*'TUSD BF'!$N$78</f>
        <v>0</v>
      </c>
      <c r="O42" s="13">
        <f>'TUSD BE'!$O$42*'TUSD BF'!$O$78</f>
        <v>0</v>
      </c>
      <c r="P42" s="13">
        <f>'TUSD BE'!$P$42*'TUSD BF'!$P$78</f>
        <v>0</v>
      </c>
      <c r="Q42" s="13">
        <f>'TUSD BE'!$Q$42*'TUSD BF'!$Q$78</f>
        <v>0</v>
      </c>
      <c r="R42" s="13">
        <f>'TUSD BE'!$R$42*'TUSD BF'!$R$78</f>
        <v>0</v>
      </c>
      <c r="S42" s="13">
        <f>'TUSD BE'!$R$42*'TUSD BF'!$S$78</f>
        <v>0</v>
      </c>
      <c r="T42" s="13">
        <f ca="1">SUM($L$42:$S$42)</f>
        <v>0</v>
      </c>
      <c r="U42" s="13">
        <f>'TUSD BE'!$U$42*'TUSD BF'!$U$78</f>
        <v>2.3247890544185212</v>
      </c>
      <c r="V42" s="13">
        <f>'TUSD BE'!$V$42*'TUSD BF'!$V$78</f>
        <v>0.47097144769287874</v>
      </c>
      <c r="W42" s="13">
        <f>'TUSD BE'!$W$42*'TUSD BF'!$W$78</f>
        <v>0</v>
      </c>
      <c r="X42" s="13">
        <f>'TUSD BE'!$X$42*'TUSD BF'!$X$78</f>
        <v>0</v>
      </c>
      <c r="Y42" s="13">
        <f>'TUSD BE'!$Y$42*'TUSD BF'!$Y$78</f>
        <v>0</v>
      </c>
      <c r="Z42" s="13">
        <f>'TUSD BE'!$Z$42*'TUSD BF'!$Z$78</f>
        <v>0</v>
      </c>
      <c r="AA42" s="13">
        <f>'TUSD BE'!$AA$42*'TUSD BF'!$AA$78</f>
        <v>0</v>
      </c>
      <c r="AB42" s="13">
        <f>SUM($U$42:$AA$42)</f>
        <v>2.7957605021114</v>
      </c>
      <c r="AC42" s="13">
        <f>'TUSD BE'!$AC$42*'TUSD BF'!$AC$78</f>
        <v>0</v>
      </c>
      <c r="AD42" s="13">
        <f>SUM($AC$42:$AC$42)</f>
        <v>0</v>
      </c>
      <c r="AE42" s="13">
        <f ca="1">$AO$42*$AO$75</f>
        <v>0</v>
      </c>
      <c r="AF42" s="13">
        <f ca="1">$AP$42*$AP$75</f>
        <v>0</v>
      </c>
      <c r="AG42" s="13">
        <f ca="1">SUM($AE$42:$AF$42)</f>
        <v>0</v>
      </c>
      <c r="AH42" s="13">
        <f>'TUSD BE'!$AH$42*'TUSD BF'!$AH$78</f>
        <v>-3.3404797203542533</v>
      </c>
      <c r="AI42" s="13">
        <f>'TUSD BE'!$AI$42*'TUSD BF'!$AI$78</f>
        <v>-5.7894131171272345E-2</v>
      </c>
      <c r="AJ42" s="13">
        <f ca="1">'TUSD BE'!$AJ$42*'TUSD BF'!$AJ$78</f>
        <v>-0.23060705638461612</v>
      </c>
      <c r="AK42" s="13">
        <f ca="1">'TUSD BE'!$AK$42*'TUSD BF'!$AK$78</f>
        <v>0</v>
      </c>
      <c r="AL42" s="13">
        <f ca="1">SUM($AH$42:$AK$42)</f>
        <v>-3.6289809079101416</v>
      </c>
      <c r="AM42" s="13">
        <f ca="1">SUMIF($L$4:$AL$4,"SUBTOTAL",$L$42:$AL$42)</f>
        <v>-0.83322040579874157</v>
      </c>
      <c r="AO42" s="20">
        <f ca="1">+'TUSD BE'!$T$42+'TUSD BE'!$AB$42+'TUSD BE'!$AD$42+'TUSD BE'!$AL$42</f>
        <v>249.39988173643968</v>
      </c>
      <c r="AP42" s="20">
        <f ca="1">+'TUSD BE'!$T$42+'TUSD BE'!$AB$42+'TUSD BE'!$AD$42+'TUSD BE'!$AL$42</f>
        <v>249.39988173643968</v>
      </c>
    </row>
    <row r="43" spans="1:42" ht="11.25" customHeight="1" x14ac:dyDescent="0.3">
      <c r="A43" s="128"/>
      <c r="B43" s="128"/>
      <c r="C43" s="128"/>
      <c r="D43" s="17" t="s">
        <v>31</v>
      </c>
      <c r="E43" s="17" t="s">
        <v>25</v>
      </c>
      <c r="F43" s="17" t="s">
        <v>25</v>
      </c>
      <c r="G43" s="18" t="s">
        <v>84</v>
      </c>
      <c r="H43" s="18" t="s">
        <v>78</v>
      </c>
      <c r="I43" s="18">
        <f>'MERCADO TUSD'!$U$40</f>
        <v>3237.8510000000001</v>
      </c>
      <c r="J43" s="15"/>
      <c r="L43" s="13">
        <f>'TUSD BE'!$L$43*'TUSD BF'!$L$78</f>
        <v>0</v>
      </c>
      <c r="M43" s="13">
        <f>'TUSD BE'!$M$43*'TUSD BF'!$M$78</f>
        <v>0</v>
      </c>
      <c r="N43" s="13">
        <f ca="1">'TUSD BE'!$N$43*'TUSD BF'!$N$78</f>
        <v>0</v>
      </c>
      <c r="O43" s="13">
        <f>'TUSD BE'!$O$43*'TUSD BF'!$O$78</f>
        <v>0</v>
      </c>
      <c r="P43" s="13">
        <f>'TUSD BE'!$P$43*'TUSD BF'!$P$78</f>
        <v>0</v>
      </c>
      <c r="Q43" s="13">
        <f>'TUSD BE'!$Q$43*'TUSD BF'!$Q$78</f>
        <v>0</v>
      </c>
      <c r="R43" s="13">
        <f>'TUSD BE'!$R$43*'TUSD BF'!$R$78</f>
        <v>0</v>
      </c>
      <c r="S43" s="13">
        <f>'TUSD BE'!$R$43*'TUSD BF'!$S$78</f>
        <v>0</v>
      </c>
      <c r="T43" s="13">
        <f ca="1">SUM($L$43:$S$43)</f>
        <v>0</v>
      </c>
      <c r="U43" s="13">
        <f>'TUSD BE'!$U$43*'TUSD BF'!$U$78</f>
        <v>2.3247890544185212</v>
      </c>
      <c r="V43" s="13">
        <f>'TUSD BE'!$V$43*'TUSD BF'!$V$78</f>
        <v>0.47097144769287874</v>
      </c>
      <c r="W43" s="13">
        <f>'TUSD BE'!$W$43*'TUSD BF'!$W$78</f>
        <v>0</v>
      </c>
      <c r="X43" s="13">
        <f>'TUSD BE'!$X$43*'TUSD BF'!$X$78</f>
        <v>0</v>
      </c>
      <c r="Y43" s="13">
        <f>'TUSD BE'!$Y$43*'TUSD BF'!$Y$78</f>
        <v>0</v>
      </c>
      <c r="Z43" s="13">
        <f>'TUSD BE'!$Z$43*'TUSD BF'!$Z$78</f>
        <v>0</v>
      </c>
      <c r="AA43" s="13">
        <f>'TUSD BE'!$AA$43*'TUSD BF'!$AA$78</f>
        <v>0</v>
      </c>
      <c r="AB43" s="13">
        <f>SUM($U$43:$AA$43)</f>
        <v>2.7957605021114</v>
      </c>
      <c r="AC43" s="13">
        <f>'TUSD BE'!$AC$43*'TUSD BF'!$AC$78</f>
        <v>0</v>
      </c>
      <c r="AD43" s="13">
        <f>SUM($AC$43:$AC$43)</f>
        <v>0</v>
      </c>
      <c r="AE43" s="13">
        <f ca="1">$AO$43*$AO$75</f>
        <v>0</v>
      </c>
      <c r="AF43" s="13">
        <f ca="1">$AP$43*$AP$75</f>
        <v>0</v>
      </c>
      <c r="AG43" s="13">
        <f ca="1">SUM($AE$43:$AF$43)</f>
        <v>0</v>
      </c>
      <c r="AH43" s="13">
        <f>'TUSD BE'!$AH$43*'TUSD BF'!$AH$78</f>
        <v>-3.3404797203542533</v>
      </c>
      <c r="AI43" s="13">
        <f>'TUSD BE'!$AI$43*'TUSD BF'!$AI$78</f>
        <v>-5.7894131171272345E-2</v>
      </c>
      <c r="AJ43" s="13">
        <f ca="1">'TUSD BE'!$AJ$43*'TUSD BF'!$AJ$78</f>
        <v>-0.23060705638461612</v>
      </c>
      <c r="AK43" s="13">
        <f ca="1">'TUSD BE'!$AK$43*'TUSD BF'!$AK$78</f>
        <v>0</v>
      </c>
      <c r="AL43" s="13">
        <f ca="1">SUM($AH$43:$AK$43)</f>
        <v>-3.6289809079101416</v>
      </c>
      <c r="AM43" s="13">
        <f ca="1">SUMIF($L$4:$AL$4,"SUBTOTAL",$L$43:$AL$43)</f>
        <v>-0.83322040579874157</v>
      </c>
      <c r="AO43" s="20">
        <f ca="1">+'TUSD BE'!$T$43+'TUSD BE'!$AB$43+'TUSD BE'!$AD$43+'TUSD BE'!$AL$43</f>
        <v>249.39988173643968</v>
      </c>
      <c r="AP43" s="20">
        <f ca="1">+'TUSD BE'!$T$43+'TUSD BE'!$AB$43+'TUSD BE'!$AD$43+'TUSD BE'!$AL$43</f>
        <v>249.39988173643968</v>
      </c>
    </row>
    <row r="44" spans="1:42" ht="11.25" customHeight="1" x14ac:dyDescent="0.3">
      <c r="A44" s="128"/>
      <c r="B44" s="128"/>
      <c r="C44" s="128"/>
      <c r="D44" s="17" t="s">
        <v>32</v>
      </c>
      <c r="E44" s="17" t="s">
        <v>25</v>
      </c>
      <c r="F44" s="17" t="s">
        <v>25</v>
      </c>
      <c r="G44" s="18" t="s">
        <v>84</v>
      </c>
      <c r="H44" s="18" t="s">
        <v>78</v>
      </c>
      <c r="I44" s="18">
        <f>'MERCADO TUSD'!$U$41</f>
        <v>633.93299999999999</v>
      </c>
      <c r="J44" s="15"/>
      <c r="L44" s="13">
        <f>'TUSD BE'!$L$44*'TUSD BF'!$L$78</f>
        <v>0</v>
      </c>
      <c r="M44" s="13">
        <f>'TUSD BE'!$M$44*'TUSD BF'!$M$78</f>
        <v>0</v>
      </c>
      <c r="N44" s="13">
        <f ca="1">'TUSD BE'!$N$44*'TUSD BF'!$N$78</f>
        <v>0</v>
      </c>
      <c r="O44" s="13">
        <f>'TUSD BE'!$O$44*'TUSD BF'!$O$78</f>
        <v>0</v>
      </c>
      <c r="P44" s="13">
        <f>'TUSD BE'!$P$44*'TUSD BF'!$P$78</f>
        <v>0</v>
      </c>
      <c r="Q44" s="13">
        <f>'TUSD BE'!$Q$44*'TUSD BF'!$Q$78</f>
        <v>0</v>
      </c>
      <c r="R44" s="13">
        <f>'TUSD BE'!$R$44*'TUSD BF'!$R$78</f>
        <v>0</v>
      </c>
      <c r="S44" s="13">
        <f>'TUSD BE'!$R$44*'TUSD BF'!$S$78</f>
        <v>0</v>
      </c>
      <c r="T44" s="13">
        <f ca="1">SUM($L$44:$S$44)</f>
        <v>0</v>
      </c>
      <c r="U44" s="13">
        <f>'TUSD BE'!$U$44*'TUSD BF'!$U$78</f>
        <v>2.3247890544185212</v>
      </c>
      <c r="V44" s="13">
        <f>'TUSD BE'!$V$44*'TUSD BF'!$V$78</f>
        <v>0.47097144769287874</v>
      </c>
      <c r="W44" s="13">
        <f>'TUSD BE'!$W$44*'TUSD BF'!$W$78</f>
        <v>0</v>
      </c>
      <c r="X44" s="13">
        <f>'TUSD BE'!$X$44*'TUSD BF'!$X$78</f>
        <v>0</v>
      </c>
      <c r="Y44" s="13">
        <f>'TUSD BE'!$Y$44*'TUSD BF'!$Y$78</f>
        <v>0</v>
      </c>
      <c r="Z44" s="13">
        <f>'TUSD BE'!$Z$44*'TUSD BF'!$Z$78</f>
        <v>0</v>
      </c>
      <c r="AA44" s="13">
        <f>'TUSD BE'!$AA$44*'TUSD BF'!$AA$78</f>
        <v>0</v>
      </c>
      <c r="AB44" s="13">
        <f>SUM($U$44:$AA$44)</f>
        <v>2.7957605021114</v>
      </c>
      <c r="AC44" s="13">
        <f>'TUSD BE'!$AC$44*'TUSD BF'!$AC$78</f>
        <v>0</v>
      </c>
      <c r="AD44" s="13">
        <f>SUM($AC$44:$AC$44)</f>
        <v>0</v>
      </c>
      <c r="AE44" s="13">
        <f ca="1">$AO$44*$AO$75</f>
        <v>0</v>
      </c>
      <c r="AF44" s="13">
        <f ca="1">$AP$44*$AP$75</f>
        <v>0</v>
      </c>
      <c r="AG44" s="13">
        <f ca="1">SUM($AE$44:$AF$44)</f>
        <v>0</v>
      </c>
      <c r="AH44" s="13">
        <f>'TUSD BE'!$AH$44*'TUSD BF'!$AH$78</f>
        <v>-3.3404797203542533</v>
      </c>
      <c r="AI44" s="13">
        <f>'TUSD BE'!$AI$44*'TUSD BF'!$AI$78</f>
        <v>-5.7894131171272345E-2</v>
      </c>
      <c r="AJ44" s="13">
        <f ca="1">'TUSD BE'!$AJ$44*'TUSD BF'!$AJ$78</f>
        <v>-0.23060705638461612</v>
      </c>
      <c r="AK44" s="13">
        <f ca="1">'TUSD BE'!$AK$44*'TUSD BF'!$AK$78</f>
        <v>0</v>
      </c>
      <c r="AL44" s="13">
        <f ca="1">SUM($AH$44:$AK$44)</f>
        <v>-3.6289809079101416</v>
      </c>
      <c r="AM44" s="13">
        <f ca="1">SUMIF($L$4:$AL$4,"SUBTOTAL",$L$44:$AL$44)</f>
        <v>-0.83322040579874157</v>
      </c>
      <c r="AO44" s="20">
        <f ca="1">+'TUSD BE'!$T$44+'TUSD BE'!$AB$44+'TUSD BE'!$AD$44+'TUSD BE'!$AL$44</f>
        <v>249.39988173643968</v>
      </c>
      <c r="AP44" s="20">
        <f ca="1">+'TUSD BE'!$T$44+'TUSD BE'!$AB$44+'TUSD BE'!$AD$44+'TUSD BE'!$AL$44</f>
        <v>249.39988173643968</v>
      </c>
    </row>
    <row r="45" spans="1:42" ht="11.25" customHeight="1" x14ac:dyDescent="0.3">
      <c r="A45" s="128"/>
      <c r="B45" s="128" t="s">
        <v>92</v>
      </c>
      <c r="C45" s="128" t="s">
        <v>24</v>
      </c>
      <c r="D45" s="17" t="s">
        <v>24</v>
      </c>
      <c r="E45" s="17" t="s">
        <v>25</v>
      </c>
      <c r="F45" s="17" t="s">
        <v>25</v>
      </c>
      <c r="G45" s="18" t="s">
        <v>84</v>
      </c>
      <c r="H45" s="18" t="s">
        <v>78</v>
      </c>
      <c r="I45" s="18">
        <f>'MERCADO TUSD'!$U$42</f>
        <v>0</v>
      </c>
      <c r="J45" s="15"/>
      <c r="L45" s="13">
        <f>'TUSD BE'!$L$45*'TUSD BF'!$L$78</f>
        <v>0.46661272494638101</v>
      </c>
      <c r="M45" s="13">
        <f>'TUSD BE'!$M$45*'TUSD BF'!$M$78</f>
        <v>0</v>
      </c>
      <c r="N45" s="13">
        <f ca="1">'TUSD BE'!$N$45*'TUSD BF'!$N$78</f>
        <v>0</v>
      </c>
      <c r="O45" s="13">
        <f>'TUSD BE'!$O$45*'TUSD BF'!$O$78</f>
        <v>0</v>
      </c>
      <c r="P45" s="13">
        <f>'TUSD BE'!$P$45*'TUSD BF'!$P$78</f>
        <v>0</v>
      </c>
      <c r="Q45" s="13">
        <f>'TUSD BE'!$Q$45*'TUSD BF'!$Q$78</f>
        <v>23.11151419862054</v>
      </c>
      <c r="R45" s="13">
        <f>'TUSD BE'!$R$45*'TUSD BF'!$R$78</f>
        <v>5.255438897037914</v>
      </c>
      <c r="S45" s="13">
        <f>'TUSD BE'!$R$45*'TUSD BF'!$S$78</f>
        <v>0</v>
      </c>
      <c r="T45" s="13">
        <f ca="1">SUM($L$45:$S$45)</f>
        <v>28.833565820604832</v>
      </c>
      <c r="U45" s="13">
        <f>'TUSD BE'!$U$45*'TUSD BF'!$U$78</f>
        <v>2.3247890544185212</v>
      </c>
      <c r="V45" s="13">
        <f>'TUSD BE'!$V$45*'TUSD BF'!$V$78</f>
        <v>0.47097144769287874</v>
      </c>
      <c r="W45" s="13">
        <f>'TUSD BE'!$W$45*'TUSD BF'!$W$78</f>
        <v>0</v>
      </c>
      <c r="X45" s="13">
        <f>'TUSD BE'!$X$45*'TUSD BF'!$X$78</f>
        <v>0</v>
      </c>
      <c r="Y45" s="13">
        <f>'TUSD BE'!$Y$45*'TUSD BF'!$Y$78</f>
        <v>0</v>
      </c>
      <c r="Z45" s="13">
        <f>'TUSD BE'!$Z$45*'TUSD BF'!$Z$78</f>
        <v>0</v>
      </c>
      <c r="AA45" s="13">
        <f>'TUSD BE'!$AA$45*'TUSD BF'!$AA$78</f>
        <v>0</v>
      </c>
      <c r="AB45" s="13">
        <f>SUM($U$45:$AA$45)</f>
        <v>2.7957605021114</v>
      </c>
      <c r="AC45" s="13">
        <f>'TUSD BE'!$AC$45*'TUSD BF'!$AC$78</f>
        <v>0</v>
      </c>
      <c r="AD45" s="13">
        <f>SUM($AC$45:$AC$45)</f>
        <v>0</v>
      </c>
      <c r="AE45" s="13">
        <f ca="1">$AO$45*$AO$75</f>
        <v>0</v>
      </c>
      <c r="AF45" s="13">
        <f ca="1">$AP$45*$AP$75</f>
        <v>0</v>
      </c>
      <c r="AG45" s="13">
        <f ca="1">SUM($AE$45:$AF$45)</f>
        <v>0</v>
      </c>
      <c r="AH45" s="13">
        <f>'TUSD BE'!$AH$45*'TUSD BF'!$AH$78</f>
        <v>-3.3404797203542533</v>
      </c>
      <c r="AI45" s="13">
        <f>'TUSD BE'!$AI$45*'TUSD BF'!$AI$78</f>
        <v>-5.7894131171272345E-2</v>
      </c>
      <c r="AJ45" s="13">
        <f ca="1">'TUSD BE'!$AJ$45*'TUSD BF'!$AJ$78</f>
        <v>-0.23060705638461612</v>
      </c>
      <c r="AK45" s="13">
        <f ca="1">'TUSD BE'!$AK$45*'TUSD BF'!$AK$78</f>
        <v>0</v>
      </c>
      <c r="AL45" s="13">
        <f ca="1">SUM($AH$45:$AK$45)</f>
        <v>-3.6289809079101416</v>
      </c>
      <c r="AM45" s="13">
        <f ca="1">SUMIF($L$4:$AL$4,"SUBTOTAL",$L$45:$AL$45)</f>
        <v>28.000345414806091</v>
      </c>
      <c r="AO45" s="20">
        <f ca="1">+'TUSD BE'!$T$45+'TUSD BE'!$AB$45+'TUSD BE'!$AD$45+'TUSD BE'!$AL$45</f>
        <v>356.4462800994238</v>
      </c>
      <c r="AP45" s="20">
        <f ca="1">+'TUSD BE'!$T$45+'TUSD BE'!$AB$45+'TUSD BE'!$AD$45+'TUSD BE'!$AL$45</f>
        <v>356.4462800994238</v>
      </c>
    </row>
    <row r="46" spans="1:42" ht="11.25" customHeight="1" x14ac:dyDescent="0.3">
      <c r="A46" s="128"/>
      <c r="B46" s="128"/>
      <c r="C46" s="128"/>
      <c r="D46" s="17" t="s">
        <v>29</v>
      </c>
      <c r="E46" s="17" t="s">
        <v>25</v>
      </c>
      <c r="F46" s="17" t="s">
        <v>25</v>
      </c>
      <c r="G46" s="18" t="s">
        <v>84</v>
      </c>
      <c r="H46" s="18" t="s">
        <v>78</v>
      </c>
      <c r="I46" s="18">
        <f>'MERCADO TUSD'!$U$43</f>
        <v>0</v>
      </c>
      <c r="J46" s="15"/>
      <c r="L46" s="13">
        <f>'TUSD BE'!$L$46*'TUSD BF'!$L$78</f>
        <v>0</v>
      </c>
      <c r="M46" s="13">
        <f>'TUSD BE'!$M$46*'TUSD BF'!$M$78</f>
        <v>0</v>
      </c>
      <c r="N46" s="13">
        <f ca="1">'TUSD BE'!$N$46*'TUSD BF'!$N$78</f>
        <v>0</v>
      </c>
      <c r="O46" s="13">
        <f>'TUSD BE'!$O$46*'TUSD BF'!$O$78</f>
        <v>0</v>
      </c>
      <c r="P46" s="13">
        <f>'TUSD BE'!$P$46*'TUSD BF'!$P$78</f>
        <v>0</v>
      </c>
      <c r="Q46" s="13">
        <f>'TUSD BE'!$Q$46*'TUSD BF'!$Q$78</f>
        <v>0</v>
      </c>
      <c r="R46" s="13">
        <f>'TUSD BE'!$R$46*'TUSD BF'!$R$78</f>
        <v>0</v>
      </c>
      <c r="S46" s="13">
        <f>'TUSD BE'!$R$46*'TUSD BF'!$S$78</f>
        <v>0</v>
      </c>
      <c r="T46" s="13">
        <f ca="1">SUM($L$46:$S$46)</f>
        <v>0</v>
      </c>
      <c r="U46" s="13">
        <f>'TUSD BE'!$U$46*'TUSD BF'!$U$78</f>
        <v>2.3247890544185212</v>
      </c>
      <c r="V46" s="13">
        <f>'TUSD BE'!$V$46*'TUSD BF'!$V$78</f>
        <v>0.47097144769287874</v>
      </c>
      <c r="W46" s="13">
        <f>'TUSD BE'!$W$46*'TUSD BF'!$W$78</f>
        <v>0</v>
      </c>
      <c r="X46" s="13">
        <f>'TUSD BE'!$X$46*'TUSD BF'!$X$78</f>
        <v>0</v>
      </c>
      <c r="Y46" s="13">
        <f>'TUSD BE'!$Y$46*'TUSD BF'!$Y$78</f>
        <v>0</v>
      </c>
      <c r="Z46" s="13">
        <f>'TUSD BE'!$Z$46*'TUSD BF'!$Z$78</f>
        <v>0</v>
      </c>
      <c r="AA46" s="13">
        <f>'TUSD BE'!$AA$46*'TUSD BF'!$AA$78</f>
        <v>0</v>
      </c>
      <c r="AB46" s="13">
        <f>SUM($U$46:$AA$46)</f>
        <v>2.7957605021114</v>
      </c>
      <c r="AC46" s="13">
        <f>'TUSD BE'!$AC$46*'TUSD BF'!$AC$78</f>
        <v>0</v>
      </c>
      <c r="AD46" s="13">
        <f>SUM($AC$46:$AC$46)</f>
        <v>0</v>
      </c>
      <c r="AE46" s="13">
        <f ca="1">$AO$46*$AO$75</f>
        <v>0</v>
      </c>
      <c r="AF46" s="13">
        <f ca="1">$AP$46*$AP$75</f>
        <v>0</v>
      </c>
      <c r="AG46" s="13">
        <f ca="1">SUM($AE$46:$AF$46)</f>
        <v>0</v>
      </c>
      <c r="AH46" s="13">
        <f>'TUSD BE'!$AH$46*'TUSD BF'!$AH$78</f>
        <v>-3.3404797203542533</v>
      </c>
      <c r="AI46" s="13">
        <f>'TUSD BE'!$AI$46*'TUSD BF'!$AI$78</f>
        <v>-5.7894131171272345E-2</v>
      </c>
      <c r="AJ46" s="13">
        <f ca="1">'TUSD BE'!$AJ$46*'TUSD BF'!$AJ$78</f>
        <v>-0.23060705638461612</v>
      </c>
      <c r="AK46" s="13">
        <f ca="1">'TUSD BE'!$AK$46*'TUSD BF'!$AK$78</f>
        <v>0</v>
      </c>
      <c r="AL46" s="13">
        <f ca="1">SUM($AH$46:$AK$46)</f>
        <v>-3.6289809079101416</v>
      </c>
      <c r="AM46" s="13">
        <f ca="1">SUMIF($L$4:$AL$4,"SUBTOTAL",$L$46:$AL$46)</f>
        <v>-0.83322040579874157</v>
      </c>
      <c r="AO46" s="20">
        <f ca="1">+'TUSD BE'!$T$46+'TUSD BE'!$AB$46+'TUSD BE'!$AD$46+'TUSD BE'!$AL$46</f>
        <v>249.39988173643968</v>
      </c>
      <c r="AP46" s="20">
        <f ca="1">+'TUSD BE'!$T$46+'TUSD BE'!$AB$46+'TUSD BE'!$AD$46+'TUSD BE'!$AL$46</f>
        <v>249.39988173643968</v>
      </c>
    </row>
    <row r="47" spans="1:42" ht="11.25" customHeight="1" x14ac:dyDescent="0.3">
      <c r="A47" s="128"/>
      <c r="B47" s="128"/>
      <c r="C47" s="128"/>
      <c r="D47" s="17" t="s">
        <v>30</v>
      </c>
      <c r="E47" s="17" t="s">
        <v>25</v>
      </c>
      <c r="F47" s="17" t="s">
        <v>25</v>
      </c>
      <c r="G47" s="18" t="s">
        <v>84</v>
      </c>
      <c r="H47" s="18" t="s">
        <v>78</v>
      </c>
      <c r="I47" s="18">
        <f>'MERCADO TUSD'!$U$44</f>
        <v>0</v>
      </c>
      <c r="J47" s="15"/>
      <c r="L47" s="13">
        <f>'TUSD BE'!$L$47*'TUSD BF'!$L$78</f>
        <v>0</v>
      </c>
      <c r="M47" s="13">
        <f>'TUSD BE'!$M$47*'TUSD BF'!$M$78</f>
        <v>0</v>
      </c>
      <c r="N47" s="13">
        <f ca="1">'TUSD BE'!$N$47*'TUSD BF'!$N$78</f>
        <v>0</v>
      </c>
      <c r="O47" s="13">
        <f>'TUSD BE'!$O$47*'TUSD BF'!$O$78</f>
        <v>0</v>
      </c>
      <c r="P47" s="13">
        <f>'TUSD BE'!$P$47*'TUSD BF'!$P$78</f>
        <v>0</v>
      </c>
      <c r="Q47" s="13">
        <f>'TUSD BE'!$Q$47*'TUSD BF'!$Q$78</f>
        <v>0</v>
      </c>
      <c r="R47" s="13">
        <f>'TUSD BE'!$R$47*'TUSD BF'!$R$78</f>
        <v>0</v>
      </c>
      <c r="S47" s="13">
        <f>'TUSD BE'!$R$47*'TUSD BF'!$S$78</f>
        <v>0</v>
      </c>
      <c r="T47" s="13">
        <f ca="1">SUM($L$47:$S$47)</f>
        <v>0</v>
      </c>
      <c r="U47" s="13">
        <f>'TUSD BE'!$U$47*'TUSD BF'!$U$78</f>
        <v>2.3247890544185212</v>
      </c>
      <c r="V47" s="13">
        <f>'TUSD BE'!$V$47*'TUSD BF'!$V$78</f>
        <v>0.47097144769287874</v>
      </c>
      <c r="W47" s="13">
        <f>'TUSD BE'!$W$47*'TUSD BF'!$W$78</f>
        <v>0</v>
      </c>
      <c r="X47" s="13">
        <f>'TUSD BE'!$X$47*'TUSD BF'!$X$78</f>
        <v>0</v>
      </c>
      <c r="Y47" s="13">
        <f>'TUSD BE'!$Y$47*'TUSD BF'!$Y$78</f>
        <v>0</v>
      </c>
      <c r="Z47" s="13">
        <f>'TUSD BE'!$Z$47*'TUSD BF'!$Z$78</f>
        <v>0</v>
      </c>
      <c r="AA47" s="13">
        <f>'TUSD BE'!$AA$47*'TUSD BF'!$AA$78</f>
        <v>0</v>
      </c>
      <c r="AB47" s="13">
        <f>SUM($U$47:$AA$47)</f>
        <v>2.7957605021114</v>
      </c>
      <c r="AC47" s="13">
        <f>'TUSD BE'!$AC$47*'TUSD BF'!$AC$78</f>
        <v>0</v>
      </c>
      <c r="AD47" s="13">
        <f>SUM($AC$47:$AC$47)</f>
        <v>0</v>
      </c>
      <c r="AE47" s="13">
        <f ca="1">$AO$47*$AO$75</f>
        <v>0</v>
      </c>
      <c r="AF47" s="13">
        <f ca="1">$AP$47*$AP$75</f>
        <v>0</v>
      </c>
      <c r="AG47" s="13">
        <f ca="1">SUM($AE$47:$AF$47)</f>
        <v>0</v>
      </c>
      <c r="AH47" s="13">
        <f>'TUSD BE'!$AH$47*'TUSD BF'!$AH$78</f>
        <v>-3.3404797203542533</v>
      </c>
      <c r="AI47" s="13">
        <f>'TUSD BE'!$AI$47*'TUSD BF'!$AI$78</f>
        <v>-5.7894131171272345E-2</v>
      </c>
      <c r="AJ47" s="13">
        <f ca="1">'TUSD BE'!$AJ$47*'TUSD BF'!$AJ$78</f>
        <v>-0.23060705638461612</v>
      </c>
      <c r="AK47" s="13">
        <f ca="1">'TUSD BE'!$AK$47*'TUSD BF'!$AK$78</f>
        <v>0</v>
      </c>
      <c r="AL47" s="13">
        <f ca="1">SUM($AH$47:$AK$47)</f>
        <v>-3.6289809079101416</v>
      </c>
      <c r="AM47" s="13">
        <f ca="1">SUMIF($L$4:$AL$4,"SUBTOTAL",$L$47:$AL$47)</f>
        <v>-0.83322040579874157</v>
      </c>
      <c r="AO47" s="20">
        <f ca="1">+'TUSD BE'!$T$47+'TUSD BE'!$AB$47+'TUSD BE'!$AD$47+'TUSD BE'!$AL$47</f>
        <v>249.39988173643968</v>
      </c>
      <c r="AP47" s="20">
        <f ca="1">+'TUSD BE'!$T$47+'TUSD BE'!$AB$47+'TUSD BE'!$AD$47+'TUSD BE'!$AL$47</f>
        <v>249.39988173643968</v>
      </c>
    </row>
    <row r="48" spans="1:42" ht="11.25" customHeight="1" x14ac:dyDescent="0.3">
      <c r="A48" s="128"/>
      <c r="B48" s="128"/>
      <c r="C48" s="128"/>
      <c r="D48" s="17" t="s">
        <v>31</v>
      </c>
      <c r="E48" s="17" t="s">
        <v>25</v>
      </c>
      <c r="F48" s="17" t="s">
        <v>25</v>
      </c>
      <c r="G48" s="18" t="s">
        <v>84</v>
      </c>
      <c r="H48" s="18" t="s">
        <v>78</v>
      </c>
      <c r="I48" s="18">
        <f>'MERCADO TUSD'!$U$45</f>
        <v>0</v>
      </c>
      <c r="J48" s="15"/>
      <c r="L48" s="13">
        <f>'TUSD BE'!$L$48*'TUSD BF'!$L$78</f>
        <v>0</v>
      </c>
      <c r="M48" s="13">
        <f>'TUSD BE'!$M$48*'TUSD BF'!$M$78</f>
        <v>0</v>
      </c>
      <c r="N48" s="13">
        <f ca="1">'TUSD BE'!$N$48*'TUSD BF'!$N$78</f>
        <v>0</v>
      </c>
      <c r="O48" s="13">
        <f>'TUSD BE'!$O$48*'TUSD BF'!$O$78</f>
        <v>0</v>
      </c>
      <c r="P48" s="13">
        <f>'TUSD BE'!$P$48*'TUSD BF'!$P$78</f>
        <v>0</v>
      </c>
      <c r="Q48" s="13">
        <f>'TUSD BE'!$Q$48*'TUSD BF'!$Q$78</f>
        <v>0</v>
      </c>
      <c r="R48" s="13">
        <f>'TUSD BE'!$R$48*'TUSD BF'!$R$78</f>
        <v>0</v>
      </c>
      <c r="S48" s="13">
        <f>'TUSD BE'!$R$48*'TUSD BF'!$S$78</f>
        <v>0</v>
      </c>
      <c r="T48" s="13">
        <f ca="1">SUM($L$48:$S$48)</f>
        <v>0</v>
      </c>
      <c r="U48" s="13">
        <f>'TUSD BE'!$U$48*'TUSD BF'!$U$78</f>
        <v>2.3247890544185212</v>
      </c>
      <c r="V48" s="13">
        <f>'TUSD BE'!$V$48*'TUSD BF'!$V$78</f>
        <v>0.47097144769287874</v>
      </c>
      <c r="W48" s="13">
        <f>'TUSD BE'!$W$48*'TUSD BF'!$W$78</f>
        <v>0</v>
      </c>
      <c r="X48" s="13">
        <f>'TUSD BE'!$X$48*'TUSD BF'!$X$78</f>
        <v>0</v>
      </c>
      <c r="Y48" s="13">
        <f>'TUSD BE'!$Y$48*'TUSD BF'!$Y$78</f>
        <v>0</v>
      </c>
      <c r="Z48" s="13">
        <f>'TUSD BE'!$Z$48*'TUSD BF'!$Z$78</f>
        <v>0</v>
      </c>
      <c r="AA48" s="13">
        <f>'TUSD BE'!$AA$48*'TUSD BF'!$AA$78</f>
        <v>0</v>
      </c>
      <c r="AB48" s="13">
        <f>SUM($U$48:$AA$48)</f>
        <v>2.7957605021114</v>
      </c>
      <c r="AC48" s="13">
        <f>'TUSD BE'!$AC$48*'TUSD BF'!$AC$78</f>
        <v>0</v>
      </c>
      <c r="AD48" s="13">
        <f>SUM($AC$48:$AC$48)</f>
        <v>0</v>
      </c>
      <c r="AE48" s="13">
        <f ca="1">$AO$48*$AO$75</f>
        <v>0</v>
      </c>
      <c r="AF48" s="13">
        <f ca="1">$AP$48*$AP$75</f>
        <v>0</v>
      </c>
      <c r="AG48" s="13">
        <f ca="1">SUM($AE$48:$AF$48)</f>
        <v>0</v>
      </c>
      <c r="AH48" s="13">
        <f>'TUSD BE'!$AH$48*'TUSD BF'!$AH$78</f>
        <v>-3.3404797203542533</v>
      </c>
      <c r="AI48" s="13">
        <f>'TUSD BE'!$AI$48*'TUSD BF'!$AI$78</f>
        <v>-5.7894131171272345E-2</v>
      </c>
      <c r="AJ48" s="13">
        <f ca="1">'TUSD BE'!$AJ$48*'TUSD BF'!$AJ$78</f>
        <v>-0.23060705638461612</v>
      </c>
      <c r="AK48" s="13">
        <f ca="1">'TUSD BE'!$AK$48*'TUSD BF'!$AK$78</f>
        <v>0</v>
      </c>
      <c r="AL48" s="13">
        <f ca="1">SUM($AH$48:$AK$48)</f>
        <v>-3.6289809079101416</v>
      </c>
      <c r="AM48" s="13">
        <f ca="1">SUMIF($L$4:$AL$4,"SUBTOTAL",$L$48:$AL$48)</f>
        <v>-0.83322040579874157</v>
      </c>
      <c r="AO48" s="20">
        <f ca="1">+'TUSD BE'!$T$48+'TUSD BE'!$AB$48+'TUSD BE'!$AD$48+'TUSD BE'!$AL$48</f>
        <v>249.39988173643968</v>
      </c>
      <c r="AP48" s="20">
        <f ca="1">+'TUSD BE'!$T$48+'TUSD BE'!$AB$48+'TUSD BE'!$AD$48+'TUSD BE'!$AL$48</f>
        <v>249.39988173643968</v>
      </c>
    </row>
    <row r="49" spans="1:42" ht="11.25" customHeight="1" x14ac:dyDescent="0.3">
      <c r="A49" s="128"/>
      <c r="B49" s="128"/>
      <c r="C49" s="128"/>
      <c r="D49" s="17" t="s">
        <v>32</v>
      </c>
      <c r="E49" s="17" t="s">
        <v>25</v>
      </c>
      <c r="F49" s="17" t="s">
        <v>25</v>
      </c>
      <c r="G49" s="18" t="s">
        <v>84</v>
      </c>
      <c r="H49" s="18" t="s">
        <v>78</v>
      </c>
      <c r="I49" s="18">
        <f>'MERCADO TUSD'!$U$46</f>
        <v>0</v>
      </c>
      <c r="J49" s="15"/>
      <c r="L49" s="13">
        <f>'TUSD BE'!$L$49*'TUSD BF'!$L$78</f>
        <v>0</v>
      </c>
      <c r="M49" s="13">
        <f>'TUSD BE'!$M$49*'TUSD BF'!$M$78</f>
        <v>0</v>
      </c>
      <c r="N49" s="13">
        <f ca="1">'TUSD BE'!$N$49*'TUSD BF'!$N$78</f>
        <v>0</v>
      </c>
      <c r="O49" s="13">
        <f>'TUSD BE'!$O$49*'TUSD BF'!$O$78</f>
        <v>0</v>
      </c>
      <c r="P49" s="13">
        <f>'TUSD BE'!$P$49*'TUSD BF'!$P$78</f>
        <v>0</v>
      </c>
      <c r="Q49" s="13">
        <f>'TUSD BE'!$Q$49*'TUSD BF'!$Q$78</f>
        <v>0</v>
      </c>
      <c r="R49" s="13">
        <f>'TUSD BE'!$R$49*'TUSD BF'!$R$78</f>
        <v>0</v>
      </c>
      <c r="S49" s="13">
        <f>'TUSD BE'!$R$49*'TUSD BF'!$S$78</f>
        <v>0</v>
      </c>
      <c r="T49" s="13">
        <f ca="1">SUM($L$49:$S$49)</f>
        <v>0</v>
      </c>
      <c r="U49" s="13">
        <f>'TUSD BE'!$U$49*'TUSD BF'!$U$78</f>
        <v>2.3247890544185212</v>
      </c>
      <c r="V49" s="13">
        <f>'TUSD BE'!$V$49*'TUSD BF'!$V$78</f>
        <v>0.47097144769287874</v>
      </c>
      <c r="W49" s="13">
        <f>'TUSD BE'!$W$49*'TUSD BF'!$W$78</f>
        <v>0</v>
      </c>
      <c r="X49" s="13">
        <f>'TUSD BE'!$X$49*'TUSD BF'!$X$78</f>
        <v>0</v>
      </c>
      <c r="Y49" s="13">
        <f>'TUSD BE'!$Y$49*'TUSD BF'!$Y$78</f>
        <v>0</v>
      </c>
      <c r="Z49" s="13">
        <f>'TUSD BE'!$Z$49*'TUSD BF'!$Z$78</f>
        <v>0</v>
      </c>
      <c r="AA49" s="13">
        <f>'TUSD BE'!$AA$49*'TUSD BF'!$AA$78</f>
        <v>0</v>
      </c>
      <c r="AB49" s="13">
        <f>SUM($U$49:$AA$49)</f>
        <v>2.7957605021114</v>
      </c>
      <c r="AC49" s="13">
        <f>'TUSD BE'!$AC$49*'TUSD BF'!$AC$78</f>
        <v>0</v>
      </c>
      <c r="AD49" s="13">
        <f>SUM($AC$49:$AC$49)</f>
        <v>0</v>
      </c>
      <c r="AE49" s="13">
        <f ca="1">$AO$49*$AO$75</f>
        <v>0</v>
      </c>
      <c r="AF49" s="13">
        <f ca="1">$AP$49*$AP$75</f>
        <v>0</v>
      </c>
      <c r="AG49" s="13">
        <f ca="1">SUM($AE$49:$AF$49)</f>
        <v>0</v>
      </c>
      <c r="AH49" s="13">
        <f>'TUSD BE'!$AH$49*'TUSD BF'!$AH$78</f>
        <v>-3.3404797203542533</v>
      </c>
      <c r="AI49" s="13">
        <f>'TUSD BE'!$AI$49*'TUSD BF'!$AI$78</f>
        <v>-5.7894131171272345E-2</v>
      </c>
      <c r="AJ49" s="13">
        <f ca="1">'TUSD BE'!$AJ$49*'TUSD BF'!$AJ$78</f>
        <v>-0.23060705638461612</v>
      </c>
      <c r="AK49" s="13">
        <f ca="1">'TUSD BE'!$AK$49*'TUSD BF'!$AK$78</f>
        <v>0</v>
      </c>
      <c r="AL49" s="13">
        <f ca="1">SUM($AH$49:$AK$49)</f>
        <v>-3.6289809079101416</v>
      </c>
      <c r="AM49" s="13">
        <f ca="1">SUMIF($L$4:$AL$4,"SUBTOTAL",$L$49:$AL$49)</f>
        <v>-0.83322040579874157</v>
      </c>
      <c r="AO49" s="20">
        <f ca="1">+'TUSD BE'!$T$49+'TUSD BE'!$AB$49+'TUSD BE'!$AD$49+'TUSD BE'!$AL$49</f>
        <v>249.39988173643968</v>
      </c>
      <c r="AP49" s="20">
        <f ca="1">+'TUSD BE'!$T$49+'TUSD BE'!$AB$49+'TUSD BE'!$AD$49+'TUSD BE'!$AL$49</f>
        <v>249.39988173643968</v>
      </c>
    </row>
    <row r="50" spans="1:42" ht="11.25" customHeight="1" x14ac:dyDescent="0.3">
      <c r="A50" s="128" t="s">
        <v>44</v>
      </c>
      <c r="B50" s="128" t="s">
        <v>33</v>
      </c>
      <c r="C50" s="128" t="s">
        <v>45</v>
      </c>
      <c r="D50" s="128" t="s">
        <v>25</v>
      </c>
      <c r="E50" s="128" t="s">
        <v>25</v>
      </c>
      <c r="F50" s="128" t="s">
        <v>25</v>
      </c>
      <c r="G50" s="18" t="s">
        <v>79</v>
      </c>
      <c r="H50" s="18" t="s">
        <v>78</v>
      </c>
      <c r="I50" s="18">
        <f>'MERCADO TUSD'!$U$47</f>
        <v>0</v>
      </c>
      <c r="J50" s="15"/>
      <c r="L50" s="13">
        <f>'TUSD BE'!$L$50*'TUSD BF'!$L$78</f>
        <v>0.46661272494638101</v>
      </c>
      <c r="M50" s="13">
        <f>'TUSD BE'!$M$50*'TUSD BF'!$M$78</f>
        <v>0</v>
      </c>
      <c r="N50" s="13">
        <f ca="1">'TUSD BE'!$N$50*'TUSD BF'!$N$78</f>
        <v>0</v>
      </c>
      <c r="O50" s="13">
        <f>'TUSD BE'!$O$50*'TUSD BF'!$O$78</f>
        <v>0</v>
      </c>
      <c r="P50" s="13">
        <f>'TUSD BE'!$P$50*'TUSD BF'!$P$78</f>
        <v>0</v>
      </c>
      <c r="Q50" s="13">
        <f>'TUSD BE'!$Q$50*'TUSD BF'!$Q$78</f>
        <v>23.11151419862054</v>
      </c>
      <c r="R50" s="13">
        <f>'TUSD BE'!$R$50*'TUSD BF'!$R$78</f>
        <v>5.255438897037914</v>
      </c>
      <c r="S50" s="13">
        <f>'TUSD BE'!$R$50*'TUSD BF'!$S$78</f>
        <v>0</v>
      </c>
      <c r="T50" s="13">
        <f ca="1">SUM($L$50:$S$50)</f>
        <v>28.833565820604832</v>
      </c>
      <c r="U50" s="13">
        <f>'TUSD BE'!$U$50*'TUSD BF'!$U$78</f>
        <v>6.8581323547254849</v>
      </c>
      <c r="V50" s="13">
        <f>'TUSD BE'!$V$50*'TUSD BF'!$V$78</f>
        <v>1.3893648226456659</v>
      </c>
      <c r="W50" s="13">
        <f>'TUSD BE'!$W$50*'TUSD BF'!$W$78</f>
        <v>0</v>
      </c>
      <c r="X50" s="13">
        <f>'TUSD BE'!$X$50*'TUSD BF'!$X$78</f>
        <v>0</v>
      </c>
      <c r="Y50" s="13">
        <f>'TUSD BE'!$Y$50*'TUSD BF'!$Y$78</f>
        <v>0</v>
      </c>
      <c r="Z50" s="13">
        <f>'TUSD BE'!$Z$50*'TUSD BF'!$Z$78</f>
        <v>0</v>
      </c>
      <c r="AA50" s="13">
        <f>'TUSD BE'!$AA$50*'TUSD BF'!$AA$78</f>
        <v>0</v>
      </c>
      <c r="AB50" s="13">
        <f>SUM($U$50:$AA$50)</f>
        <v>8.2474971773711516</v>
      </c>
      <c r="AC50" s="13">
        <f>'TUSD BE'!$AC$50*'TUSD BF'!$AC$78</f>
        <v>0</v>
      </c>
      <c r="AD50" s="13">
        <f>SUM($AC$50:$AC$50)</f>
        <v>0</v>
      </c>
      <c r="AE50" s="13">
        <f ca="1">$AO$50*$AO$75</f>
        <v>0</v>
      </c>
      <c r="AF50" s="13">
        <f ca="1">$AP$50*$AP$75</f>
        <v>0</v>
      </c>
      <c r="AG50" s="13">
        <f ca="1">SUM($AE$50:$AF$50)</f>
        <v>0</v>
      </c>
      <c r="AH50" s="13">
        <f>'TUSD BE'!$AH$50*'TUSD BF'!$AH$78</f>
        <v>-3.3404797203542533</v>
      </c>
      <c r="AI50" s="13">
        <f>'TUSD BE'!$AI$50*'TUSD BF'!$AI$78</f>
        <v>-5.7894131171272345E-2</v>
      </c>
      <c r="AJ50" s="13">
        <f ca="1">'TUSD BE'!$AJ$50*'TUSD BF'!$AJ$78</f>
        <v>-0.23060705638461612</v>
      </c>
      <c r="AK50" s="13">
        <f ca="1">'TUSD BE'!$AK$50*'TUSD BF'!$AK$78</f>
        <v>0</v>
      </c>
      <c r="AL50" s="13">
        <f ca="1">SUM($AH$50:$AK$50)</f>
        <v>-3.6289809079101416</v>
      </c>
      <c r="AM50" s="13">
        <f ca="1">SUMIF($L$4:$AL$4,"SUBTOTAL",$L$50:$AL$50)</f>
        <v>33.452082090065844</v>
      </c>
      <c r="AO50" s="20">
        <f ca="1">+'TUSD BE'!$T$50+'TUSD BE'!$AB$50+'TUSD BE'!$AD$50+'TUSD BE'!$AL$50</f>
        <v>787.35865020901031</v>
      </c>
      <c r="AP50" s="20">
        <f ca="1">+'TUSD BE'!$T$50+'TUSD BE'!$AB$50+'TUSD BE'!$AD$50+'TUSD BE'!$AL$50</f>
        <v>787.35865020901031</v>
      </c>
    </row>
    <row r="51" spans="1:42" ht="11.25" customHeight="1" x14ac:dyDescent="0.3">
      <c r="A51" s="128"/>
      <c r="B51" s="128"/>
      <c r="C51" s="128"/>
      <c r="D51" s="128"/>
      <c r="E51" s="128"/>
      <c r="F51" s="128"/>
      <c r="G51" s="18" t="s">
        <v>90</v>
      </c>
      <c r="H51" s="18" t="s">
        <v>78</v>
      </c>
      <c r="I51" s="18">
        <f>'MERCADO TUSD'!$U$48</f>
        <v>0</v>
      </c>
      <c r="J51" s="15"/>
      <c r="L51" s="13">
        <f>'TUSD BE'!$L$51*'TUSD BF'!$L$78</f>
        <v>0.46661272494638101</v>
      </c>
      <c r="M51" s="13">
        <f>'TUSD BE'!$M$51*'TUSD BF'!$M$78</f>
        <v>0</v>
      </c>
      <c r="N51" s="13">
        <f ca="1">'TUSD BE'!$N$51*'TUSD BF'!$N$78</f>
        <v>0</v>
      </c>
      <c r="O51" s="13">
        <f>'TUSD BE'!$O$51*'TUSD BF'!$O$78</f>
        <v>0</v>
      </c>
      <c r="P51" s="13">
        <f>'TUSD BE'!$P$51*'TUSD BF'!$P$78</f>
        <v>0</v>
      </c>
      <c r="Q51" s="13">
        <f>'TUSD BE'!$Q$51*'TUSD BF'!$Q$78</f>
        <v>23.11151419862054</v>
      </c>
      <c r="R51" s="13">
        <f>'TUSD BE'!$R$51*'TUSD BF'!$R$78</f>
        <v>5.255438897037914</v>
      </c>
      <c r="S51" s="13">
        <f>'TUSD BE'!$R$51*'TUSD BF'!$S$78</f>
        <v>0</v>
      </c>
      <c r="T51" s="13">
        <f ca="1">SUM($L$51:$S$51)</f>
        <v>28.833565820604832</v>
      </c>
      <c r="U51" s="13">
        <f>'TUSD BE'!$U$51*'TUSD BF'!$U$78</f>
        <v>4.1148831281879685</v>
      </c>
      <c r="V51" s="13">
        <f>'TUSD BE'!$V$51*'TUSD BF'!$V$78</f>
        <v>0.8336188935873996</v>
      </c>
      <c r="W51" s="13">
        <f>'TUSD BE'!$W$51*'TUSD BF'!$W$78</f>
        <v>0</v>
      </c>
      <c r="X51" s="13">
        <f>'TUSD BE'!$X$51*'TUSD BF'!$X$78</f>
        <v>0</v>
      </c>
      <c r="Y51" s="13">
        <f>'TUSD BE'!$Y$51*'TUSD BF'!$Y$78</f>
        <v>0</v>
      </c>
      <c r="Z51" s="13">
        <f>'TUSD BE'!$Z$51*'TUSD BF'!$Z$78</f>
        <v>0</v>
      </c>
      <c r="AA51" s="13">
        <f>'TUSD BE'!$AA$51*'TUSD BF'!$AA$78</f>
        <v>0</v>
      </c>
      <c r="AB51" s="13">
        <f>SUM($U$51:$AA$51)</f>
        <v>4.9485020217753686</v>
      </c>
      <c r="AC51" s="13">
        <f>'TUSD BE'!$AC$51*'TUSD BF'!$AC$78</f>
        <v>0</v>
      </c>
      <c r="AD51" s="13">
        <f>SUM($AC$51:$AC$51)</f>
        <v>0</v>
      </c>
      <c r="AE51" s="13">
        <f ca="1">$AO$51*$AO$75</f>
        <v>0</v>
      </c>
      <c r="AF51" s="13">
        <f ca="1">$AP$51*$AP$75</f>
        <v>0</v>
      </c>
      <c r="AG51" s="13">
        <f ca="1">SUM($AE$51:$AF$51)</f>
        <v>0</v>
      </c>
      <c r="AH51" s="13">
        <f>'TUSD BE'!$AH$51*'TUSD BF'!$AH$78</f>
        <v>-3.3404797203542533</v>
      </c>
      <c r="AI51" s="13">
        <f>'TUSD BE'!$AI$51*'TUSD BF'!$AI$78</f>
        <v>-5.7894131171272345E-2</v>
      </c>
      <c r="AJ51" s="13">
        <f ca="1">'TUSD BE'!$AJ$51*'TUSD BF'!$AJ$78</f>
        <v>-0.23060705638461612</v>
      </c>
      <c r="AK51" s="13">
        <f ca="1">'TUSD BE'!$AK$51*'TUSD BF'!$AK$78</f>
        <v>0</v>
      </c>
      <c r="AL51" s="13">
        <f ca="1">SUM($AH$51:$AK$51)</f>
        <v>-3.6289809079101416</v>
      </c>
      <c r="AM51" s="13">
        <f ca="1">SUMIF($L$4:$AL$4,"SUBTOTAL",$L$51:$AL$51)</f>
        <v>30.15308693447006</v>
      </c>
      <c r="AO51" s="20">
        <f ca="1">+'TUSD BE'!$T$51+'TUSD BE'!$AB$51+'TUSD BE'!$AD$51+'TUSD BE'!$AL$51</f>
        <v>526.60136775230944</v>
      </c>
      <c r="AP51" s="20">
        <f ca="1">+'TUSD BE'!$T$51+'TUSD BE'!$AB$51+'TUSD BE'!$AD$51+'TUSD BE'!$AL$51</f>
        <v>526.60136775230944</v>
      </c>
    </row>
    <row r="52" spans="1:42" ht="11.25" customHeight="1" x14ac:dyDescent="0.3">
      <c r="A52" s="128"/>
      <c r="B52" s="128"/>
      <c r="C52" s="128"/>
      <c r="D52" s="128"/>
      <c r="E52" s="128"/>
      <c r="F52" s="128"/>
      <c r="G52" s="18" t="s">
        <v>80</v>
      </c>
      <c r="H52" s="18" t="s">
        <v>78</v>
      </c>
      <c r="I52" s="18">
        <f>'MERCADO TUSD'!$U$49</f>
        <v>0</v>
      </c>
      <c r="J52" s="15"/>
      <c r="L52" s="13">
        <f>'TUSD BE'!$L$52*'TUSD BF'!$L$78</f>
        <v>0.46661272494638101</v>
      </c>
      <c r="M52" s="13">
        <f>'TUSD BE'!$M$52*'TUSD BF'!$M$78</f>
        <v>0</v>
      </c>
      <c r="N52" s="13">
        <f ca="1">'TUSD BE'!$N$52*'TUSD BF'!$N$78</f>
        <v>0</v>
      </c>
      <c r="O52" s="13">
        <f>'TUSD BE'!$O$52*'TUSD BF'!$O$78</f>
        <v>0</v>
      </c>
      <c r="P52" s="13">
        <f>'TUSD BE'!$P$52*'TUSD BF'!$P$78</f>
        <v>0</v>
      </c>
      <c r="Q52" s="13">
        <f>'TUSD BE'!$Q$52*'TUSD BF'!$Q$78</f>
        <v>23.11151419862054</v>
      </c>
      <c r="R52" s="13">
        <f>'TUSD BE'!$R$52*'TUSD BF'!$R$78</f>
        <v>5.255438897037914</v>
      </c>
      <c r="S52" s="13">
        <f>'TUSD BE'!$R$52*'TUSD BF'!$S$78</f>
        <v>0</v>
      </c>
      <c r="T52" s="13">
        <f ca="1">SUM($L$52:$S$52)</f>
        <v>28.833565820604832</v>
      </c>
      <c r="U52" s="13">
        <f>'TUSD BE'!$U$52*'TUSD BF'!$U$78</f>
        <v>1.3716246132687577</v>
      </c>
      <c r="V52" s="13">
        <f>'TUSD BE'!$V$52*'TUSD BF'!$V$78</f>
        <v>0.27787296452913313</v>
      </c>
      <c r="W52" s="13">
        <f>'TUSD BE'!$W$52*'TUSD BF'!$W$78</f>
        <v>0</v>
      </c>
      <c r="X52" s="13">
        <f>'TUSD BE'!$X$52*'TUSD BF'!$X$78</f>
        <v>0</v>
      </c>
      <c r="Y52" s="13">
        <f>'TUSD BE'!$Y$52*'TUSD BF'!$Y$78</f>
        <v>0</v>
      </c>
      <c r="Z52" s="13">
        <f>'TUSD BE'!$Z$52*'TUSD BF'!$Z$78</f>
        <v>0</v>
      </c>
      <c r="AA52" s="13">
        <f>'TUSD BE'!$AA$52*'TUSD BF'!$AA$78</f>
        <v>0</v>
      </c>
      <c r="AB52" s="13">
        <f>SUM($U$52:$AA$52)</f>
        <v>1.6494975777978909</v>
      </c>
      <c r="AC52" s="13">
        <f>'TUSD BE'!$AC$52*'TUSD BF'!$AC$78</f>
        <v>0</v>
      </c>
      <c r="AD52" s="13">
        <f>SUM($AC$52:$AC$52)</f>
        <v>0</v>
      </c>
      <c r="AE52" s="13">
        <f ca="1">$AO$52*$AO$75</f>
        <v>0</v>
      </c>
      <c r="AF52" s="13">
        <f ca="1">$AP$52*$AP$75</f>
        <v>0</v>
      </c>
      <c r="AG52" s="13">
        <f ca="1">SUM($AE$52:$AF$52)</f>
        <v>0</v>
      </c>
      <c r="AH52" s="13">
        <f>'TUSD BE'!$AH$52*'TUSD BF'!$AH$78</f>
        <v>-3.3404797203542533</v>
      </c>
      <c r="AI52" s="13">
        <f>'TUSD BE'!$AI$52*'TUSD BF'!$AI$78</f>
        <v>-5.7894131171272345E-2</v>
      </c>
      <c r="AJ52" s="13">
        <f ca="1">'TUSD BE'!$AJ$52*'TUSD BF'!$AJ$78</f>
        <v>-0.23060705638461612</v>
      </c>
      <c r="AK52" s="13">
        <f ca="1">'TUSD BE'!$AK$52*'TUSD BF'!$AK$78</f>
        <v>0</v>
      </c>
      <c r="AL52" s="13">
        <f ca="1">SUM($AH$52:$AK$52)</f>
        <v>-3.6289809079101416</v>
      </c>
      <c r="AM52" s="13">
        <f ca="1">SUMIF($L$4:$AL$4,"SUBTOTAL",$L$52:$AL$52)</f>
        <v>26.854082490492583</v>
      </c>
      <c r="AO52" s="20">
        <f ca="1">+'TUSD BE'!$T$52+'TUSD BE'!$AB$52+'TUSD BE'!$AD$52+'TUSD BE'!$AL$52</f>
        <v>265.8441844967993</v>
      </c>
      <c r="AP52" s="20">
        <f ca="1">+'TUSD BE'!$T$52+'TUSD BE'!$AB$52+'TUSD BE'!$AD$52+'TUSD BE'!$AL$52</f>
        <v>265.8441844967993</v>
      </c>
    </row>
    <row r="53" spans="1:42" ht="11.25" customHeight="1" x14ac:dyDescent="0.3">
      <c r="A53" s="128"/>
      <c r="B53" s="17" t="s">
        <v>23</v>
      </c>
      <c r="C53" s="17" t="s">
        <v>45</v>
      </c>
      <c r="D53" s="17" t="s">
        <v>25</v>
      </c>
      <c r="E53" s="17" t="s">
        <v>25</v>
      </c>
      <c r="F53" s="17" t="s">
        <v>25</v>
      </c>
      <c r="G53" s="18" t="s">
        <v>84</v>
      </c>
      <c r="H53" s="18" t="s">
        <v>78</v>
      </c>
      <c r="I53" s="18">
        <f>'MERCADO TUSD'!$U$50</f>
        <v>3773.6869999999999</v>
      </c>
      <c r="J53" s="15"/>
      <c r="L53" s="13">
        <f>'TUSD BE'!$L$53*'TUSD BF'!$L$78</f>
        <v>0.46661272494638101</v>
      </c>
      <c r="M53" s="13">
        <f>'TUSD BE'!$M$53*'TUSD BF'!$M$78</f>
        <v>0</v>
      </c>
      <c r="N53" s="13">
        <f ca="1">'TUSD BE'!$N$53*'TUSD BF'!$N$78</f>
        <v>0</v>
      </c>
      <c r="O53" s="13">
        <f>'TUSD BE'!$O$53*'TUSD BF'!$O$78</f>
        <v>0</v>
      </c>
      <c r="P53" s="13">
        <f>'TUSD BE'!$P$53*'TUSD BF'!$P$78</f>
        <v>0</v>
      </c>
      <c r="Q53" s="13">
        <f>'TUSD BE'!$Q$53*'TUSD BF'!$Q$78</f>
        <v>23.11151419862054</v>
      </c>
      <c r="R53" s="13">
        <f>'TUSD BE'!$R$53*'TUSD BF'!$R$78</f>
        <v>5.255438897037914</v>
      </c>
      <c r="S53" s="13">
        <f>'TUSD BE'!$R$53*'TUSD BF'!$S$78</f>
        <v>0</v>
      </c>
      <c r="T53" s="13">
        <f ca="1">SUM($L$53:$S$53)</f>
        <v>28.833565820604832</v>
      </c>
      <c r="U53" s="13">
        <f>'TUSD BE'!$U$53*'TUSD BF'!$U$78</f>
        <v>2.3247890544185212</v>
      </c>
      <c r="V53" s="13">
        <f>'TUSD BE'!$V$53*'TUSD BF'!$V$78</f>
        <v>0.47097144769287874</v>
      </c>
      <c r="W53" s="13">
        <f>'TUSD BE'!$W$53*'TUSD BF'!$W$78</f>
        <v>0</v>
      </c>
      <c r="X53" s="13">
        <f>'TUSD BE'!$X$53*'TUSD BF'!$X$78</f>
        <v>0</v>
      </c>
      <c r="Y53" s="13">
        <f>'TUSD BE'!$Y$53*'TUSD BF'!$Y$78</f>
        <v>0</v>
      </c>
      <c r="Z53" s="13">
        <f>'TUSD BE'!$Z$53*'TUSD BF'!$Z$78</f>
        <v>0</v>
      </c>
      <c r="AA53" s="13">
        <f>'TUSD BE'!$AA$53*'TUSD BF'!$AA$78</f>
        <v>0</v>
      </c>
      <c r="AB53" s="13">
        <f>SUM($U$53:$AA$53)</f>
        <v>2.7957605021114</v>
      </c>
      <c r="AC53" s="13">
        <f>'TUSD BE'!$AC$53*'TUSD BF'!$AC$78</f>
        <v>0</v>
      </c>
      <c r="AD53" s="13">
        <f>SUM($AC$53:$AC$53)</f>
        <v>0</v>
      </c>
      <c r="AE53" s="13">
        <f ca="1">$AO$53*$AO$75</f>
        <v>0</v>
      </c>
      <c r="AF53" s="13">
        <f ca="1">$AP$53*$AP$75</f>
        <v>0</v>
      </c>
      <c r="AG53" s="13">
        <f ca="1">SUM($AE$53:$AF$53)</f>
        <v>0</v>
      </c>
      <c r="AH53" s="13">
        <f>'TUSD BE'!$AH$53*'TUSD BF'!$AH$78</f>
        <v>-3.3404797203542533</v>
      </c>
      <c r="AI53" s="13">
        <f>'TUSD BE'!$AI$53*'TUSD BF'!$AI$78</f>
        <v>-5.7894131171272345E-2</v>
      </c>
      <c r="AJ53" s="13">
        <f ca="1">'TUSD BE'!$AJ$53*'TUSD BF'!$AJ$78</f>
        <v>-0.23060705638461612</v>
      </c>
      <c r="AK53" s="13">
        <f ca="1">'TUSD BE'!$AK$53*'TUSD BF'!$AK$78</f>
        <v>0</v>
      </c>
      <c r="AL53" s="13">
        <f ca="1">SUM($AH$53:$AK$53)</f>
        <v>-3.6289809079101416</v>
      </c>
      <c r="AM53" s="13">
        <f ca="1">SUMIF($L$4:$AL$4,"SUBTOTAL",$L$53:$AL$53)</f>
        <v>28.000345414806091</v>
      </c>
      <c r="AO53" s="20">
        <f ca="1">+'TUSD BE'!$T$53+'TUSD BE'!$AB$53+'TUSD BE'!$AD$53+'TUSD BE'!$AL$53</f>
        <v>356.4462800994238</v>
      </c>
      <c r="AP53" s="20">
        <f ca="1">+'TUSD BE'!$T$53+'TUSD BE'!$AB$53+'TUSD BE'!$AD$53+'TUSD BE'!$AL$53</f>
        <v>356.4462800994238</v>
      </c>
    </row>
    <row r="54" spans="1:42" ht="11.25" customHeight="1" x14ac:dyDescent="0.3">
      <c r="A54" s="128"/>
      <c r="B54" s="128" t="s">
        <v>33</v>
      </c>
      <c r="C54" s="128" t="s">
        <v>45</v>
      </c>
      <c r="D54" s="128" t="s">
        <v>93</v>
      </c>
      <c r="E54" s="128" t="s">
        <v>25</v>
      </c>
      <c r="F54" s="128" t="s">
        <v>25</v>
      </c>
      <c r="G54" s="18" t="s">
        <v>79</v>
      </c>
      <c r="H54" s="18" t="s">
        <v>78</v>
      </c>
      <c r="I54" s="18">
        <f>'MERCADO TUSD'!$U$51</f>
        <v>0</v>
      </c>
      <c r="J54" s="15"/>
      <c r="L54" s="13">
        <f>'TUSD BE'!$L$54*'TUSD BF'!$L$78</f>
        <v>0.46661272494638101</v>
      </c>
      <c r="M54" s="13">
        <f>'TUSD BE'!$M$54*'TUSD BF'!$M$78</f>
        <v>0</v>
      </c>
      <c r="N54" s="13">
        <f ca="1">'TUSD BE'!$N$54*'TUSD BF'!$N$78</f>
        <v>0</v>
      </c>
      <c r="O54" s="13">
        <f>'TUSD BE'!$O$54*'TUSD BF'!$O$78</f>
        <v>0</v>
      </c>
      <c r="P54" s="13">
        <f>'TUSD BE'!$P$54*'TUSD BF'!$P$78</f>
        <v>0</v>
      </c>
      <c r="Q54" s="13">
        <f>'TUSD BE'!$Q$54*'TUSD BF'!$Q$78</f>
        <v>23.11151419862054</v>
      </c>
      <c r="R54" s="13">
        <f>'TUSD BE'!$R$54*'TUSD BF'!$R$78</f>
        <v>5.255438897037914</v>
      </c>
      <c r="S54" s="13">
        <f>'TUSD BE'!$R$54*'TUSD BF'!$S$78</f>
        <v>0</v>
      </c>
      <c r="T54" s="13">
        <f ca="1">SUM($L$54:$S$54)</f>
        <v>28.833565820604832</v>
      </c>
      <c r="U54" s="13">
        <f>'TUSD BE'!$U$54*'TUSD BF'!$U$78</f>
        <v>6.8581323547254849</v>
      </c>
      <c r="V54" s="13">
        <f>'TUSD BE'!$V$54*'TUSD BF'!$V$78</f>
        <v>1.3893648226456659</v>
      </c>
      <c r="W54" s="13">
        <f>'TUSD BE'!$W$54*'TUSD BF'!$W$78</f>
        <v>0</v>
      </c>
      <c r="X54" s="13">
        <f>'TUSD BE'!$X$54*'TUSD BF'!$X$78</f>
        <v>0</v>
      </c>
      <c r="Y54" s="13">
        <f>'TUSD BE'!$Y$54*'TUSD BF'!$Y$78</f>
        <v>0</v>
      </c>
      <c r="Z54" s="13">
        <f>'TUSD BE'!$Z$54*'TUSD BF'!$Z$78</f>
        <v>0</v>
      </c>
      <c r="AA54" s="13">
        <f>'TUSD BE'!$AA$54*'TUSD BF'!$AA$78</f>
        <v>0</v>
      </c>
      <c r="AB54" s="13">
        <f>SUM($U$54:$AA$54)</f>
        <v>8.2474971773711516</v>
      </c>
      <c r="AC54" s="13">
        <f>'TUSD BE'!$AC$54*'TUSD BF'!$AC$78</f>
        <v>0</v>
      </c>
      <c r="AD54" s="13">
        <f>SUM($AC$54:$AC$54)</f>
        <v>0</v>
      </c>
      <c r="AE54" s="13">
        <f ca="1">$AO$54*$AO$75</f>
        <v>0</v>
      </c>
      <c r="AF54" s="13">
        <f ca="1">$AP$54*$AP$75</f>
        <v>0</v>
      </c>
      <c r="AG54" s="13">
        <f ca="1">SUM($AE$54:$AF$54)</f>
        <v>0</v>
      </c>
      <c r="AH54" s="13">
        <f>'TUSD BE'!$AH$54*'TUSD BF'!$AH$78</f>
        <v>-3.3404797203542533</v>
      </c>
      <c r="AI54" s="13">
        <f>'TUSD BE'!$AI$54*'TUSD BF'!$AI$78</f>
        <v>-5.7894131171272345E-2</v>
      </c>
      <c r="AJ54" s="13">
        <f ca="1">'TUSD BE'!$AJ$54*'TUSD BF'!$AJ$78</f>
        <v>-0.23060705638461612</v>
      </c>
      <c r="AK54" s="13">
        <f ca="1">'TUSD BE'!$AK$54*'TUSD BF'!$AK$78</f>
        <v>0</v>
      </c>
      <c r="AL54" s="13">
        <f ca="1">SUM($AH$54:$AK$54)</f>
        <v>-3.6289809079101416</v>
      </c>
      <c r="AM54" s="13">
        <f ca="1">SUMIF($L$4:$AL$4,"SUBTOTAL",$L$54:$AL$54)</f>
        <v>33.452082090065844</v>
      </c>
      <c r="AO54" s="20">
        <f ca="1">+'TUSD BE'!$T$54+'TUSD BE'!$AB$54+'TUSD BE'!$AD$54+'TUSD BE'!$AL$54</f>
        <v>787.35865020901031</v>
      </c>
      <c r="AP54" s="20">
        <f ca="1">+'TUSD BE'!$T$54+'TUSD BE'!$AB$54+'TUSD BE'!$AD$54+'TUSD BE'!$AL$54</f>
        <v>787.35865020901031</v>
      </c>
    </row>
    <row r="55" spans="1:42" ht="11.25" customHeight="1" x14ac:dyDescent="0.3">
      <c r="A55" s="128"/>
      <c r="B55" s="128"/>
      <c r="C55" s="128"/>
      <c r="D55" s="128"/>
      <c r="E55" s="128"/>
      <c r="F55" s="128"/>
      <c r="G55" s="18" t="s">
        <v>90</v>
      </c>
      <c r="H55" s="18" t="s">
        <v>78</v>
      </c>
      <c r="I55" s="18">
        <f>'MERCADO TUSD'!$U$52</f>
        <v>0</v>
      </c>
      <c r="J55" s="15"/>
      <c r="L55" s="13">
        <f>'TUSD BE'!$L$55*'TUSD BF'!$L$78</f>
        <v>0.46661272494638101</v>
      </c>
      <c r="M55" s="13">
        <f>'TUSD BE'!$M$55*'TUSD BF'!$M$78</f>
        <v>0</v>
      </c>
      <c r="N55" s="13">
        <f ca="1">'TUSD BE'!$N$55*'TUSD BF'!$N$78</f>
        <v>0</v>
      </c>
      <c r="O55" s="13">
        <f>'TUSD BE'!$O$55*'TUSD BF'!$O$78</f>
        <v>0</v>
      </c>
      <c r="P55" s="13">
        <f>'TUSD BE'!$P$55*'TUSD BF'!$P$78</f>
        <v>0</v>
      </c>
      <c r="Q55" s="13">
        <f>'TUSD BE'!$Q$55*'TUSD BF'!$Q$78</f>
        <v>23.11151419862054</v>
      </c>
      <c r="R55" s="13">
        <f>'TUSD BE'!$R$55*'TUSD BF'!$R$78</f>
        <v>5.255438897037914</v>
      </c>
      <c r="S55" s="13">
        <f>'TUSD BE'!$R$55*'TUSD BF'!$S$78</f>
        <v>0</v>
      </c>
      <c r="T55" s="13">
        <f ca="1">SUM($L$55:$S$55)</f>
        <v>28.833565820604832</v>
      </c>
      <c r="U55" s="13">
        <f>'TUSD BE'!$U$55*'TUSD BF'!$U$78</f>
        <v>4.1148831281879685</v>
      </c>
      <c r="V55" s="13">
        <f>'TUSD BE'!$V$55*'TUSD BF'!$V$78</f>
        <v>0.8336188935873996</v>
      </c>
      <c r="W55" s="13">
        <f>'TUSD BE'!$W$55*'TUSD BF'!$W$78</f>
        <v>0</v>
      </c>
      <c r="X55" s="13">
        <f>'TUSD BE'!$X$55*'TUSD BF'!$X$78</f>
        <v>0</v>
      </c>
      <c r="Y55" s="13">
        <f>'TUSD BE'!$Y$55*'TUSD BF'!$Y$78</f>
        <v>0</v>
      </c>
      <c r="Z55" s="13">
        <f>'TUSD BE'!$Z$55*'TUSD BF'!$Z$78</f>
        <v>0</v>
      </c>
      <c r="AA55" s="13">
        <f>'TUSD BE'!$AA$55*'TUSD BF'!$AA$78</f>
        <v>0</v>
      </c>
      <c r="AB55" s="13">
        <f>SUM($U$55:$AA$55)</f>
        <v>4.9485020217753686</v>
      </c>
      <c r="AC55" s="13">
        <f>'TUSD BE'!$AC$55*'TUSD BF'!$AC$78</f>
        <v>0</v>
      </c>
      <c r="AD55" s="13">
        <f>SUM($AC$55:$AC$55)</f>
        <v>0</v>
      </c>
      <c r="AE55" s="13">
        <f ca="1">$AO$55*$AO$75</f>
        <v>0</v>
      </c>
      <c r="AF55" s="13">
        <f ca="1">$AP$55*$AP$75</f>
        <v>0</v>
      </c>
      <c r="AG55" s="13">
        <f ca="1">SUM($AE$55:$AF$55)</f>
        <v>0</v>
      </c>
      <c r="AH55" s="13">
        <f>'TUSD BE'!$AH$55*'TUSD BF'!$AH$78</f>
        <v>-3.3404797203542533</v>
      </c>
      <c r="AI55" s="13">
        <f>'TUSD BE'!$AI$55*'TUSD BF'!$AI$78</f>
        <v>-5.7894131171272345E-2</v>
      </c>
      <c r="AJ55" s="13">
        <f ca="1">'TUSD BE'!$AJ$55*'TUSD BF'!$AJ$78</f>
        <v>-0.23060705638461612</v>
      </c>
      <c r="AK55" s="13">
        <f ca="1">'TUSD BE'!$AK$55*'TUSD BF'!$AK$78</f>
        <v>0</v>
      </c>
      <c r="AL55" s="13">
        <f ca="1">SUM($AH$55:$AK$55)</f>
        <v>-3.6289809079101416</v>
      </c>
      <c r="AM55" s="13">
        <f ca="1">SUMIF($L$4:$AL$4,"SUBTOTAL",$L$55:$AL$55)</f>
        <v>30.15308693447006</v>
      </c>
      <c r="AO55" s="20">
        <f ca="1">+'TUSD BE'!$T$55+'TUSD BE'!$AB$55+'TUSD BE'!$AD$55+'TUSD BE'!$AL$55</f>
        <v>526.60136775230944</v>
      </c>
      <c r="AP55" s="20">
        <f ca="1">+'TUSD BE'!$T$55+'TUSD BE'!$AB$55+'TUSD BE'!$AD$55+'TUSD BE'!$AL$55</f>
        <v>526.60136775230944</v>
      </c>
    </row>
    <row r="56" spans="1:42" ht="11.25" customHeight="1" x14ac:dyDescent="0.3">
      <c r="A56" s="128"/>
      <c r="B56" s="128"/>
      <c r="C56" s="128"/>
      <c r="D56" s="128"/>
      <c r="E56" s="128"/>
      <c r="F56" s="128"/>
      <c r="G56" s="18" t="s">
        <v>80</v>
      </c>
      <c r="H56" s="18" t="s">
        <v>78</v>
      </c>
      <c r="I56" s="18">
        <f>'MERCADO TUSD'!$U$53</f>
        <v>0</v>
      </c>
      <c r="J56" s="15"/>
      <c r="L56" s="13">
        <f>'TUSD BE'!$L$56*'TUSD BF'!$L$78</f>
        <v>0.46661272494638101</v>
      </c>
      <c r="M56" s="13">
        <f>'TUSD BE'!$M$56*'TUSD BF'!$M$78</f>
        <v>0</v>
      </c>
      <c r="N56" s="13">
        <f ca="1">'TUSD BE'!$N$56*'TUSD BF'!$N$78</f>
        <v>0</v>
      </c>
      <c r="O56" s="13">
        <f>'TUSD BE'!$O$56*'TUSD BF'!$O$78</f>
        <v>0</v>
      </c>
      <c r="P56" s="13">
        <f>'TUSD BE'!$P$56*'TUSD BF'!$P$78</f>
        <v>0</v>
      </c>
      <c r="Q56" s="13">
        <f>'TUSD BE'!$Q$56*'TUSD BF'!$Q$78</f>
        <v>23.11151419862054</v>
      </c>
      <c r="R56" s="13">
        <f>'TUSD BE'!$R$56*'TUSD BF'!$R$78</f>
        <v>5.255438897037914</v>
      </c>
      <c r="S56" s="13">
        <f>'TUSD BE'!$R$56*'TUSD BF'!$S$78</f>
        <v>0</v>
      </c>
      <c r="T56" s="13">
        <f ca="1">SUM($L$56:$S$56)</f>
        <v>28.833565820604832</v>
      </c>
      <c r="U56" s="13">
        <f>'TUSD BE'!$U$56*'TUSD BF'!$U$78</f>
        <v>1.3716246132687577</v>
      </c>
      <c r="V56" s="13">
        <f>'TUSD BE'!$V$56*'TUSD BF'!$V$78</f>
        <v>0.27787296452913313</v>
      </c>
      <c r="W56" s="13">
        <f>'TUSD BE'!$W$56*'TUSD BF'!$W$78</f>
        <v>0</v>
      </c>
      <c r="X56" s="13">
        <f>'TUSD BE'!$X$56*'TUSD BF'!$X$78</f>
        <v>0</v>
      </c>
      <c r="Y56" s="13">
        <f>'TUSD BE'!$Y$56*'TUSD BF'!$Y$78</f>
        <v>0</v>
      </c>
      <c r="Z56" s="13">
        <f>'TUSD BE'!$Z$56*'TUSD BF'!$Z$78</f>
        <v>0</v>
      </c>
      <c r="AA56" s="13">
        <f>'TUSD BE'!$AA$56*'TUSD BF'!$AA$78</f>
        <v>0</v>
      </c>
      <c r="AB56" s="13">
        <f>SUM($U$56:$AA$56)</f>
        <v>1.6494975777978909</v>
      </c>
      <c r="AC56" s="13">
        <f>'TUSD BE'!$AC$56*'TUSD BF'!$AC$78</f>
        <v>0</v>
      </c>
      <c r="AD56" s="13">
        <f>SUM($AC$56:$AC$56)</f>
        <v>0</v>
      </c>
      <c r="AE56" s="13">
        <f ca="1">$AO$56*$AO$75</f>
        <v>0</v>
      </c>
      <c r="AF56" s="13">
        <f ca="1">$AP$56*$AP$75</f>
        <v>0</v>
      </c>
      <c r="AG56" s="13">
        <f ca="1">SUM($AE$56:$AF$56)</f>
        <v>0</v>
      </c>
      <c r="AH56" s="13">
        <f>'TUSD BE'!$AH$56*'TUSD BF'!$AH$78</f>
        <v>-3.3404797203542533</v>
      </c>
      <c r="AI56" s="13">
        <f>'TUSD BE'!$AI$56*'TUSD BF'!$AI$78</f>
        <v>-5.7894131171272345E-2</v>
      </c>
      <c r="AJ56" s="13">
        <f ca="1">'TUSD BE'!$AJ$56*'TUSD BF'!$AJ$78</f>
        <v>-0.23060705638461612</v>
      </c>
      <c r="AK56" s="13">
        <f ca="1">'TUSD BE'!$AK$56*'TUSD BF'!$AK$78</f>
        <v>0</v>
      </c>
      <c r="AL56" s="13">
        <f ca="1">SUM($AH$56:$AK$56)</f>
        <v>-3.6289809079101416</v>
      </c>
      <c r="AM56" s="13">
        <f ca="1">SUMIF($L$4:$AL$4,"SUBTOTAL",$L$56:$AL$56)</f>
        <v>26.854082490492583</v>
      </c>
      <c r="AO56" s="20">
        <f ca="1">+'TUSD BE'!$T$56+'TUSD BE'!$AB$56+'TUSD BE'!$AD$56+'TUSD BE'!$AL$56</f>
        <v>265.8441844967993</v>
      </c>
      <c r="AP56" s="20">
        <f ca="1">+'TUSD BE'!$T$56+'TUSD BE'!$AB$56+'TUSD BE'!$AD$56+'TUSD BE'!$AL$56</f>
        <v>265.8441844967993</v>
      </c>
    </row>
    <row r="57" spans="1:42" ht="11.25" customHeight="1" x14ac:dyDescent="0.3">
      <c r="A57" s="128"/>
      <c r="B57" s="17" t="s">
        <v>23</v>
      </c>
      <c r="C57" s="17" t="s">
        <v>45</v>
      </c>
      <c r="D57" s="17" t="s">
        <v>93</v>
      </c>
      <c r="E57" s="17" t="s">
        <v>25</v>
      </c>
      <c r="F57" s="17" t="s">
        <v>25</v>
      </c>
      <c r="G57" s="18" t="s">
        <v>84</v>
      </c>
      <c r="H57" s="18" t="s">
        <v>78</v>
      </c>
      <c r="I57" s="18">
        <f>'MERCADO TUSD'!$U$54</f>
        <v>0</v>
      </c>
      <c r="J57" s="15"/>
      <c r="L57" s="13">
        <f>'TUSD BE'!$L$57*'TUSD BF'!$L$78</f>
        <v>0.46661272494638101</v>
      </c>
      <c r="M57" s="13">
        <f>'TUSD BE'!$M$57*'TUSD BF'!$M$78</f>
        <v>0</v>
      </c>
      <c r="N57" s="13">
        <f ca="1">'TUSD BE'!$N$57*'TUSD BF'!$N$78</f>
        <v>0</v>
      </c>
      <c r="O57" s="13">
        <f>'TUSD BE'!$O$57*'TUSD BF'!$O$78</f>
        <v>0</v>
      </c>
      <c r="P57" s="13">
        <f>'TUSD BE'!$P$57*'TUSD BF'!$P$78</f>
        <v>0</v>
      </c>
      <c r="Q57" s="13">
        <f>'TUSD BE'!$Q$57*'TUSD BF'!$Q$78</f>
        <v>23.11151419862054</v>
      </c>
      <c r="R57" s="13">
        <f>'TUSD BE'!$R$57*'TUSD BF'!$R$78</f>
        <v>5.255438897037914</v>
      </c>
      <c r="S57" s="13">
        <f>'TUSD BE'!$R$57*'TUSD BF'!$S$78</f>
        <v>0</v>
      </c>
      <c r="T57" s="13">
        <f ca="1">SUM($L$57:$S$57)</f>
        <v>28.833565820604832</v>
      </c>
      <c r="U57" s="13">
        <f>'TUSD BE'!$U$57*'TUSD BF'!$U$78</f>
        <v>2.3247890544185212</v>
      </c>
      <c r="V57" s="13">
        <f>'TUSD BE'!$V$57*'TUSD BF'!$V$78</f>
        <v>0.47097144769287874</v>
      </c>
      <c r="W57" s="13">
        <f>'TUSD BE'!$W$57*'TUSD BF'!$W$78</f>
        <v>0</v>
      </c>
      <c r="X57" s="13">
        <f>'TUSD BE'!$X$57*'TUSD BF'!$X$78</f>
        <v>0</v>
      </c>
      <c r="Y57" s="13">
        <f>'TUSD BE'!$Y$57*'TUSD BF'!$Y$78</f>
        <v>0</v>
      </c>
      <c r="Z57" s="13">
        <f>'TUSD BE'!$Z$57*'TUSD BF'!$Z$78</f>
        <v>0</v>
      </c>
      <c r="AA57" s="13">
        <f>'TUSD BE'!$AA$57*'TUSD BF'!$AA$78</f>
        <v>0</v>
      </c>
      <c r="AB57" s="13">
        <f>SUM($U$57:$AA$57)</f>
        <v>2.7957605021114</v>
      </c>
      <c r="AC57" s="13">
        <f>'TUSD BE'!$AC$57*'TUSD BF'!$AC$78</f>
        <v>0</v>
      </c>
      <c r="AD57" s="13">
        <f>SUM($AC$57:$AC$57)</f>
        <v>0</v>
      </c>
      <c r="AE57" s="13">
        <f ca="1">$AO$57*$AO$75</f>
        <v>0</v>
      </c>
      <c r="AF57" s="13">
        <f ca="1">$AP$57*$AP$75</f>
        <v>0</v>
      </c>
      <c r="AG57" s="13">
        <f ca="1">SUM($AE$57:$AF$57)</f>
        <v>0</v>
      </c>
      <c r="AH57" s="13">
        <f>'TUSD BE'!$AH$57*'TUSD BF'!$AH$78</f>
        <v>-3.3404797203542533</v>
      </c>
      <c r="AI57" s="13">
        <f>'TUSD BE'!$AI$57*'TUSD BF'!$AI$78</f>
        <v>-5.7894131171272345E-2</v>
      </c>
      <c r="AJ57" s="13">
        <f ca="1">'TUSD BE'!$AJ$57*'TUSD BF'!$AJ$78</f>
        <v>-0.23060705638461612</v>
      </c>
      <c r="AK57" s="13">
        <f ca="1">'TUSD BE'!$AK$57*'TUSD BF'!$AK$78</f>
        <v>0</v>
      </c>
      <c r="AL57" s="13">
        <f ca="1">SUM($AH$57:$AK$57)</f>
        <v>-3.6289809079101416</v>
      </c>
      <c r="AM57" s="13">
        <f ca="1">SUMIF($L$4:$AL$4,"SUBTOTAL",$L$57:$AL$57)</f>
        <v>28.000345414806091</v>
      </c>
      <c r="AO57" s="20">
        <f ca="1">+'TUSD BE'!$T$57+'TUSD BE'!$AB$57+'TUSD BE'!$AD$57+'TUSD BE'!$AL$57</f>
        <v>356.4462800994238</v>
      </c>
      <c r="AP57" s="20">
        <f ca="1">+'TUSD BE'!$T$57+'TUSD BE'!$AB$57+'TUSD BE'!$AD$57+'TUSD BE'!$AL$57</f>
        <v>356.4462800994238</v>
      </c>
    </row>
    <row r="58" spans="1:42" ht="11.25" customHeight="1" x14ac:dyDescent="0.3">
      <c r="A58" s="128"/>
      <c r="B58" s="128" t="s">
        <v>33</v>
      </c>
      <c r="C58" s="128" t="s">
        <v>45</v>
      </c>
      <c r="D58" s="128" t="s">
        <v>94</v>
      </c>
      <c r="E58" s="128" t="s">
        <v>25</v>
      </c>
      <c r="F58" s="128" t="s">
        <v>25</v>
      </c>
      <c r="G58" s="18" t="s">
        <v>79</v>
      </c>
      <c r="H58" s="18" t="s">
        <v>78</v>
      </c>
      <c r="I58" s="18">
        <f>'MERCADO TUSD'!$U$55</f>
        <v>0</v>
      </c>
      <c r="J58" s="15"/>
      <c r="L58" s="13">
        <f>'TUSD BE'!$L$58*'TUSD BF'!$L$78</f>
        <v>0.46661272494638101</v>
      </c>
      <c r="M58" s="13">
        <f>'TUSD BE'!$M$58*'TUSD BF'!$M$78</f>
        <v>0</v>
      </c>
      <c r="N58" s="13">
        <f ca="1">'TUSD BE'!$N$58*'TUSD BF'!$N$78</f>
        <v>0</v>
      </c>
      <c r="O58" s="13">
        <f>'TUSD BE'!$O$58*'TUSD BF'!$O$78</f>
        <v>0</v>
      </c>
      <c r="P58" s="13">
        <f>'TUSD BE'!$P$58*'TUSD BF'!$P$78</f>
        <v>0</v>
      </c>
      <c r="Q58" s="13">
        <f>'TUSD BE'!$Q$58*'TUSD BF'!$Q$78</f>
        <v>23.11151419862054</v>
      </c>
      <c r="R58" s="13">
        <f>'TUSD BE'!$R$58*'TUSD BF'!$R$78</f>
        <v>5.255438897037914</v>
      </c>
      <c r="S58" s="13">
        <f>'TUSD BE'!$R$58*'TUSD BF'!$S$78</f>
        <v>0</v>
      </c>
      <c r="T58" s="13">
        <f ca="1">SUM($L$58:$S$58)</f>
        <v>28.833565820604832</v>
      </c>
      <c r="U58" s="13">
        <f>'TUSD BE'!$U$58*'TUSD BF'!$U$78</f>
        <v>6.8581323547254849</v>
      </c>
      <c r="V58" s="13">
        <f>'TUSD BE'!$V$58*'TUSD BF'!$V$78</f>
        <v>1.3893648226456659</v>
      </c>
      <c r="W58" s="13">
        <f>'TUSD BE'!$W$58*'TUSD BF'!$W$78</f>
        <v>0</v>
      </c>
      <c r="X58" s="13">
        <f>'TUSD BE'!$X$58*'TUSD BF'!$X$78</f>
        <v>0</v>
      </c>
      <c r="Y58" s="13">
        <f>'TUSD BE'!$Y$58*'TUSD BF'!$Y$78</f>
        <v>0</v>
      </c>
      <c r="Z58" s="13">
        <f>'TUSD BE'!$Z$58*'TUSD BF'!$Z$78</f>
        <v>0</v>
      </c>
      <c r="AA58" s="13">
        <f>'TUSD BE'!$AA$58*'TUSD BF'!$AA$78</f>
        <v>0</v>
      </c>
      <c r="AB58" s="13">
        <f>SUM($U$58:$AA$58)</f>
        <v>8.2474971773711516</v>
      </c>
      <c r="AC58" s="13">
        <f>'TUSD BE'!$AC$58*'TUSD BF'!$AC$78</f>
        <v>0</v>
      </c>
      <c r="AD58" s="13">
        <f>SUM($AC$58:$AC$58)</f>
        <v>0</v>
      </c>
      <c r="AE58" s="13">
        <f ca="1">$AO$58*$AO$75</f>
        <v>0</v>
      </c>
      <c r="AF58" s="13">
        <f ca="1">$AP$58*$AP$75</f>
        <v>0</v>
      </c>
      <c r="AG58" s="13">
        <f ca="1">SUM($AE$58:$AF$58)</f>
        <v>0</v>
      </c>
      <c r="AH58" s="13">
        <f>'TUSD BE'!$AH$58*'TUSD BF'!$AH$78</f>
        <v>-3.3404797203542533</v>
      </c>
      <c r="AI58" s="13">
        <f>'TUSD BE'!$AI$58*'TUSD BF'!$AI$78</f>
        <v>-5.7894131171272345E-2</v>
      </c>
      <c r="AJ58" s="13">
        <f ca="1">'TUSD BE'!$AJ$58*'TUSD BF'!$AJ$78</f>
        <v>-0.23060705638461612</v>
      </c>
      <c r="AK58" s="13">
        <f ca="1">'TUSD BE'!$AK$58*'TUSD BF'!$AK$78</f>
        <v>0</v>
      </c>
      <c r="AL58" s="13">
        <f ca="1">SUM($AH$58:$AK$58)</f>
        <v>-3.6289809079101416</v>
      </c>
      <c r="AM58" s="13">
        <f ca="1">SUMIF($L$4:$AL$4,"SUBTOTAL",$L$58:$AL$58)</f>
        <v>33.452082090065844</v>
      </c>
      <c r="AO58" s="20">
        <f ca="1">+'TUSD BE'!$T$58+'TUSD BE'!$AB$58+'TUSD BE'!$AD$58+'TUSD BE'!$AL$58</f>
        <v>787.35865020901031</v>
      </c>
      <c r="AP58" s="20">
        <f ca="1">+'TUSD BE'!$T$58+'TUSD BE'!$AB$58+'TUSD BE'!$AD$58+'TUSD BE'!$AL$58</f>
        <v>787.35865020901031</v>
      </c>
    </row>
    <row r="59" spans="1:42" ht="11.25" customHeight="1" x14ac:dyDescent="0.3">
      <c r="A59" s="128"/>
      <c r="B59" s="128"/>
      <c r="C59" s="128"/>
      <c r="D59" s="128"/>
      <c r="E59" s="128"/>
      <c r="F59" s="128"/>
      <c r="G59" s="18" t="s">
        <v>90</v>
      </c>
      <c r="H59" s="18" t="s">
        <v>78</v>
      </c>
      <c r="I59" s="18">
        <f>'MERCADO TUSD'!$U$56</f>
        <v>0</v>
      </c>
      <c r="J59" s="15"/>
      <c r="L59" s="13">
        <f>'TUSD BE'!$L$59*'TUSD BF'!$L$78</f>
        <v>0.46661272494638101</v>
      </c>
      <c r="M59" s="13">
        <f>'TUSD BE'!$M$59*'TUSD BF'!$M$78</f>
        <v>0</v>
      </c>
      <c r="N59" s="13">
        <f ca="1">'TUSD BE'!$N$59*'TUSD BF'!$N$78</f>
        <v>0</v>
      </c>
      <c r="O59" s="13">
        <f>'TUSD BE'!$O$59*'TUSD BF'!$O$78</f>
        <v>0</v>
      </c>
      <c r="P59" s="13">
        <f>'TUSD BE'!$P$59*'TUSD BF'!$P$78</f>
        <v>0</v>
      </c>
      <c r="Q59" s="13">
        <f>'TUSD BE'!$Q$59*'TUSD BF'!$Q$78</f>
        <v>23.11151419862054</v>
      </c>
      <c r="R59" s="13">
        <f>'TUSD BE'!$R$59*'TUSD BF'!$R$78</f>
        <v>5.255438897037914</v>
      </c>
      <c r="S59" s="13">
        <f>'TUSD BE'!$R$59*'TUSD BF'!$S$78</f>
        <v>0</v>
      </c>
      <c r="T59" s="13">
        <f ca="1">SUM($L$59:$S$59)</f>
        <v>28.833565820604832</v>
      </c>
      <c r="U59" s="13">
        <f>'TUSD BE'!$U$59*'TUSD BF'!$U$78</f>
        <v>4.1148831281879685</v>
      </c>
      <c r="V59" s="13">
        <f>'TUSD BE'!$V$59*'TUSD BF'!$V$78</f>
        <v>0.8336188935873996</v>
      </c>
      <c r="W59" s="13">
        <f>'TUSD BE'!$W$59*'TUSD BF'!$W$78</f>
        <v>0</v>
      </c>
      <c r="X59" s="13">
        <f>'TUSD BE'!$X$59*'TUSD BF'!$X$78</f>
        <v>0</v>
      </c>
      <c r="Y59" s="13">
        <f>'TUSD BE'!$Y$59*'TUSD BF'!$Y$78</f>
        <v>0</v>
      </c>
      <c r="Z59" s="13">
        <f>'TUSD BE'!$Z$59*'TUSD BF'!$Z$78</f>
        <v>0</v>
      </c>
      <c r="AA59" s="13">
        <f>'TUSD BE'!$AA$59*'TUSD BF'!$AA$78</f>
        <v>0</v>
      </c>
      <c r="AB59" s="13">
        <f>SUM($U$59:$AA$59)</f>
        <v>4.9485020217753686</v>
      </c>
      <c r="AC59" s="13">
        <f>'TUSD BE'!$AC$59*'TUSD BF'!$AC$78</f>
        <v>0</v>
      </c>
      <c r="AD59" s="13">
        <f>SUM($AC$59:$AC$59)</f>
        <v>0</v>
      </c>
      <c r="AE59" s="13">
        <f ca="1">$AO$59*$AO$75</f>
        <v>0</v>
      </c>
      <c r="AF59" s="13">
        <f ca="1">$AP$59*$AP$75</f>
        <v>0</v>
      </c>
      <c r="AG59" s="13">
        <f ca="1">SUM($AE$59:$AF$59)</f>
        <v>0</v>
      </c>
      <c r="AH59" s="13">
        <f>'TUSD BE'!$AH$59*'TUSD BF'!$AH$78</f>
        <v>-3.3404797203542533</v>
      </c>
      <c r="AI59" s="13">
        <f>'TUSD BE'!$AI$59*'TUSD BF'!$AI$78</f>
        <v>-5.7894131171272345E-2</v>
      </c>
      <c r="AJ59" s="13">
        <f ca="1">'TUSD BE'!$AJ$59*'TUSD BF'!$AJ$78</f>
        <v>-0.23060705638461612</v>
      </c>
      <c r="AK59" s="13">
        <f ca="1">'TUSD BE'!$AK$59*'TUSD BF'!$AK$78</f>
        <v>0</v>
      </c>
      <c r="AL59" s="13">
        <f ca="1">SUM($AH$59:$AK$59)</f>
        <v>-3.6289809079101416</v>
      </c>
      <c r="AM59" s="13">
        <f ca="1">SUMIF($L$4:$AL$4,"SUBTOTAL",$L$59:$AL$59)</f>
        <v>30.15308693447006</v>
      </c>
      <c r="AO59" s="20">
        <f ca="1">+'TUSD BE'!$T$59+'TUSD BE'!$AB$59+'TUSD BE'!$AD$59+'TUSD BE'!$AL$59</f>
        <v>526.60136775230944</v>
      </c>
      <c r="AP59" s="20">
        <f ca="1">+'TUSD BE'!$T$59+'TUSD BE'!$AB$59+'TUSD BE'!$AD$59+'TUSD BE'!$AL$59</f>
        <v>526.60136775230944</v>
      </c>
    </row>
    <row r="60" spans="1:42" ht="11.25" customHeight="1" x14ac:dyDescent="0.3">
      <c r="A60" s="128"/>
      <c r="B60" s="128"/>
      <c r="C60" s="128"/>
      <c r="D60" s="128"/>
      <c r="E60" s="128"/>
      <c r="F60" s="128"/>
      <c r="G60" s="18" t="s">
        <v>80</v>
      </c>
      <c r="H60" s="18" t="s">
        <v>78</v>
      </c>
      <c r="I60" s="18">
        <f>'MERCADO TUSD'!$U$57</f>
        <v>0</v>
      </c>
      <c r="J60" s="15"/>
      <c r="L60" s="13">
        <f>'TUSD BE'!$L$60*'TUSD BF'!$L$78</f>
        <v>0.46661272494638101</v>
      </c>
      <c r="M60" s="13">
        <f>'TUSD BE'!$M$60*'TUSD BF'!$M$78</f>
        <v>0</v>
      </c>
      <c r="N60" s="13">
        <f ca="1">'TUSD BE'!$N$60*'TUSD BF'!$N$78</f>
        <v>0</v>
      </c>
      <c r="O60" s="13">
        <f>'TUSD BE'!$O$60*'TUSD BF'!$O$78</f>
        <v>0</v>
      </c>
      <c r="P60" s="13">
        <f>'TUSD BE'!$P$60*'TUSD BF'!$P$78</f>
        <v>0</v>
      </c>
      <c r="Q60" s="13">
        <f>'TUSD BE'!$Q$60*'TUSD BF'!$Q$78</f>
        <v>23.11151419862054</v>
      </c>
      <c r="R60" s="13">
        <f>'TUSD BE'!$R$60*'TUSD BF'!$R$78</f>
        <v>5.255438897037914</v>
      </c>
      <c r="S60" s="13">
        <f>'TUSD BE'!$R$60*'TUSD BF'!$S$78</f>
        <v>0</v>
      </c>
      <c r="T60" s="13">
        <f ca="1">SUM($L$60:$S$60)</f>
        <v>28.833565820604832</v>
      </c>
      <c r="U60" s="13">
        <f>'TUSD BE'!$U$60*'TUSD BF'!$U$78</f>
        <v>1.3716246132687577</v>
      </c>
      <c r="V60" s="13">
        <f>'TUSD BE'!$V$60*'TUSD BF'!$V$78</f>
        <v>0.27787296452913313</v>
      </c>
      <c r="W60" s="13">
        <f>'TUSD BE'!$W$60*'TUSD BF'!$W$78</f>
        <v>0</v>
      </c>
      <c r="X60" s="13">
        <f>'TUSD BE'!$X$60*'TUSD BF'!$X$78</f>
        <v>0</v>
      </c>
      <c r="Y60" s="13">
        <f>'TUSD BE'!$Y$60*'TUSD BF'!$Y$78</f>
        <v>0</v>
      </c>
      <c r="Z60" s="13">
        <f>'TUSD BE'!$Z$60*'TUSD BF'!$Z$78</f>
        <v>0</v>
      </c>
      <c r="AA60" s="13">
        <f>'TUSD BE'!$AA$60*'TUSD BF'!$AA$78</f>
        <v>0</v>
      </c>
      <c r="AB60" s="13">
        <f>SUM($U$60:$AA$60)</f>
        <v>1.6494975777978909</v>
      </c>
      <c r="AC60" s="13">
        <f>'TUSD BE'!$AC$60*'TUSD BF'!$AC$78</f>
        <v>0</v>
      </c>
      <c r="AD60" s="13">
        <f>SUM($AC$60:$AC$60)</f>
        <v>0</v>
      </c>
      <c r="AE60" s="13">
        <f ca="1">$AO$60*$AO$75</f>
        <v>0</v>
      </c>
      <c r="AF60" s="13">
        <f ca="1">$AP$60*$AP$75</f>
        <v>0</v>
      </c>
      <c r="AG60" s="13">
        <f ca="1">SUM($AE$60:$AF$60)</f>
        <v>0</v>
      </c>
      <c r="AH60" s="13">
        <f>'TUSD BE'!$AH$60*'TUSD BF'!$AH$78</f>
        <v>-3.3404797203542533</v>
      </c>
      <c r="AI60" s="13">
        <f>'TUSD BE'!$AI$60*'TUSD BF'!$AI$78</f>
        <v>-5.7894131171272345E-2</v>
      </c>
      <c r="AJ60" s="13">
        <f ca="1">'TUSD BE'!$AJ$60*'TUSD BF'!$AJ$78</f>
        <v>-0.23060705638461612</v>
      </c>
      <c r="AK60" s="13">
        <f ca="1">'TUSD BE'!$AK$60*'TUSD BF'!$AK$78</f>
        <v>0</v>
      </c>
      <c r="AL60" s="13">
        <f ca="1">SUM($AH$60:$AK$60)</f>
        <v>-3.6289809079101416</v>
      </c>
      <c r="AM60" s="13">
        <f ca="1">SUMIF($L$4:$AL$4,"SUBTOTAL",$L$60:$AL$60)</f>
        <v>26.854082490492583</v>
      </c>
      <c r="AO60" s="20">
        <f ca="1">+'TUSD BE'!$T$60+'TUSD BE'!$AB$60+'TUSD BE'!$AD$60+'TUSD BE'!$AL$60</f>
        <v>265.8441844967993</v>
      </c>
      <c r="AP60" s="20">
        <f ca="1">+'TUSD BE'!$T$60+'TUSD BE'!$AB$60+'TUSD BE'!$AD$60+'TUSD BE'!$AL$60</f>
        <v>265.8441844967993</v>
      </c>
    </row>
    <row r="61" spans="1:42" ht="11.25" customHeight="1" x14ac:dyDescent="0.3">
      <c r="A61" s="128"/>
      <c r="B61" s="17" t="s">
        <v>23</v>
      </c>
      <c r="C61" s="17" t="s">
        <v>45</v>
      </c>
      <c r="D61" s="17" t="s">
        <v>94</v>
      </c>
      <c r="E61" s="17" t="s">
        <v>25</v>
      </c>
      <c r="F61" s="17" t="s">
        <v>25</v>
      </c>
      <c r="G61" s="18" t="s">
        <v>84</v>
      </c>
      <c r="H61" s="18" t="s">
        <v>78</v>
      </c>
      <c r="I61" s="18">
        <f>'MERCADO TUSD'!$U$58</f>
        <v>0</v>
      </c>
      <c r="J61" s="15"/>
      <c r="L61" s="13">
        <f>'TUSD BE'!$L$61*'TUSD BF'!$L$78</f>
        <v>0.46661272494638101</v>
      </c>
      <c r="M61" s="13">
        <f>'TUSD BE'!$M$61*'TUSD BF'!$M$78</f>
        <v>0</v>
      </c>
      <c r="N61" s="13">
        <f ca="1">'TUSD BE'!$N$61*'TUSD BF'!$N$78</f>
        <v>0</v>
      </c>
      <c r="O61" s="13">
        <f>'TUSD BE'!$O$61*'TUSD BF'!$O$78</f>
        <v>0</v>
      </c>
      <c r="P61" s="13">
        <f>'TUSD BE'!$P$61*'TUSD BF'!$P$78</f>
        <v>0</v>
      </c>
      <c r="Q61" s="13">
        <f>'TUSD BE'!$Q$61*'TUSD BF'!$Q$78</f>
        <v>23.11151419862054</v>
      </c>
      <c r="R61" s="13">
        <f>'TUSD BE'!$R$61*'TUSD BF'!$R$78</f>
        <v>5.255438897037914</v>
      </c>
      <c r="S61" s="13">
        <f>'TUSD BE'!$R$61*'TUSD BF'!$S$78</f>
        <v>0</v>
      </c>
      <c r="T61" s="13">
        <f ca="1">SUM($L$61:$S$61)</f>
        <v>28.833565820604832</v>
      </c>
      <c r="U61" s="13">
        <f>'TUSD BE'!$U$61*'TUSD BF'!$U$78</f>
        <v>2.3247890544185212</v>
      </c>
      <c r="V61" s="13">
        <f>'TUSD BE'!$V$61*'TUSD BF'!$V$78</f>
        <v>0.47097144769287874</v>
      </c>
      <c r="W61" s="13">
        <f>'TUSD BE'!$W$61*'TUSD BF'!$W$78</f>
        <v>0</v>
      </c>
      <c r="X61" s="13">
        <f>'TUSD BE'!$X$61*'TUSD BF'!$X$78</f>
        <v>0</v>
      </c>
      <c r="Y61" s="13">
        <f>'TUSD BE'!$Y$61*'TUSD BF'!$Y$78</f>
        <v>0</v>
      </c>
      <c r="Z61" s="13">
        <f>'TUSD BE'!$Z$61*'TUSD BF'!$Z$78</f>
        <v>0</v>
      </c>
      <c r="AA61" s="13">
        <f>'TUSD BE'!$AA$61*'TUSD BF'!$AA$78</f>
        <v>0</v>
      </c>
      <c r="AB61" s="13">
        <f>SUM($U$61:$AA$61)</f>
        <v>2.7957605021114</v>
      </c>
      <c r="AC61" s="13">
        <f>'TUSD BE'!$AC$61*'TUSD BF'!$AC$78</f>
        <v>0</v>
      </c>
      <c r="AD61" s="13">
        <f>SUM($AC$61:$AC$61)</f>
        <v>0</v>
      </c>
      <c r="AE61" s="13">
        <f ca="1">$AO$61*$AO$75</f>
        <v>0</v>
      </c>
      <c r="AF61" s="13">
        <f ca="1">$AP$61*$AP$75</f>
        <v>0</v>
      </c>
      <c r="AG61" s="13">
        <f ca="1">SUM($AE$61:$AF$61)</f>
        <v>0</v>
      </c>
      <c r="AH61" s="13">
        <f>'TUSD BE'!$AH$61*'TUSD BF'!$AH$78</f>
        <v>-3.3404797203542533</v>
      </c>
      <c r="AI61" s="13">
        <f>'TUSD BE'!$AI$61*'TUSD BF'!$AI$78</f>
        <v>-5.7894131171272345E-2</v>
      </c>
      <c r="AJ61" s="13">
        <f ca="1">'TUSD BE'!$AJ$61*'TUSD BF'!$AJ$78</f>
        <v>-0.23060705638461612</v>
      </c>
      <c r="AK61" s="13">
        <f ca="1">'TUSD BE'!$AK$61*'TUSD BF'!$AK$78</f>
        <v>0</v>
      </c>
      <c r="AL61" s="13">
        <f ca="1">SUM($AH$61:$AK$61)</f>
        <v>-3.6289809079101416</v>
      </c>
      <c r="AM61" s="13">
        <f ca="1">SUMIF($L$4:$AL$4,"SUBTOTAL",$L$61:$AL$61)</f>
        <v>28.000345414806091</v>
      </c>
      <c r="AO61" s="20">
        <f ca="1">+'TUSD BE'!$T$61+'TUSD BE'!$AB$61+'TUSD BE'!$AD$61+'TUSD BE'!$AL$61</f>
        <v>356.4462800994238</v>
      </c>
      <c r="AP61" s="20">
        <f ca="1">+'TUSD BE'!$T$61+'TUSD BE'!$AB$61+'TUSD BE'!$AD$61+'TUSD BE'!$AL$61</f>
        <v>356.4462800994238</v>
      </c>
    </row>
    <row r="62" spans="1:42" ht="11.25" customHeight="1" x14ac:dyDescent="0.3">
      <c r="A62" s="128"/>
      <c r="B62" s="128" t="s">
        <v>92</v>
      </c>
      <c r="C62" s="128" t="s">
        <v>45</v>
      </c>
      <c r="D62" s="17" t="s">
        <v>25</v>
      </c>
      <c r="E62" s="17" t="s">
        <v>25</v>
      </c>
      <c r="F62" s="17" t="s">
        <v>25</v>
      </c>
      <c r="G62" s="18" t="s">
        <v>84</v>
      </c>
      <c r="H62" s="18" t="s">
        <v>78</v>
      </c>
      <c r="I62" s="18">
        <f>'MERCADO TUSD'!$U$59</f>
        <v>0</v>
      </c>
      <c r="J62" s="15"/>
      <c r="L62" s="13">
        <f>'TUSD BE'!$L$62*'TUSD BF'!$L$78</f>
        <v>0.46661272494638101</v>
      </c>
      <c r="M62" s="13">
        <f>'TUSD BE'!$M$62*'TUSD BF'!$M$78</f>
        <v>0</v>
      </c>
      <c r="N62" s="13">
        <f ca="1">'TUSD BE'!$N$62*'TUSD BF'!$N$78</f>
        <v>0</v>
      </c>
      <c r="O62" s="13">
        <f>'TUSD BE'!$O$62*'TUSD BF'!$O$78</f>
        <v>0</v>
      </c>
      <c r="P62" s="13">
        <f>'TUSD BE'!$P$62*'TUSD BF'!$P$78</f>
        <v>0</v>
      </c>
      <c r="Q62" s="13">
        <f>'TUSD BE'!$Q$62*'TUSD BF'!$Q$78</f>
        <v>23.11151419862054</v>
      </c>
      <c r="R62" s="13">
        <f>'TUSD BE'!$R$62*'TUSD BF'!$R$78</f>
        <v>5.255438897037914</v>
      </c>
      <c r="S62" s="13">
        <f>'TUSD BE'!$R$62*'TUSD BF'!$S$78</f>
        <v>0</v>
      </c>
      <c r="T62" s="13">
        <f ca="1">SUM($L$62:$S$62)</f>
        <v>28.833565820604832</v>
      </c>
      <c r="U62" s="13">
        <f>'TUSD BE'!$U$62*'TUSD BF'!$U$78</f>
        <v>2.3247890544185212</v>
      </c>
      <c r="V62" s="13">
        <f>'TUSD BE'!$V$62*'TUSD BF'!$V$78</f>
        <v>0.47097144769287874</v>
      </c>
      <c r="W62" s="13">
        <f>'TUSD BE'!$W$62*'TUSD BF'!$W$78</f>
        <v>0</v>
      </c>
      <c r="X62" s="13">
        <f>'TUSD BE'!$X$62*'TUSD BF'!$X$78</f>
        <v>0</v>
      </c>
      <c r="Y62" s="13">
        <f>'TUSD BE'!$Y$62*'TUSD BF'!$Y$78</f>
        <v>0</v>
      </c>
      <c r="Z62" s="13">
        <f>'TUSD BE'!$Z$62*'TUSD BF'!$Z$78</f>
        <v>0</v>
      </c>
      <c r="AA62" s="13">
        <f>'TUSD BE'!$AA$62*'TUSD BF'!$AA$78</f>
        <v>0</v>
      </c>
      <c r="AB62" s="13">
        <f>SUM($U$62:$AA$62)</f>
        <v>2.7957605021114</v>
      </c>
      <c r="AC62" s="13">
        <f>'TUSD BE'!$AC$62*'TUSD BF'!$AC$78</f>
        <v>0</v>
      </c>
      <c r="AD62" s="13">
        <f>SUM($AC$62:$AC$62)</f>
        <v>0</v>
      </c>
      <c r="AE62" s="13">
        <f ca="1">$AO$62*$AO$75</f>
        <v>0</v>
      </c>
      <c r="AF62" s="13">
        <f ca="1">$AP$62*$AP$75</f>
        <v>0</v>
      </c>
      <c r="AG62" s="13">
        <f ca="1">SUM($AE$62:$AF$62)</f>
        <v>0</v>
      </c>
      <c r="AH62" s="13">
        <f>'TUSD BE'!$AH$62*'TUSD BF'!$AH$78</f>
        <v>-3.3404797203542533</v>
      </c>
      <c r="AI62" s="13">
        <f>'TUSD BE'!$AI$62*'TUSD BF'!$AI$78</f>
        <v>-5.7894131171272345E-2</v>
      </c>
      <c r="AJ62" s="13">
        <f ca="1">'TUSD BE'!$AJ$62*'TUSD BF'!$AJ$78</f>
        <v>-0.23060705638461612</v>
      </c>
      <c r="AK62" s="13">
        <f ca="1">'TUSD BE'!$AK$62*'TUSD BF'!$AK$78</f>
        <v>0</v>
      </c>
      <c r="AL62" s="13">
        <f ca="1">SUM($AH$62:$AK$62)</f>
        <v>-3.6289809079101416</v>
      </c>
      <c r="AM62" s="13">
        <f ca="1">SUMIF($L$4:$AL$4,"SUBTOTAL",$L$62:$AL$62)</f>
        <v>28.000345414806091</v>
      </c>
      <c r="AO62" s="20">
        <f ca="1">+'TUSD BE'!$T$62+'TUSD BE'!$AB$62+'TUSD BE'!$AD$62+'TUSD BE'!$AL$62</f>
        <v>356.4462800994238</v>
      </c>
      <c r="AP62" s="20">
        <f ca="1">+'TUSD BE'!$T$62+'TUSD BE'!$AB$62+'TUSD BE'!$AD$62+'TUSD BE'!$AL$62</f>
        <v>356.4462800994238</v>
      </c>
    </row>
    <row r="63" spans="1:42" ht="11.25" customHeight="1" x14ac:dyDescent="0.3">
      <c r="A63" s="128"/>
      <c r="B63" s="128"/>
      <c r="C63" s="128"/>
      <c r="D63" s="17" t="s">
        <v>93</v>
      </c>
      <c r="E63" s="17" t="s">
        <v>25</v>
      </c>
      <c r="F63" s="17" t="s">
        <v>25</v>
      </c>
      <c r="G63" s="18" t="s">
        <v>84</v>
      </c>
      <c r="H63" s="18" t="s">
        <v>78</v>
      </c>
      <c r="I63" s="18">
        <f>'MERCADO TUSD'!$U$60</f>
        <v>0</v>
      </c>
      <c r="J63" s="15"/>
      <c r="L63" s="13">
        <f>'TUSD BE'!$L$63*'TUSD BF'!$L$78</f>
        <v>0.46661272494638101</v>
      </c>
      <c r="M63" s="13">
        <f>'TUSD BE'!$M$63*'TUSD BF'!$M$78</f>
        <v>0</v>
      </c>
      <c r="N63" s="13">
        <f ca="1">'TUSD BE'!$N$63*'TUSD BF'!$N$78</f>
        <v>0</v>
      </c>
      <c r="O63" s="13">
        <f>'TUSD BE'!$O$63*'TUSD BF'!$O$78</f>
        <v>0</v>
      </c>
      <c r="P63" s="13">
        <f>'TUSD BE'!$P$63*'TUSD BF'!$P$78</f>
        <v>0</v>
      </c>
      <c r="Q63" s="13">
        <f>'TUSD BE'!$Q$63*'TUSD BF'!$Q$78</f>
        <v>23.11151419862054</v>
      </c>
      <c r="R63" s="13">
        <f>'TUSD BE'!$R$63*'TUSD BF'!$R$78</f>
        <v>5.255438897037914</v>
      </c>
      <c r="S63" s="13">
        <f>'TUSD BE'!$R$63*'TUSD BF'!$S$78</f>
        <v>0</v>
      </c>
      <c r="T63" s="13">
        <f ca="1">SUM($L$63:$S$63)</f>
        <v>28.833565820604832</v>
      </c>
      <c r="U63" s="13">
        <f>'TUSD BE'!$U$63*'TUSD BF'!$U$78</f>
        <v>2.3247890544185212</v>
      </c>
      <c r="V63" s="13">
        <f>'TUSD BE'!$V$63*'TUSD BF'!$V$78</f>
        <v>0.47097144769287874</v>
      </c>
      <c r="W63" s="13">
        <f>'TUSD BE'!$W$63*'TUSD BF'!$W$78</f>
        <v>0</v>
      </c>
      <c r="X63" s="13">
        <f>'TUSD BE'!$X$63*'TUSD BF'!$X$78</f>
        <v>0</v>
      </c>
      <c r="Y63" s="13">
        <f>'TUSD BE'!$Y$63*'TUSD BF'!$Y$78</f>
        <v>0</v>
      </c>
      <c r="Z63" s="13">
        <f>'TUSD BE'!$Z$63*'TUSD BF'!$Z$78</f>
        <v>0</v>
      </c>
      <c r="AA63" s="13">
        <f>'TUSD BE'!$AA$63*'TUSD BF'!$AA$78</f>
        <v>0</v>
      </c>
      <c r="AB63" s="13">
        <f>SUM($U$63:$AA$63)</f>
        <v>2.7957605021114</v>
      </c>
      <c r="AC63" s="13">
        <f>'TUSD BE'!$AC$63*'TUSD BF'!$AC$78</f>
        <v>0</v>
      </c>
      <c r="AD63" s="13">
        <f>SUM($AC$63:$AC$63)</f>
        <v>0</v>
      </c>
      <c r="AE63" s="13">
        <f ca="1">$AO$63*$AO$75</f>
        <v>0</v>
      </c>
      <c r="AF63" s="13">
        <f ca="1">$AP$63*$AP$75</f>
        <v>0</v>
      </c>
      <c r="AG63" s="13">
        <f ca="1">SUM($AE$63:$AF$63)</f>
        <v>0</v>
      </c>
      <c r="AH63" s="13">
        <f>'TUSD BE'!$AH$63*'TUSD BF'!$AH$78</f>
        <v>-3.3404797203542533</v>
      </c>
      <c r="AI63" s="13">
        <f>'TUSD BE'!$AI$63*'TUSD BF'!$AI$78</f>
        <v>-5.7894131171272345E-2</v>
      </c>
      <c r="AJ63" s="13">
        <f ca="1">'TUSD BE'!$AJ$63*'TUSD BF'!$AJ$78</f>
        <v>-0.23060705638461612</v>
      </c>
      <c r="AK63" s="13">
        <f ca="1">'TUSD BE'!$AK$63*'TUSD BF'!$AK$78</f>
        <v>0</v>
      </c>
      <c r="AL63" s="13">
        <f ca="1">SUM($AH$63:$AK$63)</f>
        <v>-3.6289809079101416</v>
      </c>
      <c r="AM63" s="13">
        <f ca="1">SUMIF($L$4:$AL$4,"SUBTOTAL",$L$63:$AL$63)</f>
        <v>28.000345414806091</v>
      </c>
      <c r="AO63" s="20">
        <f ca="1">+'TUSD BE'!$T$63+'TUSD BE'!$AB$63+'TUSD BE'!$AD$63+'TUSD BE'!$AL$63</f>
        <v>356.4462800994238</v>
      </c>
      <c r="AP63" s="20">
        <f ca="1">+'TUSD BE'!$T$63+'TUSD BE'!$AB$63+'TUSD BE'!$AD$63+'TUSD BE'!$AL$63</f>
        <v>356.4462800994238</v>
      </c>
    </row>
    <row r="64" spans="1:42" ht="11.25" customHeight="1" x14ac:dyDescent="0.3">
      <c r="A64" s="128"/>
      <c r="B64" s="128"/>
      <c r="C64" s="128"/>
      <c r="D64" s="17" t="s">
        <v>94</v>
      </c>
      <c r="E64" s="17" t="s">
        <v>25</v>
      </c>
      <c r="F64" s="17" t="s">
        <v>25</v>
      </c>
      <c r="G64" s="18" t="s">
        <v>84</v>
      </c>
      <c r="H64" s="18" t="s">
        <v>78</v>
      </c>
      <c r="I64" s="18">
        <f>'MERCADO TUSD'!$U$61</f>
        <v>0</v>
      </c>
      <c r="J64" s="15"/>
      <c r="L64" s="13">
        <f>'TUSD BE'!$L$64*'TUSD BF'!$L$78</f>
        <v>0.46661272494638101</v>
      </c>
      <c r="M64" s="13">
        <f>'TUSD BE'!$M$64*'TUSD BF'!$M$78</f>
        <v>0</v>
      </c>
      <c r="N64" s="13">
        <f ca="1">'TUSD BE'!$N$64*'TUSD BF'!$N$78</f>
        <v>0</v>
      </c>
      <c r="O64" s="13">
        <f>'TUSD BE'!$O$64*'TUSD BF'!$O$78</f>
        <v>0</v>
      </c>
      <c r="P64" s="13">
        <f>'TUSD BE'!$P$64*'TUSD BF'!$P$78</f>
        <v>0</v>
      </c>
      <c r="Q64" s="13">
        <f>'TUSD BE'!$Q$64*'TUSD BF'!$Q$78</f>
        <v>23.11151419862054</v>
      </c>
      <c r="R64" s="13">
        <f>'TUSD BE'!$R$64*'TUSD BF'!$R$78</f>
        <v>5.255438897037914</v>
      </c>
      <c r="S64" s="13">
        <f>'TUSD BE'!$R$64*'TUSD BF'!$S$78</f>
        <v>0</v>
      </c>
      <c r="T64" s="13">
        <f ca="1">SUM($L$64:$S$64)</f>
        <v>28.833565820604832</v>
      </c>
      <c r="U64" s="13">
        <f>'TUSD BE'!$U$64*'TUSD BF'!$U$78</f>
        <v>2.3247890544185212</v>
      </c>
      <c r="V64" s="13">
        <f>'TUSD BE'!$V$64*'TUSD BF'!$V$78</f>
        <v>0.47097144769287874</v>
      </c>
      <c r="W64" s="13">
        <f>'TUSD BE'!$W$64*'TUSD BF'!$W$78</f>
        <v>0</v>
      </c>
      <c r="X64" s="13">
        <f>'TUSD BE'!$X$64*'TUSD BF'!$X$78</f>
        <v>0</v>
      </c>
      <c r="Y64" s="13">
        <f>'TUSD BE'!$Y$64*'TUSD BF'!$Y$78</f>
        <v>0</v>
      </c>
      <c r="Z64" s="13">
        <f>'TUSD BE'!$Z$64*'TUSD BF'!$Z$78</f>
        <v>0</v>
      </c>
      <c r="AA64" s="13">
        <f>'TUSD BE'!$AA$64*'TUSD BF'!$AA$78</f>
        <v>0</v>
      </c>
      <c r="AB64" s="13">
        <f>SUM($U$64:$AA$64)</f>
        <v>2.7957605021114</v>
      </c>
      <c r="AC64" s="13">
        <f>'TUSD BE'!$AC$64*'TUSD BF'!$AC$78</f>
        <v>0</v>
      </c>
      <c r="AD64" s="13">
        <f>SUM($AC$64:$AC$64)</f>
        <v>0</v>
      </c>
      <c r="AE64" s="13">
        <f ca="1">$AO$64*$AO$75</f>
        <v>0</v>
      </c>
      <c r="AF64" s="13">
        <f ca="1">$AP$64*$AP$75</f>
        <v>0</v>
      </c>
      <c r="AG64" s="13">
        <f ca="1">SUM($AE$64:$AF$64)</f>
        <v>0</v>
      </c>
      <c r="AH64" s="13">
        <f>'TUSD BE'!$AH$64*'TUSD BF'!$AH$78</f>
        <v>-3.3404797203542533</v>
      </c>
      <c r="AI64" s="13">
        <f>'TUSD BE'!$AI$64*'TUSD BF'!$AI$78</f>
        <v>-5.7894131171272345E-2</v>
      </c>
      <c r="AJ64" s="13">
        <f ca="1">'TUSD BE'!$AJ$64*'TUSD BF'!$AJ$78</f>
        <v>-0.23060705638461612</v>
      </c>
      <c r="AK64" s="13">
        <f ca="1">'TUSD BE'!$AK$64*'TUSD BF'!$AK$78</f>
        <v>0</v>
      </c>
      <c r="AL64" s="13">
        <f ca="1">SUM($AH$64:$AK$64)</f>
        <v>-3.6289809079101416</v>
      </c>
      <c r="AM64" s="13">
        <f ca="1">SUMIF($L$4:$AL$4,"SUBTOTAL",$L$64:$AL$64)</f>
        <v>28.000345414806091</v>
      </c>
      <c r="AO64" s="20">
        <f ca="1">+'TUSD BE'!$T$64+'TUSD BE'!$AB$64+'TUSD BE'!$AD$64+'TUSD BE'!$AL$64</f>
        <v>356.4462800994238</v>
      </c>
      <c r="AP64" s="20">
        <f ca="1">+'TUSD BE'!$T$64+'TUSD BE'!$AB$64+'TUSD BE'!$AD$64+'TUSD BE'!$AL$64</f>
        <v>356.4462800994238</v>
      </c>
    </row>
    <row r="65" spans="1:42" ht="11.25" customHeight="1" x14ac:dyDescent="0.3">
      <c r="A65" s="128" t="s">
        <v>37</v>
      </c>
      <c r="B65" s="128" t="s">
        <v>33</v>
      </c>
      <c r="C65" s="128" t="s">
        <v>25</v>
      </c>
      <c r="D65" s="128" t="s">
        <v>25</v>
      </c>
      <c r="E65" s="128" t="s">
        <v>25</v>
      </c>
      <c r="F65" s="128" t="s">
        <v>25</v>
      </c>
      <c r="G65" s="18" t="s">
        <v>79</v>
      </c>
      <c r="H65" s="18" t="s">
        <v>78</v>
      </c>
      <c r="I65" s="18">
        <f>'MERCADO TUSD'!$U$62</f>
        <v>22.301000000000002</v>
      </c>
      <c r="J65" s="15"/>
      <c r="L65" s="13">
        <f>'TUSD BE'!$L$65*'TUSD BF'!$L$78</f>
        <v>0.46661272494638101</v>
      </c>
      <c r="M65" s="13">
        <f>'TUSD BE'!$M$65*'TUSD BF'!$M$78</f>
        <v>0</v>
      </c>
      <c r="N65" s="13">
        <f ca="1">'TUSD BE'!$N$65*'TUSD BF'!$N$78</f>
        <v>0</v>
      </c>
      <c r="O65" s="13">
        <f>'TUSD BE'!$O$65*'TUSD BF'!$O$78</f>
        <v>0</v>
      </c>
      <c r="P65" s="13">
        <f>'TUSD BE'!$P$65*'TUSD BF'!$P$78</f>
        <v>0</v>
      </c>
      <c r="Q65" s="13">
        <f>'TUSD BE'!$Q$65*'TUSD BF'!$Q$78</f>
        <v>23.11151419862054</v>
      </c>
      <c r="R65" s="13">
        <f>'TUSD BE'!$R$65*'TUSD BF'!$R$78</f>
        <v>5.255438897037914</v>
      </c>
      <c r="S65" s="13">
        <f>'TUSD BE'!$R$65*'TUSD BF'!$S$78</f>
        <v>0</v>
      </c>
      <c r="T65" s="13">
        <f ca="1">SUM($L$65:$S$65)</f>
        <v>28.833565820604832</v>
      </c>
      <c r="U65" s="13">
        <f>'TUSD BE'!$U$65*'TUSD BF'!$U$78</f>
        <v>7.6718131679628137</v>
      </c>
      <c r="V65" s="13">
        <f>'TUSD BE'!$V$65*'TUSD BF'!$V$78</f>
        <v>1.5542051453542822</v>
      </c>
      <c r="W65" s="13">
        <f>'TUSD BE'!$W$65*'TUSD BF'!$W$78</f>
        <v>0</v>
      </c>
      <c r="X65" s="13">
        <f>'TUSD BE'!$X$65*'TUSD BF'!$X$78</f>
        <v>0</v>
      </c>
      <c r="Y65" s="13">
        <f>'TUSD BE'!$Y$65*'TUSD BF'!$Y$78</f>
        <v>0</v>
      </c>
      <c r="Z65" s="13">
        <f>'TUSD BE'!$Z$65*'TUSD BF'!$Z$78</f>
        <v>0</v>
      </c>
      <c r="AA65" s="13">
        <f>'TUSD BE'!$AA$65*'TUSD BF'!$AA$78</f>
        <v>0</v>
      </c>
      <c r="AB65" s="13">
        <f>SUM($U$65:$AA$65)</f>
        <v>9.2260183133170965</v>
      </c>
      <c r="AC65" s="13">
        <f>'TUSD BE'!$AC$65*'TUSD BF'!$AC$78</f>
        <v>0</v>
      </c>
      <c r="AD65" s="13">
        <f>SUM($AC$65:$AC$65)</f>
        <v>0</v>
      </c>
      <c r="AE65" s="13">
        <f ca="1">$AO$65*$AO$75</f>
        <v>0</v>
      </c>
      <c r="AF65" s="13">
        <f ca="1">$AP$65*$AP$75</f>
        <v>0</v>
      </c>
      <c r="AG65" s="13">
        <f ca="1">SUM($AE$65:$AF$65)</f>
        <v>0</v>
      </c>
      <c r="AH65" s="13">
        <f>'TUSD BE'!$AH$65*'TUSD BF'!$AH$78</f>
        <v>-3.3404797203542533</v>
      </c>
      <c r="AI65" s="13">
        <f>'TUSD BE'!$AI$65*'TUSD BF'!$AI$78</f>
        <v>-5.7894131171272345E-2</v>
      </c>
      <c r="AJ65" s="13">
        <f ca="1">'TUSD BE'!$AJ$65*'TUSD BF'!$AJ$78</f>
        <v>-0.23060705638461612</v>
      </c>
      <c r="AK65" s="13">
        <f ca="1">'TUSD BE'!$AK$65*'TUSD BF'!$AK$78</f>
        <v>0</v>
      </c>
      <c r="AL65" s="13">
        <f ca="1">SUM($AH$65:$AK$65)</f>
        <v>-3.6289809079101416</v>
      </c>
      <c r="AM65" s="13">
        <f ca="1">SUMIF($L$4:$AL$4,"SUBTOTAL",$L$65:$AL$65)</f>
        <v>34.43060322601179</v>
      </c>
      <c r="AO65" s="20">
        <f ca="1">+'TUSD BE'!$T$65+'TUSD BE'!$AB$65+'TUSD BE'!$AD$65+'TUSD BE'!$AL$65</f>
        <v>864.70188267032893</v>
      </c>
      <c r="AP65" s="20">
        <f ca="1">+'TUSD BE'!$T$65+'TUSD BE'!$AB$65+'TUSD BE'!$AD$65+'TUSD BE'!$AL$65</f>
        <v>864.70188267032893</v>
      </c>
    </row>
    <row r="66" spans="1:42" ht="11.25" customHeight="1" x14ac:dyDescent="0.3">
      <c r="A66" s="128"/>
      <c r="B66" s="128"/>
      <c r="C66" s="128"/>
      <c r="D66" s="128"/>
      <c r="E66" s="128"/>
      <c r="F66" s="128"/>
      <c r="G66" s="18" t="s">
        <v>90</v>
      </c>
      <c r="H66" s="18" t="s">
        <v>78</v>
      </c>
      <c r="I66" s="18">
        <f>'MERCADO TUSD'!$U$63</f>
        <v>24.489000000000001</v>
      </c>
      <c r="J66" s="15"/>
      <c r="L66" s="13">
        <f>'TUSD BE'!$L$66*'TUSD BF'!$L$78</f>
        <v>0.46661272494638101</v>
      </c>
      <c r="M66" s="13">
        <f>'TUSD BE'!$M$66*'TUSD BF'!$M$78</f>
        <v>0</v>
      </c>
      <c r="N66" s="13">
        <f ca="1">'TUSD BE'!$N$66*'TUSD BF'!$N$78</f>
        <v>0</v>
      </c>
      <c r="O66" s="13">
        <f>'TUSD BE'!$O$66*'TUSD BF'!$O$78</f>
        <v>0</v>
      </c>
      <c r="P66" s="13">
        <f>'TUSD BE'!$P$66*'TUSD BF'!$P$78</f>
        <v>0</v>
      </c>
      <c r="Q66" s="13">
        <f>'TUSD BE'!$Q$66*'TUSD BF'!$Q$78</f>
        <v>23.11151419862054</v>
      </c>
      <c r="R66" s="13">
        <f>'TUSD BE'!$R$66*'TUSD BF'!$R$78</f>
        <v>5.255438897037914</v>
      </c>
      <c r="S66" s="13">
        <f>'TUSD BE'!$R$66*'TUSD BF'!$S$78</f>
        <v>0</v>
      </c>
      <c r="T66" s="13">
        <f ca="1">SUM($L$66:$S$66)</f>
        <v>28.833565820604832</v>
      </c>
      <c r="U66" s="13">
        <f>'TUSD BE'!$U$66*'TUSD BF'!$U$78</f>
        <v>4.6030897584540273</v>
      </c>
      <c r="V66" s="13">
        <f>'TUSD BE'!$V$66*'TUSD BF'!$V$78</f>
        <v>0.93251929501926301</v>
      </c>
      <c r="W66" s="13">
        <f>'TUSD BE'!$W$66*'TUSD BF'!$W$78</f>
        <v>0</v>
      </c>
      <c r="X66" s="13">
        <f>'TUSD BE'!$X$66*'TUSD BF'!$X$78</f>
        <v>0</v>
      </c>
      <c r="Y66" s="13">
        <f>'TUSD BE'!$Y$66*'TUSD BF'!$Y$78</f>
        <v>0</v>
      </c>
      <c r="Z66" s="13">
        <f>'TUSD BE'!$Z$66*'TUSD BF'!$Z$78</f>
        <v>0</v>
      </c>
      <c r="AA66" s="13">
        <f>'TUSD BE'!$AA$66*'TUSD BF'!$AA$78</f>
        <v>0</v>
      </c>
      <c r="AB66" s="13">
        <f>SUM($U$66:$AA$66)</f>
        <v>5.5356090534732907</v>
      </c>
      <c r="AC66" s="13">
        <f>'TUSD BE'!$AC$66*'TUSD BF'!$AC$78</f>
        <v>0</v>
      </c>
      <c r="AD66" s="13">
        <f>SUM($AC$66:$AC$66)</f>
        <v>0</v>
      </c>
      <c r="AE66" s="13">
        <f ca="1">$AO$66*$AO$75</f>
        <v>0</v>
      </c>
      <c r="AF66" s="13">
        <f ca="1">$AP$66*$AP$75</f>
        <v>0</v>
      </c>
      <c r="AG66" s="13">
        <f ca="1">SUM($AE$66:$AF$66)</f>
        <v>0</v>
      </c>
      <c r="AH66" s="13">
        <f>'TUSD BE'!$AH$66*'TUSD BF'!$AH$78</f>
        <v>-3.3404797203542533</v>
      </c>
      <c r="AI66" s="13">
        <f>'TUSD BE'!$AI$66*'TUSD BF'!$AI$78</f>
        <v>-5.7894131171272345E-2</v>
      </c>
      <c r="AJ66" s="13">
        <f ca="1">'TUSD BE'!$AJ$66*'TUSD BF'!$AJ$78</f>
        <v>-0.23060705638461612</v>
      </c>
      <c r="AK66" s="13">
        <f ca="1">'TUSD BE'!$AK$66*'TUSD BF'!$AK$78</f>
        <v>0</v>
      </c>
      <c r="AL66" s="13">
        <f ca="1">SUM($AH$66:$AK$66)</f>
        <v>-3.6289809079101416</v>
      </c>
      <c r="AM66" s="13">
        <f ca="1">SUMIF($L$4:$AL$4,"SUBTOTAL",$L$66:$AL$66)</f>
        <v>30.740193966167986</v>
      </c>
      <c r="AO66" s="20">
        <f ca="1">+'TUSD BE'!$T$66+'TUSD BE'!$AB$66+'TUSD BE'!$AD$66+'TUSD BE'!$AL$66</f>
        <v>573.00725856759266</v>
      </c>
      <c r="AP66" s="20">
        <f ca="1">+'TUSD BE'!$T$66+'TUSD BE'!$AB$66+'TUSD BE'!$AD$66+'TUSD BE'!$AL$66</f>
        <v>573.00725856759266</v>
      </c>
    </row>
    <row r="67" spans="1:42" ht="11.25" customHeight="1" x14ac:dyDescent="0.3">
      <c r="A67" s="128"/>
      <c r="B67" s="128"/>
      <c r="C67" s="128"/>
      <c r="D67" s="128"/>
      <c r="E67" s="128"/>
      <c r="F67" s="128"/>
      <c r="G67" s="18" t="s">
        <v>80</v>
      </c>
      <c r="H67" s="18" t="s">
        <v>78</v>
      </c>
      <c r="I67" s="18">
        <f>'MERCADO TUSD'!$U$64</f>
        <v>464.17199999999997</v>
      </c>
      <c r="J67" s="15"/>
      <c r="L67" s="13">
        <f>'TUSD BE'!$L$67*'TUSD BF'!$L$78</f>
        <v>0.46661272494638101</v>
      </c>
      <c r="M67" s="13">
        <f>'TUSD BE'!$M$67*'TUSD BF'!$M$78</f>
        <v>0</v>
      </c>
      <c r="N67" s="13">
        <f ca="1">'TUSD BE'!$N$67*'TUSD BF'!$N$78</f>
        <v>0</v>
      </c>
      <c r="O67" s="13">
        <f>'TUSD BE'!$O$67*'TUSD BF'!$O$78</f>
        <v>0</v>
      </c>
      <c r="P67" s="13">
        <f>'TUSD BE'!$P$67*'TUSD BF'!$P$78</f>
        <v>0</v>
      </c>
      <c r="Q67" s="13">
        <f>'TUSD BE'!$Q$67*'TUSD BF'!$Q$78</f>
        <v>23.11151419862054</v>
      </c>
      <c r="R67" s="13">
        <f>'TUSD BE'!$R$67*'TUSD BF'!$R$78</f>
        <v>5.255438897037914</v>
      </c>
      <c r="S67" s="13">
        <f>'TUSD BE'!$R$67*'TUSD BF'!$S$78</f>
        <v>0</v>
      </c>
      <c r="T67" s="13">
        <f ca="1">SUM($L$67:$S$67)</f>
        <v>28.833565820604832</v>
      </c>
      <c r="U67" s="13">
        <f>'TUSD BE'!$U$67*'TUSD BF'!$U$78</f>
        <v>1.5343663489452408</v>
      </c>
      <c r="V67" s="13">
        <f>'TUSD BE'!$V$67*'TUSD BF'!$V$78</f>
        <v>0.31083976500642096</v>
      </c>
      <c r="W67" s="13">
        <f>'TUSD BE'!$W$67*'TUSD BF'!$W$78</f>
        <v>0</v>
      </c>
      <c r="X67" s="13">
        <f>'TUSD BE'!$X$67*'TUSD BF'!$X$78</f>
        <v>0</v>
      </c>
      <c r="Y67" s="13">
        <f>'TUSD BE'!$Y$67*'TUSD BF'!$Y$78</f>
        <v>0</v>
      </c>
      <c r="Z67" s="13">
        <f>'TUSD BE'!$Z$67*'TUSD BF'!$Z$78</f>
        <v>0</v>
      </c>
      <c r="AA67" s="13">
        <f>'TUSD BE'!$AA$67*'TUSD BF'!$AA$78</f>
        <v>0</v>
      </c>
      <c r="AB67" s="13">
        <f>SUM($U$67:$AA$67)</f>
        <v>1.8452061139516618</v>
      </c>
      <c r="AC67" s="13">
        <f>'TUSD BE'!$AC$67*'TUSD BF'!$AC$78</f>
        <v>0</v>
      </c>
      <c r="AD67" s="13">
        <f>SUM($AC$67:$AC$67)</f>
        <v>0</v>
      </c>
      <c r="AE67" s="13">
        <f ca="1">$AO$67*$AO$75</f>
        <v>0</v>
      </c>
      <c r="AF67" s="13">
        <f ca="1">$AP$67*$AP$75</f>
        <v>0</v>
      </c>
      <c r="AG67" s="13">
        <f ca="1">SUM($AE$67:$AF$67)</f>
        <v>0</v>
      </c>
      <c r="AH67" s="13">
        <f>'TUSD BE'!$AH$67*'TUSD BF'!$AH$78</f>
        <v>-3.3404797203542533</v>
      </c>
      <c r="AI67" s="13">
        <f>'TUSD BE'!$AI$67*'TUSD BF'!$AI$78</f>
        <v>-5.7894131171272345E-2</v>
      </c>
      <c r="AJ67" s="13">
        <f ca="1">'TUSD BE'!$AJ$67*'TUSD BF'!$AJ$78</f>
        <v>-0.23060705638461612</v>
      </c>
      <c r="AK67" s="13">
        <f ca="1">'TUSD BE'!$AK$67*'TUSD BF'!$AK$78</f>
        <v>0</v>
      </c>
      <c r="AL67" s="13">
        <f ca="1">SUM($AH$67:$AK$67)</f>
        <v>-3.6289809079101416</v>
      </c>
      <c r="AM67" s="13">
        <f ca="1">SUMIF($L$4:$AL$4,"SUBTOTAL",$L$67:$AL$67)</f>
        <v>27.049791026646353</v>
      </c>
      <c r="AO67" s="20">
        <f ca="1">+'TUSD BE'!$T$67+'TUSD BE'!$AB$67+'TUSD BE'!$AD$67+'TUSD BE'!$AL$67</f>
        <v>281.31291474198082</v>
      </c>
      <c r="AP67" s="20">
        <f ca="1">+'TUSD BE'!$T$67+'TUSD BE'!$AB$67+'TUSD BE'!$AD$67+'TUSD BE'!$AL$67</f>
        <v>281.31291474198082</v>
      </c>
    </row>
    <row r="68" spans="1:42" ht="11.25" customHeight="1" x14ac:dyDescent="0.3">
      <c r="A68" s="128"/>
      <c r="B68" s="17" t="s">
        <v>23</v>
      </c>
      <c r="C68" s="17" t="s">
        <v>25</v>
      </c>
      <c r="D68" s="17" t="s">
        <v>25</v>
      </c>
      <c r="E68" s="17" t="s">
        <v>25</v>
      </c>
      <c r="F68" s="17" t="s">
        <v>25</v>
      </c>
      <c r="G68" s="18" t="s">
        <v>84</v>
      </c>
      <c r="H68" s="18" t="s">
        <v>78</v>
      </c>
      <c r="I68" s="18">
        <f>'MERCADO TUSD'!$U$65</f>
        <v>47738.307000000001</v>
      </c>
      <c r="J68" s="15"/>
      <c r="L68" s="13">
        <f>'TUSD BE'!$L$68*'TUSD BF'!$L$78</f>
        <v>0.46661272494638101</v>
      </c>
      <c r="M68" s="13">
        <f>'TUSD BE'!$M$68*'TUSD BF'!$M$78</f>
        <v>0</v>
      </c>
      <c r="N68" s="13">
        <f ca="1">'TUSD BE'!$N$68*'TUSD BF'!$N$78</f>
        <v>0</v>
      </c>
      <c r="O68" s="13">
        <f>'TUSD BE'!$O$68*'TUSD BF'!$O$78</f>
        <v>0</v>
      </c>
      <c r="P68" s="13">
        <f>'TUSD BE'!$P$68*'TUSD BF'!$P$78</f>
        <v>0</v>
      </c>
      <c r="Q68" s="13">
        <f>'TUSD BE'!$Q$68*'TUSD BF'!$Q$78</f>
        <v>23.11151419862054</v>
      </c>
      <c r="R68" s="13">
        <f>'TUSD BE'!$R$68*'TUSD BF'!$R$78</f>
        <v>5.255438897037914</v>
      </c>
      <c r="S68" s="13">
        <f>'TUSD BE'!$R$68*'TUSD BF'!$S$78</f>
        <v>0</v>
      </c>
      <c r="T68" s="13">
        <f ca="1">SUM($L$68:$S$68)</f>
        <v>28.833565820604832</v>
      </c>
      <c r="U68" s="13">
        <f>'TUSD BE'!$U$68*'TUSD BF'!$U$78</f>
        <v>2.3247890544185212</v>
      </c>
      <c r="V68" s="13">
        <f>'TUSD BE'!$V$68*'TUSD BF'!$V$78</f>
        <v>0.47097144769287874</v>
      </c>
      <c r="W68" s="13">
        <f>'TUSD BE'!$W$68*'TUSD BF'!$W$78</f>
        <v>0</v>
      </c>
      <c r="X68" s="13">
        <f>'TUSD BE'!$X$68*'TUSD BF'!$X$78</f>
        <v>0</v>
      </c>
      <c r="Y68" s="13">
        <f>'TUSD BE'!$Y$68*'TUSD BF'!$Y$78</f>
        <v>0</v>
      </c>
      <c r="Z68" s="13">
        <f>'TUSD BE'!$Z$68*'TUSD BF'!$Z$78</f>
        <v>0</v>
      </c>
      <c r="AA68" s="13">
        <f>'TUSD BE'!$AA$68*'TUSD BF'!$AA$78</f>
        <v>0</v>
      </c>
      <c r="AB68" s="13">
        <f>SUM($U$68:$AA$68)</f>
        <v>2.7957605021114</v>
      </c>
      <c r="AC68" s="13">
        <f>'TUSD BE'!$AC$68*'TUSD BF'!$AC$78</f>
        <v>0</v>
      </c>
      <c r="AD68" s="13">
        <f>SUM($AC$68:$AC$68)</f>
        <v>0</v>
      </c>
      <c r="AE68" s="13">
        <f ca="1">$AO$68*$AO$75</f>
        <v>0</v>
      </c>
      <c r="AF68" s="13">
        <f ca="1">$AP$68*$AP$75</f>
        <v>0</v>
      </c>
      <c r="AG68" s="13">
        <f ca="1">SUM($AE$68:$AF$68)</f>
        <v>0</v>
      </c>
      <c r="AH68" s="13">
        <f>'TUSD BE'!$AH$68*'TUSD BF'!$AH$78</f>
        <v>-3.3404797203542533</v>
      </c>
      <c r="AI68" s="13">
        <f>'TUSD BE'!$AI$68*'TUSD BF'!$AI$78</f>
        <v>-5.7894131171272345E-2</v>
      </c>
      <c r="AJ68" s="13">
        <f ca="1">'TUSD BE'!$AJ$68*'TUSD BF'!$AJ$78</f>
        <v>-0.23060705638461612</v>
      </c>
      <c r="AK68" s="13">
        <f ca="1">'TUSD BE'!$AK$68*'TUSD BF'!$AK$78</f>
        <v>0</v>
      </c>
      <c r="AL68" s="13">
        <f ca="1">SUM($AH$68:$AK$68)</f>
        <v>-3.6289809079101416</v>
      </c>
      <c r="AM68" s="13">
        <f ca="1">SUMIF($L$4:$AL$4,"SUBTOTAL",$L$68:$AL$68)</f>
        <v>28.000345414806091</v>
      </c>
      <c r="AO68" s="20">
        <f ca="1">+'TUSD BE'!$T$68+'TUSD BE'!$AB$68+'TUSD BE'!$AD$68+'TUSD BE'!$AL$68</f>
        <v>356.4462800994238</v>
      </c>
      <c r="AP68" s="20">
        <f ca="1">+'TUSD BE'!$T$68+'TUSD BE'!$AB$68+'TUSD BE'!$AD$68+'TUSD BE'!$AL$68</f>
        <v>356.4462800994238</v>
      </c>
    </row>
    <row r="69" spans="1:42" ht="11.25" customHeight="1" x14ac:dyDescent="0.3">
      <c r="A69" s="128"/>
      <c r="B69" s="17" t="s">
        <v>92</v>
      </c>
      <c r="C69" s="17" t="s">
        <v>25</v>
      </c>
      <c r="D69" s="17" t="s">
        <v>25</v>
      </c>
      <c r="E69" s="17" t="s">
        <v>25</v>
      </c>
      <c r="F69" s="17" t="s">
        <v>25</v>
      </c>
      <c r="G69" s="18" t="s">
        <v>84</v>
      </c>
      <c r="H69" s="18" t="s">
        <v>78</v>
      </c>
      <c r="I69" s="18">
        <f>'MERCADO TUSD'!$U$66</f>
        <v>0</v>
      </c>
      <c r="J69" s="15"/>
      <c r="L69" s="13">
        <f>'TUSD BE'!$L$69*'TUSD BF'!$L$78</f>
        <v>0.46661272494638101</v>
      </c>
      <c r="M69" s="13">
        <f>'TUSD BE'!$M$69*'TUSD BF'!$M$78</f>
        <v>0</v>
      </c>
      <c r="N69" s="13">
        <f ca="1">'TUSD BE'!$N$69*'TUSD BF'!$N$78</f>
        <v>0</v>
      </c>
      <c r="O69" s="13">
        <f>'TUSD BE'!$O$69*'TUSD BF'!$O$78</f>
        <v>0</v>
      </c>
      <c r="P69" s="13">
        <f>'TUSD BE'!$P$69*'TUSD BF'!$P$78</f>
        <v>0</v>
      </c>
      <c r="Q69" s="13">
        <f>'TUSD BE'!$Q$69*'TUSD BF'!$Q$78</f>
        <v>23.11151419862054</v>
      </c>
      <c r="R69" s="13">
        <f>'TUSD BE'!$R$69*'TUSD BF'!$R$78</f>
        <v>5.255438897037914</v>
      </c>
      <c r="S69" s="13">
        <f>'TUSD BE'!$R$69*'TUSD BF'!$S$78</f>
        <v>0</v>
      </c>
      <c r="T69" s="13">
        <f ca="1">SUM($L$69:$S$69)</f>
        <v>28.833565820604832</v>
      </c>
      <c r="U69" s="13">
        <f>'TUSD BE'!$U$69*'TUSD BF'!$U$78</f>
        <v>2.3247890544185212</v>
      </c>
      <c r="V69" s="13">
        <f>'TUSD BE'!$V$69*'TUSD BF'!$V$78</f>
        <v>0.47097144769287874</v>
      </c>
      <c r="W69" s="13">
        <f>'TUSD BE'!$W$69*'TUSD BF'!$W$78</f>
        <v>0</v>
      </c>
      <c r="X69" s="13">
        <f>'TUSD BE'!$X$69*'TUSD BF'!$X$78</f>
        <v>0</v>
      </c>
      <c r="Y69" s="13">
        <f>'TUSD BE'!$Y$69*'TUSD BF'!$Y$78</f>
        <v>0</v>
      </c>
      <c r="Z69" s="13">
        <f>'TUSD BE'!$Z$69*'TUSD BF'!$Z$78</f>
        <v>0</v>
      </c>
      <c r="AA69" s="13">
        <f>'TUSD BE'!$AA$69*'TUSD BF'!$AA$78</f>
        <v>0</v>
      </c>
      <c r="AB69" s="13">
        <f>SUM($U$69:$AA$69)</f>
        <v>2.7957605021114</v>
      </c>
      <c r="AC69" s="13">
        <f>'TUSD BE'!$AC$69*'TUSD BF'!$AC$78</f>
        <v>0</v>
      </c>
      <c r="AD69" s="13">
        <f>SUM($AC$69:$AC$69)</f>
        <v>0</v>
      </c>
      <c r="AE69" s="13">
        <f ca="1">$AO$69*$AO$75</f>
        <v>0</v>
      </c>
      <c r="AF69" s="13">
        <f ca="1">$AP$69*$AP$75</f>
        <v>0</v>
      </c>
      <c r="AG69" s="13">
        <f ca="1">SUM($AE$69:$AF$69)</f>
        <v>0</v>
      </c>
      <c r="AH69" s="13">
        <f>'TUSD BE'!$AH$69*'TUSD BF'!$AH$78</f>
        <v>-3.3404797203542533</v>
      </c>
      <c r="AI69" s="13">
        <f>'TUSD BE'!$AI$69*'TUSD BF'!$AI$78</f>
        <v>-5.7894131171272345E-2</v>
      </c>
      <c r="AJ69" s="13">
        <f ca="1">'TUSD BE'!$AJ$69*'TUSD BF'!$AJ$78</f>
        <v>-0.23060705638461612</v>
      </c>
      <c r="AK69" s="13">
        <f ca="1">'TUSD BE'!$AK$69*'TUSD BF'!$AK$78</f>
        <v>0</v>
      </c>
      <c r="AL69" s="13">
        <f ca="1">SUM($AH$69:$AK$69)</f>
        <v>-3.6289809079101416</v>
      </c>
      <c r="AM69" s="13">
        <f ca="1">SUMIF($L$4:$AL$4,"SUBTOTAL",$L$69:$AL$69)</f>
        <v>28.000345414806091</v>
      </c>
      <c r="AO69" s="20">
        <f ca="1">+'TUSD BE'!$T$69+'TUSD BE'!$AB$69+'TUSD BE'!$AD$69+'TUSD BE'!$AL$69</f>
        <v>356.4462800994238</v>
      </c>
      <c r="AP69" s="20">
        <f ca="1">+'TUSD BE'!$T$69+'TUSD BE'!$AB$69+'TUSD BE'!$AD$69+'TUSD BE'!$AL$69</f>
        <v>356.4462800994238</v>
      </c>
    </row>
    <row r="70" spans="1:42" ht="11.25" customHeight="1" x14ac:dyDescent="0.3">
      <c r="A70" s="128" t="s">
        <v>47</v>
      </c>
      <c r="B70" s="128" t="s">
        <v>23</v>
      </c>
      <c r="C70" s="128" t="s">
        <v>48</v>
      </c>
      <c r="D70" s="17" t="s">
        <v>49</v>
      </c>
      <c r="E70" s="17" t="s">
        <v>25</v>
      </c>
      <c r="F70" s="17" t="s">
        <v>25</v>
      </c>
      <c r="G70" s="18" t="s">
        <v>84</v>
      </c>
      <c r="H70" s="18" t="s">
        <v>78</v>
      </c>
      <c r="I70" s="18">
        <f>'MERCADO TUSD'!$U$67</f>
        <v>19654.344999999998</v>
      </c>
      <c r="J70" s="15"/>
      <c r="L70" s="13">
        <f>'TUSD BE'!$L$70*'TUSD BF'!$L$78</f>
        <v>0.25663699872050955</v>
      </c>
      <c r="M70" s="13">
        <f>'TUSD BE'!$M$70*'TUSD BF'!$M$78</f>
        <v>0</v>
      </c>
      <c r="N70" s="13">
        <f ca="1">'TUSD BE'!$N$70*'TUSD BF'!$N$78</f>
        <v>0</v>
      </c>
      <c r="O70" s="13">
        <f>'TUSD BE'!$O$70*'TUSD BF'!$O$78</f>
        <v>0</v>
      </c>
      <c r="P70" s="13">
        <f>'TUSD BE'!$P$70*'TUSD BF'!$P$78</f>
        <v>0</v>
      </c>
      <c r="Q70" s="13">
        <f>'TUSD BE'!$Q$70*'TUSD BF'!$Q$78</f>
        <v>12.711332809241298</v>
      </c>
      <c r="R70" s="13">
        <f>'TUSD BE'!$R$70*'TUSD BF'!$R$78</f>
        <v>2.8904913933708531</v>
      </c>
      <c r="S70" s="13">
        <f>'TUSD BE'!$R$70*'TUSD BF'!$S$78</f>
        <v>0</v>
      </c>
      <c r="T70" s="13">
        <f ca="1">SUM($L$70:$S$70)</f>
        <v>15.858461201332661</v>
      </c>
      <c r="U70" s="13">
        <f>'TUSD BE'!$U$70*'TUSD BF'!$U$78</f>
        <v>1.2786339799301867</v>
      </c>
      <c r="V70" s="13">
        <f>'TUSD BE'!$V$70*'TUSD BF'!$V$78</f>
        <v>0.25903429623108332</v>
      </c>
      <c r="W70" s="13">
        <f>'TUSD BE'!$W$70*'TUSD BF'!$W$78</f>
        <v>0</v>
      </c>
      <c r="X70" s="13">
        <f>'TUSD BE'!$X$70*'TUSD BF'!$X$78</f>
        <v>0</v>
      </c>
      <c r="Y70" s="13">
        <f>'TUSD BE'!$Y$70*'TUSD BF'!$Y$78</f>
        <v>0</v>
      </c>
      <c r="Z70" s="13">
        <f>'TUSD BE'!$Z$70*'TUSD BF'!$Z$78</f>
        <v>0</v>
      </c>
      <c r="AA70" s="13">
        <f>'TUSD BE'!$AA$70*'TUSD BF'!$AA$78</f>
        <v>0</v>
      </c>
      <c r="AB70" s="13">
        <f>SUM($U$70:$AA$70)</f>
        <v>1.5376682761612699</v>
      </c>
      <c r="AC70" s="13">
        <f>'TUSD BE'!$AC$70*'TUSD BF'!$AC$78</f>
        <v>0</v>
      </c>
      <c r="AD70" s="13">
        <f>SUM($AC$70:$AC$70)</f>
        <v>0</v>
      </c>
      <c r="AE70" s="13">
        <f ca="1">$AO$70*$AO$75</f>
        <v>0</v>
      </c>
      <c r="AF70" s="13">
        <f ca="1">$AP$70*$AP$75</f>
        <v>0</v>
      </c>
      <c r="AG70" s="13">
        <f ca="1">SUM($AE$70:$AF$70)</f>
        <v>0</v>
      </c>
      <c r="AH70" s="13">
        <f>'TUSD BE'!$AH$70*'TUSD BF'!$AH$78</f>
        <v>-1.8372638461948394</v>
      </c>
      <c r="AI70" s="13">
        <f>'TUSD BE'!$AI$70*'TUSD BF'!$AI$78</f>
        <v>-3.1841772144199795E-2</v>
      </c>
      <c r="AJ70" s="13">
        <f ca="1">'TUSD BE'!$AJ$70*'TUSD BF'!$AJ$78</f>
        <v>-0.12683388101153889</v>
      </c>
      <c r="AK70" s="13">
        <f ca="1">'TUSD BE'!$AK$70*'TUSD BF'!$AK$78</f>
        <v>0</v>
      </c>
      <c r="AL70" s="13">
        <f ca="1">SUM($AH$70:$AK$70)</f>
        <v>-1.9959394993505779</v>
      </c>
      <c r="AM70" s="13">
        <f ca="1">SUMIF($L$4:$AL$4,"SUBTOTAL",$L$70:$AL$70)</f>
        <v>15.40018997814335</v>
      </c>
      <c r="AO70" s="20">
        <f ca="1">+'TUSD BE'!$T$70+'TUSD BE'!$AB$70+'TUSD BE'!$AD$70+'TUSD BE'!$AL$70</f>
        <v>196.04545405468309</v>
      </c>
      <c r="AP70" s="20">
        <f ca="1">+'TUSD BE'!$T$70+'TUSD BE'!$AB$70+'TUSD BE'!$AD$70+'TUSD BE'!$AL$70</f>
        <v>196.04545405468309</v>
      </c>
    </row>
    <row r="71" spans="1:42" ht="11.25" customHeight="1" x14ac:dyDescent="0.3">
      <c r="A71" s="128"/>
      <c r="B71" s="128"/>
      <c r="C71" s="128"/>
      <c r="D71" s="18" t="s">
        <v>95</v>
      </c>
      <c r="E71" s="18" t="s">
        <v>25</v>
      </c>
      <c r="F71" s="18" t="s">
        <v>25</v>
      </c>
      <c r="G71" s="18" t="s">
        <v>84</v>
      </c>
      <c r="H71" s="18" t="s">
        <v>78</v>
      </c>
      <c r="I71" s="18">
        <f>'MERCADO TUSD'!$U$68</f>
        <v>0</v>
      </c>
      <c r="J71" s="15"/>
      <c r="L71" s="13">
        <f>'TUSD BE'!$L$71*'TUSD BF'!$L$78</f>
        <v>0.27996763496782856</v>
      </c>
      <c r="M71" s="13">
        <f>'TUSD BE'!$M$71*'TUSD BF'!$M$78</f>
        <v>0</v>
      </c>
      <c r="N71" s="13">
        <f ca="1">'TUSD BE'!$N$71*'TUSD BF'!$N$78</f>
        <v>0</v>
      </c>
      <c r="O71" s="13">
        <f>'TUSD BE'!$O$71*'TUSD BF'!$O$78</f>
        <v>0</v>
      </c>
      <c r="P71" s="13">
        <f>'TUSD BE'!$P$71*'TUSD BF'!$P$78</f>
        <v>0</v>
      </c>
      <c r="Q71" s="13">
        <f>'TUSD BE'!$Q$71*'TUSD BF'!$Q$78</f>
        <v>13.866908519172323</v>
      </c>
      <c r="R71" s="13">
        <f>'TUSD BE'!$R$71*'TUSD BF'!$R$78</f>
        <v>3.1532633382227484</v>
      </c>
      <c r="S71" s="13">
        <f>'TUSD BE'!$R$71*'TUSD BF'!$S$78</f>
        <v>0</v>
      </c>
      <c r="T71" s="13">
        <f ca="1">SUM($L$71:$S$71)</f>
        <v>17.300139492362902</v>
      </c>
      <c r="U71" s="13">
        <f>'TUSD BE'!$U$71*'TUSD BF'!$U$78</f>
        <v>1.3948734326511125</v>
      </c>
      <c r="V71" s="13">
        <f>'TUSD BE'!$V$71*'TUSD BF'!$V$78</f>
        <v>0.28258286861572723</v>
      </c>
      <c r="W71" s="13">
        <f>'TUSD BE'!$W$71*'TUSD BF'!$W$78</f>
        <v>0</v>
      </c>
      <c r="X71" s="13">
        <f>'TUSD BE'!$X$71*'TUSD BF'!$X$78</f>
        <v>0</v>
      </c>
      <c r="Y71" s="13">
        <f>'TUSD BE'!$Y$71*'TUSD BF'!$Y$78</f>
        <v>0</v>
      </c>
      <c r="Z71" s="13">
        <f>'TUSD BE'!$Z$71*'TUSD BF'!$Z$78</f>
        <v>0</v>
      </c>
      <c r="AA71" s="13">
        <f>'TUSD BE'!$AA$71*'TUSD BF'!$AA$78</f>
        <v>0</v>
      </c>
      <c r="AB71" s="13">
        <f>SUM($U$71:$AA$71)</f>
        <v>1.6774563012668398</v>
      </c>
      <c r="AC71" s="13">
        <f>'TUSD BE'!$AC$71*'TUSD BF'!$AC$78</f>
        <v>0</v>
      </c>
      <c r="AD71" s="13">
        <f>SUM($AC$71:$AC$71)</f>
        <v>0</v>
      </c>
      <c r="AE71" s="13">
        <f ca="1">$AO$71*$AO$75</f>
        <v>0</v>
      </c>
      <c r="AF71" s="13">
        <f ca="1">$AP$71*$AP$75</f>
        <v>0</v>
      </c>
      <c r="AG71" s="13">
        <f ca="1">SUM($AE$71:$AF$71)</f>
        <v>0</v>
      </c>
      <c r="AH71" s="13">
        <f>'TUSD BE'!$AH$71*'TUSD BF'!$AH$78</f>
        <v>-2.0042878322125519</v>
      </c>
      <c r="AI71" s="13">
        <f>'TUSD BE'!$AI$71*'TUSD BF'!$AI$78</f>
        <v>-3.4736478702763404E-2</v>
      </c>
      <c r="AJ71" s="13">
        <f ca="1">'TUSD BE'!$AJ$71*'TUSD BF'!$AJ$78</f>
        <v>-0.13836423383076968</v>
      </c>
      <c r="AK71" s="13">
        <f ca="1">'TUSD BE'!$AK$71*'TUSD BF'!$AK$78</f>
        <v>0</v>
      </c>
      <c r="AL71" s="13">
        <f ca="1">SUM($AH$71:$AK$71)</f>
        <v>-2.1773885447460848</v>
      </c>
      <c r="AM71" s="13">
        <f ca="1">SUMIF($L$4:$AL$4,"SUBTOTAL",$L$71:$AL$71)</f>
        <v>16.800207248883659</v>
      </c>
      <c r="AO71" s="20">
        <f ca="1">+'TUSD BE'!$T$71+'TUSD BE'!$AB$71+'TUSD BE'!$AD$71+'TUSD BE'!$AL$71</f>
        <v>213.86776805965425</v>
      </c>
      <c r="AP71" s="20">
        <f ca="1">+'TUSD BE'!$T$71+'TUSD BE'!$AB$71+'TUSD BE'!$AD$71+'TUSD BE'!$AL$71</f>
        <v>213.86776805965425</v>
      </c>
    </row>
    <row r="73" spans="1:42" ht="11.25" customHeight="1" x14ac:dyDescent="0.3">
      <c r="K73" s="16" t="s">
        <v>766</v>
      </c>
      <c r="L73" s="13">
        <f>SUMPRODUCT($I$5:$I71,$L$5:$L71)</f>
        <v>225997.53526647703</v>
      </c>
      <c r="M73" s="13">
        <f>SUMPRODUCT($I$5:$I71,$M$5:$M71)</f>
        <v>0</v>
      </c>
      <c r="N73" s="13">
        <f ca="1">SUMPRODUCT($I$5:$I71,$N$5:$N71)</f>
        <v>0</v>
      </c>
      <c r="O73" s="13">
        <f>SUMPRODUCT($I$5:$I71,$O$5:$O71)</f>
        <v>0</v>
      </c>
      <c r="P73" s="13">
        <f>SUMPRODUCT($I$5:$I71,$P$5:$P71)</f>
        <v>0</v>
      </c>
      <c r="Q73" s="13">
        <f>SUMPRODUCT($I$5:$I71,$Q$5:$Q71)</f>
        <v>11193747.975400001</v>
      </c>
      <c r="R73" s="13">
        <f>SUMPRODUCT($I$5:$I71,$R$5:$R71)</f>
        <v>3001959.0933999997</v>
      </c>
      <c r="S73" s="13">
        <f>SUMPRODUCT($I$5:$I71,$S$5:$S71)</f>
        <v>0</v>
      </c>
      <c r="T73" s="13">
        <f ca="1">SUMPRODUCT($I$5:$I71,$T$5:$T71)</f>
        <v>14421704.604066476</v>
      </c>
      <c r="U73" s="13">
        <f>SUMPRODUCT($I$5:$I71,$U$5:$U71)</f>
        <v>1133989.9410540168</v>
      </c>
      <c r="V73" s="13">
        <f>SUMPRODUCT($I$5:$I71,$V$5:$V71)</f>
        <v>240274.0788236986</v>
      </c>
      <c r="W73" s="13">
        <f>SUMPRODUCT($I$5:$I71,$W$5:$W71)</f>
        <v>0</v>
      </c>
      <c r="X73" s="13">
        <f>SUMPRODUCT($I$5:$I71,$X$5:$X71)</f>
        <v>0</v>
      </c>
      <c r="Y73" s="13">
        <f>SUMPRODUCT($I$5:$I71,$Y$5:$Y71)</f>
        <v>0</v>
      </c>
      <c r="Z73" s="13">
        <f>SUMPRODUCT($I$5:$I71,$Z$5:$Z71)</f>
        <v>0</v>
      </c>
      <c r="AA73" s="13">
        <f>SUMPRODUCT($I$5:$I71,$AA$5:$AA71)</f>
        <v>0</v>
      </c>
      <c r="AB73" s="13">
        <f>SUMPRODUCT($I$5:$I71,$AB$5:$AB71)</f>
        <v>1374264.0198777153</v>
      </c>
      <c r="AC73" s="13">
        <f>SUMPRODUCT($I$5:$I71,$AC$5:$AC71)</f>
        <v>0</v>
      </c>
      <c r="AD73" s="13">
        <f>SUMPRODUCT($I$5:$I71,$AD$5:$AD71)</f>
        <v>0</v>
      </c>
      <c r="AE73" s="13">
        <f ca="1">SUMPRODUCT($I$5:$I71,$AE$5:$AE71)</f>
        <v>0</v>
      </c>
      <c r="AF73" s="13">
        <f ca="1">SUMPRODUCT($I$5:$I71,$AF$5:$AF71)</f>
        <v>0</v>
      </c>
      <c r="AG73" s="13">
        <f ca="1">SUMPRODUCT($I$5:$I71,$AG$5:$AG71)</f>
        <v>0</v>
      </c>
      <c r="AH73" s="13">
        <f>SUMPRODUCT($I$5:$I71,$AH$5:$AH71)</f>
        <v>-804303.06857384939</v>
      </c>
      <c r="AI73" s="13">
        <f>SUMPRODUCT($I$5:$I71,$AI$5:$AI71)</f>
        <v>-13938.999221485739</v>
      </c>
      <c r="AJ73" s="13">
        <f ca="1">SUMPRODUCT($I$5:$I71,$AJ$5:$AJ71)</f>
        <v>-93966.05081425418</v>
      </c>
      <c r="AK73" s="13">
        <f ca="1">SUMPRODUCT($I$5:$I71,$AK$5:$AK71)</f>
        <v>0</v>
      </c>
      <c r="AL73" s="13">
        <f ca="1">SUMPRODUCT($I$5:$I71,$AL$5:$AL71)</f>
        <v>-912208.11860958929</v>
      </c>
      <c r="AM73" s="13">
        <f ca="1">SUMPRODUCT($I$5:$I71,$AM$5:$AM71)</f>
        <v>14883760.505334605</v>
      </c>
      <c r="AO73" s="18">
        <f ca="1">SUMPRODUCT($I$5:$I71,$AO$5:$AO71)</f>
        <v>141285121.47918466</v>
      </c>
      <c r="AP73" s="18">
        <f ca="1">SUMPRODUCT($I$5:$I71,$AP$5:$AP71)</f>
        <v>141285121.47918466</v>
      </c>
    </row>
    <row r="74" spans="1:42" ht="11.25" customHeight="1" x14ac:dyDescent="0.3">
      <c r="K74" s="16" t="s">
        <v>698</v>
      </c>
      <c r="L74" s="13">
        <f>'TR TUSD'!$L$76</f>
        <v>3263782.2795950784</v>
      </c>
      <c r="M74" s="13">
        <f>'TR TUSD'!$M$76</f>
        <v>333370.91399464809</v>
      </c>
      <c r="N74" s="13">
        <f>'TR TUSD'!$N$76</f>
        <v>1124879.8979031066</v>
      </c>
      <c r="O74" s="13">
        <f>'TR TUSD'!$O$76</f>
        <v>0</v>
      </c>
      <c r="P74" s="13">
        <f>'TR TUSD'!$P$76</f>
        <v>0</v>
      </c>
      <c r="Q74" s="13">
        <f>'TR TUSD'!$Q$76</f>
        <v>41969122.213877276</v>
      </c>
      <c r="R74" s="13">
        <f>'TR TUSD'!$R$76</f>
        <v>7792628.5853286218</v>
      </c>
      <c r="S74" s="13">
        <f>'TR TUSD'!$S$76</f>
        <v>0</v>
      </c>
      <c r="T74" s="13">
        <f>'TR TUSD'!$T$76</f>
        <v>54483783.890698731</v>
      </c>
      <c r="U74" s="13">
        <f>'TR TUSD'!$U$76</f>
        <v>12972589.400000002</v>
      </c>
      <c r="V74" s="13">
        <f>'TR TUSD'!$V$76</f>
        <v>2748681.3200000003</v>
      </c>
      <c r="W74" s="13">
        <f>'TR TUSD'!$W$76</f>
        <v>445314.77308886201</v>
      </c>
      <c r="X74" s="13">
        <f>'TR TUSD'!$X$76</f>
        <v>0</v>
      </c>
      <c r="Y74" s="13">
        <f>'TR TUSD'!$Y$76</f>
        <v>0</v>
      </c>
      <c r="Z74" s="13">
        <f>'TR TUSD'!$Z$76</f>
        <v>0</v>
      </c>
      <c r="AA74" s="13">
        <f>'TR TUSD'!$AA$76</f>
        <v>0</v>
      </c>
      <c r="AB74" s="13">
        <f>'TR TUSD'!$AB$76</f>
        <v>16166585.493088864</v>
      </c>
      <c r="AC74" s="13">
        <f>'TR TUSD'!$AC$76</f>
        <v>64256372.585481919</v>
      </c>
      <c r="AD74" s="13">
        <f>'TR TUSD'!$AD$76</f>
        <v>64256372.585481919</v>
      </c>
      <c r="AE74" s="13">
        <f>'TR TUSD'!$AE$76</f>
        <v>0</v>
      </c>
      <c r="AF74" s="13">
        <f>'TR TUSD'!$AF$76</f>
        <v>0</v>
      </c>
      <c r="AG74" s="13">
        <f>'TR TUSD'!$AG$76</f>
        <v>0</v>
      </c>
      <c r="AH74" s="13">
        <f>'TR TUSD'!$AH$76</f>
        <v>5512893.3613592153</v>
      </c>
      <c r="AI74" s="13">
        <f>'TR TUSD'!$AI$76</f>
        <v>95541.369012027237</v>
      </c>
      <c r="AJ74" s="13">
        <f>'TR TUSD'!$AJ$76</f>
        <v>644066.6932249564</v>
      </c>
      <c r="AK74" s="13">
        <f>'TR TUSD'!$AK$76</f>
        <v>125878.08631896082</v>
      </c>
      <c r="AL74" s="13">
        <f>'TR TUSD'!$AL$76</f>
        <v>6378379.5099151591</v>
      </c>
      <c r="AM74" s="13">
        <f>CUSTOS!$D$29</f>
        <v>141285121.47918469</v>
      </c>
      <c r="AO74" s="18">
        <f>$AE$76</f>
        <v>0</v>
      </c>
      <c r="AP74" s="18">
        <f>$AF$76</f>
        <v>0</v>
      </c>
    </row>
    <row r="75" spans="1:42" ht="11.25" customHeight="1" x14ac:dyDescent="0.3">
      <c r="K75" s="16" t="s">
        <v>699</v>
      </c>
      <c r="L75" s="13">
        <f>CUSTOS!$E$2</f>
        <v>-272918.45718012837</v>
      </c>
      <c r="M75" s="13">
        <f>CUSTOS!$E$3</f>
        <v>-716.77332712039424</v>
      </c>
      <c r="N75" s="13">
        <f>CUSTOS!$E$4</f>
        <v>7.8643862956890867E-2</v>
      </c>
      <c r="O75" s="13">
        <f>CUSTOS!$E$5</f>
        <v>0</v>
      </c>
      <c r="P75" s="13">
        <f>CUSTOS!$E$6</f>
        <v>0</v>
      </c>
      <c r="Q75" s="13">
        <f>CUSTOS!$E$7</f>
        <v>-779586.37970133126</v>
      </c>
      <c r="R75" s="13">
        <f>CUSTOS!$E$8</f>
        <v>-214649.38672727766</v>
      </c>
      <c r="S75" s="13">
        <f>CUSTOS!$E$9</f>
        <v>0</v>
      </c>
      <c r="T75" s="13">
        <f>CUSTOS!$E$10</f>
        <v>-1267870.9182919948</v>
      </c>
      <c r="U75" s="13">
        <f>CUSTOS!$E$11</f>
        <v>-188968.60819784435</v>
      </c>
      <c r="V75" s="13">
        <f>CUSTOS!$E$12</f>
        <v>-44420.893552581736</v>
      </c>
      <c r="W75" s="13">
        <f>CUSTOS!$E$13</f>
        <v>-1595.9885302039947</v>
      </c>
      <c r="X75" s="13">
        <f>CUSTOS!$E$14</f>
        <v>0</v>
      </c>
      <c r="Y75" s="13">
        <f>CUSTOS!$E$15</f>
        <v>0</v>
      </c>
      <c r="Z75" s="13">
        <f>CUSTOS!$E$16</f>
        <v>0</v>
      </c>
      <c r="AA75" s="13">
        <f>CUSTOS!$E$17</f>
        <v>0</v>
      </c>
      <c r="AB75" s="13">
        <f>CUSTOS!$E$18</f>
        <v>-234985.49028063007</v>
      </c>
      <c r="AC75" s="13">
        <f>CUSTOS!$E$19</f>
        <v>6947.701001350224</v>
      </c>
      <c r="AD75" s="13">
        <f>CUSTOS!$E$20</f>
        <v>6947.701001350224</v>
      </c>
      <c r="AE75" s="13">
        <f>CUSTOS!$E$21</f>
        <v>0</v>
      </c>
      <c r="AF75" s="13">
        <f>CUSTOS!$E$22</f>
        <v>0</v>
      </c>
      <c r="AG75" s="13">
        <f>CUSTOS!$E$23</f>
        <v>0</v>
      </c>
      <c r="AH75" s="13">
        <f>CUSTOS!$E$24</f>
        <v>2629305.7683312711</v>
      </c>
      <c r="AI75" s="13">
        <f>CUSTOS!$E$25</f>
        <v>45567.264989804564</v>
      </c>
      <c r="AJ75" s="13">
        <f>CUSTOS!$E$26</f>
        <v>307179.5807907487</v>
      </c>
      <c r="AK75" s="13">
        <f>CUSTOS!$E$27</f>
        <v>-7025.3394341108897</v>
      </c>
      <c r="AL75" s="13">
        <f>CUSTOS!$E$28</f>
        <v>2975027.2746777134</v>
      </c>
      <c r="AM75" s="13">
        <f>CUSTOS!$E$29</f>
        <v>1479118.5671064388</v>
      </c>
      <c r="AO75" s="18">
        <f ca="1">IF(AO73&lt;&gt;0,AO74/AO73,0)</f>
        <v>0</v>
      </c>
      <c r="AP75" s="18">
        <f ca="1">IF(AP73&lt;&gt;0,AP74/AP73,0)</f>
        <v>0</v>
      </c>
    </row>
    <row r="76" spans="1:42" ht="11.25" customHeight="1" x14ac:dyDescent="0.3">
      <c r="K76" s="16" t="s">
        <v>700</v>
      </c>
      <c r="L76" s="13">
        <f>CUSTOS!$F$2</f>
        <v>225997.53526647703</v>
      </c>
      <c r="M76" s="13">
        <f>CUSTOS!$F$3</f>
        <v>0</v>
      </c>
      <c r="N76" s="13">
        <f>CUSTOS!$F$4</f>
        <v>0</v>
      </c>
      <c r="O76" s="13">
        <f>CUSTOS!$F$5</f>
        <v>0</v>
      </c>
      <c r="P76" s="13">
        <f>CUSTOS!$F$6</f>
        <v>0</v>
      </c>
      <c r="Q76" s="13">
        <f>CUSTOS!$F$7</f>
        <v>11193747.975400001</v>
      </c>
      <c r="R76" s="13">
        <f>CUSTOS!$F$8</f>
        <v>3001959.0934000001</v>
      </c>
      <c r="S76" s="13">
        <f>CUSTOS!$F$9</f>
        <v>0</v>
      </c>
      <c r="T76" s="13">
        <f>CUSTOS!$F$10</f>
        <v>14421704.604066478</v>
      </c>
      <c r="U76" s="13">
        <f>CUSTOS!$F$11</f>
        <v>1133989.9410540168</v>
      </c>
      <c r="V76" s="13">
        <f>CUSTOS!$F$12</f>
        <v>240274.0788236986</v>
      </c>
      <c r="W76" s="13">
        <f>CUSTOS!$F$13</f>
        <v>0</v>
      </c>
      <c r="X76" s="13">
        <f>CUSTOS!$F$14</f>
        <v>0</v>
      </c>
      <c r="Y76" s="13">
        <f>CUSTOS!$F$15</f>
        <v>0</v>
      </c>
      <c r="Z76" s="13">
        <f>CUSTOS!$F$16</f>
        <v>0</v>
      </c>
      <c r="AA76" s="13">
        <f>CUSTOS!$F$17</f>
        <v>0</v>
      </c>
      <c r="AB76" s="13">
        <f>CUSTOS!$F$18</f>
        <v>1374264.0198777155</v>
      </c>
      <c r="AC76" s="13">
        <f>CUSTOS!$F$19</f>
        <v>0</v>
      </c>
      <c r="AD76" s="13">
        <f>CUSTOS!$F$20</f>
        <v>0</v>
      </c>
      <c r="AE76" s="13">
        <f>CUSTOS!$F$21</f>
        <v>0</v>
      </c>
      <c r="AF76" s="13">
        <f>CUSTOS!$F$22</f>
        <v>0</v>
      </c>
      <c r="AG76" s="13">
        <f>CUSTOS!$F$23</f>
        <v>0</v>
      </c>
      <c r="AH76" s="13">
        <f>CUSTOS!$F$24</f>
        <v>-804303.06857384951</v>
      </c>
      <c r="AI76" s="13">
        <f>CUSTOS!$F$25</f>
        <v>-13938.999221485739</v>
      </c>
      <c r="AJ76" s="13">
        <f>CUSTOS!$F$26</f>
        <v>-93966.05081425418</v>
      </c>
      <c r="AK76" s="13">
        <f>CUSTOS!$F$27</f>
        <v>0</v>
      </c>
      <c r="AL76" s="13">
        <f>CUSTOS!$F$28</f>
        <v>-912208.11860958941</v>
      </c>
      <c r="AM76" s="13">
        <f>CUSTOS!$F$29</f>
        <v>14883760.505334605</v>
      </c>
    </row>
    <row r="77" spans="1:42" ht="11.25" customHeight="1" x14ac:dyDescent="0.3">
      <c r="K77" s="16" t="s">
        <v>763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/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/>
      <c r="AC77" s="13">
        <v>0</v>
      </c>
      <c r="AD77" s="13"/>
      <c r="AE77" s="13">
        <v>0</v>
      </c>
      <c r="AF77" s="13">
        <v>0</v>
      </c>
      <c r="AG77" s="13"/>
      <c r="AH77" s="13">
        <v>0</v>
      </c>
      <c r="AI77" s="13">
        <v>0</v>
      </c>
      <c r="AJ77" s="13">
        <v>0</v>
      </c>
      <c r="AK77" s="13">
        <v>0</v>
      </c>
      <c r="AL77" s="13"/>
      <c r="AM77" s="13"/>
    </row>
  </sheetData>
  <mergeCells count="103">
    <mergeCell ref="AP1:AP4"/>
    <mergeCell ref="L2:AM2"/>
    <mergeCell ref="L3:T3"/>
    <mergeCell ref="U3:AB3"/>
    <mergeCell ref="AC3:AD3"/>
    <mergeCell ref="A1:A4"/>
    <mergeCell ref="B1:B4"/>
    <mergeCell ref="C1:C4"/>
    <mergeCell ref="D1:D4"/>
    <mergeCell ref="E1:E4"/>
    <mergeCell ref="F1:F4"/>
    <mergeCell ref="A9:A13"/>
    <mergeCell ref="B9:B12"/>
    <mergeCell ref="C9:C12"/>
    <mergeCell ref="D9:D12"/>
    <mergeCell ref="E9:E11"/>
    <mergeCell ref="F9:F11"/>
    <mergeCell ref="AE3:AG3"/>
    <mergeCell ref="AH3:AL3"/>
    <mergeCell ref="AM3:AM4"/>
    <mergeCell ref="A5:A8"/>
    <mergeCell ref="B5:B8"/>
    <mergeCell ref="C5:C8"/>
    <mergeCell ref="D5:D8"/>
    <mergeCell ref="E5:E7"/>
    <mergeCell ref="F5:F7"/>
    <mergeCell ref="G1:G4"/>
    <mergeCell ref="H1:H4"/>
    <mergeCell ref="I1:I4"/>
    <mergeCell ref="J1:J4"/>
    <mergeCell ref="L1:AM1"/>
    <mergeCell ref="F19:F21"/>
    <mergeCell ref="E22:E23"/>
    <mergeCell ref="F22:F23"/>
    <mergeCell ref="C24:C27"/>
    <mergeCell ref="D24:D27"/>
    <mergeCell ref="E24:E26"/>
    <mergeCell ref="F24:F26"/>
    <mergeCell ref="A14:A23"/>
    <mergeCell ref="B14:B17"/>
    <mergeCell ref="C14:C17"/>
    <mergeCell ref="D14:D17"/>
    <mergeCell ref="E14:E16"/>
    <mergeCell ref="F14:F16"/>
    <mergeCell ref="B19:B23"/>
    <mergeCell ref="C19:C23"/>
    <mergeCell ref="D19:D23"/>
    <mergeCell ref="E19:E21"/>
    <mergeCell ref="B33:B34"/>
    <mergeCell ref="C33:C34"/>
    <mergeCell ref="D33:D34"/>
    <mergeCell ref="E33:E34"/>
    <mergeCell ref="F33:F34"/>
    <mergeCell ref="A35:A36"/>
    <mergeCell ref="B35:B36"/>
    <mergeCell ref="C35:C36"/>
    <mergeCell ref="D35:D36"/>
    <mergeCell ref="A24:A34"/>
    <mergeCell ref="B24:B27"/>
    <mergeCell ref="B28:B32"/>
    <mergeCell ref="C28:C32"/>
    <mergeCell ref="D28:D32"/>
    <mergeCell ref="E28:E30"/>
    <mergeCell ref="F28:F30"/>
    <mergeCell ref="E31:E32"/>
    <mergeCell ref="F31:F32"/>
    <mergeCell ref="A37:A49"/>
    <mergeCell ref="B37:B39"/>
    <mergeCell ref="C37:C39"/>
    <mergeCell ref="D37:D39"/>
    <mergeCell ref="E37:E39"/>
    <mergeCell ref="F37:F39"/>
    <mergeCell ref="B40:B44"/>
    <mergeCell ref="C40:C44"/>
    <mergeCell ref="B45:B49"/>
    <mergeCell ref="C45:C49"/>
    <mergeCell ref="F54:F56"/>
    <mergeCell ref="B58:B60"/>
    <mergeCell ref="C58:C60"/>
    <mergeCell ref="D58:D60"/>
    <mergeCell ref="E58:E60"/>
    <mergeCell ref="F58:F60"/>
    <mergeCell ref="A50:A64"/>
    <mergeCell ref="B50:B52"/>
    <mergeCell ref="C50:C52"/>
    <mergeCell ref="D50:D52"/>
    <mergeCell ref="E50:E52"/>
    <mergeCell ref="F50:F52"/>
    <mergeCell ref="B54:B56"/>
    <mergeCell ref="C54:C56"/>
    <mergeCell ref="D54:D56"/>
    <mergeCell ref="E54:E56"/>
    <mergeCell ref="E65:E67"/>
    <mergeCell ref="F65:F67"/>
    <mergeCell ref="A70:A71"/>
    <mergeCell ref="B70:B71"/>
    <mergeCell ref="C70:C71"/>
    <mergeCell ref="B62:B64"/>
    <mergeCell ref="C62:C64"/>
    <mergeCell ref="A65:A69"/>
    <mergeCell ref="B65:B67"/>
    <mergeCell ref="C65:C67"/>
    <mergeCell ref="D65:D67"/>
  </mergeCells>
  <conditionalFormatting sqref="L73">
    <cfRule type="cellIs" dxfId="1225" priority="55" operator="notEqual">
      <formula>$L$76</formula>
    </cfRule>
    <cfRule type="cellIs" dxfId="1224" priority="56" operator="equal">
      <formula>$L$76</formula>
    </cfRule>
  </conditionalFormatting>
  <conditionalFormatting sqref="M73">
    <cfRule type="cellIs" dxfId="1223" priority="53" operator="notEqual">
      <formula>$M$76</formula>
    </cfRule>
    <cfRule type="cellIs" dxfId="1222" priority="54" operator="equal">
      <formula>$M$76</formula>
    </cfRule>
  </conditionalFormatting>
  <conditionalFormatting sqref="N73">
    <cfRule type="cellIs" dxfId="1221" priority="51" operator="notEqual">
      <formula>$N$76</formula>
    </cfRule>
    <cfRule type="cellIs" dxfId="1220" priority="52" operator="equal">
      <formula>$N$76</formula>
    </cfRule>
  </conditionalFormatting>
  <conditionalFormatting sqref="O73">
    <cfRule type="cellIs" dxfId="1219" priority="49" operator="notEqual">
      <formula>$O$76</formula>
    </cfRule>
    <cfRule type="cellIs" dxfId="1218" priority="50" operator="equal">
      <formula>$O$76</formula>
    </cfRule>
  </conditionalFormatting>
  <conditionalFormatting sqref="P73">
    <cfRule type="cellIs" dxfId="1217" priority="47" operator="notEqual">
      <formula>$P$76</formula>
    </cfRule>
    <cfRule type="cellIs" dxfId="1216" priority="48" operator="equal">
      <formula>$P$76</formula>
    </cfRule>
  </conditionalFormatting>
  <conditionalFormatting sqref="Q73">
    <cfRule type="cellIs" dxfId="1215" priority="45" operator="notEqual">
      <formula>$Q$76</formula>
    </cfRule>
    <cfRule type="cellIs" dxfId="1214" priority="46" operator="equal">
      <formula>$Q$76</formula>
    </cfRule>
  </conditionalFormatting>
  <conditionalFormatting sqref="R73">
    <cfRule type="cellIs" dxfId="1213" priority="43" operator="notEqual">
      <formula>$R$76</formula>
    </cfRule>
    <cfRule type="cellIs" dxfId="1212" priority="44" operator="equal">
      <formula>$R$76</formula>
    </cfRule>
  </conditionalFormatting>
  <conditionalFormatting sqref="S73">
    <cfRule type="cellIs" dxfId="1211" priority="41" operator="notEqual">
      <formula>$S$76</formula>
    </cfRule>
    <cfRule type="cellIs" dxfId="1210" priority="42" operator="equal">
      <formula>$S$76</formula>
    </cfRule>
  </conditionalFormatting>
  <conditionalFormatting sqref="T73">
    <cfRule type="cellIs" dxfId="1209" priority="39" operator="notEqual">
      <formula>$T$76</formula>
    </cfRule>
    <cfRule type="cellIs" dxfId="1208" priority="40" operator="equal">
      <formula>$T$76</formula>
    </cfRule>
  </conditionalFormatting>
  <conditionalFormatting sqref="U73">
    <cfRule type="cellIs" dxfId="1207" priority="37" operator="notEqual">
      <formula>$U$76</formula>
    </cfRule>
    <cfRule type="cellIs" dxfId="1206" priority="38" operator="equal">
      <formula>$U$76</formula>
    </cfRule>
  </conditionalFormatting>
  <conditionalFormatting sqref="V73">
    <cfRule type="cellIs" dxfId="1205" priority="35" operator="notEqual">
      <formula>$V$76</formula>
    </cfRule>
    <cfRule type="cellIs" dxfId="1204" priority="36" operator="equal">
      <formula>$V$76</formula>
    </cfRule>
  </conditionalFormatting>
  <conditionalFormatting sqref="W73">
    <cfRule type="cellIs" dxfId="1203" priority="33" operator="notEqual">
      <formula>$W$76</formula>
    </cfRule>
    <cfRule type="cellIs" dxfId="1202" priority="34" operator="equal">
      <formula>$W$76</formula>
    </cfRule>
  </conditionalFormatting>
  <conditionalFormatting sqref="X73">
    <cfRule type="cellIs" dxfId="1201" priority="31" operator="notEqual">
      <formula>$X$76</formula>
    </cfRule>
    <cfRule type="cellIs" dxfId="1200" priority="32" operator="equal">
      <formula>$X$76</formula>
    </cfRule>
  </conditionalFormatting>
  <conditionalFormatting sqref="Y73">
    <cfRule type="cellIs" dxfId="1199" priority="29" operator="notEqual">
      <formula>$Y$76</formula>
    </cfRule>
    <cfRule type="cellIs" dxfId="1198" priority="30" operator="equal">
      <formula>$Y$76</formula>
    </cfRule>
  </conditionalFormatting>
  <conditionalFormatting sqref="Z73">
    <cfRule type="cellIs" dxfId="1197" priority="27" operator="notEqual">
      <formula>$Z$76</formula>
    </cfRule>
    <cfRule type="cellIs" dxfId="1196" priority="28" operator="equal">
      <formula>$Z$76</formula>
    </cfRule>
  </conditionalFormatting>
  <conditionalFormatting sqref="AA73">
    <cfRule type="cellIs" dxfId="1195" priority="25" operator="notEqual">
      <formula>$AA$76</formula>
    </cfRule>
    <cfRule type="cellIs" dxfId="1194" priority="26" operator="equal">
      <formula>$AA$76</formula>
    </cfRule>
  </conditionalFormatting>
  <conditionalFormatting sqref="AB73">
    <cfRule type="cellIs" dxfId="1193" priority="23" operator="notEqual">
      <formula>$AB$76</formula>
    </cfRule>
    <cfRule type="cellIs" dxfId="1192" priority="24" operator="equal">
      <formula>$AB$76</formula>
    </cfRule>
  </conditionalFormatting>
  <conditionalFormatting sqref="AC73">
    <cfRule type="cellIs" dxfId="1191" priority="21" operator="notEqual">
      <formula>$AC$76</formula>
    </cfRule>
    <cfRule type="cellIs" dxfId="1190" priority="22" operator="equal">
      <formula>$AC$76</formula>
    </cfRule>
  </conditionalFormatting>
  <conditionalFormatting sqref="AD73">
    <cfRule type="cellIs" dxfId="1189" priority="19" operator="notEqual">
      <formula>$AD$76</formula>
    </cfRule>
    <cfRule type="cellIs" dxfId="1188" priority="20" operator="equal">
      <formula>$AD$76</formula>
    </cfRule>
  </conditionalFormatting>
  <conditionalFormatting sqref="AE73">
    <cfRule type="cellIs" dxfId="1187" priority="17" operator="notEqual">
      <formula>$AE$76</formula>
    </cfRule>
    <cfRule type="cellIs" dxfId="1186" priority="18" operator="equal">
      <formula>$AE$76</formula>
    </cfRule>
  </conditionalFormatting>
  <conditionalFormatting sqref="AF73">
    <cfRule type="cellIs" dxfId="1185" priority="16" operator="equal">
      <formula>$AF$76</formula>
    </cfRule>
  </conditionalFormatting>
  <conditionalFormatting sqref="AF73">
    <cfRule type="cellIs" dxfId="1184" priority="15" operator="notEqual">
      <formula>$AF$76</formula>
    </cfRule>
  </conditionalFormatting>
  <conditionalFormatting sqref="AG73">
    <cfRule type="cellIs" dxfId="1183" priority="14" operator="equal">
      <formula>$AG$76</formula>
    </cfRule>
  </conditionalFormatting>
  <conditionalFormatting sqref="AG73">
    <cfRule type="cellIs" dxfId="1182" priority="13" operator="notEqual">
      <formula>$AG$76</formula>
    </cfRule>
  </conditionalFormatting>
  <conditionalFormatting sqref="AH73">
    <cfRule type="cellIs" dxfId="1181" priority="12" operator="equal">
      <formula>$AH$76</formula>
    </cfRule>
  </conditionalFormatting>
  <conditionalFormatting sqref="AH73">
    <cfRule type="cellIs" dxfId="1180" priority="11" operator="notEqual">
      <formula>$AH$76</formula>
    </cfRule>
  </conditionalFormatting>
  <conditionalFormatting sqref="AI73">
    <cfRule type="cellIs" dxfId="1179" priority="10" operator="equal">
      <formula>$AI$76</formula>
    </cfRule>
  </conditionalFormatting>
  <conditionalFormatting sqref="AI73">
    <cfRule type="cellIs" dxfId="1178" priority="9" operator="notEqual">
      <formula>$AI$76</formula>
    </cfRule>
  </conditionalFormatting>
  <conditionalFormatting sqref="AJ73">
    <cfRule type="cellIs" dxfId="1177" priority="8" operator="equal">
      <formula>$AJ$76</formula>
    </cfRule>
  </conditionalFormatting>
  <conditionalFormatting sqref="AJ73">
    <cfRule type="cellIs" dxfId="1176" priority="7" operator="notEqual">
      <formula>$AJ$76</formula>
    </cfRule>
  </conditionalFormatting>
  <conditionalFormatting sqref="AK73">
    <cfRule type="cellIs" dxfId="1175" priority="6" operator="equal">
      <formula>$AK$76</formula>
    </cfRule>
  </conditionalFormatting>
  <conditionalFormatting sqref="AK73">
    <cfRule type="cellIs" dxfId="1174" priority="5" operator="notEqual">
      <formula>$AK$76</formula>
    </cfRule>
  </conditionalFormatting>
  <conditionalFormatting sqref="AL73">
    <cfRule type="cellIs" dxfId="1173" priority="4" operator="equal">
      <formula>$AL$76</formula>
    </cfRule>
  </conditionalFormatting>
  <conditionalFormatting sqref="AL73">
    <cfRule type="cellIs" dxfId="1172" priority="3" operator="notEqual">
      <formula>$AL$76</formula>
    </cfRule>
  </conditionalFormatting>
  <conditionalFormatting sqref="AM73">
    <cfRule type="cellIs" dxfId="1171" priority="2" operator="equal">
      <formula>$AM$76</formula>
    </cfRule>
  </conditionalFormatting>
  <conditionalFormatting sqref="AM73">
    <cfRule type="cellIs" dxfId="1170" priority="1" operator="notEqual">
      <formula>$AM$76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11B74-A50A-41A5-B7E4-648C246B2CEB}">
  <sheetPr codeName="Planilha12"/>
  <dimension ref="A1:AB57"/>
  <sheetViews>
    <sheetView showGridLines="0" topLeftCell="A34" workbookViewId="0">
      <selection activeCell="K51" sqref="K51:AB57"/>
    </sheetView>
  </sheetViews>
  <sheetFormatPr defaultRowHeight="11.25" customHeight="1" x14ac:dyDescent="0.3"/>
  <cols>
    <col min="1" max="1" width="9" style="9" bestFit="1" customWidth="1"/>
    <col min="2" max="2" width="24.66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9.88671875" style="9" bestFit="1" customWidth="1"/>
    <col min="12" max="12" width="7.88671875" style="9" bestFit="1" customWidth="1"/>
    <col min="13" max="13" width="9.109375" style="9" bestFit="1" customWidth="1"/>
    <col min="14" max="14" width="8.33203125" style="9" bestFit="1" customWidth="1"/>
    <col min="15" max="15" width="10.33203125" style="9" bestFit="1" customWidth="1"/>
    <col min="16" max="16" width="9.5546875" style="9" bestFit="1" customWidth="1"/>
    <col min="17" max="17" width="9.109375" style="9" bestFit="1" customWidth="1"/>
    <col min="18" max="18" width="14.44140625" style="9" bestFit="1" customWidth="1"/>
    <col min="19" max="19" width="10.33203125" style="9" bestFit="1" customWidth="1"/>
    <col min="20" max="20" width="9.109375" style="9" bestFit="1" customWidth="1"/>
    <col min="21" max="21" width="9.77734375" style="9" bestFit="1" customWidth="1"/>
    <col min="22" max="22" width="7.88671875" style="9" bestFit="1" customWidth="1"/>
    <col min="23" max="23" width="9.109375" style="9" bestFit="1" customWidth="1"/>
    <col min="24" max="24" width="7.77734375" style="9" bestFit="1" customWidth="1"/>
    <col min="25" max="25" width="8.5546875" style="9" bestFit="1" customWidth="1"/>
    <col min="26" max="26" width="10.5546875" style="9" bestFit="1" customWidth="1"/>
    <col min="27" max="27" width="8.5546875" style="9" bestFit="1" customWidth="1"/>
    <col min="28" max="28" width="10.33203125" style="9" bestFit="1" customWidth="1"/>
    <col min="29" max="16384" width="8.88671875" style="9"/>
  </cols>
  <sheetData>
    <row r="1" spans="1:28" ht="11.25" customHeight="1" x14ac:dyDescent="0.3">
      <c r="A1" s="134" t="s">
        <v>68</v>
      </c>
      <c r="B1" s="134" t="s">
        <v>69</v>
      </c>
      <c r="C1" s="134" t="s">
        <v>70</v>
      </c>
      <c r="D1" s="134" t="s">
        <v>71</v>
      </c>
      <c r="E1" s="134" t="s">
        <v>72</v>
      </c>
      <c r="F1" s="134" t="s">
        <v>15</v>
      </c>
      <c r="G1" s="134" t="s">
        <v>74</v>
      </c>
      <c r="H1" s="134" t="s">
        <v>75</v>
      </c>
      <c r="I1" s="134" t="s">
        <v>757</v>
      </c>
      <c r="J1" s="123"/>
      <c r="L1" s="135" t="s">
        <v>778</v>
      </c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</row>
    <row r="2" spans="1:28" ht="11.25" customHeight="1" x14ac:dyDescent="0.3">
      <c r="A2" s="134"/>
      <c r="B2" s="134"/>
      <c r="C2" s="134"/>
      <c r="D2" s="134"/>
      <c r="E2" s="134"/>
      <c r="F2" s="134"/>
      <c r="G2" s="134"/>
      <c r="H2" s="134"/>
      <c r="I2" s="134"/>
      <c r="J2" s="123"/>
      <c r="L2" s="135" t="s">
        <v>684</v>
      </c>
      <c r="M2" s="135"/>
      <c r="N2" s="135"/>
      <c r="O2" s="135"/>
      <c r="P2" s="135"/>
      <c r="Q2" s="135"/>
      <c r="R2" s="135"/>
      <c r="S2" s="135"/>
      <c r="T2" s="135"/>
      <c r="U2" s="135"/>
      <c r="V2" s="135"/>
      <c r="W2" s="135"/>
      <c r="X2" s="135"/>
      <c r="Y2" s="135"/>
      <c r="Z2" s="135"/>
      <c r="AA2" s="135"/>
      <c r="AB2" s="135"/>
    </row>
    <row r="3" spans="1:28" ht="11.25" customHeight="1" x14ac:dyDescent="0.3">
      <c r="A3" s="134"/>
      <c r="B3" s="134"/>
      <c r="C3" s="134"/>
      <c r="D3" s="134"/>
      <c r="E3" s="134"/>
      <c r="F3" s="134"/>
      <c r="G3" s="134"/>
      <c r="H3" s="134"/>
      <c r="I3" s="134"/>
      <c r="J3" s="123"/>
      <c r="L3" s="135" t="s">
        <v>657</v>
      </c>
      <c r="M3" s="135"/>
      <c r="N3" s="135"/>
      <c r="O3" s="135"/>
      <c r="P3" s="135"/>
      <c r="Q3" s="135"/>
      <c r="R3" s="135" t="s">
        <v>688</v>
      </c>
      <c r="S3" s="135"/>
      <c r="T3" s="135" t="s">
        <v>666</v>
      </c>
      <c r="U3" s="135"/>
      <c r="V3" s="135"/>
      <c r="W3" s="135"/>
      <c r="X3" s="135" t="s">
        <v>676</v>
      </c>
      <c r="Y3" s="135"/>
      <c r="Z3" s="135" t="s">
        <v>679</v>
      </c>
      <c r="AA3" s="135"/>
      <c r="AB3" s="135" t="s">
        <v>665</v>
      </c>
    </row>
    <row r="4" spans="1:28" ht="11.25" customHeight="1" x14ac:dyDescent="0.3">
      <c r="A4" s="134"/>
      <c r="B4" s="134"/>
      <c r="C4" s="134"/>
      <c r="D4" s="134"/>
      <c r="E4" s="134"/>
      <c r="F4" s="134"/>
      <c r="G4" s="134"/>
      <c r="H4" s="134"/>
      <c r="I4" s="134"/>
      <c r="J4" s="123"/>
      <c r="L4" s="24" t="s">
        <v>659</v>
      </c>
      <c r="M4" s="24" t="s">
        <v>685</v>
      </c>
      <c r="N4" s="24" t="s">
        <v>686</v>
      </c>
      <c r="O4" s="24" t="s">
        <v>745</v>
      </c>
      <c r="P4" s="24" t="s">
        <v>687</v>
      </c>
      <c r="Q4" s="24" t="s">
        <v>665</v>
      </c>
      <c r="R4" s="24" t="s">
        <v>689</v>
      </c>
      <c r="S4" s="24" t="s">
        <v>665</v>
      </c>
      <c r="T4" s="24" t="s">
        <v>690</v>
      </c>
      <c r="U4" s="24" t="s">
        <v>691</v>
      </c>
      <c r="V4" s="24" t="s">
        <v>692</v>
      </c>
      <c r="W4" s="24" t="s">
        <v>665</v>
      </c>
      <c r="X4" s="24" t="s">
        <v>677</v>
      </c>
      <c r="Y4" s="24" t="s">
        <v>665</v>
      </c>
      <c r="Z4" s="24" t="s">
        <v>693</v>
      </c>
      <c r="AA4" s="24" t="s">
        <v>665</v>
      </c>
      <c r="AB4" s="136"/>
    </row>
    <row r="5" spans="1:28" ht="11.25" customHeight="1" x14ac:dyDescent="0.3">
      <c r="A5" s="133" t="s">
        <v>54</v>
      </c>
      <c r="B5" s="133" t="s">
        <v>77</v>
      </c>
      <c r="C5" s="133" t="s">
        <v>25</v>
      </c>
      <c r="D5" s="133" t="s">
        <v>25</v>
      </c>
      <c r="E5" s="133" t="s">
        <v>25</v>
      </c>
      <c r="F5" s="133" t="s">
        <v>25</v>
      </c>
      <c r="G5" s="23" t="s">
        <v>79</v>
      </c>
      <c r="H5" s="23" t="s">
        <v>78</v>
      </c>
      <c r="I5" s="23">
        <f>'MERCADO TE'!$U$2</f>
        <v>0</v>
      </c>
      <c r="J5" s="15"/>
      <c r="L5" s="20">
        <v>1</v>
      </c>
      <c r="M5" s="20">
        <v>1</v>
      </c>
      <c r="N5" s="20">
        <v>1</v>
      </c>
      <c r="O5" s="20">
        <v>1</v>
      </c>
      <c r="P5" s="20">
        <v>1</v>
      </c>
      <c r="Q5" s="20"/>
      <c r="R5" s="20">
        <v>1.72</v>
      </c>
      <c r="S5" s="20"/>
      <c r="T5" s="20">
        <v>1</v>
      </c>
      <c r="U5" s="20">
        <v>1</v>
      </c>
      <c r="V5" s="20">
        <v>1</v>
      </c>
      <c r="W5" s="20"/>
      <c r="X5" s="20"/>
      <c r="Y5" s="20"/>
      <c r="Z5" s="20">
        <v>1</v>
      </c>
      <c r="AA5" s="20"/>
      <c r="AB5" s="20"/>
    </row>
    <row r="6" spans="1:28" ht="11.25" customHeight="1" x14ac:dyDescent="0.3">
      <c r="A6" s="133"/>
      <c r="B6" s="133"/>
      <c r="C6" s="133"/>
      <c r="D6" s="133"/>
      <c r="E6" s="133"/>
      <c r="F6" s="133"/>
      <c r="G6" s="23" t="s">
        <v>80</v>
      </c>
      <c r="H6" s="23" t="s">
        <v>78</v>
      </c>
      <c r="I6" s="23">
        <f>'MERCADO TE'!$U$3</f>
        <v>0</v>
      </c>
      <c r="J6" s="15"/>
      <c r="L6" s="20">
        <v>1</v>
      </c>
      <c r="M6" s="20">
        <v>1</v>
      </c>
      <c r="N6" s="20">
        <v>1</v>
      </c>
      <c r="O6" s="20">
        <v>1</v>
      </c>
      <c r="P6" s="20">
        <v>1</v>
      </c>
      <c r="Q6" s="20"/>
      <c r="R6" s="20">
        <v>1</v>
      </c>
      <c r="S6" s="20"/>
      <c r="T6" s="20">
        <v>1</v>
      </c>
      <c r="U6" s="20">
        <v>1</v>
      </c>
      <c r="V6" s="20">
        <v>1</v>
      </c>
      <c r="W6" s="20"/>
      <c r="X6" s="20"/>
      <c r="Y6" s="20"/>
      <c r="Z6" s="20">
        <v>1</v>
      </c>
      <c r="AA6" s="20"/>
      <c r="AB6" s="20"/>
    </row>
    <row r="7" spans="1:28" ht="11.25" customHeight="1" x14ac:dyDescent="0.3">
      <c r="A7" s="133" t="s">
        <v>60</v>
      </c>
      <c r="B7" s="133" t="s">
        <v>77</v>
      </c>
      <c r="C7" s="133" t="s">
        <v>25</v>
      </c>
      <c r="D7" s="133" t="s">
        <v>25</v>
      </c>
      <c r="E7" s="133" t="s">
        <v>25</v>
      </c>
      <c r="F7" s="133" t="s">
        <v>25</v>
      </c>
      <c r="G7" s="23" t="s">
        <v>79</v>
      </c>
      <c r="H7" s="23" t="s">
        <v>78</v>
      </c>
      <c r="I7" s="23">
        <f>'MERCADO TE'!$U$4</f>
        <v>0</v>
      </c>
      <c r="J7" s="15"/>
      <c r="L7" s="20">
        <v>1</v>
      </c>
      <c r="M7" s="20">
        <v>1</v>
      </c>
      <c r="N7" s="20">
        <v>1</v>
      </c>
      <c r="O7" s="20">
        <v>1</v>
      </c>
      <c r="P7" s="20">
        <v>1</v>
      </c>
      <c r="Q7" s="20"/>
      <c r="R7" s="20">
        <v>1.72</v>
      </c>
      <c r="S7" s="20"/>
      <c r="T7" s="20">
        <v>1</v>
      </c>
      <c r="U7" s="20">
        <v>1</v>
      </c>
      <c r="V7" s="20">
        <v>1</v>
      </c>
      <c r="W7" s="20"/>
      <c r="X7" s="20"/>
      <c r="Y7" s="20"/>
      <c r="Z7" s="20">
        <v>1</v>
      </c>
      <c r="AA7" s="20"/>
      <c r="AB7" s="20"/>
    </row>
    <row r="8" spans="1:28" ht="11.25" customHeight="1" x14ac:dyDescent="0.3">
      <c r="A8" s="133"/>
      <c r="B8" s="133"/>
      <c r="C8" s="133"/>
      <c r="D8" s="133"/>
      <c r="E8" s="133"/>
      <c r="F8" s="133"/>
      <c r="G8" s="23" t="s">
        <v>80</v>
      </c>
      <c r="H8" s="23" t="s">
        <v>78</v>
      </c>
      <c r="I8" s="23">
        <f>'MERCADO TE'!$U$5</f>
        <v>0</v>
      </c>
      <c r="J8" s="15"/>
      <c r="L8" s="20">
        <v>1</v>
      </c>
      <c r="M8" s="20">
        <v>1</v>
      </c>
      <c r="N8" s="20">
        <v>1</v>
      </c>
      <c r="O8" s="20">
        <v>1</v>
      </c>
      <c r="P8" s="20">
        <v>1</v>
      </c>
      <c r="Q8" s="20"/>
      <c r="R8" s="20">
        <v>1</v>
      </c>
      <c r="S8" s="20"/>
      <c r="T8" s="20">
        <v>1</v>
      </c>
      <c r="U8" s="20">
        <v>1</v>
      </c>
      <c r="V8" s="20">
        <v>1</v>
      </c>
      <c r="W8" s="20"/>
      <c r="X8" s="20"/>
      <c r="Y8" s="20"/>
      <c r="Z8" s="20">
        <v>1</v>
      </c>
      <c r="AA8" s="20"/>
      <c r="AB8" s="20"/>
    </row>
    <row r="9" spans="1:28" ht="11.25" customHeight="1" x14ac:dyDescent="0.3">
      <c r="A9" s="133" t="s">
        <v>39</v>
      </c>
      <c r="B9" s="133" t="s">
        <v>77</v>
      </c>
      <c r="C9" s="133" t="s">
        <v>25</v>
      </c>
      <c r="D9" s="133" t="s">
        <v>25</v>
      </c>
      <c r="E9" s="133" t="s">
        <v>25</v>
      </c>
      <c r="F9" s="133" t="s">
        <v>25</v>
      </c>
      <c r="G9" s="23" t="s">
        <v>79</v>
      </c>
      <c r="H9" s="23" t="s">
        <v>78</v>
      </c>
      <c r="I9" s="23">
        <f>'MERCADO TE'!$U$6</f>
        <v>5372.2169999999987</v>
      </c>
      <c r="J9" s="15"/>
      <c r="L9" s="20">
        <v>1</v>
      </c>
      <c r="M9" s="20">
        <v>1</v>
      </c>
      <c r="N9" s="20">
        <v>1</v>
      </c>
      <c r="O9" s="20">
        <v>1</v>
      </c>
      <c r="P9" s="20">
        <v>1</v>
      </c>
      <c r="Q9" s="20"/>
      <c r="R9" s="20">
        <v>1.72</v>
      </c>
      <c r="S9" s="20"/>
      <c r="T9" s="20">
        <v>1</v>
      </c>
      <c r="U9" s="20">
        <v>1</v>
      </c>
      <c r="V9" s="20">
        <v>1</v>
      </c>
      <c r="W9" s="20"/>
      <c r="X9" s="20"/>
      <c r="Y9" s="20"/>
      <c r="Z9" s="20">
        <v>1</v>
      </c>
      <c r="AA9" s="20"/>
      <c r="AB9" s="20"/>
    </row>
    <row r="10" spans="1:28" ht="11.25" customHeight="1" x14ac:dyDescent="0.3">
      <c r="A10" s="133"/>
      <c r="B10" s="133"/>
      <c r="C10" s="133"/>
      <c r="D10" s="133"/>
      <c r="E10" s="133"/>
      <c r="F10" s="133"/>
      <c r="G10" s="23" t="s">
        <v>80</v>
      </c>
      <c r="H10" s="23" t="s">
        <v>78</v>
      </c>
      <c r="I10" s="23">
        <f>'MERCADO TE'!$U$7</f>
        <v>62595.072</v>
      </c>
      <c r="J10" s="15"/>
      <c r="L10" s="20">
        <v>1</v>
      </c>
      <c r="M10" s="20">
        <v>1</v>
      </c>
      <c r="N10" s="20">
        <v>1</v>
      </c>
      <c r="O10" s="20">
        <v>1</v>
      </c>
      <c r="P10" s="20">
        <v>1</v>
      </c>
      <c r="Q10" s="20"/>
      <c r="R10" s="20">
        <v>1</v>
      </c>
      <c r="S10" s="20"/>
      <c r="T10" s="20">
        <v>1</v>
      </c>
      <c r="U10" s="20">
        <v>1</v>
      </c>
      <c r="V10" s="20">
        <v>1</v>
      </c>
      <c r="W10" s="20"/>
      <c r="X10" s="20"/>
      <c r="Y10" s="20"/>
      <c r="Z10" s="20">
        <v>1</v>
      </c>
      <c r="AA10" s="20"/>
      <c r="AB10" s="20"/>
    </row>
    <row r="11" spans="1:28" ht="11.25" customHeight="1" x14ac:dyDescent="0.3">
      <c r="A11" s="133"/>
      <c r="B11" s="22" t="s">
        <v>86</v>
      </c>
      <c r="C11" s="22" t="s">
        <v>25</v>
      </c>
      <c r="D11" s="22" t="s">
        <v>25</v>
      </c>
      <c r="E11" s="22" t="s">
        <v>25</v>
      </c>
      <c r="F11" s="22" t="s">
        <v>25</v>
      </c>
      <c r="G11" s="23" t="s">
        <v>84</v>
      </c>
      <c r="H11" s="23" t="s">
        <v>78</v>
      </c>
      <c r="I11" s="23">
        <f>'MERCADO TE'!$U$8</f>
        <v>0</v>
      </c>
      <c r="J11" s="15"/>
      <c r="L11" s="20">
        <v>1</v>
      </c>
      <c r="M11" s="20">
        <v>1</v>
      </c>
      <c r="N11" s="20">
        <v>1</v>
      </c>
      <c r="O11" s="20">
        <v>1</v>
      </c>
      <c r="P11" s="20">
        <v>1</v>
      </c>
      <c r="Q11" s="20"/>
      <c r="R11" s="20">
        <v>1.06</v>
      </c>
      <c r="S11" s="20"/>
      <c r="T11" s="20">
        <v>1</v>
      </c>
      <c r="U11" s="20">
        <v>1</v>
      </c>
      <c r="V11" s="20">
        <v>1</v>
      </c>
      <c r="W11" s="20"/>
      <c r="X11" s="20"/>
      <c r="Y11" s="20"/>
      <c r="Z11" s="20">
        <v>1</v>
      </c>
      <c r="AA11" s="20"/>
      <c r="AB11" s="20"/>
    </row>
    <row r="12" spans="1:28" ht="11.25" customHeight="1" x14ac:dyDescent="0.3">
      <c r="A12" s="133" t="s">
        <v>43</v>
      </c>
      <c r="B12" s="133" t="s">
        <v>77</v>
      </c>
      <c r="C12" s="133" t="s">
        <v>25</v>
      </c>
      <c r="D12" s="133" t="s">
        <v>25</v>
      </c>
      <c r="E12" s="133" t="s">
        <v>25</v>
      </c>
      <c r="F12" s="133" t="s">
        <v>25</v>
      </c>
      <c r="G12" s="23" t="s">
        <v>79</v>
      </c>
      <c r="H12" s="23" t="s">
        <v>78</v>
      </c>
      <c r="I12" s="23">
        <f>'MERCADO TE'!$U$9</f>
        <v>18.171000000000003</v>
      </c>
      <c r="J12" s="15"/>
      <c r="L12" s="20">
        <v>1</v>
      </c>
      <c r="M12" s="20">
        <v>1</v>
      </c>
      <c r="N12" s="20">
        <v>1</v>
      </c>
      <c r="O12" s="20">
        <v>1</v>
      </c>
      <c r="P12" s="20">
        <v>1</v>
      </c>
      <c r="Q12" s="20"/>
      <c r="R12" s="20">
        <v>1.72</v>
      </c>
      <c r="S12" s="20"/>
      <c r="T12" s="20">
        <v>1</v>
      </c>
      <c r="U12" s="20">
        <v>1</v>
      </c>
      <c r="V12" s="20">
        <v>1</v>
      </c>
      <c r="W12" s="20"/>
      <c r="X12" s="20"/>
      <c r="Y12" s="20"/>
      <c r="Z12" s="20">
        <v>1</v>
      </c>
      <c r="AA12" s="20"/>
      <c r="AB12" s="20"/>
    </row>
    <row r="13" spans="1:28" ht="11.25" customHeight="1" x14ac:dyDescent="0.3">
      <c r="A13" s="133"/>
      <c r="B13" s="133"/>
      <c r="C13" s="133"/>
      <c r="D13" s="133"/>
      <c r="E13" s="133"/>
      <c r="F13" s="133"/>
      <c r="G13" s="23" t="s">
        <v>80</v>
      </c>
      <c r="H13" s="23" t="s">
        <v>78</v>
      </c>
      <c r="I13" s="23">
        <f>'MERCADO TE'!$U$10</f>
        <v>246.76899999999998</v>
      </c>
      <c r="J13" s="15"/>
      <c r="L13" s="20">
        <v>1</v>
      </c>
      <c r="M13" s="20">
        <v>1</v>
      </c>
      <c r="N13" s="20">
        <v>1</v>
      </c>
      <c r="O13" s="20">
        <v>1</v>
      </c>
      <c r="P13" s="20">
        <v>1</v>
      </c>
      <c r="Q13" s="20"/>
      <c r="R13" s="20">
        <v>1</v>
      </c>
      <c r="S13" s="20"/>
      <c r="T13" s="20">
        <v>1</v>
      </c>
      <c r="U13" s="20">
        <v>1</v>
      </c>
      <c r="V13" s="20">
        <v>1</v>
      </c>
      <c r="W13" s="20"/>
      <c r="X13" s="20"/>
      <c r="Y13" s="20"/>
      <c r="Z13" s="20">
        <v>1</v>
      </c>
      <c r="AA13" s="20"/>
      <c r="AB13" s="20"/>
    </row>
    <row r="14" spans="1:28" ht="11.25" customHeight="1" x14ac:dyDescent="0.3">
      <c r="A14" s="133"/>
      <c r="B14" s="22" t="s">
        <v>86</v>
      </c>
      <c r="C14" s="22" t="s">
        <v>25</v>
      </c>
      <c r="D14" s="22" t="s">
        <v>25</v>
      </c>
      <c r="E14" s="22" t="s">
        <v>25</v>
      </c>
      <c r="F14" s="22" t="s">
        <v>25</v>
      </c>
      <c r="G14" s="23" t="s">
        <v>84</v>
      </c>
      <c r="H14" s="23" t="s">
        <v>78</v>
      </c>
      <c r="I14" s="23">
        <f>'MERCADO TE'!$U$11</f>
        <v>0</v>
      </c>
      <c r="J14" s="15"/>
      <c r="L14" s="20">
        <v>1</v>
      </c>
      <c r="M14" s="20">
        <v>1</v>
      </c>
      <c r="N14" s="20">
        <v>1</v>
      </c>
      <c r="O14" s="20">
        <v>1</v>
      </c>
      <c r="P14" s="20">
        <v>1</v>
      </c>
      <c r="Q14" s="20"/>
      <c r="R14" s="20">
        <v>1.06</v>
      </c>
      <c r="S14" s="20"/>
      <c r="T14" s="20">
        <v>1</v>
      </c>
      <c r="U14" s="20">
        <v>1</v>
      </c>
      <c r="V14" s="20">
        <v>1</v>
      </c>
      <c r="W14" s="20"/>
      <c r="X14" s="20"/>
      <c r="Y14" s="20"/>
      <c r="Z14" s="20">
        <v>1</v>
      </c>
      <c r="AA14" s="20"/>
      <c r="AB14" s="20"/>
    </row>
    <row r="15" spans="1:28" ht="11.25" customHeight="1" x14ac:dyDescent="0.3">
      <c r="A15" s="133" t="s">
        <v>22</v>
      </c>
      <c r="B15" s="133" t="s">
        <v>77</v>
      </c>
      <c r="C15" s="133" t="s">
        <v>24</v>
      </c>
      <c r="D15" s="133" t="s">
        <v>24</v>
      </c>
      <c r="E15" s="133" t="s">
        <v>25</v>
      </c>
      <c r="F15" s="133" t="s">
        <v>25</v>
      </c>
      <c r="G15" s="23" t="s">
        <v>79</v>
      </c>
      <c r="H15" s="23" t="s">
        <v>78</v>
      </c>
      <c r="I15" s="23">
        <f>'MERCADO TE'!$U$12</f>
        <v>16.994999999999997</v>
      </c>
      <c r="J15" s="15"/>
      <c r="L15" s="20">
        <v>1</v>
      </c>
      <c r="M15" s="20">
        <v>1</v>
      </c>
      <c r="N15" s="20">
        <v>1</v>
      </c>
      <c r="O15" s="20">
        <v>1</v>
      </c>
      <c r="P15" s="20">
        <v>1</v>
      </c>
      <c r="Q15" s="20"/>
      <c r="R15" s="20">
        <v>1.72</v>
      </c>
      <c r="S15" s="20"/>
      <c r="T15" s="20">
        <v>1</v>
      </c>
      <c r="U15" s="20">
        <v>1</v>
      </c>
      <c r="V15" s="20">
        <v>1</v>
      </c>
      <c r="W15" s="20"/>
      <c r="X15" s="20"/>
      <c r="Y15" s="20"/>
      <c r="Z15" s="20">
        <v>1</v>
      </c>
      <c r="AA15" s="20"/>
      <c r="AB15" s="20"/>
    </row>
    <row r="16" spans="1:28" ht="11.25" customHeight="1" x14ac:dyDescent="0.3">
      <c r="A16" s="133"/>
      <c r="B16" s="133"/>
      <c r="C16" s="133"/>
      <c r="D16" s="133"/>
      <c r="E16" s="133"/>
      <c r="F16" s="133"/>
      <c r="G16" s="23" t="s">
        <v>90</v>
      </c>
      <c r="H16" s="23" t="s">
        <v>78</v>
      </c>
      <c r="I16" s="23">
        <f>'MERCADO TE'!$U$13</f>
        <v>10.9</v>
      </c>
      <c r="J16" s="15"/>
      <c r="L16" s="20">
        <v>1</v>
      </c>
      <c r="M16" s="20">
        <v>1</v>
      </c>
      <c r="N16" s="20">
        <v>1</v>
      </c>
      <c r="O16" s="20">
        <v>1</v>
      </c>
      <c r="P16" s="20">
        <v>1</v>
      </c>
      <c r="Q16" s="20"/>
      <c r="R16" s="20">
        <v>1</v>
      </c>
      <c r="S16" s="20"/>
      <c r="T16" s="20">
        <v>1</v>
      </c>
      <c r="U16" s="20">
        <v>1</v>
      </c>
      <c r="V16" s="20">
        <v>1</v>
      </c>
      <c r="W16" s="20"/>
      <c r="X16" s="20"/>
      <c r="Y16" s="20"/>
      <c r="Z16" s="20">
        <v>1</v>
      </c>
      <c r="AA16" s="20"/>
      <c r="AB16" s="20"/>
    </row>
    <row r="17" spans="1:28" ht="11.25" customHeight="1" x14ac:dyDescent="0.3">
      <c r="A17" s="133"/>
      <c r="B17" s="133"/>
      <c r="C17" s="133"/>
      <c r="D17" s="133"/>
      <c r="E17" s="133"/>
      <c r="F17" s="133"/>
      <c r="G17" s="23" t="s">
        <v>80</v>
      </c>
      <c r="H17" s="23" t="s">
        <v>78</v>
      </c>
      <c r="I17" s="23">
        <f>'MERCADO TE'!$U$14</f>
        <v>127.76599999999999</v>
      </c>
      <c r="J17" s="15"/>
      <c r="L17" s="20">
        <v>1</v>
      </c>
      <c r="M17" s="20">
        <v>1</v>
      </c>
      <c r="N17" s="20">
        <v>1</v>
      </c>
      <c r="O17" s="20">
        <v>1</v>
      </c>
      <c r="P17" s="20">
        <v>1</v>
      </c>
      <c r="Q17" s="20"/>
      <c r="R17" s="20">
        <v>1</v>
      </c>
      <c r="S17" s="20"/>
      <c r="T17" s="20">
        <v>1</v>
      </c>
      <c r="U17" s="20">
        <v>1</v>
      </c>
      <c r="V17" s="20">
        <v>1</v>
      </c>
      <c r="W17" s="20"/>
      <c r="X17" s="20"/>
      <c r="Y17" s="20"/>
      <c r="Z17" s="20">
        <v>1</v>
      </c>
      <c r="AA17" s="20"/>
      <c r="AB17" s="20"/>
    </row>
    <row r="18" spans="1:28" ht="11.25" customHeight="1" x14ac:dyDescent="0.3">
      <c r="A18" s="133"/>
      <c r="B18" s="133" t="s">
        <v>86</v>
      </c>
      <c r="C18" s="133" t="s">
        <v>24</v>
      </c>
      <c r="D18" s="22" t="s">
        <v>24</v>
      </c>
      <c r="E18" s="22" t="s">
        <v>25</v>
      </c>
      <c r="F18" s="22" t="s">
        <v>25</v>
      </c>
      <c r="G18" s="23" t="s">
        <v>84</v>
      </c>
      <c r="H18" s="23" t="s">
        <v>78</v>
      </c>
      <c r="I18" s="23">
        <f>'MERCADO TE'!$U$15</f>
        <v>126554.92199999999</v>
      </c>
      <c r="J18" s="15"/>
      <c r="L18" s="20">
        <v>1</v>
      </c>
      <c r="M18" s="20">
        <v>1</v>
      </c>
      <c r="N18" s="20">
        <v>1</v>
      </c>
      <c r="O18" s="20">
        <v>1</v>
      </c>
      <c r="P18" s="20">
        <v>1</v>
      </c>
      <c r="Q18" s="20"/>
      <c r="R18" s="20">
        <v>1.06</v>
      </c>
      <c r="S18" s="20"/>
      <c r="T18" s="20">
        <v>1</v>
      </c>
      <c r="U18" s="20">
        <v>1</v>
      </c>
      <c r="V18" s="20">
        <v>1</v>
      </c>
      <c r="W18" s="20"/>
      <c r="X18" s="20"/>
      <c r="Y18" s="20"/>
      <c r="Z18" s="20">
        <v>1</v>
      </c>
      <c r="AA18" s="20"/>
      <c r="AB18" s="20"/>
    </row>
    <row r="19" spans="1:28" ht="11.25" customHeight="1" x14ac:dyDescent="0.3">
      <c r="A19" s="133"/>
      <c r="B19" s="133"/>
      <c r="C19" s="133"/>
      <c r="D19" s="22" t="s">
        <v>29</v>
      </c>
      <c r="E19" s="22" t="s">
        <v>25</v>
      </c>
      <c r="F19" s="22" t="s">
        <v>25</v>
      </c>
      <c r="G19" s="23" t="s">
        <v>84</v>
      </c>
      <c r="H19" s="23" t="s">
        <v>78</v>
      </c>
      <c r="I19" s="23">
        <f>'MERCADO TE'!$U$16</f>
        <v>2163.31</v>
      </c>
      <c r="J19" s="15"/>
      <c r="L19" s="20">
        <f>1 - CUSTOS!$M$24</f>
        <v>1</v>
      </c>
      <c r="M19" s="20">
        <f>1 - CUSTOS!$M$24</f>
        <v>1</v>
      </c>
      <c r="N19" s="20">
        <f>1 - CUSTOS!$M$24</f>
        <v>1</v>
      </c>
      <c r="O19" s="20">
        <f>1 - CUSTOS!$M$24</f>
        <v>1</v>
      </c>
      <c r="P19" s="20">
        <f>1 - CUSTOS!$M$24</f>
        <v>1</v>
      </c>
      <c r="Q19" s="20"/>
      <c r="R19" s="20">
        <f>(1 - CUSTOS!$M$24)*1.06</f>
        <v>1.06</v>
      </c>
      <c r="S19" s="20"/>
      <c r="T19" s="20">
        <f>1 - CUSTOS!$M$24</f>
        <v>1</v>
      </c>
      <c r="U19" s="20">
        <f>1 - CUSTOS!$M$24</f>
        <v>1</v>
      </c>
      <c r="V19" s="20">
        <f>1 - CUSTOS!$M$24</f>
        <v>1</v>
      </c>
      <c r="W19" s="20"/>
      <c r="X19" s="20"/>
      <c r="Y19" s="20"/>
      <c r="Z19" s="20">
        <f>1 - CUSTOS!$M$24</f>
        <v>1</v>
      </c>
      <c r="AA19" s="20"/>
      <c r="AB19" s="20"/>
    </row>
    <row r="20" spans="1:28" ht="11.25" customHeight="1" x14ac:dyDescent="0.3">
      <c r="A20" s="133"/>
      <c r="B20" s="133"/>
      <c r="C20" s="133"/>
      <c r="D20" s="22" t="s">
        <v>30</v>
      </c>
      <c r="E20" s="22" t="s">
        <v>25</v>
      </c>
      <c r="F20" s="22" t="s">
        <v>25</v>
      </c>
      <c r="G20" s="23" t="s">
        <v>84</v>
      </c>
      <c r="H20" s="23" t="s">
        <v>78</v>
      </c>
      <c r="I20" s="23">
        <f>'MERCADO TE'!$U$17</f>
        <v>4329.2419999999993</v>
      </c>
      <c r="J20" s="15"/>
      <c r="L20" s="20">
        <f>1 - CUSTOS!$M$25</f>
        <v>1</v>
      </c>
      <c r="M20" s="20">
        <f>1 - CUSTOS!$M$25</f>
        <v>1</v>
      </c>
      <c r="N20" s="20">
        <f>1 - CUSTOS!$M$25</f>
        <v>1</v>
      </c>
      <c r="O20" s="20">
        <f>1 - CUSTOS!$M$25</f>
        <v>1</v>
      </c>
      <c r="P20" s="20">
        <f>1 - CUSTOS!$M$25</f>
        <v>1</v>
      </c>
      <c r="Q20" s="20"/>
      <c r="R20" s="20">
        <f>(1 - CUSTOS!$M$25)*1.06</f>
        <v>1.06</v>
      </c>
      <c r="S20" s="20"/>
      <c r="T20" s="20">
        <f>1 - CUSTOS!$M$25</f>
        <v>1</v>
      </c>
      <c r="U20" s="20">
        <f>1 - CUSTOS!$M$25</f>
        <v>1</v>
      </c>
      <c r="V20" s="20">
        <f>1 - CUSTOS!$M$25</f>
        <v>1</v>
      </c>
      <c r="W20" s="20"/>
      <c r="X20" s="20"/>
      <c r="Y20" s="20"/>
      <c r="Z20" s="20">
        <f>1 - CUSTOS!$M$25</f>
        <v>1</v>
      </c>
      <c r="AA20" s="20"/>
      <c r="AB20" s="20"/>
    </row>
    <row r="21" spans="1:28" ht="11.25" customHeight="1" x14ac:dyDescent="0.3">
      <c r="A21" s="133"/>
      <c r="B21" s="133"/>
      <c r="C21" s="133"/>
      <c r="D21" s="22" t="s">
        <v>31</v>
      </c>
      <c r="E21" s="22" t="s">
        <v>25</v>
      </c>
      <c r="F21" s="22" t="s">
        <v>25</v>
      </c>
      <c r="G21" s="23" t="s">
        <v>84</v>
      </c>
      <c r="H21" s="23" t="s">
        <v>78</v>
      </c>
      <c r="I21" s="23">
        <f>'MERCADO TE'!$U$18</f>
        <v>3237.8510000000001</v>
      </c>
      <c r="J21" s="15"/>
      <c r="L21" s="20">
        <f>1 - CUSTOS!$M$26</f>
        <v>1</v>
      </c>
      <c r="M21" s="20">
        <f>1 - CUSTOS!$M$26</f>
        <v>1</v>
      </c>
      <c r="N21" s="20">
        <f>1 - CUSTOS!$M$26</f>
        <v>1</v>
      </c>
      <c r="O21" s="20">
        <f>1 - CUSTOS!$M$26</f>
        <v>1</v>
      </c>
      <c r="P21" s="20">
        <f>1 - CUSTOS!$M$26</f>
        <v>1</v>
      </c>
      <c r="Q21" s="20"/>
      <c r="R21" s="20">
        <f>(1 - CUSTOS!$M$26)*1.06</f>
        <v>1.06</v>
      </c>
      <c r="S21" s="20"/>
      <c r="T21" s="20">
        <f>1 - CUSTOS!$M$26</f>
        <v>1</v>
      </c>
      <c r="U21" s="20">
        <f>1 - CUSTOS!$M$26</f>
        <v>1</v>
      </c>
      <c r="V21" s="20">
        <f>1 - CUSTOS!$M$26</f>
        <v>1</v>
      </c>
      <c r="W21" s="20"/>
      <c r="X21" s="20"/>
      <c r="Y21" s="20"/>
      <c r="Z21" s="20">
        <f>1 - CUSTOS!$M$26</f>
        <v>1</v>
      </c>
      <c r="AA21" s="20"/>
      <c r="AB21" s="20"/>
    </row>
    <row r="22" spans="1:28" ht="11.25" customHeight="1" x14ac:dyDescent="0.3">
      <c r="A22" s="133"/>
      <c r="B22" s="133"/>
      <c r="C22" s="133"/>
      <c r="D22" s="22" t="s">
        <v>32</v>
      </c>
      <c r="E22" s="22" t="s">
        <v>25</v>
      </c>
      <c r="F22" s="22" t="s">
        <v>25</v>
      </c>
      <c r="G22" s="23" t="s">
        <v>84</v>
      </c>
      <c r="H22" s="23" t="s">
        <v>78</v>
      </c>
      <c r="I22" s="23">
        <f>'MERCADO TE'!$U$19</f>
        <v>633.93299999999999</v>
      </c>
      <c r="J22" s="15"/>
      <c r="L22" s="20">
        <f>1 - CUSTOS!$M$27</f>
        <v>1</v>
      </c>
      <c r="M22" s="20">
        <f>1 - CUSTOS!$M$27</f>
        <v>1</v>
      </c>
      <c r="N22" s="20">
        <f>1 - CUSTOS!$M$27</f>
        <v>1</v>
      </c>
      <c r="O22" s="20">
        <f>1 - CUSTOS!$M$27</f>
        <v>1</v>
      </c>
      <c r="P22" s="20">
        <f>1 - CUSTOS!$M$27</f>
        <v>1</v>
      </c>
      <c r="Q22" s="20"/>
      <c r="R22" s="20">
        <f>(1 - CUSTOS!$M$27)*1.06</f>
        <v>1.06</v>
      </c>
      <c r="S22" s="20"/>
      <c r="T22" s="20">
        <f>1 - CUSTOS!$M$27</f>
        <v>1</v>
      </c>
      <c r="U22" s="20">
        <f>1 - CUSTOS!$M$27</f>
        <v>1</v>
      </c>
      <c r="V22" s="20">
        <f>1 - CUSTOS!$M$27</f>
        <v>1</v>
      </c>
      <c r="W22" s="20"/>
      <c r="X22" s="20"/>
      <c r="Y22" s="20"/>
      <c r="Z22" s="20">
        <f>1 - CUSTOS!$M$27</f>
        <v>1</v>
      </c>
      <c r="AA22" s="20"/>
      <c r="AB22" s="20"/>
    </row>
    <row r="23" spans="1:28" ht="11.25" customHeight="1" x14ac:dyDescent="0.3">
      <c r="A23" s="133"/>
      <c r="B23" s="133" t="s">
        <v>91</v>
      </c>
      <c r="C23" s="133" t="s">
        <v>24</v>
      </c>
      <c r="D23" s="22" t="s">
        <v>24</v>
      </c>
      <c r="E23" s="22" t="s">
        <v>25</v>
      </c>
      <c r="F23" s="22" t="s">
        <v>25</v>
      </c>
      <c r="G23" s="23" t="s">
        <v>84</v>
      </c>
      <c r="H23" s="23" t="s">
        <v>78</v>
      </c>
      <c r="I23" s="23">
        <f>'MERCADO TE'!$U$20</f>
        <v>0</v>
      </c>
      <c r="J23" s="15"/>
      <c r="L23" s="20">
        <v>1</v>
      </c>
      <c r="M23" s="20">
        <v>1</v>
      </c>
      <c r="N23" s="20">
        <v>1</v>
      </c>
      <c r="O23" s="20">
        <v>1</v>
      </c>
      <c r="P23" s="20">
        <v>1</v>
      </c>
      <c r="Q23" s="20"/>
      <c r="R23" s="20">
        <v>1.06</v>
      </c>
      <c r="S23" s="20"/>
      <c r="T23" s="20">
        <v>1</v>
      </c>
      <c r="U23" s="20">
        <v>1</v>
      </c>
      <c r="V23" s="20">
        <v>1</v>
      </c>
      <c r="W23" s="20"/>
      <c r="X23" s="20"/>
      <c r="Y23" s="20"/>
      <c r="Z23" s="20">
        <v>1</v>
      </c>
      <c r="AA23" s="20"/>
      <c r="AB23" s="20"/>
    </row>
    <row r="24" spans="1:28" ht="11.25" customHeight="1" x14ac:dyDescent="0.3">
      <c r="A24" s="133"/>
      <c r="B24" s="133"/>
      <c r="C24" s="133"/>
      <c r="D24" s="22" t="s">
        <v>29</v>
      </c>
      <c r="E24" s="22" t="s">
        <v>25</v>
      </c>
      <c r="F24" s="22" t="s">
        <v>25</v>
      </c>
      <c r="G24" s="23" t="s">
        <v>84</v>
      </c>
      <c r="H24" s="23" t="s">
        <v>78</v>
      </c>
      <c r="I24" s="23">
        <f>'MERCADO TE'!$U$21</f>
        <v>0</v>
      </c>
      <c r="J24" s="15"/>
      <c r="L24" s="20">
        <f>1 - CUSTOS!$M$24</f>
        <v>1</v>
      </c>
      <c r="M24" s="20">
        <f>1 - CUSTOS!$M$24</f>
        <v>1</v>
      </c>
      <c r="N24" s="20">
        <f>1 - CUSTOS!$M$24</f>
        <v>1</v>
      </c>
      <c r="O24" s="20">
        <f>1 - CUSTOS!$M$24</f>
        <v>1</v>
      </c>
      <c r="P24" s="20">
        <f>1 - CUSTOS!$M$24</f>
        <v>1</v>
      </c>
      <c r="Q24" s="20"/>
      <c r="R24" s="20">
        <f>(1 - CUSTOS!$M$24)*1.06</f>
        <v>1.06</v>
      </c>
      <c r="S24" s="20"/>
      <c r="T24" s="20">
        <f>1 - CUSTOS!$M$24</f>
        <v>1</v>
      </c>
      <c r="U24" s="20">
        <f>1 - CUSTOS!$M$24</f>
        <v>1</v>
      </c>
      <c r="V24" s="20">
        <f>1 - CUSTOS!$M$24</f>
        <v>1</v>
      </c>
      <c r="W24" s="20"/>
      <c r="X24" s="20"/>
      <c r="Y24" s="20"/>
      <c r="Z24" s="20">
        <f>1 - CUSTOS!$M$24</f>
        <v>1</v>
      </c>
      <c r="AA24" s="20"/>
      <c r="AB24" s="20"/>
    </row>
    <row r="25" spans="1:28" ht="11.25" customHeight="1" x14ac:dyDescent="0.3">
      <c r="A25" s="133"/>
      <c r="B25" s="133"/>
      <c r="C25" s="133"/>
      <c r="D25" s="22" t="s">
        <v>30</v>
      </c>
      <c r="E25" s="22" t="s">
        <v>25</v>
      </c>
      <c r="F25" s="22" t="s">
        <v>25</v>
      </c>
      <c r="G25" s="23" t="s">
        <v>84</v>
      </c>
      <c r="H25" s="23" t="s">
        <v>78</v>
      </c>
      <c r="I25" s="23">
        <f>'MERCADO TE'!$U$22</f>
        <v>0</v>
      </c>
      <c r="J25" s="15"/>
      <c r="L25" s="20">
        <f>1 - CUSTOS!$M$25</f>
        <v>1</v>
      </c>
      <c r="M25" s="20">
        <f>1 - CUSTOS!$M$25</f>
        <v>1</v>
      </c>
      <c r="N25" s="20">
        <f>1 - CUSTOS!$M$25</f>
        <v>1</v>
      </c>
      <c r="O25" s="20">
        <f>1 - CUSTOS!$M$25</f>
        <v>1</v>
      </c>
      <c r="P25" s="20">
        <f>1 - CUSTOS!$M$25</f>
        <v>1</v>
      </c>
      <c r="Q25" s="20"/>
      <c r="R25" s="20">
        <f>(1 - CUSTOS!$M$25)*1.06</f>
        <v>1.06</v>
      </c>
      <c r="S25" s="20"/>
      <c r="T25" s="20">
        <f>1 - CUSTOS!$M$25</f>
        <v>1</v>
      </c>
      <c r="U25" s="20">
        <f>1 - CUSTOS!$M$25</f>
        <v>1</v>
      </c>
      <c r="V25" s="20">
        <f>1 - CUSTOS!$M$25</f>
        <v>1</v>
      </c>
      <c r="W25" s="20"/>
      <c r="X25" s="20"/>
      <c r="Y25" s="20"/>
      <c r="Z25" s="20">
        <f>1 - CUSTOS!$M$25</f>
        <v>1</v>
      </c>
      <c r="AA25" s="20"/>
      <c r="AB25" s="20"/>
    </row>
    <row r="26" spans="1:28" ht="11.25" customHeight="1" x14ac:dyDescent="0.3">
      <c r="A26" s="133"/>
      <c r="B26" s="133"/>
      <c r="C26" s="133"/>
      <c r="D26" s="22" t="s">
        <v>31</v>
      </c>
      <c r="E26" s="22" t="s">
        <v>25</v>
      </c>
      <c r="F26" s="22" t="s">
        <v>25</v>
      </c>
      <c r="G26" s="23" t="s">
        <v>84</v>
      </c>
      <c r="H26" s="23" t="s">
        <v>78</v>
      </c>
      <c r="I26" s="23">
        <f>'MERCADO TE'!$U$23</f>
        <v>0</v>
      </c>
      <c r="J26" s="15"/>
      <c r="L26" s="20">
        <f>1 - CUSTOS!$M$26</f>
        <v>1</v>
      </c>
      <c r="M26" s="20">
        <f>1 - CUSTOS!$M$26</f>
        <v>1</v>
      </c>
      <c r="N26" s="20">
        <f>1 - CUSTOS!$M$26</f>
        <v>1</v>
      </c>
      <c r="O26" s="20">
        <f>1 - CUSTOS!$M$26</f>
        <v>1</v>
      </c>
      <c r="P26" s="20">
        <f>1 - CUSTOS!$M$26</f>
        <v>1</v>
      </c>
      <c r="Q26" s="20"/>
      <c r="R26" s="20">
        <f>(1 - CUSTOS!$M$26)*1.06</f>
        <v>1.06</v>
      </c>
      <c r="S26" s="20"/>
      <c r="T26" s="20">
        <f>1 - CUSTOS!$M$26</f>
        <v>1</v>
      </c>
      <c r="U26" s="20">
        <f>1 - CUSTOS!$M$26</f>
        <v>1</v>
      </c>
      <c r="V26" s="20">
        <f>1 - CUSTOS!$M$26</f>
        <v>1</v>
      </c>
      <c r="W26" s="20"/>
      <c r="X26" s="20"/>
      <c r="Y26" s="20"/>
      <c r="Z26" s="20">
        <f>1 - CUSTOS!$M$26</f>
        <v>1</v>
      </c>
      <c r="AA26" s="20"/>
      <c r="AB26" s="20"/>
    </row>
    <row r="27" spans="1:28" ht="11.25" customHeight="1" x14ac:dyDescent="0.3">
      <c r="A27" s="133"/>
      <c r="B27" s="133"/>
      <c r="C27" s="133"/>
      <c r="D27" s="22" t="s">
        <v>32</v>
      </c>
      <c r="E27" s="22" t="s">
        <v>25</v>
      </c>
      <c r="F27" s="22" t="s">
        <v>25</v>
      </c>
      <c r="G27" s="23" t="s">
        <v>84</v>
      </c>
      <c r="H27" s="23" t="s">
        <v>78</v>
      </c>
      <c r="I27" s="23">
        <f>'MERCADO TE'!$U$24</f>
        <v>0</v>
      </c>
      <c r="J27" s="15"/>
      <c r="L27" s="20">
        <f>1 - CUSTOS!$M$27</f>
        <v>1</v>
      </c>
      <c r="M27" s="20">
        <f>1 - CUSTOS!$M$27</f>
        <v>1</v>
      </c>
      <c r="N27" s="20">
        <f>1 - CUSTOS!$M$27</f>
        <v>1</v>
      </c>
      <c r="O27" s="20">
        <f>1 - CUSTOS!$M$27</f>
        <v>1</v>
      </c>
      <c r="P27" s="20">
        <f>1 - CUSTOS!$M$27</f>
        <v>1</v>
      </c>
      <c r="Q27" s="20"/>
      <c r="R27" s="20">
        <f>(1 - CUSTOS!$M$27)*1.06</f>
        <v>1.06</v>
      </c>
      <c r="S27" s="20"/>
      <c r="T27" s="20">
        <f>1 - CUSTOS!$M$27</f>
        <v>1</v>
      </c>
      <c r="U27" s="20">
        <f>1 - CUSTOS!$M$27</f>
        <v>1</v>
      </c>
      <c r="V27" s="20">
        <f>1 - CUSTOS!$M$27</f>
        <v>1</v>
      </c>
      <c r="W27" s="20"/>
      <c r="X27" s="20"/>
      <c r="Y27" s="20"/>
      <c r="Z27" s="20">
        <f>1 - CUSTOS!$M$27</f>
        <v>1</v>
      </c>
      <c r="AA27" s="20"/>
      <c r="AB27" s="20"/>
    </row>
    <row r="28" spans="1:28" ht="11.25" customHeight="1" x14ac:dyDescent="0.3">
      <c r="A28" s="133" t="s">
        <v>44</v>
      </c>
      <c r="B28" s="133" t="s">
        <v>77</v>
      </c>
      <c r="C28" s="133" t="s">
        <v>45</v>
      </c>
      <c r="D28" s="133" t="s">
        <v>25</v>
      </c>
      <c r="E28" s="133" t="s">
        <v>25</v>
      </c>
      <c r="F28" s="133" t="s">
        <v>25</v>
      </c>
      <c r="G28" s="23" t="s">
        <v>79</v>
      </c>
      <c r="H28" s="23" t="s">
        <v>78</v>
      </c>
      <c r="I28" s="23">
        <f>'MERCADO TE'!$U$25</f>
        <v>0</v>
      </c>
      <c r="J28" s="15"/>
      <c r="L28" s="20">
        <f>1 - CUSTOS!$M$28</f>
        <v>1</v>
      </c>
      <c r="M28" s="20">
        <f>1 - CUSTOS!$M$28</f>
        <v>1</v>
      </c>
      <c r="N28" s="20">
        <f>1 - CUSTOS!$M$28</f>
        <v>1</v>
      </c>
      <c r="O28" s="20">
        <f>1 - CUSTOS!$M$28</f>
        <v>1</v>
      </c>
      <c r="P28" s="20">
        <f>1 - CUSTOS!$M$28</f>
        <v>1</v>
      </c>
      <c r="Q28" s="20"/>
      <c r="R28" s="20">
        <f>(1 - CUSTOS!$M$28)*1.72</f>
        <v>1.72</v>
      </c>
      <c r="S28" s="20"/>
      <c r="T28" s="20">
        <f>1 - CUSTOS!$M$28</f>
        <v>1</v>
      </c>
      <c r="U28" s="20">
        <f>1 - CUSTOS!$M$28</f>
        <v>1</v>
      </c>
      <c r="V28" s="20">
        <f>1 - CUSTOS!$M$28</f>
        <v>1</v>
      </c>
      <c r="W28" s="20"/>
      <c r="X28" s="20"/>
      <c r="Y28" s="20"/>
      <c r="Z28" s="20">
        <f>1 - CUSTOS!$M$28</f>
        <v>1</v>
      </c>
      <c r="AA28" s="20"/>
      <c r="AB28" s="20"/>
    </row>
    <row r="29" spans="1:28" ht="11.25" customHeight="1" x14ac:dyDescent="0.3">
      <c r="A29" s="133"/>
      <c r="B29" s="133"/>
      <c r="C29" s="133"/>
      <c r="D29" s="133"/>
      <c r="E29" s="133"/>
      <c r="F29" s="133"/>
      <c r="G29" s="23" t="s">
        <v>90</v>
      </c>
      <c r="H29" s="23" t="s">
        <v>78</v>
      </c>
      <c r="I29" s="23">
        <f>'MERCADO TE'!$U$26</f>
        <v>0</v>
      </c>
      <c r="J29" s="15"/>
      <c r="L29" s="20">
        <f>1 - CUSTOS!$M$28</f>
        <v>1</v>
      </c>
      <c r="M29" s="20">
        <f>1 - CUSTOS!$M$28</f>
        <v>1</v>
      </c>
      <c r="N29" s="20">
        <f>1 - CUSTOS!$M$28</f>
        <v>1</v>
      </c>
      <c r="O29" s="20">
        <f>1 - CUSTOS!$M$28</f>
        <v>1</v>
      </c>
      <c r="P29" s="20">
        <f>1 - CUSTOS!$M$28</f>
        <v>1</v>
      </c>
      <c r="Q29" s="20"/>
      <c r="R29" s="20">
        <f>(1 - CUSTOS!$M$28)*1</f>
        <v>1</v>
      </c>
      <c r="S29" s="20"/>
      <c r="T29" s="20">
        <f>1 - CUSTOS!$M$28</f>
        <v>1</v>
      </c>
      <c r="U29" s="20">
        <f>1 - CUSTOS!$M$28</f>
        <v>1</v>
      </c>
      <c r="V29" s="20">
        <f>1 - CUSTOS!$M$28</f>
        <v>1</v>
      </c>
      <c r="W29" s="20"/>
      <c r="X29" s="20"/>
      <c r="Y29" s="20"/>
      <c r="Z29" s="20">
        <f>1 - CUSTOS!$M$28</f>
        <v>1</v>
      </c>
      <c r="AA29" s="20"/>
      <c r="AB29" s="20"/>
    </row>
    <row r="30" spans="1:28" ht="11.25" customHeight="1" x14ac:dyDescent="0.3">
      <c r="A30" s="133"/>
      <c r="B30" s="133"/>
      <c r="C30" s="133"/>
      <c r="D30" s="133"/>
      <c r="E30" s="133"/>
      <c r="F30" s="133"/>
      <c r="G30" s="23" t="s">
        <v>80</v>
      </c>
      <c r="H30" s="23" t="s">
        <v>78</v>
      </c>
      <c r="I30" s="23">
        <f>'MERCADO TE'!$U$27</f>
        <v>0</v>
      </c>
      <c r="J30" s="15"/>
      <c r="L30" s="20">
        <f>1 - CUSTOS!$M$28</f>
        <v>1</v>
      </c>
      <c r="M30" s="20">
        <f>1 - CUSTOS!$M$28</f>
        <v>1</v>
      </c>
      <c r="N30" s="20">
        <f>1 - CUSTOS!$M$28</f>
        <v>1</v>
      </c>
      <c r="O30" s="20">
        <f>1 - CUSTOS!$M$28</f>
        <v>1</v>
      </c>
      <c r="P30" s="20">
        <f>1 - CUSTOS!$M$28</f>
        <v>1</v>
      </c>
      <c r="Q30" s="20"/>
      <c r="R30" s="20">
        <f>(1 - CUSTOS!$M$28)*1</f>
        <v>1</v>
      </c>
      <c r="S30" s="20"/>
      <c r="T30" s="20">
        <f>1 - CUSTOS!$M$28</f>
        <v>1</v>
      </c>
      <c r="U30" s="20">
        <f>1 - CUSTOS!$M$28</f>
        <v>1</v>
      </c>
      <c r="V30" s="20">
        <f>1 - CUSTOS!$M$28</f>
        <v>1</v>
      </c>
      <c r="W30" s="20"/>
      <c r="X30" s="20"/>
      <c r="Y30" s="20"/>
      <c r="Z30" s="20">
        <f>1 - CUSTOS!$M$28</f>
        <v>1</v>
      </c>
      <c r="AA30" s="20"/>
      <c r="AB30" s="20"/>
    </row>
    <row r="31" spans="1:28" ht="11.25" customHeight="1" x14ac:dyDescent="0.3">
      <c r="A31" s="133"/>
      <c r="B31" s="22" t="s">
        <v>86</v>
      </c>
      <c r="C31" s="22" t="s">
        <v>45</v>
      </c>
      <c r="D31" s="22" t="s">
        <v>25</v>
      </c>
      <c r="E31" s="22" t="s">
        <v>25</v>
      </c>
      <c r="F31" s="22" t="s">
        <v>25</v>
      </c>
      <c r="G31" s="23" t="s">
        <v>84</v>
      </c>
      <c r="H31" s="23" t="s">
        <v>78</v>
      </c>
      <c r="I31" s="23">
        <f>'MERCADO TE'!$U$28</f>
        <v>3773.6869999999999</v>
      </c>
      <c r="J31" s="15"/>
      <c r="L31" s="20">
        <f>1 - CUSTOS!$M$28</f>
        <v>1</v>
      </c>
      <c r="M31" s="20">
        <f>1 - CUSTOS!$M$28</f>
        <v>1</v>
      </c>
      <c r="N31" s="20">
        <f>1 - CUSTOS!$M$28</f>
        <v>1</v>
      </c>
      <c r="O31" s="20">
        <f>1 - CUSTOS!$M$28</f>
        <v>1</v>
      </c>
      <c r="P31" s="20">
        <f>1 - CUSTOS!$M$28</f>
        <v>1</v>
      </c>
      <c r="Q31" s="20"/>
      <c r="R31" s="20">
        <f>(1 - CUSTOS!$M$28)*1.06</f>
        <v>1.06</v>
      </c>
      <c r="S31" s="20"/>
      <c r="T31" s="20">
        <f>1 - CUSTOS!$M$28</f>
        <v>1</v>
      </c>
      <c r="U31" s="20">
        <f>1 - CUSTOS!$M$28</f>
        <v>1</v>
      </c>
      <c r="V31" s="20">
        <f>1 - CUSTOS!$M$28</f>
        <v>1</v>
      </c>
      <c r="W31" s="20"/>
      <c r="X31" s="20"/>
      <c r="Y31" s="20"/>
      <c r="Z31" s="20">
        <f>1 - CUSTOS!$M$28</f>
        <v>1</v>
      </c>
      <c r="AA31" s="20"/>
      <c r="AB31" s="20"/>
    </row>
    <row r="32" spans="1:28" ht="11.25" customHeight="1" x14ac:dyDescent="0.3">
      <c r="A32" s="133"/>
      <c r="B32" s="133" t="s">
        <v>77</v>
      </c>
      <c r="C32" s="133" t="s">
        <v>45</v>
      </c>
      <c r="D32" s="133" t="s">
        <v>93</v>
      </c>
      <c r="E32" s="133" t="s">
        <v>25</v>
      </c>
      <c r="F32" s="133" t="s">
        <v>25</v>
      </c>
      <c r="G32" s="23" t="s">
        <v>79</v>
      </c>
      <c r="H32" s="23" t="s">
        <v>78</v>
      </c>
      <c r="I32" s="23">
        <f>'MERCADO TE'!$U$29</f>
        <v>0</v>
      </c>
      <c r="J32" s="15"/>
      <c r="L32" s="20">
        <f>1 - CUSTOS!$M$29</f>
        <v>1</v>
      </c>
      <c r="M32" s="20">
        <f>1 - CUSTOS!$M$29</f>
        <v>1</v>
      </c>
      <c r="N32" s="20">
        <f>1 - CUSTOS!$M$29</f>
        <v>1</v>
      </c>
      <c r="O32" s="20">
        <f>1 - CUSTOS!$M$29</f>
        <v>1</v>
      </c>
      <c r="P32" s="20">
        <f>1 - CUSTOS!$M$29</f>
        <v>1</v>
      </c>
      <c r="Q32" s="20"/>
      <c r="R32" s="20">
        <f>(1 - CUSTOS!$M$29)*1.72</f>
        <v>1.72</v>
      </c>
      <c r="S32" s="20"/>
      <c r="T32" s="20">
        <f>1 - CUSTOS!$M$29</f>
        <v>1</v>
      </c>
      <c r="U32" s="20">
        <f>1 - CUSTOS!$M$29</f>
        <v>1</v>
      </c>
      <c r="V32" s="20">
        <f>1 - CUSTOS!$M$29</f>
        <v>1</v>
      </c>
      <c r="W32" s="20"/>
      <c r="X32" s="20"/>
      <c r="Y32" s="20"/>
      <c r="Z32" s="20">
        <f>1 - CUSTOS!$M$29</f>
        <v>1</v>
      </c>
      <c r="AA32" s="20"/>
      <c r="AB32" s="20"/>
    </row>
    <row r="33" spans="1:28" ht="11.25" customHeight="1" x14ac:dyDescent="0.3">
      <c r="A33" s="133"/>
      <c r="B33" s="133"/>
      <c r="C33" s="133"/>
      <c r="D33" s="133"/>
      <c r="E33" s="133"/>
      <c r="F33" s="133"/>
      <c r="G33" s="23" t="s">
        <v>90</v>
      </c>
      <c r="H33" s="23" t="s">
        <v>78</v>
      </c>
      <c r="I33" s="23">
        <f>'MERCADO TE'!$U$30</f>
        <v>0</v>
      </c>
      <c r="J33" s="15"/>
      <c r="L33" s="20">
        <f>1 - CUSTOS!$M$29</f>
        <v>1</v>
      </c>
      <c r="M33" s="20">
        <f>1 - CUSTOS!$M$29</f>
        <v>1</v>
      </c>
      <c r="N33" s="20">
        <f>1 - CUSTOS!$M$29</f>
        <v>1</v>
      </c>
      <c r="O33" s="20">
        <f>1 - CUSTOS!$M$29</f>
        <v>1</v>
      </c>
      <c r="P33" s="20">
        <f>1 - CUSTOS!$M$29</f>
        <v>1</v>
      </c>
      <c r="Q33" s="20"/>
      <c r="R33" s="20">
        <f>(1 - CUSTOS!$M$29)*1</f>
        <v>1</v>
      </c>
      <c r="S33" s="20"/>
      <c r="T33" s="20">
        <f>1 - CUSTOS!$M$29</f>
        <v>1</v>
      </c>
      <c r="U33" s="20">
        <f>1 - CUSTOS!$M$29</f>
        <v>1</v>
      </c>
      <c r="V33" s="20">
        <f>1 - CUSTOS!$M$29</f>
        <v>1</v>
      </c>
      <c r="W33" s="20"/>
      <c r="X33" s="20"/>
      <c r="Y33" s="20"/>
      <c r="Z33" s="20">
        <f>1 - CUSTOS!$M$29</f>
        <v>1</v>
      </c>
      <c r="AA33" s="20"/>
      <c r="AB33" s="20"/>
    </row>
    <row r="34" spans="1:28" ht="11.25" customHeight="1" x14ac:dyDescent="0.3">
      <c r="A34" s="133"/>
      <c r="B34" s="133"/>
      <c r="C34" s="133"/>
      <c r="D34" s="133"/>
      <c r="E34" s="133"/>
      <c r="F34" s="133"/>
      <c r="G34" s="23" t="s">
        <v>80</v>
      </c>
      <c r="H34" s="23" t="s">
        <v>78</v>
      </c>
      <c r="I34" s="23">
        <f>'MERCADO TE'!$U$31</f>
        <v>0</v>
      </c>
      <c r="J34" s="15"/>
      <c r="L34" s="20">
        <f>1 - CUSTOS!$M$29</f>
        <v>1</v>
      </c>
      <c r="M34" s="20">
        <f>1 - CUSTOS!$M$29</f>
        <v>1</v>
      </c>
      <c r="N34" s="20">
        <f>1 - CUSTOS!$M$29</f>
        <v>1</v>
      </c>
      <c r="O34" s="20">
        <f>1 - CUSTOS!$M$29</f>
        <v>1</v>
      </c>
      <c r="P34" s="20">
        <f>1 - CUSTOS!$M$29</f>
        <v>1</v>
      </c>
      <c r="Q34" s="20"/>
      <c r="R34" s="20">
        <f>(1 - CUSTOS!$M$29)*1</f>
        <v>1</v>
      </c>
      <c r="S34" s="20"/>
      <c r="T34" s="20">
        <f>1 - CUSTOS!$M$29</f>
        <v>1</v>
      </c>
      <c r="U34" s="20">
        <f>1 - CUSTOS!$M$29</f>
        <v>1</v>
      </c>
      <c r="V34" s="20">
        <f>1 - CUSTOS!$M$29</f>
        <v>1</v>
      </c>
      <c r="W34" s="20"/>
      <c r="X34" s="20"/>
      <c r="Y34" s="20"/>
      <c r="Z34" s="20">
        <f>1 - CUSTOS!$M$29</f>
        <v>1</v>
      </c>
      <c r="AA34" s="20"/>
      <c r="AB34" s="20"/>
    </row>
    <row r="35" spans="1:28" ht="11.25" customHeight="1" x14ac:dyDescent="0.3">
      <c r="A35" s="133"/>
      <c r="B35" s="22" t="s">
        <v>86</v>
      </c>
      <c r="C35" s="22" t="s">
        <v>45</v>
      </c>
      <c r="D35" s="22" t="s">
        <v>93</v>
      </c>
      <c r="E35" s="22" t="s">
        <v>25</v>
      </c>
      <c r="F35" s="22" t="s">
        <v>25</v>
      </c>
      <c r="G35" s="23" t="s">
        <v>84</v>
      </c>
      <c r="H35" s="23" t="s">
        <v>78</v>
      </c>
      <c r="I35" s="23">
        <f>'MERCADO TE'!$U$32</f>
        <v>0</v>
      </c>
      <c r="J35" s="15"/>
      <c r="L35" s="20">
        <f>1 - CUSTOS!$M$29</f>
        <v>1</v>
      </c>
      <c r="M35" s="20">
        <f>1 - CUSTOS!$M$29</f>
        <v>1</v>
      </c>
      <c r="N35" s="20">
        <f>1 - CUSTOS!$M$29</f>
        <v>1</v>
      </c>
      <c r="O35" s="20">
        <f>1 - CUSTOS!$M$29</f>
        <v>1</v>
      </c>
      <c r="P35" s="20">
        <f>1 - CUSTOS!$M$29</f>
        <v>1</v>
      </c>
      <c r="Q35" s="20"/>
      <c r="R35" s="20">
        <f>(1 - CUSTOS!$M$29)*1.06</f>
        <v>1.06</v>
      </c>
      <c r="S35" s="20"/>
      <c r="T35" s="20">
        <f>1 - CUSTOS!$M$29</f>
        <v>1</v>
      </c>
      <c r="U35" s="20">
        <f>1 - CUSTOS!$M$29</f>
        <v>1</v>
      </c>
      <c r="V35" s="20">
        <f>1 - CUSTOS!$M$29</f>
        <v>1</v>
      </c>
      <c r="W35" s="20"/>
      <c r="X35" s="20"/>
      <c r="Y35" s="20"/>
      <c r="Z35" s="20">
        <f>1 - CUSTOS!$M$29</f>
        <v>1</v>
      </c>
      <c r="AA35" s="20"/>
      <c r="AB35" s="20"/>
    </row>
    <row r="36" spans="1:28" ht="11.25" customHeight="1" x14ac:dyDescent="0.3">
      <c r="A36" s="133"/>
      <c r="B36" s="133" t="s">
        <v>77</v>
      </c>
      <c r="C36" s="133" t="s">
        <v>45</v>
      </c>
      <c r="D36" s="133" t="s">
        <v>94</v>
      </c>
      <c r="E36" s="133" t="s">
        <v>25</v>
      </c>
      <c r="F36" s="133" t="s">
        <v>25</v>
      </c>
      <c r="G36" s="23" t="s">
        <v>79</v>
      </c>
      <c r="H36" s="23" t="s">
        <v>78</v>
      </c>
      <c r="I36" s="23">
        <f>'MERCADO TE'!$U$33</f>
        <v>0</v>
      </c>
      <c r="J36" s="15"/>
      <c r="L36" s="20">
        <f>1 - CUSTOS!$M$30</f>
        <v>1</v>
      </c>
      <c r="M36" s="20">
        <f>1 - CUSTOS!$M$30</f>
        <v>1</v>
      </c>
      <c r="N36" s="20">
        <f>1 - CUSTOS!$M$30</f>
        <v>1</v>
      </c>
      <c r="O36" s="20">
        <f>1 - CUSTOS!$M$30</f>
        <v>1</v>
      </c>
      <c r="P36" s="20">
        <f>1 - CUSTOS!$M$30</f>
        <v>1</v>
      </c>
      <c r="Q36" s="20"/>
      <c r="R36" s="20">
        <f>(1 - CUSTOS!$M$30)*1.72</f>
        <v>1.72</v>
      </c>
      <c r="S36" s="20"/>
      <c r="T36" s="20">
        <f>1 - CUSTOS!$M$30</f>
        <v>1</v>
      </c>
      <c r="U36" s="20">
        <f>1 - CUSTOS!$M$30</f>
        <v>1</v>
      </c>
      <c r="V36" s="20">
        <f>1 - CUSTOS!$M$30</f>
        <v>1</v>
      </c>
      <c r="W36" s="20"/>
      <c r="X36" s="20"/>
      <c r="Y36" s="20"/>
      <c r="Z36" s="20">
        <f>1 - CUSTOS!$M$30</f>
        <v>1</v>
      </c>
      <c r="AA36" s="20"/>
      <c r="AB36" s="20"/>
    </row>
    <row r="37" spans="1:28" ht="11.25" customHeight="1" x14ac:dyDescent="0.3">
      <c r="A37" s="133"/>
      <c r="B37" s="133"/>
      <c r="C37" s="133"/>
      <c r="D37" s="133"/>
      <c r="E37" s="133"/>
      <c r="F37" s="133"/>
      <c r="G37" s="23" t="s">
        <v>90</v>
      </c>
      <c r="H37" s="23" t="s">
        <v>78</v>
      </c>
      <c r="I37" s="23">
        <f>'MERCADO TE'!$U$34</f>
        <v>0</v>
      </c>
      <c r="J37" s="15"/>
      <c r="L37" s="20">
        <f>1 - CUSTOS!$M$30</f>
        <v>1</v>
      </c>
      <c r="M37" s="20">
        <f>1 - CUSTOS!$M$30</f>
        <v>1</v>
      </c>
      <c r="N37" s="20">
        <f>1 - CUSTOS!$M$30</f>
        <v>1</v>
      </c>
      <c r="O37" s="20">
        <f>1 - CUSTOS!$M$30</f>
        <v>1</v>
      </c>
      <c r="P37" s="20">
        <f>1 - CUSTOS!$M$30</f>
        <v>1</v>
      </c>
      <c r="Q37" s="20"/>
      <c r="R37" s="20">
        <f>(1 - CUSTOS!$M$30)*1</f>
        <v>1</v>
      </c>
      <c r="S37" s="20"/>
      <c r="T37" s="20">
        <f>1 - CUSTOS!$M$30</f>
        <v>1</v>
      </c>
      <c r="U37" s="20">
        <f>1 - CUSTOS!$M$30</f>
        <v>1</v>
      </c>
      <c r="V37" s="20">
        <f>1 - CUSTOS!$M$30</f>
        <v>1</v>
      </c>
      <c r="W37" s="20"/>
      <c r="X37" s="20"/>
      <c r="Y37" s="20"/>
      <c r="Z37" s="20">
        <f>1 - CUSTOS!$M$30</f>
        <v>1</v>
      </c>
      <c r="AA37" s="20"/>
      <c r="AB37" s="20"/>
    </row>
    <row r="38" spans="1:28" ht="11.25" customHeight="1" x14ac:dyDescent="0.3">
      <c r="A38" s="133"/>
      <c r="B38" s="133"/>
      <c r="C38" s="133"/>
      <c r="D38" s="133"/>
      <c r="E38" s="133"/>
      <c r="F38" s="133"/>
      <c r="G38" s="23" t="s">
        <v>80</v>
      </c>
      <c r="H38" s="23" t="s">
        <v>78</v>
      </c>
      <c r="I38" s="23">
        <f>'MERCADO TE'!$U$35</f>
        <v>0</v>
      </c>
      <c r="J38" s="15"/>
      <c r="L38" s="20">
        <f>1 - CUSTOS!$M$30</f>
        <v>1</v>
      </c>
      <c r="M38" s="20">
        <f>1 - CUSTOS!$M$30</f>
        <v>1</v>
      </c>
      <c r="N38" s="20">
        <f>1 - CUSTOS!$M$30</f>
        <v>1</v>
      </c>
      <c r="O38" s="20">
        <f>1 - CUSTOS!$M$30</f>
        <v>1</v>
      </c>
      <c r="P38" s="20">
        <f>1 - CUSTOS!$M$30</f>
        <v>1</v>
      </c>
      <c r="Q38" s="20"/>
      <c r="R38" s="20">
        <f>(1 - CUSTOS!$M$30)*1</f>
        <v>1</v>
      </c>
      <c r="S38" s="20"/>
      <c r="T38" s="20">
        <f>1 - CUSTOS!$M$30</f>
        <v>1</v>
      </c>
      <c r="U38" s="20">
        <f>1 - CUSTOS!$M$30</f>
        <v>1</v>
      </c>
      <c r="V38" s="20">
        <f>1 - CUSTOS!$M$30</f>
        <v>1</v>
      </c>
      <c r="W38" s="20"/>
      <c r="X38" s="20"/>
      <c r="Y38" s="20"/>
      <c r="Z38" s="20">
        <f>1 - CUSTOS!$M$30</f>
        <v>1</v>
      </c>
      <c r="AA38" s="20"/>
      <c r="AB38" s="20"/>
    </row>
    <row r="39" spans="1:28" ht="11.25" customHeight="1" x14ac:dyDescent="0.3">
      <c r="A39" s="133"/>
      <c r="B39" s="22" t="s">
        <v>86</v>
      </c>
      <c r="C39" s="22" t="s">
        <v>45</v>
      </c>
      <c r="D39" s="22" t="s">
        <v>94</v>
      </c>
      <c r="E39" s="22" t="s">
        <v>25</v>
      </c>
      <c r="F39" s="22" t="s">
        <v>25</v>
      </c>
      <c r="G39" s="23" t="s">
        <v>84</v>
      </c>
      <c r="H39" s="23" t="s">
        <v>78</v>
      </c>
      <c r="I39" s="23">
        <f>'MERCADO TE'!$U$36</f>
        <v>0</v>
      </c>
      <c r="J39" s="15"/>
      <c r="L39" s="20">
        <f>1 - CUSTOS!$M$30</f>
        <v>1</v>
      </c>
      <c r="M39" s="20">
        <f>1 - CUSTOS!$M$30</f>
        <v>1</v>
      </c>
      <c r="N39" s="20">
        <f>1 - CUSTOS!$M$30</f>
        <v>1</v>
      </c>
      <c r="O39" s="20">
        <f>1 - CUSTOS!$M$30</f>
        <v>1</v>
      </c>
      <c r="P39" s="20">
        <f>1 - CUSTOS!$M$30</f>
        <v>1</v>
      </c>
      <c r="Q39" s="20"/>
      <c r="R39" s="20">
        <f>(1 - CUSTOS!$M$30)*1.06</f>
        <v>1.06</v>
      </c>
      <c r="S39" s="20"/>
      <c r="T39" s="20">
        <f>1 - CUSTOS!$M$30</f>
        <v>1</v>
      </c>
      <c r="U39" s="20">
        <f>1 - CUSTOS!$M$30</f>
        <v>1</v>
      </c>
      <c r="V39" s="20">
        <f>1 - CUSTOS!$M$30</f>
        <v>1</v>
      </c>
      <c r="W39" s="20"/>
      <c r="X39" s="20"/>
      <c r="Y39" s="20"/>
      <c r="Z39" s="20">
        <f>1 - CUSTOS!$M$30</f>
        <v>1</v>
      </c>
      <c r="AA39" s="20"/>
      <c r="AB39" s="20"/>
    </row>
    <row r="40" spans="1:28" ht="11.25" customHeight="1" x14ac:dyDescent="0.3">
      <c r="A40" s="133"/>
      <c r="B40" s="133" t="s">
        <v>91</v>
      </c>
      <c r="C40" s="133" t="s">
        <v>45</v>
      </c>
      <c r="D40" s="22" t="s">
        <v>25</v>
      </c>
      <c r="E40" s="22" t="s">
        <v>25</v>
      </c>
      <c r="F40" s="22" t="s">
        <v>25</v>
      </c>
      <c r="G40" s="23" t="s">
        <v>84</v>
      </c>
      <c r="H40" s="23" t="s">
        <v>78</v>
      </c>
      <c r="I40" s="23">
        <f>'MERCADO TE'!$U$37</f>
        <v>0</v>
      </c>
      <c r="J40" s="15"/>
      <c r="L40" s="20">
        <f>1 - CUSTOS!$M$28</f>
        <v>1</v>
      </c>
      <c r="M40" s="20">
        <f>1 - CUSTOS!$M$28</f>
        <v>1</v>
      </c>
      <c r="N40" s="20">
        <f>1 - CUSTOS!$M$28</f>
        <v>1</v>
      </c>
      <c r="O40" s="20">
        <f>1 - CUSTOS!$M$28</f>
        <v>1</v>
      </c>
      <c r="P40" s="20">
        <f>1 - CUSTOS!$M$28</f>
        <v>1</v>
      </c>
      <c r="Q40" s="20"/>
      <c r="R40" s="20">
        <f>(1 - CUSTOS!$M$28)*1.06</f>
        <v>1.06</v>
      </c>
      <c r="S40" s="20"/>
      <c r="T40" s="20">
        <f>1 - CUSTOS!$M$28</f>
        <v>1</v>
      </c>
      <c r="U40" s="20">
        <f>1 - CUSTOS!$M$28</f>
        <v>1</v>
      </c>
      <c r="V40" s="20">
        <f>1 - CUSTOS!$M$28</f>
        <v>1</v>
      </c>
      <c r="W40" s="20"/>
      <c r="X40" s="20"/>
      <c r="Y40" s="20"/>
      <c r="Z40" s="20">
        <f>1 - CUSTOS!$M$28</f>
        <v>1</v>
      </c>
      <c r="AA40" s="20"/>
      <c r="AB40" s="20"/>
    </row>
    <row r="41" spans="1:28" ht="11.25" customHeight="1" x14ac:dyDescent="0.3">
      <c r="A41" s="133"/>
      <c r="B41" s="133"/>
      <c r="C41" s="133"/>
      <c r="D41" s="22" t="s">
        <v>93</v>
      </c>
      <c r="E41" s="22" t="s">
        <v>25</v>
      </c>
      <c r="F41" s="22" t="s">
        <v>25</v>
      </c>
      <c r="G41" s="23" t="s">
        <v>84</v>
      </c>
      <c r="H41" s="23" t="s">
        <v>78</v>
      </c>
      <c r="I41" s="23">
        <f>'MERCADO TE'!$U$38</f>
        <v>0</v>
      </c>
      <c r="J41" s="15"/>
      <c r="L41" s="20">
        <f>1 - CUSTOS!$M$29</f>
        <v>1</v>
      </c>
      <c r="M41" s="20">
        <f>1 - CUSTOS!$M$29</f>
        <v>1</v>
      </c>
      <c r="N41" s="20">
        <f>1 - CUSTOS!$M$29</f>
        <v>1</v>
      </c>
      <c r="O41" s="20">
        <f>1 - CUSTOS!$M$29</f>
        <v>1</v>
      </c>
      <c r="P41" s="20">
        <f>1 - CUSTOS!$M$29</f>
        <v>1</v>
      </c>
      <c r="Q41" s="20"/>
      <c r="R41" s="20">
        <f>(1 - CUSTOS!$M$29)*1.06</f>
        <v>1.06</v>
      </c>
      <c r="S41" s="20"/>
      <c r="T41" s="20">
        <f>1 - CUSTOS!$M$29</f>
        <v>1</v>
      </c>
      <c r="U41" s="20">
        <f>1 - CUSTOS!$M$29</f>
        <v>1</v>
      </c>
      <c r="V41" s="20">
        <f>1 - CUSTOS!$M$29</f>
        <v>1</v>
      </c>
      <c r="W41" s="20"/>
      <c r="X41" s="20"/>
      <c r="Y41" s="20"/>
      <c r="Z41" s="20">
        <f>1 - CUSTOS!$M$29</f>
        <v>1</v>
      </c>
      <c r="AA41" s="20"/>
      <c r="AB41" s="20"/>
    </row>
    <row r="42" spans="1:28" ht="11.25" customHeight="1" x14ac:dyDescent="0.3">
      <c r="A42" s="133"/>
      <c r="B42" s="133"/>
      <c r="C42" s="133"/>
      <c r="D42" s="22" t="s">
        <v>94</v>
      </c>
      <c r="E42" s="22" t="s">
        <v>25</v>
      </c>
      <c r="F42" s="22" t="s">
        <v>25</v>
      </c>
      <c r="G42" s="23" t="s">
        <v>84</v>
      </c>
      <c r="H42" s="23" t="s">
        <v>78</v>
      </c>
      <c r="I42" s="23">
        <f>'MERCADO TE'!$U$39</f>
        <v>0</v>
      </c>
      <c r="J42" s="15"/>
      <c r="L42" s="20">
        <f>1 - CUSTOS!$M$30</f>
        <v>1</v>
      </c>
      <c r="M42" s="20">
        <f>1 - CUSTOS!$M$30</f>
        <v>1</v>
      </c>
      <c r="N42" s="20">
        <f>1 - CUSTOS!$M$30</f>
        <v>1</v>
      </c>
      <c r="O42" s="20">
        <f>1 - CUSTOS!$M$30</f>
        <v>1</v>
      </c>
      <c r="P42" s="20">
        <f>1 - CUSTOS!$M$30</f>
        <v>1</v>
      </c>
      <c r="Q42" s="20"/>
      <c r="R42" s="20">
        <f>(1 - CUSTOS!$M$30)*1.06</f>
        <v>1.06</v>
      </c>
      <c r="S42" s="20"/>
      <c r="T42" s="20">
        <f>1 - CUSTOS!$M$30</f>
        <v>1</v>
      </c>
      <c r="U42" s="20">
        <f>1 - CUSTOS!$M$30</f>
        <v>1</v>
      </c>
      <c r="V42" s="20">
        <f>1 - CUSTOS!$M$30</f>
        <v>1</v>
      </c>
      <c r="W42" s="20"/>
      <c r="X42" s="20"/>
      <c r="Y42" s="20"/>
      <c r="Z42" s="20">
        <f>1 - CUSTOS!$M$30</f>
        <v>1</v>
      </c>
      <c r="AA42" s="20"/>
      <c r="AB42" s="20"/>
    </row>
    <row r="43" spans="1:28" ht="11.25" customHeight="1" x14ac:dyDescent="0.3">
      <c r="A43" s="133" t="s">
        <v>37</v>
      </c>
      <c r="B43" s="133" t="s">
        <v>77</v>
      </c>
      <c r="C43" s="133" t="s">
        <v>25</v>
      </c>
      <c r="D43" s="133" t="s">
        <v>25</v>
      </c>
      <c r="E43" s="133" t="s">
        <v>25</v>
      </c>
      <c r="F43" s="133" t="s">
        <v>25</v>
      </c>
      <c r="G43" s="23" t="s">
        <v>79</v>
      </c>
      <c r="H43" s="23" t="s">
        <v>78</v>
      </c>
      <c r="I43" s="23">
        <f>'MERCADO TE'!$U$40</f>
        <v>22.301000000000002</v>
      </c>
      <c r="J43" s="15"/>
      <c r="L43" s="20">
        <f>1 - CUSTOS!$M$31</f>
        <v>1</v>
      </c>
      <c r="M43" s="20">
        <f>1 - CUSTOS!$M$31</f>
        <v>1</v>
      </c>
      <c r="N43" s="20">
        <f>1 - CUSTOS!$M$31</f>
        <v>1</v>
      </c>
      <c r="O43" s="20">
        <f>1 - CUSTOS!$M$31</f>
        <v>1</v>
      </c>
      <c r="P43" s="20">
        <f>1 - CUSTOS!$M$31</f>
        <v>1</v>
      </c>
      <c r="Q43" s="20"/>
      <c r="R43" s="20">
        <f>(1 - CUSTOS!$M$31)*1.72</f>
        <v>1.72</v>
      </c>
      <c r="S43" s="20"/>
      <c r="T43" s="20">
        <f>1 - CUSTOS!$M$31</f>
        <v>1</v>
      </c>
      <c r="U43" s="20">
        <f>1 - CUSTOS!$M$31</f>
        <v>1</v>
      </c>
      <c r="V43" s="20">
        <f>1 - CUSTOS!$M$31</f>
        <v>1</v>
      </c>
      <c r="W43" s="20"/>
      <c r="X43" s="20"/>
      <c r="Y43" s="20"/>
      <c r="Z43" s="20">
        <f>1 - CUSTOS!$M$31</f>
        <v>1</v>
      </c>
      <c r="AA43" s="20"/>
      <c r="AB43" s="20"/>
    </row>
    <row r="44" spans="1:28" ht="11.25" customHeight="1" x14ac:dyDescent="0.3">
      <c r="A44" s="133"/>
      <c r="B44" s="133"/>
      <c r="C44" s="133"/>
      <c r="D44" s="133"/>
      <c r="E44" s="133"/>
      <c r="F44" s="133"/>
      <c r="G44" s="23" t="s">
        <v>90</v>
      </c>
      <c r="H44" s="23" t="s">
        <v>78</v>
      </c>
      <c r="I44" s="23">
        <f>'MERCADO TE'!$U$41</f>
        <v>24.489000000000001</v>
      </c>
      <c r="J44" s="15"/>
      <c r="L44" s="20">
        <f>1 - CUSTOS!$M$31</f>
        <v>1</v>
      </c>
      <c r="M44" s="20">
        <f>1 - CUSTOS!$M$31</f>
        <v>1</v>
      </c>
      <c r="N44" s="20">
        <f>1 - CUSTOS!$M$31</f>
        <v>1</v>
      </c>
      <c r="O44" s="20">
        <f>1 - CUSTOS!$M$31</f>
        <v>1</v>
      </c>
      <c r="P44" s="20">
        <f>1 - CUSTOS!$M$31</f>
        <v>1</v>
      </c>
      <c r="Q44" s="20"/>
      <c r="R44" s="20">
        <f>(1 - CUSTOS!$M$31)*1</f>
        <v>1</v>
      </c>
      <c r="S44" s="20"/>
      <c r="T44" s="20">
        <f>1 - CUSTOS!$M$31</f>
        <v>1</v>
      </c>
      <c r="U44" s="20">
        <f>1 - CUSTOS!$M$31</f>
        <v>1</v>
      </c>
      <c r="V44" s="20">
        <f>1 - CUSTOS!$M$31</f>
        <v>1</v>
      </c>
      <c r="W44" s="20"/>
      <c r="X44" s="20"/>
      <c r="Y44" s="20"/>
      <c r="Z44" s="20">
        <f>1 - CUSTOS!$M$31</f>
        <v>1</v>
      </c>
      <c r="AA44" s="20"/>
      <c r="AB44" s="20"/>
    </row>
    <row r="45" spans="1:28" ht="11.25" customHeight="1" x14ac:dyDescent="0.3">
      <c r="A45" s="133"/>
      <c r="B45" s="133"/>
      <c r="C45" s="133"/>
      <c r="D45" s="133"/>
      <c r="E45" s="133"/>
      <c r="F45" s="133"/>
      <c r="G45" s="23" t="s">
        <v>80</v>
      </c>
      <c r="H45" s="23" t="s">
        <v>78</v>
      </c>
      <c r="I45" s="23">
        <f>'MERCADO TE'!$U$42</f>
        <v>464.17199999999997</v>
      </c>
      <c r="J45" s="15"/>
      <c r="L45" s="20">
        <f>1 - CUSTOS!$M$31</f>
        <v>1</v>
      </c>
      <c r="M45" s="20">
        <f>1 - CUSTOS!$M$31</f>
        <v>1</v>
      </c>
      <c r="N45" s="20">
        <f>1 - CUSTOS!$M$31</f>
        <v>1</v>
      </c>
      <c r="O45" s="20">
        <f>1 - CUSTOS!$M$31</f>
        <v>1</v>
      </c>
      <c r="P45" s="20">
        <f>1 - CUSTOS!$M$31</f>
        <v>1</v>
      </c>
      <c r="Q45" s="20"/>
      <c r="R45" s="20">
        <f>(1 - CUSTOS!$M$31)*1</f>
        <v>1</v>
      </c>
      <c r="S45" s="20"/>
      <c r="T45" s="20">
        <f>1 - CUSTOS!$M$31</f>
        <v>1</v>
      </c>
      <c r="U45" s="20">
        <f>1 - CUSTOS!$M$31</f>
        <v>1</v>
      </c>
      <c r="V45" s="20">
        <f>1 - CUSTOS!$M$31</f>
        <v>1</v>
      </c>
      <c r="W45" s="20"/>
      <c r="X45" s="20"/>
      <c r="Y45" s="20"/>
      <c r="Z45" s="20">
        <f>1 - CUSTOS!$M$31</f>
        <v>1</v>
      </c>
      <c r="AA45" s="20"/>
      <c r="AB45" s="20"/>
    </row>
    <row r="46" spans="1:28" ht="11.25" customHeight="1" x14ac:dyDescent="0.3">
      <c r="A46" s="133"/>
      <c r="B46" s="22" t="s">
        <v>86</v>
      </c>
      <c r="C46" s="22" t="s">
        <v>25</v>
      </c>
      <c r="D46" s="22" t="s">
        <v>25</v>
      </c>
      <c r="E46" s="22" t="s">
        <v>25</v>
      </c>
      <c r="F46" s="22" t="s">
        <v>25</v>
      </c>
      <c r="G46" s="23" t="s">
        <v>84</v>
      </c>
      <c r="H46" s="23" t="s">
        <v>78</v>
      </c>
      <c r="I46" s="23">
        <f>'MERCADO TE'!$U$43</f>
        <v>47738.307000000001</v>
      </c>
      <c r="J46" s="15"/>
      <c r="L46" s="20">
        <f>1 - CUSTOS!$M$31</f>
        <v>1</v>
      </c>
      <c r="M46" s="20">
        <f>1 - CUSTOS!$M$31</f>
        <v>1</v>
      </c>
      <c r="N46" s="20">
        <f>1 - CUSTOS!$M$31</f>
        <v>1</v>
      </c>
      <c r="O46" s="20">
        <f>1 - CUSTOS!$M$31</f>
        <v>1</v>
      </c>
      <c r="P46" s="20">
        <f>1 - CUSTOS!$M$31</f>
        <v>1</v>
      </c>
      <c r="Q46" s="20"/>
      <c r="R46" s="20">
        <f>(1 - CUSTOS!$M$31)*1.06</f>
        <v>1.06</v>
      </c>
      <c r="S46" s="20"/>
      <c r="T46" s="20">
        <f>1 - CUSTOS!$M$31</f>
        <v>1</v>
      </c>
      <c r="U46" s="20">
        <f>1 - CUSTOS!$M$31</f>
        <v>1</v>
      </c>
      <c r="V46" s="20">
        <f>1 - CUSTOS!$M$31</f>
        <v>1</v>
      </c>
      <c r="W46" s="20"/>
      <c r="X46" s="20"/>
      <c r="Y46" s="20"/>
      <c r="Z46" s="20">
        <f>1 - CUSTOS!$M$31</f>
        <v>1</v>
      </c>
      <c r="AA46" s="20"/>
      <c r="AB46" s="20"/>
    </row>
    <row r="47" spans="1:28" ht="11.25" customHeight="1" x14ac:dyDescent="0.3">
      <c r="A47" s="133"/>
      <c r="B47" s="22" t="s">
        <v>91</v>
      </c>
      <c r="C47" s="22" t="s">
        <v>25</v>
      </c>
      <c r="D47" s="22" t="s">
        <v>25</v>
      </c>
      <c r="E47" s="22" t="s">
        <v>25</v>
      </c>
      <c r="F47" s="22" t="s">
        <v>25</v>
      </c>
      <c r="G47" s="23" t="s">
        <v>84</v>
      </c>
      <c r="H47" s="23" t="s">
        <v>78</v>
      </c>
      <c r="I47" s="23">
        <f>'MERCADO TE'!$U$44</f>
        <v>0</v>
      </c>
      <c r="J47" s="15"/>
      <c r="L47" s="20">
        <f>1 - CUSTOS!$M$31</f>
        <v>1</v>
      </c>
      <c r="M47" s="20">
        <f>1 - CUSTOS!$M$31</f>
        <v>1</v>
      </c>
      <c r="N47" s="20">
        <f>1 - CUSTOS!$M$31</f>
        <v>1</v>
      </c>
      <c r="O47" s="20">
        <f>1 - CUSTOS!$M$31</f>
        <v>1</v>
      </c>
      <c r="P47" s="20">
        <f>1 - CUSTOS!$M$31</f>
        <v>1</v>
      </c>
      <c r="Q47" s="20"/>
      <c r="R47" s="20">
        <f>(1 - CUSTOS!$M$31)*1.06</f>
        <v>1.06</v>
      </c>
      <c r="S47" s="20"/>
      <c r="T47" s="20">
        <f>1 - CUSTOS!$M$31</f>
        <v>1</v>
      </c>
      <c r="U47" s="20">
        <f>1 - CUSTOS!$M$31</f>
        <v>1</v>
      </c>
      <c r="V47" s="20">
        <f>1 - CUSTOS!$M$31</f>
        <v>1</v>
      </c>
      <c r="W47" s="20"/>
      <c r="X47" s="20"/>
      <c r="Y47" s="20"/>
      <c r="Z47" s="20">
        <f>1 - CUSTOS!$M$31</f>
        <v>1</v>
      </c>
      <c r="AA47" s="20"/>
      <c r="AB47" s="20"/>
    </row>
    <row r="48" spans="1:28" ht="11.25" customHeight="1" x14ac:dyDescent="0.3">
      <c r="A48" s="133" t="s">
        <v>47</v>
      </c>
      <c r="B48" s="133" t="s">
        <v>86</v>
      </c>
      <c r="C48" s="133" t="s">
        <v>48</v>
      </c>
      <c r="D48" s="22" t="s">
        <v>49</v>
      </c>
      <c r="E48" s="22" t="s">
        <v>25</v>
      </c>
      <c r="F48" s="22" t="s">
        <v>25</v>
      </c>
      <c r="G48" s="23" t="s">
        <v>84</v>
      </c>
      <c r="H48" s="23" t="s">
        <v>78</v>
      </c>
      <c r="I48" s="23">
        <f>'MERCADO TE'!$U$45</f>
        <v>19654.344999999998</v>
      </c>
      <c r="J48" s="15"/>
      <c r="L48" s="20">
        <f>1 - CUSTOS!$M$32</f>
        <v>0.55000000000000004</v>
      </c>
      <c r="M48" s="20">
        <f>1 - CUSTOS!$M$32</f>
        <v>0.55000000000000004</v>
      </c>
      <c r="N48" s="20">
        <f>1 - CUSTOS!$M$32</f>
        <v>0.55000000000000004</v>
      </c>
      <c r="O48" s="20">
        <f>1 - CUSTOS!$M$32</f>
        <v>0.55000000000000004</v>
      </c>
      <c r="P48" s="20">
        <f>1 - CUSTOS!$M$32</f>
        <v>0.55000000000000004</v>
      </c>
      <c r="Q48" s="20"/>
      <c r="R48" s="20">
        <f>(1 - CUSTOS!$M$32)*1.06</f>
        <v>0.58300000000000007</v>
      </c>
      <c r="S48" s="20"/>
      <c r="T48" s="20">
        <f>1 - CUSTOS!$M$32</f>
        <v>0.55000000000000004</v>
      </c>
      <c r="U48" s="20">
        <f>1 - CUSTOS!$M$32</f>
        <v>0.55000000000000004</v>
      </c>
      <c r="V48" s="20">
        <f>1 - CUSTOS!$M$32</f>
        <v>0.55000000000000004</v>
      </c>
      <c r="W48" s="20"/>
      <c r="X48" s="20"/>
      <c r="Y48" s="20"/>
      <c r="Z48" s="20">
        <f>1 - CUSTOS!$M$32</f>
        <v>0.55000000000000004</v>
      </c>
      <c r="AA48" s="20"/>
      <c r="AB48" s="20"/>
    </row>
    <row r="49" spans="1:28" ht="11.25" customHeight="1" x14ac:dyDescent="0.3">
      <c r="A49" s="133"/>
      <c r="B49" s="133"/>
      <c r="C49" s="133"/>
      <c r="D49" s="23" t="s">
        <v>95</v>
      </c>
      <c r="E49" s="23" t="s">
        <v>25</v>
      </c>
      <c r="F49" s="23" t="s">
        <v>25</v>
      </c>
      <c r="G49" s="23" t="s">
        <v>84</v>
      </c>
      <c r="H49" s="23" t="s">
        <v>78</v>
      </c>
      <c r="I49" s="23">
        <f>'MERCADO TE'!$U$46</f>
        <v>0</v>
      </c>
      <c r="J49" s="15"/>
      <c r="L49" s="20">
        <f>1 - CUSTOS!$M$33</f>
        <v>0.6</v>
      </c>
      <c r="M49" s="20">
        <f>1 - CUSTOS!$M$33</f>
        <v>0.6</v>
      </c>
      <c r="N49" s="20">
        <f>1 - CUSTOS!$M$33</f>
        <v>0.6</v>
      </c>
      <c r="O49" s="20">
        <f>1 - CUSTOS!$M$33</f>
        <v>0.6</v>
      </c>
      <c r="P49" s="20">
        <f>1 - CUSTOS!$M$33</f>
        <v>0.6</v>
      </c>
      <c r="Q49" s="20"/>
      <c r="R49" s="20">
        <f>(1 - CUSTOS!$M$33)*1.06</f>
        <v>0.63600000000000001</v>
      </c>
      <c r="S49" s="20"/>
      <c r="T49" s="20">
        <f>1 - CUSTOS!$M$33</f>
        <v>0.6</v>
      </c>
      <c r="U49" s="20">
        <f>1 - CUSTOS!$M$33</f>
        <v>0.6</v>
      </c>
      <c r="V49" s="20">
        <f>1 - CUSTOS!$M$33</f>
        <v>0.6</v>
      </c>
      <c r="W49" s="20"/>
      <c r="X49" s="20"/>
      <c r="Y49" s="20"/>
      <c r="Z49" s="20">
        <f>1 - CUSTOS!$M$33</f>
        <v>0.6</v>
      </c>
      <c r="AA49" s="20"/>
      <c r="AB49" s="20"/>
    </row>
    <row r="51" spans="1:28" ht="11.25" customHeight="1" x14ac:dyDescent="0.3">
      <c r="K51" s="25" t="s">
        <v>779</v>
      </c>
      <c r="L51" s="20">
        <f t="shared" ref="L51:AB51" si="0">SUMPRODUCT($I$5:$I$49,L$5:L$49)</f>
        <v>268139.99374999997</v>
      </c>
      <c r="M51" s="20">
        <f t="shared" si="0"/>
        <v>268139.99374999997</v>
      </c>
      <c r="N51" s="20">
        <f t="shared" si="0"/>
        <v>268139.99374999997</v>
      </c>
      <c r="O51" s="20">
        <f t="shared" si="0"/>
        <v>268139.99374999997</v>
      </c>
      <c r="P51" s="20">
        <f t="shared" si="0"/>
        <v>268139.99374999997</v>
      </c>
      <c r="Q51" s="20">
        <f t="shared" si="0"/>
        <v>0</v>
      </c>
      <c r="R51" s="20">
        <f t="shared" si="0"/>
        <v>284003.83473499992</v>
      </c>
      <c r="S51" s="20">
        <f t="shared" si="0"/>
        <v>0</v>
      </c>
      <c r="T51" s="20">
        <f t="shared" si="0"/>
        <v>268139.99374999997</v>
      </c>
      <c r="U51" s="20">
        <f t="shared" si="0"/>
        <v>268139.99374999997</v>
      </c>
      <c r="V51" s="20">
        <f t="shared" si="0"/>
        <v>268139.99374999997</v>
      </c>
      <c r="W51" s="20">
        <f t="shared" si="0"/>
        <v>0</v>
      </c>
      <c r="X51" s="20">
        <f t="shared" si="0"/>
        <v>0</v>
      </c>
      <c r="Y51" s="20">
        <f t="shared" si="0"/>
        <v>0</v>
      </c>
      <c r="Z51" s="20">
        <f t="shared" si="0"/>
        <v>268139.99374999997</v>
      </c>
      <c r="AA51" s="20">
        <f t="shared" si="0"/>
        <v>0</v>
      </c>
      <c r="AB51" s="20">
        <f t="shared" si="0"/>
        <v>0</v>
      </c>
    </row>
    <row r="52" spans="1:28" ht="11.25" customHeight="1" x14ac:dyDescent="0.3">
      <c r="K52" s="25" t="s">
        <v>698</v>
      </c>
      <c r="L52" s="20">
        <f>CUSTOS!$D$30</f>
        <v>731057.07646746421</v>
      </c>
      <c r="M52" s="20">
        <f>CUSTOS!$D$31</f>
        <v>5365702.4400000004</v>
      </c>
      <c r="N52" s="20">
        <f>CUSTOS!$D$32</f>
        <v>397360.84061800007</v>
      </c>
      <c r="O52" s="20">
        <f>CUSTOS!$D$33</f>
        <v>3682961.2815288282</v>
      </c>
      <c r="P52" s="20">
        <f>CUSTOS!$D$34</f>
        <v>-5084464.72</v>
      </c>
      <c r="Q52" s="20">
        <f>CUSTOS!$D$35</f>
        <v>5092616.9186142934</v>
      </c>
      <c r="R52" s="20">
        <f>CUSTOS!$D$36</f>
        <v>55492514.492287464</v>
      </c>
      <c r="S52" s="20">
        <f>CUSTOS!$D$37</f>
        <v>55492514.492287464</v>
      </c>
      <c r="T52" s="20">
        <f>CUSTOS!$D$38</f>
        <v>2161181.9848781759</v>
      </c>
      <c r="U52" s="20">
        <f>CUSTOS!$D$39</f>
        <v>1489818.5342950558</v>
      </c>
      <c r="V52" s="20">
        <f>CUSTOS!$D$40</f>
        <v>0</v>
      </c>
      <c r="W52" s="20">
        <f>CUSTOS!$D$41</f>
        <v>3651000.5191732319</v>
      </c>
      <c r="X52" s="20">
        <f>CUSTOS!$D$42</f>
        <v>0</v>
      </c>
      <c r="Y52" s="20">
        <f>CUSTOS!$D$43</f>
        <v>0</v>
      </c>
      <c r="Z52" s="20">
        <f>CUSTOS!$D$44</f>
        <v>861111.77553692611</v>
      </c>
      <c r="AA52" s="20">
        <f>CUSTOS!$D$45</f>
        <v>861111.77553692611</v>
      </c>
      <c r="AB52" s="20">
        <f>CUSTOS!$D$46</f>
        <v>65097243.705611914</v>
      </c>
    </row>
    <row r="53" spans="1:28" ht="11.25" customHeight="1" x14ac:dyDescent="0.3">
      <c r="K53" s="25" t="s">
        <v>699</v>
      </c>
      <c r="L53" s="20">
        <f>CUSTOS!$E$30</f>
        <v>5.1110480898934878E-2</v>
      </c>
      <c r="M53" s="20">
        <f>CUSTOS!$E$31</f>
        <v>967652.16674154205</v>
      </c>
      <c r="N53" s="20">
        <f>CUSTOS!$E$32</f>
        <v>-2784.2113584473482</v>
      </c>
      <c r="O53" s="20">
        <f>CUSTOS!$E$33</f>
        <v>-304566.59359503468</v>
      </c>
      <c r="P53" s="20">
        <f>CUSTOS!$E$34</f>
        <v>0</v>
      </c>
      <c r="Q53" s="20">
        <f>CUSTOS!$E$35</f>
        <v>660301.41289854096</v>
      </c>
      <c r="R53" s="20">
        <f>CUSTOS!$E$36</f>
        <v>26466463.05122878</v>
      </c>
      <c r="S53" s="20">
        <f>CUSTOS!$E$37</f>
        <v>26466463.05122878</v>
      </c>
      <c r="T53" s="20">
        <f>CUSTOS!$E$38</f>
        <v>-208066.3536178912</v>
      </c>
      <c r="U53" s="20">
        <f>CUSTOS!$E$39</f>
        <v>20871.583264529665</v>
      </c>
      <c r="V53" s="20">
        <f>CUSTOS!$E$40</f>
        <v>0</v>
      </c>
      <c r="W53" s="20">
        <f>CUSTOS!$E$41</f>
        <v>-187194.77035336153</v>
      </c>
      <c r="X53" s="20">
        <f>CUSTOS!$E$42</f>
        <v>0</v>
      </c>
      <c r="Y53" s="20">
        <f>CUSTOS!$E$43</f>
        <v>0</v>
      </c>
      <c r="Z53" s="20">
        <f>CUSTOS!$E$44</f>
        <v>410696.52724771696</v>
      </c>
      <c r="AA53" s="20">
        <f>CUSTOS!$E$45</f>
        <v>410696.52724771696</v>
      </c>
      <c r="AB53" s="20">
        <f>CUSTOS!$E$46</f>
        <v>27350266.221021675</v>
      </c>
    </row>
    <row r="54" spans="1:28" ht="11.25" customHeight="1" x14ac:dyDescent="0.3">
      <c r="K54" s="25" t="s">
        <v>700</v>
      </c>
      <c r="L54" s="20">
        <f>CUSTOS!$F$30</f>
        <v>0</v>
      </c>
      <c r="M54" s="20">
        <f>CUSTOS!$F$31</f>
        <v>-513101.21960000001</v>
      </c>
      <c r="N54" s="20">
        <f>CUSTOS!$F$32</f>
        <v>25540.483499999998</v>
      </c>
      <c r="O54" s="20">
        <f>CUSTOS!$F$33</f>
        <v>255023.19113352295</v>
      </c>
      <c r="P54" s="20">
        <f>CUSTOS!$F$34</f>
        <v>0</v>
      </c>
      <c r="Q54" s="20">
        <f>CUSTOS!$F$35</f>
        <v>-232537.54496647709</v>
      </c>
      <c r="R54" s="20">
        <f>CUSTOS!$F$36</f>
        <v>-8096075.2845074646</v>
      </c>
      <c r="S54" s="20">
        <f>CUSTOS!$F$37</f>
        <v>-8096075.2845074646</v>
      </c>
      <c r="T54" s="20">
        <f>CUSTOS!$F$38</f>
        <v>224596.42439999999</v>
      </c>
      <c r="U54" s="20">
        <f>CUSTOS!$F$39</f>
        <v>130231.45802228441</v>
      </c>
      <c r="V54" s="20">
        <f>CUSTOS!$F$40</f>
        <v>0</v>
      </c>
      <c r="W54" s="20">
        <f>CUSTOS!$F$41</f>
        <v>354827.8824222844</v>
      </c>
      <c r="X54" s="20">
        <f>CUSTOS!$F$42</f>
        <v>0</v>
      </c>
      <c r="Y54" s="20">
        <f>CUSTOS!$F$43</f>
        <v>0</v>
      </c>
      <c r="Z54" s="20">
        <f>CUSTOS!$F$44</f>
        <v>-125631.82308294547</v>
      </c>
      <c r="AA54" s="20">
        <f>CUSTOS!$F$45</f>
        <v>-125631.82308294547</v>
      </c>
      <c r="AB54" s="20">
        <f>CUSTOS!$F$46</f>
        <v>-8099416.7701346027</v>
      </c>
    </row>
    <row r="55" spans="1:28" ht="11.25" customHeight="1" x14ac:dyDescent="0.3">
      <c r="K55" s="25" t="s">
        <v>780</v>
      </c>
      <c r="L55" s="20">
        <f>IF(SUMPRODUCT($I$5:$I$49,$L$5:$L$49)&lt;&gt;0,L52/SUMPRODUCT($I$5:$I$49,$L$5:$L$49),0)</f>
        <v>2.7264007365833853</v>
      </c>
      <c r="M55" s="20">
        <f>IF(SUMPRODUCT($I$5:$I$49,$M$5:$M$49)&lt;&gt;0,M52/SUMPRODUCT($I$5:$I$49,$M$5:$M$49),0)</f>
        <v>20.010824811917864</v>
      </c>
      <c r="N55" s="20">
        <f>IF(SUMPRODUCT($I$5:$I$49,$N$5:$N$49)&lt;&gt;0,N52/SUMPRODUCT($I$5:$I$49,$N$5:$N$49),0)</f>
        <v>1.481915603341436</v>
      </c>
      <c r="O55" s="20">
        <f>IF(SUMPRODUCT($I$5:$I$49,$O$5:$O$49)&lt;&gt;0,O52/SUMPRODUCT($I$5:$I$49,$O$5:$O$49),0)</f>
        <v>13.735218047937426</v>
      </c>
      <c r="P55" s="20">
        <f>IF(SUMPRODUCT($I$5:$I$49,$P$5:$P$49)&lt;&gt;0,P52/SUMPRODUCT($I$5:$I$49,$P$5:$P$49),0)</f>
        <v>-18.961978214784679</v>
      </c>
      <c r="Q55" s="20"/>
      <c r="R55" s="20">
        <f>IF((CUSTOS!$M$12-CUSTOS!$M$13)&lt;&gt;0,(CUSTOS!$M$12*CUSTOS!$M$14)/(CUSTOS!$M$12-CUSTOS!$M$13),0)</f>
        <v>204.56910009248762</v>
      </c>
      <c r="S55" s="20"/>
      <c r="T55" s="20">
        <f>IF(SUMPRODUCT($I$5:$I$49,$T$5:$T$49)&lt;&gt;0,T52/SUMPRODUCT($I$5:$I$49,$T$5:$T$49),0)</f>
        <v>8.0599016754402992</v>
      </c>
      <c r="U55" s="20">
        <f>IF(SUMPRODUCT($I$5:$I$49,$U$5:$U$49)&lt;&gt;0,U52/SUMPRODUCT($I$5:$I$49,$U$5:$U$49),0)</f>
        <v>5.5561220594496117</v>
      </c>
      <c r="V55" s="20">
        <f>IF(SUMPRODUCT($I$5:$I$49,$V$5:$V$49)&lt;&gt;0,V52/SUMPRODUCT($I$5:$I$49,$V$5:$V$49),0)</f>
        <v>0</v>
      </c>
      <c r="W55" s="20"/>
      <c r="X55" s="20">
        <f>IF(SUMPRODUCT($I$5:$I$49,$X$5:$X$49)&lt;&gt;0,X52/SUMPRODUCT($I$5:$I$49,$X$5:$X$49),0)</f>
        <v>0</v>
      </c>
      <c r="Y55" s="20"/>
      <c r="Z55" s="20">
        <f>IF(SUMPRODUCT($I$5:$I$49,$Z$5:$Z$49)&lt;&gt;0,Z52/SUMPRODUCT($I$5:$I$49,$Z$5:$Z$49),0)</f>
        <v>3.2114261043049876</v>
      </c>
      <c r="AA55" s="20"/>
      <c r="AB55" s="20"/>
    </row>
    <row r="56" spans="1:28" ht="11.25" customHeight="1" x14ac:dyDescent="0.3">
      <c r="K56" s="25" t="s">
        <v>781</v>
      </c>
      <c r="L56" s="20">
        <f>IF(L51&lt;&gt;0,(L52-L55*0)/(L51-0),0)</f>
        <v>2.7264007365833853</v>
      </c>
      <c r="M56" s="20">
        <f>IF(M51&lt;&gt;0,(M52-M55*0)/(M51-0),0)</f>
        <v>20.010824811917864</v>
      </c>
      <c r="N56" s="20">
        <f>IF(N51&lt;&gt;0,(N52-N55*0)/(N51-0),0)</f>
        <v>1.481915603341436</v>
      </c>
      <c r="O56" s="20">
        <f>IF(O51&lt;&gt;0,(O52-O55*0)/(O51-0),0)</f>
        <v>13.735218047937426</v>
      </c>
      <c r="P56" s="20">
        <f>IF(P51&lt;&gt;0,(P52-P55*0)/(P51-0),0)</f>
        <v>-18.961978214784679</v>
      </c>
      <c r="Q56" s="20"/>
      <c r="R56" s="20">
        <f>IF(R51&lt;&gt;0,(R52-R55*0)/(R51-0),0)</f>
        <v>195.39353947127779</v>
      </c>
      <c r="S56" s="20"/>
      <c r="T56" s="20">
        <f>IF(T51&lt;&gt;0,(T52-T55*0)/(T51-0),0)</f>
        <v>8.0599016754402992</v>
      </c>
      <c r="U56" s="20">
        <f>IF(U51&lt;&gt;0,(U52-U55*0)/(U51-0),0)</f>
        <v>5.5561220594496117</v>
      </c>
      <c r="V56" s="20">
        <f>IF(V51&lt;&gt;0,(V52-V55*0)/(V51-0),0)</f>
        <v>0</v>
      </c>
      <c r="W56" s="20"/>
      <c r="X56" s="20">
        <f>IF(X51&lt;&gt;0,(X52-X55*0)/(X51-0),0)</f>
        <v>0</v>
      </c>
      <c r="Y56" s="20"/>
      <c r="Z56" s="20">
        <f>IF(Z51&lt;&gt;0,(Z52-Z55*0)/(Z51-0),0)</f>
        <v>3.2114261043049876</v>
      </c>
      <c r="AA56" s="20"/>
      <c r="AB56" s="20"/>
    </row>
    <row r="57" spans="1:28" ht="11.25" customHeight="1" x14ac:dyDescent="0.3">
      <c r="K57" s="25" t="s">
        <v>782</v>
      </c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</row>
  </sheetData>
  <mergeCells count="79">
    <mergeCell ref="Z3:AA3"/>
    <mergeCell ref="AB3:AB4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  <mergeCell ref="E43:E45"/>
    <mergeCell ref="F43:F45"/>
    <mergeCell ref="A48:A49"/>
    <mergeCell ref="B48:B49"/>
    <mergeCell ref="C48:C49"/>
    <mergeCell ref="B40:B42"/>
    <mergeCell ref="C40:C42"/>
    <mergeCell ref="A43:A47"/>
    <mergeCell ref="B43:B45"/>
    <mergeCell ref="C43:C45"/>
    <mergeCell ref="D43:D45"/>
    <mergeCell ref="F32:F34"/>
    <mergeCell ref="B36:B38"/>
    <mergeCell ref="C36:C38"/>
    <mergeCell ref="D36:D38"/>
    <mergeCell ref="E36:E38"/>
    <mergeCell ref="F36:F38"/>
    <mergeCell ref="A28:A42"/>
    <mergeCell ref="B28:B30"/>
    <mergeCell ref="C28:C30"/>
    <mergeCell ref="D28:D30"/>
    <mergeCell ref="E28:E30"/>
    <mergeCell ref="F28:F30"/>
    <mergeCell ref="B32:B34"/>
    <mergeCell ref="C32:C34"/>
    <mergeCell ref="D32:D34"/>
    <mergeCell ref="E32:E34"/>
    <mergeCell ref="A15:A27"/>
    <mergeCell ref="B15:B17"/>
    <mergeCell ref="C15:C17"/>
    <mergeCell ref="D15:D17"/>
    <mergeCell ref="E15:E17"/>
    <mergeCell ref="F15:F17"/>
    <mergeCell ref="B18:B22"/>
    <mergeCell ref="C18:C22"/>
    <mergeCell ref="B23:B27"/>
    <mergeCell ref="C23:C27"/>
    <mergeCell ref="F12:F13"/>
    <mergeCell ref="A9:A11"/>
    <mergeCell ref="B9:B10"/>
    <mergeCell ref="C9:C10"/>
    <mergeCell ref="D9:D10"/>
    <mergeCell ref="E9:E10"/>
    <mergeCell ref="F9:F10"/>
    <mergeCell ref="A12:A14"/>
    <mergeCell ref="B12:B13"/>
    <mergeCell ref="C12:C13"/>
    <mergeCell ref="D12:D13"/>
    <mergeCell ref="E12:E13"/>
    <mergeCell ref="F7:F8"/>
    <mergeCell ref="A5:A6"/>
    <mergeCell ref="B5:B6"/>
    <mergeCell ref="C5:C6"/>
    <mergeCell ref="D5:D6"/>
    <mergeCell ref="E5:E6"/>
    <mergeCell ref="F5:F6"/>
    <mergeCell ref="A7:A8"/>
    <mergeCell ref="B7:B8"/>
    <mergeCell ref="C7:C8"/>
    <mergeCell ref="D7:D8"/>
    <mergeCell ref="E7:E8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B9E85-203B-4419-BA1E-1F404B64A7F7}">
  <sheetPr codeName="Planilha13"/>
  <dimension ref="A1:AB57"/>
  <sheetViews>
    <sheetView showGridLines="0" topLeftCell="H34" workbookViewId="0">
      <selection activeCell="AB51" sqref="AB51"/>
    </sheetView>
  </sheetViews>
  <sheetFormatPr defaultRowHeight="11.25" customHeight="1" x14ac:dyDescent="0.3"/>
  <cols>
    <col min="1" max="1" width="9" style="9" bestFit="1" customWidth="1"/>
    <col min="2" max="2" width="24.66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9.88671875" style="9" bestFit="1" customWidth="1"/>
    <col min="12" max="12" width="7.88671875" style="9" bestFit="1" customWidth="1"/>
    <col min="13" max="13" width="9.109375" style="9" bestFit="1" customWidth="1"/>
    <col min="14" max="14" width="8.33203125" style="9" bestFit="1" customWidth="1"/>
    <col min="15" max="15" width="10.33203125" style="9" bestFit="1" customWidth="1"/>
    <col min="16" max="16" width="9.5546875" style="9" bestFit="1" customWidth="1"/>
    <col min="17" max="17" width="9.109375" style="9" bestFit="1" customWidth="1"/>
    <col min="18" max="18" width="14.44140625" style="9" bestFit="1" customWidth="1"/>
    <col min="19" max="19" width="10.33203125" style="9" bestFit="1" customWidth="1"/>
    <col min="20" max="20" width="9.109375" style="9" bestFit="1" customWidth="1"/>
    <col min="21" max="21" width="9.77734375" style="9" bestFit="1" customWidth="1"/>
    <col min="22" max="22" width="7.88671875" style="9" bestFit="1" customWidth="1"/>
    <col min="23" max="23" width="9.109375" style="9" bestFit="1" customWidth="1"/>
    <col min="24" max="24" width="7.77734375" style="9" bestFit="1" customWidth="1"/>
    <col min="25" max="25" width="8.5546875" style="9" bestFit="1" customWidth="1"/>
    <col min="26" max="26" width="10.5546875" style="9" bestFit="1" customWidth="1"/>
    <col min="27" max="27" width="8.5546875" style="9" bestFit="1" customWidth="1"/>
    <col min="28" max="28" width="10.33203125" style="9" bestFit="1" customWidth="1"/>
    <col min="29" max="16384" width="8.88671875" style="9"/>
  </cols>
  <sheetData>
    <row r="1" spans="1:28" ht="11.25" customHeight="1" x14ac:dyDescent="0.3">
      <c r="A1" s="134" t="s">
        <v>68</v>
      </c>
      <c r="B1" s="134" t="s">
        <v>69</v>
      </c>
      <c r="C1" s="134" t="s">
        <v>70</v>
      </c>
      <c r="D1" s="134" t="s">
        <v>71</v>
      </c>
      <c r="E1" s="134" t="s">
        <v>72</v>
      </c>
      <c r="F1" s="134" t="s">
        <v>15</v>
      </c>
      <c r="G1" s="134" t="s">
        <v>74</v>
      </c>
      <c r="H1" s="134" t="s">
        <v>75</v>
      </c>
      <c r="I1" s="134" t="s">
        <v>757</v>
      </c>
      <c r="J1" s="123"/>
      <c r="L1" s="135" t="s">
        <v>783</v>
      </c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</row>
    <row r="2" spans="1:28" ht="11.25" customHeight="1" x14ac:dyDescent="0.3">
      <c r="A2" s="134"/>
      <c r="B2" s="134"/>
      <c r="C2" s="134"/>
      <c r="D2" s="134"/>
      <c r="E2" s="134"/>
      <c r="F2" s="134"/>
      <c r="G2" s="134"/>
      <c r="H2" s="134"/>
      <c r="I2" s="134"/>
      <c r="J2" s="123"/>
      <c r="L2" s="135" t="s">
        <v>684</v>
      </c>
      <c r="M2" s="135"/>
      <c r="N2" s="135"/>
      <c r="O2" s="135"/>
      <c r="P2" s="135"/>
      <c r="Q2" s="135"/>
      <c r="R2" s="135"/>
      <c r="S2" s="135"/>
      <c r="T2" s="135"/>
      <c r="U2" s="135"/>
      <c r="V2" s="135"/>
      <c r="W2" s="135"/>
      <c r="X2" s="135"/>
      <c r="Y2" s="135"/>
      <c r="Z2" s="135"/>
      <c r="AA2" s="135"/>
      <c r="AB2" s="135"/>
    </row>
    <row r="3" spans="1:28" ht="11.25" customHeight="1" x14ac:dyDescent="0.3">
      <c r="A3" s="134"/>
      <c r="B3" s="134"/>
      <c r="C3" s="134"/>
      <c r="D3" s="134"/>
      <c r="E3" s="134"/>
      <c r="F3" s="134"/>
      <c r="G3" s="134"/>
      <c r="H3" s="134"/>
      <c r="I3" s="134"/>
      <c r="J3" s="123"/>
      <c r="L3" s="135" t="s">
        <v>657</v>
      </c>
      <c r="M3" s="135"/>
      <c r="N3" s="135"/>
      <c r="O3" s="135"/>
      <c r="P3" s="135"/>
      <c r="Q3" s="135"/>
      <c r="R3" s="135" t="s">
        <v>688</v>
      </c>
      <c r="S3" s="135"/>
      <c r="T3" s="135" t="s">
        <v>666</v>
      </c>
      <c r="U3" s="135"/>
      <c r="V3" s="135"/>
      <c r="W3" s="135"/>
      <c r="X3" s="135" t="s">
        <v>676</v>
      </c>
      <c r="Y3" s="135"/>
      <c r="Z3" s="135" t="s">
        <v>679</v>
      </c>
      <c r="AA3" s="135"/>
      <c r="AB3" s="135" t="s">
        <v>665</v>
      </c>
    </row>
    <row r="4" spans="1:28" ht="11.25" customHeight="1" x14ac:dyDescent="0.3">
      <c r="A4" s="134"/>
      <c r="B4" s="134"/>
      <c r="C4" s="134"/>
      <c r="D4" s="134"/>
      <c r="E4" s="134"/>
      <c r="F4" s="134"/>
      <c r="G4" s="134"/>
      <c r="H4" s="134"/>
      <c r="I4" s="134"/>
      <c r="J4" s="123"/>
      <c r="L4" s="24" t="s">
        <v>659</v>
      </c>
      <c r="M4" s="24" t="s">
        <v>685</v>
      </c>
      <c r="N4" s="24" t="s">
        <v>686</v>
      </c>
      <c r="O4" s="24" t="s">
        <v>745</v>
      </c>
      <c r="P4" s="24" t="s">
        <v>687</v>
      </c>
      <c r="Q4" s="24" t="s">
        <v>665</v>
      </c>
      <c r="R4" s="24" t="s">
        <v>689</v>
      </c>
      <c r="S4" s="24" t="s">
        <v>665</v>
      </c>
      <c r="T4" s="24" t="s">
        <v>690</v>
      </c>
      <c r="U4" s="24" t="s">
        <v>691</v>
      </c>
      <c r="V4" s="24" t="s">
        <v>692</v>
      </c>
      <c r="W4" s="24" t="s">
        <v>665</v>
      </c>
      <c r="X4" s="24" t="s">
        <v>677</v>
      </c>
      <c r="Y4" s="24" t="s">
        <v>665</v>
      </c>
      <c r="Z4" s="24" t="s">
        <v>693</v>
      </c>
      <c r="AA4" s="24" t="s">
        <v>665</v>
      </c>
      <c r="AB4" s="136"/>
    </row>
    <row r="5" spans="1:28" ht="11.25" customHeight="1" x14ac:dyDescent="0.3">
      <c r="A5" s="133" t="s">
        <v>54</v>
      </c>
      <c r="B5" s="133" t="s">
        <v>77</v>
      </c>
      <c r="C5" s="133" t="s">
        <v>25</v>
      </c>
      <c r="D5" s="133" t="s">
        <v>25</v>
      </c>
      <c r="E5" s="133" t="s">
        <v>25</v>
      </c>
      <c r="F5" s="133" t="s">
        <v>25</v>
      </c>
      <c r="G5" s="23" t="s">
        <v>79</v>
      </c>
      <c r="H5" s="23" t="s">
        <v>78</v>
      </c>
      <c r="I5" s="23">
        <f>'MERCADO TE'!$U$2</f>
        <v>0</v>
      </c>
      <c r="J5" s="15"/>
      <c r="L5" s="20">
        <f>'TR TE'!$L$5*'TR TE'!$L$56</f>
        <v>2.7264007365833853</v>
      </c>
      <c r="M5" s="20">
        <f>'TR TE'!$M$5*'TR TE'!$M$56</f>
        <v>20.010824811917864</v>
      </c>
      <c r="N5" s="20">
        <f>'TR TE'!$N$5*'TR TE'!$N$56</f>
        <v>1.481915603341436</v>
      </c>
      <c r="O5" s="20">
        <f>'TR TE'!$O$5*'TR TE'!$O$56</f>
        <v>13.735218047937426</v>
      </c>
      <c r="P5" s="20">
        <f>'TR TE'!$P$5*'TR TE'!$P$56</f>
        <v>-18.961978214784679</v>
      </c>
      <c r="Q5" s="20">
        <f>SUM($L$5:$P$5)</f>
        <v>18.992380984995435</v>
      </c>
      <c r="R5" s="20">
        <f>'TR TE'!$R$5*'TR TE'!$R$56</f>
        <v>336.07688789059779</v>
      </c>
      <c r="S5" s="20">
        <f>SUM($R$5:$R$5)</f>
        <v>336.07688789059779</v>
      </c>
      <c r="T5" s="20">
        <f>'TR TE'!$T$5*'TR TE'!$T$56</f>
        <v>8.0599016754402992</v>
      </c>
      <c r="U5" s="20">
        <f>'TR TE'!$U$5*'TR TE'!$U$56</f>
        <v>5.5561220594496117</v>
      </c>
      <c r="V5" s="20">
        <f>'TR TE'!$V$5*'TR TE'!$V$56</f>
        <v>0</v>
      </c>
      <c r="W5" s="20">
        <f>SUM($T$5:$V$5)</f>
        <v>13.616023734889911</v>
      </c>
      <c r="X5" s="20"/>
      <c r="Y5" s="20">
        <f>SUM($X$5:$X$5)</f>
        <v>0</v>
      </c>
      <c r="Z5" s="20">
        <f>'TR TE'!$Z$5*'TR TE'!$Z$56</f>
        <v>3.2114261043049876</v>
      </c>
      <c r="AA5" s="20">
        <f>SUM($Z$5:$Z$5)</f>
        <v>3.2114261043049876</v>
      </c>
      <c r="AB5" s="20">
        <f>SUMIF($L$4:$AA$4,"SUBTOTAL",$L$5:$AA$5)</f>
        <v>371.89671871478811</v>
      </c>
    </row>
    <row r="6" spans="1:28" ht="11.25" customHeight="1" x14ac:dyDescent="0.3">
      <c r="A6" s="133"/>
      <c r="B6" s="133"/>
      <c r="C6" s="133"/>
      <c r="D6" s="133"/>
      <c r="E6" s="133"/>
      <c r="F6" s="133"/>
      <c r="G6" s="23" t="s">
        <v>80</v>
      </c>
      <c r="H6" s="23" t="s">
        <v>78</v>
      </c>
      <c r="I6" s="23">
        <f>'MERCADO TE'!$U$3</f>
        <v>0</v>
      </c>
      <c r="J6" s="15"/>
      <c r="L6" s="20">
        <f>'TR TE'!$L$6*'TR TE'!$L$56</f>
        <v>2.7264007365833853</v>
      </c>
      <c r="M6" s="20">
        <f>'TR TE'!$M$6*'TR TE'!$M$56</f>
        <v>20.010824811917864</v>
      </c>
      <c r="N6" s="20">
        <f>'TR TE'!$N$6*'TR TE'!$N$56</f>
        <v>1.481915603341436</v>
      </c>
      <c r="O6" s="20">
        <f>'TR TE'!$O$6*'TR TE'!$O$56</f>
        <v>13.735218047937426</v>
      </c>
      <c r="P6" s="20">
        <f>'TR TE'!$P$6*'TR TE'!$P$56</f>
        <v>-18.961978214784679</v>
      </c>
      <c r="Q6" s="20">
        <f>SUM($L$6:$P$6)</f>
        <v>18.992380984995435</v>
      </c>
      <c r="R6" s="20">
        <f>'TR TE'!$R$6*'TR TE'!$R$56</f>
        <v>195.39353947127779</v>
      </c>
      <c r="S6" s="20">
        <f>SUM($R$6:$R$6)</f>
        <v>195.39353947127779</v>
      </c>
      <c r="T6" s="20">
        <f>'TR TE'!$T$6*'TR TE'!$T$56</f>
        <v>8.0599016754402992</v>
      </c>
      <c r="U6" s="20">
        <f>'TR TE'!$U$6*'TR TE'!$U$56</f>
        <v>5.5561220594496117</v>
      </c>
      <c r="V6" s="20">
        <f>'TR TE'!$V$6*'TR TE'!$V$56</f>
        <v>0</v>
      </c>
      <c r="W6" s="20">
        <f>SUM($T$6:$V$6)</f>
        <v>13.616023734889911</v>
      </c>
      <c r="X6" s="20"/>
      <c r="Y6" s="20">
        <f>SUM($X$6:$X$6)</f>
        <v>0</v>
      </c>
      <c r="Z6" s="20">
        <f>'TR TE'!$Z$6*'TR TE'!$Z$56</f>
        <v>3.2114261043049876</v>
      </c>
      <c r="AA6" s="20">
        <f>SUM($Z$6:$Z$6)</f>
        <v>3.2114261043049876</v>
      </c>
      <c r="AB6" s="20">
        <f>SUMIF($L$4:$AA$4,"SUBTOTAL",$L$6:$AA$6)</f>
        <v>231.21337029546814</v>
      </c>
    </row>
    <row r="7" spans="1:28" ht="11.25" customHeight="1" x14ac:dyDescent="0.3">
      <c r="A7" s="133" t="s">
        <v>60</v>
      </c>
      <c r="B7" s="133" t="s">
        <v>77</v>
      </c>
      <c r="C7" s="133" t="s">
        <v>25</v>
      </c>
      <c r="D7" s="133" t="s">
        <v>25</v>
      </c>
      <c r="E7" s="133" t="s">
        <v>25</v>
      </c>
      <c r="F7" s="133" t="s">
        <v>25</v>
      </c>
      <c r="G7" s="23" t="s">
        <v>79</v>
      </c>
      <c r="H7" s="23" t="s">
        <v>78</v>
      </c>
      <c r="I7" s="23">
        <f>'MERCADO TE'!$U$4</f>
        <v>0</v>
      </c>
      <c r="J7" s="15"/>
      <c r="L7" s="20">
        <f>'TR TE'!$L$7*'TR TE'!$L$56</f>
        <v>2.7264007365833853</v>
      </c>
      <c r="M7" s="20">
        <f>'TR TE'!$M$7*'TR TE'!$M$56</f>
        <v>20.010824811917864</v>
      </c>
      <c r="N7" s="20">
        <f>'TR TE'!$N$7*'TR TE'!$N$56</f>
        <v>1.481915603341436</v>
      </c>
      <c r="O7" s="20">
        <f>'TR TE'!$O$7*'TR TE'!$O$56</f>
        <v>13.735218047937426</v>
      </c>
      <c r="P7" s="20">
        <f>'TR TE'!$P$7*'TR TE'!$P$56</f>
        <v>-18.961978214784679</v>
      </c>
      <c r="Q7" s="20">
        <f>SUM($L$7:$P$7)</f>
        <v>18.992380984995435</v>
      </c>
      <c r="R7" s="20">
        <f>'TR TE'!$R$7*'TR TE'!$R$56</f>
        <v>336.07688789059779</v>
      </c>
      <c r="S7" s="20">
        <f>SUM($R$7:$R$7)</f>
        <v>336.07688789059779</v>
      </c>
      <c r="T7" s="20">
        <f>'TR TE'!$T$7*'TR TE'!$T$56</f>
        <v>8.0599016754402992</v>
      </c>
      <c r="U7" s="20">
        <f>'TR TE'!$U$7*'TR TE'!$U$56</f>
        <v>5.5561220594496117</v>
      </c>
      <c r="V7" s="20">
        <f>'TR TE'!$V$7*'TR TE'!$V$56</f>
        <v>0</v>
      </c>
      <c r="W7" s="20">
        <f>SUM($T$7:$V$7)</f>
        <v>13.616023734889911</v>
      </c>
      <c r="X7" s="20"/>
      <c r="Y7" s="20">
        <f>SUM($X$7:$X$7)</f>
        <v>0</v>
      </c>
      <c r="Z7" s="20">
        <f>'TR TE'!$Z$7*'TR TE'!$Z$56</f>
        <v>3.2114261043049876</v>
      </c>
      <c r="AA7" s="20">
        <f>SUM($Z$7:$Z$7)</f>
        <v>3.2114261043049876</v>
      </c>
      <c r="AB7" s="20">
        <f>SUMIF($L$4:$AA$4,"SUBTOTAL",$L$7:$AA$7)</f>
        <v>371.89671871478811</v>
      </c>
    </row>
    <row r="8" spans="1:28" ht="11.25" customHeight="1" x14ac:dyDescent="0.3">
      <c r="A8" s="133"/>
      <c r="B8" s="133"/>
      <c r="C8" s="133"/>
      <c r="D8" s="133"/>
      <c r="E8" s="133"/>
      <c r="F8" s="133"/>
      <c r="G8" s="23" t="s">
        <v>80</v>
      </c>
      <c r="H8" s="23" t="s">
        <v>78</v>
      </c>
      <c r="I8" s="23">
        <f>'MERCADO TE'!$U$5</f>
        <v>0</v>
      </c>
      <c r="J8" s="15"/>
      <c r="L8" s="20">
        <f>'TR TE'!$L$8*'TR TE'!$L$56</f>
        <v>2.7264007365833853</v>
      </c>
      <c r="M8" s="20">
        <f>'TR TE'!$M$8*'TR TE'!$M$56</f>
        <v>20.010824811917864</v>
      </c>
      <c r="N8" s="20">
        <f>'TR TE'!$N$8*'TR TE'!$N$56</f>
        <v>1.481915603341436</v>
      </c>
      <c r="O8" s="20">
        <f>'TR TE'!$O$8*'TR TE'!$O$56</f>
        <v>13.735218047937426</v>
      </c>
      <c r="P8" s="20">
        <f>'TR TE'!$P$8*'TR TE'!$P$56</f>
        <v>-18.961978214784679</v>
      </c>
      <c r="Q8" s="20">
        <f>SUM($L$8:$P$8)</f>
        <v>18.992380984995435</v>
      </c>
      <c r="R8" s="20">
        <f>'TR TE'!$R$8*'TR TE'!$R$56</f>
        <v>195.39353947127779</v>
      </c>
      <c r="S8" s="20">
        <f>SUM($R$8:$R$8)</f>
        <v>195.39353947127779</v>
      </c>
      <c r="T8" s="20">
        <f>'TR TE'!$T$8*'TR TE'!$T$56</f>
        <v>8.0599016754402992</v>
      </c>
      <c r="U8" s="20">
        <f>'TR TE'!$U$8*'TR TE'!$U$56</f>
        <v>5.5561220594496117</v>
      </c>
      <c r="V8" s="20">
        <f>'TR TE'!$V$8*'TR TE'!$V$56</f>
        <v>0</v>
      </c>
      <c r="W8" s="20">
        <f>SUM($T$8:$V$8)</f>
        <v>13.616023734889911</v>
      </c>
      <c r="X8" s="20"/>
      <c r="Y8" s="20">
        <f>SUM($X$8:$X$8)</f>
        <v>0</v>
      </c>
      <c r="Z8" s="20">
        <f>'TR TE'!$Z$8*'TR TE'!$Z$56</f>
        <v>3.2114261043049876</v>
      </c>
      <c r="AA8" s="20">
        <f>SUM($Z$8:$Z$8)</f>
        <v>3.2114261043049876</v>
      </c>
      <c r="AB8" s="20">
        <f>SUMIF($L$4:$AA$4,"SUBTOTAL",$L$8:$AA$8)</f>
        <v>231.21337029546814</v>
      </c>
    </row>
    <row r="9" spans="1:28" ht="11.25" customHeight="1" x14ac:dyDescent="0.3">
      <c r="A9" s="133" t="s">
        <v>39</v>
      </c>
      <c r="B9" s="133" t="s">
        <v>77</v>
      </c>
      <c r="C9" s="133" t="s">
        <v>25</v>
      </c>
      <c r="D9" s="133" t="s">
        <v>25</v>
      </c>
      <c r="E9" s="133" t="s">
        <v>25</v>
      </c>
      <c r="F9" s="133" t="s">
        <v>25</v>
      </c>
      <c r="G9" s="23" t="s">
        <v>79</v>
      </c>
      <c r="H9" s="23" t="s">
        <v>78</v>
      </c>
      <c r="I9" s="23">
        <f>'MERCADO TE'!$U$6</f>
        <v>5372.2169999999987</v>
      </c>
      <c r="J9" s="15"/>
      <c r="L9" s="20">
        <f>'TR TE'!$L$9*'TR TE'!$L$56</f>
        <v>2.7264007365833853</v>
      </c>
      <c r="M9" s="20">
        <f>'TR TE'!$M$9*'TR TE'!$M$56</f>
        <v>20.010824811917864</v>
      </c>
      <c r="N9" s="20">
        <f>'TR TE'!$N$9*'TR TE'!$N$56</f>
        <v>1.481915603341436</v>
      </c>
      <c r="O9" s="20">
        <f>'TR TE'!$O$9*'TR TE'!$O$56</f>
        <v>13.735218047937426</v>
      </c>
      <c r="P9" s="20">
        <f>'TR TE'!$P$9*'TR TE'!$P$56</f>
        <v>-18.961978214784679</v>
      </c>
      <c r="Q9" s="20">
        <f>SUM($L$9:$P$9)</f>
        <v>18.992380984995435</v>
      </c>
      <c r="R9" s="20">
        <f>'TR TE'!$R$9*'TR TE'!$R$56</f>
        <v>336.07688789059779</v>
      </c>
      <c r="S9" s="20">
        <f>SUM($R$9:$R$9)</f>
        <v>336.07688789059779</v>
      </c>
      <c r="T9" s="20">
        <f>'TR TE'!$T$9*'TR TE'!$T$56</f>
        <v>8.0599016754402992</v>
      </c>
      <c r="U9" s="20">
        <f>'TR TE'!$U$9*'TR TE'!$U$56</f>
        <v>5.5561220594496117</v>
      </c>
      <c r="V9" s="20">
        <f>'TR TE'!$V$9*'TR TE'!$V$56</f>
        <v>0</v>
      </c>
      <c r="W9" s="20">
        <f>SUM($T$9:$V$9)</f>
        <v>13.616023734889911</v>
      </c>
      <c r="X9" s="20"/>
      <c r="Y9" s="20">
        <f>SUM($X$9:$X$9)</f>
        <v>0</v>
      </c>
      <c r="Z9" s="20">
        <f>'TR TE'!$Z$9*'TR TE'!$Z$56</f>
        <v>3.2114261043049876</v>
      </c>
      <c r="AA9" s="20">
        <f>SUM($Z$9:$Z$9)</f>
        <v>3.2114261043049876</v>
      </c>
      <c r="AB9" s="20">
        <f>SUMIF($L$4:$AA$4,"SUBTOTAL",$L$9:$AA$9)</f>
        <v>371.89671871478811</v>
      </c>
    </row>
    <row r="10" spans="1:28" ht="11.25" customHeight="1" x14ac:dyDescent="0.3">
      <c r="A10" s="133"/>
      <c r="B10" s="133"/>
      <c r="C10" s="133"/>
      <c r="D10" s="133"/>
      <c r="E10" s="133"/>
      <c r="F10" s="133"/>
      <c r="G10" s="23" t="s">
        <v>80</v>
      </c>
      <c r="H10" s="23" t="s">
        <v>78</v>
      </c>
      <c r="I10" s="23">
        <f>'MERCADO TE'!$U$7</f>
        <v>62595.072</v>
      </c>
      <c r="J10" s="15"/>
      <c r="L10" s="20">
        <f>'TR TE'!$L$10*'TR TE'!$L$56</f>
        <v>2.7264007365833853</v>
      </c>
      <c r="M10" s="20">
        <f>'TR TE'!$M$10*'TR TE'!$M$56</f>
        <v>20.010824811917864</v>
      </c>
      <c r="N10" s="20">
        <f>'TR TE'!$N$10*'TR TE'!$N$56</f>
        <v>1.481915603341436</v>
      </c>
      <c r="O10" s="20">
        <f>'TR TE'!$O$10*'TR TE'!$O$56</f>
        <v>13.735218047937426</v>
      </c>
      <c r="P10" s="20">
        <f>'TR TE'!$P$10*'TR TE'!$P$56</f>
        <v>-18.961978214784679</v>
      </c>
      <c r="Q10" s="20">
        <f>SUM($L$10:$P$10)</f>
        <v>18.992380984995435</v>
      </c>
      <c r="R10" s="20">
        <f>'TR TE'!$R$10*'TR TE'!$R$56</f>
        <v>195.39353947127779</v>
      </c>
      <c r="S10" s="20">
        <f>SUM($R$10:$R$10)</f>
        <v>195.39353947127779</v>
      </c>
      <c r="T10" s="20">
        <f>'TR TE'!$T$10*'TR TE'!$T$56</f>
        <v>8.0599016754402992</v>
      </c>
      <c r="U10" s="20">
        <f>'TR TE'!$U$10*'TR TE'!$U$56</f>
        <v>5.5561220594496117</v>
      </c>
      <c r="V10" s="20">
        <f>'TR TE'!$V$10*'TR TE'!$V$56</f>
        <v>0</v>
      </c>
      <c r="W10" s="20">
        <f>SUM($T$10:$V$10)</f>
        <v>13.616023734889911</v>
      </c>
      <c r="X10" s="20"/>
      <c r="Y10" s="20">
        <f>SUM($X$10:$X$10)</f>
        <v>0</v>
      </c>
      <c r="Z10" s="20">
        <f>'TR TE'!$Z$10*'TR TE'!$Z$56</f>
        <v>3.2114261043049876</v>
      </c>
      <c r="AA10" s="20">
        <f>SUM($Z$10:$Z$10)</f>
        <v>3.2114261043049876</v>
      </c>
      <c r="AB10" s="20">
        <f>SUMIF($L$4:$AA$4,"SUBTOTAL",$L$10:$AA$10)</f>
        <v>231.21337029546814</v>
      </c>
    </row>
    <row r="11" spans="1:28" ht="11.25" customHeight="1" x14ac:dyDescent="0.3">
      <c r="A11" s="133"/>
      <c r="B11" s="22" t="s">
        <v>86</v>
      </c>
      <c r="C11" s="22" t="s">
        <v>25</v>
      </c>
      <c r="D11" s="22" t="s">
        <v>25</v>
      </c>
      <c r="E11" s="22" t="s">
        <v>25</v>
      </c>
      <c r="F11" s="22" t="s">
        <v>25</v>
      </c>
      <c r="G11" s="23" t="s">
        <v>84</v>
      </c>
      <c r="H11" s="23" t="s">
        <v>78</v>
      </c>
      <c r="I11" s="23">
        <f>'MERCADO TE'!$U$8</f>
        <v>0</v>
      </c>
      <c r="J11" s="15"/>
      <c r="L11" s="20">
        <f>'TR TE'!$L$11*'TR TE'!$L$56</f>
        <v>2.7264007365833853</v>
      </c>
      <c r="M11" s="20">
        <f>'TR TE'!$M$11*'TR TE'!$M$56</f>
        <v>20.010824811917864</v>
      </c>
      <c r="N11" s="20">
        <f>'TR TE'!$N$11*'TR TE'!$N$56</f>
        <v>1.481915603341436</v>
      </c>
      <c r="O11" s="20">
        <f>'TR TE'!$O$11*'TR TE'!$O$56</f>
        <v>13.735218047937426</v>
      </c>
      <c r="P11" s="20">
        <f>'TR TE'!$P$11*'TR TE'!$P$56</f>
        <v>-18.961978214784679</v>
      </c>
      <c r="Q11" s="20">
        <f>SUM($L$11:$P$11)</f>
        <v>18.992380984995435</v>
      </c>
      <c r="R11" s="20">
        <f>'TR TE'!$R$11*'TR TE'!$R$56</f>
        <v>207.11715183955448</v>
      </c>
      <c r="S11" s="20">
        <f>SUM($R$11:$R$11)</f>
        <v>207.11715183955448</v>
      </c>
      <c r="T11" s="20">
        <f>'TR TE'!$T$11*'TR TE'!$T$56</f>
        <v>8.0599016754402992</v>
      </c>
      <c r="U11" s="20">
        <f>'TR TE'!$U$11*'TR TE'!$U$56</f>
        <v>5.5561220594496117</v>
      </c>
      <c r="V11" s="20">
        <f>'TR TE'!$V$11*'TR TE'!$V$56</f>
        <v>0</v>
      </c>
      <c r="W11" s="20">
        <f>SUM($T$11:$V$11)</f>
        <v>13.616023734889911</v>
      </c>
      <c r="X11" s="20"/>
      <c r="Y11" s="20">
        <f>SUM($X$11:$X$11)</f>
        <v>0</v>
      </c>
      <c r="Z11" s="20">
        <f>'TR TE'!$Z$11*'TR TE'!$Z$56</f>
        <v>3.2114261043049876</v>
      </c>
      <c r="AA11" s="20">
        <f>SUM($Z$11:$Z$11)</f>
        <v>3.2114261043049876</v>
      </c>
      <c r="AB11" s="20">
        <f>SUMIF($L$4:$AA$4,"SUBTOTAL",$L$11:$AA$11)</f>
        <v>242.93698266374483</v>
      </c>
    </row>
    <row r="12" spans="1:28" ht="11.25" customHeight="1" x14ac:dyDescent="0.3">
      <c r="A12" s="133" t="s">
        <v>43</v>
      </c>
      <c r="B12" s="133" t="s">
        <v>77</v>
      </c>
      <c r="C12" s="133" t="s">
        <v>25</v>
      </c>
      <c r="D12" s="133" t="s">
        <v>25</v>
      </c>
      <c r="E12" s="133" t="s">
        <v>25</v>
      </c>
      <c r="F12" s="133" t="s">
        <v>25</v>
      </c>
      <c r="G12" s="23" t="s">
        <v>79</v>
      </c>
      <c r="H12" s="23" t="s">
        <v>78</v>
      </c>
      <c r="I12" s="23">
        <f>'MERCADO TE'!$U$9</f>
        <v>18.171000000000003</v>
      </c>
      <c r="J12" s="15"/>
      <c r="L12" s="20">
        <f>'TR TE'!$L$12*'TR TE'!$L$56</f>
        <v>2.7264007365833853</v>
      </c>
      <c r="M12" s="20">
        <f>'TR TE'!$M$12*'TR TE'!$M$56</f>
        <v>20.010824811917864</v>
      </c>
      <c r="N12" s="20">
        <f>'TR TE'!$N$12*'TR TE'!$N$56</f>
        <v>1.481915603341436</v>
      </c>
      <c r="O12" s="20">
        <f>'TR TE'!$O$12*'TR TE'!$O$56</f>
        <v>13.735218047937426</v>
      </c>
      <c r="P12" s="20">
        <f>'TR TE'!$P$12*'TR TE'!$P$56</f>
        <v>-18.961978214784679</v>
      </c>
      <c r="Q12" s="20">
        <f>SUM($L$12:$P$12)</f>
        <v>18.992380984995435</v>
      </c>
      <c r="R12" s="20">
        <f>'TR TE'!$R$12*'TR TE'!$R$56</f>
        <v>336.07688789059779</v>
      </c>
      <c r="S12" s="20">
        <f>SUM($R$12:$R$12)</f>
        <v>336.07688789059779</v>
      </c>
      <c r="T12" s="20">
        <f>'TR TE'!$T$12*'TR TE'!$T$56</f>
        <v>8.0599016754402992</v>
      </c>
      <c r="U12" s="20">
        <f>'TR TE'!$U$12*'TR TE'!$U$56</f>
        <v>5.5561220594496117</v>
      </c>
      <c r="V12" s="20">
        <f>'TR TE'!$V$12*'TR TE'!$V$56</f>
        <v>0</v>
      </c>
      <c r="W12" s="20">
        <f>SUM($T$12:$V$12)</f>
        <v>13.616023734889911</v>
      </c>
      <c r="X12" s="20"/>
      <c r="Y12" s="20">
        <f>SUM($X$12:$X$12)</f>
        <v>0</v>
      </c>
      <c r="Z12" s="20">
        <f>'TR TE'!$Z$12*'TR TE'!$Z$56</f>
        <v>3.2114261043049876</v>
      </c>
      <c r="AA12" s="20">
        <f>SUM($Z$12:$Z$12)</f>
        <v>3.2114261043049876</v>
      </c>
      <c r="AB12" s="20">
        <f>SUMIF($L$4:$AA$4,"SUBTOTAL",$L$12:$AA$12)</f>
        <v>371.89671871478811</v>
      </c>
    </row>
    <row r="13" spans="1:28" ht="11.25" customHeight="1" x14ac:dyDescent="0.3">
      <c r="A13" s="133"/>
      <c r="B13" s="133"/>
      <c r="C13" s="133"/>
      <c r="D13" s="133"/>
      <c r="E13" s="133"/>
      <c r="F13" s="133"/>
      <c r="G13" s="23" t="s">
        <v>80</v>
      </c>
      <c r="H13" s="23" t="s">
        <v>78</v>
      </c>
      <c r="I13" s="23">
        <f>'MERCADO TE'!$U$10</f>
        <v>246.76899999999998</v>
      </c>
      <c r="J13" s="15"/>
      <c r="L13" s="20">
        <f>'TR TE'!$L$13*'TR TE'!$L$56</f>
        <v>2.7264007365833853</v>
      </c>
      <c r="M13" s="20">
        <f>'TR TE'!$M$13*'TR TE'!$M$56</f>
        <v>20.010824811917864</v>
      </c>
      <c r="N13" s="20">
        <f>'TR TE'!$N$13*'TR TE'!$N$56</f>
        <v>1.481915603341436</v>
      </c>
      <c r="O13" s="20">
        <f>'TR TE'!$O$13*'TR TE'!$O$56</f>
        <v>13.735218047937426</v>
      </c>
      <c r="P13" s="20">
        <f>'TR TE'!$P$13*'TR TE'!$P$56</f>
        <v>-18.961978214784679</v>
      </c>
      <c r="Q13" s="20">
        <f>SUM($L$13:$P$13)</f>
        <v>18.992380984995435</v>
      </c>
      <c r="R13" s="20">
        <f>'TR TE'!$R$13*'TR TE'!$R$56</f>
        <v>195.39353947127779</v>
      </c>
      <c r="S13" s="20">
        <f>SUM($R$13:$R$13)</f>
        <v>195.39353947127779</v>
      </c>
      <c r="T13" s="20">
        <f>'TR TE'!$T$13*'TR TE'!$T$56</f>
        <v>8.0599016754402992</v>
      </c>
      <c r="U13" s="20">
        <f>'TR TE'!$U$13*'TR TE'!$U$56</f>
        <v>5.5561220594496117</v>
      </c>
      <c r="V13" s="20">
        <f>'TR TE'!$V$13*'TR TE'!$V$56</f>
        <v>0</v>
      </c>
      <c r="W13" s="20">
        <f>SUM($T$13:$V$13)</f>
        <v>13.616023734889911</v>
      </c>
      <c r="X13" s="20"/>
      <c r="Y13" s="20">
        <f>SUM($X$13:$X$13)</f>
        <v>0</v>
      </c>
      <c r="Z13" s="20">
        <f>'TR TE'!$Z$13*'TR TE'!$Z$56</f>
        <v>3.2114261043049876</v>
      </c>
      <c r="AA13" s="20">
        <f>SUM($Z$13:$Z$13)</f>
        <v>3.2114261043049876</v>
      </c>
      <c r="AB13" s="20">
        <f>SUMIF($L$4:$AA$4,"SUBTOTAL",$L$13:$AA$13)</f>
        <v>231.21337029546814</v>
      </c>
    </row>
    <row r="14" spans="1:28" ht="11.25" customHeight="1" x14ac:dyDescent="0.3">
      <c r="A14" s="133"/>
      <c r="B14" s="22" t="s">
        <v>86</v>
      </c>
      <c r="C14" s="22" t="s">
        <v>25</v>
      </c>
      <c r="D14" s="22" t="s">
        <v>25</v>
      </c>
      <c r="E14" s="22" t="s">
        <v>25</v>
      </c>
      <c r="F14" s="22" t="s">
        <v>25</v>
      </c>
      <c r="G14" s="23" t="s">
        <v>84</v>
      </c>
      <c r="H14" s="23" t="s">
        <v>78</v>
      </c>
      <c r="I14" s="23">
        <f>'MERCADO TE'!$U$11</f>
        <v>0</v>
      </c>
      <c r="J14" s="15"/>
      <c r="L14" s="20">
        <f>'TR TE'!$L$14*'TR TE'!$L$56</f>
        <v>2.7264007365833853</v>
      </c>
      <c r="M14" s="20">
        <f>'TR TE'!$M$14*'TR TE'!$M$56</f>
        <v>20.010824811917864</v>
      </c>
      <c r="N14" s="20">
        <f>'TR TE'!$N$14*'TR TE'!$N$56</f>
        <v>1.481915603341436</v>
      </c>
      <c r="O14" s="20">
        <f>'TR TE'!$O$14*'TR TE'!$O$56</f>
        <v>13.735218047937426</v>
      </c>
      <c r="P14" s="20">
        <f>'TR TE'!$P$14*'TR TE'!$P$56</f>
        <v>-18.961978214784679</v>
      </c>
      <c r="Q14" s="20">
        <f>SUM($L$14:$P$14)</f>
        <v>18.992380984995435</v>
      </c>
      <c r="R14" s="20">
        <f>'TR TE'!$R$14*'TR TE'!$R$56</f>
        <v>207.11715183955448</v>
      </c>
      <c r="S14" s="20">
        <f>SUM($R$14:$R$14)</f>
        <v>207.11715183955448</v>
      </c>
      <c r="T14" s="20">
        <f>'TR TE'!$T$14*'TR TE'!$T$56</f>
        <v>8.0599016754402992</v>
      </c>
      <c r="U14" s="20">
        <f>'TR TE'!$U$14*'TR TE'!$U$56</f>
        <v>5.5561220594496117</v>
      </c>
      <c r="V14" s="20">
        <f>'TR TE'!$V$14*'TR TE'!$V$56</f>
        <v>0</v>
      </c>
      <c r="W14" s="20">
        <f>SUM($T$14:$V$14)</f>
        <v>13.616023734889911</v>
      </c>
      <c r="X14" s="20"/>
      <c r="Y14" s="20">
        <f>SUM($X$14:$X$14)</f>
        <v>0</v>
      </c>
      <c r="Z14" s="20">
        <f>'TR TE'!$Z$14*'TR TE'!$Z$56</f>
        <v>3.2114261043049876</v>
      </c>
      <c r="AA14" s="20">
        <f>SUM($Z$14:$Z$14)</f>
        <v>3.2114261043049876</v>
      </c>
      <c r="AB14" s="20">
        <f>SUMIF($L$4:$AA$4,"SUBTOTAL",$L$14:$AA$14)</f>
        <v>242.93698266374483</v>
      </c>
    </row>
    <row r="15" spans="1:28" ht="11.25" customHeight="1" x14ac:dyDescent="0.3">
      <c r="A15" s="133" t="s">
        <v>22</v>
      </c>
      <c r="B15" s="133" t="s">
        <v>77</v>
      </c>
      <c r="C15" s="133" t="s">
        <v>24</v>
      </c>
      <c r="D15" s="133" t="s">
        <v>24</v>
      </c>
      <c r="E15" s="133" t="s">
        <v>25</v>
      </c>
      <c r="F15" s="133" t="s">
        <v>25</v>
      </c>
      <c r="G15" s="23" t="s">
        <v>79</v>
      </c>
      <c r="H15" s="23" t="s">
        <v>78</v>
      </c>
      <c r="I15" s="23">
        <f>'MERCADO TE'!$U$12</f>
        <v>16.994999999999997</v>
      </c>
      <c r="J15" s="15"/>
      <c r="L15" s="20">
        <f>'TR TE'!$L$15*'TR TE'!$L$56</f>
        <v>2.7264007365833853</v>
      </c>
      <c r="M15" s="20">
        <f>'TR TE'!$M$15*'TR TE'!$M$56</f>
        <v>20.010824811917864</v>
      </c>
      <c r="N15" s="20">
        <f>'TR TE'!$N$15*'TR TE'!$N$56</f>
        <v>1.481915603341436</v>
      </c>
      <c r="O15" s="20">
        <f>'TR TE'!$O$15*'TR TE'!$O$56</f>
        <v>13.735218047937426</v>
      </c>
      <c r="P15" s="20">
        <f>'TR TE'!$P$15*'TR TE'!$P$56</f>
        <v>-18.961978214784679</v>
      </c>
      <c r="Q15" s="20">
        <f>SUM($L$15:$P$15)</f>
        <v>18.992380984995435</v>
      </c>
      <c r="R15" s="20">
        <f>'TR TE'!$R$15*'TR TE'!$R$56</f>
        <v>336.07688789059779</v>
      </c>
      <c r="S15" s="20">
        <f>SUM($R$15:$R$15)</f>
        <v>336.07688789059779</v>
      </c>
      <c r="T15" s="20">
        <f>'TR TE'!$T$15*'TR TE'!$T$56</f>
        <v>8.0599016754402992</v>
      </c>
      <c r="U15" s="20">
        <f>'TR TE'!$U$15*'TR TE'!$U$56</f>
        <v>5.5561220594496117</v>
      </c>
      <c r="V15" s="20">
        <f>'TR TE'!$V$15*'TR TE'!$V$56</f>
        <v>0</v>
      </c>
      <c r="W15" s="20">
        <f>SUM($T$15:$V$15)</f>
        <v>13.616023734889911</v>
      </c>
      <c r="X15" s="20"/>
      <c r="Y15" s="20">
        <f>SUM($X$15:$X$15)</f>
        <v>0</v>
      </c>
      <c r="Z15" s="20">
        <f>'TR TE'!$Z$15*'TR TE'!$Z$56</f>
        <v>3.2114261043049876</v>
      </c>
      <c r="AA15" s="20">
        <f>SUM($Z$15:$Z$15)</f>
        <v>3.2114261043049876</v>
      </c>
      <c r="AB15" s="20">
        <f>SUMIF($L$4:$AA$4,"SUBTOTAL",$L$15:$AA$15)</f>
        <v>371.89671871478811</v>
      </c>
    </row>
    <row r="16" spans="1:28" ht="11.25" customHeight="1" x14ac:dyDescent="0.3">
      <c r="A16" s="133"/>
      <c r="B16" s="133"/>
      <c r="C16" s="133"/>
      <c r="D16" s="133"/>
      <c r="E16" s="133"/>
      <c r="F16" s="133"/>
      <c r="G16" s="23" t="s">
        <v>90</v>
      </c>
      <c r="H16" s="23" t="s">
        <v>78</v>
      </c>
      <c r="I16" s="23">
        <f>'MERCADO TE'!$U$13</f>
        <v>10.9</v>
      </c>
      <c r="J16" s="15"/>
      <c r="L16" s="20">
        <f>'TR TE'!$L$16*'TR TE'!$L$56</f>
        <v>2.7264007365833853</v>
      </c>
      <c r="M16" s="20">
        <f>'TR TE'!$M$16*'TR TE'!$M$56</f>
        <v>20.010824811917864</v>
      </c>
      <c r="N16" s="20">
        <f>'TR TE'!$N$16*'TR TE'!$N$56</f>
        <v>1.481915603341436</v>
      </c>
      <c r="O16" s="20">
        <f>'TR TE'!$O$16*'TR TE'!$O$56</f>
        <v>13.735218047937426</v>
      </c>
      <c r="P16" s="20">
        <f>'TR TE'!$P$16*'TR TE'!$P$56</f>
        <v>-18.961978214784679</v>
      </c>
      <c r="Q16" s="20">
        <f>SUM($L$16:$P$16)</f>
        <v>18.992380984995435</v>
      </c>
      <c r="R16" s="20">
        <f>'TR TE'!$R$16*'TR TE'!$R$56</f>
        <v>195.39353947127779</v>
      </c>
      <c r="S16" s="20">
        <f>SUM($R$16:$R$16)</f>
        <v>195.39353947127779</v>
      </c>
      <c r="T16" s="20">
        <f>'TR TE'!$T$16*'TR TE'!$T$56</f>
        <v>8.0599016754402992</v>
      </c>
      <c r="U16" s="20">
        <f>'TR TE'!$U$16*'TR TE'!$U$56</f>
        <v>5.5561220594496117</v>
      </c>
      <c r="V16" s="20">
        <f>'TR TE'!$V$16*'TR TE'!$V$56</f>
        <v>0</v>
      </c>
      <c r="W16" s="20">
        <f>SUM($T$16:$V$16)</f>
        <v>13.616023734889911</v>
      </c>
      <c r="X16" s="20"/>
      <c r="Y16" s="20">
        <f>SUM($X$16:$X$16)</f>
        <v>0</v>
      </c>
      <c r="Z16" s="20">
        <f>'TR TE'!$Z$16*'TR TE'!$Z$56</f>
        <v>3.2114261043049876</v>
      </c>
      <c r="AA16" s="20">
        <f>SUM($Z$16:$Z$16)</f>
        <v>3.2114261043049876</v>
      </c>
      <c r="AB16" s="20">
        <f>SUMIF($L$4:$AA$4,"SUBTOTAL",$L$16:$AA$16)</f>
        <v>231.21337029546814</v>
      </c>
    </row>
    <row r="17" spans="1:28" ht="11.25" customHeight="1" x14ac:dyDescent="0.3">
      <c r="A17" s="133"/>
      <c r="B17" s="133"/>
      <c r="C17" s="133"/>
      <c r="D17" s="133"/>
      <c r="E17" s="133"/>
      <c r="F17" s="133"/>
      <c r="G17" s="23" t="s">
        <v>80</v>
      </c>
      <c r="H17" s="23" t="s">
        <v>78</v>
      </c>
      <c r="I17" s="23">
        <f>'MERCADO TE'!$U$14</f>
        <v>127.76599999999999</v>
      </c>
      <c r="J17" s="15"/>
      <c r="L17" s="20">
        <f>'TR TE'!$L$17*'TR TE'!$L$56</f>
        <v>2.7264007365833853</v>
      </c>
      <c r="M17" s="20">
        <f>'TR TE'!$M$17*'TR TE'!$M$56</f>
        <v>20.010824811917864</v>
      </c>
      <c r="N17" s="20">
        <f>'TR TE'!$N$17*'TR TE'!$N$56</f>
        <v>1.481915603341436</v>
      </c>
      <c r="O17" s="20">
        <f>'TR TE'!$O$17*'TR TE'!$O$56</f>
        <v>13.735218047937426</v>
      </c>
      <c r="P17" s="20">
        <f>'TR TE'!$P$17*'TR TE'!$P$56</f>
        <v>-18.961978214784679</v>
      </c>
      <c r="Q17" s="20">
        <f>SUM($L$17:$P$17)</f>
        <v>18.992380984995435</v>
      </c>
      <c r="R17" s="20">
        <f>'TR TE'!$R$17*'TR TE'!$R$56</f>
        <v>195.39353947127779</v>
      </c>
      <c r="S17" s="20">
        <f>SUM($R$17:$R$17)</f>
        <v>195.39353947127779</v>
      </c>
      <c r="T17" s="20">
        <f>'TR TE'!$T$17*'TR TE'!$T$56</f>
        <v>8.0599016754402992</v>
      </c>
      <c r="U17" s="20">
        <f>'TR TE'!$U$17*'TR TE'!$U$56</f>
        <v>5.5561220594496117</v>
      </c>
      <c r="V17" s="20">
        <f>'TR TE'!$V$17*'TR TE'!$V$56</f>
        <v>0</v>
      </c>
      <c r="W17" s="20">
        <f>SUM($T$17:$V$17)</f>
        <v>13.616023734889911</v>
      </c>
      <c r="X17" s="20"/>
      <c r="Y17" s="20">
        <f>SUM($X$17:$X$17)</f>
        <v>0</v>
      </c>
      <c r="Z17" s="20">
        <f>'TR TE'!$Z$17*'TR TE'!$Z$56</f>
        <v>3.2114261043049876</v>
      </c>
      <c r="AA17" s="20">
        <f>SUM($Z$17:$Z$17)</f>
        <v>3.2114261043049876</v>
      </c>
      <c r="AB17" s="20">
        <f>SUMIF($L$4:$AA$4,"SUBTOTAL",$L$17:$AA$17)</f>
        <v>231.21337029546814</v>
      </c>
    </row>
    <row r="18" spans="1:28" ht="11.25" customHeight="1" x14ac:dyDescent="0.3">
      <c r="A18" s="133"/>
      <c r="B18" s="133" t="s">
        <v>86</v>
      </c>
      <c r="C18" s="133" t="s">
        <v>24</v>
      </c>
      <c r="D18" s="22" t="s">
        <v>24</v>
      </c>
      <c r="E18" s="22" t="s">
        <v>25</v>
      </c>
      <c r="F18" s="22" t="s">
        <v>25</v>
      </c>
      <c r="G18" s="23" t="s">
        <v>84</v>
      </c>
      <c r="H18" s="23" t="s">
        <v>78</v>
      </c>
      <c r="I18" s="23">
        <f>'MERCADO TE'!$U$15</f>
        <v>126554.92199999999</v>
      </c>
      <c r="J18" s="15"/>
      <c r="L18" s="20">
        <f>'TR TE'!$L$18*'TR TE'!$L$56</f>
        <v>2.7264007365833853</v>
      </c>
      <c r="M18" s="20">
        <f>'TR TE'!$M$18*'TR TE'!$M$56</f>
        <v>20.010824811917864</v>
      </c>
      <c r="N18" s="20">
        <f>'TR TE'!$N$18*'TR TE'!$N$56</f>
        <v>1.481915603341436</v>
      </c>
      <c r="O18" s="20">
        <f>'TR TE'!$O$18*'TR TE'!$O$56</f>
        <v>13.735218047937426</v>
      </c>
      <c r="P18" s="20">
        <f>'TR TE'!$P$18*'TR TE'!$P$56</f>
        <v>-18.961978214784679</v>
      </c>
      <c r="Q18" s="20">
        <f>SUM($L$18:$P$18)</f>
        <v>18.992380984995435</v>
      </c>
      <c r="R18" s="20">
        <f>'TR TE'!$R$18*'TR TE'!$R$56</f>
        <v>207.11715183955448</v>
      </c>
      <c r="S18" s="20">
        <f>SUM($R$18:$R$18)</f>
        <v>207.11715183955448</v>
      </c>
      <c r="T18" s="20">
        <f>'TR TE'!$T$18*'TR TE'!$T$56</f>
        <v>8.0599016754402992</v>
      </c>
      <c r="U18" s="20">
        <f>'TR TE'!$U$18*'TR TE'!$U$56</f>
        <v>5.5561220594496117</v>
      </c>
      <c r="V18" s="20">
        <f>'TR TE'!$V$18*'TR TE'!$V$56</f>
        <v>0</v>
      </c>
      <c r="W18" s="20">
        <f>SUM($T$18:$V$18)</f>
        <v>13.616023734889911</v>
      </c>
      <c r="X18" s="20"/>
      <c r="Y18" s="20">
        <f>SUM($X$18:$X$18)</f>
        <v>0</v>
      </c>
      <c r="Z18" s="20">
        <f>'TR TE'!$Z$18*'TR TE'!$Z$56</f>
        <v>3.2114261043049876</v>
      </c>
      <c r="AA18" s="20">
        <f>SUM($Z$18:$Z$18)</f>
        <v>3.2114261043049876</v>
      </c>
      <c r="AB18" s="20">
        <f>SUMIF($L$4:$AA$4,"SUBTOTAL",$L$18:$AA$18)</f>
        <v>242.93698266374483</v>
      </c>
    </row>
    <row r="19" spans="1:28" ht="11.25" customHeight="1" x14ac:dyDescent="0.3">
      <c r="A19" s="133"/>
      <c r="B19" s="133"/>
      <c r="C19" s="133"/>
      <c r="D19" s="22" t="s">
        <v>29</v>
      </c>
      <c r="E19" s="22" t="s">
        <v>25</v>
      </c>
      <c r="F19" s="22" t="s">
        <v>25</v>
      </c>
      <c r="G19" s="23" t="s">
        <v>84</v>
      </c>
      <c r="H19" s="23" t="s">
        <v>78</v>
      </c>
      <c r="I19" s="23">
        <f>'MERCADO TE'!$U$16</f>
        <v>2163.31</v>
      </c>
      <c r="J19" s="15"/>
      <c r="L19" s="20">
        <f>'TR TE'!$L$19*'TR TE'!$L$56</f>
        <v>2.7264007365833853</v>
      </c>
      <c r="M19" s="20">
        <f>'TR TE'!$M$19*'TR TE'!$M$56</f>
        <v>20.010824811917864</v>
      </c>
      <c r="N19" s="20">
        <f>'TR TE'!$N$19*'TR TE'!$N$56</f>
        <v>1.481915603341436</v>
      </c>
      <c r="O19" s="20">
        <f>'TR TE'!$O$19*'TR TE'!$O$56</f>
        <v>13.735218047937426</v>
      </c>
      <c r="P19" s="20">
        <f>'TR TE'!$P$19*'TR TE'!$P$56</f>
        <v>-18.961978214784679</v>
      </c>
      <c r="Q19" s="20">
        <f>SUM($L$19:$P$19)</f>
        <v>18.992380984995435</v>
      </c>
      <c r="R19" s="20">
        <f>'TR TE'!$R$19*'TR TE'!$R$56</f>
        <v>207.11715183955448</v>
      </c>
      <c r="S19" s="20">
        <f>SUM($R$19:$R$19)</f>
        <v>207.11715183955448</v>
      </c>
      <c r="T19" s="20">
        <f>'TR TE'!$T$19*'TR TE'!$T$56</f>
        <v>8.0599016754402992</v>
      </c>
      <c r="U19" s="20">
        <f>'TR TE'!$U$19*'TR TE'!$U$56</f>
        <v>5.5561220594496117</v>
      </c>
      <c r="V19" s="20">
        <f>'TR TE'!$V$19*'TR TE'!$V$56</f>
        <v>0</v>
      </c>
      <c r="W19" s="20">
        <f>SUM($T$19:$V$19)</f>
        <v>13.616023734889911</v>
      </c>
      <c r="X19" s="20"/>
      <c r="Y19" s="20">
        <f>SUM($X$19:$X$19)</f>
        <v>0</v>
      </c>
      <c r="Z19" s="20">
        <f>'TR TE'!$Z$19*'TR TE'!$Z$56</f>
        <v>3.2114261043049876</v>
      </c>
      <c r="AA19" s="20">
        <f>SUM($Z$19:$Z$19)</f>
        <v>3.2114261043049876</v>
      </c>
      <c r="AB19" s="20">
        <f>SUMIF($L$4:$AA$4,"SUBTOTAL",$L$19:$AA$19)</f>
        <v>242.93698266374483</v>
      </c>
    </row>
    <row r="20" spans="1:28" ht="11.25" customHeight="1" x14ac:dyDescent="0.3">
      <c r="A20" s="133"/>
      <c r="B20" s="133"/>
      <c r="C20" s="133"/>
      <c r="D20" s="22" t="s">
        <v>30</v>
      </c>
      <c r="E20" s="22" t="s">
        <v>25</v>
      </c>
      <c r="F20" s="22" t="s">
        <v>25</v>
      </c>
      <c r="G20" s="23" t="s">
        <v>84</v>
      </c>
      <c r="H20" s="23" t="s">
        <v>78</v>
      </c>
      <c r="I20" s="23">
        <f>'MERCADO TE'!$U$17</f>
        <v>4329.2419999999993</v>
      </c>
      <c r="J20" s="15"/>
      <c r="L20" s="20">
        <f>'TR TE'!$L$20*'TR TE'!$L$56</f>
        <v>2.7264007365833853</v>
      </c>
      <c r="M20" s="20">
        <f>'TR TE'!$M$20*'TR TE'!$M$56</f>
        <v>20.010824811917864</v>
      </c>
      <c r="N20" s="20">
        <f>'TR TE'!$N$20*'TR TE'!$N$56</f>
        <v>1.481915603341436</v>
      </c>
      <c r="O20" s="20">
        <f>'TR TE'!$O$20*'TR TE'!$O$56</f>
        <v>13.735218047937426</v>
      </c>
      <c r="P20" s="20">
        <f>'TR TE'!$P$20*'TR TE'!$P$56</f>
        <v>-18.961978214784679</v>
      </c>
      <c r="Q20" s="20">
        <f>SUM($L$20:$P$20)</f>
        <v>18.992380984995435</v>
      </c>
      <c r="R20" s="20">
        <f>'TR TE'!$R$20*'TR TE'!$R$56</f>
        <v>207.11715183955448</v>
      </c>
      <c r="S20" s="20">
        <f>SUM($R$20:$R$20)</f>
        <v>207.11715183955448</v>
      </c>
      <c r="T20" s="20">
        <f>'TR TE'!$T$20*'TR TE'!$T$56</f>
        <v>8.0599016754402992</v>
      </c>
      <c r="U20" s="20">
        <f>'TR TE'!$U$20*'TR TE'!$U$56</f>
        <v>5.5561220594496117</v>
      </c>
      <c r="V20" s="20">
        <f>'TR TE'!$V$20*'TR TE'!$V$56</f>
        <v>0</v>
      </c>
      <c r="W20" s="20">
        <f>SUM($T$20:$V$20)</f>
        <v>13.616023734889911</v>
      </c>
      <c r="X20" s="20"/>
      <c r="Y20" s="20">
        <f>SUM($X$20:$X$20)</f>
        <v>0</v>
      </c>
      <c r="Z20" s="20">
        <f>'TR TE'!$Z$20*'TR TE'!$Z$56</f>
        <v>3.2114261043049876</v>
      </c>
      <c r="AA20" s="20">
        <f>SUM($Z$20:$Z$20)</f>
        <v>3.2114261043049876</v>
      </c>
      <c r="AB20" s="20">
        <f>SUMIF($L$4:$AA$4,"SUBTOTAL",$L$20:$AA$20)</f>
        <v>242.93698266374483</v>
      </c>
    </row>
    <row r="21" spans="1:28" ht="11.25" customHeight="1" x14ac:dyDescent="0.3">
      <c r="A21" s="133"/>
      <c r="B21" s="133"/>
      <c r="C21" s="133"/>
      <c r="D21" s="22" t="s">
        <v>31</v>
      </c>
      <c r="E21" s="22" t="s">
        <v>25</v>
      </c>
      <c r="F21" s="22" t="s">
        <v>25</v>
      </c>
      <c r="G21" s="23" t="s">
        <v>84</v>
      </c>
      <c r="H21" s="23" t="s">
        <v>78</v>
      </c>
      <c r="I21" s="23">
        <f>'MERCADO TE'!$U$18</f>
        <v>3237.8510000000001</v>
      </c>
      <c r="J21" s="15"/>
      <c r="L21" s="20">
        <f>'TR TE'!$L$21*'TR TE'!$L$56</f>
        <v>2.7264007365833853</v>
      </c>
      <c r="M21" s="20">
        <f>'TR TE'!$M$21*'TR TE'!$M$56</f>
        <v>20.010824811917864</v>
      </c>
      <c r="N21" s="20">
        <f>'TR TE'!$N$21*'TR TE'!$N$56</f>
        <v>1.481915603341436</v>
      </c>
      <c r="O21" s="20">
        <f>'TR TE'!$O$21*'TR TE'!$O$56</f>
        <v>13.735218047937426</v>
      </c>
      <c r="P21" s="20">
        <f>'TR TE'!$P$21*'TR TE'!$P$56</f>
        <v>-18.961978214784679</v>
      </c>
      <c r="Q21" s="20">
        <f>SUM($L$21:$P$21)</f>
        <v>18.992380984995435</v>
      </c>
      <c r="R21" s="20">
        <f>'TR TE'!$R$21*'TR TE'!$R$56</f>
        <v>207.11715183955448</v>
      </c>
      <c r="S21" s="20">
        <f>SUM($R$21:$R$21)</f>
        <v>207.11715183955448</v>
      </c>
      <c r="T21" s="20">
        <f>'TR TE'!$T$21*'TR TE'!$T$56</f>
        <v>8.0599016754402992</v>
      </c>
      <c r="U21" s="20">
        <f>'TR TE'!$U$21*'TR TE'!$U$56</f>
        <v>5.5561220594496117</v>
      </c>
      <c r="V21" s="20">
        <f>'TR TE'!$V$21*'TR TE'!$V$56</f>
        <v>0</v>
      </c>
      <c r="W21" s="20">
        <f>SUM($T$21:$V$21)</f>
        <v>13.616023734889911</v>
      </c>
      <c r="X21" s="20"/>
      <c r="Y21" s="20">
        <f>SUM($X$21:$X$21)</f>
        <v>0</v>
      </c>
      <c r="Z21" s="20">
        <f>'TR TE'!$Z$21*'TR TE'!$Z$56</f>
        <v>3.2114261043049876</v>
      </c>
      <c r="AA21" s="20">
        <f>SUM($Z$21:$Z$21)</f>
        <v>3.2114261043049876</v>
      </c>
      <c r="AB21" s="20">
        <f>SUMIF($L$4:$AA$4,"SUBTOTAL",$L$21:$AA$21)</f>
        <v>242.93698266374483</v>
      </c>
    </row>
    <row r="22" spans="1:28" ht="11.25" customHeight="1" x14ac:dyDescent="0.3">
      <c r="A22" s="133"/>
      <c r="B22" s="133"/>
      <c r="C22" s="133"/>
      <c r="D22" s="22" t="s">
        <v>32</v>
      </c>
      <c r="E22" s="22" t="s">
        <v>25</v>
      </c>
      <c r="F22" s="22" t="s">
        <v>25</v>
      </c>
      <c r="G22" s="23" t="s">
        <v>84</v>
      </c>
      <c r="H22" s="23" t="s">
        <v>78</v>
      </c>
      <c r="I22" s="23">
        <f>'MERCADO TE'!$U$19</f>
        <v>633.93299999999999</v>
      </c>
      <c r="J22" s="15"/>
      <c r="L22" s="20">
        <f>'TR TE'!$L$22*'TR TE'!$L$56</f>
        <v>2.7264007365833853</v>
      </c>
      <c r="M22" s="20">
        <f>'TR TE'!$M$22*'TR TE'!$M$56</f>
        <v>20.010824811917864</v>
      </c>
      <c r="N22" s="20">
        <f>'TR TE'!$N$22*'TR TE'!$N$56</f>
        <v>1.481915603341436</v>
      </c>
      <c r="O22" s="20">
        <f>'TR TE'!$O$22*'TR TE'!$O$56</f>
        <v>13.735218047937426</v>
      </c>
      <c r="P22" s="20">
        <f>'TR TE'!$P$22*'TR TE'!$P$56</f>
        <v>-18.961978214784679</v>
      </c>
      <c r="Q22" s="20">
        <f>SUM($L$22:$P$22)</f>
        <v>18.992380984995435</v>
      </c>
      <c r="R22" s="20">
        <f>'TR TE'!$R$22*'TR TE'!$R$56</f>
        <v>207.11715183955448</v>
      </c>
      <c r="S22" s="20">
        <f>SUM($R$22:$R$22)</f>
        <v>207.11715183955448</v>
      </c>
      <c r="T22" s="20">
        <f>'TR TE'!$T$22*'TR TE'!$T$56</f>
        <v>8.0599016754402992</v>
      </c>
      <c r="U22" s="20">
        <f>'TR TE'!$U$22*'TR TE'!$U$56</f>
        <v>5.5561220594496117</v>
      </c>
      <c r="V22" s="20">
        <f>'TR TE'!$V$22*'TR TE'!$V$56</f>
        <v>0</v>
      </c>
      <c r="W22" s="20">
        <f>SUM($T$22:$V$22)</f>
        <v>13.616023734889911</v>
      </c>
      <c r="X22" s="20"/>
      <c r="Y22" s="20">
        <f>SUM($X$22:$X$22)</f>
        <v>0</v>
      </c>
      <c r="Z22" s="20">
        <f>'TR TE'!$Z$22*'TR TE'!$Z$56</f>
        <v>3.2114261043049876</v>
      </c>
      <c r="AA22" s="20">
        <f>SUM($Z$22:$Z$22)</f>
        <v>3.2114261043049876</v>
      </c>
      <c r="AB22" s="20">
        <f>SUMIF($L$4:$AA$4,"SUBTOTAL",$L$22:$AA$22)</f>
        <v>242.93698266374483</v>
      </c>
    </row>
    <row r="23" spans="1:28" ht="11.25" customHeight="1" x14ac:dyDescent="0.3">
      <c r="A23" s="133"/>
      <c r="B23" s="133" t="s">
        <v>91</v>
      </c>
      <c r="C23" s="133" t="s">
        <v>24</v>
      </c>
      <c r="D23" s="22" t="s">
        <v>24</v>
      </c>
      <c r="E23" s="22" t="s">
        <v>25</v>
      </c>
      <c r="F23" s="22" t="s">
        <v>25</v>
      </c>
      <c r="G23" s="23" t="s">
        <v>84</v>
      </c>
      <c r="H23" s="23" t="s">
        <v>78</v>
      </c>
      <c r="I23" s="23">
        <f>'MERCADO TE'!$U$20</f>
        <v>0</v>
      </c>
      <c r="J23" s="15"/>
      <c r="L23" s="20">
        <f>'TR TE'!$L$23*'TR TE'!$L$56</f>
        <v>2.7264007365833853</v>
      </c>
      <c r="M23" s="20">
        <f>'TR TE'!$M$23*'TR TE'!$M$56</f>
        <v>20.010824811917864</v>
      </c>
      <c r="N23" s="20">
        <f>'TR TE'!$N$23*'TR TE'!$N$56</f>
        <v>1.481915603341436</v>
      </c>
      <c r="O23" s="20">
        <f>'TR TE'!$O$23*'TR TE'!$O$56</f>
        <v>13.735218047937426</v>
      </c>
      <c r="P23" s="20">
        <f>'TR TE'!$P$23*'TR TE'!$P$56</f>
        <v>-18.961978214784679</v>
      </c>
      <c r="Q23" s="20">
        <f>SUM($L$23:$P$23)</f>
        <v>18.992380984995435</v>
      </c>
      <c r="R23" s="20">
        <f>'TR TE'!$R$23*'TR TE'!$R$56</f>
        <v>207.11715183955448</v>
      </c>
      <c r="S23" s="20">
        <f>SUM($R$23:$R$23)</f>
        <v>207.11715183955448</v>
      </c>
      <c r="T23" s="20">
        <f>'TR TE'!$T$23*'TR TE'!$T$56</f>
        <v>8.0599016754402992</v>
      </c>
      <c r="U23" s="20">
        <f>'TR TE'!$U$23*'TR TE'!$U$56</f>
        <v>5.5561220594496117</v>
      </c>
      <c r="V23" s="20">
        <f>'TR TE'!$V$23*'TR TE'!$V$56</f>
        <v>0</v>
      </c>
      <c r="W23" s="20">
        <f>SUM($T$23:$V$23)</f>
        <v>13.616023734889911</v>
      </c>
      <c r="X23" s="20"/>
      <c r="Y23" s="20">
        <f>SUM($X$23:$X$23)</f>
        <v>0</v>
      </c>
      <c r="Z23" s="20">
        <f>'TR TE'!$Z$23*'TR TE'!$Z$56</f>
        <v>3.2114261043049876</v>
      </c>
      <c r="AA23" s="20">
        <f>SUM($Z$23:$Z$23)</f>
        <v>3.2114261043049876</v>
      </c>
      <c r="AB23" s="20">
        <f>SUMIF($L$4:$AA$4,"SUBTOTAL",$L$23:$AA$23)</f>
        <v>242.93698266374483</v>
      </c>
    </row>
    <row r="24" spans="1:28" ht="11.25" customHeight="1" x14ac:dyDescent="0.3">
      <c r="A24" s="133"/>
      <c r="B24" s="133"/>
      <c r="C24" s="133"/>
      <c r="D24" s="22" t="s">
        <v>29</v>
      </c>
      <c r="E24" s="22" t="s">
        <v>25</v>
      </c>
      <c r="F24" s="22" t="s">
        <v>25</v>
      </c>
      <c r="G24" s="23" t="s">
        <v>84</v>
      </c>
      <c r="H24" s="23" t="s">
        <v>78</v>
      </c>
      <c r="I24" s="23">
        <f>'MERCADO TE'!$U$21</f>
        <v>0</v>
      </c>
      <c r="J24" s="15"/>
      <c r="L24" s="20">
        <f>'TR TE'!$L$24*'TR TE'!$L$56</f>
        <v>2.7264007365833853</v>
      </c>
      <c r="M24" s="20">
        <f>'TR TE'!$M$24*'TR TE'!$M$56</f>
        <v>20.010824811917864</v>
      </c>
      <c r="N24" s="20">
        <f>'TR TE'!$N$24*'TR TE'!$N$56</f>
        <v>1.481915603341436</v>
      </c>
      <c r="O24" s="20">
        <f>'TR TE'!$O$24*'TR TE'!$O$56</f>
        <v>13.735218047937426</v>
      </c>
      <c r="P24" s="20">
        <f>'TR TE'!$P$24*'TR TE'!$P$56</f>
        <v>-18.961978214784679</v>
      </c>
      <c r="Q24" s="20">
        <f>SUM($L$24:$P$24)</f>
        <v>18.992380984995435</v>
      </c>
      <c r="R24" s="20">
        <f>'TR TE'!$R$24*'TR TE'!$R$56</f>
        <v>207.11715183955448</v>
      </c>
      <c r="S24" s="20">
        <f>SUM($R$24:$R$24)</f>
        <v>207.11715183955448</v>
      </c>
      <c r="T24" s="20">
        <f>'TR TE'!$T$24*'TR TE'!$T$56</f>
        <v>8.0599016754402992</v>
      </c>
      <c r="U24" s="20">
        <f>'TR TE'!$U$24*'TR TE'!$U$56</f>
        <v>5.5561220594496117</v>
      </c>
      <c r="V24" s="20">
        <f>'TR TE'!$V$24*'TR TE'!$V$56</f>
        <v>0</v>
      </c>
      <c r="W24" s="20">
        <f>SUM($T$24:$V$24)</f>
        <v>13.616023734889911</v>
      </c>
      <c r="X24" s="20"/>
      <c r="Y24" s="20">
        <f>SUM($X$24:$X$24)</f>
        <v>0</v>
      </c>
      <c r="Z24" s="20">
        <f>'TR TE'!$Z$24*'TR TE'!$Z$56</f>
        <v>3.2114261043049876</v>
      </c>
      <c r="AA24" s="20">
        <f>SUM($Z$24:$Z$24)</f>
        <v>3.2114261043049876</v>
      </c>
      <c r="AB24" s="20">
        <f>SUMIF($L$4:$AA$4,"SUBTOTAL",$L$24:$AA$24)</f>
        <v>242.93698266374483</v>
      </c>
    </row>
    <row r="25" spans="1:28" ht="11.25" customHeight="1" x14ac:dyDescent="0.3">
      <c r="A25" s="133"/>
      <c r="B25" s="133"/>
      <c r="C25" s="133"/>
      <c r="D25" s="22" t="s">
        <v>30</v>
      </c>
      <c r="E25" s="22" t="s">
        <v>25</v>
      </c>
      <c r="F25" s="22" t="s">
        <v>25</v>
      </c>
      <c r="G25" s="23" t="s">
        <v>84</v>
      </c>
      <c r="H25" s="23" t="s">
        <v>78</v>
      </c>
      <c r="I25" s="23">
        <f>'MERCADO TE'!$U$22</f>
        <v>0</v>
      </c>
      <c r="J25" s="15"/>
      <c r="L25" s="20">
        <f>'TR TE'!$L$25*'TR TE'!$L$56</f>
        <v>2.7264007365833853</v>
      </c>
      <c r="M25" s="20">
        <f>'TR TE'!$M$25*'TR TE'!$M$56</f>
        <v>20.010824811917864</v>
      </c>
      <c r="N25" s="20">
        <f>'TR TE'!$N$25*'TR TE'!$N$56</f>
        <v>1.481915603341436</v>
      </c>
      <c r="O25" s="20">
        <f>'TR TE'!$O$25*'TR TE'!$O$56</f>
        <v>13.735218047937426</v>
      </c>
      <c r="P25" s="20">
        <f>'TR TE'!$P$25*'TR TE'!$P$56</f>
        <v>-18.961978214784679</v>
      </c>
      <c r="Q25" s="20">
        <f>SUM($L$25:$P$25)</f>
        <v>18.992380984995435</v>
      </c>
      <c r="R25" s="20">
        <f>'TR TE'!$R$25*'TR TE'!$R$56</f>
        <v>207.11715183955448</v>
      </c>
      <c r="S25" s="20">
        <f>SUM($R$25:$R$25)</f>
        <v>207.11715183955448</v>
      </c>
      <c r="T25" s="20">
        <f>'TR TE'!$T$25*'TR TE'!$T$56</f>
        <v>8.0599016754402992</v>
      </c>
      <c r="U25" s="20">
        <f>'TR TE'!$U$25*'TR TE'!$U$56</f>
        <v>5.5561220594496117</v>
      </c>
      <c r="V25" s="20">
        <f>'TR TE'!$V$25*'TR TE'!$V$56</f>
        <v>0</v>
      </c>
      <c r="W25" s="20">
        <f>SUM($T$25:$V$25)</f>
        <v>13.616023734889911</v>
      </c>
      <c r="X25" s="20"/>
      <c r="Y25" s="20">
        <f>SUM($X$25:$X$25)</f>
        <v>0</v>
      </c>
      <c r="Z25" s="20">
        <f>'TR TE'!$Z$25*'TR TE'!$Z$56</f>
        <v>3.2114261043049876</v>
      </c>
      <c r="AA25" s="20">
        <f>SUM($Z$25:$Z$25)</f>
        <v>3.2114261043049876</v>
      </c>
      <c r="AB25" s="20">
        <f>SUMIF($L$4:$AA$4,"SUBTOTAL",$L$25:$AA$25)</f>
        <v>242.93698266374483</v>
      </c>
    </row>
    <row r="26" spans="1:28" ht="11.25" customHeight="1" x14ac:dyDescent="0.3">
      <c r="A26" s="133"/>
      <c r="B26" s="133"/>
      <c r="C26" s="133"/>
      <c r="D26" s="22" t="s">
        <v>31</v>
      </c>
      <c r="E26" s="22" t="s">
        <v>25</v>
      </c>
      <c r="F26" s="22" t="s">
        <v>25</v>
      </c>
      <c r="G26" s="23" t="s">
        <v>84</v>
      </c>
      <c r="H26" s="23" t="s">
        <v>78</v>
      </c>
      <c r="I26" s="23">
        <f>'MERCADO TE'!$U$23</f>
        <v>0</v>
      </c>
      <c r="J26" s="15"/>
      <c r="L26" s="20">
        <f>'TR TE'!$L$26*'TR TE'!$L$56</f>
        <v>2.7264007365833853</v>
      </c>
      <c r="M26" s="20">
        <f>'TR TE'!$M$26*'TR TE'!$M$56</f>
        <v>20.010824811917864</v>
      </c>
      <c r="N26" s="20">
        <f>'TR TE'!$N$26*'TR TE'!$N$56</f>
        <v>1.481915603341436</v>
      </c>
      <c r="O26" s="20">
        <f>'TR TE'!$O$26*'TR TE'!$O$56</f>
        <v>13.735218047937426</v>
      </c>
      <c r="P26" s="20">
        <f>'TR TE'!$P$26*'TR TE'!$P$56</f>
        <v>-18.961978214784679</v>
      </c>
      <c r="Q26" s="20">
        <f>SUM($L$26:$P$26)</f>
        <v>18.992380984995435</v>
      </c>
      <c r="R26" s="20">
        <f>'TR TE'!$R$26*'TR TE'!$R$56</f>
        <v>207.11715183955448</v>
      </c>
      <c r="S26" s="20">
        <f>SUM($R$26:$R$26)</f>
        <v>207.11715183955448</v>
      </c>
      <c r="T26" s="20">
        <f>'TR TE'!$T$26*'TR TE'!$T$56</f>
        <v>8.0599016754402992</v>
      </c>
      <c r="U26" s="20">
        <f>'TR TE'!$U$26*'TR TE'!$U$56</f>
        <v>5.5561220594496117</v>
      </c>
      <c r="V26" s="20">
        <f>'TR TE'!$V$26*'TR TE'!$V$56</f>
        <v>0</v>
      </c>
      <c r="W26" s="20">
        <f>SUM($T$26:$V$26)</f>
        <v>13.616023734889911</v>
      </c>
      <c r="X26" s="20"/>
      <c r="Y26" s="20">
        <f>SUM($X$26:$X$26)</f>
        <v>0</v>
      </c>
      <c r="Z26" s="20">
        <f>'TR TE'!$Z$26*'TR TE'!$Z$56</f>
        <v>3.2114261043049876</v>
      </c>
      <c r="AA26" s="20">
        <f>SUM($Z$26:$Z$26)</f>
        <v>3.2114261043049876</v>
      </c>
      <c r="AB26" s="20">
        <f>SUMIF($L$4:$AA$4,"SUBTOTAL",$L$26:$AA$26)</f>
        <v>242.93698266374483</v>
      </c>
    </row>
    <row r="27" spans="1:28" ht="11.25" customHeight="1" x14ac:dyDescent="0.3">
      <c r="A27" s="133"/>
      <c r="B27" s="133"/>
      <c r="C27" s="133"/>
      <c r="D27" s="22" t="s">
        <v>32</v>
      </c>
      <c r="E27" s="22" t="s">
        <v>25</v>
      </c>
      <c r="F27" s="22" t="s">
        <v>25</v>
      </c>
      <c r="G27" s="23" t="s">
        <v>84</v>
      </c>
      <c r="H27" s="23" t="s">
        <v>78</v>
      </c>
      <c r="I27" s="23">
        <f>'MERCADO TE'!$U$24</f>
        <v>0</v>
      </c>
      <c r="J27" s="15"/>
      <c r="L27" s="20">
        <f>'TR TE'!$L$27*'TR TE'!$L$56</f>
        <v>2.7264007365833853</v>
      </c>
      <c r="M27" s="20">
        <f>'TR TE'!$M$27*'TR TE'!$M$56</f>
        <v>20.010824811917864</v>
      </c>
      <c r="N27" s="20">
        <f>'TR TE'!$N$27*'TR TE'!$N$56</f>
        <v>1.481915603341436</v>
      </c>
      <c r="O27" s="20">
        <f>'TR TE'!$O$27*'TR TE'!$O$56</f>
        <v>13.735218047937426</v>
      </c>
      <c r="P27" s="20">
        <f>'TR TE'!$P$27*'TR TE'!$P$56</f>
        <v>-18.961978214784679</v>
      </c>
      <c r="Q27" s="20">
        <f>SUM($L$27:$P$27)</f>
        <v>18.992380984995435</v>
      </c>
      <c r="R27" s="20">
        <f>'TR TE'!$R$27*'TR TE'!$R$56</f>
        <v>207.11715183955448</v>
      </c>
      <c r="S27" s="20">
        <f>SUM($R$27:$R$27)</f>
        <v>207.11715183955448</v>
      </c>
      <c r="T27" s="20">
        <f>'TR TE'!$T$27*'TR TE'!$T$56</f>
        <v>8.0599016754402992</v>
      </c>
      <c r="U27" s="20">
        <f>'TR TE'!$U$27*'TR TE'!$U$56</f>
        <v>5.5561220594496117</v>
      </c>
      <c r="V27" s="20">
        <f>'TR TE'!$V$27*'TR TE'!$V$56</f>
        <v>0</v>
      </c>
      <c r="W27" s="20">
        <f>SUM($T$27:$V$27)</f>
        <v>13.616023734889911</v>
      </c>
      <c r="X27" s="20"/>
      <c r="Y27" s="20">
        <f>SUM($X$27:$X$27)</f>
        <v>0</v>
      </c>
      <c r="Z27" s="20">
        <f>'TR TE'!$Z$27*'TR TE'!$Z$56</f>
        <v>3.2114261043049876</v>
      </c>
      <c r="AA27" s="20">
        <f>SUM($Z$27:$Z$27)</f>
        <v>3.2114261043049876</v>
      </c>
      <c r="AB27" s="20">
        <f>SUMIF($L$4:$AA$4,"SUBTOTAL",$L$27:$AA$27)</f>
        <v>242.93698266374483</v>
      </c>
    </row>
    <row r="28" spans="1:28" ht="11.25" customHeight="1" x14ac:dyDescent="0.3">
      <c r="A28" s="133" t="s">
        <v>44</v>
      </c>
      <c r="B28" s="133" t="s">
        <v>77</v>
      </c>
      <c r="C28" s="133" t="s">
        <v>45</v>
      </c>
      <c r="D28" s="133" t="s">
        <v>25</v>
      </c>
      <c r="E28" s="133" t="s">
        <v>25</v>
      </c>
      <c r="F28" s="133" t="s">
        <v>25</v>
      </c>
      <c r="G28" s="23" t="s">
        <v>79</v>
      </c>
      <c r="H28" s="23" t="s">
        <v>78</v>
      </c>
      <c r="I28" s="23">
        <f>'MERCADO TE'!$U$25</f>
        <v>0</v>
      </c>
      <c r="J28" s="15"/>
      <c r="L28" s="20">
        <f>'TR TE'!$L$28*'TR TE'!$L$56</f>
        <v>2.7264007365833853</v>
      </c>
      <c r="M28" s="20">
        <f>'TR TE'!$M$28*'TR TE'!$M$56</f>
        <v>20.010824811917864</v>
      </c>
      <c r="N28" s="20">
        <f>'TR TE'!$N$28*'TR TE'!$N$56</f>
        <v>1.481915603341436</v>
      </c>
      <c r="O28" s="20">
        <f>'TR TE'!$O$28*'TR TE'!$O$56</f>
        <v>13.735218047937426</v>
      </c>
      <c r="P28" s="20">
        <f>'TR TE'!$P$28*'TR TE'!$P$56</f>
        <v>-18.961978214784679</v>
      </c>
      <c r="Q28" s="20">
        <f>SUM($L$28:$P$28)</f>
        <v>18.992380984995435</v>
      </c>
      <c r="R28" s="20">
        <f>'TR TE'!$R$28*'TR TE'!$R$56</f>
        <v>336.07688789059779</v>
      </c>
      <c r="S28" s="20">
        <f>SUM($R$28:$R$28)</f>
        <v>336.07688789059779</v>
      </c>
      <c r="T28" s="20">
        <f>'TR TE'!$T$28*'TR TE'!$T$56</f>
        <v>8.0599016754402992</v>
      </c>
      <c r="U28" s="20">
        <f>'TR TE'!$U$28*'TR TE'!$U$56</f>
        <v>5.5561220594496117</v>
      </c>
      <c r="V28" s="20">
        <f>'TR TE'!$V$28*'TR TE'!$V$56</f>
        <v>0</v>
      </c>
      <c r="W28" s="20">
        <f>SUM($T$28:$V$28)</f>
        <v>13.616023734889911</v>
      </c>
      <c r="X28" s="20"/>
      <c r="Y28" s="20">
        <f>SUM($X$28:$X$28)</f>
        <v>0</v>
      </c>
      <c r="Z28" s="20">
        <f>'TR TE'!$Z$28*'TR TE'!$Z$56</f>
        <v>3.2114261043049876</v>
      </c>
      <c r="AA28" s="20">
        <f>SUM($Z$28:$Z$28)</f>
        <v>3.2114261043049876</v>
      </c>
      <c r="AB28" s="20">
        <f>SUMIF($L$4:$AA$4,"SUBTOTAL",$L$28:$AA$28)</f>
        <v>371.89671871478811</v>
      </c>
    </row>
    <row r="29" spans="1:28" ht="11.25" customHeight="1" x14ac:dyDescent="0.3">
      <c r="A29" s="133"/>
      <c r="B29" s="133"/>
      <c r="C29" s="133"/>
      <c r="D29" s="133"/>
      <c r="E29" s="133"/>
      <c r="F29" s="133"/>
      <c r="G29" s="23" t="s">
        <v>90</v>
      </c>
      <c r="H29" s="23" t="s">
        <v>78</v>
      </c>
      <c r="I29" s="23">
        <f>'MERCADO TE'!$U$26</f>
        <v>0</v>
      </c>
      <c r="J29" s="15"/>
      <c r="L29" s="20">
        <f>'TR TE'!$L$29*'TR TE'!$L$56</f>
        <v>2.7264007365833853</v>
      </c>
      <c r="M29" s="20">
        <f>'TR TE'!$M$29*'TR TE'!$M$56</f>
        <v>20.010824811917864</v>
      </c>
      <c r="N29" s="20">
        <f>'TR TE'!$N$29*'TR TE'!$N$56</f>
        <v>1.481915603341436</v>
      </c>
      <c r="O29" s="20">
        <f>'TR TE'!$O$29*'TR TE'!$O$56</f>
        <v>13.735218047937426</v>
      </c>
      <c r="P29" s="20">
        <f>'TR TE'!$P$29*'TR TE'!$P$56</f>
        <v>-18.961978214784679</v>
      </c>
      <c r="Q29" s="20">
        <f>SUM($L$29:$P$29)</f>
        <v>18.992380984995435</v>
      </c>
      <c r="R29" s="20">
        <f>'TR TE'!$R$29*'TR TE'!$R$56</f>
        <v>195.39353947127779</v>
      </c>
      <c r="S29" s="20">
        <f>SUM($R$29:$R$29)</f>
        <v>195.39353947127779</v>
      </c>
      <c r="T29" s="20">
        <f>'TR TE'!$T$29*'TR TE'!$T$56</f>
        <v>8.0599016754402992</v>
      </c>
      <c r="U29" s="20">
        <f>'TR TE'!$U$29*'TR TE'!$U$56</f>
        <v>5.5561220594496117</v>
      </c>
      <c r="V29" s="20">
        <f>'TR TE'!$V$29*'TR TE'!$V$56</f>
        <v>0</v>
      </c>
      <c r="W29" s="20">
        <f>SUM($T$29:$V$29)</f>
        <v>13.616023734889911</v>
      </c>
      <c r="X29" s="20"/>
      <c r="Y29" s="20">
        <f>SUM($X$29:$X$29)</f>
        <v>0</v>
      </c>
      <c r="Z29" s="20">
        <f>'TR TE'!$Z$29*'TR TE'!$Z$56</f>
        <v>3.2114261043049876</v>
      </c>
      <c r="AA29" s="20">
        <f>SUM($Z$29:$Z$29)</f>
        <v>3.2114261043049876</v>
      </c>
      <c r="AB29" s="20">
        <f>SUMIF($L$4:$AA$4,"SUBTOTAL",$L$29:$AA$29)</f>
        <v>231.21337029546814</v>
      </c>
    </row>
    <row r="30" spans="1:28" ht="11.25" customHeight="1" x14ac:dyDescent="0.3">
      <c r="A30" s="133"/>
      <c r="B30" s="133"/>
      <c r="C30" s="133"/>
      <c r="D30" s="133"/>
      <c r="E30" s="133"/>
      <c r="F30" s="133"/>
      <c r="G30" s="23" t="s">
        <v>80</v>
      </c>
      <c r="H30" s="23" t="s">
        <v>78</v>
      </c>
      <c r="I30" s="23">
        <f>'MERCADO TE'!$U$27</f>
        <v>0</v>
      </c>
      <c r="J30" s="15"/>
      <c r="L30" s="20">
        <f>'TR TE'!$L$30*'TR TE'!$L$56</f>
        <v>2.7264007365833853</v>
      </c>
      <c r="M30" s="20">
        <f>'TR TE'!$M$30*'TR TE'!$M$56</f>
        <v>20.010824811917864</v>
      </c>
      <c r="N30" s="20">
        <f>'TR TE'!$N$30*'TR TE'!$N$56</f>
        <v>1.481915603341436</v>
      </c>
      <c r="O30" s="20">
        <f>'TR TE'!$O$30*'TR TE'!$O$56</f>
        <v>13.735218047937426</v>
      </c>
      <c r="P30" s="20">
        <f>'TR TE'!$P$30*'TR TE'!$P$56</f>
        <v>-18.961978214784679</v>
      </c>
      <c r="Q30" s="20">
        <f>SUM($L$30:$P$30)</f>
        <v>18.992380984995435</v>
      </c>
      <c r="R30" s="20">
        <f>'TR TE'!$R$30*'TR TE'!$R$56</f>
        <v>195.39353947127779</v>
      </c>
      <c r="S30" s="20">
        <f>SUM($R$30:$R$30)</f>
        <v>195.39353947127779</v>
      </c>
      <c r="T30" s="20">
        <f>'TR TE'!$T$30*'TR TE'!$T$56</f>
        <v>8.0599016754402992</v>
      </c>
      <c r="U30" s="20">
        <f>'TR TE'!$U$30*'TR TE'!$U$56</f>
        <v>5.5561220594496117</v>
      </c>
      <c r="V30" s="20">
        <f>'TR TE'!$V$30*'TR TE'!$V$56</f>
        <v>0</v>
      </c>
      <c r="W30" s="20">
        <f>SUM($T$30:$V$30)</f>
        <v>13.616023734889911</v>
      </c>
      <c r="X30" s="20"/>
      <c r="Y30" s="20">
        <f>SUM($X$30:$X$30)</f>
        <v>0</v>
      </c>
      <c r="Z30" s="20">
        <f>'TR TE'!$Z$30*'TR TE'!$Z$56</f>
        <v>3.2114261043049876</v>
      </c>
      <c r="AA30" s="20">
        <f>SUM($Z$30:$Z$30)</f>
        <v>3.2114261043049876</v>
      </c>
      <c r="AB30" s="20">
        <f>SUMIF($L$4:$AA$4,"SUBTOTAL",$L$30:$AA$30)</f>
        <v>231.21337029546814</v>
      </c>
    </row>
    <row r="31" spans="1:28" ht="11.25" customHeight="1" x14ac:dyDescent="0.3">
      <c r="A31" s="133"/>
      <c r="B31" s="22" t="s">
        <v>86</v>
      </c>
      <c r="C31" s="22" t="s">
        <v>45</v>
      </c>
      <c r="D31" s="22" t="s">
        <v>25</v>
      </c>
      <c r="E31" s="22" t="s">
        <v>25</v>
      </c>
      <c r="F31" s="22" t="s">
        <v>25</v>
      </c>
      <c r="G31" s="23" t="s">
        <v>84</v>
      </c>
      <c r="H31" s="23" t="s">
        <v>78</v>
      </c>
      <c r="I31" s="23">
        <f>'MERCADO TE'!$U$28</f>
        <v>3773.6869999999999</v>
      </c>
      <c r="J31" s="15"/>
      <c r="L31" s="20">
        <f>'TR TE'!$L$31*'TR TE'!$L$56</f>
        <v>2.7264007365833853</v>
      </c>
      <c r="M31" s="20">
        <f>'TR TE'!$M$31*'TR TE'!$M$56</f>
        <v>20.010824811917864</v>
      </c>
      <c r="N31" s="20">
        <f>'TR TE'!$N$31*'TR TE'!$N$56</f>
        <v>1.481915603341436</v>
      </c>
      <c r="O31" s="20">
        <f>'TR TE'!$O$31*'TR TE'!$O$56</f>
        <v>13.735218047937426</v>
      </c>
      <c r="P31" s="20">
        <f>'TR TE'!$P$31*'TR TE'!$P$56</f>
        <v>-18.961978214784679</v>
      </c>
      <c r="Q31" s="20">
        <f>SUM($L$31:$P$31)</f>
        <v>18.992380984995435</v>
      </c>
      <c r="R31" s="20">
        <f>'TR TE'!$R$31*'TR TE'!$R$56</f>
        <v>207.11715183955448</v>
      </c>
      <c r="S31" s="20">
        <f>SUM($R$31:$R$31)</f>
        <v>207.11715183955448</v>
      </c>
      <c r="T31" s="20">
        <f>'TR TE'!$T$31*'TR TE'!$T$56</f>
        <v>8.0599016754402992</v>
      </c>
      <c r="U31" s="20">
        <f>'TR TE'!$U$31*'TR TE'!$U$56</f>
        <v>5.5561220594496117</v>
      </c>
      <c r="V31" s="20">
        <f>'TR TE'!$V$31*'TR TE'!$V$56</f>
        <v>0</v>
      </c>
      <c r="W31" s="20">
        <f>SUM($T$31:$V$31)</f>
        <v>13.616023734889911</v>
      </c>
      <c r="X31" s="20"/>
      <c r="Y31" s="20">
        <f>SUM($X$31:$X$31)</f>
        <v>0</v>
      </c>
      <c r="Z31" s="20">
        <f>'TR TE'!$Z$31*'TR TE'!$Z$56</f>
        <v>3.2114261043049876</v>
      </c>
      <c r="AA31" s="20">
        <f>SUM($Z$31:$Z$31)</f>
        <v>3.2114261043049876</v>
      </c>
      <c r="AB31" s="20">
        <f>SUMIF($L$4:$AA$4,"SUBTOTAL",$L$31:$AA$31)</f>
        <v>242.93698266374483</v>
      </c>
    </row>
    <row r="32" spans="1:28" ht="11.25" customHeight="1" x14ac:dyDescent="0.3">
      <c r="A32" s="133"/>
      <c r="B32" s="133" t="s">
        <v>77</v>
      </c>
      <c r="C32" s="133" t="s">
        <v>45</v>
      </c>
      <c r="D32" s="133" t="s">
        <v>93</v>
      </c>
      <c r="E32" s="133" t="s">
        <v>25</v>
      </c>
      <c r="F32" s="133" t="s">
        <v>25</v>
      </c>
      <c r="G32" s="23" t="s">
        <v>79</v>
      </c>
      <c r="H32" s="23" t="s">
        <v>78</v>
      </c>
      <c r="I32" s="23">
        <f>'MERCADO TE'!$U$29</f>
        <v>0</v>
      </c>
      <c r="J32" s="15"/>
      <c r="L32" s="20">
        <f>'TR TE'!$L$32*'TR TE'!$L$56</f>
        <v>2.7264007365833853</v>
      </c>
      <c r="M32" s="20">
        <f>'TR TE'!$M$32*'TR TE'!$M$56</f>
        <v>20.010824811917864</v>
      </c>
      <c r="N32" s="20">
        <f>'TR TE'!$N$32*'TR TE'!$N$56</f>
        <v>1.481915603341436</v>
      </c>
      <c r="O32" s="20">
        <f>'TR TE'!$O$32*'TR TE'!$O$56</f>
        <v>13.735218047937426</v>
      </c>
      <c r="P32" s="20">
        <f>'TR TE'!$P$32*'TR TE'!$P$56</f>
        <v>-18.961978214784679</v>
      </c>
      <c r="Q32" s="20">
        <f>SUM($L$32:$P$32)</f>
        <v>18.992380984995435</v>
      </c>
      <c r="R32" s="20">
        <f>'TR TE'!$R$32*'TR TE'!$R$56</f>
        <v>336.07688789059779</v>
      </c>
      <c r="S32" s="20">
        <f>SUM($R$32:$R$32)</f>
        <v>336.07688789059779</v>
      </c>
      <c r="T32" s="20">
        <f>'TR TE'!$T$32*'TR TE'!$T$56</f>
        <v>8.0599016754402992</v>
      </c>
      <c r="U32" s="20">
        <f>'TR TE'!$U$32*'TR TE'!$U$56</f>
        <v>5.5561220594496117</v>
      </c>
      <c r="V32" s="20">
        <f>'TR TE'!$V$32*'TR TE'!$V$56</f>
        <v>0</v>
      </c>
      <c r="W32" s="20">
        <f>SUM($T$32:$V$32)</f>
        <v>13.616023734889911</v>
      </c>
      <c r="X32" s="20"/>
      <c r="Y32" s="20">
        <f>SUM($X$32:$X$32)</f>
        <v>0</v>
      </c>
      <c r="Z32" s="20">
        <f>'TR TE'!$Z$32*'TR TE'!$Z$56</f>
        <v>3.2114261043049876</v>
      </c>
      <c r="AA32" s="20">
        <f>SUM($Z$32:$Z$32)</f>
        <v>3.2114261043049876</v>
      </c>
      <c r="AB32" s="20">
        <f>SUMIF($L$4:$AA$4,"SUBTOTAL",$L$32:$AA$32)</f>
        <v>371.89671871478811</v>
      </c>
    </row>
    <row r="33" spans="1:28" ht="11.25" customHeight="1" x14ac:dyDescent="0.3">
      <c r="A33" s="133"/>
      <c r="B33" s="133"/>
      <c r="C33" s="133"/>
      <c r="D33" s="133"/>
      <c r="E33" s="133"/>
      <c r="F33" s="133"/>
      <c r="G33" s="23" t="s">
        <v>90</v>
      </c>
      <c r="H33" s="23" t="s">
        <v>78</v>
      </c>
      <c r="I33" s="23">
        <f>'MERCADO TE'!$U$30</f>
        <v>0</v>
      </c>
      <c r="J33" s="15"/>
      <c r="L33" s="20">
        <f>'TR TE'!$L$33*'TR TE'!$L$56</f>
        <v>2.7264007365833853</v>
      </c>
      <c r="M33" s="20">
        <f>'TR TE'!$M$33*'TR TE'!$M$56</f>
        <v>20.010824811917864</v>
      </c>
      <c r="N33" s="20">
        <f>'TR TE'!$N$33*'TR TE'!$N$56</f>
        <v>1.481915603341436</v>
      </c>
      <c r="O33" s="20">
        <f>'TR TE'!$O$33*'TR TE'!$O$56</f>
        <v>13.735218047937426</v>
      </c>
      <c r="P33" s="20">
        <f>'TR TE'!$P$33*'TR TE'!$P$56</f>
        <v>-18.961978214784679</v>
      </c>
      <c r="Q33" s="20">
        <f>SUM($L$33:$P$33)</f>
        <v>18.992380984995435</v>
      </c>
      <c r="R33" s="20">
        <f>'TR TE'!$R$33*'TR TE'!$R$56</f>
        <v>195.39353947127779</v>
      </c>
      <c r="S33" s="20">
        <f>SUM($R$33:$R$33)</f>
        <v>195.39353947127779</v>
      </c>
      <c r="T33" s="20">
        <f>'TR TE'!$T$33*'TR TE'!$T$56</f>
        <v>8.0599016754402992</v>
      </c>
      <c r="U33" s="20">
        <f>'TR TE'!$U$33*'TR TE'!$U$56</f>
        <v>5.5561220594496117</v>
      </c>
      <c r="V33" s="20">
        <f>'TR TE'!$V$33*'TR TE'!$V$56</f>
        <v>0</v>
      </c>
      <c r="W33" s="20">
        <f>SUM($T$33:$V$33)</f>
        <v>13.616023734889911</v>
      </c>
      <c r="X33" s="20"/>
      <c r="Y33" s="20">
        <f>SUM($X$33:$X$33)</f>
        <v>0</v>
      </c>
      <c r="Z33" s="20">
        <f>'TR TE'!$Z$33*'TR TE'!$Z$56</f>
        <v>3.2114261043049876</v>
      </c>
      <c r="AA33" s="20">
        <f>SUM($Z$33:$Z$33)</f>
        <v>3.2114261043049876</v>
      </c>
      <c r="AB33" s="20">
        <f>SUMIF($L$4:$AA$4,"SUBTOTAL",$L$33:$AA$33)</f>
        <v>231.21337029546814</v>
      </c>
    </row>
    <row r="34" spans="1:28" ht="11.25" customHeight="1" x14ac:dyDescent="0.3">
      <c r="A34" s="133"/>
      <c r="B34" s="133"/>
      <c r="C34" s="133"/>
      <c r="D34" s="133"/>
      <c r="E34" s="133"/>
      <c r="F34" s="133"/>
      <c r="G34" s="23" t="s">
        <v>80</v>
      </c>
      <c r="H34" s="23" t="s">
        <v>78</v>
      </c>
      <c r="I34" s="23">
        <f>'MERCADO TE'!$U$31</f>
        <v>0</v>
      </c>
      <c r="J34" s="15"/>
      <c r="L34" s="20">
        <f>'TR TE'!$L$34*'TR TE'!$L$56</f>
        <v>2.7264007365833853</v>
      </c>
      <c r="M34" s="20">
        <f>'TR TE'!$M$34*'TR TE'!$M$56</f>
        <v>20.010824811917864</v>
      </c>
      <c r="N34" s="20">
        <f>'TR TE'!$N$34*'TR TE'!$N$56</f>
        <v>1.481915603341436</v>
      </c>
      <c r="O34" s="20">
        <f>'TR TE'!$O$34*'TR TE'!$O$56</f>
        <v>13.735218047937426</v>
      </c>
      <c r="P34" s="20">
        <f>'TR TE'!$P$34*'TR TE'!$P$56</f>
        <v>-18.961978214784679</v>
      </c>
      <c r="Q34" s="20">
        <f>SUM($L$34:$P$34)</f>
        <v>18.992380984995435</v>
      </c>
      <c r="R34" s="20">
        <f>'TR TE'!$R$34*'TR TE'!$R$56</f>
        <v>195.39353947127779</v>
      </c>
      <c r="S34" s="20">
        <f>SUM($R$34:$R$34)</f>
        <v>195.39353947127779</v>
      </c>
      <c r="T34" s="20">
        <f>'TR TE'!$T$34*'TR TE'!$T$56</f>
        <v>8.0599016754402992</v>
      </c>
      <c r="U34" s="20">
        <f>'TR TE'!$U$34*'TR TE'!$U$56</f>
        <v>5.5561220594496117</v>
      </c>
      <c r="V34" s="20">
        <f>'TR TE'!$V$34*'TR TE'!$V$56</f>
        <v>0</v>
      </c>
      <c r="W34" s="20">
        <f>SUM($T$34:$V$34)</f>
        <v>13.616023734889911</v>
      </c>
      <c r="X34" s="20"/>
      <c r="Y34" s="20">
        <f>SUM($X$34:$X$34)</f>
        <v>0</v>
      </c>
      <c r="Z34" s="20">
        <f>'TR TE'!$Z$34*'TR TE'!$Z$56</f>
        <v>3.2114261043049876</v>
      </c>
      <c r="AA34" s="20">
        <f>SUM($Z$34:$Z$34)</f>
        <v>3.2114261043049876</v>
      </c>
      <c r="AB34" s="20">
        <f>SUMIF($L$4:$AA$4,"SUBTOTAL",$L$34:$AA$34)</f>
        <v>231.21337029546814</v>
      </c>
    </row>
    <row r="35" spans="1:28" ht="11.25" customHeight="1" x14ac:dyDescent="0.3">
      <c r="A35" s="133"/>
      <c r="B35" s="22" t="s">
        <v>86</v>
      </c>
      <c r="C35" s="22" t="s">
        <v>45</v>
      </c>
      <c r="D35" s="22" t="s">
        <v>93</v>
      </c>
      <c r="E35" s="22" t="s">
        <v>25</v>
      </c>
      <c r="F35" s="22" t="s">
        <v>25</v>
      </c>
      <c r="G35" s="23" t="s">
        <v>84</v>
      </c>
      <c r="H35" s="23" t="s">
        <v>78</v>
      </c>
      <c r="I35" s="23">
        <f>'MERCADO TE'!$U$32</f>
        <v>0</v>
      </c>
      <c r="J35" s="15"/>
      <c r="L35" s="20">
        <f>'TR TE'!$L$35*'TR TE'!$L$56</f>
        <v>2.7264007365833853</v>
      </c>
      <c r="M35" s="20">
        <f>'TR TE'!$M$35*'TR TE'!$M$56</f>
        <v>20.010824811917864</v>
      </c>
      <c r="N35" s="20">
        <f>'TR TE'!$N$35*'TR TE'!$N$56</f>
        <v>1.481915603341436</v>
      </c>
      <c r="O35" s="20">
        <f>'TR TE'!$O$35*'TR TE'!$O$56</f>
        <v>13.735218047937426</v>
      </c>
      <c r="P35" s="20">
        <f>'TR TE'!$P$35*'TR TE'!$P$56</f>
        <v>-18.961978214784679</v>
      </c>
      <c r="Q35" s="20">
        <f>SUM($L$35:$P$35)</f>
        <v>18.992380984995435</v>
      </c>
      <c r="R35" s="20">
        <f>'TR TE'!$R$35*'TR TE'!$R$56</f>
        <v>207.11715183955448</v>
      </c>
      <c r="S35" s="20">
        <f>SUM($R$35:$R$35)</f>
        <v>207.11715183955448</v>
      </c>
      <c r="T35" s="20">
        <f>'TR TE'!$T$35*'TR TE'!$T$56</f>
        <v>8.0599016754402992</v>
      </c>
      <c r="U35" s="20">
        <f>'TR TE'!$U$35*'TR TE'!$U$56</f>
        <v>5.5561220594496117</v>
      </c>
      <c r="V35" s="20">
        <f>'TR TE'!$V$35*'TR TE'!$V$56</f>
        <v>0</v>
      </c>
      <c r="W35" s="20">
        <f>SUM($T$35:$V$35)</f>
        <v>13.616023734889911</v>
      </c>
      <c r="X35" s="20"/>
      <c r="Y35" s="20">
        <f>SUM($X$35:$X$35)</f>
        <v>0</v>
      </c>
      <c r="Z35" s="20">
        <f>'TR TE'!$Z$35*'TR TE'!$Z$56</f>
        <v>3.2114261043049876</v>
      </c>
      <c r="AA35" s="20">
        <f>SUM($Z$35:$Z$35)</f>
        <v>3.2114261043049876</v>
      </c>
      <c r="AB35" s="20">
        <f>SUMIF($L$4:$AA$4,"SUBTOTAL",$L$35:$AA$35)</f>
        <v>242.93698266374483</v>
      </c>
    </row>
    <row r="36" spans="1:28" ht="11.25" customHeight="1" x14ac:dyDescent="0.3">
      <c r="A36" s="133"/>
      <c r="B36" s="133" t="s">
        <v>77</v>
      </c>
      <c r="C36" s="133" t="s">
        <v>45</v>
      </c>
      <c r="D36" s="133" t="s">
        <v>94</v>
      </c>
      <c r="E36" s="133" t="s">
        <v>25</v>
      </c>
      <c r="F36" s="133" t="s">
        <v>25</v>
      </c>
      <c r="G36" s="23" t="s">
        <v>79</v>
      </c>
      <c r="H36" s="23" t="s">
        <v>78</v>
      </c>
      <c r="I36" s="23">
        <f>'MERCADO TE'!$U$33</f>
        <v>0</v>
      </c>
      <c r="J36" s="15"/>
      <c r="L36" s="20">
        <f>'TR TE'!$L$36*'TR TE'!$L$56</f>
        <v>2.7264007365833853</v>
      </c>
      <c r="M36" s="20">
        <f>'TR TE'!$M$36*'TR TE'!$M$56</f>
        <v>20.010824811917864</v>
      </c>
      <c r="N36" s="20">
        <f>'TR TE'!$N$36*'TR TE'!$N$56</f>
        <v>1.481915603341436</v>
      </c>
      <c r="O36" s="20">
        <f>'TR TE'!$O$36*'TR TE'!$O$56</f>
        <v>13.735218047937426</v>
      </c>
      <c r="P36" s="20">
        <f>'TR TE'!$P$36*'TR TE'!$P$56</f>
        <v>-18.961978214784679</v>
      </c>
      <c r="Q36" s="20">
        <f>SUM($L$36:$P$36)</f>
        <v>18.992380984995435</v>
      </c>
      <c r="R36" s="20">
        <f>'TR TE'!$R$36*'TR TE'!$R$56</f>
        <v>336.07688789059779</v>
      </c>
      <c r="S36" s="20">
        <f>SUM($R$36:$R$36)</f>
        <v>336.07688789059779</v>
      </c>
      <c r="T36" s="20">
        <f>'TR TE'!$T$36*'TR TE'!$T$56</f>
        <v>8.0599016754402992</v>
      </c>
      <c r="U36" s="20">
        <f>'TR TE'!$U$36*'TR TE'!$U$56</f>
        <v>5.5561220594496117</v>
      </c>
      <c r="V36" s="20">
        <f>'TR TE'!$V$36*'TR TE'!$V$56</f>
        <v>0</v>
      </c>
      <c r="W36" s="20">
        <f>SUM($T$36:$V$36)</f>
        <v>13.616023734889911</v>
      </c>
      <c r="X36" s="20"/>
      <c r="Y36" s="20">
        <f>SUM($X$36:$X$36)</f>
        <v>0</v>
      </c>
      <c r="Z36" s="20">
        <f>'TR TE'!$Z$36*'TR TE'!$Z$56</f>
        <v>3.2114261043049876</v>
      </c>
      <c r="AA36" s="20">
        <f>SUM($Z$36:$Z$36)</f>
        <v>3.2114261043049876</v>
      </c>
      <c r="AB36" s="20">
        <f>SUMIF($L$4:$AA$4,"SUBTOTAL",$L$36:$AA$36)</f>
        <v>371.89671871478811</v>
      </c>
    </row>
    <row r="37" spans="1:28" ht="11.25" customHeight="1" x14ac:dyDescent="0.3">
      <c r="A37" s="133"/>
      <c r="B37" s="133"/>
      <c r="C37" s="133"/>
      <c r="D37" s="133"/>
      <c r="E37" s="133"/>
      <c r="F37" s="133"/>
      <c r="G37" s="23" t="s">
        <v>90</v>
      </c>
      <c r="H37" s="23" t="s">
        <v>78</v>
      </c>
      <c r="I37" s="23">
        <f>'MERCADO TE'!$U$34</f>
        <v>0</v>
      </c>
      <c r="J37" s="15"/>
      <c r="L37" s="20">
        <f>'TR TE'!$L$37*'TR TE'!$L$56</f>
        <v>2.7264007365833853</v>
      </c>
      <c r="M37" s="20">
        <f>'TR TE'!$M$37*'TR TE'!$M$56</f>
        <v>20.010824811917864</v>
      </c>
      <c r="N37" s="20">
        <f>'TR TE'!$N$37*'TR TE'!$N$56</f>
        <v>1.481915603341436</v>
      </c>
      <c r="O37" s="20">
        <f>'TR TE'!$O$37*'TR TE'!$O$56</f>
        <v>13.735218047937426</v>
      </c>
      <c r="P37" s="20">
        <f>'TR TE'!$P$37*'TR TE'!$P$56</f>
        <v>-18.961978214784679</v>
      </c>
      <c r="Q37" s="20">
        <f>SUM($L$37:$P$37)</f>
        <v>18.992380984995435</v>
      </c>
      <c r="R37" s="20">
        <f>'TR TE'!$R$37*'TR TE'!$R$56</f>
        <v>195.39353947127779</v>
      </c>
      <c r="S37" s="20">
        <f>SUM($R$37:$R$37)</f>
        <v>195.39353947127779</v>
      </c>
      <c r="T37" s="20">
        <f>'TR TE'!$T$37*'TR TE'!$T$56</f>
        <v>8.0599016754402992</v>
      </c>
      <c r="U37" s="20">
        <f>'TR TE'!$U$37*'TR TE'!$U$56</f>
        <v>5.5561220594496117</v>
      </c>
      <c r="V37" s="20">
        <f>'TR TE'!$V$37*'TR TE'!$V$56</f>
        <v>0</v>
      </c>
      <c r="W37" s="20">
        <f>SUM($T$37:$V$37)</f>
        <v>13.616023734889911</v>
      </c>
      <c r="X37" s="20"/>
      <c r="Y37" s="20">
        <f>SUM($X$37:$X$37)</f>
        <v>0</v>
      </c>
      <c r="Z37" s="20">
        <f>'TR TE'!$Z$37*'TR TE'!$Z$56</f>
        <v>3.2114261043049876</v>
      </c>
      <c r="AA37" s="20">
        <f>SUM($Z$37:$Z$37)</f>
        <v>3.2114261043049876</v>
      </c>
      <c r="AB37" s="20">
        <f>SUMIF($L$4:$AA$4,"SUBTOTAL",$L$37:$AA$37)</f>
        <v>231.21337029546814</v>
      </c>
    </row>
    <row r="38" spans="1:28" ht="11.25" customHeight="1" x14ac:dyDescent="0.3">
      <c r="A38" s="133"/>
      <c r="B38" s="133"/>
      <c r="C38" s="133"/>
      <c r="D38" s="133"/>
      <c r="E38" s="133"/>
      <c r="F38" s="133"/>
      <c r="G38" s="23" t="s">
        <v>80</v>
      </c>
      <c r="H38" s="23" t="s">
        <v>78</v>
      </c>
      <c r="I38" s="23">
        <f>'MERCADO TE'!$U$35</f>
        <v>0</v>
      </c>
      <c r="J38" s="15"/>
      <c r="L38" s="20">
        <f>'TR TE'!$L$38*'TR TE'!$L$56</f>
        <v>2.7264007365833853</v>
      </c>
      <c r="M38" s="20">
        <f>'TR TE'!$M$38*'TR TE'!$M$56</f>
        <v>20.010824811917864</v>
      </c>
      <c r="N38" s="20">
        <f>'TR TE'!$N$38*'TR TE'!$N$56</f>
        <v>1.481915603341436</v>
      </c>
      <c r="O38" s="20">
        <f>'TR TE'!$O$38*'TR TE'!$O$56</f>
        <v>13.735218047937426</v>
      </c>
      <c r="P38" s="20">
        <f>'TR TE'!$P$38*'TR TE'!$P$56</f>
        <v>-18.961978214784679</v>
      </c>
      <c r="Q38" s="20">
        <f>SUM($L$38:$P$38)</f>
        <v>18.992380984995435</v>
      </c>
      <c r="R38" s="20">
        <f>'TR TE'!$R$38*'TR TE'!$R$56</f>
        <v>195.39353947127779</v>
      </c>
      <c r="S38" s="20">
        <f>SUM($R$38:$R$38)</f>
        <v>195.39353947127779</v>
      </c>
      <c r="T38" s="20">
        <f>'TR TE'!$T$38*'TR TE'!$T$56</f>
        <v>8.0599016754402992</v>
      </c>
      <c r="U38" s="20">
        <f>'TR TE'!$U$38*'TR TE'!$U$56</f>
        <v>5.5561220594496117</v>
      </c>
      <c r="V38" s="20">
        <f>'TR TE'!$V$38*'TR TE'!$V$56</f>
        <v>0</v>
      </c>
      <c r="W38" s="20">
        <f>SUM($T$38:$V$38)</f>
        <v>13.616023734889911</v>
      </c>
      <c r="X38" s="20"/>
      <c r="Y38" s="20">
        <f>SUM($X$38:$X$38)</f>
        <v>0</v>
      </c>
      <c r="Z38" s="20">
        <f>'TR TE'!$Z$38*'TR TE'!$Z$56</f>
        <v>3.2114261043049876</v>
      </c>
      <c r="AA38" s="20">
        <f>SUM($Z$38:$Z$38)</f>
        <v>3.2114261043049876</v>
      </c>
      <c r="AB38" s="20">
        <f>SUMIF($L$4:$AA$4,"SUBTOTAL",$L$38:$AA$38)</f>
        <v>231.21337029546814</v>
      </c>
    </row>
    <row r="39" spans="1:28" ht="11.25" customHeight="1" x14ac:dyDescent="0.3">
      <c r="A39" s="133"/>
      <c r="B39" s="22" t="s">
        <v>86</v>
      </c>
      <c r="C39" s="22" t="s">
        <v>45</v>
      </c>
      <c r="D39" s="22" t="s">
        <v>94</v>
      </c>
      <c r="E39" s="22" t="s">
        <v>25</v>
      </c>
      <c r="F39" s="22" t="s">
        <v>25</v>
      </c>
      <c r="G39" s="23" t="s">
        <v>84</v>
      </c>
      <c r="H39" s="23" t="s">
        <v>78</v>
      </c>
      <c r="I39" s="23">
        <f>'MERCADO TE'!$U$36</f>
        <v>0</v>
      </c>
      <c r="J39" s="15"/>
      <c r="L39" s="20">
        <f>'TR TE'!$L$39*'TR TE'!$L$56</f>
        <v>2.7264007365833853</v>
      </c>
      <c r="M39" s="20">
        <f>'TR TE'!$M$39*'TR TE'!$M$56</f>
        <v>20.010824811917864</v>
      </c>
      <c r="N39" s="20">
        <f>'TR TE'!$N$39*'TR TE'!$N$56</f>
        <v>1.481915603341436</v>
      </c>
      <c r="O39" s="20">
        <f>'TR TE'!$O$39*'TR TE'!$O$56</f>
        <v>13.735218047937426</v>
      </c>
      <c r="P39" s="20">
        <f>'TR TE'!$P$39*'TR TE'!$P$56</f>
        <v>-18.961978214784679</v>
      </c>
      <c r="Q39" s="20">
        <f>SUM($L$39:$P$39)</f>
        <v>18.992380984995435</v>
      </c>
      <c r="R39" s="20">
        <f>'TR TE'!$R$39*'TR TE'!$R$56</f>
        <v>207.11715183955448</v>
      </c>
      <c r="S39" s="20">
        <f>SUM($R$39:$R$39)</f>
        <v>207.11715183955448</v>
      </c>
      <c r="T39" s="20">
        <f>'TR TE'!$T$39*'TR TE'!$T$56</f>
        <v>8.0599016754402992</v>
      </c>
      <c r="U39" s="20">
        <f>'TR TE'!$U$39*'TR TE'!$U$56</f>
        <v>5.5561220594496117</v>
      </c>
      <c r="V39" s="20">
        <f>'TR TE'!$V$39*'TR TE'!$V$56</f>
        <v>0</v>
      </c>
      <c r="W39" s="20">
        <f>SUM($T$39:$V$39)</f>
        <v>13.616023734889911</v>
      </c>
      <c r="X39" s="20"/>
      <c r="Y39" s="20">
        <f>SUM($X$39:$X$39)</f>
        <v>0</v>
      </c>
      <c r="Z39" s="20">
        <f>'TR TE'!$Z$39*'TR TE'!$Z$56</f>
        <v>3.2114261043049876</v>
      </c>
      <c r="AA39" s="20">
        <f>SUM($Z$39:$Z$39)</f>
        <v>3.2114261043049876</v>
      </c>
      <c r="AB39" s="20">
        <f>SUMIF($L$4:$AA$4,"SUBTOTAL",$L$39:$AA$39)</f>
        <v>242.93698266374483</v>
      </c>
    </row>
    <row r="40" spans="1:28" ht="11.25" customHeight="1" x14ac:dyDescent="0.3">
      <c r="A40" s="133"/>
      <c r="B40" s="133" t="s">
        <v>91</v>
      </c>
      <c r="C40" s="133" t="s">
        <v>45</v>
      </c>
      <c r="D40" s="22" t="s">
        <v>25</v>
      </c>
      <c r="E40" s="22" t="s">
        <v>25</v>
      </c>
      <c r="F40" s="22" t="s">
        <v>25</v>
      </c>
      <c r="G40" s="23" t="s">
        <v>84</v>
      </c>
      <c r="H40" s="23" t="s">
        <v>78</v>
      </c>
      <c r="I40" s="23">
        <f>'MERCADO TE'!$U$37</f>
        <v>0</v>
      </c>
      <c r="J40" s="15"/>
      <c r="L40" s="20">
        <f>'TR TE'!$L$40*'TR TE'!$L$56</f>
        <v>2.7264007365833853</v>
      </c>
      <c r="M40" s="20">
        <f>'TR TE'!$M$40*'TR TE'!$M$56</f>
        <v>20.010824811917864</v>
      </c>
      <c r="N40" s="20">
        <f>'TR TE'!$N$40*'TR TE'!$N$56</f>
        <v>1.481915603341436</v>
      </c>
      <c r="O40" s="20">
        <f>'TR TE'!$O$40*'TR TE'!$O$56</f>
        <v>13.735218047937426</v>
      </c>
      <c r="P40" s="20">
        <f>'TR TE'!$P$40*'TR TE'!$P$56</f>
        <v>-18.961978214784679</v>
      </c>
      <c r="Q40" s="20">
        <f>SUM($L$40:$P$40)</f>
        <v>18.992380984995435</v>
      </c>
      <c r="R40" s="20">
        <f>'TR TE'!$R$40*'TR TE'!$R$56</f>
        <v>207.11715183955448</v>
      </c>
      <c r="S40" s="20">
        <f>SUM($R$40:$R$40)</f>
        <v>207.11715183955448</v>
      </c>
      <c r="T40" s="20">
        <f>'TR TE'!$T$40*'TR TE'!$T$56</f>
        <v>8.0599016754402992</v>
      </c>
      <c r="U40" s="20">
        <f>'TR TE'!$U$40*'TR TE'!$U$56</f>
        <v>5.5561220594496117</v>
      </c>
      <c r="V40" s="20">
        <f>'TR TE'!$V$40*'TR TE'!$V$56</f>
        <v>0</v>
      </c>
      <c r="W40" s="20">
        <f>SUM($T$40:$V$40)</f>
        <v>13.616023734889911</v>
      </c>
      <c r="X40" s="20"/>
      <c r="Y40" s="20">
        <f>SUM($X$40:$X$40)</f>
        <v>0</v>
      </c>
      <c r="Z40" s="20">
        <f>'TR TE'!$Z$40*'TR TE'!$Z$56</f>
        <v>3.2114261043049876</v>
      </c>
      <c r="AA40" s="20">
        <f>SUM($Z$40:$Z$40)</f>
        <v>3.2114261043049876</v>
      </c>
      <c r="AB40" s="20">
        <f>SUMIF($L$4:$AA$4,"SUBTOTAL",$L$40:$AA$40)</f>
        <v>242.93698266374483</v>
      </c>
    </row>
    <row r="41" spans="1:28" ht="11.25" customHeight="1" x14ac:dyDescent="0.3">
      <c r="A41" s="133"/>
      <c r="B41" s="133"/>
      <c r="C41" s="133"/>
      <c r="D41" s="22" t="s">
        <v>93</v>
      </c>
      <c r="E41" s="22" t="s">
        <v>25</v>
      </c>
      <c r="F41" s="22" t="s">
        <v>25</v>
      </c>
      <c r="G41" s="23" t="s">
        <v>84</v>
      </c>
      <c r="H41" s="23" t="s">
        <v>78</v>
      </c>
      <c r="I41" s="23">
        <f>'MERCADO TE'!$U$38</f>
        <v>0</v>
      </c>
      <c r="J41" s="15"/>
      <c r="L41" s="20">
        <f>'TR TE'!$L$41*'TR TE'!$L$56</f>
        <v>2.7264007365833853</v>
      </c>
      <c r="M41" s="20">
        <f>'TR TE'!$M$41*'TR TE'!$M$56</f>
        <v>20.010824811917864</v>
      </c>
      <c r="N41" s="20">
        <f>'TR TE'!$N$41*'TR TE'!$N$56</f>
        <v>1.481915603341436</v>
      </c>
      <c r="O41" s="20">
        <f>'TR TE'!$O$41*'TR TE'!$O$56</f>
        <v>13.735218047937426</v>
      </c>
      <c r="P41" s="20">
        <f>'TR TE'!$P$41*'TR TE'!$P$56</f>
        <v>-18.961978214784679</v>
      </c>
      <c r="Q41" s="20">
        <f>SUM($L$41:$P$41)</f>
        <v>18.992380984995435</v>
      </c>
      <c r="R41" s="20">
        <f>'TR TE'!$R$41*'TR TE'!$R$56</f>
        <v>207.11715183955448</v>
      </c>
      <c r="S41" s="20">
        <f>SUM($R$41:$R$41)</f>
        <v>207.11715183955448</v>
      </c>
      <c r="T41" s="20">
        <f>'TR TE'!$T$41*'TR TE'!$T$56</f>
        <v>8.0599016754402992</v>
      </c>
      <c r="U41" s="20">
        <f>'TR TE'!$U$41*'TR TE'!$U$56</f>
        <v>5.5561220594496117</v>
      </c>
      <c r="V41" s="20">
        <f>'TR TE'!$V$41*'TR TE'!$V$56</f>
        <v>0</v>
      </c>
      <c r="W41" s="20">
        <f>SUM($T$41:$V$41)</f>
        <v>13.616023734889911</v>
      </c>
      <c r="X41" s="20"/>
      <c r="Y41" s="20">
        <f>SUM($X$41:$X$41)</f>
        <v>0</v>
      </c>
      <c r="Z41" s="20">
        <f>'TR TE'!$Z$41*'TR TE'!$Z$56</f>
        <v>3.2114261043049876</v>
      </c>
      <c r="AA41" s="20">
        <f>SUM($Z$41:$Z$41)</f>
        <v>3.2114261043049876</v>
      </c>
      <c r="AB41" s="20">
        <f>SUMIF($L$4:$AA$4,"SUBTOTAL",$L$41:$AA$41)</f>
        <v>242.93698266374483</v>
      </c>
    </row>
    <row r="42" spans="1:28" ht="11.25" customHeight="1" x14ac:dyDescent="0.3">
      <c r="A42" s="133"/>
      <c r="B42" s="133"/>
      <c r="C42" s="133"/>
      <c r="D42" s="22" t="s">
        <v>94</v>
      </c>
      <c r="E42" s="22" t="s">
        <v>25</v>
      </c>
      <c r="F42" s="22" t="s">
        <v>25</v>
      </c>
      <c r="G42" s="23" t="s">
        <v>84</v>
      </c>
      <c r="H42" s="23" t="s">
        <v>78</v>
      </c>
      <c r="I42" s="23">
        <f>'MERCADO TE'!$U$39</f>
        <v>0</v>
      </c>
      <c r="J42" s="15"/>
      <c r="L42" s="20">
        <f>'TR TE'!$L$42*'TR TE'!$L$56</f>
        <v>2.7264007365833853</v>
      </c>
      <c r="M42" s="20">
        <f>'TR TE'!$M$42*'TR TE'!$M$56</f>
        <v>20.010824811917864</v>
      </c>
      <c r="N42" s="20">
        <f>'TR TE'!$N$42*'TR TE'!$N$56</f>
        <v>1.481915603341436</v>
      </c>
      <c r="O42" s="20">
        <f>'TR TE'!$O$42*'TR TE'!$O$56</f>
        <v>13.735218047937426</v>
      </c>
      <c r="P42" s="20">
        <f>'TR TE'!$P$42*'TR TE'!$P$56</f>
        <v>-18.961978214784679</v>
      </c>
      <c r="Q42" s="20">
        <f>SUM($L$42:$P$42)</f>
        <v>18.992380984995435</v>
      </c>
      <c r="R42" s="20">
        <f>'TR TE'!$R$42*'TR TE'!$R$56</f>
        <v>207.11715183955448</v>
      </c>
      <c r="S42" s="20">
        <f>SUM($R$42:$R$42)</f>
        <v>207.11715183955448</v>
      </c>
      <c r="T42" s="20">
        <f>'TR TE'!$T$42*'TR TE'!$T$56</f>
        <v>8.0599016754402992</v>
      </c>
      <c r="U42" s="20">
        <f>'TR TE'!$U$42*'TR TE'!$U$56</f>
        <v>5.5561220594496117</v>
      </c>
      <c r="V42" s="20">
        <f>'TR TE'!$V$42*'TR TE'!$V$56</f>
        <v>0</v>
      </c>
      <c r="W42" s="20">
        <f>SUM($T$42:$V$42)</f>
        <v>13.616023734889911</v>
      </c>
      <c r="X42" s="20"/>
      <c r="Y42" s="20">
        <f>SUM($X$42:$X$42)</f>
        <v>0</v>
      </c>
      <c r="Z42" s="20">
        <f>'TR TE'!$Z$42*'TR TE'!$Z$56</f>
        <v>3.2114261043049876</v>
      </c>
      <c r="AA42" s="20">
        <f>SUM($Z$42:$Z$42)</f>
        <v>3.2114261043049876</v>
      </c>
      <c r="AB42" s="20">
        <f>SUMIF($L$4:$AA$4,"SUBTOTAL",$L$42:$AA$42)</f>
        <v>242.93698266374483</v>
      </c>
    </row>
    <row r="43" spans="1:28" ht="11.25" customHeight="1" x14ac:dyDescent="0.3">
      <c r="A43" s="133" t="s">
        <v>37</v>
      </c>
      <c r="B43" s="133" t="s">
        <v>77</v>
      </c>
      <c r="C43" s="133" t="s">
        <v>25</v>
      </c>
      <c r="D43" s="133" t="s">
        <v>25</v>
      </c>
      <c r="E43" s="133" t="s">
        <v>25</v>
      </c>
      <c r="F43" s="133" t="s">
        <v>25</v>
      </c>
      <c r="G43" s="23" t="s">
        <v>79</v>
      </c>
      <c r="H43" s="23" t="s">
        <v>78</v>
      </c>
      <c r="I43" s="23">
        <f>'MERCADO TE'!$U$40</f>
        <v>22.301000000000002</v>
      </c>
      <c r="J43" s="15"/>
      <c r="L43" s="20">
        <f>'TR TE'!$L$43*'TR TE'!$L$56</f>
        <v>2.7264007365833853</v>
      </c>
      <c r="M43" s="20">
        <f>'TR TE'!$M$43*'TR TE'!$M$56</f>
        <v>20.010824811917864</v>
      </c>
      <c r="N43" s="20">
        <f>'TR TE'!$N$43*'TR TE'!$N$56</f>
        <v>1.481915603341436</v>
      </c>
      <c r="O43" s="20">
        <f>'TR TE'!$O$43*'TR TE'!$O$56</f>
        <v>13.735218047937426</v>
      </c>
      <c r="P43" s="20">
        <f>'TR TE'!$P$43*'TR TE'!$P$56</f>
        <v>-18.961978214784679</v>
      </c>
      <c r="Q43" s="20">
        <f>SUM($L$43:$P$43)</f>
        <v>18.992380984995435</v>
      </c>
      <c r="R43" s="20">
        <f>'TR TE'!$R$43*'TR TE'!$R$56</f>
        <v>336.07688789059779</v>
      </c>
      <c r="S43" s="20">
        <f>SUM($R$43:$R$43)</f>
        <v>336.07688789059779</v>
      </c>
      <c r="T43" s="20">
        <f>'TR TE'!$T$43*'TR TE'!$T$56</f>
        <v>8.0599016754402992</v>
      </c>
      <c r="U43" s="20">
        <f>'TR TE'!$U$43*'TR TE'!$U$56</f>
        <v>5.5561220594496117</v>
      </c>
      <c r="V43" s="20">
        <f>'TR TE'!$V$43*'TR TE'!$V$56</f>
        <v>0</v>
      </c>
      <c r="W43" s="20">
        <f>SUM($T$43:$V$43)</f>
        <v>13.616023734889911</v>
      </c>
      <c r="X43" s="20"/>
      <c r="Y43" s="20">
        <f>SUM($X$43:$X$43)</f>
        <v>0</v>
      </c>
      <c r="Z43" s="20">
        <f>'TR TE'!$Z$43*'TR TE'!$Z$56</f>
        <v>3.2114261043049876</v>
      </c>
      <c r="AA43" s="20">
        <f>SUM($Z$43:$Z$43)</f>
        <v>3.2114261043049876</v>
      </c>
      <c r="AB43" s="20">
        <f>SUMIF($L$4:$AA$4,"SUBTOTAL",$L$43:$AA$43)</f>
        <v>371.89671871478811</v>
      </c>
    </row>
    <row r="44" spans="1:28" ht="11.25" customHeight="1" x14ac:dyDescent="0.3">
      <c r="A44" s="133"/>
      <c r="B44" s="133"/>
      <c r="C44" s="133"/>
      <c r="D44" s="133"/>
      <c r="E44" s="133"/>
      <c r="F44" s="133"/>
      <c r="G44" s="23" t="s">
        <v>90</v>
      </c>
      <c r="H44" s="23" t="s">
        <v>78</v>
      </c>
      <c r="I44" s="23">
        <f>'MERCADO TE'!$U$41</f>
        <v>24.489000000000001</v>
      </c>
      <c r="J44" s="15"/>
      <c r="L44" s="20">
        <f>'TR TE'!$L$44*'TR TE'!$L$56</f>
        <v>2.7264007365833853</v>
      </c>
      <c r="M44" s="20">
        <f>'TR TE'!$M$44*'TR TE'!$M$56</f>
        <v>20.010824811917864</v>
      </c>
      <c r="N44" s="20">
        <f>'TR TE'!$N$44*'TR TE'!$N$56</f>
        <v>1.481915603341436</v>
      </c>
      <c r="O44" s="20">
        <f>'TR TE'!$O$44*'TR TE'!$O$56</f>
        <v>13.735218047937426</v>
      </c>
      <c r="P44" s="20">
        <f>'TR TE'!$P$44*'TR TE'!$P$56</f>
        <v>-18.961978214784679</v>
      </c>
      <c r="Q44" s="20">
        <f>SUM($L$44:$P$44)</f>
        <v>18.992380984995435</v>
      </c>
      <c r="R44" s="20">
        <f>'TR TE'!$R$44*'TR TE'!$R$56</f>
        <v>195.39353947127779</v>
      </c>
      <c r="S44" s="20">
        <f>SUM($R$44:$R$44)</f>
        <v>195.39353947127779</v>
      </c>
      <c r="T44" s="20">
        <f>'TR TE'!$T$44*'TR TE'!$T$56</f>
        <v>8.0599016754402992</v>
      </c>
      <c r="U44" s="20">
        <f>'TR TE'!$U$44*'TR TE'!$U$56</f>
        <v>5.5561220594496117</v>
      </c>
      <c r="V44" s="20">
        <f>'TR TE'!$V$44*'TR TE'!$V$56</f>
        <v>0</v>
      </c>
      <c r="W44" s="20">
        <f>SUM($T$44:$V$44)</f>
        <v>13.616023734889911</v>
      </c>
      <c r="X44" s="20"/>
      <c r="Y44" s="20">
        <f>SUM($X$44:$X$44)</f>
        <v>0</v>
      </c>
      <c r="Z44" s="20">
        <f>'TR TE'!$Z$44*'TR TE'!$Z$56</f>
        <v>3.2114261043049876</v>
      </c>
      <c r="AA44" s="20">
        <f>SUM($Z$44:$Z$44)</f>
        <v>3.2114261043049876</v>
      </c>
      <c r="AB44" s="20">
        <f>SUMIF($L$4:$AA$4,"SUBTOTAL",$L$44:$AA$44)</f>
        <v>231.21337029546814</v>
      </c>
    </row>
    <row r="45" spans="1:28" ht="11.25" customHeight="1" x14ac:dyDescent="0.3">
      <c r="A45" s="133"/>
      <c r="B45" s="133"/>
      <c r="C45" s="133"/>
      <c r="D45" s="133"/>
      <c r="E45" s="133"/>
      <c r="F45" s="133"/>
      <c r="G45" s="23" t="s">
        <v>80</v>
      </c>
      <c r="H45" s="23" t="s">
        <v>78</v>
      </c>
      <c r="I45" s="23">
        <f>'MERCADO TE'!$U$42</f>
        <v>464.17199999999997</v>
      </c>
      <c r="J45" s="15"/>
      <c r="L45" s="20">
        <f>'TR TE'!$L$45*'TR TE'!$L$56</f>
        <v>2.7264007365833853</v>
      </c>
      <c r="M45" s="20">
        <f>'TR TE'!$M$45*'TR TE'!$M$56</f>
        <v>20.010824811917864</v>
      </c>
      <c r="N45" s="20">
        <f>'TR TE'!$N$45*'TR TE'!$N$56</f>
        <v>1.481915603341436</v>
      </c>
      <c r="O45" s="20">
        <f>'TR TE'!$O$45*'TR TE'!$O$56</f>
        <v>13.735218047937426</v>
      </c>
      <c r="P45" s="20">
        <f>'TR TE'!$P$45*'TR TE'!$P$56</f>
        <v>-18.961978214784679</v>
      </c>
      <c r="Q45" s="20">
        <f>SUM($L$45:$P$45)</f>
        <v>18.992380984995435</v>
      </c>
      <c r="R45" s="20">
        <f>'TR TE'!$R$45*'TR TE'!$R$56</f>
        <v>195.39353947127779</v>
      </c>
      <c r="S45" s="20">
        <f>SUM($R$45:$R$45)</f>
        <v>195.39353947127779</v>
      </c>
      <c r="T45" s="20">
        <f>'TR TE'!$T$45*'TR TE'!$T$56</f>
        <v>8.0599016754402992</v>
      </c>
      <c r="U45" s="20">
        <f>'TR TE'!$U$45*'TR TE'!$U$56</f>
        <v>5.5561220594496117</v>
      </c>
      <c r="V45" s="20">
        <f>'TR TE'!$V$45*'TR TE'!$V$56</f>
        <v>0</v>
      </c>
      <c r="W45" s="20">
        <f>SUM($T$45:$V$45)</f>
        <v>13.616023734889911</v>
      </c>
      <c r="X45" s="20"/>
      <c r="Y45" s="20">
        <f>SUM($X$45:$X$45)</f>
        <v>0</v>
      </c>
      <c r="Z45" s="20">
        <f>'TR TE'!$Z$45*'TR TE'!$Z$56</f>
        <v>3.2114261043049876</v>
      </c>
      <c r="AA45" s="20">
        <f>SUM($Z$45:$Z$45)</f>
        <v>3.2114261043049876</v>
      </c>
      <c r="AB45" s="20">
        <f>SUMIF($L$4:$AA$4,"SUBTOTAL",$L$45:$AA$45)</f>
        <v>231.21337029546814</v>
      </c>
    </row>
    <row r="46" spans="1:28" ht="11.25" customHeight="1" x14ac:dyDescent="0.3">
      <c r="A46" s="133"/>
      <c r="B46" s="22" t="s">
        <v>86</v>
      </c>
      <c r="C46" s="22" t="s">
        <v>25</v>
      </c>
      <c r="D46" s="22" t="s">
        <v>25</v>
      </c>
      <c r="E46" s="22" t="s">
        <v>25</v>
      </c>
      <c r="F46" s="22" t="s">
        <v>25</v>
      </c>
      <c r="G46" s="23" t="s">
        <v>84</v>
      </c>
      <c r="H46" s="23" t="s">
        <v>78</v>
      </c>
      <c r="I46" s="23">
        <f>'MERCADO TE'!$U$43</f>
        <v>47738.307000000001</v>
      </c>
      <c r="J46" s="15"/>
      <c r="L46" s="20">
        <f>'TR TE'!$L$46*'TR TE'!$L$56</f>
        <v>2.7264007365833853</v>
      </c>
      <c r="M46" s="20">
        <f>'TR TE'!$M$46*'TR TE'!$M$56</f>
        <v>20.010824811917864</v>
      </c>
      <c r="N46" s="20">
        <f>'TR TE'!$N$46*'TR TE'!$N$56</f>
        <v>1.481915603341436</v>
      </c>
      <c r="O46" s="20">
        <f>'TR TE'!$O$46*'TR TE'!$O$56</f>
        <v>13.735218047937426</v>
      </c>
      <c r="P46" s="20">
        <f>'TR TE'!$P$46*'TR TE'!$P$56</f>
        <v>-18.961978214784679</v>
      </c>
      <c r="Q46" s="20">
        <f>SUM($L$46:$P$46)</f>
        <v>18.992380984995435</v>
      </c>
      <c r="R46" s="20">
        <f>'TR TE'!$R$46*'TR TE'!$R$56</f>
        <v>207.11715183955448</v>
      </c>
      <c r="S46" s="20">
        <f>SUM($R$46:$R$46)</f>
        <v>207.11715183955448</v>
      </c>
      <c r="T46" s="20">
        <f>'TR TE'!$T$46*'TR TE'!$T$56</f>
        <v>8.0599016754402992</v>
      </c>
      <c r="U46" s="20">
        <f>'TR TE'!$U$46*'TR TE'!$U$56</f>
        <v>5.5561220594496117</v>
      </c>
      <c r="V46" s="20">
        <f>'TR TE'!$V$46*'TR TE'!$V$56</f>
        <v>0</v>
      </c>
      <c r="W46" s="20">
        <f>SUM($T$46:$V$46)</f>
        <v>13.616023734889911</v>
      </c>
      <c r="X46" s="20"/>
      <c r="Y46" s="20">
        <f>SUM($X$46:$X$46)</f>
        <v>0</v>
      </c>
      <c r="Z46" s="20">
        <f>'TR TE'!$Z$46*'TR TE'!$Z$56</f>
        <v>3.2114261043049876</v>
      </c>
      <c r="AA46" s="20">
        <f>SUM($Z$46:$Z$46)</f>
        <v>3.2114261043049876</v>
      </c>
      <c r="AB46" s="20">
        <f>SUMIF($L$4:$AA$4,"SUBTOTAL",$L$46:$AA$46)</f>
        <v>242.93698266374483</v>
      </c>
    </row>
    <row r="47" spans="1:28" ht="11.25" customHeight="1" x14ac:dyDescent="0.3">
      <c r="A47" s="133"/>
      <c r="B47" s="22" t="s">
        <v>91</v>
      </c>
      <c r="C47" s="22" t="s">
        <v>25</v>
      </c>
      <c r="D47" s="22" t="s">
        <v>25</v>
      </c>
      <c r="E47" s="22" t="s">
        <v>25</v>
      </c>
      <c r="F47" s="22" t="s">
        <v>25</v>
      </c>
      <c r="G47" s="23" t="s">
        <v>84</v>
      </c>
      <c r="H47" s="23" t="s">
        <v>78</v>
      </c>
      <c r="I47" s="23">
        <f>'MERCADO TE'!$U$44</f>
        <v>0</v>
      </c>
      <c r="J47" s="15"/>
      <c r="L47" s="20">
        <f>'TR TE'!$L$47*'TR TE'!$L$56</f>
        <v>2.7264007365833853</v>
      </c>
      <c r="M47" s="20">
        <f>'TR TE'!$M$47*'TR TE'!$M$56</f>
        <v>20.010824811917864</v>
      </c>
      <c r="N47" s="20">
        <f>'TR TE'!$N$47*'TR TE'!$N$56</f>
        <v>1.481915603341436</v>
      </c>
      <c r="O47" s="20">
        <f>'TR TE'!$O$47*'TR TE'!$O$56</f>
        <v>13.735218047937426</v>
      </c>
      <c r="P47" s="20">
        <f>'TR TE'!$P$47*'TR TE'!$P$56</f>
        <v>-18.961978214784679</v>
      </c>
      <c r="Q47" s="20">
        <f>SUM($L$47:$P$47)</f>
        <v>18.992380984995435</v>
      </c>
      <c r="R47" s="20">
        <f>'TR TE'!$R$47*'TR TE'!$R$56</f>
        <v>207.11715183955448</v>
      </c>
      <c r="S47" s="20">
        <f>SUM($R$47:$R$47)</f>
        <v>207.11715183955448</v>
      </c>
      <c r="T47" s="20">
        <f>'TR TE'!$T$47*'TR TE'!$T$56</f>
        <v>8.0599016754402992</v>
      </c>
      <c r="U47" s="20">
        <f>'TR TE'!$U$47*'TR TE'!$U$56</f>
        <v>5.5561220594496117</v>
      </c>
      <c r="V47" s="20">
        <f>'TR TE'!$V$47*'TR TE'!$V$56</f>
        <v>0</v>
      </c>
      <c r="W47" s="20">
        <f>SUM($T$47:$V$47)</f>
        <v>13.616023734889911</v>
      </c>
      <c r="X47" s="20"/>
      <c r="Y47" s="20">
        <f>SUM($X$47:$X$47)</f>
        <v>0</v>
      </c>
      <c r="Z47" s="20">
        <f>'TR TE'!$Z$47*'TR TE'!$Z$56</f>
        <v>3.2114261043049876</v>
      </c>
      <c r="AA47" s="20">
        <f>SUM($Z$47:$Z$47)</f>
        <v>3.2114261043049876</v>
      </c>
      <c r="AB47" s="20">
        <f>SUMIF($L$4:$AA$4,"SUBTOTAL",$L$47:$AA$47)</f>
        <v>242.93698266374483</v>
      </c>
    </row>
    <row r="48" spans="1:28" ht="11.25" customHeight="1" x14ac:dyDescent="0.3">
      <c r="A48" s="133" t="s">
        <v>47</v>
      </c>
      <c r="B48" s="133" t="s">
        <v>86</v>
      </c>
      <c r="C48" s="133" t="s">
        <v>48</v>
      </c>
      <c r="D48" s="22" t="s">
        <v>49</v>
      </c>
      <c r="E48" s="22" t="s">
        <v>25</v>
      </c>
      <c r="F48" s="22" t="s">
        <v>25</v>
      </c>
      <c r="G48" s="23" t="s">
        <v>84</v>
      </c>
      <c r="H48" s="23" t="s">
        <v>78</v>
      </c>
      <c r="I48" s="23">
        <f>'MERCADO TE'!$U$45</f>
        <v>19654.344999999998</v>
      </c>
      <c r="J48" s="15"/>
      <c r="L48" s="20">
        <f>'TR TE'!$L$48*'TR TE'!$L$56</f>
        <v>1.4995204051208622</v>
      </c>
      <c r="M48" s="20">
        <f>'TR TE'!$M$48*'TR TE'!$M$56</f>
        <v>11.005953646554826</v>
      </c>
      <c r="N48" s="20">
        <f>'TR TE'!$N$48*'TR TE'!$N$56</f>
        <v>0.81505358183778986</v>
      </c>
      <c r="O48" s="20">
        <f>'TR TE'!$O$48*'TR TE'!$O$56</f>
        <v>7.5543699263655846</v>
      </c>
      <c r="P48" s="20">
        <f>'TR TE'!$P$48*'TR TE'!$P$56</f>
        <v>-10.429088018131575</v>
      </c>
      <c r="Q48" s="20">
        <f>SUM($L$48:$P$48)</f>
        <v>10.445809541747485</v>
      </c>
      <c r="R48" s="20">
        <f>'TR TE'!$R$48*'TR TE'!$R$56</f>
        <v>113.91443351175496</v>
      </c>
      <c r="S48" s="20">
        <f>SUM($R$48:$R$48)</f>
        <v>113.91443351175496</v>
      </c>
      <c r="T48" s="20">
        <f>'TR TE'!$T$48*'TR TE'!$T$56</f>
        <v>4.4329459214921654</v>
      </c>
      <c r="U48" s="20">
        <f>'TR TE'!$U$48*'TR TE'!$U$56</f>
        <v>3.0558671326972866</v>
      </c>
      <c r="V48" s="20">
        <f>'TR TE'!$V$48*'TR TE'!$V$56</f>
        <v>0</v>
      </c>
      <c r="W48" s="20">
        <f>SUM($T$48:$V$48)</f>
        <v>7.4888130541894515</v>
      </c>
      <c r="X48" s="20"/>
      <c r="Y48" s="20">
        <f>SUM($X$48:$X$48)</f>
        <v>0</v>
      </c>
      <c r="Z48" s="20">
        <f>'TR TE'!$Z$48*'TR TE'!$Z$56</f>
        <v>1.7662843573677434</v>
      </c>
      <c r="AA48" s="20">
        <f>SUM($Z$48:$Z$48)</f>
        <v>1.7662843573677434</v>
      </c>
      <c r="AB48" s="20">
        <f>SUMIF($L$4:$AA$4,"SUBTOTAL",$L$48:$AA$48)</f>
        <v>133.61534046505963</v>
      </c>
    </row>
    <row r="49" spans="1:28" ht="11.25" customHeight="1" x14ac:dyDescent="0.3">
      <c r="A49" s="133"/>
      <c r="B49" s="133"/>
      <c r="C49" s="133"/>
      <c r="D49" s="23" t="s">
        <v>95</v>
      </c>
      <c r="E49" s="23" t="s">
        <v>25</v>
      </c>
      <c r="F49" s="23" t="s">
        <v>25</v>
      </c>
      <c r="G49" s="23" t="s">
        <v>84</v>
      </c>
      <c r="H49" s="23" t="s">
        <v>78</v>
      </c>
      <c r="I49" s="23">
        <f>'MERCADO TE'!$U$46</f>
        <v>0</v>
      </c>
      <c r="J49" s="15"/>
      <c r="L49" s="20">
        <f>'TR TE'!$L$49*'TR TE'!$L$56</f>
        <v>1.6358404419500312</v>
      </c>
      <c r="M49" s="20">
        <f>'TR TE'!$M$49*'TR TE'!$M$56</f>
        <v>12.006494887150717</v>
      </c>
      <c r="N49" s="20">
        <f>'TR TE'!$N$49*'TR TE'!$N$56</f>
        <v>0.88914936200486161</v>
      </c>
      <c r="O49" s="20">
        <f>'TR TE'!$O$49*'TR TE'!$O$56</f>
        <v>8.2411308287624561</v>
      </c>
      <c r="P49" s="20">
        <f>'TR TE'!$P$49*'TR TE'!$P$56</f>
        <v>-11.377186928870808</v>
      </c>
      <c r="Q49" s="20">
        <f>SUM($L$49:$P$49)</f>
        <v>11.395428590997261</v>
      </c>
      <c r="R49" s="20">
        <f>'TR TE'!$R$49*'TR TE'!$R$56</f>
        <v>124.27029110373267</v>
      </c>
      <c r="S49" s="20">
        <f>SUM($R$49:$R$49)</f>
        <v>124.27029110373267</v>
      </c>
      <c r="T49" s="20">
        <f>'TR TE'!$T$49*'TR TE'!$T$56</f>
        <v>4.8359410052641794</v>
      </c>
      <c r="U49" s="20">
        <f>'TR TE'!$U$49*'TR TE'!$U$56</f>
        <v>3.3336732356697669</v>
      </c>
      <c r="V49" s="20">
        <f>'TR TE'!$V$49*'TR TE'!$V$56</f>
        <v>0</v>
      </c>
      <c r="W49" s="20">
        <f>SUM($T$49:$V$49)</f>
        <v>8.1696142409339458</v>
      </c>
      <c r="X49" s="20"/>
      <c r="Y49" s="20">
        <f>SUM($X$49:$X$49)</f>
        <v>0</v>
      </c>
      <c r="Z49" s="20">
        <f>'TR TE'!$Z$49*'TR TE'!$Z$56</f>
        <v>1.9268556625829925</v>
      </c>
      <c r="AA49" s="20">
        <f>SUM($Z$49:$Z$49)</f>
        <v>1.9268556625829925</v>
      </c>
      <c r="AB49" s="20">
        <f>SUMIF($L$4:$AA$4,"SUBTOTAL",$L$49:$AA$49)</f>
        <v>145.76218959824689</v>
      </c>
    </row>
    <row r="51" spans="1:28" ht="11.25" customHeight="1" x14ac:dyDescent="0.3">
      <c r="K51" s="25" t="s">
        <v>779</v>
      </c>
      <c r="L51" s="20">
        <f t="shared" ref="L51:AB51" si="0">SUMPRODUCT($I$5:$I$49,L$5:L$49)</f>
        <v>731057.07646746433</v>
      </c>
      <c r="M51" s="20">
        <f t="shared" si="0"/>
        <v>5365702.4400000004</v>
      </c>
      <c r="N51" s="20">
        <f t="shared" si="0"/>
        <v>397360.84061800019</v>
      </c>
      <c r="O51" s="20">
        <f t="shared" si="0"/>
        <v>3682961.2815288291</v>
      </c>
      <c r="P51" s="20">
        <f t="shared" si="0"/>
        <v>-5084464.7200000007</v>
      </c>
      <c r="Q51" s="20">
        <f t="shared" si="0"/>
        <v>5092616.9186142944</v>
      </c>
      <c r="R51" s="20">
        <f t="shared" si="0"/>
        <v>55492514.492287487</v>
      </c>
      <c r="S51" s="20">
        <f t="shared" si="0"/>
        <v>55492514.492287487</v>
      </c>
      <c r="T51" s="20">
        <f t="shared" si="0"/>
        <v>2161181.9848781764</v>
      </c>
      <c r="U51" s="20">
        <f t="shared" si="0"/>
        <v>1489818.534295056</v>
      </c>
      <c r="V51" s="20">
        <f t="shared" si="0"/>
        <v>0</v>
      </c>
      <c r="W51" s="20">
        <f t="shared" si="0"/>
        <v>3651000.5191732333</v>
      </c>
      <c r="X51" s="20">
        <f t="shared" si="0"/>
        <v>0</v>
      </c>
      <c r="Y51" s="20">
        <f t="shared" si="0"/>
        <v>0</v>
      </c>
      <c r="Z51" s="20">
        <f t="shared" si="0"/>
        <v>861111.77553692623</v>
      </c>
      <c r="AA51" s="20">
        <f t="shared" si="0"/>
        <v>861111.77553692623</v>
      </c>
      <c r="AB51" s="20">
        <f t="shared" si="0"/>
        <v>65097243.705611944</v>
      </c>
    </row>
    <row r="52" spans="1:28" ht="11.25" customHeight="1" x14ac:dyDescent="0.3">
      <c r="K52" s="25" t="s">
        <v>698</v>
      </c>
      <c r="L52" s="20">
        <f>CUSTOS!$D$30</f>
        <v>731057.07646746421</v>
      </c>
      <c r="M52" s="20">
        <f>CUSTOS!$D$31</f>
        <v>5365702.4400000004</v>
      </c>
      <c r="N52" s="20">
        <f>CUSTOS!$D$32</f>
        <v>397360.84061800007</v>
      </c>
      <c r="O52" s="20">
        <f>CUSTOS!$D$33</f>
        <v>3682961.2815288282</v>
      </c>
      <c r="P52" s="20">
        <f>CUSTOS!$D$34</f>
        <v>-5084464.72</v>
      </c>
      <c r="Q52" s="20">
        <f>CUSTOS!$D$35</f>
        <v>5092616.9186142934</v>
      </c>
      <c r="R52" s="20">
        <f>CUSTOS!$D$36</f>
        <v>55492514.492287464</v>
      </c>
      <c r="S52" s="20">
        <f>CUSTOS!$D$37</f>
        <v>55492514.492287464</v>
      </c>
      <c r="T52" s="20">
        <f>CUSTOS!$D$38</f>
        <v>2161181.9848781759</v>
      </c>
      <c r="U52" s="20">
        <f>CUSTOS!$D$39</f>
        <v>1489818.5342950558</v>
      </c>
      <c r="V52" s="20">
        <f>CUSTOS!$D$40</f>
        <v>0</v>
      </c>
      <c r="W52" s="20">
        <f>CUSTOS!$D$41</f>
        <v>3651000.5191732319</v>
      </c>
      <c r="X52" s="20">
        <f>CUSTOS!$D$42</f>
        <v>0</v>
      </c>
      <c r="Y52" s="20">
        <f>CUSTOS!$D$43</f>
        <v>0</v>
      </c>
      <c r="Z52" s="20">
        <f>CUSTOS!$D$44</f>
        <v>861111.77553692611</v>
      </c>
      <c r="AA52" s="20">
        <f>CUSTOS!$D$45</f>
        <v>861111.77553692611</v>
      </c>
      <c r="AB52" s="20">
        <f>CUSTOS!$D$46</f>
        <v>65097243.705611914</v>
      </c>
    </row>
    <row r="53" spans="1:28" ht="11.25" customHeight="1" x14ac:dyDescent="0.3">
      <c r="K53" s="25" t="s">
        <v>699</v>
      </c>
      <c r="L53" s="20">
        <f>CUSTOS!$E$30</f>
        <v>5.1110480898934878E-2</v>
      </c>
      <c r="M53" s="20">
        <f>CUSTOS!$E$31</f>
        <v>967652.16674154205</v>
      </c>
      <c r="N53" s="20">
        <f>CUSTOS!$E$32</f>
        <v>-2784.2113584473482</v>
      </c>
      <c r="O53" s="20">
        <f>CUSTOS!$E$33</f>
        <v>-304566.59359503468</v>
      </c>
      <c r="P53" s="20">
        <f>CUSTOS!$E$34</f>
        <v>0</v>
      </c>
      <c r="Q53" s="20">
        <f>CUSTOS!$E$35</f>
        <v>660301.41289854096</v>
      </c>
      <c r="R53" s="20">
        <f>CUSTOS!$E$36</f>
        <v>26466463.05122878</v>
      </c>
      <c r="S53" s="20">
        <f>CUSTOS!$E$37</f>
        <v>26466463.05122878</v>
      </c>
      <c r="T53" s="20">
        <f>CUSTOS!$E$38</f>
        <v>-208066.3536178912</v>
      </c>
      <c r="U53" s="20">
        <f>CUSTOS!$E$39</f>
        <v>20871.583264529665</v>
      </c>
      <c r="V53" s="20">
        <f>CUSTOS!$E$40</f>
        <v>0</v>
      </c>
      <c r="W53" s="20">
        <f>CUSTOS!$E$41</f>
        <v>-187194.77035336153</v>
      </c>
      <c r="X53" s="20">
        <f>CUSTOS!$E$42</f>
        <v>0</v>
      </c>
      <c r="Y53" s="20">
        <f>CUSTOS!$E$43</f>
        <v>0</v>
      </c>
      <c r="Z53" s="20">
        <f>CUSTOS!$E$44</f>
        <v>410696.52724771696</v>
      </c>
      <c r="AA53" s="20">
        <f>CUSTOS!$E$45</f>
        <v>410696.52724771696</v>
      </c>
      <c r="AB53" s="20">
        <f>CUSTOS!$E$46</f>
        <v>27350266.221021675</v>
      </c>
    </row>
    <row r="54" spans="1:28" ht="11.25" customHeight="1" x14ac:dyDescent="0.3">
      <c r="K54" s="25" t="s">
        <v>700</v>
      </c>
      <c r="L54" s="20">
        <f>CUSTOS!$F$30</f>
        <v>0</v>
      </c>
      <c r="M54" s="20">
        <f>CUSTOS!$F$31</f>
        <v>-513101.21960000001</v>
      </c>
      <c r="N54" s="20">
        <f>CUSTOS!$F$32</f>
        <v>25540.483499999998</v>
      </c>
      <c r="O54" s="20">
        <f>CUSTOS!$F$33</f>
        <v>255023.19113352295</v>
      </c>
      <c r="P54" s="20">
        <f>CUSTOS!$F$34</f>
        <v>0</v>
      </c>
      <c r="Q54" s="20">
        <f>CUSTOS!$F$35</f>
        <v>-232537.54496647709</v>
      </c>
      <c r="R54" s="20">
        <f>CUSTOS!$F$36</f>
        <v>-8096075.2845074646</v>
      </c>
      <c r="S54" s="20">
        <f>CUSTOS!$F$37</f>
        <v>-8096075.2845074646</v>
      </c>
      <c r="T54" s="20">
        <f>CUSTOS!$F$38</f>
        <v>224596.42439999999</v>
      </c>
      <c r="U54" s="20">
        <f>CUSTOS!$F$39</f>
        <v>130231.45802228441</v>
      </c>
      <c r="V54" s="20">
        <f>CUSTOS!$F$40</f>
        <v>0</v>
      </c>
      <c r="W54" s="20">
        <f>CUSTOS!$F$41</f>
        <v>354827.8824222844</v>
      </c>
      <c r="X54" s="20">
        <f>CUSTOS!$F$42</f>
        <v>0</v>
      </c>
      <c r="Y54" s="20">
        <f>CUSTOS!$F$43</f>
        <v>0</v>
      </c>
      <c r="Z54" s="20">
        <f>CUSTOS!$F$44</f>
        <v>-125631.82308294547</v>
      </c>
      <c r="AA54" s="20">
        <f>CUSTOS!$F$45</f>
        <v>-125631.82308294547</v>
      </c>
      <c r="AB54" s="20">
        <f>CUSTOS!$F$46</f>
        <v>-8099416.7701346027</v>
      </c>
    </row>
    <row r="55" spans="1:28" ht="11.25" customHeight="1" x14ac:dyDescent="0.3">
      <c r="K55" s="25" t="s">
        <v>780</v>
      </c>
      <c r="L55" s="20">
        <f>'TR TE'!$L$55*L56</f>
        <v>1.9061118106308186E-7</v>
      </c>
      <c r="M55" s="20">
        <f>'TR TE'!$M$55*M56</f>
        <v>3.6087573256368892</v>
      </c>
      <c r="N55" s="20">
        <f>'TR TE'!$N$55*N56</f>
        <v>-1.0383424417631652E-2</v>
      </c>
      <c r="O55" s="20">
        <f>'TR TE'!$O$55*O56</f>
        <v>-1.1358491858510187</v>
      </c>
      <c r="P55" s="20">
        <f>'TR TE'!$P$55*P56</f>
        <v>0</v>
      </c>
      <c r="Q55" s="20"/>
      <c r="R55" s="20">
        <f>'TR TE'!$R$55*R56</f>
        <v>97.566682255377557</v>
      </c>
      <c r="S55" s="20"/>
      <c r="T55" s="20">
        <f>'TR TE'!$T$55*T56</f>
        <v>-0.77596165610372048</v>
      </c>
      <c r="U55" s="20">
        <f>'TR TE'!$U$55*U56</f>
        <v>7.7838382005741613E-2</v>
      </c>
      <c r="V55" s="20">
        <f>'TR TE'!$V$55*V56</f>
        <v>0</v>
      </c>
      <c r="W55" s="20"/>
      <c r="X55" s="20"/>
      <c r="Y55" s="20"/>
      <c r="Z55" s="20">
        <f>'TR TE'!$Z$55*Z56</f>
        <v>1.5316496487675368</v>
      </c>
      <c r="AA55" s="20"/>
      <c r="AB55" s="20"/>
    </row>
    <row r="56" spans="1:28" ht="11.25" customHeight="1" x14ac:dyDescent="0.3">
      <c r="K56" s="25" t="s">
        <v>767</v>
      </c>
      <c r="L56" s="20">
        <f>IF(L52&lt;&gt;0,L53/L52,0)</f>
        <v>6.9913119705927033E-8</v>
      </c>
      <c r="M56" s="20">
        <f>IF(M52&lt;&gt;0,M53/M52,0)</f>
        <v>0.18034025881270113</v>
      </c>
      <c r="N56" s="20">
        <f>IF(N52&lt;&gt;0,N53/N52,0)</f>
        <v>-7.0067582757203026E-3</v>
      </c>
      <c r="O56" s="20">
        <f>IF(O52&lt;&gt;0,O53/O52,0)</f>
        <v>-8.2696116063595032E-2</v>
      </c>
      <c r="P56" s="20">
        <f>IF(P52&lt;&gt;0,P53/P52,0)</f>
        <v>0</v>
      </c>
      <c r="Q56" s="20"/>
      <c r="R56" s="20">
        <f>IF(R52&lt;&gt;0,R53/R52,0)</f>
        <v>0.47693753460941435</v>
      </c>
      <c r="S56" s="20"/>
      <c r="T56" s="20">
        <f>IF(T52&lt;&gt;0,T53/T52,0)</f>
        <v>-9.6274332783511399E-2</v>
      </c>
      <c r="U56" s="20">
        <f>IF(U52&lt;&gt;0,U53/U52,0)</f>
        <v>1.400948020451737E-2</v>
      </c>
      <c r="V56" s="20">
        <f>IF(V52&lt;&gt;0,V53/V52,0)</f>
        <v>0</v>
      </c>
      <c r="W56" s="20"/>
      <c r="X56" s="20">
        <f>IF(($AB52-0)&lt;&gt;0,X53/($AB52-0),0)</f>
        <v>0</v>
      </c>
      <c r="Y56" s="20"/>
      <c r="Z56" s="20">
        <f>IF(Z52&lt;&gt;0,Z53/Z52,0)</f>
        <v>0.4769375346094144</v>
      </c>
      <c r="AA56" s="20"/>
      <c r="AB56" s="20"/>
    </row>
    <row r="57" spans="1:28" ht="11.25" customHeight="1" x14ac:dyDescent="0.3">
      <c r="K57" s="25" t="s">
        <v>782</v>
      </c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</row>
  </sheetData>
  <mergeCells count="79">
    <mergeCell ref="R3:S3"/>
    <mergeCell ref="T3:W3"/>
    <mergeCell ref="X3:Y3"/>
    <mergeCell ref="A1:A4"/>
    <mergeCell ref="B1:B4"/>
    <mergeCell ref="C1:C4"/>
    <mergeCell ref="D1:D4"/>
    <mergeCell ref="E1:E4"/>
    <mergeCell ref="F1:F4"/>
    <mergeCell ref="F7:F8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A7:A8"/>
    <mergeCell ref="B7:B8"/>
    <mergeCell ref="C7:C8"/>
    <mergeCell ref="D7:D8"/>
    <mergeCell ref="E7:E8"/>
    <mergeCell ref="F12:F13"/>
    <mergeCell ref="A9:A11"/>
    <mergeCell ref="B9:B10"/>
    <mergeCell ref="C9:C10"/>
    <mergeCell ref="D9:D10"/>
    <mergeCell ref="E9:E10"/>
    <mergeCell ref="F9:F10"/>
    <mergeCell ref="A12:A14"/>
    <mergeCell ref="B12:B13"/>
    <mergeCell ref="C12:C13"/>
    <mergeCell ref="D12:D13"/>
    <mergeCell ref="E12:E13"/>
    <mergeCell ref="F15:F17"/>
    <mergeCell ref="B18:B22"/>
    <mergeCell ref="C18:C22"/>
    <mergeCell ref="B23:B27"/>
    <mergeCell ref="C23:C27"/>
    <mergeCell ref="A15:A27"/>
    <mergeCell ref="B15:B17"/>
    <mergeCell ref="C15:C17"/>
    <mergeCell ref="D15:D17"/>
    <mergeCell ref="E15:E17"/>
    <mergeCell ref="D36:D38"/>
    <mergeCell ref="E36:E38"/>
    <mergeCell ref="F36:F38"/>
    <mergeCell ref="D28:D30"/>
    <mergeCell ref="E28:E30"/>
    <mergeCell ref="F28:F30"/>
    <mergeCell ref="D32:D34"/>
    <mergeCell ref="E32:E34"/>
    <mergeCell ref="F32:F34"/>
    <mergeCell ref="B40:B42"/>
    <mergeCell ref="C40:C42"/>
    <mergeCell ref="A43:A47"/>
    <mergeCell ref="B43:B45"/>
    <mergeCell ref="C43:C45"/>
    <mergeCell ref="A28:A42"/>
    <mergeCell ref="B28:B30"/>
    <mergeCell ref="C28:C30"/>
    <mergeCell ref="B36:B38"/>
    <mergeCell ref="C36:C38"/>
    <mergeCell ref="B32:B34"/>
    <mergeCell ref="C32:C34"/>
    <mergeCell ref="E43:E45"/>
    <mergeCell ref="F43:F45"/>
    <mergeCell ref="A48:A49"/>
    <mergeCell ref="B48:B49"/>
    <mergeCell ref="C48:C49"/>
    <mergeCell ref="D43:D45"/>
  </mergeCells>
  <conditionalFormatting sqref="L51">
    <cfRule type="cellIs" dxfId="1169" priority="33" operator="notEqual">
      <formula>$L$52</formula>
    </cfRule>
    <cfRule type="cellIs" dxfId="1168" priority="34" operator="equal">
      <formula>$L$52</formula>
    </cfRule>
  </conditionalFormatting>
  <conditionalFormatting sqref="M51">
    <cfRule type="cellIs" dxfId="1167" priority="31" operator="notEqual">
      <formula>$M$52</formula>
    </cfRule>
    <cfRule type="cellIs" dxfId="1166" priority="32" operator="equal">
      <formula>$M$52</formula>
    </cfRule>
  </conditionalFormatting>
  <conditionalFormatting sqref="N51">
    <cfRule type="cellIs" dxfId="1165" priority="29" operator="notEqual">
      <formula>$N$52</formula>
    </cfRule>
    <cfRule type="cellIs" dxfId="1164" priority="30" operator="equal">
      <formula>$N$52</formula>
    </cfRule>
  </conditionalFormatting>
  <conditionalFormatting sqref="O51">
    <cfRule type="cellIs" dxfId="1163" priority="27" operator="notEqual">
      <formula>$O$52</formula>
    </cfRule>
    <cfRule type="cellIs" dxfId="1162" priority="28" operator="equal">
      <formula>$O$52</formula>
    </cfRule>
  </conditionalFormatting>
  <conditionalFormatting sqref="P51">
    <cfRule type="cellIs" dxfId="1161" priority="25" operator="notEqual">
      <formula>$P$52</formula>
    </cfRule>
    <cfRule type="cellIs" dxfId="1160" priority="26" operator="equal">
      <formula>$P$52</formula>
    </cfRule>
  </conditionalFormatting>
  <conditionalFormatting sqref="Q51">
    <cfRule type="cellIs" dxfId="1159" priority="23" operator="notEqual">
      <formula>$Q$52</formula>
    </cfRule>
    <cfRule type="cellIs" dxfId="1158" priority="24" operator="equal">
      <formula>$Q$52</formula>
    </cfRule>
  </conditionalFormatting>
  <conditionalFormatting sqref="R51">
    <cfRule type="cellIs" dxfId="1157" priority="21" operator="notEqual">
      <formula>$R$52</formula>
    </cfRule>
    <cfRule type="cellIs" dxfId="1156" priority="22" operator="equal">
      <formula>$R$52</formula>
    </cfRule>
  </conditionalFormatting>
  <conditionalFormatting sqref="S51">
    <cfRule type="cellIs" dxfId="1155" priority="19" operator="notEqual">
      <formula>$S$52</formula>
    </cfRule>
    <cfRule type="cellIs" dxfId="1154" priority="20" operator="equal">
      <formula>$S$52</formula>
    </cfRule>
  </conditionalFormatting>
  <conditionalFormatting sqref="T51">
    <cfRule type="cellIs" dxfId="1153" priority="17" operator="notEqual">
      <formula>$T$52</formula>
    </cfRule>
    <cfRule type="cellIs" dxfId="1152" priority="18" operator="equal">
      <formula>$T$52</formula>
    </cfRule>
  </conditionalFormatting>
  <conditionalFormatting sqref="U51">
    <cfRule type="cellIs" dxfId="1151" priority="15" operator="notEqual">
      <formula>$U$52</formula>
    </cfRule>
    <cfRule type="cellIs" dxfId="1150" priority="16" operator="equal">
      <formula>$U$52</formula>
    </cfRule>
  </conditionalFormatting>
  <conditionalFormatting sqref="V51">
    <cfRule type="cellIs" dxfId="1149" priority="13" operator="notEqual">
      <formula>$V$52</formula>
    </cfRule>
    <cfRule type="cellIs" dxfId="1148" priority="14" operator="equal">
      <formula>$V$52</formula>
    </cfRule>
  </conditionalFormatting>
  <conditionalFormatting sqref="W51">
    <cfRule type="cellIs" dxfId="1147" priority="11" operator="notEqual">
      <formula>$W$52</formula>
    </cfRule>
    <cfRule type="cellIs" dxfId="1146" priority="12" operator="equal">
      <formula>$W$52</formula>
    </cfRule>
  </conditionalFormatting>
  <conditionalFormatting sqref="X51">
    <cfRule type="cellIs" dxfId="1145" priority="9" operator="notEqual">
      <formula>$X$52</formula>
    </cfRule>
    <cfRule type="cellIs" dxfId="1144" priority="10" operator="equal">
      <formula>$X$52</formula>
    </cfRule>
  </conditionalFormatting>
  <conditionalFormatting sqref="Y51">
    <cfRule type="cellIs" dxfId="1143" priority="7" operator="notEqual">
      <formula>$Y$52</formula>
    </cfRule>
    <cfRule type="cellIs" dxfId="1142" priority="8" operator="equal">
      <formula>$Y$52</formula>
    </cfRule>
  </conditionalFormatting>
  <conditionalFormatting sqref="Z51">
    <cfRule type="cellIs" dxfId="1141" priority="5" operator="notEqual">
      <formula>$Z$52</formula>
    </cfRule>
    <cfRule type="cellIs" dxfId="1140" priority="6" operator="equal">
      <formula>$Z$52</formula>
    </cfRule>
  </conditionalFormatting>
  <conditionalFormatting sqref="AA51">
    <cfRule type="cellIs" dxfId="1139" priority="3" operator="notEqual">
      <formula>$AA$52</formula>
    </cfRule>
    <cfRule type="cellIs" dxfId="1138" priority="4" operator="equal">
      <formula>$AA$52</formula>
    </cfRule>
  </conditionalFormatting>
  <conditionalFormatting sqref="AB51">
    <cfRule type="cellIs" dxfId="1137" priority="1" operator="notEqual">
      <formula>$AB$52</formula>
    </cfRule>
    <cfRule type="cellIs" dxfId="1136" priority="2" operator="equal">
      <formula>$AB$52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B4747-310D-4ED6-844A-0047B474C741}">
  <sheetPr codeName="Planilha14"/>
  <dimension ref="A1:AB57"/>
  <sheetViews>
    <sheetView showGridLines="0" topLeftCell="H34" workbookViewId="0">
      <selection activeCell="AB51" sqref="AB51"/>
    </sheetView>
  </sheetViews>
  <sheetFormatPr defaultRowHeight="11.25" customHeight="1" x14ac:dyDescent="0.3"/>
  <cols>
    <col min="1" max="1" width="9" style="9" bestFit="1" customWidth="1"/>
    <col min="2" max="2" width="24.66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9.88671875" style="9" bestFit="1" customWidth="1"/>
    <col min="12" max="12" width="7.88671875" style="9" bestFit="1" customWidth="1"/>
    <col min="13" max="13" width="9.109375" style="9" bestFit="1" customWidth="1"/>
    <col min="14" max="14" width="8.33203125" style="9" bestFit="1" customWidth="1"/>
    <col min="15" max="15" width="10.33203125" style="9" bestFit="1" customWidth="1"/>
    <col min="16" max="16" width="9.5546875" style="9" bestFit="1" customWidth="1"/>
    <col min="17" max="17" width="9.109375" style="9" bestFit="1" customWidth="1"/>
    <col min="18" max="18" width="14.44140625" style="9" bestFit="1" customWidth="1"/>
    <col min="19" max="19" width="10.33203125" style="9" bestFit="1" customWidth="1"/>
    <col min="20" max="20" width="9.109375" style="9" bestFit="1" customWidth="1"/>
    <col min="21" max="21" width="9.77734375" style="9" bestFit="1" customWidth="1"/>
    <col min="22" max="22" width="7.88671875" style="9" bestFit="1" customWidth="1"/>
    <col min="23" max="23" width="9.109375" style="9" bestFit="1" customWidth="1"/>
    <col min="24" max="24" width="7.77734375" style="9" bestFit="1" customWidth="1"/>
    <col min="25" max="25" width="8.5546875" style="9" bestFit="1" customWidth="1"/>
    <col min="26" max="26" width="10.5546875" style="9" bestFit="1" customWidth="1"/>
    <col min="27" max="27" width="8.5546875" style="9" bestFit="1" customWidth="1"/>
    <col min="28" max="28" width="10.33203125" style="9" bestFit="1" customWidth="1"/>
    <col min="29" max="16384" width="8.88671875" style="9"/>
  </cols>
  <sheetData>
    <row r="1" spans="1:28" ht="11.25" customHeight="1" x14ac:dyDescent="0.3">
      <c r="A1" s="134" t="s">
        <v>68</v>
      </c>
      <c r="B1" s="134" t="s">
        <v>69</v>
      </c>
      <c r="C1" s="134" t="s">
        <v>70</v>
      </c>
      <c r="D1" s="134" t="s">
        <v>71</v>
      </c>
      <c r="E1" s="134" t="s">
        <v>72</v>
      </c>
      <c r="F1" s="134" t="s">
        <v>15</v>
      </c>
      <c r="G1" s="134" t="s">
        <v>74</v>
      </c>
      <c r="H1" s="134" t="s">
        <v>75</v>
      </c>
      <c r="I1" s="134" t="s">
        <v>757</v>
      </c>
      <c r="J1" s="123"/>
      <c r="L1" s="135" t="s">
        <v>784</v>
      </c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</row>
    <row r="2" spans="1:28" ht="11.25" customHeight="1" x14ac:dyDescent="0.3">
      <c r="A2" s="134"/>
      <c r="B2" s="134"/>
      <c r="C2" s="134"/>
      <c r="D2" s="134"/>
      <c r="E2" s="134"/>
      <c r="F2" s="134"/>
      <c r="G2" s="134"/>
      <c r="H2" s="134"/>
      <c r="I2" s="134"/>
      <c r="J2" s="123"/>
      <c r="L2" s="135" t="s">
        <v>684</v>
      </c>
      <c r="M2" s="135"/>
      <c r="N2" s="135"/>
      <c r="O2" s="135"/>
      <c r="P2" s="135"/>
      <c r="Q2" s="135"/>
      <c r="R2" s="135"/>
      <c r="S2" s="135"/>
      <c r="T2" s="135"/>
      <c r="U2" s="135"/>
      <c r="V2" s="135"/>
      <c r="W2" s="135"/>
      <c r="X2" s="135"/>
      <c r="Y2" s="135"/>
      <c r="Z2" s="135"/>
      <c r="AA2" s="135"/>
      <c r="AB2" s="135"/>
    </row>
    <row r="3" spans="1:28" ht="11.25" customHeight="1" x14ac:dyDescent="0.3">
      <c r="A3" s="134"/>
      <c r="B3" s="134"/>
      <c r="C3" s="134"/>
      <c r="D3" s="134"/>
      <c r="E3" s="134"/>
      <c r="F3" s="134"/>
      <c r="G3" s="134"/>
      <c r="H3" s="134"/>
      <c r="I3" s="134"/>
      <c r="J3" s="123"/>
      <c r="L3" s="135" t="s">
        <v>657</v>
      </c>
      <c r="M3" s="135"/>
      <c r="N3" s="135"/>
      <c r="O3" s="135"/>
      <c r="P3" s="135"/>
      <c r="Q3" s="135"/>
      <c r="R3" s="135" t="s">
        <v>688</v>
      </c>
      <c r="S3" s="135"/>
      <c r="T3" s="135" t="s">
        <v>666</v>
      </c>
      <c r="U3" s="135"/>
      <c r="V3" s="135"/>
      <c r="W3" s="135"/>
      <c r="X3" s="135" t="s">
        <v>676</v>
      </c>
      <c r="Y3" s="135"/>
      <c r="Z3" s="135" t="s">
        <v>679</v>
      </c>
      <c r="AA3" s="135"/>
      <c r="AB3" s="135" t="s">
        <v>665</v>
      </c>
    </row>
    <row r="4" spans="1:28" ht="11.25" customHeight="1" x14ac:dyDescent="0.3">
      <c r="A4" s="134"/>
      <c r="B4" s="134"/>
      <c r="C4" s="134"/>
      <c r="D4" s="134"/>
      <c r="E4" s="134"/>
      <c r="F4" s="134"/>
      <c r="G4" s="134"/>
      <c r="H4" s="134"/>
      <c r="I4" s="134"/>
      <c r="J4" s="123"/>
      <c r="L4" s="24" t="s">
        <v>659</v>
      </c>
      <c r="M4" s="24" t="s">
        <v>685</v>
      </c>
      <c r="N4" s="24" t="s">
        <v>686</v>
      </c>
      <c r="O4" s="24" t="s">
        <v>745</v>
      </c>
      <c r="P4" s="24" t="s">
        <v>687</v>
      </c>
      <c r="Q4" s="24" t="s">
        <v>665</v>
      </c>
      <c r="R4" s="24" t="s">
        <v>689</v>
      </c>
      <c r="S4" s="24" t="s">
        <v>665</v>
      </c>
      <c r="T4" s="24" t="s">
        <v>690</v>
      </c>
      <c r="U4" s="24" t="s">
        <v>691</v>
      </c>
      <c r="V4" s="24" t="s">
        <v>692</v>
      </c>
      <c r="W4" s="24" t="s">
        <v>665</v>
      </c>
      <c r="X4" s="24" t="s">
        <v>677</v>
      </c>
      <c r="Y4" s="24" t="s">
        <v>665</v>
      </c>
      <c r="Z4" s="24" t="s">
        <v>693</v>
      </c>
      <c r="AA4" s="24" t="s">
        <v>665</v>
      </c>
      <c r="AB4" s="136"/>
    </row>
    <row r="5" spans="1:28" ht="11.25" customHeight="1" x14ac:dyDescent="0.3">
      <c r="A5" s="133" t="s">
        <v>54</v>
      </c>
      <c r="B5" s="133" t="s">
        <v>77</v>
      </c>
      <c r="C5" s="133" t="s">
        <v>25</v>
      </c>
      <c r="D5" s="133" t="s">
        <v>25</v>
      </c>
      <c r="E5" s="133" t="s">
        <v>25</v>
      </c>
      <c r="F5" s="133" t="s">
        <v>25</v>
      </c>
      <c r="G5" s="23" t="s">
        <v>79</v>
      </c>
      <c r="H5" s="23" t="s">
        <v>78</v>
      </c>
      <c r="I5" s="23">
        <f>'MERCADO TE'!$U$2</f>
        <v>0</v>
      </c>
      <c r="J5" s="15"/>
      <c r="L5" s="20">
        <f>'TE BE'!$L$5*'TE BE'!$L$56</f>
        <v>1.9061118106308186E-7</v>
      </c>
      <c r="M5" s="20">
        <f>'TE BE'!$M$5*'TE BE'!$M$56</f>
        <v>3.6087573256368892</v>
      </c>
      <c r="N5" s="20">
        <f>'TE BE'!$N$5*'TE BE'!$N$56</f>
        <v>-1.0383424417631652E-2</v>
      </c>
      <c r="O5" s="20">
        <f>'TE BE'!$O$5*'TE BE'!$O$56</f>
        <v>-1.1358491858510187</v>
      </c>
      <c r="P5" s="20">
        <f>'TE BE'!$P$5*'TE BE'!$P$56</f>
        <v>0</v>
      </c>
      <c r="Q5" s="20">
        <f>SUM($L$5:$P$5)</f>
        <v>2.4625249059794196</v>
      </c>
      <c r="R5" s="20">
        <f>'TE BE'!$R$5*'TE BE'!$R$56</f>
        <v>160.28768234974626</v>
      </c>
      <c r="S5" s="20">
        <f>SUM($R$5:$R$5)</f>
        <v>160.28768234974626</v>
      </c>
      <c r="T5" s="20">
        <f>'TE BE'!$T$5*'TE BE'!$T$56</f>
        <v>-0.77596165610372048</v>
      </c>
      <c r="U5" s="20">
        <f>'TE BE'!$U$5*'TE BE'!$U$56</f>
        <v>7.7838382005741613E-2</v>
      </c>
      <c r="V5" s="20">
        <f>'TE BE'!$V$5*'TE BE'!$V$56</f>
        <v>0</v>
      </c>
      <c r="W5" s="20">
        <f>SUM($T$5:$V$5)</f>
        <v>-0.69812327409797881</v>
      </c>
      <c r="X5" s="20">
        <f>'TE BE'!$AB$5*'TE BE'!$X$56</f>
        <v>0</v>
      </c>
      <c r="Y5" s="20">
        <f>SUM($X$5:$X$5)</f>
        <v>0</v>
      </c>
      <c r="Z5" s="20">
        <f>'TE BE'!$Z$5*'TE BE'!$Z$56</f>
        <v>1.5316496487675368</v>
      </c>
      <c r="AA5" s="20">
        <f>SUM($Z$5:$Z$5)</f>
        <v>1.5316496487675368</v>
      </c>
      <c r="AB5" s="20">
        <f>SUMIF($L$4:$AA$4,"SUBTOTAL",$L$5:$AA$5)</f>
        <v>163.58373363039524</v>
      </c>
    </row>
    <row r="6" spans="1:28" ht="11.25" customHeight="1" x14ac:dyDescent="0.3">
      <c r="A6" s="133"/>
      <c r="B6" s="133"/>
      <c r="C6" s="133"/>
      <c r="D6" s="133"/>
      <c r="E6" s="133"/>
      <c r="F6" s="133"/>
      <c r="G6" s="23" t="s">
        <v>80</v>
      </c>
      <c r="H6" s="23" t="s">
        <v>78</v>
      </c>
      <c r="I6" s="23">
        <f>'MERCADO TE'!$U$3</f>
        <v>0</v>
      </c>
      <c r="J6" s="15"/>
      <c r="L6" s="20">
        <f>'TE BE'!$L$6*'TE BE'!$L$56</f>
        <v>1.9061118106308186E-7</v>
      </c>
      <c r="M6" s="20">
        <f>'TE BE'!$M$6*'TE BE'!$M$56</f>
        <v>3.6087573256368892</v>
      </c>
      <c r="N6" s="20">
        <f>'TE BE'!$N$6*'TE BE'!$N$56</f>
        <v>-1.0383424417631652E-2</v>
      </c>
      <c r="O6" s="20">
        <f>'TE BE'!$O$6*'TE BE'!$O$56</f>
        <v>-1.1358491858510187</v>
      </c>
      <c r="P6" s="20">
        <f>'TE BE'!$P$6*'TE BE'!$P$56</f>
        <v>0</v>
      </c>
      <c r="Q6" s="20">
        <f>SUM($L$6:$P$6)</f>
        <v>2.4625249059794196</v>
      </c>
      <c r="R6" s="20">
        <f>'TE BE'!$R$6*'TE BE'!$R$56</f>
        <v>93.190512994038514</v>
      </c>
      <c r="S6" s="20">
        <f>SUM($R$6:$R$6)</f>
        <v>93.190512994038514</v>
      </c>
      <c r="T6" s="20">
        <f>'TE BE'!$T$6*'TE BE'!$T$56</f>
        <v>-0.77596165610372048</v>
      </c>
      <c r="U6" s="20">
        <f>'TE BE'!$U$6*'TE BE'!$U$56</f>
        <v>7.7838382005741613E-2</v>
      </c>
      <c r="V6" s="20">
        <f>'TE BE'!$V$6*'TE BE'!$V$56</f>
        <v>0</v>
      </c>
      <c r="W6" s="20">
        <f>SUM($T$6:$V$6)</f>
        <v>-0.69812327409797881</v>
      </c>
      <c r="X6" s="20">
        <f>'TE BE'!$AB$6*'TE BE'!$X$56</f>
        <v>0</v>
      </c>
      <c r="Y6" s="20">
        <f>SUM($X$6:$X$6)</f>
        <v>0</v>
      </c>
      <c r="Z6" s="20">
        <f>'TE BE'!$Z$6*'TE BE'!$Z$56</f>
        <v>1.5316496487675368</v>
      </c>
      <c r="AA6" s="20">
        <f>SUM($Z$6:$Z$6)</f>
        <v>1.5316496487675368</v>
      </c>
      <c r="AB6" s="20">
        <f>SUMIF($L$4:$AA$4,"SUBTOTAL",$L$6:$AA$6)</f>
        <v>96.486564274687495</v>
      </c>
    </row>
    <row r="7" spans="1:28" ht="11.25" customHeight="1" x14ac:dyDescent="0.3">
      <c r="A7" s="133" t="s">
        <v>60</v>
      </c>
      <c r="B7" s="133" t="s">
        <v>77</v>
      </c>
      <c r="C7" s="133" t="s">
        <v>25</v>
      </c>
      <c r="D7" s="133" t="s">
        <v>25</v>
      </c>
      <c r="E7" s="133" t="s">
        <v>25</v>
      </c>
      <c r="F7" s="133" t="s">
        <v>25</v>
      </c>
      <c r="G7" s="23" t="s">
        <v>79</v>
      </c>
      <c r="H7" s="23" t="s">
        <v>78</v>
      </c>
      <c r="I7" s="23">
        <f>'MERCADO TE'!$U$4</f>
        <v>0</v>
      </c>
      <c r="J7" s="15"/>
      <c r="L7" s="20">
        <f>'TE BE'!$L$7*'TE BE'!$L$56</f>
        <v>1.9061118106308186E-7</v>
      </c>
      <c r="M7" s="20">
        <f>'TE BE'!$M$7*'TE BE'!$M$56</f>
        <v>3.6087573256368892</v>
      </c>
      <c r="N7" s="20">
        <f>'TE BE'!$N$7*'TE BE'!$N$56</f>
        <v>-1.0383424417631652E-2</v>
      </c>
      <c r="O7" s="20">
        <f>'TE BE'!$O$7*'TE BE'!$O$56</f>
        <v>-1.1358491858510187</v>
      </c>
      <c r="P7" s="20">
        <f>'TE BE'!$P$7*'TE BE'!$P$56</f>
        <v>0</v>
      </c>
      <c r="Q7" s="20">
        <f>SUM($L$7:$P$7)</f>
        <v>2.4625249059794196</v>
      </c>
      <c r="R7" s="20">
        <f>'TE BE'!$R$7*'TE BE'!$R$56</f>
        <v>160.28768234974626</v>
      </c>
      <c r="S7" s="20">
        <f>SUM($R$7:$R$7)</f>
        <v>160.28768234974626</v>
      </c>
      <c r="T7" s="20">
        <f>'TE BE'!$T$7*'TE BE'!$T$56</f>
        <v>-0.77596165610372048</v>
      </c>
      <c r="U7" s="20">
        <f>'TE BE'!$U$7*'TE BE'!$U$56</f>
        <v>7.7838382005741613E-2</v>
      </c>
      <c r="V7" s="20">
        <f>'TE BE'!$V$7*'TE BE'!$V$56</f>
        <v>0</v>
      </c>
      <c r="W7" s="20">
        <f>SUM($T$7:$V$7)</f>
        <v>-0.69812327409797881</v>
      </c>
      <c r="X7" s="20">
        <f>'TE BE'!$AB$7*'TE BE'!$X$56</f>
        <v>0</v>
      </c>
      <c r="Y7" s="20">
        <f>SUM($X$7:$X$7)</f>
        <v>0</v>
      </c>
      <c r="Z7" s="20">
        <f>'TE BE'!$Z$7*'TE BE'!$Z$56</f>
        <v>1.5316496487675368</v>
      </c>
      <c r="AA7" s="20">
        <f>SUM($Z$7:$Z$7)</f>
        <v>1.5316496487675368</v>
      </c>
      <c r="AB7" s="20">
        <f>SUMIF($L$4:$AA$4,"SUBTOTAL",$L$7:$AA$7)</f>
        <v>163.58373363039524</v>
      </c>
    </row>
    <row r="8" spans="1:28" ht="11.25" customHeight="1" x14ac:dyDescent="0.3">
      <c r="A8" s="133"/>
      <c r="B8" s="133"/>
      <c r="C8" s="133"/>
      <c r="D8" s="133"/>
      <c r="E8" s="133"/>
      <c r="F8" s="133"/>
      <c r="G8" s="23" t="s">
        <v>80</v>
      </c>
      <c r="H8" s="23" t="s">
        <v>78</v>
      </c>
      <c r="I8" s="23">
        <f>'MERCADO TE'!$U$5</f>
        <v>0</v>
      </c>
      <c r="J8" s="15"/>
      <c r="L8" s="20">
        <f>'TE BE'!$L$8*'TE BE'!$L$56</f>
        <v>1.9061118106308186E-7</v>
      </c>
      <c r="M8" s="20">
        <f>'TE BE'!$M$8*'TE BE'!$M$56</f>
        <v>3.6087573256368892</v>
      </c>
      <c r="N8" s="20">
        <f>'TE BE'!$N$8*'TE BE'!$N$56</f>
        <v>-1.0383424417631652E-2</v>
      </c>
      <c r="O8" s="20">
        <f>'TE BE'!$O$8*'TE BE'!$O$56</f>
        <v>-1.1358491858510187</v>
      </c>
      <c r="P8" s="20">
        <f>'TE BE'!$P$8*'TE BE'!$P$56</f>
        <v>0</v>
      </c>
      <c r="Q8" s="20">
        <f>SUM($L$8:$P$8)</f>
        <v>2.4625249059794196</v>
      </c>
      <c r="R8" s="20">
        <f>'TE BE'!$R$8*'TE BE'!$R$56</f>
        <v>93.190512994038514</v>
      </c>
      <c r="S8" s="20">
        <f>SUM($R$8:$R$8)</f>
        <v>93.190512994038514</v>
      </c>
      <c r="T8" s="20">
        <f>'TE BE'!$T$8*'TE BE'!$T$56</f>
        <v>-0.77596165610372048</v>
      </c>
      <c r="U8" s="20">
        <f>'TE BE'!$U$8*'TE BE'!$U$56</f>
        <v>7.7838382005741613E-2</v>
      </c>
      <c r="V8" s="20">
        <f>'TE BE'!$V$8*'TE BE'!$V$56</f>
        <v>0</v>
      </c>
      <c r="W8" s="20">
        <f>SUM($T$8:$V$8)</f>
        <v>-0.69812327409797881</v>
      </c>
      <c r="X8" s="20">
        <f>'TE BE'!$AB$8*'TE BE'!$X$56</f>
        <v>0</v>
      </c>
      <c r="Y8" s="20">
        <f>SUM($X$8:$X$8)</f>
        <v>0</v>
      </c>
      <c r="Z8" s="20">
        <f>'TE BE'!$Z$8*'TE BE'!$Z$56</f>
        <v>1.5316496487675368</v>
      </c>
      <c r="AA8" s="20">
        <f>SUM($Z$8:$Z$8)</f>
        <v>1.5316496487675368</v>
      </c>
      <c r="AB8" s="20">
        <f>SUMIF($L$4:$AA$4,"SUBTOTAL",$L$8:$AA$8)</f>
        <v>96.486564274687495</v>
      </c>
    </row>
    <row r="9" spans="1:28" ht="11.25" customHeight="1" x14ac:dyDescent="0.3">
      <c r="A9" s="133" t="s">
        <v>39</v>
      </c>
      <c r="B9" s="133" t="s">
        <v>77</v>
      </c>
      <c r="C9" s="133" t="s">
        <v>25</v>
      </c>
      <c r="D9" s="133" t="s">
        <v>25</v>
      </c>
      <c r="E9" s="133" t="s">
        <v>25</v>
      </c>
      <c r="F9" s="133" t="s">
        <v>25</v>
      </c>
      <c r="G9" s="23" t="s">
        <v>79</v>
      </c>
      <c r="H9" s="23" t="s">
        <v>78</v>
      </c>
      <c r="I9" s="23">
        <f>'MERCADO TE'!$U$6</f>
        <v>5372.2169999999987</v>
      </c>
      <c r="J9" s="15"/>
      <c r="L9" s="20">
        <f>'TE BE'!$L$9*'TE BE'!$L$56</f>
        <v>1.9061118106308186E-7</v>
      </c>
      <c r="M9" s="20">
        <f>'TE BE'!$M$9*'TE BE'!$M$56</f>
        <v>3.6087573256368892</v>
      </c>
      <c r="N9" s="20">
        <f>'TE BE'!$N$9*'TE BE'!$N$56</f>
        <v>-1.0383424417631652E-2</v>
      </c>
      <c r="O9" s="20">
        <f>'TE BE'!$O$9*'TE BE'!$O$56</f>
        <v>-1.1358491858510187</v>
      </c>
      <c r="P9" s="20">
        <f>'TE BE'!$P$9*'TE BE'!$P$56</f>
        <v>0</v>
      </c>
      <c r="Q9" s="20">
        <f>SUM($L$9:$P$9)</f>
        <v>2.4625249059794196</v>
      </c>
      <c r="R9" s="20">
        <f>'TE BE'!$R$9*'TE BE'!$R$56</f>
        <v>160.28768234974626</v>
      </c>
      <c r="S9" s="20">
        <f>SUM($R$9:$R$9)</f>
        <v>160.28768234974626</v>
      </c>
      <c r="T9" s="20">
        <f>'TE BE'!$T$9*'TE BE'!$T$56</f>
        <v>-0.77596165610372048</v>
      </c>
      <c r="U9" s="20">
        <f>'TE BE'!$U$9*'TE BE'!$U$56</f>
        <v>7.7838382005741613E-2</v>
      </c>
      <c r="V9" s="20">
        <f>'TE BE'!$V$9*'TE BE'!$V$56</f>
        <v>0</v>
      </c>
      <c r="W9" s="20">
        <f>SUM($T$9:$V$9)</f>
        <v>-0.69812327409797881</v>
      </c>
      <c r="X9" s="20">
        <f>'TE BE'!$AB$9*'TE BE'!$X$56</f>
        <v>0</v>
      </c>
      <c r="Y9" s="20">
        <f>SUM($X$9:$X$9)</f>
        <v>0</v>
      </c>
      <c r="Z9" s="20">
        <f>'TE BE'!$Z$9*'TE BE'!$Z$56</f>
        <v>1.5316496487675368</v>
      </c>
      <c r="AA9" s="20">
        <f>SUM($Z$9:$Z$9)</f>
        <v>1.5316496487675368</v>
      </c>
      <c r="AB9" s="20">
        <f>SUMIF($L$4:$AA$4,"SUBTOTAL",$L$9:$AA$9)</f>
        <v>163.58373363039524</v>
      </c>
    </row>
    <row r="10" spans="1:28" ht="11.25" customHeight="1" x14ac:dyDescent="0.3">
      <c r="A10" s="133"/>
      <c r="B10" s="133"/>
      <c r="C10" s="133"/>
      <c r="D10" s="133"/>
      <c r="E10" s="133"/>
      <c r="F10" s="133"/>
      <c r="G10" s="23" t="s">
        <v>80</v>
      </c>
      <c r="H10" s="23" t="s">
        <v>78</v>
      </c>
      <c r="I10" s="23">
        <f>'MERCADO TE'!$U$7</f>
        <v>62595.072</v>
      </c>
      <c r="J10" s="15"/>
      <c r="L10" s="20">
        <f>'TE BE'!$L$10*'TE BE'!$L$56</f>
        <v>1.9061118106308186E-7</v>
      </c>
      <c r="M10" s="20">
        <f>'TE BE'!$M$10*'TE BE'!$M$56</f>
        <v>3.6087573256368892</v>
      </c>
      <c r="N10" s="20">
        <f>'TE BE'!$N$10*'TE BE'!$N$56</f>
        <v>-1.0383424417631652E-2</v>
      </c>
      <c r="O10" s="20">
        <f>'TE BE'!$O$10*'TE BE'!$O$56</f>
        <v>-1.1358491858510187</v>
      </c>
      <c r="P10" s="20">
        <f>'TE BE'!$P$10*'TE BE'!$P$56</f>
        <v>0</v>
      </c>
      <c r="Q10" s="20">
        <f>SUM($L$10:$P$10)</f>
        <v>2.4625249059794196</v>
      </c>
      <c r="R10" s="20">
        <f>'TE BE'!$R$10*'TE BE'!$R$56</f>
        <v>93.190512994038514</v>
      </c>
      <c r="S10" s="20">
        <f>SUM($R$10:$R$10)</f>
        <v>93.190512994038514</v>
      </c>
      <c r="T10" s="20">
        <f>'TE BE'!$T$10*'TE BE'!$T$56</f>
        <v>-0.77596165610372048</v>
      </c>
      <c r="U10" s="20">
        <f>'TE BE'!$U$10*'TE BE'!$U$56</f>
        <v>7.7838382005741613E-2</v>
      </c>
      <c r="V10" s="20">
        <f>'TE BE'!$V$10*'TE BE'!$V$56</f>
        <v>0</v>
      </c>
      <c r="W10" s="20">
        <f>SUM($T$10:$V$10)</f>
        <v>-0.69812327409797881</v>
      </c>
      <c r="X10" s="20">
        <f>'TE BE'!$AB$10*'TE BE'!$X$56</f>
        <v>0</v>
      </c>
      <c r="Y10" s="20">
        <f>SUM($X$10:$X$10)</f>
        <v>0</v>
      </c>
      <c r="Z10" s="20">
        <f>'TE BE'!$Z$10*'TE BE'!$Z$56</f>
        <v>1.5316496487675368</v>
      </c>
      <c r="AA10" s="20">
        <f>SUM($Z$10:$Z$10)</f>
        <v>1.5316496487675368</v>
      </c>
      <c r="AB10" s="20">
        <f>SUMIF($L$4:$AA$4,"SUBTOTAL",$L$10:$AA$10)</f>
        <v>96.486564274687495</v>
      </c>
    </row>
    <row r="11" spans="1:28" ht="11.25" customHeight="1" x14ac:dyDescent="0.3">
      <c r="A11" s="133"/>
      <c r="B11" s="22" t="s">
        <v>86</v>
      </c>
      <c r="C11" s="22" t="s">
        <v>25</v>
      </c>
      <c r="D11" s="22" t="s">
        <v>25</v>
      </c>
      <c r="E11" s="22" t="s">
        <v>25</v>
      </c>
      <c r="F11" s="22" t="s">
        <v>25</v>
      </c>
      <c r="G11" s="23" t="s">
        <v>84</v>
      </c>
      <c r="H11" s="23" t="s">
        <v>78</v>
      </c>
      <c r="I11" s="23">
        <f>'MERCADO TE'!$U$8</f>
        <v>0</v>
      </c>
      <c r="J11" s="15"/>
      <c r="L11" s="20">
        <f>'TE BE'!$L$11*'TE BE'!$L$56</f>
        <v>1.9061118106308186E-7</v>
      </c>
      <c r="M11" s="20">
        <f>'TE BE'!$M$11*'TE BE'!$M$56</f>
        <v>3.6087573256368892</v>
      </c>
      <c r="N11" s="20">
        <f>'TE BE'!$N$11*'TE BE'!$N$56</f>
        <v>-1.0383424417631652E-2</v>
      </c>
      <c r="O11" s="20">
        <f>'TE BE'!$O$11*'TE BE'!$O$56</f>
        <v>-1.1358491858510187</v>
      </c>
      <c r="P11" s="20">
        <f>'TE BE'!$P$11*'TE BE'!$P$56</f>
        <v>0</v>
      </c>
      <c r="Q11" s="20">
        <f>SUM($L$11:$P$11)</f>
        <v>2.4625249059794196</v>
      </c>
      <c r="R11" s="20">
        <f>'TE BE'!$R$11*'TE BE'!$R$56</f>
        <v>98.781943773680837</v>
      </c>
      <c r="S11" s="20">
        <f>SUM($R$11:$R$11)</f>
        <v>98.781943773680837</v>
      </c>
      <c r="T11" s="20">
        <f>'TE BE'!$T$11*'TE BE'!$T$56</f>
        <v>-0.77596165610372048</v>
      </c>
      <c r="U11" s="20">
        <f>'TE BE'!$U$11*'TE BE'!$U$56</f>
        <v>7.7838382005741613E-2</v>
      </c>
      <c r="V11" s="20">
        <f>'TE BE'!$V$11*'TE BE'!$V$56</f>
        <v>0</v>
      </c>
      <c r="W11" s="20">
        <f>SUM($T$11:$V$11)</f>
        <v>-0.69812327409797881</v>
      </c>
      <c r="X11" s="20">
        <f>'TE BE'!$AB$11*'TE BE'!$X$56</f>
        <v>0</v>
      </c>
      <c r="Y11" s="20">
        <f>SUM($X$11:$X$11)</f>
        <v>0</v>
      </c>
      <c r="Z11" s="20">
        <f>'TE BE'!$Z$11*'TE BE'!$Z$56</f>
        <v>1.5316496487675368</v>
      </c>
      <c r="AA11" s="20">
        <f>SUM($Z$11:$Z$11)</f>
        <v>1.5316496487675368</v>
      </c>
      <c r="AB11" s="20">
        <f>SUMIF($L$4:$AA$4,"SUBTOTAL",$L$11:$AA$11)</f>
        <v>102.07799505432982</v>
      </c>
    </row>
    <row r="12" spans="1:28" ht="11.25" customHeight="1" x14ac:dyDescent="0.3">
      <c r="A12" s="133" t="s">
        <v>43</v>
      </c>
      <c r="B12" s="133" t="s">
        <v>77</v>
      </c>
      <c r="C12" s="133" t="s">
        <v>25</v>
      </c>
      <c r="D12" s="133" t="s">
        <v>25</v>
      </c>
      <c r="E12" s="133" t="s">
        <v>25</v>
      </c>
      <c r="F12" s="133" t="s">
        <v>25</v>
      </c>
      <c r="G12" s="23" t="s">
        <v>79</v>
      </c>
      <c r="H12" s="23" t="s">
        <v>78</v>
      </c>
      <c r="I12" s="23">
        <f>'MERCADO TE'!$U$9</f>
        <v>18.171000000000003</v>
      </c>
      <c r="J12" s="15"/>
      <c r="L12" s="20">
        <f>'TE BE'!$L$12*'TE BE'!$L$56</f>
        <v>1.9061118106308186E-7</v>
      </c>
      <c r="M12" s="20">
        <f>'TE BE'!$M$12*'TE BE'!$M$56</f>
        <v>3.6087573256368892</v>
      </c>
      <c r="N12" s="20">
        <f>'TE BE'!$N$12*'TE BE'!$N$56</f>
        <v>-1.0383424417631652E-2</v>
      </c>
      <c r="O12" s="20">
        <f>'TE BE'!$O$12*'TE BE'!$O$56</f>
        <v>-1.1358491858510187</v>
      </c>
      <c r="P12" s="20">
        <f>'TE BE'!$P$12*'TE BE'!$P$56</f>
        <v>0</v>
      </c>
      <c r="Q12" s="20">
        <f>SUM($L$12:$P$12)</f>
        <v>2.4625249059794196</v>
      </c>
      <c r="R12" s="20">
        <f>'TE BE'!$R$12*'TE BE'!$R$56</f>
        <v>160.28768234974626</v>
      </c>
      <c r="S12" s="20">
        <f>SUM($R$12:$R$12)</f>
        <v>160.28768234974626</v>
      </c>
      <c r="T12" s="20">
        <f>'TE BE'!$T$12*'TE BE'!$T$56</f>
        <v>-0.77596165610372048</v>
      </c>
      <c r="U12" s="20">
        <f>'TE BE'!$U$12*'TE BE'!$U$56</f>
        <v>7.7838382005741613E-2</v>
      </c>
      <c r="V12" s="20">
        <f>'TE BE'!$V$12*'TE BE'!$V$56</f>
        <v>0</v>
      </c>
      <c r="W12" s="20">
        <f>SUM($T$12:$V$12)</f>
        <v>-0.69812327409797881</v>
      </c>
      <c r="X12" s="20">
        <f>'TE BE'!$AB$12*'TE BE'!$X$56</f>
        <v>0</v>
      </c>
      <c r="Y12" s="20">
        <f>SUM($X$12:$X$12)</f>
        <v>0</v>
      </c>
      <c r="Z12" s="20">
        <f>'TE BE'!$Z$12*'TE BE'!$Z$56</f>
        <v>1.5316496487675368</v>
      </c>
      <c r="AA12" s="20">
        <f>SUM($Z$12:$Z$12)</f>
        <v>1.5316496487675368</v>
      </c>
      <c r="AB12" s="20">
        <f>SUMIF($L$4:$AA$4,"SUBTOTAL",$L$12:$AA$12)</f>
        <v>163.58373363039524</v>
      </c>
    </row>
    <row r="13" spans="1:28" ht="11.25" customHeight="1" x14ac:dyDescent="0.3">
      <c r="A13" s="133"/>
      <c r="B13" s="133"/>
      <c r="C13" s="133"/>
      <c r="D13" s="133"/>
      <c r="E13" s="133"/>
      <c r="F13" s="133"/>
      <c r="G13" s="23" t="s">
        <v>80</v>
      </c>
      <c r="H13" s="23" t="s">
        <v>78</v>
      </c>
      <c r="I13" s="23">
        <f>'MERCADO TE'!$U$10</f>
        <v>246.76899999999998</v>
      </c>
      <c r="J13" s="15"/>
      <c r="L13" s="20">
        <f>'TE BE'!$L$13*'TE BE'!$L$56</f>
        <v>1.9061118106308186E-7</v>
      </c>
      <c r="M13" s="20">
        <f>'TE BE'!$M$13*'TE BE'!$M$56</f>
        <v>3.6087573256368892</v>
      </c>
      <c r="N13" s="20">
        <f>'TE BE'!$N$13*'TE BE'!$N$56</f>
        <v>-1.0383424417631652E-2</v>
      </c>
      <c r="O13" s="20">
        <f>'TE BE'!$O$13*'TE BE'!$O$56</f>
        <v>-1.1358491858510187</v>
      </c>
      <c r="P13" s="20">
        <f>'TE BE'!$P$13*'TE BE'!$P$56</f>
        <v>0</v>
      </c>
      <c r="Q13" s="20">
        <f>SUM($L$13:$P$13)</f>
        <v>2.4625249059794196</v>
      </c>
      <c r="R13" s="20">
        <f>'TE BE'!$R$13*'TE BE'!$R$56</f>
        <v>93.190512994038514</v>
      </c>
      <c r="S13" s="20">
        <f>SUM($R$13:$R$13)</f>
        <v>93.190512994038514</v>
      </c>
      <c r="T13" s="20">
        <f>'TE BE'!$T$13*'TE BE'!$T$56</f>
        <v>-0.77596165610372048</v>
      </c>
      <c r="U13" s="20">
        <f>'TE BE'!$U$13*'TE BE'!$U$56</f>
        <v>7.7838382005741613E-2</v>
      </c>
      <c r="V13" s="20">
        <f>'TE BE'!$V$13*'TE BE'!$V$56</f>
        <v>0</v>
      </c>
      <c r="W13" s="20">
        <f>SUM($T$13:$V$13)</f>
        <v>-0.69812327409797881</v>
      </c>
      <c r="X13" s="20">
        <f>'TE BE'!$AB$13*'TE BE'!$X$56</f>
        <v>0</v>
      </c>
      <c r="Y13" s="20">
        <f>SUM($X$13:$X$13)</f>
        <v>0</v>
      </c>
      <c r="Z13" s="20">
        <f>'TE BE'!$Z$13*'TE BE'!$Z$56</f>
        <v>1.5316496487675368</v>
      </c>
      <c r="AA13" s="20">
        <f>SUM($Z$13:$Z$13)</f>
        <v>1.5316496487675368</v>
      </c>
      <c r="AB13" s="20">
        <f>SUMIF($L$4:$AA$4,"SUBTOTAL",$L$13:$AA$13)</f>
        <v>96.486564274687495</v>
      </c>
    </row>
    <row r="14" spans="1:28" ht="11.25" customHeight="1" x14ac:dyDescent="0.3">
      <c r="A14" s="133"/>
      <c r="B14" s="22" t="s">
        <v>86</v>
      </c>
      <c r="C14" s="22" t="s">
        <v>25</v>
      </c>
      <c r="D14" s="22" t="s">
        <v>25</v>
      </c>
      <c r="E14" s="22" t="s">
        <v>25</v>
      </c>
      <c r="F14" s="22" t="s">
        <v>25</v>
      </c>
      <c r="G14" s="23" t="s">
        <v>84</v>
      </c>
      <c r="H14" s="23" t="s">
        <v>78</v>
      </c>
      <c r="I14" s="23">
        <f>'MERCADO TE'!$U$11</f>
        <v>0</v>
      </c>
      <c r="J14" s="15"/>
      <c r="L14" s="20">
        <f>'TE BE'!$L$14*'TE BE'!$L$56</f>
        <v>1.9061118106308186E-7</v>
      </c>
      <c r="M14" s="20">
        <f>'TE BE'!$M$14*'TE BE'!$M$56</f>
        <v>3.6087573256368892</v>
      </c>
      <c r="N14" s="20">
        <f>'TE BE'!$N$14*'TE BE'!$N$56</f>
        <v>-1.0383424417631652E-2</v>
      </c>
      <c r="O14" s="20">
        <f>'TE BE'!$O$14*'TE BE'!$O$56</f>
        <v>-1.1358491858510187</v>
      </c>
      <c r="P14" s="20">
        <f>'TE BE'!$P$14*'TE BE'!$P$56</f>
        <v>0</v>
      </c>
      <c r="Q14" s="20">
        <f>SUM($L$14:$P$14)</f>
        <v>2.4625249059794196</v>
      </c>
      <c r="R14" s="20">
        <f>'TE BE'!$R$14*'TE BE'!$R$56</f>
        <v>98.781943773680837</v>
      </c>
      <c r="S14" s="20">
        <f>SUM($R$14:$R$14)</f>
        <v>98.781943773680837</v>
      </c>
      <c r="T14" s="20">
        <f>'TE BE'!$T$14*'TE BE'!$T$56</f>
        <v>-0.77596165610372048</v>
      </c>
      <c r="U14" s="20">
        <f>'TE BE'!$U$14*'TE BE'!$U$56</f>
        <v>7.7838382005741613E-2</v>
      </c>
      <c r="V14" s="20">
        <f>'TE BE'!$V$14*'TE BE'!$V$56</f>
        <v>0</v>
      </c>
      <c r="W14" s="20">
        <f>SUM($T$14:$V$14)</f>
        <v>-0.69812327409797881</v>
      </c>
      <c r="X14" s="20">
        <f>'TE BE'!$AB$14*'TE BE'!$X$56</f>
        <v>0</v>
      </c>
      <c r="Y14" s="20">
        <f>SUM($X$14:$X$14)</f>
        <v>0</v>
      </c>
      <c r="Z14" s="20">
        <f>'TE BE'!$Z$14*'TE BE'!$Z$56</f>
        <v>1.5316496487675368</v>
      </c>
      <c r="AA14" s="20">
        <f>SUM($Z$14:$Z$14)</f>
        <v>1.5316496487675368</v>
      </c>
      <c r="AB14" s="20">
        <f>SUMIF($L$4:$AA$4,"SUBTOTAL",$L$14:$AA$14)</f>
        <v>102.07799505432982</v>
      </c>
    </row>
    <row r="15" spans="1:28" ht="11.25" customHeight="1" x14ac:dyDescent="0.3">
      <c r="A15" s="133" t="s">
        <v>22</v>
      </c>
      <c r="B15" s="133" t="s">
        <v>77</v>
      </c>
      <c r="C15" s="133" t="s">
        <v>24</v>
      </c>
      <c r="D15" s="133" t="s">
        <v>24</v>
      </c>
      <c r="E15" s="133" t="s">
        <v>25</v>
      </c>
      <c r="F15" s="133" t="s">
        <v>25</v>
      </c>
      <c r="G15" s="23" t="s">
        <v>79</v>
      </c>
      <c r="H15" s="23" t="s">
        <v>78</v>
      </c>
      <c r="I15" s="23">
        <f>'MERCADO TE'!$U$12</f>
        <v>16.994999999999997</v>
      </c>
      <c r="J15" s="15"/>
      <c r="L15" s="20">
        <f>'TE BE'!$L$15*'TE BE'!$L$56</f>
        <v>1.9061118106308186E-7</v>
      </c>
      <c r="M15" s="20">
        <f>'TE BE'!$M$15*'TE BE'!$M$56</f>
        <v>3.6087573256368892</v>
      </c>
      <c r="N15" s="20">
        <f>'TE BE'!$N$15*'TE BE'!$N$56</f>
        <v>-1.0383424417631652E-2</v>
      </c>
      <c r="O15" s="20">
        <f>'TE BE'!$O$15*'TE BE'!$O$56</f>
        <v>-1.1358491858510187</v>
      </c>
      <c r="P15" s="20">
        <f>'TE BE'!$P$15*'TE BE'!$P$56</f>
        <v>0</v>
      </c>
      <c r="Q15" s="20">
        <f>SUM($L$15:$P$15)</f>
        <v>2.4625249059794196</v>
      </c>
      <c r="R15" s="20">
        <f>'TE BE'!$R$15*'TE BE'!$R$56</f>
        <v>160.28768234974626</v>
      </c>
      <c r="S15" s="20">
        <f>SUM($R$15:$R$15)</f>
        <v>160.28768234974626</v>
      </c>
      <c r="T15" s="20">
        <f>'TE BE'!$T$15*'TE BE'!$T$56</f>
        <v>-0.77596165610372048</v>
      </c>
      <c r="U15" s="20">
        <f>'TE BE'!$U$15*'TE BE'!$U$56</f>
        <v>7.7838382005741613E-2</v>
      </c>
      <c r="V15" s="20">
        <f>'TE BE'!$V$15*'TE BE'!$V$56</f>
        <v>0</v>
      </c>
      <c r="W15" s="20">
        <f>SUM($T$15:$V$15)</f>
        <v>-0.69812327409797881</v>
      </c>
      <c r="X15" s="20">
        <f>'TE BE'!$AB$15*'TE BE'!$X$56</f>
        <v>0</v>
      </c>
      <c r="Y15" s="20">
        <f>SUM($X$15:$X$15)</f>
        <v>0</v>
      </c>
      <c r="Z15" s="20">
        <f>'TE BE'!$Z$15*'TE BE'!$Z$56</f>
        <v>1.5316496487675368</v>
      </c>
      <c r="AA15" s="20">
        <f>SUM($Z$15:$Z$15)</f>
        <v>1.5316496487675368</v>
      </c>
      <c r="AB15" s="20">
        <f>SUMIF($L$4:$AA$4,"SUBTOTAL",$L$15:$AA$15)</f>
        <v>163.58373363039524</v>
      </c>
    </row>
    <row r="16" spans="1:28" ht="11.25" customHeight="1" x14ac:dyDescent="0.3">
      <c r="A16" s="133"/>
      <c r="B16" s="133"/>
      <c r="C16" s="133"/>
      <c r="D16" s="133"/>
      <c r="E16" s="133"/>
      <c r="F16" s="133"/>
      <c r="G16" s="23" t="s">
        <v>90</v>
      </c>
      <c r="H16" s="23" t="s">
        <v>78</v>
      </c>
      <c r="I16" s="23">
        <f>'MERCADO TE'!$U$13</f>
        <v>10.9</v>
      </c>
      <c r="J16" s="15"/>
      <c r="L16" s="20">
        <f>'TE BE'!$L$16*'TE BE'!$L$56</f>
        <v>1.9061118106308186E-7</v>
      </c>
      <c r="M16" s="20">
        <f>'TE BE'!$M$16*'TE BE'!$M$56</f>
        <v>3.6087573256368892</v>
      </c>
      <c r="N16" s="20">
        <f>'TE BE'!$N$16*'TE BE'!$N$56</f>
        <v>-1.0383424417631652E-2</v>
      </c>
      <c r="O16" s="20">
        <f>'TE BE'!$O$16*'TE BE'!$O$56</f>
        <v>-1.1358491858510187</v>
      </c>
      <c r="P16" s="20">
        <f>'TE BE'!$P$16*'TE BE'!$P$56</f>
        <v>0</v>
      </c>
      <c r="Q16" s="20">
        <f>SUM($L$16:$P$16)</f>
        <v>2.4625249059794196</v>
      </c>
      <c r="R16" s="20">
        <f>'TE BE'!$R$16*'TE BE'!$R$56</f>
        <v>93.190512994038514</v>
      </c>
      <c r="S16" s="20">
        <f>SUM($R$16:$R$16)</f>
        <v>93.190512994038514</v>
      </c>
      <c r="T16" s="20">
        <f>'TE BE'!$T$16*'TE BE'!$T$56</f>
        <v>-0.77596165610372048</v>
      </c>
      <c r="U16" s="20">
        <f>'TE BE'!$U$16*'TE BE'!$U$56</f>
        <v>7.7838382005741613E-2</v>
      </c>
      <c r="V16" s="20">
        <f>'TE BE'!$V$16*'TE BE'!$V$56</f>
        <v>0</v>
      </c>
      <c r="W16" s="20">
        <f>SUM($T$16:$V$16)</f>
        <v>-0.69812327409797881</v>
      </c>
      <c r="X16" s="20">
        <f>'TE BE'!$AB$16*'TE BE'!$X$56</f>
        <v>0</v>
      </c>
      <c r="Y16" s="20">
        <f>SUM($X$16:$X$16)</f>
        <v>0</v>
      </c>
      <c r="Z16" s="20">
        <f>'TE BE'!$Z$16*'TE BE'!$Z$56</f>
        <v>1.5316496487675368</v>
      </c>
      <c r="AA16" s="20">
        <f>SUM($Z$16:$Z$16)</f>
        <v>1.5316496487675368</v>
      </c>
      <c r="AB16" s="20">
        <f>SUMIF($L$4:$AA$4,"SUBTOTAL",$L$16:$AA$16)</f>
        <v>96.486564274687495</v>
      </c>
    </row>
    <row r="17" spans="1:28" ht="11.25" customHeight="1" x14ac:dyDescent="0.3">
      <c r="A17" s="133"/>
      <c r="B17" s="133"/>
      <c r="C17" s="133"/>
      <c r="D17" s="133"/>
      <c r="E17" s="133"/>
      <c r="F17" s="133"/>
      <c r="G17" s="23" t="s">
        <v>80</v>
      </c>
      <c r="H17" s="23" t="s">
        <v>78</v>
      </c>
      <c r="I17" s="23">
        <f>'MERCADO TE'!$U$14</f>
        <v>127.76599999999999</v>
      </c>
      <c r="J17" s="15"/>
      <c r="L17" s="20">
        <f>'TE BE'!$L$17*'TE BE'!$L$56</f>
        <v>1.9061118106308186E-7</v>
      </c>
      <c r="M17" s="20">
        <f>'TE BE'!$M$17*'TE BE'!$M$56</f>
        <v>3.6087573256368892</v>
      </c>
      <c r="N17" s="20">
        <f>'TE BE'!$N$17*'TE BE'!$N$56</f>
        <v>-1.0383424417631652E-2</v>
      </c>
      <c r="O17" s="20">
        <f>'TE BE'!$O$17*'TE BE'!$O$56</f>
        <v>-1.1358491858510187</v>
      </c>
      <c r="P17" s="20">
        <f>'TE BE'!$P$17*'TE BE'!$P$56</f>
        <v>0</v>
      </c>
      <c r="Q17" s="20">
        <f>SUM($L$17:$P$17)</f>
        <v>2.4625249059794196</v>
      </c>
      <c r="R17" s="20">
        <f>'TE BE'!$R$17*'TE BE'!$R$56</f>
        <v>93.190512994038514</v>
      </c>
      <c r="S17" s="20">
        <f>SUM($R$17:$R$17)</f>
        <v>93.190512994038514</v>
      </c>
      <c r="T17" s="20">
        <f>'TE BE'!$T$17*'TE BE'!$T$56</f>
        <v>-0.77596165610372048</v>
      </c>
      <c r="U17" s="20">
        <f>'TE BE'!$U$17*'TE BE'!$U$56</f>
        <v>7.7838382005741613E-2</v>
      </c>
      <c r="V17" s="20">
        <f>'TE BE'!$V$17*'TE BE'!$V$56</f>
        <v>0</v>
      </c>
      <c r="W17" s="20">
        <f>SUM($T$17:$V$17)</f>
        <v>-0.69812327409797881</v>
      </c>
      <c r="X17" s="20">
        <f>'TE BE'!$AB$17*'TE BE'!$X$56</f>
        <v>0</v>
      </c>
      <c r="Y17" s="20">
        <f>SUM($X$17:$X$17)</f>
        <v>0</v>
      </c>
      <c r="Z17" s="20">
        <f>'TE BE'!$Z$17*'TE BE'!$Z$56</f>
        <v>1.5316496487675368</v>
      </c>
      <c r="AA17" s="20">
        <f>SUM($Z$17:$Z$17)</f>
        <v>1.5316496487675368</v>
      </c>
      <c r="AB17" s="20">
        <f>SUMIF($L$4:$AA$4,"SUBTOTAL",$L$17:$AA$17)</f>
        <v>96.486564274687495</v>
      </c>
    </row>
    <row r="18" spans="1:28" ht="11.25" customHeight="1" x14ac:dyDescent="0.3">
      <c r="A18" s="133"/>
      <c r="B18" s="133" t="s">
        <v>86</v>
      </c>
      <c r="C18" s="133" t="s">
        <v>24</v>
      </c>
      <c r="D18" s="22" t="s">
        <v>24</v>
      </c>
      <c r="E18" s="22" t="s">
        <v>25</v>
      </c>
      <c r="F18" s="22" t="s">
        <v>25</v>
      </c>
      <c r="G18" s="23" t="s">
        <v>84</v>
      </c>
      <c r="H18" s="23" t="s">
        <v>78</v>
      </c>
      <c r="I18" s="23">
        <f>'MERCADO TE'!$U$15</f>
        <v>126554.92199999999</v>
      </c>
      <c r="J18" s="15"/>
      <c r="L18" s="20">
        <f>'TE BE'!$L$18*'TE BE'!$L$56</f>
        <v>1.9061118106308186E-7</v>
      </c>
      <c r="M18" s="20">
        <f>'TE BE'!$M$18*'TE BE'!$M$56</f>
        <v>3.6087573256368892</v>
      </c>
      <c r="N18" s="20">
        <f>'TE BE'!$N$18*'TE BE'!$N$56</f>
        <v>-1.0383424417631652E-2</v>
      </c>
      <c r="O18" s="20">
        <f>'TE BE'!$O$18*'TE BE'!$O$56</f>
        <v>-1.1358491858510187</v>
      </c>
      <c r="P18" s="20">
        <f>'TE BE'!$P$18*'TE BE'!$P$56</f>
        <v>0</v>
      </c>
      <c r="Q18" s="20">
        <f>SUM($L$18:$P$18)</f>
        <v>2.4625249059794196</v>
      </c>
      <c r="R18" s="20">
        <f>'TE BE'!$R$18*'TE BE'!$R$56</f>
        <v>98.781943773680837</v>
      </c>
      <c r="S18" s="20">
        <f>SUM($R$18:$R$18)</f>
        <v>98.781943773680837</v>
      </c>
      <c r="T18" s="20">
        <f>'TE BE'!$T$18*'TE BE'!$T$56</f>
        <v>-0.77596165610372048</v>
      </c>
      <c r="U18" s="20">
        <f>'TE BE'!$U$18*'TE BE'!$U$56</f>
        <v>7.7838382005741613E-2</v>
      </c>
      <c r="V18" s="20">
        <f>'TE BE'!$V$18*'TE BE'!$V$56</f>
        <v>0</v>
      </c>
      <c r="W18" s="20">
        <f>SUM($T$18:$V$18)</f>
        <v>-0.69812327409797881</v>
      </c>
      <c r="X18" s="20">
        <f>'TE BE'!$AB$18*'TE BE'!$X$56</f>
        <v>0</v>
      </c>
      <c r="Y18" s="20">
        <f>SUM($X$18:$X$18)</f>
        <v>0</v>
      </c>
      <c r="Z18" s="20">
        <f>'TE BE'!$Z$18*'TE BE'!$Z$56</f>
        <v>1.5316496487675368</v>
      </c>
      <c r="AA18" s="20">
        <f>SUM($Z$18:$Z$18)</f>
        <v>1.5316496487675368</v>
      </c>
      <c r="AB18" s="20">
        <f>SUMIF($L$4:$AA$4,"SUBTOTAL",$L$18:$AA$18)</f>
        <v>102.07799505432982</v>
      </c>
    </row>
    <row r="19" spans="1:28" ht="11.25" customHeight="1" x14ac:dyDescent="0.3">
      <c r="A19" s="133"/>
      <c r="B19" s="133"/>
      <c r="C19" s="133"/>
      <c r="D19" s="22" t="s">
        <v>29</v>
      </c>
      <c r="E19" s="22" t="s">
        <v>25</v>
      </c>
      <c r="F19" s="22" t="s">
        <v>25</v>
      </c>
      <c r="G19" s="23" t="s">
        <v>84</v>
      </c>
      <c r="H19" s="23" t="s">
        <v>78</v>
      </c>
      <c r="I19" s="23">
        <f>'MERCADO TE'!$U$16</f>
        <v>2163.31</v>
      </c>
      <c r="J19" s="15"/>
      <c r="L19" s="20">
        <f>'TE BE'!$L$19*'TE BE'!$L$56</f>
        <v>1.9061118106308186E-7</v>
      </c>
      <c r="M19" s="20">
        <f>'TE BE'!$M$19*'TE BE'!$M$56</f>
        <v>3.6087573256368892</v>
      </c>
      <c r="N19" s="20">
        <f>'TE BE'!$N$19*'TE BE'!$N$56</f>
        <v>-1.0383424417631652E-2</v>
      </c>
      <c r="O19" s="20">
        <f>'TE BE'!$O$19*'TE BE'!$O$56</f>
        <v>-1.1358491858510187</v>
      </c>
      <c r="P19" s="20">
        <f>'TE BE'!$P$19*'TE BE'!$P$56</f>
        <v>0</v>
      </c>
      <c r="Q19" s="20">
        <f>SUM($L$19:$P$19)</f>
        <v>2.4625249059794196</v>
      </c>
      <c r="R19" s="20">
        <f>'TE BE'!$R$19*'TE BE'!$R$56</f>
        <v>98.781943773680837</v>
      </c>
      <c r="S19" s="20">
        <f>SUM($R$19:$R$19)</f>
        <v>98.781943773680837</v>
      </c>
      <c r="T19" s="20">
        <f>'TE BE'!$T$19*'TE BE'!$T$56</f>
        <v>-0.77596165610372048</v>
      </c>
      <c r="U19" s="20">
        <f>'TE BE'!$U$19*'TE BE'!$U$56</f>
        <v>7.7838382005741613E-2</v>
      </c>
      <c r="V19" s="20">
        <f>'TE BE'!$V$19*'TE BE'!$V$56</f>
        <v>0</v>
      </c>
      <c r="W19" s="20">
        <f>SUM($T$19:$V$19)</f>
        <v>-0.69812327409797881</v>
      </c>
      <c r="X19" s="20">
        <f>'TE BE'!$AB$19*'TE BE'!$X$56</f>
        <v>0</v>
      </c>
      <c r="Y19" s="20">
        <f>SUM($X$19:$X$19)</f>
        <v>0</v>
      </c>
      <c r="Z19" s="20">
        <f>'TE BE'!$Z$19*'TE BE'!$Z$56</f>
        <v>1.5316496487675368</v>
      </c>
      <c r="AA19" s="20">
        <f>SUM($Z$19:$Z$19)</f>
        <v>1.5316496487675368</v>
      </c>
      <c r="AB19" s="20">
        <f>SUMIF($L$4:$AA$4,"SUBTOTAL",$L$19:$AA$19)</f>
        <v>102.07799505432982</v>
      </c>
    </row>
    <row r="20" spans="1:28" ht="11.25" customHeight="1" x14ac:dyDescent="0.3">
      <c r="A20" s="133"/>
      <c r="B20" s="133"/>
      <c r="C20" s="133"/>
      <c r="D20" s="22" t="s">
        <v>30</v>
      </c>
      <c r="E20" s="22" t="s">
        <v>25</v>
      </c>
      <c r="F20" s="22" t="s">
        <v>25</v>
      </c>
      <c r="G20" s="23" t="s">
        <v>84</v>
      </c>
      <c r="H20" s="23" t="s">
        <v>78</v>
      </c>
      <c r="I20" s="23">
        <f>'MERCADO TE'!$U$17</f>
        <v>4329.2419999999993</v>
      </c>
      <c r="J20" s="15"/>
      <c r="L20" s="20">
        <f>'TE BE'!$L$20*'TE BE'!$L$56</f>
        <v>1.9061118106308186E-7</v>
      </c>
      <c r="M20" s="20">
        <f>'TE BE'!$M$20*'TE BE'!$M$56</f>
        <v>3.6087573256368892</v>
      </c>
      <c r="N20" s="20">
        <f>'TE BE'!$N$20*'TE BE'!$N$56</f>
        <v>-1.0383424417631652E-2</v>
      </c>
      <c r="O20" s="20">
        <f>'TE BE'!$O$20*'TE BE'!$O$56</f>
        <v>-1.1358491858510187</v>
      </c>
      <c r="P20" s="20">
        <f>'TE BE'!$P$20*'TE BE'!$P$56</f>
        <v>0</v>
      </c>
      <c r="Q20" s="20">
        <f>SUM($L$20:$P$20)</f>
        <v>2.4625249059794196</v>
      </c>
      <c r="R20" s="20">
        <f>'TE BE'!$R$20*'TE BE'!$R$56</f>
        <v>98.781943773680837</v>
      </c>
      <c r="S20" s="20">
        <f>SUM($R$20:$R$20)</f>
        <v>98.781943773680837</v>
      </c>
      <c r="T20" s="20">
        <f>'TE BE'!$T$20*'TE BE'!$T$56</f>
        <v>-0.77596165610372048</v>
      </c>
      <c r="U20" s="20">
        <f>'TE BE'!$U$20*'TE BE'!$U$56</f>
        <v>7.7838382005741613E-2</v>
      </c>
      <c r="V20" s="20">
        <f>'TE BE'!$V$20*'TE BE'!$V$56</f>
        <v>0</v>
      </c>
      <c r="W20" s="20">
        <f>SUM($T$20:$V$20)</f>
        <v>-0.69812327409797881</v>
      </c>
      <c r="X20" s="20">
        <f>'TE BE'!$AB$20*'TE BE'!$X$56</f>
        <v>0</v>
      </c>
      <c r="Y20" s="20">
        <f>SUM($X$20:$X$20)</f>
        <v>0</v>
      </c>
      <c r="Z20" s="20">
        <f>'TE BE'!$Z$20*'TE BE'!$Z$56</f>
        <v>1.5316496487675368</v>
      </c>
      <c r="AA20" s="20">
        <f>SUM($Z$20:$Z$20)</f>
        <v>1.5316496487675368</v>
      </c>
      <c r="AB20" s="20">
        <f>SUMIF($L$4:$AA$4,"SUBTOTAL",$L$20:$AA$20)</f>
        <v>102.07799505432982</v>
      </c>
    </row>
    <row r="21" spans="1:28" ht="11.25" customHeight="1" x14ac:dyDescent="0.3">
      <c r="A21" s="133"/>
      <c r="B21" s="133"/>
      <c r="C21" s="133"/>
      <c r="D21" s="22" t="s">
        <v>31</v>
      </c>
      <c r="E21" s="22" t="s">
        <v>25</v>
      </c>
      <c r="F21" s="22" t="s">
        <v>25</v>
      </c>
      <c r="G21" s="23" t="s">
        <v>84</v>
      </c>
      <c r="H21" s="23" t="s">
        <v>78</v>
      </c>
      <c r="I21" s="23">
        <f>'MERCADO TE'!$U$18</f>
        <v>3237.8510000000001</v>
      </c>
      <c r="J21" s="15"/>
      <c r="L21" s="20">
        <f>'TE BE'!$L$21*'TE BE'!$L$56</f>
        <v>1.9061118106308186E-7</v>
      </c>
      <c r="M21" s="20">
        <f>'TE BE'!$M$21*'TE BE'!$M$56</f>
        <v>3.6087573256368892</v>
      </c>
      <c r="N21" s="20">
        <f>'TE BE'!$N$21*'TE BE'!$N$56</f>
        <v>-1.0383424417631652E-2</v>
      </c>
      <c r="O21" s="20">
        <f>'TE BE'!$O$21*'TE BE'!$O$56</f>
        <v>-1.1358491858510187</v>
      </c>
      <c r="P21" s="20">
        <f>'TE BE'!$P$21*'TE BE'!$P$56</f>
        <v>0</v>
      </c>
      <c r="Q21" s="20">
        <f>SUM($L$21:$P$21)</f>
        <v>2.4625249059794196</v>
      </c>
      <c r="R21" s="20">
        <f>'TE BE'!$R$21*'TE BE'!$R$56</f>
        <v>98.781943773680837</v>
      </c>
      <c r="S21" s="20">
        <f>SUM($R$21:$R$21)</f>
        <v>98.781943773680837</v>
      </c>
      <c r="T21" s="20">
        <f>'TE BE'!$T$21*'TE BE'!$T$56</f>
        <v>-0.77596165610372048</v>
      </c>
      <c r="U21" s="20">
        <f>'TE BE'!$U$21*'TE BE'!$U$56</f>
        <v>7.7838382005741613E-2</v>
      </c>
      <c r="V21" s="20">
        <f>'TE BE'!$V$21*'TE BE'!$V$56</f>
        <v>0</v>
      </c>
      <c r="W21" s="20">
        <f>SUM($T$21:$V$21)</f>
        <v>-0.69812327409797881</v>
      </c>
      <c r="X21" s="20">
        <f>'TE BE'!$AB$21*'TE BE'!$X$56</f>
        <v>0</v>
      </c>
      <c r="Y21" s="20">
        <f>SUM($X$21:$X$21)</f>
        <v>0</v>
      </c>
      <c r="Z21" s="20">
        <f>'TE BE'!$Z$21*'TE BE'!$Z$56</f>
        <v>1.5316496487675368</v>
      </c>
      <c r="AA21" s="20">
        <f>SUM($Z$21:$Z$21)</f>
        <v>1.5316496487675368</v>
      </c>
      <c r="AB21" s="20">
        <f>SUMIF($L$4:$AA$4,"SUBTOTAL",$L$21:$AA$21)</f>
        <v>102.07799505432982</v>
      </c>
    </row>
    <row r="22" spans="1:28" ht="11.25" customHeight="1" x14ac:dyDescent="0.3">
      <c r="A22" s="133"/>
      <c r="B22" s="133"/>
      <c r="C22" s="133"/>
      <c r="D22" s="22" t="s">
        <v>32</v>
      </c>
      <c r="E22" s="22" t="s">
        <v>25</v>
      </c>
      <c r="F22" s="22" t="s">
        <v>25</v>
      </c>
      <c r="G22" s="23" t="s">
        <v>84</v>
      </c>
      <c r="H22" s="23" t="s">
        <v>78</v>
      </c>
      <c r="I22" s="23">
        <f>'MERCADO TE'!$U$19</f>
        <v>633.93299999999999</v>
      </c>
      <c r="J22" s="15"/>
      <c r="L22" s="20">
        <f>'TE BE'!$L$22*'TE BE'!$L$56</f>
        <v>1.9061118106308186E-7</v>
      </c>
      <c r="M22" s="20">
        <f>'TE BE'!$M$22*'TE BE'!$M$56</f>
        <v>3.6087573256368892</v>
      </c>
      <c r="N22" s="20">
        <f>'TE BE'!$N$22*'TE BE'!$N$56</f>
        <v>-1.0383424417631652E-2</v>
      </c>
      <c r="O22" s="20">
        <f>'TE BE'!$O$22*'TE BE'!$O$56</f>
        <v>-1.1358491858510187</v>
      </c>
      <c r="P22" s="20">
        <f>'TE BE'!$P$22*'TE BE'!$P$56</f>
        <v>0</v>
      </c>
      <c r="Q22" s="20">
        <f>SUM($L$22:$P$22)</f>
        <v>2.4625249059794196</v>
      </c>
      <c r="R22" s="20">
        <f>'TE BE'!$R$22*'TE BE'!$R$56</f>
        <v>98.781943773680837</v>
      </c>
      <c r="S22" s="20">
        <f>SUM($R$22:$R$22)</f>
        <v>98.781943773680837</v>
      </c>
      <c r="T22" s="20">
        <f>'TE BE'!$T$22*'TE BE'!$T$56</f>
        <v>-0.77596165610372048</v>
      </c>
      <c r="U22" s="20">
        <f>'TE BE'!$U$22*'TE BE'!$U$56</f>
        <v>7.7838382005741613E-2</v>
      </c>
      <c r="V22" s="20">
        <f>'TE BE'!$V$22*'TE BE'!$V$56</f>
        <v>0</v>
      </c>
      <c r="W22" s="20">
        <f>SUM($T$22:$V$22)</f>
        <v>-0.69812327409797881</v>
      </c>
      <c r="X22" s="20">
        <f>'TE BE'!$AB$22*'TE BE'!$X$56</f>
        <v>0</v>
      </c>
      <c r="Y22" s="20">
        <f>SUM($X$22:$X$22)</f>
        <v>0</v>
      </c>
      <c r="Z22" s="20">
        <f>'TE BE'!$Z$22*'TE BE'!$Z$56</f>
        <v>1.5316496487675368</v>
      </c>
      <c r="AA22" s="20">
        <f>SUM($Z$22:$Z$22)</f>
        <v>1.5316496487675368</v>
      </c>
      <c r="AB22" s="20">
        <f>SUMIF($L$4:$AA$4,"SUBTOTAL",$L$22:$AA$22)</f>
        <v>102.07799505432982</v>
      </c>
    </row>
    <row r="23" spans="1:28" ht="11.25" customHeight="1" x14ac:dyDescent="0.3">
      <c r="A23" s="133"/>
      <c r="B23" s="133" t="s">
        <v>91</v>
      </c>
      <c r="C23" s="133" t="s">
        <v>24</v>
      </c>
      <c r="D23" s="22" t="s">
        <v>24</v>
      </c>
      <c r="E23" s="22" t="s">
        <v>25</v>
      </c>
      <c r="F23" s="22" t="s">
        <v>25</v>
      </c>
      <c r="G23" s="23" t="s">
        <v>84</v>
      </c>
      <c r="H23" s="23" t="s">
        <v>78</v>
      </c>
      <c r="I23" s="23">
        <f>'MERCADO TE'!$U$20</f>
        <v>0</v>
      </c>
      <c r="J23" s="15"/>
      <c r="L23" s="20">
        <f>'TE BE'!$L$23*'TE BE'!$L$56</f>
        <v>1.9061118106308186E-7</v>
      </c>
      <c r="M23" s="20">
        <f>'TE BE'!$M$23*'TE BE'!$M$56</f>
        <v>3.6087573256368892</v>
      </c>
      <c r="N23" s="20">
        <f>'TE BE'!$N$23*'TE BE'!$N$56</f>
        <v>-1.0383424417631652E-2</v>
      </c>
      <c r="O23" s="20">
        <f>'TE BE'!$O$23*'TE BE'!$O$56</f>
        <v>-1.1358491858510187</v>
      </c>
      <c r="P23" s="20">
        <f>'TE BE'!$P$23*'TE BE'!$P$56</f>
        <v>0</v>
      </c>
      <c r="Q23" s="20">
        <f>SUM($L$23:$P$23)</f>
        <v>2.4625249059794196</v>
      </c>
      <c r="R23" s="20">
        <f>'TE BE'!$R$23*'TE BE'!$R$56</f>
        <v>98.781943773680837</v>
      </c>
      <c r="S23" s="20">
        <f>SUM($R$23:$R$23)</f>
        <v>98.781943773680837</v>
      </c>
      <c r="T23" s="20">
        <f>'TE BE'!$T$23*'TE BE'!$T$56</f>
        <v>-0.77596165610372048</v>
      </c>
      <c r="U23" s="20">
        <f>'TE BE'!$U$23*'TE BE'!$U$56</f>
        <v>7.7838382005741613E-2</v>
      </c>
      <c r="V23" s="20">
        <f>'TE BE'!$V$23*'TE BE'!$V$56</f>
        <v>0</v>
      </c>
      <c r="W23" s="20">
        <f>SUM($T$23:$V$23)</f>
        <v>-0.69812327409797881</v>
      </c>
      <c r="X23" s="20">
        <f>'TE BE'!$AB$23*'TE BE'!$X$56</f>
        <v>0</v>
      </c>
      <c r="Y23" s="20">
        <f>SUM($X$23:$X$23)</f>
        <v>0</v>
      </c>
      <c r="Z23" s="20">
        <f>'TE BE'!$Z$23*'TE BE'!$Z$56</f>
        <v>1.5316496487675368</v>
      </c>
      <c r="AA23" s="20">
        <f>SUM($Z$23:$Z$23)</f>
        <v>1.5316496487675368</v>
      </c>
      <c r="AB23" s="20">
        <f>SUMIF($L$4:$AA$4,"SUBTOTAL",$L$23:$AA$23)</f>
        <v>102.07799505432982</v>
      </c>
    </row>
    <row r="24" spans="1:28" ht="11.25" customHeight="1" x14ac:dyDescent="0.3">
      <c r="A24" s="133"/>
      <c r="B24" s="133"/>
      <c r="C24" s="133"/>
      <c r="D24" s="22" t="s">
        <v>29</v>
      </c>
      <c r="E24" s="22" t="s">
        <v>25</v>
      </c>
      <c r="F24" s="22" t="s">
        <v>25</v>
      </c>
      <c r="G24" s="23" t="s">
        <v>84</v>
      </c>
      <c r="H24" s="23" t="s">
        <v>78</v>
      </c>
      <c r="I24" s="23">
        <f>'MERCADO TE'!$U$21</f>
        <v>0</v>
      </c>
      <c r="J24" s="15"/>
      <c r="L24" s="20">
        <f>'TE BE'!$L$24*'TE BE'!$L$56</f>
        <v>1.9061118106308186E-7</v>
      </c>
      <c r="M24" s="20">
        <f>'TE BE'!$M$24*'TE BE'!$M$56</f>
        <v>3.6087573256368892</v>
      </c>
      <c r="N24" s="20">
        <f>'TE BE'!$N$24*'TE BE'!$N$56</f>
        <v>-1.0383424417631652E-2</v>
      </c>
      <c r="O24" s="20">
        <f>'TE BE'!$O$24*'TE BE'!$O$56</f>
        <v>-1.1358491858510187</v>
      </c>
      <c r="P24" s="20">
        <f>'TE BE'!$P$24*'TE BE'!$P$56</f>
        <v>0</v>
      </c>
      <c r="Q24" s="20">
        <f>SUM($L$24:$P$24)</f>
        <v>2.4625249059794196</v>
      </c>
      <c r="R24" s="20">
        <f>'TE BE'!$R$24*'TE BE'!$R$56</f>
        <v>98.781943773680837</v>
      </c>
      <c r="S24" s="20">
        <f>SUM($R$24:$R$24)</f>
        <v>98.781943773680837</v>
      </c>
      <c r="T24" s="20">
        <f>'TE BE'!$T$24*'TE BE'!$T$56</f>
        <v>-0.77596165610372048</v>
      </c>
      <c r="U24" s="20">
        <f>'TE BE'!$U$24*'TE BE'!$U$56</f>
        <v>7.7838382005741613E-2</v>
      </c>
      <c r="V24" s="20">
        <f>'TE BE'!$V$24*'TE BE'!$V$56</f>
        <v>0</v>
      </c>
      <c r="W24" s="20">
        <f>SUM($T$24:$V$24)</f>
        <v>-0.69812327409797881</v>
      </c>
      <c r="X24" s="20">
        <f>'TE BE'!$AB$24*'TE BE'!$X$56</f>
        <v>0</v>
      </c>
      <c r="Y24" s="20">
        <f>SUM($X$24:$X$24)</f>
        <v>0</v>
      </c>
      <c r="Z24" s="20">
        <f>'TE BE'!$Z$24*'TE BE'!$Z$56</f>
        <v>1.5316496487675368</v>
      </c>
      <c r="AA24" s="20">
        <f>SUM($Z$24:$Z$24)</f>
        <v>1.5316496487675368</v>
      </c>
      <c r="AB24" s="20">
        <f>SUMIF($L$4:$AA$4,"SUBTOTAL",$L$24:$AA$24)</f>
        <v>102.07799505432982</v>
      </c>
    </row>
    <row r="25" spans="1:28" ht="11.25" customHeight="1" x14ac:dyDescent="0.3">
      <c r="A25" s="133"/>
      <c r="B25" s="133"/>
      <c r="C25" s="133"/>
      <c r="D25" s="22" t="s">
        <v>30</v>
      </c>
      <c r="E25" s="22" t="s">
        <v>25</v>
      </c>
      <c r="F25" s="22" t="s">
        <v>25</v>
      </c>
      <c r="G25" s="23" t="s">
        <v>84</v>
      </c>
      <c r="H25" s="23" t="s">
        <v>78</v>
      </c>
      <c r="I25" s="23">
        <f>'MERCADO TE'!$U$22</f>
        <v>0</v>
      </c>
      <c r="J25" s="15"/>
      <c r="L25" s="20">
        <f>'TE BE'!$L$25*'TE BE'!$L$56</f>
        <v>1.9061118106308186E-7</v>
      </c>
      <c r="M25" s="20">
        <f>'TE BE'!$M$25*'TE BE'!$M$56</f>
        <v>3.6087573256368892</v>
      </c>
      <c r="N25" s="20">
        <f>'TE BE'!$N$25*'TE BE'!$N$56</f>
        <v>-1.0383424417631652E-2</v>
      </c>
      <c r="O25" s="20">
        <f>'TE BE'!$O$25*'TE BE'!$O$56</f>
        <v>-1.1358491858510187</v>
      </c>
      <c r="P25" s="20">
        <f>'TE BE'!$P$25*'TE BE'!$P$56</f>
        <v>0</v>
      </c>
      <c r="Q25" s="20">
        <f>SUM($L$25:$P$25)</f>
        <v>2.4625249059794196</v>
      </c>
      <c r="R25" s="20">
        <f>'TE BE'!$R$25*'TE BE'!$R$56</f>
        <v>98.781943773680837</v>
      </c>
      <c r="S25" s="20">
        <f>SUM($R$25:$R$25)</f>
        <v>98.781943773680837</v>
      </c>
      <c r="T25" s="20">
        <f>'TE BE'!$T$25*'TE BE'!$T$56</f>
        <v>-0.77596165610372048</v>
      </c>
      <c r="U25" s="20">
        <f>'TE BE'!$U$25*'TE BE'!$U$56</f>
        <v>7.7838382005741613E-2</v>
      </c>
      <c r="V25" s="20">
        <f>'TE BE'!$V$25*'TE BE'!$V$56</f>
        <v>0</v>
      </c>
      <c r="W25" s="20">
        <f>SUM($T$25:$V$25)</f>
        <v>-0.69812327409797881</v>
      </c>
      <c r="X25" s="20">
        <f>'TE BE'!$AB$25*'TE BE'!$X$56</f>
        <v>0</v>
      </c>
      <c r="Y25" s="20">
        <f>SUM($X$25:$X$25)</f>
        <v>0</v>
      </c>
      <c r="Z25" s="20">
        <f>'TE BE'!$Z$25*'TE BE'!$Z$56</f>
        <v>1.5316496487675368</v>
      </c>
      <c r="AA25" s="20">
        <f>SUM($Z$25:$Z$25)</f>
        <v>1.5316496487675368</v>
      </c>
      <c r="AB25" s="20">
        <f>SUMIF($L$4:$AA$4,"SUBTOTAL",$L$25:$AA$25)</f>
        <v>102.07799505432982</v>
      </c>
    </row>
    <row r="26" spans="1:28" ht="11.25" customHeight="1" x14ac:dyDescent="0.3">
      <c r="A26" s="133"/>
      <c r="B26" s="133"/>
      <c r="C26" s="133"/>
      <c r="D26" s="22" t="s">
        <v>31</v>
      </c>
      <c r="E26" s="22" t="s">
        <v>25</v>
      </c>
      <c r="F26" s="22" t="s">
        <v>25</v>
      </c>
      <c r="G26" s="23" t="s">
        <v>84</v>
      </c>
      <c r="H26" s="23" t="s">
        <v>78</v>
      </c>
      <c r="I26" s="23">
        <f>'MERCADO TE'!$U$23</f>
        <v>0</v>
      </c>
      <c r="J26" s="15"/>
      <c r="L26" s="20">
        <f>'TE BE'!$L$26*'TE BE'!$L$56</f>
        <v>1.9061118106308186E-7</v>
      </c>
      <c r="M26" s="20">
        <f>'TE BE'!$M$26*'TE BE'!$M$56</f>
        <v>3.6087573256368892</v>
      </c>
      <c r="N26" s="20">
        <f>'TE BE'!$N$26*'TE BE'!$N$56</f>
        <v>-1.0383424417631652E-2</v>
      </c>
      <c r="O26" s="20">
        <f>'TE BE'!$O$26*'TE BE'!$O$56</f>
        <v>-1.1358491858510187</v>
      </c>
      <c r="P26" s="20">
        <f>'TE BE'!$P$26*'TE BE'!$P$56</f>
        <v>0</v>
      </c>
      <c r="Q26" s="20">
        <f>SUM($L$26:$P$26)</f>
        <v>2.4625249059794196</v>
      </c>
      <c r="R26" s="20">
        <f>'TE BE'!$R$26*'TE BE'!$R$56</f>
        <v>98.781943773680837</v>
      </c>
      <c r="S26" s="20">
        <f>SUM($R$26:$R$26)</f>
        <v>98.781943773680837</v>
      </c>
      <c r="T26" s="20">
        <f>'TE BE'!$T$26*'TE BE'!$T$56</f>
        <v>-0.77596165610372048</v>
      </c>
      <c r="U26" s="20">
        <f>'TE BE'!$U$26*'TE BE'!$U$56</f>
        <v>7.7838382005741613E-2</v>
      </c>
      <c r="V26" s="20">
        <f>'TE BE'!$V$26*'TE BE'!$V$56</f>
        <v>0</v>
      </c>
      <c r="W26" s="20">
        <f>SUM($T$26:$V$26)</f>
        <v>-0.69812327409797881</v>
      </c>
      <c r="X26" s="20">
        <f>'TE BE'!$AB$26*'TE BE'!$X$56</f>
        <v>0</v>
      </c>
      <c r="Y26" s="20">
        <f>SUM($X$26:$X$26)</f>
        <v>0</v>
      </c>
      <c r="Z26" s="20">
        <f>'TE BE'!$Z$26*'TE BE'!$Z$56</f>
        <v>1.5316496487675368</v>
      </c>
      <c r="AA26" s="20">
        <f>SUM($Z$26:$Z$26)</f>
        <v>1.5316496487675368</v>
      </c>
      <c r="AB26" s="20">
        <f>SUMIF($L$4:$AA$4,"SUBTOTAL",$L$26:$AA$26)</f>
        <v>102.07799505432982</v>
      </c>
    </row>
    <row r="27" spans="1:28" ht="11.25" customHeight="1" x14ac:dyDescent="0.3">
      <c r="A27" s="133"/>
      <c r="B27" s="133"/>
      <c r="C27" s="133"/>
      <c r="D27" s="22" t="s">
        <v>32</v>
      </c>
      <c r="E27" s="22" t="s">
        <v>25</v>
      </c>
      <c r="F27" s="22" t="s">
        <v>25</v>
      </c>
      <c r="G27" s="23" t="s">
        <v>84</v>
      </c>
      <c r="H27" s="23" t="s">
        <v>78</v>
      </c>
      <c r="I27" s="23">
        <f>'MERCADO TE'!$U$24</f>
        <v>0</v>
      </c>
      <c r="J27" s="15"/>
      <c r="L27" s="20">
        <f>'TE BE'!$L$27*'TE BE'!$L$56</f>
        <v>1.9061118106308186E-7</v>
      </c>
      <c r="M27" s="20">
        <f>'TE BE'!$M$27*'TE BE'!$M$56</f>
        <v>3.6087573256368892</v>
      </c>
      <c r="N27" s="20">
        <f>'TE BE'!$N$27*'TE BE'!$N$56</f>
        <v>-1.0383424417631652E-2</v>
      </c>
      <c r="O27" s="20">
        <f>'TE BE'!$O$27*'TE BE'!$O$56</f>
        <v>-1.1358491858510187</v>
      </c>
      <c r="P27" s="20">
        <f>'TE BE'!$P$27*'TE BE'!$P$56</f>
        <v>0</v>
      </c>
      <c r="Q27" s="20">
        <f>SUM($L$27:$P$27)</f>
        <v>2.4625249059794196</v>
      </c>
      <c r="R27" s="20">
        <f>'TE BE'!$R$27*'TE BE'!$R$56</f>
        <v>98.781943773680837</v>
      </c>
      <c r="S27" s="20">
        <f>SUM($R$27:$R$27)</f>
        <v>98.781943773680837</v>
      </c>
      <c r="T27" s="20">
        <f>'TE BE'!$T$27*'TE BE'!$T$56</f>
        <v>-0.77596165610372048</v>
      </c>
      <c r="U27" s="20">
        <f>'TE BE'!$U$27*'TE BE'!$U$56</f>
        <v>7.7838382005741613E-2</v>
      </c>
      <c r="V27" s="20">
        <f>'TE BE'!$V$27*'TE BE'!$V$56</f>
        <v>0</v>
      </c>
      <c r="W27" s="20">
        <f>SUM($T$27:$V$27)</f>
        <v>-0.69812327409797881</v>
      </c>
      <c r="X27" s="20">
        <f>'TE BE'!$AB$27*'TE BE'!$X$56</f>
        <v>0</v>
      </c>
      <c r="Y27" s="20">
        <f>SUM($X$27:$X$27)</f>
        <v>0</v>
      </c>
      <c r="Z27" s="20">
        <f>'TE BE'!$Z$27*'TE BE'!$Z$56</f>
        <v>1.5316496487675368</v>
      </c>
      <c r="AA27" s="20">
        <f>SUM($Z$27:$Z$27)</f>
        <v>1.5316496487675368</v>
      </c>
      <c r="AB27" s="20">
        <f>SUMIF($L$4:$AA$4,"SUBTOTAL",$L$27:$AA$27)</f>
        <v>102.07799505432982</v>
      </c>
    </row>
    <row r="28" spans="1:28" ht="11.25" customHeight="1" x14ac:dyDescent="0.3">
      <c r="A28" s="133" t="s">
        <v>44</v>
      </c>
      <c r="B28" s="133" t="s">
        <v>77</v>
      </c>
      <c r="C28" s="133" t="s">
        <v>45</v>
      </c>
      <c r="D28" s="133" t="s">
        <v>25</v>
      </c>
      <c r="E28" s="133" t="s">
        <v>25</v>
      </c>
      <c r="F28" s="133" t="s">
        <v>25</v>
      </c>
      <c r="G28" s="23" t="s">
        <v>79</v>
      </c>
      <c r="H28" s="23" t="s">
        <v>78</v>
      </c>
      <c r="I28" s="23">
        <f>'MERCADO TE'!$U$25</f>
        <v>0</v>
      </c>
      <c r="J28" s="15"/>
      <c r="L28" s="20">
        <f>'TE BE'!$L$28*'TE BE'!$L$56</f>
        <v>1.9061118106308186E-7</v>
      </c>
      <c r="M28" s="20">
        <f>'TE BE'!$M$28*'TE BE'!$M$56</f>
        <v>3.6087573256368892</v>
      </c>
      <c r="N28" s="20">
        <f>'TE BE'!$N$28*'TE BE'!$N$56</f>
        <v>-1.0383424417631652E-2</v>
      </c>
      <c r="O28" s="20">
        <f>'TE BE'!$O$28*'TE BE'!$O$56</f>
        <v>-1.1358491858510187</v>
      </c>
      <c r="P28" s="20">
        <f>'TE BE'!$P$28*'TE BE'!$P$56</f>
        <v>0</v>
      </c>
      <c r="Q28" s="20">
        <f>SUM($L$28:$P$28)</f>
        <v>2.4625249059794196</v>
      </c>
      <c r="R28" s="20">
        <f>'TE BE'!$R$28*'TE BE'!$R$56</f>
        <v>160.28768234974626</v>
      </c>
      <c r="S28" s="20">
        <f>SUM($R$28:$R$28)</f>
        <v>160.28768234974626</v>
      </c>
      <c r="T28" s="20">
        <f>'TE BE'!$T$28*'TE BE'!$T$56</f>
        <v>-0.77596165610372048</v>
      </c>
      <c r="U28" s="20">
        <f>'TE BE'!$U$28*'TE BE'!$U$56</f>
        <v>7.7838382005741613E-2</v>
      </c>
      <c r="V28" s="20">
        <f>'TE BE'!$V$28*'TE BE'!$V$56</f>
        <v>0</v>
      </c>
      <c r="W28" s="20">
        <f>SUM($T$28:$V$28)</f>
        <v>-0.69812327409797881</v>
      </c>
      <c r="X28" s="20">
        <f>'TE BE'!$AB$28*'TE BE'!$X$56</f>
        <v>0</v>
      </c>
      <c r="Y28" s="20">
        <f>SUM($X$28:$X$28)</f>
        <v>0</v>
      </c>
      <c r="Z28" s="20">
        <f>'TE BE'!$Z$28*'TE BE'!$Z$56</f>
        <v>1.5316496487675368</v>
      </c>
      <c r="AA28" s="20">
        <f>SUM($Z$28:$Z$28)</f>
        <v>1.5316496487675368</v>
      </c>
      <c r="AB28" s="20">
        <f>SUMIF($L$4:$AA$4,"SUBTOTAL",$L$28:$AA$28)</f>
        <v>163.58373363039524</v>
      </c>
    </row>
    <row r="29" spans="1:28" ht="11.25" customHeight="1" x14ac:dyDescent="0.3">
      <c r="A29" s="133"/>
      <c r="B29" s="133"/>
      <c r="C29" s="133"/>
      <c r="D29" s="133"/>
      <c r="E29" s="133"/>
      <c r="F29" s="133"/>
      <c r="G29" s="23" t="s">
        <v>90</v>
      </c>
      <c r="H29" s="23" t="s">
        <v>78</v>
      </c>
      <c r="I29" s="23">
        <f>'MERCADO TE'!$U$26</f>
        <v>0</v>
      </c>
      <c r="J29" s="15"/>
      <c r="L29" s="20">
        <f>'TE BE'!$L$29*'TE BE'!$L$56</f>
        <v>1.9061118106308186E-7</v>
      </c>
      <c r="M29" s="20">
        <f>'TE BE'!$M$29*'TE BE'!$M$56</f>
        <v>3.6087573256368892</v>
      </c>
      <c r="N29" s="20">
        <f>'TE BE'!$N$29*'TE BE'!$N$56</f>
        <v>-1.0383424417631652E-2</v>
      </c>
      <c r="O29" s="20">
        <f>'TE BE'!$O$29*'TE BE'!$O$56</f>
        <v>-1.1358491858510187</v>
      </c>
      <c r="P29" s="20">
        <f>'TE BE'!$P$29*'TE BE'!$P$56</f>
        <v>0</v>
      </c>
      <c r="Q29" s="20">
        <f>SUM($L$29:$P$29)</f>
        <v>2.4625249059794196</v>
      </c>
      <c r="R29" s="20">
        <f>'TE BE'!$R$29*'TE BE'!$R$56</f>
        <v>93.190512994038514</v>
      </c>
      <c r="S29" s="20">
        <f>SUM($R$29:$R$29)</f>
        <v>93.190512994038514</v>
      </c>
      <c r="T29" s="20">
        <f>'TE BE'!$T$29*'TE BE'!$T$56</f>
        <v>-0.77596165610372048</v>
      </c>
      <c r="U29" s="20">
        <f>'TE BE'!$U$29*'TE BE'!$U$56</f>
        <v>7.7838382005741613E-2</v>
      </c>
      <c r="V29" s="20">
        <f>'TE BE'!$V$29*'TE BE'!$V$56</f>
        <v>0</v>
      </c>
      <c r="W29" s="20">
        <f>SUM($T$29:$V$29)</f>
        <v>-0.69812327409797881</v>
      </c>
      <c r="X29" s="20">
        <f>'TE BE'!$AB$29*'TE BE'!$X$56</f>
        <v>0</v>
      </c>
      <c r="Y29" s="20">
        <f>SUM($X$29:$X$29)</f>
        <v>0</v>
      </c>
      <c r="Z29" s="20">
        <f>'TE BE'!$Z$29*'TE BE'!$Z$56</f>
        <v>1.5316496487675368</v>
      </c>
      <c r="AA29" s="20">
        <f>SUM($Z$29:$Z$29)</f>
        <v>1.5316496487675368</v>
      </c>
      <c r="AB29" s="20">
        <f>SUMIF($L$4:$AA$4,"SUBTOTAL",$L$29:$AA$29)</f>
        <v>96.486564274687495</v>
      </c>
    </row>
    <row r="30" spans="1:28" ht="11.25" customHeight="1" x14ac:dyDescent="0.3">
      <c r="A30" s="133"/>
      <c r="B30" s="133"/>
      <c r="C30" s="133"/>
      <c r="D30" s="133"/>
      <c r="E30" s="133"/>
      <c r="F30" s="133"/>
      <c r="G30" s="23" t="s">
        <v>80</v>
      </c>
      <c r="H30" s="23" t="s">
        <v>78</v>
      </c>
      <c r="I30" s="23">
        <f>'MERCADO TE'!$U$27</f>
        <v>0</v>
      </c>
      <c r="J30" s="15"/>
      <c r="L30" s="20">
        <f>'TE BE'!$L$30*'TE BE'!$L$56</f>
        <v>1.9061118106308186E-7</v>
      </c>
      <c r="M30" s="20">
        <f>'TE BE'!$M$30*'TE BE'!$M$56</f>
        <v>3.6087573256368892</v>
      </c>
      <c r="N30" s="20">
        <f>'TE BE'!$N$30*'TE BE'!$N$56</f>
        <v>-1.0383424417631652E-2</v>
      </c>
      <c r="O30" s="20">
        <f>'TE BE'!$O$30*'TE BE'!$O$56</f>
        <v>-1.1358491858510187</v>
      </c>
      <c r="P30" s="20">
        <f>'TE BE'!$P$30*'TE BE'!$P$56</f>
        <v>0</v>
      </c>
      <c r="Q30" s="20">
        <f>SUM($L$30:$P$30)</f>
        <v>2.4625249059794196</v>
      </c>
      <c r="R30" s="20">
        <f>'TE BE'!$R$30*'TE BE'!$R$56</f>
        <v>93.190512994038514</v>
      </c>
      <c r="S30" s="20">
        <f>SUM($R$30:$R$30)</f>
        <v>93.190512994038514</v>
      </c>
      <c r="T30" s="20">
        <f>'TE BE'!$T$30*'TE BE'!$T$56</f>
        <v>-0.77596165610372048</v>
      </c>
      <c r="U30" s="20">
        <f>'TE BE'!$U$30*'TE BE'!$U$56</f>
        <v>7.7838382005741613E-2</v>
      </c>
      <c r="V30" s="20">
        <f>'TE BE'!$V$30*'TE BE'!$V$56</f>
        <v>0</v>
      </c>
      <c r="W30" s="20">
        <f>SUM($T$30:$V$30)</f>
        <v>-0.69812327409797881</v>
      </c>
      <c r="X30" s="20">
        <f>'TE BE'!$AB$30*'TE BE'!$X$56</f>
        <v>0</v>
      </c>
      <c r="Y30" s="20">
        <f>SUM($X$30:$X$30)</f>
        <v>0</v>
      </c>
      <c r="Z30" s="20">
        <f>'TE BE'!$Z$30*'TE BE'!$Z$56</f>
        <v>1.5316496487675368</v>
      </c>
      <c r="AA30" s="20">
        <f>SUM($Z$30:$Z$30)</f>
        <v>1.5316496487675368</v>
      </c>
      <c r="AB30" s="20">
        <f>SUMIF($L$4:$AA$4,"SUBTOTAL",$L$30:$AA$30)</f>
        <v>96.486564274687495</v>
      </c>
    </row>
    <row r="31" spans="1:28" ht="11.25" customHeight="1" x14ac:dyDescent="0.3">
      <c r="A31" s="133"/>
      <c r="B31" s="22" t="s">
        <v>86</v>
      </c>
      <c r="C31" s="22" t="s">
        <v>45</v>
      </c>
      <c r="D31" s="22" t="s">
        <v>25</v>
      </c>
      <c r="E31" s="22" t="s">
        <v>25</v>
      </c>
      <c r="F31" s="22" t="s">
        <v>25</v>
      </c>
      <c r="G31" s="23" t="s">
        <v>84</v>
      </c>
      <c r="H31" s="23" t="s">
        <v>78</v>
      </c>
      <c r="I31" s="23">
        <f>'MERCADO TE'!$U$28</f>
        <v>3773.6869999999999</v>
      </c>
      <c r="J31" s="15"/>
      <c r="L31" s="20">
        <f>'TE BE'!$L$31*'TE BE'!$L$56</f>
        <v>1.9061118106308186E-7</v>
      </c>
      <c r="M31" s="20">
        <f>'TE BE'!$M$31*'TE BE'!$M$56</f>
        <v>3.6087573256368892</v>
      </c>
      <c r="N31" s="20">
        <f>'TE BE'!$N$31*'TE BE'!$N$56</f>
        <v>-1.0383424417631652E-2</v>
      </c>
      <c r="O31" s="20">
        <f>'TE BE'!$O$31*'TE BE'!$O$56</f>
        <v>-1.1358491858510187</v>
      </c>
      <c r="P31" s="20">
        <f>'TE BE'!$P$31*'TE BE'!$P$56</f>
        <v>0</v>
      </c>
      <c r="Q31" s="20">
        <f>SUM($L$31:$P$31)</f>
        <v>2.4625249059794196</v>
      </c>
      <c r="R31" s="20">
        <f>'TE BE'!$R$31*'TE BE'!$R$56</f>
        <v>98.781943773680837</v>
      </c>
      <c r="S31" s="20">
        <f>SUM($R$31:$R$31)</f>
        <v>98.781943773680837</v>
      </c>
      <c r="T31" s="20">
        <f>'TE BE'!$T$31*'TE BE'!$T$56</f>
        <v>-0.77596165610372048</v>
      </c>
      <c r="U31" s="20">
        <f>'TE BE'!$U$31*'TE BE'!$U$56</f>
        <v>7.7838382005741613E-2</v>
      </c>
      <c r="V31" s="20">
        <f>'TE BE'!$V$31*'TE BE'!$V$56</f>
        <v>0</v>
      </c>
      <c r="W31" s="20">
        <f>SUM($T$31:$V$31)</f>
        <v>-0.69812327409797881</v>
      </c>
      <c r="X31" s="20">
        <f>'TE BE'!$AB$31*'TE BE'!$X$56</f>
        <v>0</v>
      </c>
      <c r="Y31" s="20">
        <f>SUM($X$31:$X$31)</f>
        <v>0</v>
      </c>
      <c r="Z31" s="20">
        <f>'TE BE'!$Z$31*'TE BE'!$Z$56</f>
        <v>1.5316496487675368</v>
      </c>
      <c r="AA31" s="20">
        <f>SUM($Z$31:$Z$31)</f>
        <v>1.5316496487675368</v>
      </c>
      <c r="AB31" s="20">
        <f>SUMIF($L$4:$AA$4,"SUBTOTAL",$L$31:$AA$31)</f>
        <v>102.07799505432982</v>
      </c>
    </row>
    <row r="32" spans="1:28" ht="11.25" customHeight="1" x14ac:dyDescent="0.3">
      <c r="A32" s="133"/>
      <c r="B32" s="133" t="s">
        <v>77</v>
      </c>
      <c r="C32" s="133" t="s">
        <v>45</v>
      </c>
      <c r="D32" s="133" t="s">
        <v>93</v>
      </c>
      <c r="E32" s="133" t="s">
        <v>25</v>
      </c>
      <c r="F32" s="133" t="s">
        <v>25</v>
      </c>
      <c r="G32" s="23" t="s">
        <v>79</v>
      </c>
      <c r="H32" s="23" t="s">
        <v>78</v>
      </c>
      <c r="I32" s="23">
        <f>'MERCADO TE'!$U$29</f>
        <v>0</v>
      </c>
      <c r="J32" s="15"/>
      <c r="L32" s="20">
        <f>'TE BE'!$L$32*'TE BE'!$L$56</f>
        <v>1.9061118106308186E-7</v>
      </c>
      <c r="M32" s="20">
        <f>'TE BE'!$M$32*'TE BE'!$M$56</f>
        <v>3.6087573256368892</v>
      </c>
      <c r="N32" s="20">
        <f>'TE BE'!$N$32*'TE BE'!$N$56</f>
        <v>-1.0383424417631652E-2</v>
      </c>
      <c r="O32" s="20">
        <f>'TE BE'!$O$32*'TE BE'!$O$56</f>
        <v>-1.1358491858510187</v>
      </c>
      <c r="P32" s="20">
        <f>'TE BE'!$P$32*'TE BE'!$P$56</f>
        <v>0</v>
      </c>
      <c r="Q32" s="20">
        <f>SUM($L$32:$P$32)</f>
        <v>2.4625249059794196</v>
      </c>
      <c r="R32" s="20">
        <f>'TE BE'!$R$32*'TE BE'!$R$56</f>
        <v>160.28768234974626</v>
      </c>
      <c r="S32" s="20">
        <f>SUM($R$32:$R$32)</f>
        <v>160.28768234974626</v>
      </c>
      <c r="T32" s="20">
        <f>'TE BE'!$T$32*'TE BE'!$T$56</f>
        <v>-0.77596165610372048</v>
      </c>
      <c r="U32" s="20">
        <f>'TE BE'!$U$32*'TE BE'!$U$56</f>
        <v>7.7838382005741613E-2</v>
      </c>
      <c r="V32" s="20">
        <f>'TE BE'!$V$32*'TE BE'!$V$56</f>
        <v>0</v>
      </c>
      <c r="W32" s="20">
        <f>SUM($T$32:$V$32)</f>
        <v>-0.69812327409797881</v>
      </c>
      <c r="X32" s="20">
        <f>'TE BE'!$AB$32*'TE BE'!$X$56</f>
        <v>0</v>
      </c>
      <c r="Y32" s="20">
        <f>SUM($X$32:$X$32)</f>
        <v>0</v>
      </c>
      <c r="Z32" s="20">
        <f>'TE BE'!$Z$32*'TE BE'!$Z$56</f>
        <v>1.5316496487675368</v>
      </c>
      <c r="AA32" s="20">
        <f>SUM($Z$32:$Z$32)</f>
        <v>1.5316496487675368</v>
      </c>
      <c r="AB32" s="20">
        <f>SUMIF($L$4:$AA$4,"SUBTOTAL",$L$32:$AA$32)</f>
        <v>163.58373363039524</v>
      </c>
    </row>
    <row r="33" spans="1:28" ht="11.25" customHeight="1" x14ac:dyDescent="0.3">
      <c r="A33" s="133"/>
      <c r="B33" s="133"/>
      <c r="C33" s="133"/>
      <c r="D33" s="133"/>
      <c r="E33" s="133"/>
      <c r="F33" s="133"/>
      <c r="G33" s="23" t="s">
        <v>90</v>
      </c>
      <c r="H33" s="23" t="s">
        <v>78</v>
      </c>
      <c r="I33" s="23">
        <f>'MERCADO TE'!$U$30</f>
        <v>0</v>
      </c>
      <c r="J33" s="15"/>
      <c r="L33" s="20">
        <f>'TE BE'!$L$33*'TE BE'!$L$56</f>
        <v>1.9061118106308186E-7</v>
      </c>
      <c r="M33" s="20">
        <f>'TE BE'!$M$33*'TE BE'!$M$56</f>
        <v>3.6087573256368892</v>
      </c>
      <c r="N33" s="20">
        <f>'TE BE'!$N$33*'TE BE'!$N$56</f>
        <v>-1.0383424417631652E-2</v>
      </c>
      <c r="O33" s="20">
        <f>'TE BE'!$O$33*'TE BE'!$O$56</f>
        <v>-1.1358491858510187</v>
      </c>
      <c r="P33" s="20">
        <f>'TE BE'!$P$33*'TE BE'!$P$56</f>
        <v>0</v>
      </c>
      <c r="Q33" s="20">
        <f>SUM($L$33:$P$33)</f>
        <v>2.4625249059794196</v>
      </c>
      <c r="R33" s="20">
        <f>'TE BE'!$R$33*'TE BE'!$R$56</f>
        <v>93.190512994038514</v>
      </c>
      <c r="S33" s="20">
        <f>SUM($R$33:$R$33)</f>
        <v>93.190512994038514</v>
      </c>
      <c r="T33" s="20">
        <f>'TE BE'!$T$33*'TE BE'!$T$56</f>
        <v>-0.77596165610372048</v>
      </c>
      <c r="U33" s="20">
        <f>'TE BE'!$U$33*'TE BE'!$U$56</f>
        <v>7.7838382005741613E-2</v>
      </c>
      <c r="V33" s="20">
        <f>'TE BE'!$V$33*'TE BE'!$V$56</f>
        <v>0</v>
      </c>
      <c r="W33" s="20">
        <f>SUM($T$33:$V$33)</f>
        <v>-0.69812327409797881</v>
      </c>
      <c r="X33" s="20">
        <f>'TE BE'!$AB$33*'TE BE'!$X$56</f>
        <v>0</v>
      </c>
      <c r="Y33" s="20">
        <f>SUM($X$33:$X$33)</f>
        <v>0</v>
      </c>
      <c r="Z33" s="20">
        <f>'TE BE'!$Z$33*'TE BE'!$Z$56</f>
        <v>1.5316496487675368</v>
      </c>
      <c r="AA33" s="20">
        <f>SUM($Z$33:$Z$33)</f>
        <v>1.5316496487675368</v>
      </c>
      <c r="AB33" s="20">
        <f>SUMIF($L$4:$AA$4,"SUBTOTAL",$L$33:$AA$33)</f>
        <v>96.486564274687495</v>
      </c>
    </row>
    <row r="34" spans="1:28" ht="11.25" customHeight="1" x14ac:dyDescent="0.3">
      <c r="A34" s="133"/>
      <c r="B34" s="133"/>
      <c r="C34" s="133"/>
      <c r="D34" s="133"/>
      <c r="E34" s="133"/>
      <c r="F34" s="133"/>
      <c r="G34" s="23" t="s">
        <v>80</v>
      </c>
      <c r="H34" s="23" t="s">
        <v>78</v>
      </c>
      <c r="I34" s="23">
        <f>'MERCADO TE'!$U$31</f>
        <v>0</v>
      </c>
      <c r="J34" s="15"/>
      <c r="L34" s="20">
        <f>'TE BE'!$L$34*'TE BE'!$L$56</f>
        <v>1.9061118106308186E-7</v>
      </c>
      <c r="M34" s="20">
        <f>'TE BE'!$M$34*'TE BE'!$M$56</f>
        <v>3.6087573256368892</v>
      </c>
      <c r="N34" s="20">
        <f>'TE BE'!$N$34*'TE BE'!$N$56</f>
        <v>-1.0383424417631652E-2</v>
      </c>
      <c r="O34" s="20">
        <f>'TE BE'!$O$34*'TE BE'!$O$56</f>
        <v>-1.1358491858510187</v>
      </c>
      <c r="P34" s="20">
        <f>'TE BE'!$P$34*'TE BE'!$P$56</f>
        <v>0</v>
      </c>
      <c r="Q34" s="20">
        <f>SUM($L$34:$P$34)</f>
        <v>2.4625249059794196</v>
      </c>
      <c r="R34" s="20">
        <f>'TE BE'!$R$34*'TE BE'!$R$56</f>
        <v>93.190512994038514</v>
      </c>
      <c r="S34" s="20">
        <f>SUM($R$34:$R$34)</f>
        <v>93.190512994038514</v>
      </c>
      <c r="T34" s="20">
        <f>'TE BE'!$T$34*'TE BE'!$T$56</f>
        <v>-0.77596165610372048</v>
      </c>
      <c r="U34" s="20">
        <f>'TE BE'!$U$34*'TE BE'!$U$56</f>
        <v>7.7838382005741613E-2</v>
      </c>
      <c r="V34" s="20">
        <f>'TE BE'!$V$34*'TE BE'!$V$56</f>
        <v>0</v>
      </c>
      <c r="W34" s="20">
        <f>SUM($T$34:$V$34)</f>
        <v>-0.69812327409797881</v>
      </c>
      <c r="X34" s="20">
        <f>'TE BE'!$AB$34*'TE BE'!$X$56</f>
        <v>0</v>
      </c>
      <c r="Y34" s="20">
        <f>SUM($X$34:$X$34)</f>
        <v>0</v>
      </c>
      <c r="Z34" s="20">
        <f>'TE BE'!$Z$34*'TE BE'!$Z$56</f>
        <v>1.5316496487675368</v>
      </c>
      <c r="AA34" s="20">
        <f>SUM($Z$34:$Z$34)</f>
        <v>1.5316496487675368</v>
      </c>
      <c r="AB34" s="20">
        <f>SUMIF($L$4:$AA$4,"SUBTOTAL",$L$34:$AA$34)</f>
        <v>96.486564274687495</v>
      </c>
    </row>
    <row r="35" spans="1:28" ht="11.25" customHeight="1" x14ac:dyDescent="0.3">
      <c r="A35" s="133"/>
      <c r="B35" s="22" t="s">
        <v>86</v>
      </c>
      <c r="C35" s="22" t="s">
        <v>45</v>
      </c>
      <c r="D35" s="22" t="s">
        <v>93</v>
      </c>
      <c r="E35" s="22" t="s">
        <v>25</v>
      </c>
      <c r="F35" s="22" t="s">
        <v>25</v>
      </c>
      <c r="G35" s="23" t="s">
        <v>84</v>
      </c>
      <c r="H35" s="23" t="s">
        <v>78</v>
      </c>
      <c r="I35" s="23">
        <f>'MERCADO TE'!$U$32</f>
        <v>0</v>
      </c>
      <c r="J35" s="15"/>
      <c r="L35" s="20">
        <f>'TE BE'!$L$35*'TE BE'!$L$56</f>
        <v>1.9061118106308186E-7</v>
      </c>
      <c r="M35" s="20">
        <f>'TE BE'!$M$35*'TE BE'!$M$56</f>
        <v>3.6087573256368892</v>
      </c>
      <c r="N35" s="20">
        <f>'TE BE'!$N$35*'TE BE'!$N$56</f>
        <v>-1.0383424417631652E-2</v>
      </c>
      <c r="O35" s="20">
        <f>'TE BE'!$O$35*'TE BE'!$O$56</f>
        <v>-1.1358491858510187</v>
      </c>
      <c r="P35" s="20">
        <f>'TE BE'!$P$35*'TE BE'!$P$56</f>
        <v>0</v>
      </c>
      <c r="Q35" s="20">
        <f>SUM($L$35:$P$35)</f>
        <v>2.4625249059794196</v>
      </c>
      <c r="R35" s="20">
        <f>'TE BE'!$R$35*'TE BE'!$R$56</f>
        <v>98.781943773680837</v>
      </c>
      <c r="S35" s="20">
        <f>SUM($R$35:$R$35)</f>
        <v>98.781943773680837</v>
      </c>
      <c r="T35" s="20">
        <f>'TE BE'!$T$35*'TE BE'!$T$56</f>
        <v>-0.77596165610372048</v>
      </c>
      <c r="U35" s="20">
        <f>'TE BE'!$U$35*'TE BE'!$U$56</f>
        <v>7.7838382005741613E-2</v>
      </c>
      <c r="V35" s="20">
        <f>'TE BE'!$V$35*'TE BE'!$V$56</f>
        <v>0</v>
      </c>
      <c r="W35" s="20">
        <f>SUM($T$35:$V$35)</f>
        <v>-0.69812327409797881</v>
      </c>
      <c r="X35" s="20">
        <f>'TE BE'!$AB$35*'TE BE'!$X$56</f>
        <v>0</v>
      </c>
      <c r="Y35" s="20">
        <f>SUM($X$35:$X$35)</f>
        <v>0</v>
      </c>
      <c r="Z35" s="20">
        <f>'TE BE'!$Z$35*'TE BE'!$Z$56</f>
        <v>1.5316496487675368</v>
      </c>
      <c r="AA35" s="20">
        <f>SUM($Z$35:$Z$35)</f>
        <v>1.5316496487675368</v>
      </c>
      <c r="AB35" s="20">
        <f>SUMIF($L$4:$AA$4,"SUBTOTAL",$L$35:$AA$35)</f>
        <v>102.07799505432982</v>
      </c>
    </row>
    <row r="36" spans="1:28" ht="11.25" customHeight="1" x14ac:dyDescent="0.3">
      <c r="A36" s="133"/>
      <c r="B36" s="133" t="s">
        <v>77</v>
      </c>
      <c r="C36" s="133" t="s">
        <v>45</v>
      </c>
      <c r="D36" s="133" t="s">
        <v>94</v>
      </c>
      <c r="E36" s="133" t="s">
        <v>25</v>
      </c>
      <c r="F36" s="133" t="s">
        <v>25</v>
      </c>
      <c r="G36" s="23" t="s">
        <v>79</v>
      </c>
      <c r="H36" s="23" t="s">
        <v>78</v>
      </c>
      <c r="I36" s="23">
        <f>'MERCADO TE'!$U$33</f>
        <v>0</v>
      </c>
      <c r="J36" s="15"/>
      <c r="L36" s="20">
        <f>'TE BE'!$L$36*'TE BE'!$L$56</f>
        <v>1.9061118106308186E-7</v>
      </c>
      <c r="M36" s="20">
        <f>'TE BE'!$M$36*'TE BE'!$M$56</f>
        <v>3.6087573256368892</v>
      </c>
      <c r="N36" s="20">
        <f>'TE BE'!$N$36*'TE BE'!$N$56</f>
        <v>-1.0383424417631652E-2</v>
      </c>
      <c r="O36" s="20">
        <f>'TE BE'!$O$36*'TE BE'!$O$56</f>
        <v>-1.1358491858510187</v>
      </c>
      <c r="P36" s="20">
        <f>'TE BE'!$P$36*'TE BE'!$P$56</f>
        <v>0</v>
      </c>
      <c r="Q36" s="20">
        <f>SUM($L$36:$P$36)</f>
        <v>2.4625249059794196</v>
      </c>
      <c r="R36" s="20">
        <f>'TE BE'!$R$36*'TE BE'!$R$56</f>
        <v>160.28768234974626</v>
      </c>
      <c r="S36" s="20">
        <f>SUM($R$36:$R$36)</f>
        <v>160.28768234974626</v>
      </c>
      <c r="T36" s="20">
        <f>'TE BE'!$T$36*'TE BE'!$T$56</f>
        <v>-0.77596165610372048</v>
      </c>
      <c r="U36" s="20">
        <f>'TE BE'!$U$36*'TE BE'!$U$56</f>
        <v>7.7838382005741613E-2</v>
      </c>
      <c r="V36" s="20">
        <f>'TE BE'!$V$36*'TE BE'!$V$56</f>
        <v>0</v>
      </c>
      <c r="W36" s="20">
        <f>SUM($T$36:$V$36)</f>
        <v>-0.69812327409797881</v>
      </c>
      <c r="X36" s="20">
        <f>'TE BE'!$AB$36*'TE BE'!$X$56</f>
        <v>0</v>
      </c>
      <c r="Y36" s="20">
        <f>SUM($X$36:$X$36)</f>
        <v>0</v>
      </c>
      <c r="Z36" s="20">
        <f>'TE BE'!$Z$36*'TE BE'!$Z$56</f>
        <v>1.5316496487675368</v>
      </c>
      <c r="AA36" s="20">
        <f>SUM($Z$36:$Z$36)</f>
        <v>1.5316496487675368</v>
      </c>
      <c r="AB36" s="20">
        <f>SUMIF($L$4:$AA$4,"SUBTOTAL",$L$36:$AA$36)</f>
        <v>163.58373363039524</v>
      </c>
    </row>
    <row r="37" spans="1:28" ht="11.25" customHeight="1" x14ac:dyDescent="0.3">
      <c r="A37" s="133"/>
      <c r="B37" s="133"/>
      <c r="C37" s="133"/>
      <c r="D37" s="133"/>
      <c r="E37" s="133"/>
      <c r="F37" s="133"/>
      <c r="G37" s="23" t="s">
        <v>90</v>
      </c>
      <c r="H37" s="23" t="s">
        <v>78</v>
      </c>
      <c r="I37" s="23">
        <f>'MERCADO TE'!$U$34</f>
        <v>0</v>
      </c>
      <c r="J37" s="15"/>
      <c r="L37" s="20">
        <f>'TE BE'!$L$37*'TE BE'!$L$56</f>
        <v>1.9061118106308186E-7</v>
      </c>
      <c r="M37" s="20">
        <f>'TE BE'!$M$37*'TE BE'!$M$56</f>
        <v>3.6087573256368892</v>
      </c>
      <c r="N37" s="20">
        <f>'TE BE'!$N$37*'TE BE'!$N$56</f>
        <v>-1.0383424417631652E-2</v>
      </c>
      <c r="O37" s="20">
        <f>'TE BE'!$O$37*'TE BE'!$O$56</f>
        <v>-1.1358491858510187</v>
      </c>
      <c r="P37" s="20">
        <f>'TE BE'!$P$37*'TE BE'!$P$56</f>
        <v>0</v>
      </c>
      <c r="Q37" s="20">
        <f>SUM($L$37:$P$37)</f>
        <v>2.4625249059794196</v>
      </c>
      <c r="R37" s="20">
        <f>'TE BE'!$R$37*'TE BE'!$R$56</f>
        <v>93.190512994038514</v>
      </c>
      <c r="S37" s="20">
        <f>SUM($R$37:$R$37)</f>
        <v>93.190512994038514</v>
      </c>
      <c r="T37" s="20">
        <f>'TE BE'!$T$37*'TE BE'!$T$56</f>
        <v>-0.77596165610372048</v>
      </c>
      <c r="U37" s="20">
        <f>'TE BE'!$U$37*'TE BE'!$U$56</f>
        <v>7.7838382005741613E-2</v>
      </c>
      <c r="V37" s="20">
        <f>'TE BE'!$V$37*'TE BE'!$V$56</f>
        <v>0</v>
      </c>
      <c r="W37" s="20">
        <f>SUM($T$37:$V$37)</f>
        <v>-0.69812327409797881</v>
      </c>
      <c r="X37" s="20">
        <f>'TE BE'!$AB$37*'TE BE'!$X$56</f>
        <v>0</v>
      </c>
      <c r="Y37" s="20">
        <f>SUM($X$37:$X$37)</f>
        <v>0</v>
      </c>
      <c r="Z37" s="20">
        <f>'TE BE'!$Z$37*'TE BE'!$Z$56</f>
        <v>1.5316496487675368</v>
      </c>
      <c r="AA37" s="20">
        <f>SUM($Z$37:$Z$37)</f>
        <v>1.5316496487675368</v>
      </c>
      <c r="AB37" s="20">
        <f>SUMIF($L$4:$AA$4,"SUBTOTAL",$L$37:$AA$37)</f>
        <v>96.486564274687495</v>
      </c>
    </row>
    <row r="38" spans="1:28" ht="11.25" customHeight="1" x14ac:dyDescent="0.3">
      <c r="A38" s="133"/>
      <c r="B38" s="133"/>
      <c r="C38" s="133"/>
      <c r="D38" s="133"/>
      <c r="E38" s="133"/>
      <c r="F38" s="133"/>
      <c r="G38" s="23" t="s">
        <v>80</v>
      </c>
      <c r="H38" s="23" t="s">
        <v>78</v>
      </c>
      <c r="I38" s="23">
        <f>'MERCADO TE'!$U$35</f>
        <v>0</v>
      </c>
      <c r="J38" s="15"/>
      <c r="L38" s="20">
        <f>'TE BE'!$L$38*'TE BE'!$L$56</f>
        <v>1.9061118106308186E-7</v>
      </c>
      <c r="M38" s="20">
        <f>'TE BE'!$M$38*'TE BE'!$M$56</f>
        <v>3.6087573256368892</v>
      </c>
      <c r="N38" s="20">
        <f>'TE BE'!$N$38*'TE BE'!$N$56</f>
        <v>-1.0383424417631652E-2</v>
      </c>
      <c r="O38" s="20">
        <f>'TE BE'!$O$38*'TE BE'!$O$56</f>
        <v>-1.1358491858510187</v>
      </c>
      <c r="P38" s="20">
        <f>'TE BE'!$P$38*'TE BE'!$P$56</f>
        <v>0</v>
      </c>
      <c r="Q38" s="20">
        <f>SUM($L$38:$P$38)</f>
        <v>2.4625249059794196</v>
      </c>
      <c r="R38" s="20">
        <f>'TE BE'!$R$38*'TE BE'!$R$56</f>
        <v>93.190512994038514</v>
      </c>
      <c r="S38" s="20">
        <f>SUM($R$38:$R$38)</f>
        <v>93.190512994038514</v>
      </c>
      <c r="T38" s="20">
        <f>'TE BE'!$T$38*'TE BE'!$T$56</f>
        <v>-0.77596165610372048</v>
      </c>
      <c r="U38" s="20">
        <f>'TE BE'!$U$38*'TE BE'!$U$56</f>
        <v>7.7838382005741613E-2</v>
      </c>
      <c r="V38" s="20">
        <f>'TE BE'!$V$38*'TE BE'!$V$56</f>
        <v>0</v>
      </c>
      <c r="W38" s="20">
        <f>SUM($T$38:$V$38)</f>
        <v>-0.69812327409797881</v>
      </c>
      <c r="X38" s="20">
        <f>'TE BE'!$AB$38*'TE BE'!$X$56</f>
        <v>0</v>
      </c>
      <c r="Y38" s="20">
        <f>SUM($X$38:$X$38)</f>
        <v>0</v>
      </c>
      <c r="Z38" s="20">
        <f>'TE BE'!$Z$38*'TE BE'!$Z$56</f>
        <v>1.5316496487675368</v>
      </c>
      <c r="AA38" s="20">
        <f>SUM($Z$38:$Z$38)</f>
        <v>1.5316496487675368</v>
      </c>
      <c r="AB38" s="20">
        <f>SUMIF($L$4:$AA$4,"SUBTOTAL",$L$38:$AA$38)</f>
        <v>96.486564274687495</v>
      </c>
    </row>
    <row r="39" spans="1:28" ht="11.25" customHeight="1" x14ac:dyDescent="0.3">
      <c r="A39" s="133"/>
      <c r="B39" s="22" t="s">
        <v>86</v>
      </c>
      <c r="C39" s="22" t="s">
        <v>45</v>
      </c>
      <c r="D39" s="22" t="s">
        <v>94</v>
      </c>
      <c r="E39" s="22" t="s">
        <v>25</v>
      </c>
      <c r="F39" s="22" t="s">
        <v>25</v>
      </c>
      <c r="G39" s="23" t="s">
        <v>84</v>
      </c>
      <c r="H39" s="23" t="s">
        <v>78</v>
      </c>
      <c r="I39" s="23">
        <f>'MERCADO TE'!$U$36</f>
        <v>0</v>
      </c>
      <c r="J39" s="15"/>
      <c r="L39" s="20">
        <f>'TE BE'!$L$39*'TE BE'!$L$56</f>
        <v>1.9061118106308186E-7</v>
      </c>
      <c r="M39" s="20">
        <f>'TE BE'!$M$39*'TE BE'!$M$56</f>
        <v>3.6087573256368892</v>
      </c>
      <c r="N39" s="20">
        <f>'TE BE'!$N$39*'TE BE'!$N$56</f>
        <v>-1.0383424417631652E-2</v>
      </c>
      <c r="O39" s="20">
        <f>'TE BE'!$O$39*'TE BE'!$O$56</f>
        <v>-1.1358491858510187</v>
      </c>
      <c r="P39" s="20">
        <f>'TE BE'!$P$39*'TE BE'!$P$56</f>
        <v>0</v>
      </c>
      <c r="Q39" s="20">
        <f>SUM($L$39:$P$39)</f>
        <v>2.4625249059794196</v>
      </c>
      <c r="R39" s="20">
        <f>'TE BE'!$R$39*'TE BE'!$R$56</f>
        <v>98.781943773680837</v>
      </c>
      <c r="S39" s="20">
        <f>SUM($R$39:$R$39)</f>
        <v>98.781943773680837</v>
      </c>
      <c r="T39" s="20">
        <f>'TE BE'!$T$39*'TE BE'!$T$56</f>
        <v>-0.77596165610372048</v>
      </c>
      <c r="U39" s="20">
        <f>'TE BE'!$U$39*'TE BE'!$U$56</f>
        <v>7.7838382005741613E-2</v>
      </c>
      <c r="V39" s="20">
        <f>'TE BE'!$V$39*'TE BE'!$V$56</f>
        <v>0</v>
      </c>
      <c r="W39" s="20">
        <f>SUM($T$39:$V$39)</f>
        <v>-0.69812327409797881</v>
      </c>
      <c r="X39" s="20">
        <f>'TE BE'!$AB$39*'TE BE'!$X$56</f>
        <v>0</v>
      </c>
      <c r="Y39" s="20">
        <f>SUM($X$39:$X$39)</f>
        <v>0</v>
      </c>
      <c r="Z39" s="20">
        <f>'TE BE'!$Z$39*'TE BE'!$Z$56</f>
        <v>1.5316496487675368</v>
      </c>
      <c r="AA39" s="20">
        <f>SUM($Z$39:$Z$39)</f>
        <v>1.5316496487675368</v>
      </c>
      <c r="AB39" s="20">
        <f>SUMIF($L$4:$AA$4,"SUBTOTAL",$L$39:$AA$39)</f>
        <v>102.07799505432982</v>
      </c>
    </row>
    <row r="40" spans="1:28" ht="11.25" customHeight="1" x14ac:dyDescent="0.3">
      <c r="A40" s="133"/>
      <c r="B40" s="133" t="s">
        <v>91</v>
      </c>
      <c r="C40" s="133" t="s">
        <v>45</v>
      </c>
      <c r="D40" s="22" t="s">
        <v>25</v>
      </c>
      <c r="E40" s="22" t="s">
        <v>25</v>
      </c>
      <c r="F40" s="22" t="s">
        <v>25</v>
      </c>
      <c r="G40" s="23" t="s">
        <v>84</v>
      </c>
      <c r="H40" s="23" t="s">
        <v>78</v>
      </c>
      <c r="I40" s="23">
        <f>'MERCADO TE'!$U$37</f>
        <v>0</v>
      </c>
      <c r="J40" s="15"/>
      <c r="L40" s="20">
        <f>'TE BE'!$L$40*'TE BE'!$L$56</f>
        <v>1.9061118106308186E-7</v>
      </c>
      <c r="M40" s="20">
        <f>'TE BE'!$M$40*'TE BE'!$M$56</f>
        <v>3.6087573256368892</v>
      </c>
      <c r="N40" s="20">
        <f>'TE BE'!$N$40*'TE BE'!$N$56</f>
        <v>-1.0383424417631652E-2</v>
      </c>
      <c r="O40" s="20">
        <f>'TE BE'!$O$40*'TE BE'!$O$56</f>
        <v>-1.1358491858510187</v>
      </c>
      <c r="P40" s="20">
        <f>'TE BE'!$P$40*'TE BE'!$P$56</f>
        <v>0</v>
      </c>
      <c r="Q40" s="20">
        <f>SUM($L$40:$P$40)</f>
        <v>2.4625249059794196</v>
      </c>
      <c r="R40" s="20">
        <f>'TE BE'!$R$40*'TE BE'!$R$56</f>
        <v>98.781943773680837</v>
      </c>
      <c r="S40" s="20">
        <f>SUM($R$40:$R$40)</f>
        <v>98.781943773680837</v>
      </c>
      <c r="T40" s="20">
        <f>'TE BE'!$T$40*'TE BE'!$T$56</f>
        <v>-0.77596165610372048</v>
      </c>
      <c r="U40" s="20">
        <f>'TE BE'!$U$40*'TE BE'!$U$56</f>
        <v>7.7838382005741613E-2</v>
      </c>
      <c r="V40" s="20">
        <f>'TE BE'!$V$40*'TE BE'!$V$56</f>
        <v>0</v>
      </c>
      <c r="W40" s="20">
        <f>SUM($T$40:$V$40)</f>
        <v>-0.69812327409797881</v>
      </c>
      <c r="X40" s="20">
        <f>'TE BE'!$AB$40*'TE BE'!$X$56</f>
        <v>0</v>
      </c>
      <c r="Y40" s="20">
        <f>SUM($X$40:$X$40)</f>
        <v>0</v>
      </c>
      <c r="Z40" s="20">
        <f>'TE BE'!$Z$40*'TE BE'!$Z$56</f>
        <v>1.5316496487675368</v>
      </c>
      <c r="AA40" s="20">
        <f>SUM($Z$40:$Z$40)</f>
        <v>1.5316496487675368</v>
      </c>
      <c r="AB40" s="20">
        <f>SUMIF($L$4:$AA$4,"SUBTOTAL",$L$40:$AA$40)</f>
        <v>102.07799505432982</v>
      </c>
    </row>
    <row r="41" spans="1:28" ht="11.25" customHeight="1" x14ac:dyDescent="0.3">
      <c r="A41" s="133"/>
      <c r="B41" s="133"/>
      <c r="C41" s="133"/>
      <c r="D41" s="22" t="s">
        <v>93</v>
      </c>
      <c r="E41" s="22" t="s">
        <v>25</v>
      </c>
      <c r="F41" s="22" t="s">
        <v>25</v>
      </c>
      <c r="G41" s="23" t="s">
        <v>84</v>
      </c>
      <c r="H41" s="23" t="s">
        <v>78</v>
      </c>
      <c r="I41" s="23">
        <f>'MERCADO TE'!$U$38</f>
        <v>0</v>
      </c>
      <c r="J41" s="15"/>
      <c r="L41" s="20">
        <f>'TE BE'!$L$41*'TE BE'!$L$56</f>
        <v>1.9061118106308186E-7</v>
      </c>
      <c r="M41" s="20">
        <f>'TE BE'!$M$41*'TE BE'!$M$56</f>
        <v>3.6087573256368892</v>
      </c>
      <c r="N41" s="20">
        <f>'TE BE'!$N$41*'TE BE'!$N$56</f>
        <v>-1.0383424417631652E-2</v>
      </c>
      <c r="O41" s="20">
        <f>'TE BE'!$O$41*'TE BE'!$O$56</f>
        <v>-1.1358491858510187</v>
      </c>
      <c r="P41" s="20">
        <f>'TE BE'!$P$41*'TE BE'!$P$56</f>
        <v>0</v>
      </c>
      <c r="Q41" s="20">
        <f>SUM($L$41:$P$41)</f>
        <v>2.4625249059794196</v>
      </c>
      <c r="R41" s="20">
        <f>'TE BE'!$R$41*'TE BE'!$R$56</f>
        <v>98.781943773680837</v>
      </c>
      <c r="S41" s="20">
        <f>SUM($R$41:$R$41)</f>
        <v>98.781943773680837</v>
      </c>
      <c r="T41" s="20">
        <f>'TE BE'!$T$41*'TE BE'!$T$56</f>
        <v>-0.77596165610372048</v>
      </c>
      <c r="U41" s="20">
        <f>'TE BE'!$U$41*'TE BE'!$U$56</f>
        <v>7.7838382005741613E-2</v>
      </c>
      <c r="V41" s="20">
        <f>'TE BE'!$V$41*'TE BE'!$V$56</f>
        <v>0</v>
      </c>
      <c r="W41" s="20">
        <f>SUM($T$41:$V$41)</f>
        <v>-0.69812327409797881</v>
      </c>
      <c r="X41" s="20">
        <f>'TE BE'!$AB$41*'TE BE'!$X$56</f>
        <v>0</v>
      </c>
      <c r="Y41" s="20">
        <f>SUM($X$41:$X$41)</f>
        <v>0</v>
      </c>
      <c r="Z41" s="20">
        <f>'TE BE'!$Z$41*'TE BE'!$Z$56</f>
        <v>1.5316496487675368</v>
      </c>
      <c r="AA41" s="20">
        <f>SUM($Z$41:$Z$41)</f>
        <v>1.5316496487675368</v>
      </c>
      <c r="AB41" s="20">
        <f>SUMIF($L$4:$AA$4,"SUBTOTAL",$L$41:$AA$41)</f>
        <v>102.07799505432982</v>
      </c>
    </row>
    <row r="42" spans="1:28" ht="11.25" customHeight="1" x14ac:dyDescent="0.3">
      <c r="A42" s="133"/>
      <c r="B42" s="133"/>
      <c r="C42" s="133"/>
      <c r="D42" s="22" t="s">
        <v>94</v>
      </c>
      <c r="E42" s="22" t="s">
        <v>25</v>
      </c>
      <c r="F42" s="22" t="s">
        <v>25</v>
      </c>
      <c r="G42" s="23" t="s">
        <v>84</v>
      </c>
      <c r="H42" s="23" t="s">
        <v>78</v>
      </c>
      <c r="I42" s="23">
        <f>'MERCADO TE'!$U$39</f>
        <v>0</v>
      </c>
      <c r="J42" s="15"/>
      <c r="L42" s="20">
        <f>'TE BE'!$L$42*'TE BE'!$L$56</f>
        <v>1.9061118106308186E-7</v>
      </c>
      <c r="M42" s="20">
        <f>'TE BE'!$M$42*'TE BE'!$M$56</f>
        <v>3.6087573256368892</v>
      </c>
      <c r="N42" s="20">
        <f>'TE BE'!$N$42*'TE BE'!$N$56</f>
        <v>-1.0383424417631652E-2</v>
      </c>
      <c r="O42" s="20">
        <f>'TE BE'!$O$42*'TE BE'!$O$56</f>
        <v>-1.1358491858510187</v>
      </c>
      <c r="P42" s="20">
        <f>'TE BE'!$P$42*'TE BE'!$P$56</f>
        <v>0</v>
      </c>
      <c r="Q42" s="20">
        <f>SUM($L$42:$P$42)</f>
        <v>2.4625249059794196</v>
      </c>
      <c r="R42" s="20">
        <f>'TE BE'!$R$42*'TE BE'!$R$56</f>
        <v>98.781943773680837</v>
      </c>
      <c r="S42" s="20">
        <f>SUM($R$42:$R$42)</f>
        <v>98.781943773680837</v>
      </c>
      <c r="T42" s="20">
        <f>'TE BE'!$T$42*'TE BE'!$T$56</f>
        <v>-0.77596165610372048</v>
      </c>
      <c r="U42" s="20">
        <f>'TE BE'!$U$42*'TE BE'!$U$56</f>
        <v>7.7838382005741613E-2</v>
      </c>
      <c r="V42" s="20">
        <f>'TE BE'!$V$42*'TE BE'!$V$56</f>
        <v>0</v>
      </c>
      <c r="W42" s="20">
        <f>SUM($T$42:$V$42)</f>
        <v>-0.69812327409797881</v>
      </c>
      <c r="X42" s="20">
        <f>'TE BE'!$AB$42*'TE BE'!$X$56</f>
        <v>0</v>
      </c>
      <c r="Y42" s="20">
        <f>SUM($X$42:$X$42)</f>
        <v>0</v>
      </c>
      <c r="Z42" s="20">
        <f>'TE BE'!$Z$42*'TE BE'!$Z$56</f>
        <v>1.5316496487675368</v>
      </c>
      <c r="AA42" s="20">
        <f>SUM($Z$42:$Z$42)</f>
        <v>1.5316496487675368</v>
      </c>
      <c r="AB42" s="20">
        <f>SUMIF($L$4:$AA$4,"SUBTOTAL",$L$42:$AA$42)</f>
        <v>102.07799505432982</v>
      </c>
    </row>
    <row r="43" spans="1:28" ht="11.25" customHeight="1" x14ac:dyDescent="0.3">
      <c r="A43" s="133" t="s">
        <v>37</v>
      </c>
      <c r="B43" s="133" t="s">
        <v>77</v>
      </c>
      <c r="C43" s="133" t="s">
        <v>25</v>
      </c>
      <c r="D43" s="133" t="s">
        <v>25</v>
      </c>
      <c r="E43" s="133" t="s">
        <v>25</v>
      </c>
      <c r="F43" s="133" t="s">
        <v>25</v>
      </c>
      <c r="G43" s="23" t="s">
        <v>79</v>
      </c>
      <c r="H43" s="23" t="s">
        <v>78</v>
      </c>
      <c r="I43" s="23">
        <f>'MERCADO TE'!$U$40</f>
        <v>22.301000000000002</v>
      </c>
      <c r="J43" s="15"/>
      <c r="L43" s="20">
        <f>'TE BE'!$L$43*'TE BE'!$L$56</f>
        <v>1.9061118106308186E-7</v>
      </c>
      <c r="M43" s="20">
        <f>'TE BE'!$M$43*'TE BE'!$M$56</f>
        <v>3.6087573256368892</v>
      </c>
      <c r="N43" s="20">
        <f>'TE BE'!$N$43*'TE BE'!$N$56</f>
        <v>-1.0383424417631652E-2</v>
      </c>
      <c r="O43" s="20">
        <f>'TE BE'!$O$43*'TE BE'!$O$56</f>
        <v>-1.1358491858510187</v>
      </c>
      <c r="P43" s="20">
        <f>'TE BE'!$P$43*'TE BE'!$P$56</f>
        <v>0</v>
      </c>
      <c r="Q43" s="20">
        <f>SUM($L$43:$P$43)</f>
        <v>2.4625249059794196</v>
      </c>
      <c r="R43" s="20">
        <f>'TE BE'!$R$43*'TE BE'!$R$56</f>
        <v>160.28768234974626</v>
      </c>
      <c r="S43" s="20">
        <f>SUM($R$43:$R$43)</f>
        <v>160.28768234974626</v>
      </c>
      <c r="T43" s="20">
        <f>'TE BE'!$T$43*'TE BE'!$T$56</f>
        <v>-0.77596165610372048</v>
      </c>
      <c r="U43" s="20">
        <f>'TE BE'!$U$43*'TE BE'!$U$56</f>
        <v>7.7838382005741613E-2</v>
      </c>
      <c r="V43" s="20">
        <f>'TE BE'!$V$43*'TE BE'!$V$56</f>
        <v>0</v>
      </c>
      <c r="W43" s="20">
        <f>SUM($T$43:$V$43)</f>
        <v>-0.69812327409797881</v>
      </c>
      <c r="X43" s="20">
        <f>'TE BE'!$AB$43*'TE BE'!$X$56</f>
        <v>0</v>
      </c>
      <c r="Y43" s="20">
        <f>SUM($X$43:$X$43)</f>
        <v>0</v>
      </c>
      <c r="Z43" s="20">
        <f>'TE BE'!$Z$43*'TE BE'!$Z$56</f>
        <v>1.5316496487675368</v>
      </c>
      <c r="AA43" s="20">
        <f>SUM($Z$43:$Z$43)</f>
        <v>1.5316496487675368</v>
      </c>
      <c r="AB43" s="20">
        <f>SUMIF($L$4:$AA$4,"SUBTOTAL",$L$43:$AA$43)</f>
        <v>163.58373363039524</v>
      </c>
    </row>
    <row r="44" spans="1:28" ht="11.25" customHeight="1" x14ac:dyDescent="0.3">
      <c r="A44" s="133"/>
      <c r="B44" s="133"/>
      <c r="C44" s="133"/>
      <c r="D44" s="133"/>
      <c r="E44" s="133"/>
      <c r="F44" s="133"/>
      <c r="G44" s="23" t="s">
        <v>90</v>
      </c>
      <c r="H44" s="23" t="s">
        <v>78</v>
      </c>
      <c r="I44" s="23">
        <f>'MERCADO TE'!$U$41</f>
        <v>24.489000000000001</v>
      </c>
      <c r="J44" s="15"/>
      <c r="L44" s="20">
        <f>'TE BE'!$L$44*'TE BE'!$L$56</f>
        <v>1.9061118106308186E-7</v>
      </c>
      <c r="M44" s="20">
        <f>'TE BE'!$M$44*'TE BE'!$M$56</f>
        <v>3.6087573256368892</v>
      </c>
      <c r="N44" s="20">
        <f>'TE BE'!$N$44*'TE BE'!$N$56</f>
        <v>-1.0383424417631652E-2</v>
      </c>
      <c r="O44" s="20">
        <f>'TE BE'!$O$44*'TE BE'!$O$56</f>
        <v>-1.1358491858510187</v>
      </c>
      <c r="P44" s="20">
        <f>'TE BE'!$P$44*'TE BE'!$P$56</f>
        <v>0</v>
      </c>
      <c r="Q44" s="20">
        <f>SUM($L$44:$P$44)</f>
        <v>2.4625249059794196</v>
      </c>
      <c r="R44" s="20">
        <f>'TE BE'!$R$44*'TE BE'!$R$56</f>
        <v>93.190512994038514</v>
      </c>
      <c r="S44" s="20">
        <f>SUM($R$44:$R$44)</f>
        <v>93.190512994038514</v>
      </c>
      <c r="T44" s="20">
        <f>'TE BE'!$T$44*'TE BE'!$T$56</f>
        <v>-0.77596165610372048</v>
      </c>
      <c r="U44" s="20">
        <f>'TE BE'!$U$44*'TE BE'!$U$56</f>
        <v>7.7838382005741613E-2</v>
      </c>
      <c r="V44" s="20">
        <f>'TE BE'!$V$44*'TE BE'!$V$56</f>
        <v>0</v>
      </c>
      <c r="W44" s="20">
        <f>SUM($T$44:$V$44)</f>
        <v>-0.69812327409797881</v>
      </c>
      <c r="X44" s="20">
        <f>'TE BE'!$AB$44*'TE BE'!$X$56</f>
        <v>0</v>
      </c>
      <c r="Y44" s="20">
        <f>SUM($X$44:$X$44)</f>
        <v>0</v>
      </c>
      <c r="Z44" s="20">
        <f>'TE BE'!$Z$44*'TE BE'!$Z$56</f>
        <v>1.5316496487675368</v>
      </c>
      <c r="AA44" s="20">
        <f>SUM($Z$44:$Z$44)</f>
        <v>1.5316496487675368</v>
      </c>
      <c r="AB44" s="20">
        <f>SUMIF($L$4:$AA$4,"SUBTOTAL",$L$44:$AA$44)</f>
        <v>96.486564274687495</v>
      </c>
    </row>
    <row r="45" spans="1:28" ht="11.25" customHeight="1" x14ac:dyDescent="0.3">
      <c r="A45" s="133"/>
      <c r="B45" s="133"/>
      <c r="C45" s="133"/>
      <c r="D45" s="133"/>
      <c r="E45" s="133"/>
      <c r="F45" s="133"/>
      <c r="G45" s="23" t="s">
        <v>80</v>
      </c>
      <c r="H45" s="23" t="s">
        <v>78</v>
      </c>
      <c r="I45" s="23">
        <f>'MERCADO TE'!$U$42</f>
        <v>464.17199999999997</v>
      </c>
      <c r="J45" s="15"/>
      <c r="L45" s="20">
        <f>'TE BE'!$L$45*'TE BE'!$L$56</f>
        <v>1.9061118106308186E-7</v>
      </c>
      <c r="M45" s="20">
        <f>'TE BE'!$M$45*'TE BE'!$M$56</f>
        <v>3.6087573256368892</v>
      </c>
      <c r="N45" s="20">
        <f>'TE BE'!$N$45*'TE BE'!$N$56</f>
        <v>-1.0383424417631652E-2</v>
      </c>
      <c r="O45" s="20">
        <f>'TE BE'!$O$45*'TE BE'!$O$56</f>
        <v>-1.1358491858510187</v>
      </c>
      <c r="P45" s="20">
        <f>'TE BE'!$P$45*'TE BE'!$P$56</f>
        <v>0</v>
      </c>
      <c r="Q45" s="20">
        <f>SUM($L$45:$P$45)</f>
        <v>2.4625249059794196</v>
      </c>
      <c r="R45" s="20">
        <f>'TE BE'!$R$45*'TE BE'!$R$56</f>
        <v>93.190512994038514</v>
      </c>
      <c r="S45" s="20">
        <f>SUM($R$45:$R$45)</f>
        <v>93.190512994038514</v>
      </c>
      <c r="T45" s="20">
        <f>'TE BE'!$T$45*'TE BE'!$T$56</f>
        <v>-0.77596165610372048</v>
      </c>
      <c r="U45" s="20">
        <f>'TE BE'!$U$45*'TE BE'!$U$56</f>
        <v>7.7838382005741613E-2</v>
      </c>
      <c r="V45" s="20">
        <f>'TE BE'!$V$45*'TE BE'!$V$56</f>
        <v>0</v>
      </c>
      <c r="W45" s="20">
        <f>SUM($T$45:$V$45)</f>
        <v>-0.69812327409797881</v>
      </c>
      <c r="X45" s="20">
        <f>'TE BE'!$AB$45*'TE BE'!$X$56</f>
        <v>0</v>
      </c>
      <c r="Y45" s="20">
        <f>SUM($X$45:$X$45)</f>
        <v>0</v>
      </c>
      <c r="Z45" s="20">
        <f>'TE BE'!$Z$45*'TE BE'!$Z$56</f>
        <v>1.5316496487675368</v>
      </c>
      <c r="AA45" s="20">
        <f>SUM($Z$45:$Z$45)</f>
        <v>1.5316496487675368</v>
      </c>
      <c r="AB45" s="20">
        <f>SUMIF($L$4:$AA$4,"SUBTOTAL",$L$45:$AA$45)</f>
        <v>96.486564274687495</v>
      </c>
    </row>
    <row r="46" spans="1:28" ht="11.25" customHeight="1" x14ac:dyDescent="0.3">
      <c r="A46" s="133"/>
      <c r="B46" s="22" t="s">
        <v>86</v>
      </c>
      <c r="C46" s="22" t="s">
        <v>25</v>
      </c>
      <c r="D46" s="22" t="s">
        <v>25</v>
      </c>
      <c r="E46" s="22" t="s">
        <v>25</v>
      </c>
      <c r="F46" s="22" t="s">
        <v>25</v>
      </c>
      <c r="G46" s="23" t="s">
        <v>84</v>
      </c>
      <c r="H46" s="23" t="s">
        <v>78</v>
      </c>
      <c r="I46" s="23">
        <f>'MERCADO TE'!$U$43</f>
        <v>47738.307000000001</v>
      </c>
      <c r="J46" s="15"/>
      <c r="L46" s="20">
        <f>'TE BE'!$L$46*'TE BE'!$L$56</f>
        <v>1.9061118106308186E-7</v>
      </c>
      <c r="M46" s="20">
        <f>'TE BE'!$M$46*'TE BE'!$M$56</f>
        <v>3.6087573256368892</v>
      </c>
      <c r="N46" s="20">
        <f>'TE BE'!$N$46*'TE BE'!$N$56</f>
        <v>-1.0383424417631652E-2</v>
      </c>
      <c r="O46" s="20">
        <f>'TE BE'!$O$46*'TE BE'!$O$56</f>
        <v>-1.1358491858510187</v>
      </c>
      <c r="P46" s="20">
        <f>'TE BE'!$P$46*'TE BE'!$P$56</f>
        <v>0</v>
      </c>
      <c r="Q46" s="20">
        <f>SUM($L$46:$P$46)</f>
        <v>2.4625249059794196</v>
      </c>
      <c r="R46" s="20">
        <f>'TE BE'!$R$46*'TE BE'!$R$56</f>
        <v>98.781943773680837</v>
      </c>
      <c r="S46" s="20">
        <f>SUM($R$46:$R$46)</f>
        <v>98.781943773680837</v>
      </c>
      <c r="T46" s="20">
        <f>'TE BE'!$T$46*'TE BE'!$T$56</f>
        <v>-0.77596165610372048</v>
      </c>
      <c r="U46" s="20">
        <f>'TE BE'!$U$46*'TE BE'!$U$56</f>
        <v>7.7838382005741613E-2</v>
      </c>
      <c r="V46" s="20">
        <f>'TE BE'!$V$46*'TE BE'!$V$56</f>
        <v>0</v>
      </c>
      <c r="W46" s="20">
        <f>SUM($T$46:$V$46)</f>
        <v>-0.69812327409797881</v>
      </c>
      <c r="X46" s="20">
        <f>'TE BE'!$AB$46*'TE BE'!$X$56</f>
        <v>0</v>
      </c>
      <c r="Y46" s="20">
        <f>SUM($X$46:$X$46)</f>
        <v>0</v>
      </c>
      <c r="Z46" s="20">
        <f>'TE BE'!$Z$46*'TE BE'!$Z$56</f>
        <v>1.5316496487675368</v>
      </c>
      <c r="AA46" s="20">
        <f>SUM($Z$46:$Z$46)</f>
        <v>1.5316496487675368</v>
      </c>
      <c r="AB46" s="20">
        <f>SUMIF($L$4:$AA$4,"SUBTOTAL",$L$46:$AA$46)</f>
        <v>102.07799505432982</v>
      </c>
    </row>
    <row r="47" spans="1:28" ht="11.25" customHeight="1" x14ac:dyDescent="0.3">
      <c r="A47" s="133"/>
      <c r="B47" s="22" t="s">
        <v>91</v>
      </c>
      <c r="C47" s="22" t="s">
        <v>25</v>
      </c>
      <c r="D47" s="22" t="s">
        <v>25</v>
      </c>
      <c r="E47" s="22" t="s">
        <v>25</v>
      </c>
      <c r="F47" s="22" t="s">
        <v>25</v>
      </c>
      <c r="G47" s="23" t="s">
        <v>84</v>
      </c>
      <c r="H47" s="23" t="s">
        <v>78</v>
      </c>
      <c r="I47" s="23">
        <f>'MERCADO TE'!$U$44</f>
        <v>0</v>
      </c>
      <c r="J47" s="15"/>
      <c r="L47" s="20">
        <f>'TE BE'!$L$47*'TE BE'!$L$56</f>
        <v>1.9061118106308186E-7</v>
      </c>
      <c r="M47" s="20">
        <f>'TE BE'!$M$47*'TE BE'!$M$56</f>
        <v>3.6087573256368892</v>
      </c>
      <c r="N47" s="20">
        <f>'TE BE'!$N$47*'TE BE'!$N$56</f>
        <v>-1.0383424417631652E-2</v>
      </c>
      <c r="O47" s="20">
        <f>'TE BE'!$O$47*'TE BE'!$O$56</f>
        <v>-1.1358491858510187</v>
      </c>
      <c r="P47" s="20">
        <f>'TE BE'!$P$47*'TE BE'!$P$56</f>
        <v>0</v>
      </c>
      <c r="Q47" s="20">
        <f>SUM($L$47:$P$47)</f>
        <v>2.4625249059794196</v>
      </c>
      <c r="R47" s="20">
        <f>'TE BE'!$R$47*'TE BE'!$R$56</f>
        <v>98.781943773680837</v>
      </c>
      <c r="S47" s="20">
        <f>SUM($R$47:$R$47)</f>
        <v>98.781943773680837</v>
      </c>
      <c r="T47" s="20">
        <f>'TE BE'!$T$47*'TE BE'!$T$56</f>
        <v>-0.77596165610372048</v>
      </c>
      <c r="U47" s="20">
        <f>'TE BE'!$U$47*'TE BE'!$U$56</f>
        <v>7.7838382005741613E-2</v>
      </c>
      <c r="V47" s="20">
        <f>'TE BE'!$V$47*'TE BE'!$V$56</f>
        <v>0</v>
      </c>
      <c r="W47" s="20">
        <f>SUM($T$47:$V$47)</f>
        <v>-0.69812327409797881</v>
      </c>
      <c r="X47" s="20">
        <f>'TE BE'!$AB$47*'TE BE'!$X$56</f>
        <v>0</v>
      </c>
      <c r="Y47" s="20">
        <f>SUM($X$47:$X$47)</f>
        <v>0</v>
      </c>
      <c r="Z47" s="20">
        <f>'TE BE'!$Z$47*'TE BE'!$Z$56</f>
        <v>1.5316496487675368</v>
      </c>
      <c r="AA47" s="20">
        <f>SUM($Z$47:$Z$47)</f>
        <v>1.5316496487675368</v>
      </c>
      <c r="AB47" s="20">
        <f>SUMIF($L$4:$AA$4,"SUBTOTAL",$L$47:$AA$47)</f>
        <v>102.07799505432982</v>
      </c>
    </row>
    <row r="48" spans="1:28" ht="11.25" customHeight="1" x14ac:dyDescent="0.3">
      <c r="A48" s="133" t="s">
        <v>47</v>
      </c>
      <c r="B48" s="133" t="s">
        <v>86</v>
      </c>
      <c r="C48" s="133" t="s">
        <v>48</v>
      </c>
      <c r="D48" s="22" t="s">
        <v>49</v>
      </c>
      <c r="E48" s="22" t="s">
        <v>25</v>
      </c>
      <c r="F48" s="22" t="s">
        <v>25</v>
      </c>
      <c r="G48" s="23" t="s">
        <v>84</v>
      </c>
      <c r="H48" s="23" t="s">
        <v>78</v>
      </c>
      <c r="I48" s="23">
        <f>'MERCADO TE'!$U$45</f>
        <v>19654.344999999998</v>
      </c>
      <c r="J48" s="15"/>
      <c r="L48" s="20">
        <f>'TE BE'!$L$48*'TE BE'!$L$56</f>
        <v>1.0483614958469504E-7</v>
      </c>
      <c r="M48" s="20">
        <f>'TE BE'!$M$48*'TE BE'!$M$56</f>
        <v>1.9848165291002891</v>
      </c>
      <c r="N48" s="20">
        <f>'TE BE'!$N$48*'TE BE'!$N$56</f>
        <v>-5.7108834296974087E-3</v>
      </c>
      <c r="O48" s="20">
        <f>'TE BE'!$O$48*'TE BE'!$O$56</f>
        <v>-0.62471705221806029</v>
      </c>
      <c r="P48" s="20">
        <f>'TE BE'!$P$48*'TE BE'!$P$56</f>
        <v>0</v>
      </c>
      <c r="Q48" s="20">
        <f>SUM($L$48:$P$48)</f>
        <v>1.3543886982886808</v>
      </c>
      <c r="R48" s="20">
        <f>'TE BE'!$R$48*'TE BE'!$R$56</f>
        <v>54.330069075524463</v>
      </c>
      <c r="S48" s="20">
        <f>SUM($R$48:$R$48)</f>
        <v>54.330069075524463</v>
      </c>
      <c r="T48" s="20">
        <f>'TE BE'!$T$48*'TE BE'!$T$56</f>
        <v>-0.42677891085704633</v>
      </c>
      <c r="U48" s="20">
        <f>'TE BE'!$U$48*'TE BE'!$U$56</f>
        <v>4.2811110103157891E-2</v>
      </c>
      <c r="V48" s="20">
        <f>'TE BE'!$V$48*'TE BE'!$V$56</f>
        <v>0</v>
      </c>
      <c r="W48" s="20">
        <f>SUM($T$48:$V$48)</f>
        <v>-0.38396780075388842</v>
      </c>
      <c r="X48" s="20">
        <f>'TE BE'!$AB$48*'TE BE'!$X$56</f>
        <v>0</v>
      </c>
      <c r="Y48" s="20">
        <f>SUM($X$48:$X$48)</f>
        <v>0</v>
      </c>
      <c r="Z48" s="20">
        <f>'TE BE'!$Z$48*'TE BE'!$Z$56</f>
        <v>0.84240730682214537</v>
      </c>
      <c r="AA48" s="20">
        <f>SUM($Z$48:$Z$48)</f>
        <v>0.84240730682214537</v>
      </c>
      <c r="AB48" s="20">
        <f>SUMIF($L$4:$AA$4,"SUBTOTAL",$L$48:$AA$48)</f>
        <v>56.142897279881403</v>
      </c>
    </row>
    <row r="49" spans="1:28" ht="11.25" customHeight="1" x14ac:dyDescent="0.3">
      <c r="A49" s="133"/>
      <c r="B49" s="133"/>
      <c r="C49" s="133"/>
      <c r="D49" s="23" t="s">
        <v>95</v>
      </c>
      <c r="E49" s="23" t="s">
        <v>25</v>
      </c>
      <c r="F49" s="23" t="s">
        <v>25</v>
      </c>
      <c r="G49" s="23" t="s">
        <v>84</v>
      </c>
      <c r="H49" s="23" t="s">
        <v>78</v>
      </c>
      <c r="I49" s="23">
        <f>'MERCADO TE'!$U$46</f>
        <v>0</v>
      </c>
      <c r="J49" s="15"/>
      <c r="L49" s="20">
        <f>'TE BE'!$L$49*'TE BE'!$L$56</f>
        <v>1.1436670863784912E-7</v>
      </c>
      <c r="M49" s="20">
        <f>'TE BE'!$M$49*'TE BE'!$M$56</f>
        <v>2.1652543953821333</v>
      </c>
      <c r="N49" s="20">
        <f>'TE BE'!$N$49*'TE BE'!$N$56</f>
        <v>-6.2300546505789913E-3</v>
      </c>
      <c r="O49" s="20">
        <f>'TE BE'!$O$49*'TE BE'!$O$56</f>
        <v>-0.68150951151061123</v>
      </c>
      <c r="P49" s="20">
        <f>'TE BE'!$P$49*'TE BE'!$P$56</f>
        <v>0</v>
      </c>
      <c r="Q49" s="20">
        <f>SUM($L$49:$P$49)</f>
        <v>1.4775149435876513</v>
      </c>
      <c r="R49" s="20">
        <f>'TE BE'!$R$49*'TE BE'!$R$56</f>
        <v>59.269166264208501</v>
      </c>
      <c r="S49" s="20">
        <f>SUM($R$49:$R$49)</f>
        <v>59.269166264208501</v>
      </c>
      <c r="T49" s="20">
        <f>'TE BE'!$T$49*'TE BE'!$T$56</f>
        <v>-0.46557699366223226</v>
      </c>
      <c r="U49" s="20">
        <f>'TE BE'!$U$49*'TE BE'!$U$56</f>
        <v>4.6703029203444969E-2</v>
      </c>
      <c r="V49" s="20">
        <f>'TE BE'!$V$49*'TE BE'!$V$56</f>
        <v>0</v>
      </c>
      <c r="W49" s="20">
        <f>SUM($T$49:$V$49)</f>
        <v>-0.41887396445878727</v>
      </c>
      <c r="X49" s="20">
        <f>'TE BE'!$AB$49*'TE BE'!$X$56</f>
        <v>0</v>
      </c>
      <c r="Y49" s="20">
        <f>SUM($X$49:$X$49)</f>
        <v>0</v>
      </c>
      <c r="Z49" s="20">
        <f>'TE BE'!$Z$49*'TE BE'!$Z$56</f>
        <v>0.91898978926052211</v>
      </c>
      <c r="AA49" s="20">
        <f>SUM($Z$49:$Z$49)</f>
        <v>0.91898978926052211</v>
      </c>
      <c r="AB49" s="20">
        <f>SUMIF($L$4:$AA$4,"SUBTOTAL",$L$49:$AA$49)</f>
        <v>61.246797032597883</v>
      </c>
    </row>
    <row r="51" spans="1:28" ht="11.25" customHeight="1" x14ac:dyDescent="0.3">
      <c r="K51" s="25" t="s">
        <v>779</v>
      </c>
      <c r="L51" s="20">
        <f t="shared" ref="L51:AB51" si="0">SUMPRODUCT($I$5:$I$49,L$5:L$49)</f>
        <v>5.1110480898934885E-2</v>
      </c>
      <c r="M51" s="20">
        <f t="shared" si="0"/>
        <v>967652.16674154217</v>
      </c>
      <c r="N51" s="20">
        <f t="shared" si="0"/>
        <v>-2784.2113584473482</v>
      </c>
      <c r="O51" s="20">
        <f t="shared" si="0"/>
        <v>-304566.59359503473</v>
      </c>
      <c r="P51" s="20">
        <f t="shared" si="0"/>
        <v>0</v>
      </c>
      <c r="Q51" s="20">
        <f t="shared" si="0"/>
        <v>660301.41289854085</v>
      </c>
      <c r="R51" s="20">
        <f t="shared" si="0"/>
        <v>26466463.051228777</v>
      </c>
      <c r="S51" s="20">
        <f t="shared" si="0"/>
        <v>26466463.051228777</v>
      </c>
      <c r="T51" s="20">
        <f t="shared" si="0"/>
        <v>-208066.35361789129</v>
      </c>
      <c r="U51" s="20">
        <f t="shared" si="0"/>
        <v>20871.583264529665</v>
      </c>
      <c r="V51" s="20">
        <f t="shared" si="0"/>
        <v>0</v>
      </c>
      <c r="W51" s="20">
        <f t="shared" si="0"/>
        <v>-187194.77035336156</v>
      </c>
      <c r="X51" s="20">
        <f t="shared" si="0"/>
        <v>0</v>
      </c>
      <c r="Y51" s="20">
        <f t="shared" si="0"/>
        <v>0</v>
      </c>
      <c r="Z51" s="20">
        <f t="shared" si="0"/>
        <v>410696.52724771696</v>
      </c>
      <c r="AA51" s="20">
        <f t="shared" si="0"/>
        <v>410696.52724771696</v>
      </c>
      <c r="AB51" s="20">
        <f t="shared" si="0"/>
        <v>27350266.221021682</v>
      </c>
    </row>
    <row r="52" spans="1:28" ht="11.25" customHeight="1" x14ac:dyDescent="0.3">
      <c r="K52" s="25" t="s">
        <v>698</v>
      </c>
      <c r="L52" s="20">
        <f>CUSTOS!$D$30</f>
        <v>731057.07646746421</v>
      </c>
      <c r="M52" s="20">
        <f>CUSTOS!$D$31</f>
        <v>5365702.4400000004</v>
      </c>
      <c r="N52" s="20">
        <f>CUSTOS!$D$32</f>
        <v>397360.84061800007</v>
      </c>
      <c r="O52" s="20">
        <f>CUSTOS!$D$33</f>
        <v>3682961.2815288282</v>
      </c>
      <c r="P52" s="20">
        <f>CUSTOS!$D$34</f>
        <v>-5084464.72</v>
      </c>
      <c r="Q52" s="20">
        <f>CUSTOS!$D$35</f>
        <v>5092616.9186142934</v>
      </c>
      <c r="R52" s="20">
        <f>CUSTOS!$D$36</f>
        <v>55492514.492287464</v>
      </c>
      <c r="S52" s="20">
        <f>CUSTOS!$D$37</f>
        <v>55492514.492287464</v>
      </c>
      <c r="T52" s="20">
        <f>CUSTOS!$D$38</f>
        <v>2161181.9848781759</v>
      </c>
      <c r="U52" s="20">
        <f>CUSTOS!$D$39</f>
        <v>1489818.5342950558</v>
      </c>
      <c r="V52" s="20">
        <f>CUSTOS!$D$40</f>
        <v>0</v>
      </c>
      <c r="W52" s="20">
        <f>CUSTOS!$D$41</f>
        <v>3651000.5191732319</v>
      </c>
      <c r="X52" s="20">
        <f>CUSTOS!$D$42</f>
        <v>0</v>
      </c>
      <c r="Y52" s="20">
        <f>CUSTOS!$D$43</f>
        <v>0</v>
      </c>
      <c r="Z52" s="20">
        <f>CUSTOS!$D$44</f>
        <v>861111.77553692611</v>
      </c>
      <c r="AA52" s="20">
        <f>CUSTOS!$D$45</f>
        <v>861111.77553692611</v>
      </c>
      <c r="AB52" s="20">
        <f>CUSTOS!$D$46</f>
        <v>65097243.705611914</v>
      </c>
    </row>
    <row r="53" spans="1:28" ht="11.25" customHeight="1" x14ac:dyDescent="0.3">
      <c r="K53" s="25" t="s">
        <v>699</v>
      </c>
      <c r="L53" s="20">
        <f>CUSTOS!$E$30</f>
        <v>5.1110480898934878E-2</v>
      </c>
      <c r="M53" s="20">
        <f>CUSTOS!$E$31</f>
        <v>967652.16674154205</v>
      </c>
      <c r="N53" s="20">
        <f>CUSTOS!$E$32</f>
        <v>-2784.2113584473482</v>
      </c>
      <c r="O53" s="20">
        <f>CUSTOS!$E$33</f>
        <v>-304566.59359503468</v>
      </c>
      <c r="P53" s="20">
        <f>CUSTOS!$E$34</f>
        <v>0</v>
      </c>
      <c r="Q53" s="20">
        <f>CUSTOS!$E$35</f>
        <v>660301.41289854096</v>
      </c>
      <c r="R53" s="20">
        <f>CUSTOS!$E$36</f>
        <v>26466463.05122878</v>
      </c>
      <c r="S53" s="20">
        <f>CUSTOS!$E$37</f>
        <v>26466463.05122878</v>
      </c>
      <c r="T53" s="20">
        <f>CUSTOS!$E$38</f>
        <v>-208066.3536178912</v>
      </c>
      <c r="U53" s="20">
        <f>CUSTOS!$E$39</f>
        <v>20871.583264529665</v>
      </c>
      <c r="V53" s="20">
        <f>CUSTOS!$E$40</f>
        <v>0</v>
      </c>
      <c r="W53" s="20">
        <f>CUSTOS!$E$41</f>
        <v>-187194.77035336153</v>
      </c>
      <c r="X53" s="20">
        <f>CUSTOS!$E$42</f>
        <v>0</v>
      </c>
      <c r="Y53" s="20">
        <f>CUSTOS!$E$43</f>
        <v>0</v>
      </c>
      <c r="Z53" s="20">
        <f>CUSTOS!$E$44</f>
        <v>410696.52724771696</v>
      </c>
      <c r="AA53" s="20">
        <f>CUSTOS!$E$45</f>
        <v>410696.52724771696</v>
      </c>
      <c r="AB53" s="20">
        <f>CUSTOS!$E$46</f>
        <v>27350266.221021675</v>
      </c>
    </row>
    <row r="54" spans="1:28" ht="11.25" customHeight="1" x14ac:dyDescent="0.3">
      <c r="K54" s="25" t="s">
        <v>700</v>
      </c>
      <c r="L54" s="20">
        <f>CUSTOS!$F$30</f>
        <v>0</v>
      </c>
      <c r="M54" s="20">
        <f>CUSTOS!$F$31</f>
        <v>-513101.21960000001</v>
      </c>
      <c r="N54" s="20">
        <f>CUSTOS!$F$32</f>
        <v>25540.483499999998</v>
      </c>
      <c r="O54" s="20">
        <f>CUSTOS!$F$33</f>
        <v>255023.19113352295</v>
      </c>
      <c r="P54" s="20">
        <f>CUSTOS!$F$34</f>
        <v>0</v>
      </c>
      <c r="Q54" s="20">
        <f>CUSTOS!$F$35</f>
        <v>-232537.54496647709</v>
      </c>
      <c r="R54" s="20">
        <f>CUSTOS!$F$36</f>
        <v>-8096075.2845074646</v>
      </c>
      <c r="S54" s="20">
        <f>CUSTOS!$F$37</f>
        <v>-8096075.2845074646</v>
      </c>
      <c r="T54" s="20">
        <f>CUSTOS!$F$38</f>
        <v>224596.42439999999</v>
      </c>
      <c r="U54" s="20">
        <f>CUSTOS!$F$39</f>
        <v>130231.45802228441</v>
      </c>
      <c r="V54" s="20">
        <f>CUSTOS!$F$40</f>
        <v>0</v>
      </c>
      <c r="W54" s="20">
        <f>CUSTOS!$F$41</f>
        <v>354827.8824222844</v>
      </c>
      <c r="X54" s="20">
        <f>CUSTOS!$F$42</f>
        <v>0</v>
      </c>
      <c r="Y54" s="20">
        <f>CUSTOS!$F$43</f>
        <v>0</v>
      </c>
      <c r="Z54" s="20">
        <f>CUSTOS!$F$44</f>
        <v>-125631.82308294547</v>
      </c>
      <c r="AA54" s="20">
        <f>CUSTOS!$F$45</f>
        <v>-125631.82308294547</v>
      </c>
      <c r="AB54" s="20">
        <f>CUSTOS!$F$46</f>
        <v>-8099416.7701346027</v>
      </c>
    </row>
    <row r="55" spans="1:28" ht="11.25" customHeight="1" x14ac:dyDescent="0.3">
      <c r="K55" s="25" t="s">
        <v>780</v>
      </c>
      <c r="L55" s="20">
        <f>'TR TE'!$L$55*L56</f>
        <v>0</v>
      </c>
      <c r="M55" s="20">
        <f>'TR TE'!$M$55*M56</f>
        <v>-1.9135572147375723</v>
      </c>
      <c r="N55" s="20">
        <f>'TR TE'!$N$55*N56</f>
        <v>9.5250556035339662E-2</v>
      </c>
      <c r="O55" s="20">
        <f>'TR TE'!$O$55*O56</f>
        <v>0.95108225955764558</v>
      </c>
      <c r="P55" s="20">
        <f>'TR TE'!$P$55*P56</f>
        <v>0</v>
      </c>
      <c r="Q55" s="20"/>
      <c r="R55" s="20">
        <f>'TR TE'!$R$55*R56</f>
        <v>-29.84558999327572</v>
      </c>
      <c r="S55" s="20"/>
      <c r="T55" s="20">
        <f>'TR TE'!$T$55*T56</f>
        <v>0.83760882238776446</v>
      </c>
      <c r="U55" s="20">
        <f>'TR TE'!$U$55*U56</f>
        <v>0.48568457170811147</v>
      </c>
      <c r="V55" s="20">
        <f>'TR TE'!$V$55*V56</f>
        <v>0</v>
      </c>
      <c r="W55" s="20"/>
      <c r="X55" s="20"/>
      <c r="Y55" s="20"/>
      <c r="Z55" s="20">
        <f>'TR TE'!$Z$55*Z56</f>
        <v>-0.46853071533998086</v>
      </c>
      <c r="AA55" s="20"/>
      <c r="AB55" s="20"/>
    </row>
    <row r="56" spans="1:28" ht="11.25" customHeight="1" x14ac:dyDescent="0.3">
      <c r="K56" s="25" t="s">
        <v>775</v>
      </c>
      <c r="L56" s="20">
        <f>IF(L52&lt;&gt;0,L54/L52,0)</f>
        <v>0</v>
      </c>
      <c r="M56" s="20">
        <f>IF(M52&lt;&gt;0,M54/M52,0)</f>
        <v>-9.5626104007362725E-2</v>
      </c>
      <c r="N56" s="20">
        <f>IF(N52&lt;&gt;0,N54/N52,0)</f>
        <v>6.4275290590481593E-2</v>
      </c>
      <c r="O56" s="20">
        <f>IF(O52&lt;&gt;0,O54/O52,0)</f>
        <v>6.9244059776718769E-2</v>
      </c>
      <c r="P56" s="20">
        <f>IF(P52&lt;&gt;0,P54/P52,0)</f>
        <v>0</v>
      </c>
      <c r="Q56" s="20"/>
      <c r="R56" s="20">
        <f>IF(R52&lt;&gt;0,R54/R52,0)</f>
        <v>-0.14589490778315126</v>
      </c>
      <c r="S56" s="20"/>
      <c r="T56" s="20">
        <f>IF(T52&lt;&gt;0,T54/T52,0)</f>
        <v>0.1039229578867049</v>
      </c>
      <c r="U56" s="20">
        <f>IF(U52&lt;&gt;0,U54/U52,0)</f>
        <v>8.7414309209078694E-2</v>
      </c>
      <c r="V56" s="20">
        <f>IF(V52&lt;&gt;0,V54/V52,0)</f>
        <v>0</v>
      </c>
      <c r="W56" s="20"/>
      <c r="X56" s="20">
        <f>IF($AB52&lt;&gt;0,X54/($AB52-SUM('TR TE'!$L55:'TR TE'!$AA55)*0),0)</f>
        <v>0</v>
      </c>
      <c r="Y56" s="20"/>
      <c r="Z56" s="20">
        <f>IF(Z52&lt;&gt;0,Z54/Z52,0)</f>
        <v>-0.14589490778315126</v>
      </c>
      <c r="AA56" s="20"/>
      <c r="AB56" s="20"/>
    </row>
    <row r="57" spans="1:28" ht="11.25" customHeight="1" x14ac:dyDescent="0.3"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</row>
  </sheetData>
  <mergeCells count="79">
    <mergeCell ref="E43:E45"/>
    <mergeCell ref="F43:F45"/>
    <mergeCell ref="A48:A49"/>
    <mergeCell ref="B48:B49"/>
    <mergeCell ref="C48:C49"/>
    <mergeCell ref="D43:D45"/>
    <mergeCell ref="B40:B42"/>
    <mergeCell ref="C40:C42"/>
    <mergeCell ref="A43:A47"/>
    <mergeCell ref="B43:B45"/>
    <mergeCell ref="C43:C45"/>
    <mergeCell ref="A28:A42"/>
    <mergeCell ref="B28:B30"/>
    <mergeCell ref="C28:C30"/>
    <mergeCell ref="B36:B38"/>
    <mergeCell ref="C36:C38"/>
    <mergeCell ref="B32:B34"/>
    <mergeCell ref="C32:C34"/>
    <mergeCell ref="D36:D38"/>
    <mergeCell ref="E36:E38"/>
    <mergeCell ref="F36:F38"/>
    <mergeCell ref="D28:D30"/>
    <mergeCell ref="E28:E30"/>
    <mergeCell ref="F28:F30"/>
    <mergeCell ref="D32:D34"/>
    <mergeCell ref="E32:E34"/>
    <mergeCell ref="F32:F34"/>
    <mergeCell ref="A15:A27"/>
    <mergeCell ref="B15:B17"/>
    <mergeCell ref="C15:C17"/>
    <mergeCell ref="D15:D17"/>
    <mergeCell ref="E15:E17"/>
    <mergeCell ref="F15:F17"/>
    <mergeCell ref="B18:B22"/>
    <mergeCell ref="C18:C22"/>
    <mergeCell ref="B23:B27"/>
    <mergeCell ref="C23:C27"/>
    <mergeCell ref="F12:F13"/>
    <mergeCell ref="A9:A11"/>
    <mergeCell ref="B9:B10"/>
    <mergeCell ref="C9:C10"/>
    <mergeCell ref="D9:D10"/>
    <mergeCell ref="E9:E10"/>
    <mergeCell ref="F9:F10"/>
    <mergeCell ref="A12:A14"/>
    <mergeCell ref="B12:B13"/>
    <mergeCell ref="C12:C13"/>
    <mergeCell ref="D12:D13"/>
    <mergeCell ref="E12:E13"/>
    <mergeCell ref="A7:A8"/>
    <mergeCell ref="B7:B8"/>
    <mergeCell ref="C7:C8"/>
    <mergeCell ref="D7:D8"/>
    <mergeCell ref="E7:E8"/>
    <mergeCell ref="F7:F8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51">
    <cfRule type="cellIs" dxfId="1135" priority="33" operator="notEqual">
      <formula>$L$53</formula>
    </cfRule>
    <cfRule type="cellIs" dxfId="1134" priority="34" operator="equal">
      <formula>$L$53</formula>
    </cfRule>
  </conditionalFormatting>
  <conditionalFormatting sqref="M51">
    <cfRule type="cellIs" dxfId="1133" priority="31" operator="notEqual">
      <formula>$M$53</formula>
    </cfRule>
    <cfRule type="cellIs" dxfId="1132" priority="32" operator="equal">
      <formula>$M$53</formula>
    </cfRule>
  </conditionalFormatting>
  <conditionalFormatting sqref="N51">
    <cfRule type="cellIs" dxfId="1131" priority="29" operator="notEqual">
      <formula>$N$53</formula>
    </cfRule>
    <cfRule type="cellIs" dxfId="1130" priority="30" operator="equal">
      <formula>$N$53</formula>
    </cfRule>
  </conditionalFormatting>
  <conditionalFormatting sqref="O51">
    <cfRule type="cellIs" dxfId="1129" priority="27" operator="notEqual">
      <formula>$O$53</formula>
    </cfRule>
    <cfRule type="cellIs" dxfId="1128" priority="28" operator="equal">
      <formula>$O$53</formula>
    </cfRule>
  </conditionalFormatting>
  <conditionalFormatting sqref="P51">
    <cfRule type="cellIs" dxfId="1127" priority="25" operator="notEqual">
      <formula>$P$53</formula>
    </cfRule>
    <cfRule type="cellIs" dxfId="1126" priority="26" operator="equal">
      <formula>$P$53</formula>
    </cfRule>
  </conditionalFormatting>
  <conditionalFormatting sqref="Q51">
    <cfRule type="cellIs" dxfId="1125" priority="23" operator="notEqual">
      <formula>$Q$53</formula>
    </cfRule>
    <cfRule type="cellIs" dxfId="1124" priority="24" operator="equal">
      <formula>$Q$53</formula>
    </cfRule>
  </conditionalFormatting>
  <conditionalFormatting sqref="R51">
    <cfRule type="cellIs" dxfId="1123" priority="21" operator="notEqual">
      <formula>$R$53</formula>
    </cfRule>
    <cfRule type="cellIs" dxfId="1122" priority="22" operator="equal">
      <formula>$R$53</formula>
    </cfRule>
  </conditionalFormatting>
  <conditionalFormatting sqref="S51">
    <cfRule type="cellIs" dxfId="1121" priority="19" operator="notEqual">
      <formula>$S$53</formula>
    </cfRule>
    <cfRule type="cellIs" dxfId="1120" priority="20" operator="equal">
      <formula>$S$53</formula>
    </cfRule>
  </conditionalFormatting>
  <conditionalFormatting sqref="T51">
    <cfRule type="cellIs" dxfId="1119" priority="17" operator="notEqual">
      <formula>$T$53</formula>
    </cfRule>
    <cfRule type="cellIs" dxfId="1118" priority="18" operator="equal">
      <formula>$T$53</formula>
    </cfRule>
  </conditionalFormatting>
  <conditionalFormatting sqref="U51">
    <cfRule type="cellIs" dxfId="1117" priority="15" operator="notEqual">
      <formula>$U$53</formula>
    </cfRule>
    <cfRule type="cellIs" dxfId="1116" priority="16" operator="equal">
      <formula>$U$53</formula>
    </cfRule>
  </conditionalFormatting>
  <conditionalFormatting sqref="V51">
    <cfRule type="cellIs" dxfId="1115" priority="13" operator="notEqual">
      <formula>$V$53</formula>
    </cfRule>
    <cfRule type="cellIs" dxfId="1114" priority="14" operator="equal">
      <formula>$V$53</formula>
    </cfRule>
  </conditionalFormatting>
  <conditionalFormatting sqref="W51">
    <cfRule type="cellIs" dxfId="1113" priority="11" operator="notEqual">
      <formula>$W$53</formula>
    </cfRule>
    <cfRule type="cellIs" dxfId="1112" priority="12" operator="equal">
      <formula>$W$53</formula>
    </cfRule>
  </conditionalFormatting>
  <conditionalFormatting sqref="X51">
    <cfRule type="cellIs" dxfId="1111" priority="9" operator="notEqual">
      <formula>$X$53</formula>
    </cfRule>
    <cfRule type="cellIs" dxfId="1110" priority="10" operator="equal">
      <formula>$X$53</formula>
    </cfRule>
  </conditionalFormatting>
  <conditionalFormatting sqref="Y51">
    <cfRule type="cellIs" dxfId="1109" priority="7" operator="notEqual">
      <formula>$Y$53</formula>
    </cfRule>
    <cfRule type="cellIs" dxfId="1108" priority="8" operator="equal">
      <formula>$Y$53</formula>
    </cfRule>
  </conditionalFormatting>
  <conditionalFormatting sqref="Z51">
    <cfRule type="cellIs" dxfId="1107" priority="5" operator="notEqual">
      <formula>$Z$53</formula>
    </cfRule>
    <cfRule type="cellIs" dxfId="1106" priority="6" operator="equal">
      <formula>$Z$53</formula>
    </cfRule>
  </conditionalFormatting>
  <conditionalFormatting sqref="AA51">
    <cfRule type="cellIs" dxfId="1105" priority="3" operator="notEqual">
      <formula>$AA$53</formula>
    </cfRule>
    <cfRule type="cellIs" dxfId="1104" priority="4" operator="equal">
      <formula>$AA$53</formula>
    </cfRule>
  </conditionalFormatting>
  <conditionalFormatting sqref="AB51">
    <cfRule type="cellIs" dxfId="1103" priority="1" operator="notEqual">
      <formula>$AB$53</formula>
    </cfRule>
    <cfRule type="cellIs" dxfId="1102" priority="2" operator="equal">
      <formula>$AB$53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6A924-DA2D-4E3C-8295-ED7B6E6FB1AB}">
  <sheetPr codeName="Planilha15"/>
  <dimension ref="A1:AB57"/>
  <sheetViews>
    <sheetView showGridLines="0" topLeftCell="H34" workbookViewId="0">
      <selection activeCell="AB51" sqref="AB51"/>
    </sheetView>
  </sheetViews>
  <sheetFormatPr defaultRowHeight="11.25" customHeight="1" x14ac:dyDescent="0.3"/>
  <cols>
    <col min="1" max="1" width="9" style="9" bestFit="1" customWidth="1"/>
    <col min="2" max="2" width="24.66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4.109375" style="9" bestFit="1" customWidth="1"/>
    <col min="12" max="12" width="7.88671875" style="9" bestFit="1" customWidth="1"/>
    <col min="13" max="13" width="9.109375" style="9" bestFit="1" customWidth="1"/>
    <col min="14" max="14" width="8.33203125" style="9" bestFit="1" customWidth="1"/>
    <col min="15" max="15" width="10.33203125" style="9" bestFit="1" customWidth="1"/>
    <col min="16" max="16" width="9.5546875" style="9" bestFit="1" customWidth="1"/>
    <col min="17" max="17" width="9.109375" style="9" bestFit="1" customWidth="1"/>
    <col min="18" max="18" width="14.44140625" style="9" bestFit="1" customWidth="1"/>
    <col min="19" max="19" width="10.33203125" style="9" bestFit="1" customWidth="1"/>
    <col min="20" max="20" width="9.109375" style="9" bestFit="1" customWidth="1"/>
    <col min="21" max="21" width="9.77734375" style="9" bestFit="1" customWidth="1"/>
    <col min="22" max="22" width="7.88671875" style="9" bestFit="1" customWidth="1"/>
    <col min="23" max="23" width="9.109375" style="9" bestFit="1" customWidth="1"/>
    <col min="24" max="24" width="7.77734375" style="9" bestFit="1" customWidth="1"/>
    <col min="25" max="25" width="8.5546875" style="9" bestFit="1" customWidth="1"/>
    <col min="26" max="26" width="10.5546875" style="9" bestFit="1" customWidth="1"/>
    <col min="27" max="27" width="8.5546875" style="9" bestFit="1" customWidth="1"/>
    <col min="28" max="28" width="10.33203125" style="9" bestFit="1" customWidth="1"/>
    <col min="29" max="16384" width="8.88671875" style="9"/>
  </cols>
  <sheetData>
    <row r="1" spans="1:28" ht="11.25" customHeight="1" x14ac:dyDescent="0.3">
      <c r="A1" s="134" t="s">
        <v>68</v>
      </c>
      <c r="B1" s="134" t="s">
        <v>69</v>
      </c>
      <c r="C1" s="134" t="s">
        <v>70</v>
      </c>
      <c r="D1" s="134" t="s">
        <v>71</v>
      </c>
      <c r="E1" s="134" t="s">
        <v>72</v>
      </c>
      <c r="F1" s="134" t="s">
        <v>15</v>
      </c>
      <c r="G1" s="134" t="s">
        <v>74</v>
      </c>
      <c r="H1" s="134" t="s">
        <v>75</v>
      </c>
      <c r="I1" s="134" t="s">
        <v>757</v>
      </c>
      <c r="J1" s="123"/>
      <c r="L1" s="135" t="s">
        <v>785</v>
      </c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</row>
    <row r="2" spans="1:28" ht="11.25" customHeight="1" x14ac:dyDescent="0.3">
      <c r="A2" s="134"/>
      <c r="B2" s="134"/>
      <c r="C2" s="134"/>
      <c r="D2" s="134"/>
      <c r="E2" s="134"/>
      <c r="F2" s="134"/>
      <c r="G2" s="134"/>
      <c r="H2" s="134"/>
      <c r="I2" s="134"/>
      <c r="J2" s="123"/>
      <c r="L2" s="135" t="s">
        <v>684</v>
      </c>
      <c r="M2" s="135"/>
      <c r="N2" s="135"/>
      <c r="O2" s="135"/>
      <c r="P2" s="135"/>
      <c r="Q2" s="135"/>
      <c r="R2" s="135"/>
      <c r="S2" s="135"/>
      <c r="T2" s="135"/>
      <c r="U2" s="135"/>
      <c r="V2" s="135"/>
      <c r="W2" s="135"/>
      <c r="X2" s="135"/>
      <c r="Y2" s="135"/>
      <c r="Z2" s="135"/>
      <c r="AA2" s="135"/>
      <c r="AB2" s="135"/>
    </row>
    <row r="3" spans="1:28" ht="11.25" customHeight="1" x14ac:dyDescent="0.3">
      <c r="A3" s="134"/>
      <c r="B3" s="134"/>
      <c r="C3" s="134"/>
      <c r="D3" s="134"/>
      <c r="E3" s="134"/>
      <c r="F3" s="134"/>
      <c r="G3" s="134"/>
      <c r="H3" s="134"/>
      <c r="I3" s="134"/>
      <c r="J3" s="123"/>
      <c r="L3" s="135" t="s">
        <v>657</v>
      </c>
      <c r="M3" s="135"/>
      <c r="N3" s="135"/>
      <c r="O3" s="135"/>
      <c r="P3" s="135"/>
      <c r="Q3" s="135"/>
      <c r="R3" s="135" t="s">
        <v>688</v>
      </c>
      <c r="S3" s="135"/>
      <c r="T3" s="135" t="s">
        <v>666</v>
      </c>
      <c r="U3" s="135"/>
      <c r="V3" s="135"/>
      <c r="W3" s="135"/>
      <c r="X3" s="135" t="s">
        <v>676</v>
      </c>
      <c r="Y3" s="135"/>
      <c r="Z3" s="135" t="s">
        <v>679</v>
      </c>
      <c r="AA3" s="135"/>
      <c r="AB3" s="135" t="s">
        <v>665</v>
      </c>
    </row>
    <row r="4" spans="1:28" ht="11.25" customHeight="1" x14ac:dyDescent="0.3">
      <c r="A4" s="134"/>
      <c r="B4" s="134"/>
      <c r="C4" s="134"/>
      <c r="D4" s="134"/>
      <c r="E4" s="134"/>
      <c r="F4" s="134"/>
      <c r="G4" s="134"/>
      <c r="H4" s="134"/>
      <c r="I4" s="134"/>
      <c r="J4" s="123"/>
      <c r="L4" s="24" t="s">
        <v>659</v>
      </c>
      <c r="M4" s="24" t="s">
        <v>685</v>
      </c>
      <c r="N4" s="24" t="s">
        <v>686</v>
      </c>
      <c r="O4" s="24" t="s">
        <v>745</v>
      </c>
      <c r="P4" s="24" t="s">
        <v>687</v>
      </c>
      <c r="Q4" s="24" t="s">
        <v>665</v>
      </c>
      <c r="R4" s="24" t="s">
        <v>689</v>
      </c>
      <c r="S4" s="24" t="s">
        <v>665</v>
      </c>
      <c r="T4" s="24" t="s">
        <v>690</v>
      </c>
      <c r="U4" s="24" t="s">
        <v>691</v>
      </c>
      <c r="V4" s="24" t="s">
        <v>692</v>
      </c>
      <c r="W4" s="24" t="s">
        <v>665</v>
      </c>
      <c r="X4" s="24" t="s">
        <v>677</v>
      </c>
      <c r="Y4" s="24" t="s">
        <v>665</v>
      </c>
      <c r="Z4" s="24" t="s">
        <v>693</v>
      </c>
      <c r="AA4" s="24" t="s">
        <v>665</v>
      </c>
      <c r="AB4" s="136"/>
    </row>
    <row r="5" spans="1:28" ht="11.25" customHeight="1" x14ac:dyDescent="0.3">
      <c r="A5" s="133" t="s">
        <v>54</v>
      </c>
      <c r="B5" s="133" t="s">
        <v>77</v>
      </c>
      <c r="C5" s="133" t="s">
        <v>25</v>
      </c>
      <c r="D5" s="133" t="s">
        <v>25</v>
      </c>
      <c r="E5" s="133" t="s">
        <v>25</v>
      </c>
      <c r="F5" s="133" t="s">
        <v>25</v>
      </c>
      <c r="G5" s="23" t="s">
        <v>79</v>
      </c>
      <c r="H5" s="23" t="s">
        <v>78</v>
      </c>
      <c r="I5" s="23">
        <f>'MERCADO TE'!$U$2</f>
        <v>0</v>
      </c>
      <c r="J5" s="15"/>
      <c r="L5" s="20">
        <f>'TE BE'!$L$5*'TE BF'!$L$56</f>
        <v>0</v>
      </c>
      <c r="M5" s="20">
        <f>'TE BE'!$M$5*'TE BF'!$M$56</f>
        <v>-1.9135572147375723</v>
      </c>
      <c r="N5" s="20">
        <f>'TE BE'!$N$5*'TE BF'!$N$56</f>
        <v>9.5250556035339662E-2</v>
      </c>
      <c r="O5" s="20">
        <f>'TE BE'!$O$5*'TE BF'!$O$56</f>
        <v>0.95108225955764558</v>
      </c>
      <c r="P5" s="20">
        <f>'TE BE'!$P$5*'TE BF'!$P$56</f>
        <v>0</v>
      </c>
      <c r="Q5" s="20">
        <f>SUM($L$5:$P$5)</f>
        <v>-0.86722439914458715</v>
      </c>
      <c r="R5" s="20">
        <f>'TE BE'!$R$5*'TE BF'!$R$56</f>
        <v>-49.031906566847226</v>
      </c>
      <c r="S5" s="20">
        <f>SUM($R$5:$R$5)</f>
        <v>-49.031906566847226</v>
      </c>
      <c r="T5" s="20">
        <f>'TE BE'!$T$5*'TE BF'!$T$56</f>
        <v>0.83760882238776446</v>
      </c>
      <c r="U5" s="20">
        <f>'TE BE'!$U$5*'TE BF'!$U$56</f>
        <v>0.48568457170811147</v>
      </c>
      <c r="V5" s="20">
        <f>'TE BE'!$V$5*'TE BF'!$V$56</f>
        <v>0</v>
      </c>
      <c r="W5" s="20">
        <f>SUM($T$5:$V$5)</f>
        <v>1.323293394095876</v>
      </c>
      <c r="X5" s="20">
        <f>'TE BE'!$AB$5*'TE BF'!$X$56</f>
        <v>0</v>
      </c>
      <c r="Y5" s="20">
        <f>SUM($X$5:$X$5)</f>
        <v>0</v>
      </c>
      <c r="Z5" s="20">
        <f>'TE BE'!$Z$5*'TE BF'!$Z$56</f>
        <v>-0.46853071533998086</v>
      </c>
      <c r="AA5" s="20">
        <f>SUM($Z$5:$Z$5)</f>
        <v>-0.46853071533998086</v>
      </c>
      <c r="AB5" s="20">
        <f>SUMIF($L$4:$AA$4,"SUBTOTAL",$L$5:$AA$5)</f>
        <v>-49.044368287235919</v>
      </c>
    </row>
    <row r="6" spans="1:28" ht="11.25" customHeight="1" x14ac:dyDescent="0.3">
      <c r="A6" s="133"/>
      <c r="B6" s="133"/>
      <c r="C6" s="133"/>
      <c r="D6" s="133"/>
      <c r="E6" s="133"/>
      <c r="F6" s="133"/>
      <c r="G6" s="23" t="s">
        <v>80</v>
      </c>
      <c r="H6" s="23" t="s">
        <v>78</v>
      </c>
      <c r="I6" s="23">
        <f>'MERCADO TE'!$U$3</f>
        <v>0</v>
      </c>
      <c r="J6" s="15"/>
      <c r="L6" s="20">
        <f>'TE BE'!$L$6*'TE BF'!$L$56</f>
        <v>0</v>
      </c>
      <c r="M6" s="20">
        <f>'TE BE'!$M$6*'TE BF'!$M$56</f>
        <v>-1.9135572147375723</v>
      </c>
      <c r="N6" s="20">
        <f>'TE BE'!$N$6*'TE BF'!$N$56</f>
        <v>9.5250556035339662E-2</v>
      </c>
      <c r="O6" s="20">
        <f>'TE BE'!$O$6*'TE BF'!$O$56</f>
        <v>0.95108225955764558</v>
      </c>
      <c r="P6" s="20">
        <f>'TE BE'!$P$6*'TE BF'!$P$56</f>
        <v>0</v>
      </c>
      <c r="Q6" s="20">
        <f>SUM($L$6:$P$6)</f>
        <v>-0.86722439914458715</v>
      </c>
      <c r="R6" s="20">
        <f>'TE BE'!$R$6*'TE BF'!$R$56</f>
        <v>-28.5069224225856</v>
      </c>
      <c r="S6" s="20">
        <f>SUM($R$6:$R$6)</f>
        <v>-28.5069224225856</v>
      </c>
      <c r="T6" s="20">
        <f>'TE BE'!$T$6*'TE BF'!$T$56</f>
        <v>0.83760882238776446</v>
      </c>
      <c r="U6" s="20">
        <f>'TE BE'!$U$6*'TE BF'!$U$56</f>
        <v>0.48568457170811147</v>
      </c>
      <c r="V6" s="20">
        <f>'TE BE'!$V$6*'TE BF'!$V$56</f>
        <v>0</v>
      </c>
      <c r="W6" s="20">
        <f>SUM($T$6:$V$6)</f>
        <v>1.323293394095876</v>
      </c>
      <c r="X6" s="20">
        <f>'TE BE'!$AB$6*'TE BF'!$X$56</f>
        <v>0</v>
      </c>
      <c r="Y6" s="20">
        <f>SUM($X$6:$X$6)</f>
        <v>0</v>
      </c>
      <c r="Z6" s="20">
        <f>'TE BE'!$Z$6*'TE BF'!$Z$56</f>
        <v>-0.46853071533998086</v>
      </c>
      <c r="AA6" s="20">
        <f>SUM($Z$6:$Z$6)</f>
        <v>-0.46853071533998086</v>
      </c>
      <c r="AB6" s="20">
        <f>SUMIF($L$4:$AA$4,"SUBTOTAL",$L$6:$AA$6)</f>
        <v>-28.519384142974289</v>
      </c>
    </row>
    <row r="7" spans="1:28" ht="11.25" customHeight="1" x14ac:dyDescent="0.3">
      <c r="A7" s="133" t="s">
        <v>60</v>
      </c>
      <c r="B7" s="133" t="s">
        <v>77</v>
      </c>
      <c r="C7" s="133" t="s">
        <v>25</v>
      </c>
      <c r="D7" s="133" t="s">
        <v>25</v>
      </c>
      <c r="E7" s="133" t="s">
        <v>25</v>
      </c>
      <c r="F7" s="133" t="s">
        <v>25</v>
      </c>
      <c r="G7" s="23" t="s">
        <v>79</v>
      </c>
      <c r="H7" s="23" t="s">
        <v>78</v>
      </c>
      <c r="I7" s="23">
        <f>'MERCADO TE'!$U$4</f>
        <v>0</v>
      </c>
      <c r="J7" s="15"/>
      <c r="L7" s="20">
        <f>'TE BE'!$L$7*'TE BF'!$L$56</f>
        <v>0</v>
      </c>
      <c r="M7" s="20">
        <f>'TE BE'!$M$7*'TE BF'!$M$56</f>
        <v>-1.9135572147375723</v>
      </c>
      <c r="N7" s="20">
        <f>'TE BE'!$N$7*'TE BF'!$N$56</f>
        <v>9.5250556035339662E-2</v>
      </c>
      <c r="O7" s="20">
        <f>'TE BE'!$O$7*'TE BF'!$O$56</f>
        <v>0.95108225955764558</v>
      </c>
      <c r="P7" s="20">
        <f>'TE BE'!$P$7*'TE BF'!$P$56</f>
        <v>0</v>
      </c>
      <c r="Q7" s="20">
        <f>SUM($L$7:$P$7)</f>
        <v>-0.86722439914458715</v>
      </c>
      <c r="R7" s="20">
        <f>'TE BE'!$R$7*'TE BF'!$R$56</f>
        <v>-49.031906566847226</v>
      </c>
      <c r="S7" s="20">
        <f>SUM($R$7:$R$7)</f>
        <v>-49.031906566847226</v>
      </c>
      <c r="T7" s="20">
        <f>'TE BE'!$T$7*'TE BF'!$T$56</f>
        <v>0.83760882238776446</v>
      </c>
      <c r="U7" s="20">
        <f>'TE BE'!$U$7*'TE BF'!$U$56</f>
        <v>0.48568457170811147</v>
      </c>
      <c r="V7" s="20">
        <f>'TE BE'!$V$7*'TE BF'!$V$56</f>
        <v>0</v>
      </c>
      <c r="W7" s="20">
        <f>SUM($T$7:$V$7)</f>
        <v>1.323293394095876</v>
      </c>
      <c r="X7" s="20">
        <f>'TE BE'!$AB$7*'TE BF'!$X$56</f>
        <v>0</v>
      </c>
      <c r="Y7" s="20">
        <f>SUM($X$7:$X$7)</f>
        <v>0</v>
      </c>
      <c r="Z7" s="20">
        <f>'TE BE'!$Z$7*'TE BF'!$Z$56</f>
        <v>-0.46853071533998086</v>
      </c>
      <c r="AA7" s="20">
        <f>SUM($Z$7:$Z$7)</f>
        <v>-0.46853071533998086</v>
      </c>
      <c r="AB7" s="20">
        <f>SUMIF($L$4:$AA$4,"SUBTOTAL",$L$7:$AA$7)</f>
        <v>-49.044368287235919</v>
      </c>
    </row>
    <row r="8" spans="1:28" ht="11.25" customHeight="1" x14ac:dyDescent="0.3">
      <c r="A8" s="133"/>
      <c r="B8" s="133"/>
      <c r="C8" s="133"/>
      <c r="D8" s="133"/>
      <c r="E8" s="133"/>
      <c r="F8" s="133"/>
      <c r="G8" s="23" t="s">
        <v>80</v>
      </c>
      <c r="H8" s="23" t="s">
        <v>78</v>
      </c>
      <c r="I8" s="23">
        <f>'MERCADO TE'!$U$5</f>
        <v>0</v>
      </c>
      <c r="J8" s="15"/>
      <c r="L8" s="20">
        <f>'TE BE'!$L$8*'TE BF'!$L$56</f>
        <v>0</v>
      </c>
      <c r="M8" s="20">
        <f>'TE BE'!$M$8*'TE BF'!$M$56</f>
        <v>-1.9135572147375723</v>
      </c>
      <c r="N8" s="20">
        <f>'TE BE'!$N$8*'TE BF'!$N$56</f>
        <v>9.5250556035339662E-2</v>
      </c>
      <c r="O8" s="20">
        <f>'TE BE'!$O$8*'TE BF'!$O$56</f>
        <v>0.95108225955764558</v>
      </c>
      <c r="P8" s="20">
        <f>'TE BE'!$P$8*'TE BF'!$P$56</f>
        <v>0</v>
      </c>
      <c r="Q8" s="20">
        <f>SUM($L$8:$P$8)</f>
        <v>-0.86722439914458715</v>
      </c>
      <c r="R8" s="20">
        <f>'TE BE'!$R$8*'TE BF'!$R$56</f>
        <v>-28.5069224225856</v>
      </c>
      <c r="S8" s="20">
        <f>SUM($R$8:$R$8)</f>
        <v>-28.5069224225856</v>
      </c>
      <c r="T8" s="20">
        <f>'TE BE'!$T$8*'TE BF'!$T$56</f>
        <v>0.83760882238776446</v>
      </c>
      <c r="U8" s="20">
        <f>'TE BE'!$U$8*'TE BF'!$U$56</f>
        <v>0.48568457170811147</v>
      </c>
      <c r="V8" s="20">
        <f>'TE BE'!$V$8*'TE BF'!$V$56</f>
        <v>0</v>
      </c>
      <c r="W8" s="20">
        <f>SUM($T$8:$V$8)</f>
        <v>1.323293394095876</v>
      </c>
      <c r="X8" s="20">
        <f>'TE BE'!$AB$8*'TE BF'!$X$56</f>
        <v>0</v>
      </c>
      <c r="Y8" s="20">
        <f>SUM($X$8:$X$8)</f>
        <v>0</v>
      </c>
      <c r="Z8" s="20">
        <f>'TE BE'!$Z$8*'TE BF'!$Z$56</f>
        <v>-0.46853071533998086</v>
      </c>
      <c r="AA8" s="20">
        <f>SUM($Z$8:$Z$8)</f>
        <v>-0.46853071533998086</v>
      </c>
      <c r="AB8" s="20">
        <f>SUMIF($L$4:$AA$4,"SUBTOTAL",$L$8:$AA$8)</f>
        <v>-28.519384142974289</v>
      </c>
    </row>
    <row r="9" spans="1:28" ht="11.25" customHeight="1" x14ac:dyDescent="0.3">
      <c r="A9" s="133" t="s">
        <v>39</v>
      </c>
      <c r="B9" s="133" t="s">
        <v>77</v>
      </c>
      <c r="C9" s="133" t="s">
        <v>25</v>
      </c>
      <c r="D9" s="133" t="s">
        <v>25</v>
      </c>
      <c r="E9" s="133" t="s">
        <v>25</v>
      </c>
      <c r="F9" s="133" t="s">
        <v>25</v>
      </c>
      <c r="G9" s="23" t="s">
        <v>79</v>
      </c>
      <c r="H9" s="23" t="s">
        <v>78</v>
      </c>
      <c r="I9" s="23">
        <f>'MERCADO TE'!$U$6</f>
        <v>5372.2169999999987</v>
      </c>
      <c r="J9" s="15"/>
      <c r="L9" s="20">
        <f>'TE BE'!$L$9*'TE BF'!$L$56</f>
        <v>0</v>
      </c>
      <c r="M9" s="20">
        <f>'TE BE'!$M$9*'TE BF'!$M$56</f>
        <v>-1.9135572147375723</v>
      </c>
      <c r="N9" s="20">
        <f>'TE BE'!$N$9*'TE BF'!$N$56</f>
        <v>9.5250556035339662E-2</v>
      </c>
      <c r="O9" s="20">
        <f>'TE BE'!$O$9*'TE BF'!$O$56</f>
        <v>0.95108225955764558</v>
      </c>
      <c r="P9" s="20">
        <f>'TE BE'!$P$9*'TE BF'!$P$56</f>
        <v>0</v>
      </c>
      <c r="Q9" s="20">
        <f>SUM($L$9:$P$9)</f>
        <v>-0.86722439914458715</v>
      </c>
      <c r="R9" s="20">
        <f>'TE BE'!$R$9*'TE BF'!$R$56</f>
        <v>-49.031906566847226</v>
      </c>
      <c r="S9" s="20">
        <f>SUM($R$9:$R$9)</f>
        <v>-49.031906566847226</v>
      </c>
      <c r="T9" s="20">
        <f>'TE BE'!$T$9*'TE BF'!$T$56</f>
        <v>0.83760882238776446</v>
      </c>
      <c r="U9" s="20">
        <f>'TE BE'!$U$9*'TE BF'!$U$56</f>
        <v>0.48568457170811147</v>
      </c>
      <c r="V9" s="20">
        <f>'TE BE'!$V$9*'TE BF'!$V$56</f>
        <v>0</v>
      </c>
      <c r="W9" s="20">
        <f>SUM($T$9:$V$9)</f>
        <v>1.323293394095876</v>
      </c>
      <c r="X9" s="20">
        <f>'TE BE'!$AB$9*'TE BF'!$X$56</f>
        <v>0</v>
      </c>
      <c r="Y9" s="20">
        <f>SUM($X$9:$X$9)</f>
        <v>0</v>
      </c>
      <c r="Z9" s="20">
        <f>'TE BE'!$Z$9*'TE BF'!$Z$56</f>
        <v>-0.46853071533998086</v>
      </c>
      <c r="AA9" s="20">
        <f>SUM($Z$9:$Z$9)</f>
        <v>-0.46853071533998086</v>
      </c>
      <c r="AB9" s="20">
        <f>SUMIF($L$4:$AA$4,"SUBTOTAL",$L$9:$AA$9)</f>
        <v>-49.044368287235919</v>
      </c>
    </row>
    <row r="10" spans="1:28" ht="11.25" customHeight="1" x14ac:dyDescent="0.3">
      <c r="A10" s="133"/>
      <c r="B10" s="133"/>
      <c r="C10" s="133"/>
      <c r="D10" s="133"/>
      <c r="E10" s="133"/>
      <c r="F10" s="133"/>
      <c r="G10" s="23" t="s">
        <v>80</v>
      </c>
      <c r="H10" s="23" t="s">
        <v>78</v>
      </c>
      <c r="I10" s="23">
        <f>'MERCADO TE'!$U$7</f>
        <v>62595.072</v>
      </c>
      <c r="J10" s="15"/>
      <c r="L10" s="20">
        <f>'TE BE'!$L$10*'TE BF'!$L$56</f>
        <v>0</v>
      </c>
      <c r="M10" s="20">
        <f>'TE BE'!$M$10*'TE BF'!$M$56</f>
        <v>-1.9135572147375723</v>
      </c>
      <c r="N10" s="20">
        <f>'TE BE'!$N$10*'TE BF'!$N$56</f>
        <v>9.5250556035339662E-2</v>
      </c>
      <c r="O10" s="20">
        <f>'TE BE'!$O$10*'TE BF'!$O$56</f>
        <v>0.95108225955764558</v>
      </c>
      <c r="P10" s="20">
        <f>'TE BE'!$P$10*'TE BF'!$P$56</f>
        <v>0</v>
      </c>
      <c r="Q10" s="20">
        <f>SUM($L$10:$P$10)</f>
        <v>-0.86722439914458715</v>
      </c>
      <c r="R10" s="20">
        <f>'TE BE'!$R$10*'TE BF'!$R$56</f>
        <v>-28.5069224225856</v>
      </c>
      <c r="S10" s="20">
        <f>SUM($R$10:$R$10)</f>
        <v>-28.5069224225856</v>
      </c>
      <c r="T10" s="20">
        <f>'TE BE'!$T$10*'TE BF'!$T$56</f>
        <v>0.83760882238776446</v>
      </c>
      <c r="U10" s="20">
        <f>'TE BE'!$U$10*'TE BF'!$U$56</f>
        <v>0.48568457170811147</v>
      </c>
      <c r="V10" s="20">
        <f>'TE BE'!$V$10*'TE BF'!$V$56</f>
        <v>0</v>
      </c>
      <c r="W10" s="20">
        <f>SUM($T$10:$V$10)</f>
        <v>1.323293394095876</v>
      </c>
      <c r="X10" s="20">
        <f>'TE BE'!$AB$10*'TE BF'!$X$56</f>
        <v>0</v>
      </c>
      <c r="Y10" s="20">
        <f>SUM($X$10:$X$10)</f>
        <v>0</v>
      </c>
      <c r="Z10" s="20">
        <f>'TE BE'!$Z$10*'TE BF'!$Z$56</f>
        <v>-0.46853071533998086</v>
      </c>
      <c r="AA10" s="20">
        <f>SUM($Z$10:$Z$10)</f>
        <v>-0.46853071533998086</v>
      </c>
      <c r="AB10" s="20">
        <f>SUMIF($L$4:$AA$4,"SUBTOTAL",$L$10:$AA$10)</f>
        <v>-28.519384142974289</v>
      </c>
    </row>
    <row r="11" spans="1:28" ht="11.25" customHeight="1" x14ac:dyDescent="0.3">
      <c r="A11" s="133"/>
      <c r="B11" s="22" t="s">
        <v>86</v>
      </c>
      <c r="C11" s="22" t="s">
        <v>25</v>
      </c>
      <c r="D11" s="22" t="s">
        <v>25</v>
      </c>
      <c r="E11" s="22" t="s">
        <v>25</v>
      </c>
      <c r="F11" s="22" t="s">
        <v>25</v>
      </c>
      <c r="G11" s="23" t="s">
        <v>84</v>
      </c>
      <c r="H11" s="23" t="s">
        <v>78</v>
      </c>
      <c r="I11" s="23">
        <f>'MERCADO TE'!$U$8</f>
        <v>0</v>
      </c>
      <c r="J11" s="15"/>
      <c r="L11" s="20">
        <f>'TE BE'!$L$11*'TE BF'!$L$56</f>
        <v>0</v>
      </c>
      <c r="M11" s="20">
        <f>'TE BE'!$M$11*'TE BF'!$M$56</f>
        <v>-1.9135572147375723</v>
      </c>
      <c r="N11" s="20">
        <f>'TE BE'!$N$11*'TE BF'!$N$56</f>
        <v>9.5250556035339662E-2</v>
      </c>
      <c r="O11" s="20">
        <f>'TE BE'!$O$11*'TE BF'!$O$56</f>
        <v>0.95108225955764558</v>
      </c>
      <c r="P11" s="20">
        <f>'TE BE'!$P$11*'TE BF'!$P$56</f>
        <v>0</v>
      </c>
      <c r="Q11" s="20">
        <f>SUM($L$11:$P$11)</f>
        <v>-0.86722439914458715</v>
      </c>
      <c r="R11" s="20">
        <f>'TE BE'!$R$11*'TE BF'!$R$56</f>
        <v>-30.217337767940737</v>
      </c>
      <c r="S11" s="20">
        <f>SUM($R$11:$R$11)</f>
        <v>-30.217337767940737</v>
      </c>
      <c r="T11" s="20">
        <f>'TE BE'!$T$11*'TE BF'!$T$56</f>
        <v>0.83760882238776446</v>
      </c>
      <c r="U11" s="20">
        <f>'TE BE'!$U$11*'TE BF'!$U$56</f>
        <v>0.48568457170811147</v>
      </c>
      <c r="V11" s="20">
        <f>'TE BE'!$V$11*'TE BF'!$V$56</f>
        <v>0</v>
      </c>
      <c r="W11" s="20">
        <f>SUM($T$11:$V$11)</f>
        <v>1.323293394095876</v>
      </c>
      <c r="X11" s="20">
        <f>'TE BE'!$AB$11*'TE BF'!$X$56</f>
        <v>0</v>
      </c>
      <c r="Y11" s="20">
        <f>SUM($X$11:$X$11)</f>
        <v>0</v>
      </c>
      <c r="Z11" s="20">
        <f>'TE BE'!$Z$11*'TE BF'!$Z$56</f>
        <v>-0.46853071533998086</v>
      </c>
      <c r="AA11" s="20">
        <f>SUM($Z$11:$Z$11)</f>
        <v>-0.46853071533998086</v>
      </c>
      <c r="AB11" s="20">
        <f>SUMIF($L$4:$AA$4,"SUBTOTAL",$L$11:$AA$11)</f>
        <v>-30.229799488329427</v>
      </c>
    </row>
    <row r="12" spans="1:28" ht="11.25" customHeight="1" x14ac:dyDescent="0.3">
      <c r="A12" s="133" t="s">
        <v>43</v>
      </c>
      <c r="B12" s="133" t="s">
        <v>77</v>
      </c>
      <c r="C12" s="133" t="s">
        <v>25</v>
      </c>
      <c r="D12" s="133" t="s">
        <v>25</v>
      </c>
      <c r="E12" s="133" t="s">
        <v>25</v>
      </c>
      <c r="F12" s="133" t="s">
        <v>25</v>
      </c>
      <c r="G12" s="23" t="s">
        <v>79</v>
      </c>
      <c r="H12" s="23" t="s">
        <v>78</v>
      </c>
      <c r="I12" s="23">
        <f>'MERCADO TE'!$U$9</f>
        <v>18.171000000000003</v>
      </c>
      <c r="J12" s="15"/>
      <c r="L12" s="20">
        <f>'TE BE'!$L$12*'TE BF'!$L$56</f>
        <v>0</v>
      </c>
      <c r="M12" s="20">
        <f>'TE BE'!$M$12*'TE BF'!$M$56</f>
        <v>-1.9135572147375723</v>
      </c>
      <c r="N12" s="20">
        <f>'TE BE'!$N$12*'TE BF'!$N$56</f>
        <v>9.5250556035339662E-2</v>
      </c>
      <c r="O12" s="20">
        <f>'TE BE'!$O$12*'TE BF'!$O$56</f>
        <v>0.95108225955764558</v>
      </c>
      <c r="P12" s="20">
        <f>'TE BE'!$P$12*'TE BF'!$P$56</f>
        <v>0</v>
      </c>
      <c r="Q12" s="20">
        <f>SUM($L$12:$P$12)</f>
        <v>-0.86722439914458715</v>
      </c>
      <c r="R12" s="20">
        <f>'TE BE'!$R$12*'TE BF'!$R$56</f>
        <v>-49.031906566847226</v>
      </c>
      <c r="S12" s="20">
        <f>SUM($R$12:$R$12)</f>
        <v>-49.031906566847226</v>
      </c>
      <c r="T12" s="20">
        <f>'TE BE'!$T$12*'TE BF'!$T$56</f>
        <v>0.83760882238776446</v>
      </c>
      <c r="U12" s="20">
        <f>'TE BE'!$U$12*'TE BF'!$U$56</f>
        <v>0.48568457170811147</v>
      </c>
      <c r="V12" s="20">
        <f>'TE BE'!$V$12*'TE BF'!$V$56</f>
        <v>0</v>
      </c>
      <c r="W12" s="20">
        <f>SUM($T$12:$V$12)</f>
        <v>1.323293394095876</v>
      </c>
      <c r="X12" s="20">
        <f>'TE BE'!$AB$12*'TE BF'!$X$56</f>
        <v>0</v>
      </c>
      <c r="Y12" s="20">
        <f>SUM($X$12:$X$12)</f>
        <v>0</v>
      </c>
      <c r="Z12" s="20">
        <f>'TE BE'!$Z$12*'TE BF'!$Z$56</f>
        <v>-0.46853071533998086</v>
      </c>
      <c r="AA12" s="20">
        <f>SUM($Z$12:$Z$12)</f>
        <v>-0.46853071533998086</v>
      </c>
      <c r="AB12" s="20">
        <f>SUMIF($L$4:$AA$4,"SUBTOTAL",$L$12:$AA$12)</f>
        <v>-49.044368287235919</v>
      </c>
    </row>
    <row r="13" spans="1:28" ht="11.25" customHeight="1" x14ac:dyDescent="0.3">
      <c r="A13" s="133"/>
      <c r="B13" s="133"/>
      <c r="C13" s="133"/>
      <c r="D13" s="133"/>
      <c r="E13" s="133"/>
      <c r="F13" s="133"/>
      <c r="G13" s="23" t="s">
        <v>80</v>
      </c>
      <c r="H13" s="23" t="s">
        <v>78</v>
      </c>
      <c r="I13" s="23">
        <f>'MERCADO TE'!$U$10</f>
        <v>246.76899999999998</v>
      </c>
      <c r="J13" s="15"/>
      <c r="L13" s="20">
        <f>'TE BE'!$L$13*'TE BF'!$L$56</f>
        <v>0</v>
      </c>
      <c r="M13" s="20">
        <f>'TE BE'!$M$13*'TE BF'!$M$56</f>
        <v>-1.9135572147375723</v>
      </c>
      <c r="N13" s="20">
        <f>'TE BE'!$N$13*'TE BF'!$N$56</f>
        <v>9.5250556035339662E-2</v>
      </c>
      <c r="O13" s="20">
        <f>'TE BE'!$O$13*'TE BF'!$O$56</f>
        <v>0.95108225955764558</v>
      </c>
      <c r="P13" s="20">
        <f>'TE BE'!$P$13*'TE BF'!$P$56</f>
        <v>0</v>
      </c>
      <c r="Q13" s="20">
        <f>SUM($L$13:$P$13)</f>
        <v>-0.86722439914458715</v>
      </c>
      <c r="R13" s="20">
        <f>'TE BE'!$R$13*'TE BF'!$R$56</f>
        <v>-28.5069224225856</v>
      </c>
      <c r="S13" s="20">
        <f>SUM($R$13:$R$13)</f>
        <v>-28.5069224225856</v>
      </c>
      <c r="T13" s="20">
        <f>'TE BE'!$T$13*'TE BF'!$T$56</f>
        <v>0.83760882238776446</v>
      </c>
      <c r="U13" s="20">
        <f>'TE BE'!$U$13*'TE BF'!$U$56</f>
        <v>0.48568457170811147</v>
      </c>
      <c r="V13" s="20">
        <f>'TE BE'!$V$13*'TE BF'!$V$56</f>
        <v>0</v>
      </c>
      <c r="W13" s="20">
        <f>SUM($T$13:$V$13)</f>
        <v>1.323293394095876</v>
      </c>
      <c r="X13" s="20">
        <f>'TE BE'!$AB$13*'TE BF'!$X$56</f>
        <v>0</v>
      </c>
      <c r="Y13" s="20">
        <f>SUM($X$13:$X$13)</f>
        <v>0</v>
      </c>
      <c r="Z13" s="20">
        <f>'TE BE'!$Z$13*'TE BF'!$Z$56</f>
        <v>-0.46853071533998086</v>
      </c>
      <c r="AA13" s="20">
        <f>SUM($Z$13:$Z$13)</f>
        <v>-0.46853071533998086</v>
      </c>
      <c r="AB13" s="20">
        <f>SUMIF($L$4:$AA$4,"SUBTOTAL",$L$13:$AA$13)</f>
        <v>-28.519384142974289</v>
      </c>
    </row>
    <row r="14" spans="1:28" ht="11.25" customHeight="1" x14ac:dyDescent="0.3">
      <c r="A14" s="133"/>
      <c r="B14" s="22" t="s">
        <v>86</v>
      </c>
      <c r="C14" s="22" t="s">
        <v>25</v>
      </c>
      <c r="D14" s="22" t="s">
        <v>25</v>
      </c>
      <c r="E14" s="22" t="s">
        <v>25</v>
      </c>
      <c r="F14" s="22" t="s">
        <v>25</v>
      </c>
      <c r="G14" s="23" t="s">
        <v>84</v>
      </c>
      <c r="H14" s="23" t="s">
        <v>78</v>
      </c>
      <c r="I14" s="23">
        <f>'MERCADO TE'!$U$11</f>
        <v>0</v>
      </c>
      <c r="J14" s="15"/>
      <c r="L14" s="20">
        <f>'TE BE'!$L$14*'TE BF'!$L$56</f>
        <v>0</v>
      </c>
      <c r="M14" s="20">
        <f>'TE BE'!$M$14*'TE BF'!$M$56</f>
        <v>-1.9135572147375723</v>
      </c>
      <c r="N14" s="20">
        <f>'TE BE'!$N$14*'TE BF'!$N$56</f>
        <v>9.5250556035339662E-2</v>
      </c>
      <c r="O14" s="20">
        <f>'TE BE'!$O$14*'TE BF'!$O$56</f>
        <v>0.95108225955764558</v>
      </c>
      <c r="P14" s="20">
        <f>'TE BE'!$P$14*'TE BF'!$P$56</f>
        <v>0</v>
      </c>
      <c r="Q14" s="20">
        <f>SUM($L$14:$P$14)</f>
        <v>-0.86722439914458715</v>
      </c>
      <c r="R14" s="20">
        <f>'TE BE'!$R$14*'TE BF'!$R$56</f>
        <v>-30.217337767940737</v>
      </c>
      <c r="S14" s="20">
        <f>SUM($R$14:$R$14)</f>
        <v>-30.217337767940737</v>
      </c>
      <c r="T14" s="20">
        <f>'TE BE'!$T$14*'TE BF'!$T$56</f>
        <v>0.83760882238776446</v>
      </c>
      <c r="U14" s="20">
        <f>'TE BE'!$U$14*'TE BF'!$U$56</f>
        <v>0.48568457170811147</v>
      </c>
      <c r="V14" s="20">
        <f>'TE BE'!$V$14*'TE BF'!$V$56</f>
        <v>0</v>
      </c>
      <c r="W14" s="20">
        <f>SUM($T$14:$V$14)</f>
        <v>1.323293394095876</v>
      </c>
      <c r="X14" s="20">
        <f>'TE BE'!$AB$14*'TE BF'!$X$56</f>
        <v>0</v>
      </c>
      <c r="Y14" s="20">
        <f>SUM($X$14:$X$14)</f>
        <v>0</v>
      </c>
      <c r="Z14" s="20">
        <f>'TE BE'!$Z$14*'TE BF'!$Z$56</f>
        <v>-0.46853071533998086</v>
      </c>
      <c r="AA14" s="20">
        <f>SUM($Z$14:$Z$14)</f>
        <v>-0.46853071533998086</v>
      </c>
      <c r="AB14" s="20">
        <f>SUMIF($L$4:$AA$4,"SUBTOTAL",$L$14:$AA$14)</f>
        <v>-30.229799488329427</v>
      </c>
    </row>
    <row r="15" spans="1:28" ht="11.25" customHeight="1" x14ac:dyDescent="0.3">
      <c r="A15" s="133" t="s">
        <v>22</v>
      </c>
      <c r="B15" s="133" t="s">
        <v>77</v>
      </c>
      <c r="C15" s="133" t="s">
        <v>24</v>
      </c>
      <c r="D15" s="133" t="s">
        <v>24</v>
      </c>
      <c r="E15" s="133" t="s">
        <v>25</v>
      </c>
      <c r="F15" s="133" t="s">
        <v>25</v>
      </c>
      <c r="G15" s="23" t="s">
        <v>79</v>
      </c>
      <c r="H15" s="23" t="s">
        <v>78</v>
      </c>
      <c r="I15" s="23">
        <f>'MERCADO TE'!$U$12</f>
        <v>16.994999999999997</v>
      </c>
      <c r="J15" s="15"/>
      <c r="L15" s="20">
        <f>'TE BE'!$L$15*'TE BF'!$L$56</f>
        <v>0</v>
      </c>
      <c r="M15" s="20">
        <f>'TE BE'!$M$15*'TE BF'!$M$56</f>
        <v>-1.9135572147375723</v>
      </c>
      <c r="N15" s="20">
        <f>'TE BE'!$N$15*'TE BF'!$N$56</f>
        <v>9.5250556035339662E-2</v>
      </c>
      <c r="O15" s="20">
        <f>'TE BE'!$O$15*'TE BF'!$O$56</f>
        <v>0.95108225955764558</v>
      </c>
      <c r="P15" s="20">
        <f>'TE BE'!$P$15*'TE BF'!$P$56</f>
        <v>0</v>
      </c>
      <c r="Q15" s="20">
        <f>SUM($L$15:$P$15)</f>
        <v>-0.86722439914458715</v>
      </c>
      <c r="R15" s="20">
        <f>'TE BE'!$R$15*'TE BF'!$R$56</f>
        <v>-49.031906566847226</v>
      </c>
      <c r="S15" s="20">
        <f>SUM($R$15:$R$15)</f>
        <v>-49.031906566847226</v>
      </c>
      <c r="T15" s="20">
        <f>'TE BE'!$T$15*'TE BF'!$T$56</f>
        <v>0.83760882238776446</v>
      </c>
      <c r="U15" s="20">
        <f>'TE BE'!$U$15*'TE BF'!$U$56</f>
        <v>0.48568457170811147</v>
      </c>
      <c r="V15" s="20">
        <f>'TE BE'!$V$15*'TE BF'!$V$56</f>
        <v>0</v>
      </c>
      <c r="W15" s="20">
        <f>SUM($T$15:$V$15)</f>
        <v>1.323293394095876</v>
      </c>
      <c r="X15" s="20">
        <f>'TE BE'!$AB$15*'TE BF'!$X$56</f>
        <v>0</v>
      </c>
      <c r="Y15" s="20">
        <f>SUM($X$15:$X$15)</f>
        <v>0</v>
      </c>
      <c r="Z15" s="20">
        <f>'TE BE'!$Z$15*'TE BF'!$Z$56</f>
        <v>-0.46853071533998086</v>
      </c>
      <c r="AA15" s="20">
        <f>SUM($Z$15:$Z$15)</f>
        <v>-0.46853071533998086</v>
      </c>
      <c r="AB15" s="20">
        <f>SUMIF($L$4:$AA$4,"SUBTOTAL",$L$15:$AA$15)</f>
        <v>-49.044368287235919</v>
      </c>
    </row>
    <row r="16" spans="1:28" ht="11.25" customHeight="1" x14ac:dyDescent="0.3">
      <c r="A16" s="133"/>
      <c r="B16" s="133"/>
      <c r="C16" s="133"/>
      <c r="D16" s="133"/>
      <c r="E16" s="133"/>
      <c r="F16" s="133"/>
      <c r="G16" s="23" t="s">
        <v>90</v>
      </c>
      <c r="H16" s="23" t="s">
        <v>78</v>
      </c>
      <c r="I16" s="23">
        <f>'MERCADO TE'!$U$13</f>
        <v>10.9</v>
      </c>
      <c r="J16" s="15"/>
      <c r="L16" s="20">
        <f>'TE BE'!$L$16*'TE BF'!$L$56</f>
        <v>0</v>
      </c>
      <c r="M16" s="20">
        <f>'TE BE'!$M$16*'TE BF'!$M$56</f>
        <v>-1.9135572147375723</v>
      </c>
      <c r="N16" s="20">
        <f>'TE BE'!$N$16*'TE BF'!$N$56</f>
        <v>9.5250556035339662E-2</v>
      </c>
      <c r="O16" s="20">
        <f>'TE BE'!$O$16*'TE BF'!$O$56</f>
        <v>0.95108225955764558</v>
      </c>
      <c r="P16" s="20">
        <f>'TE BE'!$P$16*'TE BF'!$P$56</f>
        <v>0</v>
      </c>
      <c r="Q16" s="20">
        <f>SUM($L$16:$P$16)</f>
        <v>-0.86722439914458715</v>
      </c>
      <c r="R16" s="20">
        <f>'TE BE'!$R$16*'TE BF'!$R$56</f>
        <v>-28.5069224225856</v>
      </c>
      <c r="S16" s="20">
        <f>SUM($R$16:$R$16)</f>
        <v>-28.5069224225856</v>
      </c>
      <c r="T16" s="20">
        <f>'TE BE'!$T$16*'TE BF'!$T$56</f>
        <v>0.83760882238776446</v>
      </c>
      <c r="U16" s="20">
        <f>'TE BE'!$U$16*'TE BF'!$U$56</f>
        <v>0.48568457170811147</v>
      </c>
      <c r="V16" s="20">
        <f>'TE BE'!$V$16*'TE BF'!$V$56</f>
        <v>0</v>
      </c>
      <c r="W16" s="20">
        <f>SUM($T$16:$V$16)</f>
        <v>1.323293394095876</v>
      </c>
      <c r="X16" s="20">
        <f>'TE BE'!$AB$16*'TE BF'!$X$56</f>
        <v>0</v>
      </c>
      <c r="Y16" s="20">
        <f>SUM($X$16:$X$16)</f>
        <v>0</v>
      </c>
      <c r="Z16" s="20">
        <f>'TE BE'!$Z$16*'TE BF'!$Z$56</f>
        <v>-0.46853071533998086</v>
      </c>
      <c r="AA16" s="20">
        <f>SUM($Z$16:$Z$16)</f>
        <v>-0.46853071533998086</v>
      </c>
      <c r="AB16" s="20">
        <f>SUMIF($L$4:$AA$4,"SUBTOTAL",$L$16:$AA$16)</f>
        <v>-28.519384142974289</v>
      </c>
    </row>
    <row r="17" spans="1:28" ht="11.25" customHeight="1" x14ac:dyDescent="0.3">
      <c r="A17" s="133"/>
      <c r="B17" s="133"/>
      <c r="C17" s="133"/>
      <c r="D17" s="133"/>
      <c r="E17" s="133"/>
      <c r="F17" s="133"/>
      <c r="G17" s="23" t="s">
        <v>80</v>
      </c>
      <c r="H17" s="23" t="s">
        <v>78</v>
      </c>
      <c r="I17" s="23">
        <f>'MERCADO TE'!$U$14</f>
        <v>127.76599999999999</v>
      </c>
      <c r="J17" s="15"/>
      <c r="L17" s="20">
        <f>'TE BE'!$L$17*'TE BF'!$L$56</f>
        <v>0</v>
      </c>
      <c r="M17" s="20">
        <f>'TE BE'!$M$17*'TE BF'!$M$56</f>
        <v>-1.9135572147375723</v>
      </c>
      <c r="N17" s="20">
        <f>'TE BE'!$N$17*'TE BF'!$N$56</f>
        <v>9.5250556035339662E-2</v>
      </c>
      <c r="O17" s="20">
        <f>'TE BE'!$O$17*'TE BF'!$O$56</f>
        <v>0.95108225955764558</v>
      </c>
      <c r="P17" s="20">
        <f>'TE BE'!$P$17*'TE BF'!$P$56</f>
        <v>0</v>
      </c>
      <c r="Q17" s="20">
        <f>SUM($L$17:$P$17)</f>
        <v>-0.86722439914458715</v>
      </c>
      <c r="R17" s="20">
        <f>'TE BE'!$R$17*'TE BF'!$R$56</f>
        <v>-28.5069224225856</v>
      </c>
      <c r="S17" s="20">
        <f>SUM($R$17:$R$17)</f>
        <v>-28.5069224225856</v>
      </c>
      <c r="T17" s="20">
        <f>'TE BE'!$T$17*'TE BF'!$T$56</f>
        <v>0.83760882238776446</v>
      </c>
      <c r="U17" s="20">
        <f>'TE BE'!$U$17*'TE BF'!$U$56</f>
        <v>0.48568457170811147</v>
      </c>
      <c r="V17" s="20">
        <f>'TE BE'!$V$17*'TE BF'!$V$56</f>
        <v>0</v>
      </c>
      <c r="W17" s="20">
        <f>SUM($T$17:$V$17)</f>
        <v>1.323293394095876</v>
      </c>
      <c r="X17" s="20">
        <f>'TE BE'!$AB$17*'TE BF'!$X$56</f>
        <v>0</v>
      </c>
      <c r="Y17" s="20">
        <f>SUM($X$17:$X$17)</f>
        <v>0</v>
      </c>
      <c r="Z17" s="20">
        <f>'TE BE'!$Z$17*'TE BF'!$Z$56</f>
        <v>-0.46853071533998086</v>
      </c>
      <c r="AA17" s="20">
        <f>SUM($Z$17:$Z$17)</f>
        <v>-0.46853071533998086</v>
      </c>
      <c r="AB17" s="20">
        <f>SUMIF($L$4:$AA$4,"SUBTOTAL",$L$17:$AA$17)</f>
        <v>-28.519384142974289</v>
      </c>
    </row>
    <row r="18" spans="1:28" ht="11.25" customHeight="1" x14ac:dyDescent="0.3">
      <c r="A18" s="133"/>
      <c r="B18" s="133" t="s">
        <v>86</v>
      </c>
      <c r="C18" s="133" t="s">
        <v>24</v>
      </c>
      <c r="D18" s="22" t="s">
        <v>24</v>
      </c>
      <c r="E18" s="22" t="s">
        <v>25</v>
      </c>
      <c r="F18" s="22" t="s">
        <v>25</v>
      </c>
      <c r="G18" s="23" t="s">
        <v>84</v>
      </c>
      <c r="H18" s="23" t="s">
        <v>78</v>
      </c>
      <c r="I18" s="23">
        <f>'MERCADO TE'!$U$15</f>
        <v>126554.92199999999</v>
      </c>
      <c r="J18" s="15"/>
      <c r="L18" s="20">
        <f>'TE BE'!$L$18*'TE BF'!$L$56</f>
        <v>0</v>
      </c>
      <c r="M18" s="20">
        <f>'TE BE'!$M$18*'TE BF'!$M$56</f>
        <v>-1.9135572147375723</v>
      </c>
      <c r="N18" s="20">
        <f>'TE BE'!$N$18*'TE BF'!$N$56</f>
        <v>9.5250556035339662E-2</v>
      </c>
      <c r="O18" s="20">
        <f>'TE BE'!$O$18*'TE BF'!$O$56</f>
        <v>0.95108225955764558</v>
      </c>
      <c r="P18" s="20">
        <f>'TE BE'!$P$18*'TE BF'!$P$56</f>
        <v>0</v>
      </c>
      <c r="Q18" s="20">
        <f>SUM($L$18:$P$18)</f>
        <v>-0.86722439914458715</v>
      </c>
      <c r="R18" s="20">
        <f>'TE BE'!$R$18*'TE BF'!$R$56</f>
        <v>-30.217337767940737</v>
      </c>
      <c r="S18" s="20">
        <f>SUM($R$18:$R$18)</f>
        <v>-30.217337767940737</v>
      </c>
      <c r="T18" s="20">
        <f>'TE BE'!$T$18*'TE BF'!$T$56</f>
        <v>0.83760882238776446</v>
      </c>
      <c r="U18" s="20">
        <f>'TE BE'!$U$18*'TE BF'!$U$56</f>
        <v>0.48568457170811147</v>
      </c>
      <c r="V18" s="20">
        <f>'TE BE'!$V$18*'TE BF'!$V$56</f>
        <v>0</v>
      </c>
      <c r="W18" s="20">
        <f>SUM($T$18:$V$18)</f>
        <v>1.323293394095876</v>
      </c>
      <c r="X18" s="20">
        <f>'TE BE'!$AB$18*'TE BF'!$X$56</f>
        <v>0</v>
      </c>
      <c r="Y18" s="20">
        <f>SUM($X$18:$X$18)</f>
        <v>0</v>
      </c>
      <c r="Z18" s="20">
        <f>'TE BE'!$Z$18*'TE BF'!$Z$56</f>
        <v>-0.46853071533998086</v>
      </c>
      <c r="AA18" s="20">
        <f>SUM($Z$18:$Z$18)</f>
        <v>-0.46853071533998086</v>
      </c>
      <c r="AB18" s="20">
        <f>SUMIF($L$4:$AA$4,"SUBTOTAL",$L$18:$AA$18)</f>
        <v>-30.229799488329427</v>
      </c>
    </row>
    <row r="19" spans="1:28" ht="11.25" customHeight="1" x14ac:dyDescent="0.3">
      <c r="A19" s="133"/>
      <c r="B19" s="133"/>
      <c r="C19" s="133"/>
      <c r="D19" s="22" t="s">
        <v>29</v>
      </c>
      <c r="E19" s="22" t="s">
        <v>25</v>
      </c>
      <c r="F19" s="22" t="s">
        <v>25</v>
      </c>
      <c r="G19" s="23" t="s">
        <v>84</v>
      </c>
      <c r="H19" s="23" t="s">
        <v>78</v>
      </c>
      <c r="I19" s="23">
        <f>'MERCADO TE'!$U$16</f>
        <v>2163.31</v>
      </c>
      <c r="J19" s="15"/>
      <c r="L19" s="20">
        <f>'TE BE'!$L$19*'TE BF'!$L$56</f>
        <v>0</v>
      </c>
      <c r="M19" s="20">
        <f>'TE BE'!$M$19*'TE BF'!$M$56</f>
        <v>-1.9135572147375723</v>
      </c>
      <c r="N19" s="20">
        <f>'TE BE'!$N$19*'TE BF'!$N$56</f>
        <v>9.5250556035339662E-2</v>
      </c>
      <c r="O19" s="20">
        <f>'TE BE'!$O$19*'TE BF'!$O$56</f>
        <v>0.95108225955764558</v>
      </c>
      <c r="P19" s="20">
        <f>'TE BE'!$P$19*'TE BF'!$P$56</f>
        <v>0</v>
      </c>
      <c r="Q19" s="20">
        <f>SUM($L$19:$P$19)</f>
        <v>-0.86722439914458715</v>
      </c>
      <c r="R19" s="20">
        <f>'TE BE'!$R$19*'TE BF'!$R$56</f>
        <v>-30.217337767940737</v>
      </c>
      <c r="S19" s="20">
        <f>SUM($R$19:$R$19)</f>
        <v>-30.217337767940737</v>
      </c>
      <c r="T19" s="20">
        <f>'TE BE'!$T$19*'TE BF'!$T$56</f>
        <v>0.83760882238776446</v>
      </c>
      <c r="U19" s="20">
        <f>'TE BE'!$U$19*'TE BF'!$U$56</f>
        <v>0.48568457170811147</v>
      </c>
      <c r="V19" s="20">
        <f>'TE BE'!$V$19*'TE BF'!$V$56</f>
        <v>0</v>
      </c>
      <c r="W19" s="20">
        <f>SUM($T$19:$V$19)</f>
        <v>1.323293394095876</v>
      </c>
      <c r="X19" s="20">
        <f>'TE BE'!$AB$19*'TE BF'!$X$56</f>
        <v>0</v>
      </c>
      <c r="Y19" s="20">
        <f>SUM($X$19:$X$19)</f>
        <v>0</v>
      </c>
      <c r="Z19" s="20">
        <f>'TE BE'!$Z$19*'TE BF'!$Z$56</f>
        <v>-0.46853071533998086</v>
      </c>
      <c r="AA19" s="20">
        <f>SUM($Z$19:$Z$19)</f>
        <v>-0.46853071533998086</v>
      </c>
      <c r="AB19" s="20">
        <f>SUMIF($L$4:$AA$4,"SUBTOTAL",$L$19:$AA$19)</f>
        <v>-30.229799488329427</v>
      </c>
    </row>
    <row r="20" spans="1:28" ht="11.25" customHeight="1" x14ac:dyDescent="0.3">
      <c r="A20" s="133"/>
      <c r="B20" s="133"/>
      <c r="C20" s="133"/>
      <c r="D20" s="22" t="s">
        <v>30</v>
      </c>
      <c r="E20" s="22" t="s">
        <v>25</v>
      </c>
      <c r="F20" s="22" t="s">
        <v>25</v>
      </c>
      <c r="G20" s="23" t="s">
        <v>84</v>
      </c>
      <c r="H20" s="23" t="s">
        <v>78</v>
      </c>
      <c r="I20" s="23">
        <f>'MERCADO TE'!$U$17</f>
        <v>4329.2419999999993</v>
      </c>
      <c r="J20" s="15"/>
      <c r="L20" s="20">
        <f>'TE BE'!$L$20*'TE BF'!$L$56</f>
        <v>0</v>
      </c>
      <c r="M20" s="20">
        <f>'TE BE'!$M$20*'TE BF'!$M$56</f>
        <v>-1.9135572147375723</v>
      </c>
      <c r="N20" s="20">
        <f>'TE BE'!$N$20*'TE BF'!$N$56</f>
        <v>9.5250556035339662E-2</v>
      </c>
      <c r="O20" s="20">
        <f>'TE BE'!$O$20*'TE BF'!$O$56</f>
        <v>0.95108225955764558</v>
      </c>
      <c r="P20" s="20">
        <f>'TE BE'!$P$20*'TE BF'!$P$56</f>
        <v>0</v>
      </c>
      <c r="Q20" s="20">
        <f>SUM($L$20:$P$20)</f>
        <v>-0.86722439914458715</v>
      </c>
      <c r="R20" s="20">
        <f>'TE BE'!$R$20*'TE BF'!$R$56</f>
        <v>-30.217337767940737</v>
      </c>
      <c r="S20" s="20">
        <f>SUM($R$20:$R$20)</f>
        <v>-30.217337767940737</v>
      </c>
      <c r="T20" s="20">
        <f>'TE BE'!$T$20*'TE BF'!$T$56</f>
        <v>0.83760882238776446</v>
      </c>
      <c r="U20" s="20">
        <f>'TE BE'!$U$20*'TE BF'!$U$56</f>
        <v>0.48568457170811147</v>
      </c>
      <c r="V20" s="20">
        <f>'TE BE'!$V$20*'TE BF'!$V$56</f>
        <v>0</v>
      </c>
      <c r="W20" s="20">
        <f>SUM($T$20:$V$20)</f>
        <v>1.323293394095876</v>
      </c>
      <c r="X20" s="20">
        <f>'TE BE'!$AB$20*'TE BF'!$X$56</f>
        <v>0</v>
      </c>
      <c r="Y20" s="20">
        <f>SUM($X$20:$X$20)</f>
        <v>0</v>
      </c>
      <c r="Z20" s="20">
        <f>'TE BE'!$Z$20*'TE BF'!$Z$56</f>
        <v>-0.46853071533998086</v>
      </c>
      <c r="AA20" s="20">
        <f>SUM($Z$20:$Z$20)</f>
        <v>-0.46853071533998086</v>
      </c>
      <c r="AB20" s="20">
        <f>SUMIF($L$4:$AA$4,"SUBTOTAL",$L$20:$AA$20)</f>
        <v>-30.229799488329427</v>
      </c>
    </row>
    <row r="21" spans="1:28" ht="11.25" customHeight="1" x14ac:dyDescent="0.3">
      <c r="A21" s="133"/>
      <c r="B21" s="133"/>
      <c r="C21" s="133"/>
      <c r="D21" s="22" t="s">
        <v>31</v>
      </c>
      <c r="E21" s="22" t="s">
        <v>25</v>
      </c>
      <c r="F21" s="22" t="s">
        <v>25</v>
      </c>
      <c r="G21" s="23" t="s">
        <v>84</v>
      </c>
      <c r="H21" s="23" t="s">
        <v>78</v>
      </c>
      <c r="I21" s="23">
        <f>'MERCADO TE'!$U$18</f>
        <v>3237.8510000000001</v>
      </c>
      <c r="J21" s="15"/>
      <c r="L21" s="20">
        <f>'TE BE'!$L$21*'TE BF'!$L$56</f>
        <v>0</v>
      </c>
      <c r="M21" s="20">
        <f>'TE BE'!$M$21*'TE BF'!$M$56</f>
        <v>-1.9135572147375723</v>
      </c>
      <c r="N21" s="20">
        <f>'TE BE'!$N$21*'TE BF'!$N$56</f>
        <v>9.5250556035339662E-2</v>
      </c>
      <c r="O21" s="20">
        <f>'TE BE'!$O$21*'TE BF'!$O$56</f>
        <v>0.95108225955764558</v>
      </c>
      <c r="P21" s="20">
        <f>'TE BE'!$P$21*'TE BF'!$P$56</f>
        <v>0</v>
      </c>
      <c r="Q21" s="20">
        <f>SUM($L$21:$P$21)</f>
        <v>-0.86722439914458715</v>
      </c>
      <c r="R21" s="20">
        <f>'TE BE'!$R$21*'TE BF'!$R$56</f>
        <v>-30.217337767940737</v>
      </c>
      <c r="S21" s="20">
        <f>SUM($R$21:$R$21)</f>
        <v>-30.217337767940737</v>
      </c>
      <c r="T21" s="20">
        <f>'TE BE'!$T$21*'TE BF'!$T$56</f>
        <v>0.83760882238776446</v>
      </c>
      <c r="U21" s="20">
        <f>'TE BE'!$U$21*'TE BF'!$U$56</f>
        <v>0.48568457170811147</v>
      </c>
      <c r="V21" s="20">
        <f>'TE BE'!$V$21*'TE BF'!$V$56</f>
        <v>0</v>
      </c>
      <c r="W21" s="20">
        <f>SUM($T$21:$V$21)</f>
        <v>1.323293394095876</v>
      </c>
      <c r="X21" s="20">
        <f>'TE BE'!$AB$21*'TE BF'!$X$56</f>
        <v>0</v>
      </c>
      <c r="Y21" s="20">
        <f>SUM($X$21:$X$21)</f>
        <v>0</v>
      </c>
      <c r="Z21" s="20">
        <f>'TE BE'!$Z$21*'TE BF'!$Z$56</f>
        <v>-0.46853071533998086</v>
      </c>
      <c r="AA21" s="20">
        <f>SUM($Z$21:$Z$21)</f>
        <v>-0.46853071533998086</v>
      </c>
      <c r="AB21" s="20">
        <f>SUMIF($L$4:$AA$4,"SUBTOTAL",$L$21:$AA$21)</f>
        <v>-30.229799488329427</v>
      </c>
    </row>
    <row r="22" spans="1:28" ht="11.25" customHeight="1" x14ac:dyDescent="0.3">
      <c r="A22" s="133"/>
      <c r="B22" s="133"/>
      <c r="C22" s="133"/>
      <c r="D22" s="22" t="s">
        <v>32</v>
      </c>
      <c r="E22" s="22" t="s">
        <v>25</v>
      </c>
      <c r="F22" s="22" t="s">
        <v>25</v>
      </c>
      <c r="G22" s="23" t="s">
        <v>84</v>
      </c>
      <c r="H22" s="23" t="s">
        <v>78</v>
      </c>
      <c r="I22" s="23">
        <f>'MERCADO TE'!$U$19</f>
        <v>633.93299999999999</v>
      </c>
      <c r="J22" s="15"/>
      <c r="L22" s="20">
        <f>'TE BE'!$L$22*'TE BF'!$L$56</f>
        <v>0</v>
      </c>
      <c r="M22" s="20">
        <f>'TE BE'!$M$22*'TE BF'!$M$56</f>
        <v>-1.9135572147375723</v>
      </c>
      <c r="N22" s="20">
        <f>'TE BE'!$N$22*'TE BF'!$N$56</f>
        <v>9.5250556035339662E-2</v>
      </c>
      <c r="O22" s="20">
        <f>'TE BE'!$O$22*'TE BF'!$O$56</f>
        <v>0.95108225955764558</v>
      </c>
      <c r="P22" s="20">
        <f>'TE BE'!$P$22*'TE BF'!$P$56</f>
        <v>0</v>
      </c>
      <c r="Q22" s="20">
        <f>SUM($L$22:$P$22)</f>
        <v>-0.86722439914458715</v>
      </c>
      <c r="R22" s="20">
        <f>'TE BE'!$R$22*'TE BF'!$R$56</f>
        <v>-30.217337767940737</v>
      </c>
      <c r="S22" s="20">
        <f>SUM($R$22:$R$22)</f>
        <v>-30.217337767940737</v>
      </c>
      <c r="T22" s="20">
        <f>'TE BE'!$T$22*'TE BF'!$T$56</f>
        <v>0.83760882238776446</v>
      </c>
      <c r="U22" s="20">
        <f>'TE BE'!$U$22*'TE BF'!$U$56</f>
        <v>0.48568457170811147</v>
      </c>
      <c r="V22" s="20">
        <f>'TE BE'!$V$22*'TE BF'!$V$56</f>
        <v>0</v>
      </c>
      <c r="W22" s="20">
        <f>SUM($T$22:$V$22)</f>
        <v>1.323293394095876</v>
      </c>
      <c r="X22" s="20">
        <f>'TE BE'!$AB$22*'TE BF'!$X$56</f>
        <v>0</v>
      </c>
      <c r="Y22" s="20">
        <f>SUM($X$22:$X$22)</f>
        <v>0</v>
      </c>
      <c r="Z22" s="20">
        <f>'TE BE'!$Z$22*'TE BF'!$Z$56</f>
        <v>-0.46853071533998086</v>
      </c>
      <c r="AA22" s="20">
        <f>SUM($Z$22:$Z$22)</f>
        <v>-0.46853071533998086</v>
      </c>
      <c r="AB22" s="20">
        <f>SUMIF($L$4:$AA$4,"SUBTOTAL",$L$22:$AA$22)</f>
        <v>-30.229799488329427</v>
      </c>
    </row>
    <row r="23" spans="1:28" ht="11.25" customHeight="1" x14ac:dyDescent="0.3">
      <c r="A23" s="133"/>
      <c r="B23" s="133" t="s">
        <v>91</v>
      </c>
      <c r="C23" s="133" t="s">
        <v>24</v>
      </c>
      <c r="D23" s="22" t="s">
        <v>24</v>
      </c>
      <c r="E23" s="22" t="s">
        <v>25</v>
      </c>
      <c r="F23" s="22" t="s">
        <v>25</v>
      </c>
      <c r="G23" s="23" t="s">
        <v>84</v>
      </c>
      <c r="H23" s="23" t="s">
        <v>78</v>
      </c>
      <c r="I23" s="23">
        <f>'MERCADO TE'!$U$20</f>
        <v>0</v>
      </c>
      <c r="J23" s="15"/>
      <c r="L23" s="20">
        <f>'TE BE'!$L$23*'TE BF'!$L$56</f>
        <v>0</v>
      </c>
      <c r="M23" s="20">
        <f>'TE BE'!$M$23*'TE BF'!$M$56</f>
        <v>-1.9135572147375723</v>
      </c>
      <c r="N23" s="20">
        <f>'TE BE'!$N$23*'TE BF'!$N$56</f>
        <v>9.5250556035339662E-2</v>
      </c>
      <c r="O23" s="20">
        <f>'TE BE'!$O$23*'TE BF'!$O$56</f>
        <v>0.95108225955764558</v>
      </c>
      <c r="P23" s="20">
        <f>'TE BE'!$P$23*'TE BF'!$P$56</f>
        <v>0</v>
      </c>
      <c r="Q23" s="20">
        <f>SUM($L$23:$P$23)</f>
        <v>-0.86722439914458715</v>
      </c>
      <c r="R23" s="20">
        <f>'TE BE'!$R$23*'TE BF'!$R$56</f>
        <v>-30.217337767940737</v>
      </c>
      <c r="S23" s="20">
        <f>SUM($R$23:$R$23)</f>
        <v>-30.217337767940737</v>
      </c>
      <c r="T23" s="20">
        <f>'TE BE'!$T$23*'TE BF'!$T$56</f>
        <v>0.83760882238776446</v>
      </c>
      <c r="U23" s="20">
        <f>'TE BE'!$U$23*'TE BF'!$U$56</f>
        <v>0.48568457170811147</v>
      </c>
      <c r="V23" s="20">
        <f>'TE BE'!$V$23*'TE BF'!$V$56</f>
        <v>0</v>
      </c>
      <c r="W23" s="20">
        <f>SUM($T$23:$V$23)</f>
        <v>1.323293394095876</v>
      </c>
      <c r="X23" s="20">
        <f>'TE BE'!$AB$23*'TE BF'!$X$56</f>
        <v>0</v>
      </c>
      <c r="Y23" s="20">
        <f>SUM($X$23:$X$23)</f>
        <v>0</v>
      </c>
      <c r="Z23" s="20">
        <f>'TE BE'!$Z$23*'TE BF'!$Z$56</f>
        <v>-0.46853071533998086</v>
      </c>
      <c r="AA23" s="20">
        <f>SUM($Z$23:$Z$23)</f>
        <v>-0.46853071533998086</v>
      </c>
      <c r="AB23" s="20">
        <f>SUMIF($L$4:$AA$4,"SUBTOTAL",$L$23:$AA$23)</f>
        <v>-30.229799488329427</v>
      </c>
    </row>
    <row r="24" spans="1:28" ht="11.25" customHeight="1" x14ac:dyDescent="0.3">
      <c r="A24" s="133"/>
      <c r="B24" s="133"/>
      <c r="C24" s="133"/>
      <c r="D24" s="22" t="s">
        <v>29</v>
      </c>
      <c r="E24" s="22" t="s">
        <v>25</v>
      </c>
      <c r="F24" s="22" t="s">
        <v>25</v>
      </c>
      <c r="G24" s="23" t="s">
        <v>84</v>
      </c>
      <c r="H24" s="23" t="s">
        <v>78</v>
      </c>
      <c r="I24" s="23">
        <f>'MERCADO TE'!$U$21</f>
        <v>0</v>
      </c>
      <c r="J24" s="15"/>
      <c r="L24" s="20">
        <f>'TE BE'!$L$24*'TE BF'!$L$56</f>
        <v>0</v>
      </c>
      <c r="M24" s="20">
        <f>'TE BE'!$M$24*'TE BF'!$M$56</f>
        <v>-1.9135572147375723</v>
      </c>
      <c r="N24" s="20">
        <f>'TE BE'!$N$24*'TE BF'!$N$56</f>
        <v>9.5250556035339662E-2</v>
      </c>
      <c r="O24" s="20">
        <f>'TE BE'!$O$24*'TE BF'!$O$56</f>
        <v>0.95108225955764558</v>
      </c>
      <c r="P24" s="20">
        <f>'TE BE'!$P$24*'TE BF'!$P$56</f>
        <v>0</v>
      </c>
      <c r="Q24" s="20">
        <f>SUM($L$24:$P$24)</f>
        <v>-0.86722439914458715</v>
      </c>
      <c r="R24" s="20">
        <f>'TE BE'!$R$24*'TE BF'!$R$56</f>
        <v>-30.217337767940737</v>
      </c>
      <c r="S24" s="20">
        <f>SUM($R$24:$R$24)</f>
        <v>-30.217337767940737</v>
      </c>
      <c r="T24" s="20">
        <f>'TE BE'!$T$24*'TE BF'!$T$56</f>
        <v>0.83760882238776446</v>
      </c>
      <c r="U24" s="20">
        <f>'TE BE'!$U$24*'TE BF'!$U$56</f>
        <v>0.48568457170811147</v>
      </c>
      <c r="V24" s="20">
        <f>'TE BE'!$V$24*'TE BF'!$V$56</f>
        <v>0</v>
      </c>
      <c r="W24" s="20">
        <f>SUM($T$24:$V$24)</f>
        <v>1.323293394095876</v>
      </c>
      <c r="X24" s="20">
        <f>'TE BE'!$AB$24*'TE BF'!$X$56</f>
        <v>0</v>
      </c>
      <c r="Y24" s="20">
        <f>SUM($X$24:$X$24)</f>
        <v>0</v>
      </c>
      <c r="Z24" s="20">
        <f>'TE BE'!$Z$24*'TE BF'!$Z$56</f>
        <v>-0.46853071533998086</v>
      </c>
      <c r="AA24" s="20">
        <f>SUM($Z$24:$Z$24)</f>
        <v>-0.46853071533998086</v>
      </c>
      <c r="AB24" s="20">
        <f>SUMIF($L$4:$AA$4,"SUBTOTAL",$L$24:$AA$24)</f>
        <v>-30.229799488329427</v>
      </c>
    </row>
    <row r="25" spans="1:28" ht="11.25" customHeight="1" x14ac:dyDescent="0.3">
      <c r="A25" s="133"/>
      <c r="B25" s="133"/>
      <c r="C25" s="133"/>
      <c r="D25" s="22" t="s">
        <v>30</v>
      </c>
      <c r="E25" s="22" t="s">
        <v>25</v>
      </c>
      <c r="F25" s="22" t="s">
        <v>25</v>
      </c>
      <c r="G25" s="23" t="s">
        <v>84</v>
      </c>
      <c r="H25" s="23" t="s">
        <v>78</v>
      </c>
      <c r="I25" s="23">
        <f>'MERCADO TE'!$U$22</f>
        <v>0</v>
      </c>
      <c r="J25" s="15"/>
      <c r="L25" s="20">
        <f>'TE BE'!$L$25*'TE BF'!$L$56</f>
        <v>0</v>
      </c>
      <c r="M25" s="20">
        <f>'TE BE'!$M$25*'TE BF'!$M$56</f>
        <v>-1.9135572147375723</v>
      </c>
      <c r="N25" s="20">
        <f>'TE BE'!$N$25*'TE BF'!$N$56</f>
        <v>9.5250556035339662E-2</v>
      </c>
      <c r="O25" s="20">
        <f>'TE BE'!$O$25*'TE BF'!$O$56</f>
        <v>0.95108225955764558</v>
      </c>
      <c r="P25" s="20">
        <f>'TE BE'!$P$25*'TE BF'!$P$56</f>
        <v>0</v>
      </c>
      <c r="Q25" s="20">
        <f>SUM($L$25:$P$25)</f>
        <v>-0.86722439914458715</v>
      </c>
      <c r="R25" s="20">
        <f>'TE BE'!$R$25*'TE BF'!$R$56</f>
        <v>-30.217337767940737</v>
      </c>
      <c r="S25" s="20">
        <f>SUM($R$25:$R$25)</f>
        <v>-30.217337767940737</v>
      </c>
      <c r="T25" s="20">
        <f>'TE BE'!$T$25*'TE BF'!$T$56</f>
        <v>0.83760882238776446</v>
      </c>
      <c r="U25" s="20">
        <f>'TE BE'!$U$25*'TE BF'!$U$56</f>
        <v>0.48568457170811147</v>
      </c>
      <c r="V25" s="20">
        <f>'TE BE'!$V$25*'TE BF'!$V$56</f>
        <v>0</v>
      </c>
      <c r="W25" s="20">
        <f>SUM($T$25:$V$25)</f>
        <v>1.323293394095876</v>
      </c>
      <c r="X25" s="20">
        <f>'TE BE'!$AB$25*'TE BF'!$X$56</f>
        <v>0</v>
      </c>
      <c r="Y25" s="20">
        <f>SUM($X$25:$X$25)</f>
        <v>0</v>
      </c>
      <c r="Z25" s="20">
        <f>'TE BE'!$Z$25*'TE BF'!$Z$56</f>
        <v>-0.46853071533998086</v>
      </c>
      <c r="AA25" s="20">
        <f>SUM($Z$25:$Z$25)</f>
        <v>-0.46853071533998086</v>
      </c>
      <c r="AB25" s="20">
        <f>SUMIF($L$4:$AA$4,"SUBTOTAL",$L$25:$AA$25)</f>
        <v>-30.229799488329427</v>
      </c>
    </row>
    <row r="26" spans="1:28" ht="11.25" customHeight="1" x14ac:dyDescent="0.3">
      <c r="A26" s="133"/>
      <c r="B26" s="133"/>
      <c r="C26" s="133"/>
      <c r="D26" s="22" t="s">
        <v>31</v>
      </c>
      <c r="E26" s="22" t="s">
        <v>25</v>
      </c>
      <c r="F26" s="22" t="s">
        <v>25</v>
      </c>
      <c r="G26" s="23" t="s">
        <v>84</v>
      </c>
      <c r="H26" s="23" t="s">
        <v>78</v>
      </c>
      <c r="I26" s="23">
        <f>'MERCADO TE'!$U$23</f>
        <v>0</v>
      </c>
      <c r="J26" s="15"/>
      <c r="L26" s="20">
        <f>'TE BE'!$L$26*'TE BF'!$L$56</f>
        <v>0</v>
      </c>
      <c r="M26" s="20">
        <f>'TE BE'!$M$26*'TE BF'!$M$56</f>
        <v>-1.9135572147375723</v>
      </c>
      <c r="N26" s="20">
        <f>'TE BE'!$N$26*'TE BF'!$N$56</f>
        <v>9.5250556035339662E-2</v>
      </c>
      <c r="O26" s="20">
        <f>'TE BE'!$O$26*'TE BF'!$O$56</f>
        <v>0.95108225955764558</v>
      </c>
      <c r="P26" s="20">
        <f>'TE BE'!$P$26*'TE BF'!$P$56</f>
        <v>0</v>
      </c>
      <c r="Q26" s="20">
        <f>SUM($L$26:$P$26)</f>
        <v>-0.86722439914458715</v>
      </c>
      <c r="R26" s="20">
        <f>'TE BE'!$R$26*'TE BF'!$R$56</f>
        <v>-30.217337767940737</v>
      </c>
      <c r="S26" s="20">
        <f>SUM($R$26:$R$26)</f>
        <v>-30.217337767940737</v>
      </c>
      <c r="T26" s="20">
        <f>'TE BE'!$T$26*'TE BF'!$T$56</f>
        <v>0.83760882238776446</v>
      </c>
      <c r="U26" s="20">
        <f>'TE BE'!$U$26*'TE BF'!$U$56</f>
        <v>0.48568457170811147</v>
      </c>
      <c r="V26" s="20">
        <f>'TE BE'!$V$26*'TE BF'!$V$56</f>
        <v>0</v>
      </c>
      <c r="W26" s="20">
        <f>SUM($T$26:$V$26)</f>
        <v>1.323293394095876</v>
      </c>
      <c r="X26" s="20">
        <f>'TE BE'!$AB$26*'TE BF'!$X$56</f>
        <v>0</v>
      </c>
      <c r="Y26" s="20">
        <f>SUM($X$26:$X$26)</f>
        <v>0</v>
      </c>
      <c r="Z26" s="20">
        <f>'TE BE'!$Z$26*'TE BF'!$Z$56</f>
        <v>-0.46853071533998086</v>
      </c>
      <c r="AA26" s="20">
        <f>SUM($Z$26:$Z$26)</f>
        <v>-0.46853071533998086</v>
      </c>
      <c r="AB26" s="20">
        <f>SUMIF($L$4:$AA$4,"SUBTOTAL",$L$26:$AA$26)</f>
        <v>-30.229799488329427</v>
      </c>
    </row>
    <row r="27" spans="1:28" ht="11.25" customHeight="1" x14ac:dyDescent="0.3">
      <c r="A27" s="133"/>
      <c r="B27" s="133"/>
      <c r="C27" s="133"/>
      <c r="D27" s="22" t="s">
        <v>32</v>
      </c>
      <c r="E27" s="22" t="s">
        <v>25</v>
      </c>
      <c r="F27" s="22" t="s">
        <v>25</v>
      </c>
      <c r="G27" s="23" t="s">
        <v>84</v>
      </c>
      <c r="H27" s="23" t="s">
        <v>78</v>
      </c>
      <c r="I27" s="23">
        <f>'MERCADO TE'!$U$24</f>
        <v>0</v>
      </c>
      <c r="J27" s="15"/>
      <c r="L27" s="20">
        <f>'TE BE'!$L$27*'TE BF'!$L$56</f>
        <v>0</v>
      </c>
      <c r="M27" s="20">
        <f>'TE BE'!$M$27*'TE BF'!$M$56</f>
        <v>-1.9135572147375723</v>
      </c>
      <c r="N27" s="20">
        <f>'TE BE'!$N$27*'TE BF'!$N$56</f>
        <v>9.5250556035339662E-2</v>
      </c>
      <c r="O27" s="20">
        <f>'TE BE'!$O$27*'TE BF'!$O$56</f>
        <v>0.95108225955764558</v>
      </c>
      <c r="P27" s="20">
        <f>'TE BE'!$P$27*'TE BF'!$P$56</f>
        <v>0</v>
      </c>
      <c r="Q27" s="20">
        <f>SUM($L$27:$P$27)</f>
        <v>-0.86722439914458715</v>
      </c>
      <c r="R27" s="20">
        <f>'TE BE'!$R$27*'TE BF'!$R$56</f>
        <v>-30.217337767940737</v>
      </c>
      <c r="S27" s="20">
        <f>SUM($R$27:$R$27)</f>
        <v>-30.217337767940737</v>
      </c>
      <c r="T27" s="20">
        <f>'TE BE'!$T$27*'TE BF'!$T$56</f>
        <v>0.83760882238776446</v>
      </c>
      <c r="U27" s="20">
        <f>'TE BE'!$U$27*'TE BF'!$U$56</f>
        <v>0.48568457170811147</v>
      </c>
      <c r="V27" s="20">
        <f>'TE BE'!$V$27*'TE BF'!$V$56</f>
        <v>0</v>
      </c>
      <c r="W27" s="20">
        <f>SUM($T$27:$V$27)</f>
        <v>1.323293394095876</v>
      </c>
      <c r="X27" s="20">
        <f>'TE BE'!$AB$27*'TE BF'!$X$56</f>
        <v>0</v>
      </c>
      <c r="Y27" s="20">
        <f>SUM($X$27:$X$27)</f>
        <v>0</v>
      </c>
      <c r="Z27" s="20">
        <f>'TE BE'!$Z$27*'TE BF'!$Z$56</f>
        <v>-0.46853071533998086</v>
      </c>
      <c r="AA27" s="20">
        <f>SUM($Z$27:$Z$27)</f>
        <v>-0.46853071533998086</v>
      </c>
      <c r="AB27" s="20">
        <f>SUMIF($L$4:$AA$4,"SUBTOTAL",$L$27:$AA$27)</f>
        <v>-30.229799488329427</v>
      </c>
    </row>
    <row r="28" spans="1:28" ht="11.25" customHeight="1" x14ac:dyDescent="0.3">
      <c r="A28" s="133" t="s">
        <v>44</v>
      </c>
      <c r="B28" s="133" t="s">
        <v>77</v>
      </c>
      <c r="C28" s="133" t="s">
        <v>45</v>
      </c>
      <c r="D28" s="133" t="s">
        <v>25</v>
      </c>
      <c r="E28" s="133" t="s">
        <v>25</v>
      </c>
      <c r="F28" s="133" t="s">
        <v>25</v>
      </c>
      <c r="G28" s="23" t="s">
        <v>79</v>
      </c>
      <c r="H28" s="23" t="s">
        <v>78</v>
      </c>
      <c r="I28" s="23">
        <f>'MERCADO TE'!$U$25</f>
        <v>0</v>
      </c>
      <c r="J28" s="15"/>
      <c r="L28" s="20">
        <f>'TE BE'!$L$28*'TE BF'!$L$56</f>
        <v>0</v>
      </c>
      <c r="M28" s="20">
        <f>'TE BE'!$M$28*'TE BF'!$M$56</f>
        <v>-1.9135572147375723</v>
      </c>
      <c r="N28" s="20">
        <f>'TE BE'!$N$28*'TE BF'!$N$56</f>
        <v>9.5250556035339662E-2</v>
      </c>
      <c r="O28" s="20">
        <f>'TE BE'!$O$28*'TE BF'!$O$56</f>
        <v>0.95108225955764558</v>
      </c>
      <c r="P28" s="20">
        <f>'TE BE'!$P$28*'TE BF'!$P$56</f>
        <v>0</v>
      </c>
      <c r="Q28" s="20">
        <f>SUM($L$28:$P$28)</f>
        <v>-0.86722439914458715</v>
      </c>
      <c r="R28" s="20">
        <f>'TE BE'!$R$28*'TE BF'!$R$56</f>
        <v>-49.031906566847226</v>
      </c>
      <c r="S28" s="20">
        <f>SUM($R$28:$R$28)</f>
        <v>-49.031906566847226</v>
      </c>
      <c r="T28" s="20">
        <f>'TE BE'!$T$28*'TE BF'!$T$56</f>
        <v>0.83760882238776446</v>
      </c>
      <c r="U28" s="20">
        <f>'TE BE'!$U$28*'TE BF'!$U$56</f>
        <v>0.48568457170811147</v>
      </c>
      <c r="V28" s="20">
        <f>'TE BE'!$V$28*'TE BF'!$V$56</f>
        <v>0</v>
      </c>
      <c r="W28" s="20">
        <f>SUM($T$28:$V$28)</f>
        <v>1.323293394095876</v>
      </c>
      <c r="X28" s="20">
        <f>'TE BE'!$AB$28*'TE BF'!$X$56</f>
        <v>0</v>
      </c>
      <c r="Y28" s="20">
        <f>SUM($X$28:$X$28)</f>
        <v>0</v>
      </c>
      <c r="Z28" s="20">
        <f>'TE BE'!$Z$28*'TE BF'!$Z$56</f>
        <v>-0.46853071533998086</v>
      </c>
      <c r="AA28" s="20">
        <f>SUM($Z$28:$Z$28)</f>
        <v>-0.46853071533998086</v>
      </c>
      <c r="AB28" s="20">
        <f>SUMIF($L$4:$AA$4,"SUBTOTAL",$L$28:$AA$28)</f>
        <v>-49.044368287235919</v>
      </c>
    </row>
    <row r="29" spans="1:28" ht="11.25" customHeight="1" x14ac:dyDescent="0.3">
      <c r="A29" s="133"/>
      <c r="B29" s="133"/>
      <c r="C29" s="133"/>
      <c r="D29" s="133"/>
      <c r="E29" s="133"/>
      <c r="F29" s="133"/>
      <c r="G29" s="23" t="s">
        <v>90</v>
      </c>
      <c r="H29" s="23" t="s">
        <v>78</v>
      </c>
      <c r="I29" s="23">
        <f>'MERCADO TE'!$U$26</f>
        <v>0</v>
      </c>
      <c r="J29" s="15"/>
      <c r="L29" s="20">
        <f>'TE BE'!$L$29*'TE BF'!$L$56</f>
        <v>0</v>
      </c>
      <c r="M29" s="20">
        <f>'TE BE'!$M$29*'TE BF'!$M$56</f>
        <v>-1.9135572147375723</v>
      </c>
      <c r="N29" s="20">
        <f>'TE BE'!$N$29*'TE BF'!$N$56</f>
        <v>9.5250556035339662E-2</v>
      </c>
      <c r="O29" s="20">
        <f>'TE BE'!$O$29*'TE BF'!$O$56</f>
        <v>0.95108225955764558</v>
      </c>
      <c r="P29" s="20">
        <f>'TE BE'!$P$29*'TE BF'!$P$56</f>
        <v>0</v>
      </c>
      <c r="Q29" s="20">
        <f>SUM($L$29:$P$29)</f>
        <v>-0.86722439914458715</v>
      </c>
      <c r="R29" s="20">
        <f>'TE BE'!$R$29*'TE BF'!$R$56</f>
        <v>-28.5069224225856</v>
      </c>
      <c r="S29" s="20">
        <f>SUM($R$29:$R$29)</f>
        <v>-28.5069224225856</v>
      </c>
      <c r="T29" s="20">
        <f>'TE BE'!$T$29*'TE BF'!$T$56</f>
        <v>0.83760882238776446</v>
      </c>
      <c r="U29" s="20">
        <f>'TE BE'!$U$29*'TE BF'!$U$56</f>
        <v>0.48568457170811147</v>
      </c>
      <c r="V29" s="20">
        <f>'TE BE'!$V$29*'TE BF'!$V$56</f>
        <v>0</v>
      </c>
      <c r="W29" s="20">
        <f>SUM($T$29:$V$29)</f>
        <v>1.323293394095876</v>
      </c>
      <c r="X29" s="20">
        <f>'TE BE'!$AB$29*'TE BF'!$X$56</f>
        <v>0</v>
      </c>
      <c r="Y29" s="20">
        <f>SUM($X$29:$X$29)</f>
        <v>0</v>
      </c>
      <c r="Z29" s="20">
        <f>'TE BE'!$Z$29*'TE BF'!$Z$56</f>
        <v>-0.46853071533998086</v>
      </c>
      <c r="AA29" s="20">
        <f>SUM($Z$29:$Z$29)</f>
        <v>-0.46853071533998086</v>
      </c>
      <c r="AB29" s="20">
        <f>SUMIF($L$4:$AA$4,"SUBTOTAL",$L$29:$AA$29)</f>
        <v>-28.519384142974289</v>
      </c>
    </row>
    <row r="30" spans="1:28" ht="11.25" customHeight="1" x14ac:dyDescent="0.3">
      <c r="A30" s="133"/>
      <c r="B30" s="133"/>
      <c r="C30" s="133"/>
      <c r="D30" s="133"/>
      <c r="E30" s="133"/>
      <c r="F30" s="133"/>
      <c r="G30" s="23" t="s">
        <v>80</v>
      </c>
      <c r="H30" s="23" t="s">
        <v>78</v>
      </c>
      <c r="I30" s="23">
        <f>'MERCADO TE'!$U$27</f>
        <v>0</v>
      </c>
      <c r="J30" s="15"/>
      <c r="L30" s="20">
        <f>'TE BE'!$L$30*'TE BF'!$L$56</f>
        <v>0</v>
      </c>
      <c r="M30" s="20">
        <f>'TE BE'!$M$30*'TE BF'!$M$56</f>
        <v>-1.9135572147375723</v>
      </c>
      <c r="N30" s="20">
        <f>'TE BE'!$N$30*'TE BF'!$N$56</f>
        <v>9.5250556035339662E-2</v>
      </c>
      <c r="O30" s="20">
        <f>'TE BE'!$O$30*'TE BF'!$O$56</f>
        <v>0.95108225955764558</v>
      </c>
      <c r="P30" s="20">
        <f>'TE BE'!$P$30*'TE BF'!$P$56</f>
        <v>0</v>
      </c>
      <c r="Q30" s="20">
        <f>SUM($L$30:$P$30)</f>
        <v>-0.86722439914458715</v>
      </c>
      <c r="R30" s="20">
        <f>'TE BE'!$R$30*'TE BF'!$R$56</f>
        <v>-28.5069224225856</v>
      </c>
      <c r="S30" s="20">
        <f>SUM($R$30:$R$30)</f>
        <v>-28.5069224225856</v>
      </c>
      <c r="T30" s="20">
        <f>'TE BE'!$T$30*'TE BF'!$T$56</f>
        <v>0.83760882238776446</v>
      </c>
      <c r="U30" s="20">
        <f>'TE BE'!$U$30*'TE BF'!$U$56</f>
        <v>0.48568457170811147</v>
      </c>
      <c r="V30" s="20">
        <f>'TE BE'!$V$30*'TE BF'!$V$56</f>
        <v>0</v>
      </c>
      <c r="W30" s="20">
        <f>SUM($T$30:$V$30)</f>
        <v>1.323293394095876</v>
      </c>
      <c r="X30" s="20">
        <f>'TE BE'!$AB$30*'TE BF'!$X$56</f>
        <v>0</v>
      </c>
      <c r="Y30" s="20">
        <f>SUM($X$30:$X$30)</f>
        <v>0</v>
      </c>
      <c r="Z30" s="20">
        <f>'TE BE'!$Z$30*'TE BF'!$Z$56</f>
        <v>-0.46853071533998086</v>
      </c>
      <c r="AA30" s="20">
        <f>SUM($Z$30:$Z$30)</f>
        <v>-0.46853071533998086</v>
      </c>
      <c r="AB30" s="20">
        <f>SUMIF($L$4:$AA$4,"SUBTOTAL",$L$30:$AA$30)</f>
        <v>-28.519384142974289</v>
      </c>
    </row>
    <row r="31" spans="1:28" ht="11.25" customHeight="1" x14ac:dyDescent="0.3">
      <c r="A31" s="133"/>
      <c r="B31" s="22" t="s">
        <v>86</v>
      </c>
      <c r="C31" s="22" t="s">
        <v>45</v>
      </c>
      <c r="D31" s="22" t="s">
        <v>25</v>
      </c>
      <c r="E31" s="22" t="s">
        <v>25</v>
      </c>
      <c r="F31" s="22" t="s">
        <v>25</v>
      </c>
      <c r="G31" s="23" t="s">
        <v>84</v>
      </c>
      <c r="H31" s="23" t="s">
        <v>78</v>
      </c>
      <c r="I31" s="23">
        <f>'MERCADO TE'!$U$28</f>
        <v>3773.6869999999999</v>
      </c>
      <c r="J31" s="15"/>
      <c r="L31" s="20">
        <f>'TE BE'!$L$31*'TE BF'!$L$56</f>
        <v>0</v>
      </c>
      <c r="M31" s="20">
        <f>'TE BE'!$M$31*'TE BF'!$M$56</f>
        <v>-1.9135572147375723</v>
      </c>
      <c r="N31" s="20">
        <f>'TE BE'!$N$31*'TE BF'!$N$56</f>
        <v>9.5250556035339662E-2</v>
      </c>
      <c r="O31" s="20">
        <f>'TE BE'!$O$31*'TE BF'!$O$56</f>
        <v>0.95108225955764558</v>
      </c>
      <c r="P31" s="20">
        <f>'TE BE'!$P$31*'TE BF'!$P$56</f>
        <v>0</v>
      </c>
      <c r="Q31" s="20">
        <f>SUM($L$31:$P$31)</f>
        <v>-0.86722439914458715</v>
      </c>
      <c r="R31" s="20">
        <f>'TE BE'!$R$31*'TE BF'!$R$56</f>
        <v>-30.217337767940737</v>
      </c>
      <c r="S31" s="20">
        <f>SUM($R$31:$R$31)</f>
        <v>-30.217337767940737</v>
      </c>
      <c r="T31" s="20">
        <f>'TE BE'!$T$31*'TE BF'!$T$56</f>
        <v>0.83760882238776446</v>
      </c>
      <c r="U31" s="20">
        <f>'TE BE'!$U$31*'TE BF'!$U$56</f>
        <v>0.48568457170811147</v>
      </c>
      <c r="V31" s="20">
        <f>'TE BE'!$V$31*'TE BF'!$V$56</f>
        <v>0</v>
      </c>
      <c r="W31" s="20">
        <f>SUM($T$31:$V$31)</f>
        <v>1.323293394095876</v>
      </c>
      <c r="X31" s="20">
        <f>'TE BE'!$AB$31*'TE BF'!$X$56</f>
        <v>0</v>
      </c>
      <c r="Y31" s="20">
        <f>SUM($X$31:$X$31)</f>
        <v>0</v>
      </c>
      <c r="Z31" s="20">
        <f>'TE BE'!$Z$31*'TE BF'!$Z$56</f>
        <v>-0.46853071533998086</v>
      </c>
      <c r="AA31" s="20">
        <f>SUM($Z$31:$Z$31)</f>
        <v>-0.46853071533998086</v>
      </c>
      <c r="AB31" s="20">
        <f>SUMIF($L$4:$AA$4,"SUBTOTAL",$L$31:$AA$31)</f>
        <v>-30.229799488329427</v>
      </c>
    </row>
    <row r="32" spans="1:28" ht="11.25" customHeight="1" x14ac:dyDescent="0.3">
      <c r="A32" s="133"/>
      <c r="B32" s="133" t="s">
        <v>77</v>
      </c>
      <c r="C32" s="133" t="s">
        <v>45</v>
      </c>
      <c r="D32" s="133" t="s">
        <v>93</v>
      </c>
      <c r="E32" s="133" t="s">
        <v>25</v>
      </c>
      <c r="F32" s="133" t="s">
        <v>25</v>
      </c>
      <c r="G32" s="23" t="s">
        <v>79</v>
      </c>
      <c r="H32" s="23" t="s">
        <v>78</v>
      </c>
      <c r="I32" s="23">
        <f>'MERCADO TE'!$U$29</f>
        <v>0</v>
      </c>
      <c r="J32" s="15"/>
      <c r="L32" s="20">
        <f>'TE BE'!$L$32*'TE BF'!$L$56</f>
        <v>0</v>
      </c>
      <c r="M32" s="20">
        <f>'TE BE'!$M$32*'TE BF'!$M$56</f>
        <v>-1.9135572147375723</v>
      </c>
      <c r="N32" s="20">
        <f>'TE BE'!$N$32*'TE BF'!$N$56</f>
        <v>9.5250556035339662E-2</v>
      </c>
      <c r="O32" s="20">
        <f>'TE BE'!$O$32*'TE BF'!$O$56</f>
        <v>0.95108225955764558</v>
      </c>
      <c r="P32" s="20">
        <f>'TE BE'!$P$32*'TE BF'!$P$56</f>
        <v>0</v>
      </c>
      <c r="Q32" s="20">
        <f>SUM($L$32:$P$32)</f>
        <v>-0.86722439914458715</v>
      </c>
      <c r="R32" s="20">
        <f>'TE BE'!$R$32*'TE BF'!$R$56</f>
        <v>-49.031906566847226</v>
      </c>
      <c r="S32" s="20">
        <f>SUM($R$32:$R$32)</f>
        <v>-49.031906566847226</v>
      </c>
      <c r="T32" s="20">
        <f>'TE BE'!$T$32*'TE BF'!$T$56</f>
        <v>0.83760882238776446</v>
      </c>
      <c r="U32" s="20">
        <f>'TE BE'!$U$32*'TE BF'!$U$56</f>
        <v>0.48568457170811147</v>
      </c>
      <c r="V32" s="20">
        <f>'TE BE'!$V$32*'TE BF'!$V$56</f>
        <v>0</v>
      </c>
      <c r="W32" s="20">
        <f>SUM($T$32:$V$32)</f>
        <v>1.323293394095876</v>
      </c>
      <c r="X32" s="20">
        <f>'TE BE'!$AB$32*'TE BF'!$X$56</f>
        <v>0</v>
      </c>
      <c r="Y32" s="20">
        <f>SUM($X$32:$X$32)</f>
        <v>0</v>
      </c>
      <c r="Z32" s="20">
        <f>'TE BE'!$Z$32*'TE BF'!$Z$56</f>
        <v>-0.46853071533998086</v>
      </c>
      <c r="AA32" s="20">
        <f>SUM($Z$32:$Z$32)</f>
        <v>-0.46853071533998086</v>
      </c>
      <c r="AB32" s="20">
        <f>SUMIF($L$4:$AA$4,"SUBTOTAL",$L$32:$AA$32)</f>
        <v>-49.044368287235919</v>
      </c>
    </row>
    <row r="33" spans="1:28" ht="11.25" customHeight="1" x14ac:dyDescent="0.3">
      <c r="A33" s="133"/>
      <c r="B33" s="133"/>
      <c r="C33" s="133"/>
      <c r="D33" s="133"/>
      <c r="E33" s="133"/>
      <c r="F33" s="133"/>
      <c r="G33" s="23" t="s">
        <v>90</v>
      </c>
      <c r="H33" s="23" t="s">
        <v>78</v>
      </c>
      <c r="I33" s="23">
        <f>'MERCADO TE'!$U$30</f>
        <v>0</v>
      </c>
      <c r="J33" s="15"/>
      <c r="L33" s="20">
        <f>'TE BE'!$L$33*'TE BF'!$L$56</f>
        <v>0</v>
      </c>
      <c r="M33" s="20">
        <f>'TE BE'!$M$33*'TE BF'!$M$56</f>
        <v>-1.9135572147375723</v>
      </c>
      <c r="N33" s="20">
        <f>'TE BE'!$N$33*'TE BF'!$N$56</f>
        <v>9.5250556035339662E-2</v>
      </c>
      <c r="O33" s="20">
        <f>'TE BE'!$O$33*'TE BF'!$O$56</f>
        <v>0.95108225955764558</v>
      </c>
      <c r="P33" s="20">
        <f>'TE BE'!$P$33*'TE BF'!$P$56</f>
        <v>0</v>
      </c>
      <c r="Q33" s="20">
        <f>SUM($L$33:$P$33)</f>
        <v>-0.86722439914458715</v>
      </c>
      <c r="R33" s="20">
        <f>'TE BE'!$R$33*'TE BF'!$R$56</f>
        <v>-28.5069224225856</v>
      </c>
      <c r="S33" s="20">
        <f>SUM($R$33:$R$33)</f>
        <v>-28.5069224225856</v>
      </c>
      <c r="T33" s="20">
        <f>'TE BE'!$T$33*'TE BF'!$T$56</f>
        <v>0.83760882238776446</v>
      </c>
      <c r="U33" s="20">
        <f>'TE BE'!$U$33*'TE BF'!$U$56</f>
        <v>0.48568457170811147</v>
      </c>
      <c r="V33" s="20">
        <f>'TE BE'!$V$33*'TE BF'!$V$56</f>
        <v>0</v>
      </c>
      <c r="W33" s="20">
        <f>SUM($T$33:$V$33)</f>
        <v>1.323293394095876</v>
      </c>
      <c r="X33" s="20">
        <f>'TE BE'!$AB$33*'TE BF'!$X$56</f>
        <v>0</v>
      </c>
      <c r="Y33" s="20">
        <f>SUM($X$33:$X$33)</f>
        <v>0</v>
      </c>
      <c r="Z33" s="20">
        <f>'TE BE'!$Z$33*'TE BF'!$Z$56</f>
        <v>-0.46853071533998086</v>
      </c>
      <c r="AA33" s="20">
        <f>SUM($Z$33:$Z$33)</f>
        <v>-0.46853071533998086</v>
      </c>
      <c r="AB33" s="20">
        <f>SUMIF($L$4:$AA$4,"SUBTOTAL",$L$33:$AA$33)</f>
        <v>-28.519384142974289</v>
      </c>
    </row>
    <row r="34" spans="1:28" ht="11.25" customHeight="1" x14ac:dyDescent="0.3">
      <c r="A34" s="133"/>
      <c r="B34" s="133"/>
      <c r="C34" s="133"/>
      <c r="D34" s="133"/>
      <c r="E34" s="133"/>
      <c r="F34" s="133"/>
      <c r="G34" s="23" t="s">
        <v>80</v>
      </c>
      <c r="H34" s="23" t="s">
        <v>78</v>
      </c>
      <c r="I34" s="23">
        <f>'MERCADO TE'!$U$31</f>
        <v>0</v>
      </c>
      <c r="J34" s="15"/>
      <c r="L34" s="20">
        <f>'TE BE'!$L$34*'TE BF'!$L$56</f>
        <v>0</v>
      </c>
      <c r="M34" s="20">
        <f>'TE BE'!$M$34*'TE BF'!$M$56</f>
        <v>-1.9135572147375723</v>
      </c>
      <c r="N34" s="20">
        <f>'TE BE'!$N$34*'TE BF'!$N$56</f>
        <v>9.5250556035339662E-2</v>
      </c>
      <c r="O34" s="20">
        <f>'TE BE'!$O$34*'TE BF'!$O$56</f>
        <v>0.95108225955764558</v>
      </c>
      <c r="P34" s="20">
        <f>'TE BE'!$P$34*'TE BF'!$P$56</f>
        <v>0</v>
      </c>
      <c r="Q34" s="20">
        <f>SUM($L$34:$P$34)</f>
        <v>-0.86722439914458715</v>
      </c>
      <c r="R34" s="20">
        <f>'TE BE'!$R$34*'TE BF'!$R$56</f>
        <v>-28.5069224225856</v>
      </c>
      <c r="S34" s="20">
        <f>SUM($R$34:$R$34)</f>
        <v>-28.5069224225856</v>
      </c>
      <c r="T34" s="20">
        <f>'TE BE'!$T$34*'TE BF'!$T$56</f>
        <v>0.83760882238776446</v>
      </c>
      <c r="U34" s="20">
        <f>'TE BE'!$U$34*'TE BF'!$U$56</f>
        <v>0.48568457170811147</v>
      </c>
      <c r="V34" s="20">
        <f>'TE BE'!$V$34*'TE BF'!$V$56</f>
        <v>0</v>
      </c>
      <c r="W34" s="20">
        <f>SUM($T$34:$V$34)</f>
        <v>1.323293394095876</v>
      </c>
      <c r="X34" s="20">
        <f>'TE BE'!$AB$34*'TE BF'!$X$56</f>
        <v>0</v>
      </c>
      <c r="Y34" s="20">
        <f>SUM($X$34:$X$34)</f>
        <v>0</v>
      </c>
      <c r="Z34" s="20">
        <f>'TE BE'!$Z$34*'TE BF'!$Z$56</f>
        <v>-0.46853071533998086</v>
      </c>
      <c r="AA34" s="20">
        <f>SUM($Z$34:$Z$34)</f>
        <v>-0.46853071533998086</v>
      </c>
      <c r="AB34" s="20">
        <f>SUMIF($L$4:$AA$4,"SUBTOTAL",$L$34:$AA$34)</f>
        <v>-28.519384142974289</v>
      </c>
    </row>
    <row r="35" spans="1:28" ht="11.25" customHeight="1" x14ac:dyDescent="0.3">
      <c r="A35" s="133"/>
      <c r="B35" s="22" t="s">
        <v>86</v>
      </c>
      <c r="C35" s="22" t="s">
        <v>45</v>
      </c>
      <c r="D35" s="22" t="s">
        <v>93</v>
      </c>
      <c r="E35" s="22" t="s">
        <v>25</v>
      </c>
      <c r="F35" s="22" t="s">
        <v>25</v>
      </c>
      <c r="G35" s="23" t="s">
        <v>84</v>
      </c>
      <c r="H35" s="23" t="s">
        <v>78</v>
      </c>
      <c r="I35" s="23">
        <f>'MERCADO TE'!$U$32</f>
        <v>0</v>
      </c>
      <c r="J35" s="15"/>
      <c r="L35" s="20">
        <f>'TE BE'!$L$35*'TE BF'!$L$56</f>
        <v>0</v>
      </c>
      <c r="M35" s="20">
        <f>'TE BE'!$M$35*'TE BF'!$M$56</f>
        <v>-1.9135572147375723</v>
      </c>
      <c r="N35" s="20">
        <f>'TE BE'!$N$35*'TE BF'!$N$56</f>
        <v>9.5250556035339662E-2</v>
      </c>
      <c r="O35" s="20">
        <f>'TE BE'!$O$35*'TE BF'!$O$56</f>
        <v>0.95108225955764558</v>
      </c>
      <c r="P35" s="20">
        <f>'TE BE'!$P$35*'TE BF'!$P$56</f>
        <v>0</v>
      </c>
      <c r="Q35" s="20">
        <f>SUM($L$35:$P$35)</f>
        <v>-0.86722439914458715</v>
      </c>
      <c r="R35" s="20">
        <f>'TE BE'!$R$35*'TE BF'!$R$56</f>
        <v>-30.217337767940737</v>
      </c>
      <c r="S35" s="20">
        <f>SUM($R$35:$R$35)</f>
        <v>-30.217337767940737</v>
      </c>
      <c r="T35" s="20">
        <f>'TE BE'!$T$35*'TE BF'!$T$56</f>
        <v>0.83760882238776446</v>
      </c>
      <c r="U35" s="20">
        <f>'TE BE'!$U$35*'TE BF'!$U$56</f>
        <v>0.48568457170811147</v>
      </c>
      <c r="V35" s="20">
        <f>'TE BE'!$V$35*'TE BF'!$V$56</f>
        <v>0</v>
      </c>
      <c r="W35" s="20">
        <f>SUM($T$35:$V$35)</f>
        <v>1.323293394095876</v>
      </c>
      <c r="X35" s="20">
        <f>'TE BE'!$AB$35*'TE BF'!$X$56</f>
        <v>0</v>
      </c>
      <c r="Y35" s="20">
        <f>SUM($X$35:$X$35)</f>
        <v>0</v>
      </c>
      <c r="Z35" s="20">
        <f>'TE BE'!$Z$35*'TE BF'!$Z$56</f>
        <v>-0.46853071533998086</v>
      </c>
      <c r="AA35" s="20">
        <f>SUM($Z$35:$Z$35)</f>
        <v>-0.46853071533998086</v>
      </c>
      <c r="AB35" s="20">
        <f>SUMIF($L$4:$AA$4,"SUBTOTAL",$L$35:$AA$35)</f>
        <v>-30.229799488329427</v>
      </c>
    </row>
    <row r="36" spans="1:28" ht="11.25" customHeight="1" x14ac:dyDescent="0.3">
      <c r="A36" s="133"/>
      <c r="B36" s="133" t="s">
        <v>77</v>
      </c>
      <c r="C36" s="133" t="s">
        <v>45</v>
      </c>
      <c r="D36" s="133" t="s">
        <v>94</v>
      </c>
      <c r="E36" s="133" t="s">
        <v>25</v>
      </c>
      <c r="F36" s="133" t="s">
        <v>25</v>
      </c>
      <c r="G36" s="23" t="s">
        <v>79</v>
      </c>
      <c r="H36" s="23" t="s">
        <v>78</v>
      </c>
      <c r="I36" s="23">
        <f>'MERCADO TE'!$U$33</f>
        <v>0</v>
      </c>
      <c r="J36" s="15"/>
      <c r="L36" s="20">
        <f>'TE BE'!$L$36*'TE BF'!$L$56</f>
        <v>0</v>
      </c>
      <c r="M36" s="20">
        <f>'TE BE'!$M$36*'TE BF'!$M$56</f>
        <v>-1.9135572147375723</v>
      </c>
      <c r="N36" s="20">
        <f>'TE BE'!$N$36*'TE BF'!$N$56</f>
        <v>9.5250556035339662E-2</v>
      </c>
      <c r="O36" s="20">
        <f>'TE BE'!$O$36*'TE BF'!$O$56</f>
        <v>0.95108225955764558</v>
      </c>
      <c r="P36" s="20">
        <f>'TE BE'!$P$36*'TE BF'!$P$56</f>
        <v>0</v>
      </c>
      <c r="Q36" s="20">
        <f>SUM($L$36:$P$36)</f>
        <v>-0.86722439914458715</v>
      </c>
      <c r="R36" s="20">
        <f>'TE BE'!$R$36*'TE BF'!$R$56</f>
        <v>-49.031906566847226</v>
      </c>
      <c r="S36" s="20">
        <f>SUM($R$36:$R$36)</f>
        <v>-49.031906566847226</v>
      </c>
      <c r="T36" s="20">
        <f>'TE BE'!$T$36*'TE BF'!$T$56</f>
        <v>0.83760882238776446</v>
      </c>
      <c r="U36" s="20">
        <f>'TE BE'!$U$36*'TE BF'!$U$56</f>
        <v>0.48568457170811147</v>
      </c>
      <c r="V36" s="20">
        <f>'TE BE'!$V$36*'TE BF'!$V$56</f>
        <v>0</v>
      </c>
      <c r="W36" s="20">
        <f>SUM($T$36:$V$36)</f>
        <v>1.323293394095876</v>
      </c>
      <c r="X36" s="20">
        <f>'TE BE'!$AB$36*'TE BF'!$X$56</f>
        <v>0</v>
      </c>
      <c r="Y36" s="20">
        <f>SUM($X$36:$X$36)</f>
        <v>0</v>
      </c>
      <c r="Z36" s="20">
        <f>'TE BE'!$Z$36*'TE BF'!$Z$56</f>
        <v>-0.46853071533998086</v>
      </c>
      <c r="AA36" s="20">
        <f>SUM($Z$36:$Z$36)</f>
        <v>-0.46853071533998086</v>
      </c>
      <c r="AB36" s="20">
        <f>SUMIF($L$4:$AA$4,"SUBTOTAL",$L$36:$AA$36)</f>
        <v>-49.044368287235919</v>
      </c>
    </row>
    <row r="37" spans="1:28" ht="11.25" customHeight="1" x14ac:dyDescent="0.3">
      <c r="A37" s="133"/>
      <c r="B37" s="133"/>
      <c r="C37" s="133"/>
      <c r="D37" s="133"/>
      <c r="E37" s="133"/>
      <c r="F37" s="133"/>
      <c r="G37" s="23" t="s">
        <v>90</v>
      </c>
      <c r="H37" s="23" t="s">
        <v>78</v>
      </c>
      <c r="I37" s="23">
        <f>'MERCADO TE'!$U$34</f>
        <v>0</v>
      </c>
      <c r="J37" s="15"/>
      <c r="L37" s="20">
        <f>'TE BE'!$L$37*'TE BF'!$L$56</f>
        <v>0</v>
      </c>
      <c r="M37" s="20">
        <f>'TE BE'!$M$37*'TE BF'!$M$56</f>
        <v>-1.9135572147375723</v>
      </c>
      <c r="N37" s="20">
        <f>'TE BE'!$N$37*'TE BF'!$N$56</f>
        <v>9.5250556035339662E-2</v>
      </c>
      <c r="O37" s="20">
        <f>'TE BE'!$O$37*'TE BF'!$O$56</f>
        <v>0.95108225955764558</v>
      </c>
      <c r="P37" s="20">
        <f>'TE BE'!$P$37*'TE BF'!$P$56</f>
        <v>0</v>
      </c>
      <c r="Q37" s="20">
        <f>SUM($L$37:$P$37)</f>
        <v>-0.86722439914458715</v>
      </c>
      <c r="R37" s="20">
        <f>'TE BE'!$R$37*'TE BF'!$R$56</f>
        <v>-28.5069224225856</v>
      </c>
      <c r="S37" s="20">
        <f>SUM($R$37:$R$37)</f>
        <v>-28.5069224225856</v>
      </c>
      <c r="T37" s="20">
        <f>'TE BE'!$T$37*'TE BF'!$T$56</f>
        <v>0.83760882238776446</v>
      </c>
      <c r="U37" s="20">
        <f>'TE BE'!$U$37*'TE BF'!$U$56</f>
        <v>0.48568457170811147</v>
      </c>
      <c r="V37" s="20">
        <f>'TE BE'!$V$37*'TE BF'!$V$56</f>
        <v>0</v>
      </c>
      <c r="W37" s="20">
        <f>SUM($T$37:$V$37)</f>
        <v>1.323293394095876</v>
      </c>
      <c r="X37" s="20">
        <f>'TE BE'!$AB$37*'TE BF'!$X$56</f>
        <v>0</v>
      </c>
      <c r="Y37" s="20">
        <f>SUM($X$37:$X$37)</f>
        <v>0</v>
      </c>
      <c r="Z37" s="20">
        <f>'TE BE'!$Z$37*'TE BF'!$Z$56</f>
        <v>-0.46853071533998086</v>
      </c>
      <c r="AA37" s="20">
        <f>SUM($Z$37:$Z$37)</f>
        <v>-0.46853071533998086</v>
      </c>
      <c r="AB37" s="20">
        <f>SUMIF($L$4:$AA$4,"SUBTOTAL",$L$37:$AA$37)</f>
        <v>-28.519384142974289</v>
      </c>
    </row>
    <row r="38" spans="1:28" ht="11.25" customHeight="1" x14ac:dyDescent="0.3">
      <c r="A38" s="133"/>
      <c r="B38" s="133"/>
      <c r="C38" s="133"/>
      <c r="D38" s="133"/>
      <c r="E38" s="133"/>
      <c r="F38" s="133"/>
      <c r="G38" s="23" t="s">
        <v>80</v>
      </c>
      <c r="H38" s="23" t="s">
        <v>78</v>
      </c>
      <c r="I38" s="23">
        <f>'MERCADO TE'!$U$35</f>
        <v>0</v>
      </c>
      <c r="J38" s="15"/>
      <c r="L38" s="20">
        <f>'TE BE'!$L$38*'TE BF'!$L$56</f>
        <v>0</v>
      </c>
      <c r="M38" s="20">
        <f>'TE BE'!$M$38*'TE BF'!$M$56</f>
        <v>-1.9135572147375723</v>
      </c>
      <c r="N38" s="20">
        <f>'TE BE'!$N$38*'TE BF'!$N$56</f>
        <v>9.5250556035339662E-2</v>
      </c>
      <c r="O38" s="20">
        <f>'TE BE'!$O$38*'TE BF'!$O$56</f>
        <v>0.95108225955764558</v>
      </c>
      <c r="P38" s="20">
        <f>'TE BE'!$P$38*'TE BF'!$P$56</f>
        <v>0</v>
      </c>
      <c r="Q38" s="20">
        <f>SUM($L$38:$P$38)</f>
        <v>-0.86722439914458715</v>
      </c>
      <c r="R38" s="20">
        <f>'TE BE'!$R$38*'TE BF'!$R$56</f>
        <v>-28.5069224225856</v>
      </c>
      <c r="S38" s="20">
        <f>SUM($R$38:$R$38)</f>
        <v>-28.5069224225856</v>
      </c>
      <c r="T38" s="20">
        <f>'TE BE'!$T$38*'TE BF'!$T$56</f>
        <v>0.83760882238776446</v>
      </c>
      <c r="U38" s="20">
        <f>'TE BE'!$U$38*'TE BF'!$U$56</f>
        <v>0.48568457170811147</v>
      </c>
      <c r="V38" s="20">
        <f>'TE BE'!$V$38*'TE BF'!$V$56</f>
        <v>0</v>
      </c>
      <c r="W38" s="20">
        <f>SUM($T$38:$V$38)</f>
        <v>1.323293394095876</v>
      </c>
      <c r="X38" s="20">
        <f>'TE BE'!$AB$38*'TE BF'!$X$56</f>
        <v>0</v>
      </c>
      <c r="Y38" s="20">
        <f>SUM($X$38:$X$38)</f>
        <v>0</v>
      </c>
      <c r="Z38" s="20">
        <f>'TE BE'!$Z$38*'TE BF'!$Z$56</f>
        <v>-0.46853071533998086</v>
      </c>
      <c r="AA38" s="20">
        <f>SUM($Z$38:$Z$38)</f>
        <v>-0.46853071533998086</v>
      </c>
      <c r="AB38" s="20">
        <f>SUMIF($L$4:$AA$4,"SUBTOTAL",$L$38:$AA$38)</f>
        <v>-28.519384142974289</v>
      </c>
    </row>
    <row r="39" spans="1:28" ht="11.25" customHeight="1" x14ac:dyDescent="0.3">
      <c r="A39" s="133"/>
      <c r="B39" s="22" t="s">
        <v>86</v>
      </c>
      <c r="C39" s="22" t="s">
        <v>45</v>
      </c>
      <c r="D39" s="22" t="s">
        <v>94</v>
      </c>
      <c r="E39" s="22" t="s">
        <v>25</v>
      </c>
      <c r="F39" s="22" t="s">
        <v>25</v>
      </c>
      <c r="G39" s="23" t="s">
        <v>84</v>
      </c>
      <c r="H39" s="23" t="s">
        <v>78</v>
      </c>
      <c r="I39" s="23">
        <f>'MERCADO TE'!$U$36</f>
        <v>0</v>
      </c>
      <c r="J39" s="15"/>
      <c r="L39" s="20">
        <f>'TE BE'!$L$39*'TE BF'!$L$56</f>
        <v>0</v>
      </c>
      <c r="M39" s="20">
        <f>'TE BE'!$M$39*'TE BF'!$M$56</f>
        <v>-1.9135572147375723</v>
      </c>
      <c r="N39" s="20">
        <f>'TE BE'!$N$39*'TE BF'!$N$56</f>
        <v>9.5250556035339662E-2</v>
      </c>
      <c r="O39" s="20">
        <f>'TE BE'!$O$39*'TE BF'!$O$56</f>
        <v>0.95108225955764558</v>
      </c>
      <c r="P39" s="20">
        <f>'TE BE'!$P$39*'TE BF'!$P$56</f>
        <v>0</v>
      </c>
      <c r="Q39" s="20">
        <f>SUM($L$39:$P$39)</f>
        <v>-0.86722439914458715</v>
      </c>
      <c r="R39" s="20">
        <f>'TE BE'!$R$39*'TE BF'!$R$56</f>
        <v>-30.217337767940737</v>
      </c>
      <c r="S39" s="20">
        <f>SUM($R$39:$R$39)</f>
        <v>-30.217337767940737</v>
      </c>
      <c r="T39" s="20">
        <f>'TE BE'!$T$39*'TE BF'!$T$56</f>
        <v>0.83760882238776446</v>
      </c>
      <c r="U39" s="20">
        <f>'TE BE'!$U$39*'TE BF'!$U$56</f>
        <v>0.48568457170811147</v>
      </c>
      <c r="V39" s="20">
        <f>'TE BE'!$V$39*'TE BF'!$V$56</f>
        <v>0</v>
      </c>
      <c r="W39" s="20">
        <f>SUM($T$39:$V$39)</f>
        <v>1.323293394095876</v>
      </c>
      <c r="X39" s="20">
        <f>'TE BE'!$AB$39*'TE BF'!$X$56</f>
        <v>0</v>
      </c>
      <c r="Y39" s="20">
        <f>SUM($X$39:$X$39)</f>
        <v>0</v>
      </c>
      <c r="Z39" s="20">
        <f>'TE BE'!$Z$39*'TE BF'!$Z$56</f>
        <v>-0.46853071533998086</v>
      </c>
      <c r="AA39" s="20">
        <f>SUM($Z$39:$Z$39)</f>
        <v>-0.46853071533998086</v>
      </c>
      <c r="AB39" s="20">
        <f>SUMIF($L$4:$AA$4,"SUBTOTAL",$L$39:$AA$39)</f>
        <v>-30.229799488329427</v>
      </c>
    </row>
    <row r="40" spans="1:28" ht="11.25" customHeight="1" x14ac:dyDescent="0.3">
      <c r="A40" s="133"/>
      <c r="B40" s="133" t="s">
        <v>91</v>
      </c>
      <c r="C40" s="133" t="s">
        <v>45</v>
      </c>
      <c r="D40" s="22" t="s">
        <v>25</v>
      </c>
      <c r="E40" s="22" t="s">
        <v>25</v>
      </c>
      <c r="F40" s="22" t="s">
        <v>25</v>
      </c>
      <c r="G40" s="23" t="s">
        <v>84</v>
      </c>
      <c r="H40" s="23" t="s">
        <v>78</v>
      </c>
      <c r="I40" s="23">
        <f>'MERCADO TE'!$U$37</f>
        <v>0</v>
      </c>
      <c r="J40" s="15"/>
      <c r="L40" s="20">
        <f>'TE BE'!$L$40*'TE BF'!$L$56</f>
        <v>0</v>
      </c>
      <c r="M40" s="20">
        <f>'TE BE'!$M$40*'TE BF'!$M$56</f>
        <v>-1.9135572147375723</v>
      </c>
      <c r="N40" s="20">
        <f>'TE BE'!$N$40*'TE BF'!$N$56</f>
        <v>9.5250556035339662E-2</v>
      </c>
      <c r="O40" s="20">
        <f>'TE BE'!$O$40*'TE BF'!$O$56</f>
        <v>0.95108225955764558</v>
      </c>
      <c r="P40" s="20">
        <f>'TE BE'!$P$40*'TE BF'!$P$56</f>
        <v>0</v>
      </c>
      <c r="Q40" s="20">
        <f>SUM($L$40:$P$40)</f>
        <v>-0.86722439914458715</v>
      </c>
      <c r="R40" s="20">
        <f>'TE BE'!$R$40*'TE BF'!$R$56</f>
        <v>-30.217337767940737</v>
      </c>
      <c r="S40" s="20">
        <f>SUM($R$40:$R$40)</f>
        <v>-30.217337767940737</v>
      </c>
      <c r="T40" s="20">
        <f>'TE BE'!$T$40*'TE BF'!$T$56</f>
        <v>0.83760882238776446</v>
      </c>
      <c r="U40" s="20">
        <f>'TE BE'!$U$40*'TE BF'!$U$56</f>
        <v>0.48568457170811147</v>
      </c>
      <c r="V40" s="20">
        <f>'TE BE'!$V$40*'TE BF'!$V$56</f>
        <v>0</v>
      </c>
      <c r="W40" s="20">
        <f>SUM($T$40:$V$40)</f>
        <v>1.323293394095876</v>
      </c>
      <c r="X40" s="20">
        <f>'TE BE'!$AB$40*'TE BF'!$X$56</f>
        <v>0</v>
      </c>
      <c r="Y40" s="20">
        <f>SUM($X$40:$X$40)</f>
        <v>0</v>
      </c>
      <c r="Z40" s="20">
        <f>'TE BE'!$Z$40*'TE BF'!$Z$56</f>
        <v>-0.46853071533998086</v>
      </c>
      <c r="AA40" s="20">
        <f>SUM($Z$40:$Z$40)</f>
        <v>-0.46853071533998086</v>
      </c>
      <c r="AB40" s="20">
        <f>SUMIF($L$4:$AA$4,"SUBTOTAL",$L$40:$AA$40)</f>
        <v>-30.229799488329427</v>
      </c>
    </row>
    <row r="41" spans="1:28" ht="11.25" customHeight="1" x14ac:dyDescent="0.3">
      <c r="A41" s="133"/>
      <c r="B41" s="133"/>
      <c r="C41" s="133"/>
      <c r="D41" s="22" t="s">
        <v>93</v>
      </c>
      <c r="E41" s="22" t="s">
        <v>25</v>
      </c>
      <c r="F41" s="22" t="s">
        <v>25</v>
      </c>
      <c r="G41" s="23" t="s">
        <v>84</v>
      </c>
      <c r="H41" s="23" t="s">
        <v>78</v>
      </c>
      <c r="I41" s="23">
        <f>'MERCADO TE'!$U$38</f>
        <v>0</v>
      </c>
      <c r="J41" s="15"/>
      <c r="L41" s="20">
        <f>'TE BE'!$L$41*'TE BF'!$L$56</f>
        <v>0</v>
      </c>
      <c r="M41" s="20">
        <f>'TE BE'!$M$41*'TE BF'!$M$56</f>
        <v>-1.9135572147375723</v>
      </c>
      <c r="N41" s="20">
        <f>'TE BE'!$N$41*'TE BF'!$N$56</f>
        <v>9.5250556035339662E-2</v>
      </c>
      <c r="O41" s="20">
        <f>'TE BE'!$O$41*'TE BF'!$O$56</f>
        <v>0.95108225955764558</v>
      </c>
      <c r="P41" s="20">
        <f>'TE BE'!$P$41*'TE BF'!$P$56</f>
        <v>0</v>
      </c>
      <c r="Q41" s="20">
        <f>SUM($L$41:$P$41)</f>
        <v>-0.86722439914458715</v>
      </c>
      <c r="R41" s="20">
        <f>'TE BE'!$R$41*'TE BF'!$R$56</f>
        <v>-30.217337767940737</v>
      </c>
      <c r="S41" s="20">
        <f>SUM($R$41:$R$41)</f>
        <v>-30.217337767940737</v>
      </c>
      <c r="T41" s="20">
        <f>'TE BE'!$T$41*'TE BF'!$T$56</f>
        <v>0.83760882238776446</v>
      </c>
      <c r="U41" s="20">
        <f>'TE BE'!$U$41*'TE BF'!$U$56</f>
        <v>0.48568457170811147</v>
      </c>
      <c r="V41" s="20">
        <f>'TE BE'!$V$41*'TE BF'!$V$56</f>
        <v>0</v>
      </c>
      <c r="W41" s="20">
        <f>SUM($T$41:$V$41)</f>
        <v>1.323293394095876</v>
      </c>
      <c r="X41" s="20">
        <f>'TE BE'!$AB$41*'TE BF'!$X$56</f>
        <v>0</v>
      </c>
      <c r="Y41" s="20">
        <f>SUM($X$41:$X$41)</f>
        <v>0</v>
      </c>
      <c r="Z41" s="20">
        <f>'TE BE'!$Z$41*'TE BF'!$Z$56</f>
        <v>-0.46853071533998086</v>
      </c>
      <c r="AA41" s="20">
        <f>SUM($Z$41:$Z$41)</f>
        <v>-0.46853071533998086</v>
      </c>
      <c r="AB41" s="20">
        <f>SUMIF($L$4:$AA$4,"SUBTOTAL",$L$41:$AA$41)</f>
        <v>-30.229799488329427</v>
      </c>
    </row>
    <row r="42" spans="1:28" ht="11.25" customHeight="1" x14ac:dyDescent="0.3">
      <c r="A42" s="133"/>
      <c r="B42" s="133"/>
      <c r="C42" s="133"/>
      <c r="D42" s="22" t="s">
        <v>94</v>
      </c>
      <c r="E42" s="22" t="s">
        <v>25</v>
      </c>
      <c r="F42" s="22" t="s">
        <v>25</v>
      </c>
      <c r="G42" s="23" t="s">
        <v>84</v>
      </c>
      <c r="H42" s="23" t="s">
        <v>78</v>
      </c>
      <c r="I42" s="23">
        <f>'MERCADO TE'!$U$39</f>
        <v>0</v>
      </c>
      <c r="J42" s="15"/>
      <c r="L42" s="20">
        <f>'TE BE'!$L$42*'TE BF'!$L$56</f>
        <v>0</v>
      </c>
      <c r="M42" s="20">
        <f>'TE BE'!$M$42*'TE BF'!$M$56</f>
        <v>-1.9135572147375723</v>
      </c>
      <c r="N42" s="20">
        <f>'TE BE'!$N$42*'TE BF'!$N$56</f>
        <v>9.5250556035339662E-2</v>
      </c>
      <c r="O42" s="20">
        <f>'TE BE'!$O$42*'TE BF'!$O$56</f>
        <v>0.95108225955764558</v>
      </c>
      <c r="P42" s="20">
        <f>'TE BE'!$P$42*'TE BF'!$P$56</f>
        <v>0</v>
      </c>
      <c r="Q42" s="20">
        <f>SUM($L$42:$P$42)</f>
        <v>-0.86722439914458715</v>
      </c>
      <c r="R42" s="20">
        <f>'TE BE'!$R$42*'TE BF'!$R$56</f>
        <v>-30.217337767940737</v>
      </c>
      <c r="S42" s="20">
        <f>SUM($R$42:$R$42)</f>
        <v>-30.217337767940737</v>
      </c>
      <c r="T42" s="20">
        <f>'TE BE'!$T$42*'TE BF'!$T$56</f>
        <v>0.83760882238776446</v>
      </c>
      <c r="U42" s="20">
        <f>'TE BE'!$U$42*'TE BF'!$U$56</f>
        <v>0.48568457170811147</v>
      </c>
      <c r="V42" s="20">
        <f>'TE BE'!$V$42*'TE BF'!$V$56</f>
        <v>0</v>
      </c>
      <c r="W42" s="20">
        <f>SUM($T$42:$V$42)</f>
        <v>1.323293394095876</v>
      </c>
      <c r="X42" s="20">
        <f>'TE BE'!$AB$42*'TE BF'!$X$56</f>
        <v>0</v>
      </c>
      <c r="Y42" s="20">
        <f>SUM($X$42:$X$42)</f>
        <v>0</v>
      </c>
      <c r="Z42" s="20">
        <f>'TE BE'!$Z$42*'TE BF'!$Z$56</f>
        <v>-0.46853071533998086</v>
      </c>
      <c r="AA42" s="20">
        <f>SUM($Z$42:$Z$42)</f>
        <v>-0.46853071533998086</v>
      </c>
      <c r="AB42" s="20">
        <f>SUMIF($L$4:$AA$4,"SUBTOTAL",$L$42:$AA$42)</f>
        <v>-30.229799488329427</v>
      </c>
    </row>
    <row r="43" spans="1:28" ht="11.25" customHeight="1" x14ac:dyDescent="0.3">
      <c r="A43" s="133" t="s">
        <v>37</v>
      </c>
      <c r="B43" s="133" t="s">
        <v>77</v>
      </c>
      <c r="C43" s="133" t="s">
        <v>25</v>
      </c>
      <c r="D43" s="133" t="s">
        <v>25</v>
      </c>
      <c r="E43" s="133" t="s">
        <v>25</v>
      </c>
      <c r="F43" s="133" t="s">
        <v>25</v>
      </c>
      <c r="G43" s="23" t="s">
        <v>79</v>
      </c>
      <c r="H43" s="23" t="s">
        <v>78</v>
      </c>
      <c r="I43" s="23">
        <f>'MERCADO TE'!$U$40</f>
        <v>22.301000000000002</v>
      </c>
      <c r="J43" s="15"/>
      <c r="L43" s="20">
        <f>'TE BE'!$L$43*'TE BF'!$L$56</f>
        <v>0</v>
      </c>
      <c r="M43" s="20">
        <f>'TE BE'!$M$43*'TE BF'!$M$56</f>
        <v>-1.9135572147375723</v>
      </c>
      <c r="N43" s="20">
        <f>'TE BE'!$N$43*'TE BF'!$N$56</f>
        <v>9.5250556035339662E-2</v>
      </c>
      <c r="O43" s="20">
        <f>'TE BE'!$O$43*'TE BF'!$O$56</f>
        <v>0.95108225955764558</v>
      </c>
      <c r="P43" s="20">
        <f>'TE BE'!$P$43*'TE BF'!$P$56</f>
        <v>0</v>
      </c>
      <c r="Q43" s="20">
        <f>SUM($L$43:$P$43)</f>
        <v>-0.86722439914458715</v>
      </c>
      <c r="R43" s="20">
        <f>'TE BE'!$R$43*'TE BF'!$R$56</f>
        <v>-49.031906566847226</v>
      </c>
      <c r="S43" s="20">
        <f>SUM($R$43:$R$43)</f>
        <v>-49.031906566847226</v>
      </c>
      <c r="T43" s="20">
        <f>'TE BE'!$T$43*'TE BF'!$T$56</f>
        <v>0.83760882238776446</v>
      </c>
      <c r="U43" s="20">
        <f>'TE BE'!$U$43*'TE BF'!$U$56</f>
        <v>0.48568457170811147</v>
      </c>
      <c r="V43" s="20">
        <f>'TE BE'!$V$43*'TE BF'!$V$56</f>
        <v>0</v>
      </c>
      <c r="W43" s="20">
        <f>SUM($T$43:$V$43)</f>
        <v>1.323293394095876</v>
      </c>
      <c r="X43" s="20">
        <f>'TE BE'!$AB$43*'TE BF'!$X$56</f>
        <v>0</v>
      </c>
      <c r="Y43" s="20">
        <f>SUM($X$43:$X$43)</f>
        <v>0</v>
      </c>
      <c r="Z43" s="20">
        <f>'TE BE'!$Z$43*'TE BF'!$Z$56</f>
        <v>-0.46853071533998086</v>
      </c>
      <c r="AA43" s="20">
        <f>SUM($Z$43:$Z$43)</f>
        <v>-0.46853071533998086</v>
      </c>
      <c r="AB43" s="20">
        <f>SUMIF($L$4:$AA$4,"SUBTOTAL",$L$43:$AA$43)</f>
        <v>-49.044368287235919</v>
      </c>
    </row>
    <row r="44" spans="1:28" ht="11.25" customHeight="1" x14ac:dyDescent="0.3">
      <c r="A44" s="133"/>
      <c r="B44" s="133"/>
      <c r="C44" s="133"/>
      <c r="D44" s="133"/>
      <c r="E44" s="133"/>
      <c r="F44" s="133"/>
      <c r="G44" s="23" t="s">
        <v>90</v>
      </c>
      <c r="H44" s="23" t="s">
        <v>78</v>
      </c>
      <c r="I44" s="23">
        <f>'MERCADO TE'!$U$41</f>
        <v>24.489000000000001</v>
      </c>
      <c r="J44" s="15"/>
      <c r="L44" s="20">
        <f>'TE BE'!$L$44*'TE BF'!$L$56</f>
        <v>0</v>
      </c>
      <c r="M44" s="20">
        <f>'TE BE'!$M$44*'TE BF'!$M$56</f>
        <v>-1.9135572147375723</v>
      </c>
      <c r="N44" s="20">
        <f>'TE BE'!$N$44*'TE BF'!$N$56</f>
        <v>9.5250556035339662E-2</v>
      </c>
      <c r="O44" s="20">
        <f>'TE BE'!$O$44*'TE BF'!$O$56</f>
        <v>0.95108225955764558</v>
      </c>
      <c r="P44" s="20">
        <f>'TE BE'!$P$44*'TE BF'!$P$56</f>
        <v>0</v>
      </c>
      <c r="Q44" s="20">
        <f>SUM($L$44:$P$44)</f>
        <v>-0.86722439914458715</v>
      </c>
      <c r="R44" s="20">
        <f>'TE BE'!$R$44*'TE BF'!$R$56</f>
        <v>-28.5069224225856</v>
      </c>
      <c r="S44" s="20">
        <f>SUM($R$44:$R$44)</f>
        <v>-28.5069224225856</v>
      </c>
      <c r="T44" s="20">
        <f>'TE BE'!$T$44*'TE BF'!$T$56</f>
        <v>0.83760882238776446</v>
      </c>
      <c r="U44" s="20">
        <f>'TE BE'!$U$44*'TE BF'!$U$56</f>
        <v>0.48568457170811147</v>
      </c>
      <c r="V44" s="20">
        <f>'TE BE'!$V$44*'TE BF'!$V$56</f>
        <v>0</v>
      </c>
      <c r="W44" s="20">
        <f>SUM($T$44:$V$44)</f>
        <v>1.323293394095876</v>
      </c>
      <c r="X44" s="20">
        <f>'TE BE'!$AB$44*'TE BF'!$X$56</f>
        <v>0</v>
      </c>
      <c r="Y44" s="20">
        <f>SUM($X$44:$X$44)</f>
        <v>0</v>
      </c>
      <c r="Z44" s="20">
        <f>'TE BE'!$Z$44*'TE BF'!$Z$56</f>
        <v>-0.46853071533998086</v>
      </c>
      <c r="AA44" s="20">
        <f>SUM($Z$44:$Z$44)</f>
        <v>-0.46853071533998086</v>
      </c>
      <c r="AB44" s="20">
        <f>SUMIF($L$4:$AA$4,"SUBTOTAL",$L$44:$AA$44)</f>
        <v>-28.519384142974289</v>
      </c>
    </row>
    <row r="45" spans="1:28" ht="11.25" customHeight="1" x14ac:dyDescent="0.3">
      <c r="A45" s="133"/>
      <c r="B45" s="133"/>
      <c r="C45" s="133"/>
      <c r="D45" s="133"/>
      <c r="E45" s="133"/>
      <c r="F45" s="133"/>
      <c r="G45" s="23" t="s">
        <v>80</v>
      </c>
      <c r="H45" s="23" t="s">
        <v>78</v>
      </c>
      <c r="I45" s="23">
        <f>'MERCADO TE'!$U$42</f>
        <v>464.17199999999997</v>
      </c>
      <c r="J45" s="15"/>
      <c r="L45" s="20">
        <f>'TE BE'!$L$45*'TE BF'!$L$56</f>
        <v>0</v>
      </c>
      <c r="M45" s="20">
        <f>'TE BE'!$M$45*'TE BF'!$M$56</f>
        <v>-1.9135572147375723</v>
      </c>
      <c r="N45" s="20">
        <f>'TE BE'!$N$45*'TE BF'!$N$56</f>
        <v>9.5250556035339662E-2</v>
      </c>
      <c r="O45" s="20">
        <f>'TE BE'!$O$45*'TE BF'!$O$56</f>
        <v>0.95108225955764558</v>
      </c>
      <c r="P45" s="20">
        <f>'TE BE'!$P$45*'TE BF'!$P$56</f>
        <v>0</v>
      </c>
      <c r="Q45" s="20">
        <f>SUM($L$45:$P$45)</f>
        <v>-0.86722439914458715</v>
      </c>
      <c r="R45" s="20">
        <f>'TE BE'!$R$45*'TE BF'!$R$56</f>
        <v>-28.5069224225856</v>
      </c>
      <c r="S45" s="20">
        <f>SUM($R$45:$R$45)</f>
        <v>-28.5069224225856</v>
      </c>
      <c r="T45" s="20">
        <f>'TE BE'!$T$45*'TE BF'!$T$56</f>
        <v>0.83760882238776446</v>
      </c>
      <c r="U45" s="20">
        <f>'TE BE'!$U$45*'TE BF'!$U$56</f>
        <v>0.48568457170811147</v>
      </c>
      <c r="V45" s="20">
        <f>'TE BE'!$V$45*'TE BF'!$V$56</f>
        <v>0</v>
      </c>
      <c r="W45" s="20">
        <f>SUM($T$45:$V$45)</f>
        <v>1.323293394095876</v>
      </c>
      <c r="X45" s="20">
        <f>'TE BE'!$AB$45*'TE BF'!$X$56</f>
        <v>0</v>
      </c>
      <c r="Y45" s="20">
        <f>SUM($X$45:$X$45)</f>
        <v>0</v>
      </c>
      <c r="Z45" s="20">
        <f>'TE BE'!$Z$45*'TE BF'!$Z$56</f>
        <v>-0.46853071533998086</v>
      </c>
      <c r="AA45" s="20">
        <f>SUM($Z$45:$Z$45)</f>
        <v>-0.46853071533998086</v>
      </c>
      <c r="AB45" s="20">
        <f>SUMIF($L$4:$AA$4,"SUBTOTAL",$L$45:$AA$45)</f>
        <v>-28.519384142974289</v>
      </c>
    </row>
    <row r="46" spans="1:28" ht="11.25" customHeight="1" x14ac:dyDescent="0.3">
      <c r="A46" s="133"/>
      <c r="B46" s="22" t="s">
        <v>86</v>
      </c>
      <c r="C46" s="22" t="s">
        <v>25</v>
      </c>
      <c r="D46" s="22" t="s">
        <v>25</v>
      </c>
      <c r="E46" s="22" t="s">
        <v>25</v>
      </c>
      <c r="F46" s="22" t="s">
        <v>25</v>
      </c>
      <c r="G46" s="23" t="s">
        <v>84</v>
      </c>
      <c r="H46" s="23" t="s">
        <v>78</v>
      </c>
      <c r="I46" s="23">
        <f>'MERCADO TE'!$U$43</f>
        <v>47738.307000000001</v>
      </c>
      <c r="J46" s="15"/>
      <c r="L46" s="20">
        <f>'TE BE'!$L$46*'TE BF'!$L$56</f>
        <v>0</v>
      </c>
      <c r="M46" s="20">
        <f>'TE BE'!$M$46*'TE BF'!$M$56</f>
        <v>-1.9135572147375723</v>
      </c>
      <c r="N46" s="20">
        <f>'TE BE'!$N$46*'TE BF'!$N$56</f>
        <v>9.5250556035339662E-2</v>
      </c>
      <c r="O46" s="20">
        <f>'TE BE'!$O$46*'TE BF'!$O$56</f>
        <v>0.95108225955764558</v>
      </c>
      <c r="P46" s="20">
        <f>'TE BE'!$P$46*'TE BF'!$P$56</f>
        <v>0</v>
      </c>
      <c r="Q46" s="20">
        <f>SUM($L$46:$P$46)</f>
        <v>-0.86722439914458715</v>
      </c>
      <c r="R46" s="20">
        <f>'TE BE'!$R$46*'TE BF'!$R$56</f>
        <v>-30.217337767940737</v>
      </c>
      <c r="S46" s="20">
        <f>SUM($R$46:$R$46)</f>
        <v>-30.217337767940737</v>
      </c>
      <c r="T46" s="20">
        <f>'TE BE'!$T$46*'TE BF'!$T$56</f>
        <v>0.83760882238776446</v>
      </c>
      <c r="U46" s="20">
        <f>'TE BE'!$U$46*'TE BF'!$U$56</f>
        <v>0.48568457170811147</v>
      </c>
      <c r="V46" s="20">
        <f>'TE BE'!$V$46*'TE BF'!$V$56</f>
        <v>0</v>
      </c>
      <c r="W46" s="20">
        <f>SUM($T$46:$V$46)</f>
        <v>1.323293394095876</v>
      </c>
      <c r="X46" s="20">
        <f>'TE BE'!$AB$46*'TE BF'!$X$56</f>
        <v>0</v>
      </c>
      <c r="Y46" s="20">
        <f>SUM($X$46:$X$46)</f>
        <v>0</v>
      </c>
      <c r="Z46" s="20">
        <f>'TE BE'!$Z$46*'TE BF'!$Z$56</f>
        <v>-0.46853071533998086</v>
      </c>
      <c r="AA46" s="20">
        <f>SUM($Z$46:$Z$46)</f>
        <v>-0.46853071533998086</v>
      </c>
      <c r="AB46" s="20">
        <f>SUMIF($L$4:$AA$4,"SUBTOTAL",$L$46:$AA$46)</f>
        <v>-30.229799488329427</v>
      </c>
    </row>
    <row r="47" spans="1:28" ht="11.25" customHeight="1" x14ac:dyDescent="0.3">
      <c r="A47" s="133"/>
      <c r="B47" s="22" t="s">
        <v>91</v>
      </c>
      <c r="C47" s="22" t="s">
        <v>25</v>
      </c>
      <c r="D47" s="22" t="s">
        <v>25</v>
      </c>
      <c r="E47" s="22" t="s">
        <v>25</v>
      </c>
      <c r="F47" s="22" t="s">
        <v>25</v>
      </c>
      <c r="G47" s="23" t="s">
        <v>84</v>
      </c>
      <c r="H47" s="23" t="s">
        <v>78</v>
      </c>
      <c r="I47" s="23">
        <f>'MERCADO TE'!$U$44</f>
        <v>0</v>
      </c>
      <c r="J47" s="15"/>
      <c r="L47" s="20">
        <f>'TE BE'!$L$47*'TE BF'!$L$56</f>
        <v>0</v>
      </c>
      <c r="M47" s="20">
        <f>'TE BE'!$M$47*'TE BF'!$M$56</f>
        <v>-1.9135572147375723</v>
      </c>
      <c r="N47" s="20">
        <f>'TE BE'!$N$47*'TE BF'!$N$56</f>
        <v>9.5250556035339662E-2</v>
      </c>
      <c r="O47" s="20">
        <f>'TE BE'!$O$47*'TE BF'!$O$56</f>
        <v>0.95108225955764558</v>
      </c>
      <c r="P47" s="20">
        <f>'TE BE'!$P$47*'TE BF'!$P$56</f>
        <v>0</v>
      </c>
      <c r="Q47" s="20">
        <f>SUM($L$47:$P$47)</f>
        <v>-0.86722439914458715</v>
      </c>
      <c r="R47" s="20">
        <f>'TE BE'!$R$47*'TE BF'!$R$56</f>
        <v>-30.217337767940737</v>
      </c>
      <c r="S47" s="20">
        <f>SUM($R$47:$R$47)</f>
        <v>-30.217337767940737</v>
      </c>
      <c r="T47" s="20">
        <f>'TE BE'!$T$47*'TE BF'!$T$56</f>
        <v>0.83760882238776446</v>
      </c>
      <c r="U47" s="20">
        <f>'TE BE'!$U$47*'TE BF'!$U$56</f>
        <v>0.48568457170811147</v>
      </c>
      <c r="V47" s="20">
        <f>'TE BE'!$V$47*'TE BF'!$V$56</f>
        <v>0</v>
      </c>
      <c r="W47" s="20">
        <f>SUM($T$47:$V$47)</f>
        <v>1.323293394095876</v>
      </c>
      <c r="X47" s="20">
        <f>'TE BE'!$AB$47*'TE BF'!$X$56</f>
        <v>0</v>
      </c>
      <c r="Y47" s="20">
        <f>SUM($X$47:$X$47)</f>
        <v>0</v>
      </c>
      <c r="Z47" s="20">
        <f>'TE BE'!$Z$47*'TE BF'!$Z$56</f>
        <v>-0.46853071533998086</v>
      </c>
      <c r="AA47" s="20">
        <f>SUM($Z$47:$Z$47)</f>
        <v>-0.46853071533998086</v>
      </c>
      <c r="AB47" s="20">
        <f>SUMIF($L$4:$AA$4,"SUBTOTAL",$L$47:$AA$47)</f>
        <v>-30.229799488329427</v>
      </c>
    </row>
    <row r="48" spans="1:28" ht="11.25" customHeight="1" x14ac:dyDescent="0.3">
      <c r="A48" s="133" t="s">
        <v>47</v>
      </c>
      <c r="B48" s="133" t="s">
        <v>86</v>
      </c>
      <c r="C48" s="133" t="s">
        <v>48</v>
      </c>
      <c r="D48" s="22" t="s">
        <v>49</v>
      </c>
      <c r="E48" s="22" t="s">
        <v>25</v>
      </c>
      <c r="F48" s="22" t="s">
        <v>25</v>
      </c>
      <c r="G48" s="23" t="s">
        <v>84</v>
      </c>
      <c r="H48" s="23" t="s">
        <v>78</v>
      </c>
      <c r="I48" s="23">
        <f>'MERCADO TE'!$U$45</f>
        <v>19654.344999999998</v>
      </c>
      <c r="J48" s="15"/>
      <c r="L48" s="20">
        <f>'TE BE'!$L$48*'TE BF'!$L$56</f>
        <v>0</v>
      </c>
      <c r="M48" s="20">
        <f>'TE BE'!$M$48*'TE BF'!$M$56</f>
        <v>-1.0524564681056647</v>
      </c>
      <c r="N48" s="20">
        <f>'TE BE'!$N$48*'TE BF'!$N$56</f>
        <v>5.2387805819436813E-2</v>
      </c>
      <c r="O48" s="20">
        <f>'TE BE'!$O$48*'TE BF'!$O$56</f>
        <v>0.52309524275670516</v>
      </c>
      <c r="P48" s="20">
        <f>'TE BE'!$P$48*'TE BF'!$P$56</f>
        <v>0</v>
      </c>
      <c r="Q48" s="20">
        <f>SUM($L$48:$P$48)</f>
        <v>-0.47697341952952266</v>
      </c>
      <c r="R48" s="20">
        <f>'TE BE'!$R$48*'TE BF'!$R$56</f>
        <v>-16.619535772367406</v>
      </c>
      <c r="S48" s="20">
        <f>SUM($R$48:$R$48)</f>
        <v>-16.619535772367406</v>
      </c>
      <c r="T48" s="20">
        <f>'TE BE'!$T$48*'TE BF'!$T$56</f>
        <v>0.46068485231327055</v>
      </c>
      <c r="U48" s="20">
        <f>'TE BE'!$U$48*'TE BF'!$U$56</f>
        <v>0.26712651443946134</v>
      </c>
      <c r="V48" s="20">
        <f>'TE BE'!$V$48*'TE BF'!$V$56</f>
        <v>0</v>
      </c>
      <c r="W48" s="20">
        <f>SUM($T$48:$V$48)</f>
        <v>0.72781136675273195</v>
      </c>
      <c r="X48" s="20">
        <f>'TE BE'!$AB$48*'TE BF'!$X$56</f>
        <v>0</v>
      </c>
      <c r="Y48" s="20">
        <f>SUM($X$48:$X$48)</f>
        <v>0</v>
      </c>
      <c r="Z48" s="20">
        <f>'TE BE'!$Z$48*'TE BF'!$Z$56</f>
        <v>-0.25769189343698951</v>
      </c>
      <c r="AA48" s="20">
        <f>SUM($Z$48:$Z$48)</f>
        <v>-0.25769189343698951</v>
      </c>
      <c r="AB48" s="20">
        <f>SUMIF($L$4:$AA$4,"SUBTOTAL",$L$48:$AA$48)</f>
        <v>-16.626389718581184</v>
      </c>
    </row>
    <row r="49" spans="1:28" ht="11.25" customHeight="1" x14ac:dyDescent="0.3">
      <c r="A49" s="133"/>
      <c r="B49" s="133"/>
      <c r="C49" s="133"/>
      <c r="D49" s="23" t="s">
        <v>95</v>
      </c>
      <c r="E49" s="23" t="s">
        <v>25</v>
      </c>
      <c r="F49" s="23" t="s">
        <v>25</v>
      </c>
      <c r="G49" s="23" t="s">
        <v>84</v>
      </c>
      <c r="H49" s="23" t="s">
        <v>78</v>
      </c>
      <c r="I49" s="23">
        <f>'MERCADO TE'!$U$46</f>
        <v>0</v>
      </c>
      <c r="J49" s="15"/>
      <c r="L49" s="20">
        <f>'TE BE'!$L$49*'TE BF'!$L$56</f>
        <v>0</v>
      </c>
      <c r="M49" s="20">
        <f>'TE BE'!$M$49*'TE BF'!$M$56</f>
        <v>-1.1481343288425432</v>
      </c>
      <c r="N49" s="20">
        <f>'TE BE'!$N$49*'TE BF'!$N$56</f>
        <v>5.7150333621203794E-2</v>
      </c>
      <c r="O49" s="20">
        <f>'TE BE'!$O$49*'TE BF'!$O$56</f>
        <v>0.57064935573458742</v>
      </c>
      <c r="P49" s="20">
        <f>'TE BE'!$P$49*'TE BF'!$P$56</f>
        <v>0</v>
      </c>
      <c r="Q49" s="20">
        <f>SUM($L$49:$P$49)</f>
        <v>-0.52033463948675196</v>
      </c>
      <c r="R49" s="20">
        <f>'TE BE'!$R$49*'TE BF'!$R$56</f>
        <v>-18.130402660764439</v>
      </c>
      <c r="S49" s="20">
        <f>SUM($R$49:$R$49)</f>
        <v>-18.130402660764439</v>
      </c>
      <c r="T49" s="20">
        <f>'TE BE'!$T$49*'TE BF'!$T$56</f>
        <v>0.50256529343265866</v>
      </c>
      <c r="U49" s="20">
        <f>'TE BE'!$U$49*'TE BF'!$U$56</f>
        <v>0.29141074302486686</v>
      </c>
      <c r="V49" s="20">
        <f>'TE BE'!$V$49*'TE BF'!$V$56</f>
        <v>0</v>
      </c>
      <c r="W49" s="20">
        <f>SUM($T$49:$V$49)</f>
        <v>0.79397603645752546</v>
      </c>
      <c r="X49" s="20">
        <f>'TE BE'!$AB$49*'TE BF'!$X$56</f>
        <v>0</v>
      </c>
      <c r="Y49" s="20">
        <f>SUM($X$49:$X$49)</f>
        <v>0</v>
      </c>
      <c r="Z49" s="20">
        <f>'TE BE'!$Z$49*'TE BF'!$Z$56</f>
        <v>-0.2811184292039885</v>
      </c>
      <c r="AA49" s="20">
        <f>SUM($Z$49:$Z$49)</f>
        <v>-0.2811184292039885</v>
      </c>
      <c r="AB49" s="20">
        <f>SUMIF($L$4:$AA$4,"SUBTOTAL",$L$49:$AA$49)</f>
        <v>-18.137879692997654</v>
      </c>
    </row>
    <row r="51" spans="1:28" ht="11.25" customHeight="1" x14ac:dyDescent="0.3">
      <c r="K51" s="25" t="s">
        <v>779</v>
      </c>
      <c r="L51" s="20">
        <f t="shared" ref="L51:AB51" si="0">SUMPRODUCT($I$5:$I$49,L$5:L$49)</f>
        <v>0</v>
      </c>
      <c r="M51" s="20">
        <f t="shared" si="0"/>
        <v>-513101.21960000019</v>
      </c>
      <c r="N51" s="20">
        <f t="shared" si="0"/>
        <v>25540.483499999995</v>
      </c>
      <c r="O51" s="20">
        <f t="shared" si="0"/>
        <v>255023.19113352292</v>
      </c>
      <c r="P51" s="20">
        <f t="shared" si="0"/>
        <v>0</v>
      </c>
      <c r="Q51" s="20">
        <f t="shared" si="0"/>
        <v>-232537.54496647706</v>
      </c>
      <c r="R51" s="20">
        <f t="shared" si="0"/>
        <v>-8096075.2845074665</v>
      </c>
      <c r="S51" s="20">
        <f t="shared" si="0"/>
        <v>-8096075.2845074665</v>
      </c>
      <c r="T51" s="20">
        <f t="shared" si="0"/>
        <v>224596.42440000002</v>
      </c>
      <c r="U51" s="20">
        <f t="shared" si="0"/>
        <v>130231.45802228444</v>
      </c>
      <c r="V51" s="20">
        <f t="shared" si="0"/>
        <v>0</v>
      </c>
      <c r="W51" s="20">
        <f t="shared" si="0"/>
        <v>354827.88242228446</v>
      </c>
      <c r="X51" s="20">
        <f t="shared" si="0"/>
        <v>0</v>
      </c>
      <c r="Y51" s="20">
        <f t="shared" si="0"/>
        <v>0</v>
      </c>
      <c r="Z51" s="20">
        <f t="shared" si="0"/>
        <v>-125631.82308294548</v>
      </c>
      <c r="AA51" s="20">
        <f t="shared" si="0"/>
        <v>-125631.82308294548</v>
      </c>
      <c r="AB51" s="20">
        <f t="shared" si="0"/>
        <v>-8099416.7701346036</v>
      </c>
    </row>
    <row r="52" spans="1:28" ht="11.25" customHeight="1" x14ac:dyDescent="0.3">
      <c r="K52" s="25" t="s">
        <v>698</v>
      </c>
      <c r="L52" s="20">
        <f>CUSTOS!$D$30</f>
        <v>731057.07646746421</v>
      </c>
      <c r="M52" s="20">
        <f>CUSTOS!$D$31</f>
        <v>5365702.4400000004</v>
      </c>
      <c r="N52" s="20">
        <f>CUSTOS!$D$32</f>
        <v>397360.84061800007</v>
      </c>
      <c r="O52" s="20">
        <f>CUSTOS!$D$33</f>
        <v>3682961.2815288282</v>
      </c>
      <c r="P52" s="20">
        <f>CUSTOS!$D$34</f>
        <v>-5084464.72</v>
      </c>
      <c r="Q52" s="20">
        <f>CUSTOS!$D$35</f>
        <v>5092616.9186142934</v>
      </c>
      <c r="R52" s="20">
        <f>CUSTOS!$D$36</f>
        <v>55492514.492287464</v>
      </c>
      <c r="S52" s="20">
        <f>CUSTOS!$D$37</f>
        <v>55492514.492287464</v>
      </c>
      <c r="T52" s="20">
        <f>CUSTOS!$D$38</f>
        <v>2161181.9848781759</v>
      </c>
      <c r="U52" s="20">
        <f>CUSTOS!$D$39</f>
        <v>1489818.5342950558</v>
      </c>
      <c r="V52" s="20">
        <f>CUSTOS!$D$40</f>
        <v>0</v>
      </c>
      <c r="W52" s="20">
        <f>CUSTOS!$D$41</f>
        <v>3651000.5191732319</v>
      </c>
      <c r="X52" s="20">
        <f>CUSTOS!$D$42</f>
        <v>0</v>
      </c>
      <c r="Y52" s="20">
        <f>CUSTOS!$D$43</f>
        <v>0</v>
      </c>
      <c r="Z52" s="20">
        <f>CUSTOS!$D$44</f>
        <v>861111.77553692611</v>
      </c>
      <c r="AA52" s="20">
        <f>CUSTOS!$D$45</f>
        <v>861111.77553692611</v>
      </c>
      <c r="AB52" s="20">
        <f>CUSTOS!$D$46</f>
        <v>65097243.705611914</v>
      </c>
    </row>
    <row r="53" spans="1:28" ht="11.25" customHeight="1" x14ac:dyDescent="0.3">
      <c r="K53" s="25" t="s">
        <v>699</v>
      </c>
      <c r="L53" s="20">
        <f>CUSTOS!$E$30</f>
        <v>5.1110480898934878E-2</v>
      </c>
      <c r="M53" s="20">
        <f>CUSTOS!$E$31</f>
        <v>967652.16674154205</v>
      </c>
      <c r="N53" s="20">
        <f>CUSTOS!$E$32</f>
        <v>-2784.2113584473482</v>
      </c>
      <c r="O53" s="20">
        <f>CUSTOS!$E$33</f>
        <v>-304566.59359503468</v>
      </c>
      <c r="P53" s="20">
        <f>CUSTOS!$E$34</f>
        <v>0</v>
      </c>
      <c r="Q53" s="20">
        <f>CUSTOS!$E$35</f>
        <v>660301.41289854096</v>
      </c>
      <c r="R53" s="20">
        <f>CUSTOS!$E$36</f>
        <v>26466463.05122878</v>
      </c>
      <c r="S53" s="20">
        <f>CUSTOS!$E$37</f>
        <v>26466463.05122878</v>
      </c>
      <c r="T53" s="20">
        <f>CUSTOS!$E$38</f>
        <v>-208066.3536178912</v>
      </c>
      <c r="U53" s="20">
        <f>CUSTOS!$E$39</f>
        <v>20871.583264529665</v>
      </c>
      <c r="V53" s="20">
        <f>CUSTOS!$E$40</f>
        <v>0</v>
      </c>
      <c r="W53" s="20">
        <f>CUSTOS!$E$41</f>
        <v>-187194.77035336153</v>
      </c>
      <c r="X53" s="20">
        <f>CUSTOS!$E$42</f>
        <v>0</v>
      </c>
      <c r="Y53" s="20">
        <f>CUSTOS!$E$43</f>
        <v>0</v>
      </c>
      <c r="Z53" s="20">
        <f>CUSTOS!$E$44</f>
        <v>410696.52724771696</v>
      </c>
      <c r="AA53" s="20">
        <f>CUSTOS!$E$45</f>
        <v>410696.52724771696</v>
      </c>
      <c r="AB53" s="20">
        <f>CUSTOS!$E$46</f>
        <v>27350266.221021675</v>
      </c>
    </row>
    <row r="54" spans="1:28" ht="11.25" customHeight="1" x14ac:dyDescent="0.3">
      <c r="K54" s="25" t="s">
        <v>700</v>
      </c>
      <c r="L54" s="20">
        <f>CUSTOS!$F$30</f>
        <v>0</v>
      </c>
      <c r="M54" s="20">
        <f>CUSTOS!$F$31</f>
        <v>-513101.21960000001</v>
      </c>
      <c r="N54" s="20">
        <f>CUSTOS!$F$32</f>
        <v>25540.483499999998</v>
      </c>
      <c r="O54" s="20">
        <f>CUSTOS!$F$33</f>
        <v>255023.19113352295</v>
      </c>
      <c r="P54" s="20">
        <f>CUSTOS!$F$34</f>
        <v>0</v>
      </c>
      <c r="Q54" s="20">
        <f>CUSTOS!$F$35</f>
        <v>-232537.54496647709</v>
      </c>
      <c r="R54" s="20">
        <f>CUSTOS!$F$36</f>
        <v>-8096075.2845074646</v>
      </c>
      <c r="S54" s="20">
        <f>CUSTOS!$F$37</f>
        <v>-8096075.2845074646</v>
      </c>
      <c r="T54" s="20">
        <f>CUSTOS!$F$38</f>
        <v>224596.42439999999</v>
      </c>
      <c r="U54" s="20">
        <f>CUSTOS!$F$39</f>
        <v>130231.45802228441</v>
      </c>
      <c r="V54" s="20">
        <f>CUSTOS!$F$40</f>
        <v>0</v>
      </c>
      <c r="W54" s="20">
        <f>CUSTOS!$F$41</f>
        <v>354827.8824222844</v>
      </c>
      <c r="X54" s="20">
        <f>CUSTOS!$F$42</f>
        <v>0</v>
      </c>
      <c r="Y54" s="20">
        <f>CUSTOS!$F$43</f>
        <v>0</v>
      </c>
      <c r="Z54" s="20">
        <f>CUSTOS!$F$44</f>
        <v>-125631.82308294547</v>
      </c>
      <c r="AA54" s="20">
        <f>CUSTOS!$F$45</f>
        <v>-125631.82308294547</v>
      </c>
      <c r="AB54" s="20">
        <f>CUSTOS!$F$46</f>
        <v>-8099416.7701346027</v>
      </c>
    </row>
    <row r="55" spans="1:28" ht="11.25" customHeight="1" x14ac:dyDescent="0.3"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</row>
    <row r="56" spans="1:28" ht="11.25" customHeight="1" x14ac:dyDescent="0.3"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</row>
    <row r="57" spans="1:28" ht="11.25" customHeight="1" x14ac:dyDescent="0.3"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</row>
  </sheetData>
  <mergeCells count="79">
    <mergeCell ref="E43:E45"/>
    <mergeCell ref="F43:F45"/>
    <mergeCell ref="A48:A49"/>
    <mergeCell ref="B48:B49"/>
    <mergeCell ref="C48:C49"/>
    <mergeCell ref="D43:D45"/>
    <mergeCell ref="B40:B42"/>
    <mergeCell ref="C40:C42"/>
    <mergeCell ref="A43:A47"/>
    <mergeCell ref="B43:B45"/>
    <mergeCell ref="C43:C45"/>
    <mergeCell ref="A28:A42"/>
    <mergeCell ref="B28:B30"/>
    <mergeCell ref="C28:C30"/>
    <mergeCell ref="B36:B38"/>
    <mergeCell ref="C36:C38"/>
    <mergeCell ref="B32:B34"/>
    <mergeCell ref="C32:C34"/>
    <mergeCell ref="D36:D38"/>
    <mergeCell ref="E36:E38"/>
    <mergeCell ref="F36:F38"/>
    <mergeCell ref="D28:D30"/>
    <mergeCell ref="E28:E30"/>
    <mergeCell ref="F28:F30"/>
    <mergeCell ref="D32:D34"/>
    <mergeCell ref="E32:E34"/>
    <mergeCell ref="F32:F34"/>
    <mergeCell ref="A15:A27"/>
    <mergeCell ref="B15:B17"/>
    <mergeCell ref="C15:C17"/>
    <mergeCell ref="D15:D17"/>
    <mergeCell ref="E15:E17"/>
    <mergeCell ref="F15:F17"/>
    <mergeCell ref="B18:B22"/>
    <mergeCell ref="C18:C22"/>
    <mergeCell ref="B23:B27"/>
    <mergeCell ref="C23:C27"/>
    <mergeCell ref="F12:F13"/>
    <mergeCell ref="A9:A11"/>
    <mergeCell ref="B9:B10"/>
    <mergeCell ref="C9:C10"/>
    <mergeCell ref="D9:D10"/>
    <mergeCell ref="E9:E10"/>
    <mergeCell ref="F9:F10"/>
    <mergeCell ref="A12:A14"/>
    <mergeCell ref="B12:B13"/>
    <mergeCell ref="C12:C13"/>
    <mergeCell ref="D12:D13"/>
    <mergeCell ref="E12:E13"/>
    <mergeCell ref="A7:A8"/>
    <mergeCell ref="B7:B8"/>
    <mergeCell ref="C7:C8"/>
    <mergeCell ref="D7:D8"/>
    <mergeCell ref="E7:E8"/>
    <mergeCell ref="F7:F8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51">
    <cfRule type="cellIs" dxfId="1101" priority="33" operator="notEqual">
      <formula>$L$54</formula>
    </cfRule>
    <cfRule type="cellIs" dxfId="1100" priority="34" operator="equal">
      <formula>$L$54</formula>
    </cfRule>
  </conditionalFormatting>
  <conditionalFormatting sqref="M51">
    <cfRule type="cellIs" dxfId="1099" priority="31" operator="notEqual">
      <formula>$M$54</formula>
    </cfRule>
    <cfRule type="cellIs" dxfId="1098" priority="32" operator="equal">
      <formula>$M$54</formula>
    </cfRule>
  </conditionalFormatting>
  <conditionalFormatting sqref="N51">
    <cfRule type="cellIs" dxfId="1097" priority="29" operator="notEqual">
      <formula>$N$54</formula>
    </cfRule>
    <cfRule type="cellIs" dxfId="1096" priority="30" operator="equal">
      <formula>$N$54</formula>
    </cfRule>
  </conditionalFormatting>
  <conditionalFormatting sqref="O51">
    <cfRule type="cellIs" dxfId="1095" priority="27" operator="notEqual">
      <formula>$O$54</formula>
    </cfRule>
    <cfRule type="cellIs" dxfId="1094" priority="28" operator="equal">
      <formula>$O$54</formula>
    </cfRule>
  </conditionalFormatting>
  <conditionalFormatting sqref="P51">
    <cfRule type="cellIs" dxfId="1093" priority="25" operator="notEqual">
      <formula>$P$54</formula>
    </cfRule>
    <cfRule type="cellIs" dxfId="1092" priority="26" operator="equal">
      <formula>$P$54</formula>
    </cfRule>
  </conditionalFormatting>
  <conditionalFormatting sqref="Q51">
    <cfRule type="cellIs" dxfId="1091" priority="23" operator="notEqual">
      <formula>$Q$54</formula>
    </cfRule>
    <cfRule type="cellIs" dxfId="1090" priority="24" operator="equal">
      <formula>$Q$54</formula>
    </cfRule>
  </conditionalFormatting>
  <conditionalFormatting sqref="R51">
    <cfRule type="cellIs" dxfId="1089" priority="21" operator="notEqual">
      <formula>$R$54</formula>
    </cfRule>
    <cfRule type="cellIs" dxfId="1088" priority="22" operator="equal">
      <formula>$R$54</formula>
    </cfRule>
  </conditionalFormatting>
  <conditionalFormatting sqref="S51">
    <cfRule type="cellIs" dxfId="1087" priority="19" operator="notEqual">
      <formula>$S$54</formula>
    </cfRule>
    <cfRule type="cellIs" dxfId="1086" priority="20" operator="equal">
      <formula>$S$54</formula>
    </cfRule>
  </conditionalFormatting>
  <conditionalFormatting sqref="T51">
    <cfRule type="cellIs" dxfId="1085" priority="17" operator="notEqual">
      <formula>$T$54</formula>
    </cfRule>
    <cfRule type="cellIs" dxfId="1084" priority="18" operator="equal">
      <formula>$T$54</formula>
    </cfRule>
  </conditionalFormatting>
  <conditionalFormatting sqref="U51">
    <cfRule type="cellIs" dxfId="1083" priority="15" operator="notEqual">
      <formula>$U$54</formula>
    </cfRule>
    <cfRule type="cellIs" dxfId="1082" priority="16" operator="equal">
      <formula>$U$54</formula>
    </cfRule>
  </conditionalFormatting>
  <conditionalFormatting sqref="V51">
    <cfRule type="cellIs" dxfId="1081" priority="13" operator="notEqual">
      <formula>$V$54</formula>
    </cfRule>
    <cfRule type="cellIs" dxfId="1080" priority="14" operator="equal">
      <formula>$V$54</formula>
    </cfRule>
  </conditionalFormatting>
  <conditionalFormatting sqref="W51">
    <cfRule type="cellIs" dxfId="1079" priority="11" operator="notEqual">
      <formula>$W$54</formula>
    </cfRule>
    <cfRule type="cellIs" dxfId="1078" priority="12" operator="equal">
      <formula>$W$54</formula>
    </cfRule>
  </conditionalFormatting>
  <conditionalFormatting sqref="X51">
    <cfRule type="cellIs" dxfId="1077" priority="9" operator="notEqual">
      <formula>$X$54</formula>
    </cfRule>
    <cfRule type="cellIs" dxfId="1076" priority="10" operator="equal">
      <formula>$X$54</formula>
    </cfRule>
  </conditionalFormatting>
  <conditionalFormatting sqref="Y51">
    <cfRule type="cellIs" dxfId="1075" priority="7" operator="notEqual">
      <formula>$Y$54</formula>
    </cfRule>
    <cfRule type="cellIs" dxfId="1074" priority="8" operator="equal">
      <formula>$Y$54</formula>
    </cfRule>
  </conditionalFormatting>
  <conditionalFormatting sqref="Z51">
    <cfRule type="cellIs" dxfId="1073" priority="5" operator="notEqual">
      <formula>$Z$54</formula>
    </cfRule>
    <cfRule type="cellIs" dxfId="1072" priority="6" operator="equal">
      <formula>$Z$54</formula>
    </cfRule>
  </conditionalFormatting>
  <conditionalFormatting sqref="AA51">
    <cfRule type="cellIs" dxfId="1071" priority="3" operator="notEqual">
      <formula>$AA$54</formula>
    </cfRule>
    <cfRule type="cellIs" dxfId="1070" priority="4" operator="equal">
      <formula>$AA$54</formula>
    </cfRule>
  </conditionalFormatting>
  <conditionalFormatting sqref="AB51">
    <cfRule type="cellIs" dxfId="1069" priority="1" operator="notEqual">
      <formula>$AB$54</formula>
    </cfRule>
    <cfRule type="cellIs" dxfId="1068" priority="2" operator="equal">
      <formula>$AB$54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10469-7A40-4589-9A1F-42CB9938799E}">
  <sheetPr codeName="Planilha16"/>
  <dimension ref="A1:AV1157"/>
  <sheetViews>
    <sheetView showGridLines="0" topLeftCell="AF1" workbookViewId="0">
      <selection sqref="A1:AG1157"/>
    </sheetView>
  </sheetViews>
  <sheetFormatPr defaultRowHeight="11.25" customHeight="1" x14ac:dyDescent="0.3"/>
  <cols>
    <col min="1" max="1" width="18" style="4" bestFit="1" customWidth="1"/>
    <col min="2" max="2" width="12.109375" style="4" bestFit="1" customWidth="1"/>
    <col min="3" max="3" width="13.5546875" style="4" bestFit="1" customWidth="1"/>
    <col min="4" max="4" width="12.6640625" style="4" bestFit="1" customWidth="1"/>
    <col min="5" max="5" width="23.109375" style="4" bestFit="1" customWidth="1"/>
    <col min="6" max="6" width="12" style="4" bestFit="1" customWidth="1"/>
    <col min="7" max="7" width="15.6640625" style="4" bestFit="1" customWidth="1"/>
    <col min="8" max="8" width="9.5546875" style="4" bestFit="1" customWidth="1"/>
    <col min="9" max="9" width="10.77734375" style="5" bestFit="1" customWidth="1"/>
    <col min="10" max="10" width="7.109375" style="6" bestFit="1" customWidth="1"/>
    <col min="11" max="11" width="7.5546875" style="6" bestFit="1" customWidth="1"/>
    <col min="12" max="12" width="10.77734375" style="6" bestFit="1" customWidth="1"/>
    <col min="13" max="13" width="12.109375" style="6" bestFit="1" customWidth="1"/>
    <col min="14" max="14" width="8.6640625" style="6" bestFit="1" customWidth="1"/>
    <col min="15" max="15" width="10" style="6" bestFit="1" customWidth="1"/>
    <col min="16" max="16" width="7.21875" style="6" bestFit="1" customWidth="1"/>
    <col min="17" max="17" width="10.44140625" style="4" bestFit="1" customWidth="1"/>
    <col min="18" max="18" width="12.44140625" style="4" bestFit="1" customWidth="1"/>
    <col min="19" max="19" width="21.88671875" style="4" bestFit="1" customWidth="1"/>
    <col min="20" max="20" width="23.21875" style="4" bestFit="1" customWidth="1"/>
    <col min="21" max="21" width="21" style="4" bestFit="1" customWidth="1"/>
    <col min="22" max="22" width="14.88671875" style="4" bestFit="1" customWidth="1"/>
    <col min="23" max="23" width="16.21875" style="4" bestFit="1" customWidth="1"/>
    <col min="24" max="24" width="14.109375" style="4" bestFit="1" customWidth="1"/>
    <col min="25" max="25" width="19.5546875" style="4" bestFit="1" customWidth="1"/>
    <col min="26" max="26" width="20.88671875" style="4" bestFit="1" customWidth="1"/>
    <col min="27" max="27" width="18.77734375" style="4" bestFit="1" customWidth="1"/>
    <col min="28" max="28" width="21.6640625" style="4" bestFit="1" customWidth="1"/>
    <col min="29" max="29" width="23" style="4" bestFit="1" customWidth="1"/>
    <col min="30" max="30" width="20.77734375" style="4" bestFit="1" customWidth="1"/>
    <col min="31" max="31" width="22.6640625" style="4" bestFit="1" customWidth="1"/>
    <col min="32" max="32" width="24" style="4" bestFit="1" customWidth="1"/>
    <col min="33" max="33" width="21.88671875" style="4" bestFit="1" customWidth="1"/>
    <col min="34" max="34" width="8.88671875" style="4"/>
    <col min="35" max="35" width="9" style="4" bestFit="1" customWidth="1"/>
    <col min="36" max="36" width="13.5546875" style="4" bestFit="1" customWidth="1"/>
    <col min="37" max="37" width="14.5546875" style="4" bestFit="1" customWidth="1"/>
    <col min="38" max="38" width="8.33203125" style="4" bestFit="1" customWidth="1"/>
    <col min="39" max="39" width="8.88671875" style="4"/>
    <col min="40" max="40" width="9" style="4" bestFit="1" customWidth="1"/>
    <col min="41" max="41" width="11.33203125" style="4" bestFit="1" customWidth="1"/>
    <col min="42" max="42" width="12.33203125" style="4" bestFit="1" customWidth="1"/>
    <col min="43" max="43" width="8.33203125" style="4" bestFit="1" customWidth="1"/>
    <col min="44" max="44" width="8.88671875" style="4"/>
    <col min="45" max="45" width="9" style="4" bestFit="1" customWidth="1"/>
    <col min="46" max="47" width="10.6640625" style="4" bestFit="1" customWidth="1"/>
    <col min="48" max="48" width="8.33203125" style="4" bestFit="1" customWidth="1"/>
    <col min="49" max="16384" width="8.88671875" style="4"/>
  </cols>
  <sheetData>
    <row r="1" spans="1:48" s="1" customFormat="1" ht="11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802</v>
      </c>
      <c r="W1" s="1" t="s">
        <v>803</v>
      </c>
      <c r="X1" s="1" t="s">
        <v>804</v>
      </c>
      <c r="Y1" s="1" t="s">
        <v>805</v>
      </c>
      <c r="Z1" s="1" t="s">
        <v>806</v>
      </c>
      <c r="AA1" s="1" t="s">
        <v>807</v>
      </c>
      <c r="AB1" s="1" t="s">
        <v>820</v>
      </c>
      <c r="AC1" s="1" t="s">
        <v>821</v>
      </c>
      <c r="AD1" s="1" t="s">
        <v>822</v>
      </c>
      <c r="AE1" s="1" t="s">
        <v>823</v>
      </c>
      <c r="AF1" s="1" t="s">
        <v>824</v>
      </c>
      <c r="AG1" s="1" t="s">
        <v>825</v>
      </c>
      <c r="AI1" s="34" t="s">
        <v>68</v>
      </c>
      <c r="AJ1" s="34" t="s">
        <v>826</v>
      </c>
      <c r="AK1" s="34" t="s">
        <v>827</v>
      </c>
      <c r="AL1" s="34" t="s">
        <v>828</v>
      </c>
      <c r="AN1" s="34" t="s">
        <v>68</v>
      </c>
      <c r="AO1" s="34" t="s">
        <v>829</v>
      </c>
      <c r="AP1" s="34" t="s">
        <v>830</v>
      </c>
      <c r="AQ1" s="34" t="s">
        <v>828</v>
      </c>
      <c r="AS1" s="34" t="s">
        <v>68</v>
      </c>
      <c r="AT1" s="34" t="s">
        <v>831</v>
      </c>
      <c r="AU1" s="34" t="s">
        <v>832</v>
      </c>
      <c r="AV1" s="34" t="s">
        <v>828</v>
      </c>
    </row>
    <row r="2" spans="1:48" ht="11.25" customHeight="1" x14ac:dyDescent="0.3">
      <c r="A2" s="4" t="s">
        <v>21</v>
      </c>
      <c r="B2" s="4" t="s">
        <v>54</v>
      </c>
      <c r="C2" s="4" t="s">
        <v>40</v>
      </c>
      <c r="D2" s="4" t="s">
        <v>38</v>
      </c>
      <c r="E2" s="4" t="s">
        <v>25</v>
      </c>
      <c r="F2" s="4" t="s">
        <v>25</v>
      </c>
      <c r="G2" s="4" t="s">
        <v>25</v>
      </c>
      <c r="H2" s="4" t="s">
        <v>35</v>
      </c>
      <c r="I2" s="5">
        <v>44501</v>
      </c>
      <c r="J2" s="6">
        <v>20000</v>
      </c>
      <c r="K2" s="6">
        <v>20000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55</v>
      </c>
      <c r="R2" s="4">
        <v>0</v>
      </c>
      <c r="S2" s="6">
        <v>19</v>
      </c>
      <c r="T2" s="6">
        <v>0</v>
      </c>
      <c r="U2" s="6">
        <v>0</v>
      </c>
      <c r="V2" s="6">
        <f>IF(ISERROR(VLOOKUP($S$2,'TAR FIN'!$A$1:$O$113,15,0)),0,VLOOKUP($S$2,'TAR FIN'!$A$1:$O$113,15,0))</f>
        <v>6.93</v>
      </c>
      <c r="W2" s="6">
        <f>IF(ISERROR(VLOOKUP($T$2,'TAR FIN'!$A$1:$O$113,15,0)),0,VLOOKUP($T$2,'TAR FIN'!$A$1:$O$113,15,0))</f>
        <v>0</v>
      </c>
      <c r="X2" s="6">
        <f>IF(ISERROR(VLOOKUP($U$2,'TAR FIN'!$A$1:$O$113,15,0)),0,VLOOKUP($U$2,'TAR FIN'!$A$1:$O$113,15,0))</f>
        <v>0</v>
      </c>
      <c r="Y2" s="6">
        <f ca="1">('TUSD BE'!$AM$6+'TUSD BF'!$AM$6+'TUSD CVA'!$AM$6)*1</f>
        <v>7.958907979073329</v>
      </c>
      <c r="Z2" s="6">
        <f ca="1">('TUSD BE'!$AM$7+'TUSD BF'!$AM$7+'TUSD CVA'!$AM$7)*1</f>
        <v>90.517043596118782</v>
      </c>
      <c r="AA2" s="6"/>
      <c r="AB2" s="6">
        <f>$K$2*$V$2</f>
        <v>138600</v>
      </c>
      <c r="AC2" s="6">
        <f>$M$2*$W$2</f>
        <v>0</v>
      </c>
      <c r="AD2" s="6">
        <f>$O$2*$X$2</f>
        <v>0</v>
      </c>
      <c r="AE2" s="6">
        <f ca="1">$K$2*$Y$2</f>
        <v>159178.15958146658</v>
      </c>
      <c r="AF2" s="6">
        <f ca="1">$M$2*$Z$2</f>
        <v>0</v>
      </c>
      <c r="AG2" s="6">
        <f>$O$2*$AA$2</f>
        <v>0</v>
      </c>
      <c r="AI2" s="35" t="s">
        <v>54</v>
      </c>
      <c r="AJ2" s="36">
        <f t="shared" ref="AJ2:AJ9" si="0">SUMIF($B$2:$B$1157,AI2,$AB$2:$AB$1157)+SUMIF($B$2:$B$1157,AI2,$AC$2:$AC$1157)</f>
        <v>8844122.7790799998</v>
      </c>
      <c r="AK2" s="36">
        <f t="shared" ref="AK2:AK9" ca="1" si="1">SUMIF($B$2:$B$1157,AI2,$AE$2:$AE$1157)+SUMIF($B$2:$B$1157,AI2,$AF$2:$AF$1157)</f>
        <v>13525418.449542712</v>
      </c>
      <c r="AL2" s="37">
        <f t="shared" ref="AL2:AL12" ca="1" si="2">IF(AJ2&lt;&gt;0,AK2/AJ2-1,0)</f>
        <v>0.52931147468191075</v>
      </c>
      <c r="AN2" s="35" t="s">
        <v>54</v>
      </c>
      <c r="AO2" s="36">
        <f t="shared" ref="AO2:AO9" si="3">SUMIF($B$2:$B$1157,AN2,$AD$2:$AD$1157)</f>
        <v>0</v>
      </c>
      <c r="AP2" s="36">
        <f t="shared" ref="AP2:AP9" si="4">SUMIF($B$2:$B$1157,AN2,$AG$2:$AG$1157)</f>
        <v>0</v>
      </c>
      <c r="AQ2" s="37">
        <f t="shared" ref="AQ2:AQ12" si="5">IF(AO2&lt;&gt;0,AP2/AO2-1,0)</f>
        <v>0</v>
      </c>
      <c r="AS2" s="35" t="s">
        <v>54</v>
      </c>
      <c r="AT2" s="36">
        <f t="shared" ref="AT2:AT9" si="6">SUMIF($B$2:$B$1157,AS2,$AB$2:$AB$1157)+SUMIF($B$2:$B$1157,AS2,$AC$2:$AC$1157)+SUMIF($B$2:$B$1157,AS2,$AD$2:$AD$1157)</f>
        <v>8844122.7790799998</v>
      </c>
      <c r="AU2" s="36">
        <f t="shared" ref="AU2:AU9" ca="1" si="7">SUMIF($B$2:$B$1157,AS2,$AE$2:$AE$1157)+SUMIF($B$2:$B$1157,AS2,$AF$2:$AF$1157)+SUMIF($B$2:$B$1157,AS2,$AG$2:$AG$1157)</f>
        <v>13525418.449542712</v>
      </c>
      <c r="AV2" s="37">
        <f t="shared" ref="AV2:AV12" ca="1" si="8">IF(AT2&lt;&gt;0,AU2/AT2-1,0)</f>
        <v>0.52931147468191075</v>
      </c>
    </row>
    <row r="3" spans="1:48" ht="11.25" customHeight="1" x14ac:dyDescent="0.3">
      <c r="A3" s="4" t="s">
        <v>21</v>
      </c>
      <c r="B3" s="4" t="s">
        <v>54</v>
      </c>
      <c r="C3" s="4" t="s">
        <v>40</v>
      </c>
      <c r="D3" s="4" t="s">
        <v>38</v>
      </c>
      <c r="E3" s="4" t="s">
        <v>25</v>
      </c>
      <c r="F3" s="4" t="s">
        <v>25</v>
      </c>
      <c r="G3" s="4" t="s">
        <v>25</v>
      </c>
      <c r="H3" s="4" t="s">
        <v>35</v>
      </c>
      <c r="I3" s="5">
        <v>44531</v>
      </c>
      <c r="J3" s="6">
        <v>20000</v>
      </c>
      <c r="K3" s="6">
        <v>20000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55</v>
      </c>
      <c r="R3" s="4">
        <v>0</v>
      </c>
      <c r="S3" s="6">
        <v>19</v>
      </c>
      <c r="T3" s="6">
        <v>0</v>
      </c>
      <c r="U3" s="6">
        <v>0</v>
      </c>
      <c r="V3" s="6">
        <f>IF(ISERROR(VLOOKUP($S$3,'TAR FIN'!$A$1:$O$113,15,0)),0,VLOOKUP($S$3,'TAR FIN'!$A$1:$O$113,15,0))</f>
        <v>6.93</v>
      </c>
      <c r="W3" s="6">
        <f>IF(ISERROR(VLOOKUP($T$3,'TAR FIN'!$A$1:$O$113,15,0)),0,VLOOKUP($T$3,'TAR FIN'!$A$1:$O$113,15,0))</f>
        <v>0</v>
      </c>
      <c r="X3" s="6">
        <f>IF(ISERROR(VLOOKUP($U$3,'TAR FIN'!$A$1:$O$113,15,0)),0,VLOOKUP($U$3,'TAR FIN'!$A$1:$O$113,15,0))</f>
        <v>0</v>
      </c>
      <c r="Y3" s="6">
        <f ca="1">('TUSD BE'!$AM$6+'TUSD BF'!$AM$6+'TUSD CVA'!$AM$6)*1</f>
        <v>7.958907979073329</v>
      </c>
      <c r="Z3" s="6">
        <f ca="1">('TUSD BE'!$AM$7+'TUSD BF'!$AM$7+'TUSD CVA'!$AM$7)*1</f>
        <v>90.517043596118782</v>
      </c>
      <c r="AA3" s="6"/>
      <c r="AB3" s="6">
        <f>$K$3*$V$3</f>
        <v>138600</v>
      </c>
      <c r="AC3" s="6">
        <f>$M$3*$W$3</f>
        <v>0</v>
      </c>
      <c r="AD3" s="6">
        <f>$O$3*$X$3</f>
        <v>0</v>
      </c>
      <c r="AE3" s="6">
        <f ca="1">$K$3*$Y$3</f>
        <v>159178.15958146658</v>
      </c>
      <c r="AF3" s="6">
        <f ca="1">$M$3*$Z$3</f>
        <v>0</v>
      </c>
      <c r="AG3" s="6">
        <f>$O$3*$AA$3</f>
        <v>0</v>
      </c>
      <c r="AI3" s="35" t="s">
        <v>60</v>
      </c>
      <c r="AJ3" s="36">
        <f t="shared" si="0"/>
        <v>0</v>
      </c>
      <c r="AK3" s="36">
        <f t="shared" ca="1" si="1"/>
        <v>0</v>
      </c>
      <c r="AL3" s="37">
        <f t="shared" si="2"/>
        <v>0</v>
      </c>
      <c r="AN3" s="35" t="s">
        <v>60</v>
      </c>
      <c r="AO3" s="36">
        <f t="shared" si="3"/>
        <v>0</v>
      </c>
      <c r="AP3" s="36">
        <f t="shared" si="4"/>
        <v>0</v>
      </c>
      <c r="AQ3" s="37">
        <f t="shared" si="5"/>
        <v>0</v>
      </c>
      <c r="AS3" s="35" t="s">
        <v>60</v>
      </c>
      <c r="AT3" s="36">
        <f t="shared" si="6"/>
        <v>0</v>
      </c>
      <c r="AU3" s="36">
        <f t="shared" ca="1" si="7"/>
        <v>0</v>
      </c>
      <c r="AV3" s="37">
        <f t="shared" si="8"/>
        <v>0</v>
      </c>
    </row>
    <row r="4" spans="1:48" ht="11.25" customHeight="1" x14ac:dyDescent="0.3">
      <c r="A4" s="4" t="s">
        <v>21</v>
      </c>
      <c r="B4" s="4" t="s">
        <v>54</v>
      </c>
      <c r="C4" s="4" t="s">
        <v>40</v>
      </c>
      <c r="D4" s="4" t="s">
        <v>38</v>
      </c>
      <c r="E4" s="4" t="s">
        <v>25</v>
      </c>
      <c r="F4" s="4" t="s">
        <v>25</v>
      </c>
      <c r="G4" s="4" t="s">
        <v>25</v>
      </c>
      <c r="H4" s="4" t="s">
        <v>35</v>
      </c>
      <c r="I4" s="5">
        <v>44562</v>
      </c>
      <c r="J4" s="6">
        <v>20000</v>
      </c>
      <c r="K4" s="6">
        <v>20000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55</v>
      </c>
      <c r="R4" s="4">
        <v>0</v>
      </c>
      <c r="S4" s="6">
        <v>19</v>
      </c>
      <c r="T4" s="6">
        <v>0</v>
      </c>
      <c r="U4" s="6">
        <v>0</v>
      </c>
      <c r="V4" s="6">
        <f>IF(ISERROR(VLOOKUP($S$4,'TAR FIN'!$A$1:$O$113,15,0)),0,VLOOKUP($S$4,'TAR FIN'!$A$1:$O$113,15,0))</f>
        <v>6.93</v>
      </c>
      <c r="W4" s="6">
        <f>IF(ISERROR(VLOOKUP($T$4,'TAR FIN'!$A$1:$O$113,15,0)),0,VLOOKUP($T$4,'TAR FIN'!$A$1:$O$113,15,0))</f>
        <v>0</v>
      </c>
      <c r="X4" s="6">
        <f>IF(ISERROR(VLOOKUP($U$4,'TAR FIN'!$A$1:$O$113,15,0)),0,VLOOKUP($U$4,'TAR FIN'!$A$1:$O$113,15,0))</f>
        <v>0</v>
      </c>
      <c r="Y4" s="6">
        <f ca="1">('TUSD BE'!$AM$6+'TUSD BF'!$AM$6+'TUSD CVA'!$AM$6)*1</f>
        <v>7.958907979073329</v>
      </c>
      <c r="Z4" s="6">
        <f ca="1">('TUSD BE'!$AM$7+'TUSD BF'!$AM$7+'TUSD CVA'!$AM$7)*1</f>
        <v>90.517043596118782</v>
      </c>
      <c r="AA4" s="6"/>
      <c r="AB4" s="6">
        <f>$K$4*$V$4</f>
        <v>138600</v>
      </c>
      <c r="AC4" s="6">
        <f>$M$4*$W$4</f>
        <v>0</v>
      </c>
      <c r="AD4" s="6">
        <f>$O$4*$X$4</f>
        <v>0</v>
      </c>
      <c r="AE4" s="6">
        <f ca="1">$K$4*$Y$4</f>
        <v>159178.15958146658</v>
      </c>
      <c r="AF4" s="6">
        <f ca="1">$M$4*$Z$4</f>
        <v>0</v>
      </c>
      <c r="AG4" s="6">
        <f>$O$4*$AA$4</f>
        <v>0</v>
      </c>
      <c r="AI4" s="35" t="s">
        <v>39</v>
      </c>
      <c r="AJ4" s="36">
        <f t="shared" si="0"/>
        <v>42625351.488473937</v>
      </c>
      <c r="AK4" s="36">
        <f t="shared" ca="1" si="1"/>
        <v>59250265.035600364</v>
      </c>
      <c r="AL4" s="37">
        <f t="shared" ca="1" si="2"/>
        <v>0.39002408112979126</v>
      </c>
      <c r="AN4" s="35" t="s">
        <v>39</v>
      </c>
      <c r="AO4" s="36">
        <f t="shared" si="3"/>
        <v>19586793.071164172</v>
      </c>
      <c r="AP4" s="36">
        <f t="shared" si="4"/>
        <v>21213699.093100727</v>
      </c>
      <c r="AQ4" s="37">
        <f t="shared" si="5"/>
        <v>8.3061377941021863E-2</v>
      </c>
      <c r="AS4" s="35" t="s">
        <v>39</v>
      </c>
      <c r="AT4" s="36">
        <f t="shared" si="6"/>
        <v>62212144.559638113</v>
      </c>
      <c r="AU4" s="36">
        <f t="shared" ca="1" si="7"/>
        <v>80463964.128701091</v>
      </c>
      <c r="AV4" s="37">
        <f t="shared" ca="1" si="8"/>
        <v>0.2933803310954235</v>
      </c>
    </row>
    <row r="5" spans="1:48" ht="11.25" customHeight="1" x14ac:dyDescent="0.3">
      <c r="A5" s="4" t="s">
        <v>21</v>
      </c>
      <c r="B5" s="4" t="s">
        <v>54</v>
      </c>
      <c r="C5" s="4" t="s">
        <v>40</v>
      </c>
      <c r="D5" s="4" t="s">
        <v>38</v>
      </c>
      <c r="E5" s="4" t="s">
        <v>25</v>
      </c>
      <c r="F5" s="4" t="s">
        <v>25</v>
      </c>
      <c r="G5" s="4" t="s">
        <v>25</v>
      </c>
      <c r="H5" s="4" t="s">
        <v>35</v>
      </c>
      <c r="I5" s="5">
        <v>44593</v>
      </c>
      <c r="J5" s="6">
        <v>20000</v>
      </c>
      <c r="K5" s="6">
        <v>20000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55</v>
      </c>
      <c r="R5" s="4">
        <v>0</v>
      </c>
      <c r="S5" s="6">
        <v>19</v>
      </c>
      <c r="T5" s="6">
        <v>0</v>
      </c>
      <c r="U5" s="6">
        <v>0</v>
      </c>
      <c r="V5" s="6">
        <f>IF(ISERROR(VLOOKUP($S$5,'TAR FIN'!$A$1:$O$113,15,0)),0,VLOOKUP($S$5,'TAR FIN'!$A$1:$O$113,15,0))</f>
        <v>6.93</v>
      </c>
      <c r="W5" s="6">
        <f>IF(ISERROR(VLOOKUP($T$5,'TAR FIN'!$A$1:$O$113,15,0)),0,VLOOKUP($T$5,'TAR FIN'!$A$1:$O$113,15,0))</f>
        <v>0</v>
      </c>
      <c r="X5" s="6">
        <f>IF(ISERROR(VLOOKUP($U$5,'TAR FIN'!$A$1:$O$113,15,0)),0,VLOOKUP($U$5,'TAR FIN'!$A$1:$O$113,15,0))</f>
        <v>0</v>
      </c>
      <c r="Y5" s="6">
        <f ca="1">('TUSD BE'!$AM$6+'TUSD BF'!$AM$6+'TUSD CVA'!$AM$6)*1</f>
        <v>7.958907979073329</v>
      </c>
      <c r="Z5" s="6">
        <f ca="1">('TUSD BE'!$AM$7+'TUSD BF'!$AM$7+'TUSD CVA'!$AM$7)*1</f>
        <v>90.517043596118782</v>
      </c>
      <c r="AA5" s="6"/>
      <c r="AB5" s="6">
        <f>$K$5*$V$5</f>
        <v>138600</v>
      </c>
      <c r="AC5" s="6">
        <f>$M$5*$W$5</f>
        <v>0</v>
      </c>
      <c r="AD5" s="6">
        <f>$O$5*$X$5</f>
        <v>0</v>
      </c>
      <c r="AE5" s="6">
        <f ca="1">$K$5*$Y$5</f>
        <v>159178.15958146658</v>
      </c>
      <c r="AF5" s="6">
        <f ca="1">$M$5*$Z$5</f>
        <v>0</v>
      </c>
      <c r="AG5" s="6">
        <f>$O$5*$AA$5</f>
        <v>0</v>
      </c>
      <c r="AI5" s="35" t="s">
        <v>43</v>
      </c>
      <c r="AJ5" s="36">
        <f t="shared" si="0"/>
        <v>142482.65159385247</v>
      </c>
      <c r="AK5" s="36">
        <f t="shared" ca="1" si="1"/>
        <v>190180.08819232028</v>
      </c>
      <c r="AL5" s="37">
        <f t="shared" ca="1" si="2"/>
        <v>0.33475960802883997</v>
      </c>
      <c r="AN5" s="35" t="s">
        <v>43</v>
      </c>
      <c r="AO5" s="36">
        <f t="shared" si="3"/>
        <v>76814.326289999997</v>
      </c>
      <c r="AP5" s="36">
        <f t="shared" si="4"/>
        <v>82667.515331782066</v>
      </c>
      <c r="AQ5" s="37">
        <f t="shared" si="5"/>
        <v>7.6199184767751671E-2</v>
      </c>
      <c r="AS5" s="35" t="s">
        <v>43</v>
      </c>
      <c r="AT5" s="36">
        <f t="shared" si="6"/>
        <v>219296.97788385247</v>
      </c>
      <c r="AU5" s="36">
        <f t="shared" ca="1" si="7"/>
        <v>272847.60352410236</v>
      </c>
      <c r="AV5" s="37">
        <f t="shared" ca="1" si="8"/>
        <v>0.24419226455830234</v>
      </c>
    </row>
    <row r="6" spans="1:48" ht="11.25" customHeight="1" x14ac:dyDescent="0.3">
      <c r="A6" s="4" t="s">
        <v>21</v>
      </c>
      <c r="B6" s="4" t="s">
        <v>54</v>
      </c>
      <c r="C6" s="4" t="s">
        <v>40</v>
      </c>
      <c r="D6" s="4" t="s">
        <v>38</v>
      </c>
      <c r="E6" s="4" t="s">
        <v>25</v>
      </c>
      <c r="F6" s="4" t="s">
        <v>25</v>
      </c>
      <c r="G6" s="4" t="s">
        <v>25</v>
      </c>
      <c r="H6" s="4" t="s">
        <v>35</v>
      </c>
      <c r="I6" s="5">
        <v>44621</v>
      </c>
      <c r="J6" s="6">
        <v>20000</v>
      </c>
      <c r="K6" s="6">
        <v>20000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55</v>
      </c>
      <c r="R6" s="4">
        <v>0</v>
      </c>
      <c r="S6" s="6">
        <v>19</v>
      </c>
      <c r="T6" s="6">
        <v>0</v>
      </c>
      <c r="U6" s="6">
        <v>0</v>
      </c>
      <c r="V6" s="6">
        <f>IF(ISERROR(VLOOKUP($S$6,'TAR FIN'!$A$1:$O$113,15,0)),0,VLOOKUP($S$6,'TAR FIN'!$A$1:$O$113,15,0))</f>
        <v>6.93</v>
      </c>
      <c r="W6" s="6">
        <f>IF(ISERROR(VLOOKUP($T$6,'TAR FIN'!$A$1:$O$113,15,0)),0,VLOOKUP($T$6,'TAR FIN'!$A$1:$O$113,15,0))</f>
        <v>0</v>
      </c>
      <c r="X6" s="6">
        <f>IF(ISERROR(VLOOKUP($U$6,'TAR FIN'!$A$1:$O$113,15,0)),0,VLOOKUP($U$6,'TAR FIN'!$A$1:$O$113,15,0))</f>
        <v>0</v>
      </c>
      <c r="Y6" s="6">
        <f ca="1">('TUSD BE'!$AM$6+'TUSD BF'!$AM$6+'TUSD CVA'!$AM$6)*1</f>
        <v>7.958907979073329</v>
      </c>
      <c r="Z6" s="6">
        <f ca="1">('TUSD BE'!$AM$7+'TUSD BF'!$AM$7+'TUSD CVA'!$AM$7)*1</f>
        <v>90.517043596118782</v>
      </c>
      <c r="AA6" s="6"/>
      <c r="AB6" s="6">
        <f>$K$6*$V$6</f>
        <v>138600</v>
      </c>
      <c r="AC6" s="6">
        <f>$M$6*$W$6</f>
        <v>0</v>
      </c>
      <c r="AD6" s="6">
        <f>$O$6*$X$6</f>
        <v>0</v>
      </c>
      <c r="AE6" s="6">
        <f ca="1">$K$6*$Y$6</f>
        <v>159178.15958146658</v>
      </c>
      <c r="AF6" s="6">
        <f ca="1">$M$6*$Z$6</f>
        <v>0</v>
      </c>
      <c r="AG6" s="6">
        <f>$O$6*$AA$6</f>
        <v>0</v>
      </c>
      <c r="AI6" s="35" t="s">
        <v>22</v>
      </c>
      <c r="AJ6" s="36">
        <f t="shared" si="0"/>
        <v>39605220.734357044</v>
      </c>
      <c r="AK6" s="36">
        <f t="shared" ca="1" si="1"/>
        <v>51621820.89904815</v>
      </c>
      <c r="AL6" s="37">
        <f t="shared" ca="1" si="2"/>
        <v>0.30340949859337241</v>
      </c>
      <c r="AN6" s="35" t="s">
        <v>22</v>
      </c>
      <c r="AO6" s="36">
        <f t="shared" si="3"/>
        <v>39063626.949200019</v>
      </c>
      <c r="AP6" s="36">
        <f t="shared" si="4"/>
        <v>42060062.229179457</v>
      </c>
      <c r="AQ6" s="37">
        <f t="shared" si="5"/>
        <v>7.6706530191785083E-2</v>
      </c>
      <c r="AS6" s="35" t="s">
        <v>22</v>
      </c>
      <c r="AT6" s="36">
        <f t="shared" si="6"/>
        <v>78668847.683557063</v>
      </c>
      <c r="AU6" s="36">
        <f t="shared" ca="1" si="7"/>
        <v>93681883.128227606</v>
      </c>
      <c r="AV6" s="37">
        <f t="shared" ca="1" si="8"/>
        <v>0.19083837995263386</v>
      </c>
    </row>
    <row r="7" spans="1:48" ht="11.25" customHeight="1" x14ac:dyDescent="0.3">
      <c r="A7" s="4" t="s">
        <v>21</v>
      </c>
      <c r="B7" s="4" t="s">
        <v>54</v>
      </c>
      <c r="C7" s="4" t="s">
        <v>40</v>
      </c>
      <c r="D7" s="4" t="s">
        <v>38</v>
      </c>
      <c r="E7" s="4" t="s">
        <v>25</v>
      </c>
      <c r="F7" s="4" t="s">
        <v>25</v>
      </c>
      <c r="G7" s="4" t="s">
        <v>25</v>
      </c>
      <c r="H7" s="4" t="s">
        <v>35</v>
      </c>
      <c r="I7" s="5">
        <v>44652</v>
      </c>
      <c r="J7" s="6">
        <v>20000</v>
      </c>
      <c r="K7" s="6">
        <v>20000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55</v>
      </c>
      <c r="R7" s="4">
        <v>0</v>
      </c>
      <c r="S7" s="6">
        <v>19</v>
      </c>
      <c r="T7" s="6">
        <v>0</v>
      </c>
      <c r="U7" s="6">
        <v>0</v>
      </c>
      <c r="V7" s="6">
        <f>IF(ISERROR(VLOOKUP($S$7,'TAR FIN'!$A$1:$O$113,15,0)),0,VLOOKUP($S$7,'TAR FIN'!$A$1:$O$113,15,0))</f>
        <v>6.93</v>
      </c>
      <c r="W7" s="6">
        <f>IF(ISERROR(VLOOKUP($T$7,'TAR FIN'!$A$1:$O$113,15,0)),0,VLOOKUP($T$7,'TAR FIN'!$A$1:$O$113,15,0))</f>
        <v>0</v>
      </c>
      <c r="X7" s="6">
        <f>IF(ISERROR(VLOOKUP($U$7,'TAR FIN'!$A$1:$O$113,15,0)),0,VLOOKUP($U$7,'TAR FIN'!$A$1:$O$113,15,0))</f>
        <v>0</v>
      </c>
      <c r="Y7" s="6">
        <f ca="1">('TUSD BE'!$AM$6+'TUSD BF'!$AM$6+'TUSD CVA'!$AM$6)*1</f>
        <v>7.958907979073329</v>
      </c>
      <c r="Z7" s="6">
        <f ca="1">('TUSD BE'!$AM$7+'TUSD BF'!$AM$7+'TUSD CVA'!$AM$7)*1</f>
        <v>90.517043596118782</v>
      </c>
      <c r="AA7" s="6"/>
      <c r="AB7" s="6">
        <f>$K$7*$V$7</f>
        <v>138600</v>
      </c>
      <c r="AC7" s="6">
        <f>$M$7*$W$7</f>
        <v>0</v>
      </c>
      <c r="AD7" s="6">
        <f>$O$7*$X$7</f>
        <v>0</v>
      </c>
      <c r="AE7" s="6">
        <f ca="1">$K$7*$Y$7</f>
        <v>159178.15958146658</v>
      </c>
      <c r="AF7" s="6">
        <f ca="1">$M$7*$Z$7</f>
        <v>0</v>
      </c>
      <c r="AG7" s="6">
        <f>$O$7*$AA$7</f>
        <v>0</v>
      </c>
      <c r="AI7" s="35" t="s">
        <v>44</v>
      </c>
      <c r="AJ7" s="36">
        <f t="shared" si="0"/>
        <v>997234.5266199999</v>
      </c>
      <c r="AK7" s="36">
        <f t="shared" ca="1" si="1"/>
        <v>1395084.2875736721</v>
      </c>
      <c r="AL7" s="37">
        <f t="shared" ca="1" si="2"/>
        <v>0.39895305500716427</v>
      </c>
      <c r="AN7" s="35" t="s">
        <v>44</v>
      </c>
      <c r="AO7" s="36">
        <f t="shared" si="3"/>
        <v>970856.45449000015</v>
      </c>
      <c r="AP7" s="36">
        <f t="shared" si="4"/>
        <v>1116626.6907855761</v>
      </c>
      <c r="AQ7" s="37">
        <f t="shared" si="5"/>
        <v>0.1501460237725365</v>
      </c>
      <c r="AS7" s="35" t="s">
        <v>44</v>
      </c>
      <c r="AT7" s="36">
        <f t="shared" si="6"/>
        <v>1968090.9811100001</v>
      </c>
      <c r="AU7" s="36">
        <f t="shared" ca="1" si="7"/>
        <v>2511710.9783592485</v>
      </c>
      <c r="AV7" s="37">
        <f t="shared" ca="1" si="8"/>
        <v>0.27621690382557795</v>
      </c>
    </row>
    <row r="8" spans="1:48" ht="11.25" customHeight="1" x14ac:dyDescent="0.3">
      <c r="A8" s="4" t="s">
        <v>21</v>
      </c>
      <c r="B8" s="4" t="s">
        <v>54</v>
      </c>
      <c r="C8" s="4" t="s">
        <v>40</v>
      </c>
      <c r="D8" s="4" t="s">
        <v>38</v>
      </c>
      <c r="E8" s="4" t="s">
        <v>25</v>
      </c>
      <c r="F8" s="4" t="s">
        <v>25</v>
      </c>
      <c r="G8" s="4" t="s">
        <v>25</v>
      </c>
      <c r="H8" s="4" t="s">
        <v>35</v>
      </c>
      <c r="I8" s="5">
        <v>44682</v>
      </c>
      <c r="J8" s="6">
        <v>20000</v>
      </c>
      <c r="K8" s="6">
        <v>20000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55</v>
      </c>
      <c r="R8" s="4">
        <v>0</v>
      </c>
      <c r="S8" s="6">
        <v>19</v>
      </c>
      <c r="T8" s="6">
        <v>0</v>
      </c>
      <c r="U8" s="6">
        <v>0</v>
      </c>
      <c r="V8" s="6">
        <f>IF(ISERROR(VLOOKUP($S$8,'TAR FIN'!$A$1:$O$113,15,0)),0,VLOOKUP($S$8,'TAR FIN'!$A$1:$O$113,15,0))</f>
        <v>6.93</v>
      </c>
      <c r="W8" s="6">
        <f>IF(ISERROR(VLOOKUP($T$8,'TAR FIN'!$A$1:$O$113,15,0)),0,VLOOKUP($T$8,'TAR FIN'!$A$1:$O$113,15,0))</f>
        <v>0</v>
      </c>
      <c r="X8" s="6">
        <f>IF(ISERROR(VLOOKUP($U$8,'TAR FIN'!$A$1:$O$113,15,0)),0,VLOOKUP($U$8,'TAR FIN'!$A$1:$O$113,15,0))</f>
        <v>0</v>
      </c>
      <c r="Y8" s="6">
        <f ca="1">('TUSD BE'!$AM$6+'TUSD BF'!$AM$6+'TUSD CVA'!$AM$6)*1</f>
        <v>7.958907979073329</v>
      </c>
      <c r="Z8" s="6">
        <f ca="1">('TUSD BE'!$AM$7+'TUSD BF'!$AM$7+'TUSD CVA'!$AM$7)*1</f>
        <v>90.517043596118782</v>
      </c>
      <c r="AA8" s="6"/>
      <c r="AB8" s="6">
        <f>$K$8*$V$8</f>
        <v>138600</v>
      </c>
      <c r="AC8" s="6">
        <f>$M$8*$W$8</f>
        <v>0</v>
      </c>
      <c r="AD8" s="6">
        <f>$O$8*$X$8</f>
        <v>0</v>
      </c>
      <c r="AE8" s="6">
        <f ca="1">$K$8*$Y$8</f>
        <v>159178.15958146658</v>
      </c>
      <c r="AF8" s="6">
        <f ca="1">$M$8*$Z$8</f>
        <v>0</v>
      </c>
      <c r="AG8" s="6">
        <f>$O$8*$AA$8</f>
        <v>0</v>
      </c>
      <c r="AI8" s="35" t="s">
        <v>37</v>
      </c>
      <c r="AJ8" s="36">
        <f t="shared" si="0"/>
        <v>14446154.030672403</v>
      </c>
      <c r="AK8" s="36">
        <f t="shared" ca="1" si="1"/>
        <v>18939543.952362347</v>
      </c>
      <c r="AL8" s="37">
        <f t="shared" ca="1" si="2"/>
        <v>0.3110440268149901</v>
      </c>
      <c r="AN8" s="35" t="s">
        <v>37</v>
      </c>
      <c r="AO8" s="36">
        <f t="shared" si="3"/>
        <v>14076372.842617806</v>
      </c>
      <c r="AP8" s="36">
        <f t="shared" si="4"/>
        <v>15170119.127313239</v>
      </c>
      <c r="AQ8" s="37">
        <f t="shared" si="5"/>
        <v>7.7700860649555503E-2</v>
      </c>
      <c r="AS8" s="35" t="s">
        <v>37</v>
      </c>
      <c r="AT8" s="36">
        <f t="shared" si="6"/>
        <v>28522526.873290211</v>
      </c>
      <c r="AU8" s="36">
        <f t="shared" ca="1" si="7"/>
        <v>34109663.079675585</v>
      </c>
      <c r="AV8" s="37">
        <f t="shared" ca="1" si="8"/>
        <v>0.19588503610517849</v>
      </c>
    </row>
    <row r="9" spans="1:48" ht="11.25" customHeight="1" x14ac:dyDescent="0.3">
      <c r="A9" s="4" t="s">
        <v>21</v>
      </c>
      <c r="B9" s="4" t="s">
        <v>54</v>
      </c>
      <c r="C9" s="4" t="s">
        <v>40</v>
      </c>
      <c r="D9" s="4" t="s">
        <v>38</v>
      </c>
      <c r="E9" s="4" t="s">
        <v>25</v>
      </c>
      <c r="F9" s="4" t="s">
        <v>25</v>
      </c>
      <c r="G9" s="4" t="s">
        <v>25</v>
      </c>
      <c r="H9" s="4" t="s">
        <v>35</v>
      </c>
      <c r="I9" s="5">
        <v>44713</v>
      </c>
      <c r="J9" s="6">
        <v>20000</v>
      </c>
      <c r="K9" s="6">
        <v>20000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55</v>
      </c>
      <c r="R9" s="4">
        <v>0</v>
      </c>
      <c r="S9" s="6">
        <v>19</v>
      </c>
      <c r="T9" s="6">
        <v>0</v>
      </c>
      <c r="U9" s="6">
        <v>0</v>
      </c>
      <c r="V9" s="6">
        <f>IF(ISERROR(VLOOKUP($S$9,'TAR FIN'!$A$1:$O$113,15,0)),0,VLOOKUP($S$9,'TAR FIN'!$A$1:$O$113,15,0))</f>
        <v>6.93</v>
      </c>
      <c r="W9" s="6">
        <f>IF(ISERROR(VLOOKUP($T$9,'TAR FIN'!$A$1:$O$113,15,0)),0,VLOOKUP($T$9,'TAR FIN'!$A$1:$O$113,15,0))</f>
        <v>0</v>
      </c>
      <c r="X9" s="6">
        <f>IF(ISERROR(VLOOKUP($U$9,'TAR FIN'!$A$1:$O$113,15,0)),0,VLOOKUP($U$9,'TAR FIN'!$A$1:$O$113,15,0))</f>
        <v>0</v>
      </c>
      <c r="Y9" s="6">
        <f ca="1">('TUSD BE'!$AM$6+'TUSD BF'!$AM$6+'TUSD CVA'!$AM$6)*1</f>
        <v>7.958907979073329</v>
      </c>
      <c r="Z9" s="6">
        <f ca="1">('TUSD BE'!$AM$7+'TUSD BF'!$AM$7+'TUSD CVA'!$AM$7)*1</f>
        <v>90.517043596118782</v>
      </c>
      <c r="AA9" s="6"/>
      <c r="AB9" s="6">
        <f>$K$9*$V$9</f>
        <v>138600</v>
      </c>
      <c r="AC9" s="6">
        <f>$M$9*$W$9</f>
        <v>0</v>
      </c>
      <c r="AD9" s="6">
        <f>$O$9*$X$9</f>
        <v>0</v>
      </c>
      <c r="AE9" s="6">
        <f ca="1">$K$9*$Y$9</f>
        <v>159178.15958146658</v>
      </c>
      <c r="AF9" s="6">
        <f ca="1">$M$9*$Z$9</f>
        <v>0</v>
      </c>
      <c r="AG9" s="6">
        <f>$O$9*$AA$9</f>
        <v>0</v>
      </c>
      <c r="AI9" s="35" t="s">
        <v>47</v>
      </c>
      <c r="AJ9" s="36">
        <f t="shared" si="0"/>
        <v>3246111.6201999998</v>
      </c>
      <c r="AK9" s="36">
        <f t="shared" ca="1" si="1"/>
        <v>4251360.9850313189</v>
      </c>
      <c r="AL9" s="37">
        <f t="shared" ca="1" si="2"/>
        <v>0.30967800323803507</v>
      </c>
      <c r="AN9" s="35" t="s">
        <v>47</v>
      </c>
      <c r="AO9" s="36">
        <f t="shared" si="3"/>
        <v>3160418.676</v>
      </c>
      <c r="AP9" s="36">
        <f t="shared" si="4"/>
        <v>3402793.071597646</v>
      </c>
      <c r="AQ9" s="37">
        <f t="shared" si="5"/>
        <v>7.6690597178854958E-2</v>
      </c>
      <c r="AS9" s="35" t="s">
        <v>47</v>
      </c>
      <c r="AT9" s="36">
        <f t="shared" si="6"/>
        <v>6406530.2961999997</v>
      </c>
      <c r="AU9" s="36">
        <f t="shared" ca="1" si="7"/>
        <v>7654154.0566289648</v>
      </c>
      <c r="AV9" s="37">
        <f t="shared" ca="1" si="8"/>
        <v>0.19474250534161786</v>
      </c>
    </row>
    <row r="10" spans="1:48" ht="11.25" customHeight="1" x14ac:dyDescent="0.3">
      <c r="A10" s="4" t="s">
        <v>21</v>
      </c>
      <c r="B10" s="4" t="s">
        <v>54</v>
      </c>
      <c r="C10" s="4" t="s">
        <v>40</v>
      </c>
      <c r="D10" s="4" t="s">
        <v>38</v>
      </c>
      <c r="E10" s="4" t="s">
        <v>25</v>
      </c>
      <c r="F10" s="4" t="s">
        <v>25</v>
      </c>
      <c r="G10" s="4" t="s">
        <v>25</v>
      </c>
      <c r="H10" s="4" t="s">
        <v>35</v>
      </c>
      <c r="I10" s="5">
        <v>44743</v>
      </c>
      <c r="J10" s="6">
        <v>20000</v>
      </c>
      <c r="K10" s="6">
        <v>20000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55</v>
      </c>
      <c r="R10" s="4">
        <v>0</v>
      </c>
      <c r="S10" s="6">
        <v>19</v>
      </c>
      <c r="T10" s="6">
        <v>0</v>
      </c>
      <c r="U10" s="6">
        <v>0</v>
      </c>
      <c r="V10" s="6">
        <f>IF(ISERROR(VLOOKUP($S$10,'TAR FIN'!$A$1:$O$113,15,0)),0,VLOOKUP($S$10,'TAR FIN'!$A$1:$O$113,15,0))</f>
        <v>6.93</v>
      </c>
      <c r="W10" s="6">
        <f>IF(ISERROR(VLOOKUP($T$10,'TAR FIN'!$A$1:$O$113,15,0)),0,VLOOKUP($T$10,'TAR FIN'!$A$1:$O$113,15,0))</f>
        <v>0</v>
      </c>
      <c r="X10" s="6">
        <f>IF(ISERROR(VLOOKUP($U$10,'TAR FIN'!$A$1:$O$113,15,0)),0,VLOOKUP($U$10,'TAR FIN'!$A$1:$O$113,15,0))</f>
        <v>0</v>
      </c>
      <c r="Y10" s="6">
        <f ca="1">('TUSD BE'!$AM$6+'TUSD BF'!$AM$6+'TUSD CVA'!$AM$6)*1</f>
        <v>7.958907979073329</v>
      </c>
      <c r="Z10" s="6">
        <f ca="1">('TUSD BE'!$AM$7+'TUSD BF'!$AM$7+'TUSD CVA'!$AM$7)*1</f>
        <v>90.517043596118782</v>
      </c>
      <c r="AA10" s="6"/>
      <c r="AB10" s="6">
        <f>$K$10*$V$10</f>
        <v>138600</v>
      </c>
      <c r="AC10" s="6">
        <f>$M$10*$W$10</f>
        <v>0</v>
      </c>
      <c r="AD10" s="6">
        <f>$O$10*$X$10</f>
        <v>0</v>
      </c>
      <c r="AE10" s="6">
        <f ca="1">$K$10*$Y$10</f>
        <v>159178.15958146658</v>
      </c>
      <c r="AF10" s="6">
        <f ca="1">$M$10*$Z$10</f>
        <v>0</v>
      </c>
      <c r="AG10" s="6">
        <f>$O$10*$AA$10</f>
        <v>0</v>
      </c>
      <c r="AI10" s="35" t="s">
        <v>833</v>
      </c>
      <c r="AJ10" s="36">
        <f>+$AJ$2+$AJ$3+$AJ$4+$AJ$5</f>
        <v>51611956.919147789</v>
      </c>
      <c r="AK10" s="36">
        <f ca="1">+$AK$2+$AK$3+$AK$4+$AK$5</f>
        <v>72965863.573335394</v>
      </c>
      <c r="AL10" s="37">
        <f t="shared" ca="1" si="2"/>
        <v>0.41373952721148233</v>
      </c>
      <c r="AN10" s="35" t="s">
        <v>833</v>
      </c>
      <c r="AO10" s="36">
        <f>+$AO$2+$AO$3+$AO$4+$AO$5</f>
        <v>19663607.397454172</v>
      </c>
      <c r="AP10" s="36">
        <f>+$AP$2+$AP$3+$AP$4+$AP$5</f>
        <v>21296366.608432509</v>
      </c>
      <c r="AQ10" s="37">
        <f t="shared" si="5"/>
        <v>8.3034571326405127E-2</v>
      </c>
      <c r="AS10" s="35" t="s">
        <v>833</v>
      </c>
      <c r="AT10" s="36">
        <f>+$AT$2+$AT$3+$AT$4+$AT$5</f>
        <v>71275564.316601962</v>
      </c>
      <c r="AU10" s="36">
        <f ca="1">+$AU$2+$AU$3+$AU$4+$AU$5</f>
        <v>94262230.181767911</v>
      </c>
      <c r="AV10" s="37">
        <f t="shared" ca="1" si="8"/>
        <v>0.32250415812999389</v>
      </c>
    </row>
    <row r="11" spans="1:48" ht="11.25" customHeight="1" x14ac:dyDescent="0.3">
      <c r="A11" s="4" t="s">
        <v>21</v>
      </c>
      <c r="B11" s="4" t="s">
        <v>54</v>
      </c>
      <c r="C11" s="4" t="s">
        <v>40</v>
      </c>
      <c r="D11" s="4" t="s">
        <v>38</v>
      </c>
      <c r="E11" s="4" t="s">
        <v>25</v>
      </c>
      <c r="F11" s="4" t="s">
        <v>25</v>
      </c>
      <c r="G11" s="4" t="s">
        <v>25</v>
      </c>
      <c r="H11" s="4" t="s">
        <v>35</v>
      </c>
      <c r="I11" s="5">
        <v>44774</v>
      </c>
      <c r="J11" s="6">
        <v>20000</v>
      </c>
      <c r="K11" s="6">
        <v>20000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55</v>
      </c>
      <c r="R11" s="4">
        <v>0</v>
      </c>
      <c r="S11" s="6">
        <v>19</v>
      </c>
      <c r="T11" s="6">
        <v>0</v>
      </c>
      <c r="U11" s="6">
        <v>0</v>
      </c>
      <c r="V11" s="6">
        <f>IF(ISERROR(VLOOKUP($S$11,'TAR FIN'!$A$1:$O$113,15,0)),0,VLOOKUP($S$11,'TAR FIN'!$A$1:$O$113,15,0))</f>
        <v>6.93</v>
      </c>
      <c r="W11" s="6">
        <f>IF(ISERROR(VLOOKUP($T$11,'TAR FIN'!$A$1:$O$113,15,0)),0,VLOOKUP($T$11,'TAR FIN'!$A$1:$O$113,15,0))</f>
        <v>0</v>
      </c>
      <c r="X11" s="6">
        <f>IF(ISERROR(VLOOKUP($U$11,'TAR FIN'!$A$1:$O$113,15,0)),0,VLOOKUP($U$11,'TAR FIN'!$A$1:$O$113,15,0))</f>
        <v>0</v>
      </c>
      <c r="Y11" s="6">
        <f ca="1">('TUSD BE'!$AM$6+'TUSD BF'!$AM$6+'TUSD CVA'!$AM$6)*1</f>
        <v>7.958907979073329</v>
      </c>
      <c r="Z11" s="6">
        <f ca="1">('TUSD BE'!$AM$7+'TUSD BF'!$AM$7+'TUSD CVA'!$AM$7)*1</f>
        <v>90.517043596118782</v>
      </c>
      <c r="AA11" s="6"/>
      <c r="AB11" s="6">
        <f>$K$11*$V$11</f>
        <v>138600</v>
      </c>
      <c r="AC11" s="6">
        <f>$M$11*$W$11</f>
        <v>0</v>
      </c>
      <c r="AD11" s="6">
        <f>$O$11*$X$11</f>
        <v>0</v>
      </c>
      <c r="AE11" s="6">
        <f ca="1">$K$11*$Y$11</f>
        <v>159178.15958146658</v>
      </c>
      <c r="AF11" s="6">
        <f ca="1">$M$11*$Z$11</f>
        <v>0</v>
      </c>
      <c r="AG11" s="6">
        <f>$O$11*$AA$11</f>
        <v>0</v>
      </c>
      <c r="AI11" s="35" t="s">
        <v>87</v>
      </c>
      <c r="AJ11" s="36">
        <f>+$AJ$6+$AJ$7+$AJ$8+$AJ$9</f>
        <v>58294720.911849447</v>
      </c>
      <c r="AK11" s="36">
        <f ca="1">+$AK$6+$AK$7+$AK$8+$AK$9</f>
        <v>76207810.124015495</v>
      </c>
      <c r="AL11" s="37">
        <f t="shared" ca="1" si="2"/>
        <v>0.30728492961229525</v>
      </c>
      <c r="AN11" s="35" t="s">
        <v>87</v>
      </c>
      <c r="AO11" s="36">
        <f>+$AO$6+$AO$7+$AO$8+$AO$9</f>
        <v>57271274.922307819</v>
      </c>
      <c r="AP11" s="36">
        <f>+$AP$6+$AP$7+$AP$8+$AP$9</f>
        <v>61749601.118875921</v>
      </c>
      <c r="AQ11" s="37">
        <f t="shared" si="5"/>
        <v>7.8194979990287239E-2</v>
      </c>
      <c r="AS11" s="35" t="s">
        <v>87</v>
      </c>
      <c r="AT11" s="36">
        <f>+$AT$6+$AT$7+$AT$8+$AT$9</f>
        <v>115565995.83415729</v>
      </c>
      <c r="AU11" s="36">
        <f ca="1">+$AU$6+$AU$7+$AU$8+$AU$9</f>
        <v>137957411.2428914</v>
      </c>
      <c r="AV11" s="37">
        <f t="shared" ca="1" si="8"/>
        <v>0.1937543586858097</v>
      </c>
    </row>
    <row r="12" spans="1:48" ht="11.25" customHeight="1" x14ac:dyDescent="0.3">
      <c r="A12" s="4" t="s">
        <v>21</v>
      </c>
      <c r="B12" s="4" t="s">
        <v>54</v>
      </c>
      <c r="C12" s="4" t="s">
        <v>40</v>
      </c>
      <c r="D12" s="4" t="s">
        <v>38</v>
      </c>
      <c r="E12" s="4" t="s">
        <v>25</v>
      </c>
      <c r="F12" s="4" t="s">
        <v>25</v>
      </c>
      <c r="G12" s="4" t="s">
        <v>25</v>
      </c>
      <c r="H12" s="4" t="s">
        <v>35</v>
      </c>
      <c r="I12" s="5">
        <v>44805</v>
      </c>
      <c r="J12" s="6">
        <v>20000</v>
      </c>
      <c r="K12" s="6">
        <v>20000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55</v>
      </c>
      <c r="R12" s="4">
        <v>0</v>
      </c>
      <c r="S12" s="6">
        <v>19</v>
      </c>
      <c r="T12" s="6">
        <v>0</v>
      </c>
      <c r="U12" s="6">
        <v>0</v>
      </c>
      <c r="V12" s="6">
        <f>IF(ISERROR(VLOOKUP($S$12,'TAR FIN'!$A$1:$O$113,15,0)),0,VLOOKUP($S$12,'TAR FIN'!$A$1:$O$113,15,0))</f>
        <v>6.93</v>
      </c>
      <c r="W12" s="6">
        <f>IF(ISERROR(VLOOKUP($T$12,'TAR FIN'!$A$1:$O$113,15,0)),0,VLOOKUP($T$12,'TAR FIN'!$A$1:$O$113,15,0))</f>
        <v>0</v>
      </c>
      <c r="X12" s="6">
        <f>IF(ISERROR(VLOOKUP($U$12,'TAR FIN'!$A$1:$O$113,15,0)),0,VLOOKUP($U$12,'TAR FIN'!$A$1:$O$113,15,0))</f>
        <v>0</v>
      </c>
      <c r="Y12" s="6">
        <f ca="1">('TUSD BE'!$AM$6+'TUSD BF'!$AM$6+'TUSD CVA'!$AM$6)*1</f>
        <v>7.958907979073329</v>
      </c>
      <c r="Z12" s="6">
        <f ca="1">('TUSD BE'!$AM$7+'TUSD BF'!$AM$7+'TUSD CVA'!$AM$7)*1</f>
        <v>90.517043596118782</v>
      </c>
      <c r="AA12" s="6"/>
      <c r="AB12" s="6">
        <f>$K$12*$V$12</f>
        <v>138600</v>
      </c>
      <c r="AC12" s="6">
        <f>$M$12*$W$12</f>
        <v>0</v>
      </c>
      <c r="AD12" s="6">
        <f>$O$12*$X$12</f>
        <v>0</v>
      </c>
      <c r="AE12" s="6">
        <f ca="1">$K$12*$Y$12</f>
        <v>159178.15958146658</v>
      </c>
      <c r="AF12" s="6">
        <f ca="1">$M$12*$Z$12</f>
        <v>0</v>
      </c>
      <c r="AG12" s="6">
        <f>$O$12*$AA$12</f>
        <v>0</v>
      </c>
      <c r="AI12" s="35" t="s">
        <v>834</v>
      </c>
      <c r="AJ12" s="36">
        <f>AJ11+AJ10</f>
        <v>109906677.83099723</v>
      </c>
      <c r="AK12" s="36">
        <f ca="1">AK11+AK10</f>
        <v>149173673.69735089</v>
      </c>
      <c r="AL12" s="37">
        <f t="shared" ca="1" si="2"/>
        <v>0.35727579653289365</v>
      </c>
      <c r="AN12" s="35" t="s">
        <v>834</v>
      </c>
      <c r="AO12" s="36">
        <f>AO11+AO10</f>
        <v>76934882.319761992</v>
      </c>
      <c r="AP12" s="36">
        <f>AP11+AP10</f>
        <v>83045967.727308422</v>
      </c>
      <c r="AQ12" s="37">
        <f t="shared" si="5"/>
        <v>7.9431919868897971E-2</v>
      </c>
      <c r="AS12" s="35" t="s">
        <v>834</v>
      </c>
      <c r="AT12" s="36">
        <f>AT11+AT10</f>
        <v>186841560.15075925</v>
      </c>
      <c r="AU12" s="36">
        <f ca="1">AU11+AU10</f>
        <v>232219641.42465931</v>
      </c>
      <c r="AV12" s="37">
        <f t="shared" ca="1" si="8"/>
        <v>0.24286931257309807</v>
      </c>
    </row>
    <row r="13" spans="1:48" ht="11.25" customHeight="1" x14ac:dyDescent="0.3">
      <c r="A13" s="4" t="s">
        <v>53</v>
      </c>
      <c r="B13" s="4" t="s">
        <v>54</v>
      </c>
      <c r="C13" s="4" t="s">
        <v>40</v>
      </c>
      <c r="D13" s="4" t="s">
        <v>38</v>
      </c>
      <c r="E13" s="4" t="s">
        <v>25</v>
      </c>
      <c r="F13" s="4" t="s">
        <v>25</v>
      </c>
      <c r="G13" s="4" t="s">
        <v>25</v>
      </c>
      <c r="H13" s="4" t="s">
        <v>35</v>
      </c>
      <c r="I13" s="5">
        <v>44835</v>
      </c>
      <c r="J13" s="6">
        <v>20000</v>
      </c>
      <c r="K13" s="6">
        <v>20000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55</v>
      </c>
      <c r="R13" s="4">
        <v>0</v>
      </c>
      <c r="S13" s="6">
        <v>19</v>
      </c>
      <c r="T13" s="6">
        <v>0</v>
      </c>
      <c r="U13" s="6">
        <v>0</v>
      </c>
      <c r="V13" s="6">
        <f>IF(ISERROR(VLOOKUP($S$13,'TAR FIN'!$A$1:$O$113,15,0)),0,VLOOKUP($S$13,'TAR FIN'!$A$1:$O$113,15,0))</f>
        <v>6.93</v>
      </c>
      <c r="W13" s="6">
        <f>IF(ISERROR(VLOOKUP($T$13,'TAR FIN'!$A$1:$O$113,15,0)),0,VLOOKUP($T$13,'TAR FIN'!$A$1:$O$113,15,0))</f>
        <v>0</v>
      </c>
      <c r="X13" s="6">
        <f>IF(ISERROR(VLOOKUP($U$13,'TAR FIN'!$A$1:$O$113,15,0)),0,VLOOKUP($U$13,'TAR FIN'!$A$1:$O$113,15,0))</f>
        <v>0</v>
      </c>
      <c r="Y13" s="6">
        <f ca="1">('TUSD BE'!$AM$6+'TUSD BF'!$AM$6+'TUSD CVA'!$AM$6)*1</f>
        <v>7.958907979073329</v>
      </c>
      <c r="Z13" s="6">
        <f ca="1">('TUSD BE'!$AM$7+'TUSD BF'!$AM$7+'TUSD CVA'!$AM$7)*1</f>
        <v>90.517043596118782</v>
      </c>
      <c r="AA13" s="6"/>
      <c r="AB13" s="6">
        <f>$K$13*$V$13</f>
        <v>138600</v>
      </c>
      <c r="AC13" s="6">
        <f>$M$13*$W$13</f>
        <v>0</v>
      </c>
      <c r="AD13" s="6">
        <f>$O$13*$X$13</f>
        <v>0</v>
      </c>
      <c r="AE13" s="6">
        <f ca="1">$K$13*$Y$13</f>
        <v>159178.15958146658</v>
      </c>
      <c r="AF13" s="6">
        <f ca="1">$M$13*$Z$13</f>
        <v>0</v>
      </c>
      <c r="AG13" s="6">
        <f>$O$13*$AA$13</f>
        <v>0</v>
      </c>
    </row>
    <row r="14" spans="1:48" ht="11.25" customHeight="1" x14ac:dyDescent="0.3">
      <c r="A14" s="4" t="s">
        <v>21</v>
      </c>
      <c r="B14" s="4" t="s">
        <v>54</v>
      </c>
      <c r="C14" s="4" t="s">
        <v>40</v>
      </c>
      <c r="D14" s="4" t="s">
        <v>38</v>
      </c>
      <c r="E14" s="4" t="s">
        <v>25</v>
      </c>
      <c r="F14" s="4" t="s">
        <v>25</v>
      </c>
      <c r="G14" s="4" t="s">
        <v>25</v>
      </c>
      <c r="H14" s="4" t="s">
        <v>25</v>
      </c>
      <c r="I14" s="5">
        <v>44501</v>
      </c>
      <c r="J14" s="6">
        <v>0</v>
      </c>
      <c r="K14" s="6">
        <v>0</v>
      </c>
      <c r="L14" s="6">
        <v>10131.893</v>
      </c>
      <c r="M14" s="6">
        <v>10131.893</v>
      </c>
      <c r="N14" s="6">
        <v>0</v>
      </c>
      <c r="O14" s="6">
        <v>0</v>
      </c>
      <c r="P14" s="6">
        <v>2</v>
      </c>
      <c r="Q14" s="4" t="s">
        <v>55</v>
      </c>
      <c r="R14" s="4">
        <v>0</v>
      </c>
      <c r="S14" s="6">
        <v>0</v>
      </c>
      <c r="T14" s="6">
        <v>5</v>
      </c>
      <c r="U14" s="6">
        <v>0</v>
      </c>
      <c r="V14" s="6">
        <f>IF(ISERROR(VLOOKUP($S$14,'TAR FIN'!$A$1:$O$113,15,0)),0,VLOOKUP($S$14,'TAR FIN'!$A$1:$O$113,15,0))</f>
        <v>0</v>
      </c>
      <c r="W14" s="6">
        <f>IF(ISERROR(VLOOKUP($T$14,'TAR FIN'!$A$1:$O$113,15,0)),0,VLOOKUP($T$14,'TAR FIN'!$A$1:$O$113,15,0))</f>
        <v>53.89</v>
      </c>
      <c r="X14" s="6">
        <f>IF(ISERROR(VLOOKUP($U$14,'TAR FIN'!$A$1:$O$113,15,0)),0,VLOOKUP($U$14,'TAR FIN'!$A$1:$O$113,15,0))</f>
        <v>0</v>
      </c>
      <c r="Y14" s="6"/>
      <c r="Z14" s="6">
        <f ca="1">('TUSD BE'!$AM$7+'TUSD BF'!$AM$7+'TUSD CVA'!$AM$7)*1</f>
        <v>90.517043596118782</v>
      </c>
      <c r="AA14" s="6"/>
      <c r="AB14" s="6">
        <f>$K$14*$V$14</f>
        <v>0</v>
      </c>
      <c r="AC14" s="6">
        <f>$M$14*$W$14</f>
        <v>546007.71377000003</v>
      </c>
      <c r="AD14" s="6">
        <f>$O$14*$X$14</f>
        <v>0</v>
      </c>
      <c r="AE14" s="6">
        <f>$K$14*$Y$14</f>
        <v>0</v>
      </c>
      <c r="AF14" s="6">
        <f ca="1">$M$14*$Z$14</f>
        <v>917109.00039221067</v>
      </c>
      <c r="AG14" s="6">
        <f>$O$14*$AA$14</f>
        <v>0</v>
      </c>
    </row>
    <row r="15" spans="1:48" ht="11.25" customHeight="1" x14ac:dyDescent="0.3">
      <c r="A15" s="4" t="s">
        <v>21</v>
      </c>
      <c r="B15" s="4" t="s">
        <v>54</v>
      </c>
      <c r="C15" s="4" t="s">
        <v>40</v>
      </c>
      <c r="D15" s="4" t="s">
        <v>38</v>
      </c>
      <c r="E15" s="4" t="s">
        <v>25</v>
      </c>
      <c r="F15" s="4" t="s">
        <v>25</v>
      </c>
      <c r="G15" s="4" t="s">
        <v>25</v>
      </c>
      <c r="H15" s="4" t="s">
        <v>25</v>
      </c>
      <c r="I15" s="5">
        <v>44531</v>
      </c>
      <c r="J15" s="6">
        <v>0</v>
      </c>
      <c r="K15" s="6">
        <v>0</v>
      </c>
      <c r="L15" s="6">
        <v>10632.441000000001</v>
      </c>
      <c r="M15" s="6">
        <v>10632.441000000001</v>
      </c>
      <c r="N15" s="6">
        <v>0</v>
      </c>
      <c r="O15" s="6">
        <v>0</v>
      </c>
      <c r="P15" s="6">
        <v>2</v>
      </c>
      <c r="Q15" s="4" t="s">
        <v>55</v>
      </c>
      <c r="R15" s="4">
        <v>0</v>
      </c>
      <c r="S15" s="6">
        <v>0</v>
      </c>
      <c r="T15" s="6">
        <v>5</v>
      </c>
      <c r="U15" s="6">
        <v>0</v>
      </c>
      <c r="V15" s="6">
        <f>IF(ISERROR(VLOOKUP($S$15,'TAR FIN'!$A$1:$O$113,15,0)),0,VLOOKUP($S$15,'TAR FIN'!$A$1:$O$113,15,0))</f>
        <v>0</v>
      </c>
      <c r="W15" s="6">
        <f>IF(ISERROR(VLOOKUP($T$15,'TAR FIN'!$A$1:$O$113,15,0)),0,VLOOKUP($T$15,'TAR FIN'!$A$1:$O$113,15,0))</f>
        <v>53.89</v>
      </c>
      <c r="X15" s="6">
        <f>IF(ISERROR(VLOOKUP($U$15,'TAR FIN'!$A$1:$O$113,15,0)),0,VLOOKUP($U$15,'TAR FIN'!$A$1:$O$113,15,0))</f>
        <v>0</v>
      </c>
      <c r="Y15" s="6"/>
      <c r="Z15" s="6">
        <f ca="1">('TUSD BE'!$AM$7+'TUSD BF'!$AM$7+'TUSD CVA'!$AM$7)*1</f>
        <v>90.517043596118782</v>
      </c>
      <c r="AA15" s="6"/>
      <c r="AB15" s="6">
        <f>$K$15*$V$15</f>
        <v>0</v>
      </c>
      <c r="AC15" s="6">
        <f>$M$15*$W$15</f>
        <v>572982.24549</v>
      </c>
      <c r="AD15" s="6">
        <f>$O$15*$X$15</f>
        <v>0</v>
      </c>
      <c r="AE15" s="6">
        <f>$K$15*$Y$15</f>
        <v>0</v>
      </c>
      <c r="AF15" s="6">
        <f ca="1">$M$15*$Z$15</f>
        <v>962417.12553016085</v>
      </c>
      <c r="AG15" s="6">
        <f>$O$15*$AA$15</f>
        <v>0</v>
      </c>
    </row>
    <row r="16" spans="1:48" ht="11.25" customHeight="1" x14ac:dyDescent="0.3">
      <c r="A16" s="4" t="s">
        <v>21</v>
      </c>
      <c r="B16" s="4" t="s">
        <v>54</v>
      </c>
      <c r="C16" s="4" t="s">
        <v>40</v>
      </c>
      <c r="D16" s="4" t="s">
        <v>38</v>
      </c>
      <c r="E16" s="4" t="s">
        <v>25</v>
      </c>
      <c r="F16" s="4" t="s">
        <v>25</v>
      </c>
      <c r="G16" s="4" t="s">
        <v>25</v>
      </c>
      <c r="H16" s="4" t="s">
        <v>25</v>
      </c>
      <c r="I16" s="5">
        <v>44562</v>
      </c>
      <c r="J16" s="6">
        <v>0</v>
      </c>
      <c r="K16" s="6">
        <v>0</v>
      </c>
      <c r="L16" s="6">
        <v>9972.9570000000003</v>
      </c>
      <c r="M16" s="6">
        <v>9972.9570000000003</v>
      </c>
      <c r="N16" s="6">
        <v>0</v>
      </c>
      <c r="O16" s="6">
        <v>0</v>
      </c>
      <c r="P16" s="6">
        <v>2</v>
      </c>
      <c r="Q16" s="4" t="s">
        <v>55</v>
      </c>
      <c r="R16" s="4">
        <v>0</v>
      </c>
      <c r="S16" s="6">
        <v>0</v>
      </c>
      <c r="T16" s="6">
        <v>5</v>
      </c>
      <c r="U16" s="6">
        <v>0</v>
      </c>
      <c r="V16" s="6">
        <f>IF(ISERROR(VLOOKUP($S$16,'TAR FIN'!$A$1:$O$113,15,0)),0,VLOOKUP($S$16,'TAR FIN'!$A$1:$O$113,15,0))</f>
        <v>0</v>
      </c>
      <c r="W16" s="6">
        <f>IF(ISERROR(VLOOKUP($T$16,'TAR FIN'!$A$1:$O$113,15,0)),0,VLOOKUP($T$16,'TAR FIN'!$A$1:$O$113,15,0))</f>
        <v>53.89</v>
      </c>
      <c r="X16" s="6">
        <f>IF(ISERROR(VLOOKUP($U$16,'TAR FIN'!$A$1:$O$113,15,0)),0,VLOOKUP($U$16,'TAR FIN'!$A$1:$O$113,15,0))</f>
        <v>0</v>
      </c>
      <c r="Y16" s="6"/>
      <c r="Z16" s="6">
        <f ca="1">('TUSD BE'!$AM$7+'TUSD BF'!$AM$7+'TUSD CVA'!$AM$7)*1</f>
        <v>90.517043596118782</v>
      </c>
      <c r="AA16" s="6"/>
      <c r="AB16" s="6">
        <f>$K$16*$V$16</f>
        <v>0</v>
      </c>
      <c r="AC16" s="6">
        <f>$M$16*$W$16</f>
        <v>537442.65272999997</v>
      </c>
      <c r="AD16" s="6">
        <f>$O$16*$X$16</f>
        <v>0</v>
      </c>
      <c r="AE16" s="6">
        <f>$K$16*$Y$16</f>
        <v>0</v>
      </c>
      <c r="AF16" s="6">
        <f ca="1">$M$16*$Z$16</f>
        <v>902722.58355121803</v>
      </c>
      <c r="AG16" s="6">
        <f>$O$16*$AA$16</f>
        <v>0</v>
      </c>
    </row>
    <row r="17" spans="1:33" ht="11.25" customHeight="1" x14ac:dyDescent="0.3">
      <c r="A17" s="4" t="s">
        <v>21</v>
      </c>
      <c r="B17" s="4" t="s">
        <v>54</v>
      </c>
      <c r="C17" s="4" t="s">
        <v>40</v>
      </c>
      <c r="D17" s="4" t="s">
        <v>38</v>
      </c>
      <c r="E17" s="4" t="s">
        <v>25</v>
      </c>
      <c r="F17" s="4" t="s">
        <v>25</v>
      </c>
      <c r="G17" s="4" t="s">
        <v>25</v>
      </c>
      <c r="H17" s="4" t="s">
        <v>25</v>
      </c>
      <c r="I17" s="5">
        <v>44593</v>
      </c>
      <c r="J17" s="6">
        <v>0</v>
      </c>
      <c r="K17" s="6">
        <v>0</v>
      </c>
      <c r="L17" s="6">
        <v>9123.6839999999993</v>
      </c>
      <c r="M17" s="6">
        <v>9123.6839999999993</v>
      </c>
      <c r="N17" s="6">
        <v>0</v>
      </c>
      <c r="O17" s="6">
        <v>0</v>
      </c>
      <c r="P17" s="6">
        <v>2</v>
      </c>
      <c r="Q17" s="4" t="s">
        <v>55</v>
      </c>
      <c r="R17" s="4">
        <v>0</v>
      </c>
      <c r="S17" s="6">
        <v>0</v>
      </c>
      <c r="T17" s="6">
        <v>5</v>
      </c>
      <c r="U17" s="6">
        <v>0</v>
      </c>
      <c r="V17" s="6">
        <f>IF(ISERROR(VLOOKUP($S$17,'TAR FIN'!$A$1:$O$113,15,0)),0,VLOOKUP($S$17,'TAR FIN'!$A$1:$O$113,15,0))</f>
        <v>0</v>
      </c>
      <c r="W17" s="6">
        <f>IF(ISERROR(VLOOKUP($T$17,'TAR FIN'!$A$1:$O$113,15,0)),0,VLOOKUP($T$17,'TAR FIN'!$A$1:$O$113,15,0))</f>
        <v>53.89</v>
      </c>
      <c r="X17" s="6">
        <f>IF(ISERROR(VLOOKUP($U$17,'TAR FIN'!$A$1:$O$113,15,0)),0,VLOOKUP($U$17,'TAR FIN'!$A$1:$O$113,15,0))</f>
        <v>0</v>
      </c>
      <c r="Y17" s="6"/>
      <c r="Z17" s="6">
        <f ca="1">('TUSD BE'!$AM$7+'TUSD BF'!$AM$7+'TUSD CVA'!$AM$7)*1</f>
        <v>90.517043596118782</v>
      </c>
      <c r="AA17" s="6"/>
      <c r="AB17" s="6">
        <f>$K$17*$V$17</f>
        <v>0</v>
      </c>
      <c r="AC17" s="6">
        <f>$M$17*$W$17</f>
        <v>491675.33075999998</v>
      </c>
      <c r="AD17" s="6">
        <f>$O$17*$X$17</f>
        <v>0</v>
      </c>
      <c r="AE17" s="6">
        <f>$K$17*$Y$17</f>
        <v>0</v>
      </c>
      <c r="AF17" s="6">
        <f ca="1">$M$17*$Z$17</f>
        <v>825848.90238521132</v>
      </c>
      <c r="AG17" s="6">
        <f>$O$17*$AA$17</f>
        <v>0</v>
      </c>
    </row>
    <row r="18" spans="1:33" ht="11.25" customHeight="1" x14ac:dyDescent="0.3">
      <c r="A18" s="4" t="s">
        <v>21</v>
      </c>
      <c r="B18" s="4" t="s">
        <v>54</v>
      </c>
      <c r="C18" s="4" t="s">
        <v>40</v>
      </c>
      <c r="D18" s="4" t="s">
        <v>38</v>
      </c>
      <c r="E18" s="4" t="s">
        <v>25</v>
      </c>
      <c r="F18" s="4" t="s">
        <v>25</v>
      </c>
      <c r="G18" s="4" t="s">
        <v>25</v>
      </c>
      <c r="H18" s="4" t="s">
        <v>25</v>
      </c>
      <c r="I18" s="5">
        <v>44621</v>
      </c>
      <c r="J18" s="6">
        <v>0</v>
      </c>
      <c r="K18" s="6">
        <v>0</v>
      </c>
      <c r="L18" s="6">
        <v>9503.9590000000007</v>
      </c>
      <c r="M18" s="6">
        <v>9503.9590000000007</v>
      </c>
      <c r="N18" s="6">
        <v>0</v>
      </c>
      <c r="O18" s="6">
        <v>0</v>
      </c>
      <c r="P18" s="6">
        <v>2</v>
      </c>
      <c r="Q18" s="4" t="s">
        <v>55</v>
      </c>
      <c r="R18" s="4">
        <v>0</v>
      </c>
      <c r="S18" s="6">
        <v>0</v>
      </c>
      <c r="T18" s="6">
        <v>5</v>
      </c>
      <c r="U18" s="6">
        <v>0</v>
      </c>
      <c r="V18" s="6">
        <f>IF(ISERROR(VLOOKUP($S$18,'TAR FIN'!$A$1:$O$113,15,0)),0,VLOOKUP($S$18,'TAR FIN'!$A$1:$O$113,15,0))</f>
        <v>0</v>
      </c>
      <c r="W18" s="6">
        <f>IF(ISERROR(VLOOKUP($T$18,'TAR FIN'!$A$1:$O$113,15,0)),0,VLOOKUP($T$18,'TAR FIN'!$A$1:$O$113,15,0))</f>
        <v>53.89</v>
      </c>
      <c r="X18" s="6">
        <f>IF(ISERROR(VLOOKUP($U$18,'TAR FIN'!$A$1:$O$113,15,0)),0,VLOOKUP($U$18,'TAR FIN'!$A$1:$O$113,15,0))</f>
        <v>0</v>
      </c>
      <c r="Y18" s="6"/>
      <c r="Z18" s="6">
        <f ca="1">('TUSD BE'!$AM$7+'TUSD BF'!$AM$7+'TUSD CVA'!$AM$7)*1</f>
        <v>90.517043596118782</v>
      </c>
      <c r="AA18" s="6"/>
      <c r="AB18" s="6">
        <f>$K$18*$V$18</f>
        <v>0</v>
      </c>
      <c r="AC18" s="6">
        <f>$M$18*$W$18</f>
        <v>512168.35051000002</v>
      </c>
      <c r="AD18" s="6">
        <f>$O$18*$X$18</f>
        <v>0</v>
      </c>
      <c r="AE18" s="6">
        <f>$K$18*$Y$18</f>
        <v>0</v>
      </c>
      <c r="AF18" s="6">
        <f ca="1">$M$18*$Z$18</f>
        <v>860270.27113872557</v>
      </c>
      <c r="AG18" s="6">
        <f>$O$18*$AA$18</f>
        <v>0</v>
      </c>
    </row>
    <row r="19" spans="1:33" ht="11.25" customHeight="1" x14ac:dyDescent="0.3">
      <c r="A19" s="4" t="s">
        <v>21</v>
      </c>
      <c r="B19" s="4" t="s">
        <v>54</v>
      </c>
      <c r="C19" s="4" t="s">
        <v>40</v>
      </c>
      <c r="D19" s="4" t="s">
        <v>38</v>
      </c>
      <c r="E19" s="4" t="s">
        <v>25</v>
      </c>
      <c r="F19" s="4" t="s">
        <v>25</v>
      </c>
      <c r="G19" s="4" t="s">
        <v>25</v>
      </c>
      <c r="H19" s="4" t="s">
        <v>25</v>
      </c>
      <c r="I19" s="5">
        <v>44652</v>
      </c>
      <c r="J19" s="6">
        <v>0</v>
      </c>
      <c r="K19" s="6">
        <v>0</v>
      </c>
      <c r="L19" s="6">
        <v>10428.375</v>
      </c>
      <c r="M19" s="6">
        <v>10428.375</v>
      </c>
      <c r="N19" s="6">
        <v>0</v>
      </c>
      <c r="O19" s="6">
        <v>0</v>
      </c>
      <c r="P19" s="6">
        <v>2</v>
      </c>
      <c r="Q19" s="4" t="s">
        <v>55</v>
      </c>
      <c r="R19" s="4">
        <v>0</v>
      </c>
      <c r="S19" s="6">
        <v>0</v>
      </c>
      <c r="T19" s="6">
        <v>5</v>
      </c>
      <c r="U19" s="6">
        <v>0</v>
      </c>
      <c r="V19" s="6">
        <f>IF(ISERROR(VLOOKUP($S$19,'TAR FIN'!$A$1:$O$113,15,0)),0,VLOOKUP($S$19,'TAR FIN'!$A$1:$O$113,15,0))</f>
        <v>0</v>
      </c>
      <c r="W19" s="6">
        <f>IF(ISERROR(VLOOKUP($T$19,'TAR FIN'!$A$1:$O$113,15,0)),0,VLOOKUP($T$19,'TAR FIN'!$A$1:$O$113,15,0))</f>
        <v>53.89</v>
      </c>
      <c r="X19" s="6">
        <f>IF(ISERROR(VLOOKUP($U$19,'TAR FIN'!$A$1:$O$113,15,0)),0,VLOOKUP($U$19,'TAR FIN'!$A$1:$O$113,15,0))</f>
        <v>0</v>
      </c>
      <c r="Y19" s="6"/>
      <c r="Z19" s="6">
        <f ca="1">('TUSD BE'!$AM$7+'TUSD BF'!$AM$7+'TUSD CVA'!$AM$7)*1</f>
        <v>90.517043596118782</v>
      </c>
      <c r="AA19" s="6"/>
      <c r="AB19" s="6">
        <f>$K$19*$V$19</f>
        <v>0</v>
      </c>
      <c r="AC19" s="6">
        <f>$M$19*$W$19</f>
        <v>561985.12875000003</v>
      </c>
      <c r="AD19" s="6">
        <f>$O$19*$X$19</f>
        <v>0</v>
      </c>
      <c r="AE19" s="6">
        <f>$K$19*$Y$19</f>
        <v>0</v>
      </c>
      <c r="AF19" s="6">
        <f ca="1">$M$19*$Z$19</f>
        <v>943945.67451167526</v>
      </c>
      <c r="AG19" s="6">
        <f>$O$19*$AA$19</f>
        <v>0</v>
      </c>
    </row>
    <row r="20" spans="1:33" ht="11.25" customHeight="1" x14ac:dyDescent="0.3">
      <c r="A20" s="4" t="s">
        <v>21</v>
      </c>
      <c r="B20" s="4" t="s">
        <v>54</v>
      </c>
      <c r="C20" s="4" t="s">
        <v>40</v>
      </c>
      <c r="D20" s="4" t="s">
        <v>38</v>
      </c>
      <c r="E20" s="4" t="s">
        <v>25</v>
      </c>
      <c r="F20" s="4" t="s">
        <v>25</v>
      </c>
      <c r="G20" s="4" t="s">
        <v>25</v>
      </c>
      <c r="H20" s="4" t="s">
        <v>25</v>
      </c>
      <c r="I20" s="5">
        <v>44682</v>
      </c>
      <c r="J20" s="6">
        <v>0</v>
      </c>
      <c r="K20" s="6">
        <v>0</v>
      </c>
      <c r="L20" s="6">
        <v>10358.606</v>
      </c>
      <c r="M20" s="6">
        <v>10358.606</v>
      </c>
      <c r="N20" s="6">
        <v>0</v>
      </c>
      <c r="O20" s="6">
        <v>0</v>
      </c>
      <c r="P20" s="6">
        <v>2</v>
      </c>
      <c r="Q20" s="4" t="s">
        <v>55</v>
      </c>
      <c r="R20" s="4">
        <v>0</v>
      </c>
      <c r="S20" s="6">
        <v>0</v>
      </c>
      <c r="T20" s="6">
        <v>5</v>
      </c>
      <c r="U20" s="6">
        <v>0</v>
      </c>
      <c r="V20" s="6">
        <f>IF(ISERROR(VLOOKUP($S$20,'TAR FIN'!$A$1:$O$113,15,0)),0,VLOOKUP($S$20,'TAR FIN'!$A$1:$O$113,15,0))</f>
        <v>0</v>
      </c>
      <c r="W20" s="6">
        <f>IF(ISERROR(VLOOKUP($T$20,'TAR FIN'!$A$1:$O$113,15,0)),0,VLOOKUP($T$20,'TAR FIN'!$A$1:$O$113,15,0))</f>
        <v>53.89</v>
      </c>
      <c r="X20" s="6">
        <f>IF(ISERROR(VLOOKUP($U$20,'TAR FIN'!$A$1:$O$113,15,0)),0,VLOOKUP($U$20,'TAR FIN'!$A$1:$O$113,15,0))</f>
        <v>0</v>
      </c>
      <c r="Y20" s="6"/>
      <c r="Z20" s="6">
        <f ca="1">('TUSD BE'!$AM$7+'TUSD BF'!$AM$7+'TUSD CVA'!$AM$7)*1</f>
        <v>90.517043596118782</v>
      </c>
      <c r="AA20" s="6"/>
      <c r="AB20" s="6">
        <f>$K$20*$V$20</f>
        <v>0</v>
      </c>
      <c r="AC20" s="6">
        <f>$M$20*$W$20</f>
        <v>558225.27734000003</v>
      </c>
      <c r="AD20" s="6">
        <f>$O$20*$X$20</f>
        <v>0</v>
      </c>
      <c r="AE20" s="6">
        <f>$K$20*$Y$20</f>
        <v>0</v>
      </c>
      <c r="AF20" s="6">
        <f ca="1">$M$20*$Z$20</f>
        <v>937630.39089701755</v>
      </c>
      <c r="AG20" s="6">
        <f>$O$20*$AA$20</f>
        <v>0</v>
      </c>
    </row>
    <row r="21" spans="1:33" ht="11.25" customHeight="1" x14ac:dyDescent="0.3">
      <c r="A21" s="4" t="s">
        <v>21</v>
      </c>
      <c r="B21" s="4" t="s">
        <v>54</v>
      </c>
      <c r="C21" s="4" t="s">
        <v>40</v>
      </c>
      <c r="D21" s="4" t="s">
        <v>38</v>
      </c>
      <c r="E21" s="4" t="s">
        <v>25</v>
      </c>
      <c r="F21" s="4" t="s">
        <v>25</v>
      </c>
      <c r="G21" s="4" t="s">
        <v>25</v>
      </c>
      <c r="H21" s="4" t="s">
        <v>25</v>
      </c>
      <c r="I21" s="5">
        <v>44713</v>
      </c>
      <c r="J21" s="6">
        <v>0</v>
      </c>
      <c r="K21" s="6">
        <v>0</v>
      </c>
      <c r="L21" s="6">
        <v>8996.8760000000002</v>
      </c>
      <c r="M21" s="6">
        <v>8996.8760000000002</v>
      </c>
      <c r="N21" s="6">
        <v>0</v>
      </c>
      <c r="O21" s="6">
        <v>0</v>
      </c>
      <c r="P21" s="6">
        <v>2</v>
      </c>
      <c r="Q21" s="4" t="s">
        <v>55</v>
      </c>
      <c r="R21" s="4">
        <v>0</v>
      </c>
      <c r="S21" s="6">
        <v>0</v>
      </c>
      <c r="T21" s="6">
        <v>5</v>
      </c>
      <c r="U21" s="6">
        <v>0</v>
      </c>
      <c r="V21" s="6">
        <f>IF(ISERROR(VLOOKUP($S$21,'TAR FIN'!$A$1:$O$113,15,0)),0,VLOOKUP($S$21,'TAR FIN'!$A$1:$O$113,15,0))</f>
        <v>0</v>
      </c>
      <c r="W21" s="6">
        <f>IF(ISERROR(VLOOKUP($T$21,'TAR FIN'!$A$1:$O$113,15,0)),0,VLOOKUP($T$21,'TAR FIN'!$A$1:$O$113,15,0))</f>
        <v>53.89</v>
      </c>
      <c r="X21" s="6">
        <f>IF(ISERROR(VLOOKUP($U$21,'TAR FIN'!$A$1:$O$113,15,0)),0,VLOOKUP($U$21,'TAR FIN'!$A$1:$O$113,15,0))</f>
        <v>0</v>
      </c>
      <c r="Y21" s="6"/>
      <c r="Z21" s="6">
        <f ca="1">('TUSD BE'!$AM$7+'TUSD BF'!$AM$7+'TUSD CVA'!$AM$7)*1</f>
        <v>90.517043596118782</v>
      </c>
      <c r="AA21" s="6"/>
      <c r="AB21" s="6">
        <f>$K$21*$V$21</f>
        <v>0</v>
      </c>
      <c r="AC21" s="6">
        <f>$M$21*$W$21</f>
        <v>484841.64764000004</v>
      </c>
      <c r="AD21" s="6">
        <f>$O$21*$X$21</f>
        <v>0</v>
      </c>
      <c r="AE21" s="6">
        <f>$K$21*$Y$21</f>
        <v>0</v>
      </c>
      <c r="AF21" s="6">
        <f ca="1">$M$21*$Z$21</f>
        <v>814370.61712087481</v>
      </c>
      <c r="AG21" s="6">
        <f>$O$21*$AA$21</f>
        <v>0</v>
      </c>
    </row>
    <row r="22" spans="1:33" ht="11.25" customHeight="1" x14ac:dyDescent="0.3">
      <c r="A22" s="4" t="s">
        <v>21</v>
      </c>
      <c r="B22" s="4" t="s">
        <v>54</v>
      </c>
      <c r="C22" s="4" t="s">
        <v>40</v>
      </c>
      <c r="D22" s="4" t="s">
        <v>38</v>
      </c>
      <c r="E22" s="4" t="s">
        <v>25</v>
      </c>
      <c r="F22" s="4" t="s">
        <v>25</v>
      </c>
      <c r="G22" s="4" t="s">
        <v>25</v>
      </c>
      <c r="H22" s="4" t="s">
        <v>25</v>
      </c>
      <c r="I22" s="5">
        <v>44743</v>
      </c>
      <c r="J22" s="6">
        <v>0</v>
      </c>
      <c r="K22" s="6">
        <v>0</v>
      </c>
      <c r="L22" s="6">
        <v>8481.1679999999997</v>
      </c>
      <c r="M22" s="6">
        <v>8481.1679999999997</v>
      </c>
      <c r="N22" s="6">
        <v>0</v>
      </c>
      <c r="O22" s="6">
        <v>0</v>
      </c>
      <c r="P22" s="6">
        <v>2</v>
      </c>
      <c r="Q22" s="4" t="s">
        <v>55</v>
      </c>
      <c r="R22" s="4">
        <v>0</v>
      </c>
      <c r="S22" s="6">
        <v>0</v>
      </c>
      <c r="T22" s="6">
        <v>5</v>
      </c>
      <c r="U22" s="6">
        <v>0</v>
      </c>
      <c r="V22" s="6">
        <f>IF(ISERROR(VLOOKUP($S$22,'TAR FIN'!$A$1:$O$113,15,0)),0,VLOOKUP($S$22,'TAR FIN'!$A$1:$O$113,15,0))</f>
        <v>0</v>
      </c>
      <c r="W22" s="6">
        <f>IF(ISERROR(VLOOKUP($T$22,'TAR FIN'!$A$1:$O$113,15,0)),0,VLOOKUP($T$22,'TAR FIN'!$A$1:$O$113,15,0))</f>
        <v>53.89</v>
      </c>
      <c r="X22" s="6">
        <f>IF(ISERROR(VLOOKUP($U$22,'TAR FIN'!$A$1:$O$113,15,0)),0,VLOOKUP($U$22,'TAR FIN'!$A$1:$O$113,15,0))</f>
        <v>0</v>
      </c>
      <c r="Y22" s="6"/>
      <c r="Z22" s="6">
        <f ca="1">('TUSD BE'!$AM$7+'TUSD BF'!$AM$7+'TUSD CVA'!$AM$7)*1</f>
        <v>90.517043596118782</v>
      </c>
      <c r="AA22" s="6"/>
      <c r="AB22" s="6">
        <f>$K$22*$V$22</f>
        <v>0</v>
      </c>
      <c r="AC22" s="6">
        <f>$M$22*$W$22</f>
        <v>457050.14351999998</v>
      </c>
      <c r="AD22" s="6">
        <f>$O$22*$X$22</f>
        <v>0</v>
      </c>
      <c r="AE22" s="6">
        <f>$K$22*$Y$22</f>
        <v>0</v>
      </c>
      <c r="AF22" s="6">
        <f ca="1">$M$22*$Z$22</f>
        <v>767690.25360200752</v>
      </c>
      <c r="AG22" s="6">
        <f>$O$22*$AA$22</f>
        <v>0</v>
      </c>
    </row>
    <row r="23" spans="1:33" ht="11.25" customHeight="1" x14ac:dyDescent="0.3">
      <c r="A23" s="4" t="s">
        <v>21</v>
      </c>
      <c r="B23" s="4" t="s">
        <v>54</v>
      </c>
      <c r="C23" s="4" t="s">
        <v>40</v>
      </c>
      <c r="D23" s="4" t="s">
        <v>38</v>
      </c>
      <c r="E23" s="4" t="s">
        <v>25</v>
      </c>
      <c r="F23" s="4" t="s">
        <v>25</v>
      </c>
      <c r="G23" s="4" t="s">
        <v>25</v>
      </c>
      <c r="H23" s="4" t="s">
        <v>25</v>
      </c>
      <c r="I23" s="5">
        <v>44774</v>
      </c>
      <c r="J23" s="6">
        <v>0</v>
      </c>
      <c r="K23" s="6">
        <v>0</v>
      </c>
      <c r="L23" s="6">
        <v>9729.9449999999997</v>
      </c>
      <c r="M23" s="6">
        <v>9729.9449999999997</v>
      </c>
      <c r="N23" s="6">
        <v>0</v>
      </c>
      <c r="O23" s="6">
        <v>0</v>
      </c>
      <c r="P23" s="6">
        <v>2</v>
      </c>
      <c r="Q23" s="4" t="s">
        <v>55</v>
      </c>
      <c r="R23" s="4">
        <v>0</v>
      </c>
      <c r="S23" s="6">
        <v>0</v>
      </c>
      <c r="T23" s="6">
        <v>5</v>
      </c>
      <c r="U23" s="6">
        <v>0</v>
      </c>
      <c r="V23" s="6">
        <f>IF(ISERROR(VLOOKUP($S$23,'TAR FIN'!$A$1:$O$113,15,0)),0,VLOOKUP($S$23,'TAR FIN'!$A$1:$O$113,15,0))</f>
        <v>0</v>
      </c>
      <c r="W23" s="6">
        <f>IF(ISERROR(VLOOKUP($T$23,'TAR FIN'!$A$1:$O$113,15,0)),0,VLOOKUP($T$23,'TAR FIN'!$A$1:$O$113,15,0))</f>
        <v>53.89</v>
      </c>
      <c r="X23" s="6">
        <f>IF(ISERROR(VLOOKUP($U$23,'TAR FIN'!$A$1:$O$113,15,0)),0,VLOOKUP($U$23,'TAR FIN'!$A$1:$O$113,15,0))</f>
        <v>0</v>
      </c>
      <c r="Y23" s="6"/>
      <c r="Z23" s="6">
        <f ca="1">('TUSD BE'!$AM$7+'TUSD BF'!$AM$7+'TUSD CVA'!$AM$7)*1</f>
        <v>90.517043596118782</v>
      </c>
      <c r="AA23" s="6"/>
      <c r="AB23" s="6">
        <f>$K$23*$V$23</f>
        <v>0</v>
      </c>
      <c r="AC23" s="6">
        <f>$M$23*$W$23</f>
        <v>524346.73604999995</v>
      </c>
      <c r="AD23" s="6">
        <f>$O$23*$X$23</f>
        <v>0</v>
      </c>
      <c r="AE23" s="6">
        <f>$K$23*$Y$23</f>
        <v>0</v>
      </c>
      <c r="AF23" s="6">
        <f ca="1">$M$23*$Z$23</f>
        <v>880725.85575283796</v>
      </c>
      <c r="AG23" s="6">
        <f>$O$23*$AA$23</f>
        <v>0</v>
      </c>
    </row>
    <row r="24" spans="1:33" ht="11.25" customHeight="1" x14ac:dyDescent="0.3">
      <c r="A24" s="4" t="s">
        <v>21</v>
      </c>
      <c r="B24" s="4" t="s">
        <v>54</v>
      </c>
      <c r="C24" s="4" t="s">
        <v>40</v>
      </c>
      <c r="D24" s="4" t="s">
        <v>38</v>
      </c>
      <c r="E24" s="4" t="s">
        <v>25</v>
      </c>
      <c r="F24" s="4" t="s">
        <v>25</v>
      </c>
      <c r="G24" s="4" t="s">
        <v>25</v>
      </c>
      <c r="H24" s="4" t="s">
        <v>25</v>
      </c>
      <c r="I24" s="5">
        <v>44805</v>
      </c>
      <c r="J24" s="6">
        <v>0</v>
      </c>
      <c r="K24" s="6">
        <v>0</v>
      </c>
      <c r="L24" s="6">
        <v>10177.634</v>
      </c>
      <c r="M24" s="6">
        <v>10177.634</v>
      </c>
      <c r="N24" s="6">
        <v>0</v>
      </c>
      <c r="O24" s="6">
        <v>0</v>
      </c>
      <c r="P24" s="6">
        <v>2</v>
      </c>
      <c r="Q24" s="4" t="s">
        <v>55</v>
      </c>
      <c r="R24" s="4">
        <v>0</v>
      </c>
      <c r="S24" s="6">
        <v>0</v>
      </c>
      <c r="T24" s="6">
        <v>5</v>
      </c>
      <c r="U24" s="6">
        <v>0</v>
      </c>
      <c r="V24" s="6">
        <f>IF(ISERROR(VLOOKUP($S$24,'TAR FIN'!$A$1:$O$113,15,0)),0,VLOOKUP($S$24,'TAR FIN'!$A$1:$O$113,15,0))</f>
        <v>0</v>
      </c>
      <c r="W24" s="6">
        <f>IF(ISERROR(VLOOKUP($T$24,'TAR FIN'!$A$1:$O$113,15,0)),0,VLOOKUP($T$24,'TAR FIN'!$A$1:$O$113,15,0))</f>
        <v>53.89</v>
      </c>
      <c r="X24" s="6">
        <f>IF(ISERROR(VLOOKUP($U$24,'TAR FIN'!$A$1:$O$113,15,0)),0,VLOOKUP($U$24,'TAR FIN'!$A$1:$O$113,15,0))</f>
        <v>0</v>
      </c>
      <c r="Y24" s="6"/>
      <c r="Z24" s="6">
        <f ca="1">('TUSD BE'!$AM$7+'TUSD BF'!$AM$7+'TUSD CVA'!$AM$7)*1</f>
        <v>90.517043596118782</v>
      </c>
      <c r="AA24" s="6"/>
      <c r="AB24" s="6">
        <f>$K$24*$V$24</f>
        <v>0</v>
      </c>
      <c r="AC24" s="6">
        <f>$M$24*$W$24</f>
        <v>548472.69626</v>
      </c>
      <c r="AD24" s="6">
        <f>$O$24*$X$24</f>
        <v>0</v>
      </c>
      <c r="AE24" s="6">
        <f>$K$24*$Y$24</f>
        <v>0</v>
      </c>
      <c r="AF24" s="6">
        <f ca="1">$M$24*$Z$24</f>
        <v>921249.34048334078</v>
      </c>
      <c r="AG24" s="6">
        <f>$O$24*$AA$24</f>
        <v>0</v>
      </c>
    </row>
    <row r="25" spans="1:33" ht="11.25" customHeight="1" x14ac:dyDescent="0.3">
      <c r="A25" s="4" t="s">
        <v>53</v>
      </c>
      <c r="B25" s="4" t="s">
        <v>54</v>
      </c>
      <c r="C25" s="4" t="s">
        <v>40</v>
      </c>
      <c r="D25" s="4" t="s">
        <v>38</v>
      </c>
      <c r="E25" s="4" t="s">
        <v>25</v>
      </c>
      <c r="F25" s="4" t="s">
        <v>25</v>
      </c>
      <c r="G25" s="4" t="s">
        <v>25</v>
      </c>
      <c r="H25" s="4" t="s">
        <v>25</v>
      </c>
      <c r="I25" s="5">
        <v>44835</v>
      </c>
      <c r="J25" s="6">
        <v>0</v>
      </c>
      <c r="K25" s="6">
        <v>0</v>
      </c>
      <c r="L25" s="6">
        <v>10177.634</v>
      </c>
      <c r="M25" s="6">
        <v>10177.634</v>
      </c>
      <c r="N25" s="6">
        <v>0</v>
      </c>
      <c r="O25" s="6">
        <v>0</v>
      </c>
      <c r="P25" s="6">
        <v>2</v>
      </c>
      <c r="Q25" s="4" t="s">
        <v>55</v>
      </c>
      <c r="R25" s="4">
        <v>0</v>
      </c>
      <c r="S25" s="6">
        <v>0</v>
      </c>
      <c r="T25" s="6">
        <v>5</v>
      </c>
      <c r="U25" s="6">
        <v>0</v>
      </c>
      <c r="V25" s="6">
        <f>IF(ISERROR(VLOOKUP($S$25,'TAR FIN'!$A$1:$O$113,15,0)),0,VLOOKUP($S$25,'TAR FIN'!$A$1:$O$113,15,0))</f>
        <v>0</v>
      </c>
      <c r="W25" s="6">
        <f>IF(ISERROR(VLOOKUP($T$25,'TAR FIN'!$A$1:$O$113,15,0)),0,VLOOKUP($T$25,'TAR FIN'!$A$1:$O$113,15,0))</f>
        <v>53.89</v>
      </c>
      <c r="X25" s="6">
        <f>IF(ISERROR(VLOOKUP($U$25,'TAR FIN'!$A$1:$O$113,15,0)),0,VLOOKUP($U$25,'TAR FIN'!$A$1:$O$113,15,0))</f>
        <v>0</v>
      </c>
      <c r="Y25" s="6"/>
      <c r="Z25" s="6">
        <f ca="1">('TUSD BE'!$AM$7+'TUSD BF'!$AM$7+'TUSD CVA'!$AM$7)*1</f>
        <v>90.517043596118782</v>
      </c>
      <c r="AA25" s="6"/>
      <c r="AB25" s="6">
        <f>$K$25*$V$25</f>
        <v>0</v>
      </c>
      <c r="AC25" s="6">
        <f>$M$25*$W$25</f>
        <v>548472.69626</v>
      </c>
      <c r="AD25" s="6">
        <f>$O$25*$X$25</f>
        <v>0</v>
      </c>
      <c r="AE25" s="6">
        <f>$K$25*$Y$25</f>
        <v>0</v>
      </c>
      <c r="AF25" s="6">
        <f ca="1">$M$25*$Z$25</f>
        <v>921249.34048334078</v>
      </c>
      <c r="AG25" s="6">
        <f>$O$25*$AA$25</f>
        <v>0</v>
      </c>
    </row>
    <row r="26" spans="1:33" ht="11.25" customHeight="1" x14ac:dyDescent="0.3">
      <c r="A26" s="4" t="s">
        <v>21</v>
      </c>
      <c r="B26" s="4" t="s">
        <v>54</v>
      </c>
      <c r="C26" s="4" t="s">
        <v>40</v>
      </c>
      <c r="D26" s="4" t="s">
        <v>38</v>
      </c>
      <c r="E26" s="4" t="s">
        <v>25</v>
      </c>
      <c r="F26" s="4" t="s">
        <v>25</v>
      </c>
      <c r="G26" s="4" t="s">
        <v>25</v>
      </c>
      <c r="H26" s="4" t="s">
        <v>34</v>
      </c>
      <c r="I26" s="5">
        <v>44501</v>
      </c>
      <c r="J26" s="6">
        <v>3738</v>
      </c>
      <c r="K26" s="6">
        <v>3738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55</v>
      </c>
      <c r="R26" s="4">
        <v>0</v>
      </c>
      <c r="S26" s="6">
        <v>16</v>
      </c>
      <c r="T26" s="6">
        <v>0</v>
      </c>
      <c r="U26" s="6">
        <v>0</v>
      </c>
      <c r="V26" s="6">
        <f>IF(ISERROR(VLOOKUP($S$26,'TAR FIN'!$A$1:$O$113,15,0)),0,VLOOKUP($S$26,'TAR FIN'!$A$1:$O$113,15,0))</f>
        <v>18.52</v>
      </c>
      <c r="W26" s="6">
        <f>IF(ISERROR(VLOOKUP($T$26,'TAR FIN'!$A$1:$O$113,15,0)),0,VLOOKUP($T$26,'TAR FIN'!$A$1:$O$113,15,0))</f>
        <v>0</v>
      </c>
      <c r="X26" s="6">
        <f>IF(ISERROR(VLOOKUP($U$26,'TAR FIN'!$A$1:$O$113,15,0)),0,VLOOKUP($U$26,'TAR FIN'!$A$1:$O$113,15,0))</f>
        <v>0</v>
      </c>
      <c r="Y26" s="6">
        <f ca="1">('TUSD BE'!$AM$5+'TUSD BF'!$AM$5+'TUSD CVA'!$AM$5)*1</f>
        <v>21.236311686349524</v>
      </c>
      <c r="Z26" s="6">
        <f ca="1">('TUSD BE'!$AM$7+'TUSD BF'!$AM$7+'TUSD CVA'!$AM$7)*1</f>
        <v>90.517043596118782</v>
      </c>
      <c r="AA26" s="6"/>
      <c r="AB26" s="6">
        <f>$K$26*$V$26</f>
        <v>69227.759999999995</v>
      </c>
      <c r="AC26" s="6">
        <f>$M$26*$W$26</f>
        <v>0</v>
      </c>
      <c r="AD26" s="6">
        <f>$O$26*$X$26</f>
        <v>0</v>
      </c>
      <c r="AE26" s="6">
        <f ca="1">$K$26*$Y$26</f>
        <v>79381.333083574515</v>
      </c>
      <c r="AF26" s="6">
        <f ca="1">$M$26*$Z$26</f>
        <v>0</v>
      </c>
      <c r="AG26" s="6">
        <f>$O$26*$AA$26</f>
        <v>0</v>
      </c>
    </row>
    <row r="27" spans="1:33" ht="11.25" customHeight="1" x14ac:dyDescent="0.3">
      <c r="A27" s="4" t="s">
        <v>21</v>
      </c>
      <c r="B27" s="4" t="s">
        <v>54</v>
      </c>
      <c r="C27" s="4" t="s">
        <v>40</v>
      </c>
      <c r="D27" s="4" t="s">
        <v>38</v>
      </c>
      <c r="E27" s="4" t="s">
        <v>25</v>
      </c>
      <c r="F27" s="4" t="s">
        <v>25</v>
      </c>
      <c r="G27" s="4" t="s">
        <v>25</v>
      </c>
      <c r="H27" s="4" t="s">
        <v>34</v>
      </c>
      <c r="I27" s="5">
        <v>44531</v>
      </c>
      <c r="J27" s="6">
        <v>3883</v>
      </c>
      <c r="K27" s="6">
        <v>3883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55</v>
      </c>
      <c r="R27" s="4">
        <v>0</v>
      </c>
      <c r="S27" s="6">
        <v>16</v>
      </c>
      <c r="T27" s="6">
        <v>0</v>
      </c>
      <c r="U27" s="6">
        <v>0</v>
      </c>
      <c r="V27" s="6">
        <f>IF(ISERROR(VLOOKUP($S$27,'TAR FIN'!$A$1:$O$113,15,0)),0,VLOOKUP($S$27,'TAR FIN'!$A$1:$O$113,15,0))</f>
        <v>18.52</v>
      </c>
      <c r="W27" s="6">
        <f>IF(ISERROR(VLOOKUP($T$27,'TAR FIN'!$A$1:$O$113,15,0)),0,VLOOKUP($T$27,'TAR FIN'!$A$1:$O$113,15,0))</f>
        <v>0</v>
      </c>
      <c r="X27" s="6">
        <f>IF(ISERROR(VLOOKUP($U$27,'TAR FIN'!$A$1:$O$113,15,0)),0,VLOOKUP($U$27,'TAR FIN'!$A$1:$O$113,15,0))</f>
        <v>0</v>
      </c>
      <c r="Y27" s="6">
        <f ca="1">('TUSD BE'!$AM$5+'TUSD BF'!$AM$5+'TUSD CVA'!$AM$5)*1</f>
        <v>21.236311686349524</v>
      </c>
      <c r="Z27" s="6">
        <f ca="1">('TUSD BE'!$AM$7+'TUSD BF'!$AM$7+'TUSD CVA'!$AM$7)*1</f>
        <v>90.517043596118782</v>
      </c>
      <c r="AA27" s="6"/>
      <c r="AB27" s="6">
        <f>$K$27*$V$27</f>
        <v>71913.16</v>
      </c>
      <c r="AC27" s="6">
        <f>$M$27*$W$27</f>
        <v>0</v>
      </c>
      <c r="AD27" s="6">
        <f>$O$27*$X$27</f>
        <v>0</v>
      </c>
      <c r="AE27" s="6">
        <f ca="1">$K$27*$Y$27</f>
        <v>82460.598278095204</v>
      </c>
      <c r="AF27" s="6">
        <f ca="1">$M$27*$Z$27</f>
        <v>0</v>
      </c>
      <c r="AG27" s="6">
        <f>$O$27*$AA$27</f>
        <v>0</v>
      </c>
    </row>
    <row r="28" spans="1:33" ht="11.25" customHeight="1" x14ac:dyDescent="0.3">
      <c r="A28" s="4" t="s">
        <v>21</v>
      </c>
      <c r="B28" s="4" t="s">
        <v>54</v>
      </c>
      <c r="C28" s="4" t="s">
        <v>40</v>
      </c>
      <c r="D28" s="4" t="s">
        <v>38</v>
      </c>
      <c r="E28" s="4" t="s">
        <v>25</v>
      </c>
      <c r="F28" s="4" t="s">
        <v>25</v>
      </c>
      <c r="G28" s="4" t="s">
        <v>25</v>
      </c>
      <c r="H28" s="4" t="s">
        <v>34</v>
      </c>
      <c r="I28" s="5">
        <v>44562</v>
      </c>
      <c r="J28" s="6">
        <v>3945</v>
      </c>
      <c r="K28" s="6">
        <v>3945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55</v>
      </c>
      <c r="R28" s="4">
        <v>0</v>
      </c>
      <c r="S28" s="6">
        <v>16</v>
      </c>
      <c r="T28" s="6">
        <v>0</v>
      </c>
      <c r="U28" s="6">
        <v>0</v>
      </c>
      <c r="V28" s="6">
        <f>IF(ISERROR(VLOOKUP($S$28,'TAR FIN'!$A$1:$O$113,15,0)),0,VLOOKUP($S$28,'TAR FIN'!$A$1:$O$113,15,0))</f>
        <v>18.52</v>
      </c>
      <c r="W28" s="6">
        <f>IF(ISERROR(VLOOKUP($T$28,'TAR FIN'!$A$1:$O$113,15,0)),0,VLOOKUP($T$28,'TAR FIN'!$A$1:$O$113,15,0))</f>
        <v>0</v>
      </c>
      <c r="X28" s="6">
        <f>IF(ISERROR(VLOOKUP($U$28,'TAR FIN'!$A$1:$O$113,15,0)),0,VLOOKUP($U$28,'TAR FIN'!$A$1:$O$113,15,0))</f>
        <v>0</v>
      </c>
      <c r="Y28" s="6">
        <f ca="1">('TUSD BE'!$AM$5+'TUSD BF'!$AM$5+'TUSD CVA'!$AM$5)*1</f>
        <v>21.236311686349524</v>
      </c>
      <c r="Z28" s="6">
        <f ca="1">('TUSD BE'!$AM$7+'TUSD BF'!$AM$7+'TUSD CVA'!$AM$7)*1</f>
        <v>90.517043596118782</v>
      </c>
      <c r="AA28" s="6"/>
      <c r="AB28" s="6">
        <f>$K$28*$V$28</f>
        <v>73061.399999999994</v>
      </c>
      <c r="AC28" s="6">
        <f>$M$28*$W$28</f>
        <v>0</v>
      </c>
      <c r="AD28" s="6">
        <f>$O$28*$X$28</f>
        <v>0</v>
      </c>
      <c r="AE28" s="6">
        <f ca="1">$K$28*$Y$28</f>
        <v>83777.249602648866</v>
      </c>
      <c r="AF28" s="6">
        <f ca="1">$M$28*$Z$28</f>
        <v>0</v>
      </c>
      <c r="AG28" s="6">
        <f>$O$28*$AA$28</f>
        <v>0</v>
      </c>
    </row>
    <row r="29" spans="1:33" ht="11.25" customHeight="1" x14ac:dyDescent="0.3">
      <c r="A29" s="4" t="s">
        <v>21</v>
      </c>
      <c r="B29" s="4" t="s">
        <v>54</v>
      </c>
      <c r="C29" s="4" t="s">
        <v>40</v>
      </c>
      <c r="D29" s="4" t="s">
        <v>38</v>
      </c>
      <c r="E29" s="4" t="s">
        <v>25</v>
      </c>
      <c r="F29" s="4" t="s">
        <v>25</v>
      </c>
      <c r="G29" s="4" t="s">
        <v>25</v>
      </c>
      <c r="H29" s="4" t="s">
        <v>34</v>
      </c>
      <c r="I29" s="5">
        <v>44593</v>
      </c>
      <c r="J29" s="6">
        <v>3794</v>
      </c>
      <c r="K29" s="6">
        <v>3794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55</v>
      </c>
      <c r="R29" s="4">
        <v>0</v>
      </c>
      <c r="S29" s="6">
        <v>16</v>
      </c>
      <c r="T29" s="6">
        <v>0</v>
      </c>
      <c r="U29" s="6">
        <v>0</v>
      </c>
      <c r="V29" s="6">
        <f>IF(ISERROR(VLOOKUP($S$29,'TAR FIN'!$A$1:$O$113,15,0)),0,VLOOKUP($S$29,'TAR FIN'!$A$1:$O$113,15,0))</f>
        <v>18.52</v>
      </c>
      <c r="W29" s="6">
        <f>IF(ISERROR(VLOOKUP($T$29,'TAR FIN'!$A$1:$O$113,15,0)),0,VLOOKUP($T$29,'TAR FIN'!$A$1:$O$113,15,0))</f>
        <v>0</v>
      </c>
      <c r="X29" s="6">
        <f>IF(ISERROR(VLOOKUP($U$29,'TAR FIN'!$A$1:$O$113,15,0)),0,VLOOKUP($U$29,'TAR FIN'!$A$1:$O$113,15,0))</f>
        <v>0</v>
      </c>
      <c r="Y29" s="6">
        <f ca="1">('TUSD BE'!$AM$5+'TUSD BF'!$AM$5+'TUSD CVA'!$AM$5)*1</f>
        <v>21.236311686349524</v>
      </c>
      <c r="Z29" s="6">
        <f ca="1">('TUSD BE'!$AM$7+'TUSD BF'!$AM$7+'TUSD CVA'!$AM$7)*1</f>
        <v>90.517043596118782</v>
      </c>
      <c r="AA29" s="6"/>
      <c r="AB29" s="6">
        <f>$K$29*$V$29</f>
        <v>70264.88</v>
      </c>
      <c r="AC29" s="6">
        <f>$M$29*$W$29</f>
        <v>0</v>
      </c>
      <c r="AD29" s="6">
        <f>$O$29*$X$29</f>
        <v>0</v>
      </c>
      <c r="AE29" s="6">
        <f ca="1">$K$29*$Y$29</f>
        <v>80570.566538010098</v>
      </c>
      <c r="AF29" s="6">
        <f ca="1">$M$29*$Z$29</f>
        <v>0</v>
      </c>
      <c r="AG29" s="6">
        <f>$O$29*$AA$29</f>
        <v>0</v>
      </c>
    </row>
    <row r="30" spans="1:33" ht="11.25" customHeight="1" x14ac:dyDescent="0.3">
      <c r="A30" s="4" t="s">
        <v>21</v>
      </c>
      <c r="B30" s="4" t="s">
        <v>54</v>
      </c>
      <c r="C30" s="4" t="s">
        <v>40</v>
      </c>
      <c r="D30" s="4" t="s">
        <v>38</v>
      </c>
      <c r="E30" s="4" t="s">
        <v>25</v>
      </c>
      <c r="F30" s="4" t="s">
        <v>25</v>
      </c>
      <c r="G30" s="4" t="s">
        <v>25</v>
      </c>
      <c r="H30" s="4" t="s">
        <v>34</v>
      </c>
      <c r="I30" s="5">
        <v>44621</v>
      </c>
      <c r="J30" s="6">
        <v>3700</v>
      </c>
      <c r="K30" s="6">
        <v>3700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55</v>
      </c>
      <c r="R30" s="4">
        <v>0</v>
      </c>
      <c r="S30" s="6">
        <v>16</v>
      </c>
      <c r="T30" s="6">
        <v>0</v>
      </c>
      <c r="U30" s="6">
        <v>0</v>
      </c>
      <c r="V30" s="6">
        <f>IF(ISERROR(VLOOKUP($S$30,'TAR FIN'!$A$1:$O$113,15,0)),0,VLOOKUP($S$30,'TAR FIN'!$A$1:$O$113,15,0))</f>
        <v>18.52</v>
      </c>
      <c r="W30" s="6">
        <f>IF(ISERROR(VLOOKUP($T$30,'TAR FIN'!$A$1:$O$113,15,0)),0,VLOOKUP($T$30,'TAR FIN'!$A$1:$O$113,15,0))</f>
        <v>0</v>
      </c>
      <c r="X30" s="6">
        <f>IF(ISERROR(VLOOKUP($U$30,'TAR FIN'!$A$1:$O$113,15,0)),0,VLOOKUP($U$30,'TAR FIN'!$A$1:$O$113,15,0))</f>
        <v>0</v>
      </c>
      <c r="Y30" s="6">
        <f ca="1">('TUSD BE'!$AM$5+'TUSD BF'!$AM$5+'TUSD CVA'!$AM$5)*1</f>
        <v>21.236311686349524</v>
      </c>
      <c r="Z30" s="6">
        <f ca="1">('TUSD BE'!$AM$7+'TUSD BF'!$AM$7+'TUSD CVA'!$AM$7)*1</f>
        <v>90.517043596118782</v>
      </c>
      <c r="AA30" s="6"/>
      <c r="AB30" s="6">
        <f>$K$30*$V$30</f>
        <v>68524</v>
      </c>
      <c r="AC30" s="6">
        <f>$M$30*$W$30</f>
        <v>0</v>
      </c>
      <c r="AD30" s="6">
        <f>$O$30*$X$30</f>
        <v>0</v>
      </c>
      <c r="AE30" s="6">
        <f ca="1">$K$30*$Y$30</f>
        <v>78574.353239493241</v>
      </c>
      <c r="AF30" s="6">
        <f ca="1">$M$30*$Z$30</f>
        <v>0</v>
      </c>
      <c r="AG30" s="6">
        <f>$O$30*$AA$30</f>
        <v>0</v>
      </c>
    </row>
    <row r="31" spans="1:33" ht="11.25" customHeight="1" x14ac:dyDescent="0.3">
      <c r="A31" s="4" t="s">
        <v>21</v>
      </c>
      <c r="B31" s="4" t="s">
        <v>54</v>
      </c>
      <c r="C31" s="4" t="s">
        <v>40</v>
      </c>
      <c r="D31" s="4" t="s">
        <v>38</v>
      </c>
      <c r="E31" s="4" t="s">
        <v>25</v>
      </c>
      <c r="F31" s="4" t="s">
        <v>25</v>
      </c>
      <c r="G31" s="4" t="s">
        <v>25</v>
      </c>
      <c r="H31" s="4" t="s">
        <v>34</v>
      </c>
      <c r="I31" s="5">
        <v>44652</v>
      </c>
      <c r="J31" s="6">
        <v>3700</v>
      </c>
      <c r="K31" s="6">
        <v>3700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55</v>
      </c>
      <c r="R31" s="4">
        <v>0</v>
      </c>
      <c r="S31" s="6">
        <v>16</v>
      </c>
      <c r="T31" s="6">
        <v>0</v>
      </c>
      <c r="U31" s="6">
        <v>0</v>
      </c>
      <c r="V31" s="6">
        <f>IF(ISERROR(VLOOKUP($S$31,'TAR FIN'!$A$1:$O$113,15,0)),0,VLOOKUP($S$31,'TAR FIN'!$A$1:$O$113,15,0))</f>
        <v>18.52</v>
      </c>
      <c r="W31" s="6">
        <f>IF(ISERROR(VLOOKUP($T$31,'TAR FIN'!$A$1:$O$113,15,0)),0,VLOOKUP($T$31,'TAR FIN'!$A$1:$O$113,15,0))</f>
        <v>0</v>
      </c>
      <c r="X31" s="6">
        <f>IF(ISERROR(VLOOKUP($U$31,'TAR FIN'!$A$1:$O$113,15,0)),0,VLOOKUP($U$31,'TAR FIN'!$A$1:$O$113,15,0))</f>
        <v>0</v>
      </c>
      <c r="Y31" s="6">
        <f ca="1">('TUSD BE'!$AM$5+'TUSD BF'!$AM$5+'TUSD CVA'!$AM$5)*1</f>
        <v>21.236311686349524</v>
      </c>
      <c r="Z31" s="6">
        <f ca="1">('TUSD BE'!$AM$7+'TUSD BF'!$AM$7+'TUSD CVA'!$AM$7)*1</f>
        <v>90.517043596118782</v>
      </c>
      <c r="AA31" s="6"/>
      <c r="AB31" s="6">
        <f>$K$31*$V$31</f>
        <v>68524</v>
      </c>
      <c r="AC31" s="6">
        <f>$M$31*$W$31</f>
        <v>0</v>
      </c>
      <c r="AD31" s="6">
        <f>$O$31*$X$31</f>
        <v>0</v>
      </c>
      <c r="AE31" s="6">
        <f ca="1">$K$31*$Y$31</f>
        <v>78574.353239493241</v>
      </c>
      <c r="AF31" s="6">
        <f ca="1">$M$31*$Z$31</f>
        <v>0</v>
      </c>
      <c r="AG31" s="6">
        <f>$O$31*$AA$31</f>
        <v>0</v>
      </c>
    </row>
    <row r="32" spans="1:33" ht="11.25" customHeight="1" x14ac:dyDescent="0.3">
      <c r="A32" s="4" t="s">
        <v>21</v>
      </c>
      <c r="B32" s="4" t="s">
        <v>54</v>
      </c>
      <c r="C32" s="4" t="s">
        <v>40</v>
      </c>
      <c r="D32" s="4" t="s">
        <v>38</v>
      </c>
      <c r="E32" s="4" t="s">
        <v>25</v>
      </c>
      <c r="F32" s="4" t="s">
        <v>25</v>
      </c>
      <c r="G32" s="4" t="s">
        <v>25</v>
      </c>
      <c r="H32" s="4" t="s">
        <v>34</v>
      </c>
      <c r="I32" s="5">
        <v>44682</v>
      </c>
      <c r="J32" s="6">
        <v>3700</v>
      </c>
      <c r="K32" s="6">
        <v>3700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55</v>
      </c>
      <c r="R32" s="4">
        <v>0</v>
      </c>
      <c r="S32" s="6">
        <v>16</v>
      </c>
      <c r="T32" s="6">
        <v>0</v>
      </c>
      <c r="U32" s="6">
        <v>0</v>
      </c>
      <c r="V32" s="6">
        <f>IF(ISERROR(VLOOKUP($S$32,'TAR FIN'!$A$1:$O$113,15,0)),0,VLOOKUP($S$32,'TAR FIN'!$A$1:$O$113,15,0))</f>
        <v>18.52</v>
      </c>
      <c r="W32" s="6">
        <f>IF(ISERROR(VLOOKUP($T$32,'TAR FIN'!$A$1:$O$113,15,0)),0,VLOOKUP($T$32,'TAR FIN'!$A$1:$O$113,15,0))</f>
        <v>0</v>
      </c>
      <c r="X32" s="6">
        <f>IF(ISERROR(VLOOKUP($U$32,'TAR FIN'!$A$1:$O$113,15,0)),0,VLOOKUP($U$32,'TAR FIN'!$A$1:$O$113,15,0))</f>
        <v>0</v>
      </c>
      <c r="Y32" s="6">
        <f ca="1">('TUSD BE'!$AM$5+'TUSD BF'!$AM$5+'TUSD CVA'!$AM$5)*1</f>
        <v>21.236311686349524</v>
      </c>
      <c r="Z32" s="6">
        <f ca="1">('TUSD BE'!$AM$7+'TUSD BF'!$AM$7+'TUSD CVA'!$AM$7)*1</f>
        <v>90.517043596118782</v>
      </c>
      <c r="AA32" s="6"/>
      <c r="AB32" s="6">
        <f>$K$32*$V$32</f>
        <v>68524</v>
      </c>
      <c r="AC32" s="6">
        <f>$M$32*$W$32</f>
        <v>0</v>
      </c>
      <c r="AD32" s="6">
        <f>$O$32*$X$32</f>
        <v>0</v>
      </c>
      <c r="AE32" s="6">
        <f ca="1">$K$32*$Y$32</f>
        <v>78574.353239493241</v>
      </c>
      <c r="AF32" s="6">
        <f ca="1">$M$32*$Z$32</f>
        <v>0</v>
      </c>
      <c r="AG32" s="6">
        <f>$O$32*$AA$32</f>
        <v>0</v>
      </c>
    </row>
    <row r="33" spans="1:33" ht="11.25" customHeight="1" x14ac:dyDescent="0.3">
      <c r="A33" s="4" t="s">
        <v>21</v>
      </c>
      <c r="B33" s="4" t="s">
        <v>54</v>
      </c>
      <c r="C33" s="4" t="s">
        <v>40</v>
      </c>
      <c r="D33" s="4" t="s">
        <v>38</v>
      </c>
      <c r="E33" s="4" t="s">
        <v>25</v>
      </c>
      <c r="F33" s="4" t="s">
        <v>25</v>
      </c>
      <c r="G33" s="4" t="s">
        <v>25</v>
      </c>
      <c r="H33" s="4" t="s">
        <v>34</v>
      </c>
      <c r="I33" s="5">
        <v>44713</v>
      </c>
      <c r="J33" s="6">
        <v>3717</v>
      </c>
      <c r="K33" s="6">
        <v>3717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55</v>
      </c>
      <c r="R33" s="4">
        <v>0</v>
      </c>
      <c r="S33" s="6">
        <v>16</v>
      </c>
      <c r="T33" s="6">
        <v>0</v>
      </c>
      <c r="U33" s="6">
        <v>0</v>
      </c>
      <c r="V33" s="6">
        <f>IF(ISERROR(VLOOKUP($S$33,'TAR FIN'!$A$1:$O$113,15,0)),0,VLOOKUP($S$33,'TAR FIN'!$A$1:$O$113,15,0))</f>
        <v>18.52</v>
      </c>
      <c r="W33" s="6">
        <f>IF(ISERROR(VLOOKUP($T$33,'TAR FIN'!$A$1:$O$113,15,0)),0,VLOOKUP($T$33,'TAR FIN'!$A$1:$O$113,15,0))</f>
        <v>0</v>
      </c>
      <c r="X33" s="6">
        <f>IF(ISERROR(VLOOKUP($U$33,'TAR FIN'!$A$1:$O$113,15,0)),0,VLOOKUP($U$33,'TAR FIN'!$A$1:$O$113,15,0))</f>
        <v>0</v>
      </c>
      <c r="Y33" s="6">
        <f ca="1">('TUSD BE'!$AM$5+'TUSD BF'!$AM$5+'TUSD CVA'!$AM$5)*1</f>
        <v>21.236311686349524</v>
      </c>
      <c r="Z33" s="6">
        <f ca="1">('TUSD BE'!$AM$7+'TUSD BF'!$AM$7+'TUSD CVA'!$AM$7)*1</f>
        <v>90.517043596118782</v>
      </c>
      <c r="AA33" s="6"/>
      <c r="AB33" s="6">
        <f>$K$33*$V$33</f>
        <v>68838.84</v>
      </c>
      <c r="AC33" s="6">
        <f>$M$33*$W$33</f>
        <v>0</v>
      </c>
      <c r="AD33" s="6">
        <f>$O$33*$X$33</f>
        <v>0</v>
      </c>
      <c r="AE33" s="6">
        <f ca="1">$K$33*$Y$33</f>
        <v>78935.37053816118</v>
      </c>
      <c r="AF33" s="6">
        <f ca="1">$M$33*$Z$33</f>
        <v>0</v>
      </c>
      <c r="AG33" s="6">
        <f>$O$33*$AA$33</f>
        <v>0</v>
      </c>
    </row>
    <row r="34" spans="1:33" ht="11.25" customHeight="1" x14ac:dyDescent="0.3">
      <c r="A34" s="4" t="s">
        <v>21</v>
      </c>
      <c r="B34" s="4" t="s">
        <v>54</v>
      </c>
      <c r="C34" s="4" t="s">
        <v>40</v>
      </c>
      <c r="D34" s="4" t="s">
        <v>38</v>
      </c>
      <c r="E34" s="4" t="s">
        <v>25</v>
      </c>
      <c r="F34" s="4" t="s">
        <v>25</v>
      </c>
      <c r="G34" s="4" t="s">
        <v>25</v>
      </c>
      <c r="H34" s="4" t="s">
        <v>34</v>
      </c>
      <c r="I34" s="5">
        <v>44743</v>
      </c>
      <c r="J34" s="6">
        <v>3706</v>
      </c>
      <c r="K34" s="6">
        <v>3706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55</v>
      </c>
      <c r="R34" s="4">
        <v>0</v>
      </c>
      <c r="S34" s="6">
        <v>16</v>
      </c>
      <c r="T34" s="6">
        <v>0</v>
      </c>
      <c r="U34" s="6">
        <v>0</v>
      </c>
      <c r="V34" s="6">
        <f>IF(ISERROR(VLOOKUP($S$34,'TAR FIN'!$A$1:$O$113,15,0)),0,VLOOKUP($S$34,'TAR FIN'!$A$1:$O$113,15,0))</f>
        <v>18.52</v>
      </c>
      <c r="W34" s="6">
        <f>IF(ISERROR(VLOOKUP($T$34,'TAR FIN'!$A$1:$O$113,15,0)),0,VLOOKUP($T$34,'TAR FIN'!$A$1:$O$113,15,0))</f>
        <v>0</v>
      </c>
      <c r="X34" s="6">
        <f>IF(ISERROR(VLOOKUP($U$34,'TAR FIN'!$A$1:$O$113,15,0)),0,VLOOKUP($U$34,'TAR FIN'!$A$1:$O$113,15,0))</f>
        <v>0</v>
      </c>
      <c r="Y34" s="6">
        <f ca="1">('TUSD BE'!$AM$5+'TUSD BF'!$AM$5+'TUSD CVA'!$AM$5)*1</f>
        <v>21.236311686349524</v>
      </c>
      <c r="Z34" s="6">
        <f ca="1">('TUSD BE'!$AM$7+'TUSD BF'!$AM$7+'TUSD CVA'!$AM$7)*1</f>
        <v>90.517043596118782</v>
      </c>
      <c r="AA34" s="6"/>
      <c r="AB34" s="6">
        <f>$K$34*$V$34</f>
        <v>68635.12</v>
      </c>
      <c r="AC34" s="6">
        <f>$M$34*$W$34</f>
        <v>0</v>
      </c>
      <c r="AD34" s="6">
        <f>$O$34*$X$34</f>
        <v>0</v>
      </c>
      <c r="AE34" s="6">
        <f ca="1">$K$34*$Y$34</f>
        <v>78701.771109611334</v>
      </c>
      <c r="AF34" s="6">
        <f ca="1">$M$34*$Z$34</f>
        <v>0</v>
      </c>
      <c r="AG34" s="6">
        <f>$O$34*$AA$34</f>
        <v>0</v>
      </c>
    </row>
    <row r="35" spans="1:33" ht="11.25" customHeight="1" x14ac:dyDescent="0.3">
      <c r="A35" s="4" t="s">
        <v>21</v>
      </c>
      <c r="B35" s="4" t="s">
        <v>54</v>
      </c>
      <c r="C35" s="4" t="s">
        <v>40</v>
      </c>
      <c r="D35" s="4" t="s">
        <v>38</v>
      </c>
      <c r="E35" s="4" t="s">
        <v>25</v>
      </c>
      <c r="F35" s="4" t="s">
        <v>25</v>
      </c>
      <c r="G35" s="4" t="s">
        <v>25</v>
      </c>
      <c r="H35" s="4" t="s">
        <v>34</v>
      </c>
      <c r="I35" s="5">
        <v>44774</v>
      </c>
      <c r="J35" s="6">
        <v>3741</v>
      </c>
      <c r="K35" s="6">
        <v>3741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55</v>
      </c>
      <c r="R35" s="4">
        <v>0</v>
      </c>
      <c r="S35" s="6">
        <v>16</v>
      </c>
      <c r="T35" s="6">
        <v>0</v>
      </c>
      <c r="U35" s="6">
        <v>0</v>
      </c>
      <c r="V35" s="6">
        <f>IF(ISERROR(VLOOKUP($S$35,'TAR FIN'!$A$1:$O$113,15,0)),0,VLOOKUP($S$35,'TAR FIN'!$A$1:$O$113,15,0))</f>
        <v>18.52</v>
      </c>
      <c r="W35" s="6">
        <f>IF(ISERROR(VLOOKUP($T$35,'TAR FIN'!$A$1:$O$113,15,0)),0,VLOOKUP($T$35,'TAR FIN'!$A$1:$O$113,15,0))</f>
        <v>0</v>
      </c>
      <c r="X35" s="6">
        <f>IF(ISERROR(VLOOKUP($U$35,'TAR FIN'!$A$1:$O$113,15,0)),0,VLOOKUP($U$35,'TAR FIN'!$A$1:$O$113,15,0))</f>
        <v>0</v>
      </c>
      <c r="Y35" s="6">
        <f ca="1">('TUSD BE'!$AM$5+'TUSD BF'!$AM$5+'TUSD CVA'!$AM$5)*1</f>
        <v>21.236311686349524</v>
      </c>
      <c r="Z35" s="6">
        <f ca="1">('TUSD BE'!$AM$7+'TUSD BF'!$AM$7+'TUSD CVA'!$AM$7)*1</f>
        <v>90.517043596118782</v>
      </c>
      <c r="AA35" s="6"/>
      <c r="AB35" s="6">
        <f>$K$35*$V$35</f>
        <v>69283.319999999992</v>
      </c>
      <c r="AC35" s="6">
        <f>$M$35*$W$35</f>
        <v>0</v>
      </c>
      <c r="AD35" s="6">
        <f>$O$35*$X$35</f>
        <v>0</v>
      </c>
      <c r="AE35" s="6">
        <f ca="1">$K$35*$Y$35</f>
        <v>79445.042018633569</v>
      </c>
      <c r="AF35" s="6">
        <f ca="1">$M$35*$Z$35</f>
        <v>0</v>
      </c>
      <c r="AG35" s="6">
        <f>$O$35*$AA$35</f>
        <v>0</v>
      </c>
    </row>
    <row r="36" spans="1:33" ht="11.25" customHeight="1" x14ac:dyDescent="0.3">
      <c r="A36" s="4" t="s">
        <v>21</v>
      </c>
      <c r="B36" s="4" t="s">
        <v>54</v>
      </c>
      <c r="C36" s="4" t="s">
        <v>40</v>
      </c>
      <c r="D36" s="4" t="s">
        <v>38</v>
      </c>
      <c r="E36" s="4" t="s">
        <v>25</v>
      </c>
      <c r="F36" s="4" t="s">
        <v>25</v>
      </c>
      <c r="G36" s="4" t="s">
        <v>25</v>
      </c>
      <c r="H36" s="4" t="s">
        <v>34</v>
      </c>
      <c r="I36" s="5">
        <v>44805</v>
      </c>
      <c r="J36" s="6">
        <v>3792</v>
      </c>
      <c r="K36" s="6">
        <v>3792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55</v>
      </c>
      <c r="R36" s="4">
        <v>0</v>
      </c>
      <c r="S36" s="6">
        <v>16</v>
      </c>
      <c r="T36" s="6">
        <v>0</v>
      </c>
      <c r="U36" s="6">
        <v>0</v>
      </c>
      <c r="V36" s="6">
        <f>IF(ISERROR(VLOOKUP($S$36,'TAR FIN'!$A$1:$O$113,15,0)),0,VLOOKUP($S$36,'TAR FIN'!$A$1:$O$113,15,0))</f>
        <v>18.52</v>
      </c>
      <c r="W36" s="6">
        <f>IF(ISERROR(VLOOKUP($T$36,'TAR FIN'!$A$1:$O$113,15,0)),0,VLOOKUP($T$36,'TAR FIN'!$A$1:$O$113,15,0))</f>
        <v>0</v>
      </c>
      <c r="X36" s="6">
        <f>IF(ISERROR(VLOOKUP($U$36,'TAR FIN'!$A$1:$O$113,15,0)),0,VLOOKUP($U$36,'TAR FIN'!$A$1:$O$113,15,0))</f>
        <v>0</v>
      </c>
      <c r="Y36" s="6">
        <f ca="1">('TUSD BE'!$AM$5+'TUSD BF'!$AM$5+'TUSD CVA'!$AM$5)*1</f>
        <v>21.236311686349524</v>
      </c>
      <c r="Z36" s="6">
        <f ca="1">('TUSD BE'!$AM$7+'TUSD BF'!$AM$7+'TUSD CVA'!$AM$7)*1</f>
        <v>90.517043596118782</v>
      </c>
      <c r="AA36" s="6"/>
      <c r="AB36" s="6">
        <f>$K$36*$V$36</f>
        <v>70227.839999999997</v>
      </c>
      <c r="AC36" s="6">
        <f>$M$36*$W$36</f>
        <v>0</v>
      </c>
      <c r="AD36" s="6">
        <f>$O$36*$X$36</f>
        <v>0</v>
      </c>
      <c r="AE36" s="6">
        <f ca="1">$K$36*$Y$36</f>
        <v>80528.0939146374</v>
      </c>
      <c r="AF36" s="6">
        <f ca="1">$M$36*$Z$36</f>
        <v>0</v>
      </c>
      <c r="AG36" s="6">
        <f>$O$36*$AA$36</f>
        <v>0</v>
      </c>
    </row>
    <row r="37" spans="1:33" ht="11.25" customHeight="1" x14ac:dyDescent="0.3">
      <c r="A37" s="4" t="s">
        <v>53</v>
      </c>
      <c r="B37" s="4" t="s">
        <v>54</v>
      </c>
      <c r="C37" s="4" t="s">
        <v>40</v>
      </c>
      <c r="D37" s="4" t="s">
        <v>38</v>
      </c>
      <c r="E37" s="4" t="s">
        <v>25</v>
      </c>
      <c r="F37" s="4" t="s">
        <v>25</v>
      </c>
      <c r="G37" s="4" t="s">
        <v>25</v>
      </c>
      <c r="H37" s="4" t="s">
        <v>34</v>
      </c>
      <c r="I37" s="5">
        <v>44835</v>
      </c>
      <c r="J37" s="6">
        <v>3792</v>
      </c>
      <c r="K37" s="6">
        <v>3792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55</v>
      </c>
      <c r="R37" s="4">
        <v>0</v>
      </c>
      <c r="S37" s="6">
        <v>16</v>
      </c>
      <c r="T37" s="6">
        <v>0</v>
      </c>
      <c r="U37" s="6">
        <v>0</v>
      </c>
      <c r="V37" s="6">
        <f>IF(ISERROR(VLOOKUP($S$37,'TAR FIN'!$A$1:$O$113,15,0)),0,VLOOKUP($S$37,'TAR FIN'!$A$1:$O$113,15,0))</f>
        <v>18.52</v>
      </c>
      <c r="W37" s="6">
        <f>IF(ISERROR(VLOOKUP($T$37,'TAR FIN'!$A$1:$O$113,15,0)),0,VLOOKUP($T$37,'TAR FIN'!$A$1:$O$113,15,0))</f>
        <v>0</v>
      </c>
      <c r="X37" s="6">
        <f>IF(ISERROR(VLOOKUP($U$37,'TAR FIN'!$A$1:$O$113,15,0)),0,VLOOKUP($U$37,'TAR FIN'!$A$1:$O$113,15,0))</f>
        <v>0</v>
      </c>
      <c r="Y37" s="6">
        <f ca="1">('TUSD BE'!$AM$5+'TUSD BF'!$AM$5+'TUSD CVA'!$AM$5)*1</f>
        <v>21.236311686349524</v>
      </c>
      <c r="Z37" s="6">
        <f ca="1">('TUSD BE'!$AM$7+'TUSD BF'!$AM$7+'TUSD CVA'!$AM$7)*1</f>
        <v>90.517043596118782</v>
      </c>
      <c r="AA37" s="6"/>
      <c r="AB37" s="6">
        <f>$K$37*$V$37</f>
        <v>70227.839999999997</v>
      </c>
      <c r="AC37" s="6">
        <f>$M$37*$W$37</f>
        <v>0</v>
      </c>
      <c r="AD37" s="6">
        <f>$O$37*$X$37</f>
        <v>0</v>
      </c>
      <c r="AE37" s="6">
        <f ca="1">$K$37*$Y$37</f>
        <v>80528.0939146374</v>
      </c>
      <c r="AF37" s="6">
        <f ca="1">$M$37*$Z$37</f>
        <v>0</v>
      </c>
      <c r="AG37" s="6">
        <f>$O$37*$AA$37</f>
        <v>0</v>
      </c>
    </row>
    <row r="38" spans="1:33" ht="11.25" customHeight="1" x14ac:dyDescent="0.3">
      <c r="A38" s="4" t="s">
        <v>21</v>
      </c>
      <c r="B38" s="4" t="s">
        <v>60</v>
      </c>
      <c r="C38" s="4" t="s">
        <v>57</v>
      </c>
      <c r="D38" s="4" t="s">
        <v>25</v>
      </c>
      <c r="E38" s="4" t="s">
        <v>25</v>
      </c>
      <c r="F38" s="4" t="s">
        <v>25</v>
      </c>
      <c r="G38" s="4" t="s">
        <v>61</v>
      </c>
      <c r="H38" s="4" t="s">
        <v>25</v>
      </c>
      <c r="I38" s="5">
        <v>44501</v>
      </c>
      <c r="J38" s="6">
        <v>7800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59</v>
      </c>
      <c r="R38" s="4">
        <v>27870</v>
      </c>
      <c r="S38" s="6">
        <v>21</v>
      </c>
      <c r="T38" s="6">
        <v>0</v>
      </c>
      <c r="U38" s="6">
        <v>0</v>
      </c>
      <c r="V38" s="6">
        <f>IF(ISERROR(VLOOKUP($S$38,'TAR FIN'!$A$1:$O$113,15,0)),0,VLOOKUP($S$38,'TAR FIN'!$A$1:$O$113,15,0))</f>
        <v>11.03</v>
      </c>
      <c r="W38" s="6">
        <f>IF(ISERROR(VLOOKUP($T$38,'TAR FIN'!$A$1:$O$113,15,0)),0,VLOOKUP($T$38,'TAR FIN'!$A$1:$O$113,15,0))</f>
        <v>0</v>
      </c>
      <c r="X38" s="6">
        <f>IF(ISERROR(VLOOKUP($U$38,'TAR FIN'!$A$1:$O$113,15,0)),0,VLOOKUP($U$38,'TAR FIN'!$A$1:$O$113,15,0))</f>
        <v>0</v>
      </c>
      <c r="Y38" s="6">
        <f ca="1">('TUSD BE'!$AM$13+'TUSD BF'!$AM$13+'TUSD CVA'!$AM$13)*1</f>
        <v>11.598813715831222</v>
      </c>
      <c r="Z38" s="6"/>
      <c r="AA38" s="6"/>
      <c r="AB38" s="6">
        <f>$K$38*$V$38</f>
        <v>0</v>
      </c>
      <c r="AC38" s="6">
        <f>$M$38*$W$38</f>
        <v>0</v>
      </c>
      <c r="AD38" s="6">
        <f>$O$38*$X$38</f>
        <v>0</v>
      </c>
      <c r="AE38" s="6">
        <f ca="1">$K$38*$Y$38</f>
        <v>0</v>
      </c>
      <c r="AF38" s="6">
        <f>$M$38*$Z$38</f>
        <v>0</v>
      </c>
      <c r="AG38" s="6">
        <f>$O$38*$AA$38</f>
        <v>0</v>
      </c>
    </row>
    <row r="39" spans="1:33" ht="11.25" customHeight="1" x14ac:dyDescent="0.3">
      <c r="A39" s="4" t="s">
        <v>21</v>
      </c>
      <c r="B39" s="4" t="s">
        <v>60</v>
      </c>
      <c r="C39" s="4" t="s">
        <v>57</v>
      </c>
      <c r="D39" s="4" t="s">
        <v>25</v>
      </c>
      <c r="E39" s="4" t="s">
        <v>25</v>
      </c>
      <c r="F39" s="4" t="s">
        <v>25</v>
      </c>
      <c r="G39" s="4" t="s">
        <v>61</v>
      </c>
      <c r="H39" s="4" t="s">
        <v>25</v>
      </c>
      <c r="I39" s="5">
        <v>44531</v>
      </c>
      <c r="J39" s="6">
        <v>7800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59</v>
      </c>
      <c r="R39" s="4">
        <v>27870</v>
      </c>
      <c r="S39" s="6">
        <v>21</v>
      </c>
      <c r="T39" s="6">
        <v>0</v>
      </c>
      <c r="U39" s="6">
        <v>0</v>
      </c>
      <c r="V39" s="6">
        <f>IF(ISERROR(VLOOKUP($S$39,'TAR FIN'!$A$1:$O$113,15,0)),0,VLOOKUP($S$39,'TAR FIN'!$A$1:$O$113,15,0))</f>
        <v>11.03</v>
      </c>
      <c r="W39" s="6">
        <f>IF(ISERROR(VLOOKUP($T$39,'TAR FIN'!$A$1:$O$113,15,0)),0,VLOOKUP($T$39,'TAR FIN'!$A$1:$O$113,15,0))</f>
        <v>0</v>
      </c>
      <c r="X39" s="6">
        <f>IF(ISERROR(VLOOKUP($U$39,'TAR FIN'!$A$1:$O$113,15,0)),0,VLOOKUP($U$39,'TAR FIN'!$A$1:$O$113,15,0))</f>
        <v>0</v>
      </c>
      <c r="Y39" s="6">
        <f ca="1">('TUSD BE'!$AM$13+'TUSD BF'!$AM$13+'TUSD CVA'!$AM$13)*1</f>
        <v>11.598813715831222</v>
      </c>
      <c r="Z39" s="6"/>
      <c r="AA39" s="6"/>
      <c r="AB39" s="6">
        <f>$K$39*$V$39</f>
        <v>0</v>
      </c>
      <c r="AC39" s="6">
        <f>$M$39*$W$39</f>
        <v>0</v>
      </c>
      <c r="AD39" s="6">
        <f>$O$39*$X$39</f>
        <v>0</v>
      </c>
      <c r="AE39" s="6">
        <f ca="1">$K$39*$Y$39</f>
        <v>0</v>
      </c>
      <c r="AF39" s="6">
        <f>$M$39*$Z$39</f>
        <v>0</v>
      </c>
      <c r="AG39" s="6">
        <f>$O$39*$AA$39</f>
        <v>0</v>
      </c>
    </row>
    <row r="40" spans="1:33" ht="11.25" customHeight="1" x14ac:dyDescent="0.3">
      <c r="A40" s="4" t="s">
        <v>21</v>
      </c>
      <c r="B40" s="4" t="s">
        <v>60</v>
      </c>
      <c r="C40" s="4" t="s">
        <v>57</v>
      </c>
      <c r="D40" s="4" t="s">
        <v>25</v>
      </c>
      <c r="E40" s="4" t="s">
        <v>25</v>
      </c>
      <c r="F40" s="4" t="s">
        <v>25</v>
      </c>
      <c r="G40" s="4" t="s">
        <v>61</v>
      </c>
      <c r="H40" s="4" t="s">
        <v>25</v>
      </c>
      <c r="I40" s="5">
        <v>44562</v>
      </c>
      <c r="J40" s="6">
        <v>7800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59</v>
      </c>
      <c r="R40" s="4">
        <v>27870</v>
      </c>
      <c r="S40" s="6">
        <v>21</v>
      </c>
      <c r="T40" s="6">
        <v>0</v>
      </c>
      <c r="U40" s="6">
        <v>0</v>
      </c>
      <c r="V40" s="6">
        <f>IF(ISERROR(VLOOKUP($S$40,'TAR FIN'!$A$1:$O$113,15,0)),0,VLOOKUP($S$40,'TAR FIN'!$A$1:$O$113,15,0))</f>
        <v>11.03</v>
      </c>
      <c r="W40" s="6">
        <f>IF(ISERROR(VLOOKUP($T$40,'TAR FIN'!$A$1:$O$113,15,0)),0,VLOOKUP($T$40,'TAR FIN'!$A$1:$O$113,15,0))</f>
        <v>0</v>
      </c>
      <c r="X40" s="6">
        <f>IF(ISERROR(VLOOKUP($U$40,'TAR FIN'!$A$1:$O$113,15,0)),0,VLOOKUP($U$40,'TAR FIN'!$A$1:$O$113,15,0))</f>
        <v>0</v>
      </c>
      <c r="Y40" s="6">
        <f ca="1">('TUSD BE'!$AM$13+'TUSD BF'!$AM$13+'TUSD CVA'!$AM$13)*1</f>
        <v>11.598813715831222</v>
      </c>
      <c r="Z40" s="6"/>
      <c r="AA40" s="6"/>
      <c r="AB40" s="6">
        <f>$K$40*$V$40</f>
        <v>0</v>
      </c>
      <c r="AC40" s="6">
        <f>$M$40*$W$40</f>
        <v>0</v>
      </c>
      <c r="AD40" s="6">
        <f>$O$40*$X$40</f>
        <v>0</v>
      </c>
      <c r="AE40" s="6">
        <f ca="1">$K$40*$Y$40</f>
        <v>0</v>
      </c>
      <c r="AF40" s="6">
        <f>$M$40*$Z$40</f>
        <v>0</v>
      </c>
      <c r="AG40" s="6">
        <f>$O$40*$AA$40</f>
        <v>0</v>
      </c>
    </row>
    <row r="41" spans="1:33" ht="11.25" customHeight="1" x14ac:dyDescent="0.3">
      <c r="A41" s="4" t="s">
        <v>21</v>
      </c>
      <c r="B41" s="4" t="s">
        <v>60</v>
      </c>
      <c r="C41" s="4" t="s">
        <v>57</v>
      </c>
      <c r="D41" s="4" t="s">
        <v>25</v>
      </c>
      <c r="E41" s="4" t="s">
        <v>25</v>
      </c>
      <c r="F41" s="4" t="s">
        <v>25</v>
      </c>
      <c r="G41" s="4" t="s">
        <v>61</v>
      </c>
      <c r="H41" s="4" t="s">
        <v>25</v>
      </c>
      <c r="I41" s="5">
        <v>44593</v>
      </c>
      <c r="J41" s="6">
        <v>7800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4" t="s">
        <v>59</v>
      </c>
      <c r="R41" s="4">
        <v>27870</v>
      </c>
      <c r="S41" s="6">
        <v>21</v>
      </c>
      <c r="T41" s="6">
        <v>0</v>
      </c>
      <c r="U41" s="6">
        <v>0</v>
      </c>
      <c r="V41" s="6">
        <f>IF(ISERROR(VLOOKUP($S$41,'TAR FIN'!$A$1:$O$113,15,0)),0,VLOOKUP($S$41,'TAR FIN'!$A$1:$O$113,15,0))</f>
        <v>11.03</v>
      </c>
      <c r="W41" s="6">
        <f>IF(ISERROR(VLOOKUP($T$41,'TAR FIN'!$A$1:$O$113,15,0)),0,VLOOKUP($T$41,'TAR FIN'!$A$1:$O$113,15,0))</f>
        <v>0</v>
      </c>
      <c r="X41" s="6">
        <f>IF(ISERROR(VLOOKUP($U$41,'TAR FIN'!$A$1:$O$113,15,0)),0,VLOOKUP($U$41,'TAR FIN'!$A$1:$O$113,15,0))</f>
        <v>0</v>
      </c>
      <c r="Y41" s="6">
        <f ca="1">('TUSD BE'!$AM$13+'TUSD BF'!$AM$13+'TUSD CVA'!$AM$13)*1</f>
        <v>11.598813715831222</v>
      </c>
      <c r="Z41" s="6"/>
      <c r="AA41" s="6"/>
      <c r="AB41" s="6">
        <f>$K$41*$V$41</f>
        <v>0</v>
      </c>
      <c r="AC41" s="6">
        <f>$M$41*$W$41</f>
        <v>0</v>
      </c>
      <c r="AD41" s="6">
        <f>$O$41*$X$41</f>
        <v>0</v>
      </c>
      <c r="AE41" s="6">
        <f ca="1">$K$41*$Y$41</f>
        <v>0</v>
      </c>
      <c r="AF41" s="6">
        <f>$M$41*$Z$41</f>
        <v>0</v>
      </c>
      <c r="AG41" s="6">
        <f>$O$41*$AA$41</f>
        <v>0</v>
      </c>
    </row>
    <row r="42" spans="1:33" ht="11.25" customHeight="1" x14ac:dyDescent="0.3">
      <c r="A42" s="4" t="s">
        <v>21</v>
      </c>
      <c r="B42" s="4" t="s">
        <v>60</v>
      </c>
      <c r="C42" s="4" t="s">
        <v>57</v>
      </c>
      <c r="D42" s="4" t="s">
        <v>25</v>
      </c>
      <c r="E42" s="4" t="s">
        <v>25</v>
      </c>
      <c r="F42" s="4" t="s">
        <v>25</v>
      </c>
      <c r="G42" s="4" t="s">
        <v>61</v>
      </c>
      <c r="H42" s="4" t="s">
        <v>25</v>
      </c>
      <c r="I42" s="5">
        <v>44621</v>
      </c>
      <c r="J42" s="6">
        <v>7800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4" t="s">
        <v>59</v>
      </c>
      <c r="R42" s="4">
        <v>27870</v>
      </c>
      <c r="S42" s="6">
        <v>21</v>
      </c>
      <c r="T42" s="6">
        <v>0</v>
      </c>
      <c r="U42" s="6">
        <v>0</v>
      </c>
      <c r="V42" s="6">
        <f>IF(ISERROR(VLOOKUP($S$42,'TAR FIN'!$A$1:$O$113,15,0)),0,VLOOKUP($S$42,'TAR FIN'!$A$1:$O$113,15,0))</f>
        <v>11.03</v>
      </c>
      <c r="W42" s="6">
        <f>IF(ISERROR(VLOOKUP($T$42,'TAR FIN'!$A$1:$O$113,15,0)),0,VLOOKUP($T$42,'TAR FIN'!$A$1:$O$113,15,0))</f>
        <v>0</v>
      </c>
      <c r="X42" s="6">
        <f>IF(ISERROR(VLOOKUP($U$42,'TAR FIN'!$A$1:$O$113,15,0)),0,VLOOKUP($U$42,'TAR FIN'!$A$1:$O$113,15,0))</f>
        <v>0</v>
      </c>
      <c r="Y42" s="6">
        <f ca="1">('TUSD BE'!$AM$13+'TUSD BF'!$AM$13+'TUSD CVA'!$AM$13)*1</f>
        <v>11.598813715831222</v>
      </c>
      <c r="Z42" s="6"/>
      <c r="AA42" s="6"/>
      <c r="AB42" s="6">
        <f>$K$42*$V$42</f>
        <v>0</v>
      </c>
      <c r="AC42" s="6">
        <f>$M$42*$W$42</f>
        <v>0</v>
      </c>
      <c r="AD42" s="6">
        <f>$O$42*$X$42</f>
        <v>0</v>
      </c>
      <c r="AE42" s="6">
        <f ca="1">$K$42*$Y$42</f>
        <v>0</v>
      </c>
      <c r="AF42" s="6">
        <f>$M$42*$Z$42</f>
        <v>0</v>
      </c>
      <c r="AG42" s="6">
        <f>$O$42*$AA$42</f>
        <v>0</v>
      </c>
    </row>
    <row r="43" spans="1:33" ht="11.25" customHeight="1" x14ac:dyDescent="0.3">
      <c r="A43" s="4" t="s">
        <v>21</v>
      </c>
      <c r="B43" s="4" t="s">
        <v>60</v>
      </c>
      <c r="C43" s="4" t="s">
        <v>57</v>
      </c>
      <c r="D43" s="4" t="s">
        <v>25</v>
      </c>
      <c r="E43" s="4" t="s">
        <v>25</v>
      </c>
      <c r="F43" s="4" t="s">
        <v>25</v>
      </c>
      <c r="G43" s="4" t="s">
        <v>61</v>
      </c>
      <c r="H43" s="4" t="s">
        <v>25</v>
      </c>
      <c r="I43" s="5">
        <v>44652</v>
      </c>
      <c r="J43" s="6">
        <v>7800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4" t="s">
        <v>59</v>
      </c>
      <c r="R43" s="4">
        <v>27870</v>
      </c>
      <c r="S43" s="6">
        <v>21</v>
      </c>
      <c r="T43" s="6">
        <v>0</v>
      </c>
      <c r="U43" s="6">
        <v>0</v>
      </c>
      <c r="V43" s="6">
        <f>IF(ISERROR(VLOOKUP($S$43,'TAR FIN'!$A$1:$O$113,15,0)),0,VLOOKUP($S$43,'TAR FIN'!$A$1:$O$113,15,0))</f>
        <v>11.03</v>
      </c>
      <c r="W43" s="6">
        <f>IF(ISERROR(VLOOKUP($T$43,'TAR FIN'!$A$1:$O$113,15,0)),0,VLOOKUP($T$43,'TAR FIN'!$A$1:$O$113,15,0))</f>
        <v>0</v>
      </c>
      <c r="X43" s="6">
        <f>IF(ISERROR(VLOOKUP($U$43,'TAR FIN'!$A$1:$O$113,15,0)),0,VLOOKUP($U$43,'TAR FIN'!$A$1:$O$113,15,0))</f>
        <v>0</v>
      </c>
      <c r="Y43" s="6">
        <f ca="1">('TUSD BE'!$AM$13+'TUSD BF'!$AM$13+'TUSD CVA'!$AM$13)*1</f>
        <v>11.598813715831222</v>
      </c>
      <c r="Z43" s="6"/>
      <c r="AA43" s="6"/>
      <c r="AB43" s="6">
        <f>$K$43*$V$43</f>
        <v>0</v>
      </c>
      <c r="AC43" s="6">
        <f>$M$43*$W$43</f>
        <v>0</v>
      </c>
      <c r="AD43" s="6">
        <f>$O$43*$X$43</f>
        <v>0</v>
      </c>
      <c r="AE43" s="6">
        <f ca="1">$K$43*$Y$43</f>
        <v>0</v>
      </c>
      <c r="AF43" s="6">
        <f>$M$43*$Z$43</f>
        <v>0</v>
      </c>
      <c r="AG43" s="6">
        <f>$O$43*$AA$43</f>
        <v>0</v>
      </c>
    </row>
    <row r="44" spans="1:33" ht="11.25" customHeight="1" x14ac:dyDescent="0.3">
      <c r="A44" s="4" t="s">
        <v>21</v>
      </c>
      <c r="B44" s="4" t="s">
        <v>60</v>
      </c>
      <c r="C44" s="4" t="s">
        <v>57</v>
      </c>
      <c r="D44" s="4" t="s">
        <v>25</v>
      </c>
      <c r="E44" s="4" t="s">
        <v>25</v>
      </c>
      <c r="F44" s="4" t="s">
        <v>25</v>
      </c>
      <c r="G44" s="4" t="s">
        <v>61</v>
      </c>
      <c r="H44" s="4" t="s">
        <v>25</v>
      </c>
      <c r="I44" s="5">
        <v>44682</v>
      </c>
      <c r="J44" s="6">
        <v>7800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4" t="s">
        <v>59</v>
      </c>
      <c r="R44" s="4">
        <v>27870</v>
      </c>
      <c r="S44" s="6">
        <v>21</v>
      </c>
      <c r="T44" s="6">
        <v>0</v>
      </c>
      <c r="U44" s="6">
        <v>0</v>
      </c>
      <c r="V44" s="6">
        <f>IF(ISERROR(VLOOKUP($S$44,'TAR FIN'!$A$1:$O$113,15,0)),0,VLOOKUP($S$44,'TAR FIN'!$A$1:$O$113,15,0))</f>
        <v>11.03</v>
      </c>
      <c r="W44" s="6">
        <f>IF(ISERROR(VLOOKUP($T$44,'TAR FIN'!$A$1:$O$113,15,0)),0,VLOOKUP($T$44,'TAR FIN'!$A$1:$O$113,15,0))</f>
        <v>0</v>
      </c>
      <c r="X44" s="6">
        <f>IF(ISERROR(VLOOKUP($U$44,'TAR FIN'!$A$1:$O$113,15,0)),0,VLOOKUP($U$44,'TAR FIN'!$A$1:$O$113,15,0))</f>
        <v>0</v>
      </c>
      <c r="Y44" s="6">
        <f ca="1">('TUSD BE'!$AM$13+'TUSD BF'!$AM$13+'TUSD CVA'!$AM$13)*1</f>
        <v>11.598813715831222</v>
      </c>
      <c r="Z44" s="6"/>
      <c r="AA44" s="6"/>
      <c r="AB44" s="6">
        <f>$K$44*$V$44</f>
        <v>0</v>
      </c>
      <c r="AC44" s="6">
        <f>$M$44*$W$44</f>
        <v>0</v>
      </c>
      <c r="AD44" s="6">
        <f>$O$44*$X$44</f>
        <v>0</v>
      </c>
      <c r="AE44" s="6">
        <f ca="1">$K$44*$Y$44</f>
        <v>0</v>
      </c>
      <c r="AF44" s="6">
        <f>$M$44*$Z$44</f>
        <v>0</v>
      </c>
      <c r="AG44" s="6">
        <f>$O$44*$AA$44</f>
        <v>0</v>
      </c>
    </row>
    <row r="45" spans="1:33" ht="11.25" customHeight="1" x14ac:dyDescent="0.3">
      <c r="A45" s="4" t="s">
        <v>21</v>
      </c>
      <c r="B45" s="4" t="s">
        <v>60</v>
      </c>
      <c r="C45" s="4" t="s">
        <v>57</v>
      </c>
      <c r="D45" s="4" t="s">
        <v>25</v>
      </c>
      <c r="E45" s="4" t="s">
        <v>25</v>
      </c>
      <c r="F45" s="4" t="s">
        <v>25</v>
      </c>
      <c r="G45" s="4" t="s">
        <v>61</v>
      </c>
      <c r="H45" s="4" t="s">
        <v>25</v>
      </c>
      <c r="I45" s="5">
        <v>44713</v>
      </c>
      <c r="J45" s="6">
        <v>7800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4" t="s">
        <v>59</v>
      </c>
      <c r="R45" s="4">
        <v>27870</v>
      </c>
      <c r="S45" s="6">
        <v>21</v>
      </c>
      <c r="T45" s="6">
        <v>0</v>
      </c>
      <c r="U45" s="6">
        <v>0</v>
      </c>
      <c r="V45" s="6">
        <f>IF(ISERROR(VLOOKUP($S$45,'TAR FIN'!$A$1:$O$113,15,0)),0,VLOOKUP($S$45,'TAR FIN'!$A$1:$O$113,15,0))</f>
        <v>11.03</v>
      </c>
      <c r="W45" s="6">
        <f>IF(ISERROR(VLOOKUP($T$45,'TAR FIN'!$A$1:$O$113,15,0)),0,VLOOKUP($T$45,'TAR FIN'!$A$1:$O$113,15,0))</f>
        <v>0</v>
      </c>
      <c r="X45" s="6">
        <f>IF(ISERROR(VLOOKUP($U$45,'TAR FIN'!$A$1:$O$113,15,0)),0,VLOOKUP($U$45,'TAR FIN'!$A$1:$O$113,15,0))</f>
        <v>0</v>
      </c>
      <c r="Y45" s="6">
        <f ca="1">('TUSD BE'!$AM$13+'TUSD BF'!$AM$13+'TUSD CVA'!$AM$13)*1</f>
        <v>11.598813715831222</v>
      </c>
      <c r="Z45" s="6"/>
      <c r="AA45" s="6"/>
      <c r="AB45" s="6">
        <f>$K$45*$V$45</f>
        <v>0</v>
      </c>
      <c r="AC45" s="6">
        <f>$M$45*$W$45</f>
        <v>0</v>
      </c>
      <c r="AD45" s="6">
        <f>$O$45*$X$45</f>
        <v>0</v>
      </c>
      <c r="AE45" s="6">
        <f ca="1">$K$45*$Y$45</f>
        <v>0</v>
      </c>
      <c r="AF45" s="6">
        <f>$M$45*$Z$45</f>
        <v>0</v>
      </c>
      <c r="AG45" s="6">
        <f>$O$45*$AA$45</f>
        <v>0</v>
      </c>
    </row>
    <row r="46" spans="1:33" ht="11.25" customHeight="1" x14ac:dyDescent="0.3">
      <c r="A46" s="4" t="s">
        <v>21</v>
      </c>
      <c r="B46" s="4" t="s">
        <v>60</v>
      </c>
      <c r="C46" s="4" t="s">
        <v>57</v>
      </c>
      <c r="D46" s="4" t="s">
        <v>25</v>
      </c>
      <c r="E46" s="4" t="s">
        <v>25</v>
      </c>
      <c r="F46" s="4" t="s">
        <v>25</v>
      </c>
      <c r="G46" s="4" t="s">
        <v>61</v>
      </c>
      <c r="H46" s="4" t="s">
        <v>25</v>
      </c>
      <c r="I46" s="5">
        <v>44743</v>
      </c>
      <c r="J46" s="6">
        <v>7800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4" t="s">
        <v>59</v>
      </c>
      <c r="R46" s="4">
        <v>27870</v>
      </c>
      <c r="S46" s="6">
        <v>21</v>
      </c>
      <c r="T46" s="6">
        <v>0</v>
      </c>
      <c r="U46" s="6">
        <v>0</v>
      </c>
      <c r="V46" s="6">
        <f>IF(ISERROR(VLOOKUP($S$46,'TAR FIN'!$A$1:$O$113,15,0)),0,VLOOKUP($S$46,'TAR FIN'!$A$1:$O$113,15,0))</f>
        <v>11.03</v>
      </c>
      <c r="W46" s="6">
        <f>IF(ISERROR(VLOOKUP($T$46,'TAR FIN'!$A$1:$O$113,15,0)),0,VLOOKUP($T$46,'TAR FIN'!$A$1:$O$113,15,0))</f>
        <v>0</v>
      </c>
      <c r="X46" s="6">
        <f>IF(ISERROR(VLOOKUP($U$46,'TAR FIN'!$A$1:$O$113,15,0)),0,VLOOKUP($U$46,'TAR FIN'!$A$1:$O$113,15,0))</f>
        <v>0</v>
      </c>
      <c r="Y46" s="6">
        <f ca="1">('TUSD BE'!$AM$13+'TUSD BF'!$AM$13+'TUSD CVA'!$AM$13)*1</f>
        <v>11.598813715831222</v>
      </c>
      <c r="Z46" s="6"/>
      <c r="AA46" s="6"/>
      <c r="AB46" s="6">
        <f>$K$46*$V$46</f>
        <v>0</v>
      </c>
      <c r="AC46" s="6">
        <f>$M$46*$W$46</f>
        <v>0</v>
      </c>
      <c r="AD46" s="6">
        <f>$O$46*$X$46</f>
        <v>0</v>
      </c>
      <c r="AE46" s="6">
        <f ca="1">$K$46*$Y$46</f>
        <v>0</v>
      </c>
      <c r="AF46" s="6">
        <f>$M$46*$Z$46</f>
        <v>0</v>
      </c>
      <c r="AG46" s="6">
        <f>$O$46*$AA$46</f>
        <v>0</v>
      </c>
    </row>
    <row r="47" spans="1:33" ht="11.25" customHeight="1" x14ac:dyDescent="0.3">
      <c r="A47" s="4" t="s">
        <v>21</v>
      </c>
      <c r="B47" s="4" t="s">
        <v>60</v>
      </c>
      <c r="C47" s="4" t="s">
        <v>57</v>
      </c>
      <c r="D47" s="4" t="s">
        <v>25</v>
      </c>
      <c r="E47" s="4" t="s">
        <v>25</v>
      </c>
      <c r="F47" s="4" t="s">
        <v>25</v>
      </c>
      <c r="G47" s="4" t="s">
        <v>61</v>
      </c>
      <c r="H47" s="4" t="s">
        <v>25</v>
      </c>
      <c r="I47" s="5">
        <v>44774</v>
      </c>
      <c r="J47" s="6">
        <v>7800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4" t="s">
        <v>59</v>
      </c>
      <c r="R47" s="4">
        <v>27870</v>
      </c>
      <c r="S47" s="6">
        <v>21</v>
      </c>
      <c r="T47" s="6">
        <v>0</v>
      </c>
      <c r="U47" s="6">
        <v>0</v>
      </c>
      <c r="V47" s="6">
        <f>IF(ISERROR(VLOOKUP($S$47,'TAR FIN'!$A$1:$O$113,15,0)),0,VLOOKUP($S$47,'TAR FIN'!$A$1:$O$113,15,0))</f>
        <v>11.03</v>
      </c>
      <c r="W47" s="6">
        <f>IF(ISERROR(VLOOKUP($T$47,'TAR FIN'!$A$1:$O$113,15,0)),0,VLOOKUP($T$47,'TAR FIN'!$A$1:$O$113,15,0))</f>
        <v>0</v>
      </c>
      <c r="X47" s="6">
        <f>IF(ISERROR(VLOOKUP($U$47,'TAR FIN'!$A$1:$O$113,15,0)),0,VLOOKUP($U$47,'TAR FIN'!$A$1:$O$113,15,0))</f>
        <v>0</v>
      </c>
      <c r="Y47" s="6">
        <f ca="1">('TUSD BE'!$AM$13+'TUSD BF'!$AM$13+'TUSD CVA'!$AM$13)*1</f>
        <v>11.598813715831222</v>
      </c>
      <c r="Z47" s="6"/>
      <c r="AA47" s="6"/>
      <c r="AB47" s="6">
        <f>$K$47*$V$47</f>
        <v>0</v>
      </c>
      <c r="AC47" s="6">
        <f>$M$47*$W$47</f>
        <v>0</v>
      </c>
      <c r="AD47" s="6">
        <f>$O$47*$X$47</f>
        <v>0</v>
      </c>
      <c r="AE47" s="6">
        <f ca="1">$K$47*$Y$47</f>
        <v>0</v>
      </c>
      <c r="AF47" s="6">
        <f>$M$47*$Z$47</f>
        <v>0</v>
      </c>
      <c r="AG47" s="6">
        <f>$O$47*$AA$47</f>
        <v>0</v>
      </c>
    </row>
    <row r="48" spans="1:33" ht="11.25" customHeight="1" x14ac:dyDescent="0.3">
      <c r="A48" s="4" t="s">
        <v>21</v>
      </c>
      <c r="B48" s="4" t="s">
        <v>60</v>
      </c>
      <c r="C48" s="4" t="s">
        <v>57</v>
      </c>
      <c r="D48" s="4" t="s">
        <v>25</v>
      </c>
      <c r="E48" s="4" t="s">
        <v>25</v>
      </c>
      <c r="F48" s="4" t="s">
        <v>25</v>
      </c>
      <c r="G48" s="4" t="s">
        <v>61</v>
      </c>
      <c r="H48" s="4" t="s">
        <v>25</v>
      </c>
      <c r="I48" s="5">
        <v>44805</v>
      </c>
      <c r="J48" s="6">
        <v>7800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4" t="s">
        <v>59</v>
      </c>
      <c r="R48" s="4">
        <v>27870</v>
      </c>
      <c r="S48" s="6">
        <v>21</v>
      </c>
      <c r="T48" s="6">
        <v>0</v>
      </c>
      <c r="U48" s="6">
        <v>0</v>
      </c>
      <c r="V48" s="6">
        <f>IF(ISERROR(VLOOKUP($S$48,'TAR FIN'!$A$1:$O$113,15,0)),0,VLOOKUP($S$48,'TAR FIN'!$A$1:$O$113,15,0))</f>
        <v>11.03</v>
      </c>
      <c r="W48" s="6">
        <f>IF(ISERROR(VLOOKUP($T$48,'TAR FIN'!$A$1:$O$113,15,0)),0,VLOOKUP($T$48,'TAR FIN'!$A$1:$O$113,15,0))</f>
        <v>0</v>
      </c>
      <c r="X48" s="6">
        <f>IF(ISERROR(VLOOKUP($U$48,'TAR FIN'!$A$1:$O$113,15,0)),0,VLOOKUP($U$48,'TAR FIN'!$A$1:$O$113,15,0))</f>
        <v>0</v>
      </c>
      <c r="Y48" s="6">
        <f ca="1">('TUSD BE'!$AM$13+'TUSD BF'!$AM$13+'TUSD CVA'!$AM$13)*1</f>
        <v>11.598813715831222</v>
      </c>
      <c r="Z48" s="6"/>
      <c r="AA48" s="6"/>
      <c r="AB48" s="6">
        <f>$K$48*$V$48</f>
        <v>0</v>
      </c>
      <c r="AC48" s="6">
        <f>$M$48*$W$48</f>
        <v>0</v>
      </c>
      <c r="AD48" s="6">
        <f>$O$48*$X$48</f>
        <v>0</v>
      </c>
      <c r="AE48" s="6">
        <f ca="1">$K$48*$Y$48</f>
        <v>0</v>
      </c>
      <c r="AF48" s="6">
        <f>$M$48*$Z$48</f>
        <v>0</v>
      </c>
      <c r="AG48" s="6">
        <f>$O$48*$AA$48</f>
        <v>0</v>
      </c>
    </row>
    <row r="49" spans="1:33" ht="11.25" customHeight="1" x14ac:dyDescent="0.3">
      <c r="A49" s="4" t="s">
        <v>53</v>
      </c>
      <c r="B49" s="4" t="s">
        <v>60</v>
      </c>
      <c r="C49" s="4" t="s">
        <v>57</v>
      </c>
      <c r="D49" s="4" t="s">
        <v>25</v>
      </c>
      <c r="E49" s="4" t="s">
        <v>25</v>
      </c>
      <c r="F49" s="4" t="s">
        <v>25</v>
      </c>
      <c r="G49" s="4" t="s">
        <v>61</v>
      </c>
      <c r="H49" s="4" t="s">
        <v>25</v>
      </c>
      <c r="I49" s="5">
        <v>44835</v>
      </c>
      <c r="J49" s="6">
        <v>7800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4" t="s">
        <v>59</v>
      </c>
      <c r="R49" s="4">
        <v>27870</v>
      </c>
      <c r="S49" s="6">
        <v>21</v>
      </c>
      <c r="T49" s="6">
        <v>0</v>
      </c>
      <c r="U49" s="6">
        <v>0</v>
      </c>
      <c r="V49" s="6">
        <f>IF(ISERROR(VLOOKUP($S$49,'TAR FIN'!$A$1:$O$113,15,0)),0,VLOOKUP($S$49,'TAR FIN'!$A$1:$O$113,15,0))</f>
        <v>11.03</v>
      </c>
      <c r="W49" s="6">
        <f>IF(ISERROR(VLOOKUP($T$49,'TAR FIN'!$A$1:$O$113,15,0)),0,VLOOKUP($T$49,'TAR FIN'!$A$1:$O$113,15,0))</f>
        <v>0</v>
      </c>
      <c r="X49" s="6">
        <f>IF(ISERROR(VLOOKUP($U$49,'TAR FIN'!$A$1:$O$113,15,0)),0,VLOOKUP($U$49,'TAR FIN'!$A$1:$O$113,15,0))</f>
        <v>0</v>
      </c>
      <c r="Y49" s="6">
        <f ca="1">('TUSD BE'!$AM$13+'TUSD BF'!$AM$13+'TUSD CVA'!$AM$13)*1</f>
        <v>11.598813715831222</v>
      </c>
      <c r="Z49" s="6"/>
      <c r="AA49" s="6"/>
      <c r="AB49" s="6">
        <f>$K$49*$V$49</f>
        <v>0</v>
      </c>
      <c r="AC49" s="6">
        <f>$M$49*$W$49</f>
        <v>0</v>
      </c>
      <c r="AD49" s="6">
        <f>$O$49*$X$49</f>
        <v>0</v>
      </c>
      <c r="AE49" s="6">
        <f ca="1">$K$49*$Y$49</f>
        <v>0</v>
      </c>
      <c r="AF49" s="6">
        <f>$M$49*$Z$49</f>
        <v>0</v>
      </c>
      <c r="AG49" s="6">
        <f>$O$49*$AA$49</f>
        <v>0</v>
      </c>
    </row>
    <row r="50" spans="1:33" ht="11.25" customHeight="1" x14ac:dyDescent="0.3">
      <c r="A50" s="4" t="s">
        <v>21</v>
      </c>
      <c r="B50" s="4" t="s">
        <v>39</v>
      </c>
      <c r="C50" s="4" t="s">
        <v>40</v>
      </c>
      <c r="D50" s="4" t="s">
        <v>42</v>
      </c>
      <c r="E50" s="4" t="s">
        <v>25</v>
      </c>
      <c r="F50" s="4" t="s">
        <v>25</v>
      </c>
      <c r="G50" s="4" t="s">
        <v>25</v>
      </c>
      <c r="H50" s="4" t="s">
        <v>35</v>
      </c>
      <c r="I50" s="5">
        <v>44501</v>
      </c>
      <c r="J50" s="6">
        <v>1977</v>
      </c>
      <c r="K50" s="6">
        <v>1977</v>
      </c>
      <c r="L50" s="6">
        <v>639.19299999999998</v>
      </c>
      <c r="M50" s="6">
        <v>639.19299999999998</v>
      </c>
      <c r="N50" s="6">
        <v>639.19299999999998</v>
      </c>
      <c r="O50" s="6">
        <v>639.19299999999998</v>
      </c>
      <c r="P50" s="6">
        <v>0</v>
      </c>
      <c r="Q50" s="4" t="s">
        <v>26</v>
      </c>
      <c r="R50" s="4">
        <v>0</v>
      </c>
      <c r="S50" s="6">
        <v>22</v>
      </c>
      <c r="T50" s="6">
        <v>12</v>
      </c>
      <c r="U50" s="6">
        <v>61</v>
      </c>
      <c r="V50" s="6">
        <f>IF(ISERROR(VLOOKUP($S$50,'TAR FIN'!$A$1:$O$113,15,0)),0,VLOOKUP($S$50,'TAR FIN'!$A$1:$O$113,15,0))</f>
        <v>14</v>
      </c>
      <c r="W50" s="6">
        <f>IF(ISERROR(VLOOKUP($T$50,'TAR FIN'!$A$1:$O$113,15,0)),0,VLOOKUP($T$50,'TAR FIN'!$A$1:$O$113,15,0))</f>
        <v>72.150000000000006</v>
      </c>
      <c r="X50" s="6">
        <f>IF(ISERROR(VLOOKUP($U$50,'TAR FIN'!$A$1:$O$113,15,0)),0,VLOOKUP($U$50,'TAR FIN'!$A$1:$O$113,15,0))</f>
        <v>278.67</v>
      </c>
      <c r="Y50" s="6">
        <f ca="1">('TUSD BE'!$AM$15+'TUSD BF'!$AM$15+'TUSD CVA'!$AM$15)*1</f>
        <v>16.035953923331604</v>
      </c>
      <c r="Z50" s="6">
        <f ca="1">('TUSD BE'!$AM$16+'TUSD BF'!$AM$16+'TUSD CVA'!$AM$16)*1</f>
        <v>122.14055331663396</v>
      </c>
      <c r="AA50" s="6">
        <f>('TE BE'!$AB$10+'TE BF'!$AB$10+'TE CVA'!$AB$10)*1</f>
        <v>299.18055042718134</v>
      </c>
      <c r="AB50" s="6">
        <f>$K$50*$V$50</f>
        <v>27678</v>
      </c>
      <c r="AC50" s="6">
        <f>$M$50*$W$50</f>
        <v>46117.774949999999</v>
      </c>
      <c r="AD50" s="6">
        <f>$O$50*$X$50</f>
        <v>178123.91331</v>
      </c>
      <c r="AE50" s="6">
        <f ca="1">$K$50*$Y$50</f>
        <v>31703.080906426581</v>
      </c>
      <c r="AF50" s="6">
        <f ca="1">$M$50*$Z$50</f>
        <v>78071.386696119211</v>
      </c>
      <c r="AG50" s="6">
        <f>$O$50*$AA$50</f>
        <v>191234.11356920132</v>
      </c>
    </row>
    <row r="51" spans="1:33" ht="11.25" customHeight="1" x14ac:dyDescent="0.3">
      <c r="A51" s="4" t="s">
        <v>21</v>
      </c>
      <c r="B51" s="4" t="s">
        <v>39</v>
      </c>
      <c r="C51" s="4" t="s">
        <v>40</v>
      </c>
      <c r="D51" s="4" t="s">
        <v>42</v>
      </c>
      <c r="E51" s="4" t="s">
        <v>25</v>
      </c>
      <c r="F51" s="4" t="s">
        <v>25</v>
      </c>
      <c r="G51" s="4" t="s">
        <v>25</v>
      </c>
      <c r="H51" s="4" t="s">
        <v>35</v>
      </c>
      <c r="I51" s="5">
        <v>44531</v>
      </c>
      <c r="J51" s="6">
        <v>1979</v>
      </c>
      <c r="K51" s="6">
        <v>1979</v>
      </c>
      <c r="L51" s="6">
        <v>638.04600000000005</v>
      </c>
      <c r="M51" s="6">
        <v>638.04600000000005</v>
      </c>
      <c r="N51" s="6">
        <v>638.04600000000005</v>
      </c>
      <c r="O51" s="6">
        <v>638.04600000000005</v>
      </c>
      <c r="P51" s="6">
        <v>0</v>
      </c>
      <c r="Q51" s="4" t="s">
        <v>26</v>
      </c>
      <c r="R51" s="4">
        <v>0</v>
      </c>
      <c r="S51" s="6">
        <v>22</v>
      </c>
      <c r="T51" s="6">
        <v>12</v>
      </c>
      <c r="U51" s="6">
        <v>61</v>
      </c>
      <c r="V51" s="6">
        <f>IF(ISERROR(VLOOKUP($S$51,'TAR FIN'!$A$1:$O$113,15,0)),0,VLOOKUP($S$51,'TAR FIN'!$A$1:$O$113,15,0))</f>
        <v>14</v>
      </c>
      <c r="W51" s="6">
        <f>IF(ISERROR(VLOOKUP($T$51,'TAR FIN'!$A$1:$O$113,15,0)),0,VLOOKUP($T$51,'TAR FIN'!$A$1:$O$113,15,0))</f>
        <v>72.150000000000006</v>
      </c>
      <c r="X51" s="6">
        <f>IF(ISERROR(VLOOKUP($U$51,'TAR FIN'!$A$1:$O$113,15,0)),0,VLOOKUP($U$51,'TAR FIN'!$A$1:$O$113,15,0))</f>
        <v>278.67</v>
      </c>
      <c r="Y51" s="6">
        <f ca="1">('TUSD BE'!$AM$15+'TUSD BF'!$AM$15+'TUSD CVA'!$AM$15)*1</f>
        <v>16.035953923331604</v>
      </c>
      <c r="Z51" s="6">
        <f ca="1">('TUSD BE'!$AM$16+'TUSD BF'!$AM$16+'TUSD CVA'!$AM$16)*1</f>
        <v>122.14055331663396</v>
      </c>
      <c r="AA51" s="6">
        <f>('TE BE'!$AB$10+'TE BF'!$AB$10+'TE CVA'!$AB$10)*1</f>
        <v>299.18055042718134</v>
      </c>
      <c r="AB51" s="6">
        <f>$K$51*$V$51</f>
        <v>27706</v>
      </c>
      <c r="AC51" s="6">
        <f>$M$51*$W$51</f>
        <v>46035.01890000001</v>
      </c>
      <c r="AD51" s="6">
        <f>$O$51*$X$51</f>
        <v>177804.27882000004</v>
      </c>
      <c r="AE51" s="6">
        <f ca="1">$K$51*$Y$51</f>
        <v>31735.152814273246</v>
      </c>
      <c r="AF51" s="6">
        <f ca="1">$M$51*$Z$51</f>
        <v>77931.291481465028</v>
      </c>
      <c r="AG51" s="6">
        <f>$O$51*$AA$51</f>
        <v>190890.95347786136</v>
      </c>
    </row>
    <row r="52" spans="1:33" ht="11.25" customHeight="1" x14ac:dyDescent="0.3">
      <c r="A52" s="4" t="s">
        <v>21</v>
      </c>
      <c r="B52" s="4" t="s">
        <v>39</v>
      </c>
      <c r="C52" s="4" t="s">
        <v>40</v>
      </c>
      <c r="D52" s="4" t="s">
        <v>42</v>
      </c>
      <c r="E52" s="4" t="s">
        <v>25</v>
      </c>
      <c r="F52" s="4" t="s">
        <v>25</v>
      </c>
      <c r="G52" s="4" t="s">
        <v>25</v>
      </c>
      <c r="H52" s="4" t="s">
        <v>35</v>
      </c>
      <c r="I52" s="5">
        <v>44562</v>
      </c>
      <c r="J52" s="6">
        <v>1989</v>
      </c>
      <c r="K52" s="6">
        <v>1989</v>
      </c>
      <c r="L52" s="6">
        <v>642.05899999999997</v>
      </c>
      <c r="M52" s="6">
        <v>642.05899999999997</v>
      </c>
      <c r="N52" s="6">
        <v>642.05899999999997</v>
      </c>
      <c r="O52" s="6">
        <v>642.05899999999997</v>
      </c>
      <c r="P52" s="6">
        <v>0</v>
      </c>
      <c r="Q52" s="4" t="s">
        <v>26</v>
      </c>
      <c r="R52" s="4">
        <v>0</v>
      </c>
      <c r="S52" s="6">
        <v>22</v>
      </c>
      <c r="T52" s="6">
        <v>12</v>
      </c>
      <c r="U52" s="6">
        <v>61</v>
      </c>
      <c r="V52" s="6">
        <f>IF(ISERROR(VLOOKUP($S$52,'TAR FIN'!$A$1:$O$113,15,0)),0,VLOOKUP($S$52,'TAR FIN'!$A$1:$O$113,15,0))</f>
        <v>14</v>
      </c>
      <c r="W52" s="6">
        <f>IF(ISERROR(VLOOKUP($T$52,'TAR FIN'!$A$1:$O$113,15,0)),0,VLOOKUP($T$52,'TAR FIN'!$A$1:$O$113,15,0))</f>
        <v>72.150000000000006</v>
      </c>
      <c r="X52" s="6">
        <f>IF(ISERROR(VLOOKUP($U$52,'TAR FIN'!$A$1:$O$113,15,0)),0,VLOOKUP($U$52,'TAR FIN'!$A$1:$O$113,15,0))</f>
        <v>278.67</v>
      </c>
      <c r="Y52" s="6">
        <f ca="1">('TUSD BE'!$AM$15+'TUSD BF'!$AM$15+'TUSD CVA'!$AM$15)*1</f>
        <v>16.035953923331604</v>
      </c>
      <c r="Z52" s="6">
        <f ca="1">('TUSD BE'!$AM$16+'TUSD BF'!$AM$16+'TUSD CVA'!$AM$16)*1</f>
        <v>122.14055331663396</v>
      </c>
      <c r="AA52" s="6">
        <f>('TE BE'!$AB$10+'TE BF'!$AB$10+'TE CVA'!$AB$10)*1</f>
        <v>299.18055042718134</v>
      </c>
      <c r="AB52" s="6">
        <f>$K$52*$V$52</f>
        <v>27846</v>
      </c>
      <c r="AC52" s="6">
        <f>$M$52*$W$52</f>
        <v>46324.556850000001</v>
      </c>
      <c r="AD52" s="6">
        <f>$O$52*$X$52</f>
        <v>178922.58153</v>
      </c>
      <c r="AE52" s="6">
        <f ca="1">$K$52*$Y$52</f>
        <v>31895.512353506561</v>
      </c>
      <c r="AF52" s="6">
        <f ca="1">$M$52*$Z$52</f>
        <v>78421.441521924673</v>
      </c>
      <c r="AG52" s="6">
        <f>$O$52*$AA$52</f>
        <v>192091.56502672561</v>
      </c>
    </row>
    <row r="53" spans="1:33" ht="11.25" customHeight="1" x14ac:dyDescent="0.3">
      <c r="A53" s="4" t="s">
        <v>21</v>
      </c>
      <c r="B53" s="4" t="s">
        <v>39</v>
      </c>
      <c r="C53" s="4" t="s">
        <v>40</v>
      </c>
      <c r="D53" s="4" t="s">
        <v>42</v>
      </c>
      <c r="E53" s="4" t="s">
        <v>25</v>
      </c>
      <c r="F53" s="4" t="s">
        <v>25</v>
      </c>
      <c r="G53" s="4" t="s">
        <v>25</v>
      </c>
      <c r="H53" s="4" t="s">
        <v>35</v>
      </c>
      <c r="I53" s="5">
        <v>44593</v>
      </c>
      <c r="J53" s="6">
        <v>1968</v>
      </c>
      <c r="K53" s="6">
        <v>1968</v>
      </c>
      <c r="L53" s="6">
        <v>643.41999999999996</v>
      </c>
      <c r="M53" s="6">
        <v>643.41999999999996</v>
      </c>
      <c r="N53" s="6">
        <v>643.41999999999996</v>
      </c>
      <c r="O53" s="6">
        <v>643.41999999999996</v>
      </c>
      <c r="P53" s="6">
        <v>0</v>
      </c>
      <c r="Q53" s="4" t="s">
        <v>26</v>
      </c>
      <c r="R53" s="4">
        <v>0</v>
      </c>
      <c r="S53" s="6">
        <v>22</v>
      </c>
      <c r="T53" s="6">
        <v>12</v>
      </c>
      <c r="U53" s="6">
        <v>61</v>
      </c>
      <c r="V53" s="6">
        <f>IF(ISERROR(VLOOKUP($S$53,'TAR FIN'!$A$1:$O$113,15,0)),0,VLOOKUP($S$53,'TAR FIN'!$A$1:$O$113,15,0))</f>
        <v>14</v>
      </c>
      <c r="W53" s="6">
        <f>IF(ISERROR(VLOOKUP($T$53,'TAR FIN'!$A$1:$O$113,15,0)),0,VLOOKUP($T$53,'TAR FIN'!$A$1:$O$113,15,0))</f>
        <v>72.150000000000006</v>
      </c>
      <c r="X53" s="6">
        <f>IF(ISERROR(VLOOKUP($U$53,'TAR FIN'!$A$1:$O$113,15,0)),0,VLOOKUP($U$53,'TAR FIN'!$A$1:$O$113,15,0))</f>
        <v>278.67</v>
      </c>
      <c r="Y53" s="6">
        <f ca="1">('TUSD BE'!$AM$15+'TUSD BF'!$AM$15+'TUSD CVA'!$AM$15)*1</f>
        <v>16.035953923331604</v>
      </c>
      <c r="Z53" s="6">
        <f ca="1">('TUSD BE'!$AM$16+'TUSD BF'!$AM$16+'TUSD CVA'!$AM$16)*1</f>
        <v>122.14055331663396</v>
      </c>
      <c r="AA53" s="6">
        <f>('TE BE'!$AB$10+'TE BF'!$AB$10+'TE CVA'!$AB$10)*1</f>
        <v>299.18055042718134</v>
      </c>
      <c r="AB53" s="6">
        <f>$K$53*$V$53</f>
        <v>27552</v>
      </c>
      <c r="AC53" s="6">
        <f>$M$53*$W$53</f>
        <v>46422.753000000004</v>
      </c>
      <c r="AD53" s="6">
        <f>$O$53*$X$53</f>
        <v>179301.85139999999</v>
      </c>
      <c r="AE53" s="6">
        <f ca="1">$K$53*$Y$53</f>
        <v>31558.757321116598</v>
      </c>
      <c r="AF53" s="6">
        <f ca="1">$M$53*$Z$53</f>
        <v>78587.674814988612</v>
      </c>
      <c r="AG53" s="6">
        <f>$O$53*$AA$53</f>
        <v>192498.74975585702</v>
      </c>
    </row>
    <row r="54" spans="1:33" ht="11.25" customHeight="1" x14ac:dyDescent="0.3">
      <c r="A54" s="4" t="s">
        <v>21</v>
      </c>
      <c r="B54" s="4" t="s">
        <v>39</v>
      </c>
      <c r="C54" s="4" t="s">
        <v>40</v>
      </c>
      <c r="D54" s="4" t="s">
        <v>42</v>
      </c>
      <c r="E54" s="4" t="s">
        <v>25</v>
      </c>
      <c r="F54" s="4" t="s">
        <v>25</v>
      </c>
      <c r="G54" s="4" t="s">
        <v>25</v>
      </c>
      <c r="H54" s="4" t="s">
        <v>35</v>
      </c>
      <c r="I54" s="5">
        <v>44621</v>
      </c>
      <c r="J54" s="6">
        <v>1991</v>
      </c>
      <c r="K54" s="6">
        <v>1991</v>
      </c>
      <c r="L54" s="6">
        <v>601.35699999999997</v>
      </c>
      <c r="M54" s="6">
        <v>601.35699999999997</v>
      </c>
      <c r="N54" s="6">
        <v>601.35699999999997</v>
      </c>
      <c r="O54" s="6">
        <v>601.35699999999997</v>
      </c>
      <c r="P54" s="6">
        <v>0</v>
      </c>
      <c r="Q54" s="4" t="s">
        <v>26</v>
      </c>
      <c r="R54" s="4">
        <v>0</v>
      </c>
      <c r="S54" s="6">
        <v>22</v>
      </c>
      <c r="T54" s="6">
        <v>12</v>
      </c>
      <c r="U54" s="6">
        <v>61</v>
      </c>
      <c r="V54" s="6">
        <f>IF(ISERROR(VLOOKUP($S$54,'TAR FIN'!$A$1:$O$113,15,0)),0,VLOOKUP($S$54,'TAR FIN'!$A$1:$O$113,15,0))</f>
        <v>14</v>
      </c>
      <c r="W54" s="6">
        <f>IF(ISERROR(VLOOKUP($T$54,'TAR FIN'!$A$1:$O$113,15,0)),0,VLOOKUP($T$54,'TAR FIN'!$A$1:$O$113,15,0))</f>
        <v>72.150000000000006</v>
      </c>
      <c r="X54" s="6">
        <f>IF(ISERROR(VLOOKUP($U$54,'TAR FIN'!$A$1:$O$113,15,0)),0,VLOOKUP($U$54,'TAR FIN'!$A$1:$O$113,15,0))</f>
        <v>278.67</v>
      </c>
      <c r="Y54" s="6">
        <f ca="1">('TUSD BE'!$AM$15+'TUSD BF'!$AM$15+'TUSD CVA'!$AM$15)*1</f>
        <v>16.035953923331604</v>
      </c>
      <c r="Z54" s="6">
        <f ca="1">('TUSD BE'!$AM$16+'TUSD BF'!$AM$16+'TUSD CVA'!$AM$16)*1</f>
        <v>122.14055331663396</v>
      </c>
      <c r="AA54" s="6">
        <f>('TE BE'!$AB$10+'TE BF'!$AB$10+'TE CVA'!$AB$10)*1</f>
        <v>299.18055042718134</v>
      </c>
      <c r="AB54" s="6">
        <f>$K$54*$V$54</f>
        <v>27874</v>
      </c>
      <c r="AC54" s="6">
        <f>$M$54*$W$54</f>
        <v>43387.907550000004</v>
      </c>
      <c r="AD54" s="6">
        <f>$O$54*$X$54</f>
        <v>167580.15518999999</v>
      </c>
      <c r="AE54" s="6">
        <f ca="1">$K$54*$Y$54</f>
        <v>31927.584261353222</v>
      </c>
      <c r="AF54" s="6">
        <f ca="1">$M$54*$Z$54</f>
        <v>73450.076720831043</v>
      </c>
      <c r="AG54" s="6">
        <f>$O$54*$AA$54</f>
        <v>179914.31826323847</v>
      </c>
    </row>
    <row r="55" spans="1:33" ht="11.25" customHeight="1" x14ac:dyDescent="0.3">
      <c r="A55" s="4" t="s">
        <v>21</v>
      </c>
      <c r="B55" s="4" t="s">
        <v>39</v>
      </c>
      <c r="C55" s="4" t="s">
        <v>40</v>
      </c>
      <c r="D55" s="4" t="s">
        <v>42</v>
      </c>
      <c r="E55" s="4" t="s">
        <v>25</v>
      </c>
      <c r="F55" s="4" t="s">
        <v>25</v>
      </c>
      <c r="G55" s="4" t="s">
        <v>25</v>
      </c>
      <c r="H55" s="4" t="s">
        <v>35</v>
      </c>
      <c r="I55" s="5">
        <v>44652</v>
      </c>
      <c r="J55" s="6">
        <v>2006</v>
      </c>
      <c r="K55" s="6">
        <v>2006</v>
      </c>
      <c r="L55" s="6">
        <v>688.48900000000003</v>
      </c>
      <c r="M55" s="6">
        <v>688.48900000000003</v>
      </c>
      <c r="N55" s="6">
        <v>688.48900000000003</v>
      </c>
      <c r="O55" s="6">
        <v>688.48900000000003</v>
      </c>
      <c r="P55" s="6">
        <v>0</v>
      </c>
      <c r="Q55" s="4" t="s">
        <v>26</v>
      </c>
      <c r="R55" s="4">
        <v>0</v>
      </c>
      <c r="S55" s="6">
        <v>22</v>
      </c>
      <c r="T55" s="6">
        <v>12</v>
      </c>
      <c r="U55" s="6">
        <v>61</v>
      </c>
      <c r="V55" s="6">
        <f>IF(ISERROR(VLOOKUP($S$55,'TAR FIN'!$A$1:$O$113,15,0)),0,VLOOKUP($S$55,'TAR FIN'!$A$1:$O$113,15,0))</f>
        <v>14</v>
      </c>
      <c r="W55" s="6">
        <f>IF(ISERROR(VLOOKUP($T$55,'TAR FIN'!$A$1:$O$113,15,0)),0,VLOOKUP($T$55,'TAR FIN'!$A$1:$O$113,15,0))</f>
        <v>72.150000000000006</v>
      </c>
      <c r="X55" s="6">
        <f>IF(ISERROR(VLOOKUP($U$55,'TAR FIN'!$A$1:$O$113,15,0)),0,VLOOKUP($U$55,'TAR FIN'!$A$1:$O$113,15,0))</f>
        <v>278.67</v>
      </c>
      <c r="Y55" s="6">
        <f ca="1">('TUSD BE'!$AM$15+'TUSD BF'!$AM$15+'TUSD CVA'!$AM$15)*1</f>
        <v>16.035953923331604</v>
      </c>
      <c r="Z55" s="6">
        <f ca="1">('TUSD BE'!$AM$16+'TUSD BF'!$AM$16+'TUSD CVA'!$AM$16)*1</f>
        <v>122.14055331663396</v>
      </c>
      <c r="AA55" s="6">
        <f>('TE BE'!$AB$10+'TE BF'!$AB$10+'TE CVA'!$AB$10)*1</f>
        <v>299.18055042718134</v>
      </c>
      <c r="AB55" s="6">
        <f>$K$55*$V$55</f>
        <v>28084</v>
      </c>
      <c r="AC55" s="6">
        <f>$M$55*$W$55</f>
        <v>49674.481350000009</v>
      </c>
      <c r="AD55" s="6">
        <f>$O$55*$X$55</f>
        <v>191861.22963000002</v>
      </c>
      <c r="AE55" s="6">
        <f ca="1">$K$55*$Y$55</f>
        <v>32168.123570203199</v>
      </c>
      <c r="AF55" s="6">
        <f ca="1">$M$55*$Z$55</f>
        <v>84092.427412416</v>
      </c>
      <c r="AG55" s="6">
        <f>$O$55*$AA$55</f>
        <v>205982.51798305966</v>
      </c>
    </row>
    <row r="56" spans="1:33" ht="11.25" customHeight="1" x14ac:dyDescent="0.3">
      <c r="A56" s="4" t="s">
        <v>21</v>
      </c>
      <c r="B56" s="4" t="s">
        <v>39</v>
      </c>
      <c r="C56" s="4" t="s">
        <v>40</v>
      </c>
      <c r="D56" s="4" t="s">
        <v>42</v>
      </c>
      <c r="E56" s="4" t="s">
        <v>25</v>
      </c>
      <c r="F56" s="4" t="s">
        <v>25</v>
      </c>
      <c r="G56" s="4" t="s">
        <v>25</v>
      </c>
      <c r="H56" s="4" t="s">
        <v>35</v>
      </c>
      <c r="I56" s="5">
        <v>44682</v>
      </c>
      <c r="J56" s="6">
        <v>1992</v>
      </c>
      <c r="K56" s="6">
        <v>1992</v>
      </c>
      <c r="L56" s="6">
        <v>635.53399999999999</v>
      </c>
      <c r="M56" s="6">
        <v>635.53399999999999</v>
      </c>
      <c r="N56" s="6">
        <v>635.53399999999999</v>
      </c>
      <c r="O56" s="6">
        <v>635.53399999999999</v>
      </c>
      <c r="P56" s="6">
        <v>0</v>
      </c>
      <c r="Q56" s="4" t="s">
        <v>26</v>
      </c>
      <c r="R56" s="4">
        <v>0</v>
      </c>
      <c r="S56" s="6">
        <v>22</v>
      </c>
      <c r="T56" s="6">
        <v>12</v>
      </c>
      <c r="U56" s="6">
        <v>61</v>
      </c>
      <c r="V56" s="6">
        <f>IF(ISERROR(VLOOKUP($S$56,'TAR FIN'!$A$1:$O$113,15,0)),0,VLOOKUP($S$56,'TAR FIN'!$A$1:$O$113,15,0))</f>
        <v>14</v>
      </c>
      <c r="W56" s="6">
        <f>IF(ISERROR(VLOOKUP($T$56,'TAR FIN'!$A$1:$O$113,15,0)),0,VLOOKUP($T$56,'TAR FIN'!$A$1:$O$113,15,0))</f>
        <v>72.150000000000006</v>
      </c>
      <c r="X56" s="6">
        <f>IF(ISERROR(VLOOKUP($U$56,'TAR FIN'!$A$1:$O$113,15,0)),0,VLOOKUP($U$56,'TAR FIN'!$A$1:$O$113,15,0))</f>
        <v>278.67</v>
      </c>
      <c r="Y56" s="6">
        <f ca="1">('TUSD BE'!$AM$15+'TUSD BF'!$AM$15+'TUSD CVA'!$AM$15)*1</f>
        <v>16.035953923331604</v>
      </c>
      <c r="Z56" s="6">
        <f ca="1">('TUSD BE'!$AM$16+'TUSD BF'!$AM$16+'TUSD CVA'!$AM$16)*1</f>
        <v>122.14055331663396</v>
      </c>
      <c r="AA56" s="6">
        <f>('TE BE'!$AB$10+'TE BF'!$AB$10+'TE CVA'!$AB$10)*1</f>
        <v>299.18055042718134</v>
      </c>
      <c r="AB56" s="6">
        <f>$K$56*$V$56</f>
        <v>27888</v>
      </c>
      <c r="AC56" s="6">
        <f>$M$56*$W$56</f>
        <v>45853.778100000003</v>
      </c>
      <c r="AD56" s="6">
        <f>$O$56*$X$56</f>
        <v>177104.25978000002</v>
      </c>
      <c r="AE56" s="6">
        <f ca="1">$K$56*$Y$56</f>
        <v>31943.620215276555</v>
      </c>
      <c r="AF56" s="6">
        <f ca="1">$M$56*$Z$56</f>
        <v>77624.474411533636</v>
      </c>
      <c r="AG56" s="6">
        <f>$O$56*$AA$56</f>
        <v>190139.41193518825</v>
      </c>
    </row>
    <row r="57" spans="1:33" ht="11.25" customHeight="1" x14ac:dyDescent="0.3">
      <c r="A57" s="4" t="s">
        <v>21</v>
      </c>
      <c r="B57" s="4" t="s">
        <v>39</v>
      </c>
      <c r="C57" s="4" t="s">
        <v>40</v>
      </c>
      <c r="D57" s="4" t="s">
        <v>42</v>
      </c>
      <c r="E57" s="4" t="s">
        <v>25</v>
      </c>
      <c r="F57" s="4" t="s">
        <v>25</v>
      </c>
      <c r="G57" s="4" t="s">
        <v>25</v>
      </c>
      <c r="H57" s="4" t="s">
        <v>35</v>
      </c>
      <c r="I57" s="5">
        <v>44713</v>
      </c>
      <c r="J57" s="6">
        <v>1976</v>
      </c>
      <c r="K57" s="6">
        <v>1976</v>
      </c>
      <c r="L57" s="6">
        <v>608.31899999999996</v>
      </c>
      <c r="M57" s="6">
        <v>608.31899999999996</v>
      </c>
      <c r="N57" s="6">
        <v>608.31899999999996</v>
      </c>
      <c r="O57" s="6">
        <v>608.31899999999996</v>
      </c>
      <c r="P57" s="6">
        <v>0</v>
      </c>
      <c r="Q57" s="4" t="s">
        <v>26</v>
      </c>
      <c r="R57" s="4">
        <v>0</v>
      </c>
      <c r="S57" s="6">
        <v>22</v>
      </c>
      <c r="T57" s="6">
        <v>12</v>
      </c>
      <c r="U57" s="6">
        <v>61</v>
      </c>
      <c r="V57" s="6">
        <f>IF(ISERROR(VLOOKUP($S$57,'TAR FIN'!$A$1:$O$113,15,0)),0,VLOOKUP($S$57,'TAR FIN'!$A$1:$O$113,15,0))</f>
        <v>14</v>
      </c>
      <c r="W57" s="6">
        <f>IF(ISERROR(VLOOKUP($T$57,'TAR FIN'!$A$1:$O$113,15,0)),0,VLOOKUP($T$57,'TAR FIN'!$A$1:$O$113,15,0))</f>
        <v>72.150000000000006</v>
      </c>
      <c r="X57" s="6">
        <f>IF(ISERROR(VLOOKUP($U$57,'TAR FIN'!$A$1:$O$113,15,0)),0,VLOOKUP($U$57,'TAR FIN'!$A$1:$O$113,15,0))</f>
        <v>278.67</v>
      </c>
      <c r="Y57" s="6">
        <f ca="1">('TUSD BE'!$AM$15+'TUSD BF'!$AM$15+'TUSD CVA'!$AM$15)*1</f>
        <v>16.035953923331604</v>
      </c>
      <c r="Z57" s="6">
        <f ca="1">('TUSD BE'!$AM$16+'TUSD BF'!$AM$16+'TUSD CVA'!$AM$16)*1</f>
        <v>122.14055331663396</v>
      </c>
      <c r="AA57" s="6">
        <f>('TE BE'!$AB$10+'TE BF'!$AB$10+'TE CVA'!$AB$10)*1</f>
        <v>299.18055042718134</v>
      </c>
      <c r="AB57" s="6">
        <f>$K$57*$V$57</f>
        <v>27664</v>
      </c>
      <c r="AC57" s="6">
        <f>$M$57*$W$57</f>
        <v>43890.215850000001</v>
      </c>
      <c r="AD57" s="6">
        <f>$O$57*$X$57</f>
        <v>169520.25573</v>
      </c>
      <c r="AE57" s="6">
        <f ca="1">$K$57*$Y$57</f>
        <v>31687.044952503249</v>
      </c>
      <c r="AF57" s="6">
        <f ca="1">$M$57*$Z$57</f>
        <v>74300.41925302145</v>
      </c>
      <c r="AG57" s="6">
        <f>$O$57*$AA$57</f>
        <v>181997.21325531253</v>
      </c>
    </row>
    <row r="58" spans="1:33" ht="11.25" customHeight="1" x14ac:dyDescent="0.3">
      <c r="A58" s="4" t="s">
        <v>21</v>
      </c>
      <c r="B58" s="4" t="s">
        <v>39</v>
      </c>
      <c r="C58" s="4" t="s">
        <v>40</v>
      </c>
      <c r="D58" s="4" t="s">
        <v>42</v>
      </c>
      <c r="E58" s="4" t="s">
        <v>25</v>
      </c>
      <c r="F58" s="4" t="s">
        <v>25</v>
      </c>
      <c r="G58" s="4" t="s">
        <v>25</v>
      </c>
      <c r="H58" s="4" t="s">
        <v>35</v>
      </c>
      <c r="I58" s="5">
        <v>44743</v>
      </c>
      <c r="J58" s="6">
        <v>1962</v>
      </c>
      <c r="K58" s="6">
        <v>1962</v>
      </c>
      <c r="L58" s="6">
        <v>582.47299999999996</v>
      </c>
      <c r="M58" s="6">
        <v>582.47299999999996</v>
      </c>
      <c r="N58" s="6">
        <v>582.47299999999996</v>
      </c>
      <c r="O58" s="6">
        <v>582.47299999999996</v>
      </c>
      <c r="P58" s="6">
        <v>0</v>
      </c>
      <c r="Q58" s="4" t="s">
        <v>26</v>
      </c>
      <c r="R58" s="4">
        <v>0</v>
      </c>
      <c r="S58" s="6">
        <v>22</v>
      </c>
      <c r="T58" s="6">
        <v>12</v>
      </c>
      <c r="U58" s="6">
        <v>61</v>
      </c>
      <c r="V58" s="6">
        <f>IF(ISERROR(VLOOKUP($S$58,'TAR FIN'!$A$1:$O$113,15,0)),0,VLOOKUP($S$58,'TAR FIN'!$A$1:$O$113,15,0))</f>
        <v>14</v>
      </c>
      <c r="W58" s="6">
        <f>IF(ISERROR(VLOOKUP($T$58,'TAR FIN'!$A$1:$O$113,15,0)),0,VLOOKUP($T$58,'TAR FIN'!$A$1:$O$113,15,0))</f>
        <v>72.150000000000006</v>
      </c>
      <c r="X58" s="6">
        <f>IF(ISERROR(VLOOKUP($U$58,'TAR FIN'!$A$1:$O$113,15,0)),0,VLOOKUP($U$58,'TAR FIN'!$A$1:$O$113,15,0))</f>
        <v>278.67</v>
      </c>
      <c r="Y58" s="6">
        <f ca="1">('TUSD BE'!$AM$15+'TUSD BF'!$AM$15+'TUSD CVA'!$AM$15)*1</f>
        <v>16.035953923331604</v>
      </c>
      <c r="Z58" s="6">
        <f ca="1">('TUSD BE'!$AM$16+'TUSD BF'!$AM$16+'TUSD CVA'!$AM$16)*1</f>
        <v>122.14055331663396</v>
      </c>
      <c r="AA58" s="6">
        <f>('TE BE'!$AB$10+'TE BF'!$AB$10+'TE CVA'!$AB$10)*1</f>
        <v>299.18055042718134</v>
      </c>
      <c r="AB58" s="6">
        <f>$K$58*$V$58</f>
        <v>27468</v>
      </c>
      <c r="AC58" s="6">
        <f>$M$58*$W$58</f>
        <v>42025.426950000001</v>
      </c>
      <c r="AD58" s="6">
        <f>$O$58*$X$58</f>
        <v>162317.75091</v>
      </c>
      <c r="AE58" s="6">
        <f ca="1">$K$58*$Y$58</f>
        <v>31462.541597576608</v>
      </c>
      <c r="AF58" s="6">
        <f ca="1">$M$58*$Z$58</f>
        <v>71143.57451199973</v>
      </c>
      <c r="AG58" s="6">
        <f>$O$58*$AA$58</f>
        <v>174264.5927489716</v>
      </c>
    </row>
    <row r="59" spans="1:33" ht="11.25" customHeight="1" x14ac:dyDescent="0.3">
      <c r="A59" s="4" t="s">
        <v>21</v>
      </c>
      <c r="B59" s="4" t="s">
        <v>39</v>
      </c>
      <c r="C59" s="4" t="s">
        <v>40</v>
      </c>
      <c r="D59" s="4" t="s">
        <v>42</v>
      </c>
      <c r="E59" s="4" t="s">
        <v>25</v>
      </c>
      <c r="F59" s="4" t="s">
        <v>25</v>
      </c>
      <c r="G59" s="4" t="s">
        <v>25</v>
      </c>
      <c r="H59" s="4" t="s">
        <v>35</v>
      </c>
      <c r="I59" s="5">
        <v>44774</v>
      </c>
      <c r="J59" s="6">
        <v>1958</v>
      </c>
      <c r="K59" s="6">
        <v>1958</v>
      </c>
      <c r="L59" s="6">
        <v>615.88</v>
      </c>
      <c r="M59" s="6">
        <v>615.88</v>
      </c>
      <c r="N59" s="6">
        <v>615.88</v>
      </c>
      <c r="O59" s="6">
        <v>615.88</v>
      </c>
      <c r="P59" s="6">
        <v>0</v>
      </c>
      <c r="Q59" s="4" t="s">
        <v>26</v>
      </c>
      <c r="R59" s="4">
        <v>0</v>
      </c>
      <c r="S59" s="6">
        <v>22</v>
      </c>
      <c r="T59" s="6">
        <v>12</v>
      </c>
      <c r="U59" s="6">
        <v>61</v>
      </c>
      <c r="V59" s="6">
        <f>IF(ISERROR(VLOOKUP($S$59,'TAR FIN'!$A$1:$O$113,15,0)),0,VLOOKUP($S$59,'TAR FIN'!$A$1:$O$113,15,0))</f>
        <v>14</v>
      </c>
      <c r="W59" s="6">
        <f>IF(ISERROR(VLOOKUP($T$59,'TAR FIN'!$A$1:$O$113,15,0)),0,VLOOKUP($T$59,'TAR FIN'!$A$1:$O$113,15,0))</f>
        <v>72.150000000000006</v>
      </c>
      <c r="X59" s="6">
        <f>IF(ISERROR(VLOOKUP($U$59,'TAR FIN'!$A$1:$O$113,15,0)),0,VLOOKUP($U$59,'TAR FIN'!$A$1:$O$113,15,0))</f>
        <v>278.67</v>
      </c>
      <c r="Y59" s="6">
        <f ca="1">('TUSD BE'!$AM$15+'TUSD BF'!$AM$15+'TUSD CVA'!$AM$15)*1</f>
        <v>16.035953923331604</v>
      </c>
      <c r="Z59" s="6">
        <f ca="1">('TUSD BE'!$AM$16+'TUSD BF'!$AM$16+'TUSD CVA'!$AM$16)*1</f>
        <v>122.14055331663396</v>
      </c>
      <c r="AA59" s="6">
        <f>('TE BE'!$AB$10+'TE BF'!$AB$10+'TE CVA'!$AB$10)*1</f>
        <v>299.18055042718134</v>
      </c>
      <c r="AB59" s="6">
        <f>$K$59*$V$59</f>
        <v>27412</v>
      </c>
      <c r="AC59" s="6">
        <f>$M$59*$W$59</f>
        <v>44435.742000000006</v>
      </c>
      <c r="AD59" s="6">
        <f>$O$59*$X$59</f>
        <v>171627.27960000001</v>
      </c>
      <c r="AE59" s="6">
        <f ca="1">$K$59*$Y$59</f>
        <v>31398.397781883283</v>
      </c>
      <c r="AF59" s="6">
        <f ca="1">$M$59*$Z$59</f>
        <v>75223.923976648526</v>
      </c>
      <c r="AG59" s="6">
        <f>$O$59*$AA$59</f>
        <v>184259.31739709244</v>
      </c>
    </row>
    <row r="60" spans="1:33" ht="11.25" customHeight="1" x14ac:dyDescent="0.3">
      <c r="A60" s="4" t="s">
        <v>21</v>
      </c>
      <c r="B60" s="4" t="s">
        <v>39</v>
      </c>
      <c r="C60" s="4" t="s">
        <v>40</v>
      </c>
      <c r="D60" s="4" t="s">
        <v>42</v>
      </c>
      <c r="E60" s="4" t="s">
        <v>25</v>
      </c>
      <c r="F60" s="4" t="s">
        <v>25</v>
      </c>
      <c r="G60" s="4" t="s">
        <v>25</v>
      </c>
      <c r="H60" s="4" t="s">
        <v>35</v>
      </c>
      <c r="I60" s="5">
        <v>44805</v>
      </c>
      <c r="J60" s="6">
        <v>1971</v>
      </c>
      <c r="K60" s="6">
        <v>1971</v>
      </c>
      <c r="L60" s="6">
        <v>597.37</v>
      </c>
      <c r="M60" s="6">
        <v>597.37</v>
      </c>
      <c r="N60" s="6">
        <v>597.37</v>
      </c>
      <c r="O60" s="6">
        <v>597.37</v>
      </c>
      <c r="P60" s="6">
        <v>0</v>
      </c>
      <c r="Q60" s="4" t="s">
        <v>26</v>
      </c>
      <c r="R60" s="4">
        <v>0</v>
      </c>
      <c r="S60" s="6">
        <v>22</v>
      </c>
      <c r="T60" s="6">
        <v>12</v>
      </c>
      <c r="U60" s="6">
        <v>61</v>
      </c>
      <c r="V60" s="6">
        <f>IF(ISERROR(VLOOKUP($S$60,'TAR FIN'!$A$1:$O$113,15,0)),0,VLOOKUP($S$60,'TAR FIN'!$A$1:$O$113,15,0))</f>
        <v>14</v>
      </c>
      <c r="W60" s="6">
        <f>IF(ISERROR(VLOOKUP($T$60,'TAR FIN'!$A$1:$O$113,15,0)),0,VLOOKUP($T$60,'TAR FIN'!$A$1:$O$113,15,0))</f>
        <v>72.150000000000006</v>
      </c>
      <c r="X60" s="6">
        <f>IF(ISERROR(VLOOKUP($U$60,'TAR FIN'!$A$1:$O$113,15,0)),0,VLOOKUP($U$60,'TAR FIN'!$A$1:$O$113,15,0))</f>
        <v>278.67</v>
      </c>
      <c r="Y60" s="6">
        <f ca="1">('TUSD BE'!$AM$15+'TUSD BF'!$AM$15+'TUSD CVA'!$AM$15)*1</f>
        <v>16.035953923331604</v>
      </c>
      <c r="Z60" s="6">
        <f ca="1">('TUSD BE'!$AM$16+'TUSD BF'!$AM$16+'TUSD CVA'!$AM$16)*1</f>
        <v>122.14055331663396</v>
      </c>
      <c r="AA60" s="6">
        <f>('TE BE'!$AB$10+'TE BF'!$AB$10+'TE CVA'!$AB$10)*1</f>
        <v>299.18055042718134</v>
      </c>
      <c r="AB60" s="6">
        <f>$K$60*$V$60</f>
        <v>27594</v>
      </c>
      <c r="AC60" s="6">
        <f>$M$60*$W$60</f>
        <v>43100.245500000005</v>
      </c>
      <c r="AD60" s="6">
        <f>$O$60*$X$60</f>
        <v>166469.09790000002</v>
      </c>
      <c r="AE60" s="6">
        <f ca="1">$K$60*$Y$60</f>
        <v>31606.865182886591</v>
      </c>
      <c r="AF60" s="6">
        <f ca="1">$M$60*$Z$60</f>
        <v>72963.102334757627</v>
      </c>
      <c r="AG60" s="6">
        <f>$O$60*$AA$60</f>
        <v>178721.48540868532</v>
      </c>
    </row>
    <row r="61" spans="1:33" ht="11.25" customHeight="1" x14ac:dyDescent="0.3">
      <c r="A61" s="4" t="s">
        <v>53</v>
      </c>
      <c r="B61" s="4" t="s">
        <v>39</v>
      </c>
      <c r="C61" s="4" t="s">
        <v>40</v>
      </c>
      <c r="D61" s="4" t="s">
        <v>42</v>
      </c>
      <c r="E61" s="4" t="s">
        <v>25</v>
      </c>
      <c r="F61" s="4" t="s">
        <v>25</v>
      </c>
      <c r="G61" s="4" t="s">
        <v>25</v>
      </c>
      <c r="H61" s="4" t="s">
        <v>35</v>
      </c>
      <c r="I61" s="5">
        <v>44835</v>
      </c>
      <c r="J61" s="6">
        <v>1971</v>
      </c>
      <c r="K61" s="6">
        <v>1971</v>
      </c>
      <c r="L61" s="6">
        <v>597.37</v>
      </c>
      <c r="M61" s="6">
        <v>597.37</v>
      </c>
      <c r="N61" s="6">
        <v>597.37</v>
      </c>
      <c r="O61" s="6">
        <v>597.37</v>
      </c>
      <c r="P61" s="6">
        <v>0</v>
      </c>
      <c r="Q61" s="4" t="s">
        <v>26</v>
      </c>
      <c r="R61" s="4">
        <v>0</v>
      </c>
      <c r="S61" s="6">
        <v>22</v>
      </c>
      <c r="T61" s="6">
        <v>12</v>
      </c>
      <c r="U61" s="6">
        <v>61</v>
      </c>
      <c r="V61" s="6">
        <f>IF(ISERROR(VLOOKUP($S$61,'TAR FIN'!$A$1:$O$113,15,0)),0,VLOOKUP($S$61,'TAR FIN'!$A$1:$O$113,15,0))</f>
        <v>14</v>
      </c>
      <c r="W61" s="6">
        <f>IF(ISERROR(VLOOKUP($T$61,'TAR FIN'!$A$1:$O$113,15,0)),0,VLOOKUP($T$61,'TAR FIN'!$A$1:$O$113,15,0))</f>
        <v>72.150000000000006</v>
      </c>
      <c r="X61" s="6">
        <f>IF(ISERROR(VLOOKUP($U$61,'TAR FIN'!$A$1:$O$113,15,0)),0,VLOOKUP($U$61,'TAR FIN'!$A$1:$O$113,15,0))</f>
        <v>278.67</v>
      </c>
      <c r="Y61" s="6">
        <f ca="1">('TUSD BE'!$AM$15+'TUSD BF'!$AM$15+'TUSD CVA'!$AM$15)*1</f>
        <v>16.035953923331604</v>
      </c>
      <c r="Z61" s="6">
        <f ca="1">('TUSD BE'!$AM$16+'TUSD BF'!$AM$16+'TUSD CVA'!$AM$16)*1</f>
        <v>122.14055331663396</v>
      </c>
      <c r="AA61" s="6">
        <f>('TE BE'!$AB$10+'TE BF'!$AB$10+'TE CVA'!$AB$10)*1</f>
        <v>299.18055042718134</v>
      </c>
      <c r="AB61" s="6">
        <f>$K$61*$V$61</f>
        <v>27594</v>
      </c>
      <c r="AC61" s="6">
        <f>$M$61*$W$61</f>
        <v>43100.245500000005</v>
      </c>
      <c r="AD61" s="6">
        <f>$O$61*$X$61</f>
        <v>166469.09790000002</v>
      </c>
      <c r="AE61" s="6">
        <f ca="1">$K$61*$Y$61</f>
        <v>31606.865182886591</v>
      </c>
      <c r="AF61" s="6">
        <f ca="1">$M$61*$Z$61</f>
        <v>72963.102334757627</v>
      </c>
      <c r="AG61" s="6">
        <f>$O$61*$AA$61</f>
        <v>178721.48540868532</v>
      </c>
    </row>
    <row r="62" spans="1:33" ht="11.25" customHeight="1" x14ac:dyDescent="0.3">
      <c r="A62" s="4" t="s">
        <v>21</v>
      </c>
      <c r="B62" s="4" t="s">
        <v>39</v>
      </c>
      <c r="C62" s="4" t="s">
        <v>40</v>
      </c>
      <c r="D62" s="4" t="s">
        <v>42</v>
      </c>
      <c r="E62" s="4" t="s">
        <v>25</v>
      </c>
      <c r="F62" s="4" t="s">
        <v>25</v>
      </c>
      <c r="G62" s="4" t="s">
        <v>25</v>
      </c>
      <c r="H62" s="4" t="s">
        <v>34</v>
      </c>
      <c r="I62" s="5">
        <v>44501</v>
      </c>
      <c r="J62" s="6">
        <v>1903</v>
      </c>
      <c r="K62" s="6">
        <v>1903</v>
      </c>
      <c r="L62" s="6">
        <v>65.144999999999996</v>
      </c>
      <c r="M62" s="6">
        <v>65.144999999999996</v>
      </c>
      <c r="N62" s="6">
        <v>65.144999999999996</v>
      </c>
      <c r="O62" s="6">
        <v>65.144999999999996</v>
      </c>
      <c r="P62" s="6">
        <v>0</v>
      </c>
      <c r="Q62" s="4" t="s">
        <v>26</v>
      </c>
      <c r="R62" s="4">
        <v>0</v>
      </c>
      <c r="S62" s="6">
        <v>9</v>
      </c>
      <c r="T62" s="6">
        <v>12</v>
      </c>
      <c r="U62" s="6">
        <v>38</v>
      </c>
      <c r="V62" s="6">
        <f>IF(ISERROR(VLOOKUP($S$62,'TAR FIN'!$A$1:$O$113,15,0)),0,VLOOKUP($S$62,'TAR FIN'!$A$1:$O$113,15,0))</f>
        <v>35.76</v>
      </c>
      <c r="W62" s="6">
        <f>IF(ISERROR(VLOOKUP($T$62,'TAR FIN'!$A$1:$O$113,15,0)),0,VLOOKUP($T$62,'TAR FIN'!$A$1:$O$113,15,0))</f>
        <v>72.150000000000006</v>
      </c>
      <c r="X62" s="6">
        <f>IF(ISERROR(VLOOKUP($U$62,'TAR FIN'!$A$1:$O$113,15,0)),0,VLOOKUP($U$62,'TAR FIN'!$A$1:$O$113,15,0))</f>
        <v>442.86</v>
      </c>
      <c r="Y62" s="6">
        <f ca="1">('TUSD BE'!$AM$14+'TUSD BF'!$AM$14+'TUSD CVA'!$AM$14)*1</f>
        <v>40.963640769708675</v>
      </c>
      <c r="Z62" s="6">
        <f ca="1">('TUSD BE'!$AM$16+'TUSD BF'!$AM$16+'TUSD CVA'!$AM$16)*1</f>
        <v>122.14055331663396</v>
      </c>
      <c r="AA62" s="6">
        <f>('TE BE'!$AB$9+'TE BF'!$AB$9+'TE CVA'!$AB$9)*1</f>
        <v>486.43608405794748</v>
      </c>
      <c r="AB62" s="6">
        <f>$K$62*$V$62</f>
        <v>68051.28</v>
      </c>
      <c r="AC62" s="6">
        <f>$M$62*$W$62</f>
        <v>4700.2117500000004</v>
      </c>
      <c r="AD62" s="6">
        <f>$O$62*$X$62</f>
        <v>28850.114699999998</v>
      </c>
      <c r="AE62" s="6">
        <f ca="1">$K$62*$Y$62</f>
        <v>77953.808384755612</v>
      </c>
      <c r="AF62" s="6">
        <f ca="1">$M$62*$Z$62</f>
        <v>7956.8463458121187</v>
      </c>
      <c r="AG62" s="6">
        <f>$O$62*$AA$62</f>
        <v>31688.878695954987</v>
      </c>
    </row>
    <row r="63" spans="1:33" ht="11.25" customHeight="1" x14ac:dyDescent="0.3">
      <c r="A63" s="4" t="s">
        <v>21</v>
      </c>
      <c r="B63" s="4" t="s">
        <v>39</v>
      </c>
      <c r="C63" s="4" t="s">
        <v>40</v>
      </c>
      <c r="D63" s="4" t="s">
        <v>42</v>
      </c>
      <c r="E63" s="4" t="s">
        <v>25</v>
      </c>
      <c r="F63" s="4" t="s">
        <v>25</v>
      </c>
      <c r="G63" s="4" t="s">
        <v>25</v>
      </c>
      <c r="H63" s="4" t="s">
        <v>34</v>
      </c>
      <c r="I63" s="5">
        <v>44531</v>
      </c>
      <c r="J63" s="6">
        <v>1921</v>
      </c>
      <c r="K63" s="6">
        <v>1921</v>
      </c>
      <c r="L63" s="6">
        <v>68.108999999999995</v>
      </c>
      <c r="M63" s="6">
        <v>68.108999999999995</v>
      </c>
      <c r="N63" s="6">
        <v>68.108999999999995</v>
      </c>
      <c r="O63" s="6">
        <v>68.108999999999995</v>
      </c>
      <c r="P63" s="6">
        <v>0</v>
      </c>
      <c r="Q63" s="4" t="s">
        <v>26</v>
      </c>
      <c r="R63" s="4">
        <v>0</v>
      </c>
      <c r="S63" s="6">
        <v>9</v>
      </c>
      <c r="T63" s="6">
        <v>12</v>
      </c>
      <c r="U63" s="6">
        <v>38</v>
      </c>
      <c r="V63" s="6">
        <f>IF(ISERROR(VLOOKUP($S$63,'TAR FIN'!$A$1:$O$113,15,0)),0,VLOOKUP($S$63,'TAR FIN'!$A$1:$O$113,15,0))</f>
        <v>35.76</v>
      </c>
      <c r="W63" s="6">
        <f>IF(ISERROR(VLOOKUP($T$63,'TAR FIN'!$A$1:$O$113,15,0)),0,VLOOKUP($T$63,'TAR FIN'!$A$1:$O$113,15,0))</f>
        <v>72.150000000000006</v>
      </c>
      <c r="X63" s="6">
        <f>IF(ISERROR(VLOOKUP($U$63,'TAR FIN'!$A$1:$O$113,15,0)),0,VLOOKUP($U$63,'TAR FIN'!$A$1:$O$113,15,0))</f>
        <v>442.86</v>
      </c>
      <c r="Y63" s="6">
        <f ca="1">('TUSD BE'!$AM$14+'TUSD BF'!$AM$14+'TUSD CVA'!$AM$14)*1</f>
        <v>40.963640769708675</v>
      </c>
      <c r="Z63" s="6">
        <f ca="1">('TUSD BE'!$AM$16+'TUSD BF'!$AM$16+'TUSD CVA'!$AM$16)*1</f>
        <v>122.14055331663396</v>
      </c>
      <c r="AA63" s="6">
        <f>('TE BE'!$AB$9+'TE BF'!$AB$9+'TE CVA'!$AB$9)*1</f>
        <v>486.43608405794748</v>
      </c>
      <c r="AB63" s="6">
        <f>$K$63*$V$63</f>
        <v>68694.959999999992</v>
      </c>
      <c r="AC63" s="6">
        <f>$M$63*$W$63</f>
        <v>4914.0643499999996</v>
      </c>
      <c r="AD63" s="6">
        <f>$O$63*$X$63</f>
        <v>30162.75174</v>
      </c>
      <c r="AE63" s="6">
        <f ca="1">$K$63*$Y$63</f>
        <v>78691.153918610362</v>
      </c>
      <c r="AF63" s="6">
        <f ca="1">$M$63*$Z$63</f>
        <v>8318.8709458426219</v>
      </c>
      <c r="AG63" s="6">
        <f>$O$63*$AA$63</f>
        <v>33130.675249102744</v>
      </c>
    </row>
    <row r="64" spans="1:33" ht="11.25" customHeight="1" x14ac:dyDescent="0.3">
      <c r="A64" s="4" t="s">
        <v>21</v>
      </c>
      <c r="B64" s="4" t="s">
        <v>39</v>
      </c>
      <c r="C64" s="4" t="s">
        <v>40</v>
      </c>
      <c r="D64" s="4" t="s">
        <v>42</v>
      </c>
      <c r="E64" s="4" t="s">
        <v>25</v>
      </c>
      <c r="F64" s="4" t="s">
        <v>25</v>
      </c>
      <c r="G64" s="4" t="s">
        <v>25</v>
      </c>
      <c r="H64" s="4" t="s">
        <v>34</v>
      </c>
      <c r="I64" s="5">
        <v>44562</v>
      </c>
      <c r="J64" s="6">
        <v>1924</v>
      </c>
      <c r="K64" s="6">
        <v>1924</v>
      </c>
      <c r="L64" s="6">
        <v>74.656000000000006</v>
      </c>
      <c r="M64" s="6">
        <v>74.656000000000006</v>
      </c>
      <c r="N64" s="6">
        <v>74.656000000000006</v>
      </c>
      <c r="O64" s="6">
        <v>74.656000000000006</v>
      </c>
      <c r="P64" s="6">
        <v>0</v>
      </c>
      <c r="Q64" s="4" t="s">
        <v>26</v>
      </c>
      <c r="R64" s="4">
        <v>0</v>
      </c>
      <c r="S64" s="6">
        <v>9</v>
      </c>
      <c r="T64" s="6">
        <v>12</v>
      </c>
      <c r="U64" s="6">
        <v>38</v>
      </c>
      <c r="V64" s="6">
        <f>IF(ISERROR(VLOOKUP($S$64,'TAR FIN'!$A$1:$O$113,15,0)),0,VLOOKUP($S$64,'TAR FIN'!$A$1:$O$113,15,0))</f>
        <v>35.76</v>
      </c>
      <c r="W64" s="6">
        <f>IF(ISERROR(VLOOKUP($T$64,'TAR FIN'!$A$1:$O$113,15,0)),0,VLOOKUP($T$64,'TAR FIN'!$A$1:$O$113,15,0))</f>
        <v>72.150000000000006</v>
      </c>
      <c r="X64" s="6">
        <f>IF(ISERROR(VLOOKUP($U$64,'TAR FIN'!$A$1:$O$113,15,0)),0,VLOOKUP($U$64,'TAR FIN'!$A$1:$O$113,15,0))</f>
        <v>442.86</v>
      </c>
      <c r="Y64" s="6">
        <f ca="1">('TUSD BE'!$AM$14+'TUSD BF'!$AM$14+'TUSD CVA'!$AM$14)*1</f>
        <v>40.963640769708675</v>
      </c>
      <c r="Z64" s="6">
        <f ca="1">('TUSD BE'!$AM$16+'TUSD BF'!$AM$16+'TUSD CVA'!$AM$16)*1</f>
        <v>122.14055331663396</v>
      </c>
      <c r="AA64" s="6">
        <f>('TE BE'!$AB$9+'TE BF'!$AB$9+'TE CVA'!$AB$9)*1</f>
        <v>486.43608405794748</v>
      </c>
      <c r="AB64" s="6">
        <f>$K$64*$V$64</f>
        <v>68802.239999999991</v>
      </c>
      <c r="AC64" s="6">
        <f>$M$64*$W$64</f>
        <v>5386.4304000000011</v>
      </c>
      <c r="AD64" s="6">
        <f>$O$64*$X$64</f>
        <v>33062.156160000006</v>
      </c>
      <c r="AE64" s="6">
        <f ca="1">$K$64*$Y$64</f>
        <v>78814.044840919494</v>
      </c>
      <c r="AF64" s="6">
        <f ca="1">$M$64*$Z$64</f>
        <v>9118.5251484066248</v>
      </c>
      <c r="AG64" s="6">
        <f>$O$64*$AA$64</f>
        <v>36315.372291430132</v>
      </c>
    </row>
    <row r="65" spans="1:33" ht="11.25" customHeight="1" x14ac:dyDescent="0.3">
      <c r="A65" s="4" t="s">
        <v>21</v>
      </c>
      <c r="B65" s="4" t="s">
        <v>39</v>
      </c>
      <c r="C65" s="4" t="s">
        <v>40</v>
      </c>
      <c r="D65" s="4" t="s">
        <v>42</v>
      </c>
      <c r="E65" s="4" t="s">
        <v>25</v>
      </c>
      <c r="F65" s="4" t="s">
        <v>25</v>
      </c>
      <c r="G65" s="4" t="s">
        <v>25</v>
      </c>
      <c r="H65" s="4" t="s">
        <v>34</v>
      </c>
      <c r="I65" s="5">
        <v>44593</v>
      </c>
      <c r="J65" s="6">
        <v>1913</v>
      </c>
      <c r="K65" s="6">
        <v>1913</v>
      </c>
      <c r="L65" s="6">
        <v>69.715000000000003</v>
      </c>
      <c r="M65" s="6">
        <v>69.715000000000003</v>
      </c>
      <c r="N65" s="6">
        <v>69.715000000000003</v>
      </c>
      <c r="O65" s="6">
        <v>69.715000000000003</v>
      </c>
      <c r="P65" s="6">
        <v>0</v>
      </c>
      <c r="Q65" s="4" t="s">
        <v>26</v>
      </c>
      <c r="R65" s="4">
        <v>0</v>
      </c>
      <c r="S65" s="6">
        <v>9</v>
      </c>
      <c r="T65" s="6">
        <v>12</v>
      </c>
      <c r="U65" s="6">
        <v>38</v>
      </c>
      <c r="V65" s="6">
        <f>IF(ISERROR(VLOOKUP($S$65,'TAR FIN'!$A$1:$O$113,15,0)),0,VLOOKUP($S$65,'TAR FIN'!$A$1:$O$113,15,0))</f>
        <v>35.76</v>
      </c>
      <c r="W65" s="6">
        <f>IF(ISERROR(VLOOKUP($T$65,'TAR FIN'!$A$1:$O$113,15,0)),0,VLOOKUP($T$65,'TAR FIN'!$A$1:$O$113,15,0))</f>
        <v>72.150000000000006</v>
      </c>
      <c r="X65" s="6">
        <f>IF(ISERROR(VLOOKUP($U$65,'TAR FIN'!$A$1:$O$113,15,0)),0,VLOOKUP($U$65,'TAR FIN'!$A$1:$O$113,15,0))</f>
        <v>442.86</v>
      </c>
      <c r="Y65" s="6">
        <f ca="1">('TUSD BE'!$AM$14+'TUSD BF'!$AM$14+'TUSD CVA'!$AM$14)*1</f>
        <v>40.963640769708675</v>
      </c>
      <c r="Z65" s="6">
        <f ca="1">('TUSD BE'!$AM$16+'TUSD BF'!$AM$16+'TUSD CVA'!$AM$16)*1</f>
        <v>122.14055331663396</v>
      </c>
      <c r="AA65" s="6">
        <f>('TE BE'!$AB$9+'TE BF'!$AB$9+'TE CVA'!$AB$9)*1</f>
        <v>486.43608405794748</v>
      </c>
      <c r="AB65" s="6">
        <f>$K$65*$V$65</f>
        <v>68408.87999999999</v>
      </c>
      <c r="AC65" s="6">
        <f>$M$65*$W$65</f>
        <v>5029.9372500000009</v>
      </c>
      <c r="AD65" s="6">
        <f>$O$65*$X$65</f>
        <v>30873.984900000003</v>
      </c>
      <c r="AE65" s="6">
        <f ca="1">$K$65*$Y$65</f>
        <v>78363.44479245269</v>
      </c>
      <c r="AF65" s="6">
        <f ca="1">$M$65*$Z$65</f>
        <v>8515.0286744691366</v>
      </c>
      <c r="AG65" s="6">
        <f>$O$65*$AA$65</f>
        <v>33911.891600099807</v>
      </c>
    </row>
    <row r="66" spans="1:33" ht="11.25" customHeight="1" x14ac:dyDescent="0.3">
      <c r="A66" s="4" t="s">
        <v>21</v>
      </c>
      <c r="B66" s="4" t="s">
        <v>39</v>
      </c>
      <c r="C66" s="4" t="s">
        <v>40</v>
      </c>
      <c r="D66" s="4" t="s">
        <v>42</v>
      </c>
      <c r="E66" s="4" t="s">
        <v>25</v>
      </c>
      <c r="F66" s="4" t="s">
        <v>25</v>
      </c>
      <c r="G66" s="4" t="s">
        <v>25</v>
      </c>
      <c r="H66" s="4" t="s">
        <v>34</v>
      </c>
      <c r="I66" s="5">
        <v>44621</v>
      </c>
      <c r="J66" s="6">
        <v>1917</v>
      </c>
      <c r="K66" s="6">
        <v>1917</v>
      </c>
      <c r="L66" s="6">
        <v>68.382999999999996</v>
      </c>
      <c r="M66" s="6">
        <v>68.382999999999996</v>
      </c>
      <c r="N66" s="6">
        <v>68.382999999999996</v>
      </c>
      <c r="O66" s="6">
        <v>68.382999999999996</v>
      </c>
      <c r="P66" s="6">
        <v>0</v>
      </c>
      <c r="Q66" s="4" t="s">
        <v>26</v>
      </c>
      <c r="R66" s="4">
        <v>0</v>
      </c>
      <c r="S66" s="6">
        <v>9</v>
      </c>
      <c r="T66" s="6">
        <v>12</v>
      </c>
      <c r="U66" s="6">
        <v>38</v>
      </c>
      <c r="V66" s="6">
        <f>IF(ISERROR(VLOOKUP($S$66,'TAR FIN'!$A$1:$O$113,15,0)),0,VLOOKUP($S$66,'TAR FIN'!$A$1:$O$113,15,0))</f>
        <v>35.76</v>
      </c>
      <c r="W66" s="6">
        <f>IF(ISERROR(VLOOKUP($T$66,'TAR FIN'!$A$1:$O$113,15,0)),0,VLOOKUP($T$66,'TAR FIN'!$A$1:$O$113,15,0))</f>
        <v>72.150000000000006</v>
      </c>
      <c r="X66" s="6">
        <f>IF(ISERROR(VLOOKUP($U$66,'TAR FIN'!$A$1:$O$113,15,0)),0,VLOOKUP($U$66,'TAR FIN'!$A$1:$O$113,15,0))</f>
        <v>442.86</v>
      </c>
      <c r="Y66" s="6">
        <f ca="1">('TUSD BE'!$AM$14+'TUSD BF'!$AM$14+'TUSD CVA'!$AM$14)*1</f>
        <v>40.963640769708675</v>
      </c>
      <c r="Z66" s="6">
        <f ca="1">('TUSD BE'!$AM$16+'TUSD BF'!$AM$16+'TUSD CVA'!$AM$16)*1</f>
        <v>122.14055331663396</v>
      </c>
      <c r="AA66" s="6">
        <f>('TE BE'!$AB$9+'TE BF'!$AB$9+'TE CVA'!$AB$9)*1</f>
        <v>486.43608405794748</v>
      </c>
      <c r="AB66" s="6">
        <f>$K$66*$V$66</f>
        <v>68551.92</v>
      </c>
      <c r="AC66" s="6">
        <f>$M$66*$W$66</f>
        <v>4933.8334500000001</v>
      </c>
      <c r="AD66" s="6">
        <f>$O$66*$X$66</f>
        <v>30284.095379999999</v>
      </c>
      <c r="AE66" s="6">
        <f ca="1">$K$66*$Y$66</f>
        <v>78527.299355531533</v>
      </c>
      <c r="AF66" s="6">
        <f ca="1">$M$66*$Z$66</f>
        <v>8352.33745745138</v>
      </c>
      <c r="AG66" s="6">
        <f>$O$66*$AA$66</f>
        <v>33263.95873613462</v>
      </c>
    </row>
    <row r="67" spans="1:33" ht="11.25" customHeight="1" x14ac:dyDescent="0.3">
      <c r="A67" s="4" t="s">
        <v>21</v>
      </c>
      <c r="B67" s="4" t="s">
        <v>39</v>
      </c>
      <c r="C67" s="4" t="s">
        <v>40</v>
      </c>
      <c r="D67" s="4" t="s">
        <v>42</v>
      </c>
      <c r="E67" s="4" t="s">
        <v>25</v>
      </c>
      <c r="F67" s="4" t="s">
        <v>25</v>
      </c>
      <c r="G67" s="4" t="s">
        <v>25</v>
      </c>
      <c r="H67" s="4" t="s">
        <v>34</v>
      </c>
      <c r="I67" s="5">
        <v>44652</v>
      </c>
      <c r="J67" s="6">
        <v>1936</v>
      </c>
      <c r="K67" s="6">
        <v>1936</v>
      </c>
      <c r="L67" s="6">
        <v>79.56</v>
      </c>
      <c r="M67" s="6">
        <v>79.56</v>
      </c>
      <c r="N67" s="6">
        <v>79.56</v>
      </c>
      <c r="O67" s="6">
        <v>79.56</v>
      </c>
      <c r="P67" s="6">
        <v>0</v>
      </c>
      <c r="Q67" s="4" t="s">
        <v>26</v>
      </c>
      <c r="R67" s="4">
        <v>0</v>
      </c>
      <c r="S67" s="6">
        <v>9</v>
      </c>
      <c r="T67" s="6">
        <v>12</v>
      </c>
      <c r="U67" s="6">
        <v>38</v>
      </c>
      <c r="V67" s="6">
        <f>IF(ISERROR(VLOOKUP($S$67,'TAR FIN'!$A$1:$O$113,15,0)),0,VLOOKUP($S$67,'TAR FIN'!$A$1:$O$113,15,0))</f>
        <v>35.76</v>
      </c>
      <c r="W67" s="6">
        <f>IF(ISERROR(VLOOKUP($T$67,'TAR FIN'!$A$1:$O$113,15,0)),0,VLOOKUP($T$67,'TAR FIN'!$A$1:$O$113,15,0))</f>
        <v>72.150000000000006</v>
      </c>
      <c r="X67" s="6">
        <f>IF(ISERROR(VLOOKUP($U$67,'TAR FIN'!$A$1:$O$113,15,0)),0,VLOOKUP($U$67,'TAR FIN'!$A$1:$O$113,15,0))</f>
        <v>442.86</v>
      </c>
      <c r="Y67" s="6">
        <f ca="1">('TUSD BE'!$AM$14+'TUSD BF'!$AM$14+'TUSD CVA'!$AM$14)*1</f>
        <v>40.963640769708675</v>
      </c>
      <c r="Z67" s="6">
        <f ca="1">('TUSD BE'!$AM$16+'TUSD BF'!$AM$16+'TUSD CVA'!$AM$16)*1</f>
        <v>122.14055331663396</v>
      </c>
      <c r="AA67" s="6">
        <f>('TE BE'!$AB$9+'TE BF'!$AB$9+'TE CVA'!$AB$9)*1</f>
        <v>486.43608405794748</v>
      </c>
      <c r="AB67" s="6">
        <f>$K$67*$V$67</f>
        <v>69231.360000000001</v>
      </c>
      <c r="AC67" s="6">
        <f>$M$67*$W$67</f>
        <v>5740.2540000000008</v>
      </c>
      <c r="AD67" s="6">
        <f>$O$67*$X$67</f>
        <v>35233.941600000006</v>
      </c>
      <c r="AE67" s="6">
        <f ca="1">$K$67*$Y$67</f>
        <v>79305.608530155994</v>
      </c>
      <c r="AF67" s="6">
        <f ca="1">$M$67*$Z$67</f>
        <v>9717.502421871397</v>
      </c>
      <c r="AG67" s="6">
        <f>$O$67*$AA$67</f>
        <v>38700.854847650306</v>
      </c>
    </row>
    <row r="68" spans="1:33" ht="11.25" customHeight="1" x14ac:dyDescent="0.3">
      <c r="A68" s="4" t="s">
        <v>21</v>
      </c>
      <c r="B68" s="4" t="s">
        <v>39</v>
      </c>
      <c r="C68" s="4" t="s">
        <v>40</v>
      </c>
      <c r="D68" s="4" t="s">
        <v>42</v>
      </c>
      <c r="E68" s="4" t="s">
        <v>25</v>
      </c>
      <c r="F68" s="4" t="s">
        <v>25</v>
      </c>
      <c r="G68" s="4" t="s">
        <v>25</v>
      </c>
      <c r="H68" s="4" t="s">
        <v>34</v>
      </c>
      <c r="I68" s="5">
        <v>44682</v>
      </c>
      <c r="J68" s="6">
        <v>1931</v>
      </c>
      <c r="K68" s="6">
        <v>1931</v>
      </c>
      <c r="L68" s="6">
        <v>67.19</v>
      </c>
      <c r="M68" s="6">
        <v>67.19</v>
      </c>
      <c r="N68" s="6">
        <v>67.19</v>
      </c>
      <c r="O68" s="6">
        <v>67.19</v>
      </c>
      <c r="P68" s="6">
        <v>0</v>
      </c>
      <c r="Q68" s="4" t="s">
        <v>26</v>
      </c>
      <c r="R68" s="4">
        <v>0</v>
      </c>
      <c r="S68" s="6">
        <v>9</v>
      </c>
      <c r="T68" s="6">
        <v>12</v>
      </c>
      <c r="U68" s="6">
        <v>38</v>
      </c>
      <c r="V68" s="6">
        <f>IF(ISERROR(VLOOKUP($S$68,'TAR FIN'!$A$1:$O$113,15,0)),0,VLOOKUP($S$68,'TAR FIN'!$A$1:$O$113,15,0))</f>
        <v>35.76</v>
      </c>
      <c r="W68" s="6">
        <f>IF(ISERROR(VLOOKUP($T$68,'TAR FIN'!$A$1:$O$113,15,0)),0,VLOOKUP($T$68,'TAR FIN'!$A$1:$O$113,15,0))</f>
        <v>72.150000000000006</v>
      </c>
      <c r="X68" s="6">
        <f>IF(ISERROR(VLOOKUP($U$68,'TAR FIN'!$A$1:$O$113,15,0)),0,VLOOKUP($U$68,'TAR FIN'!$A$1:$O$113,15,0))</f>
        <v>442.86</v>
      </c>
      <c r="Y68" s="6">
        <f ca="1">('TUSD BE'!$AM$14+'TUSD BF'!$AM$14+'TUSD CVA'!$AM$14)*1</f>
        <v>40.963640769708675</v>
      </c>
      <c r="Z68" s="6">
        <f ca="1">('TUSD BE'!$AM$16+'TUSD BF'!$AM$16+'TUSD CVA'!$AM$16)*1</f>
        <v>122.14055331663396</v>
      </c>
      <c r="AA68" s="6">
        <f>('TE BE'!$AB$9+'TE BF'!$AB$9+'TE CVA'!$AB$9)*1</f>
        <v>486.43608405794748</v>
      </c>
      <c r="AB68" s="6">
        <f>$K$68*$V$68</f>
        <v>69052.56</v>
      </c>
      <c r="AC68" s="6">
        <f>$M$68*$W$68</f>
        <v>4847.7584999999999</v>
      </c>
      <c r="AD68" s="6">
        <f>$O$68*$X$68</f>
        <v>29755.7634</v>
      </c>
      <c r="AE68" s="6">
        <f ca="1">$K$68*$Y$68</f>
        <v>79100.790326307455</v>
      </c>
      <c r="AF68" s="6">
        <f ca="1">$M$68*$Z$68</f>
        <v>8206.6237773446355</v>
      </c>
      <c r="AG68" s="6">
        <f>$O$68*$AA$68</f>
        <v>32683.640487853489</v>
      </c>
    </row>
    <row r="69" spans="1:33" ht="11.25" customHeight="1" x14ac:dyDescent="0.3">
      <c r="A69" s="4" t="s">
        <v>21</v>
      </c>
      <c r="B69" s="4" t="s">
        <v>39</v>
      </c>
      <c r="C69" s="4" t="s">
        <v>40</v>
      </c>
      <c r="D69" s="4" t="s">
        <v>42</v>
      </c>
      <c r="E69" s="4" t="s">
        <v>25</v>
      </c>
      <c r="F69" s="4" t="s">
        <v>25</v>
      </c>
      <c r="G69" s="4" t="s">
        <v>25</v>
      </c>
      <c r="H69" s="4" t="s">
        <v>34</v>
      </c>
      <c r="I69" s="5">
        <v>44713</v>
      </c>
      <c r="J69" s="6">
        <v>1920</v>
      </c>
      <c r="K69" s="6">
        <v>1920</v>
      </c>
      <c r="L69" s="6">
        <v>70.957999999999998</v>
      </c>
      <c r="M69" s="6">
        <v>70.957999999999998</v>
      </c>
      <c r="N69" s="6">
        <v>70.957999999999998</v>
      </c>
      <c r="O69" s="6">
        <v>70.957999999999998</v>
      </c>
      <c r="P69" s="6">
        <v>0</v>
      </c>
      <c r="Q69" s="4" t="s">
        <v>26</v>
      </c>
      <c r="R69" s="4">
        <v>0</v>
      </c>
      <c r="S69" s="6">
        <v>9</v>
      </c>
      <c r="T69" s="6">
        <v>12</v>
      </c>
      <c r="U69" s="6">
        <v>38</v>
      </c>
      <c r="V69" s="6">
        <f>IF(ISERROR(VLOOKUP($S$69,'TAR FIN'!$A$1:$O$113,15,0)),0,VLOOKUP($S$69,'TAR FIN'!$A$1:$O$113,15,0))</f>
        <v>35.76</v>
      </c>
      <c r="W69" s="6">
        <f>IF(ISERROR(VLOOKUP($T$69,'TAR FIN'!$A$1:$O$113,15,0)),0,VLOOKUP($T$69,'TAR FIN'!$A$1:$O$113,15,0))</f>
        <v>72.150000000000006</v>
      </c>
      <c r="X69" s="6">
        <f>IF(ISERROR(VLOOKUP($U$69,'TAR FIN'!$A$1:$O$113,15,0)),0,VLOOKUP($U$69,'TAR FIN'!$A$1:$O$113,15,0))</f>
        <v>442.86</v>
      </c>
      <c r="Y69" s="6">
        <f ca="1">('TUSD BE'!$AM$14+'TUSD BF'!$AM$14+'TUSD CVA'!$AM$14)*1</f>
        <v>40.963640769708675</v>
      </c>
      <c r="Z69" s="6">
        <f ca="1">('TUSD BE'!$AM$16+'TUSD BF'!$AM$16+'TUSD CVA'!$AM$16)*1</f>
        <v>122.14055331663396</v>
      </c>
      <c r="AA69" s="6">
        <f>('TE BE'!$AB$9+'TE BF'!$AB$9+'TE CVA'!$AB$9)*1</f>
        <v>486.43608405794748</v>
      </c>
      <c r="AB69" s="6">
        <f>$K$69*$V$69</f>
        <v>68659.199999999997</v>
      </c>
      <c r="AC69" s="6">
        <f>$M$69*$W$69</f>
        <v>5119.6197000000002</v>
      </c>
      <c r="AD69" s="6">
        <f>$O$69*$X$69</f>
        <v>31424.459879999999</v>
      </c>
      <c r="AE69" s="6">
        <f ca="1">$K$69*$Y$69</f>
        <v>78650.190277840651</v>
      </c>
      <c r="AF69" s="6">
        <f ca="1">$M$69*$Z$69</f>
        <v>8666.8493822417113</v>
      </c>
      <c r="AG69" s="6">
        <f>$O$69*$AA$69</f>
        <v>34516.531652583835</v>
      </c>
    </row>
    <row r="70" spans="1:33" ht="11.25" customHeight="1" x14ac:dyDescent="0.3">
      <c r="A70" s="4" t="s">
        <v>21</v>
      </c>
      <c r="B70" s="4" t="s">
        <v>39</v>
      </c>
      <c r="C70" s="4" t="s">
        <v>40</v>
      </c>
      <c r="D70" s="4" t="s">
        <v>42</v>
      </c>
      <c r="E70" s="4" t="s">
        <v>25</v>
      </c>
      <c r="F70" s="4" t="s">
        <v>25</v>
      </c>
      <c r="G70" s="4" t="s">
        <v>25</v>
      </c>
      <c r="H70" s="4" t="s">
        <v>34</v>
      </c>
      <c r="I70" s="5">
        <v>44743</v>
      </c>
      <c r="J70" s="6">
        <v>1910</v>
      </c>
      <c r="K70" s="6">
        <v>1910</v>
      </c>
      <c r="L70" s="6">
        <v>68.605999999999995</v>
      </c>
      <c r="M70" s="6">
        <v>68.605999999999995</v>
      </c>
      <c r="N70" s="6">
        <v>68.605999999999995</v>
      </c>
      <c r="O70" s="6">
        <v>68.605999999999995</v>
      </c>
      <c r="P70" s="6">
        <v>0</v>
      </c>
      <c r="Q70" s="4" t="s">
        <v>26</v>
      </c>
      <c r="R70" s="4">
        <v>0</v>
      </c>
      <c r="S70" s="6">
        <v>9</v>
      </c>
      <c r="T70" s="6">
        <v>12</v>
      </c>
      <c r="U70" s="6">
        <v>38</v>
      </c>
      <c r="V70" s="6">
        <f>IF(ISERROR(VLOOKUP($S$70,'TAR FIN'!$A$1:$O$113,15,0)),0,VLOOKUP($S$70,'TAR FIN'!$A$1:$O$113,15,0))</f>
        <v>35.76</v>
      </c>
      <c r="W70" s="6">
        <f>IF(ISERROR(VLOOKUP($T$70,'TAR FIN'!$A$1:$O$113,15,0)),0,VLOOKUP($T$70,'TAR FIN'!$A$1:$O$113,15,0))</f>
        <v>72.150000000000006</v>
      </c>
      <c r="X70" s="6">
        <f>IF(ISERROR(VLOOKUP($U$70,'TAR FIN'!$A$1:$O$113,15,0)),0,VLOOKUP($U$70,'TAR FIN'!$A$1:$O$113,15,0))</f>
        <v>442.86</v>
      </c>
      <c r="Y70" s="6">
        <f ca="1">('TUSD BE'!$AM$14+'TUSD BF'!$AM$14+'TUSD CVA'!$AM$14)*1</f>
        <v>40.963640769708675</v>
      </c>
      <c r="Z70" s="6">
        <f ca="1">('TUSD BE'!$AM$16+'TUSD BF'!$AM$16+'TUSD CVA'!$AM$16)*1</f>
        <v>122.14055331663396</v>
      </c>
      <c r="AA70" s="6">
        <f>('TE BE'!$AB$9+'TE BF'!$AB$9+'TE CVA'!$AB$9)*1</f>
        <v>486.43608405794748</v>
      </c>
      <c r="AB70" s="6">
        <f>$K$70*$V$70</f>
        <v>68301.599999999991</v>
      </c>
      <c r="AC70" s="6">
        <f>$M$70*$W$70</f>
        <v>4949.9228999999996</v>
      </c>
      <c r="AD70" s="6">
        <f>$O$70*$X$70</f>
        <v>30382.853159999999</v>
      </c>
      <c r="AE70" s="6">
        <f ca="1">$K$70*$Y$70</f>
        <v>78240.553870143573</v>
      </c>
      <c r="AF70" s="6">
        <f ca="1">$M$70*$Z$70</f>
        <v>8379.5748008409882</v>
      </c>
      <c r="AG70" s="6">
        <f>$O$70*$AA$70</f>
        <v>33372.433982879542</v>
      </c>
    </row>
    <row r="71" spans="1:33" ht="11.25" customHeight="1" x14ac:dyDescent="0.3">
      <c r="A71" s="4" t="s">
        <v>21</v>
      </c>
      <c r="B71" s="4" t="s">
        <v>39</v>
      </c>
      <c r="C71" s="4" t="s">
        <v>40</v>
      </c>
      <c r="D71" s="4" t="s">
        <v>42</v>
      </c>
      <c r="E71" s="4" t="s">
        <v>25</v>
      </c>
      <c r="F71" s="4" t="s">
        <v>25</v>
      </c>
      <c r="G71" s="4" t="s">
        <v>25</v>
      </c>
      <c r="H71" s="4" t="s">
        <v>34</v>
      </c>
      <c r="I71" s="5">
        <v>44774</v>
      </c>
      <c r="J71" s="6">
        <v>1895</v>
      </c>
      <c r="K71" s="6">
        <v>1895</v>
      </c>
      <c r="L71" s="6">
        <v>66.989999999999995</v>
      </c>
      <c r="M71" s="6">
        <v>66.989999999999995</v>
      </c>
      <c r="N71" s="6">
        <v>66.989999999999995</v>
      </c>
      <c r="O71" s="6">
        <v>66.989999999999995</v>
      </c>
      <c r="P71" s="6">
        <v>0</v>
      </c>
      <c r="Q71" s="4" t="s">
        <v>26</v>
      </c>
      <c r="R71" s="4">
        <v>0</v>
      </c>
      <c r="S71" s="6">
        <v>9</v>
      </c>
      <c r="T71" s="6">
        <v>12</v>
      </c>
      <c r="U71" s="6">
        <v>38</v>
      </c>
      <c r="V71" s="6">
        <f>IF(ISERROR(VLOOKUP($S$71,'TAR FIN'!$A$1:$O$113,15,0)),0,VLOOKUP($S$71,'TAR FIN'!$A$1:$O$113,15,0))</f>
        <v>35.76</v>
      </c>
      <c r="W71" s="6">
        <f>IF(ISERROR(VLOOKUP($T$71,'TAR FIN'!$A$1:$O$113,15,0)),0,VLOOKUP($T$71,'TAR FIN'!$A$1:$O$113,15,0))</f>
        <v>72.150000000000006</v>
      </c>
      <c r="X71" s="6">
        <f>IF(ISERROR(VLOOKUP($U$71,'TAR FIN'!$A$1:$O$113,15,0)),0,VLOOKUP($U$71,'TAR FIN'!$A$1:$O$113,15,0))</f>
        <v>442.86</v>
      </c>
      <c r="Y71" s="6">
        <f ca="1">('TUSD BE'!$AM$14+'TUSD BF'!$AM$14+'TUSD CVA'!$AM$14)*1</f>
        <v>40.963640769708675</v>
      </c>
      <c r="Z71" s="6">
        <f ca="1">('TUSD BE'!$AM$16+'TUSD BF'!$AM$16+'TUSD CVA'!$AM$16)*1</f>
        <v>122.14055331663396</v>
      </c>
      <c r="AA71" s="6">
        <f>('TE BE'!$AB$9+'TE BF'!$AB$9+'TE CVA'!$AB$9)*1</f>
        <v>486.43608405794748</v>
      </c>
      <c r="AB71" s="6">
        <f>$K$71*$V$71</f>
        <v>67765.2</v>
      </c>
      <c r="AC71" s="6">
        <f>$M$71*$W$71</f>
        <v>4833.3284999999996</v>
      </c>
      <c r="AD71" s="6">
        <f>$O$71*$X$71</f>
        <v>29667.1914</v>
      </c>
      <c r="AE71" s="6">
        <f ca="1">$K$71*$Y$71</f>
        <v>77626.09925859794</v>
      </c>
      <c r="AF71" s="6">
        <f ca="1">$M$71*$Z$71</f>
        <v>8182.1956666813085</v>
      </c>
      <c r="AG71" s="6">
        <f>$O$71*$AA$71</f>
        <v>32586.353271041899</v>
      </c>
    </row>
    <row r="72" spans="1:33" ht="11.25" customHeight="1" x14ac:dyDescent="0.3">
      <c r="A72" s="4" t="s">
        <v>21</v>
      </c>
      <c r="B72" s="4" t="s">
        <v>39</v>
      </c>
      <c r="C72" s="4" t="s">
        <v>40</v>
      </c>
      <c r="D72" s="4" t="s">
        <v>42</v>
      </c>
      <c r="E72" s="4" t="s">
        <v>25</v>
      </c>
      <c r="F72" s="4" t="s">
        <v>25</v>
      </c>
      <c r="G72" s="4" t="s">
        <v>25</v>
      </c>
      <c r="H72" s="4" t="s">
        <v>34</v>
      </c>
      <c r="I72" s="5">
        <v>44805</v>
      </c>
      <c r="J72" s="6">
        <v>1905</v>
      </c>
      <c r="K72" s="6">
        <v>1905</v>
      </c>
      <c r="L72" s="6">
        <v>70.778999999999996</v>
      </c>
      <c r="M72" s="6">
        <v>70.778999999999996</v>
      </c>
      <c r="N72" s="6">
        <v>70.778999999999996</v>
      </c>
      <c r="O72" s="6">
        <v>70.778999999999996</v>
      </c>
      <c r="P72" s="6">
        <v>0</v>
      </c>
      <c r="Q72" s="4" t="s">
        <v>26</v>
      </c>
      <c r="R72" s="4">
        <v>0</v>
      </c>
      <c r="S72" s="6">
        <v>9</v>
      </c>
      <c r="T72" s="6">
        <v>12</v>
      </c>
      <c r="U72" s="6">
        <v>38</v>
      </c>
      <c r="V72" s="6">
        <f>IF(ISERROR(VLOOKUP($S$72,'TAR FIN'!$A$1:$O$113,15,0)),0,VLOOKUP($S$72,'TAR FIN'!$A$1:$O$113,15,0))</f>
        <v>35.76</v>
      </c>
      <c r="W72" s="6">
        <f>IF(ISERROR(VLOOKUP($T$72,'TAR FIN'!$A$1:$O$113,15,0)),0,VLOOKUP($T$72,'TAR FIN'!$A$1:$O$113,15,0))</f>
        <v>72.150000000000006</v>
      </c>
      <c r="X72" s="6">
        <f>IF(ISERROR(VLOOKUP($U$72,'TAR FIN'!$A$1:$O$113,15,0)),0,VLOOKUP($U$72,'TAR FIN'!$A$1:$O$113,15,0))</f>
        <v>442.86</v>
      </c>
      <c r="Y72" s="6">
        <f ca="1">('TUSD BE'!$AM$14+'TUSD BF'!$AM$14+'TUSD CVA'!$AM$14)*1</f>
        <v>40.963640769708675</v>
      </c>
      <c r="Z72" s="6">
        <f ca="1">('TUSD BE'!$AM$16+'TUSD BF'!$AM$16+'TUSD CVA'!$AM$16)*1</f>
        <v>122.14055331663396</v>
      </c>
      <c r="AA72" s="6">
        <f>('TE BE'!$AB$9+'TE BF'!$AB$9+'TE CVA'!$AB$9)*1</f>
        <v>486.43608405794748</v>
      </c>
      <c r="AB72" s="6">
        <f>$K$72*$V$72</f>
        <v>68122.8</v>
      </c>
      <c r="AC72" s="6">
        <f>$M$72*$W$72</f>
        <v>5106.7048500000001</v>
      </c>
      <c r="AD72" s="6">
        <f>$O$72*$X$72</f>
        <v>31345.18794</v>
      </c>
      <c r="AE72" s="6">
        <f ca="1">$K$72*$Y$72</f>
        <v>78035.735666295033</v>
      </c>
      <c r="AF72" s="6">
        <f ca="1">$M$72*$Z$72</f>
        <v>8644.9862231980351</v>
      </c>
      <c r="AG72" s="6">
        <f>$O$72*$AA$72</f>
        <v>34429.45959353746</v>
      </c>
    </row>
    <row r="73" spans="1:33" ht="11.25" customHeight="1" x14ac:dyDescent="0.3">
      <c r="A73" s="4" t="s">
        <v>53</v>
      </c>
      <c r="B73" s="4" t="s">
        <v>39</v>
      </c>
      <c r="C73" s="4" t="s">
        <v>40</v>
      </c>
      <c r="D73" s="4" t="s">
        <v>42</v>
      </c>
      <c r="E73" s="4" t="s">
        <v>25</v>
      </c>
      <c r="F73" s="4" t="s">
        <v>25</v>
      </c>
      <c r="G73" s="4" t="s">
        <v>25</v>
      </c>
      <c r="H73" s="4" t="s">
        <v>34</v>
      </c>
      <c r="I73" s="5">
        <v>44835</v>
      </c>
      <c r="J73" s="6">
        <v>1905</v>
      </c>
      <c r="K73" s="6">
        <v>1905</v>
      </c>
      <c r="L73" s="6">
        <v>70.778999999999996</v>
      </c>
      <c r="M73" s="6">
        <v>70.778999999999996</v>
      </c>
      <c r="N73" s="6">
        <v>70.778999999999996</v>
      </c>
      <c r="O73" s="6">
        <v>70.778999999999996</v>
      </c>
      <c r="P73" s="6">
        <v>0</v>
      </c>
      <c r="Q73" s="4" t="s">
        <v>26</v>
      </c>
      <c r="R73" s="4">
        <v>0</v>
      </c>
      <c r="S73" s="6">
        <v>9</v>
      </c>
      <c r="T73" s="6">
        <v>12</v>
      </c>
      <c r="U73" s="6">
        <v>38</v>
      </c>
      <c r="V73" s="6">
        <f>IF(ISERROR(VLOOKUP($S$73,'TAR FIN'!$A$1:$O$113,15,0)),0,VLOOKUP($S$73,'TAR FIN'!$A$1:$O$113,15,0))</f>
        <v>35.76</v>
      </c>
      <c r="W73" s="6">
        <f>IF(ISERROR(VLOOKUP($T$73,'TAR FIN'!$A$1:$O$113,15,0)),0,VLOOKUP($T$73,'TAR FIN'!$A$1:$O$113,15,0))</f>
        <v>72.150000000000006</v>
      </c>
      <c r="X73" s="6">
        <f>IF(ISERROR(VLOOKUP($U$73,'TAR FIN'!$A$1:$O$113,15,0)),0,VLOOKUP($U$73,'TAR FIN'!$A$1:$O$113,15,0))</f>
        <v>442.86</v>
      </c>
      <c r="Y73" s="6">
        <f ca="1">('TUSD BE'!$AM$14+'TUSD BF'!$AM$14+'TUSD CVA'!$AM$14)*1</f>
        <v>40.963640769708675</v>
      </c>
      <c r="Z73" s="6">
        <f ca="1">('TUSD BE'!$AM$16+'TUSD BF'!$AM$16+'TUSD CVA'!$AM$16)*1</f>
        <v>122.14055331663396</v>
      </c>
      <c r="AA73" s="6">
        <f>('TE BE'!$AB$9+'TE BF'!$AB$9+'TE CVA'!$AB$9)*1</f>
        <v>486.43608405794748</v>
      </c>
      <c r="AB73" s="6">
        <f>$K$73*$V$73</f>
        <v>68122.8</v>
      </c>
      <c r="AC73" s="6">
        <f>$M$73*$W$73</f>
        <v>5106.7048500000001</v>
      </c>
      <c r="AD73" s="6">
        <f>$O$73*$X$73</f>
        <v>31345.18794</v>
      </c>
      <c r="AE73" s="6">
        <f ca="1">$K$73*$Y$73</f>
        <v>78035.735666295033</v>
      </c>
      <c r="AF73" s="6">
        <f ca="1">$M$73*$Z$73</f>
        <v>8644.9862231980351</v>
      </c>
      <c r="AG73" s="6">
        <f>$O$73*$AA$73</f>
        <v>34429.45959353746</v>
      </c>
    </row>
    <row r="74" spans="1:33" ht="11.25" customHeight="1" x14ac:dyDescent="0.3">
      <c r="A74" s="4" t="s">
        <v>21</v>
      </c>
      <c r="B74" s="4" t="s">
        <v>39</v>
      </c>
      <c r="C74" s="4" t="s">
        <v>40</v>
      </c>
      <c r="D74" s="4" t="s">
        <v>38</v>
      </c>
      <c r="E74" s="4" t="s">
        <v>25</v>
      </c>
      <c r="F74" s="4" t="s">
        <v>56</v>
      </c>
      <c r="G74" s="4" t="s">
        <v>25</v>
      </c>
      <c r="H74" s="4" t="s">
        <v>35</v>
      </c>
      <c r="I74" s="5">
        <v>44501</v>
      </c>
      <c r="J74" s="6">
        <v>16301</v>
      </c>
      <c r="K74" s="6">
        <v>10335.36166337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4" t="s">
        <v>55</v>
      </c>
      <c r="R74" s="4">
        <v>0</v>
      </c>
      <c r="S74" s="6">
        <v>22</v>
      </c>
      <c r="T74" s="6">
        <v>0</v>
      </c>
      <c r="U74" s="6">
        <v>0</v>
      </c>
      <c r="V74" s="6">
        <f>IF(ISERROR(VLOOKUP($S$74,'TAR FIN'!$A$1:$O$113,15,0)),0,VLOOKUP($S$74,'TAR FIN'!$A$1:$O$113,15,0))</f>
        <v>14</v>
      </c>
      <c r="W74" s="6">
        <f>IF(ISERROR(VLOOKUP($T$74,'TAR FIN'!$A$1:$O$113,15,0)),0,VLOOKUP($T$74,'TAR FIN'!$A$1:$O$113,15,0))</f>
        <v>0</v>
      </c>
      <c r="X74" s="6">
        <f>IF(ISERROR(VLOOKUP($U$74,'TAR FIN'!$A$1:$O$113,15,0)),0,VLOOKUP($U$74,'TAR FIN'!$A$1:$O$113,15,0))</f>
        <v>0</v>
      </c>
      <c r="Y74" s="6">
        <f ca="1">('TUSD BE'!$AM$15+'TUSD BF'!$AM$15+'TUSD CVA'!$AM$15)*1</f>
        <v>16.035953923331604</v>
      </c>
      <c r="Z74" s="6">
        <f ca="1">('TUSD BE'!$AM$16+'TUSD BF'!$AM$16+'TUSD CVA'!$AM$16)*1</f>
        <v>122.14055331663396</v>
      </c>
      <c r="AA74" s="6"/>
      <c r="AB74" s="6">
        <f>$K$74*$V$74</f>
        <v>144695.06328718</v>
      </c>
      <c r="AC74" s="6">
        <f>$M$74*$W$74</f>
        <v>0</v>
      </c>
      <c r="AD74" s="6">
        <f>$O$74*$X$74</f>
        <v>0</v>
      </c>
      <c r="AE74" s="6">
        <f ca="1">$K$74*$Y$74</f>
        <v>165737.38341476923</v>
      </c>
      <c r="AF74" s="6">
        <f ca="1">$M$74*$Z$74</f>
        <v>0</v>
      </c>
      <c r="AG74" s="6">
        <f>$O$74*$AA$74</f>
        <v>0</v>
      </c>
    </row>
    <row r="75" spans="1:33" ht="11.25" customHeight="1" x14ac:dyDescent="0.3">
      <c r="A75" s="4" t="s">
        <v>21</v>
      </c>
      <c r="B75" s="4" t="s">
        <v>39</v>
      </c>
      <c r="C75" s="4" t="s">
        <v>40</v>
      </c>
      <c r="D75" s="4" t="s">
        <v>38</v>
      </c>
      <c r="E75" s="4" t="s">
        <v>25</v>
      </c>
      <c r="F75" s="4" t="s">
        <v>56</v>
      </c>
      <c r="G75" s="4" t="s">
        <v>25</v>
      </c>
      <c r="H75" s="4" t="s">
        <v>35</v>
      </c>
      <c r="I75" s="5">
        <v>44531</v>
      </c>
      <c r="J75" s="6">
        <v>16297</v>
      </c>
      <c r="K75" s="6">
        <v>10474.71161608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4" t="s">
        <v>55</v>
      </c>
      <c r="R75" s="4">
        <v>0</v>
      </c>
      <c r="S75" s="6">
        <v>22</v>
      </c>
      <c r="T75" s="6">
        <v>0</v>
      </c>
      <c r="U75" s="6">
        <v>0</v>
      </c>
      <c r="V75" s="6">
        <f>IF(ISERROR(VLOOKUP($S$75,'TAR FIN'!$A$1:$O$113,15,0)),0,VLOOKUP($S$75,'TAR FIN'!$A$1:$O$113,15,0))</f>
        <v>14</v>
      </c>
      <c r="W75" s="6">
        <f>IF(ISERROR(VLOOKUP($T$75,'TAR FIN'!$A$1:$O$113,15,0)),0,VLOOKUP($T$75,'TAR FIN'!$A$1:$O$113,15,0))</f>
        <v>0</v>
      </c>
      <c r="X75" s="6">
        <f>IF(ISERROR(VLOOKUP($U$75,'TAR FIN'!$A$1:$O$113,15,0)),0,VLOOKUP($U$75,'TAR FIN'!$A$1:$O$113,15,0))</f>
        <v>0</v>
      </c>
      <c r="Y75" s="6">
        <f ca="1">('TUSD BE'!$AM$15+'TUSD BF'!$AM$15+'TUSD CVA'!$AM$15)*1</f>
        <v>16.035953923331604</v>
      </c>
      <c r="Z75" s="6">
        <f ca="1">('TUSD BE'!$AM$16+'TUSD BF'!$AM$16+'TUSD CVA'!$AM$16)*1</f>
        <v>122.14055331663396</v>
      </c>
      <c r="AA75" s="6"/>
      <c r="AB75" s="6">
        <f>$K$75*$V$75</f>
        <v>146645.96262512001</v>
      </c>
      <c r="AC75" s="6">
        <f>$M$75*$W$75</f>
        <v>0</v>
      </c>
      <c r="AD75" s="6">
        <f>$O$75*$X$75</f>
        <v>0</v>
      </c>
      <c r="AE75" s="6">
        <f ca="1">$K$75*$Y$75</f>
        <v>167971.99283564519</v>
      </c>
      <c r="AF75" s="6">
        <f ca="1">$M$75*$Z$75</f>
        <v>0</v>
      </c>
      <c r="AG75" s="6">
        <f>$O$75*$AA$75</f>
        <v>0</v>
      </c>
    </row>
    <row r="76" spans="1:33" ht="11.25" customHeight="1" x14ac:dyDescent="0.3">
      <c r="A76" s="4" t="s">
        <v>21</v>
      </c>
      <c r="B76" s="4" t="s">
        <v>39</v>
      </c>
      <c r="C76" s="4" t="s">
        <v>40</v>
      </c>
      <c r="D76" s="4" t="s">
        <v>38</v>
      </c>
      <c r="E76" s="4" t="s">
        <v>25</v>
      </c>
      <c r="F76" s="4" t="s">
        <v>56</v>
      </c>
      <c r="G76" s="4" t="s">
        <v>25</v>
      </c>
      <c r="H76" s="4" t="s">
        <v>35</v>
      </c>
      <c r="I76" s="5">
        <v>44562</v>
      </c>
      <c r="J76" s="6">
        <v>16147</v>
      </c>
      <c r="K76" s="6">
        <v>9214.2392081100006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4" t="s">
        <v>55</v>
      </c>
      <c r="R76" s="4">
        <v>0</v>
      </c>
      <c r="S76" s="6">
        <v>22</v>
      </c>
      <c r="T76" s="6">
        <v>0</v>
      </c>
      <c r="U76" s="6">
        <v>0</v>
      </c>
      <c r="V76" s="6">
        <f>IF(ISERROR(VLOOKUP($S$76,'TAR FIN'!$A$1:$O$113,15,0)),0,VLOOKUP($S$76,'TAR FIN'!$A$1:$O$113,15,0))</f>
        <v>14</v>
      </c>
      <c r="W76" s="6">
        <f>IF(ISERROR(VLOOKUP($T$76,'TAR FIN'!$A$1:$O$113,15,0)),0,VLOOKUP($T$76,'TAR FIN'!$A$1:$O$113,15,0))</f>
        <v>0</v>
      </c>
      <c r="X76" s="6">
        <f>IF(ISERROR(VLOOKUP($U$76,'TAR FIN'!$A$1:$O$113,15,0)),0,VLOOKUP($U$76,'TAR FIN'!$A$1:$O$113,15,0))</f>
        <v>0</v>
      </c>
      <c r="Y76" s="6">
        <f ca="1">('TUSD BE'!$AM$15+'TUSD BF'!$AM$15+'TUSD CVA'!$AM$15)*1</f>
        <v>16.035953923331604</v>
      </c>
      <c r="Z76" s="6">
        <f ca="1">('TUSD BE'!$AM$16+'TUSD BF'!$AM$16+'TUSD CVA'!$AM$16)*1</f>
        <v>122.14055331663396</v>
      </c>
      <c r="AA76" s="6"/>
      <c r="AB76" s="6">
        <f>$K$76*$V$76</f>
        <v>128999.34891354002</v>
      </c>
      <c r="AC76" s="6">
        <f>$M$76*$W$76</f>
        <v>0</v>
      </c>
      <c r="AD76" s="6">
        <f>$O$76*$X$76</f>
        <v>0</v>
      </c>
      <c r="AE76" s="6">
        <f ca="1">$K$76*$Y$76</f>
        <v>147759.11537980745</v>
      </c>
      <c r="AF76" s="6">
        <f ca="1">$M$76*$Z$76</f>
        <v>0</v>
      </c>
      <c r="AG76" s="6">
        <f>$O$76*$AA$76</f>
        <v>0</v>
      </c>
    </row>
    <row r="77" spans="1:33" ht="11.25" customHeight="1" x14ac:dyDescent="0.3">
      <c r="A77" s="4" t="s">
        <v>21</v>
      </c>
      <c r="B77" s="4" t="s">
        <v>39</v>
      </c>
      <c r="C77" s="4" t="s">
        <v>40</v>
      </c>
      <c r="D77" s="4" t="s">
        <v>38</v>
      </c>
      <c r="E77" s="4" t="s">
        <v>25</v>
      </c>
      <c r="F77" s="4" t="s">
        <v>56</v>
      </c>
      <c r="G77" s="4" t="s">
        <v>25</v>
      </c>
      <c r="H77" s="4" t="s">
        <v>35</v>
      </c>
      <c r="I77" s="5">
        <v>44593</v>
      </c>
      <c r="J77" s="6">
        <v>16220</v>
      </c>
      <c r="K77" s="6">
        <v>9574.3093222000007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4" t="s">
        <v>55</v>
      </c>
      <c r="R77" s="4">
        <v>0</v>
      </c>
      <c r="S77" s="6">
        <v>22</v>
      </c>
      <c r="T77" s="6">
        <v>0</v>
      </c>
      <c r="U77" s="6">
        <v>0</v>
      </c>
      <c r="V77" s="6">
        <f>IF(ISERROR(VLOOKUP($S$77,'TAR FIN'!$A$1:$O$113,15,0)),0,VLOOKUP($S$77,'TAR FIN'!$A$1:$O$113,15,0))</f>
        <v>14</v>
      </c>
      <c r="W77" s="6">
        <f>IF(ISERROR(VLOOKUP($T$77,'TAR FIN'!$A$1:$O$113,15,0)),0,VLOOKUP($T$77,'TAR FIN'!$A$1:$O$113,15,0))</f>
        <v>0</v>
      </c>
      <c r="X77" s="6">
        <f>IF(ISERROR(VLOOKUP($U$77,'TAR FIN'!$A$1:$O$113,15,0)),0,VLOOKUP($U$77,'TAR FIN'!$A$1:$O$113,15,0))</f>
        <v>0</v>
      </c>
      <c r="Y77" s="6">
        <f ca="1">('TUSD BE'!$AM$15+'TUSD BF'!$AM$15+'TUSD CVA'!$AM$15)*1</f>
        <v>16.035953923331604</v>
      </c>
      <c r="Z77" s="6">
        <f ca="1">('TUSD BE'!$AM$16+'TUSD BF'!$AM$16+'TUSD CVA'!$AM$16)*1</f>
        <v>122.14055331663396</v>
      </c>
      <c r="AA77" s="6"/>
      <c r="AB77" s="6">
        <f>$K$77*$V$77</f>
        <v>134040.33051080001</v>
      </c>
      <c r="AC77" s="6">
        <f>$M$77*$W$77</f>
        <v>0</v>
      </c>
      <c r="AD77" s="6">
        <f>$O$77*$X$77</f>
        <v>0</v>
      </c>
      <c r="AE77" s="6">
        <f ca="1">$K$77*$Y$77</f>
        <v>153533.18313852345</v>
      </c>
      <c r="AF77" s="6">
        <f ca="1">$M$77*$Z$77</f>
        <v>0</v>
      </c>
      <c r="AG77" s="6">
        <f>$O$77*$AA$77</f>
        <v>0</v>
      </c>
    </row>
    <row r="78" spans="1:33" ht="11.25" customHeight="1" x14ac:dyDescent="0.3">
      <c r="A78" s="4" t="s">
        <v>21</v>
      </c>
      <c r="B78" s="4" t="s">
        <v>39</v>
      </c>
      <c r="C78" s="4" t="s">
        <v>40</v>
      </c>
      <c r="D78" s="4" t="s">
        <v>38</v>
      </c>
      <c r="E78" s="4" t="s">
        <v>25</v>
      </c>
      <c r="F78" s="4" t="s">
        <v>56</v>
      </c>
      <c r="G78" s="4" t="s">
        <v>25</v>
      </c>
      <c r="H78" s="4" t="s">
        <v>35</v>
      </c>
      <c r="I78" s="5">
        <v>44621</v>
      </c>
      <c r="J78" s="6">
        <v>16455</v>
      </c>
      <c r="K78" s="6">
        <v>8810.7828532500007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4" t="s">
        <v>55</v>
      </c>
      <c r="R78" s="4">
        <v>0</v>
      </c>
      <c r="S78" s="6">
        <v>22</v>
      </c>
      <c r="T78" s="6">
        <v>0</v>
      </c>
      <c r="U78" s="6">
        <v>0</v>
      </c>
      <c r="V78" s="6">
        <f>IF(ISERROR(VLOOKUP($S$78,'TAR FIN'!$A$1:$O$113,15,0)),0,VLOOKUP($S$78,'TAR FIN'!$A$1:$O$113,15,0))</f>
        <v>14</v>
      </c>
      <c r="W78" s="6">
        <f>IF(ISERROR(VLOOKUP($T$78,'TAR FIN'!$A$1:$O$113,15,0)),0,VLOOKUP($T$78,'TAR FIN'!$A$1:$O$113,15,0))</f>
        <v>0</v>
      </c>
      <c r="X78" s="6">
        <f>IF(ISERROR(VLOOKUP($U$78,'TAR FIN'!$A$1:$O$113,15,0)),0,VLOOKUP($U$78,'TAR FIN'!$A$1:$O$113,15,0))</f>
        <v>0</v>
      </c>
      <c r="Y78" s="6">
        <f ca="1">('TUSD BE'!$AM$15+'TUSD BF'!$AM$15+'TUSD CVA'!$AM$15)*1</f>
        <v>16.035953923331604</v>
      </c>
      <c r="Z78" s="6">
        <f ca="1">('TUSD BE'!$AM$16+'TUSD BF'!$AM$16+'TUSD CVA'!$AM$16)*1</f>
        <v>122.14055331663396</v>
      </c>
      <c r="AA78" s="6"/>
      <c r="AB78" s="6">
        <f>$K$78*$V$78</f>
        <v>123350.95994550001</v>
      </c>
      <c r="AC78" s="6">
        <f>$M$78*$W$78</f>
        <v>0</v>
      </c>
      <c r="AD78" s="6">
        <f>$O$78*$X$78</f>
        <v>0</v>
      </c>
      <c r="AE78" s="6">
        <f ca="1">$K$78*$Y$78</f>
        <v>141289.30786319717</v>
      </c>
      <c r="AF78" s="6">
        <f ca="1">$M$78*$Z$78</f>
        <v>0</v>
      </c>
      <c r="AG78" s="6">
        <f>$O$78*$AA$78</f>
        <v>0</v>
      </c>
    </row>
    <row r="79" spans="1:33" ht="11.25" customHeight="1" x14ac:dyDescent="0.3">
      <c r="A79" s="4" t="s">
        <v>21</v>
      </c>
      <c r="B79" s="4" t="s">
        <v>39</v>
      </c>
      <c r="C79" s="4" t="s">
        <v>40</v>
      </c>
      <c r="D79" s="4" t="s">
        <v>38</v>
      </c>
      <c r="E79" s="4" t="s">
        <v>25</v>
      </c>
      <c r="F79" s="4" t="s">
        <v>56</v>
      </c>
      <c r="G79" s="4" t="s">
        <v>25</v>
      </c>
      <c r="H79" s="4" t="s">
        <v>35</v>
      </c>
      <c r="I79" s="5">
        <v>44652</v>
      </c>
      <c r="J79" s="6">
        <v>16206</v>
      </c>
      <c r="K79" s="6">
        <v>8001.9643412400001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4" t="s">
        <v>55</v>
      </c>
      <c r="R79" s="4">
        <v>0</v>
      </c>
      <c r="S79" s="6">
        <v>22</v>
      </c>
      <c r="T79" s="6">
        <v>0</v>
      </c>
      <c r="U79" s="6">
        <v>0</v>
      </c>
      <c r="V79" s="6">
        <f>IF(ISERROR(VLOOKUP($S$79,'TAR FIN'!$A$1:$O$113,15,0)),0,VLOOKUP($S$79,'TAR FIN'!$A$1:$O$113,15,0))</f>
        <v>14</v>
      </c>
      <c r="W79" s="6">
        <f>IF(ISERROR(VLOOKUP($T$79,'TAR FIN'!$A$1:$O$113,15,0)),0,VLOOKUP($T$79,'TAR FIN'!$A$1:$O$113,15,0))</f>
        <v>0</v>
      </c>
      <c r="X79" s="6">
        <f>IF(ISERROR(VLOOKUP($U$79,'TAR FIN'!$A$1:$O$113,15,0)),0,VLOOKUP($U$79,'TAR FIN'!$A$1:$O$113,15,0))</f>
        <v>0</v>
      </c>
      <c r="Y79" s="6">
        <f ca="1">('TUSD BE'!$AM$15+'TUSD BF'!$AM$15+'TUSD CVA'!$AM$15)*1</f>
        <v>16.035953923331604</v>
      </c>
      <c r="Z79" s="6">
        <f ca="1">('TUSD BE'!$AM$16+'TUSD BF'!$AM$16+'TUSD CVA'!$AM$16)*1</f>
        <v>122.14055331663396</v>
      </c>
      <c r="AA79" s="6"/>
      <c r="AB79" s="6">
        <f>$K$79*$V$79</f>
        <v>112027.50077735999</v>
      </c>
      <c r="AC79" s="6">
        <f>$M$79*$W$79</f>
        <v>0</v>
      </c>
      <c r="AD79" s="6">
        <f>$O$79*$X$79</f>
        <v>0</v>
      </c>
      <c r="AE79" s="6">
        <f ca="1">$K$79*$Y$79</f>
        <v>128319.13147226718</v>
      </c>
      <c r="AF79" s="6">
        <f ca="1">$M$79*$Z$79</f>
        <v>0</v>
      </c>
      <c r="AG79" s="6">
        <f>$O$79*$AA$79</f>
        <v>0</v>
      </c>
    </row>
    <row r="80" spans="1:33" ht="11.25" customHeight="1" x14ac:dyDescent="0.3">
      <c r="A80" s="4" t="s">
        <v>21</v>
      </c>
      <c r="B80" s="4" t="s">
        <v>39</v>
      </c>
      <c r="C80" s="4" t="s">
        <v>40</v>
      </c>
      <c r="D80" s="4" t="s">
        <v>38</v>
      </c>
      <c r="E80" s="4" t="s">
        <v>25</v>
      </c>
      <c r="F80" s="4" t="s">
        <v>56</v>
      </c>
      <c r="G80" s="4" t="s">
        <v>25</v>
      </c>
      <c r="H80" s="4" t="s">
        <v>35</v>
      </c>
      <c r="I80" s="5">
        <v>44682</v>
      </c>
      <c r="J80" s="6">
        <v>16280</v>
      </c>
      <c r="K80" s="6">
        <v>10594.502877200001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4" t="s">
        <v>55</v>
      </c>
      <c r="R80" s="4">
        <v>0</v>
      </c>
      <c r="S80" s="6">
        <v>22</v>
      </c>
      <c r="T80" s="6">
        <v>0</v>
      </c>
      <c r="U80" s="6">
        <v>0</v>
      </c>
      <c r="V80" s="6">
        <f>IF(ISERROR(VLOOKUP($S$80,'TAR FIN'!$A$1:$O$113,15,0)),0,VLOOKUP($S$80,'TAR FIN'!$A$1:$O$113,15,0))</f>
        <v>14</v>
      </c>
      <c r="W80" s="6">
        <f>IF(ISERROR(VLOOKUP($T$80,'TAR FIN'!$A$1:$O$113,15,0)),0,VLOOKUP($T$80,'TAR FIN'!$A$1:$O$113,15,0))</f>
        <v>0</v>
      </c>
      <c r="X80" s="6">
        <f>IF(ISERROR(VLOOKUP($U$80,'TAR FIN'!$A$1:$O$113,15,0)),0,VLOOKUP($U$80,'TAR FIN'!$A$1:$O$113,15,0))</f>
        <v>0</v>
      </c>
      <c r="Y80" s="6">
        <f ca="1">('TUSD BE'!$AM$15+'TUSD BF'!$AM$15+'TUSD CVA'!$AM$15)*1</f>
        <v>16.035953923331604</v>
      </c>
      <c r="Z80" s="6">
        <f ca="1">('TUSD BE'!$AM$16+'TUSD BF'!$AM$16+'TUSD CVA'!$AM$16)*1</f>
        <v>122.14055331663396</v>
      </c>
      <c r="AA80" s="6"/>
      <c r="AB80" s="6">
        <f>$K$80*$V$80</f>
        <v>148323.04028080002</v>
      </c>
      <c r="AC80" s="6">
        <f>$M$80*$W$80</f>
        <v>0</v>
      </c>
      <c r="AD80" s="6">
        <f>$O$80*$X$80</f>
        <v>0</v>
      </c>
      <c r="AE80" s="6">
        <f ca="1">$K$80*$Y$80</f>
        <v>169892.9599793833</v>
      </c>
      <c r="AF80" s="6">
        <f ca="1">$M$80*$Z$80</f>
        <v>0</v>
      </c>
      <c r="AG80" s="6">
        <f>$O$80*$AA$80</f>
        <v>0</v>
      </c>
    </row>
    <row r="81" spans="1:33" ht="11.25" customHeight="1" x14ac:dyDescent="0.3">
      <c r="A81" s="4" t="s">
        <v>21</v>
      </c>
      <c r="B81" s="4" t="s">
        <v>39</v>
      </c>
      <c r="C81" s="4" t="s">
        <v>40</v>
      </c>
      <c r="D81" s="4" t="s">
        <v>38</v>
      </c>
      <c r="E81" s="4" t="s">
        <v>25</v>
      </c>
      <c r="F81" s="4" t="s">
        <v>56</v>
      </c>
      <c r="G81" s="4" t="s">
        <v>25</v>
      </c>
      <c r="H81" s="4" t="s">
        <v>35</v>
      </c>
      <c r="I81" s="5">
        <v>44713</v>
      </c>
      <c r="J81" s="6">
        <v>16089</v>
      </c>
      <c r="K81" s="6">
        <v>9780.4807362899992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4" t="s">
        <v>55</v>
      </c>
      <c r="R81" s="4">
        <v>0</v>
      </c>
      <c r="S81" s="6">
        <v>22</v>
      </c>
      <c r="T81" s="6">
        <v>0</v>
      </c>
      <c r="U81" s="6">
        <v>0</v>
      </c>
      <c r="V81" s="6">
        <f>IF(ISERROR(VLOOKUP($S$81,'TAR FIN'!$A$1:$O$113,15,0)),0,VLOOKUP($S$81,'TAR FIN'!$A$1:$O$113,15,0))</f>
        <v>14</v>
      </c>
      <c r="W81" s="6">
        <f>IF(ISERROR(VLOOKUP($T$81,'TAR FIN'!$A$1:$O$113,15,0)),0,VLOOKUP($T$81,'TAR FIN'!$A$1:$O$113,15,0))</f>
        <v>0</v>
      </c>
      <c r="X81" s="6">
        <f>IF(ISERROR(VLOOKUP($U$81,'TAR FIN'!$A$1:$O$113,15,0)),0,VLOOKUP($U$81,'TAR FIN'!$A$1:$O$113,15,0))</f>
        <v>0</v>
      </c>
      <c r="Y81" s="6">
        <f ca="1">('TUSD BE'!$AM$15+'TUSD BF'!$AM$15+'TUSD CVA'!$AM$15)*1</f>
        <v>16.035953923331604</v>
      </c>
      <c r="Z81" s="6">
        <f ca="1">('TUSD BE'!$AM$16+'TUSD BF'!$AM$16+'TUSD CVA'!$AM$16)*1</f>
        <v>122.14055331663396</v>
      </c>
      <c r="AA81" s="6"/>
      <c r="AB81" s="6">
        <f>$K$81*$V$81</f>
        <v>136926.73030805998</v>
      </c>
      <c r="AC81" s="6">
        <f>$M$81*$W$81</f>
        <v>0</v>
      </c>
      <c r="AD81" s="6">
        <f>$O$81*$X$81</f>
        <v>0</v>
      </c>
      <c r="AE81" s="6">
        <f ca="1">$K$81*$Y$81</f>
        <v>156839.3384351788</v>
      </c>
      <c r="AF81" s="6">
        <f ca="1">$M$81*$Z$81</f>
        <v>0</v>
      </c>
      <c r="AG81" s="6">
        <f>$O$81*$AA$81</f>
        <v>0</v>
      </c>
    </row>
    <row r="82" spans="1:33" ht="11.25" customHeight="1" x14ac:dyDescent="0.3">
      <c r="A82" s="4" t="s">
        <v>21</v>
      </c>
      <c r="B82" s="4" t="s">
        <v>39</v>
      </c>
      <c r="C82" s="4" t="s">
        <v>40</v>
      </c>
      <c r="D82" s="4" t="s">
        <v>38</v>
      </c>
      <c r="E82" s="4" t="s">
        <v>25</v>
      </c>
      <c r="F82" s="4" t="s">
        <v>56</v>
      </c>
      <c r="G82" s="4" t="s">
        <v>25</v>
      </c>
      <c r="H82" s="4" t="s">
        <v>35</v>
      </c>
      <c r="I82" s="5">
        <v>44743</v>
      </c>
      <c r="J82" s="6">
        <v>16156</v>
      </c>
      <c r="K82" s="6">
        <v>8011.3249957999997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4" t="s">
        <v>55</v>
      </c>
      <c r="R82" s="4">
        <v>0</v>
      </c>
      <c r="S82" s="6">
        <v>22</v>
      </c>
      <c r="T82" s="6">
        <v>0</v>
      </c>
      <c r="U82" s="6">
        <v>0</v>
      </c>
      <c r="V82" s="6">
        <f>IF(ISERROR(VLOOKUP($S$82,'TAR FIN'!$A$1:$O$113,15,0)),0,VLOOKUP($S$82,'TAR FIN'!$A$1:$O$113,15,0))</f>
        <v>14</v>
      </c>
      <c r="W82" s="6">
        <f>IF(ISERROR(VLOOKUP($T$82,'TAR FIN'!$A$1:$O$113,15,0)),0,VLOOKUP($T$82,'TAR FIN'!$A$1:$O$113,15,0))</f>
        <v>0</v>
      </c>
      <c r="X82" s="6">
        <f>IF(ISERROR(VLOOKUP($U$82,'TAR FIN'!$A$1:$O$113,15,0)),0,VLOOKUP($U$82,'TAR FIN'!$A$1:$O$113,15,0))</f>
        <v>0</v>
      </c>
      <c r="Y82" s="6">
        <f ca="1">('TUSD BE'!$AM$15+'TUSD BF'!$AM$15+'TUSD CVA'!$AM$15)*1</f>
        <v>16.035953923331604</v>
      </c>
      <c r="Z82" s="6">
        <f ca="1">('TUSD BE'!$AM$16+'TUSD BF'!$AM$16+'TUSD CVA'!$AM$16)*1</f>
        <v>122.14055331663396</v>
      </c>
      <c r="AA82" s="6"/>
      <c r="AB82" s="6">
        <f>$K$82*$V$82</f>
        <v>112158.54994119999</v>
      </c>
      <c r="AC82" s="6">
        <f>$M$82*$W$82</f>
        <v>0</v>
      </c>
      <c r="AD82" s="6">
        <f>$O$82*$X$82</f>
        <v>0</v>
      </c>
      <c r="AE82" s="6">
        <f ca="1">$K$82*$Y$82</f>
        <v>128469.23849748356</v>
      </c>
      <c r="AF82" s="6">
        <f ca="1">$M$82*$Z$82</f>
        <v>0</v>
      </c>
      <c r="AG82" s="6">
        <f>$O$82*$AA$82</f>
        <v>0</v>
      </c>
    </row>
    <row r="83" spans="1:33" ht="11.25" customHeight="1" x14ac:dyDescent="0.3">
      <c r="A83" s="4" t="s">
        <v>21</v>
      </c>
      <c r="B83" s="4" t="s">
        <v>39</v>
      </c>
      <c r="C83" s="4" t="s">
        <v>40</v>
      </c>
      <c r="D83" s="4" t="s">
        <v>38</v>
      </c>
      <c r="E83" s="4" t="s">
        <v>25</v>
      </c>
      <c r="F83" s="4" t="s">
        <v>56</v>
      </c>
      <c r="G83" s="4" t="s">
        <v>25</v>
      </c>
      <c r="H83" s="4" t="s">
        <v>35</v>
      </c>
      <c r="I83" s="5">
        <v>44774</v>
      </c>
      <c r="J83" s="6">
        <v>16086</v>
      </c>
      <c r="K83" s="6">
        <v>8491.9107151200005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4" t="s">
        <v>55</v>
      </c>
      <c r="R83" s="4">
        <v>0</v>
      </c>
      <c r="S83" s="6">
        <v>22</v>
      </c>
      <c r="T83" s="6">
        <v>0</v>
      </c>
      <c r="U83" s="6">
        <v>0</v>
      </c>
      <c r="V83" s="6">
        <f>IF(ISERROR(VLOOKUP($S$83,'TAR FIN'!$A$1:$O$113,15,0)),0,VLOOKUP($S$83,'TAR FIN'!$A$1:$O$113,15,0))</f>
        <v>14</v>
      </c>
      <c r="W83" s="6">
        <f>IF(ISERROR(VLOOKUP($T$83,'TAR FIN'!$A$1:$O$113,15,0)),0,VLOOKUP($T$83,'TAR FIN'!$A$1:$O$113,15,0))</f>
        <v>0</v>
      </c>
      <c r="X83" s="6">
        <f>IF(ISERROR(VLOOKUP($U$83,'TAR FIN'!$A$1:$O$113,15,0)),0,VLOOKUP($U$83,'TAR FIN'!$A$1:$O$113,15,0))</f>
        <v>0</v>
      </c>
      <c r="Y83" s="6">
        <f ca="1">('TUSD BE'!$AM$15+'TUSD BF'!$AM$15+'TUSD CVA'!$AM$15)*1</f>
        <v>16.035953923331604</v>
      </c>
      <c r="Z83" s="6">
        <f ca="1">('TUSD BE'!$AM$16+'TUSD BF'!$AM$16+'TUSD CVA'!$AM$16)*1</f>
        <v>122.14055331663396</v>
      </c>
      <c r="AA83" s="6"/>
      <c r="AB83" s="6">
        <f>$K$83*$V$83</f>
        <v>118886.75001168001</v>
      </c>
      <c r="AC83" s="6">
        <f>$M$83*$W$83</f>
        <v>0</v>
      </c>
      <c r="AD83" s="6">
        <f>$O$83*$X$83</f>
        <v>0</v>
      </c>
      <c r="AE83" s="6">
        <f ca="1">$K$83*$Y$83</f>
        <v>136175.88894871026</v>
      </c>
      <c r="AF83" s="6">
        <f ca="1">$M$83*$Z$83</f>
        <v>0</v>
      </c>
      <c r="AG83" s="6">
        <f>$O$83*$AA$83</f>
        <v>0</v>
      </c>
    </row>
    <row r="84" spans="1:33" ht="11.25" customHeight="1" x14ac:dyDescent="0.3">
      <c r="A84" s="4" t="s">
        <v>21</v>
      </c>
      <c r="B84" s="4" t="s">
        <v>39</v>
      </c>
      <c r="C84" s="4" t="s">
        <v>40</v>
      </c>
      <c r="D84" s="4" t="s">
        <v>38</v>
      </c>
      <c r="E84" s="4" t="s">
        <v>25</v>
      </c>
      <c r="F84" s="4" t="s">
        <v>56</v>
      </c>
      <c r="G84" s="4" t="s">
        <v>25</v>
      </c>
      <c r="H84" s="4" t="s">
        <v>35</v>
      </c>
      <c r="I84" s="5">
        <v>44805</v>
      </c>
      <c r="J84" s="6">
        <v>16063</v>
      </c>
      <c r="K84" s="6">
        <v>9042.6228011599997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4" t="s">
        <v>55</v>
      </c>
      <c r="R84" s="4">
        <v>0</v>
      </c>
      <c r="S84" s="6">
        <v>22</v>
      </c>
      <c r="T84" s="6">
        <v>0</v>
      </c>
      <c r="U84" s="6">
        <v>0</v>
      </c>
      <c r="V84" s="6">
        <f>IF(ISERROR(VLOOKUP($S$84,'TAR FIN'!$A$1:$O$113,15,0)),0,VLOOKUP($S$84,'TAR FIN'!$A$1:$O$113,15,0))</f>
        <v>14</v>
      </c>
      <c r="W84" s="6">
        <f>IF(ISERROR(VLOOKUP($T$84,'TAR FIN'!$A$1:$O$113,15,0)),0,VLOOKUP($T$84,'TAR FIN'!$A$1:$O$113,15,0))</f>
        <v>0</v>
      </c>
      <c r="X84" s="6">
        <f>IF(ISERROR(VLOOKUP($U$84,'TAR FIN'!$A$1:$O$113,15,0)),0,VLOOKUP($U$84,'TAR FIN'!$A$1:$O$113,15,0))</f>
        <v>0</v>
      </c>
      <c r="Y84" s="6">
        <f ca="1">('TUSD BE'!$AM$15+'TUSD BF'!$AM$15+'TUSD CVA'!$AM$15)*1</f>
        <v>16.035953923331604</v>
      </c>
      <c r="Z84" s="6">
        <f ca="1">('TUSD BE'!$AM$16+'TUSD BF'!$AM$16+'TUSD CVA'!$AM$16)*1</f>
        <v>122.14055331663396</v>
      </c>
      <c r="AA84" s="6"/>
      <c r="AB84" s="6">
        <f>$K$84*$V$84</f>
        <v>126596.71921623999</v>
      </c>
      <c r="AC84" s="6">
        <f>$M$84*$W$84</f>
        <v>0</v>
      </c>
      <c r="AD84" s="6">
        <f>$O$84*$X$84</f>
        <v>0</v>
      </c>
      <c r="AE84" s="6">
        <f ca="1">$K$84*$Y$84</f>
        <v>145007.08258546953</v>
      </c>
      <c r="AF84" s="6">
        <f ca="1">$M$84*$Z$84</f>
        <v>0</v>
      </c>
      <c r="AG84" s="6">
        <f>$O$84*$AA$84</f>
        <v>0</v>
      </c>
    </row>
    <row r="85" spans="1:33" ht="11.25" customHeight="1" x14ac:dyDescent="0.3">
      <c r="A85" s="4" t="s">
        <v>53</v>
      </c>
      <c r="B85" s="4" t="s">
        <v>39</v>
      </c>
      <c r="C85" s="4" t="s">
        <v>40</v>
      </c>
      <c r="D85" s="4" t="s">
        <v>38</v>
      </c>
      <c r="E85" s="4" t="s">
        <v>25</v>
      </c>
      <c r="F85" s="4" t="s">
        <v>56</v>
      </c>
      <c r="G85" s="4" t="s">
        <v>25</v>
      </c>
      <c r="H85" s="4" t="s">
        <v>35</v>
      </c>
      <c r="I85" s="5">
        <v>44835</v>
      </c>
      <c r="J85" s="6">
        <v>16063</v>
      </c>
      <c r="K85" s="6">
        <v>9042.6228011599997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4" t="s">
        <v>55</v>
      </c>
      <c r="R85" s="4">
        <v>0</v>
      </c>
      <c r="S85" s="6">
        <v>22</v>
      </c>
      <c r="T85" s="6">
        <v>0</v>
      </c>
      <c r="U85" s="6">
        <v>0</v>
      </c>
      <c r="V85" s="6">
        <f>IF(ISERROR(VLOOKUP($S$85,'TAR FIN'!$A$1:$O$113,15,0)),0,VLOOKUP($S$85,'TAR FIN'!$A$1:$O$113,15,0))</f>
        <v>14</v>
      </c>
      <c r="W85" s="6">
        <f>IF(ISERROR(VLOOKUP($T$85,'TAR FIN'!$A$1:$O$113,15,0)),0,VLOOKUP($T$85,'TAR FIN'!$A$1:$O$113,15,0))</f>
        <v>0</v>
      </c>
      <c r="X85" s="6">
        <f>IF(ISERROR(VLOOKUP($U$85,'TAR FIN'!$A$1:$O$113,15,0)),0,VLOOKUP($U$85,'TAR FIN'!$A$1:$O$113,15,0))</f>
        <v>0</v>
      </c>
      <c r="Y85" s="6">
        <f ca="1">('TUSD BE'!$AM$15+'TUSD BF'!$AM$15+'TUSD CVA'!$AM$15)*1</f>
        <v>16.035953923331604</v>
      </c>
      <c r="Z85" s="6">
        <f ca="1">('TUSD BE'!$AM$16+'TUSD BF'!$AM$16+'TUSD CVA'!$AM$16)*1</f>
        <v>122.14055331663396</v>
      </c>
      <c r="AA85" s="6"/>
      <c r="AB85" s="6">
        <f>$K$85*$V$85</f>
        <v>126596.71921623999</v>
      </c>
      <c r="AC85" s="6">
        <f>$M$85*$W$85</f>
        <v>0</v>
      </c>
      <c r="AD85" s="6">
        <f>$O$85*$X$85</f>
        <v>0</v>
      </c>
      <c r="AE85" s="6">
        <f ca="1">$K$85*$Y$85</f>
        <v>145007.08258546953</v>
      </c>
      <c r="AF85" s="6">
        <f ca="1">$M$85*$Z$85</f>
        <v>0</v>
      </c>
      <c r="AG85" s="6">
        <f>$O$85*$AA$85</f>
        <v>0</v>
      </c>
    </row>
    <row r="86" spans="1:33" ht="11.25" customHeight="1" x14ac:dyDescent="0.3">
      <c r="A86" s="4" t="s">
        <v>21</v>
      </c>
      <c r="B86" s="4" t="s">
        <v>39</v>
      </c>
      <c r="C86" s="4" t="s">
        <v>40</v>
      </c>
      <c r="D86" s="4" t="s">
        <v>38</v>
      </c>
      <c r="E86" s="4" t="s">
        <v>25</v>
      </c>
      <c r="F86" s="4" t="s">
        <v>56</v>
      </c>
      <c r="G86" s="4" t="s">
        <v>25</v>
      </c>
      <c r="H86" s="4" t="s">
        <v>25</v>
      </c>
      <c r="I86" s="5">
        <v>44501</v>
      </c>
      <c r="J86" s="6">
        <v>0</v>
      </c>
      <c r="K86" s="6">
        <v>0</v>
      </c>
      <c r="L86" s="6">
        <v>7888.02</v>
      </c>
      <c r="M86" s="6">
        <v>7888.02</v>
      </c>
      <c r="N86" s="6">
        <v>0</v>
      </c>
      <c r="O86" s="6">
        <v>0</v>
      </c>
      <c r="P86" s="6">
        <v>10</v>
      </c>
      <c r="Q86" s="4" t="s">
        <v>55</v>
      </c>
      <c r="R86" s="4">
        <v>0</v>
      </c>
      <c r="S86" s="6">
        <v>0</v>
      </c>
      <c r="T86" s="6">
        <v>12</v>
      </c>
      <c r="U86" s="6">
        <v>0</v>
      </c>
      <c r="V86" s="6">
        <f>IF(ISERROR(VLOOKUP($S$86,'TAR FIN'!$A$1:$O$113,15,0)),0,VLOOKUP($S$86,'TAR FIN'!$A$1:$O$113,15,0))</f>
        <v>0</v>
      </c>
      <c r="W86" s="6">
        <f>IF(ISERROR(VLOOKUP($T$86,'TAR FIN'!$A$1:$O$113,15,0)),0,VLOOKUP($T$86,'TAR FIN'!$A$1:$O$113,15,0))</f>
        <v>72.150000000000006</v>
      </c>
      <c r="X86" s="6">
        <f>IF(ISERROR(VLOOKUP($U$86,'TAR FIN'!$A$1:$O$113,15,0)),0,VLOOKUP($U$86,'TAR FIN'!$A$1:$O$113,15,0))</f>
        <v>0</v>
      </c>
      <c r="Y86" s="6"/>
      <c r="Z86" s="6">
        <f ca="1">('TUSD BE'!$AM$16+'TUSD BF'!$AM$16+'TUSD CVA'!$AM$16)*1</f>
        <v>122.14055331663396</v>
      </c>
      <c r="AA86" s="6"/>
      <c r="AB86" s="6">
        <f>$K$86*$V$86</f>
        <v>0</v>
      </c>
      <c r="AC86" s="6">
        <f>$M$86*$W$86</f>
        <v>569120.64300000004</v>
      </c>
      <c r="AD86" s="6">
        <f>$O$86*$X$86</f>
        <v>0</v>
      </c>
      <c r="AE86" s="6">
        <f>$K$86*$Y$86</f>
        <v>0</v>
      </c>
      <c r="AF86" s="6">
        <f ca="1">$M$86*$Z$86</f>
        <v>963447.12737267499</v>
      </c>
      <c r="AG86" s="6">
        <f>$O$86*$AA$86</f>
        <v>0</v>
      </c>
    </row>
    <row r="87" spans="1:33" ht="11.25" customHeight="1" x14ac:dyDescent="0.3">
      <c r="A87" s="4" t="s">
        <v>21</v>
      </c>
      <c r="B87" s="4" t="s">
        <v>39</v>
      </c>
      <c r="C87" s="4" t="s">
        <v>40</v>
      </c>
      <c r="D87" s="4" t="s">
        <v>38</v>
      </c>
      <c r="E87" s="4" t="s">
        <v>25</v>
      </c>
      <c r="F87" s="4" t="s">
        <v>56</v>
      </c>
      <c r="G87" s="4" t="s">
        <v>25</v>
      </c>
      <c r="H87" s="4" t="s">
        <v>25</v>
      </c>
      <c r="I87" s="5">
        <v>44531</v>
      </c>
      <c r="J87" s="6">
        <v>0</v>
      </c>
      <c r="K87" s="6">
        <v>0</v>
      </c>
      <c r="L87" s="6">
        <v>7651.0950000000003</v>
      </c>
      <c r="M87" s="6">
        <v>7651.0950000000003</v>
      </c>
      <c r="N87" s="6">
        <v>0</v>
      </c>
      <c r="O87" s="6">
        <v>0</v>
      </c>
      <c r="P87" s="6">
        <v>10</v>
      </c>
      <c r="Q87" s="4" t="s">
        <v>55</v>
      </c>
      <c r="R87" s="4">
        <v>0</v>
      </c>
      <c r="S87" s="6">
        <v>0</v>
      </c>
      <c r="T87" s="6">
        <v>12</v>
      </c>
      <c r="U87" s="6">
        <v>0</v>
      </c>
      <c r="V87" s="6">
        <f>IF(ISERROR(VLOOKUP($S$87,'TAR FIN'!$A$1:$O$113,15,0)),0,VLOOKUP($S$87,'TAR FIN'!$A$1:$O$113,15,0))</f>
        <v>0</v>
      </c>
      <c r="W87" s="6">
        <f>IF(ISERROR(VLOOKUP($T$87,'TAR FIN'!$A$1:$O$113,15,0)),0,VLOOKUP($T$87,'TAR FIN'!$A$1:$O$113,15,0))</f>
        <v>72.150000000000006</v>
      </c>
      <c r="X87" s="6">
        <f>IF(ISERROR(VLOOKUP($U$87,'TAR FIN'!$A$1:$O$113,15,0)),0,VLOOKUP($U$87,'TAR FIN'!$A$1:$O$113,15,0))</f>
        <v>0</v>
      </c>
      <c r="Y87" s="6"/>
      <c r="Z87" s="6">
        <f ca="1">('TUSD BE'!$AM$16+'TUSD BF'!$AM$16+'TUSD CVA'!$AM$16)*1</f>
        <v>122.14055331663396</v>
      </c>
      <c r="AA87" s="6"/>
      <c r="AB87" s="6">
        <f>$K$87*$V$87</f>
        <v>0</v>
      </c>
      <c r="AC87" s="6">
        <f>$M$87*$W$87</f>
        <v>552026.50425000011</v>
      </c>
      <c r="AD87" s="6">
        <f>$O$87*$X$87</f>
        <v>0</v>
      </c>
      <c r="AE87" s="6">
        <f>$K$87*$Y$87</f>
        <v>0</v>
      </c>
      <c r="AF87" s="6">
        <f ca="1">$M$87*$Z$87</f>
        <v>934508.97677813156</v>
      </c>
      <c r="AG87" s="6">
        <f>$O$87*$AA$87</f>
        <v>0</v>
      </c>
    </row>
    <row r="88" spans="1:33" ht="11.25" customHeight="1" x14ac:dyDescent="0.3">
      <c r="A88" s="4" t="s">
        <v>21</v>
      </c>
      <c r="B88" s="4" t="s">
        <v>39</v>
      </c>
      <c r="C88" s="4" t="s">
        <v>40</v>
      </c>
      <c r="D88" s="4" t="s">
        <v>38</v>
      </c>
      <c r="E88" s="4" t="s">
        <v>25</v>
      </c>
      <c r="F88" s="4" t="s">
        <v>56</v>
      </c>
      <c r="G88" s="4" t="s">
        <v>25</v>
      </c>
      <c r="H88" s="4" t="s">
        <v>25</v>
      </c>
      <c r="I88" s="5">
        <v>44562</v>
      </c>
      <c r="J88" s="6">
        <v>0</v>
      </c>
      <c r="K88" s="6">
        <v>0</v>
      </c>
      <c r="L88" s="6">
        <v>7155.4250000000002</v>
      </c>
      <c r="M88" s="6">
        <v>7155.4250000000002</v>
      </c>
      <c r="N88" s="6">
        <v>0</v>
      </c>
      <c r="O88" s="6">
        <v>0</v>
      </c>
      <c r="P88" s="6">
        <v>10</v>
      </c>
      <c r="Q88" s="4" t="s">
        <v>55</v>
      </c>
      <c r="R88" s="4">
        <v>0</v>
      </c>
      <c r="S88" s="6">
        <v>0</v>
      </c>
      <c r="T88" s="6">
        <v>12</v>
      </c>
      <c r="U88" s="6">
        <v>0</v>
      </c>
      <c r="V88" s="6">
        <f>IF(ISERROR(VLOOKUP($S$88,'TAR FIN'!$A$1:$O$113,15,0)),0,VLOOKUP($S$88,'TAR FIN'!$A$1:$O$113,15,0))</f>
        <v>0</v>
      </c>
      <c r="W88" s="6">
        <f>IF(ISERROR(VLOOKUP($T$88,'TAR FIN'!$A$1:$O$113,15,0)),0,VLOOKUP($T$88,'TAR FIN'!$A$1:$O$113,15,0))</f>
        <v>72.150000000000006</v>
      </c>
      <c r="X88" s="6">
        <f>IF(ISERROR(VLOOKUP($U$88,'TAR FIN'!$A$1:$O$113,15,0)),0,VLOOKUP($U$88,'TAR FIN'!$A$1:$O$113,15,0))</f>
        <v>0</v>
      </c>
      <c r="Y88" s="6"/>
      <c r="Z88" s="6">
        <f ca="1">('TUSD BE'!$AM$16+'TUSD BF'!$AM$16+'TUSD CVA'!$AM$16)*1</f>
        <v>122.14055331663396</v>
      </c>
      <c r="AA88" s="6"/>
      <c r="AB88" s="6">
        <f>$K$88*$V$88</f>
        <v>0</v>
      </c>
      <c r="AC88" s="6">
        <f>$M$88*$W$88</f>
        <v>516263.91375000007</v>
      </c>
      <c r="AD88" s="6">
        <f>$O$88*$X$88</f>
        <v>0</v>
      </c>
      <c r="AE88" s="6">
        <f>$K$88*$Y$88</f>
        <v>0</v>
      </c>
      <c r="AF88" s="6">
        <f ca="1">$M$88*$Z$88</f>
        <v>873967.5687156755</v>
      </c>
      <c r="AG88" s="6">
        <f>$O$88*$AA$88</f>
        <v>0</v>
      </c>
    </row>
    <row r="89" spans="1:33" ht="11.25" customHeight="1" x14ac:dyDescent="0.3">
      <c r="A89" s="4" t="s">
        <v>21</v>
      </c>
      <c r="B89" s="4" t="s">
        <v>39</v>
      </c>
      <c r="C89" s="4" t="s">
        <v>40</v>
      </c>
      <c r="D89" s="4" t="s">
        <v>38</v>
      </c>
      <c r="E89" s="4" t="s">
        <v>25</v>
      </c>
      <c r="F89" s="4" t="s">
        <v>56</v>
      </c>
      <c r="G89" s="4" t="s">
        <v>25</v>
      </c>
      <c r="H89" s="4" t="s">
        <v>25</v>
      </c>
      <c r="I89" s="5">
        <v>44593</v>
      </c>
      <c r="J89" s="6">
        <v>0</v>
      </c>
      <c r="K89" s="6">
        <v>0</v>
      </c>
      <c r="L89" s="6">
        <v>7542.44</v>
      </c>
      <c r="M89" s="6">
        <v>7542.44</v>
      </c>
      <c r="N89" s="6">
        <v>0</v>
      </c>
      <c r="O89" s="6">
        <v>0</v>
      </c>
      <c r="P89" s="6">
        <v>10</v>
      </c>
      <c r="Q89" s="4" t="s">
        <v>55</v>
      </c>
      <c r="R89" s="4">
        <v>0</v>
      </c>
      <c r="S89" s="6">
        <v>0</v>
      </c>
      <c r="T89" s="6">
        <v>12</v>
      </c>
      <c r="U89" s="6">
        <v>0</v>
      </c>
      <c r="V89" s="6">
        <f>IF(ISERROR(VLOOKUP($S$89,'TAR FIN'!$A$1:$O$113,15,0)),0,VLOOKUP($S$89,'TAR FIN'!$A$1:$O$113,15,0))</f>
        <v>0</v>
      </c>
      <c r="W89" s="6">
        <f>IF(ISERROR(VLOOKUP($T$89,'TAR FIN'!$A$1:$O$113,15,0)),0,VLOOKUP($T$89,'TAR FIN'!$A$1:$O$113,15,0))</f>
        <v>72.150000000000006</v>
      </c>
      <c r="X89" s="6">
        <f>IF(ISERROR(VLOOKUP($U$89,'TAR FIN'!$A$1:$O$113,15,0)),0,VLOOKUP($U$89,'TAR FIN'!$A$1:$O$113,15,0))</f>
        <v>0</v>
      </c>
      <c r="Y89" s="6"/>
      <c r="Z89" s="6">
        <f ca="1">('TUSD BE'!$AM$16+'TUSD BF'!$AM$16+'TUSD CVA'!$AM$16)*1</f>
        <v>122.14055331663396</v>
      </c>
      <c r="AA89" s="6"/>
      <c r="AB89" s="6">
        <f>$K$89*$V$89</f>
        <v>0</v>
      </c>
      <c r="AC89" s="6">
        <f>$M$89*$W$89</f>
        <v>544187.04599999997</v>
      </c>
      <c r="AD89" s="6">
        <f>$O$89*$X$89</f>
        <v>0</v>
      </c>
      <c r="AE89" s="6">
        <f>$K$89*$Y$89</f>
        <v>0</v>
      </c>
      <c r="AF89" s="6">
        <f ca="1">$M$89*$Z$89</f>
        <v>921237.79495751252</v>
      </c>
      <c r="AG89" s="6">
        <f>$O$89*$AA$89</f>
        <v>0</v>
      </c>
    </row>
    <row r="90" spans="1:33" ht="11.25" customHeight="1" x14ac:dyDescent="0.3">
      <c r="A90" s="4" t="s">
        <v>21</v>
      </c>
      <c r="B90" s="4" t="s">
        <v>39</v>
      </c>
      <c r="C90" s="4" t="s">
        <v>40</v>
      </c>
      <c r="D90" s="4" t="s">
        <v>38</v>
      </c>
      <c r="E90" s="4" t="s">
        <v>25</v>
      </c>
      <c r="F90" s="4" t="s">
        <v>56</v>
      </c>
      <c r="G90" s="4" t="s">
        <v>25</v>
      </c>
      <c r="H90" s="4" t="s">
        <v>25</v>
      </c>
      <c r="I90" s="5">
        <v>44621</v>
      </c>
      <c r="J90" s="6">
        <v>0</v>
      </c>
      <c r="K90" s="6">
        <v>0</v>
      </c>
      <c r="L90" s="6">
        <v>7411.6469999999999</v>
      </c>
      <c r="M90" s="6">
        <v>7411.6469999999999</v>
      </c>
      <c r="N90" s="6">
        <v>0</v>
      </c>
      <c r="O90" s="6">
        <v>0</v>
      </c>
      <c r="P90" s="6">
        <v>10</v>
      </c>
      <c r="Q90" s="4" t="s">
        <v>55</v>
      </c>
      <c r="R90" s="4">
        <v>0</v>
      </c>
      <c r="S90" s="6">
        <v>0</v>
      </c>
      <c r="T90" s="6">
        <v>12</v>
      </c>
      <c r="U90" s="6">
        <v>0</v>
      </c>
      <c r="V90" s="6">
        <f>IF(ISERROR(VLOOKUP($S$90,'TAR FIN'!$A$1:$O$113,15,0)),0,VLOOKUP($S$90,'TAR FIN'!$A$1:$O$113,15,0))</f>
        <v>0</v>
      </c>
      <c r="W90" s="6">
        <f>IF(ISERROR(VLOOKUP($T$90,'TAR FIN'!$A$1:$O$113,15,0)),0,VLOOKUP($T$90,'TAR FIN'!$A$1:$O$113,15,0))</f>
        <v>72.150000000000006</v>
      </c>
      <c r="X90" s="6">
        <f>IF(ISERROR(VLOOKUP($U$90,'TAR FIN'!$A$1:$O$113,15,0)),0,VLOOKUP($U$90,'TAR FIN'!$A$1:$O$113,15,0))</f>
        <v>0</v>
      </c>
      <c r="Y90" s="6"/>
      <c r="Z90" s="6">
        <f ca="1">('TUSD BE'!$AM$16+'TUSD BF'!$AM$16+'TUSD CVA'!$AM$16)*1</f>
        <v>122.14055331663396</v>
      </c>
      <c r="AA90" s="6"/>
      <c r="AB90" s="6">
        <f>$K$90*$V$90</f>
        <v>0</v>
      </c>
      <c r="AC90" s="6">
        <f>$M$90*$W$90</f>
        <v>534750.33105000004</v>
      </c>
      <c r="AD90" s="6">
        <f>$O$90*$X$90</f>
        <v>0</v>
      </c>
      <c r="AE90" s="6">
        <f>$K$90*$Y$90</f>
        <v>0</v>
      </c>
      <c r="AF90" s="6">
        <f ca="1">$M$90*$Z$90</f>
        <v>905262.66556757013</v>
      </c>
      <c r="AG90" s="6">
        <f>$O$90*$AA$90</f>
        <v>0</v>
      </c>
    </row>
    <row r="91" spans="1:33" ht="11.25" customHeight="1" x14ac:dyDescent="0.3">
      <c r="A91" s="4" t="s">
        <v>21</v>
      </c>
      <c r="B91" s="4" t="s">
        <v>39</v>
      </c>
      <c r="C91" s="4" t="s">
        <v>40</v>
      </c>
      <c r="D91" s="4" t="s">
        <v>38</v>
      </c>
      <c r="E91" s="4" t="s">
        <v>25</v>
      </c>
      <c r="F91" s="4" t="s">
        <v>56</v>
      </c>
      <c r="G91" s="4" t="s">
        <v>25</v>
      </c>
      <c r="H91" s="4" t="s">
        <v>25</v>
      </c>
      <c r="I91" s="5">
        <v>44652</v>
      </c>
      <c r="J91" s="6">
        <v>0</v>
      </c>
      <c r="K91" s="6">
        <v>0</v>
      </c>
      <c r="L91" s="6">
        <v>7972.3119999999999</v>
      </c>
      <c r="M91" s="6">
        <v>7972.3119999999999</v>
      </c>
      <c r="N91" s="6">
        <v>0</v>
      </c>
      <c r="O91" s="6">
        <v>0</v>
      </c>
      <c r="P91" s="6">
        <v>10</v>
      </c>
      <c r="Q91" s="4" t="s">
        <v>55</v>
      </c>
      <c r="R91" s="4">
        <v>0</v>
      </c>
      <c r="S91" s="6">
        <v>0</v>
      </c>
      <c r="T91" s="6">
        <v>12</v>
      </c>
      <c r="U91" s="6">
        <v>0</v>
      </c>
      <c r="V91" s="6">
        <f>IF(ISERROR(VLOOKUP($S$91,'TAR FIN'!$A$1:$O$113,15,0)),0,VLOOKUP($S$91,'TAR FIN'!$A$1:$O$113,15,0))</f>
        <v>0</v>
      </c>
      <c r="W91" s="6">
        <f>IF(ISERROR(VLOOKUP($T$91,'TAR FIN'!$A$1:$O$113,15,0)),0,VLOOKUP($T$91,'TAR FIN'!$A$1:$O$113,15,0))</f>
        <v>72.150000000000006</v>
      </c>
      <c r="X91" s="6">
        <f>IF(ISERROR(VLOOKUP($U$91,'TAR FIN'!$A$1:$O$113,15,0)),0,VLOOKUP($U$91,'TAR FIN'!$A$1:$O$113,15,0))</f>
        <v>0</v>
      </c>
      <c r="Y91" s="6"/>
      <c r="Z91" s="6">
        <f ca="1">('TUSD BE'!$AM$16+'TUSD BF'!$AM$16+'TUSD CVA'!$AM$16)*1</f>
        <v>122.14055331663396</v>
      </c>
      <c r="AA91" s="6"/>
      <c r="AB91" s="6">
        <f>$K$91*$V$91</f>
        <v>0</v>
      </c>
      <c r="AC91" s="6">
        <f>$M$91*$W$91</f>
        <v>575202.31080000009</v>
      </c>
      <c r="AD91" s="6">
        <f>$O$91*$X$91</f>
        <v>0</v>
      </c>
      <c r="AE91" s="6">
        <f>$K$91*$Y$91</f>
        <v>0</v>
      </c>
      <c r="AF91" s="6">
        <f ca="1">$M$91*$Z$91</f>
        <v>973742.59889284067</v>
      </c>
      <c r="AG91" s="6">
        <f>$O$91*$AA$91</f>
        <v>0</v>
      </c>
    </row>
    <row r="92" spans="1:33" ht="11.25" customHeight="1" x14ac:dyDescent="0.3">
      <c r="A92" s="4" t="s">
        <v>21</v>
      </c>
      <c r="B92" s="4" t="s">
        <v>39</v>
      </c>
      <c r="C92" s="4" t="s">
        <v>40</v>
      </c>
      <c r="D92" s="4" t="s">
        <v>38</v>
      </c>
      <c r="E92" s="4" t="s">
        <v>25</v>
      </c>
      <c r="F92" s="4" t="s">
        <v>56</v>
      </c>
      <c r="G92" s="4" t="s">
        <v>25</v>
      </c>
      <c r="H92" s="4" t="s">
        <v>25</v>
      </c>
      <c r="I92" s="5">
        <v>44682</v>
      </c>
      <c r="J92" s="6">
        <v>0</v>
      </c>
      <c r="K92" s="6">
        <v>0</v>
      </c>
      <c r="L92" s="6">
        <v>7239.27</v>
      </c>
      <c r="M92" s="6">
        <v>7239.27</v>
      </c>
      <c r="N92" s="6">
        <v>0</v>
      </c>
      <c r="O92" s="6">
        <v>0</v>
      </c>
      <c r="P92" s="6">
        <v>10</v>
      </c>
      <c r="Q92" s="4" t="s">
        <v>55</v>
      </c>
      <c r="R92" s="4">
        <v>0</v>
      </c>
      <c r="S92" s="6">
        <v>0</v>
      </c>
      <c r="T92" s="6">
        <v>12</v>
      </c>
      <c r="U92" s="6">
        <v>0</v>
      </c>
      <c r="V92" s="6">
        <f>IF(ISERROR(VLOOKUP($S$92,'TAR FIN'!$A$1:$O$113,15,0)),0,VLOOKUP($S$92,'TAR FIN'!$A$1:$O$113,15,0))</f>
        <v>0</v>
      </c>
      <c r="W92" s="6">
        <f>IF(ISERROR(VLOOKUP($T$92,'TAR FIN'!$A$1:$O$113,15,0)),0,VLOOKUP($T$92,'TAR FIN'!$A$1:$O$113,15,0))</f>
        <v>72.150000000000006</v>
      </c>
      <c r="X92" s="6">
        <f>IF(ISERROR(VLOOKUP($U$92,'TAR FIN'!$A$1:$O$113,15,0)),0,VLOOKUP($U$92,'TAR FIN'!$A$1:$O$113,15,0))</f>
        <v>0</v>
      </c>
      <c r="Y92" s="6"/>
      <c r="Z92" s="6">
        <f ca="1">('TUSD BE'!$AM$16+'TUSD BF'!$AM$16+'TUSD CVA'!$AM$16)*1</f>
        <v>122.14055331663396</v>
      </c>
      <c r="AA92" s="6"/>
      <c r="AB92" s="6">
        <f>$K$92*$V$92</f>
        <v>0</v>
      </c>
      <c r="AC92" s="6">
        <f>$M$92*$W$92</f>
        <v>522313.3305000001</v>
      </c>
      <c r="AD92" s="6">
        <f>$O$92*$X$92</f>
        <v>0</v>
      </c>
      <c r="AE92" s="6">
        <f>$K$92*$Y$92</f>
        <v>0</v>
      </c>
      <c r="AF92" s="6">
        <f ca="1">$M$92*$Z$92</f>
        <v>884208.44340850879</v>
      </c>
      <c r="AG92" s="6">
        <f>$O$92*$AA$92</f>
        <v>0</v>
      </c>
    </row>
    <row r="93" spans="1:33" ht="11.25" customHeight="1" x14ac:dyDescent="0.3">
      <c r="A93" s="4" t="s">
        <v>21</v>
      </c>
      <c r="B93" s="4" t="s">
        <v>39</v>
      </c>
      <c r="C93" s="4" t="s">
        <v>40</v>
      </c>
      <c r="D93" s="4" t="s">
        <v>38</v>
      </c>
      <c r="E93" s="4" t="s">
        <v>25</v>
      </c>
      <c r="F93" s="4" t="s">
        <v>56</v>
      </c>
      <c r="G93" s="4" t="s">
        <v>25</v>
      </c>
      <c r="H93" s="4" t="s">
        <v>25</v>
      </c>
      <c r="I93" s="5">
        <v>44713</v>
      </c>
      <c r="J93" s="6">
        <v>0</v>
      </c>
      <c r="K93" s="6">
        <v>0</v>
      </c>
      <c r="L93" s="6">
        <v>7397.8249999999998</v>
      </c>
      <c r="M93" s="6">
        <v>7397.8249999999998</v>
      </c>
      <c r="N93" s="6">
        <v>0</v>
      </c>
      <c r="O93" s="6">
        <v>0</v>
      </c>
      <c r="P93" s="6">
        <v>10</v>
      </c>
      <c r="Q93" s="4" t="s">
        <v>55</v>
      </c>
      <c r="R93" s="4">
        <v>0</v>
      </c>
      <c r="S93" s="6">
        <v>0</v>
      </c>
      <c r="T93" s="6">
        <v>12</v>
      </c>
      <c r="U93" s="6">
        <v>0</v>
      </c>
      <c r="V93" s="6">
        <f>IF(ISERROR(VLOOKUP($S$93,'TAR FIN'!$A$1:$O$113,15,0)),0,VLOOKUP($S$93,'TAR FIN'!$A$1:$O$113,15,0))</f>
        <v>0</v>
      </c>
      <c r="W93" s="6">
        <f>IF(ISERROR(VLOOKUP($T$93,'TAR FIN'!$A$1:$O$113,15,0)),0,VLOOKUP($T$93,'TAR FIN'!$A$1:$O$113,15,0))</f>
        <v>72.150000000000006</v>
      </c>
      <c r="X93" s="6">
        <f>IF(ISERROR(VLOOKUP($U$93,'TAR FIN'!$A$1:$O$113,15,0)),0,VLOOKUP($U$93,'TAR FIN'!$A$1:$O$113,15,0))</f>
        <v>0</v>
      </c>
      <c r="Y93" s="6"/>
      <c r="Z93" s="6">
        <f ca="1">('TUSD BE'!$AM$16+'TUSD BF'!$AM$16+'TUSD CVA'!$AM$16)*1</f>
        <v>122.14055331663396</v>
      </c>
      <c r="AA93" s="6"/>
      <c r="AB93" s="6">
        <f>$K$93*$V$93</f>
        <v>0</v>
      </c>
      <c r="AC93" s="6">
        <f>$M$93*$W$93</f>
        <v>533753.07374999998</v>
      </c>
      <c r="AD93" s="6">
        <f>$O$93*$X$93</f>
        <v>0</v>
      </c>
      <c r="AE93" s="6">
        <f>$K$93*$Y$93</f>
        <v>0</v>
      </c>
      <c r="AF93" s="6">
        <f ca="1">$M$93*$Z$93</f>
        <v>903574.43883962755</v>
      </c>
      <c r="AG93" s="6">
        <f>$O$93*$AA$93</f>
        <v>0</v>
      </c>
    </row>
    <row r="94" spans="1:33" ht="11.25" customHeight="1" x14ac:dyDescent="0.3">
      <c r="A94" s="4" t="s">
        <v>21</v>
      </c>
      <c r="B94" s="4" t="s">
        <v>39</v>
      </c>
      <c r="C94" s="4" t="s">
        <v>40</v>
      </c>
      <c r="D94" s="4" t="s">
        <v>38</v>
      </c>
      <c r="E94" s="4" t="s">
        <v>25</v>
      </c>
      <c r="F94" s="4" t="s">
        <v>56</v>
      </c>
      <c r="G94" s="4" t="s">
        <v>25</v>
      </c>
      <c r="H94" s="4" t="s">
        <v>25</v>
      </c>
      <c r="I94" s="5">
        <v>44743</v>
      </c>
      <c r="J94" s="6">
        <v>0</v>
      </c>
      <c r="K94" s="6">
        <v>0</v>
      </c>
      <c r="L94" s="6">
        <v>7032.8630000000003</v>
      </c>
      <c r="M94" s="6">
        <v>7032.8630000000003</v>
      </c>
      <c r="N94" s="6">
        <v>0</v>
      </c>
      <c r="O94" s="6">
        <v>0</v>
      </c>
      <c r="P94" s="6">
        <v>10</v>
      </c>
      <c r="Q94" s="4" t="s">
        <v>55</v>
      </c>
      <c r="R94" s="4">
        <v>0</v>
      </c>
      <c r="S94" s="6">
        <v>0</v>
      </c>
      <c r="T94" s="6">
        <v>12</v>
      </c>
      <c r="U94" s="6">
        <v>0</v>
      </c>
      <c r="V94" s="6">
        <f>IF(ISERROR(VLOOKUP($S$94,'TAR FIN'!$A$1:$O$113,15,0)),0,VLOOKUP($S$94,'TAR FIN'!$A$1:$O$113,15,0))</f>
        <v>0</v>
      </c>
      <c r="W94" s="6">
        <f>IF(ISERROR(VLOOKUP($T$94,'TAR FIN'!$A$1:$O$113,15,0)),0,VLOOKUP($T$94,'TAR FIN'!$A$1:$O$113,15,0))</f>
        <v>72.150000000000006</v>
      </c>
      <c r="X94" s="6">
        <f>IF(ISERROR(VLOOKUP($U$94,'TAR FIN'!$A$1:$O$113,15,0)),0,VLOOKUP($U$94,'TAR FIN'!$A$1:$O$113,15,0))</f>
        <v>0</v>
      </c>
      <c r="Y94" s="6"/>
      <c r="Z94" s="6">
        <f ca="1">('TUSD BE'!$AM$16+'TUSD BF'!$AM$16+'TUSD CVA'!$AM$16)*1</f>
        <v>122.14055331663396</v>
      </c>
      <c r="AA94" s="6"/>
      <c r="AB94" s="6">
        <f>$K$94*$V$94</f>
        <v>0</v>
      </c>
      <c r="AC94" s="6">
        <f>$M$94*$W$94</f>
        <v>507421.06545000005</v>
      </c>
      <c r="AD94" s="6">
        <f>$O$94*$X$94</f>
        <v>0</v>
      </c>
      <c r="AE94" s="6">
        <f>$K$94*$Y$94</f>
        <v>0</v>
      </c>
      <c r="AF94" s="6">
        <f ca="1">$M$94*$Z$94</f>
        <v>858997.77822008228</v>
      </c>
      <c r="AG94" s="6">
        <f>$O$94*$AA$94</f>
        <v>0</v>
      </c>
    </row>
    <row r="95" spans="1:33" ht="11.25" customHeight="1" x14ac:dyDescent="0.3">
      <c r="A95" s="4" t="s">
        <v>21</v>
      </c>
      <c r="B95" s="4" t="s">
        <v>39</v>
      </c>
      <c r="C95" s="4" t="s">
        <v>40</v>
      </c>
      <c r="D95" s="4" t="s">
        <v>38</v>
      </c>
      <c r="E95" s="4" t="s">
        <v>25</v>
      </c>
      <c r="F95" s="4" t="s">
        <v>56</v>
      </c>
      <c r="G95" s="4" t="s">
        <v>25</v>
      </c>
      <c r="H95" s="4" t="s">
        <v>25</v>
      </c>
      <c r="I95" s="5">
        <v>44774</v>
      </c>
      <c r="J95" s="6">
        <v>0</v>
      </c>
      <c r="K95" s="6">
        <v>0</v>
      </c>
      <c r="L95" s="6">
        <v>7387.9709999999995</v>
      </c>
      <c r="M95" s="6">
        <v>7387.9709999999995</v>
      </c>
      <c r="N95" s="6">
        <v>0</v>
      </c>
      <c r="O95" s="6">
        <v>0</v>
      </c>
      <c r="P95" s="6">
        <v>10</v>
      </c>
      <c r="Q95" s="4" t="s">
        <v>55</v>
      </c>
      <c r="R95" s="4">
        <v>0</v>
      </c>
      <c r="S95" s="6">
        <v>0</v>
      </c>
      <c r="T95" s="6">
        <v>12</v>
      </c>
      <c r="U95" s="6">
        <v>0</v>
      </c>
      <c r="V95" s="6">
        <f>IF(ISERROR(VLOOKUP($S$95,'TAR FIN'!$A$1:$O$113,15,0)),0,VLOOKUP($S$95,'TAR FIN'!$A$1:$O$113,15,0))</f>
        <v>0</v>
      </c>
      <c r="W95" s="6">
        <f>IF(ISERROR(VLOOKUP($T$95,'TAR FIN'!$A$1:$O$113,15,0)),0,VLOOKUP($T$95,'TAR FIN'!$A$1:$O$113,15,0))</f>
        <v>72.150000000000006</v>
      </c>
      <c r="X95" s="6">
        <f>IF(ISERROR(VLOOKUP($U$95,'TAR FIN'!$A$1:$O$113,15,0)),0,VLOOKUP($U$95,'TAR FIN'!$A$1:$O$113,15,0))</f>
        <v>0</v>
      </c>
      <c r="Y95" s="6"/>
      <c r="Z95" s="6">
        <f ca="1">('TUSD BE'!$AM$16+'TUSD BF'!$AM$16+'TUSD CVA'!$AM$16)*1</f>
        <v>122.14055331663396</v>
      </c>
      <c r="AA95" s="6"/>
      <c r="AB95" s="6">
        <f>$K$95*$V$95</f>
        <v>0</v>
      </c>
      <c r="AC95" s="6">
        <f>$M$95*$W$95</f>
        <v>533042.10765000002</v>
      </c>
      <c r="AD95" s="6">
        <f>$O$95*$X$95</f>
        <v>0</v>
      </c>
      <c r="AE95" s="6">
        <f>$K$95*$Y$95</f>
        <v>0</v>
      </c>
      <c r="AF95" s="6">
        <f ca="1">$M$95*$Z$95</f>
        <v>902370.8658272454</v>
      </c>
      <c r="AG95" s="6">
        <f>$O$95*$AA$95</f>
        <v>0</v>
      </c>
    </row>
    <row r="96" spans="1:33" ht="11.25" customHeight="1" x14ac:dyDescent="0.3">
      <c r="A96" s="4" t="s">
        <v>21</v>
      </c>
      <c r="B96" s="4" t="s">
        <v>39</v>
      </c>
      <c r="C96" s="4" t="s">
        <v>40</v>
      </c>
      <c r="D96" s="4" t="s">
        <v>38</v>
      </c>
      <c r="E96" s="4" t="s">
        <v>25</v>
      </c>
      <c r="F96" s="4" t="s">
        <v>56</v>
      </c>
      <c r="G96" s="4" t="s">
        <v>25</v>
      </c>
      <c r="H96" s="4" t="s">
        <v>25</v>
      </c>
      <c r="I96" s="5">
        <v>44805</v>
      </c>
      <c r="J96" s="6">
        <v>0</v>
      </c>
      <c r="K96" s="6">
        <v>0</v>
      </c>
      <c r="L96" s="6">
        <v>7595.0789999999997</v>
      </c>
      <c r="M96" s="6">
        <v>7595.0789999999997</v>
      </c>
      <c r="N96" s="6">
        <v>0</v>
      </c>
      <c r="O96" s="6">
        <v>0</v>
      </c>
      <c r="P96" s="6">
        <v>10</v>
      </c>
      <c r="Q96" s="4" t="s">
        <v>55</v>
      </c>
      <c r="R96" s="4">
        <v>0</v>
      </c>
      <c r="S96" s="6">
        <v>0</v>
      </c>
      <c r="T96" s="6">
        <v>12</v>
      </c>
      <c r="U96" s="6">
        <v>0</v>
      </c>
      <c r="V96" s="6">
        <f>IF(ISERROR(VLOOKUP($S$96,'TAR FIN'!$A$1:$O$113,15,0)),0,VLOOKUP($S$96,'TAR FIN'!$A$1:$O$113,15,0))</f>
        <v>0</v>
      </c>
      <c r="W96" s="6">
        <f>IF(ISERROR(VLOOKUP($T$96,'TAR FIN'!$A$1:$O$113,15,0)),0,VLOOKUP($T$96,'TAR FIN'!$A$1:$O$113,15,0))</f>
        <v>72.150000000000006</v>
      </c>
      <c r="X96" s="6">
        <f>IF(ISERROR(VLOOKUP($U$96,'TAR FIN'!$A$1:$O$113,15,0)),0,VLOOKUP($U$96,'TAR FIN'!$A$1:$O$113,15,0))</f>
        <v>0</v>
      </c>
      <c r="Y96" s="6"/>
      <c r="Z96" s="6">
        <f ca="1">('TUSD BE'!$AM$16+'TUSD BF'!$AM$16+'TUSD CVA'!$AM$16)*1</f>
        <v>122.14055331663396</v>
      </c>
      <c r="AA96" s="6"/>
      <c r="AB96" s="6">
        <f>$K$96*$V$96</f>
        <v>0</v>
      </c>
      <c r="AC96" s="6">
        <f>$M$96*$W$96</f>
        <v>547984.94984999998</v>
      </c>
      <c r="AD96" s="6">
        <f>$O$96*$X$96</f>
        <v>0</v>
      </c>
      <c r="AE96" s="6">
        <f>$K$96*$Y$96</f>
        <v>0</v>
      </c>
      <c r="AF96" s="6">
        <f ca="1">$M$96*$Z$96</f>
        <v>927667.15154354682</v>
      </c>
      <c r="AG96" s="6">
        <f>$O$96*$AA$96</f>
        <v>0</v>
      </c>
    </row>
    <row r="97" spans="1:33" ht="11.25" customHeight="1" x14ac:dyDescent="0.3">
      <c r="A97" s="4" t="s">
        <v>53</v>
      </c>
      <c r="B97" s="4" t="s">
        <v>39</v>
      </c>
      <c r="C97" s="4" t="s">
        <v>40</v>
      </c>
      <c r="D97" s="4" t="s">
        <v>38</v>
      </c>
      <c r="E97" s="4" t="s">
        <v>25</v>
      </c>
      <c r="F97" s="4" t="s">
        <v>56</v>
      </c>
      <c r="G97" s="4" t="s">
        <v>25</v>
      </c>
      <c r="H97" s="4" t="s">
        <v>25</v>
      </c>
      <c r="I97" s="5">
        <v>44835</v>
      </c>
      <c r="J97" s="6">
        <v>0</v>
      </c>
      <c r="K97" s="6">
        <v>0</v>
      </c>
      <c r="L97" s="6">
        <v>7595.0789999999997</v>
      </c>
      <c r="M97" s="6">
        <v>7595.0789999999997</v>
      </c>
      <c r="N97" s="6">
        <v>0</v>
      </c>
      <c r="O97" s="6">
        <v>0</v>
      </c>
      <c r="P97" s="6">
        <v>10</v>
      </c>
      <c r="Q97" s="4" t="s">
        <v>55</v>
      </c>
      <c r="R97" s="4">
        <v>0</v>
      </c>
      <c r="S97" s="6">
        <v>0</v>
      </c>
      <c r="T97" s="6">
        <v>12</v>
      </c>
      <c r="U97" s="6">
        <v>0</v>
      </c>
      <c r="V97" s="6">
        <f>IF(ISERROR(VLOOKUP($S$97,'TAR FIN'!$A$1:$O$113,15,0)),0,VLOOKUP($S$97,'TAR FIN'!$A$1:$O$113,15,0))</f>
        <v>0</v>
      </c>
      <c r="W97" s="6">
        <f>IF(ISERROR(VLOOKUP($T$97,'TAR FIN'!$A$1:$O$113,15,0)),0,VLOOKUP($T$97,'TAR FIN'!$A$1:$O$113,15,0))</f>
        <v>72.150000000000006</v>
      </c>
      <c r="X97" s="6">
        <f>IF(ISERROR(VLOOKUP($U$97,'TAR FIN'!$A$1:$O$113,15,0)),0,VLOOKUP($U$97,'TAR FIN'!$A$1:$O$113,15,0))</f>
        <v>0</v>
      </c>
      <c r="Y97" s="6"/>
      <c r="Z97" s="6">
        <f ca="1">('TUSD BE'!$AM$16+'TUSD BF'!$AM$16+'TUSD CVA'!$AM$16)*1</f>
        <v>122.14055331663396</v>
      </c>
      <c r="AA97" s="6"/>
      <c r="AB97" s="6">
        <f>$K$97*$V$97</f>
        <v>0</v>
      </c>
      <c r="AC97" s="6">
        <f>$M$97*$W$97</f>
        <v>547984.94984999998</v>
      </c>
      <c r="AD97" s="6">
        <f>$O$97*$X$97</f>
        <v>0</v>
      </c>
      <c r="AE97" s="6">
        <f>$K$97*$Y$97</f>
        <v>0</v>
      </c>
      <c r="AF97" s="6">
        <f ca="1">$M$97*$Z$97</f>
        <v>927667.15154354682</v>
      </c>
      <c r="AG97" s="6">
        <f>$O$97*$AA$97</f>
        <v>0</v>
      </c>
    </row>
    <row r="98" spans="1:33" ht="11.25" customHeight="1" x14ac:dyDescent="0.3">
      <c r="A98" s="4" t="s">
        <v>21</v>
      </c>
      <c r="B98" s="4" t="s">
        <v>39</v>
      </c>
      <c r="C98" s="4" t="s">
        <v>40</v>
      </c>
      <c r="D98" s="4" t="s">
        <v>38</v>
      </c>
      <c r="E98" s="4" t="s">
        <v>25</v>
      </c>
      <c r="F98" s="4" t="s">
        <v>56</v>
      </c>
      <c r="G98" s="4" t="s">
        <v>25</v>
      </c>
      <c r="H98" s="4" t="s">
        <v>34</v>
      </c>
      <c r="I98" s="5">
        <v>44501</v>
      </c>
      <c r="J98" s="6">
        <v>15209</v>
      </c>
      <c r="K98" s="6">
        <v>9741.9908066200005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4" t="s">
        <v>55</v>
      </c>
      <c r="R98" s="4">
        <v>0</v>
      </c>
      <c r="S98" s="6">
        <v>9</v>
      </c>
      <c r="T98" s="6">
        <v>0</v>
      </c>
      <c r="U98" s="6">
        <v>0</v>
      </c>
      <c r="V98" s="6">
        <f>IF(ISERROR(VLOOKUP($S$98,'TAR FIN'!$A$1:$O$113,15,0)),0,VLOOKUP($S$98,'TAR FIN'!$A$1:$O$113,15,0))</f>
        <v>35.76</v>
      </c>
      <c r="W98" s="6">
        <f>IF(ISERROR(VLOOKUP($T$98,'TAR FIN'!$A$1:$O$113,15,0)),0,VLOOKUP($T$98,'TAR FIN'!$A$1:$O$113,15,0))</f>
        <v>0</v>
      </c>
      <c r="X98" s="6">
        <f>IF(ISERROR(VLOOKUP($U$98,'TAR FIN'!$A$1:$O$113,15,0)),0,VLOOKUP($U$98,'TAR FIN'!$A$1:$O$113,15,0))</f>
        <v>0</v>
      </c>
      <c r="Y98" s="6">
        <f ca="1">('TUSD BE'!$AM$14+'TUSD BF'!$AM$14+'TUSD CVA'!$AM$14)*1</f>
        <v>40.963640769708675</v>
      </c>
      <c r="Z98" s="6">
        <f ca="1">('TUSD BE'!$AM$16+'TUSD BF'!$AM$16+'TUSD CVA'!$AM$16)*1</f>
        <v>122.14055331663396</v>
      </c>
      <c r="AA98" s="6"/>
      <c r="AB98" s="6">
        <f>$K$98*$V$98</f>
        <v>348373.59124473121</v>
      </c>
      <c r="AC98" s="6">
        <f>$M$98*$W$98</f>
        <v>0</v>
      </c>
      <c r="AD98" s="6">
        <f>$O$98*$X$98</f>
        <v>0</v>
      </c>
      <c r="AE98" s="6">
        <f ca="1">$K$98*$Y$98</f>
        <v>399067.41178418614</v>
      </c>
      <c r="AF98" s="6">
        <f ca="1">$M$98*$Z$98</f>
        <v>0</v>
      </c>
      <c r="AG98" s="6">
        <f>$O$98*$AA$98</f>
        <v>0</v>
      </c>
    </row>
    <row r="99" spans="1:33" ht="11.25" customHeight="1" x14ac:dyDescent="0.3">
      <c r="A99" s="4" t="s">
        <v>21</v>
      </c>
      <c r="B99" s="4" t="s">
        <v>39</v>
      </c>
      <c r="C99" s="4" t="s">
        <v>40</v>
      </c>
      <c r="D99" s="4" t="s">
        <v>38</v>
      </c>
      <c r="E99" s="4" t="s">
        <v>25</v>
      </c>
      <c r="F99" s="4" t="s">
        <v>56</v>
      </c>
      <c r="G99" s="4" t="s">
        <v>25</v>
      </c>
      <c r="H99" s="4" t="s">
        <v>34</v>
      </c>
      <c r="I99" s="5">
        <v>44531</v>
      </c>
      <c r="J99" s="6">
        <v>15104</v>
      </c>
      <c r="K99" s="6">
        <v>9762.3642188800004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4" t="s">
        <v>55</v>
      </c>
      <c r="R99" s="4">
        <v>0</v>
      </c>
      <c r="S99" s="6">
        <v>9</v>
      </c>
      <c r="T99" s="6">
        <v>0</v>
      </c>
      <c r="U99" s="6">
        <v>0</v>
      </c>
      <c r="V99" s="6">
        <f>IF(ISERROR(VLOOKUP($S$99,'TAR FIN'!$A$1:$O$113,15,0)),0,VLOOKUP($S$99,'TAR FIN'!$A$1:$O$113,15,0))</f>
        <v>35.76</v>
      </c>
      <c r="W99" s="6">
        <f>IF(ISERROR(VLOOKUP($T$99,'TAR FIN'!$A$1:$O$113,15,0)),0,VLOOKUP($T$99,'TAR FIN'!$A$1:$O$113,15,0))</f>
        <v>0</v>
      </c>
      <c r="X99" s="6">
        <f>IF(ISERROR(VLOOKUP($U$99,'TAR FIN'!$A$1:$O$113,15,0)),0,VLOOKUP($U$99,'TAR FIN'!$A$1:$O$113,15,0))</f>
        <v>0</v>
      </c>
      <c r="Y99" s="6">
        <f ca="1">('TUSD BE'!$AM$14+'TUSD BF'!$AM$14+'TUSD CVA'!$AM$14)*1</f>
        <v>40.963640769708675</v>
      </c>
      <c r="Z99" s="6">
        <f ca="1">('TUSD BE'!$AM$16+'TUSD BF'!$AM$16+'TUSD CVA'!$AM$16)*1</f>
        <v>122.14055331663396</v>
      </c>
      <c r="AA99" s="6"/>
      <c r="AB99" s="6">
        <f>$K$99*$V$99</f>
        <v>349102.14446714881</v>
      </c>
      <c r="AC99" s="6">
        <f>$M$99*$W$99</f>
        <v>0</v>
      </c>
      <c r="AD99" s="6">
        <f>$O$99*$X$99</f>
        <v>0</v>
      </c>
      <c r="AE99" s="6">
        <f ca="1">$K$99*$Y$99</f>
        <v>399901.98092525796</v>
      </c>
      <c r="AF99" s="6">
        <f ca="1">$M$99*$Z$99</f>
        <v>0</v>
      </c>
      <c r="AG99" s="6">
        <f>$O$99*$AA$99</f>
        <v>0</v>
      </c>
    </row>
    <row r="100" spans="1:33" ht="11.25" customHeight="1" x14ac:dyDescent="0.3">
      <c r="A100" s="4" t="s">
        <v>21</v>
      </c>
      <c r="B100" s="4" t="s">
        <v>39</v>
      </c>
      <c r="C100" s="4" t="s">
        <v>40</v>
      </c>
      <c r="D100" s="4" t="s">
        <v>38</v>
      </c>
      <c r="E100" s="4" t="s">
        <v>25</v>
      </c>
      <c r="F100" s="4" t="s">
        <v>56</v>
      </c>
      <c r="G100" s="4" t="s">
        <v>25</v>
      </c>
      <c r="H100" s="4" t="s">
        <v>34</v>
      </c>
      <c r="I100" s="5">
        <v>44562</v>
      </c>
      <c r="J100" s="6">
        <v>15151</v>
      </c>
      <c r="K100" s="6">
        <v>8719.4845880499997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4" t="s">
        <v>55</v>
      </c>
      <c r="R100" s="4">
        <v>0</v>
      </c>
      <c r="S100" s="6">
        <v>9</v>
      </c>
      <c r="T100" s="6">
        <v>0</v>
      </c>
      <c r="U100" s="6">
        <v>0</v>
      </c>
      <c r="V100" s="6">
        <f>IF(ISERROR(VLOOKUP($S$100,'TAR FIN'!$A$1:$O$113,15,0)),0,VLOOKUP($S$100,'TAR FIN'!$A$1:$O$113,15,0))</f>
        <v>35.76</v>
      </c>
      <c r="W100" s="6">
        <f>IF(ISERROR(VLOOKUP($T$100,'TAR FIN'!$A$1:$O$113,15,0)),0,VLOOKUP($T$100,'TAR FIN'!$A$1:$O$113,15,0))</f>
        <v>0</v>
      </c>
      <c r="X100" s="6">
        <f>IF(ISERROR(VLOOKUP($U$100,'TAR FIN'!$A$1:$O$113,15,0)),0,VLOOKUP($U$100,'TAR FIN'!$A$1:$O$113,15,0))</f>
        <v>0</v>
      </c>
      <c r="Y100" s="6">
        <f ca="1">('TUSD BE'!$AM$14+'TUSD BF'!$AM$14+'TUSD CVA'!$AM$14)*1</f>
        <v>40.963640769708675</v>
      </c>
      <c r="Z100" s="6">
        <f ca="1">('TUSD BE'!$AM$16+'TUSD BF'!$AM$16+'TUSD CVA'!$AM$16)*1</f>
        <v>122.14055331663396</v>
      </c>
      <c r="AA100" s="6"/>
      <c r="AB100" s="6">
        <f>$K$100*$V$100</f>
        <v>311808.76886866795</v>
      </c>
      <c r="AC100" s="6">
        <f>$M$100*$W$100</f>
        <v>0</v>
      </c>
      <c r="AD100" s="6">
        <f>$O$100*$X$100</f>
        <v>0</v>
      </c>
      <c r="AE100" s="6">
        <f ca="1">$K$100*$Y$100</f>
        <v>357181.83436189144</v>
      </c>
      <c r="AF100" s="6">
        <f ca="1">$M$100*$Z$100</f>
        <v>0</v>
      </c>
      <c r="AG100" s="6">
        <f>$O$100*$AA$100</f>
        <v>0</v>
      </c>
    </row>
    <row r="101" spans="1:33" ht="11.25" customHeight="1" x14ac:dyDescent="0.3">
      <c r="A101" s="4" t="s">
        <v>21</v>
      </c>
      <c r="B101" s="4" t="s">
        <v>39</v>
      </c>
      <c r="C101" s="4" t="s">
        <v>40</v>
      </c>
      <c r="D101" s="4" t="s">
        <v>38</v>
      </c>
      <c r="E101" s="4" t="s">
        <v>25</v>
      </c>
      <c r="F101" s="4" t="s">
        <v>56</v>
      </c>
      <c r="G101" s="4" t="s">
        <v>25</v>
      </c>
      <c r="H101" s="4" t="s">
        <v>34</v>
      </c>
      <c r="I101" s="5">
        <v>44593</v>
      </c>
      <c r="J101" s="6">
        <v>15170</v>
      </c>
      <c r="K101" s="6">
        <v>9036.5050420000007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4" t="s">
        <v>55</v>
      </c>
      <c r="R101" s="4">
        <v>0</v>
      </c>
      <c r="S101" s="6">
        <v>9</v>
      </c>
      <c r="T101" s="6">
        <v>0</v>
      </c>
      <c r="U101" s="6">
        <v>0</v>
      </c>
      <c r="V101" s="6">
        <f>IF(ISERROR(VLOOKUP($S$101,'TAR FIN'!$A$1:$O$113,15,0)),0,VLOOKUP($S$101,'TAR FIN'!$A$1:$O$113,15,0))</f>
        <v>35.76</v>
      </c>
      <c r="W101" s="6">
        <f>IF(ISERROR(VLOOKUP($T$101,'TAR FIN'!$A$1:$O$113,15,0)),0,VLOOKUP($T$101,'TAR FIN'!$A$1:$O$113,15,0))</f>
        <v>0</v>
      </c>
      <c r="X101" s="6">
        <f>IF(ISERROR(VLOOKUP($U$101,'TAR FIN'!$A$1:$O$113,15,0)),0,VLOOKUP($U$101,'TAR FIN'!$A$1:$O$113,15,0))</f>
        <v>0</v>
      </c>
      <c r="Y101" s="6">
        <f ca="1">('TUSD BE'!$AM$14+'TUSD BF'!$AM$14+'TUSD CVA'!$AM$14)*1</f>
        <v>40.963640769708675</v>
      </c>
      <c r="Z101" s="6">
        <f ca="1">('TUSD BE'!$AM$16+'TUSD BF'!$AM$16+'TUSD CVA'!$AM$16)*1</f>
        <v>122.14055331663396</v>
      </c>
      <c r="AA101" s="6"/>
      <c r="AB101" s="6">
        <f>$K$101*$V$101</f>
        <v>323145.42030191998</v>
      </c>
      <c r="AC101" s="6">
        <f>$M$101*$W$101</f>
        <v>0</v>
      </c>
      <c r="AD101" s="6">
        <f>$O$101*$X$101</f>
        <v>0</v>
      </c>
      <c r="AE101" s="6">
        <f ca="1">$K$101*$Y$101</f>
        <v>370168.14635414921</v>
      </c>
      <c r="AF101" s="6">
        <f ca="1">$M$101*$Z$101</f>
        <v>0</v>
      </c>
      <c r="AG101" s="6">
        <f>$O$101*$AA$101</f>
        <v>0</v>
      </c>
    </row>
    <row r="102" spans="1:33" ht="11.25" customHeight="1" x14ac:dyDescent="0.3">
      <c r="A102" s="4" t="s">
        <v>21</v>
      </c>
      <c r="B102" s="4" t="s">
        <v>39</v>
      </c>
      <c r="C102" s="4" t="s">
        <v>40</v>
      </c>
      <c r="D102" s="4" t="s">
        <v>38</v>
      </c>
      <c r="E102" s="4" t="s">
        <v>25</v>
      </c>
      <c r="F102" s="4" t="s">
        <v>56</v>
      </c>
      <c r="G102" s="4" t="s">
        <v>25</v>
      </c>
      <c r="H102" s="4" t="s">
        <v>34</v>
      </c>
      <c r="I102" s="5">
        <v>44621</v>
      </c>
      <c r="J102" s="6">
        <v>15437</v>
      </c>
      <c r="K102" s="6">
        <v>8333.5986883799997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4" t="s">
        <v>55</v>
      </c>
      <c r="R102" s="4">
        <v>0</v>
      </c>
      <c r="S102" s="6">
        <v>9</v>
      </c>
      <c r="T102" s="6">
        <v>0</v>
      </c>
      <c r="U102" s="6">
        <v>0</v>
      </c>
      <c r="V102" s="6">
        <f>IF(ISERROR(VLOOKUP($S$102,'TAR FIN'!$A$1:$O$113,15,0)),0,VLOOKUP($S$102,'TAR FIN'!$A$1:$O$113,15,0))</f>
        <v>35.76</v>
      </c>
      <c r="W102" s="6">
        <f>IF(ISERROR(VLOOKUP($T$102,'TAR FIN'!$A$1:$O$113,15,0)),0,VLOOKUP($T$102,'TAR FIN'!$A$1:$O$113,15,0))</f>
        <v>0</v>
      </c>
      <c r="X102" s="6">
        <f>IF(ISERROR(VLOOKUP($U$102,'TAR FIN'!$A$1:$O$113,15,0)),0,VLOOKUP($U$102,'TAR FIN'!$A$1:$O$113,15,0))</f>
        <v>0</v>
      </c>
      <c r="Y102" s="6">
        <f ca="1">('TUSD BE'!$AM$14+'TUSD BF'!$AM$14+'TUSD CVA'!$AM$14)*1</f>
        <v>40.963640769708675</v>
      </c>
      <c r="Z102" s="6">
        <f ca="1">('TUSD BE'!$AM$16+'TUSD BF'!$AM$16+'TUSD CVA'!$AM$16)*1</f>
        <v>122.14055331663396</v>
      </c>
      <c r="AA102" s="6"/>
      <c r="AB102" s="6">
        <f>$K$102*$V$102</f>
        <v>298009.48909646878</v>
      </c>
      <c r="AC102" s="6">
        <f>$M$102*$W$102</f>
        <v>0</v>
      </c>
      <c r="AD102" s="6">
        <f>$O$102*$X$102</f>
        <v>0</v>
      </c>
      <c r="AE102" s="6">
        <f ca="1">$K$102*$Y$102</f>
        <v>341374.54298971372</v>
      </c>
      <c r="AF102" s="6">
        <f ca="1">$M$102*$Z$102</f>
        <v>0</v>
      </c>
      <c r="AG102" s="6">
        <f>$O$102*$AA$102</f>
        <v>0</v>
      </c>
    </row>
    <row r="103" spans="1:33" ht="11.25" customHeight="1" x14ac:dyDescent="0.3">
      <c r="A103" s="4" t="s">
        <v>21</v>
      </c>
      <c r="B103" s="4" t="s">
        <v>39</v>
      </c>
      <c r="C103" s="4" t="s">
        <v>40</v>
      </c>
      <c r="D103" s="4" t="s">
        <v>38</v>
      </c>
      <c r="E103" s="4" t="s">
        <v>25</v>
      </c>
      <c r="F103" s="4" t="s">
        <v>56</v>
      </c>
      <c r="G103" s="4" t="s">
        <v>25</v>
      </c>
      <c r="H103" s="4" t="s">
        <v>34</v>
      </c>
      <c r="I103" s="5">
        <v>44652</v>
      </c>
      <c r="J103" s="6">
        <v>15298</v>
      </c>
      <c r="K103" s="6">
        <v>7554.5100672400004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4" t="s">
        <v>55</v>
      </c>
      <c r="R103" s="4">
        <v>0</v>
      </c>
      <c r="S103" s="6">
        <v>9</v>
      </c>
      <c r="T103" s="6">
        <v>0</v>
      </c>
      <c r="U103" s="6">
        <v>0</v>
      </c>
      <c r="V103" s="6">
        <f>IF(ISERROR(VLOOKUP($S$103,'TAR FIN'!$A$1:$O$113,15,0)),0,VLOOKUP($S$103,'TAR FIN'!$A$1:$O$113,15,0))</f>
        <v>35.76</v>
      </c>
      <c r="W103" s="6">
        <f>IF(ISERROR(VLOOKUP($T$103,'TAR FIN'!$A$1:$O$113,15,0)),0,VLOOKUP($T$103,'TAR FIN'!$A$1:$O$113,15,0))</f>
        <v>0</v>
      </c>
      <c r="X103" s="6">
        <f>IF(ISERROR(VLOOKUP($U$103,'TAR FIN'!$A$1:$O$113,15,0)),0,VLOOKUP($U$103,'TAR FIN'!$A$1:$O$113,15,0))</f>
        <v>0</v>
      </c>
      <c r="Y103" s="6">
        <f ca="1">('TUSD BE'!$AM$14+'TUSD BF'!$AM$14+'TUSD CVA'!$AM$14)*1</f>
        <v>40.963640769708675</v>
      </c>
      <c r="Z103" s="6">
        <f ca="1">('TUSD BE'!$AM$16+'TUSD BF'!$AM$16+'TUSD CVA'!$AM$16)*1</f>
        <v>122.14055331663396</v>
      </c>
      <c r="AA103" s="6"/>
      <c r="AB103" s="6">
        <f>$K$103*$V$103</f>
        <v>270149.28000450239</v>
      </c>
      <c r="AC103" s="6">
        <f>$M$103*$W$103</f>
        <v>0</v>
      </c>
      <c r="AD103" s="6">
        <f>$O$103*$X$103</f>
        <v>0</v>
      </c>
      <c r="AE103" s="6">
        <f ca="1">$K$103*$Y$103</f>
        <v>309460.23658556712</v>
      </c>
      <c r="AF103" s="6">
        <f ca="1">$M$103*$Z$103</f>
        <v>0</v>
      </c>
      <c r="AG103" s="6">
        <f>$O$103*$AA$103</f>
        <v>0</v>
      </c>
    </row>
    <row r="104" spans="1:33" ht="11.25" customHeight="1" x14ac:dyDescent="0.3">
      <c r="A104" s="4" t="s">
        <v>21</v>
      </c>
      <c r="B104" s="4" t="s">
        <v>39</v>
      </c>
      <c r="C104" s="4" t="s">
        <v>40</v>
      </c>
      <c r="D104" s="4" t="s">
        <v>38</v>
      </c>
      <c r="E104" s="4" t="s">
        <v>25</v>
      </c>
      <c r="F104" s="4" t="s">
        <v>56</v>
      </c>
      <c r="G104" s="4" t="s">
        <v>25</v>
      </c>
      <c r="H104" s="4" t="s">
        <v>34</v>
      </c>
      <c r="I104" s="5">
        <v>44682</v>
      </c>
      <c r="J104" s="6">
        <v>15512</v>
      </c>
      <c r="K104" s="6">
        <v>10036.9224844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4" t="s">
        <v>55</v>
      </c>
      <c r="R104" s="4">
        <v>0</v>
      </c>
      <c r="S104" s="6">
        <v>9</v>
      </c>
      <c r="T104" s="6">
        <v>0</v>
      </c>
      <c r="U104" s="6">
        <v>0</v>
      </c>
      <c r="V104" s="6">
        <f>IF(ISERROR(VLOOKUP($S$104,'TAR FIN'!$A$1:$O$113,15,0)),0,VLOOKUP($S$104,'TAR FIN'!$A$1:$O$113,15,0))</f>
        <v>35.76</v>
      </c>
      <c r="W104" s="6">
        <f>IF(ISERROR(VLOOKUP($T$104,'TAR FIN'!$A$1:$O$113,15,0)),0,VLOOKUP($T$104,'TAR FIN'!$A$1:$O$113,15,0))</f>
        <v>0</v>
      </c>
      <c r="X104" s="6">
        <f>IF(ISERROR(VLOOKUP($U$104,'TAR FIN'!$A$1:$O$113,15,0)),0,VLOOKUP($U$104,'TAR FIN'!$A$1:$O$113,15,0))</f>
        <v>0</v>
      </c>
      <c r="Y104" s="6">
        <f ca="1">('TUSD BE'!$AM$14+'TUSD BF'!$AM$14+'TUSD CVA'!$AM$14)*1</f>
        <v>40.963640769708675</v>
      </c>
      <c r="Z104" s="6">
        <f ca="1">('TUSD BE'!$AM$16+'TUSD BF'!$AM$16+'TUSD CVA'!$AM$16)*1</f>
        <v>122.14055331663396</v>
      </c>
      <c r="AA104" s="6"/>
      <c r="AB104" s="6">
        <f>$K$104*$V$104</f>
        <v>358920.34804214397</v>
      </c>
      <c r="AC104" s="6">
        <f>$M$104*$W$104</f>
        <v>0</v>
      </c>
      <c r="AD104" s="6">
        <f>$O$104*$X$104</f>
        <v>0</v>
      </c>
      <c r="AE104" s="6">
        <f ca="1">$K$104*$Y$104</f>
        <v>411148.88708437351</v>
      </c>
      <c r="AF104" s="6">
        <f ca="1">$M$104*$Z$104</f>
        <v>0</v>
      </c>
      <c r="AG104" s="6">
        <f>$O$104*$AA$104</f>
        <v>0</v>
      </c>
    </row>
    <row r="105" spans="1:33" ht="11.25" customHeight="1" x14ac:dyDescent="0.3">
      <c r="A105" s="4" t="s">
        <v>21</v>
      </c>
      <c r="B105" s="4" t="s">
        <v>39</v>
      </c>
      <c r="C105" s="4" t="s">
        <v>40</v>
      </c>
      <c r="D105" s="4" t="s">
        <v>38</v>
      </c>
      <c r="E105" s="4" t="s">
        <v>25</v>
      </c>
      <c r="F105" s="4" t="s">
        <v>56</v>
      </c>
      <c r="G105" s="4" t="s">
        <v>25</v>
      </c>
      <c r="H105" s="4" t="s">
        <v>34</v>
      </c>
      <c r="I105" s="5">
        <v>44713</v>
      </c>
      <c r="J105" s="6">
        <v>15447</v>
      </c>
      <c r="K105" s="6">
        <v>9418.8297213299993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4" t="s">
        <v>55</v>
      </c>
      <c r="R105" s="4">
        <v>0</v>
      </c>
      <c r="S105" s="6">
        <v>9</v>
      </c>
      <c r="T105" s="6">
        <v>0</v>
      </c>
      <c r="U105" s="6">
        <v>0</v>
      </c>
      <c r="V105" s="6">
        <f>IF(ISERROR(VLOOKUP($S$105,'TAR FIN'!$A$1:$O$113,15,0)),0,VLOOKUP($S$105,'TAR FIN'!$A$1:$O$113,15,0))</f>
        <v>35.76</v>
      </c>
      <c r="W105" s="6">
        <f>IF(ISERROR(VLOOKUP($T$105,'TAR FIN'!$A$1:$O$113,15,0)),0,VLOOKUP($T$105,'TAR FIN'!$A$1:$O$113,15,0))</f>
        <v>0</v>
      </c>
      <c r="X105" s="6">
        <f>IF(ISERROR(VLOOKUP($U$105,'TAR FIN'!$A$1:$O$113,15,0)),0,VLOOKUP($U$105,'TAR FIN'!$A$1:$O$113,15,0))</f>
        <v>0</v>
      </c>
      <c r="Y105" s="6">
        <f ca="1">('TUSD BE'!$AM$14+'TUSD BF'!$AM$14+'TUSD CVA'!$AM$14)*1</f>
        <v>40.963640769708675</v>
      </c>
      <c r="Z105" s="6">
        <f ca="1">('TUSD BE'!$AM$16+'TUSD BF'!$AM$16+'TUSD CVA'!$AM$16)*1</f>
        <v>122.14055331663396</v>
      </c>
      <c r="AA105" s="6"/>
      <c r="AB105" s="6">
        <f>$K$105*$V$105</f>
        <v>336817.35083476076</v>
      </c>
      <c r="AC105" s="6">
        <f>$M$105*$W$105</f>
        <v>0</v>
      </c>
      <c r="AD105" s="6">
        <f>$O$105*$X$105</f>
        <v>0</v>
      </c>
      <c r="AE105" s="6">
        <f ca="1">$K$105*$Y$105</f>
        <v>385829.55717561737</v>
      </c>
      <c r="AF105" s="6">
        <f ca="1">$M$105*$Z$105</f>
        <v>0</v>
      </c>
      <c r="AG105" s="6">
        <f>$O$105*$AA$105</f>
        <v>0</v>
      </c>
    </row>
    <row r="106" spans="1:33" ht="11.25" customHeight="1" x14ac:dyDescent="0.3">
      <c r="A106" s="4" t="s">
        <v>21</v>
      </c>
      <c r="B106" s="4" t="s">
        <v>39</v>
      </c>
      <c r="C106" s="4" t="s">
        <v>40</v>
      </c>
      <c r="D106" s="4" t="s">
        <v>38</v>
      </c>
      <c r="E106" s="4" t="s">
        <v>25</v>
      </c>
      <c r="F106" s="4" t="s">
        <v>56</v>
      </c>
      <c r="G106" s="4" t="s">
        <v>25</v>
      </c>
      <c r="H106" s="4" t="s">
        <v>34</v>
      </c>
      <c r="I106" s="5">
        <v>44743</v>
      </c>
      <c r="J106" s="6">
        <v>15443</v>
      </c>
      <c r="K106" s="6">
        <v>7695.1753989099998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4" t="s">
        <v>55</v>
      </c>
      <c r="R106" s="4">
        <v>0</v>
      </c>
      <c r="S106" s="6">
        <v>9</v>
      </c>
      <c r="T106" s="6">
        <v>0</v>
      </c>
      <c r="U106" s="6">
        <v>0</v>
      </c>
      <c r="V106" s="6">
        <f>IF(ISERROR(VLOOKUP($S$106,'TAR FIN'!$A$1:$O$113,15,0)),0,VLOOKUP($S$106,'TAR FIN'!$A$1:$O$113,15,0))</f>
        <v>35.76</v>
      </c>
      <c r="W106" s="6">
        <f>IF(ISERROR(VLOOKUP($T$106,'TAR FIN'!$A$1:$O$113,15,0)),0,VLOOKUP($T$106,'TAR FIN'!$A$1:$O$113,15,0))</f>
        <v>0</v>
      </c>
      <c r="X106" s="6">
        <f>IF(ISERROR(VLOOKUP($U$106,'TAR FIN'!$A$1:$O$113,15,0)),0,VLOOKUP($U$106,'TAR FIN'!$A$1:$O$113,15,0))</f>
        <v>0</v>
      </c>
      <c r="Y106" s="6">
        <f ca="1">('TUSD BE'!$AM$14+'TUSD BF'!$AM$14+'TUSD CVA'!$AM$14)*1</f>
        <v>40.963640769708675</v>
      </c>
      <c r="Z106" s="6">
        <f ca="1">('TUSD BE'!$AM$16+'TUSD BF'!$AM$16+'TUSD CVA'!$AM$16)*1</f>
        <v>122.14055331663396</v>
      </c>
      <c r="AA106" s="6"/>
      <c r="AB106" s="6">
        <f>$K$106*$V$106</f>
        <v>275179.47226502158</v>
      </c>
      <c r="AC106" s="6">
        <f>$M$106*$W$106</f>
        <v>0</v>
      </c>
      <c r="AD106" s="6">
        <f>$O$106*$X$106</f>
        <v>0</v>
      </c>
      <c r="AE106" s="6">
        <f ca="1">$K$106*$Y$106</f>
        <v>315222.4007008489</v>
      </c>
      <c r="AF106" s="6">
        <f ca="1">$M$106*$Z$106</f>
        <v>0</v>
      </c>
      <c r="AG106" s="6">
        <f>$O$106*$AA$106</f>
        <v>0</v>
      </c>
    </row>
    <row r="107" spans="1:33" ht="11.25" customHeight="1" x14ac:dyDescent="0.3">
      <c r="A107" s="4" t="s">
        <v>21</v>
      </c>
      <c r="B107" s="4" t="s">
        <v>39</v>
      </c>
      <c r="C107" s="4" t="s">
        <v>40</v>
      </c>
      <c r="D107" s="4" t="s">
        <v>38</v>
      </c>
      <c r="E107" s="4" t="s">
        <v>25</v>
      </c>
      <c r="F107" s="4" t="s">
        <v>56</v>
      </c>
      <c r="G107" s="4" t="s">
        <v>25</v>
      </c>
      <c r="H107" s="4" t="s">
        <v>34</v>
      </c>
      <c r="I107" s="5">
        <v>44774</v>
      </c>
      <c r="J107" s="6">
        <v>15437</v>
      </c>
      <c r="K107" s="6">
        <v>8181.5836027300002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4" t="s">
        <v>55</v>
      </c>
      <c r="R107" s="4">
        <v>0</v>
      </c>
      <c r="S107" s="6">
        <v>9</v>
      </c>
      <c r="T107" s="6">
        <v>0</v>
      </c>
      <c r="U107" s="6">
        <v>0</v>
      </c>
      <c r="V107" s="6">
        <f>IF(ISERROR(VLOOKUP($S$107,'TAR FIN'!$A$1:$O$113,15,0)),0,VLOOKUP($S$107,'TAR FIN'!$A$1:$O$113,15,0))</f>
        <v>35.76</v>
      </c>
      <c r="W107" s="6">
        <f>IF(ISERROR(VLOOKUP($T$107,'TAR FIN'!$A$1:$O$113,15,0)),0,VLOOKUP($T$107,'TAR FIN'!$A$1:$O$113,15,0))</f>
        <v>0</v>
      </c>
      <c r="X107" s="6">
        <f>IF(ISERROR(VLOOKUP($U$107,'TAR FIN'!$A$1:$O$113,15,0)),0,VLOOKUP($U$107,'TAR FIN'!$A$1:$O$113,15,0))</f>
        <v>0</v>
      </c>
      <c r="Y107" s="6">
        <f ca="1">('TUSD BE'!$AM$14+'TUSD BF'!$AM$14+'TUSD CVA'!$AM$14)*1</f>
        <v>40.963640769708675</v>
      </c>
      <c r="Z107" s="6">
        <f ca="1">('TUSD BE'!$AM$16+'TUSD BF'!$AM$16+'TUSD CVA'!$AM$16)*1</f>
        <v>122.14055331663396</v>
      </c>
      <c r="AA107" s="6"/>
      <c r="AB107" s="6">
        <f>$K$107*$V$107</f>
        <v>292573.42963362479</v>
      </c>
      <c r="AC107" s="6">
        <f>$M$107*$W$107</f>
        <v>0</v>
      </c>
      <c r="AD107" s="6">
        <f>$O$107*$X$107</f>
        <v>0</v>
      </c>
      <c r="AE107" s="6">
        <f ca="1">$K$107*$Y$107</f>
        <v>335147.45162957063</v>
      </c>
      <c r="AF107" s="6">
        <f ca="1">$M$107*$Z$107</f>
        <v>0</v>
      </c>
      <c r="AG107" s="6">
        <f>$O$107*$AA$107</f>
        <v>0</v>
      </c>
    </row>
    <row r="108" spans="1:33" ht="11.25" customHeight="1" x14ac:dyDescent="0.3">
      <c r="A108" s="4" t="s">
        <v>21</v>
      </c>
      <c r="B108" s="4" t="s">
        <v>39</v>
      </c>
      <c r="C108" s="4" t="s">
        <v>40</v>
      </c>
      <c r="D108" s="4" t="s">
        <v>38</v>
      </c>
      <c r="E108" s="4" t="s">
        <v>25</v>
      </c>
      <c r="F108" s="4" t="s">
        <v>56</v>
      </c>
      <c r="G108" s="4" t="s">
        <v>25</v>
      </c>
      <c r="H108" s="4" t="s">
        <v>34</v>
      </c>
      <c r="I108" s="5">
        <v>44805</v>
      </c>
      <c r="J108" s="6">
        <v>15410</v>
      </c>
      <c r="K108" s="6">
        <v>8717.6713861000007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4" t="s">
        <v>55</v>
      </c>
      <c r="R108" s="4">
        <v>0</v>
      </c>
      <c r="S108" s="6">
        <v>9</v>
      </c>
      <c r="T108" s="6">
        <v>0</v>
      </c>
      <c r="U108" s="6">
        <v>0</v>
      </c>
      <c r="V108" s="6">
        <f>IF(ISERROR(VLOOKUP($S$108,'TAR FIN'!$A$1:$O$113,15,0)),0,VLOOKUP($S$108,'TAR FIN'!$A$1:$O$113,15,0))</f>
        <v>35.76</v>
      </c>
      <c r="W108" s="6">
        <f>IF(ISERROR(VLOOKUP($T$108,'TAR FIN'!$A$1:$O$113,15,0)),0,VLOOKUP($T$108,'TAR FIN'!$A$1:$O$113,15,0))</f>
        <v>0</v>
      </c>
      <c r="X108" s="6">
        <f>IF(ISERROR(VLOOKUP($U$108,'TAR FIN'!$A$1:$O$113,15,0)),0,VLOOKUP($U$108,'TAR FIN'!$A$1:$O$113,15,0))</f>
        <v>0</v>
      </c>
      <c r="Y108" s="6">
        <f ca="1">('TUSD BE'!$AM$14+'TUSD BF'!$AM$14+'TUSD CVA'!$AM$14)*1</f>
        <v>40.963640769708675</v>
      </c>
      <c r="Z108" s="6">
        <f ca="1">('TUSD BE'!$AM$16+'TUSD BF'!$AM$16+'TUSD CVA'!$AM$16)*1</f>
        <v>122.14055331663396</v>
      </c>
      <c r="AA108" s="6"/>
      <c r="AB108" s="6">
        <f>$K$108*$V$108</f>
        <v>311743.92876693601</v>
      </c>
      <c r="AC108" s="6">
        <f>$M$108*$W$108</f>
        <v>0</v>
      </c>
      <c r="AD108" s="6">
        <f>$O$108*$X$108</f>
        <v>0</v>
      </c>
      <c r="AE108" s="6">
        <f ca="1">$K$108*$Y$108</f>
        <v>357107.5590085687</v>
      </c>
      <c r="AF108" s="6">
        <f ca="1">$M$108*$Z$108</f>
        <v>0</v>
      </c>
      <c r="AG108" s="6">
        <f>$O$108*$AA$108</f>
        <v>0</v>
      </c>
    </row>
    <row r="109" spans="1:33" ht="11.25" customHeight="1" x14ac:dyDescent="0.3">
      <c r="A109" s="4" t="s">
        <v>53</v>
      </c>
      <c r="B109" s="4" t="s">
        <v>39</v>
      </c>
      <c r="C109" s="4" t="s">
        <v>40</v>
      </c>
      <c r="D109" s="4" t="s">
        <v>38</v>
      </c>
      <c r="E109" s="4" t="s">
        <v>25</v>
      </c>
      <c r="F109" s="4" t="s">
        <v>56</v>
      </c>
      <c r="G109" s="4" t="s">
        <v>25</v>
      </c>
      <c r="H109" s="4" t="s">
        <v>34</v>
      </c>
      <c r="I109" s="5">
        <v>44835</v>
      </c>
      <c r="J109" s="6">
        <v>15410</v>
      </c>
      <c r="K109" s="6">
        <v>8717.6713861000007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4" t="s">
        <v>55</v>
      </c>
      <c r="R109" s="4">
        <v>0</v>
      </c>
      <c r="S109" s="6">
        <v>9</v>
      </c>
      <c r="T109" s="6">
        <v>0</v>
      </c>
      <c r="U109" s="6">
        <v>0</v>
      </c>
      <c r="V109" s="6">
        <f>IF(ISERROR(VLOOKUP($S$109,'TAR FIN'!$A$1:$O$113,15,0)),0,VLOOKUP($S$109,'TAR FIN'!$A$1:$O$113,15,0))</f>
        <v>35.76</v>
      </c>
      <c r="W109" s="6">
        <f>IF(ISERROR(VLOOKUP($T$109,'TAR FIN'!$A$1:$O$113,15,0)),0,VLOOKUP($T$109,'TAR FIN'!$A$1:$O$113,15,0))</f>
        <v>0</v>
      </c>
      <c r="X109" s="6">
        <f>IF(ISERROR(VLOOKUP($U$109,'TAR FIN'!$A$1:$O$113,15,0)),0,VLOOKUP($U$109,'TAR FIN'!$A$1:$O$113,15,0))</f>
        <v>0</v>
      </c>
      <c r="Y109" s="6">
        <f ca="1">('TUSD BE'!$AM$14+'TUSD BF'!$AM$14+'TUSD CVA'!$AM$14)*1</f>
        <v>40.963640769708675</v>
      </c>
      <c r="Z109" s="6">
        <f ca="1">('TUSD BE'!$AM$16+'TUSD BF'!$AM$16+'TUSD CVA'!$AM$16)*1</f>
        <v>122.14055331663396</v>
      </c>
      <c r="AA109" s="6"/>
      <c r="AB109" s="6">
        <f>$K$109*$V$109</f>
        <v>311743.92876693601</v>
      </c>
      <c r="AC109" s="6">
        <f>$M$109*$W$109</f>
        <v>0</v>
      </c>
      <c r="AD109" s="6">
        <f>$O$109*$X$109</f>
        <v>0</v>
      </c>
      <c r="AE109" s="6">
        <f ca="1">$K$109*$Y$109</f>
        <v>357107.5590085687</v>
      </c>
      <c r="AF109" s="6">
        <f ca="1">$M$109*$Z$109</f>
        <v>0</v>
      </c>
      <c r="AG109" s="6">
        <f>$O$109*$AA$109</f>
        <v>0</v>
      </c>
    </row>
    <row r="110" spans="1:33" ht="11.25" customHeight="1" x14ac:dyDescent="0.3">
      <c r="A110" s="4" t="s">
        <v>21</v>
      </c>
      <c r="B110" s="4" t="s">
        <v>39</v>
      </c>
      <c r="C110" s="4" t="s">
        <v>40</v>
      </c>
      <c r="D110" s="4" t="s">
        <v>38</v>
      </c>
      <c r="E110" s="4" t="s">
        <v>25</v>
      </c>
      <c r="F110" s="4" t="s">
        <v>25</v>
      </c>
      <c r="G110" s="4" t="s">
        <v>25</v>
      </c>
      <c r="H110" s="4" t="s">
        <v>35</v>
      </c>
      <c r="I110" s="5">
        <v>44501</v>
      </c>
      <c r="J110" s="6">
        <v>655</v>
      </c>
      <c r="K110" s="6">
        <v>655</v>
      </c>
      <c r="L110" s="6">
        <v>245.398</v>
      </c>
      <c r="M110" s="6">
        <v>245.398</v>
      </c>
      <c r="N110" s="6">
        <v>245.398</v>
      </c>
      <c r="O110" s="6">
        <v>245.398</v>
      </c>
      <c r="P110" s="6">
        <v>0</v>
      </c>
      <c r="Q110" s="4" t="s">
        <v>26</v>
      </c>
      <c r="R110" s="4">
        <v>0</v>
      </c>
      <c r="S110" s="6">
        <v>22</v>
      </c>
      <c r="T110" s="6">
        <v>12</v>
      </c>
      <c r="U110" s="6">
        <v>61</v>
      </c>
      <c r="V110" s="6">
        <f>IF(ISERROR(VLOOKUP($S$110,'TAR FIN'!$A$1:$O$113,15,0)),0,VLOOKUP($S$110,'TAR FIN'!$A$1:$O$113,15,0))</f>
        <v>14</v>
      </c>
      <c r="W110" s="6">
        <f>IF(ISERROR(VLOOKUP($T$110,'TAR FIN'!$A$1:$O$113,15,0)),0,VLOOKUP($T$110,'TAR FIN'!$A$1:$O$113,15,0))</f>
        <v>72.150000000000006</v>
      </c>
      <c r="X110" s="6">
        <f>IF(ISERROR(VLOOKUP($U$110,'TAR FIN'!$A$1:$O$113,15,0)),0,VLOOKUP($U$110,'TAR FIN'!$A$1:$O$113,15,0))</f>
        <v>278.67</v>
      </c>
      <c r="Y110" s="6">
        <f ca="1">('TUSD BE'!$AM$15+'TUSD BF'!$AM$15+'TUSD CVA'!$AM$15)*1</f>
        <v>16.035953923331604</v>
      </c>
      <c r="Z110" s="6">
        <f ca="1">('TUSD BE'!$AM$16+'TUSD BF'!$AM$16+'TUSD CVA'!$AM$16)*1</f>
        <v>122.14055331663396</v>
      </c>
      <c r="AA110" s="6">
        <f>('TE BE'!$AB$10+'TE BF'!$AB$10+'TE CVA'!$AB$10)*1</f>
        <v>299.18055042718134</v>
      </c>
      <c r="AB110" s="6">
        <f>$K$110*$V$110</f>
        <v>9170</v>
      </c>
      <c r="AC110" s="6">
        <f>$M$110*$W$110</f>
        <v>17705.465700000001</v>
      </c>
      <c r="AD110" s="6">
        <f>$O$110*$X$110</f>
        <v>68385.060660000003</v>
      </c>
      <c r="AE110" s="6">
        <f ca="1">$K$110*$Y$110</f>
        <v>10503.5498197822</v>
      </c>
      <c r="AF110" s="6">
        <f ca="1">$M$110*$Z$110</f>
        <v>29973.04750279534</v>
      </c>
      <c r="AG110" s="6">
        <f>$O$110*$AA$110</f>
        <v>73418.30871372945</v>
      </c>
    </row>
    <row r="111" spans="1:33" ht="11.25" customHeight="1" x14ac:dyDescent="0.3">
      <c r="A111" s="4" t="s">
        <v>21</v>
      </c>
      <c r="B111" s="4" t="s">
        <v>39</v>
      </c>
      <c r="C111" s="4" t="s">
        <v>40</v>
      </c>
      <c r="D111" s="4" t="s">
        <v>38</v>
      </c>
      <c r="E111" s="4" t="s">
        <v>25</v>
      </c>
      <c r="F111" s="4" t="s">
        <v>25</v>
      </c>
      <c r="G111" s="4" t="s">
        <v>25</v>
      </c>
      <c r="H111" s="4" t="s">
        <v>35</v>
      </c>
      <c r="I111" s="5">
        <v>44501</v>
      </c>
      <c r="J111" s="6">
        <v>12919</v>
      </c>
      <c r="K111" s="6">
        <v>12919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4" t="s">
        <v>55</v>
      </c>
      <c r="R111" s="4">
        <v>0</v>
      </c>
      <c r="S111" s="6">
        <v>22</v>
      </c>
      <c r="T111" s="6">
        <v>0</v>
      </c>
      <c r="U111" s="6">
        <v>0</v>
      </c>
      <c r="V111" s="6">
        <f>IF(ISERROR(VLOOKUP($S$111,'TAR FIN'!$A$1:$O$113,15,0)),0,VLOOKUP($S$111,'TAR FIN'!$A$1:$O$113,15,0))</f>
        <v>14</v>
      </c>
      <c r="W111" s="6">
        <f>IF(ISERROR(VLOOKUP($T$111,'TAR FIN'!$A$1:$O$113,15,0)),0,VLOOKUP($T$111,'TAR FIN'!$A$1:$O$113,15,0))</f>
        <v>0</v>
      </c>
      <c r="X111" s="6">
        <f>IF(ISERROR(VLOOKUP($U$111,'TAR FIN'!$A$1:$O$113,15,0)),0,VLOOKUP($U$111,'TAR FIN'!$A$1:$O$113,15,0))</f>
        <v>0</v>
      </c>
      <c r="Y111" s="6">
        <f ca="1">('TUSD BE'!$AM$15+'TUSD BF'!$AM$15+'TUSD CVA'!$AM$15)*1</f>
        <v>16.035953923331604</v>
      </c>
      <c r="Z111" s="6">
        <f ca="1">('TUSD BE'!$AM$16+'TUSD BF'!$AM$16+'TUSD CVA'!$AM$16)*1</f>
        <v>122.14055331663396</v>
      </c>
      <c r="AA111" s="6"/>
      <c r="AB111" s="6">
        <f>$K$111*$V$111</f>
        <v>180866</v>
      </c>
      <c r="AC111" s="6">
        <f>$M$111*$W$111</f>
        <v>0</v>
      </c>
      <c r="AD111" s="6">
        <f>$O$111*$X$111</f>
        <v>0</v>
      </c>
      <c r="AE111" s="6">
        <f ca="1">$K$111*$Y$111</f>
        <v>207168.48873552101</v>
      </c>
      <c r="AF111" s="6">
        <f ca="1">$M$111*$Z$111</f>
        <v>0</v>
      </c>
      <c r="AG111" s="6">
        <f>$O$111*$AA$111</f>
        <v>0</v>
      </c>
    </row>
    <row r="112" spans="1:33" ht="11.25" customHeight="1" x14ac:dyDescent="0.3">
      <c r="A112" s="4" t="s">
        <v>21</v>
      </c>
      <c r="B112" s="4" t="s">
        <v>39</v>
      </c>
      <c r="C112" s="4" t="s">
        <v>40</v>
      </c>
      <c r="D112" s="4" t="s">
        <v>38</v>
      </c>
      <c r="E112" s="4" t="s">
        <v>25</v>
      </c>
      <c r="F112" s="4" t="s">
        <v>25</v>
      </c>
      <c r="G112" s="4" t="s">
        <v>25</v>
      </c>
      <c r="H112" s="4" t="s">
        <v>35</v>
      </c>
      <c r="I112" s="5">
        <v>44531</v>
      </c>
      <c r="J112" s="6">
        <v>644</v>
      </c>
      <c r="K112" s="6">
        <v>644</v>
      </c>
      <c r="L112" s="6">
        <v>196.267</v>
      </c>
      <c r="M112" s="6">
        <v>196.267</v>
      </c>
      <c r="N112" s="6">
        <v>196.267</v>
      </c>
      <c r="O112" s="6">
        <v>196.267</v>
      </c>
      <c r="P112" s="6">
        <v>0</v>
      </c>
      <c r="Q112" s="4" t="s">
        <v>26</v>
      </c>
      <c r="R112" s="4">
        <v>0</v>
      </c>
      <c r="S112" s="6">
        <v>22</v>
      </c>
      <c r="T112" s="6">
        <v>12</v>
      </c>
      <c r="U112" s="6">
        <v>61</v>
      </c>
      <c r="V112" s="6">
        <f>IF(ISERROR(VLOOKUP($S$112,'TAR FIN'!$A$1:$O$113,15,0)),0,VLOOKUP($S$112,'TAR FIN'!$A$1:$O$113,15,0))</f>
        <v>14</v>
      </c>
      <c r="W112" s="6">
        <f>IF(ISERROR(VLOOKUP($T$112,'TAR FIN'!$A$1:$O$113,15,0)),0,VLOOKUP($T$112,'TAR FIN'!$A$1:$O$113,15,0))</f>
        <v>72.150000000000006</v>
      </c>
      <c r="X112" s="6">
        <f>IF(ISERROR(VLOOKUP($U$112,'TAR FIN'!$A$1:$O$113,15,0)),0,VLOOKUP($U$112,'TAR FIN'!$A$1:$O$113,15,0))</f>
        <v>278.67</v>
      </c>
      <c r="Y112" s="6">
        <f ca="1">('TUSD BE'!$AM$15+'TUSD BF'!$AM$15+'TUSD CVA'!$AM$15)*1</f>
        <v>16.035953923331604</v>
      </c>
      <c r="Z112" s="6">
        <f ca="1">('TUSD BE'!$AM$16+'TUSD BF'!$AM$16+'TUSD CVA'!$AM$16)*1</f>
        <v>122.14055331663396</v>
      </c>
      <c r="AA112" s="6">
        <f>('TE BE'!$AB$10+'TE BF'!$AB$10+'TE CVA'!$AB$10)*1</f>
        <v>299.18055042718134</v>
      </c>
      <c r="AB112" s="6">
        <f>$K$112*$V$112</f>
        <v>9016</v>
      </c>
      <c r="AC112" s="6">
        <f>$M$112*$W$112</f>
        <v>14160.664050000001</v>
      </c>
      <c r="AD112" s="6">
        <f>$O$112*$X$112</f>
        <v>54693.724890000005</v>
      </c>
      <c r="AE112" s="6">
        <f ca="1">$K$112*$Y$112</f>
        <v>10327.154326625554</v>
      </c>
      <c r="AF112" s="6">
        <f ca="1">$M$112*$Z$112</f>
        <v>23972.159977795796</v>
      </c>
      <c r="AG112" s="6">
        <f>$O$112*$AA$112</f>
        <v>58719.269090691603</v>
      </c>
    </row>
    <row r="113" spans="1:33" ht="11.25" customHeight="1" x14ac:dyDescent="0.3">
      <c r="A113" s="4" t="s">
        <v>21</v>
      </c>
      <c r="B113" s="4" t="s">
        <v>39</v>
      </c>
      <c r="C113" s="4" t="s">
        <v>40</v>
      </c>
      <c r="D113" s="4" t="s">
        <v>38</v>
      </c>
      <c r="E113" s="4" t="s">
        <v>25</v>
      </c>
      <c r="F113" s="4" t="s">
        <v>25</v>
      </c>
      <c r="G113" s="4" t="s">
        <v>25</v>
      </c>
      <c r="H113" s="4" t="s">
        <v>35</v>
      </c>
      <c r="I113" s="5">
        <v>44531</v>
      </c>
      <c r="J113" s="6">
        <v>12908</v>
      </c>
      <c r="K113" s="6">
        <v>12908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4" t="s">
        <v>55</v>
      </c>
      <c r="R113" s="4">
        <v>0</v>
      </c>
      <c r="S113" s="6">
        <v>22</v>
      </c>
      <c r="T113" s="6">
        <v>0</v>
      </c>
      <c r="U113" s="6">
        <v>0</v>
      </c>
      <c r="V113" s="6">
        <f>IF(ISERROR(VLOOKUP($S$113,'TAR FIN'!$A$1:$O$113,15,0)),0,VLOOKUP($S$113,'TAR FIN'!$A$1:$O$113,15,0))</f>
        <v>14</v>
      </c>
      <c r="W113" s="6">
        <f>IF(ISERROR(VLOOKUP($T$113,'TAR FIN'!$A$1:$O$113,15,0)),0,VLOOKUP($T$113,'TAR FIN'!$A$1:$O$113,15,0))</f>
        <v>0</v>
      </c>
      <c r="X113" s="6">
        <f>IF(ISERROR(VLOOKUP($U$113,'TAR FIN'!$A$1:$O$113,15,0)),0,VLOOKUP($U$113,'TAR FIN'!$A$1:$O$113,15,0))</f>
        <v>0</v>
      </c>
      <c r="Y113" s="6">
        <f ca="1">('TUSD BE'!$AM$15+'TUSD BF'!$AM$15+'TUSD CVA'!$AM$15)*1</f>
        <v>16.035953923331604</v>
      </c>
      <c r="Z113" s="6">
        <f ca="1">('TUSD BE'!$AM$16+'TUSD BF'!$AM$16+'TUSD CVA'!$AM$16)*1</f>
        <v>122.14055331663396</v>
      </c>
      <c r="AA113" s="6"/>
      <c r="AB113" s="6">
        <f>$K$113*$V$113</f>
        <v>180712</v>
      </c>
      <c r="AC113" s="6">
        <f>$M$113*$W$113</f>
        <v>0</v>
      </c>
      <c r="AD113" s="6">
        <f>$O$113*$X$113</f>
        <v>0</v>
      </c>
      <c r="AE113" s="6">
        <f ca="1">$K$113*$Y$113</f>
        <v>206992.09324236435</v>
      </c>
      <c r="AF113" s="6">
        <f ca="1">$M$113*$Z$113</f>
        <v>0</v>
      </c>
      <c r="AG113" s="6">
        <f>$O$113*$AA$113</f>
        <v>0</v>
      </c>
    </row>
    <row r="114" spans="1:33" ht="11.25" customHeight="1" x14ac:dyDescent="0.3">
      <c r="A114" s="4" t="s">
        <v>21</v>
      </c>
      <c r="B114" s="4" t="s">
        <v>39</v>
      </c>
      <c r="C114" s="4" t="s">
        <v>40</v>
      </c>
      <c r="D114" s="4" t="s">
        <v>38</v>
      </c>
      <c r="E114" s="4" t="s">
        <v>25</v>
      </c>
      <c r="F114" s="4" t="s">
        <v>25</v>
      </c>
      <c r="G114" s="4" t="s">
        <v>25</v>
      </c>
      <c r="H114" s="4" t="s">
        <v>35</v>
      </c>
      <c r="I114" s="5">
        <v>44562</v>
      </c>
      <c r="J114" s="6">
        <v>673</v>
      </c>
      <c r="K114" s="6">
        <v>673</v>
      </c>
      <c r="L114" s="6">
        <v>252.768</v>
      </c>
      <c r="M114" s="6">
        <v>252.768</v>
      </c>
      <c r="N114" s="6">
        <v>252.768</v>
      </c>
      <c r="O114" s="6">
        <v>252.768</v>
      </c>
      <c r="P114" s="6">
        <v>0</v>
      </c>
      <c r="Q114" s="4" t="s">
        <v>26</v>
      </c>
      <c r="R114" s="4">
        <v>0</v>
      </c>
      <c r="S114" s="6">
        <v>22</v>
      </c>
      <c r="T114" s="6">
        <v>12</v>
      </c>
      <c r="U114" s="6">
        <v>61</v>
      </c>
      <c r="V114" s="6">
        <f>IF(ISERROR(VLOOKUP($S$114,'TAR FIN'!$A$1:$O$113,15,0)),0,VLOOKUP($S$114,'TAR FIN'!$A$1:$O$113,15,0))</f>
        <v>14</v>
      </c>
      <c r="W114" s="6">
        <f>IF(ISERROR(VLOOKUP($T$114,'TAR FIN'!$A$1:$O$113,15,0)),0,VLOOKUP($T$114,'TAR FIN'!$A$1:$O$113,15,0))</f>
        <v>72.150000000000006</v>
      </c>
      <c r="X114" s="6">
        <f>IF(ISERROR(VLOOKUP($U$114,'TAR FIN'!$A$1:$O$113,15,0)),0,VLOOKUP($U$114,'TAR FIN'!$A$1:$O$113,15,0))</f>
        <v>278.67</v>
      </c>
      <c r="Y114" s="6">
        <f ca="1">('TUSD BE'!$AM$15+'TUSD BF'!$AM$15+'TUSD CVA'!$AM$15)*1</f>
        <v>16.035953923331604</v>
      </c>
      <c r="Z114" s="6">
        <f ca="1">('TUSD BE'!$AM$16+'TUSD BF'!$AM$16+'TUSD CVA'!$AM$16)*1</f>
        <v>122.14055331663396</v>
      </c>
      <c r="AA114" s="6">
        <f>('TE BE'!$AB$10+'TE BF'!$AB$10+'TE CVA'!$AB$10)*1</f>
        <v>299.18055042718134</v>
      </c>
      <c r="AB114" s="6">
        <f>$K$114*$V$114</f>
        <v>9422</v>
      </c>
      <c r="AC114" s="6">
        <f>$M$114*$W$114</f>
        <v>18237.211200000002</v>
      </c>
      <c r="AD114" s="6">
        <f>$O$114*$X$114</f>
        <v>70438.858560000008</v>
      </c>
      <c r="AE114" s="6">
        <f ca="1">$K$114*$Y$114</f>
        <v>10792.19699040217</v>
      </c>
      <c r="AF114" s="6">
        <f ca="1">$M$114*$Z$114</f>
        <v>30873.223380738931</v>
      </c>
      <c r="AG114" s="6">
        <f>$O$114*$AA$114</f>
        <v>75623.269370377777</v>
      </c>
    </row>
    <row r="115" spans="1:33" ht="11.25" customHeight="1" x14ac:dyDescent="0.3">
      <c r="A115" s="4" t="s">
        <v>21</v>
      </c>
      <c r="B115" s="4" t="s">
        <v>39</v>
      </c>
      <c r="C115" s="4" t="s">
        <v>40</v>
      </c>
      <c r="D115" s="4" t="s">
        <v>38</v>
      </c>
      <c r="E115" s="4" t="s">
        <v>25</v>
      </c>
      <c r="F115" s="4" t="s">
        <v>25</v>
      </c>
      <c r="G115" s="4" t="s">
        <v>25</v>
      </c>
      <c r="H115" s="4" t="s">
        <v>35</v>
      </c>
      <c r="I115" s="5">
        <v>44562</v>
      </c>
      <c r="J115" s="6">
        <v>13049</v>
      </c>
      <c r="K115" s="6">
        <v>13049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4" t="s">
        <v>55</v>
      </c>
      <c r="R115" s="4">
        <v>0</v>
      </c>
      <c r="S115" s="6">
        <v>22</v>
      </c>
      <c r="T115" s="6">
        <v>0</v>
      </c>
      <c r="U115" s="6">
        <v>0</v>
      </c>
      <c r="V115" s="6">
        <f>IF(ISERROR(VLOOKUP($S$115,'TAR FIN'!$A$1:$O$113,15,0)),0,VLOOKUP($S$115,'TAR FIN'!$A$1:$O$113,15,0))</f>
        <v>14</v>
      </c>
      <c r="W115" s="6">
        <f>IF(ISERROR(VLOOKUP($T$115,'TAR FIN'!$A$1:$O$113,15,0)),0,VLOOKUP($T$115,'TAR FIN'!$A$1:$O$113,15,0))</f>
        <v>0</v>
      </c>
      <c r="X115" s="6">
        <f>IF(ISERROR(VLOOKUP($U$115,'TAR FIN'!$A$1:$O$113,15,0)),0,VLOOKUP($U$115,'TAR FIN'!$A$1:$O$113,15,0))</f>
        <v>0</v>
      </c>
      <c r="Y115" s="6">
        <f ca="1">('TUSD BE'!$AM$15+'TUSD BF'!$AM$15+'TUSD CVA'!$AM$15)*1</f>
        <v>16.035953923331604</v>
      </c>
      <c r="Z115" s="6">
        <f ca="1">('TUSD BE'!$AM$16+'TUSD BF'!$AM$16+'TUSD CVA'!$AM$16)*1</f>
        <v>122.14055331663396</v>
      </c>
      <c r="AA115" s="6"/>
      <c r="AB115" s="6">
        <f>$K$115*$V$115</f>
        <v>182686</v>
      </c>
      <c r="AC115" s="6">
        <f>$M$115*$W$115</f>
        <v>0</v>
      </c>
      <c r="AD115" s="6">
        <f>$O$115*$X$115</f>
        <v>0</v>
      </c>
      <c r="AE115" s="6">
        <f ca="1">$K$115*$Y$115</f>
        <v>209253.16274555412</v>
      </c>
      <c r="AF115" s="6">
        <f ca="1">$M$115*$Z$115</f>
        <v>0</v>
      </c>
      <c r="AG115" s="6">
        <f>$O$115*$AA$115</f>
        <v>0</v>
      </c>
    </row>
    <row r="116" spans="1:33" ht="11.25" customHeight="1" x14ac:dyDescent="0.3">
      <c r="A116" s="4" t="s">
        <v>21</v>
      </c>
      <c r="B116" s="4" t="s">
        <v>39</v>
      </c>
      <c r="C116" s="4" t="s">
        <v>40</v>
      </c>
      <c r="D116" s="4" t="s">
        <v>38</v>
      </c>
      <c r="E116" s="4" t="s">
        <v>25</v>
      </c>
      <c r="F116" s="4" t="s">
        <v>25</v>
      </c>
      <c r="G116" s="4" t="s">
        <v>25</v>
      </c>
      <c r="H116" s="4" t="s">
        <v>35</v>
      </c>
      <c r="I116" s="5">
        <v>44593</v>
      </c>
      <c r="J116" s="6">
        <v>715</v>
      </c>
      <c r="K116" s="6">
        <v>715</v>
      </c>
      <c r="L116" s="6">
        <v>304.98899999999998</v>
      </c>
      <c r="M116" s="6">
        <v>304.98899999999998</v>
      </c>
      <c r="N116" s="6">
        <v>304.98899999999998</v>
      </c>
      <c r="O116" s="6">
        <v>304.98899999999998</v>
      </c>
      <c r="P116" s="6">
        <v>0</v>
      </c>
      <c r="Q116" s="4" t="s">
        <v>26</v>
      </c>
      <c r="R116" s="4">
        <v>0</v>
      </c>
      <c r="S116" s="6">
        <v>22</v>
      </c>
      <c r="T116" s="6">
        <v>12</v>
      </c>
      <c r="U116" s="6">
        <v>61</v>
      </c>
      <c r="V116" s="6">
        <f>IF(ISERROR(VLOOKUP($S$116,'TAR FIN'!$A$1:$O$113,15,0)),0,VLOOKUP($S$116,'TAR FIN'!$A$1:$O$113,15,0))</f>
        <v>14</v>
      </c>
      <c r="W116" s="6">
        <f>IF(ISERROR(VLOOKUP($T$116,'TAR FIN'!$A$1:$O$113,15,0)),0,VLOOKUP($T$116,'TAR FIN'!$A$1:$O$113,15,0))</f>
        <v>72.150000000000006</v>
      </c>
      <c r="X116" s="6">
        <f>IF(ISERROR(VLOOKUP($U$116,'TAR FIN'!$A$1:$O$113,15,0)),0,VLOOKUP($U$116,'TAR FIN'!$A$1:$O$113,15,0))</f>
        <v>278.67</v>
      </c>
      <c r="Y116" s="6">
        <f ca="1">('TUSD BE'!$AM$15+'TUSD BF'!$AM$15+'TUSD CVA'!$AM$15)*1</f>
        <v>16.035953923331604</v>
      </c>
      <c r="Z116" s="6">
        <f ca="1">('TUSD BE'!$AM$16+'TUSD BF'!$AM$16+'TUSD CVA'!$AM$16)*1</f>
        <v>122.14055331663396</v>
      </c>
      <c r="AA116" s="6">
        <f>('TE BE'!$AB$10+'TE BF'!$AB$10+'TE CVA'!$AB$10)*1</f>
        <v>299.18055042718134</v>
      </c>
      <c r="AB116" s="6">
        <f>$K$116*$V$116</f>
        <v>10010</v>
      </c>
      <c r="AC116" s="6">
        <f>$M$116*$W$116</f>
        <v>22004.95635</v>
      </c>
      <c r="AD116" s="6">
        <f>$O$116*$X$116</f>
        <v>84991.284629999995</v>
      </c>
      <c r="AE116" s="6">
        <f ca="1">$K$116*$Y$116</f>
        <v>11465.707055182096</v>
      </c>
      <c r="AF116" s="6">
        <f ca="1">$M$116*$Z$116</f>
        <v>37251.525215486872</v>
      </c>
      <c r="AG116" s="6">
        <f>$O$116*$AA$116</f>
        <v>91246.776894235605</v>
      </c>
    </row>
    <row r="117" spans="1:33" ht="11.25" customHeight="1" x14ac:dyDescent="0.3">
      <c r="A117" s="4" t="s">
        <v>21</v>
      </c>
      <c r="B117" s="4" t="s">
        <v>39</v>
      </c>
      <c r="C117" s="4" t="s">
        <v>40</v>
      </c>
      <c r="D117" s="4" t="s">
        <v>38</v>
      </c>
      <c r="E117" s="4" t="s">
        <v>25</v>
      </c>
      <c r="F117" s="4" t="s">
        <v>25</v>
      </c>
      <c r="G117" s="4" t="s">
        <v>25</v>
      </c>
      <c r="H117" s="4" t="s">
        <v>35</v>
      </c>
      <c r="I117" s="5">
        <v>44593</v>
      </c>
      <c r="J117" s="6">
        <v>13010</v>
      </c>
      <c r="K117" s="6">
        <v>13010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4" t="s">
        <v>55</v>
      </c>
      <c r="R117" s="4">
        <v>0</v>
      </c>
      <c r="S117" s="6">
        <v>22</v>
      </c>
      <c r="T117" s="6">
        <v>0</v>
      </c>
      <c r="U117" s="6">
        <v>0</v>
      </c>
      <c r="V117" s="6">
        <f>IF(ISERROR(VLOOKUP($S$117,'TAR FIN'!$A$1:$O$113,15,0)),0,VLOOKUP($S$117,'TAR FIN'!$A$1:$O$113,15,0))</f>
        <v>14</v>
      </c>
      <c r="W117" s="6">
        <f>IF(ISERROR(VLOOKUP($T$117,'TAR FIN'!$A$1:$O$113,15,0)),0,VLOOKUP($T$117,'TAR FIN'!$A$1:$O$113,15,0))</f>
        <v>0</v>
      </c>
      <c r="X117" s="6">
        <f>IF(ISERROR(VLOOKUP($U$117,'TAR FIN'!$A$1:$O$113,15,0)),0,VLOOKUP($U$117,'TAR FIN'!$A$1:$O$113,15,0))</f>
        <v>0</v>
      </c>
      <c r="Y117" s="6">
        <f ca="1">('TUSD BE'!$AM$15+'TUSD BF'!$AM$15+'TUSD CVA'!$AM$15)*1</f>
        <v>16.035953923331604</v>
      </c>
      <c r="Z117" s="6">
        <f ca="1">('TUSD BE'!$AM$16+'TUSD BF'!$AM$16+'TUSD CVA'!$AM$16)*1</f>
        <v>122.14055331663396</v>
      </c>
      <c r="AA117" s="6"/>
      <c r="AB117" s="6">
        <f>$K$117*$V$117</f>
        <v>182140</v>
      </c>
      <c r="AC117" s="6">
        <f>$M$117*$W$117</f>
        <v>0</v>
      </c>
      <c r="AD117" s="6">
        <f>$O$117*$X$117</f>
        <v>0</v>
      </c>
      <c r="AE117" s="6">
        <f ca="1">$K$117*$Y$117</f>
        <v>208627.76054254416</v>
      </c>
      <c r="AF117" s="6">
        <f ca="1">$M$117*$Z$117</f>
        <v>0</v>
      </c>
      <c r="AG117" s="6">
        <f>$O$117*$AA$117</f>
        <v>0</v>
      </c>
    </row>
    <row r="118" spans="1:33" ht="11.25" customHeight="1" x14ac:dyDescent="0.3">
      <c r="A118" s="4" t="s">
        <v>21</v>
      </c>
      <c r="B118" s="4" t="s">
        <v>39</v>
      </c>
      <c r="C118" s="4" t="s">
        <v>40</v>
      </c>
      <c r="D118" s="4" t="s">
        <v>38</v>
      </c>
      <c r="E118" s="4" t="s">
        <v>25</v>
      </c>
      <c r="F118" s="4" t="s">
        <v>25</v>
      </c>
      <c r="G118" s="4" t="s">
        <v>25</v>
      </c>
      <c r="H118" s="4" t="s">
        <v>35</v>
      </c>
      <c r="I118" s="5">
        <v>44621</v>
      </c>
      <c r="J118" s="6">
        <v>667</v>
      </c>
      <c r="K118" s="6">
        <v>667</v>
      </c>
      <c r="L118" s="6">
        <v>235.69800000000001</v>
      </c>
      <c r="M118" s="6">
        <v>235.69800000000001</v>
      </c>
      <c r="N118" s="6">
        <v>235.69800000000001</v>
      </c>
      <c r="O118" s="6">
        <v>235.69800000000001</v>
      </c>
      <c r="P118" s="6">
        <v>0</v>
      </c>
      <c r="Q118" s="4" t="s">
        <v>26</v>
      </c>
      <c r="R118" s="4">
        <v>0</v>
      </c>
      <c r="S118" s="6">
        <v>22</v>
      </c>
      <c r="T118" s="6">
        <v>12</v>
      </c>
      <c r="U118" s="6">
        <v>61</v>
      </c>
      <c r="V118" s="6">
        <f>IF(ISERROR(VLOOKUP($S$118,'TAR FIN'!$A$1:$O$113,15,0)),0,VLOOKUP($S$118,'TAR FIN'!$A$1:$O$113,15,0))</f>
        <v>14</v>
      </c>
      <c r="W118" s="6">
        <f>IF(ISERROR(VLOOKUP($T$118,'TAR FIN'!$A$1:$O$113,15,0)),0,VLOOKUP($T$118,'TAR FIN'!$A$1:$O$113,15,0))</f>
        <v>72.150000000000006</v>
      </c>
      <c r="X118" s="6">
        <f>IF(ISERROR(VLOOKUP($U$118,'TAR FIN'!$A$1:$O$113,15,0)),0,VLOOKUP($U$118,'TAR FIN'!$A$1:$O$113,15,0))</f>
        <v>278.67</v>
      </c>
      <c r="Y118" s="6">
        <f ca="1">('TUSD BE'!$AM$15+'TUSD BF'!$AM$15+'TUSD CVA'!$AM$15)*1</f>
        <v>16.035953923331604</v>
      </c>
      <c r="Z118" s="6">
        <f ca="1">('TUSD BE'!$AM$16+'TUSD BF'!$AM$16+'TUSD CVA'!$AM$16)*1</f>
        <v>122.14055331663396</v>
      </c>
      <c r="AA118" s="6">
        <f>('TE BE'!$AB$10+'TE BF'!$AB$10+'TE CVA'!$AB$10)*1</f>
        <v>299.18055042718134</v>
      </c>
      <c r="AB118" s="6">
        <f>$K$118*$V$118</f>
        <v>9338</v>
      </c>
      <c r="AC118" s="6">
        <f>$M$118*$W$118</f>
        <v>17005.610700000001</v>
      </c>
      <c r="AD118" s="6">
        <f>$O$118*$X$118</f>
        <v>65681.961660000001</v>
      </c>
      <c r="AE118" s="6">
        <f ca="1">$K$118*$Y$118</f>
        <v>10695.98126686218</v>
      </c>
      <c r="AF118" s="6">
        <f ca="1">$M$118*$Z$118</f>
        <v>28788.284135623991</v>
      </c>
      <c r="AG118" s="6">
        <f>$O$118*$AA$118</f>
        <v>70516.257374585795</v>
      </c>
    </row>
    <row r="119" spans="1:33" ht="11.25" customHeight="1" x14ac:dyDescent="0.3">
      <c r="A119" s="4" t="s">
        <v>21</v>
      </c>
      <c r="B119" s="4" t="s">
        <v>39</v>
      </c>
      <c r="C119" s="4" t="s">
        <v>40</v>
      </c>
      <c r="D119" s="4" t="s">
        <v>38</v>
      </c>
      <c r="E119" s="4" t="s">
        <v>25</v>
      </c>
      <c r="F119" s="4" t="s">
        <v>25</v>
      </c>
      <c r="G119" s="4" t="s">
        <v>25</v>
      </c>
      <c r="H119" s="4" t="s">
        <v>35</v>
      </c>
      <c r="I119" s="5">
        <v>44621</v>
      </c>
      <c r="J119" s="6">
        <v>10852</v>
      </c>
      <c r="K119" s="6">
        <v>10852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4" t="s">
        <v>55</v>
      </c>
      <c r="R119" s="4">
        <v>0</v>
      </c>
      <c r="S119" s="6">
        <v>22</v>
      </c>
      <c r="T119" s="6">
        <v>0</v>
      </c>
      <c r="U119" s="6">
        <v>0</v>
      </c>
      <c r="V119" s="6">
        <f>IF(ISERROR(VLOOKUP($S$119,'TAR FIN'!$A$1:$O$113,15,0)),0,VLOOKUP($S$119,'TAR FIN'!$A$1:$O$113,15,0))</f>
        <v>14</v>
      </c>
      <c r="W119" s="6">
        <f>IF(ISERROR(VLOOKUP($T$119,'TAR FIN'!$A$1:$O$113,15,0)),0,VLOOKUP($T$119,'TAR FIN'!$A$1:$O$113,15,0))</f>
        <v>0</v>
      </c>
      <c r="X119" s="6">
        <f>IF(ISERROR(VLOOKUP($U$119,'TAR FIN'!$A$1:$O$113,15,0)),0,VLOOKUP($U$119,'TAR FIN'!$A$1:$O$113,15,0))</f>
        <v>0</v>
      </c>
      <c r="Y119" s="6">
        <f ca="1">('TUSD BE'!$AM$15+'TUSD BF'!$AM$15+'TUSD CVA'!$AM$15)*1</f>
        <v>16.035953923331604</v>
      </c>
      <c r="Z119" s="6">
        <f ca="1">('TUSD BE'!$AM$16+'TUSD BF'!$AM$16+'TUSD CVA'!$AM$16)*1</f>
        <v>122.14055331663396</v>
      </c>
      <c r="AA119" s="6"/>
      <c r="AB119" s="6">
        <f>$K$119*$V$119</f>
        <v>151928</v>
      </c>
      <c r="AC119" s="6">
        <f>$M$119*$W$119</f>
        <v>0</v>
      </c>
      <c r="AD119" s="6">
        <f>$O$119*$X$119</f>
        <v>0</v>
      </c>
      <c r="AE119" s="6">
        <f ca="1">$K$119*$Y$119</f>
        <v>174022.17197599457</v>
      </c>
      <c r="AF119" s="6">
        <f ca="1">$M$119*$Z$119</f>
        <v>0</v>
      </c>
      <c r="AG119" s="6">
        <f>$O$119*$AA$119</f>
        <v>0</v>
      </c>
    </row>
    <row r="120" spans="1:33" ht="11.25" customHeight="1" x14ac:dyDescent="0.3">
      <c r="A120" s="4" t="s">
        <v>21</v>
      </c>
      <c r="B120" s="4" t="s">
        <v>39</v>
      </c>
      <c r="C120" s="4" t="s">
        <v>40</v>
      </c>
      <c r="D120" s="4" t="s">
        <v>38</v>
      </c>
      <c r="E120" s="4" t="s">
        <v>25</v>
      </c>
      <c r="F120" s="4" t="s">
        <v>25</v>
      </c>
      <c r="G120" s="4" t="s">
        <v>25</v>
      </c>
      <c r="H120" s="4" t="s">
        <v>35</v>
      </c>
      <c r="I120" s="5">
        <v>44652</v>
      </c>
      <c r="J120" s="6">
        <v>694</v>
      </c>
      <c r="K120" s="6">
        <v>694</v>
      </c>
      <c r="L120" s="6">
        <v>315.24099999999999</v>
      </c>
      <c r="M120" s="6">
        <v>315.24099999999999</v>
      </c>
      <c r="N120" s="6">
        <v>315.24099999999999</v>
      </c>
      <c r="O120" s="6">
        <v>315.24099999999999</v>
      </c>
      <c r="P120" s="6">
        <v>0</v>
      </c>
      <c r="Q120" s="4" t="s">
        <v>26</v>
      </c>
      <c r="R120" s="4">
        <v>0</v>
      </c>
      <c r="S120" s="6">
        <v>22</v>
      </c>
      <c r="T120" s="6">
        <v>12</v>
      </c>
      <c r="U120" s="6">
        <v>61</v>
      </c>
      <c r="V120" s="6">
        <f>IF(ISERROR(VLOOKUP($S$120,'TAR FIN'!$A$1:$O$113,15,0)),0,VLOOKUP($S$120,'TAR FIN'!$A$1:$O$113,15,0))</f>
        <v>14</v>
      </c>
      <c r="W120" s="6">
        <f>IF(ISERROR(VLOOKUP($T$120,'TAR FIN'!$A$1:$O$113,15,0)),0,VLOOKUP($T$120,'TAR FIN'!$A$1:$O$113,15,0))</f>
        <v>72.150000000000006</v>
      </c>
      <c r="X120" s="6">
        <f>IF(ISERROR(VLOOKUP($U$120,'TAR FIN'!$A$1:$O$113,15,0)),0,VLOOKUP($U$120,'TAR FIN'!$A$1:$O$113,15,0))</f>
        <v>278.67</v>
      </c>
      <c r="Y120" s="6">
        <f ca="1">('TUSD BE'!$AM$15+'TUSD BF'!$AM$15+'TUSD CVA'!$AM$15)*1</f>
        <v>16.035953923331604</v>
      </c>
      <c r="Z120" s="6">
        <f ca="1">('TUSD BE'!$AM$16+'TUSD BF'!$AM$16+'TUSD CVA'!$AM$16)*1</f>
        <v>122.14055331663396</v>
      </c>
      <c r="AA120" s="6">
        <f>('TE BE'!$AB$10+'TE BF'!$AB$10+'TE CVA'!$AB$10)*1</f>
        <v>299.18055042718134</v>
      </c>
      <c r="AB120" s="6">
        <f>$K$120*$V$120</f>
        <v>9716</v>
      </c>
      <c r="AC120" s="6">
        <f>$M$120*$W$120</f>
        <v>22744.638150000002</v>
      </c>
      <c r="AD120" s="6">
        <f>$O$120*$X$120</f>
        <v>87848.209470000002</v>
      </c>
      <c r="AE120" s="6">
        <f ca="1">$K$120*$Y$120</f>
        <v>11128.952022792133</v>
      </c>
      <c r="AF120" s="6">
        <f ca="1">$M$120*$Z$120</f>
        <v>38503.710168089005</v>
      </c>
      <c r="AG120" s="6">
        <f>$O$120*$AA$120</f>
        <v>94313.975897215074</v>
      </c>
    </row>
    <row r="121" spans="1:33" ht="11.25" customHeight="1" x14ac:dyDescent="0.3">
      <c r="A121" s="4" t="s">
        <v>21</v>
      </c>
      <c r="B121" s="4" t="s">
        <v>39</v>
      </c>
      <c r="C121" s="4" t="s">
        <v>40</v>
      </c>
      <c r="D121" s="4" t="s">
        <v>38</v>
      </c>
      <c r="E121" s="4" t="s">
        <v>25</v>
      </c>
      <c r="F121" s="4" t="s">
        <v>25</v>
      </c>
      <c r="G121" s="4" t="s">
        <v>25</v>
      </c>
      <c r="H121" s="4" t="s">
        <v>35</v>
      </c>
      <c r="I121" s="5">
        <v>44652</v>
      </c>
      <c r="J121" s="6">
        <v>10265</v>
      </c>
      <c r="K121" s="6">
        <v>10265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4" t="s">
        <v>55</v>
      </c>
      <c r="R121" s="4">
        <v>0</v>
      </c>
      <c r="S121" s="6">
        <v>22</v>
      </c>
      <c r="T121" s="6">
        <v>0</v>
      </c>
      <c r="U121" s="6">
        <v>0</v>
      </c>
      <c r="V121" s="6">
        <f>IF(ISERROR(VLOOKUP($S$121,'TAR FIN'!$A$1:$O$113,15,0)),0,VLOOKUP($S$121,'TAR FIN'!$A$1:$O$113,15,0))</f>
        <v>14</v>
      </c>
      <c r="W121" s="6">
        <f>IF(ISERROR(VLOOKUP($T$121,'TAR FIN'!$A$1:$O$113,15,0)),0,VLOOKUP($T$121,'TAR FIN'!$A$1:$O$113,15,0))</f>
        <v>0</v>
      </c>
      <c r="X121" s="6">
        <f>IF(ISERROR(VLOOKUP($U$121,'TAR FIN'!$A$1:$O$113,15,0)),0,VLOOKUP($U$121,'TAR FIN'!$A$1:$O$113,15,0))</f>
        <v>0</v>
      </c>
      <c r="Y121" s="6">
        <f ca="1">('TUSD BE'!$AM$15+'TUSD BF'!$AM$15+'TUSD CVA'!$AM$15)*1</f>
        <v>16.035953923331604</v>
      </c>
      <c r="Z121" s="6">
        <f ca="1">('TUSD BE'!$AM$16+'TUSD BF'!$AM$16+'TUSD CVA'!$AM$16)*1</f>
        <v>122.14055331663396</v>
      </c>
      <c r="AA121" s="6"/>
      <c r="AB121" s="6">
        <f>$K$121*$V$121</f>
        <v>143710</v>
      </c>
      <c r="AC121" s="6">
        <f>$M$121*$W$121</f>
        <v>0</v>
      </c>
      <c r="AD121" s="6">
        <f>$O$121*$X$121</f>
        <v>0</v>
      </c>
      <c r="AE121" s="6">
        <f ca="1">$K$121*$Y$121</f>
        <v>164609.0670229989</v>
      </c>
      <c r="AF121" s="6">
        <f ca="1">$M$121*$Z$121</f>
        <v>0</v>
      </c>
      <c r="AG121" s="6">
        <f>$O$121*$AA$121</f>
        <v>0</v>
      </c>
    </row>
    <row r="122" spans="1:33" ht="11.25" customHeight="1" x14ac:dyDescent="0.3">
      <c r="A122" s="4" t="s">
        <v>21</v>
      </c>
      <c r="B122" s="4" t="s">
        <v>39</v>
      </c>
      <c r="C122" s="4" t="s">
        <v>40</v>
      </c>
      <c r="D122" s="4" t="s">
        <v>38</v>
      </c>
      <c r="E122" s="4" t="s">
        <v>25</v>
      </c>
      <c r="F122" s="4" t="s">
        <v>25</v>
      </c>
      <c r="G122" s="4" t="s">
        <v>25</v>
      </c>
      <c r="H122" s="4" t="s">
        <v>35</v>
      </c>
      <c r="I122" s="5">
        <v>44682</v>
      </c>
      <c r="J122" s="6">
        <v>689</v>
      </c>
      <c r="K122" s="6">
        <v>689</v>
      </c>
      <c r="L122" s="6">
        <v>262.39299999999997</v>
      </c>
      <c r="M122" s="6">
        <v>262.39299999999997</v>
      </c>
      <c r="N122" s="6">
        <v>262.39299999999997</v>
      </c>
      <c r="O122" s="6">
        <v>262.39299999999997</v>
      </c>
      <c r="P122" s="6">
        <v>0</v>
      </c>
      <c r="Q122" s="4" t="s">
        <v>26</v>
      </c>
      <c r="R122" s="4">
        <v>0</v>
      </c>
      <c r="S122" s="6">
        <v>22</v>
      </c>
      <c r="T122" s="6">
        <v>12</v>
      </c>
      <c r="U122" s="6">
        <v>61</v>
      </c>
      <c r="V122" s="6">
        <f>IF(ISERROR(VLOOKUP($S$122,'TAR FIN'!$A$1:$O$113,15,0)),0,VLOOKUP($S$122,'TAR FIN'!$A$1:$O$113,15,0))</f>
        <v>14</v>
      </c>
      <c r="W122" s="6">
        <f>IF(ISERROR(VLOOKUP($T$122,'TAR FIN'!$A$1:$O$113,15,0)),0,VLOOKUP($T$122,'TAR FIN'!$A$1:$O$113,15,0))</f>
        <v>72.150000000000006</v>
      </c>
      <c r="X122" s="6">
        <f>IF(ISERROR(VLOOKUP($U$122,'TAR FIN'!$A$1:$O$113,15,0)),0,VLOOKUP($U$122,'TAR FIN'!$A$1:$O$113,15,0))</f>
        <v>278.67</v>
      </c>
      <c r="Y122" s="6">
        <f ca="1">('TUSD BE'!$AM$15+'TUSD BF'!$AM$15+'TUSD CVA'!$AM$15)*1</f>
        <v>16.035953923331604</v>
      </c>
      <c r="Z122" s="6">
        <f ca="1">('TUSD BE'!$AM$16+'TUSD BF'!$AM$16+'TUSD CVA'!$AM$16)*1</f>
        <v>122.14055331663396</v>
      </c>
      <c r="AA122" s="6">
        <f>('TE BE'!$AB$10+'TE BF'!$AB$10+'TE CVA'!$AB$10)*1</f>
        <v>299.18055042718134</v>
      </c>
      <c r="AB122" s="6">
        <f>$K$122*$V$122</f>
        <v>9646</v>
      </c>
      <c r="AC122" s="6">
        <f>$M$122*$W$122</f>
        <v>18931.65495</v>
      </c>
      <c r="AD122" s="6">
        <f>$O$122*$X$122</f>
        <v>73121.057309999989</v>
      </c>
      <c r="AE122" s="6">
        <f ca="1">$K$122*$Y$122</f>
        <v>11048.772253175475</v>
      </c>
      <c r="AF122" s="6">
        <f ca="1">$M$122*$Z$122</f>
        <v>32048.82620641153</v>
      </c>
      <c r="AG122" s="6">
        <f>$O$122*$AA$122</f>
        <v>78502.88216823939</v>
      </c>
    </row>
    <row r="123" spans="1:33" ht="11.25" customHeight="1" x14ac:dyDescent="0.3">
      <c r="A123" s="4" t="s">
        <v>21</v>
      </c>
      <c r="B123" s="4" t="s">
        <v>39</v>
      </c>
      <c r="C123" s="4" t="s">
        <v>40</v>
      </c>
      <c r="D123" s="4" t="s">
        <v>38</v>
      </c>
      <c r="E123" s="4" t="s">
        <v>25</v>
      </c>
      <c r="F123" s="4" t="s">
        <v>25</v>
      </c>
      <c r="G123" s="4" t="s">
        <v>25</v>
      </c>
      <c r="H123" s="4" t="s">
        <v>35</v>
      </c>
      <c r="I123" s="5">
        <v>44682</v>
      </c>
      <c r="J123" s="6">
        <v>11423</v>
      </c>
      <c r="K123" s="6">
        <v>11423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4" t="s">
        <v>55</v>
      </c>
      <c r="R123" s="4">
        <v>0</v>
      </c>
      <c r="S123" s="6">
        <v>22</v>
      </c>
      <c r="T123" s="6">
        <v>0</v>
      </c>
      <c r="U123" s="6">
        <v>0</v>
      </c>
      <c r="V123" s="6">
        <f>IF(ISERROR(VLOOKUP($S$123,'TAR FIN'!$A$1:$O$113,15,0)),0,VLOOKUP($S$123,'TAR FIN'!$A$1:$O$113,15,0))</f>
        <v>14</v>
      </c>
      <c r="W123" s="6">
        <f>IF(ISERROR(VLOOKUP($T$123,'TAR FIN'!$A$1:$O$113,15,0)),0,VLOOKUP($T$123,'TAR FIN'!$A$1:$O$113,15,0))</f>
        <v>0</v>
      </c>
      <c r="X123" s="6">
        <f>IF(ISERROR(VLOOKUP($U$123,'TAR FIN'!$A$1:$O$113,15,0)),0,VLOOKUP($U$123,'TAR FIN'!$A$1:$O$113,15,0))</f>
        <v>0</v>
      </c>
      <c r="Y123" s="6">
        <f ca="1">('TUSD BE'!$AM$15+'TUSD BF'!$AM$15+'TUSD CVA'!$AM$15)*1</f>
        <v>16.035953923331604</v>
      </c>
      <c r="Z123" s="6">
        <f ca="1">('TUSD BE'!$AM$16+'TUSD BF'!$AM$16+'TUSD CVA'!$AM$16)*1</f>
        <v>122.14055331663396</v>
      </c>
      <c r="AA123" s="6"/>
      <c r="AB123" s="6">
        <f>$K$123*$V$123</f>
        <v>159922</v>
      </c>
      <c r="AC123" s="6">
        <f>$M$123*$W$123</f>
        <v>0</v>
      </c>
      <c r="AD123" s="6">
        <f>$O$123*$X$123</f>
        <v>0</v>
      </c>
      <c r="AE123" s="6">
        <f ca="1">$K$123*$Y$123</f>
        <v>183178.70166621692</v>
      </c>
      <c r="AF123" s="6">
        <f ca="1">$M$123*$Z$123</f>
        <v>0</v>
      </c>
      <c r="AG123" s="6">
        <f>$O$123*$AA$123</f>
        <v>0</v>
      </c>
    </row>
    <row r="124" spans="1:33" ht="11.25" customHeight="1" x14ac:dyDescent="0.3">
      <c r="A124" s="4" t="s">
        <v>21</v>
      </c>
      <c r="B124" s="4" t="s">
        <v>39</v>
      </c>
      <c r="C124" s="4" t="s">
        <v>40</v>
      </c>
      <c r="D124" s="4" t="s">
        <v>38</v>
      </c>
      <c r="E124" s="4" t="s">
        <v>25</v>
      </c>
      <c r="F124" s="4" t="s">
        <v>25</v>
      </c>
      <c r="G124" s="4" t="s">
        <v>25</v>
      </c>
      <c r="H124" s="4" t="s">
        <v>35</v>
      </c>
      <c r="I124" s="5">
        <v>44713</v>
      </c>
      <c r="J124" s="6">
        <v>703</v>
      </c>
      <c r="K124" s="6">
        <v>703</v>
      </c>
      <c r="L124" s="6">
        <v>305.15199999999999</v>
      </c>
      <c r="M124" s="6">
        <v>305.15199999999999</v>
      </c>
      <c r="N124" s="6">
        <v>305.15199999999999</v>
      </c>
      <c r="O124" s="6">
        <v>305.15199999999999</v>
      </c>
      <c r="P124" s="6">
        <v>0</v>
      </c>
      <c r="Q124" s="4" t="s">
        <v>26</v>
      </c>
      <c r="R124" s="4">
        <v>0</v>
      </c>
      <c r="S124" s="6">
        <v>22</v>
      </c>
      <c r="T124" s="6">
        <v>12</v>
      </c>
      <c r="U124" s="6">
        <v>61</v>
      </c>
      <c r="V124" s="6">
        <f>IF(ISERROR(VLOOKUP($S$124,'TAR FIN'!$A$1:$O$113,15,0)),0,VLOOKUP($S$124,'TAR FIN'!$A$1:$O$113,15,0))</f>
        <v>14</v>
      </c>
      <c r="W124" s="6">
        <f>IF(ISERROR(VLOOKUP($T$124,'TAR FIN'!$A$1:$O$113,15,0)),0,VLOOKUP($T$124,'TAR FIN'!$A$1:$O$113,15,0))</f>
        <v>72.150000000000006</v>
      </c>
      <c r="X124" s="6">
        <f>IF(ISERROR(VLOOKUP($U$124,'TAR FIN'!$A$1:$O$113,15,0)),0,VLOOKUP($U$124,'TAR FIN'!$A$1:$O$113,15,0))</f>
        <v>278.67</v>
      </c>
      <c r="Y124" s="6">
        <f ca="1">('TUSD BE'!$AM$15+'TUSD BF'!$AM$15+'TUSD CVA'!$AM$15)*1</f>
        <v>16.035953923331604</v>
      </c>
      <c r="Z124" s="6">
        <f ca="1">('TUSD BE'!$AM$16+'TUSD BF'!$AM$16+'TUSD CVA'!$AM$16)*1</f>
        <v>122.14055331663396</v>
      </c>
      <c r="AA124" s="6">
        <f>('TE BE'!$AB$10+'TE BF'!$AB$10+'TE CVA'!$AB$10)*1</f>
        <v>299.18055042718134</v>
      </c>
      <c r="AB124" s="6">
        <f>$K$124*$V$124</f>
        <v>9842</v>
      </c>
      <c r="AC124" s="6">
        <f>$M$124*$W$124</f>
        <v>22016.716800000002</v>
      </c>
      <c r="AD124" s="6">
        <f>$O$124*$X$124</f>
        <v>85036.707840000003</v>
      </c>
      <c r="AE124" s="6">
        <f ca="1">$K$124*$Y$124</f>
        <v>11273.275608102118</v>
      </c>
      <c r="AF124" s="6">
        <f ca="1">$M$124*$Z$124</f>
        <v>37271.434125677486</v>
      </c>
      <c r="AG124" s="6">
        <f>$O$124*$AA$124</f>
        <v>91295.543323955237</v>
      </c>
    </row>
    <row r="125" spans="1:33" ht="11.25" customHeight="1" x14ac:dyDescent="0.3">
      <c r="A125" s="4" t="s">
        <v>21</v>
      </c>
      <c r="B125" s="4" t="s">
        <v>39</v>
      </c>
      <c r="C125" s="4" t="s">
        <v>40</v>
      </c>
      <c r="D125" s="4" t="s">
        <v>38</v>
      </c>
      <c r="E125" s="4" t="s">
        <v>25</v>
      </c>
      <c r="F125" s="4" t="s">
        <v>25</v>
      </c>
      <c r="G125" s="4" t="s">
        <v>25</v>
      </c>
      <c r="H125" s="4" t="s">
        <v>35</v>
      </c>
      <c r="I125" s="5">
        <v>44713</v>
      </c>
      <c r="J125" s="6">
        <v>11194</v>
      </c>
      <c r="K125" s="6">
        <v>11194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4" t="s">
        <v>55</v>
      </c>
      <c r="R125" s="4">
        <v>0</v>
      </c>
      <c r="S125" s="6">
        <v>22</v>
      </c>
      <c r="T125" s="6">
        <v>0</v>
      </c>
      <c r="U125" s="6">
        <v>0</v>
      </c>
      <c r="V125" s="6">
        <f>IF(ISERROR(VLOOKUP($S$125,'TAR FIN'!$A$1:$O$113,15,0)),0,VLOOKUP($S$125,'TAR FIN'!$A$1:$O$113,15,0))</f>
        <v>14</v>
      </c>
      <c r="W125" s="6">
        <f>IF(ISERROR(VLOOKUP($T$125,'TAR FIN'!$A$1:$O$113,15,0)),0,VLOOKUP($T$125,'TAR FIN'!$A$1:$O$113,15,0))</f>
        <v>0</v>
      </c>
      <c r="X125" s="6">
        <f>IF(ISERROR(VLOOKUP($U$125,'TAR FIN'!$A$1:$O$113,15,0)),0,VLOOKUP($U$125,'TAR FIN'!$A$1:$O$113,15,0))</f>
        <v>0</v>
      </c>
      <c r="Y125" s="6">
        <f ca="1">('TUSD BE'!$AM$15+'TUSD BF'!$AM$15+'TUSD CVA'!$AM$15)*1</f>
        <v>16.035953923331604</v>
      </c>
      <c r="Z125" s="6">
        <f ca="1">('TUSD BE'!$AM$16+'TUSD BF'!$AM$16+'TUSD CVA'!$AM$16)*1</f>
        <v>122.14055331663396</v>
      </c>
      <c r="AA125" s="6"/>
      <c r="AB125" s="6">
        <f>$K$125*$V$125</f>
        <v>156716</v>
      </c>
      <c r="AC125" s="6">
        <f>$M$125*$W$125</f>
        <v>0</v>
      </c>
      <c r="AD125" s="6">
        <f>$O$125*$X$125</f>
        <v>0</v>
      </c>
      <c r="AE125" s="6">
        <f ca="1">$K$125*$Y$125</f>
        <v>179506.46821777397</v>
      </c>
      <c r="AF125" s="6">
        <f ca="1">$M$125*$Z$125</f>
        <v>0</v>
      </c>
      <c r="AG125" s="6">
        <f>$O$125*$AA$125</f>
        <v>0</v>
      </c>
    </row>
    <row r="126" spans="1:33" ht="11.25" customHeight="1" x14ac:dyDescent="0.3">
      <c r="A126" s="4" t="s">
        <v>21</v>
      </c>
      <c r="B126" s="4" t="s">
        <v>39</v>
      </c>
      <c r="C126" s="4" t="s">
        <v>40</v>
      </c>
      <c r="D126" s="4" t="s">
        <v>38</v>
      </c>
      <c r="E126" s="4" t="s">
        <v>25</v>
      </c>
      <c r="F126" s="4" t="s">
        <v>25</v>
      </c>
      <c r="G126" s="4" t="s">
        <v>25</v>
      </c>
      <c r="H126" s="4" t="s">
        <v>35</v>
      </c>
      <c r="I126" s="5">
        <v>44743</v>
      </c>
      <c r="J126" s="6">
        <v>690</v>
      </c>
      <c r="K126" s="6">
        <v>690</v>
      </c>
      <c r="L126" s="6">
        <v>149.71</v>
      </c>
      <c r="M126" s="6">
        <v>149.71</v>
      </c>
      <c r="N126" s="6">
        <v>149.71</v>
      </c>
      <c r="O126" s="6">
        <v>149.71</v>
      </c>
      <c r="P126" s="6">
        <v>0</v>
      </c>
      <c r="Q126" s="4" t="s">
        <v>26</v>
      </c>
      <c r="R126" s="4">
        <v>0</v>
      </c>
      <c r="S126" s="6">
        <v>22</v>
      </c>
      <c r="T126" s="6">
        <v>12</v>
      </c>
      <c r="U126" s="6">
        <v>61</v>
      </c>
      <c r="V126" s="6">
        <f>IF(ISERROR(VLOOKUP($S$126,'TAR FIN'!$A$1:$O$113,15,0)),0,VLOOKUP($S$126,'TAR FIN'!$A$1:$O$113,15,0))</f>
        <v>14</v>
      </c>
      <c r="W126" s="6">
        <f>IF(ISERROR(VLOOKUP($T$126,'TAR FIN'!$A$1:$O$113,15,0)),0,VLOOKUP($T$126,'TAR FIN'!$A$1:$O$113,15,0))</f>
        <v>72.150000000000006</v>
      </c>
      <c r="X126" s="6">
        <f>IF(ISERROR(VLOOKUP($U$126,'TAR FIN'!$A$1:$O$113,15,0)),0,VLOOKUP($U$126,'TAR FIN'!$A$1:$O$113,15,0))</f>
        <v>278.67</v>
      </c>
      <c r="Y126" s="6">
        <f ca="1">('TUSD BE'!$AM$15+'TUSD BF'!$AM$15+'TUSD CVA'!$AM$15)*1</f>
        <v>16.035953923331604</v>
      </c>
      <c r="Z126" s="6">
        <f ca="1">('TUSD BE'!$AM$16+'TUSD BF'!$AM$16+'TUSD CVA'!$AM$16)*1</f>
        <v>122.14055331663396</v>
      </c>
      <c r="AA126" s="6">
        <f>('TE BE'!$AB$10+'TE BF'!$AB$10+'TE CVA'!$AB$10)*1</f>
        <v>299.18055042718134</v>
      </c>
      <c r="AB126" s="6">
        <f>$K$126*$V$126</f>
        <v>9660</v>
      </c>
      <c r="AC126" s="6">
        <f>$M$126*$W$126</f>
        <v>10801.576500000001</v>
      </c>
      <c r="AD126" s="6">
        <f>$O$126*$X$126</f>
        <v>41719.685700000002</v>
      </c>
      <c r="AE126" s="6">
        <f ca="1">$K$126*$Y$126</f>
        <v>11064.808207098808</v>
      </c>
      <c r="AF126" s="6">
        <f ca="1">$M$126*$Z$126</f>
        <v>18285.66223703327</v>
      </c>
      <c r="AG126" s="6">
        <f>$O$126*$AA$126</f>
        <v>44790.320204453325</v>
      </c>
    </row>
    <row r="127" spans="1:33" ht="11.25" customHeight="1" x14ac:dyDescent="0.3">
      <c r="A127" s="4" t="s">
        <v>21</v>
      </c>
      <c r="B127" s="4" t="s">
        <v>39</v>
      </c>
      <c r="C127" s="4" t="s">
        <v>40</v>
      </c>
      <c r="D127" s="4" t="s">
        <v>38</v>
      </c>
      <c r="E127" s="4" t="s">
        <v>25</v>
      </c>
      <c r="F127" s="4" t="s">
        <v>25</v>
      </c>
      <c r="G127" s="4" t="s">
        <v>25</v>
      </c>
      <c r="H127" s="4" t="s">
        <v>35</v>
      </c>
      <c r="I127" s="5">
        <v>44743</v>
      </c>
      <c r="J127" s="6">
        <v>11262</v>
      </c>
      <c r="K127" s="6">
        <v>11262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4" t="s">
        <v>55</v>
      </c>
      <c r="R127" s="4">
        <v>0</v>
      </c>
      <c r="S127" s="6">
        <v>22</v>
      </c>
      <c r="T127" s="6">
        <v>0</v>
      </c>
      <c r="U127" s="6">
        <v>0</v>
      </c>
      <c r="V127" s="6">
        <f>IF(ISERROR(VLOOKUP($S$127,'TAR FIN'!$A$1:$O$113,15,0)),0,VLOOKUP($S$127,'TAR FIN'!$A$1:$O$113,15,0))</f>
        <v>14</v>
      </c>
      <c r="W127" s="6">
        <f>IF(ISERROR(VLOOKUP($T$127,'TAR FIN'!$A$1:$O$113,15,0)),0,VLOOKUP($T$127,'TAR FIN'!$A$1:$O$113,15,0))</f>
        <v>0</v>
      </c>
      <c r="X127" s="6">
        <f>IF(ISERROR(VLOOKUP($U$127,'TAR FIN'!$A$1:$O$113,15,0)),0,VLOOKUP($U$127,'TAR FIN'!$A$1:$O$113,15,0))</f>
        <v>0</v>
      </c>
      <c r="Y127" s="6">
        <f ca="1">('TUSD BE'!$AM$15+'TUSD BF'!$AM$15+'TUSD CVA'!$AM$15)*1</f>
        <v>16.035953923331604</v>
      </c>
      <c r="Z127" s="6">
        <f ca="1">('TUSD BE'!$AM$16+'TUSD BF'!$AM$16+'TUSD CVA'!$AM$16)*1</f>
        <v>122.14055331663396</v>
      </c>
      <c r="AA127" s="6"/>
      <c r="AB127" s="6">
        <f>$K$127*$V$127</f>
        <v>157668</v>
      </c>
      <c r="AC127" s="6">
        <f>$M$127*$W$127</f>
        <v>0</v>
      </c>
      <c r="AD127" s="6">
        <f>$O$127*$X$127</f>
        <v>0</v>
      </c>
      <c r="AE127" s="6">
        <f ca="1">$K$127*$Y$127</f>
        <v>180596.91308456054</v>
      </c>
      <c r="AF127" s="6">
        <f ca="1">$M$127*$Z$127</f>
        <v>0</v>
      </c>
      <c r="AG127" s="6">
        <f>$O$127*$AA$127</f>
        <v>0</v>
      </c>
    </row>
    <row r="128" spans="1:33" ht="11.25" customHeight="1" x14ac:dyDescent="0.3">
      <c r="A128" s="4" t="s">
        <v>21</v>
      </c>
      <c r="B128" s="4" t="s">
        <v>39</v>
      </c>
      <c r="C128" s="4" t="s">
        <v>40</v>
      </c>
      <c r="D128" s="4" t="s">
        <v>38</v>
      </c>
      <c r="E128" s="4" t="s">
        <v>25</v>
      </c>
      <c r="F128" s="4" t="s">
        <v>25</v>
      </c>
      <c r="G128" s="4" t="s">
        <v>25</v>
      </c>
      <c r="H128" s="4" t="s">
        <v>35</v>
      </c>
      <c r="I128" s="5">
        <v>44774</v>
      </c>
      <c r="J128" s="6">
        <v>684</v>
      </c>
      <c r="K128" s="6">
        <v>684</v>
      </c>
      <c r="L128" s="6">
        <v>295.78199999999998</v>
      </c>
      <c r="M128" s="6">
        <v>295.78199999999998</v>
      </c>
      <c r="N128" s="6">
        <v>295.78199999999998</v>
      </c>
      <c r="O128" s="6">
        <v>295.78199999999998</v>
      </c>
      <c r="P128" s="6">
        <v>0</v>
      </c>
      <c r="Q128" s="4" t="s">
        <v>26</v>
      </c>
      <c r="R128" s="4">
        <v>0</v>
      </c>
      <c r="S128" s="6">
        <v>22</v>
      </c>
      <c r="T128" s="6">
        <v>12</v>
      </c>
      <c r="U128" s="6">
        <v>61</v>
      </c>
      <c r="V128" s="6">
        <f>IF(ISERROR(VLOOKUP($S$128,'TAR FIN'!$A$1:$O$113,15,0)),0,VLOOKUP($S$128,'TAR FIN'!$A$1:$O$113,15,0))</f>
        <v>14</v>
      </c>
      <c r="W128" s="6">
        <f>IF(ISERROR(VLOOKUP($T$128,'TAR FIN'!$A$1:$O$113,15,0)),0,VLOOKUP($T$128,'TAR FIN'!$A$1:$O$113,15,0))</f>
        <v>72.150000000000006</v>
      </c>
      <c r="X128" s="6">
        <f>IF(ISERROR(VLOOKUP($U$128,'TAR FIN'!$A$1:$O$113,15,0)),0,VLOOKUP($U$128,'TAR FIN'!$A$1:$O$113,15,0))</f>
        <v>278.67</v>
      </c>
      <c r="Y128" s="6">
        <f ca="1">('TUSD BE'!$AM$15+'TUSD BF'!$AM$15+'TUSD CVA'!$AM$15)*1</f>
        <v>16.035953923331604</v>
      </c>
      <c r="Z128" s="6">
        <f ca="1">('TUSD BE'!$AM$16+'TUSD BF'!$AM$16+'TUSD CVA'!$AM$16)*1</f>
        <v>122.14055331663396</v>
      </c>
      <c r="AA128" s="6">
        <f>('TE BE'!$AB$10+'TE BF'!$AB$10+'TE CVA'!$AB$10)*1</f>
        <v>299.18055042718134</v>
      </c>
      <c r="AB128" s="6">
        <f>$K$128*$V$128</f>
        <v>9576</v>
      </c>
      <c r="AC128" s="6">
        <f>$M$128*$W$128</f>
        <v>21340.671300000002</v>
      </c>
      <c r="AD128" s="6">
        <f>$O$128*$X$128</f>
        <v>82425.569940000001</v>
      </c>
      <c r="AE128" s="6">
        <f ca="1">$K$128*$Y$128</f>
        <v>10968.592483558818</v>
      </c>
      <c r="AF128" s="6">
        <f ca="1">$M$128*$Z$128</f>
        <v>36126.977141100622</v>
      </c>
      <c r="AG128" s="6">
        <f>$O$128*$AA$128</f>
        <v>88492.221566452543</v>
      </c>
    </row>
    <row r="129" spans="1:33" ht="11.25" customHeight="1" x14ac:dyDescent="0.3">
      <c r="A129" s="4" t="s">
        <v>21</v>
      </c>
      <c r="B129" s="4" t="s">
        <v>39</v>
      </c>
      <c r="C129" s="4" t="s">
        <v>40</v>
      </c>
      <c r="D129" s="4" t="s">
        <v>38</v>
      </c>
      <c r="E129" s="4" t="s">
        <v>25</v>
      </c>
      <c r="F129" s="4" t="s">
        <v>25</v>
      </c>
      <c r="G129" s="4" t="s">
        <v>25</v>
      </c>
      <c r="H129" s="4" t="s">
        <v>35</v>
      </c>
      <c r="I129" s="5">
        <v>44774</v>
      </c>
      <c r="J129" s="6">
        <v>11014</v>
      </c>
      <c r="K129" s="6">
        <v>11014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4" t="s">
        <v>55</v>
      </c>
      <c r="R129" s="4">
        <v>0</v>
      </c>
      <c r="S129" s="6">
        <v>22</v>
      </c>
      <c r="T129" s="6">
        <v>0</v>
      </c>
      <c r="U129" s="6">
        <v>0</v>
      </c>
      <c r="V129" s="6">
        <f>IF(ISERROR(VLOOKUP($S$129,'TAR FIN'!$A$1:$O$113,15,0)),0,VLOOKUP($S$129,'TAR FIN'!$A$1:$O$113,15,0))</f>
        <v>14</v>
      </c>
      <c r="W129" s="6">
        <f>IF(ISERROR(VLOOKUP($T$129,'TAR FIN'!$A$1:$O$113,15,0)),0,VLOOKUP($T$129,'TAR FIN'!$A$1:$O$113,15,0))</f>
        <v>0</v>
      </c>
      <c r="X129" s="6">
        <f>IF(ISERROR(VLOOKUP($U$129,'TAR FIN'!$A$1:$O$113,15,0)),0,VLOOKUP($U$129,'TAR FIN'!$A$1:$O$113,15,0))</f>
        <v>0</v>
      </c>
      <c r="Y129" s="6">
        <f ca="1">('TUSD BE'!$AM$15+'TUSD BF'!$AM$15+'TUSD CVA'!$AM$15)*1</f>
        <v>16.035953923331604</v>
      </c>
      <c r="Z129" s="6">
        <f ca="1">('TUSD BE'!$AM$16+'TUSD BF'!$AM$16+'TUSD CVA'!$AM$16)*1</f>
        <v>122.14055331663396</v>
      </c>
      <c r="AA129" s="6"/>
      <c r="AB129" s="6">
        <f>$K$129*$V$129</f>
        <v>154196</v>
      </c>
      <c r="AC129" s="6">
        <f>$M$129*$W$129</f>
        <v>0</v>
      </c>
      <c r="AD129" s="6">
        <f>$O$129*$X$129</f>
        <v>0</v>
      </c>
      <c r="AE129" s="6">
        <f ca="1">$K$129*$Y$129</f>
        <v>176619.99651157428</v>
      </c>
      <c r="AF129" s="6">
        <f ca="1">$M$129*$Z$129</f>
        <v>0</v>
      </c>
      <c r="AG129" s="6">
        <f>$O$129*$AA$129</f>
        <v>0</v>
      </c>
    </row>
    <row r="130" spans="1:33" ht="11.25" customHeight="1" x14ac:dyDescent="0.3">
      <c r="A130" s="4" t="s">
        <v>21</v>
      </c>
      <c r="B130" s="4" t="s">
        <v>39</v>
      </c>
      <c r="C130" s="4" t="s">
        <v>40</v>
      </c>
      <c r="D130" s="4" t="s">
        <v>38</v>
      </c>
      <c r="E130" s="4" t="s">
        <v>25</v>
      </c>
      <c r="F130" s="4" t="s">
        <v>25</v>
      </c>
      <c r="G130" s="4" t="s">
        <v>25</v>
      </c>
      <c r="H130" s="4" t="s">
        <v>35</v>
      </c>
      <c r="I130" s="5">
        <v>44805</v>
      </c>
      <c r="J130" s="6">
        <v>718</v>
      </c>
      <c r="K130" s="6">
        <v>718</v>
      </c>
      <c r="L130" s="6">
        <v>289.19900000000001</v>
      </c>
      <c r="M130" s="6">
        <v>289.19900000000001</v>
      </c>
      <c r="N130" s="6">
        <v>289.19900000000001</v>
      </c>
      <c r="O130" s="6">
        <v>289.19900000000001</v>
      </c>
      <c r="P130" s="6">
        <v>0</v>
      </c>
      <c r="Q130" s="4" t="s">
        <v>26</v>
      </c>
      <c r="R130" s="4">
        <v>0</v>
      </c>
      <c r="S130" s="6">
        <v>22</v>
      </c>
      <c r="T130" s="6">
        <v>12</v>
      </c>
      <c r="U130" s="6">
        <v>61</v>
      </c>
      <c r="V130" s="6">
        <f>IF(ISERROR(VLOOKUP($S$130,'TAR FIN'!$A$1:$O$113,15,0)),0,VLOOKUP($S$130,'TAR FIN'!$A$1:$O$113,15,0))</f>
        <v>14</v>
      </c>
      <c r="W130" s="6">
        <f>IF(ISERROR(VLOOKUP($T$130,'TAR FIN'!$A$1:$O$113,15,0)),0,VLOOKUP($T$130,'TAR FIN'!$A$1:$O$113,15,0))</f>
        <v>72.150000000000006</v>
      </c>
      <c r="X130" s="6">
        <f>IF(ISERROR(VLOOKUP($U$130,'TAR FIN'!$A$1:$O$113,15,0)),0,VLOOKUP($U$130,'TAR FIN'!$A$1:$O$113,15,0))</f>
        <v>278.67</v>
      </c>
      <c r="Y130" s="6">
        <f ca="1">('TUSD BE'!$AM$15+'TUSD BF'!$AM$15+'TUSD CVA'!$AM$15)*1</f>
        <v>16.035953923331604</v>
      </c>
      <c r="Z130" s="6">
        <f ca="1">('TUSD BE'!$AM$16+'TUSD BF'!$AM$16+'TUSD CVA'!$AM$16)*1</f>
        <v>122.14055331663396</v>
      </c>
      <c r="AA130" s="6">
        <f>('TE BE'!$AB$10+'TE BF'!$AB$10+'TE CVA'!$AB$10)*1</f>
        <v>299.18055042718134</v>
      </c>
      <c r="AB130" s="6">
        <f>$K$130*$V$130</f>
        <v>10052</v>
      </c>
      <c r="AC130" s="6">
        <f>$M$130*$W$130</f>
        <v>20865.707850000003</v>
      </c>
      <c r="AD130" s="6">
        <f>$O$130*$X$130</f>
        <v>80591.085330000002</v>
      </c>
      <c r="AE130" s="6">
        <f ca="1">$K$130*$Y$130</f>
        <v>11513.814916952091</v>
      </c>
      <c r="AF130" s="6">
        <f ca="1">$M$130*$Z$130</f>
        <v>35322.925878617221</v>
      </c>
      <c r="AG130" s="6">
        <f>$O$130*$AA$130</f>
        <v>86522.716002990419</v>
      </c>
    </row>
    <row r="131" spans="1:33" ht="11.25" customHeight="1" x14ac:dyDescent="0.3">
      <c r="A131" s="4" t="s">
        <v>21</v>
      </c>
      <c r="B131" s="4" t="s">
        <v>39</v>
      </c>
      <c r="C131" s="4" t="s">
        <v>40</v>
      </c>
      <c r="D131" s="4" t="s">
        <v>38</v>
      </c>
      <c r="E131" s="4" t="s">
        <v>25</v>
      </c>
      <c r="F131" s="4" t="s">
        <v>25</v>
      </c>
      <c r="G131" s="4" t="s">
        <v>25</v>
      </c>
      <c r="H131" s="4" t="s">
        <v>35</v>
      </c>
      <c r="I131" s="5">
        <v>44805</v>
      </c>
      <c r="J131" s="6">
        <v>12172</v>
      </c>
      <c r="K131" s="6">
        <v>12172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4" t="s">
        <v>55</v>
      </c>
      <c r="R131" s="4">
        <v>0</v>
      </c>
      <c r="S131" s="6">
        <v>22</v>
      </c>
      <c r="T131" s="6">
        <v>0</v>
      </c>
      <c r="U131" s="6">
        <v>0</v>
      </c>
      <c r="V131" s="6">
        <f>IF(ISERROR(VLOOKUP($S$131,'TAR FIN'!$A$1:$O$113,15,0)),0,VLOOKUP($S$131,'TAR FIN'!$A$1:$O$113,15,0))</f>
        <v>14</v>
      </c>
      <c r="W131" s="6">
        <f>IF(ISERROR(VLOOKUP($T$131,'TAR FIN'!$A$1:$O$113,15,0)),0,VLOOKUP($T$131,'TAR FIN'!$A$1:$O$113,15,0))</f>
        <v>0</v>
      </c>
      <c r="X131" s="6">
        <f>IF(ISERROR(VLOOKUP($U$131,'TAR FIN'!$A$1:$O$113,15,0)),0,VLOOKUP($U$131,'TAR FIN'!$A$1:$O$113,15,0))</f>
        <v>0</v>
      </c>
      <c r="Y131" s="6">
        <f ca="1">('TUSD BE'!$AM$15+'TUSD BF'!$AM$15+'TUSD CVA'!$AM$15)*1</f>
        <v>16.035953923331604</v>
      </c>
      <c r="Z131" s="6">
        <f ca="1">('TUSD BE'!$AM$16+'TUSD BF'!$AM$16+'TUSD CVA'!$AM$16)*1</f>
        <v>122.14055331663396</v>
      </c>
      <c r="AA131" s="6"/>
      <c r="AB131" s="6">
        <f>$K$131*$V$131</f>
        <v>170408</v>
      </c>
      <c r="AC131" s="6">
        <f>$M$131*$W$131</f>
        <v>0</v>
      </c>
      <c r="AD131" s="6">
        <f>$O$131*$X$131</f>
        <v>0</v>
      </c>
      <c r="AE131" s="6">
        <f ca="1">$K$131*$Y$131</f>
        <v>195189.6311547923</v>
      </c>
      <c r="AF131" s="6">
        <f ca="1">$M$131*$Z$131</f>
        <v>0</v>
      </c>
      <c r="AG131" s="6">
        <f>$O$131*$AA$131</f>
        <v>0</v>
      </c>
    </row>
    <row r="132" spans="1:33" ht="11.25" customHeight="1" x14ac:dyDescent="0.3">
      <c r="A132" s="4" t="s">
        <v>53</v>
      </c>
      <c r="B132" s="4" t="s">
        <v>39</v>
      </c>
      <c r="C132" s="4" t="s">
        <v>40</v>
      </c>
      <c r="D132" s="4" t="s">
        <v>38</v>
      </c>
      <c r="E132" s="4" t="s">
        <v>25</v>
      </c>
      <c r="F132" s="4" t="s">
        <v>25</v>
      </c>
      <c r="G132" s="4" t="s">
        <v>25</v>
      </c>
      <c r="H132" s="4" t="s">
        <v>35</v>
      </c>
      <c r="I132" s="5">
        <v>44835</v>
      </c>
      <c r="J132" s="6">
        <v>718</v>
      </c>
      <c r="K132" s="6">
        <v>718</v>
      </c>
      <c r="L132" s="6">
        <v>289.19900000000001</v>
      </c>
      <c r="M132" s="6">
        <v>289.19900000000001</v>
      </c>
      <c r="N132" s="6">
        <v>289.19900000000001</v>
      </c>
      <c r="O132" s="6">
        <v>289.19900000000001</v>
      </c>
      <c r="P132" s="6">
        <v>0</v>
      </c>
      <c r="Q132" s="4" t="s">
        <v>26</v>
      </c>
      <c r="R132" s="4">
        <v>0</v>
      </c>
      <c r="S132" s="6">
        <v>22</v>
      </c>
      <c r="T132" s="6">
        <v>12</v>
      </c>
      <c r="U132" s="6">
        <v>61</v>
      </c>
      <c r="V132" s="6">
        <f>IF(ISERROR(VLOOKUP($S$132,'TAR FIN'!$A$1:$O$113,15,0)),0,VLOOKUP($S$132,'TAR FIN'!$A$1:$O$113,15,0))</f>
        <v>14</v>
      </c>
      <c r="W132" s="6">
        <f>IF(ISERROR(VLOOKUP($T$132,'TAR FIN'!$A$1:$O$113,15,0)),0,VLOOKUP($T$132,'TAR FIN'!$A$1:$O$113,15,0))</f>
        <v>72.150000000000006</v>
      </c>
      <c r="X132" s="6">
        <f>IF(ISERROR(VLOOKUP($U$132,'TAR FIN'!$A$1:$O$113,15,0)),0,VLOOKUP($U$132,'TAR FIN'!$A$1:$O$113,15,0))</f>
        <v>278.67</v>
      </c>
      <c r="Y132" s="6">
        <f ca="1">('TUSD BE'!$AM$15+'TUSD BF'!$AM$15+'TUSD CVA'!$AM$15)*1</f>
        <v>16.035953923331604</v>
      </c>
      <c r="Z132" s="6">
        <f ca="1">('TUSD BE'!$AM$16+'TUSD BF'!$AM$16+'TUSD CVA'!$AM$16)*1</f>
        <v>122.14055331663396</v>
      </c>
      <c r="AA132" s="6">
        <f>('TE BE'!$AB$10+'TE BF'!$AB$10+'TE CVA'!$AB$10)*1</f>
        <v>299.18055042718134</v>
      </c>
      <c r="AB132" s="6">
        <f>$K$132*$V$132</f>
        <v>10052</v>
      </c>
      <c r="AC132" s="6">
        <f>$M$132*$W$132</f>
        <v>20865.707850000003</v>
      </c>
      <c r="AD132" s="6">
        <f>$O$132*$X$132</f>
        <v>80591.085330000002</v>
      </c>
      <c r="AE132" s="6">
        <f ca="1">$K$132*$Y$132</f>
        <v>11513.814916952091</v>
      </c>
      <c r="AF132" s="6">
        <f ca="1">$M$132*$Z$132</f>
        <v>35322.925878617221</v>
      </c>
      <c r="AG132" s="6">
        <f>$O$132*$AA$132</f>
        <v>86522.716002990419</v>
      </c>
    </row>
    <row r="133" spans="1:33" ht="11.25" customHeight="1" x14ac:dyDescent="0.3">
      <c r="A133" s="4" t="s">
        <v>53</v>
      </c>
      <c r="B133" s="4" t="s">
        <v>39</v>
      </c>
      <c r="C133" s="4" t="s">
        <v>40</v>
      </c>
      <c r="D133" s="4" t="s">
        <v>38</v>
      </c>
      <c r="E133" s="4" t="s">
        <v>25</v>
      </c>
      <c r="F133" s="4" t="s">
        <v>25</v>
      </c>
      <c r="G133" s="4" t="s">
        <v>25</v>
      </c>
      <c r="H133" s="4" t="s">
        <v>35</v>
      </c>
      <c r="I133" s="5">
        <v>44835</v>
      </c>
      <c r="J133" s="6">
        <v>12172</v>
      </c>
      <c r="K133" s="6">
        <v>12172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4" t="s">
        <v>55</v>
      </c>
      <c r="R133" s="4">
        <v>0</v>
      </c>
      <c r="S133" s="6">
        <v>22</v>
      </c>
      <c r="T133" s="6">
        <v>0</v>
      </c>
      <c r="U133" s="6">
        <v>0</v>
      </c>
      <c r="V133" s="6">
        <f>IF(ISERROR(VLOOKUP($S$133,'TAR FIN'!$A$1:$O$113,15,0)),0,VLOOKUP($S$133,'TAR FIN'!$A$1:$O$113,15,0))</f>
        <v>14</v>
      </c>
      <c r="W133" s="6">
        <f>IF(ISERROR(VLOOKUP($T$133,'TAR FIN'!$A$1:$O$113,15,0)),0,VLOOKUP($T$133,'TAR FIN'!$A$1:$O$113,15,0))</f>
        <v>0</v>
      </c>
      <c r="X133" s="6">
        <f>IF(ISERROR(VLOOKUP($U$133,'TAR FIN'!$A$1:$O$113,15,0)),0,VLOOKUP($U$133,'TAR FIN'!$A$1:$O$113,15,0))</f>
        <v>0</v>
      </c>
      <c r="Y133" s="6">
        <f ca="1">('TUSD BE'!$AM$15+'TUSD BF'!$AM$15+'TUSD CVA'!$AM$15)*1</f>
        <v>16.035953923331604</v>
      </c>
      <c r="Z133" s="6">
        <f ca="1">('TUSD BE'!$AM$16+'TUSD BF'!$AM$16+'TUSD CVA'!$AM$16)*1</f>
        <v>122.14055331663396</v>
      </c>
      <c r="AA133" s="6"/>
      <c r="AB133" s="6">
        <f>$K$133*$V$133</f>
        <v>170408</v>
      </c>
      <c r="AC133" s="6">
        <f>$M$133*$W$133</f>
        <v>0</v>
      </c>
      <c r="AD133" s="6">
        <f>$O$133*$X$133</f>
        <v>0</v>
      </c>
      <c r="AE133" s="6">
        <f ca="1">$K$133*$Y$133</f>
        <v>195189.6311547923</v>
      </c>
      <c r="AF133" s="6">
        <f ca="1">$M$133*$Z$133</f>
        <v>0</v>
      </c>
      <c r="AG133" s="6">
        <f>$O$133*$AA$133</f>
        <v>0</v>
      </c>
    </row>
    <row r="134" spans="1:33" ht="11.25" customHeight="1" x14ac:dyDescent="0.3">
      <c r="A134" s="4" t="s">
        <v>21</v>
      </c>
      <c r="B134" s="4" t="s">
        <v>39</v>
      </c>
      <c r="C134" s="4" t="s">
        <v>40</v>
      </c>
      <c r="D134" s="4" t="s">
        <v>38</v>
      </c>
      <c r="E134" s="4" t="s">
        <v>25</v>
      </c>
      <c r="F134" s="4" t="s">
        <v>25</v>
      </c>
      <c r="G134" s="4" t="s">
        <v>25</v>
      </c>
      <c r="H134" s="4" t="s">
        <v>25</v>
      </c>
      <c r="I134" s="5">
        <v>44501</v>
      </c>
      <c r="J134" s="6">
        <v>0</v>
      </c>
      <c r="K134" s="6">
        <v>0</v>
      </c>
      <c r="L134" s="6">
        <v>7162.64</v>
      </c>
      <c r="M134" s="6">
        <v>7162.64</v>
      </c>
      <c r="N134" s="6">
        <v>0</v>
      </c>
      <c r="O134" s="6">
        <v>0</v>
      </c>
      <c r="P134" s="6">
        <v>2</v>
      </c>
      <c r="Q134" s="4" t="s">
        <v>55</v>
      </c>
      <c r="R134" s="4">
        <v>0</v>
      </c>
      <c r="S134" s="6">
        <v>0</v>
      </c>
      <c r="T134" s="6">
        <v>12</v>
      </c>
      <c r="U134" s="6">
        <v>0</v>
      </c>
      <c r="V134" s="6">
        <f>IF(ISERROR(VLOOKUP($S$134,'TAR FIN'!$A$1:$O$113,15,0)),0,VLOOKUP($S$134,'TAR FIN'!$A$1:$O$113,15,0))</f>
        <v>0</v>
      </c>
      <c r="W134" s="6">
        <f>IF(ISERROR(VLOOKUP($T$134,'TAR FIN'!$A$1:$O$113,15,0)),0,VLOOKUP($T$134,'TAR FIN'!$A$1:$O$113,15,0))</f>
        <v>72.150000000000006</v>
      </c>
      <c r="X134" s="6">
        <f>IF(ISERROR(VLOOKUP($U$134,'TAR FIN'!$A$1:$O$113,15,0)),0,VLOOKUP($U$134,'TAR FIN'!$A$1:$O$113,15,0))</f>
        <v>0</v>
      </c>
      <c r="Y134" s="6"/>
      <c r="Z134" s="6">
        <f ca="1">('TUSD BE'!$AM$16+'TUSD BF'!$AM$16+'TUSD CVA'!$AM$16)*1</f>
        <v>122.14055331663396</v>
      </c>
      <c r="AA134" s="6"/>
      <c r="AB134" s="6">
        <f>$K$134*$V$134</f>
        <v>0</v>
      </c>
      <c r="AC134" s="6">
        <f>$M$134*$W$134</f>
        <v>516784.47600000008</v>
      </c>
      <c r="AD134" s="6">
        <f>$O$134*$X$134</f>
        <v>0</v>
      </c>
      <c r="AE134" s="6">
        <f>$K$134*$Y$134</f>
        <v>0</v>
      </c>
      <c r="AF134" s="6">
        <f ca="1">$M$134*$Z$134</f>
        <v>874848.81280785508</v>
      </c>
      <c r="AG134" s="6">
        <f>$O$134*$AA$134</f>
        <v>0</v>
      </c>
    </row>
    <row r="135" spans="1:33" ht="11.25" customHeight="1" x14ac:dyDescent="0.3">
      <c r="A135" s="4" t="s">
        <v>21</v>
      </c>
      <c r="B135" s="4" t="s">
        <v>39</v>
      </c>
      <c r="C135" s="4" t="s">
        <v>40</v>
      </c>
      <c r="D135" s="4" t="s">
        <v>38</v>
      </c>
      <c r="E135" s="4" t="s">
        <v>25</v>
      </c>
      <c r="F135" s="4" t="s">
        <v>25</v>
      </c>
      <c r="G135" s="4" t="s">
        <v>25</v>
      </c>
      <c r="H135" s="4" t="s">
        <v>25</v>
      </c>
      <c r="I135" s="5">
        <v>44531</v>
      </c>
      <c r="J135" s="6">
        <v>0</v>
      </c>
      <c r="K135" s="6">
        <v>0</v>
      </c>
      <c r="L135" s="6">
        <v>5818.6549999999997</v>
      </c>
      <c r="M135" s="6">
        <v>5818.6549999999997</v>
      </c>
      <c r="N135" s="6">
        <v>0</v>
      </c>
      <c r="O135" s="6">
        <v>0</v>
      </c>
      <c r="P135" s="6">
        <v>2</v>
      </c>
      <c r="Q135" s="4" t="s">
        <v>55</v>
      </c>
      <c r="R135" s="4">
        <v>0</v>
      </c>
      <c r="S135" s="6">
        <v>0</v>
      </c>
      <c r="T135" s="6">
        <v>12</v>
      </c>
      <c r="U135" s="6">
        <v>0</v>
      </c>
      <c r="V135" s="6">
        <f>IF(ISERROR(VLOOKUP($S$135,'TAR FIN'!$A$1:$O$113,15,0)),0,VLOOKUP($S$135,'TAR FIN'!$A$1:$O$113,15,0))</f>
        <v>0</v>
      </c>
      <c r="W135" s="6">
        <f>IF(ISERROR(VLOOKUP($T$135,'TAR FIN'!$A$1:$O$113,15,0)),0,VLOOKUP($T$135,'TAR FIN'!$A$1:$O$113,15,0))</f>
        <v>72.150000000000006</v>
      </c>
      <c r="X135" s="6">
        <f>IF(ISERROR(VLOOKUP($U$135,'TAR FIN'!$A$1:$O$113,15,0)),0,VLOOKUP($U$135,'TAR FIN'!$A$1:$O$113,15,0))</f>
        <v>0</v>
      </c>
      <c r="Y135" s="6"/>
      <c r="Z135" s="6">
        <f ca="1">('TUSD BE'!$AM$16+'TUSD BF'!$AM$16+'TUSD CVA'!$AM$16)*1</f>
        <v>122.14055331663396</v>
      </c>
      <c r="AA135" s="6"/>
      <c r="AB135" s="6">
        <f>$K$135*$V$135</f>
        <v>0</v>
      </c>
      <c r="AC135" s="6">
        <f>$M$135*$W$135</f>
        <v>419815.95825000003</v>
      </c>
      <c r="AD135" s="6">
        <f>$O$135*$X$135</f>
        <v>0</v>
      </c>
      <c r="AE135" s="6">
        <f>$K$135*$Y$135</f>
        <v>0</v>
      </c>
      <c r="AF135" s="6">
        <f ca="1">$M$135*$Z$135</f>
        <v>710693.74125859875</v>
      </c>
      <c r="AG135" s="6">
        <f>$O$135*$AA$135</f>
        <v>0</v>
      </c>
    </row>
    <row r="136" spans="1:33" ht="11.25" customHeight="1" x14ac:dyDescent="0.3">
      <c r="A136" s="4" t="s">
        <v>21</v>
      </c>
      <c r="B136" s="4" t="s">
        <v>39</v>
      </c>
      <c r="C136" s="4" t="s">
        <v>40</v>
      </c>
      <c r="D136" s="4" t="s">
        <v>38</v>
      </c>
      <c r="E136" s="4" t="s">
        <v>25</v>
      </c>
      <c r="F136" s="4" t="s">
        <v>25</v>
      </c>
      <c r="G136" s="4" t="s">
        <v>25</v>
      </c>
      <c r="H136" s="4" t="s">
        <v>25</v>
      </c>
      <c r="I136" s="5">
        <v>44562</v>
      </c>
      <c r="J136" s="6">
        <v>0</v>
      </c>
      <c r="K136" s="6">
        <v>0</v>
      </c>
      <c r="L136" s="6">
        <v>6211.3980000000001</v>
      </c>
      <c r="M136" s="6">
        <v>6211.3980000000001</v>
      </c>
      <c r="N136" s="6">
        <v>0</v>
      </c>
      <c r="O136" s="6">
        <v>0</v>
      </c>
      <c r="P136" s="6">
        <v>2</v>
      </c>
      <c r="Q136" s="4" t="s">
        <v>55</v>
      </c>
      <c r="R136" s="4">
        <v>0</v>
      </c>
      <c r="S136" s="6">
        <v>0</v>
      </c>
      <c r="T136" s="6">
        <v>12</v>
      </c>
      <c r="U136" s="6">
        <v>0</v>
      </c>
      <c r="V136" s="6">
        <f>IF(ISERROR(VLOOKUP($S$136,'TAR FIN'!$A$1:$O$113,15,0)),0,VLOOKUP($S$136,'TAR FIN'!$A$1:$O$113,15,0))</f>
        <v>0</v>
      </c>
      <c r="W136" s="6">
        <f>IF(ISERROR(VLOOKUP($T$136,'TAR FIN'!$A$1:$O$113,15,0)),0,VLOOKUP($T$136,'TAR FIN'!$A$1:$O$113,15,0))</f>
        <v>72.150000000000006</v>
      </c>
      <c r="X136" s="6">
        <f>IF(ISERROR(VLOOKUP($U$136,'TAR FIN'!$A$1:$O$113,15,0)),0,VLOOKUP($U$136,'TAR FIN'!$A$1:$O$113,15,0))</f>
        <v>0</v>
      </c>
      <c r="Y136" s="6"/>
      <c r="Z136" s="6">
        <f ca="1">('TUSD BE'!$AM$16+'TUSD BF'!$AM$16+'TUSD CVA'!$AM$16)*1</f>
        <v>122.14055331663396</v>
      </c>
      <c r="AA136" s="6"/>
      <c r="AB136" s="6">
        <f>$K$136*$V$136</f>
        <v>0</v>
      </c>
      <c r="AC136" s="6">
        <f>$M$136*$W$136</f>
        <v>448152.36570000002</v>
      </c>
      <c r="AD136" s="6">
        <f>$O$136*$X$136</f>
        <v>0</v>
      </c>
      <c r="AE136" s="6">
        <f>$K$136*$Y$136</f>
        <v>0</v>
      </c>
      <c r="AF136" s="6">
        <f ca="1">$M$136*$Z$136</f>
        <v>758663.58858983358</v>
      </c>
      <c r="AG136" s="6">
        <f>$O$136*$AA$136</f>
        <v>0</v>
      </c>
    </row>
    <row r="137" spans="1:33" ht="11.25" customHeight="1" x14ac:dyDescent="0.3">
      <c r="A137" s="4" t="s">
        <v>21</v>
      </c>
      <c r="B137" s="4" t="s">
        <v>39</v>
      </c>
      <c r="C137" s="4" t="s">
        <v>40</v>
      </c>
      <c r="D137" s="4" t="s">
        <v>38</v>
      </c>
      <c r="E137" s="4" t="s">
        <v>25</v>
      </c>
      <c r="F137" s="4" t="s">
        <v>25</v>
      </c>
      <c r="G137" s="4" t="s">
        <v>25</v>
      </c>
      <c r="H137" s="4" t="s">
        <v>25</v>
      </c>
      <c r="I137" s="5">
        <v>44593</v>
      </c>
      <c r="J137" s="6">
        <v>0</v>
      </c>
      <c r="K137" s="6">
        <v>0</v>
      </c>
      <c r="L137" s="6">
        <v>5905.0879999999997</v>
      </c>
      <c r="M137" s="6">
        <v>5905.0879999999997</v>
      </c>
      <c r="N137" s="6">
        <v>0</v>
      </c>
      <c r="O137" s="6">
        <v>0</v>
      </c>
      <c r="P137" s="6">
        <v>2</v>
      </c>
      <c r="Q137" s="4" t="s">
        <v>55</v>
      </c>
      <c r="R137" s="4">
        <v>0</v>
      </c>
      <c r="S137" s="6">
        <v>0</v>
      </c>
      <c r="T137" s="6">
        <v>12</v>
      </c>
      <c r="U137" s="6">
        <v>0</v>
      </c>
      <c r="V137" s="6">
        <f>IF(ISERROR(VLOOKUP($S$137,'TAR FIN'!$A$1:$O$113,15,0)),0,VLOOKUP($S$137,'TAR FIN'!$A$1:$O$113,15,0))</f>
        <v>0</v>
      </c>
      <c r="W137" s="6">
        <f>IF(ISERROR(VLOOKUP($T$137,'TAR FIN'!$A$1:$O$113,15,0)),0,VLOOKUP($T$137,'TAR FIN'!$A$1:$O$113,15,0))</f>
        <v>72.150000000000006</v>
      </c>
      <c r="X137" s="6">
        <f>IF(ISERROR(VLOOKUP($U$137,'TAR FIN'!$A$1:$O$113,15,0)),0,VLOOKUP($U$137,'TAR FIN'!$A$1:$O$113,15,0))</f>
        <v>0</v>
      </c>
      <c r="Y137" s="6"/>
      <c r="Z137" s="6">
        <f ca="1">('TUSD BE'!$AM$16+'TUSD BF'!$AM$16+'TUSD CVA'!$AM$16)*1</f>
        <v>122.14055331663396</v>
      </c>
      <c r="AA137" s="6"/>
      <c r="AB137" s="6">
        <f>$K$137*$V$137</f>
        <v>0</v>
      </c>
      <c r="AC137" s="6">
        <f>$M$137*$W$137</f>
        <v>426052.0992</v>
      </c>
      <c r="AD137" s="6">
        <f>$O$137*$X$137</f>
        <v>0</v>
      </c>
      <c r="AE137" s="6">
        <f>$K$137*$Y$137</f>
        <v>0</v>
      </c>
      <c r="AF137" s="6">
        <f ca="1">$M$137*$Z$137</f>
        <v>721250.71570341534</v>
      </c>
      <c r="AG137" s="6">
        <f>$O$137*$AA$137</f>
        <v>0</v>
      </c>
    </row>
    <row r="138" spans="1:33" ht="11.25" customHeight="1" x14ac:dyDescent="0.3">
      <c r="A138" s="4" t="s">
        <v>21</v>
      </c>
      <c r="B138" s="4" t="s">
        <v>39</v>
      </c>
      <c r="C138" s="4" t="s">
        <v>40</v>
      </c>
      <c r="D138" s="4" t="s">
        <v>38</v>
      </c>
      <c r="E138" s="4" t="s">
        <v>25</v>
      </c>
      <c r="F138" s="4" t="s">
        <v>25</v>
      </c>
      <c r="G138" s="4" t="s">
        <v>25</v>
      </c>
      <c r="H138" s="4" t="s">
        <v>25</v>
      </c>
      <c r="I138" s="5">
        <v>44621</v>
      </c>
      <c r="J138" s="6">
        <v>0</v>
      </c>
      <c r="K138" s="6">
        <v>0</v>
      </c>
      <c r="L138" s="6">
        <v>5358.7650000000003</v>
      </c>
      <c r="M138" s="6">
        <v>5358.7650000000003</v>
      </c>
      <c r="N138" s="6">
        <v>0</v>
      </c>
      <c r="O138" s="6">
        <v>0</v>
      </c>
      <c r="P138" s="6">
        <v>2</v>
      </c>
      <c r="Q138" s="4" t="s">
        <v>55</v>
      </c>
      <c r="R138" s="4">
        <v>0</v>
      </c>
      <c r="S138" s="6">
        <v>0</v>
      </c>
      <c r="T138" s="6">
        <v>12</v>
      </c>
      <c r="U138" s="6">
        <v>0</v>
      </c>
      <c r="V138" s="6">
        <f>IF(ISERROR(VLOOKUP($S$138,'TAR FIN'!$A$1:$O$113,15,0)),0,VLOOKUP($S$138,'TAR FIN'!$A$1:$O$113,15,0))</f>
        <v>0</v>
      </c>
      <c r="W138" s="6">
        <f>IF(ISERROR(VLOOKUP($T$138,'TAR FIN'!$A$1:$O$113,15,0)),0,VLOOKUP($T$138,'TAR FIN'!$A$1:$O$113,15,0))</f>
        <v>72.150000000000006</v>
      </c>
      <c r="X138" s="6">
        <f>IF(ISERROR(VLOOKUP($U$138,'TAR FIN'!$A$1:$O$113,15,0)),0,VLOOKUP($U$138,'TAR FIN'!$A$1:$O$113,15,0))</f>
        <v>0</v>
      </c>
      <c r="Y138" s="6"/>
      <c r="Z138" s="6">
        <f ca="1">('TUSD BE'!$AM$16+'TUSD BF'!$AM$16+'TUSD CVA'!$AM$16)*1</f>
        <v>122.14055331663396</v>
      </c>
      <c r="AA138" s="6"/>
      <c r="AB138" s="6">
        <f>$K$138*$V$138</f>
        <v>0</v>
      </c>
      <c r="AC138" s="6">
        <f>$M$138*$W$138</f>
        <v>386634.89475000004</v>
      </c>
      <c r="AD138" s="6">
        <f>$O$138*$X$138</f>
        <v>0</v>
      </c>
      <c r="AE138" s="6">
        <f>$K$138*$Y$138</f>
        <v>0</v>
      </c>
      <c r="AF138" s="6">
        <f ca="1">$M$138*$Z$138</f>
        <v>654522.52219381195</v>
      </c>
      <c r="AG138" s="6">
        <f>$O$138*$AA$138</f>
        <v>0</v>
      </c>
    </row>
    <row r="139" spans="1:33" ht="11.25" customHeight="1" x14ac:dyDescent="0.3">
      <c r="A139" s="4" t="s">
        <v>21</v>
      </c>
      <c r="B139" s="4" t="s">
        <v>39</v>
      </c>
      <c r="C139" s="4" t="s">
        <v>40</v>
      </c>
      <c r="D139" s="4" t="s">
        <v>38</v>
      </c>
      <c r="E139" s="4" t="s">
        <v>25</v>
      </c>
      <c r="F139" s="4" t="s">
        <v>25</v>
      </c>
      <c r="G139" s="4" t="s">
        <v>25</v>
      </c>
      <c r="H139" s="4" t="s">
        <v>25</v>
      </c>
      <c r="I139" s="5">
        <v>44652</v>
      </c>
      <c r="J139" s="6">
        <v>0</v>
      </c>
      <c r="K139" s="6">
        <v>0</v>
      </c>
      <c r="L139" s="6">
        <v>5838.027</v>
      </c>
      <c r="M139" s="6">
        <v>5838.027</v>
      </c>
      <c r="N139" s="6">
        <v>0</v>
      </c>
      <c r="O139" s="6">
        <v>0</v>
      </c>
      <c r="P139" s="6">
        <v>2</v>
      </c>
      <c r="Q139" s="4" t="s">
        <v>55</v>
      </c>
      <c r="R139" s="4">
        <v>0</v>
      </c>
      <c r="S139" s="6">
        <v>0</v>
      </c>
      <c r="T139" s="6">
        <v>12</v>
      </c>
      <c r="U139" s="6">
        <v>0</v>
      </c>
      <c r="V139" s="6">
        <f>IF(ISERROR(VLOOKUP($S$139,'TAR FIN'!$A$1:$O$113,15,0)),0,VLOOKUP($S$139,'TAR FIN'!$A$1:$O$113,15,0))</f>
        <v>0</v>
      </c>
      <c r="W139" s="6">
        <f>IF(ISERROR(VLOOKUP($T$139,'TAR FIN'!$A$1:$O$113,15,0)),0,VLOOKUP($T$139,'TAR FIN'!$A$1:$O$113,15,0))</f>
        <v>72.150000000000006</v>
      </c>
      <c r="X139" s="6">
        <f>IF(ISERROR(VLOOKUP($U$139,'TAR FIN'!$A$1:$O$113,15,0)),0,VLOOKUP($U$139,'TAR FIN'!$A$1:$O$113,15,0))</f>
        <v>0</v>
      </c>
      <c r="Y139" s="6"/>
      <c r="Z139" s="6">
        <f ca="1">('TUSD BE'!$AM$16+'TUSD BF'!$AM$16+'TUSD CVA'!$AM$16)*1</f>
        <v>122.14055331663396</v>
      </c>
      <c r="AA139" s="6"/>
      <c r="AB139" s="6">
        <f>$K$139*$V$139</f>
        <v>0</v>
      </c>
      <c r="AC139" s="6">
        <f>$M$139*$W$139</f>
        <v>421213.64805000002</v>
      </c>
      <c r="AD139" s="6">
        <f>$O$139*$X$139</f>
        <v>0</v>
      </c>
      <c r="AE139" s="6">
        <f>$K$139*$Y$139</f>
        <v>0</v>
      </c>
      <c r="AF139" s="6">
        <f ca="1">$M$139*$Z$139</f>
        <v>713059.84805744863</v>
      </c>
      <c r="AG139" s="6">
        <f>$O$139*$AA$139</f>
        <v>0</v>
      </c>
    </row>
    <row r="140" spans="1:33" ht="11.25" customHeight="1" x14ac:dyDescent="0.3">
      <c r="A140" s="4" t="s">
        <v>21</v>
      </c>
      <c r="B140" s="4" t="s">
        <v>39</v>
      </c>
      <c r="C140" s="4" t="s">
        <v>40</v>
      </c>
      <c r="D140" s="4" t="s">
        <v>38</v>
      </c>
      <c r="E140" s="4" t="s">
        <v>25</v>
      </c>
      <c r="F140" s="4" t="s">
        <v>25</v>
      </c>
      <c r="G140" s="4" t="s">
        <v>25</v>
      </c>
      <c r="H140" s="4" t="s">
        <v>25</v>
      </c>
      <c r="I140" s="5">
        <v>44682</v>
      </c>
      <c r="J140" s="6">
        <v>0</v>
      </c>
      <c r="K140" s="6">
        <v>0</v>
      </c>
      <c r="L140" s="6">
        <v>6169.2280000000001</v>
      </c>
      <c r="M140" s="6">
        <v>6169.2280000000001</v>
      </c>
      <c r="N140" s="6">
        <v>0</v>
      </c>
      <c r="O140" s="6">
        <v>0</v>
      </c>
      <c r="P140" s="6">
        <v>2</v>
      </c>
      <c r="Q140" s="4" t="s">
        <v>55</v>
      </c>
      <c r="R140" s="4">
        <v>0</v>
      </c>
      <c r="S140" s="6">
        <v>0</v>
      </c>
      <c r="T140" s="6">
        <v>12</v>
      </c>
      <c r="U140" s="6">
        <v>0</v>
      </c>
      <c r="V140" s="6">
        <f>IF(ISERROR(VLOOKUP($S$140,'TAR FIN'!$A$1:$O$113,15,0)),0,VLOOKUP($S$140,'TAR FIN'!$A$1:$O$113,15,0))</f>
        <v>0</v>
      </c>
      <c r="W140" s="6">
        <f>IF(ISERROR(VLOOKUP($T$140,'TAR FIN'!$A$1:$O$113,15,0)),0,VLOOKUP($T$140,'TAR FIN'!$A$1:$O$113,15,0))</f>
        <v>72.150000000000006</v>
      </c>
      <c r="X140" s="6">
        <f>IF(ISERROR(VLOOKUP($U$140,'TAR FIN'!$A$1:$O$113,15,0)),0,VLOOKUP($U$140,'TAR FIN'!$A$1:$O$113,15,0))</f>
        <v>0</v>
      </c>
      <c r="Y140" s="6"/>
      <c r="Z140" s="6">
        <f ca="1">('TUSD BE'!$AM$16+'TUSD BF'!$AM$16+'TUSD CVA'!$AM$16)*1</f>
        <v>122.14055331663396</v>
      </c>
      <c r="AA140" s="6"/>
      <c r="AB140" s="6">
        <f>$K$140*$V$140</f>
        <v>0</v>
      </c>
      <c r="AC140" s="6">
        <f>$M$140*$W$140</f>
        <v>445109.80020000006</v>
      </c>
      <c r="AD140" s="6">
        <f>$O$140*$X$140</f>
        <v>0</v>
      </c>
      <c r="AE140" s="6">
        <f>$K$140*$Y$140</f>
        <v>0</v>
      </c>
      <c r="AF140" s="6">
        <f ca="1">$M$140*$Z$140</f>
        <v>753512.92145647109</v>
      </c>
      <c r="AG140" s="6">
        <f>$O$140*$AA$140</f>
        <v>0</v>
      </c>
    </row>
    <row r="141" spans="1:33" ht="11.25" customHeight="1" x14ac:dyDescent="0.3">
      <c r="A141" s="4" t="s">
        <v>21</v>
      </c>
      <c r="B141" s="4" t="s">
        <v>39</v>
      </c>
      <c r="C141" s="4" t="s">
        <v>40</v>
      </c>
      <c r="D141" s="4" t="s">
        <v>38</v>
      </c>
      <c r="E141" s="4" t="s">
        <v>25</v>
      </c>
      <c r="F141" s="4" t="s">
        <v>25</v>
      </c>
      <c r="G141" s="4" t="s">
        <v>25</v>
      </c>
      <c r="H141" s="4" t="s">
        <v>25</v>
      </c>
      <c r="I141" s="5">
        <v>44713</v>
      </c>
      <c r="J141" s="6">
        <v>0</v>
      </c>
      <c r="K141" s="6">
        <v>0</v>
      </c>
      <c r="L141" s="6">
        <v>6457.0630000000001</v>
      </c>
      <c r="M141" s="6">
        <v>6457.0630000000001</v>
      </c>
      <c r="N141" s="6">
        <v>0</v>
      </c>
      <c r="O141" s="6">
        <v>0</v>
      </c>
      <c r="P141" s="6">
        <v>2</v>
      </c>
      <c r="Q141" s="4" t="s">
        <v>55</v>
      </c>
      <c r="R141" s="4">
        <v>0</v>
      </c>
      <c r="S141" s="6">
        <v>0</v>
      </c>
      <c r="T141" s="6">
        <v>12</v>
      </c>
      <c r="U141" s="6">
        <v>0</v>
      </c>
      <c r="V141" s="6">
        <f>IF(ISERROR(VLOOKUP($S$141,'TAR FIN'!$A$1:$O$113,15,0)),0,VLOOKUP($S$141,'TAR FIN'!$A$1:$O$113,15,0))</f>
        <v>0</v>
      </c>
      <c r="W141" s="6">
        <f>IF(ISERROR(VLOOKUP($T$141,'TAR FIN'!$A$1:$O$113,15,0)),0,VLOOKUP($T$141,'TAR FIN'!$A$1:$O$113,15,0))</f>
        <v>72.150000000000006</v>
      </c>
      <c r="X141" s="6">
        <f>IF(ISERROR(VLOOKUP($U$141,'TAR FIN'!$A$1:$O$113,15,0)),0,VLOOKUP($U$141,'TAR FIN'!$A$1:$O$113,15,0))</f>
        <v>0</v>
      </c>
      <c r="Y141" s="6"/>
      <c r="Z141" s="6">
        <f ca="1">('TUSD BE'!$AM$16+'TUSD BF'!$AM$16+'TUSD CVA'!$AM$16)*1</f>
        <v>122.14055331663396</v>
      </c>
      <c r="AA141" s="6"/>
      <c r="AB141" s="6">
        <f>$K$141*$V$141</f>
        <v>0</v>
      </c>
      <c r="AC141" s="6">
        <f>$M$141*$W$141</f>
        <v>465877.09545000002</v>
      </c>
      <c r="AD141" s="6">
        <f>$O$141*$X$141</f>
        <v>0</v>
      </c>
      <c r="AE141" s="6">
        <f>$K$141*$Y$141</f>
        <v>0</v>
      </c>
      <c r="AF141" s="6">
        <f ca="1">$M$141*$Z$141</f>
        <v>788669.24762036442</v>
      </c>
      <c r="AG141" s="6">
        <f>$O$141*$AA$141</f>
        <v>0</v>
      </c>
    </row>
    <row r="142" spans="1:33" ht="11.25" customHeight="1" x14ac:dyDescent="0.3">
      <c r="A142" s="4" t="s">
        <v>21</v>
      </c>
      <c r="B142" s="4" t="s">
        <v>39</v>
      </c>
      <c r="C142" s="4" t="s">
        <v>40</v>
      </c>
      <c r="D142" s="4" t="s">
        <v>38</v>
      </c>
      <c r="E142" s="4" t="s">
        <v>25</v>
      </c>
      <c r="F142" s="4" t="s">
        <v>25</v>
      </c>
      <c r="G142" s="4" t="s">
        <v>25</v>
      </c>
      <c r="H142" s="4" t="s">
        <v>25</v>
      </c>
      <c r="I142" s="5">
        <v>44743</v>
      </c>
      <c r="J142" s="6">
        <v>0</v>
      </c>
      <c r="K142" s="6">
        <v>0</v>
      </c>
      <c r="L142" s="6">
        <v>6208.5990000000002</v>
      </c>
      <c r="M142" s="6">
        <v>6208.5990000000002</v>
      </c>
      <c r="N142" s="6">
        <v>0</v>
      </c>
      <c r="O142" s="6">
        <v>0</v>
      </c>
      <c r="P142" s="6">
        <v>2</v>
      </c>
      <c r="Q142" s="4" t="s">
        <v>55</v>
      </c>
      <c r="R142" s="4">
        <v>0</v>
      </c>
      <c r="S142" s="6">
        <v>0</v>
      </c>
      <c r="T142" s="6">
        <v>12</v>
      </c>
      <c r="U142" s="6">
        <v>0</v>
      </c>
      <c r="V142" s="6">
        <f>IF(ISERROR(VLOOKUP($S$142,'TAR FIN'!$A$1:$O$113,15,0)),0,VLOOKUP($S$142,'TAR FIN'!$A$1:$O$113,15,0))</f>
        <v>0</v>
      </c>
      <c r="W142" s="6">
        <f>IF(ISERROR(VLOOKUP($T$142,'TAR FIN'!$A$1:$O$113,15,0)),0,VLOOKUP($T$142,'TAR FIN'!$A$1:$O$113,15,0))</f>
        <v>72.150000000000006</v>
      </c>
      <c r="X142" s="6">
        <f>IF(ISERROR(VLOOKUP($U$142,'TAR FIN'!$A$1:$O$113,15,0)),0,VLOOKUP($U$142,'TAR FIN'!$A$1:$O$113,15,0))</f>
        <v>0</v>
      </c>
      <c r="Y142" s="6"/>
      <c r="Z142" s="6">
        <f ca="1">('TUSD BE'!$AM$16+'TUSD BF'!$AM$16+'TUSD CVA'!$AM$16)*1</f>
        <v>122.14055331663396</v>
      </c>
      <c r="AA142" s="6"/>
      <c r="AB142" s="6">
        <f>$K$142*$V$142</f>
        <v>0</v>
      </c>
      <c r="AC142" s="6">
        <f>$M$142*$W$142</f>
        <v>447950.41785000003</v>
      </c>
      <c r="AD142" s="6">
        <f>$O$142*$X$142</f>
        <v>0</v>
      </c>
      <c r="AE142" s="6">
        <f>$K$142*$Y$142</f>
        <v>0</v>
      </c>
      <c r="AF142" s="6">
        <f ca="1">$M$142*$Z$142</f>
        <v>758321.71718110028</v>
      </c>
      <c r="AG142" s="6">
        <f>$O$142*$AA$142</f>
        <v>0</v>
      </c>
    </row>
    <row r="143" spans="1:33" ht="11.25" customHeight="1" x14ac:dyDescent="0.3">
      <c r="A143" s="4" t="s">
        <v>21</v>
      </c>
      <c r="B143" s="4" t="s">
        <v>39</v>
      </c>
      <c r="C143" s="4" t="s">
        <v>40</v>
      </c>
      <c r="D143" s="4" t="s">
        <v>38</v>
      </c>
      <c r="E143" s="4" t="s">
        <v>25</v>
      </c>
      <c r="F143" s="4" t="s">
        <v>25</v>
      </c>
      <c r="G143" s="4" t="s">
        <v>25</v>
      </c>
      <c r="H143" s="4" t="s">
        <v>25</v>
      </c>
      <c r="I143" s="5">
        <v>44774</v>
      </c>
      <c r="J143" s="6">
        <v>0</v>
      </c>
      <c r="K143" s="6">
        <v>0</v>
      </c>
      <c r="L143" s="6">
        <v>6185.0529999999999</v>
      </c>
      <c r="M143" s="6">
        <v>6185.0529999999999</v>
      </c>
      <c r="N143" s="6">
        <v>0</v>
      </c>
      <c r="O143" s="6">
        <v>0</v>
      </c>
      <c r="P143" s="6">
        <v>2</v>
      </c>
      <c r="Q143" s="4" t="s">
        <v>55</v>
      </c>
      <c r="R143" s="4">
        <v>0</v>
      </c>
      <c r="S143" s="6">
        <v>0</v>
      </c>
      <c r="T143" s="6">
        <v>12</v>
      </c>
      <c r="U143" s="6">
        <v>0</v>
      </c>
      <c r="V143" s="6">
        <f>IF(ISERROR(VLOOKUP($S$143,'TAR FIN'!$A$1:$O$113,15,0)),0,VLOOKUP($S$143,'TAR FIN'!$A$1:$O$113,15,0))</f>
        <v>0</v>
      </c>
      <c r="W143" s="6">
        <f>IF(ISERROR(VLOOKUP($T$143,'TAR FIN'!$A$1:$O$113,15,0)),0,VLOOKUP($T$143,'TAR FIN'!$A$1:$O$113,15,0))</f>
        <v>72.150000000000006</v>
      </c>
      <c r="X143" s="6">
        <f>IF(ISERROR(VLOOKUP($U$143,'TAR FIN'!$A$1:$O$113,15,0)),0,VLOOKUP($U$143,'TAR FIN'!$A$1:$O$113,15,0))</f>
        <v>0</v>
      </c>
      <c r="Y143" s="6"/>
      <c r="Z143" s="6">
        <f ca="1">('TUSD BE'!$AM$16+'TUSD BF'!$AM$16+'TUSD CVA'!$AM$16)*1</f>
        <v>122.14055331663396</v>
      </c>
      <c r="AA143" s="6"/>
      <c r="AB143" s="6">
        <f>$K$143*$V$143</f>
        <v>0</v>
      </c>
      <c r="AC143" s="6">
        <f>$M$143*$W$143</f>
        <v>446251.57395000005</v>
      </c>
      <c r="AD143" s="6">
        <f>$O$143*$X$143</f>
        <v>0</v>
      </c>
      <c r="AE143" s="6">
        <f>$K$143*$Y$143</f>
        <v>0</v>
      </c>
      <c r="AF143" s="6">
        <f ca="1">$M$143*$Z$143</f>
        <v>755445.79571270675</v>
      </c>
      <c r="AG143" s="6">
        <f>$O$143*$AA$143</f>
        <v>0</v>
      </c>
    </row>
    <row r="144" spans="1:33" ht="11.25" customHeight="1" x14ac:dyDescent="0.3">
      <c r="A144" s="4" t="s">
        <v>21</v>
      </c>
      <c r="B144" s="4" t="s">
        <v>39</v>
      </c>
      <c r="C144" s="4" t="s">
        <v>40</v>
      </c>
      <c r="D144" s="4" t="s">
        <v>38</v>
      </c>
      <c r="E144" s="4" t="s">
        <v>25</v>
      </c>
      <c r="F144" s="4" t="s">
        <v>25</v>
      </c>
      <c r="G144" s="4" t="s">
        <v>25</v>
      </c>
      <c r="H144" s="4" t="s">
        <v>25</v>
      </c>
      <c r="I144" s="5">
        <v>44805</v>
      </c>
      <c r="J144" s="6">
        <v>0</v>
      </c>
      <c r="K144" s="6">
        <v>0</v>
      </c>
      <c r="L144" s="6">
        <v>5556.5559999999996</v>
      </c>
      <c r="M144" s="6">
        <v>5556.5559999999996</v>
      </c>
      <c r="N144" s="6">
        <v>0</v>
      </c>
      <c r="O144" s="6">
        <v>0</v>
      </c>
      <c r="P144" s="6">
        <v>2</v>
      </c>
      <c r="Q144" s="4" t="s">
        <v>55</v>
      </c>
      <c r="R144" s="4">
        <v>0</v>
      </c>
      <c r="S144" s="6">
        <v>0</v>
      </c>
      <c r="T144" s="6">
        <v>12</v>
      </c>
      <c r="U144" s="6">
        <v>0</v>
      </c>
      <c r="V144" s="6">
        <f>IF(ISERROR(VLOOKUP($S$144,'TAR FIN'!$A$1:$O$113,15,0)),0,VLOOKUP($S$144,'TAR FIN'!$A$1:$O$113,15,0))</f>
        <v>0</v>
      </c>
      <c r="W144" s="6">
        <f>IF(ISERROR(VLOOKUP($T$144,'TAR FIN'!$A$1:$O$113,15,0)),0,VLOOKUP($T$144,'TAR FIN'!$A$1:$O$113,15,0))</f>
        <v>72.150000000000006</v>
      </c>
      <c r="X144" s="6">
        <f>IF(ISERROR(VLOOKUP($U$144,'TAR FIN'!$A$1:$O$113,15,0)),0,VLOOKUP($U$144,'TAR FIN'!$A$1:$O$113,15,0))</f>
        <v>0</v>
      </c>
      <c r="Y144" s="6"/>
      <c r="Z144" s="6">
        <f ca="1">('TUSD BE'!$AM$16+'TUSD BF'!$AM$16+'TUSD CVA'!$AM$16)*1</f>
        <v>122.14055331663396</v>
      </c>
      <c r="AA144" s="6"/>
      <c r="AB144" s="6">
        <f>$K$144*$V$144</f>
        <v>0</v>
      </c>
      <c r="AC144" s="6">
        <f>$M$144*$W$144</f>
        <v>400905.51539999997</v>
      </c>
      <c r="AD144" s="6">
        <f>$O$144*$X$144</f>
        <v>0</v>
      </c>
      <c r="AE144" s="6">
        <f>$K$144*$Y$144</f>
        <v>0</v>
      </c>
      <c r="AF144" s="6">
        <f ca="1">$M$144*$Z$144</f>
        <v>678680.82437486225</v>
      </c>
      <c r="AG144" s="6">
        <f>$O$144*$AA$144</f>
        <v>0</v>
      </c>
    </row>
    <row r="145" spans="1:33" ht="11.25" customHeight="1" x14ac:dyDescent="0.3">
      <c r="A145" s="4" t="s">
        <v>53</v>
      </c>
      <c r="B145" s="4" t="s">
        <v>39</v>
      </c>
      <c r="C145" s="4" t="s">
        <v>40</v>
      </c>
      <c r="D145" s="4" t="s">
        <v>38</v>
      </c>
      <c r="E145" s="4" t="s">
        <v>25</v>
      </c>
      <c r="F145" s="4" t="s">
        <v>25</v>
      </c>
      <c r="G145" s="4" t="s">
        <v>25</v>
      </c>
      <c r="H145" s="4" t="s">
        <v>25</v>
      </c>
      <c r="I145" s="5">
        <v>44835</v>
      </c>
      <c r="J145" s="6">
        <v>0</v>
      </c>
      <c r="K145" s="6">
        <v>0</v>
      </c>
      <c r="L145" s="6">
        <v>5556.5559999999996</v>
      </c>
      <c r="M145" s="6">
        <v>5556.5559999999996</v>
      </c>
      <c r="N145" s="6">
        <v>0</v>
      </c>
      <c r="O145" s="6">
        <v>0</v>
      </c>
      <c r="P145" s="6">
        <v>2</v>
      </c>
      <c r="Q145" s="4" t="s">
        <v>55</v>
      </c>
      <c r="R145" s="4">
        <v>0</v>
      </c>
      <c r="S145" s="6">
        <v>0</v>
      </c>
      <c r="T145" s="6">
        <v>12</v>
      </c>
      <c r="U145" s="6">
        <v>0</v>
      </c>
      <c r="V145" s="6">
        <f>IF(ISERROR(VLOOKUP($S$145,'TAR FIN'!$A$1:$O$113,15,0)),0,VLOOKUP($S$145,'TAR FIN'!$A$1:$O$113,15,0))</f>
        <v>0</v>
      </c>
      <c r="W145" s="6">
        <f>IF(ISERROR(VLOOKUP($T$145,'TAR FIN'!$A$1:$O$113,15,0)),0,VLOOKUP($T$145,'TAR FIN'!$A$1:$O$113,15,0))</f>
        <v>72.150000000000006</v>
      </c>
      <c r="X145" s="6">
        <f>IF(ISERROR(VLOOKUP($U$145,'TAR FIN'!$A$1:$O$113,15,0)),0,VLOOKUP($U$145,'TAR FIN'!$A$1:$O$113,15,0))</f>
        <v>0</v>
      </c>
      <c r="Y145" s="6"/>
      <c r="Z145" s="6">
        <f ca="1">('TUSD BE'!$AM$16+'TUSD BF'!$AM$16+'TUSD CVA'!$AM$16)*1</f>
        <v>122.14055331663396</v>
      </c>
      <c r="AA145" s="6"/>
      <c r="AB145" s="6">
        <f>$K$145*$V$145</f>
        <v>0</v>
      </c>
      <c r="AC145" s="6">
        <f>$M$145*$W$145</f>
        <v>400905.51539999997</v>
      </c>
      <c r="AD145" s="6">
        <f>$O$145*$X$145</f>
        <v>0</v>
      </c>
      <c r="AE145" s="6">
        <f>$K$145*$Y$145</f>
        <v>0</v>
      </c>
      <c r="AF145" s="6">
        <f ca="1">$M$145*$Z$145</f>
        <v>678680.82437486225</v>
      </c>
      <c r="AG145" s="6">
        <f>$O$145*$AA$145</f>
        <v>0</v>
      </c>
    </row>
    <row r="146" spans="1:33" ht="11.25" customHeight="1" x14ac:dyDescent="0.3">
      <c r="A146" s="4" t="s">
        <v>21</v>
      </c>
      <c r="B146" s="4" t="s">
        <v>39</v>
      </c>
      <c r="C146" s="4" t="s">
        <v>40</v>
      </c>
      <c r="D146" s="4" t="s">
        <v>38</v>
      </c>
      <c r="E146" s="4" t="s">
        <v>25</v>
      </c>
      <c r="F146" s="4" t="s">
        <v>25</v>
      </c>
      <c r="G146" s="4" t="s">
        <v>25</v>
      </c>
      <c r="H146" s="4" t="s">
        <v>34</v>
      </c>
      <c r="I146" s="5">
        <v>44501</v>
      </c>
      <c r="J146" s="6">
        <v>609</v>
      </c>
      <c r="K146" s="6">
        <v>609</v>
      </c>
      <c r="L146" s="6">
        <v>23.344999999999999</v>
      </c>
      <c r="M146" s="6">
        <v>23.344999999999999</v>
      </c>
      <c r="N146" s="6">
        <v>23.344999999999999</v>
      </c>
      <c r="O146" s="6">
        <v>23.344999999999999</v>
      </c>
      <c r="P146" s="6">
        <v>0</v>
      </c>
      <c r="Q146" s="4" t="s">
        <v>26</v>
      </c>
      <c r="R146" s="4">
        <v>0</v>
      </c>
      <c r="S146" s="6">
        <v>9</v>
      </c>
      <c r="T146" s="6">
        <v>12</v>
      </c>
      <c r="U146" s="6">
        <v>38</v>
      </c>
      <c r="V146" s="6">
        <f>IF(ISERROR(VLOOKUP($S$146,'TAR FIN'!$A$1:$O$113,15,0)),0,VLOOKUP($S$146,'TAR FIN'!$A$1:$O$113,15,0))</f>
        <v>35.76</v>
      </c>
      <c r="W146" s="6">
        <f>IF(ISERROR(VLOOKUP($T$146,'TAR FIN'!$A$1:$O$113,15,0)),0,VLOOKUP($T$146,'TAR FIN'!$A$1:$O$113,15,0))</f>
        <v>72.150000000000006</v>
      </c>
      <c r="X146" s="6">
        <f>IF(ISERROR(VLOOKUP($U$146,'TAR FIN'!$A$1:$O$113,15,0)),0,VLOOKUP($U$146,'TAR FIN'!$A$1:$O$113,15,0))</f>
        <v>442.86</v>
      </c>
      <c r="Y146" s="6">
        <f ca="1">('TUSD BE'!$AM$14+'TUSD BF'!$AM$14+'TUSD CVA'!$AM$14)*1</f>
        <v>40.963640769708675</v>
      </c>
      <c r="Z146" s="6">
        <f ca="1">('TUSD BE'!$AM$16+'TUSD BF'!$AM$16+'TUSD CVA'!$AM$16)*1</f>
        <v>122.14055331663396</v>
      </c>
      <c r="AA146" s="6">
        <f>('TE BE'!$AB$9+'TE BF'!$AB$9+'TE CVA'!$AB$9)*1</f>
        <v>486.43608405794748</v>
      </c>
      <c r="AB146" s="6">
        <f>$K$146*$V$146</f>
        <v>21777.84</v>
      </c>
      <c r="AC146" s="6">
        <f>$M$146*$W$146</f>
        <v>1684.34175</v>
      </c>
      <c r="AD146" s="6">
        <f>$O$146*$X$146</f>
        <v>10338.566699999999</v>
      </c>
      <c r="AE146" s="6">
        <f ca="1">$K$146*$Y$146</f>
        <v>24946.857228752582</v>
      </c>
      <c r="AF146" s="6">
        <f ca="1">$M$146*$Z$146</f>
        <v>2851.3712171768198</v>
      </c>
      <c r="AG146" s="6">
        <f>$O$146*$AA$146</f>
        <v>11355.850382332783</v>
      </c>
    </row>
    <row r="147" spans="1:33" ht="11.25" customHeight="1" x14ac:dyDescent="0.3">
      <c r="A147" s="4" t="s">
        <v>21</v>
      </c>
      <c r="B147" s="4" t="s">
        <v>39</v>
      </c>
      <c r="C147" s="4" t="s">
        <v>40</v>
      </c>
      <c r="D147" s="4" t="s">
        <v>38</v>
      </c>
      <c r="E147" s="4" t="s">
        <v>25</v>
      </c>
      <c r="F147" s="4" t="s">
        <v>25</v>
      </c>
      <c r="G147" s="4" t="s">
        <v>25</v>
      </c>
      <c r="H147" s="4" t="s">
        <v>34</v>
      </c>
      <c r="I147" s="5">
        <v>44501</v>
      </c>
      <c r="J147" s="6">
        <v>12435</v>
      </c>
      <c r="K147" s="6">
        <v>12435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4" t="s">
        <v>55</v>
      </c>
      <c r="R147" s="4">
        <v>0</v>
      </c>
      <c r="S147" s="6">
        <v>9</v>
      </c>
      <c r="T147" s="6">
        <v>0</v>
      </c>
      <c r="U147" s="6">
        <v>0</v>
      </c>
      <c r="V147" s="6">
        <f>IF(ISERROR(VLOOKUP($S$147,'TAR FIN'!$A$1:$O$113,15,0)),0,VLOOKUP($S$147,'TAR FIN'!$A$1:$O$113,15,0))</f>
        <v>35.76</v>
      </c>
      <c r="W147" s="6">
        <f>IF(ISERROR(VLOOKUP($T$147,'TAR FIN'!$A$1:$O$113,15,0)),0,VLOOKUP($T$147,'TAR FIN'!$A$1:$O$113,15,0))</f>
        <v>0</v>
      </c>
      <c r="X147" s="6">
        <f>IF(ISERROR(VLOOKUP($U$147,'TAR FIN'!$A$1:$O$113,15,0)),0,VLOOKUP($U$147,'TAR FIN'!$A$1:$O$113,15,0))</f>
        <v>0</v>
      </c>
      <c r="Y147" s="6">
        <f ca="1">('TUSD BE'!$AM$14+'TUSD BF'!$AM$14+'TUSD CVA'!$AM$14)*1</f>
        <v>40.963640769708675</v>
      </c>
      <c r="Z147" s="6">
        <f ca="1">('TUSD BE'!$AM$16+'TUSD BF'!$AM$16+'TUSD CVA'!$AM$16)*1</f>
        <v>122.14055331663396</v>
      </c>
      <c r="AA147" s="6"/>
      <c r="AB147" s="6">
        <f>$K$147*$V$147</f>
        <v>444675.6</v>
      </c>
      <c r="AC147" s="6">
        <f>$M$147*$W$147</f>
        <v>0</v>
      </c>
      <c r="AD147" s="6">
        <f>$O$147*$X$147</f>
        <v>0</v>
      </c>
      <c r="AE147" s="6">
        <f ca="1">$K$147*$Y$147</f>
        <v>509382.87297132739</v>
      </c>
      <c r="AF147" s="6">
        <f ca="1">$M$147*$Z$147</f>
        <v>0</v>
      </c>
      <c r="AG147" s="6">
        <f>$O$147*$AA$147</f>
        <v>0</v>
      </c>
    </row>
    <row r="148" spans="1:33" ht="11.25" customHeight="1" x14ac:dyDescent="0.3">
      <c r="A148" s="4" t="s">
        <v>21</v>
      </c>
      <c r="B148" s="4" t="s">
        <v>39</v>
      </c>
      <c r="C148" s="4" t="s">
        <v>40</v>
      </c>
      <c r="D148" s="4" t="s">
        <v>38</v>
      </c>
      <c r="E148" s="4" t="s">
        <v>25</v>
      </c>
      <c r="F148" s="4" t="s">
        <v>25</v>
      </c>
      <c r="G148" s="4" t="s">
        <v>25</v>
      </c>
      <c r="H148" s="4" t="s">
        <v>34</v>
      </c>
      <c r="I148" s="5">
        <v>44531</v>
      </c>
      <c r="J148" s="6">
        <v>606</v>
      </c>
      <c r="K148" s="6">
        <v>606</v>
      </c>
      <c r="L148" s="6">
        <v>19.64</v>
      </c>
      <c r="M148" s="6">
        <v>19.64</v>
      </c>
      <c r="N148" s="6">
        <v>19.64</v>
      </c>
      <c r="O148" s="6">
        <v>19.64</v>
      </c>
      <c r="P148" s="6">
        <v>0</v>
      </c>
      <c r="Q148" s="4" t="s">
        <v>26</v>
      </c>
      <c r="R148" s="4">
        <v>0</v>
      </c>
      <c r="S148" s="6">
        <v>9</v>
      </c>
      <c r="T148" s="6">
        <v>12</v>
      </c>
      <c r="U148" s="6">
        <v>38</v>
      </c>
      <c r="V148" s="6">
        <f>IF(ISERROR(VLOOKUP($S$148,'TAR FIN'!$A$1:$O$113,15,0)),0,VLOOKUP($S$148,'TAR FIN'!$A$1:$O$113,15,0))</f>
        <v>35.76</v>
      </c>
      <c r="W148" s="6">
        <f>IF(ISERROR(VLOOKUP($T$148,'TAR FIN'!$A$1:$O$113,15,0)),0,VLOOKUP($T$148,'TAR FIN'!$A$1:$O$113,15,0))</f>
        <v>72.150000000000006</v>
      </c>
      <c r="X148" s="6">
        <f>IF(ISERROR(VLOOKUP($U$148,'TAR FIN'!$A$1:$O$113,15,0)),0,VLOOKUP($U$148,'TAR FIN'!$A$1:$O$113,15,0))</f>
        <v>442.86</v>
      </c>
      <c r="Y148" s="6">
        <f ca="1">('TUSD BE'!$AM$14+'TUSD BF'!$AM$14+'TUSD CVA'!$AM$14)*1</f>
        <v>40.963640769708675</v>
      </c>
      <c r="Z148" s="6">
        <f ca="1">('TUSD BE'!$AM$16+'TUSD BF'!$AM$16+'TUSD CVA'!$AM$16)*1</f>
        <v>122.14055331663396</v>
      </c>
      <c r="AA148" s="6">
        <f>('TE BE'!$AB$9+'TE BF'!$AB$9+'TE CVA'!$AB$9)*1</f>
        <v>486.43608405794748</v>
      </c>
      <c r="AB148" s="6">
        <f>$K$148*$V$148</f>
        <v>21670.559999999998</v>
      </c>
      <c r="AC148" s="6">
        <f>$M$148*$W$148</f>
        <v>1417.0260000000001</v>
      </c>
      <c r="AD148" s="6">
        <f>$O$148*$X$148</f>
        <v>8697.7704000000012</v>
      </c>
      <c r="AE148" s="6">
        <f ca="1">$K$148*$Y$148</f>
        <v>24823.966306443457</v>
      </c>
      <c r="AF148" s="6">
        <f ca="1">$M$148*$Z$148</f>
        <v>2398.8404671386911</v>
      </c>
      <c r="AG148" s="6">
        <f>$O$148*$AA$148</f>
        <v>9553.6046908980879</v>
      </c>
    </row>
    <row r="149" spans="1:33" ht="11.25" customHeight="1" x14ac:dyDescent="0.3">
      <c r="A149" s="4" t="s">
        <v>21</v>
      </c>
      <c r="B149" s="4" t="s">
        <v>39</v>
      </c>
      <c r="C149" s="4" t="s">
        <v>40</v>
      </c>
      <c r="D149" s="4" t="s">
        <v>38</v>
      </c>
      <c r="E149" s="4" t="s">
        <v>25</v>
      </c>
      <c r="F149" s="4" t="s">
        <v>25</v>
      </c>
      <c r="G149" s="4" t="s">
        <v>25</v>
      </c>
      <c r="H149" s="4" t="s">
        <v>34</v>
      </c>
      <c r="I149" s="5">
        <v>44531</v>
      </c>
      <c r="J149" s="6">
        <v>12404</v>
      </c>
      <c r="K149" s="6">
        <v>12404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4" t="s">
        <v>55</v>
      </c>
      <c r="R149" s="4">
        <v>0</v>
      </c>
      <c r="S149" s="6">
        <v>9</v>
      </c>
      <c r="T149" s="6">
        <v>0</v>
      </c>
      <c r="U149" s="6">
        <v>0</v>
      </c>
      <c r="V149" s="6">
        <f>IF(ISERROR(VLOOKUP($S$149,'TAR FIN'!$A$1:$O$113,15,0)),0,VLOOKUP($S$149,'TAR FIN'!$A$1:$O$113,15,0))</f>
        <v>35.76</v>
      </c>
      <c r="W149" s="6">
        <f>IF(ISERROR(VLOOKUP($T$149,'TAR FIN'!$A$1:$O$113,15,0)),0,VLOOKUP($T$149,'TAR FIN'!$A$1:$O$113,15,0))</f>
        <v>0</v>
      </c>
      <c r="X149" s="6">
        <f>IF(ISERROR(VLOOKUP($U$149,'TAR FIN'!$A$1:$O$113,15,0)),0,VLOOKUP($U$149,'TAR FIN'!$A$1:$O$113,15,0))</f>
        <v>0</v>
      </c>
      <c r="Y149" s="6">
        <f ca="1">('TUSD BE'!$AM$14+'TUSD BF'!$AM$14+'TUSD CVA'!$AM$14)*1</f>
        <v>40.963640769708675</v>
      </c>
      <c r="Z149" s="6">
        <f ca="1">('TUSD BE'!$AM$16+'TUSD BF'!$AM$16+'TUSD CVA'!$AM$16)*1</f>
        <v>122.14055331663396</v>
      </c>
      <c r="AA149" s="6"/>
      <c r="AB149" s="6">
        <f>$K$149*$V$149</f>
        <v>443567.04</v>
      </c>
      <c r="AC149" s="6">
        <f>$M$149*$W$149</f>
        <v>0</v>
      </c>
      <c r="AD149" s="6">
        <f>$O$149*$X$149</f>
        <v>0</v>
      </c>
      <c r="AE149" s="6">
        <f ca="1">$K$149*$Y$149</f>
        <v>508113.00010746642</v>
      </c>
      <c r="AF149" s="6">
        <f ca="1">$M$149*$Z$149</f>
        <v>0</v>
      </c>
      <c r="AG149" s="6">
        <f>$O$149*$AA$149</f>
        <v>0</v>
      </c>
    </row>
    <row r="150" spans="1:33" ht="11.25" customHeight="1" x14ac:dyDescent="0.3">
      <c r="A150" s="4" t="s">
        <v>21</v>
      </c>
      <c r="B150" s="4" t="s">
        <v>39</v>
      </c>
      <c r="C150" s="4" t="s">
        <v>40</v>
      </c>
      <c r="D150" s="4" t="s">
        <v>38</v>
      </c>
      <c r="E150" s="4" t="s">
        <v>25</v>
      </c>
      <c r="F150" s="4" t="s">
        <v>25</v>
      </c>
      <c r="G150" s="4" t="s">
        <v>25</v>
      </c>
      <c r="H150" s="4" t="s">
        <v>34</v>
      </c>
      <c r="I150" s="5">
        <v>44562</v>
      </c>
      <c r="J150" s="6">
        <v>603</v>
      </c>
      <c r="K150" s="6">
        <v>603</v>
      </c>
      <c r="L150" s="6">
        <v>25.567</v>
      </c>
      <c r="M150" s="6">
        <v>25.567</v>
      </c>
      <c r="N150" s="6">
        <v>25.567</v>
      </c>
      <c r="O150" s="6">
        <v>25.567</v>
      </c>
      <c r="P150" s="6">
        <v>0</v>
      </c>
      <c r="Q150" s="4" t="s">
        <v>26</v>
      </c>
      <c r="R150" s="4">
        <v>0</v>
      </c>
      <c r="S150" s="6">
        <v>9</v>
      </c>
      <c r="T150" s="6">
        <v>12</v>
      </c>
      <c r="U150" s="6">
        <v>38</v>
      </c>
      <c r="V150" s="6">
        <f>IF(ISERROR(VLOOKUP($S$150,'TAR FIN'!$A$1:$O$113,15,0)),0,VLOOKUP($S$150,'TAR FIN'!$A$1:$O$113,15,0))</f>
        <v>35.76</v>
      </c>
      <c r="W150" s="6">
        <f>IF(ISERROR(VLOOKUP($T$150,'TAR FIN'!$A$1:$O$113,15,0)),0,VLOOKUP($T$150,'TAR FIN'!$A$1:$O$113,15,0))</f>
        <v>72.150000000000006</v>
      </c>
      <c r="X150" s="6">
        <f>IF(ISERROR(VLOOKUP($U$150,'TAR FIN'!$A$1:$O$113,15,0)),0,VLOOKUP($U$150,'TAR FIN'!$A$1:$O$113,15,0))</f>
        <v>442.86</v>
      </c>
      <c r="Y150" s="6">
        <f ca="1">('TUSD BE'!$AM$14+'TUSD BF'!$AM$14+'TUSD CVA'!$AM$14)*1</f>
        <v>40.963640769708675</v>
      </c>
      <c r="Z150" s="6">
        <f ca="1">('TUSD BE'!$AM$16+'TUSD BF'!$AM$16+'TUSD CVA'!$AM$16)*1</f>
        <v>122.14055331663396</v>
      </c>
      <c r="AA150" s="6">
        <f>('TE BE'!$AB$9+'TE BF'!$AB$9+'TE CVA'!$AB$9)*1</f>
        <v>486.43608405794748</v>
      </c>
      <c r="AB150" s="6">
        <f>$K$150*$V$150</f>
        <v>21563.279999999999</v>
      </c>
      <c r="AC150" s="6">
        <f>$M$150*$W$150</f>
        <v>1844.6590500000002</v>
      </c>
      <c r="AD150" s="6">
        <f>$O$150*$X$150</f>
        <v>11322.601620000001</v>
      </c>
      <c r="AE150" s="6">
        <f ca="1">$K$150*$Y$150</f>
        <v>24701.075384134332</v>
      </c>
      <c r="AF150" s="6">
        <f ca="1">$M$150*$Z$150</f>
        <v>3122.7675266463802</v>
      </c>
      <c r="AG150" s="6">
        <f>$O$150*$AA$150</f>
        <v>12436.711361109543</v>
      </c>
    </row>
    <row r="151" spans="1:33" ht="11.25" customHeight="1" x14ac:dyDescent="0.3">
      <c r="A151" s="4" t="s">
        <v>21</v>
      </c>
      <c r="B151" s="4" t="s">
        <v>39</v>
      </c>
      <c r="C151" s="4" t="s">
        <v>40</v>
      </c>
      <c r="D151" s="4" t="s">
        <v>38</v>
      </c>
      <c r="E151" s="4" t="s">
        <v>25</v>
      </c>
      <c r="F151" s="4" t="s">
        <v>25</v>
      </c>
      <c r="G151" s="4" t="s">
        <v>25</v>
      </c>
      <c r="H151" s="4" t="s">
        <v>34</v>
      </c>
      <c r="I151" s="5">
        <v>44562</v>
      </c>
      <c r="J151" s="6">
        <v>12551</v>
      </c>
      <c r="K151" s="6">
        <v>12551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4" t="s">
        <v>55</v>
      </c>
      <c r="R151" s="4">
        <v>0</v>
      </c>
      <c r="S151" s="6">
        <v>9</v>
      </c>
      <c r="T151" s="6">
        <v>0</v>
      </c>
      <c r="U151" s="6">
        <v>0</v>
      </c>
      <c r="V151" s="6">
        <f>IF(ISERROR(VLOOKUP($S$151,'TAR FIN'!$A$1:$O$113,15,0)),0,VLOOKUP($S$151,'TAR FIN'!$A$1:$O$113,15,0))</f>
        <v>35.76</v>
      </c>
      <c r="W151" s="6">
        <f>IF(ISERROR(VLOOKUP($T$151,'TAR FIN'!$A$1:$O$113,15,0)),0,VLOOKUP($T$151,'TAR FIN'!$A$1:$O$113,15,0))</f>
        <v>0</v>
      </c>
      <c r="X151" s="6">
        <f>IF(ISERROR(VLOOKUP($U$151,'TAR FIN'!$A$1:$O$113,15,0)),0,VLOOKUP($U$151,'TAR FIN'!$A$1:$O$113,15,0))</f>
        <v>0</v>
      </c>
      <c r="Y151" s="6">
        <f ca="1">('TUSD BE'!$AM$14+'TUSD BF'!$AM$14+'TUSD CVA'!$AM$14)*1</f>
        <v>40.963640769708675</v>
      </c>
      <c r="Z151" s="6">
        <f ca="1">('TUSD BE'!$AM$16+'TUSD BF'!$AM$16+'TUSD CVA'!$AM$16)*1</f>
        <v>122.14055331663396</v>
      </c>
      <c r="AA151" s="6"/>
      <c r="AB151" s="6">
        <f>$K$151*$V$151</f>
        <v>448823.75999999995</v>
      </c>
      <c r="AC151" s="6">
        <f>$M$151*$W$151</f>
        <v>0</v>
      </c>
      <c r="AD151" s="6">
        <f>$O$151*$X$151</f>
        <v>0</v>
      </c>
      <c r="AE151" s="6">
        <f ca="1">$K$151*$Y$151</f>
        <v>514134.65530061361</v>
      </c>
      <c r="AF151" s="6">
        <f ca="1">$M$151*$Z$151</f>
        <v>0</v>
      </c>
      <c r="AG151" s="6">
        <f>$O$151*$AA$151</f>
        <v>0</v>
      </c>
    </row>
    <row r="152" spans="1:33" ht="11.25" customHeight="1" x14ac:dyDescent="0.3">
      <c r="A152" s="4" t="s">
        <v>21</v>
      </c>
      <c r="B152" s="4" t="s">
        <v>39</v>
      </c>
      <c r="C152" s="4" t="s">
        <v>40</v>
      </c>
      <c r="D152" s="4" t="s">
        <v>38</v>
      </c>
      <c r="E152" s="4" t="s">
        <v>25</v>
      </c>
      <c r="F152" s="4" t="s">
        <v>25</v>
      </c>
      <c r="G152" s="4" t="s">
        <v>25</v>
      </c>
      <c r="H152" s="4" t="s">
        <v>34</v>
      </c>
      <c r="I152" s="5">
        <v>44593</v>
      </c>
      <c r="J152" s="6">
        <v>689</v>
      </c>
      <c r="K152" s="6">
        <v>689</v>
      </c>
      <c r="L152" s="6">
        <v>30.913</v>
      </c>
      <c r="M152" s="6">
        <v>30.913</v>
      </c>
      <c r="N152" s="6">
        <v>30.913</v>
      </c>
      <c r="O152" s="6">
        <v>30.913</v>
      </c>
      <c r="P152" s="6">
        <v>0</v>
      </c>
      <c r="Q152" s="4" t="s">
        <v>26</v>
      </c>
      <c r="R152" s="4">
        <v>0</v>
      </c>
      <c r="S152" s="6">
        <v>9</v>
      </c>
      <c r="T152" s="6">
        <v>12</v>
      </c>
      <c r="U152" s="6">
        <v>38</v>
      </c>
      <c r="V152" s="6">
        <f>IF(ISERROR(VLOOKUP($S$152,'TAR FIN'!$A$1:$O$113,15,0)),0,VLOOKUP($S$152,'TAR FIN'!$A$1:$O$113,15,0))</f>
        <v>35.76</v>
      </c>
      <c r="W152" s="6">
        <f>IF(ISERROR(VLOOKUP($T$152,'TAR FIN'!$A$1:$O$113,15,0)),0,VLOOKUP($T$152,'TAR FIN'!$A$1:$O$113,15,0))</f>
        <v>72.150000000000006</v>
      </c>
      <c r="X152" s="6">
        <f>IF(ISERROR(VLOOKUP($U$152,'TAR FIN'!$A$1:$O$113,15,0)),0,VLOOKUP($U$152,'TAR FIN'!$A$1:$O$113,15,0))</f>
        <v>442.86</v>
      </c>
      <c r="Y152" s="6">
        <f ca="1">('TUSD BE'!$AM$14+'TUSD BF'!$AM$14+'TUSD CVA'!$AM$14)*1</f>
        <v>40.963640769708675</v>
      </c>
      <c r="Z152" s="6">
        <f ca="1">('TUSD BE'!$AM$16+'TUSD BF'!$AM$16+'TUSD CVA'!$AM$16)*1</f>
        <v>122.14055331663396</v>
      </c>
      <c r="AA152" s="6">
        <f>('TE BE'!$AB$9+'TE BF'!$AB$9+'TE CVA'!$AB$9)*1</f>
        <v>486.43608405794748</v>
      </c>
      <c r="AB152" s="6">
        <f>$K$152*$V$152</f>
        <v>24638.639999999999</v>
      </c>
      <c r="AC152" s="6">
        <f>$M$152*$W$152</f>
        <v>2230.3729500000004</v>
      </c>
      <c r="AD152" s="6">
        <f>$O$152*$X$152</f>
        <v>13690.13118</v>
      </c>
      <c r="AE152" s="6">
        <f ca="1">$K$152*$Y$152</f>
        <v>28223.948490329276</v>
      </c>
      <c r="AF152" s="6">
        <f ca="1">$M$152*$Z$152</f>
        <v>3775.7309246771056</v>
      </c>
      <c r="AG152" s="6">
        <f>$O$152*$AA$152</f>
        <v>15037.198666483331</v>
      </c>
    </row>
    <row r="153" spans="1:33" ht="11.25" customHeight="1" x14ac:dyDescent="0.3">
      <c r="A153" s="4" t="s">
        <v>21</v>
      </c>
      <c r="B153" s="4" t="s">
        <v>39</v>
      </c>
      <c r="C153" s="4" t="s">
        <v>40</v>
      </c>
      <c r="D153" s="4" t="s">
        <v>38</v>
      </c>
      <c r="E153" s="4" t="s">
        <v>25</v>
      </c>
      <c r="F153" s="4" t="s">
        <v>25</v>
      </c>
      <c r="G153" s="4" t="s">
        <v>25</v>
      </c>
      <c r="H153" s="4" t="s">
        <v>34</v>
      </c>
      <c r="I153" s="5">
        <v>44593</v>
      </c>
      <c r="J153" s="6">
        <v>12584</v>
      </c>
      <c r="K153" s="6">
        <v>12584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4" t="s">
        <v>55</v>
      </c>
      <c r="R153" s="4">
        <v>0</v>
      </c>
      <c r="S153" s="6">
        <v>9</v>
      </c>
      <c r="T153" s="6">
        <v>0</v>
      </c>
      <c r="U153" s="6">
        <v>0</v>
      </c>
      <c r="V153" s="6">
        <f>IF(ISERROR(VLOOKUP($S$153,'TAR FIN'!$A$1:$O$113,15,0)),0,VLOOKUP($S$153,'TAR FIN'!$A$1:$O$113,15,0))</f>
        <v>35.76</v>
      </c>
      <c r="W153" s="6">
        <f>IF(ISERROR(VLOOKUP($T$153,'TAR FIN'!$A$1:$O$113,15,0)),0,VLOOKUP($T$153,'TAR FIN'!$A$1:$O$113,15,0))</f>
        <v>0</v>
      </c>
      <c r="X153" s="6">
        <f>IF(ISERROR(VLOOKUP($U$153,'TAR FIN'!$A$1:$O$113,15,0)),0,VLOOKUP($U$153,'TAR FIN'!$A$1:$O$113,15,0))</f>
        <v>0</v>
      </c>
      <c r="Y153" s="6">
        <f ca="1">('TUSD BE'!$AM$14+'TUSD BF'!$AM$14+'TUSD CVA'!$AM$14)*1</f>
        <v>40.963640769708675</v>
      </c>
      <c r="Z153" s="6">
        <f ca="1">('TUSD BE'!$AM$16+'TUSD BF'!$AM$16+'TUSD CVA'!$AM$16)*1</f>
        <v>122.14055331663396</v>
      </c>
      <c r="AA153" s="6"/>
      <c r="AB153" s="6">
        <f>$K$153*$V$153</f>
        <v>450003.83999999997</v>
      </c>
      <c r="AC153" s="6">
        <f>$M$153*$W$153</f>
        <v>0</v>
      </c>
      <c r="AD153" s="6">
        <f>$O$153*$X$153</f>
        <v>0</v>
      </c>
      <c r="AE153" s="6">
        <f ca="1">$K$153*$Y$153</f>
        <v>515486.45544601395</v>
      </c>
      <c r="AF153" s="6">
        <f ca="1">$M$153*$Z$153</f>
        <v>0</v>
      </c>
      <c r="AG153" s="6">
        <f>$O$153*$AA$153</f>
        <v>0</v>
      </c>
    </row>
    <row r="154" spans="1:33" ht="11.25" customHeight="1" x14ac:dyDescent="0.3">
      <c r="A154" s="4" t="s">
        <v>21</v>
      </c>
      <c r="B154" s="4" t="s">
        <v>39</v>
      </c>
      <c r="C154" s="4" t="s">
        <v>40</v>
      </c>
      <c r="D154" s="4" t="s">
        <v>38</v>
      </c>
      <c r="E154" s="4" t="s">
        <v>25</v>
      </c>
      <c r="F154" s="4" t="s">
        <v>25</v>
      </c>
      <c r="G154" s="4" t="s">
        <v>25</v>
      </c>
      <c r="H154" s="4" t="s">
        <v>34</v>
      </c>
      <c r="I154" s="5">
        <v>44621</v>
      </c>
      <c r="J154" s="6">
        <v>619</v>
      </c>
      <c r="K154" s="6">
        <v>619</v>
      </c>
      <c r="L154" s="6">
        <v>23.544</v>
      </c>
      <c r="M154" s="6">
        <v>23.544</v>
      </c>
      <c r="N154" s="6">
        <v>23.544</v>
      </c>
      <c r="O154" s="6">
        <v>23.544</v>
      </c>
      <c r="P154" s="6">
        <v>0</v>
      </c>
      <c r="Q154" s="4" t="s">
        <v>26</v>
      </c>
      <c r="R154" s="4">
        <v>0</v>
      </c>
      <c r="S154" s="6">
        <v>9</v>
      </c>
      <c r="T154" s="6">
        <v>12</v>
      </c>
      <c r="U154" s="6">
        <v>38</v>
      </c>
      <c r="V154" s="6">
        <f>IF(ISERROR(VLOOKUP($S$154,'TAR FIN'!$A$1:$O$113,15,0)),0,VLOOKUP($S$154,'TAR FIN'!$A$1:$O$113,15,0))</f>
        <v>35.76</v>
      </c>
      <c r="W154" s="6">
        <f>IF(ISERROR(VLOOKUP($T$154,'TAR FIN'!$A$1:$O$113,15,0)),0,VLOOKUP($T$154,'TAR FIN'!$A$1:$O$113,15,0))</f>
        <v>72.150000000000006</v>
      </c>
      <c r="X154" s="6">
        <f>IF(ISERROR(VLOOKUP($U$154,'TAR FIN'!$A$1:$O$113,15,0)),0,VLOOKUP($U$154,'TAR FIN'!$A$1:$O$113,15,0))</f>
        <v>442.86</v>
      </c>
      <c r="Y154" s="6">
        <f ca="1">('TUSD BE'!$AM$14+'TUSD BF'!$AM$14+'TUSD CVA'!$AM$14)*1</f>
        <v>40.963640769708675</v>
      </c>
      <c r="Z154" s="6">
        <f ca="1">('TUSD BE'!$AM$16+'TUSD BF'!$AM$16+'TUSD CVA'!$AM$16)*1</f>
        <v>122.14055331663396</v>
      </c>
      <c r="AA154" s="6">
        <f>('TE BE'!$AB$9+'TE BF'!$AB$9+'TE CVA'!$AB$9)*1</f>
        <v>486.43608405794748</v>
      </c>
      <c r="AB154" s="6">
        <f>$K$154*$V$154</f>
        <v>22135.439999999999</v>
      </c>
      <c r="AC154" s="6">
        <f>$M$154*$W$154</f>
        <v>1698.6996000000001</v>
      </c>
      <c r="AD154" s="6">
        <f>$O$154*$X$154</f>
        <v>10426.69584</v>
      </c>
      <c r="AE154" s="6">
        <f ca="1">$K$154*$Y$154</f>
        <v>25356.493636449672</v>
      </c>
      <c r="AF154" s="6">
        <f ca="1">$M$154*$Z$154</f>
        <v>2875.6771872868298</v>
      </c>
      <c r="AG154" s="6">
        <f>$O$154*$AA$154</f>
        <v>11452.651163060316</v>
      </c>
    </row>
    <row r="155" spans="1:33" ht="11.25" customHeight="1" x14ac:dyDescent="0.3">
      <c r="A155" s="4" t="s">
        <v>21</v>
      </c>
      <c r="B155" s="4" t="s">
        <v>39</v>
      </c>
      <c r="C155" s="4" t="s">
        <v>40</v>
      </c>
      <c r="D155" s="4" t="s">
        <v>38</v>
      </c>
      <c r="E155" s="4" t="s">
        <v>25</v>
      </c>
      <c r="F155" s="4" t="s">
        <v>25</v>
      </c>
      <c r="G155" s="4" t="s">
        <v>25</v>
      </c>
      <c r="H155" s="4" t="s">
        <v>34</v>
      </c>
      <c r="I155" s="5">
        <v>44621</v>
      </c>
      <c r="J155" s="6">
        <v>10384</v>
      </c>
      <c r="K155" s="6">
        <v>10384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4" t="s">
        <v>55</v>
      </c>
      <c r="R155" s="4">
        <v>0</v>
      </c>
      <c r="S155" s="6">
        <v>9</v>
      </c>
      <c r="T155" s="6">
        <v>0</v>
      </c>
      <c r="U155" s="6">
        <v>0</v>
      </c>
      <c r="V155" s="6">
        <f>IF(ISERROR(VLOOKUP($S$155,'TAR FIN'!$A$1:$O$113,15,0)),0,VLOOKUP($S$155,'TAR FIN'!$A$1:$O$113,15,0))</f>
        <v>35.76</v>
      </c>
      <c r="W155" s="6">
        <f>IF(ISERROR(VLOOKUP($T$155,'TAR FIN'!$A$1:$O$113,15,0)),0,VLOOKUP($T$155,'TAR FIN'!$A$1:$O$113,15,0))</f>
        <v>0</v>
      </c>
      <c r="X155" s="6">
        <f>IF(ISERROR(VLOOKUP($U$155,'TAR FIN'!$A$1:$O$113,15,0)),0,VLOOKUP($U$155,'TAR FIN'!$A$1:$O$113,15,0))</f>
        <v>0</v>
      </c>
      <c r="Y155" s="6">
        <f ca="1">('TUSD BE'!$AM$14+'TUSD BF'!$AM$14+'TUSD CVA'!$AM$14)*1</f>
        <v>40.963640769708675</v>
      </c>
      <c r="Z155" s="6">
        <f ca="1">('TUSD BE'!$AM$16+'TUSD BF'!$AM$16+'TUSD CVA'!$AM$16)*1</f>
        <v>122.14055331663396</v>
      </c>
      <c r="AA155" s="6"/>
      <c r="AB155" s="6">
        <f>$K$155*$V$155</f>
        <v>371331.83999999997</v>
      </c>
      <c r="AC155" s="6">
        <f>$M$155*$W$155</f>
        <v>0</v>
      </c>
      <c r="AD155" s="6">
        <f>$O$155*$X$155</f>
        <v>0</v>
      </c>
      <c r="AE155" s="6">
        <f ca="1">$K$155*$Y$155</f>
        <v>425366.44575265486</v>
      </c>
      <c r="AF155" s="6">
        <f ca="1">$M$155*$Z$155</f>
        <v>0</v>
      </c>
      <c r="AG155" s="6">
        <f>$O$155*$AA$155</f>
        <v>0</v>
      </c>
    </row>
    <row r="156" spans="1:33" ht="11.25" customHeight="1" x14ac:dyDescent="0.3">
      <c r="A156" s="4" t="s">
        <v>21</v>
      </c>
      <c r="B156" s="4" t="s">
        <v>39</v>
      </c>
      <c r="C156" s="4" t="s">
        <v>40</v>
      </c>
      <c r="D156" s="4" t="s">
        <v>38</v>
      </c>
      <c r="E156" s="4" t="s">
        <v>25</v>
      </c>
      <c r="F156" s="4" t="s">
        <v>25</v>
      </c>
      <c r="G156" s="4" t="s">
        <v>25</v>
      </c>
      <c r="H156" s="4" t="s">
        <v>34</v>
      </c>
      <c r="I156" s="5">
        <v>44652</v>
      </c>
      <c r="J156" s="6">
        <v>648</v>
      </c>
      <c r="K156" s="6">
        <v>648</v>
      </c>
      <c r="L156" s="6">
        <v>32.863999999999997</v>
      </c>
      <c r="M156" s="6">
        <v>32.863999999999997</v>
      </c>
      <c r="N156" s="6">
        <v>32.863999999999997</v>
      </c>
      <c r="O156" s="6">
        <v>32.863999999999997</v>
      </c>
      <c r="P156" s="6">
        <v>0</v>
      </c>
      <c r="Q156" s="4" t="s">
        <v>26</v>
      </c>
      <c r="R156" s="4">
        <v>0</v>
      </c>
      <c r="S156" s="6">
        <v>9</v>
      </c>
      <c r="T156" s="6">
        <v>12</v>
      </c>
      <c r="U156" s="6">
        <v>38</v>
      </c>
      <c r="V156" s="6">
        <f>IF(ISERROR(VLOOKUP($S$156,'TAR FIN'!$A$1:$O$113,15,0)),0,VLOOKUP($S$156,'TAR FIN'!$A$1:$O$113,15,0))</f>
        <v>35.76</v>
      </c>
      <c r="W156" s="6">
        <f>IF(ISERROR(VLOOKUP($T$156,'TAR FIN'!$A$1:$O$113,15,0)),0,VLOOKUP($T$156,'TAR FIN'!$A$1:$O$113,15,0))</f>
        <v>72.150000000000006</v>
      </c>
      <c r="X156" s="6">
        <f>IF(ISERROR(VLOOKUP($U$156,'TAR FIN'!$A$1:$O$113,15,0)),0,VLOOKUP($U$156,'TAR FIN'!$A$1:$O$113,15,0))</f>
        <v>442.86</v>
      </c>
      <c r="Y156" s="6">
        <f ca="1">('TUSD BE'!$AM$14+'TUSD BF'!$AM$14+'TUSD CVA'!$AM$14)*1</f>
        <v>40.963640769708675</v>
      </c>
      <c r="Z156" s="6">
        <f ca="1">('TUSD BE'!$AM$16+'TUSD BF'!$AM$16+'TUSD CVA'!$AM$16)*1</f>
        <v>122.14055331663396</v>
      </c>
      <c r="AA156" s="6">
        <f>('TE BE'!$AB$9+'TE BF'!$AB$9+'TE CVA'!$AB$9)*1</f>
        <v>486.43608405794748</v>
      </c>
      <c r="AB156" s="6">
        <f>$K$156*$V$156</f>
        <v>23172.48</v>
      </c>
      <c r="AC156" s="6">
        <f>$M$156*$W$156</f>
        <v>2371.1376</v>
      </c>
      <c r="AD156" s="6">
        <f>$O$156*$X$156</f>
        <v>14554.151039999999</v>
      </c>
      <c r="AE156" s="6">
        <f ca="1">$K$156*$Y$156</f>
        <v>26544.439218771222</v>
      </c>
      <c r="AF156" s="6">
        <f ca="1">$M$156*$Z$156</f>
        <v>4014.027144197858</v>
      </c>
      <c r="AG156" s="6">
        <f>$O$156*$AA$156</f>
        <v>15986.235466480384</v>
      </c>
    </row>
    <row r="157" spans="1:33" ht="11.25" customHeight="1" x14ac:dyDescent="0.3">
      <c r="A157" s="4" t="s">
        <v>21</v>
      </c>
      <c r="B157" s="4" t="s">
        <v>39</v>
      </c>
      <c r="C157" s="4" t="s">
        <v>40</v>
      </c>
      <c r="D157" s="4" t="s">
        <v>38</v>
      </c>
      <c r="E157" s="4" t="s">
        <v>25</v>
      </c>
      <c r="F157" s="4" t="s">
        <v>25</v>
      </c>
      <c r="G157" s="4" t="s">
        <v>25</v>
      </c>
      <c r="H157" s="4" t="s">
        <v>34</v>
      </c>
      <c r="I157" s="5">
        <v>44652</v>
      </c>
      <c r="J157" s="6">
        <v>10358</v>
      </c>
      <c r="K157" s="6">
        <v>10358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4" t="s">
        <v>55</v>
      </c>
      <c r="R157" s="4">
        <v>0</v>
      </c>
      <c r="S157" s="6">
        <v>9</v>
      </c>
      <c r="T157" s="6">
        <v>0</v>
      </c>
      <c r="U157" s="6">
        <v>0</v>
      </c>
      <c r="V157" s="6">
        <f>IF(ISERROR(VLOOKUP($S$157,'TAR FIN'!$A$1:$O$113,15,0)),0,VLOOKUP($S$157,'TAR FIN'!$A$1:$O$113,15,0))</f>
        <v>35.76</v>
      </c>
      <c r="W157" s="6">
        <f>IF(ISERROR(VLOOKUP($T$157,'TAR FIN'!$A$1:$O$113,15,0)),0,VLOOKUP($T$157,'TAR FIN'!$A$1:$O$113,15,0))</f>
        <v>0</v>
      </c>
      <c r="X157" s="6">
        <f>IF(ISERROR(VLOOKUP($U$157,'TAR FIN'!$A$1:$O$113,15,0)),0,VLOOKUP($U$157,'TAR FIN'!$A$1:$O$113,15,0))</f>
        <v>0</v>
      </c>
      <c r="Y157" s="6">
        <f ca="1">('TUSD BE'!$AM$14+'TUSD BF'!$AM$14+'TUSD CVA'!$AM$14)*1</f>
        <v>40.963640769708675</v>
      </c>
      <c r="Z157" s="6">
        <f ca="1">('TUSD BE'!$AM$16+'TUSD BF'!$AM$16+'TUSD CVA'!$AM$16)*1</f>
        <v>122.14055331663396</v>
      </c>
      <c r="AA157" s="6"/>
      <c r="AB157" s="6">
        <f>$K$157*$V$157</f>
        <v>370402.07999999996</v>
      </c>
      <c r="AC157" s="6">
        <f>$M$157*$W$157</f>
        <v>0</v>
      </c>
      <c r="AD157" s="6">
        <f>$O$157*$X$157</f>
        <v>0</v>
      </c>
      <c r="AE157" s="6">
        <f ca="1">$K$157*$Y$157</f>
        <v>424301.39109264244</v>
      </c>
      <c r="AF157" s="6">
        <f ca="1">$M$157*$Z$157</f>
        <v>0</v>
      </c>
      <c r="AG157" s="6">
        <f>$O$157*$AA$157</f>
        <v>0</v>
      </c>
    </row>
    <row r="158" spans="1:33" ht="11.25" customHeight="1" x14ac:dyDescent="0.3">
      <c r="A158" s="4" t="s">
        <v>21</v>
      </c>
      <c r="B158" s="4" t="s">
        <v>39</v>
      </c>
      <c r="C158" s="4" t="s">
        <v>40</v>
      </c>
      <c r="D158" s="4" t="s">
        <v>38</v>
      </c>
      <c r="E158" s="4" t="s">
        <v>25</v>
      </c>
      <c r="F158" s="4" t="s">
        <v>25</v>
      </c>
      <c r="G158" s="4" t="s">
        <v>25</v>
      </c>
      <c r="H158" s="4" t="s">
        <v>34</v>
      </c>
      <c r="I158" s="5">
        <v>44682</v>
      </c>
      <c r="J158" s="6">
        <v>653</v>
      </c>
      <c r="K158" s="6">
        <v>653</v>
      </c>
      <c r="L158" s="6">
        <v>24.268999999999998</v>
      </c>
      <c r="M158" s="6">
        <v>24.268999999999998</v>
      </c>
      <c r="N158" s="6">
        <v>24.268999999999998</v>
      </c>
      <c r="O158" s="6">
        <v>24.268999999999998</v>
      </c>
      <c r="P158" s="6">
        <v>0</v>
      </c>
      <c r="Q158" s="4" t="s">
        <v>26</v>
      </c>
      <c r="R158" s="4">
        <v>0</v>
      </c>
      <c r="S158" s="6">
        <v>9</v>
      </c>
      <c r="T158" s="6">
        <v>12</v>
      </c>
      <c r="U158" s="6">
        <v>38</v>
      </c>
      <c r="V158" s="6">
        <f>IF(ISERROR(VLOOKUP($S$158,'TAR FIN'!$A$1:$O$113,15,0)),0,VLOOKUP($S$158,'TAR FIN'!$A$1:$O$113,15,0))</f>
        <v>35.76</v>
      </c>
      <c r="W158" s="6">
        <f>IF(ISERROR(VLOOKUP($T$158,'TAR FIN'!$A$1:$O$113,15,0)),0,VLOOKUP($T$158,'TAR FIN'!$A$1:$O$113,15,0))</f>
        <v>72.150000000000006</v>
      </c>
      <c r="X158" s="6">
        <f>IF(ISERROR(VLOOKUP($U$158,'TAR FIN'!$A$1:$O$113,15,0)),0,VLOOKUP($U$158,'TAR FIN'!$A$1:$O$113,15,0))</f>
        <v>442.86</v>
      </c>
      <c r="Y158" s="6">
        <f ca="1">('TUSD BE'!$AM$14+'TUSD BF'!$AM$14+'TUSD CVA'!$AM$14)*1</f>
        <v>40.963640769708675</v>
      </c>
      <c r="Z158" s="6">
        <f ca="1">('TUSD BE'!$AM$16+'TUSD BF'!$AM$16+'TUSD CVA'!$AM$16)*1</f>
        <v>122.14055331663396</v>
      </c>
      <c r="AA158" s="6">
        <f>('TE BE'!$AB$9+'TE BF'!$AB$9+'TE CVA'!$AB$9)*1</f>
        <v>486.43608405794748</v>
      </c>
      <c r="AB158" s="6">
        <f>$K$158*$V$158</f>
        <v>23351.279999999999</v>
      </c>
      <c r="AC158" s="6">
        <f>$M$158*$W$158</f>
        <v>1751.0083500000001</v>
      </c>
      <c r="AD158" s="6">
        <f>$O$158*$X$158</f>
        <v>10747.769339999999</v>
      </c>
      <c r="AE158" s="6">
        <f ca="1">$K$158*$Y$158</f>
        <v>26749.257422619765</v>
      </c>
      <c r="AF158" s="6">
        <f ca="1">$M$158*$Z$158</f>
        <v>2964.2290884413892</v>
      </c>
      <c r="AG158" s="6">
        <f>$O$158*$AA$158</f>
        <v>11805.317324002326</v>
      </c>
    </row>
    <row r="159" spans="1:33" ht="11.25" customHeight="1" x14ac:dyDescent="0.3">
      <c r="A159" s="4" t="s">
        <v>21</v>
      </c>
      <c r="B159" s="4" t="s">
        <v>39</v>
      </c>
      <c r="C159" s="4" t="s">
        <v>40</v>
      </c>
      <c r="D159" s="4" t="s">
        <v>38</v>
      </c>
      <c r="E159" s="4" t="s">
        <v>25</v>
      </c>
      <c r="F159" s="4" t="s">
        <v>25</v>
      </c>
      <c r="G159" s="4" t="s">
        <v>25</v>
      </c>
      <c r="H159" s="4" t="s">
        <v>34</v>
      </c>
      <c r="I159" s="5">
        <v>44682</v>
      </c>
      <c r="J159" s="6">
        <v>11220</v>
      </c>
      <c r="K159" s="6">
        <v>11220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4" t="s">
        <v>55</v>
      </c>
      <c r="R159" s="4">
        <v>0</v>
      </c>
      <c r="S159" s="6">
        <v>9</v>
      </c>
      <c r="T159" s="6">
        <v>0</v>
      </c>
      <c r="U159" s="6">
        <v>0</v>
      </c>
      <c r="V159" s="6">
        <f>IF(ISERROR(VLOOKUP($S$159,'TAR FIN'!$A$1:$O$113,15,0)),0,VLOOKUP($S$159,'TAR FIN'!$A$1:$O$113,15,0))</f>
        <v>35.76</v>
      </c>
      <c r="W159" s="6">
        <f>IF(ISERROR(VLOOKUP($T$159,'TAR FIN'!$A$1:$O$113,15,0)),0,VLOOKUP($T$159,'TAR FIN'!$A$1:$O$113,15,0))</f>
        <v>0</v>
      </c>
      <c r="X159" s="6">
        <f>IF(ISERROR(VLOOKUP($U$159,'TAR FIN'!$A$1:$O$113,15,0)),0,VLOOKUP($U$159,'TAR FIN'!$A$1:$O$113,15,0))</f>
        <v>0</v>
      </c>
      <c r="Y159" s="6">
        <f ca="1">('TUSD BE'!$AM$14+'TUSD BF'!$AM$14+'TUSD CVA'!$AM$14)*1</f>
        <v>40.963640769708675</v>
      </c>
      <c r="Z159" s="6">
        <f ca="1">('TUSD BE'!$AM$16+'TUSD BF'!$AM$16+'TUSD CVA'!$AM$16)*1</f>
        <v>122.14055331663396</v>
      </c>
      <c r="AA159" s="6"/>
      <c r="AB159" s="6">
        <f>$K$159*$V$159</f>
        <v>401227.19999999995</v>
      </c>
      <c r="AC159" s="6">
        <f>$M$159*$W$159</f>
        <v>0</v>
      </c>
      <c r="AD159" s="6">
        <f>$O$159*$X$159</f>
        <v>0</v>
      </c>
      <c r="AE159" s="6">
        <f ca="1">$K$159*$Y$159</f>
        <v>459612.04943613132</v>
      </c>
      <c r="AF159" s="6">
        <f ca="1">$M$159*$Z$159</f>
        <v>0</v>
      </c>
      <c r="AG159" s="6">
        <f>$O$159*$AA$159</f>
        <v>0</v>
      </c>
    </row>
    <row r="160" spans="1:33" ht="11.25" customHeight="1" x14ac:dyDescent="0.3">
      <c r="A160" s="4" t="s">
        <v>21</v>
      </c>
      <c r="B160" s="4" t="s">
        <v>39</v>
      </c>
      <c r="C160" s="4" t="s">
        <v>40</v>
      </c>
      <c r="D160" s="4" t="s">
        <v>38</v>
      </c>
      <c r="E160" s="4" t="s">
        <v>25</v>
      </c>
      <c r="F160" s="4" t="s">
        <v>25</v>
      </c>
      <c r="G160" s="4" t="s">
        <v>25</v>
      </c>
      <c r="H160" s="4" t="s">
        <v>34</v>
      </c>
      <c r="I160" s="5">
        <v>44713</v>
      </c>
      <c r="J160" s="6">
        <v>677</v>
      </c>
      <c r="K160" s="6">
        <v>677</v>
      </c>
      <c r="L160" s="6">
        <v>32.128</v>
      </c>
      <c r="M160" s="6">
        <v>32.128</v>
      </c>
      <c r="N160" s="6">
        <v>32.128</v>
      </c>
      <c r="O160" s="6">
        <v>32.128</v>
      </c>
      <c r="P160" s="6">
        <v>0</v>
      </c>
      <c r="Q160" s="4" t="s">
        <v>26</v>
      </c>
      <c r="R160" s="4">
        <v>0</v>
      </c>
      <c r="S160" s="6">
        <v>9</v>
      </c>
      <c r="T160" s="6">
        <v>12</v>
      </c>
      <c r="U160" s="6">
        <v>38</v>
      </c>
      <c r="V160" s="6">
        <f>IF(ISERROR(VLOOKUP($S$160,'TAR FIN'!$A$1:$O$113,15,0)),0,VLOOKUP($S$160,'TAR FIN'!$A$1:$O$113,15,0))</f>
        <v>35.76</v>
      </c>
      <c r="W160" s="6">
        <f>IF(ISERROR(VLOOKUP($T$160,'TAR FIN'!$A$1:$O$113,15,0)),0,VLOOKUP($T$160,'TAR FIN'!$A$1:$O$113,15,0))</f>
        <v>72.150000000000006</v>
      </c>
      <c r="X160" s="6">
        <f>IF(ISERROR(VLOOKUP($U$160,'TAR FIN'!$A$1:$O$113,15,0)),0,VLOOKUP($U$160,'TAR FIN'!$A$1:$O$113,15,0))</f>
        <v>442.86</v>
      </c>
      <c r="Y160" s="6">
        <f ca="1">('TUSD BE'!$AM$14+'TUSD BF'!$AM$14+'TUSD CVA'!$AM$14)*1</f>
        <v>40.963640769708675</v>
      </c>
      <c r="Z160" s="6">
        <f ca="1">('TUSD BE'!$AM$16+'TUSD BF'!$AM$16+'TUSD CVA'!$AM$16)*1</f>
        <v>122.14055331663396</v>
      </c>
      <c r="AA160" s="6">
        <f>('TE BE'!$AB$9+'TE BF'!$AB$9+'TE CVA'!$AB$9)*1</f>
        <v>486.43608405794748</v>
      </c>
      <c r="AB160" s="6">
        <f>$K$160*$V$160</f>
        <v>24209.52</v>
      </c>
      <c r="AC160" s="6">
        <f>$M$160*$W$160</f>
        <v>2318.0352000000003</v>
      </c>
      <c r="AD160" s="6">
        <f>$O$160*$X$160</f>
        <v>14228.20608</v>
      </c>
      <c r="AE160" s="6">
        <f ca="1">$K$160*$Y$160</f>
        <v>27732.384801092772</v>
      </c>
      <c r="AF160" s="6">
        <f ca="1">$M$160*$Z$160</f>
        <v>3924.1316969568156</v>
      </c>
      <c r="AG160" s="6">
        <f>$O$160*$AA$160</f>
        <v>15628.218508613736</v>
      </c>
    </row>
    <row r="161" spans="1:33" ht="11.25" customHeight="1" x14ac:dyDescent="0.3">
      <c r="A161" s="4" t="s">
        <v>21</v>
      </c>
      <c r="B161" s="4" t="s">
        <v>39</v>
      </c>
      <c r="C161" s="4" t="s">
        <v>40</v>
      </c>
      <c r="D161" s="4" t="s">
        <v>38</v>
      </c>
      <c r="E161" s="4" t="s">
        <v>25</v>
      </c>
      <c r="F161" s="4" t="s">
        <v>25</v>
      </c>
      <c r="G161" s="4" t="s">
        <v>25</v>
      </c>
      <c r="H161" s="4" t="s">
        <v>34</v>
      </c>
      <c r="I161" s="5">
        <v>44713</v>
      </c>
      <c r="J161" s="6">
        <v>10990</v>
      </c>
      <c r="K161" s="6">
        <v>10990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4" t="s">
        <v>55</v>
      </c>
      <c r="R161" s="4">
        <v>0</v>
      </c>
      <c r="S161" s="6">
        <v>9</v>
      </c>
      <c r="T161" s="6">
        <v>0</v>
      </c>
      <c r="U161" s="6">
        <v>0</v>
      </c>
      <c r="V161" s="6">
        <f>IF(ISERROR(VLOOKUP($S$161,'TAR FIN'!$A$1:$O$113,15,0)),0,VLOOKUP($S$161,'TAR FIN'!$A$1:$O$113,15,0))</f>
        <v>35.76</v>
      </c>
      <c r="W161" s="6">
        <f>IF(ISERROR(VLOOKUP($T$161,'TAR FIN'!$A$1:$O$113,15,0)),0,VLOOKUP($T$161,'TAR FIN'!$A$1:$O$113,15,0))</f>
        <v>0</v>
      </c>
      <c r="X161" s="6">
        <f>IF(ISERROR(VLOOKUP($U$161,'TAR FIN'!$A$1:$O$113,15,0)),0,VLOOKUP($U$161,'TAR FIN'!$A$1:$O$113,15,0))</f>
        <v>0</v>
      </c>
      <c r="Y161" s="6">
        <f ca="1">('TUSD BE'!$AM$14+'TUSD BF'!$AM$14+'TUSD CVA'!$AM$14)*1</f>
        <v>40.963640769708675</v>
      </c>
      <c r="Z161" s="6">
        <f ca="1">('TUSD BE'!$AM$16+'TUSD BF'!$AM$16+'TUSD CVA'!$AM$16)*1</f>
        <v>122.14055331663396</v>
      </c>
      <c r="AA161" s="6"/>
      <c r="AB161" s="6">
        <f>$K$161*$V$161</f>
        <v>393002.39999999997</v>
      </c>
      <c r="AC161" s="6">
        <f>$M$161*$W$161</f>
        <v>0</v>
      </c>
      <c r="AD161" s="6">
        <f>$O$161*$X$161</f>
        <v>0</v>
      </c>
      <c r="AE161" s="6">
        <f ca="1">$K$161*$Y$161</f>
        <v>450190.41205909837</v>
      </c>
      <c r="AF161" s="6">
        <f ca="1">$M$161*$Z$161</f>
        <v>0</v>
      </c>
      <c r="AG161" s="6">
        <f>$O$161*$AA$161</f>
        <v>0</v>
      </c>
    </row>
    <row r="162" spans="1:33" ht="11.25" customHeight="1" x14ac:dyDescent="0.3">
      <c r="A162" s="4" t="s">
        <v>21</v>
      </c>
      <c r="B162" s="4" t="s">
        <v>39</v>
      </c>
      <c r="C162" s="4" t="s">
        <v>40</v>
      </c>
      <c r="D162" s="4" t="s">
        <v>38</v>
      </c>
      <c r="E162" s="4" t="s">
        <v>25</v>
      </c>
      <c r="F162" s="4" t="s">
        <v>25</v>
      </c>
      <c r="G162" s="4" t="s">
        <v>25</v>
      </c>
      <c r="H162" s="4" t="s">
        <v>34</v>
      </c>
      <c r="I162" s="5">
        <v>44743</v>
      </c>
      <c r="J162" s="6">
        <v>654</v>
      </c>
      <c r="K162" s="6">
        <v>654</v>
      </c>
      <c r="L162" s="6">
        <v>17.777000000000001</v>
      </c>
      <c r="M162" s="6">
        <v>17.777000000000001</v>
      </c>
      <c r="N162" s="6">
        <v>17.777000000000001</v>
      </c>
      <c r="O162" s="6">
        <v>17.777000000000001</v>
      </c>
      <c r="P162" s="6">
        <v>0</v>
      </c>
      <c r="Q162" s="4" t="s">
        <v>26</v>
      </c>
      <c r="R162" s="4">
        <v>0</v>
      </c>
      <c r="S162" s="6">
        <v>9</v>
      </c>
      <c r="T162" s="6">
        <v>12</v>
      </c>
      <c r="U162" s="6">
        <v>38</v>
      </c>
      <c r="V162" s="6">
        <f>IF(ISERROR(VLOOKUP($S$162,'TAR FIN'!$A$1:$O$113,15,0)),0,VLOOKUP($S$162,'TAR FIN'!$A$1:$O$113,15,0))</f>
        <v>35.76</v>
      </c>
      <c r="W162" s="6">
        <f>IF(ISERROR(VLOOKUP($T$162,'TAR FIN'!$A$1:$O$113,15,0)),0,VLOOKUP($T$162,'TAR FIN'!$A$1:$O$113,15,0))</f>
        <v>72.150000000000006</v>
      </c>
      <c r="X162" s="6">
        <f>IF(ISERROR(VLOOKUP($U$162,'TAR FIN'!$A$1:$O$113,15,0)),0,VLOOKUP($U$162,'TAR FIN'!$A$1:$O$113,15,0))</f>
        <v>442.86</v>
      </c>
      <c r="Y162" s="6">
        <f ca="1">('TUSD BE'!$AM$14+'TUSD BF'!$AM$14+'TUSD CVA'!$AM$14)*1</f>
        <v>40.963640769708675</v>
      </c>
      <c r="Z162" s="6">
        <f ca="1">('TUSD BE'!$AM$16+'TUSD BF'!$AM$16+'TUSD CVA'!$AM$16)*1</f>
        <v>122.14055331663396</v>
      </c>
      <c r="AA162" s="6">
        <f>('TE BE'!$AB$9+'TE BF'!$AB$9+'TE CVA'!$AB$9)*1</f>
        <v>486.43608405794748</v>
      </c>
      <c r="AB162" s="6">
        <f>$K$162*$V$162</f>
        <v>23387.039999999997</v>
      </c>
      <c r="AC162" s="6">
        <f>$M$162*$W$162</f>
        <v>1282.6105500000001</v>
      </c>
      <c r="AD162" s="6">
        <f>$O$162*$X$162</f>
        <v>7872.7222200000006</v>
      </c>
      <c r="AE162" s="6">
        <f ca="1">$K$162*$Y$162</f>
        <v>26790.221063389472</v>
      </c>
      <c r="AF162" s="6">
        <f ca="1">$M$162*$Z$162</f>
        <v>2171.2926163098018</v>
      </c>
      <c r="AG162" s="6">
        <f>$O$162*$AA$162</f>
        <v>8647.3742662981331</v>
      </c>
    </row>
    <row r="163" spans="1:33" ht="11.25" customHeight="1" x14ac:dyDescent="0.3">
      <c r="A163" s="4" t="s">
        <v>21</v>
      </c>
      <c r="B163" s="4" t="s">
        <v>39</v>
      </c>
      <c r="C163" s="4" t="s">
        <v>40</v>
      </c>
      <c r="D163" s="4" t="s">
        <v>38</v>
      </c>
      <c r="E163" s="4" t="s">
        <v>25</v>
      </c>
      <c r="F163" s="4" t="s">
        <v>25</v>
      </c>
      <c r="G163" s="4" t="s">
        <v>25</v>
      </c>
      <c r="H163" s="4" t="s">
        <v>34</v>
      </c>
      <c r="I163" s="5">
        <v>44743</v>
      </c>
      <c r="J163" s="6">
        <v>11005</v>
      </c>
      <c r="K163" s="6">
        <v>11005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4" t="s">
        <v>55</v>
      </c>
      <c r="R163" s="4">
        <v>0</v>
      </c>
      <c r="S163" s="6">
        <v>9</v>
      </c>
      <c r="T163" s="6">
        <v>0</v>
      </c>
      <c r="U163" s="6">
        <v>0</v>
      </c>
      <c r="V163" s="6">
        <f>IF(ISERROR(VLOOKUP($S$163,'TAR FIN'!$A$1:$O$113,15,0)),0,VLOOKUP($S$163,'TAR FIN'!$A$1:$O$113,15,0))</f>
        <v>35.76</v>
      </c>
      <c r="W163" s="6">
        <f>IF(ISERROR(VLOOKUP($T$163,'TAR FIN'!$A$1:$O$113,15,0)),0,VLOOKUP($T$163,'TAR FIN'!$A$1:$O$113,15,0))</f>
        <v>0</v>
      </c>
      <c r="X163" s="6">
        <f>IF(ISERROR(VLOOKUP($U$163,'TAR FIN'!$A$1:$O$113,15,0)),0,VLOOKUP($U$163,'TAR FIN'!$A$1:$O$113,15,0))</f>
        <v>0</v>
      </c>
      <c r="Y163" s="6">
        <f ca="1">('TUSD BE'!$AM$14+'TUSD BF'!$AM$14+'TUSD CVA'!$AM$14)*1</f>
        <v>40.963640769708675</v>
      </c>
      <c r="Z163" s="6">
        <f ca="1">('TUSD BE'!$AM$16+'TUSD BF'!$AM$16+'TUSD CVA'!$AM$16)*1</f>
        <v>122.14055331663396</v>
      </c>
      <c r="AA163" s="6"/>
      <c r="AB163" s="6">
        <f>$K$163*$V$163</f>
        <v>393538.8</v>
      </c>
      <c r="AC163" s="6">
        <f>$M$163*$W$163</f>
        <v>0</v>
      </c>
      <c r="AD163" s="6">
        <f>$O$163*$X$163</f>
        <v>0</v>
      </c>
      <c r="AE163" s="6">
        <f ca="1">$K$163*$Y$163</f>
        <v>450804.86667064397</v>
      </c>
      <c r="AF163" s="6">
        <f ca="1">$M$163*$Z$163</f>
        <v>0</v>
      </c>
      <c r="AG163" s="6">
        <f>$O$163*$AA$163</f>
        <v>0</v>
      </c>
    </row>
    <row r="164" spans="1:33" ht="11.25" customHeight="1" x14ac:dyDescent="0.3">
      <c r="A164" s="4" t="s">
        <v>21</v>
      </c>
      <c r="B164" s="4" t="s">
        <v>39</v>
      </c>
      <c r="C164" s="4" t="s">
        <v>40</v>
      </c>
      <c r="D164" s="4" t="s">
        <v>38</v>
      </c>
      <c r="E164" s="4" t="s">
        <v>25</v>
      </c>
      <c r="F164" s="4" t="s">
        <v>25</v>
      </c>
      <c r="G164" s="4" t="s">
        <v>25</v>
      </c>
      <c r="H164" s="4" t="s">
        <v>34</v>
      </c>
      <c r="I164" s="5">
        <v>44774</v>
      </c>
      <c r="J164" s="6">
        <v>650</v>
      </c>
      <c r="K164" s="6">
        <v>650</v>
      </c>
      <c r="L164" s="6">
        <v>30.539000000000001</v>
      </c>
      <c r="M164" s="6">
        <v>30.539000000000001</v>
      </c>
      <c r="N164" s="6">
        <v>30.539000000000001</v>
      </c>
      <c r="O164" s="6">
        <v>30.539000000000001</v>
      </c>
      <c r="P164" s="6">
        <v>0</v>
      </c>
      <c r="Q164" s="4" t="s">
        <v>26</v>
      </c>
      <c r="R164" s="4">
        <v>0</v>
      </c>
      <c r="S164" s="6">
        <v>9</v>
      </c>
      <c r="T164" s="6">
        <v>12</v>
      </c>
      <c r="U164" s="6">
        <v>38</v>
      </c>
      <c r="V164" s="6">
        <f>IF(ISERROR(VLOOKUP($S$164,'TAR FIN'!$A$1:$O$113,15,0)),0,VLOOKUP($S$164,'TAR FIN'!$A$1:$O$113,15,0))</f>
        <v>35.76</v>
      </c>
      <c r="W164" s="6">
        <f>IF(ISERROR(VLOOKUP($T$164,'TAR FIN'!$A$1:$O$113,15,0)),0,VLOOKUP($T$164,'TAR FIN'!$A$1:$O$113,15,0))</f>
        <v>72.150000000000006</v>
      </c>
      <c r="X164" s="6">
        <f>IF(ISERROR(VLOOKUP($U$164,'TAR FIN'!$A$1:$O$113,15,0)),0,VLOOKUP($U$164,'TAR FIN'!$A$1:$O$113,15,0))</f>
        <v>442.86</v>
      </c>
      <c r="Y164" s="6">
        <f ca="1">('TUSD BE'!$AM$14+'TUSD BF'!$AM$14+'TUSD CVA'!$AM$14)*1</f>
        <v>40.963640769708675</v>
      </c>
      <c r="Z164" s="6">
        <f ca="1">('TUSD BE'!$AM$16+'TUSD BF'!$AM$16+'TUSD CVA'!$AM$16)*1</f>
        <v>122.14055331663396</v>
      </c>
      <c r="AA164" s="6">
        <f>('TE BE'!$AB$9+'TE BF'!$AB$9+'TE CVA'!$AB$9)*1</f>
        <v>486.43608405794748</v>
      </c>
      <c r="AB164" s="6">
        <f>$K$164*$V$164</f>
        <v>23244</v>
      </c>
      <c r="AC164" s="6">
        <f>$M$164*$W$164</f>
        <v>2203.3888500000003</v>
      </c>
      <c r="AD164" s="6">
        <f>$O$164*$X$164</f>
        <v>13524.501540000001</v>
      </c>
      <c r="AE164" s="6">
        <f ca="1">$K$164*$Y$164</f>
        <v>26626.36650031064</v>
      </c>
      <c r="AF164" s="6">
        <f ca="1">$M$164*$Z$164</f>
        <v>3730.0503577366844</v>
      </c>
      <c r="AG164" s="6">
        <f>$O$164*$AA$164</f>
        <v>14855.27157104566</v>
      </c>
    </row>
    <row r="165" spans="1:33" ht="11.25" customHeight="1" x14ac:dyDescent="0.3">
      <c r="A165" s="4" t="s">
        <v>21</v>
      </c>
      <c r="B165" s="4" t="s">
        <v>39</v>
      </c>
      <c r="C165" s="4" t="s">
        <v>40</v>
      </c>
      <c r="D165" s="4" t="s">
        <v>38</v>
      </c>
      <c r="E165" s="4" t="s">
        <v>25</v>
      </c>
      <c r="F165" s="4" t="s">
        <v>25</v>
      </c>
      <c r="G165" s="4" t="s">
        <v>25</v>
      </c>
      <c r="H165" s="4" t="s">
        <v>34</v>
      </c>
      <c r="I165" s="5">
        <v>44774</v>
      </c>
      <c r="J165" s="6">
        <v>10478</v>
      </c>
      <c r="K165" s="6">
        <v>10478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4" t="s">
        <v>55</v>
      </c>
      <c r="R165" s="4">
        <v>0</v>
      </c>
      <c r="S165" s="6">
        <v>9</v>
      </c>
      <c r="T165" s="6">
        <v>0</v>
      </c>
      <c r="U165" s="6">
        <v>0</v>
      </c>
      <c r="V165" s="6">
        <f>IF(ISERROR(VLOOKUP($S$165,'TAR FIN'!$A$1:$O$113,15,0)),0,VLOOKUP($S$165,'TAR FIN'!$A$1:$O$113,15,0))</f>
        <v>35.76</v>
      </c>
      <c r="W165" s="6">
        <f>IF(ISERROR(VLOOKUP($T$165,'TAR FIN'!$A$1:$O$113,15,0)),0,VLOOKUP($T$165,'TAR FIN'!$A$1:$O$113,15,0))</f>
        <v>0</v>
      </c>
      <c r="X165" s="6">
        <f>IF(ISERROR(VLOOKUP($U$165,'TAR FIN'!$A$1:$O$113,15,0)),0,VLOOKUP($U$165,'TAR FIN'!$A$1:$O$113,15,0))</f>
        <v>0</v>
      </c>
      <c r="Y165" s="6">
        <f ca="1">('TUSD BE'!$AM$14+'TUSD BF'!$AM$14+'TUSD CVA'!$AM$14)*1</f>
        <v>40.963640769708675</v>
      </c>
      <c r="Z165" s="6">
        <f ca="1">('TUSD BE'!$AM$16+'TUSD BF'!$AM$16+'TUSD CVA'!$AM$16)*1</f>
        <v>122.14055331663396</v>
      </c>
      <c r="AA165" s="6"/>
      <c r="AB165" s="6">
        <f>$K$165*$V$165</f>
        <v>374693.27999999997</v>
      </c>
      <c r="AC165" s="6">
        <f>$M$165*$W$165</f>
        <v>0</v>
      </c>
      <c r="AD165" s="6">
        <f>$O$165*$X$165</f>
        <v>0</v>
      </c>
      <c r="AE165" s="6">
        <f ca="1">$K$165*$Y$165</f>
        <v>429217.0279850075</v>
      </c>
      <c r="AF165" s="6">
        <f ca="1">$M$165*$Z$165</f>
        <v>0</v>
      </c>
      <c r="AG165" s="6">
        <f>$O$165*$AA$165</f>
        <v>0</v>
      </c>
    </row>
    <row r="166" spans="1:33" ht="11.25" customHeight="1" x14ac:dyDescent="0.3">
      <c r="A166" s="4" t="s">
        <v>21</v>
      </c>
      <c r="B166" s="4" t="s">
        <v>39</v>
      </c>
      <c r="C166" s="4" t="s">
        <v>40</v>
      </c>
      <c r="D166" s="4" t="s">
        <v>38</v>
      </c>
      <c r="E166" s="4" t="s">
        <v>25</v>
      </c>
      <c r="F166" s="4" t="s">
        <v>25</v>
      </c>
      <c r="G166" s="4" t="s">
        <v>25</v>
      </c>
      <c r="H166" s="4" t="s">
        <v>34</v>
      </c>
      <c r="I166" s="5">
        <v>44805</v>
      </c>
      <c r="J166" s="6">
        <v>658</v>
      </c>
      <c r="K166" s="6">
        <v>658</v>
      </c>
      <c r="L166" s="6">
        <v>33.716999999999999</v>
      </c>
      <c r="M166" s="6">
        <v>33.716999999999999</v>
      </c>
      <c r="N166" s="6">
        <v>33.716999999999999</v>
      </c>
      <c r="O166" s="6">
        <v>33.716999999999999</v>
      </c>
      <c r="P166" s="6">
        <v>0</v>
      </c>
      <c r="Q166" s="4" t="s">
        <v>26</v>
      </c>
      <c r="R166" s="4">
        <v>0</v>
      </c>
      <c r="S166" s="6">
        <v>9</v>
      </c>
      <c r="T166" s="6">
        <v>12</v>
      </c>
      <c r="U166" s="6">
        <v>38</v>
      </c>
      <c r="V166" s="6">
        <f>IF(ISERROR(VLOOKUP($S$166,'TAR FIN'!$A$1:$O$113,15,0)),0,VLOOKUP($S$166,'TAR FIN'!$A$1:$O$113,15,0))</f>
        <v>35.76</v>
      </c>
      <c r="W166" s="6">
        <f>IF(ISERROR(VLOOKUP($T$166,'TAR FIN'!$A$1:$O$113,15,0)),0,VLOOKUP($T$166,'TAR FIN'!$A$1:$O$113,15,0))</f>
        <v>72.150000000000006</v>
      </c>
      <c r="X166" s="6">
        <f>IF(ISERROR(VLOOKUP($U$166,'TAR FIN'!$A$1:$O$113,15,0)),0,VLOOKUP($U$166,'TAR FIN'!$A$1:$O$113,15,0))</f>
        <v>442.86</v>
      </c>
      <c r="Y166" s="6">
        <f ca="1">('TUSD BE'!$AM$14+'TUSD BF'!$AM$14+'TUSD CVA'!$AM$14)*1</f>
        <v>40.963640769708675</v>
      </c>
      <c r="Z166" s="6">
        <f ca="1">('TUSD BE'!$AM$16+'TUSD BF'!$AM$16+'TUSD CVA'!$AM$16)*1</f>
        <v>122.14055331663396</v>
      </c>
      <c r="AA166" s="6">
        <f>('TE BE'!$AB$9+'TE BF'!$AB$9+'TE CVA'!$AB$9)*1</f>
        <v>486.43608405794748</v>
      </c>
      <c r="AB166" s="6">
        <f>$K$166*$V$166</f>
        <v>23530.079999999998</v>
      </c>
      <c r="AC166" s="6">
        <f>$M$166*$W$166</f>
        <v>2432.6815500000002</v>
      </c>
      <c r="AD166" s="6">
        <f>$O$166*$X$166</f>
        <v>14931.910620000001</v>
      </c>
      <c r="AE166" s="6">
        <f ca="1">$K$166*$Y$166</f>
        <v>26954.075626468308</v>
      </c>
      <c r="AF166" s="6">
        <f ca="1">$M$166*$Z$166</f>
        <v>4118.2130361769468</v>
      </c>
      <c r="AG166" s="6">
        <f>$O$166*$AA$166</f>
        <v>16401.165446181814</v>
      </c>
    </row>
    <row r="167" spans="1:33" ht="11.25" customHeight="1" x14ac:dyDescent="0.3">
      <c r="A167" s="4" t="s">
        <v>21</v>
      </c>
      <c r="B167" s="4" t="s">
        <v>39</v>
      </c>
      <c r="C167" s="4" t="s">
        <v>40</v>
      </c>
      <c r="D167" s="4" t="s">
        <v>38</v>
      </c>
      <c r="E167" s="4" t="s">
        <v>25</v>
      </c>
      <c r="F167" s="4" t="s">
        <v>25</v>
      </c>
      <c r="G167" s="4" t="s">
        <v>25</v>
      </c>
      <c r="H167" s="4" t="s">
        <v>34</v>
      </c>
      <c r="I167" s="5">
        <v>44805</v>
      </c>
      <c r="J167" s="6">
        <v>11864</v>
      </c>
      <c r="K167" s="6">
        <v>11864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4" t="s">
        <v>55</v>
      </c>
      <c r="R167" s="4">
        <v>0</v>
      </c>
      <c r="S167" s="6">
        <v>9</v>
      </c>
      <c r="T167" s="6">
        <v>0</v>
      </c>
      <c r="U167" s="6">
        <v>0</v>
      </c>
      <c r="V167" s="6">
        <f>IF(ISERROR(VLOOKUP($S$167,'TAR FIN'!$A$1:$O$113,15,0)),0,VLOOKUP($S$167,'TAR FIN'!$A$1:$O$113,15,0))</f>
        <v>35.76</v>
      </c>
      <c r="W167" s="6">
        <f>IF(ISERROR(VLOOKUP($T$167,'TAR FIN'!$A$1:$O$113,15,0)),0,VLOOKUP($T$167,'TAR FIN'!$A$1:$O$113,15,0))</f>
        <v>0</v>
      </c>
      <c r="X167" s="6">
        <f>IF(ISERROR(VLOOKUP($U$167,'TAR FIN'!$A$1:$O$113,15,0)),0,VLOOKUP($U$167,'TAR FIN'!$A$1:$O$113,15,0))</f>
        <v>0</v>
      </c>
      <c r="Y167" s="6">
        <f ca="1">('TUSD BE'!$AM$14+'TUSD BF'!$AM$14+'TUSD CVA'!$AM$14)*1</f>
        <v>40.963640769708675</v>
      </c>
      <c r="Z167" s="6">
        <f ca="1">('TUSD BE'!$AM$16+'TUSD BF'!$AM$16+'TUSD CVA'!$AM$16)*1</f>
        <v>122.14055331663396</v>
      </c>
      <c r="AA167" s="6"/>
      <c r="AB167" s="6">
        <f>$K$167*$V$167</f>
        <v>424256.63999999996</v>
      </c>
      <c r="AC167" s="6">
        <f>$M$167*$W$167</f>
        <v>0</v>
      </c>
      <c r="AD167" s="6">
        <f>$O$167*$X$167</f>
        <v>0</v>
      </c>
      <c r="AE167" s="6">
        <f ca="1">$K$167*$Y$167</f>
        <v>485992.63409182371</v>
      </c>
      <c r="AF167" s="6">
        <f ca="1">$M$167*$Z$167</f>
        <v>0</v>
      </c>
      <c r="AG167" s="6">
        <f>$O$167*$AA$167</f>
        <v>0</v>
      </c>
    </row>
    <row r="168" spans="1:33" ht="11.25" customHeight="1" x14ac:dyDescent="0.3">
      <c r="A168" s="4" t="s">
        <v>53</v>
      </c>
      <c r="B168" s="4" t="s">
        <v>39</v>
      </c>
      <c r="C168" s="4" t="s">
        <v>40</v>
      </c>
      <c r="D168" s="4" t="s">
        <v>38</v>
      </c>
      <c r="E168" s="4" t="s">
        <v>25</v>
      </c>
      <c r="F168" s="4" t="s">
        <v>25</v>
      </c>
      <c r="G168" s="4" t="s">
        <v>25</v>
      </c>
      <c r="H168" s="4" t="s">
        <v>34</v>
      </c>
      <c r="I168" s="5">
        <v>44835</v>
      </c>
      <c r="J168" s="6">
        <v>658</v>
      </c>
      <c r="K168" s="6">
        <v>658</v>
      </c>
      <c r="L168" s="6">
        <v>33.716999999999999</v>
      </c>
      <c r="M168" s="6">
        <v>33.716999999999999</v>
      </c>
      <c r="N168" s="6">
        <v>33.716999999999999</v>
      </c>
      <c r="O168" s="6">
        <v>33.716999999999999</v>
      </c>
      <c r="P168" s="6">
        <v>0</v>
      </c>
      <c r="Q168" s="4" t="s">
        <v>26</v>
      </c>
      <c r="R168" s="4">
        <v>0</v>
      </c>
      <c r="S168" s="6">
        <v>9</v>
      </c>
      <c r="T168" s="6">
        <v>12</v>
      </c>
      <c r="U168" s="6">
        <v>38</v>
      </c>
      <c r="V168" s="6">
        <f>IF(ISERROR(VLOOKUP($S$168,'TAR FIN'!$A$1:$O$113,15,0)),0,VLOOKUP($S$168,'TAR FIN'!$A$1:$O$113,15,0))</f>
        <v>35.76</v>
      </c>
      <c r="W168" s="6">
        <f>IF(ISERROR(VLOOKUP($T$168,'TAR FIN'!$A$1:$O$113,15,0)),0,VLOOKUP($T$168,'TAR FIN'!$A$1:$O$113,15,0))</f>
        <v>72.150000000000006</v>
      </c>
      <c r="X168" s="6">
        <f>IF(ISERROR(VLOOKUP($U$168,'TAR FIN'!$A$1:$O$113,15,0)),0,VLOOKUP($U$168,'TAR FIN'!$A$1:$O$113,15,0))</f>
        <v>442.86</v>
      </c>
      <c r="Y168" s="6">
        <f ca="1">('TUSD BE'!$AM$14+'TUSD BF'!$AM$14+'TUSD CVA'!$AM$14)*1</f>
        <v>40.963640769708675</v>
      </c>
      <c r="Z168" s="6">
        <f ca="1">('TUSD BE'!$AM$16+'TUSD BF'!$AM$16+'TUSD CVA'!$AM$16)*1</f>
        <v>122.14055331663396</v>
      </c>
      <c r="AA168" s="6">
        <f>('TE BE'!$AB$9+'TE BF'!$AB$9+'TE CVA'!$AB$9)*1</f>
        <v>486.43608405794748</v>
      </c>
      <c r="AB168" s="6">
        <f>$K$168*$V$168</f>
        <v>23530.079999999998</v>
      </c>
      <c r="AC168" s="6">
        <f>$M$168*$W$168</f>
        <v>2432.6815500000002</v>
      </c>
      <c r="AD168" s="6">
        <f>$O$168*$X$168</f>
        <v>14931.910620000001</v>
      </c>
      <c r="AE168" s="6">
        <f ca="1">$K$168*$Y$168</f>
        <v>26954.075626468308</v>
      </c>
      <c r="AF168" s="6">
        <f ca="1">$M$168*$Z$168</f>
        <v>4118.2130361769468</v>
      </c>
      <c r="AG168" s="6">
        <f>$O$168*$AA$168</f>
        <v>16401.165446181814</v>
      </c>
    </row>
    <row r="169" spans="1:33" ht="11.25" customHeight="1" x14ac:dyDescent="0.3">
      <c r="A169" s="4" t="s">
        <v>53</v>
      </c>
      <c r="B169" s="4" t="s">
        <v>39</v>
      </c>
      <c r="C169" s="4" t="s">
        <v>40</v>
      </c>
      <c r="D169" s="4" t="s">
        <v>38</v>
      </c>
      <c r="E169" s="4" t="s">
        <v>25</v>
      </c>
      <c r="F169" s="4" t="s">
        <v>25</v>
      </c>
      <c r="G169" s="4" t="s">
        <v>25</v>
      </c>
      <c r="H169" s="4" t="s">
        <v>34</v>
      </c>
      <c r="I169" s="5">
        <v>44835</v>
      </c>
      <c r="J169" s="6">
        <v>11864</v>
      </c>
      <c r="K169" s="6">
        <v>11864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4" t="s">
        <v>55</v>
      </c>
      <c r="R169" s="4">
        <v>0</v>
      </c>
      <c r="S169" s="6">
        <v>9</v>
      </c>
      <c r="T169" s="6">
        <v>0</v>
      </c>
      <c r="U169" s="6">
        <v>0</v>
      </c>
      <c r="V169" s="6">
        <f>IF(ISERROR(VLOOKUP($S$169,'TAR FIN'!$A$1:$O$113,15,0)),0,VLOOKUP($S$169,'TAR FIN'!$A$1:$O$113,15,0))</f>
        <v>35.76</v>
      </c>
      <c r="W169" s="6">
        <f>IF(ISERROR(VLOOKUP($T$169,'TAR FIN'!$A$1:$O$113,15,0)),0,VLOOKUP($T$169,'TAR FIN'!$A$1:$O$113,15,0))</f>
        <v>0</v>
      </c>
      <c r="X169" s="6">
        <f>IF(ISERROR(VLOOKUP($U$169,'TAR FIN'!$A$1:$O$113,15,0)),0,VLOOKUP($U$169,'TAR FIN'!$A$1:$O$113,15,0))</f>
        <v>0</v>
      </c>
      <c r="Y169" s="6">
        <f ca="1">('TUSD BE'!$AM$14+'TUSD BF'!$AM$14+'TUSD CVA'!$AM$14)*1</f>
        <v>40.963640769708675</v>
      </c>
      <c r="Z169" s="6">
        <f ca="1">('TUSD BE'!$AM$16+'TUSD BF'!$AM$16+'TUSD CVA'!$AM$16)*1</f>
        <v>122.14055331663396</v>
      </c>
      <c r="AA169" s="6"/>
      <c r="AB169" s="6">
        <f>$K$169*$V$169</f>
        <v>424256.63999999996</v>
      </c>
      <c r="AC169" s="6">
        <f>$M$169*$W$169</f>
        <v>0</v>
      </c>
      <c r="AD169" s="6">
        <f>$O$169*$X$169</f>
        <v>0</v>
      </c>
      <c r="AE169" s="6">
        <f ca="1">$K$169*$Y$169</f>
        <v>485992.63409182371</v>
      </c>
      <c r="AF169" s="6">
        <f ca="1">$M$169*$Z$169</f>
        <v>0</v>
      </c>
      <c r="AG169" s="6">
        <f>$O$169*$AA$169</f>
        <v>0</v>
      </c>
    </row>
    <row r="170" spans="1:33" ht="11.25" customHeight="1" x14ac:dyDescent="0.3">
      <c r="A170" s="4" t="s">
        <v>21</v>
      </c>
      <c r="B170" s="4" t="s">
        <v>39</v>
      </c>
      <c r="C170" s="4" t="s">
        <v>40</v>
      </c>
      <c r="D170" s="4" t="s">
        <v>50</v>
      </c>
      <c r="E170" s="4" t="s">
        <v>51</v>
      </c>
      <c r="F170" s="4" t="s">
        <v>25</v>
      </c>
      <c r="G170" s="4" t="s">
        <v>25</v>
      </c>
      <c r="H170" s="4" t="s">
        <v>35</v>
      </c>
      <c r="I170" s="5">
        <v>44501</v>
      </c>
      <c r="J170" s="6">
        <v>210</v>
      </c>
      <c r="K170" s="52">
        <v>210</v>
      </c>
      <c r="L170" s="6">
        <v>97.087000000000003</v>
      </c>
      <c r="M170" s="53">
        <v>97.087000000000003</v>
      </c>
      <c r="N170" s="6">
        <v>97.087000000000003</v>
      </c>
      <c r="O170" s="53">
        <v>97.087000000000003</v>
      </c>
      <c r="P170" s="6">
        <v>0</v>
      </c>
      <c r="Q170" s="4" t="s">
        <v>26</v>
      </c>
      <c r="R170" s="4">
        <v>0</v>
      </c>
      <c r="S170" s="6">
        <v>22</v>
      </c>
      <c r="T170" s="6">
        <v>12</v>
      </c>
      <c r="U170" s="6">
        <v>61</v>
      </c>
      <c r="V170" s="53">
        <f>IF(ISERROR(VLOOKUP($S$170,'TAR FIN'!$A$1:$O$113,15,0)),0,VLOOKUP($S$170,'TAR FIN'!$A$1:$O$113,15,0))*(1-0.06)</f>
        <v>13.16</v>
      </c>
      <c r="W170" s="53">
        <f>IF(ISERROR(VLOOKUP($T$170,'TAR FIN'!$A$1:$O$113,15,0)),0,VLOOKUP($T$170,'TAR FIN'!$A$1:$O$113,15,0))*(1-0.06)</f>
        <v>67.820999999999998</v>
      </c>
      <c r="X170" s="53">
        <f>IF(ISERROR(VLOOKUP($U$170,'TAR FIN'!$A$1:$O$113,15,0)),0,VLOOKUP($U$170,'TAR FIN'!$A$1:$O$113,15,0))*(1-0.06)</f>
        <v>261.94979999999998</v>
      </c>
      <c r="Y170" s="53">
        <f ca="1">('TUSD BE'!$AM$15+'TUSD BF'!$AM$15+'TUSD CVA'!$AM$15)*1*(1-0.03)</f>
        <v>15.554875305631656</v>
      </c>
      <c r="Z170" s="53">
        <f ca="1">('TUSD BE'!$AM$16+'TUSD BF'!$AM$16+'TUSD CVA'!$AM$16)*1*(1-0.03)</f>
        <v>118.47633671713493</v>
      </c>
      <c r="AA170" s="53">
        <f>('TE BE'!$AB$10+'TE BF'!$AB$10+'TE CVA'!$AB$10)*1*(1-0.03)</f>
        <v>290.20513391436589</v>
      </c>
      <c r="AB170" s="6">
        <f>$K$170*$V$170</f>
        <v>2763.6</v>
      </c>
      <c r="AC170" s="6">
        <f>$M$170*$W$170</f>
        <v>6584.5374270000002</v>
      </c>
      <c r="AD170" s="6">
        <f>$O$170*$X$170</f>
        <v>25431.920232599998</v>
      </c>
      <c r="AE170" s="6">
        <f ca="1">$K$170*$Y$170</f>
        <v>3266.5238141826476</v>
      </c>
      <c r="AF170" s="6">
        <f ca="1">$M$170*$Z$170</f>
        <v>11502.512102856479</v>
      </c>
      <c r="AG170" s="6">
        <f>$O$170*$AA$170</f>
        <v>28175.145836344043</v>
      </c>
    </row>
    <row r="171" spans="1:33" ht="11.25" customHeight="1" x14ac:dyDescent="0.3">
      <c r="A171" s="4" t="s">
        <v>21</v>
      </c>
      <c r="B171" s="4" t="s">
        <v>39</v>
      </c>
      <c r="C171" s="4" t="s">
        <v>40</v>
      </c>
      <c r="D171" s="4" t="s">
        <v>50</v>
      </c>
      <c r="E171" s="4" t="s">
        <v>51</v>
      </c>
      <c r="F171" s="4" t="s">
        <v>25</v>
      </c>
      <c r="G171" s="4" t="s">
        <v>25</v>
      </c>
      <c r="H171" s="4" t="s">
        <v>35</v>
      </c>
      <c r="I171" s="5">
        <v>44531</v>
      </c>
      <c r="J171" s="6">
        <v>210</v>
      </c>
      <c r="K171" s="52">
        <v>210</v>
      </c>
      <c r="L171" s="6">
        <v>93.664000000000001</v>
      </c>
      <c r="M171" s="53">
        <v>93.664000000000001</v>
      </c>
      <c r="N171" s="6">
        <v>93.664000000000001</v>
      </c>
      <c r="O171" s="53">
        <v>93.664000000000001</v>
      </c>
      <c r="P171" s="6">
        <v>0</v>
      </c>
      <c r="Q171" s="4" t="s">
        <v>26</v>
      </c>
      <c r="R171" s="4">
        <v>0</v>
      </c>
      <c r="S171" s="6">
        <v>22</v>
      </c>
      <c r="T171" s="6">
        <v>12</v>
      </c>
      <c r="U171" s="6">
        <v>61</v>
      </c>
      <c r="V171" s="53">
        <f>IF(ISERROR(VLOOKUP($S$171,'TAR FIN'!$A$1:$O$113,15,0)),0,VLOOKUP($S$171,'TAR FIN'!$A$1:$O$113,15,0))*(1-0.06)</f>
        <v>13.16</v>
      </c>
      <c r="W171" s="53">
        <f>IF(ISERROR(VLOOKUP($T$171,'TAR FIN'!$A$1:$O$113,15,0)),0,VLOOKUP($T$171,'TAR FIN'!$A$1:$O$113,15,0))*(1-0.06)</f>
        <v>67.820999999999998</v>
      </c>
      <c r="X171" s="53">
        <f>IF(ISERROR(VLOOKUP($U$171,'TAR FIN'!$A$1:$O$113,15,0)),0,VLOOKUP($U$171,'TAR FIN'!$A$1:$O$113,15,0))*(1-0.06)</f>
        <v>261.94979999999998</v>
      </c>
      <c r="Y171" s="53">
        <f ca="1">('TUSD BE'!$AM$15+'TUSD BF'!$AM$15+'TUSD CVA'!$AM$15)*1*(1-0.03)</f>
        <v>15.554875305631656</v>
      </c>
      <c r="Z171" s="53">
        <f ca="1">('TUSD BE'!$AM$16+'TUSD BF'!$AM$16+'TUSD CVA'!$AM$16)*1*(1-0.03)</f>
        <v>118.47633671713493</v>
      </c>
      <c r="AA171" s="53">
        <f>('TE BE'!$AB$10+'TE BF'!$AB$10+'TE CVA'!$AB$10)*1*(1-0.03)</f>
        <v>290.20513391436589</v>
      </c>
      <c r="AB171" s="6">
        <f>$K$171*$V$171</f>
        <v>2763.6</v>
      </c>
      <c r="AC171" s="6">
        <f>$M$171*$W$171</f>
        <v>6352.3861440000001</v>
      </c>
      <c r="AD171" s="6">
        <f>$O$171*$X$171</f>
        <v>24535.266067199998</v>
      </c>
      <c r="AE171" s="6">
        <f ca="1">$K$171*$Y$171</f>
        <v>3266.5238141826476</v>
      </c>
      <c r="AF171" s="6">
        <f ca="1">$M$171*$Z$171</f>
        <v>11096.967602273726</v>
      </c>
      <c r="AG171" s="6">
        <f>$O$171*$AA$171</f>
        <v>27181.773662955165</v>
      </c>
    </row>
    <row r="172" spans="1:33" ht="11.25" customHeight="1" x14ac:dyDescent="0.3">
      <c r="A172" s="4" t="s">
        <v>21</v>
      </c>
      <c r="B172" s="4" t="s">
        <v>39</v>
      </c>
      <c r="C172" s="4" t="s">
        <v>40</v>
      </c>
      <c r="D172" s="4" t="s">
        <v>50</v>
      </c>
      <c r="E172" s="4" t="s">
        <v>51</v>
      </c>
      <c r="F172" s="4" t="s">
        <v>25</v>
      </c>
      <c r="G172" s="4" t="s">
        <v>25</v>
      </c>
      <c r="H172" s="4" t="s">
        <v>35</v>
      </c>
      <c r="I172" s="5">
        <v>44562</v>
      </c>
      <c r="J172" s="6">
        <v>210</v>
      </c>
      <c r="K172" s="52">
        <v>210</v>
      </c>
      <c r="L172" s="6">
        <v>106.041</v>
      </c>
      <c r="M172" s="53">
        <v>106.041</v>
      </c>
      <c r="N172" s="6">
        <v>106.041</v>
      </c>
      <c r="O172" s="53">
        <v>106.041</v>
      </c>
      <c r="P172" s="6">
        <v>0</v>
      </c>
      <c r="Q172" s="4" t="s">
        <v>26</v>
      </c>
      <c r="R172" s="4">
        <v>0</v>
      </c>
      <c r="S172" s="6">
        <v>22</v>
      </c>
      <c r="T172" s="6">
        <v>12</v>
      </c>
      <c r="U172" s="6">
        <v>61</v>
      </c>
      <c r="V172" s="53">
        <f>IF(ISERROR(VLOOKUP($S$172,'TAR FIN'!$A$1:$O$113,15,0)),0,VLOOKUP($S$172,'TAR FIN'!$A$1:$O$113,15,0))*(1-0.06)</f>
        <v>13.16</v>
      </c>
      <c r="W172" s="53">
        <f>IF(ISERROR(VLOOKUP($T$172,'TAR FIN'!$A$1:$O$113,15,0)),0,VLOOKUP($T$172,'TAR FIN'!$A$1:$O$113,15,0))*(1-0.06)</f>
        <v>67.820999999999998</v>
      </c>
      <c r="X172" s="53">
        <f>IF(ISERROR(VLOOKUP($U$172,'TAR FIN'!$A$1:$O$113,15,0)),0,VLOOKUP($U$172,'TAR FIN'!$A$1:$O$113,15,0))*(1-0.06)</f>
        <v>261.94979999999998</v>
      </c>
      <c r="Y172" s="53">
        <f ca="1">('TUSD BE'!$AM$15+'TUSD BF'!$AM$15+'TUSD CVA'!$AM$15)*1*(1-0.03)</f>
        <v>15.554875305631656</v>
      </c>
      <c r="Z172" s="53">
        <f ca="1">('TUSD BE'!$AM$16+'TUSD BF'!$AM$16+'TUSD CVA'!$AM$16)*1*(1-0.03)</f>
        <v>118.47633671713493</v>
      </c>
      <c r="AA172" s="53">
        <f>('TE BE'!$AB$10+'TE BF'!$AB$10+'TE CVA'!$AB$10)*1*(1-0.03)</f>
        <v>290.20513391436589</v>
      </c>
      <c r="AB172" s="6">
        <f>$K$172*$V$172</f>
        <v>2763.6</v>
      </c>
      <c r="AC172" s="6">
        <f>$M$172*$W$172</f>
        <v>7191.8066609999996</v>
      </c>
      <c r="AD172" s="6">
        <f>$O$172*$X$172</f>
        <v>27777.418741799996</v>
      </c>
      <c r="AE172" s="6">
        <f ca="1">$K$172*$Y$172</f>
        <v>3266.5238141826476</v>
      </c>
      <c r="AF172" s="6">
        <f ca="1">$M$172*$Z$172</f>
        <v>12563.349221821705</v>
      </c>
      <c r="AG172" s="6">
        <f>$O$172*$AA$172</f>
        <v>30773.642605413272</v>
      </c>
    </row>
    <row r="173" spans="1:33" ht="11.25" customHeight="1" x14ac:dyDescent="0.3">
      <c r="A173" s="4" t="s">
        <v>21</v>
      </c>
      <c r="B173" s="4" t="s">
        <v>39</v>
      </c>
      <c r="C173" s="4" t="s">
        <v>40</v>
      </c>
      <c r="D173" s="4" t="s">
        <v>50</v>
      </c>
      <c r="E173" s="4" t="s">
        <v>51</v>
      </c>
      <c r="F173" s="4" t="s">
        <v>25</v>
      </c>
      <c r="G173" s="4" t="s">
        <v>25</v>
      </c>
      <c r="H173" s="4" t="s">
        <v>35</v>
      </c>
      <c r="I173" s="5">
        <v>44593</v>
      </c>
      <c r="J173" s="6">
        <v>210</v>
      </c>
      <c r="K173" s="52">
        <v>210</v>
      </c>
      <c r="L173" s="6">
        <v>103.517</v>
      </c>
      <c r="M173" s="53">
        <v>103.517</v>
      </c>
      <c r="N173" s="6">
        <v>103.517</v>
      </c>
      <c r="O173" s="53">
        <v>103.517</v>
      </c>
      <c r="P173" s="6">
        <v>0</v>
      </c>
      <c r="Q173" s="4" t="s">
        <v>26</v>
      </c>
      <c r="R173" s="4">
        <v>0</v>
      </c>
      <c r="S173" s="6">
        <v>22</v>
      </c>
      <c r="T173" s="6">
        <v>12</v>
      </c>
      <c r="U173" s="6">
        <v>61</v>
      </c>
      <c r="V173" s="53">
        <f>IF(ISERROR(VLOOKUP($S$173,'TAR FIN'!$A$1:$O$113,15,0)),0,VLOOKUP($S$173,'TAR FIN'!$A$1:$O$113,15,0))*(1-0.06)</f>
        <v>13.16</v>
      </c>
      <c r="W173" s="53">
        <f>IF(ISERROR(VLOOKUP($T$173,'TAR FIN'!$A$1:$O$113,15,0)),0,VLOOKUP($T$173,'TAR FIN'!$A$1:$O$113,15,0))*(1-0.06)</f>
        <v>67.820999999999998</v>
      </c>
      <c r="X173" s="53">
        <f>IF(ISERROR(VLOOKUP($U$173,'TAR FIN'!$A$1:$O$113,15,0)),0,VLOOKUP($U$173,'TAR FIN'!$A$1:$O$113,15,0))*(1-0.06)</f>
        <v>261.94979999999998</v>
      </c>
      <c r="Y173" s="53">
        <f ca="1">('TUSD BE'!$AM$15+'TUSD BF'!$AM$15+'TUSD CVA'!$AM$15)*1*(1-0.03)</f>
        <v>15.554875305631656</v>
      </c>
      <c r="Z173" s="53">
        <f ca="1">('TUSD BE'!$AM$16+'TUSD BF'!$AM$16+'TUSD CVA'!$AM$16)*1*(1-0.03)</f>
        <v>118.47633671713493</v>
      </c>
      <c r="AA173" s="53">
        <f>('TE BE'!$AB$10+'TE BF'!$AB$10+'TE CVA'!$AB$10)*1*(1-0.03)</f>
        <v>290.20513391436589</v>
      </c>
      <c r="AB173" s="6">
        <f>$K$173*$V$173</f>
        <v>2763.6</v>
      </c>
      <c r="AC173" s="6">
        <f>$M$173*$W$173</f>
        <v>7020.6264569999994</v>
      </c>
      <c r="AD173" s="6">
        <f>$O$173*$X$173</f>
        <v>27116.257446599997</v>
      </c>
      <c r="AE173" s="6">
        <f ca="1">$K$173*$Y$173</f>
        <v>3266.5238141826476</v>
      </c>
      <c r="AF173" s="6">
        <f ca="1">$M$173*$Z$173</f>
        <v>12264.314947947656</v>
      </c>
      <c r="AG173" s="6">
        <f>$O$173*$AA$173</f>
        <v>30041.164847413413</v>
      </c>
    </row>
    <row r="174" spans="1:33" ht="11.25" customHeight="1" x14ac:dyDescent="0.3">
      <c r="A174" s="4" t="s">
        <v>21</v>
      </c>
      <c r="B174" s="4" t="s">
        <v>39</v>
      </c>
      <c r="C174" s="4" t="s">
        <v>40</v>
      </c>
      <c r="D174" s="4" t="s">
        <v>50</v>
      </c>
      <c r="E174" s="4" t="s">
        <v>51</v>
      </c>
      <c r="F174" s="4" t="s">
        <v>25</v>
      </c>
      <c r="G174" s="4" t="s">
        <v>25</v>
      </c>
      <c r="H174" s="4" t="s">
        <v>35</v>
      </c>
      <c r="I174" s="5">
        <v>44621</v>
      </c>
      <c r="J174" s="6">
        <v>210</v>
      </c>
      <c r="K174" s="52">
        <v>210</v>
      </c>
      <c r="L174" s="6">
        <v>91.92</v>
      </c>
      <c r="M174" s="53">
        <v>91.92</v>
      </c>
      <c r="N174" s="6">
        <v>91.92</v>
      </c>
      <c r="O174" s="53">
        <v>91.92</v>
      </c>
      <c r="P174" s="6">
        <v>0</v>
      </c>
      <c r="Q174" s="4" t="s">
        <v>26</v>
      </c>
      <c r="R174" s="4">
        <v>0</v>
      </c>
      <c r="S174" s="6">
        <v>22</v>
      </c>
      <c r="T174" s="6">
        <v>12</v>
      </c>
      <c r="U174" s="6">
        <v>61</v>
      </c>
      <c r="V174" s="53">
        <f>IF(ISERROR(VLOOKUP($S$174,'TAR FIN'!$A$1:$O$113,15,0)),0,VLOOKUP($S$174,'TAR FIN'!$A$1:$O$113,15,0))*(1-0.06)</f>
        <v>13.16</v>
      </c>
      <c r="W174" s="53">
        <f>IF(ISERROR(VLOOKUP($T$174,'TAR FIN'!$A$1:$O$113,15,0)),0,VLOOKUP($T$174,'TAR FIN'!$A$1:$O$113,15,0))*(1-0.06)</f>
        <v>67.820999999999998</v>
      </c>
      <c r="X174" s="53">
        <f>IF(ISERROR(VLOOKUP($U$174,'TAR FIN'!$A$1:$O$113,15,0)),0,VLOOKUP($U$174,'TAR FIN'!$A$1:$O$113,15,0))*(1-0.06)</f>
        <v>261.94979999999998</v>
      </c>
      <c r="Y174" s="53">
        <f ca="1">('TUSD BE'!$AM$15+'TUSD BF'!$AM$15+'TUSD CVA'!$AM$15)*1*(1-0.03)</f>
        <v>15.554875305631656</v>
      </c>
      <c r="Z174" s="53">
        <f ca="1">('TUSD BE'!$AM$16+'TUSD BF'!$AM$16+'TUSD CVA'!$AM$16)*1*(1-0.03)</f>
        <v>118.47633671713493</v>
      </c>
      <c r="AA174" s="53">
        <f>('TE BE'!$AB$10+'TE BF'!$AB$10+'TE CVA'!$AB$10)*1*(1-0.03)</f>
        <v>290.20513391436589</v>
      </c>
      <c r="AB174" s="6">
        <f>$K$174*$V$174</f>
        <v>2763.6</v>
      </c>
      <c r="AC174" s="6">
        <f>$M$174*$W$174</f>
        <v>6234.1063199999999</v>
      </c>
      <c r="AD174" s="6">
        <f>$O$174*$X$174</f>
        <v>24078.425616</v>
      </c>
      <c r="AE174" s="6">
        <f ca="1">$K$174*$Y$174</f>
        <v>3266.5238141826476</v>
      </c>
      <c r="AF174" s="6">
        <f ca="1">$M$174*$Z$174</f>
        <v>10890.344871039042</v>
      </c>
      <c r="AG174" s="6">
        <f>$O$174*$AA$174</f>
        <v>26675.655909408513</v>
      </c>
    </row>
    <row r="175" spans="1:33" ht="11.25" customHeight="1" x14ac:dyDescent="0.3">
      <c r="A175" s="4" t="s">
        <v>21</v>
      </c>
      <c r="B175" s="4" t="s">
        <v>39</v>
      </c>
      <c r="C175" s="4" t="s">
        <v>40</v>
      </c>
      <c r="D175" s="4" t="s">
        <v>50</v>
      </c>
      <c r="E175" s="4" t="s">
        <v>51</v>
      </c>
      <c r="F175" s="4" t="s">
        <v>25</v>
      </c>
      <c r="G175" s="4" t="s">
        <v>25</v>
      </c>
      <c r="H175" s="4" t="s">
        <v>35</v>
      </c>
      <c r="I175" s="5">
        <v>44652</v>
      </c>
      <c r="J175" s="6">
        <v>210</v>
      </c>
      <c r="K175" s="52">
        <v>210</v>
      </c>
      <c r="L175" s="6">
        <v>99.093999999999994</v>
      </c>
      <c r="M175" s="53">
        <v>99.093999999999994</v>
      </c>
      <c r="N175" s="6">
        <v>99.093999999999994</v>
      </c>
      <c r="O175" s="53">
        <v>99.093999999999994</v>
      </c>
      <c r="P175" s="6">
        <v>0</v>
      </c>
      <c r="Q175" s="4" t="s">
        <v>26</v>
      </c>
      <c r="R175" s="4">
        <v>0</v>
      </c>
      <c r="S175" s="6">
        <v>22</v>
      </c>
      <c r="T175" s="6">
        <v>12</v>
      </c>
      <c r="U175" s="6">
        <v>61</v>
      </c>
      <c r="V175" s="53">
        <f>IF(ISERROR(VLOOKUP($S$175,'TAR FIN'!$A$1:$O$113,15,0)),0,VLOOKUP($S$175,'TAR FIN'!$A$1:$O$113,15,0))*(1-0.06)</f>
        <v>13.16</v>
      </c>
      <c r="W175" s="53">
        <f>IF(ISERROR(VLOOKUP($T$175,'TAR FIN'!$A$1:$O$113,15,0)),0,VLOOKUP($T$175,'TAR FIN'!$A$1:$O$113,15,0))*(1-0.06)</f>
        <v>67.820999999999998</v>
      </c>
      <c r="X175" s="53">
        <f>IF(ISERROR(VLOOKUP($U$175,'TAR FIN'!$A$1:$O$113,15,0)),0,VLOOKUP($U$175,'TAR FIN'!$A$1:$O$113,15,0))*(1-0.06)</f>
        <v>261.94979999999998</v>
      </c>
      <c r="Y175" s="53">
        <f ca="1">('TUSD BE'!$AM$15+'TUSD BF'!$AM$15+'TUSD CVA'!$AM$15)*1*(1-0.03)</f>
        <v>15.554875305631656</v>
      </c>
      <c r="Z175" s="53">
        <f ca="1">('TUSD BE'!$AM$16+'TUSD BF'!$AM$16+'TUSD CVA'!$AM$16)*1*(1-0.03)</f>
        <v>118.47633671713493</v>
      </c>
      <c r="AA175" s="53">
        <f>('TE BE'!$AB$10+'TE BF'!$AB$10+'TE CVA'!$AB$10)*1*(1-0.03)</f>
        <v>290.20513391436589</v>
      </c>
      <c r="AB175" s="6">
        <f>$K$175*$V$175</f>
        <v>2763.6</v>
      </c>
      <c r="AC175" s="6">
        <f>$M$175*$W$175</f>
        <v>6720.6541739999993</v>
      </c>
      <c r="AD175" s="6">
        <f>$O$175*$X$175</f>
        <v>25957.653481199995</v>
      </c>
      <c r="AE175" s="6">
        <f ca="1">$K$175*$Y$175</f>
        <v>3266.5238141826476</v>
      </c>
      <c r="AF175" s="6">
        <f ca="1">$M$175*$Z$175</f>
        <v>11740.294110647768</v>
      </c>
      <c r="AG175" s="6">
        <f>$O$175*$AA$175</f>
        <v>28757.587540110173</v>
      </c>
    </row>
    <row r="176" spans="1:33" ht="11.25" customHeight="1" x14ac:dyDescent="0.3">
      <c r="A176" s="4" t="s">
        <v>21</v>
      </c>
      <c r="B176" s="4" t="s">
        <v>39</v>
      </c>
      <c r="C176" s="4" t="s">
        <v>40</v>
      </c>
      <c r="D176" s="4" t="s">
        <v>50</v>
      </c>
      <c r="E176" s="4" t="s">
        <v>51</v>
      </c>
      <c r="F176" s="4" t="s">
        <v>25</v>
      </c>
      <c r="G176" s="4" t="s">
        <v>25</v>
      </c>
      <c r="H176" s="4" t="s">
        <v>35</v>
      </c>
      <c r="I176" s="5">
        <v>44682</v>
      </c>
      <c r="J176" s="6">
        <v>210</v>
      </c>
      <c r="K176" s="52">
        <v>210</v>
      </c>
      <c r="L176" s="6">
        <v>100.63</v>
      </c>
      <c r="M176" s="53">
        <v>100.63</v>
      </c>
      <c r="N176" s="6">
        <v>100.63</v>
      </c>
      <c r="O176" s="53">
        <v>100.63</v>
      </c>
      <c r="P176" s="6">
        <v>0</v>
      </c>
      <c r="Q176" s="4" t="s">
        <v>26</v>
      </c>
      <c r="R176" s="4">
        <v>0</v>
      </c>
      <c r="S176" s="6">
        <v>22</v>
      </c>
      <c r="T176" s="6">
        <v>12</v>
      </c>
      <c r="U176" s="6">
        <v>61</v>
      </c>
      <c r="V176" s="53">
        <f>IF(ISERROR(VLOOKUP($S$176,'TAR FIN'!$A$1:$O$113,15,0)),0,VLOOKUP($S$176,'TAR FIN'!$A$1:$O$113,15,0))*(1-0.06)</f>
        <v>13.16</v>
      </c>
      <c r="W176" s="53">
        <f>IF(ISERROR(VLOOKUP($T$176,'TAR FIN'!$A$1:$O$113,15,0)),0,VLOOKUP($T$176,'TAR FIN'!$A$1:$O$113,15,0))*(1-0.06)</f>
        <v>67.820999999999998</v>
      </c>
      <c r="X176" s="53">
        <f>IF(ISERROR(VLOOKUP($U$176,'TAR FIN'!$A$1:$O$113,15,0)),0,VLOOKUP($U$176,'TAR FIN'!$A$1:$O$113,15,0))*(1-0.06)</f>
        <v>261.94979999999998</v>
      </c>
      <c r="Y176" s="53">
        <f ca="1">('TUSD BE'!$AM$15+'TUSD BF'!$AM$15+'TUSD CVA'!$AM$15)*1*(1-0.03)</f>
        <v>15.554875305631656</v>
      </c>
      <c r="Z176" s="53">
        <f ca="1">('TUSD BE'!$AM$16+'TUSD BF'!$AM$16+'TUSD CVA'!$AM$16)*1*(1-0.03)</f>
        <v>118.47633671713493</v>
      </c>
      <c r="AA176" s="53">
        <f>('TE BE'!$AB$10+'TE BF'!$AB$10+'TE CVA'!$AB$10)*1*(1-0.03)</f>
        <v>290.20513391436589</v>
      </c>
      <c r="AB176" s="6">
        <f>$K$176*$V$176</f>
        <v>2763.6</v>
      </c>
      <c r="AC176" s="6">
        <f>$M$176*$W$176</f>
        <v>6824.8272299999999</v>
      </c>
      <c r="AD176" s="6">
        <f>$O$176*$X$176</f>
        <v>26360.008373999997</v>
      </c>
      <c r="AE176" s="6">
        <f ca="1">$K$176*$Y$176</f>
        <v>3266.5238141826476</v>
      </c>
      <c r="AF176" s="6">
        <f ca="1">$M$176*$Z$176</f>
        <v>11922.273763845287</v>
      </c>
      <c r="AG176" s="6">
        <f>$O$176*$AA$176</f>
        <v>29203.342625802637</v>
      </c>
    </row>
    <row r="177" spans="1:33" ht="11.25" customHeight="1" x14ac:dyDescent="0.3">
      <c r="A177" s="4" t="s">
        <v>21</v>
      </c>
      <c r="B177" s="4" t="s">
        <v>39</v>
      </c>
      <c r="C177" s="4" t="s">
        <v>40</v>
      </c>
      <c r="D177" s="4" t="s">
        <v>50</v>
      </c>
      <c r="E177" s="4" t="s">
        <v>51</v>
      </c>
      <c r="F177" s="4" t="s">
        <v>25</v>
      </c>
      <c r="G177" s="4" t="s">
        <v>25</v>
      </c>
      <c r="H177" s="4" t="s">
        <v>35</v>
      </c>
      <c r="I177" s="5">
        <v>44713</v>
      </c>
      <c r="J177" s="6">
        <v>210</v>
      </c>
      <c r="K177" s="52">
        <v>210</v>
      </c>
      <c r="L177" s="6">
        <v>98.918999999999997</v>
      </c>
      <c r="M177" s="53">
        <v>98.918999999999997</v>
      </c>
      <c r="N177" s="6">
        <v>98.918999999999997</v>
      </c>
      <c r="O177" s="53">
        <v>98.918999999999997</v>
      </c>
      <c r="P177" s="6">
        <v>0</v>
      </c>
      <c r="Q177" s="4" t="s">
        <v>26</v>
      </c>
      <c r="R177" s="4">
        <v>0</v>
      </c>
      <c r="S177" s="6">
        <v>22</v>
      </c>
      <c r="T177" s="6">
        <v>12</v>
      </c>
      <c r="U177" s="6">
        <v>61</v>
      </c>
      <c r="V177" s="53">
        <f>IF(ISERROR(VLOOKUP($S$177,'TAR FIN'!$A$1:$O$113,15,0)),0,VLOOKUP($S$177,'TAR FIN'!$A$1:$O$113,15,0))*(1-0.06)</f>
        <v>13.16</v>
      </c>
      <c r="W177" s="53">
        <f>IF(ISERROR(VLOOKUP($T$177,'TAR FIN'!$A$1:$O$113,15,0)),0,VLOOKUP($T$177,'TAR FIN'!$A$1:$O$113,15,0))*(1-0.06)</f>
        <v>67.820999999999998</v>
      </c>
      <c r="X177" s="53">
        <f>IF(ISERROR(VLOOKUP($U$177,'TAR FIN'!$A$1:$O$113,15,0)),0,VLOOKUP($U$177,'TAR FIN'!$A$1:$O$113,15,0))*(1-0.06)</f>
        <v>261.94979999999998</v>
      </c>
      <c r="Y177" s="53">
        <f ca="1">('TUSD BE'!$AM$15+'TUSD BF'!$AM$15+'TUSD CVA'!$AM$15)*1*(1-0.03)</f>
        <v>15.554875305631656</v>
      </c>
      <c r="Z177" s="53">
        <f ca="1">('TUSD BE'!$AM$16+'TUSD BF'!$AM$16+'TUSD CVA'!$AM$16)*1*(1-0.03)</f>
        <v>118.47633671713493</v>
      </c>
      <c r="AA177" s="53">
        <f>('TE BE'!$AB$10+'TE BF'!$AB$10+'TE CVA'!$AB$10)*1*(1-0.03)</f>
        <v>290.20513391436589</v>
      </c>
      <c r="AB177" s="6">
        <f>$K$177*$V$177</f>
        <v>2763.6</v>
      </c>
      <c r="AC177" s="6">
        <f>$M$177*$W$177</f>
        <v>6708.7854989999996</v>
      </c>
      <c r="AD177" s="6">
        <f>$O$177*$X$177</f>
        <v>25911.812266199999</v>
      </c>
      <c r="AE177" s="6">
        <f ca="1">$K$177*$Y$177</f>
        <v>3266.5238141826476</v>
      </c>
      <c r="AF177" s="6">
        <f ca="1">$M$177*$Z$177</f>
        <v>11719.560751722269</v>
      </c>
      <c r="AG177" s="6">
        <f>$O$177*$AA$177</f>
        <v>28706.80164167516</v>
      </c>
    </row>
    <row r="178" spans="1:33" ht="11.25" customHeight="1" x14ac:dyDescent="0.3">
      <c r="A178" s="4" t="s">
        <v>21</v>
      </c>
      <c r="B178" s="4" t="s">
        <v>39</v>
      </c>
      <c r="C178" s="4" t="s">
        <v>40</v>
      </c>
      <c r="D178" s="4" t="s">
        <v>50</v>
      </c>
      <c r="E178" s="4" t="s">
        <v>51</v>
      </c>
      <c r="F178" s="4" t="s">
        <v>25</v>
      </c>
      <c r="G178" s="4" t="s">
        <v>25</v>
      </c>
      <c r="H178" s="4" t="s">
        <v>35</v>
      </c>
      <c r="I178" s="5">
        <v>44743</v>
      </c>
      <c r="J178" s="6">
        <v>210</v>
      </c>
      <c r="K178" s="52">
        <v>210</v>
      </c>
      <c r="L178" s="6">
        <v>93.923000000000002</v>
      </c>
      <c r="M178" s="53">
        <v>93.923000000000002</v>
      </c>
      <c r="N178" s="6">
        <v>93.923000000000002</v>
      </c>
      <c r="O178" s="53">
        <v>93.923000000000002</v>
      </c>
      <c r="P178" s="6">
        <v>0</v>
      </c>
      <c r="Q178" s="4" t="s">
        <v>26</v>
      </c>
      <c r="R178" s="4">
        <v>0</v>
      </c>
      <c r="S178" s="6">
        <v>22</v>
      </c>
      <c r="T178" s="6">
        <v>12</v>
      </c>
      <c r="U178" s="6">
        <v>61</v>
      </c>
      <c r="V178" s="53">
        <f>IF(ISERROR(VLOOKUP($S$178,'TAR FIN'!$A$1:$O$113,15,0)),0,VLOOKUP($S$178,'TAR FIN'!$A$1:$O$113,15,0))*(1-0.06)</f>
        <v>13.16</v>
      </c>
      <c r="W178" s="53">
        <f>IF(ISERROR(VLOOKUP($T$178,'TAR FIN'!$A$1:$O$113,15,0)),0,VLOOKUP($T$178,'TAR FIN'!$A$1:$O$113,15,0))*(1-0.06)</f>
        <v>67.820999999999998</v>
      </c>
      <c r="X178" s="53">
        <f>IF(ISERROR(VLOOKUP($U$178,'TAR FIN'!$A$1:$O$113,15,0)),0,VLOOKUP($U$178,'TAR FIN'!$A$1:$O$113,15,0))*(1-0.06)</f>
        <v>261.94979999999998</v>
      </c>
      <c r="Y178" s="53">
        <f ca="1">('TUSD BE'!$AM$15+'TUSD BF'!$AM$15+'TUSD CVA'!$AM$15)*1*(1-0.03)</f>
        <v>15.554875305631656</v>
      </c>
      <c r="Z178" s="53">
        <f ca="1">('TUSD BE'!$AM$16+'TUSD BF'!$AM$16+'TUSD CVA'!$AM$16)*1*(1-0.03)</f>
        <v>118.47633671713493</v>
      </c>
      <c r="AA178" s="53">
        <f>('TE BE'!$AB$10+'TE BF'!$AB$10+'TE CVA'!$AB$10)*1*(1-0.03)</f>
        <v>290.20513391436589</v>
      </c>
      <c r="AB178" s="6">
        <f>$K$178*$V$178</f>
        <v>2763.6</v>
      </c>
      <c r="AC178" s="6">
        <f>$M$178*$W$178</f>
        <v>6369.9517829999995</v>
      </c>
      <c r="AD178" s="6">
        <f>$O$178*$X$178</f>
        <v>24603.1110654</v>
      </c>
      <c r="AE178" s="6">
        <f ca="1">$K$178*$Y$178</f>
        <v>3266.5238141826476</v>
      </c>
      <c r="AF178" s="6">
        <f ca="1">$M$178*$Z$178</f>
        <v>11127.652973483464</v>
      </c>
      <c r="AG178" s="6">
        <f>$O$178*$AA$178</f>
        <v>27256.93679263899</v>
      </c>
    </row>
    <row r="179" spans="1:33" ht="11.25" customHeight="1" x14ac:dyDescent="0.3">
      <c r="A179" s="4" t="s">
        <v>21</v>
      </c>
      <c r="B179" s="4" t="s">
        <v>39</v>
      </c>
      <c r="C179" s="4" t="s">
        <v>40</v>
      </c>
      <c r="D179" s="4" t="s">
        <v>50</v>
      </c>
      <c r="E179" s="4" t="s">
        <v>51</v>
      </c>
      <c r="F179" s="4" t="s">
        <v>25</v>
      </c>
      <c r="G179" s="4" t="s">
        <v>25</v>
      </c>
      <c r="H179" s="4" t="s">
        <v>35</v>
      </c>
      <c r="I179" s="5">
        <v>44774</v>
      </c>
      <c r="J179" s="6">
        <v>210</v>
      </c>
      <c r="K179" s="52">
        <v>210</v>
      </c>
      <c r="L179" s="6">
        <v>98.531999999999996</v>
      </c>
      <c r="M179" s="53">
        <v>98.531999999999996</v>
      </c>
      <c r="N179" s="6">
        <v>98.531999999999996</v>
      </c>
      <c r="O179" s="53">
        <v>98.531999999999996</v>
      </c>
      <c r="P179" s="6">
        <v>0</v>
      </c>
      <c r="Q179" s="4" t="s">
        <v>26</v>
      </c>
      <c r="R179" s="4">
        <v>0</v>
      </c>
      <c r="S179" s="6">
        <v>22</v>
      </c>
      <c r="T179" s="6">
        <v>12</v>
      </c>
      <c r="U179" s="6">
        <v>61</v>
      </c>
      <c r="V179" s="53">
        <f>IF(ISERROR(VLOOKUP($S$179,'TAR FIN'!$A$1:$O$113,15,0)),0,VLOOKUP($S$179,'TAR FIN'!$A$1:$O$113,15,0))*(1-0.06)</f>
        <v>13.16</v>
      </c>
      <c r="W179" s="53">
        <f>IF(ISERROR(VLOOKUP($T$179,'TAR FIN'!$A$1:$O$113,15,0)),0,VLOOKUP($T$179,'TAR FIN'!$A$1:$O$113,15,0))*(1-0.06)</f>
        <v>67.820999999999998</v>
      </c>
      <c r="X179" s="53">
        <f>IF(ISERROR(VLOOKUP($U$179,'TAR FIN'!$A$1:$O$113,15,0)),0,VLOOKUP($U$179,'TAR FIN'!$A$1:$O$113,15,0))*(1-0.06)</f>
        <v>261.94979999999998</v>
      </c>
      <c r="Y179" s="53">
        <f ca="1">('TUSD BE'!$AM$15+'TUSD BF'!$AM$15+'TUSD CVA'!$AM$15)*1*(1-0.03)</f>
        <v>15.554875305631656</v>
      </c>
      <c r="Z179" s="53">
        <f ca="1">('TUSD BE'!$AM$16+'TUSD BF'!$AM$16+'TUSD CVA'!$AM$16)*1*(1-0.03)</f>
        <v>118.47633671713493</v>
      </c>
      <c r="AA179" s="53">
        <f>('TE BE'!$AB$10+'TE BF'!$AB$10+'TE CVA'!$AB$10)*1*(1-0.03)</f>
        <v>290.20513391436589</v>
      </c>
      <c r="AB179" s="6">
        <f>$K$179*$V$179</f>
        <v>2763.6</v>
      </c>
      <c r="AC179" s="6">
        <f>$M$179*$W$179</f>
        <v>6682.5387719999999</v>
      </c>
      <c r="AD179" s="6">
        <f>$O$179*$X$179</f>
        <v>25810.437693599997</v>
      </c>
      <c r="AE179" s="6">
        <f ca="1">$K$179*$Y$179</f>
        <v>3266.5238141826476</v>
      </c>
      <c r="AF179" s="6">
        <f ca="1">$M$179*$Z$179</f>
        <v>11673.710409412739</v>
      </c>
      <c r="AG179" s="6">
        <f>$O$179*$AA$179</f>
        <v>28594.492254850298</v>
      </c>
    </row>
    <row r="180" spans="1:33" ht="11.25" customHeight="1" x14ac:dyDescent="0.3">
      <c r="A180" s="4" t="s">
        <v>21</v>
      </c>
      <c r="B180" s="4" t="s">
        <v>39</v>
      </c>
      <c r="C180" s="4" t="s">
        <v>40</v>
      </c>
      <c r="D180" s="4" t="s">
        <v>50</v>
      </c>
      <c r="E180" s="4" t="s">
        <v>51</v>
      </c>
      <c r="F180" s="4" t="s">
        <v>25</v>
      </c>
      <c r="G180" s="4" t="s">
        <v>25</v>
      </c>
      <c r="H180" s="4" t="s">
        <v>35</v>
      </c>
      <c r="I180" s="5">
        <v>44805</v>
      </c>
      <c r="J180" s="6">
        <v>210</v>
      </c>
      <c r="K180" s="52">
        <v>210</v>
      </c>
      <c r="L180" s="6">
        <v>97.796999999999997</v>
      </c>
      <c r="M180" s="53">
        <v>97.796999999999997</v>
      </c>
      <c r="N180" s="6">
        <v>97.796999999999997</v>
      </c>
      <c r="O180" s="53">
        <v>97.796999999999997</v>
      </c>
      <c r="P180" s="6">
        <v>0</v>
      </c>
      <c r="Q180" s="4" t="s">
        <v>26</v>
      </c>
      <c r="R180" s="4">
        <v>0</v>
      </c>
      <c r="S180" s="6">
        <v>22</v>
      </c>
      <c r="T180" s="6">
        <v>12</v>
      </c>
      <c r="U180" s="6">
        <v>61</v>
      </c>
      <c r="V180" s="53">
        <f>IF(ISERROR(VLOOKUP($S$180,'TAR FIN'!$A$1:$O$113,15,0)),0,VLOOKUP($S$180,'TAR FIN'!$A$1:$O$113,15,0))*(1-0.06)</f>
        <v>13.16</v>
      </c>
      <c r="W180" s="53">
        <f>IF(ISERROR(VLOOKUP($T$180,'TAR FIN'!$A$1:$O$113,15,0)),0,VLOOKUP($T$180,'TAR FIN'!$A$1:$O$113,15,0))*(1-0.06)</f>
        <v>67.820999999999998</v>
      </c>
      <c r="X180" s="53">
        <f>IF(ISERROR(VLOOKUP($U$180,'TAR FIN'!$A$1:$O$113,15,0)),0,VLOOKUP($U$180,'TAR FIN'!$A$1:$O$113,15,0))*(1-0.06)</f>
        <v>261.94979999999998</v>
      </c>
      <c r="Y180" s="53">
        <f ca="1">('TUSD BE'!$AM$15+'TUSD BF'!$AM$15+'TUSD CVA'!$AM$15)*1*(1-0.03)</f>
        <v>15.554875305631656</v>
      </c>
      <c r="Z180" s="53">
        <f ca="1">('TUSD BE'!$AM$16+'TUSD BF'!$AM$16+'TUSD CVA'!$AM$16)*1*(1-0.03)</f>
        <v>118.47633671713493</v>
      </c>
      <c r="AA180" s="53">
        <f>('TE BE'!$AB$10+'TE BF'!$AB$10+'TE CVA'!$AB$10)*1*(1-0.03)</f>
        <v>290.20513391436589</v>
      </c>
      <c r="AB180" s="6">
        <f>$K$180*$V$180</f>
        <v>2763.6</v>
      </c>
      <c r="AC180" s="6">
        <f>$M$180*$W$180</f>
        <v>6632.690337</v>
      </c>
      <c r="AD180" s="6">
        <f>$O$180*$X$180</f>
        <v>25617.904590599999</v>
      </c>
      <c r="AE180" s="6">
        <f ca="1">$K$180*$Y$180</f>
        <v>3266.5238141826476</v>
      </c>
      <c r="AF180" s="6">
        <f ca="1">$M$180*$Z$180</f>
        <v>11586.630301925645</v>
      </c>
      <c r="AG180" s="6">
        <f>$O$180*$AA$180</f>
        <v>28381.19148142324</v>
      </c>
    </row>
    <row r="181" spans="1:33" ht="11.25" customHeight="1" x14ac:dyDescent="0.3">
      <c r="A181" s="4" t="s">
        <v>53</v>
      </c>
      <c r="B181" s="4" t="s">
        <v>39</v>
      </c>
      <c r="C181" s="4" t="s">
        <v>40</v>
      </c>
      <c r="D181" s="4" t="s">
        <v>50</v>
      </c>
      <c r="E181" s="4" t="s">
        <v>51</v>
      </c>
      <c r="F181" s="4" t="s">
        <v>25</v>
      </c>
      <c r="G181" s="4" t="s">
        <v>25</v>
      </c>
      <c r="H181" s="4" t="s">
        <v>35</v>
      </c>
      <c r="I181" s="5">
        <v>44835</v>
      </c>
      <c r="J181" s="6">
        <v>210</v>
      </c>
      <c r="K181" s="52">
        <v>210</v>
      </c>
      <c r="L181" s="6">
        <v>97.796999999999997</v>
      </c>
      <c r="M181" s="53">
        <v>97.796999999999997</v>
      </c>
      <c r="N181" s="6">
        <v>97.796999999999997</v>
      </c>
      <c r="O181" s="53">
        <v>97.796999999999997</v>
      </c>
      <c r="P181" s="6">
        <v>0</v>
      </c>
      <c r="Q181" s="4" t="s">
        <v>26</v>
      </c>
      <c r="R181" s="4">
        <v>0</v>
      </c>
      <c r="S181" s="6">
        <v>22</v>
      </c>
      <c r="T181" s="6">
        <v>12</v>
      </c>
      <c r="U181" s="6">
        <v>61</v>
      </c>
      <c r="V181" s="53">
        <f>IF(ISERROR(VLOOKUP($S$181,'TAR FIN'!$A$1:$O$113,15,0)),0,VLOOKUP($S$181,'TAR FIN'!$A$1:$O$113,15,0))*(1-0.06)</f>
        <v>13.16</v>
      </c>
      <c r="W181" s="53">
        <f>IF(ISERROR(VLOOKUP($T$181,'TAR FIN'!$A$1:$O$113,15,0)),0,VLOOKUP($T$181,'TAR FIN'!$A$1:$O$113,15,0))*(1-0.06)</f>
        <v>67.820999999999998</v>
      </c>
      <c r="X181" s="53">
        <f>IF(ISERROR(VLOOKUP($U$181,'TAR FIN'!$A$1:$O$113,15,0)),0,VLOOKUP($U$181,'TAR FIN'!$A$1:$O$113,15,0))*(1-0.06)</f>
        <v>261.94979999999998</v>
      </c>
      <c r="Y181" s="53">
        <f ca="1">('TUSD BE'!$AM$15+'TUSD BF'!$AM$15+'TUSD CVA'!$AM$15)*1*(1-0.03)</f>
        <v>15.554875305631656</v>
      </c>
      <c r="Z181" s="53">
        <f ca="1">('TUSD BE'!$AM$16+'TUSD BF'!$AM$16+'TUSD CVA'!$AM$16)*1*(1-0.03)</f>
        <v>118.47633671713493</v>
      </c>
      <c r="AA181" s="53">
        <f>('TE BE'!$AB$10+'TE BF'!$AB$10+'TE CVA'!$AB$10)*1*(1-0.03)</f>
        <v>290.20513391436589</v>
      </c>
      <c r="AB181" s="6">
        <f>$K$181*$V$181</f>
        <v>2763.6</v>
      </c>
      <c r="AC181" s="6">
        <f>$M$181*$W$181</f>
        <v>6632.690337</v>
      </c>
      <c r="AD181" s="6">
        <f>$O$181*$X$181</f>
        <v>25617.904590599999</v>
      </c>
      <c r="AE181" s="6">
        <f ca="1">$K$181*$Y$181</f>
        <v>3266.5238141826476</v>
      </c>
      <c r="AF181" s="6">
        <f ca="1">$M$181*$Z$181</f>
        <v>11586.630301925645</v>
      </c>
      <c r="AG181" s="6">
        <f>$O$181*$AA$181</f>
        <v>28381.19148142324</v>
      </c>
    </row>
    <row r="182" spans="1:33" ht="11.25" customHeight="1" x14ac:dyDescent="0.3">
      <c r="A182" s="4" t="s">
        <v>21</v>
      </c>
      <c r="B182" s="4" t="s">
        <v>39</v>
      </c>
      <c r="C182" s="4" t="s">
        <v>40</v>
      </c>
      <c r="D182" s="4" t="s">
        <v>50</v>
      </c>
      <c r="E182" s="4" t="s">
        <v>51</v>
      </c>
      <c r="F182" s="4" t="s">
        <v>25</v>
      </c>
      <c r="G182" s="4" t="s">
        <v>25</v>
      </c>
      <c r="H182" s="4" t="s">
        <v>34</v>
      </c>
      <c r="I182" s="5">
        <v>44501</v>
      </c>
      <c r="J182" s="6">
        <v>210</v>
      </c>
      <c r="K182" s="52">
        <v>210</v>
      </c>
      <c r="L182" s="6">
        <v>8.58</v>
      </c>
      <c r="M182" s="53">
        <v>8.58</v>
      </c>
      <c r="N182" s="6">
        <v>8.58</v>
      </c>
      <c r="O182" s="53">
        <v>8.58</v>
      </c>
      <c r="P182" s="6">
        <v>0</v>
      </c>
      <c r="Q182" s="4" t="s">
        <v>26</v>
      </c>
      <c r="R182" s="4">
        <v>0</v>
      </c>
      <c r="S182" s="6">
        <v>9</v>
      </c>
      <c r="T182" s="6">
        <v>12</v>
      </c>
      <c r="U182" s="6">
        <v>38</v>
      </c>
      <c r="V182" s="53">
        <f>IF(ISERROR(VLOOKUP($S$182,'TAR FIN'!$A$1:$O$113,15,0)),0,VLOOKUP($S$182,'TAR FIN'!$A$1:$O$113,15,0))*(1-0.06)</f>
        <v>33.614399999999996</v>
      </c>
      <c r="W182" s="53">
        <f>IF(ISERROR(VLOOKUP($T$182,'TAR FIN'!$A$1:$O$113,15,0)),0,VLOOKUP($T$182,'TAR FIN'!$A$1:$O$113,15,0))*(1-0.06)</f>
        <v>67.820999999999998</v>
      </c>
      <c r="X182" s="53">
        <f>IF(ISERROR(VLOOKUP($U$182,'TAR FIN'!$A$1:$O$113,15,0)),0,VLOOKUP($U$182,'TAR FIN'!$A$1:$O$113,15,0))*(1-0.06)</f>
        <v>416.28839999999997</v>
      </c>
      <c r="Y182" s="53">
        <f ca="1">('TUSD BE'!$AM$14+'TUSD BF'!$AM$14+'TUSD CVA'!$AM$14)*1*(1-0.03)</f>
        <v>39.734731546617411</v>
      </c>
      <c r="Z182" s="53">
        <f ca="1">('TUSD BE'!$AM$16+'TUSD BF'!$AM$16+'TUSD CVA'!$AM$16)*1*(1-0.03)</f>
        <v>118.47633671713493</v>
      </c>
      <c r="AA182" s="53">
        <f>('TE BE'!$AB$9+'TE BF'!$AB$9+'TE CVA'!$AB$9)*1*(1-0.03)</f>
        <v>471.84300153620904</v>
      </c>
      <c r="AB182" s="6">
        <f>$K$182*$V$182</f>
        <v>7059.0239999999994</v>
      </c>
      <c r="AC182" s="6">
        <f>$M$182*$W$182</f>
        <v>581.90418</v>
      </c>
      <c r="AD182" s="6">
        <f>$O$182*$X$182</f>
        <v>3571.7544719999996</v>
      </c>
      <c r="AE182" s="6">
        <f ca="1">$K$182*$Y$182</f>
        <v>8344.293624789656</v>
      </c>
      <c r="AF182" s="6">
        <f ca="1">$M$182*$Z$182</f>
        <v>1016.5269690330177</v>
      </c>
      <c r="AG182" s="6">
        <f>$O$182*$AA$182</f>
        <v>4048.4129531806734</v>
      </c>
    </row>
    <row r="183" spans="1:33" ht="11.25" customHeight="1" x14ac:dyDescent="0.3">
      <c r="A183" s="4" t="s">
        <v>21</v>
      </c>
      <c r="B183" s="4" t="s">
        <v>39</v>
      </c>
      <c r="C183" s="4" t="s">
        <v>40</v>
      </c>
      <c r="D183" s="4" t="s">
        <v>50</v>
      </c>
      <c r="E183" s="4" t="s">
        <v>51</v>
      </c>
      <c r="F183" s="4" t="s">
        <v>25</v>
      </c>
      <c r="G183" s="4" t="s">
        <v>25</v>
      </c>
      <c r="H183" s="4" t="s">
        <v>34</v>
      </c>
      <c r="I183" s="5">
        <v>44531</v>
      </c>
      <c r="J183" s="6">
        <v>210</v>
      </c>
      <c r="K183" s="52">
        <v>210</v>
      </c>
      <c r="L183" s="6">
        <v>8.7170000000000005</v>
      </c>
      <c r="M183" s="53">
        <v>8.7170000000000005</v>
      </c>
      <c r="N183" s="6">
        <v>8.7170000000000005</v>
      </c>
      <c r="O183" s="53">
        <v>8.7170000000000005</v>
      </c>
      <c r="P183" s="6">
        <v>0</v>
      </c>
      <c r="Q183" s="4" t="s">
        <v>26</v>
      </c>
      <c r="R183" s="4">
        <v>0</v>
      </c>
      <c r="S183" s="6">
        <v>9</v>
      </c>
      <c r="T183" s="6">
        <v>12</v>
      </c>
      <c r="U183" s="6">
        <v>38</v>
      </c>
      <c r="V183" s="53">
        <f>IF(ISERROR(VLOOKUP($S$183,'TAR FIN'!$A$1:$O$113,15,0)),0,VLOOKUP($S$183,'TAR FIN'!$A$1:$O$113,15,0))*(1-0.06)</f>
        <v>33.614399999999996</v>
      </c>
      <c r="W183" s="53">
        <f>IF(ISERROR(VLOOKUP($T$183,'TAR FIN'!$A$1:$O$113,15,0)),0,VLOOKUP($T$183,'TAR FIN'!$A$1:$O$113,15,0))*(1-0.06)</f>
        <v>67.820999999999998</v>
      </c>
      <c r="X183" s="53">
        <f>IF(ISERROR(VLOOKUP($U$183,'TAR FIN'!$A$1:$O$113,15,0)),0,VLOOKUP($U$183,'TAR FIN'!$A$1:$O$113,15,0))*(1-0.06)</f>
        <v>416.28839999999997</v>
      </c>
      <c r="Y183" s="53">
        <f ca="1">('TUSD BE'!$AM$14+'TUSD BF'!$AM$14+'TUSD CVA'!$AM$14)*1*(1-0.03)</f>
        <v>39.734731546617411</v>
      </c>
      <c r="Z183" s="53">
        <f ca="1">('TUSD BE'!$AM$16+'TUSD BF'!$AM$16+'TUSD CVA'!$AM$16)*1*(1-0.03)</f>
        <v>118.47633671713493</v>
      </c>
      <c r="AA183" s="53">
        <f>('TE BE'!$AB$9+'TE BF'!$AB$9+'TE CVA'!$AB$9)*1*(1-0.03)</f>
        <v>471.84300153620904</v>
      </c>
      <c r="AB183" s="6">
        <f>$K$183*$V$183</f>
        <v>7059.0239999999994</v>
      </c>
      <c r="AC183" s="6">
        <f>$M$183*$W$183</f>
        <v>591.19565699999998</v>
      </c>
      <c r="AD183" s="6">
        <f>$O$183*$X$183</f>
        <v>3628.7859828000001</v>
      </c>
      <c r="AE183" s="6">
        <f ca="1">$K$183*$Y$183</f>
        <v>8344.293624789656</v>
      </c>
      <c r="AF183" s="6">
        <f ca="1">$M$183*$Z$183</f>
        <v>1032.7582271632652</v>
      </c>
      <c r="AG183" s="6">
        <f>$O$183*$AA$183</f>
        <v>4113.0554443911342</v>
      </c>
    </row>
    <row r="184" spans="1:33" ht="11.25" customHeight="1" x14ac:dyDescent="0.3">
      <c r="A184" s="4" t="s">
        <v>21</v>
      </c>
      <c r="B184" s="4" t="s">
        <v>39</v>
      </c>
      <c r="C184" s="4" t="s">
        <v>40</v>
      </c>
      <c r="D184" s="4" t="s">
        <v>50</v>
      </c>
      <c r="E184" s="4" t="s">
        <v>51</v>
      </c>
      <c r="F184" s="4" t="s">
        <v>25</v>
      </c>
      <c r="G184" s="4" t="s">
        <v>25</v>
      </c>
      <c r="H184" s="4" t="s">
        <v>34</v>
      </c>
      <c r="I184" s="5">
        <v>44562</v>
      </c>
      <c r="J184" s="6">
        <v>210</v>
      </c>
      <c r="K184" s="52">
        <v>210</v>
      </c>
      <c r="L184" s="6">
        <v>11.147</v>
      </c>
      <c r="M184" s="53">
        <v>11.147</v>
      </c>
      <c r="N184" s="6">
        <v>11.147</v>
      </c>
      <c r="O184" s="53">
        <v>11.147</v>
      </c>
      <c r="P184" s="6">
        <v>0</v>
      </c>
      <c r="Q184" s="4" t="s">
        <v>26</v>
      </c>
      <c r="R184" s="4">
        <v>0</v>
      </c>
      <c r="S184" s="6">
        <v>9</v>
      </c>
      <c r="T184" s="6">
        <v>12</v>
      </c>
      <c r="U184" s="6">
        <v>38</v>
      </c>
      <c r="V184" s="53">
        <f>IF(ISERROR(VLOOKUP($S$184,'TAR FIN'!$A$1:$O$113,15,0)),0,VLOOKUP($S$184,'TAR FIN'!$A$1:$O$113,15,0))*(1-0.06)</f>
        <v>33.614399999999996</v>
      </c>
      <c r="W184" s="53">
        <f>IF(ISERROR(VLOOKUP($T$184,'TAR FIN'!$A$1:$O$113,15,0)),0,VLOOKUP($T$184,'TAR FIN'!$A$1:$O$113,15,0))*(1-0.06)</f>
        <v>67.820999999999998</v>
      </c>
      <c r="X184" s="53">
        <f>IF(ISERROR(VLOOKUP($U$184,'TAR FIN'!$A$1:$O$113,15,0)),0,VLOOKUP($U$184,'TAR FIN'!$A$1:$O$113,15,0))*(1-0.06)</f>
        <v>416.28839999999997</v>
      </c>
      <c r="Y184" s="53">
        <f ca="1">('TUSD BE'!$AM$14+'TUSD BF'!$AM$14+'TUSD CVA'!$AM$14)*1*(1-0.03)</f>
        <v>39.734731546617411</v>
      </c>
      <c r="Z184" s="53">
        <f ca="1">('TUSD BE'!$AM$16+'TUSD BF'!$AM$16+'TUSD CVA'!$AM$16)*1*(1-0.03)</f>
        <v>118.47633671713493</v>
      </c>
      <c r="AA184" s="53">
        <f>('TE BE'!$AB$9+'TE BF'!$AB$9+'TE CVA'!$AB$9)*1*(1-0.03)</f>
        <v>471.84300153620904</v>
      </c>
      <c r="AB184" s="6">
        <f>$K$184*$V$184</f>
        <v>7059.0239999999994</v>
      </c>
      <c r="AC184" s="6">
        <f>$M$184*$W$184</f>
        <v>756.00068699999997</v>
      </c>
      <c r="AD184" s="6">
        <f>$O$184*$X$184</f>
        <v>4640.3667947999993</v>
      </c>
      <c r="AE184" s="6">
        <f ca="1">$K$184*$Y$184</f>
        <v>8344.293624789656</v>
      </c>
      <c r="AF184" s="6">
        <f ca="1">$M$184*$Z$184</f>
        <v>1320.655725385903</v>
      </c>
      <c r="AG184" s="6">
        <f>$O$184*$AA$184</f>
        <v>5259.6339381241223</v>
      </c>
    </row>
    <row r="185" spans="1:33" ht="11.25" customHeight="1" x14ac:dyDescent="0.3">
      <c r="A185" s="4" t="s">
        <v>21</v>
      </c>
      <c r="B185" s="4" t="s">
        <v>39</v>
      </c>
      <c r="C185" s="4" t="s">
        <v>40</v>
      </c>
      <c r="D185" s="4" t="s">
        <v>50</v>
      </c>
      <c r="E185" s="4" t="s">
        <v>51</v>
      </c>
      <c r="F185" s="4" t="s">
        <v>25</v>
      </c>
      <c r="G185" s="4" t="s">
        <v>25</v>
      </c>
      <c r="H185" s="4" t="s">
        <v>34</v>
      </c>
      <c r="I185" s="5">
        <v>44593</v>
      </c>
      <c r="J185" s="6">
        <v>210</v>
      </c>
      <c r="K185" s="52">
        <v>210</v>
      </c>
      <c r="L185" s="6">
        <v>9.7609999999999992</v>
      </c>
      <c r="M185" s="53">
        <v>9.7609999999999992</v>
      </c>
      <c r="N185" s="6">
        <v>9.7609999999999992</v>
      </c>
      <c r="O185" s="53">
        <v>9.7609999999999992</v>
      </c>
      <c r="P185" s="6">
        <v>0</v>
      </c>
      <c r="Q185" s="4" t="s">
        <v>26</v>
      </c>
      <c r="R185" s="4">
        <v>0</v>
      </c>
      <c r="S185" s="6">
        <v>9</v>
      </c>
      <c r="T185" s="6">
        <v>12</v>
      </c>
      <c r="U185" s="6">
        <v>38</v>
      </c>
      <c r="V185" s="53">
        <f>IF(ISERROR(VLOOKUP($S$185,'TAR FIN'!$A$1:$O$113,15,0)),0,VLOOKUP($S$185,'TAR FIN'!$A$1:$O$113,15,0))*(1-0.06)</f>
        <v>33.614399999999996</v>
      </c>
      <c r="W185" s="53">
        <f>IF(ISERROR(VLOOKUP($T$185,'TAR FIN'!$A$1:$O$113,15,0)),0,VLOOKUP($T$185,'TAR FIN'!$A$1:$O$113,15,0))*(1-0.06)</f>
        <v>67.820999999999998</v>
      </c>
      <c r="X185" s="53">
        <f>IF(ISERROR(VLOOKUP($U$185,'TAR FIN'!$A$1:$O$113,15,0)),0,VLOOKUP($U$185,'TAR FIN'!$A$1:$O$113,15,0))*(1-0.06)</f>
        <v>416.28839999999997</v>
      </c>
      <c r="Y185" s="53">
        <f ca="1">('TUSD BE'!$AM$14+'TUSD BF'!$AM$14+'TUSD CVA'!$AM$14)*1*(1-0.03)</f>
        <v>39.734731546617411</v>
      </c>
      <c r="Z185" s="53">
        <f ca="1">('TUSD BE'!$AM$16+'TUSD BF'!$AM$16+'TUSD CVA'!$AM$16)*1*(1-0.03)</f>
        <v>118.47633671713493</v>
      </c>
      <c r="AA185" s="53">
        <f>('TE BE'!$AB$9+'TE BF'!$AB$9+'TE CVA'!$AB$9)*1*(1-0.03)</f>
        <v>471.84300153620904</v>
      </c>
      <c r="AB185" s="6">
        <f>$K$185*$V$185</f>
        <v>7059.0239999999994</v>
      </c>
      <c r="AC185" s="6">
        <f>$M$185*$W$185</f>
        <v>662.00078099999996</v>
      </c>
      <c r="AD185" s="6">
        <f>$O$185*$X$185</f>
        <v>4063.3910723999993</v>
      </c>
      <c r="AE185" s="6">
        <f ca="1">$K$185*$Y$185</f>
        <v>8344.293624789656</v>
      </c>
      <c r="AF185" s="6">
        <f ca="1">$M$185*$Z$185</f>
        <v>1156.4475226959539</v>
      </c>
      <c r="AG185" s="6">
        <f>$O$185*$AA$185</f>
        <v>4605.6595379949358</v>
      </c>
    </row>
    <row r="186" spans="1:33" ht="11.25" customHeight="1" x14ac:dyDescent="0.3">
      <c r="A186" s="4" t="s">
        <v>21</v>
      </c>
      <c r="B186" s="4" t="s">
        <v>39</v>
      </c>
      <c r="C186" s="4" t="s">
        <v>40</v>
      </c>
      <c r="D186" s="4" t="s">
        <v>50</v>
      </c>
      <c r="E186" s="4" t="s">
        <v>51</v>
      </c>
      <c r="F186" s="4" t="s">
        <v>25</v>
      </c>
      <c r="G186" s="4" t="s">
        <v>25</v>
      </c>
      <c r="H186" s="4" t="s">
        <v>34</v>
      </c>
      <c r="I186" s="5">
        <v>44621</v>
      </c>
      <c r="J186" s="6">
        <v>210</v>
      </c>
      <c r="K186" s="52">
        <v>210</v>
      </c>
      <c r="L186" s="6">
        <v>10.478999999999999</v>
      </c>
      <c r="M186" s="53">
        <v>10.478999999999999</v>
      </c>
      <c r="N186" s="6">
        <v>10.478999999999999</v>
      </c>
      <c r="O186" s="53">
        <v>10.478999999999999</v>
      </c>
      <c r="P186" s="6">
        <v>0</v>
      </c>
      <c r="Q186" s="4" t="s">
        <v>26</v>
      </c>
      <c r="R186" s="4">
        <v>0</v>
      </c>
      <c r="S186" s="6">
        <v>9</v>
      </c>
      <c r="T186" s="6">
        <v>12</v>
      </c>
      <c r="U186" s="6">
        <v>38</v>
      </c>
      <c r="V186" s="53">
        <f>IF(ISERROR(VLOOKUP($S$186,'TAR FIN'!$A$1:$O$113,15,0)),0,VLOOKUP($S$186,'TAR FIN'!$A$1:$O$113,15,0))*(1-0.06)</f>
        <v>33.614399999999996</v>
      </c>
      <c r="W186" s="53">
        <f>IF(ISERROR(VLOOKUP($T$186,'TAR FIN'!$A$1:$O$113,15,0)),0,VLOOKUP($T$186,'TAR FIN'!$A$1:$O$113,15,0))*(1-0.06)</f>
        <v>67.820999999999998</v>
      </c>
      <c r="X186" s="53">
        <f>IF(ISERROR(VLOOKUP($U$186,'TAR FIN'!$A$1:$O$113,15,0)),0,VLOOKUP($U$186,'TAR FIN'!$A$1:$O$113,15,0))*(1-0.06)</f>
        <v>416.28839999999997</v>
      </c>
      <c r="Y186" s="53">
        <f ca="1">('TUSD BE'!$AM$14+'TUSD BF'!$AM$14+'TUSD CVA'!$AM$14)*1*(1-0.03)</f>
        <v>39.734731546617411</v>
      </c>
      <c r="Z186" s="53">
        <f ca="1">('TUSD BE'!$AM$16+'TUSD BF'!$AM$16+'TUSD CVA'!$AM$16)*1*(1-0.03)</f>
        <v>118.47633671713493</v>
      </c>
      <c r="AA186" s="53">
        <f>('TE BE'!$AB$9+'TE BF'!$AB$9+'TE CVA'!$AB$9)*1*(1-0.03)</f>
        <v>471.84300153620904</v>
      </c>
      <c r="AB186" s="6">
        <f>$K$186*$V$186</f>
        <v>7059.0239999999994</v>
      </c>
      <c r="AC186" s="6">
        <f>$M$186*$W$186</f>
        <v>710.69625899999994</v>
      </c>
      <c r="AD186" s="6">
        <f>$O$186*$X$186</f>
        <v>4362.2861435999994</v>
      </c>
      <c r="AE186" s="6">
        <f ca="1">$K$186*$Y$186</f>
        <v>8344.293624789656</v>
      </c>
      <c r="AF186" s="6">
        <f ca="1">$M$186*$Z$186</f>
        <v>1241.5135324588568</v>
      </c>
      <c r="AG186" s="6">
        <f>$O$186*$AA$186</f>
        <v>4944.442813097934</v>
      </c>
    </row>
    <row r="187" spans="1:33" ht="11.25" customHeight="1" x14ac:dyDescent="0.3">
      <c r="A187" s="4" t="s">
        <v>21</v>
      </c>
      <c r="B187" s="4" t="s">
        <v>39</v>
      </c>
      <c r="C187" s="4" t="s">
        <v>40</v>
      </c>
      <c r="D187" s="4" t="s">
        <v>50</v>
      </c>
      <c r="E187" s="4" t="s">
        <v>51</v>
      </c>
      <c r="F187" s="4" t="s">
        <v>25</v>
      </c>
      <c r="G187" s="4" t="s">
        <v>25</v>
      </c>
      <c r="H187" s="4" t="s">
        <v>34</v>
      </c>
      <c r="I187" s="5">
        <v>44652</v>
      </c>
      <c r="J187" s="6">
        <v>210</v>
      </c>
      <c r="K187" s="52">
        <v>210</v>
      </c>
      <c r="L187" s="6">
        <v>9.7949999999999999</v>
      </c>
      <c r="M187" s="53">
        <v>9.7949999999999999</v>
      </c>
      <c r="N187" s="6">
        <v>9.7949999999999999</v>
      </c>
      <c r="O187" s="53">
        <v>9.7949999999999999</v>
      </c>
      <c r="P187" s="6">
        <v>0</v>
      </c>
      <c r="Q187" s="4" t="s">
        <v>26</v>
      </c>
      <c r="R187" s="4">
        <v>0</v>
      </c>
      <c r="S187" s="6">
        <v>9</v>
      </c>
      <c r="T187" s="6">
        <v>12</v>
      </c>
      <c r="U187" s="6">
        <v>38</v>
      </c>
      <c r="V187" s="53">
        <f>IF(ISERROR(VLOOKUP($S$187,'TAR FIN'!$A$1:$O$113,15,0)),0,VLOOKUP($S$187,'TAR FIN'!$A$1:$O$113,15,0))*(1-0.06)</f>
        <v>33.614399999999996</v>
      </c>
      <c r="W187" s="53">
        <f>IF(ISERROR(VLOOKUP($T$187,'TAR FIN'!$A$1:$O$113,15,0)),0,VLOOKUP($T$187,'TAR FIN'!$A$1:$O$113,15,0))*(1-0.06)</f>
        <v>67.820999999999998</v>
      </c>
      <c r="X187" s="53">
        <f>IF(ISERROR(VLOOKUP($U$187,'TAR FIN'!$A$1:$O$113,15,0)),0,VLOOKUP($U$187,'TAR FIN'!$A$1:$O$113,15,0))*(1-0.06)</f>
        <v>416.28839999999997</v>
      </c>
      <c r="Y187" s="53">
        <f ca="1">('TUSD BE'!$AM$14+'TUSD BF'!$AM$14+'TUSD CVA'!$AM$14)*1*(1-0.03)</f>
        <v>39.734731546617411</v>
      </c>
      <c r="Z187" s="53">
        <f ca="1">('TUSD BE'!$AM$16+'TUSD BF'!$AM$16+'TUSD CVA'!$AM$16)*1*(1-0.03)</f>
        <v>118.47633671713493</v>
      </c>
      <c r="AA187" s="53">
        <f>('TE BE'!$AB$9+'TE BF'!$AB$9+'TE CVA'!$AB$9)*1*(1-0.03)</f>
        <v>471.84300153620904</v>
      </c>
      <c r="AB187" s="6">
        <f>$K$187*$V$187</f>
        <v>7059.0239999999994</v>
      </c>
      <c r="AC187" s="6">
        <f>$M$187*$W$187</f>
        <v>664.30669499999999</v>
      </c>
      <c r="AD187" s="6">
        <f>$O$187*$X$187</f>
        <v>4077.5448779999997</v>
      </c>
      <c r="AE187" s="6">
        <f ca="1">$K$187*$Y$187</f>
        <v>8344.293624789656</v>
      </c>
      <c r="AF187" s="6">
        <f ca="1">$M$187*$Z$187</f>
        <v>1160.4757181443365</v>
      </c>
      <c r="AG187" s="6">
        <f>$O$187*$AA$187</f>
        <v>4621.7022000471679</v>
      </c>
    </row>
    <row r="188" spans="1:33" ht="11.25" customHeight="1" x14ac:dyDescent="0.3">
      <c r="A188" s="4" t="s">
        <v>21</v>
      </c>
      <c r="B188" s="4" t="s">
        <v>39</v>
      </c>
      <c r="C188" s="4" t="s">
        <v>40</v>
      </c>
      <c r="D188" s="4" t="s">
        <v>50</v>
      </c>
      <c r="E188" s="4" t="s">
        <v>51</v>
      </c>
      <c r="F188" s="4" t="s">
        <v>25</v>
      </c>
      <c r="G188" s="4" t="s">
        <v>25</v>
      </c>
      <c r="H188" s="4" t="s">
        <v>34</v>
      </c>
      <c r="I188" s="5">
        <v>44682</v>
      </c>
      <c r="J188" s="6">
        <v>210</v>
      </c>
      <c r="K188" s="52">
        <v>210</v>
      </c>
      <c r="L188" s="6">
        <v>10.18</v>
      </c>
      <c r="M188" s="53">
        <v>10.18</v>
      </c>
      <c r="N188" s="6">
        <v>10.18</v>
      </c>
      <c r="O188" s="53">
        <v>10.18</v>
      </c>
      <c r="P188" s="6">
        <v>0</v>
      </c>
      <c r="Q188" s="4" t="s">
        <v>26</v>
      </c>
      <c r="R188" s="4">
        <v>0</v>
      </c>
      <c r="S188" s="6">
        <v>9</v>
      </c>
      <c r="T188" s="6">
        <v>12</v>
      </c>
      <c r="U188" s="6">
        <v>38</v>
      </c>
      <c r="V188" s="53">
        <f>IF(ISERROR(VLOOKUP($S$188,'TAR FIN'!$A$1:$O$113,15,0)),0,VLOOKUP($S$188,'TAR FIN'!$A$1:$O$113,15,0))*(1-0.06)</f>
        <v>33.614399999999996</v>
      </c>
      <c r="W188" s="53">
        <f>IF(ISERROR(VLOOKUP($T$188,'TAR FIN'!$A$1:$O$113,15,0)),0,VLOOKUP($T$188,'TAR FIN'!$A$1:$O$113,15,0))*(1-0.06)</f>
        <v>67.820999999999998</v>
      </c>
      <c r="X188" s="53">
        <f>IF(ISERROR(VLOOKUP($U$188,'TAR FIN'!$A$1:$O$113,15,0)),0,VLOOKUP($U$188,'TAR FIN'!$A$1:$O$113,15,0))*(1-0.06)</f>
        <v>416.28839999999997</v>
      </c>
      <c r="Y188" s="53">
        <f ca="1">('TUSD BE'!$AM$14+'TUSD BF'!$AM$14+'TUSD CVA'!$AM$14)*1*(1-0.03)</f>
        <v>39.734731546617411</v>
      </c>
      <c r="Z188" s="53">
        <f ca="1">('TUSD BE'!$AM$16+'TUSD BF'!$AM$16+'TUSD CVA'!$AM$16)*1*(1-0.03)</f>
        <v>118.47633671713493</v>
      </c>
      <c r="AA188" s="53">
        <f>('TE BE'!$AB$9+'TE BF'!$AB$9+'TE CVA'!$AB$9)*1*(1-0.03)</f>
        <v>471.84300153620904</v>
      </c>
      <c r="AB188" s="6">
        <f>$K$188*$V$188</f>
        <v>7059.0239999999994</v>
      </c>
      <c r="AC188" s="6">
        <f>$M$188*$W$188</f>
        <v>690.41777999999999</v>
      </c>
      <c r="AD188" s="6">
        <f>$O$188*$X$188</f>
        <v>4237.8159119999991</v>
      </c>
      <c r="AE188" s="6">
        <f ca="1">$K$188*$Y$188</f>
        <v>8344.293624789656</v>
      </c>
      <c r="AF188" s="6">
        <f ca="1">$M$188*$Z$188</f>
        <v>1206.0891077804336</v>
      </c>
      <c r="AG188" s="6">
        <f>$O$188*$AA$188</f>
        <v>4803.361755638608</v>
      </c>
    </row>
    <row r="189" spans="1:33" ht="11.25" customHeight="1" x14ac:dyDescent="0.3">
      <c r="A189" s="4" t="s">
        <v>21</v>
      </c>
      <c r="B189" s="4" t="s">
        <v>39</v>
      </c>
      <c r="C189" s="4" t="s">
        <v>40</v>
      </c>
      <c r="D189" s="4" t="s">
        <v>50</v>
      </c>
      <c r="E189" s="4" t="s">
        <v>51</v>
      </c>
      <c r="F189" s="4" t="s">
        <v>25</v>
      </c>
      <c r="G189" s="4" t="s">
        <v>25</v>
      </c>
      <c r="H189" s="4" t="s">
        <v>34</v>
      </c>
      <c r="I189" s="5">
        <v>44713</v>
      </c>
      <c r="J189" s="6">
        <v>210</v>
      </c>
      <c r="K189" s="52">
        <v>210</v>
      </c>
      <c r="L189" s="6">
        <v>10.914</v>
      </c>
      <c r="M189" s="53">
        <v>10.914</v>
      </c>
      <c r="N189" s="6">
        <v>10.914</v>
      </c>
      <c r="O189" s="53">
        <v>10.914</v>
      </c>
      <c r="P189" s="6">
        <v>0</v>
      </c>
      <c r="Q189" s="4" t="s">
        <v>26</v>
      </c>
      <c r="R189" s="4">
        <v>0</v>
      </c>
      <c r="S189" s="6">
        <v>9</v>
      </c>
      <c r="T189" s="6">
        <v>12</v>
      </c>
      <c r="U189" s="6">
        <v>38</v>
      </c>
      <c r="V189" s="53">
        <f>IF(ISERROR(VLOOKUP($S$189,'TAR FIN'!$A$1:$O$113,15,0)),0,VLOOKUP($S$189,'TAR FIN'!$A$1:$O$113,15,0))*(1-0.06)</f>
        <v>33.614399999999996</v>
      </c>
      <c r="W189" s="53">
        <f>IF(ISERROR(VLOOKUP($T$189,'TAR FIN'!$A$1:$O$113,15,0)),0,VLOOKUP($T$189,'TAR FIN'!$A$1:$O$113,15,0))*(1-0.06)</f>
        <v>67.820999999999998</v>
      </c>
      <c r="X189" s="53">
        <f>IF(ISERROR(VLOOKUP($U$189,'TAR FIN'!$A$1:$O$113,15,0)),0,VLOOKUP($U$189,'TAR FIN'!$A$1:$O$113,15,0))*(1-0.06)</f>
        <v>416.28839999999997</v>
      </c>
      <c r="Y189" s="53">
        <f ca="1">('TUSD BE'!$AM$14+'TUSD BF'!$AM$14+'TUSD CVA'!$AM$14)*1*(1-0.03)</f>
        <v>39.734731546617411</v>
      </c>
      <c r="Z189" s="53">
        <f ca="1">('TUSD BE'!$AM$16+'TUSD BF'!$AM$16+'TUSD CVA'!$AM$16)*1*(1-0.03)</f>
        <v>118.47633671713493</v>
      </c>
      <c r="AA189" s="53">
        <f>('TE BE'!$AB$9+'TE BF'!$AB$9+'TE CVA'!$AB$9)*1*(1-0.03)</f>
        <v>471.84300153620904</v>
      </c>
      <c r="AB189" s="6">
        <f>$K$189*$V$189</f>
        <v>7059.0239999999994</v>
      </c>
      <c r="AC189" s="6">
        <f>$M$189*$W$189</f>
        <v>740.19839400000001</v>
      </c>
      <c r="AD189" s="6">
        <f>$O$189*$X$189</f>
        <v>4543.3715975999994</v>
      </c>
      <c r="AE189" s="6">
        <f ca="1">$K$189*$Y$189</f>
        <v>8344.293624789656</v>
      </c>
      <c r="AF189" s="6">
        <f ca="1">$M$189*$Z$189</f>
        <v>1293.0507389308107</v>
      </c>
      <c r="AG189" s="6">
        <f>$O$189*$AA$189</f>
        <v>5149.694518766185</v>
      </c>
    </row>
    <row r="190" spans="1:33" ht="11.25" customHeight="1" x14ac:dyDescent="0.3">
      <c r="A190" s="4" t="s">
        <v>21</v>
      </c>
      <c r="B190" s="4" t="s">
        <v>39</v>
      </c>
      <c r="C190" s="4" t="s">
        <v>40</v>
      </c>
      <c r="D190" s="4" t="s">
        <v>50</v>
      </c>
      <c r="E190" s="4" t="s">
        <v>51</v>
      </c>
      <c r="F190" s="4" t="s">
        <v>25</v>
      </c>
      <c r="G190" s="4" t="s">
        <v>25</v>
      </c>
      <c r="H190" s="4" t="s">
        <v>34</v>
      </c>
      <c r="I190" s="5">
        <v>44743</v>
      </c>
      <c r="J190" s="6">
        <v>210</v>
      </c>
      <c r="K190" s="52">
        <v>210</v>
      </c>
      <c r="L190" s="6">
        <v>10.762</v>
      </c>
      <c r="M190" s="53">
        <v>10.762</v>
      </c>
      <c r="N190" s="6">
        <v>10.762</v>
      </c>
      <c r="O190" s="53">
        <v>10.762</v>
      </c>
      <c r="P190" s="6">
        <v>0</v>
      </c>
      <c r="Q190" s="4" t="s">
        <v>26</v>
      </c>
      <c r="R190" s="4">
        <v>0</v>
      </c>
      <c r="S190" s="6">
        <v>9</v>
      </c>
      <c r="T190" s="6">
        <v>12</v>
      </c>
      <c r="U190" s="6">
        <v>38</v>
      </c>
      <c r="V190" s="53">
        <f>IF(ISERROR(VLOOKUP($S$190,'TAR FIN'!$A$1:$O$113,15,0)),0,VLOOKUP($S$190,'TAR FIN'!$A$1:$O$113,15,0))*(1-0.06)</f>
        <v>33.614399999999996</v>
      </c>
      <c r="W190" s="53">
        <f>IF(ISERROR(VLOOKUP($T$190,'TAR FIN'!$A$1:$O$113,15,0)),0,VLOOKUP($T$190,'TAR FIN'!$A$1:$O$113,15,0))*(1-0.06)</f>
        <v>67.820999999999998</v>
      </c>
      <c r="X190" s="53">
        <f>IF(ISERROR(VLOOKUP($U$190,'TAR FIN'!$A$1:$O$113,15,0)),0,VLOOKUP($U$190,'TAR FIN'!$A$1:$O$113,15,0))*(1-0.06)</f>
        <v>416.28839999999997</v>
      </c>
      <c r="Y190" s="53">
        <f ca="1">('TUSD BE'!$AM$14+'TUSD BF'!$AM$14+'TUSD CVA'!$AM$14)*1*(1-0.03)</f>
        <v>39.734731546617411</v>
      </c>
      <c r="Z190" s="53">
        <f ca="1">('TUSD BE'!$AM$16+'TUSD BF'!$AM$16+'TUSD CVA'!$AM$16)*1*(1-0.03)</f>
        <v>118.47633671713493</v>
      </c>
      <c r="AA190" s="53">
        <f>('TE BE'!$AB$9+'TE BF'!$AB$9+'TE CVA'!$AB$9)*1*(1-0.03)</f>
        <v>471.84300153620904</v>
      </c>
      <c r="AB190" s="6">
        <f>$K$190*$V$190</f>
        <v>7059.0239999999994</v>
      </c>
      <c r="AC190" s="6">
        <f>$M$190*$W$190</f>
        <v>729.88960199999997</v>
      </c>
      <c r="AD190" s="6">
        <f>$O$190*$X$190</f>
        <v>4480.0957607999999</v>
      </c>
      <c r="AE190" s="6">
        <f ca="1">$K$190*$Y$190</f>
        <v>8344.293624789656</v>
      </c>
      <c r="AF190" s="6">
        <f ca="1">$M$190*$Z$190</f>
        <v>1275.0423357498062</v>
      </c>
      <c r="AG190" s="6">
        <f>$O$190*$AA$190</f>
        <v>5077.9743825326823</v>
      </c>
    </row>
    <row r="191" spans="1:33" ht="11.25" customHeight="1" x14ac:dyDescent="0.3">
      <c r="A191" s="4" t="s">
        <v>21</v>
      </c>
      <c r="B191" s="4" t="s">
        <v>39</v>
      </c>
      <c r="C191" s="4" t="s">
        <v>40</v>
      </c>
      <c r="D191" s="4" t="s">
        <v>50</v>
      </c>
      <c r="E191" s="4" t="s">
        <v>51</v>
      </c>
      <c r="F191" s="4" t="s">
        <v>25</v>
      </c>
      <c r="G191" s="4" t="s">
        <v>25</v>
      </c>
      <c r="H191" s="4" t="s">
        <v>34</v>
      </c>
      <c r="I191" s="5">
        <v>44774</v>
      </c>
      <c r="J191" s="6">
        <v>210</v>
      </c>
      <c r="K191" s="52">
        <v>210</v>
      </c>
      <c r="L191" s="6">
        <v>10.159000000000001</v>
      </c>
      <c r="M191" s="53">
        <v>10.159000000000001</v>
      </c>
      <c r="N191" s="6">
        <v>10.159000000000001</v>
      </c>
      <c r="O191" s="53">
        <v>10.159000000000001</v>
      </c>
      <c r="P191" s="6">
        <v>0</v>
      </c>
      <c r="Q191" s="4" t="s">
        <v>26</v>
      </c>
      <c r="R191" s="4">
        <v>0</v>
      </c>
      <c r="S191" s="6">
        <v>9</v>
      </c>
      <c r="T191" s="6">
        <v>12</v>
      </c>
      <c r="U191" s="6">
        <v>38</v>
      </c>
      <c r="V191" s="53">
        <f>IF(ISERROR(VLOOKUP($S$191,'TAR FIN'!$A$1:$O$113,15,0)),0,VLOOKUP($S$191,'TAR FIN'!$A$1:$O$113,15,0))*(1-0.06)</f>
        <v>33.614399999999996</v>
      </c>
      <c r="W191" s="53">
        <f>IF(ISERROR(VLOOKUP($T$191,'TAR FIN'!$A$1:$O$113,15,0)),0,VLOOKUP($T$191,'TAR FIN'!$A$1:$O$113,15,0))*(1-0.06)</f>
        <v>67.820999999999998</v>
      </c>
      <c r="X191" s="53">
        <f>IF(ISERROR(VLOOKUP($U$191,'TAR FIN'!$A$1:$O$113,15,0)),0,VLOOKUP($U$191,'TAR FIN'!$A$1:$O$113,15,0))*(1-0.06)</f>
        <v>416.28839999999997</v>
      </c>
      <c r="Y191" s="53">
        <f ca="1">('TUSD BE'!$AM$14+'TUSD BF'!$AM$14+'TUSD CVA'!$AM$14)*1*(1-0.03)</f>
        <v>39.734731546617411</v>
      </c>
      <c r="Z191" s="53">
        <f ca="1">('TUSD BE'!$AM$16+'TUSD BF'!$AM$16+'TUSD CVA'!$AM$16)*1*(1-0.03)</f>
        <v>118.47633671713493</v>
      </c>
      <c r="AA191" s="53">
        <f>('TE BE'!$AB$9+'TE BF'!$AB$9+'TE CVA'!$AB$9)*1*(1-0.03)</f>
        <v>471.84300153620904</v>
      </c>
      <c r="AB191" s="6">
        <f>$K$191*$V$191</f>
        <v>7059.0239999999994</v>
      </c>
      <c r="AC191" s="6">
        <f>$M$191*$W$191</f>
        <v>688.99353900000006</v>
      </c>
      <c r="AD191" s="6">
        <f>$O$191*$X$191</f>
        <v>4229.0738555999997</v>
      </c>
      <c r="AE191" s="6">
        <f ca="1">$K$191*$Y$191</f>
        <v>8344.293624789656</v>
      </c>
      <c r="AF191" s="6">
        <f ca="1">$M$191*$Z$191</f>
        <v>1203.6011047093739</v>
      </c>
      <c r="AG191" s="6">
        <f>$O$191*$AA$191</f>
        <v>4793.4530526063481</v>
      </c>
    </row>
    <row r="192" spans="1:33" ht="11.25" customHeight="1" x14ac:dyDescent="0.3">
      <c r="A192" s="4" t="s">
        <v>21</v>
      </c>
      <c r="B192" s="4" t="s">
        <v>39</v>
      </c>
      <c r="C192" s="4" t="s">
        <v>40</v>
      </c>
      <c r="D192" s="4" t="s">
        <v>50</v>
      </c>
      <c r="E192" s="4" t="s">
        <v>51</v>
      </c>
      <c r="F192" s="4" t="s">
        <v>25</v>
      </c>
      <c r="G192" s="4" t="s">
        <v>25</v>
      </c>
      <c r="H192" s="4" t="s">
        <v>34</v>
      </c>
      <c r="I192" s="5">
        <v>44805</v>
      </c>
      <c r="J192" s="6">
        <v>210</v>
      </c>
      <c r="K192" s="52">
        <v>210</v>
      </c>
      <c r="L192" s="6">
        <v>10.811999999999999</v>
      </c>
      <c r="M192" s="53">
        <v>10.811999999999999</v>
      </c>
      <c r="N192" s="6">
        <v>10.811999999999999</v>
      </c>
      <c r="O192" s="53">
        <v>10.811999999999999</v>
      </c>
      <c r="P192" s="6">
        <v>0</v>
      </c>
      <c r="Q192" s="4" t="s">
        <v>26</v>
      </c>
      <c r="R192" s="4">
        <v>0</v>
      </c>
      <c r="S192" s="6">
        <v>9</v>
      </c>
      <c r="T192" s="6">
        <v>12</v>
      </c>
      <c r="U192" s="6">
        <v>38</v>
      </c>
      <c r="V192" s="53">
        <f>IF(ISERROR(VLOOKUP($S$192,'TAR FIN'!$A$1:$O$113,15,0)),0,VLOOKUP($S$192,'TAR FIN'!$A$1:$O$113,15,0))*(1-0.06)</f>
        <v>33.614399999999996</v>
      </c>
      <c r="W192" s="53">
        <f>IF(ISERROR(VLOOKUP($T$192,'TAR FIN'!$A$1:$O$113,15,0)),0,VLOOKUP($T$192,'TAR FIN'!$A$1:$O$113,15,0))*(1-0.06)</f>
        <v>67.820999999999998</v>
      </c>
      <c r="X192" s="53">
        <f>IF(ISERROR(VLOOKUP($U$192,'TAR FIN'!$A$1:$O$113,15,0)),0,VLOOKUP($U$192,'TAR FIN'!$A$1:$O$113,15,0))*(1-0.06)</f>
        <v>416.28839999999997</v>
      </c>
      <c r="Y192" s="53">
        <f ca="1">('TUSD BE'!$AM$14+'TUSD BF'!$AM$14+'TUSD CVA'!$AM$14)*1*(1-0.03)</f>
        <v>39.734731546617411</v>
      </c>
      <c r="Z192" s="53">
        <f ca="1">('TUSD BE'!$AM$16+'TUSD BF'!$AM$16+'TUSD CVA'!$AM$16)*1*(1-0.03)</f>
        <v>118.47633671713493</v>
      </c>
      <c r="AA192" s="53">
        <f>('TE BE'!$AB$9+'TE BF'!$AB$9+'TE CVA'!$AB$9)*1*(1-0.03)</f>
        <v>471.84300153620904</v>
      </c>
      <c r="AB192" s="6">
        <f>$K$192*$V$192</f>
        <v>7059.0239999999994</v>
      </c>
      <c r="AC192" s="6">
        <f>$M$192*$W$192</f>
        <v>733.28065199999992</v>
      </c>
      <c r="AD192" s="6">
        <f>$O$192*$X$192</f>
        <v>4500.9101807999996</v>
      </c>
      <c r="AE192" s="6">
        <f ca="1">$K$192*$Y$192</f>
        <v>8344.293624789656</v>
      </c>
      <c r="AF192" s="6">
        <f ca="1">$M$192*$Z$192</f>
        <v>1280.9661525856627</v>
      </c>
      <c r="AG192" s="6">
        <f>$O$192*$AA$192</f>
        <v>5101.5665326094922</v>
      </c>
    </row>
    <row r="193" spans="1:33" ht="11.25" customHeight="1" x14ac:dyDescent="0.3">
      <c r="A193" s="4" t="s">
        <v>53</v>
      </c>
      <c r="B193" s="4" t="s">
        <v>39</v>
      </c>
      <c r="C193" s="4" t="s">
        <v>40</v>
      </c>
      <c r="D193" s="4" t="s">
        <v>50</v>
      </c>
      <c r="E193" s="4" t="s">
        <v>51</v>
      </c>
      <c r="F193" s="4" t="s">
        <v>25</v>
      </c>
      <c r="G193" s="4" t="s">
        <v>25</v>
      </c>
      <c r="H193" s="4" t="s">
        <v>34</v>
      </c>
      <c r="I193" s="5">
        <v>44835</v>
      </c>
      <c r="J193" s="6">
        <v>210</v>
      </c>
      <c r="K193" s="52">
        <v>210</v>
      </c>
      <c r="L193" s="6">
        <v>10.811999999999999</v>
      </c>
      <c r="M193" s="53">
        <v>10.811999999999999</v>
      </c>
      <c r="N193" s="6">
        <v>10.811999999999999</v>
      </c>
      <c r="O193" s="53">
        <v>10.811999999999999</v>
      </c>
      <c r="P193" s="6">
        <v>0</v>
      </c>
      <c r="Q193" s="4" t="s">
        <v>26</v>
      </c>
      <c r="R193" s="4">
        <v>0</v>
      </c>
      <c r="S193" s="6">
        <v>9</v>
      </c>
      <c r="T193" s="6">
        <v>12</v>
      </c>
      <c r="U193" s="6">
        <v>38</v>
      </c>
      <c r="V193" s="53">
        <f>IF(ISERROR(VLOOKUP($S$193,'TAR FIN'!$A$1:$O$113,15,0)),0,VLOOKUP($S$193,'TAR FIN'!$A$1:$O$113,15,0))*(1-0.06)</f>
        <v>33.614399999999996</v>
      </c>
      <c r="W193" s="53">
        <f>IF(ISERROR(VLOOKUP($T$193,'TAR FIN'!$A$1:$O$113,15,0)),0,VLOOKUP($T$193,'TAR FIN'!$A$1:$O$113,15,0))*(1-0.06)</f>
        <v>67.820999999999998</v>
      </c>
      <c r="X193" s="53">
        <f>IF(ISERROR(VLOOKUP($U$193,'TAR FIN'!$A$1:$O$113,15,0)),0,VLOOKUP($U$193,'TAR FIN'!$A$1:$O$113,15,0))*(1-0.06)</f>
        <v>416.28839999999997</v>
      </c>
      <c r="Y193" s="53">
        <f ca="1">('TUSD BE'!$AM$14+'TUSD BF'!$AM$14+'TUSD CVA'!$AM$14)*1*(1-0.03)</f>
        <v>39.734731546617411</v>
      </c>
      <c r="Z193" s="53">
        <f ca="1">('TUSD BE'!$AM$16+'TUSD BF'!$AM$16+'TUSD CVA'!$AM$16)*1*(1-0.03)</f>
        <v>118.47633671713493</v>
      </c>
      <c r="AA193" s="53">
        <f>('TE BE'!$AB$9+'TE BF'!$AB$9+'TE CVA'!$AB$9)*1*(1-0.03)</f>
        <v>471.84300153620904</v>
      </c>
      <c r="AB193" s="6">
        <f>$K$193*$V$193</f>
        <v>7059.0239999999994</v>
      </c>
      <c r="AC193" s="6">
        <f>$M$193*$W$193</f>
        <v>733.28065199999992</v>
      </c>
      <c r="AD193" s="6">
        <f>$O$193*$X$193</f>
        <v>4500.9101807999996</v>
      </c>
      <c r="AE193" s="6">
        <f ca="1">$K$193*$Y$193</f>
        <v>8344.293624789656</v>
      </c>
      <c r="AF193" s="6">
        <f ca="1">$M$193*$Z$193</f>
        <v>1280.9661525856627</v>
      </c>
      <c r="AG193" s="6">
        <f>$O$193*$AA$193</f>
        <v>5101.5665326094922</v>
      </c>
    </row>
    <row r="194" spans="1:33" ht="11.25" customHeight="1" x14ac:dyDescent="0.3">
      <c r="A194" s="4" t="s">
        <v>21</v>
      </c>
      <c r="B194" s="4" t="s">
        <v>39</v>
      </c>
      <c r="C194" s="4" t="s">
        <v>57</v>
      </c>
      <c r="D194" s="4" t="s">
        <v>25</v>
      </c>
      <c r="E194" s="4" t="s">
        <v>25</v>
      </c>
      <c r="F194" s="4" t="s">
        <v>25</v>
      </c>
      <c r="G194" s="4" t="s">
        <v>58</v>
      </c>
      <c r="H194" s="4" t="s">
        <v>25</v>
      </c>
      <c r="I194" s="5">
        <v>44501</v>
      </c>
      <c r="J194" s="6">
        <v>8780</v>
      </c>
      <c r="K194" s="6">
        <v>8780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4" t="s">
        <v>59</v>
      </c>
      <c r="R194" s="4">
        <v>109</v>
      </c>
      <c r="S194" s="6">
        <v>17</v>
      </c>
      <c r="T194" s="6">
        <v>0</v>
      </c>
      <c r="U194" s="6">
        <v>0</v>
      </c>
      <c r="V194" s="6">
        <f>IF(ISERROR(VLOOKUP($S$194,'TAR FIN'!$A$1:$O$113,15,0)),0,VLOOKUP($S$194,'TAR FIN'!$A$1:$O$113,15,0))</f>
        <v>3.27</v>
      </c>
      <c r="W194" s="6">
        <f>IF(ISERROR(VLOOKUP($T$194,'TAR FIN'!$A$1:$O$113,15,0)),0,VLOOKUP($T$194,'TAR FIN'!$A$1:$O$113,15,0))</f>
        <v>0</v>
      </c>
      <c r="X194" s="6">
        <f>IF(ISERROR(VLOOKUP($U$194,'TAR FIN'!$A$1:$O$113,15,0)),0,VLOOKUP($U$194,'TAR FIN'!$A$1:$O$113,15,0))</f>
        <v>0</v>
      </c>
      <c r="Y194" s="6">
        <f ca="1">('TUSD BE'!$AM$18+'TUSD BF'!$AM$18+'TUSD CVA'!$AM$18)*1</f>
        <v>3.7426028242520015</v>
      </c>
      <c r="Z194" s="6"/>
      <c r="AA194" s="6"/>
      <c r="AB194" s="6">
        <f>$K$194*$V$194</f>
        <v>28710.6</v>
      </c>
      <c r="AC194" s="6">
        <f>$M$194*$W$194</f>
        <v>0</v>
      </c>
      <c r="AD194" s="6">
        <f>$O$194*$X$194</f>
        <v>0</v>
      </c>
      <c r="AE194" s="6">
        <f ca="1">$K$194*$Y$194</f>
        <v>32860.05279693257</v>
      </c>
      <c r="AF194" s="6">
        <f>$M$194*$Z$194</f>
        <v>0</v>
      </c>
      <c r="AG194" s="6">
        <f>$O$194*$AA$194</f>
        <v>0</v>
      </c>
    </row>
    <row r="195" spans="1:33" ht="11.25" customHeight="1" x14ac:dyDescent="0.3">
      <c r="A195" s="4" t="s">
        <v>21</v>
      </c>
      <c r="B195" s="4" t="s">
        <v>39</v>
      </c>
      <c r="C195" s="4" t="s">
        <v>57</v>
      </c>
      <c r="D195" s="4" t="s">
        <v>25</v>
      </c>
      <c r="E195" s="4" t="s">
        <v>25</v>
      </c>
      <c r="F195" s="4" t="s">
        <v>25</v>
      </c>
      <c r="G195" s="4" t="s">
        <v>58</v>
      </c>
      <c r="H195" s="4" t="s">
        <v>25</v>
      </c>
      <c r="I195" s="5">
        <v>44531</v>
      </c>
      <c r="J195" s="6">
        <v>8780</v>
      </c>
      <c r="K195" s="6">
        <v>8780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4" t="s">
        <v>59</v>
      </c>
      <c r="R195" s="4">
        <v>109</v>
      </c>
      <c r="S195" s="6">
        <v>17</v>
      </c>
      <c r="T195" s="6">
        <v>0</v>
      </c>
      <c r="U195" s="6">
        <v>0</v>
      </c>
      <c r="V195" s="6">
        <f>IF(ISERROR(VLOOKUP($S$195,'TAR FIN'!$A$1:$O$113,15,0)),0,VLOOKUP($S$195,'TAR FIN'!$A$1:$O$113,15,0))</f>
        <v>3.27</v>
      </c>
      <c r="W195" s="6">
        <f>IF(ISERROR(VLOOKUP($T$195,'TAR FIN'!$A$1:$O$113,15,0)),0,VLOOKUP($T$195,'TAR FIN'!$A$1:$O$113,15,0))</f>
        <v>0</v>
      </c>
      <c r="X195" s="6">
        <f>IF(ISERROR(VLOOKUP($U$195,'TAR FIN'!$A$1:$O$113,15,0)),0,VLOOKUP($U$195,'TAR FIN'!$A$1:$O$113,15,0))</f>
        <v>0</v>
      </c>
      <c r="Y195" s="6">
        <f ca="1">('TUSD BE'!$AM$18+'TUSD BF'!$AM$18+'TUSD CVA'!$AM$18)*1</f>
        <v>3.7426028242520015</v>
      </c>
      <c r="Z195" s="6"/>
      <c r="AA195" s="6"/>
      <c r="AB195" s="6">
        <f>$K$195*$V$195</f>
        <v>28710.6</v>
      </c>
      <c r="AC195" s="6">
        <f>$M$195*$W$195</f>
        <v>0</v>
      </c>
      <c r="AD195" s="6">
        <f>$O$195*$X$195</f>
        <v>0</v>
      </c>
      <c r="AE195" s="6">
        <f ca="1">$K$195*$Y$195</f>
        <v>32860.05279693257</v>
      </c>
      <c r="AF195" s="6">
        <f>$M$195*$Z$195</f>
        <v>0</v>
      </c>
      <c r="AG195" s="6">
        <f>$O$195*$AA$195</f>
        <v>0</v>
      </c>
    </row>
    <row r="196" spans="1:33" ht="11.25" customHeight="1" x14ac:dyDescent="0.3">
      <c r="A196" s="4" t="s">
        <v>21</v>
      </c>
      <c r="B196" s="4" t="s">
        <v>39</v>
      </c>
      <c r="C196" s="4" t="s">
        <v>57</v>
      </c>
      <c r="D196" s="4" t="s">
        <v>25</v>
      </c>
      <c r="E196" s="4" t="s">
        <v>25</v>
      </c>
      <c r="F196" s="4" t="s">
        <v>25</v>
      </c>
      <c r="G196" s="4" t="s">
        <v>58</v>
      </c>
      <c r="H196" s="4" t="s">
        <v>25</v>
      </c>
      <c r="I196" s="5">
        <v>44562</v>
      </c>
      <c r="J196" s="6">
        <v>8780</v>
      </c>
      <c r="K196" s="6">
        <v>8780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4" t="s">
        <v>59</v>
      </c>
      <c r="R196" s="4">
        <v>109</v>
      </c>
      <c r="S196" s="6">
        <v>17</v>
      </c>
      <c r="T196" s="6">
        <v>0</v>
      </c>
      <c r="U196" s="6">
        <v>0</v>
      </c>
      <c r="V196" s="6">
        <f>IF(ISERROR(VLOOKUP($S$196,'TAR FIN'!$A$1:$O$113,15,0)),0,VLOOKUP($S$196,'TAR FIN'!$A$1:$O$113,15,0))</f>
        <v>3.27</v>
      </c>
      <c r="W196" s="6">
        <f>IF(ISERROR(VLOOKUP($T$196,'TAR FIN'!$A$1:$O$113,15,0)),0,VLOOKUP($T$196,'TAR FIN'!$A$1:$O$113,15,0))</f>
        <v>0</v>
      </c>
      <c r="X196" s="6">
        <f>IF(ISERROR(VLOOKUP($U$196,'TAR FIN'!$A$1:$O$113,15,0)),0,VLOOKUP($U$196,'TAR FIN'!$A$1:$O$113,15,0))</f>
        <v>0</v>
      </c>
      <c r="Y196" s="6">
        <f ca="1">('TUSD BE'!$AM$18+'TUSD BF'!$AM$18+'TUSD CVA'!$AM$18)*1</f>
        <v>3.7426028242520015</v>
      </c>
      <c r="Z196" s="6"/>
      <c r="AA196" s="6"/>
      <c r="AB196" s="6">
        <f>$K$196*$V$196</f>
        <v>28710.6</v>
      </c>
      <c r="AC196" s="6">
        <f>$M$196*$W$196</f>
        <v>0</v>
      </c>
      <c r="AD196" s="6">
        <f>$O$196*$X$196</f>
        <v>0</v>
      </c>
      <c r="AE196" s="6">
        <f ca="1">$K$196*$Y$196</f>
        <v>32860.05279693257</v>
      </c>
      <c r="AF196" s="6">
        <f>$M$196*$Z$196</f>
        <v>0</v>
      </c>
      <c r="AG196" s="6">
        <f>$O$196*$AA$196</f>
        <v>0</v>
      </c>
    </row>
    <row r="197" spans="1:33" ht="11.25" customHeight="1" x14ac:dyDescent="0.3">
      <c r="A197" s="4" t="s">
        <v>21</v>
      </c>
      <c r="B197" s="4" t="s">
        <v>39</v>
      </c>
      <c r="C197" s="4" t="s">
        <v>57</v>
      </c>
      <c r="D197" s="4" t="s">
        <v>25</v>
      </c>
      <c r="E197" s="4" t="s">
        <v>25</v>
      </c>
      <c r="F197" s="4" t="s">
        <v>25</v>
      </c>
      <c r="G197" s="4" t="s">
        <v>58</v>
      </c>
      <c r="H197" s="4" t="s">
        <v>25</v>
      </c>
      <c r="I197" s="5">
        <v>44593</v>
      </c>
      <c r="J197" s="6">
        <v>8780</v>
      </c>
      <c r="K197" s="6">
        <v>8780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4" t="s">
        <v>59</v>
      </c>
      <c r="R197" s="4">
        <v>109</v>
      </c>
      <c r="S197" s="6">
        <v>17</v>
      </c>
      <c r="T197" s="6">
        <v>0</v>
      </c>
      <c r="U197" s="6">
        <v>0</v>
      </c>
      <c r="V197" s="6">
        <f>IF(ISERROR(VLOOKUP($S$197,'TAR FIN'!$A$1:$O$113,15,0)),0,VLOOKUP($S$197,'TAR FIN'!$A$1:$O$113,15,0))</f>
        <v>3.27</v>
      </c>
      <c r="W197" s="6">
        <f>IF(ISERROR(VLOOKUP($T$197,'TAR FIN'!$A$1:$O$113,15,0)),0,VLOOKUP($T$197,'TAR FIN'!$A$1:$O$113,15,0))</f>
        <v>0</v>
      </c>
      <c r="X197" s="6">
        <f>IF(ISERROR(VLOOKUP($U$197,'TAR FIN'!$A$1:$O$113,15,0)),0,VLOOKUP($U$197,'TAR FIN'!$A$1:$O$113,15,0))</f>
        <v>0</v>
      </c>
      <c r="Y197" s="6">
        <f ca="1">('TUSD BE'!$AM$18+'TUSD BF'!$AM$18+'TUSD CVA'!$AM$18)*1</f>
        <v>3.7426028242520015</v>
      </c>
      <c r="Z197" s="6"/>
      <c r="AA197" s="6"/>
      <c r="AB197" s="6">
        <f>$K$197*$V$197</f>
        <v>28710.6</v>
      </c>
      <c r="AC197" s="6">
        <f>$M$197*$W$197</f>
        <v>0</v>
      </c>
      <c r="AD197" s="6">
        <f>$O$197*$X$197</f>
        <v>0</v>
      </c>
      <c r="AE197" s="6">
        <f ca="1">$K$197*$Y$197</f>
        <v>32860.05279693257</v>
      </c>
      <c r="AF197" s="6">
        <f>$M$197*$Z$197</f>
        <v>0</v>
      </c>
      <c r="AG197" s="6">
        <f>$O$197*$AA$197</f>
        <v>0</v>
      </c>
    </row>
    <row r="198" spans="1:33" ht="11.25" customHeight="1" x14ac:dyDescent="0.3">
      <c r="A198" s="4" t="s">
        <v>21</v>
      </c>
      <c r="B198" s="4" t="s">
        <v>39</v>
      </c>
      <c r="C198" s="4" t="s">
        <v>57</v>
      </c>
      <c r="D198" s="4" t="s">
        <v>25</v>
      </c>
      <c r="E198" s="4" t="s">
        <v>25</v>
      </c>
      <c r="F198" s="4" t="s">
        <v>25</v>
      </c>
      <c r="G198" s="4" t="s">
        <v>58</v>
      </c>
      <c r="H198" s="4" t="s">
        <v>25</v>
      </c>
      <c r="I198" s="5">
        <v>44621</v>
      </c>
      <c r="J198" s="6">
        <v>8780</v>
      </c>
      <c r="K198" s="6">
        <v>8780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4" t="s">
        <v>59</v>
      </c>
      <c r="R198" s="4">
        <v>109</v>
      </c>
      <c r="S198" s="6">
        <v>17</v>
      </c>
      <c r="T198" s="6">
        <v>0</v>
      </c>
      <c r="U198" s="6">
        <v>0</v>
      </c>
      <c r="V198" s="6">
        <f>IF(ISERROR(VLOOKUP($S$198,'TAR FIN'!$A$1:$O$113,15,0)),0,VLOOKUP($S$198,'TAR FIN'!$A$1:$O$113,15,0))</f>
        <v>3.27</v>
      </c>
      <c r="W198" s="6">
        <f>IF(ISERROR(VLOOKUP($T$198,'TAR FIN'!$A$1:$O$113,15,0)),0,VLOOKUP($T$198,'TAR FIN'!$A$1:$O$113,15,0))</f>
        <v>0</v>
      </c>
      <c r="X198" s="6">
        <f>IF(ISERROR(VLOOKUP($U$198,'TAR FIN'!$A$1:$O$113,15,0)),0,VLOOKUP($U$198,'TAR FIN'!$A$1:$O$113,15,0))</f>
        <v>0</v>
      </c>
      <c r="Y198" s="6">
        <f ca="1">('TUSD BE'!$AM$18+'TUSD BF'!$AM$18+'TUSD CVA'!$AM$18)*1</f>
        <v>3.7426028242520015</v>
      </c>
      <c r="Z198" s="6"/>
      <c r="AA198" s="6"/>
      <c r="AB198" s="6">
        <f>$K$198*$V$198</f>
        <v>28710.6</v>
      </c>
      <c r="AC198" s="6">
        <f>$M$198*$W$198</f>
        <v>0</v>
      </c>
      <c r="AD198" s="6">
        <f>$O$198*$X$198</f>
        <v>0</v>
      </c>
      <c r="AE198" s="6">
        <f ca="1">$K$198*$Y$198</f>
        <v>32860.05279693257</v>
      </c>
      <c r="AF198" s="6">
        <f>$M$198*$Z$198</f>
        <v>0</v>
      </c>
      <c r="AG198" s="6">
        <f>$O$198*$AA$198</f>
        <v>0</v>
      </c>
    </row>
    <row r="199" spans="1:33" ht="11.25" customHeight="1" x14ac:dyDescent="0.3">
      <c r="A199" s="4" t="s">
        <v>21</v>
      </c>
      <c r="B199" s="4" t="s">
        <v>39</v>
      </c>
      <c r="C199" s="4" t="s">
        <v>57</v>
      </c>
      <c r="D199" s="4" t="s">
        <v>25</v>
      </c>
      <c r="E199" s="4" t="s">
        <v>25</v>
      </c>
      <c r="F199" s="4" t="s">
        <v>25</v>
      </c>
      <c r="G199" s="4" t="s">
        <v>58</v>
      </c>
      <c r="H199" s="4" t="s">
        <v>25</v>
      </c>
      <c r="I199" s="5">
        <v>44652</v>
      </c>
      <c r="J199" s="6">
        <v>8780</v>
      </c>
      <c r="K199" s="6">
        <v>8780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4" t="s">
        <v>59</v>
      </c>
      <c r="R199" s="4">
        <v>109</v>
      </c>
      <c r="S199" s="6">
        <v>17</v>
      </c>
      <c r="T199" s="6">
        <v>0</v>
      </c>
      <c r="U199" s="6">
        <v>0</v>
      </c>
      <c r="V199" s="6">
        <f>IF(ISERROR(VLOOKUP($S$199,'TAR FIN'!$A$1:$O$113,15,0)),0,VLOOKUP($S$199,'TAR FIN'!$A$1:$O$113,15,0))</f>
        <v>3.27</v>
      </c>
      <c r="W199" s="6">
        <f>IF(ISERROR(VLOOKUP($T$199,'TAR FIN'!$A$1:$O$113,15,0)),0,VLOOKUP($T$199,'TAR FIN'!$A$1:$O$113,15,0))</f>
        <v>0</v>
      </c>
      <c r="X199" s="6">
        <f>IF(ISERROR(VLOOKUP($U$199,'TAR FIN'!$A$1:$O$113,15,0)),0,VLOOKUP($U$199,'TAR FIN'!$A$1:$O$113,15,0))</f>
        <v>0</v>
      </c>
      <c r="Y199" s="6">
        <f ca="1">('TUSD BE'!$AM$18+'TUSD BF'!$AM$18+'TUSD CVA'!$AM$18)*1</f>
        <v>3.7426028242520015</v>
      </c>
      <c r="Z199" s="6"/>
      <c r="AA199" s="6"/>
      <c r="AB199" s="6">
        <f>$K$199*$V$199</f>
        <v>28710.6</v>
      </c>
      <c r="AC199" s="6">
        <f>$M$199*$W$199</f>
        <v>0</v>
      </c>
      <c r="AD199" s="6">
        <f>$O$199*$X$199</f>
        <v>0</v>
      </c>
      <c r="AE199" s="6">
        <f ca="1">$K$199*$Y$199</f>
        <v>32860.05279693257</v>
      </c>
      <c r="AF199" s="6">
        <f>$M$199*$Z$199</f>
        <v>0</v>
      </c>
      <c r="AG199" s="6">
        <f>$O$199*$AA$199</f>
        <v>0</v>
      </c>
    </row>
    <row r="200" spans="1:33" ht="11.25" customHeight="1" x14ac:dyDescent="0.3">
      <c r="A200" s="4" t="s">
        <v>21</v>
      </c>
      <c r="B200" s="4" t="s">
        <v>39</v>
      </c>
      <c r="C200" s="4" t="s">
        <v>57</v>
      </c>
      <c r="D200" s="4" t="s">
        <v>25</v>
      </c>
      <c r="E200" s="4" t="s">
        <v>25</v>
      </c>
      <c r="F200" s="4" t="s">
        <v>25</v>
      </c>
      <c r="G200" s="4" t="s">
        <v>58</v>
      </c>
      <c r="H200" s="4" t="s">
        <v>25</v>
      </c>
      <c r="I200" s="5">
        <v>44682</v>
      </c>
      <c r="J200" s="6">
        <v>8780</v>
      </c>
      <c r="K200" s="6">
        <v>8780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4" t="s">
        <v>59</v>
      </c>
      <c r="R200" s="4">
        <v>109</v>
      </c>
      <c r="S200" s="6">
        <v>17</v>
      </c>
      <c r="T200" s="6">
        <v>0</v>
      </c>
      <c r="U200" s="6">
        <v>0</v>
      </c>
      <c r="V200" s="6">
        <f>IF(ISERROR(VLOOKUP($S$200,'TAR FIN'!$A$1:$O$113,15,0)),0,VLOOKUP($S$200,'TAR FIN'!$A$1:$O$113,15,0))</f>
        <v>3.27</v>
      </c>
      <c r="W200" s="6">
        <f>IF(ISERROR(VLOOKUP($T$200,'TAR FIN'!$A$1:$O$113,15,0)),0,VLOOKUP($T$200,'TAR FIN'!$A$1:$O$113,15,0))</f>
        <v>0</v>
      </c>
      <c r="X200" s="6">
        <f>IF(ISERROR(VLOOKUP($U$200,'TAR FIN'!$A$1:$O$113,15,0)),0,VLOOKUP($U$200,'TAR FIN'!$A$1:$O$113,15,0))</f>
        <v>0</v>
      </c>
      <c r="Y200" s="6">
        <f ca="1">('TUSD BE'!$AM$18+'TUSD BF'!$AM$18+'TUSD CVA'!$AM$18)*1</f>
        <v>3.7426028242520015</v>
      </c>
      <c r="Z200" s="6"/>
      <c r="AA200" s="6"/>
      <c r="AB200" s="6">
        <f>$K$200*$V$200</f>
        <v>28710.6</v>
      </c>
      <c r="AC200" s="6">
        <f>$M$200*$W$200</f>
        <v>0</v>
      </c>
      <c r="AD200" s="6">
        <f>$O$200*$X$200</f>
        <v>0</v>
      </c>
      <c r="AE200" s="6">
        <f ca="1">$K$200*$Y$200</f>
        <v>32860.05279693257</v>
      </c>
      <c r="AF200" s="6">
        <f>$M$200*$Z$200</f>
        <v>0</v>
      </c>
      <c r="AG200" s="6">
        <f>$O$200*$AA$200</f>
        <v>0</v>
      </c>
    </row>
    <row r="201" spans="1:33" ht="11.25" customHeight="1" x14ac:dyDescent="0.3">
      <c r="A201" s="4" t="s">
        <v>21</v>
      </c>
      <c r="B201" s="4" t="s">
        <v>39</v>
      </c>
      <c r="C201" s="4" t="s">
        <v>57</v>
      </c>
      <c r="D201" s="4" t="s">
        <v>25</v>
      </c>
      <c r="E201" s="4" t="s">
        <v>25</v>
      </c>
      <c r="F201" s="4" t="s">
        <v>25</v>
      </c>
      <c r="G201" s="4" t="s">
        <v>58</v>
      </c>
      <c r="H201" s="4" t="s">
        <v>25</v>
      </c>
      <c r="I201" s="5">
        <v>44713</v>
      </c>
      <c r="J201" s="6">
        <v>8780</v>
      </c>
      <c r="K201" s="6">
        <v>8780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4" t="s">
        <v>59</v>
      </c>
      <c r="R201" s="4">
        <v>109</v>
      </c>
      <c r="S201" s="6">
        <v>17</v>
      </c>
      <c r="T201" s="6">
        <v>0</v>
      </c>
      <c r="U201" s="6">
        <v>0</v>
      </c>
      <c r="V201" s="6">
        <f>IF(ISERROR(VLOOKUP($S$201,'TAR FIN'!$A$1:$O$113,15,0)),0,VLOOKUP($S$201,'TAR FIN'!$A$1:$O$113,15,0))</f>
        <v>3.27</v>
      </c>
      <c r="W201" s="6">
        <f>IF(ISERROR(VLOOKUP($T$201,'TAR FIN'!$A$1:$O$113,15,0)),0,VLOOKUP($T$201,'TAR FIN'!$A$1:$O$113,15,0))</f>
        <v>0</v>
      </c>
      <c r="X201" s="6">
        <f>IF(ISERROR(VLOOKUP($U$201,'TAR FIN'!$A$1:$O$113,15,0)),0,VLOOKUP($U$201,'TAR FIN'!$A$1:$O$113,15,0))</f>
        <v>0</v>
      </c>
      <c r="Y201" s="6">
        <f ca="1">('TUSD BE'!$AM$18+'TUSD BF'!$AM$18+'TUSD CVA'!$AM$18)*1</f>
        <v>3.7426028242520015</v>
      </c>
      <c r="Z201" s="6"/>
      <c r="AA201" s="6"/>
      <c r="AB201" s="6">
        <f>$K$201*$V$201</f>
        <v>28710.6</v>
      </c>
      <c r="AC201" s="6">
        <f>$M$201*$W$201</f>
        <v>0</v>
      </c>
      <c r="AD201" s="6">
        <f>$O$201*$X$201</f>
        <v>0</v>
      </c>
      <c r="AE201" s="6">
        <f ca="1">$K$201*$Y$201</f>
        <v>32860.05279693257</v>
      </c>
      <c r="AF201" s="6">
        <f>$M$201*$Z$201</f>
        <v>0</v>
      </c>
      <c r="AG201" s="6">
        <f>$O$201*$AA$201</f>
        <v>0</v>
      </c>
    </row>
    <row r="202" spans="1:33" ht="11.25" customHeight="1" x14ac:dyDescent="0.3">
      <c r="A202" s="4" t="s">
        <v>21</v>
      </c>
      <c r="B202" s="4" t="s">
        <v>39</v>
      </c>
      <c r="C202" s="4" t="s">
        <v>57</v>
      </c>
      <c r="D202" s="4" t="s">
        <v>25</v>
      </c>
      <c r="E202" s="4" t="s">
        <v>25</v>
      </c>
      <c r="F202" s="4" t="s">
        <v>25</v>
      </c>
      <c r="G202" s="4" t="s">
        <v>58</v>
      </c>
      <c r="H202" s="4" t="s">
        <v>25</v>
      </c>
      <c r="I202" s="5">
        <v>44743</v>
      </c>
      <c r="J202" s="6">
        <v>8780</v>
      </c>
      <c r="K202" s="6">
        <v>8780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4" t="s">
        <v>59</v>
      </c>
      <c r="R202" s="4">
        <v>109</v>
      </c>
      <c r="S202" s="6">
        <v>17</v>
      </c>
      <c r="T202" s="6">
        <v>0</v>
      </c>
      <c r="U202" s="6">
        <v>0</v>
      </c>
      <c r="V202" s="6">
        <f>IF(ISERROR(VLOOKUP($S$202,'TAR FIN'!$A$1:$O$113,15,0)),0,VLOOKUP($S$202,'TAR FIN'!$A$1:$O$113,15,0))</f>
        <v>3.27</v>
      </c>
      <c r="W202" s="6">
        <f>IF(ISERROR(VLOOKUP($T$202,'TAR FIN'!$A$1:$O$113,15,0)),0,VLOOKUP($T$202,'TAR FIN'!$A$1:$O$113,15,0))</f>
        <v>0</v>
      </c>
      <c r="X202" s="6">
        <f>IF(ISERROR(VLOOKUP($U$202,'TAR FIN'!$A$1:$O$113,15,0)),0,VLOOKUP($U$202,'TAR FIN'!$A$1:$O$113,15,0))</f>
        <v>0</v>
      </c>
      <c r="Y202" s="6">
        <f ca="1">('TUSD BE'!$AM$18+'TUSD BF'!$AM$18+'TUSD CVA'!$AM$18)*1</f>
        <v>3.7426028242520015</v>
      </c>
      <c r="Z202" s="6"/>
      <c r="AA202" s="6"/>
      <c r="AB202" s="6">
        <f>$K$202*$V$202</f>
        <v>28710.6</v>
      </c>
      <c r="AC202" s="6">
        <f>$M$202*$W$202</f>
        <v>0</v>
      </c>
      <c r="AD202" s="6">
        <f>$O$202*$X$202</f>
        <v>0</v>
      </c>
      <c r="AE202" s="6">
        <f ca="1">$K$202*$Y$202</f>
        <v>32860.05279693257</v>
      </c>
      <c r="AF202" s="6">
        <f>$M$202*$Z$202</f>
        <v>0</v>
      </c>
      <c r="AG202" s="6">
        <f>$O$202*$AA$202</f>
        <v>0</v>
      </c>
    </row>
    <row r="203" spans="1:33" ht="11.25" customHeight="1" x14ac:dyDescent="0.3">
      <c r="A203" s="4" t="s">
        <v>21</v>
      </c>
      <c r="B203" s="4" t="s">
        <v>39</v>
      </c>
      <c r="C203" s="4" t="s">
        <v>57</v>
      </c>
      <c r="D203" s="4" t="s">
        <v>25</v>
      </c>
      <c r="E203" s="4" t="s">
        <v>25</v>
      </c>
      <c r="F203" s="4" t="s">
        <v>25</v>
      </c>
      <c r="G203" s="4" t="s">
        <v>58</v>
      </c>
      <c r="H203" s="4" t="s">
        <v>25</v>
      </c>
      <c r="I203" s="5">
        <v>44774</v>
      </c>
      <c r="J203" s="6">
        <v>8780</v>
      </c>
      <c r="K203" s="6">
        <v>8780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4" t="s">
        <v>59</v>
      </c>
      <c r="R203" s="4">
        <v>109</v>
      </c>
      <c r="S203" s="6">
        <v>17</v>
      </c>
      <c r="T203" s="6">
        <v>0</v>
      </c>
      <c r="U203" s="6">
        <v>0</v>
      </c>
      <c r="V203" s="6">
        <f>IF(ISERROR(VLOOKUP($S$203,'TAR FIN'!$A$1:$O$113,15,0)),0,VLOOKUP($S$203,'TAR FIN'!$A$1:$O$113,15,0))</f>
        <v>3.27</v>
      </c>
      <c r="W203" s="6">
        <f>IF(ISERROR(VLOOKUP($T$203,'TAR FIN'!$A$1:$O$113,15,0)),0,VLOOKUP($T$203,'TAR FIN'!$A$1:$O$113,15,0))</f>
        <v>0</v>
      </c>
      <c r="X203" s="6">
        <f>IF(ISERROR(VLOOKUP($U$203,'TAR FIN'!$A$1:$O$113,15,0)),0,VLOOKUP($U$203,'TAR FIN'!$A$1:$O$113,15,0))</f>
        <v>0</v>
      </c>
      <c r="Y203" s="6">
        <f ca="1">('TUSD BE'!$AM$18+'TUSD BF'!$AM$18+'TUSD CVA'!$AM$18)*1</f>
        <v>3.7426028242520015</v>
      </c>
      <c r="Z203" s="6"/>
      <c r="AA203" s="6"/>
      <c r="AB203" s="6">
        <f>$K$203*$V$203</f>
        <v>28710.6</v>
      </c>
      <c r="AC203" s="6">
        <f>$M$203*$W$203</f>
        <v>0</v>
      </c>
      <c r="AD203" s="6">
        <f>$O$203*$X$203</f>
        <v>0</v>
      </c>
      <c r="AE203" s="6">
        <f ca="1">$K$203*$Y$203</f>
        <v>32860.05279693257</v>
      </c>
      <c r="AF203" s="6">
        <f>$M$203*$Z$203</f>
        <v>0</v>
      </c>
      <c r="AG203" s="6">
        <f>$O$203*$AA$203</f>
        <v>0</v>
      </c>
    </row>
    <row r="204" spans="1:33" ht="11.25" customHeight="1" x14ac:dyDescent="0.3">
      <c r="A204" s="4" t="s">
        <v>21</v>
      </c>
      <c r="B204" s="4" t="s">
        <v>39</v>
      </c>
      <c r="C204" s="4" t="s">
        <v>57</v>
      </c>
      <c r="D204" s="4" t="s">
        <v>25</v>
      </c>
      <c r="E204" s="4" t="s">
        <v>25</v>
      </c>
      <c r="F204" s="4" t="s">
        <v>25</v>
      </c>
      <c r="G204" s="4" t="s">
        <v>58</v>
      </c>
      <c r="H204" s="4" t="s">
        <v>25</v>
      </c>
      <c r="I204" s="5">
        <v>44805</v>
      </c>
      <c r="J204" s="6">
        <v>8780</v>
      </c>
      <c r="K204" s="6">
        <v>8780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4" t="s">
        <v>59</v>
      </c>
      <c r="R204" s="4">
        <v>109</v>
      </c>
      <c r="S204" s="6">
        <v>17</v>
      </c>
      <c r="T204" s="6">
        <v>0</v>
      </c>
      <c r="U204" s="6">
        <v>0</v>
      </c>
      <c r="V204" s="6">
        <f>IF(ISERROR(VLOOKUP($S$204,'TAR FIN'!$A$1:$O$113,15,0)),0,VLOOKUP($S$204,'TAR FIN'!$A$1:$O$113,15,0))</f>
        <v>3.27</v>
      </c>
      <c r="W204" s="6">
        <f>IF(ISERROR(VLOOKUP($T$204,'TAR FIN'!$A$1:$O$113,15,0)),0,VLOOKUP($T$204,'TAR FIN'!$A$1:$O$113,15,0))</f>
        <v>0</v>
      </c>
      <c r="X204" s="6">
        <f>IF(ISERROR(VLOOKUP($U$204,'TAR FIN'!$A$1:$O$113,15,0)),0,VLOOKUP($U$204,'TAR FIN'!$A$1:$O$113,15,0))</f>
        <v>0</v>
      </c>
      <c r="Y204" s="6">
        <f ca="1">('TUSD BE'!$AM$18+'TUSD BF'!$AM$18+'TUSD CVA'!$AM$18)*1</f>
        <v>3.7426028242520015</v>
      </c>
      <c r="Z204" s="6"/>
      <c r="AA204" s="6"/>
      <c r="AB204" s="6">
        <f>$K$204*$V$204</f>
        <v>28710.6</v>
      </c>
      <c r="AC204" s="6">
        <f>$M$204*$W$204</f>
        <v>0</v>
      </c>
      <c r="AD204" s="6">
        <f>$O$204*$X$204</f>
        <v>0</v>
      </c>
      <c r="AE204" s="6">
        <f ca="1">$K$204*$Y$204</f>
        <v>32860.05279693257</v>
      </c>
      <c r="AF204" s="6">
        <f>$M$204*$Z$204</f>
        <v>0</v>
      </c>
      <c r="AG204" s="6">
        <f>$O$204*$AA$204</f>
        <v>0</v>
      </c>
    </row>
    <row r="205" spans="1:33" ht="11.25" customHeight="1" x14ac:dyDescent="0.3">
      <c r="A205" s="4" t="s">
        <v>53</v>
      </c>
      <c r="B205" s="4" t="s">
        <v>39</v>
      </c>
      <c r="C205" s="4" t="s">
        <v>57</v>
      </c>
      <c r="D205" s="4" t="s">
        <v>25</v>
      </c>
      <c r="E205" s="4" t="s">
        <v>25</v>
      </c>
      <c r="F205" s="4" t="s">
        <v>25</v>
      </c>
      <c r="G205" s="4" t="s">
        <v>58</v>
      </c>
      <c r="H205" s="4" t="s">
        <v>25</v>
      </c>
      <c r="I205" s="5">
        <v>44835</v>
      </c>
      <c r="J205" s="6">
        <v>8780</v>
      </c>
      <c r="K205" s="6">
        <v>8780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4" t="s">
        <v>59</v>
      </c>
      <c r="R205" s="4">
        <v>109</v>
      </c>
      <c r="S205" s="6">
        <v>17</v>
      </c>
      <c r="T205" s="6">
        <v>0</v>
      </c>
      <c r="U205" s="6">
        <v>0</v>
      </c>
      <c r="V205" s="6">
        <f>IF(ISERROR(VLOOKUP($S$205,'TAR FIN'!$A$1:$O$113,15,0)),0,VLOOKUP($S$205,'TAR FIN'!$A$1:$O$113,15,0))</f>
        <v>3.27</v>
      </c>
      <c r="W205" s="6">
        <f>IF(ISERROR(VLOOKUP($T$205,'TAR FIN'!$A$1:$O$113,15,0)),0,VLOOKUP($T$205,'TAR FIN'!$A$1:$O$113,15,0))</f>
        <v>0</v>
      </c>
      <c r="X205" s="6">
        <f>IF(ISERROR(VLOOKUP($U$205,'TAR FIN'!$A$1:$O$113,15,0)),0,VLOOKUP($U$205,'TAR FIN'!$A$1:$O$113,15,0))</f>
        <v>0</v>
      </c>
      <c r="Y205" s="6">
        <f ca="1">('TUSD BE'!$AM$18+'TUSD BF'!$AM$18+'TUSD CVA'!$AM$18)*1</f>
        <v>3.7426028242520015</v>
      </c>
      <c r="Z205" s="6"/>
      <c r="AA205" s="6"/>
      <c r="AB205" s="6">
        <f>$K$205*$V$205</f>
        <v>28710.6</v>
      </c>
      <c r="AC205" s="6">
        <f>$M$205*$W$205</f>
        <v>0</v>
      </c>
      <c r="AD205" s="6">
        <f>$O$205*$X$205</f>
        <v>0</v>
      </c>
      <c r="AE205" s="6">
        <f ca="1">$K$205*$Y$205</f>
        <v>32860.05279693257</v>
      </c>
      <c r="AF205" s="6">
        <f>$M$205*$Z$205</f>
        <v>0</v>
      </c>
      <c r="AG205" s="6">
        <f>$O$205*$AA$205</f>
        <v>0</v>
      </c>
    </row>
    <row r="206" spans="1:33" ht="11.25" customHeight="1" x14ac:dyDescent="0.3">
      <c r="A206" s="4" t="s">
        <v>21</v>
      </c>
      <c r="B206" s="4" t="s">
        <v>39</v>
      </c>
      <c r="C206" s="4" t="s">
        <v>41</v>
      </c>
      <c r="D206" s="4" t="s">
        <v>42</v>
      </c>
      <c r="E206" s="4" t="s">
        <v>25</v>
      </c>
      <c r="F206" s="4" t="s">
        <v>25</v>
      </c>
      <c r="G206" s="4" t="s">
        <v>25</v>
      </c>
      <c r="H206" s="4" t="s">
        <v>35</v>
      </c>
      <c r="I206" s="5">
        <v>44501</v>
      </c>
      <c r="J206" s="6">
        <v>0</v>
      </c>
      <c r="K206" s="6">
        <v>0</v>
      </c>
      <c r="L206" s="6">
        <v>1435.654</v>
      </c>
      <c r="M206" s="6">
        <v>1435.654</v>
      </c>
      <c r="N206" s="6">
        <v>1435.654</v>
      </c>
      <c r="O206" s="6">
        <v>1435.654</v>
      </c>
      <c r="P206" s="6">
        <v>0</v>
      </c>
      <c r="Q206" s="4" t="s">
        <v>26</v>
      </c>
      <c r="R206" s="4">
        <v>0</v>
      </c>
      <c r="S206" s="6">
        <v>0</v>
      </c>
      <c r="T206" s="6">
        <v>6</v>
      </c>
      <c r="U206" s="6">
        <v>61</v>
      </c>
      <c r="V206" s="6">
        <f>IF(ISERROR(VLOOKUP($S$206,'TAR FIN'!$A$1:$O$113,15,0)),0,VLOOKUP($S$206,'TAR FIN'!$A$1:$O$113,15,0))</f>
        <v>0</v>
      </c>
      <c r="W206" s="6">
        <f>IF(ISERROR(VLOOKUP($T$206,'TAR FIN'!$A$1:$O$113,15,0)),0,VLOOKUP($T$206,'TAR FIN'!$A$1:$O$113,15,0))</f>
        <v>72.150000000000006</v>
      </c>
      <c r="X206" s="6">
        <f>IF(ISERROR(VLOOKUP($U$206,'TAR FIN'!$A$1:$O$113,15,0)),0,VLOOKUP($U$206,'TAR FIN'!$A$1:$O$113,15,0))</f>
        <v>278.67</v>
      </c>
      <c r="Y206" s="6"/>
      <c r="Z206" s="6">
        <f ca="1">('TUSD BE'!$AM$21+'TUSD BF'!$AM$21+'TUSD CVA'!$AM$21)*1</f>
        <v>122.14055331663396</v>
      </c>
      <c r="AA206" s="6">
        <f>('TE BE'!$AB$10+'TE BF'!$AB$10+'TE CVA'!$AB$10)*1</f>
        <v>299.18055042718134</v>
      </c>
      <c r="AB206" s="6">
        <f>$K$206*$V$206</f>
        <v>0</v>
      </c>
      <c r="AC206" s="6">
        <f>$M$206*$W$206</f>
        <v>103582.43610000001</v>
      </c>
      <c r="AD206" s="6">
        <f>$O$206*$X$206</f>
        <v>400073.70018000004</v>
      </c>
      <c r="AE206" s="6">
        <f>$K$206*$Y$206</f>
        <v>0</v>
      </c>
      <c r="AF206" s="6">
        <f ca="1">$M$206*$Z$206</f>
        <v>175351.57393123882</v>
      </c>
      <c r="AG206" s="6">
        <f>$O$206*$AA$206</f>
        <v>429519.75394298462</v>
      </c>
    </row>
    <row r="207" spans="1:33" ht="11.25" customHeight="1" x14ac:dyDescent="0.3">
      <c r="A207" s="4" t="s">
        <v>28</v>
      </c>
      <c r="B207" s="4" t="s">
        <v>39</v>
      </c>
      <c r="C207" s="4" t="s">
        <v>41</v>
      </c>
      <c r="D207" s="4" t="s">
        <v>42</v>
      </c>
      <c r="E207" s="4" t="s">
        <v>25</v>
      </c>
      <c r="F207" s="4" t="s">
        <v>25</v>
      </c>
      <c r="G207" s="4" t="s">
        <v>25</v>
      </c>
      <c r="H207" s="4" t="s">
        <v>35</v>
      </c>
      <c r="I207" s="5">
        <v>44501</v>
      </c>
      <c r="J207" s="6">
        <v>0</v>
      </c>
      <c r="K207" s="6">
        <v>0</v>
      </c>
      <c r="L207" s="6">
        <v>13.231999999999999</v>
      </c>
      <c r="M207" s="6">
        <v>13.231999999999999</v>
      </c>
      <c r="N207" s="6">
        <v>13.231999999999999</v>
      </c>
      <c r="O207" s="6">
        <v>13.231999999999999</v>
      </c>
      <c r="P207" s="6">
        <v>0</v>
      </c>
      <c r="Q207" s="4" t="s">
        <v>26</v>
      </c>
      <c r="R207" s="4">
        <v>0</v>
      </c>
      <c r="S207" s="6">
        <v>0</v>
      </c>
      <c r="T207" s="6">
        <v>6</v>
      </c>
      <c r="U207" s="6">
        <v>61</v>
      </c>
      <c r="V207" s="6">
        <f>IF(ISERROR(VLOOKUP($S$207,'TAR FIN'!$A$1:$O$113,15,0)),0,VLOOKUP($S$207,'TAR FIN'!$A$1:$O$113,15,0))</f>
        <v>0</v>
      </c>
      <c r="W207" s="6">
        <f>IF(ISERROR(VLOOKUP($T$207,'TAR FIN'!$A$1:$O$113,15,0)),0,VLOOKUP($T$207,'TAR FIN'!$A$1:$O$113,15,0))</f>
        <v>72.150000000000006</v>
      </c>
      <c r="X207" s="6">
        <f>IF(ISERROR(VLOOKUP($U$207,'TAR FIN'!$A$1:$O$113,15,0)),0,VLOOKUP($U$207,'TAR FIN'!$A$1:$O$113,15,0))</f>
        <v>278.67</v>
      </c>
      <c r="Y207" s="6"/>
      <c r="Z207" s="6">
        <f ca="1">('TUSD BE'!$AM$21+'TUSD BF'!$AM$21+'TUSD CVA'!$AM$21)*1</f>
        <v>122.14055331663396</v>
      </c>
      <c r="AA207" s="6">
        <f>('TE BE'!$AB$10+'TE BF'!$AB$10+'TE CVA'!$AB$10)*1</f>
        <v>299.18055042718134</v>
      </c>
      <c r="AB207" s="6">
        <f>$K$207*$V$207</f>
        <v>0</v>
      </c>
      <c r="AC207" s="6">
        <f>$M$207*$W$207</f>
        <v>954.68880000000001</v>
      </c>
      <c r="AD207" s="6">
        <f>$O$207*$X$207</f>
        <v>3687.3614400000001</v>
      </c>
      <c r="AE207" s="6">
        <f>$K$207*$Y$207</f>
        <v>0</v>
      </c>
      <c r="AF207" s="6">
        <f ca="1">$M$207*$Z$207</f>
        <v>1616.1638014857003</v>
      </c>
      <c r="AG207" s="6">
        <f>$O$207*$AA$207</f>
        <v>3958.7570432524635</v>
      </c>
    </row>
    <row r="208" spans="1:33" ht="11.25" customHeight="1" x14ac:dyDescent="0.3">
      <c r="A208" s="4" t="s">
        <v>21</v>
      </c>
      <c r="B208" s="4" t="s">
        <v>39</v>
      </c>
      <c r="C208" s="4" t="s">
        <v>41</v>
      </c>
      <c r="D208" s="4" t="s">
        <v>42</v>
      </c>
      <c r="E208" s="4" t="s">
        <v>25</v>
      </c>
      <c r="F208" s="4" t="s">
        <v>25</v>
      </c>
      <c r="G208" s="4" t="s">
        <v>25</v>
      </c>
      <c r="H208" s="4" t="s">
        <v>35</v>
      </c>
      <c r="I208" s="5">
        <v>44531</v>
      </c>
      <c r="J208" s="6">
        <v>0</v>
      </c>
      <c r="K208" s="6">
        <v>0</v>
      </c>
      <c r="L208" s="6">
        <v>1438.761</v>
      </c>
      <c r="M208" s="6">
        <v>1438.761</v>
      </c>
      <c r="N208" s="6">
        <v>1438.761</v>
      </c>
      <c r="O208" s="6">
        <v>1438.761</v>
      </c>
      <c r="P208" s="6">
        <v>0</v>
      </c>
      <c r="Q208" s="4" t="s">
        <v>26</v>
      </c>
      <c r="R208" s="4">
        <v>0</v>
      </c>
      <c r="S208" s="6">
        <v>0</v>
      </c>
      <c r="T208" s="6">
        <v>6</v>
      </c>
      <c r="U208" s="6">
        <v>61</v>
      </c>
      <c r="V208" s="6">
        <f>IF(ISERROR(VLOOKUP($S$208,'TAR FIN'!$A$1:$O$113,15,0)),0,VLOOKUP($S$208,'TAR FIN'!$A$1:$O$113,15,0))</f>
        <v>0</v>
      </c>
      <c r="W208" s="6">
        <f>IF(ISERROR(VLOOKUP($T$208,'TAR FIN'!$A$1:$O$113,15,0)),0,VLOOKUP($T$208,'TAR FIN'!$A$1:$O$113,15,0))</f>
        <v>72.150000000000006</v>
      </c>
      <c r="X208" s="6">
        <f>IF(ISERROR(VLOOKUP($U$208,'TAR FIN'!$A$1:$O$113,15,0)),0,VLOOKUP($U$208,'TAR FIN'!$A$1:$O$113,15,0))</f>
        <v>278.67</v>
      </c>
      <c r="Y208" s="6"/>
      <c r="Z208" s="6">
        <f ca="1">('TUSD BE'!$AM$21+'TUSD BF'!$AM$21+'TUSD CVA'!$AM$21)*1</f>
        <v>122.14055331663396</v>
      </c>
      <c r="AA208" s="6">
        <f>('TE BE'!$AB$10+'TE BF'!$AB$10+'TE CVA'!$AB$10)*1</f>
        <v>299.18055042718134</v>
      </c>
      <c r="AB208" s="6">
        <f>$K$208*$V$208</f>
        <v>0</v>
      </c>
      <c r="AC208" s="6">
        <f>$M$208*$W$208</f>
        <v>103806.60615000001</v>
      </c>
      <c r="AD208" s="6">
        <f>$O$208*$X$208</f>
        <v>400939.52786999999</v>
      </c>
      <c r="AE208" s="6">
        <f>$K$208*$Y$208</f>
        <v>0</v>
      </c>
      <c r="AF208" s="6">
        <f ca="1">$M$208*$Z$208</f>
        <v>175731.06463039358</v>
      </c>
      <c r="AG208" s="6">
        <f>$O$208*$AA$208</f>
        <v>430449.30791316187</v>
      </c>
    </row>
    <row r="209" spans="1:33" ht="11.25" customHeight="1" x14ac:dyDescent="0.3">
      <c r="A209" s="4" t="s">
        <v>28</v>
      </c>
      <c r="B209" s="4" t="s">
        <v>39</v>
      </c>
      <c r="C209" s="4" t="s">
        <v>41</v>
      </c>
      <c r="D209" s="4" t="s">
        <v>42</v>
      </c>
      <c r="E209" s="4" t="s">
        <v>25</v>
      </c>
      <c r="F209" s="4" t="s">
        <v>25</v>
      </c>
      <c r="G209" s="4" t="s">
        <v>25</v>
      </c>
      <c r="H209" s="4" t="s">
        <v>35</v>
      </c>
      <c r="I209" s="5">
        <v>44531</v>
      </c>
      <c r="J209" s="6">
        <v>0</v>
      </c>
      <c r="K209" s="6">
        <v>0</v>
      </c>
      <c r="L209" s="6">
        <v>9.1479999999999997</v>
      </c>
      <c r="M209" s="6">
        <v>9.1479999999999997</v>
      </c>
      <c r="N209" s="6">
        <v>9.1479999999999997</v>
      </c>
      <c r="O209" s="6">
        <v>9.1479999999999997</v>
      </c>
      <c r="P209" s="6">
        <v>0</v>
      </c>
      <c r="Q209" s="4" t="s">
        <v>26</v>
      </c>
      <c r="R209" s="4">
        <v>0</v>
      </c>
      <c r="S209" s="6">
        <v>0</v>
      </c>
      <c r="T209" s="6">
        <v>6</v>
      </c>
      <c r="U209" s="6">
        <v>61</v>
      </c>
      <c r="V209" s="6">
        <f>IF(ISERROR(VLOOKUP($S$209,'TAR FIN'!$A$1:$O$113,15,0)),0,VLOOKUP($S$209,'TAR FIN'!$A$1:$O$113,15,0))</f>
        <v>0</v>
      </c>
      <c r="W209" s="6">
        <f>IF(ISERROR(VLOOKUP($T$209,'TAR FIN'!$A$1:$O$113,15,0)),0,VLOOKUP($T$209,'TAR FIN'!$A$1:$O$113,15,0))</f>
        <v>72.150000000000006</v>
      </c>
      <c r="X209" s="6">
        <f>IF(ISERROR(VLOOKUP($U$209,'TAR FIN'!$A$1:$O$113,15,0)),0,VLOOKUP($U$209,'TAR FIN'!$A$1:$O$113,15,0))</f>
        <v>278.67</v>
      </c>
      <c r="Y209" s="6"/>
      <c r="Z209" s="6">
        <f ca="1">('TUSD BE'!$AM$21+'TUSD BF'!$AM$21+'TUSD CVA'!$AM$21)*1</f>
        <v>122.14055331663396</v>
      </c>
      <c r="AA209" s="6">
        <f>('TE BE'!$AB$10+'TE BF'!$AB$10+'TE CVA'!$AB$10)*1</f>
        <v>299.18055042718134</v>
      </c>
      <c r="AB209" s="6">
        <f>$K$209*$V$209</f>
        <v>0</v>
      </c>
      <c r="AC209" s="6">
        <f>$M$209*$W$209</f>
        <v>660.02820000000008</v>
      </c>
      <c r="AD209" s="6">
        <f>$O$209*$X$209</f>
        <v>2549.2731600000002</v>
      </c>
      <c r="AE209" s="6">
        <f>$K$209*$Y$209</f>
        <v>0</v>
      </c>
      <c r="AF209" s="6">
        <f ca="1">$M$209*$Z$209</f>
        <v>1117.3417817405673</v>
      </c>
      <c r="AG209" s="6">
        <f>$O$209*$AA$209</f>
        <v>2736.9036753078549</v>
      </c>
    </row>
    <row r="210" spans="1:33" ht="11.25" customHeight="1" x14ac:dyDescent="0.3">
      <c r="A210" s="4" t="s">
        <v>21</v>
      </c>
      <c r="B210" s="4" t="s">
        <v>39</v>
      </c>
      <c r="C210" s="4" t="s">
        <v>41</v>
      </c>
      <c r="D210" s="4" t="s">
        <v>42</v>
      </c>
      <c r="E210" s="4" t="s">
        <v>25</v>
      </c>
      <c r="F210" s="4" t="s">
        <v>25</v>
      </c>
      <c r="G210" s="4" t="s">
        <v>25</v>
      </c>
      <c r="H210" s="4" t="s">
        <v>35</v>
      </c>
      <c r="I210" s="5">
        <v>44562</v>
      </c>
      <c r="J210" s="6">
        <v>0</v>
      </c>
      <c r="K210" s="6">
        <v>0</v>
      </c>
      <c r="L210" s="6">
        <v>1416.777</v>
      </c>
      <c r="M210" s="6">
        <v>1416.777</v>
      </c>
      <c r="N210" s="6">
        <v>1416.777</v>
      </c>
      <c r="O210" s="6">
        <v>1416.777</v>
      </c>
      <c r="P210" s="6">
        <v>0</v>
      </c>
      <c r="Q210" s="4" t="s">
        <v>26</v>
      </c>
      <c r="R210" s="4">
        <v>0</v>
      </c>
      <c r="S210" s="6">
        <v>0</v>
      </c>
      <c r="T210" s="6">
        <v>6</v>
      </c>
      <c r="U210" s="6">
        <v>61</v>
      </c>
      <c r="V210" s="6">
        <f>IF(ISERROR(VLOOKUP($S$210,'TAR FIN'!$A$1:$O$113,15,0)),0,VLOOKUP($S$210,'TAR FIN'!$A$1:$O$113,15,0))</f>
        <v>0</v>
      </c>
      <c r="W210" s="6">
        <f>IF(ISERROR(VLOOKUP($T$210,'TAR FIN'!$A$1:$O$113,15,0)),0,VLOOKUP($T$210,'TAR FIN'!$A$1:$O$113,15,0))</f>
        <v>72.150000000000006</v>
      </c>
      <c r="X210" s="6">
        <f>IF(ISERROR(VLOOKUP($U$210,'TAR FIN'!$A$1:$O$113,15,0)),0,VLOOKUP($U$210,'TAR FIN'!$A$1:$O$113,15,0))</f>
        <v>278.67</v>
      </c>
      <c r="Y210" s="6"/>
      <c r="Z210" s="6">
        <f ca="1">('TUSD BE'!$AM$21+'TUSD BF'!$AM$21+'TUSD CVA'!$AM$21)*1</f>
        <v>122.14055331663396</v>
      </c>
      <c r="AA210" s="6">
        <f>('TE BE'!$AB$10+'TE BF'!$AB$10+'TE CVA'!$AB$10)*1</f>
        <v>299.18055042718134</v>
      </c>
      <c r="AB210" s="6">
        <f>$K$210*$V$210</f>
        <v>0</v>
      </c>
      <c r="AC210" s="6">
        <f>$M$210*$W$210</f>
        <v>102220.46055000002</v>
      </c>
      <c r="AD210" s="6">
        <f>$O$210*$X$210</f>
        <v>394813.24659000005</v>
      </c>
      <c r="AE210" s="6">
        <f>$K$210*$Y$210</f>
        <v>0</v>
      </c>
      <c r="AF210" s="6">
        <f ca="1">$M$210*$Z$210</f>
        <v>173045.9267062807</v>
      </c>
      <c r="AG210" s="6">
        <f>$O$210*$AA$210</f>
        <v>423872.12269257073</v>
      </c>
    </row>
    <row r="211" spans="1:33" ht="11.25" customHeight="1" x14ac:dyDescent="0.3">
      <c r="A211" s="4" t="s">
        <v>28</v>
      </c>
      <c r="B211" s="4" t="s">
        <v>39</v>
      </c>
      <c r="C211" s="4" t="s">
        <v>41</v>
      </c>
      <c r="D211" s="4" t="s">
        <v>42</v>
      </c>
      <c r="E211" s="4" t="s">
        <v>25</v>
      </c>
      <c r="F211" s="4" t="s">
        <v>25</v>
      </c>
      <c r="G211" s="4" t="s">
        <v>25</v>
      </c>
      <c r="H211" s="4" t="s">
        <v>35</v>
      </c>
      <c r="I211" s="5">
        <v>44562</v>
      </c>
      <c r="J211" s="6">
        <v>0</v>
      </c>
      <c r="K211" s="6">
        <v>0</v>
      </c>
      <c r="L211" s="6">
        <v>11.494999999999999</v>
      </c>
      <c r="M211" s="6">
        <v>11.494999999999999</v>
      </c>
      <c r="N211" s="6">
        <v>11.494999999999999</v>
      </c>
      <c r="O211" s="6">
        <v>11.494999999999999</v>
      </c>
      <c r="P211" s="6">
        <v>0</v>
      </c>
      <c r="Q211" s="4" t="s">
        <v>26</v>
      </c>
      <c r="R211" s="4">
        <v>0</v>
      </c>
      <c r="S211" s="6">
        <v>0</v>
      </c>
      <c r="T211" s="6">
        <v>6</v>
      </c>
      <c r="U211" s="6">
        <v>61</v>
      </c>
      <c r="V211" s="6">
        <f>IF(ISERROR(VLOOKUP($S$211,'TAR FIN'!$A$1:$O$113,15,0)),0,VLOOKUP($S$211,'TAR FIN'!$A$1:$O$113,15,0))</f>
        <v>0</v>
      </c>
      <c r="W211" s="6">
        <f>IF(ISERROR(VLOOKUP($T$211,'TAR FIN'!$A$1:$O$113,15,0)),0,VLOOKUP($T$211,'TAR FIN'!$A$1:$O$113,15,0))</f>
        <v>72.150000000000006</v>
      </c>
      <c r="X211" s="6">
        <f>IF(ISERROR(VLOOKUP($U$211,'TAR FIN'!$A$1:$O$113,15,0)),0,VLOOKUP($U$211,'TAR FIN'!$A$1:$O$113,15,0))</f>
        <v>278.67</v>
      </c>
      <c r="Y211" s="6"/>
      <c r="Z211" s="6">
        <f ca="1">('TUSD BE'!$AM$21+'TUSD BF'!$AM$21+'TUSD CVA'!$AM$21)*1</f>
        <v>122.14055331663396</v>
      </c>
      <c r="AA211" s="6">
        <f>('TE BE'!$AB$10+'TE BF'!$AB$10+'TE CVA'!$AB$10)*1</f>
        <v>299.18055042718134</v>
      </c>
      <c r="AB211" s="6">
        <f>$K$211*$V$211</f>
        <v>0</v>
      </c>
      <c r="AC211" s="6">
        <f>$M$211*$W$211</f>
        <v>829.36424999999997</v>
      </c>
      <c r="AD211" s="6">
        <f>$O$211*$X$211</f>
        <v>3203.3116500000001</v>
      </c>
      <c r="AE211" s="6">
        <f>$K$211*$Y$211</f>
        <v>0</v>
      </c>
      <c r="AF211" s="6">
        <f ca="1">$M$211*$Z$211</f>
        <v>1404.0056603747073</v>
      </c>
      <c r="AG211" s="6">
        <f>$O$211*$AA$211</f>
        <v>3439.0804271604493</v>
      </c>
    </row>
    <row r="212" spans="1:33" ht="11.25" customHeight="1" x14ac:dyDescent="0.3">
      <c r="A212" s="4" t="s">
        <v>21</v>
      </c>
      <c r="B212" s="4" t="s">
        <v>39</v>
      </c>
      <c r="C212" s="4" t="s">
        <v>41</v>
      </c>
      <c r="D212" s="4" t="s">
        <v>42</v>
      </c>
      <c r="E212" s="4" t="s">
        <v>25</v>
      </c>
      <c r="F212" s="4" t="s">
        <v>25</v>
      </c>
      <c r="G212" s="4" t="s">
        <v>25</v>
      </c>
      <c r="H212" s="4" t="s">
        <v>35</v>
      </c>
      <c r="I212" s="5">
        <v>44593</v>
      </c>
      <c r="J212" s="6">
        <v>0</v>
      </c>
      <c r="K212" s="6">
        <v>0</v>
      </c>
      <c r="L212" s="6">
        <v>1439.9069999999999</v>
      </c>
      <c r="M212" s="6">
        <v>1439.9069999999999</v>
      </c>
      <c r="N212" s="6">
        <v>1439.9069999999999</v>
      </c>
      <c r="O212" s="6">
        <v>1439.9069999999999</v>
      </c>
      <c r="P212" s="6">
        <v>0</v>
      </c>
      <c r="Q212" s="4" t="s">
        <v>26</v>
      </c>
      <c r="R212" s="4">
        <v>0</v>
      </c>
      <c r="S212" s="6">
        <v>0</v>
      </c>
      <c r="T212" s="6">
        <v>6</v>
      </c>
      <c r="U212" s="6">
        <v>61</v>
      </c>
      <c r="V212" s="6">
        <f>IF(ISERROR(VLOOKUP($S$212,'TAR FIN'!$A$1:$O$113,15,0)),0,VLOOKUP($S$212,'TAR FIN'!$A$1:$O$113,15,0))</f>
        <v>0</v>
      </c>
      <c r="W212" s="6">
        <f>IF(ISERROR(VLOOKUP($T$212,'TAR FIN'!$A$1:$O$113,15,0)),0,VLOOKUP($T$212,'TAR FIN'!$A$1:$O$113,15,0))</f>
        <v>72.150000000000006</v>
      </c>
      <c r="X212" s="6">
        <f>IF(ISERROR(VLOOKUP($U$212,'TAR FIN'!$A$1:$O$113,15,0)),0,VLOOKUP($U$212,'TAR FIN'!$A$1:$O$113,15,0))</f>
        <v>278.67</v>
      </c>
      <c r="Y212" s="6"/>
      <c r="Z212" s="6">
        <f ca="1">('TUSD BE'!$AM$21+'TUSD BF'!$AM$21+'TUSD CVA'!$AM$21)*1</f>
        <v>122.14055331663396</v>
      </c>
      <c r="AA212" s="6">
        <f>('TE BE'!$AB$10+'TE BF'!$AB$10+'TE CVA'!$AB$10)*1</f>
        <v>299.18055042718134</v>
      </c>
      <c r="AB212" s="6">
        <f>$K$212*$V$212</f>
        <v>0</v>
      </c>
      <c r="AC212" s="6">
        <f>$M$212*$W$212</f>
        <v>103889.29005</v>
      </c>
      <c r="AD212" s="6">
        <f>$O$212*$X$212</f>
        <v>401258.88368999999</v>
      </c>
      <c r="AE212" s="6">
        <f>$K$212*$Y$212</f>
        <v>0</v>
      </c>
      <c r="AF212" s="6">
        <f ca="1">$M$212*$Z$212</f>
        <v>175871.03770449443</v>
      </c>
      <c r="AG212" s="6">
        <f>$O$212*$AA$212</f>
        <v>430792.16882395139</v>
      </c>
    </row>
    <row r="213" spans="1:33" ht="11.25" customHeight="1" x14ac:dyDescent="0.3">
      <c r="A213" s="4" t="s">
        <v>27</v>
      </c>
      <c r="B213" s="4" t="s">
        <v>39</v>
      </c>
      <c r="C213" s="4" t="s">
        <v>41</v>
      </c>
      <c r="D213" s="4" t="s">
        <v>42</v>
      </c>
      <c r="E213" s="4" t="s">
        <v>25</v>
      </c>
      <c r="F213" s="4" t="s">
        <v>25</v>
      </c>
      <c r="G213" s="4" t="s">
        <v>25</v>
      </c>
      <c r="H213" s="4" t="s">
        <v>35</v>
      </c>
      <c r="I213" s="5">
        <v>44593</v>
      </c>
      <c r="J213" s="6">
        <v>0</v>
      </c>
      <c r="K213" s="6">
        <v>0</v>
      </c>
      <c r="L213" s="6">
        <v>-8.548</v>
      </c>
      <c r="M213" s="6">
        <v>-8.548</v>
      </c>
      <c r="N213" s="6">
        <v>-8.548</v>
      </c>
      <c r="O213" s="6">
        <v>-8.548</v>
      </c>
      <c r="P213" s="6">
        <v>0</v>
      </c>
      <c r="Q213" s="4" t="s">
        <v>26</v>
      </c>
      <c r="R213" s="4">
        <v>0</v>
      </c>
      <c r="S213" s="6">
        <v>0</v>
      </c>
      <c r="T213" s="6">
        <v>6</v>
      </c>
      <c r="U213" s="6">
        <v>61</v>
      </c>
      <c r="V213" s="6">
        <f>IF(ISERROR(VLOOKUP($S$213,'TAR FIN'!$A$1:$O$113,15,0)),0,VLOOKUP($S$213,'TAR FIN'!$A$1:$O$113,15,0))</f>
        <v>0</v>
      </c>
      <c r="W213" s="6">
        <f>IF(ISERROR(VLOOKUP($T$213,'TAR FIN'!$A$1:$O$113,15,0)),0,VLOOKUP($T$213,'TAR FIN'!$A$1:$O$113,15,0))</f>
        <v>72.150000000000006</v>
      </c>
      <c r="X213" s="6">
        <f>IF(ISERROR(VLOOKUP($U$213,'TAR FIN'!$A$1:$O$113,15,0)),0,VLOOKUP($U$213,'TAR FIN'!$A$1:$O$113,15,0))</f>
        <v>278.67</v>
      </c>
      <c r="Y213" s="6"/>
      <c r="Z213" s="6">
        <f ca="1">('TUSD BE'!$AM$21+'TUSD BF'!$AM$21+'TUSD CVA'!$AM$21)*1</f>
        <v>122.14055331663396</v>
      </c>
      <c r="AA213" s="6">
        <f>('TE BE'!$AB$10+'TE BF'!$AB$10+'TE CVA'!$AB$10)*1</f>
        <v>299.18055042718134</v>
      </c>
      <c r="AB213" s="6">
        <f>$K$213*$V$213</f>
        <v>0</v>
      </c>
      <c r="AC213" s="6">
        <f>$M$213*$W$213</f>
        <v>-616.73820000000001</v>
      </c>
      <c r="AD213" s="6">
        <f>$O$213*$X$213</f>
        <v>-2382.07116</v>
      </c>
      <c r="AE213" s="6">
        <f>$K$213*$Y$213</f>
        <v>0</v>
      </c>
      <c r="AF213" s="6">
        <f ca="1">$M$213*$Z$213</f>
        <v>-1044.057449750587</v>
      </c>
      <c r="AG213" s="6">
        <f>$O$213*$AA$213</f>
        <v>-2557.395345051546</v>
      </c>
    </row>
    <row r="214" spans="1:33" ht="11.25" customHeight="1" x14ac:dyDescent="0.3">
      <c r="A214" s="4" t="s">
        <v>28</v>
      </c>
      <c r="B214" s="4" t="s">
        <v>39</v>
      </c>
      <c r="C214" s="4" t="s">
        <v>41</v>
      </c>
      <c r="D214" s="4" t="s">
        <v>42</v>
      </c>
      <c r="E214" s="4" t="s">
        <v>25</v>
      </c>
      <c r="F214" s="4" t="s">
        <v>25</v>
      </c>
      <c r="G214" s="4" t="s">
        <v>25</v>
      </c>
      <c r="H214" s="4" t="s">
        <v>35</v>
      </c>
      <c r="I214" s="5">
        <v>44593</v>
      </c>
      <c r="J214" s="6">
        <v>0</v>
      </c>
      <c r="K214" s="6">
        <v>0</v>
      </c>
      <c r="L214" s="6">
        <v>13.712</v>
      </c>
      <c r="M214" s="6">
        <v>13.712</v>
      </c>
      <c r="N214" s="6">
        <v>13.712</v>
      </c>
      <c r="O214" s="6">
        <v>13.712</v>
      </c>
      <c r="P214" s="6">
        <v>0</v>
      </c>
      <c r="Q214" s="4" t="s">
        <v>26</v>
      </c>
      <c r="R214" s="4">
        <v>0</v>
      </c>
      <c r="S214" s="6">
        <v>0</v>
      </c>
      <c r="T214" s="6">
        <v>6</v>
      </c>
      <c r="U214" s="6">
        <v>61</v>
      </c>
      <c r="V214" s="6">
        <f>IF(ISERROR(VLOOKUP($S$214,'TAR FIN'!$A$1:$O$113,15,0)),0,VLOOKUP($S$214,'TAR FIN'!$A$1:$O$113,15,0))</f>
        <v>0</v>
      </c>
      <c r="W214" s="6">
        <f>IF(ISERROR(VLOOKUP($T$214,'TAR FIN'!$A$1:$O$113,15,0)),0,VLOOKUP($T$214,'TAR FIN'!$A$1:$O$113,15,0))</f>
        <v>72.150000000000006</v>
      </c>
      <c r="X214" s="6">
        <f>IF(ISERROR(VLOOKUP($U$214,'TAR FIN'!$A$1:$O$113,15,0)),0,VLOOKUP($U$214,'TAR FIN'!$A$1:$O$113,15,0))</f>
        <v>278.67</v>
      </c>
      <c r="Y214" s="6"/>
      <c r="Z214" s="6">
        <f ca="1">('TUSD BE'!$AM$21+'TUSD BF'!$AM$21+'TUSD CVA'!$AM$21)*1</f>
        <v>122.14055331663396</v>
      </c>
      <c r="AA214" s="6">
        <f>('TE BE'!$AB$10+'TE BF'!$AB$10+'TE CVA'!$AB$10)*1</f>
        <v>299.18055042718134</v>
      </c>
      <c r="AB214" s="6">
        <f>$K$214*$V$214</f>
        <v>0</v>
      </c>
      <c r="AC214" s="6">
        <f>$M$214*$W$214</f>
        <v>989.32080000000008</v>
      </c>
      <c r="AD214" s="6">
        <f>$O$214*$X$214</f>
        <v>3821.1230399999999</v>
      </c>
      <c r="AE214" s="6">
        <f>$K$214*$Y$214</f>
        <v>0</v>
      </c>
      <c r="AF214" s="6">
        <f ca="1">$M$214*$Z$214</f>
        <v>1674.7912670776848</v>
      </c>
      <c r="AG214" s="6">
        <f>$O$214*$AA$214</f>
        <v>4102.3637074575108</v>
      </c>
    </row>
    <row r="215" spans="1:33" ht="11.25" customHeight="1" x14ac:dyDescent="0.3">
      <c r="A215" s="4" t="s">
        <v>21</v>
      </c>
      <c r="B215" s="4" t="s">
        <v>39</v>
      </c>
      <c r="C215" s="4" t="s">
        <v>41</v>
      </c>
      <c r="D215" s="4" t="s">
        <v>42</v>
      </c>
      <c r="E215" s="4" t="s">
        <v>25</v>
      </c>
      <c r="F215" s="4" t="s">
        <v>25</v>
      </c>
      <c r="G215" s="4" t="s">
        <v>25</v>
      </c>
      <c r="H215" s="4" t="s">
        <v>35</v>
      </c>
      <c r="I215" s="5">
        <v>44621</v>
      </c>
      <c r="J215" s="6">
        <v>0</v>
      </c>
      <c r="K215" s="6">
        <v>0</v>
      </c>
      <c r="L215" s="6">
        <v>1239.104</v>
      </c>
      <c r="M215" s="6">
        <v>1239.104</v>
      </c>
      <c r="N215" s="6">
        <v>1239.104</v>
      </c>
      <c r="O215" s="6">
        <v>1239.104</v>
      </c>
      <c r="P215" s="6">
        <v>0</v>
      </c>
      <c r="Q215" s="4" t="s">
        <v>26</v>
      </c>
      <c r="R215" s="4">
        <v>0</v>
      </c>
      <c r="S215" s="6">
        <v>0</v>
      </c>
      <c r="T215" s="6">
        <v>6</v>
      </c>
      <c r="U215" s="6">
        <v>61</v>
      </c>
      <c r="V215" s="6">
        <f>IF(ISERROR(VLOOKUP($S$215,'TAR FIN'!$A$1:$O$113,15,0)),0,VLOOKUP($S$215,'TAR FIN'!$A$1:$O$113,15,0))</f>
        <v>0</v>
      </c>
      <c r="W215" s="6">
        <f>IF(ISERROR(VLOOKUP($T$215,'TAR FIN'!$A$1:$O$113,15,0)),0,VLOOKUP($T$215,'TAR FIN'!$A$1:$O$113,15,0))</f>
        <v>72.150000000000006</v>
      </c>
      <c r="X215" s="6">
        <f>IF(ISERROR(VLOOKUP($U$215,'TAR FIN'!$A$1:$O$113,15,0)),0,VLOOKUP($U$215,'TAR FIN'!$A$1:$O$113,15,0))</f>
        <v>278.67</v>
      </c>
      <c r="Y215" s="6"/>
      <c r="Z215" s="6">
        <f ca="1">('TUSD BE'!$AM$21+'TUSD BF'!$AM$21+'TUSD CVA'!$AM$21)*1</f>
        <v>122.14055331663396</v>
      </c>
      <c r="AA215" s="6">
        <f>('TE BE'!$AB$10+'TE BF'!$AB$10+'TE CVA'!$AB$10)*1</f>
        <v>299.18055042718134</v>
      </c>
      <c r="AB215" s="6">
        <f>$K$215*$V$215</f>
        <v>0</v>
      </c>
      <c r="AC215" s="6">
        <f>$M$215*$W$215</f>
        <v>89401.353600000017</v>
      </c>
      <c r="AD215" s="6">
        <f>$O$215*$X$215</f>
        <v>345301.11168000003</v>
      </c>
      <c r="AE215" s="6">
        <f>$K$215*$Y$215</f>
        <v>0</v>
      </c>
      <c r="AF215" s="6">
        <f ca="1">$M$215*$Z$215</f>
        <v>151344.8481768544</v>
      </c>
      <c r="AG215" s="6">
        <f>$O$215*$AA$215</f>
        <v>370715.81675652211</v>
      </c>
    </row>
    <row r="216" spans="1:33" ht="11.25" customHeight="1" x14ac:dyDescent="0.3">
      <c r="A216" s="4" t="s">
        <v>28</v>
      </c>
      <c r="B216" s="4" t="s">
        <v>39</v>
      </c>
      <c r="C216" s="4" t="s">
        <v>41</v>
      </c>
      <c r="D216" s="4" t="s">
        <v>42</v>
      </c>
      <c r="E216" s="4" t="s">
        <v>25</v>
      </c>
      <c r="F216" s="4" t="s">
        <v>25</v>
      </c>
      <c r="G216" s="4" t="s">
        <v>25</v>
      </c>
      <c r="H216" s="4" t="s">
        <v>35</v>
      </c>
      <c r="I216" s="5">
        <v>44621</v>
      </c>
      <c r="J216" s="6">
        <v>0</v>
      </c>
      <c r="K216" s="6">
        <v>0</v>
      </c>
      <c r="L216" s="6">
        <v>10.787000000000001</v>
      </c>
      <c r="M216" s="6">
        <v>10.787000000000001</v>
      </c>
      <c r="N216" s="6">
        <v>10.787000000000001</v>
      </c>
      <c r="O216" s="6">
        <v>10.787000000000001</v>
      </c>
      <c r="P216" s="6">
        <v>0</v>
      </c>
      <c r="Q216" s="4" t="s">
        <v>26</v>
      </c>
      <c r="R216" s="4">
        <v>0</v>
      </c>
      <c r="S216" s="6">
        <v>0</v>
      </c>
      <c r="T216" s="6">
        <v>6</v>
      </c>
      <c r="U216" s="6">
        <v>61</v>
      </c>
      <c r="V216" s="6">
        <f>IF(ISERROR(VLOOKUP($S$216,'TAR FIN'!$A$1:$O$113,15,0)),0,VLOOKUP($S$216,'TAR FIN'!$A$1:$O$113,15,0))</f>
        <v>0</v>
      </c>
      <c r="W216" s="6">
        <f>IF(ISERROR(VLOOKUP($T$216,'TAR FIN'!$A$1:$O$113,15,0)),0,VLOOKUP($T$216,'TAR FIN'!$A$1:$O$113,15,0))</f>
        <v>72.150000000000006</v>
      </c>
      <c r="X216" s="6">
        <f>IF(ISERROR(VLOOKUP($U$216,'TAR FIN'!$A$1:$O$113,15,0)),0,VLOOKUP($U$216,'TAR FIN'!$A$1:$O$113,15,0))</f>
        <v>278.67</v>
      </c>
      <c r="Y216" s="6"/>
      <c r="Z216" s="6">
        <f ca="1">('TUSD BE'!$AM$21+'TUSD BF'!$AM$21+'TUSD CVA'!$AM$21)*1</f>
        <v>122.14055331663396</v>
      </c>
      <c r="AA216" s="6">
        <f>('TE BE'!$AB$10+'TE BF'!$AB$10+'TE CVA'!$AB$10)*1</f>
        <v>299.18055042718134</v>
      </c>
      <c r="AB216" s="6">
        <f>$K$216*$V$216</f>
        <v>0</v>
      </c>
      <c r="AC216" s="6">
        <f>$M$216*$W$216</f>
        <v>778.28205000000014</v>
      </c>
      <c r="AD216" s="6">
        <f>$O$216*$X$216</f>
        <v>3006.0132900000003</v>
      </c>
      <c r="AE216" s="6">
        <f>$K$216*$Y$216</f>
        <v>0</v>
      </c>
      <c r="AF216" s="6">
        <f ca="1">$M$216*$Z$216</f>
        <v>1317.5301486265305</v>
      </c>
      <c r="AG216" s="6">
        <f>$O$216*$AA$216</f>
        <v>3227.2605974580056</v>
      </c>
    </row>
    <row r="217" spans="1:33" ht="11.25" customHeight="1" x14ac:dyDescent="0.3">
      <c r="A217" s="4" t="s">
        <v>21</v>
      </c>
      <c r="B217" s="4" t="s">
        <v>39</v>
      </c>
      <c r="C217" s="4" t="s">
        <v>41</v>
      </c>
      <c r="D217" s="4" t="s">
        <v>42</v>
      </c>
      <c r="E217" s="4" t="s">
        <v>25</v>
      </c>
      <c r="F217" s="4" t="s">
        <v>25</v>
      </c>
      <c r="G217" s="4" t="s">
        <v>25</v>
      </c>
      <c r="H217" s="4" t="s">
        <v>35</v>
      </c>
      <c r="I217" s="5">
        <v>44652</v>
      </c>
      <c r="J217" s="6">
        <v>0</v>
      </c>
      <c r="K217" s="6">
        <v>0</v>
      </c>
      <c r="L217" s="6">
        <v>1221.414</v>
      </c>
      <c r="M217" s="6">
        <v>1221.414</v>
      </c>
      <c r="N217" s="6">
        <v>1221.414</v>
      </c>
      <c r="O217" s="6">
        <v>1221.414</v>
      </c>
      <c r="P217" s="6">
        <v>0</v>
      </c>
      <c r="Q217" s="4" t="s">
        <v>26</v>
      </c>
      <c r="R217" s="4">
        <v>0</v>
      </c>
      <c r="S217" s="6">
        <v>0</v>
      </c>
      <c r="T217" s="6">
        <v>6</v>
      </c>
      <c r="U217" s="6">
        <v>61</v>
      </c>
      <c r="V217" s="6">
        <f>IF(ISERROR(VLOOKUP($S$217,'TAR FIN'!$A$1:$O$113,15,0)),0,VLOOKUP($S$217,'TAR FIN'!$A$1:$O$113,15,0))</f>
        <v>0</v>
      </c>
      <c r="W217" s="6">
        <f>IF(ISERROR(VLOOKUP($T$217,'TAR FIN'!$A$1:$O$113,15,0)),0,VLOOKUP($T$217,'TAR FIN'!$A$1:$O$113,15,0))</f>
        <v>72.150000000000006</v>
      </c>
      <c r="X217" s="6">
        <f>IF(ISERROR(VLOOKUP($U$217,'TAR FIN'!$A$1:$O$113,15,0)),0,VLOOKUP($U$217,'TAR FIN'!$A$1:$O$113,15,0))</f>
        <v>278.67</v>
      </c>
      <c r="Y217" s="6"/>
      <c r="Z217" s="6">
        <f ca="1">('TUSD BE'!$AM$21+'TUSD BF'!$AM$21+'TUSD CVA'!$AM$21)*1</f>
        <v>122.14055331663396</v>
      </c>
      <c r="AA217" s="6">
        <f>('TE BE'!$AB$10+'TE BF'!$AB$10+'TE CVA'!$AB$10)*1</f>
        <v>299.18055042718134</v>
      </c>
      <c r="AB217" s="6">
        <f>$K$217*$V$217</f>
        <v>0</v>
      </c>
      <c r="AC217" s="6">
        <f>$M$217*$W$217</f>
        <v>88125.020100000009</v>
      </c>
      <c r="AD217" s="6">
        <f>$O$217*$X$217</f>
        <v>340371.43938</v>
      </c>
      <c r="AE217" s="6">
        <f>$K$217*$Y$217</f>
        <v>0</v>
      </c>
      <c r="AF217" s="6">
        <f ca="1">$M$217*$Z$217</f>
        <v>149184.18178868314</v>
      </c>
      <c r="AG217" s="6">
        <f>$O$217*$AA$217</f>
        <v>365423.3128194653</v>
      </c>
    </row>
    <row r="218" spans="1:33" ht="11.25" customHeight="1" x14ac:dyDescent="0.3">
      <c r="A218" s="4" t="s">
        <v>28</v>
      </c>
      <c r="B218" s="4" t="s">
        <v>39</v>
      </c>
      <c r="C218" s="4" t="s">
        <v>41</v>
      </c>
      <c r="D218" s="4" t="s">
        <v>42</v>
      </c>
      <c r="E218" s="4" t="s">
        <v>25</v>
      </c>
      <c r="F218" s="4" t="s">
        <v>25</v>
      </c>
      <c r="G218" s="4" t="s">
        <v>25</v>
      </c>
      <c r="H218" s="4" t="s">
        <v>35</v>
      </c>
      <c r="I218" s="5">
        <v>44652</v>
      </c>
      <c r="J218" s="6">
        <v>0</v>
      </c>
      <c r="K218" s="6">
        <v>0</v>
      </c>
      <c r="L218" s="6">
        <v>11.592000000000001</v>
      </c>
      <c r="M218" s="6">
        <v>11.592000000000001</v>
      </c>
      <c r="N218" s="6">
        <v>11.592000000000001</v>
      </c>
      <c r="O218" s="6">
        <v>11.592000000000001</v>
      </c>
      <c r="P218" s="6">
        <v>0</v>
      </c>
      <c r="Q218" s="4" t="s">
        <v>26</v>
      </c>
      <c r="R218" s="4">
        <v>0</v>
      </c>
      <c r="S218" s="6">
        <v>0</v>
      </c>
      <c r="T218" s="6">
        <v>6</v>
      </c>
      <c r="U218" s="6">
        <v>61</v>
      </c>
      <c r="V218" s="6">
        <f>IF(ISERROR(VLOOKUP($S$218,'TAR FIN'!$A$1:$O$113,15,0)),0,VLOOKUP($S$218,'TAR FIN'!$A$1:$O$113,15,0))</f>
        <v>0</v>
      </c>
      <c r="W218" s="6">
        <f>IF(ISERROR(VLOOKUP($T$218,'TAR FIN'!$A$1:$O$113,15,0)),0,VLOOKUP($T$218,'TAR FIN'!$A$1:$O$113,15,0))</f>
        <v>72.150000000000006</v>
      </c>
      <c r="X218" s="6">
        <f>IF(ISERROR(VLOOKUP($U$218,'TAR FIN'!$A$1:$O$113,15,0)),0,VLOOKUP($U$218,'TAR FIN'!$A$1:$O$113,15,0))</f>
        <v>278.67</v>
      </c>
      <c r="Y218" s="6"/>
      <c r="Z218" s="6">
        <f ca="1">('TUSD BE'!$AM$21+'TUSD BF'!$AM$21+'TUSD CVA'!$AM$21)*1</f>
        <v>122.14055331663396</v>
      </c>
      <c r="AA218" s="6">
        <f>('TE BE'!$AB$10+'TE BF'!$AB$10+'TE CVA'!$AB$10)*1</f>
        <v>299.18055042718134</v>
      </c>
      <c r="AB218" s="6">
        <f>$K$218*$V$218</f>
        <v>0</v>
      </c>
      <c r="AC218" s="6">
        <f>$M$218*$W$218</f>
        <v>836.36280000000011</v>
      </c>
      <c r="AD218" s="6">
        <f>$O$218*$X$218</f>
        <v>3230.3426400000003</v>
      </c>
      <c r="AE218" s="6">
        <f>$K$218*$Y$218</f>
        <v>0</v>
      </c>
      <c r="AF218" s="6">
        <f ca="1">$M$218*$Z$218</f>
        <v>1415.8532940464208</v>
      </c>
      <c r="AG218" s="6">
        <f>$O$218*$AA$218</f>
        <v>3468.1009405518862</v>
      </c>
    </row>
    <row r="219" spans="1:33" ht="11.25" customHeight="1" x14ac:dyDescent="0.3">
      <c r="A219" s="4" t="s">
        <v>21</v>
      </c>
      <c r="B219" s="4" t="s">
        <v>39</v>
      </c>
      <c r="C219" s="4" t="s">
        <v>41</v>
      </c>
      <c r="D219" s="4" t="s">
        <v>42</v>
      </c>
      <c r="E219" s="4" t="s">
        <v>25</v>
      </c>
      <c r="F219" s="4" t="s">
        <v>25</v>
      </c>
      <c r="G219" s="4" t="s">
        <v>25</v>
      </c>
      <c r="H219" s="4" t="s">
        <v>35</v>
      </c>
      <c r="I219" s="5">
        <v>44682</v>
      </c>
      <c r="J219" s="6">
        <v>0</v>
      </c>
      <c r="K219" s="6">
        <v>0</v>
      </c>
      <c r="L219" s="6">
        <v>1104.9069999999999</v>
      </c>
      <c r="M219" s="6">
        <v>1104.9069999999999</v>
      </c>
      <c r="N219" s="6">
        <v>1104.9069999999999</v>
      </c>
      <c r="O219" s="6">
        <v>1104.9069999999999</v>
      </c>
      <c r="P219" s="6">
        <v>0</v>
      </c>
      <c r="Q219" s="4" t="s">
        <v>26</v>
      </c>
      <c r="R219" s="4">
        <v>0</v>
      </c>
      <c r="S219" s="6">
        <v>0</v>
      </c>
      <c r="T219" s="6">
        <v>6</v>
      </c>
      <c r="U219" s="6">
        <v>61</v>
      </c>
      <c r="V219" s="6">
        <f>IF(ISERROR(VLOOKUP($S$219,'TAR FIN'!$A$1:$O$113,15,0)),0,VLOOKUP($S$219,'TAR FIN'!$A$1:$O$113,15,0))</f>
        <v>0</v>
      </c>
      <c r="W219" s="6">
        <f>IF(ISERROR(VLOOKUP($T$219,'TAR FIN'!$A$1:$O$113,15,0)),0,VLOOKUP($T$219,'TAR FIN'!$A$1:$O$113,15,0))</f>
        <v>72.150000000000006</v>
      </c>
      <c r="X219" s="6">
        <f>IF(ISERROR(VLOOKUP($U$219,'TAR FIN'!$A$1:$O$113,15,0)),0,VLOOKUP($U$219,'TAR FIN'!$A$1:$O$113,15,0))</f>
        <v>278.67</v>
      </c>
      <c r="Y219" s="6"/>
      <c r="Z219" s="6">
        <f ca="1">('TUSD BE'!$AM$21+'TUSD BF'!$AM$21+'TUSD CVA'!$AM$21)*1</f>
        <v>122.14055331663396</v>
      </c>
      <c r="AA219" s="6">
        <f>('TE BE'!$AB$10+'TE BF'!$AB$10+'TE CVA'!$AB$10)*1</f>
        <v>299.18055042718134</v>
      </c>
      <c r="AB219" s="6">
        <f>$K$219*$V$219</f>
        <v>0</v>
      </c>
      <c r="AC219" s="6">
        <f>$M$219*$W$219</f>
        <v>79719.040049999996</v>
      </c>
      <c r="AD219" s="6">
        <f>$O$219*$X$219</f>
        <v>307904.43368999998</v>
      </c>
      <c r="AE219" s="6">
        <f>$K$219*$Y$219</f>
        <v>0</v>
      </c>
      <c r="AF219" s="6">
        <f ca="1">$M$219*$Z$219</f>
        <v>134953.95234342208</v>
      </c>
      <c r="AG219" s="6">
        <f>$O$219*$AA$219</f>
        <v>330566.68443084566</v>
      </c>
    </row>
    <row r="220" spans="1:33" ht="11.25" customHeight="1" x14ac:dyDescent="0.3">
      <c r="A220" s="4" t="s">
        <v>28</v>
      </c>
      <c r="B220" s="4" t="s">
        <v>39</v>
      </c>
      <c r="C220" s="4" t="s">
        <v>41</v>
      </c>
      <c r="D220" s="4" t="s">
        <v>42</v>
      </c>
      <c r="E220" s="4" t="s">
        <v>25</v>
      </c>
      <c r="F220" s="4" t="s">
        <v>25</v>
      </c>
      <c r="G220" s="4" t="s">
        <v>25</v>
      </c>
      <c r="H220" s="4" t="s">
        <v>35</v>
      </c>
      <c r="I220" s="5">
        <v>44682</v>
      </c>
      <c r="J220" s="6">
        <v>0</v>
      </c>
      <c r="K220" s="6">
        <v>0</v>
      </c>
      <c r="L220" s="6">
        <v>10.664999999999999</v>
      </c>
      <c r="M220" s="6">
        <v>10.664999999999999</v>
      </c>
      <c r="N220" s="6">
        <v>10.664999999999999</v>
      </c>
      <c r="O220" s="6">
        <v>10.664999999999999</v>
      </c>
      <c r="P220" s="6">
        <v>0</v>
      </c>
      <c r="Q220" s="4" t="s">
        <v>26</v>
      </c>
      <c r="R220" s="4">
        <v>0</v>
      </c>
      <c r="S220" s="6">
        <v>0</v>
      </c>
      <c r="T220" s="6">
        <v>6</v>
      </c>
      <c r="U220" s="6">
        <v>61</v>
      </c>
      <c r="V220" s="6">
        <f>IF(ISERROR(VLOOKUP($S$220,'TAR FIN'!$A$1:$O$113,15,0)),0,VLOOKUP($S$220,'TAR FIN'!$A$1:$O$113,15,0))</f>
        <v>0</v>
      </c>
      <c r="W220" s="6">
        <f>IF(ISERROR(VLOOKUP($T$220,'TAR FIN'!$A$1:$O$113,15,0)),0,VLOOKUP($T$220,'TAR FIN'!$A$1:$O$113,15,0))</f>
        <v>72.150000000000006</v>
      </c>
      <c r="X220" s="6">
        <f>IF(ISERROR(VLOOKUP($U$220,'TAR FIN'!$A$1:$O$113,15,0)),0,VLOOKUP($U$220,'TAR FIN'!$A$1:$O$113,15,0))</f>
        <v>278.67</v>
      </c>
      <c r="Y220" s="6"/>
      <c r="Z220" s="6">
        <f ca="1">('TUSD BE'!$AM$21+'TUSD BF'!$AM$21+'TUSD CVA'!$AM$21)*1</f>
        <v>122.14055331663396</v>
      </c>
      <c r="AA220" s="6">
        <f>('TE BE'!$AB$10+'TE BF'!$AB$10+'TE CVA'!$AB$10)*1</f>
        <v>299.18055042718134</v>
      </c>
      <c r="AB220" s="6">
        <f>$K$220*$V$220</f>
        <v>0</v>
      </c>
      <c r="AC220" s="6">
        <f>$M$220*$W$220</f>
        <v>769.47974999999997</v>
      </c>
      <c r="AD220" s="6">
        <f>$O$220*$X$220</f>
        <v>2972.0155500000001</v>
      </c>
      <c r="AE220" s="6">
        <f>$K$220*$Y$220</f>
        <v>0</v>
      </c>
      <c r="AF220" s="6">
        <f ca="1">$M$220*$Z$220</f>
        <v>1302.629001121901</v>
      </c>
      <c r="AG220" s="6">
        <f>$O$220*$AA$220</f>
        <v>3190.7605703058889</v>
      </c>
    </row>
    <row r="221" spans="1:33" ht="11.25" customHeight="1" x14ac:dyDescent="0.3">
      <c r="A221" s="4" t="s">
        <v>21</v>
      </c>
      <c r="B221" s="4" t="s">
        <v>39</v>
      </c>
      <c r="C221" s="4" t="s">
        <v>41</v>
      </c>
      <c r="D221" s="4" t="s">
        <v>42</v>
      </c>
      <c r="E221" s="4" t="s">
        <v>25</v>
      </c>
      <c r="F221" s="4" t="s">
        <v>25</v>
      </c>
      <c r="G221" s="4" t="s">
        <v>25</v>
      </c>
      <c r="H221" s="4" t="s">
        <v>35</v>
      </c>
      <c r="I221" s="5">
        <v>44713</v>
      </c>
      <c r="J221" s="6">
        <v>0</v>
      </c>
      <c r="K221" s="6">
        <v>0</v>
      </c>
      <c r="L221" s="6">
        <v>1036.903</v>
      </c>
      <c r="M221" s="6">
        <v>1036.903</v>
      </c>
      <c r="N221" s="6">
        <v>1036.903</v>
      </c>
      <c r="O221" s="6">
        <v>1036.903</v>
      </c>
      <c r="P221" s="6">
        <v>0</v>
      </c>
      <c r="Q221" s="4" t="s">
        <v>26</v>
      </c>
      <c r="R221" s="4">
        <v>0</v>
      </c>
      <c r="S221" s="6">
        <v>0</v>
      </c>
      <c r="T221" s="6">
        <v>6</v>
      </c>
      <c r="U221" s="6">
        <v>61</v>
      </c>
      <c r="V221" s="6">
        <f>IF(ISERROR(VLOOKUP($S$221,'TAR FIN'!$A$1:$O$113,15,0)),0,VLOOKUP($S$221,'TAR FIN'!$A$1:$O$113,15,0))</f>
        <v>0</v>
      </c>
      <c r="W221" s="6">
        <f>IF(ISERROR(VLOOKUP($T$221,'TAR FIN'!$A$1:$O$113,15,0)),0,VLOOKUP($T$221,'TAR FIN'!$A$1:$O$113,15,0))</f>
        <v>72.150000000000006</v>
      </c>
      <c r="X221" s="6">
        <f>IF(ISERROR(VLOOKUP($U$221,'TAR FIN'!$A$1:$O$113,15,0)),0,VLOOKUP($U$221,'TAR FIN'!$A$1:$O$113,15,0))</f>
        <v>278.67</v>
      </c>
      <c r="Y221" s="6"/>
      <c r="Z221" s="6">
        <f ca="1">('TUSD BE'!$AM$21+'TUSD BF'!$AM$21+'TUSD CVA'!$AM$21)*1</f>
        <v>122.14055331663396</v>
      </c>
      <c r="AA221" s="6">
        <f>('TE BE'!$AB$10+'TE BF'!$AB$10+'TE CVA'!$AB$10)*1</f>
        <v>299.18055042718134</v>
      </c>
      <c r="AB221" s="6">
        <f>$K$221*$V$221</f>
        <v>0</v>
      </c>
      <c r="AC221" s="6">
        <f>$M$221*$W$221</f>
        <v>74812.551450000014</v>
      </c>
      <c r="AD221" s="6">
        <f>$O$221*$X$221</f>
        <v>288953.75901000004</v>
      </c>
      <c r="AE221" s="6">
        <f>$K$221*$Y$221</f>
        <v>0</v>
      </c>
      <c r="AF221" s="6">
        <f ca="1">$M$221*$Z$221</f>
        <v>126647.9061556777</v>
      </c>
      <c r="AG221" s="6">
        <f>$O$221*$AA$221</f>
        <v>310221.21027959563</v>
      </c>
    </row>
    <row r="222" spans="1:33" ht="11.25" customHeight="1" x14ac:dyDescent="0.3">
      <c r="A222" s="4" t="s">
        <v>28</v>
      </c>
      <c r="B222" s="4" t="s">
        <v>39</v>
      </c>
      <c r="C222" s="4" t="s">
        <v>41</v>
      </c>
      <c r="D222" s="4" t="s">
        <v>42</v>
      </c>
      <c r="E222" s="4" t="s">
        <v>25</v>
      </c>
      <c r="F222" s="4" t="s">
        <v>25</v>
      </c>
      <c r="G222" s="4" t="s">
        <v>25</v>
      </c>
      <c r="H222" s="4" t="s">
        <v>35</v>
      </c>
      <c r="I222" s="5">
        <v>44713</v>
      </c>
      <c r="J222" s="6">
        <v>0</v>
      </c>
      <c r="K222" s="6">
        <v>0</v>
      </c>
      <c r="L222" s="6">
        <v>11.119</v>
      </c>
      <c r="M222" s="6">
        <v>11.119</v>
      </c>
      <c r="N222" s="6">
        <v>11.119</v>
      </c>
      <c r="O222" s="6">
        <v>11.119</v>
      </c>
      <c r="P222" s="6">
        <v>0</v>
      </c>
      <c r="Q222" s="4" t="s">
        <v>26</v>
      </c>
      <c r="R222" s="4">
        <v>0</v>
      </c>
      <c r="S222" s="6">
        <v>0</v>
      </c>
      <c r="T222" s="6">
        <v>6</v>
      </c>
      <c r="U222" s="6">
        <v>61</v>
      </c>
      <c r="V222" s="6">
        <f>IF(ISERROR(VLOOKUP($S$222,'TAR FIN'!$A$1:$O$113,15,0)),0,VLOOKUP($S$222,'TAR FIN'!$A$1:$O$113,15,0))</f>
        <v>0</v>
      </c>
      <c r="W222" s="6">
        <f>IF(ISERROR(VLOOKUP($T$222,'TAR FIN'!$A$1:$O$113,15,0)),0,VLOOKUP($T$222,'TAR FIN'!$A$1:$O$113,15,0))</f>
        <v>72.150000000000006</v>
      </c>
      <c r="X222" s="6">
        <f>IF(ISERROR(VLOOKUP($U$222,'TAR FIN'!$A$1:$O$113,15,0)),0,VLOOKUP($U$222,'TAR FIN'!$A$1:$O$113,15,0))</f>
        <v>278.67</v>
      </c>
      <c r="Y222" s="6"/>
      <c r="Z222" s="6">
        <f ca="1">('TUSD BE'!$AM$21+'TUSD BF'!$AM$21+'TUSD CVA'!$AM$21)*1</f>
        <v>122.14055331663396</v>
      </c>
      <c r="AA222" s="6">
        <f>('TE BE'!$AB$10+'TE BF'!$AB$10+'TE CVA'!$AB$10)*1</f>
        <v>299.18055042718134</v>
      </c>
      <c r="AB222" s="6">
        <f>$K$222*$V$222</f>
        <v>0</v>
      </c>
      <c r="AC222" s="6">
        <f>$M$222*$W$222</f>
        <v>802.23585000000003</v>
      </c>
      <c r="AD222" s="6">
        <f>$O$222*$X$222</f>
        <v>3098.5317300000002</v>
      </c>
      <c r="AE222" s="6">
        <f>$K$222*$Y$222</f>
        <v>0</v>
      </c>
      <c r="AF222" s="6">
        <f ca="1">$M$222*$Z$222</f>
        <v>1358.0808123276529</v>
      </c>
      <c r="AG222" s="6">
        <f>$O$222*$AA$222</f>
        <v>3326.5885401998294</v>
      </c>
    </row>
    <row r="223" spans="1:33" ht="11.25" customHeight="1" x14ac:dyDescent="0.3">
      <c r="A223" s="4" t="s">
        <v>21</v>
      </c>
      <c r="B223" s="4" t="s">
        <v>39</v>
      </c>
      <c r="C223" s="4" t="s">
        <v>41</v>
      </c>
      <c r="D223" s="4" t="s">
        <v>42</v>
      </c>
      <c r="E223" s="4" t="s">
        <v>25</v>
      </c>
      <c r="F223" s="4" t="s">
        <v>25</v>
      </c>
      <c r="G223" s="4" t="s">
        <v>25</v>
      </c>
      <c r="H223" s="4" t="s">
        <v>35</v>
      </c>
      <c r="I223" s="5">
        <v>44743</v>
      </c>
      <c r="J223" s="6">
        <v>0</v>
      </c>
      <c r="K223" s="6">
        <v>0</v>
      </c>
      <c r="L223" s="6">
        <v>970.10500000000002</v>
      </c>
      <c r="M223" s="6">
        <v>970.10500000000002</v>
      </c>
      <c r="N223" s="6">
        <v>970.10500000000002</v>
      </c>
      <c r="O223" s="6">
        <v>970.10500000000002</v>
      </c>
      <c r="P223" s="6">
        <v>0</v>
      </c>
      <c r="Q223" s="4" t="s">
        <v>26</v>
      </c>
      <c r="R223" s="4">
        <v>0</v>
      </c>
      <c r="S223" s="6">
        <v>0</v>
      </c>
      <c r="T223" s="6">
        <v>6</v>
      </c>
      <c r="U223" s="6">
        <v>61</v>
      </c>
      <c r="V223" s="6">
        <f>IF(ISERROR(VLOOKUP($S$223,'TAR FIN'!$A$1:$O$113,15,0)),0,VLOOKUP($S$223,'TAR FIN'!$A$1:$O$113,15,0))</f>
        <v>0</v>
      </c>
      <c r="W223" s="6">
        <f>IF(ISERROR(VLOOKUP($T$223,'TAR FIN'!$A$1:$O$113,15,0)),0,VLOOKUP($T$223,'TAR FIN'!$A$1:$O$113,15,0))</f>
        <v>72.150000000000006</v>
      </c>
      <c r="X223" s="6">
        <f>IF(ISERROR(VLOOKUP($U$223,'TAR FIN'!$A$1:$O$113,15,0)),0,VLOOKUP($U$223,'TAR FIN'!$A$1:$O$113,15,0))</f>
        <v>278.67</v>
      </c>
      <c r="Y223" s="6"/>
      <c r="Z223" s="6">
        <f ca="1">('TUSD BE'!$AM$21+'TUSD BF'!$AM$21+'TUSD CVA'!$AM$21)*1</f>
        <v>122.14055331663396</v>
      </c>
      <c r="AA223" s="6">
        <f>('TE BE'!$AB$10+'TE BF'!$AB$10+'TE CVA'!$AB$10)*1</f>
        <v>299.18055042718134</v>
      </c>
      <c r="AB223" s="6">
        <f>$K$223*$V$223</f>
        <v>0</v>
      </c>
      <c r="AC223" s="6">
        <f>$M$223*$W$223</f>
        <v>69993.075750000004</v>
      </c>
      <c r="AD223" s="6">
        <f>$O$223*$X$223</f>
        <v>270339.16035000002</v>
      </c>
      <c r="AE223" s="6">
        <f>$K$223*$Y$223</f>
        <v>0</v>
      </c>
      <c r="AF223" s="6">
        <f ca="1">$M$223*$Z$223</f>
        <v>118489.16147523318</v>
      </c>
      <c r="AG223" s="6">
        <f>$O$223*$AA$223</f>
        <v>290236.54787216074</v>
      </c>
    </row>
    <row r="224" spans="1:33" ht="11.25" customHeight="1" x14ac:dyDescent="0.3">
      <c r="A224" s="4" t="s">
        <v>21</v>
      </c>
      <c r="B224" s="4" t="s">
        <v>39</v>
      </c>
      <c r="C224" s="4" t="s">
        <v>41</v>
      </c>
      <c r="D224" s="4" t="s">
        <v>42</v>
      </c>
      <c r="E224" s="4" t="s">
        <v>25</v>
      </c>
      <c r="F224" s="4" t="s">
        <v>25</v>
      </c>
      <c r="G224" s="4" t="s">
        <v>25</v>
      </c>
      <c r="H224" s="4" t="s">
        <v>35</v>
      </c>
      <c r="I224" s="5">
        <v>44774</v>
      </c>
      <c r="J224" s="6">
        <v>0</v>
      </c>
      <c r="K224" s="6">
        <v>0</v>
      </c>
      <c r="L224" s="6">
        <v>1034.615</v>
      </c>
      <c r="M224" s="6">
        <v>1034.615</v>
      </c>
      <c r="N224" s="6">
        <v>1034.615</v>
      </c>
      <c r="O224" s="6">
        <v>1034.615</v>
      </c>
      <c r="P224" s="6">
        <v>0</v>
      </c>
      <c r="Q224" s="4" t="s">
        <v>26</v>
      </c>
      <c r="R224" s="4">
        <v>0</v>
      </c>
      <c r="S224" s="6">
        <v>0</v>
      </c>
      <c r="T224" s="6">
        <v>6</v>
      </c>
      <c r="U224" s="6">
        <v>61</v>
      </c>
      <c r="V224" s="6">
        <f>IF(ISERROR(VLOOKUP($S$224,'TAR FIN'!$A$1:$O$113,15,0)),0,VLOOKUP($S$224,'TAR FIN'!$A$1:$O$113,15,0))</f>
        <v>0</v>
      </c>
      <c r="W224" s="6">
        <f>IF(ISERROR(VLOOKUP($T$224,'TAR FIN'!$A$1:$O$113,15,0)),0,VLOOKUP($T$224,'TAR FIN'!$A$1:$O$113,15,0))</f>
        <v>72.150000000000006</v>
      </c>
      <c r="X224" s="6">
        <f>IF(ISERROR(VLOOKUP($U$224,'TAR FIN'!$A$1:$O$113,15,0)),0,VLOOKUP($U$224,'TAR FIN'!$A$1:$O$113,15,0))</f>
        <v>278.67</v>
      </c>
      <c r="Y224" s="6"/>
      <c r="Z224" s="6">
        <f ca="1">('TUSD BE'!$AM$21+'TUSD BF'!$AM$21+'TUSD CVA'!$AM$21)*1</f>
        <v>122.14055331663396</v>
      </c>
      <c r="AA224" s="6">
        <f>('TE BE'!$AB$10+'TE BF'!$AB$10+'TE CVA'!$AB$10)*1</f>
        <v>299.18055042718134</v>
      </c>
      <c r="AB224" s="6">
        <f>$K$224*$V$224</f>
        <v>0</v>
      </c>
      <c r="AC224" s="6">
        <f>$M$224*$W$224</f>
        <v>74647.472250000006</v>
      </c>
      <c r="AD224" s="6">
        <f>$O$224*$X$224</f>
        <v>288316.16205000004</v>
      </c>
      <c r="AE224" s="6">
        <f>$K$224*$Y$224</f>
        <v>0</v>
      </c>
      <c r="AF224" s="6">
        <f ca="1">$M$224*$Z$224</f>
        <v>126368.44856968924</v>
      </c>
      <c r="AG224" s="6">
        <f>$O$224*$AA$224</f>
        <v>309536.68518021825</v>
      </c>
    </row>
    <row r="225" spans="1:33" ht="11.25" customHeight="1" x14ac:dyDescent="0.3">
      <c r="A225" s="4" t="s">
        <v>28</v>
      </c>
      <c r="B225" s="4" t="s">
        <v>39</v>
      </c>
      <c r="C225" s="4" t="s">
        <v>41</v>
      </c>
      <c r="D225" s="4" t="s">
        <v>42</v>
      </c>
      <c r="E225" s="4" t="s">
        <v>25</v>
      </c>
      <c r="F225" s="4" t="s">
        <v>25</v>
      </c>
      <c r="G225" s="4" t="s">
        <v>25</v>
      </c>
      <c r="H225" s="4" t="s">
        <v>35</v>
      </c>
      <c r="I225" s="5">
        <v>44774</v>
      </c>
      <c r="J225" s="6">
        <v>0</v>
      </c>
      <c r="K225" s="6">
        <v>0</v>
      </c>
      <c r="L225" s="6">
        <v>13.989000000000001</v>
      </c>
      <c r="M225" s="6">
        <v>13.989000000000001</v>
      </c>
      <c r="N225" s="6">
        <v>13.989000000000001</v>
      </c>
      <c r="O225" s="6">
        <v>13.989000000000001</v>
      </c>
      <c r="P225" s="6">
        <v>0</v>
      </c>
      <c r="Q225" s="4" t="s">
        <v>26</v>
      </c>
      <c r="R225" s="4">
        <v>0</v>
      </c>
      <c r="S225" s="6">
        <v>0</v>
      </c>
      <c r="T225" s="6">
        <v>6</v>
      </c>
      <c r="U225" s="6">
        <v>61</v>
      </c>
      <c r="V225" s="6">
        <f>IF(ISERROR(VLOOKUP($S$225,'TAR FIN'!$A$1:$O$113,15,0)),0,VLOOKUP($S$225,'TAR FIN'!$A$1:$O$113,15,0))</f>
        <v>0</v>
      </c>
      <c r="W225" s="6">
        <f>IF(ISERROR(VLOOKUP($T$225,'TAR FIN'!$A$1:$O$113,15,0)),0,VLOOKUP($T$225,'TAR FIN'!$A$1:$O$113,15,0))</f>
        <v>72.150000000000006</v>
      </c>
      <c r="X225" s="6">
        <f>IF(ISERROR(VLOOKUP($U$225,'TAR FIN'!$A$1:$O$113,15,0)),0,VLOOKUP($U$225,'TAR FIN'!$A$1:$O$113,15,0))</f>
        <v>278.67</v>
      </c>
      <c r="Y225" s="6"/>
      <c r="Z225" s="6">
        <f ca="1">('TUSD BE'!$AM$21+'TUSD BF'!$AM$21+'TUSD CVA'!$AM$21)*1</f>
        <v>122.14055331663396</v>
      </c>
      <c r="AA225" s="6">
        <f>('TE BE'!$AB$10+'TE BF'!$AB$10+'TE CVA'!$AB$10)*1</f>
        <v>299.18055042718134</v>
      </c>
      <c r="AB225" s="6">
        <f>$K$225*$V$225</f>
        <v>0</v>
      </c>
      <c r="AC225" s="6">
        <f>$M$225*$W$225</f>
        <v>1009.3063500000002</v>
      </c>
      <c r="AD225" s="6">
        <f>$O$225*$X$225</f>
        <v>3898.3146300000003</v>
      </c>
      <c r="AE225" s="6">
        <f>$K$225*$Y$225</f>
        <v>0</v>
      </c>
      <c r="AF225" s="6">
        <f ca="1">$M$225*$Z$225</f>
        <v>1708.6242003463924</v>
      </c>
      <c r="AG225" s="6">
        <f>$O$225*$AA$225</f>
        <v>4185.2367199258397</v>
      </c>
    </row>
    <row r="226" spans="1:33" ht="11.25" customHeight="1" x14ac:dyDescent="0.3">
      <c r="A226" s="4" t="s">
        <v>21</v>
      </c>
      <c r="B226" s="4" t="s">
        <v>39</v>
      </c>
      <c r="C226" s="4" t="s">
        <v>41</v>
      </c>
      <c r="D226" s="4" t="s">
        <v>42</v>
      </c>
      <c r="E226" s="4" t="s">
        <v>25</v>
      </c>
      <c r="F226" s="4" t="s">
        <v>25</v>
      </c>
      <c r="G226" s="4" t="s">
        <v>25</v>
      </c>
      <c r="H226" s="4" t="s">
        <v>35</v>
      </c>
      <c r="I226" s="5">
        <v>44805</v>
      </c>
      <c r="J226" s="6">
        <v>0</v>
      </c>
      <c r="K226" s="6">
        <v>0</v>
      </c>
      <c r="L226" s="6">
        <v>1028.8389999999999</v>
      </c>
      <c r="M226" s="6">
        <v>1028.8389999999999</v>
      </c>
      <c r="N226" s="6">
        <v>1028.8389999999999</v>
      </c>
      <c r="O226" s="6">
        <v>1028.8389999999999</v>
      </c>
      <c r="P226" s="6">
        <v>0</v>
      </c>
      <c r="Q226" s="4" t="s">
        <v>26</v>
      </c>
      <c r="R226" s="4">
        <v>0</v>
      </c>
      <c r="S226" s="6">
        <v>0</v>
      </c>
      <c r="T226" s="6">
        <v>6</v>
      </c>
      <c r="U226" s="6">
        <v>61</v>
      </c>
      <c r="V226" s="6">
        <f>IF(ISERROR(VLOOKUP($S$226,'TAR FIN'!$A$1:$O$113,15,0)),0,VLOOKUP($S$226,'TAR FIN'!$A$1:$O$113,15,0))</f>
        <v>0</v>
      </c>
      <c r="W226" s="6">
        <f>IF(ISERROR(VLOOKUP($T$226,'TAR FIN'!$A$1:$O$113,15,0)),0,VLOOKUP($T$226,'TAR FIN'!$A$1:$O$113,15,0))</f>
        <v>72.150000000000006</v>
      </c>
      <c r="X226" s="6">
        <f>IF(ISERROR(VLOOKUP($U$226,'TAR FIN'!$A$1:$O$113,15,0)),0,VLOOKUP($U$226,'TAR FIN'!$A$1:$O$113,15,0))</f>
        <v>278.67</v>
      </c>
      <c r="Y226" s="6"/>
      <c r="Z226" s="6">
        <f ca="1">('TUSD BE'!$AM$21+'TUSD BF'!$AM$21+'TUSD CVA'!$AM$21)*1</f>
        <v>122.14055331663396</v>
      </c>
      <c r="AA226" s="6">
        <f>('TE BE'!$AB$10+'TE BF'!$AB$10+'TE CVA'!$AB$10)*1</f>
        <v>299.18055042718134</v>
      </c>
      <c r="AB226" s="6">
        <f>$K$226*$V$226</f>
        <v>0</v>
      </c>
      <c r="AC226" s="6">
        <f>$M$226*$W$226</f>
        <v>74230.733850000004</v>
      </c>
      <c r="AD226" s="6">
        <f>$O$226*$X$226</f>
        <v>286706.56413000001</v>
      </c>
      <c r="AE226" s="6">
        <f>$K$226*$Y$226</f>
        <v>0</v>
      </c>
      <c r="AF226" s="6">
        <f ca="1">$M$226*$Z$226</f>
        <v>125662.96473373235</v>
      </c>
      <c r="AG226" s="6">
        <f>$O$226*$AA$226</f>
        <v>307808.61832095083</v>
      </c>
    </row>
    <row r="227" spans="1:33" ht="11.25" customHeight="1" x14ac:dyDescent="0.3">
      <c r="A227" s="4" t="s">
        <v>27</v>
      </c>
      <c r="B227" s="4" t="s">
        <v>39</v>
      </c>
      <c r="C227" s="4" t="s">
        <v>41</v>
      </c>
      <c r="D227" s="4" t="s">
        <v>42</v>
      </c>
      <c r="E227" s="4" t="s">
        <v>25</v>
      </c>
      <c r="F227" s="4" t="s">
        <v>25</v>
      </c>
      <c r="G227" s="4" t="s">
        <v>25</v>
      </c>
      <c r="H227" s="4" t="s">
        <v>35</v>
      </c>
      <c r="I227" s="5">
        <v>44805</v>
      </c>
      <c r="J227" s="6">
        <v>0</v>
      </c>
      <c r="K227" s="6">
        <v>0</v>
      </c>
      <c r="L227" s="6">
        <v>-2.077</v>
      </c>
      <c r="M227" s="6">
        <v>-2.077</v>
      </c>
      <c r="N227" s="6">
        <v>-2.077</v>
      </c>
      <c r="O227" s="6">
        <v>-2.077</v>
      </c>
      <c r="P227" s="6">
        <v>0</v>
      </c>
      <c r="Q227" s="4" t="s">
        <v>26</v>
      </c>
      <c r="R227" s="4">
        <v>0</v>
      </c>
      <c r="S227" s="6">
        <v>0</v>
      </c>
      <c r="T227" s="6">
        <v>6</v>
      </c>
      <c r="U227" s="6">
        <v>61</v>
      </c>
      <c r="V227" s="6">
        <f>IF(ISERROR(VLOOKUP($S$227,'TAR FIN'!$A$1:$O$113,15,0)),0,VLOOKUP($S$227,'TAR FIN'!$A$1:$O$113,15,0))</f>
        <v>0</v>
      </c>
      <c r="W227" s="6">
        <f>IF(ISERROR(VLOOKUP($T$227,'TAR FIN'!$A$1:$O$113,15,0)),0,VLOOKUP($T$227,'TAR FIN'!$A$1:$O$113,15,0))</f>
        <v>72.150000000000006</v>
      </c>
      <c r="X227" s="6">
        <f>IF(ISERROR(VLOOKUP($U$227,'TAR FIN'!$A$1:$O$113,15,0)),0,VLOOKUP($U$227,'TAR FIN'!$A$1:$O$113,15,0))</f>
        <v>278.67</v>
      </c>
      <c r="Y227" s="6"/>
      <c r="Z227" s="6">
        <f ca="1">('TUSD BE'!$AM$21+'TUSD BF'!$AM$21+'TUSD CVA'!$AM$21)*1</f>
        <v>122.14055331663396</v>
      </c>
      <c r="AA227" s="6">
        <f>('TE BE'!$AB$10+'TE BF'!$AB$10+'TE CVA'!$AB$10)*1</f>
        <v>299.18055042718134</v>
      </c>
      <c r="AB227" s="6">
        <f>$K$227*$V$227</f>
        <v>0</v>
      </c>
      <c r="AC227" s="6">
        <f>$M$227*$W$227</f>
        <v>-149.85555000000002</v>
      </c>
      <c r="AD227" s="6">
        <f>$O$227*$X$227</f>
        <v>-578.79759000000001</v>
      </c>
      <c r="AE227" s="6">
        <f>$K$227*$Y$227</f>
        <v>0</v>
      </c>
      <c r="AF227" s="6">
        <f ca="1">$M$227*$Z$227</f>
        <v>-253.68592923864873</v>
      </c>
      <c r="AG227" s="6">
        <f>$O$227*$AA$227</f>
        <v>-621.39800323725569</v>
      </c>
    </row>
    <row r="228" spans="1:33" ht="11.25" customHeight="1" x14ac:dyDescent="0.3">
      <c r="A228" s="4" t="s">
        <v>28</v>
      </c>
      <c r="B228" s="4" t="s">
        <v>39</v>
      </c>
      <c r="C228" s="4" t="s">
        <v>41</v>
      </c>
      <c r="D228" s="4" t="s">
        <v>42</v>
      </c>
      <c r="E228" s="4" t="s">
        <v>25</v>
      </c>
      <c r="F228" s="4" t="s">
        <v>25</v>
      </c>
      <c r="G228" s="4" t="s">
        <v>25</v>
      </c>
      <c r="H228" s="4" t="s">
        <v>35</v>
      </c>
      <c r="I228" s="5">
        <v>44805</v>
      </c>
      <c r="J228" s="6">
        <v>0</v>
      </c>
      <c r="K228" s="6">
        <v>0</v>
      </c>
      <c r="L228" s="6">
        <v>14.489000000000001</v>
      </c>
      <c r="M228" s="6">
        <v>14.489000000000001</v>
      </c>
      <c r="N228" s="6">
        <v>14.489000000000001</v>
      </c>
      <c r="O228" s="6">
        <v>14.489000000000001</v>
      </c>
      <c r="P228" s="6">
        <v>0</v>
      </c>
      <c r="Q228" s="4" t="s">
        <v>26</v>
      </c>
      <c r="R228" s="4">
        <v>0</v>
      </c>
      <c r="S228" s="6">
        <v>0</v>
      </c>
      <c r="T228" s="6">
        <v>6</v>
      </c>
      <c r="U228" s="6">
        <v>61</v>
      </c>
      <c r="V228" s="6">
        <f>IF(ISERROR(VLOOKUP($S$228,'TAR FIN'!$A$1:$O$113,15,0)),0,VLOOKUP($S$228,'TAR FIN'!$A$1:$O$113,15,0))</f>
        <v>0</v>
      </c>
      <c r="W228" s="6">
        <f>IF(ISERROR(VLOOKUP($T$228,'TAR FIN'!$A$1:$O$113,15,0)),0,VLOOKUP($T$228,'TAR FIN'!$A$1:$O$113,15,0))</f>
        <v>72.150000000000006</v>
      </c>
      <c r="X228" s="6">
        <f>IF(ISERROR(VLOOKUP($U$228,'TAR FIN'!$A$1:$O$113,15,0)),0,VLOOKUP($U$228,'TAR FIN'!$A$1:$O$113,15,0))</f>
        <v>278.67</v>
      </c>
      <c r="Y228" s="6"/>
      <c r="Z228" s="6">
        <f ca="1">('TUSD BE'!$AM$21+'TUSD BF'!$AM$21+'TUSD CVA'!$AM$21)*1</f>
        <v>122.14055331663396</v>
      </c>
      <c r="AA228" s="6">
        <f>('TE BE'!$AB$10+'TE BF'!$AB$10+'TE CVA'!$AB$10)*1</f>
        <v>299.18055042718134</v>
      </c>
      <c r="AB228" s="6">
        <f>$K$228*$V$228</f>
        <v>0</v>
      </c>
      <c r="AC228" s="6">
        <f>$M$228*$W$228</f>
        <v>1045.3813500000001</v>
      </c>
      <c r="AD228" s="6">
        <f>$O$228*$X$228</f>
        <v>4037.6496300000003</v>
      </c>
      <c r="AE228" s="6">
        <f>$K$228*$Y$228</f>
        <v>0</v>
      </c>
      <c r="AF228" s="6">
        <f ca="1">$M$228*$Z$228</f>
        <v>1769.6944770047094</v>
      </c>
      <c r="AG228" s="6">
        <f>$O$228*$AA$228</f>
        <v>4334.8269951394304</v>
      </c>
    </row>
    <row r="229" spans="1:33" ht="11.25" customHeight="1" x14ac:dyDescent="0.3">
      <c r="A229" s="4" t="s">
        <v>53</v>
      </c>
      <c r="B229" s="4" t="s">
        <v>39</v>
      </c>
      <c r="C229" s="4" t="s">
        <v>41</v>
      </c>
      <c r="D229" s="4" t="s">
        <v>42</v>
      </c>
      <c r="E229" s="4" t="s">
        <v>25</v>
      </c>
      <c r="F229" s="4" t="s">
        <v>25</v>
      </c>
      <c r="G229" s="4" t="s">
        <v>25</v>
      </c>
      <c r="H229" s="4" t="s">
        <v>35</v>
      </c>
      <c r="I229" s="5">
        <v>44835</v>
      </c>
      <c r="J229" s="6">
        <v>0</v>
      </c>
      <c r="K229" s="6">
        <v>0</v>
      </c>
      <c r="L229" s="6">
        <v>1028.8389999999999</v>
      </c>
      <c r="M229" s="6">
        <v>1028.8389999999999</v>
      </c>
      <c r="N229" s="6">
        <v>1028.8389999999999</v>
      </c>
      <c r="O229" s="6">
        <v>1028.8389999999999</v>
      </c>
      <c r="P229" s="6">
        <v>0</v>
      </c>
      <c r="Q229" s="4" t="s">
        <v>26</v>
      </c>
      <c r="R229" s="4">
        <v>0</v>
      </c>
      <c r="S229" s="6">
        <v>0</v>
      </c>
      <c r="T229" s="6">
        <v>6</v>
      </c>
      <c r="U229" s="6">
        <v>61</v>
      </c>
      <c r="V229" s="6">
        <f>IF(ISERROR(VLOOKUP($S$229,'TAR FIN'!$A$1:$O$113,15,0)),0,VLOOKUP($S$229,'TAR FIN'!$A$1:$O$113,15,0))</f>
        <v>0</v>
      </c>
      <c r="W229" s="6">
        <f>IF(ISERROR(VLOOKUP($T$229,'TAR FIN'!$A$1:$O$113,15,0)),0,VLOOKUP($T$229,'TAR FIN'!$A$1:$O$113,15,0))</f>
        <v>72.150000000000006</v>
      </c>
      <c r="X229" s="6">
        <f>IF(ISERROR(VLOOKUP($U$229,'TAR FIN'!$A$1:$O$113,15,0)),0,VLOOKUP($U$229,'TAR FIN'!$A$1:$O$113,15,0))</f>
        <v>278.67</v>
      </c>
      <c r="Y229" s="6"/>
      <c r="Z229" s="6">
        <f ca="1">('TUSD BE'!$AM$21+'TUSD BF'!$AM$21+'TUSD CVA'!$AM$21)*1</f>
        <v>122.14055331663396</v>
      </c>
      <c r="AA229" s="6">
        <f>('TE BE'!$AB$10+'TE BF'!$AB$10+'TE CVA'!$AB$10)*1</f>
        <v>299.18055042718134</v>
      </c>
      <c r="AB229" s="6">
        <f>$K$229*$V$229</f>
        <v>0</v>
      </c>
      <c r="AC229" s="6">
        <f>$M$229*$W$229</f>
        <v>74230.733850000004</v>
      </c>
      <c r="AD229" s="6">
        <f>$O$229*$X$229</f>
        <v>286706.56413000001</v>
      </c>
      <c r="AE229" s="6">
        <f>$K$229*$Y$229</f>
        <v>0</v>
      </c>
      <c r="AF229" s="6">
        <f ca="1">$M$229*$Z$229</f>
        <v>125662.96473373235</v>
      </c>
      <c r="AG229" s="6">
        <f>$O$229*$AA$229</f>
        <v>307808.61832095083</v>
      </c>
    </row>
    <row r="230" spans="1:33" ht="11.25" customHeight="1" x14ac:dyDescent="0.3">
      <c r="A230" s="4" t="s">
        <v>53</v>
      </c>
      <c r="B230" s="4" t="s">
        <v>39</v>
      </c>
      <c r="C230" s="4" t="s">
        <v>41</v>
      </c>
      <c r="D230" s="4" t="s">
        <v>42</v>
      </c>
      <c r="E230" s="4" t="s">
        <v>25</v>
      </c>
      <c r="F230" s="4" t="s">
        <v>25</v>
      </c>
      <c r="G230" s="4" t="s">
        <v>25</v>
      </c>
      <c r="H230" s="4" t="s">
        <v>35</v>
      </c>
      <c r="I230" s="5">
        <v>44835</v>
      </c>
      <c r="J230" s="6">
        <v>0</v>
      </c>
      <c r="K230" s="6">
        <v>0</v>
      </c>
      <c r="L230" s="6">
        <v>-2.077</v>
      </c>
      <c r="M230" s="6">
        <v>-2.077</v>
      </c>
      <c r="N230" s="6">
        <v>-2.077</v>
      </c>
      <c r="O230" s="6">
        <v>-2.077</v>
      </c>
      <c r="P230" s="6">
        <v>0</v>
      </c>
      <c r="Q230" s="4" t="s">
        <v>26</v>
      </c>
      <c r="R230" s="4">
        <v>0</v>
      </c>
      <c r="S230" s="6">
        <v>0</v>
      </c>
      <c r="T230" s="6">
        <v>6</v>
      </c>
      <c r="U230" s="6">
        <v>61</v>
      </c>
      <c r="V230" s="6">
        <f>IF(ISERROR(VLOOKUP($S$230,'TAR FIN'!$A$1:$O$113,15,0)),0,VLOOKUP($S$230,'TAR FIN'!$A$1:$O$113,15,0))</f>
        <v>0</v>
      </c>
      <c r="W230" s="6">
        <f>IF(ISERROR(VLOOKUP($T$230,'TAR FIN'!$A$1:$O$113,15,0)),0,VLOOKUP($T$230,'TAR FIN'!$A$1:$O$113,15,0))</f>
        <v>72.150000000000006</v>
      </c>
      <c r="X230" s="6">
        <f>IF(ISERROR(VLOOKUP($U$230,'TAR FIN'!$A$1:$O$113,15,0)),0,VLOOKUP($U$230,'TAR FIN'!$A$1:$O$113,15,0))</f>
        <v>278.67</v>
      </c>
      <c r="Y230" s="6"/>
      <c r="Z230" s="6">
        <f ca="1">('TUSD BE'!$AM$21+'TUSD BF'!$AM$21+'TUSD CVA'!$AM$21)*1</f>
        <v>122.14055331663396</v>
      </c>
      <c r="AA230" s="6">
        <f>('TE BE'!$AB$10+'TE BF'!$AB$10+'TE CVA'!$AB$10)*1</f>
        <v>299.18055042718134</v>
      </c>
      <c r="AB230" s="6">
        <f>$K$230*$V$230</f>
        <v>0</v>
      </c>
      <c r="AC230" s="6">
        <f>$M$230*$W$230</f>
        <v>-149.85555000000002</v>
      </c>
      <c r="AD230" s="6">
        <f>$O$230*$X$230</f>
        <v>-578.79759000000001</v>
      </c>
      <c r="AE230" s="6">
        <f>$K$230*$Y$230</f>
        <v>0</v>
      </c>
      <c r="AF230" s="6">
        <f ca="1">$M$230*$Z$230</f>
        <v>-253.68592923864873</v>
      </c>
      <c r="AG230" s="6">
        <f>$O$230*$AA$230</f>
        <v>-621.39800323725569</v>
      </c>
    </row>
    <row r="231" spans="1:33" ht="11.25" customHeight="1" x14ac:dyDescent="0.3">
      <c r="A231" s="4" t="s">
        <v>53</v>
      </c>
      <c r="B231" s="4" t="s">
        <v>39</v>
      </c>
      <c r="C231" s="4" t="s">
        <v>41</v>
      </c>
      <c r="D231" s="4" t="s">
        <v>42</v>
      </c>
      <c r="E231" s="4" t="s">
        <v>25</v>
      </c>
      <c r="F231" s="4" t="s">
        <v>25</v>
      </c>
      <c r="G231" s="4" t="s">
        <v>25</v>
      </c>
      <c r="H231" s="4" t="s">
        <v>35</v>
      </c>
      <c r="I231" s="5">
        <v>44835</v>
      </c>
      <c r="J231" s="6">
        <v>0</v>
      </c>
      <c r="K231" s="6">
        <v>0</v>
      </c>
      <c r="L231" s="6">
        <v>14.489000000000001</v>
      </c>
      <c r="M231" s="6">
        <v>14.489000000000001</v>
      </c>
      <c r="N231" s="6">
        <v>14.489000000000001</v>
      </c>
      <c r="O231" s="6">
        <v>14.489000000000001</v>
      </c>
      <c r="P231" s="6">
        <v>0</v>
      </c>
      <c r="Q231" s="4" t="s">
        <v>26</v>
      </c>
      <c r="R231" s="4">
        <v>0</v>
      </c>
      <c r="S231" s="6">
        <v>0</v>
      </c>
      <c r="T231" s="6">
        <v>6</v>
      </c>
      <c r="U231" s="6">
        <v>61</v>
      </c>
      <c r="V231" s="6">
        <f>IF(ISERROR(VLOOKUP($S$231,'TAR FIN'!$A$1:$O$113,15,0)),0,VLOOKUP($S$231,'TAR FIN'!$A$1:$O$113,15,0))</f>
        <v>0</v>
      </c>
      <c r="W231" s="6">
        <f>IF(ISERROR(VLOOKUP($T$231,'TAR FIN'!$A$1:$O$113,15,0)),0,VLOOKUP($T$231,'TAR FIN'!$A$1:$O$113,15,0))</f>
        <v>72.150000000000006</v>
      </c>
      <c r="X231" s="6">
        <f>IF(ISERROR(VLOOKUP($U$231,'TAR FIN'!$A$1:$O$113,15,0)),0,VLOOKUP($U$231,'TAR FIN'!$A$1:$O$113,15,0))</f>
        <v>278.67</v>
      </c>
      <c r="Y231" s="6"/>
      <c r="Z231" s="6">
        <f ca="1">('TUSD BE'!$AM$21+'TUSD BF'!$AM$21+'TUSD CVA'!$AM$21)*1</f>
        <v>122.14055331663396</v>
      </c>
      <c r="AA231" s="6">
        <f>('TE BE'!$AB$10+'TE BF'!$AB$10+'TE CVA'!$AB$10)*1</f>
        <v>299.18055042718134</v>
      </c>
      <c r="AB231" s="6">
        <f>$K$231*$V$231</f>
        <v>0</v>
      </c>
      <c r="AC231" s="6">
        <f>$M$231*$W$231</f>
        <v>1045.3813500000001</v>
      </c>
      <c r="AD231" s="6">
        <f>$O$231*$X$231</f>
        <v>4037.6496300000003</v>
      </c>
      <c r="AE231" s="6">
        <f>$K$231*$Y$231</f>
        <v>0</v>
      </c>
      <c r="AF231" s="6">
        <f ca="1">$M$231*$Z$231</f>
        <v>1769.6944770047094</v>
      </c>
      <c r="AG231" s="6">
        <f>$O$231*$AA$231</f>
        <v>4334.8269951394304</v>
      </c>
    </row>
    <row r="232" spans="1:33" ht="11.25" customHeight="1" x14ac:dyDescent="0.3">
      <c r="A232" s="4" t="s">
        <v>21</v>
      </c>
      <c r="B232" s="4" t="s">
        <v>39</v>
      </c>
      <c r="C232" s="4" t="s">
        <v>41</v>
      </c>
      <c r="D232" s="4" t="s">
        <v>42</v>
      </c>
      <c r="E232" s="4" t="s">
        <v>25</v>
      </c>
      <c r="F232" s="4" t="s">
        <v>25</v>
      </c>
      <c r="G232" s="4" t="s">
        <v>25</v>
      </c>
      <c r="H232" s="4" t="s">
        <v>25</v>
      </c>
      <c r="I232" s="5">
        <v>44501</v>
      </c>
      <c r="J232" s="6">
        <v>7387</v>
      </c>
      <c r="K232" s="6">
        <v>7387</v>
      </c>
      <c r="L232" s="6">
        <v>0</v>
      </c>
      <c r="M232" s="6">
        <v>0</v>
      </c>
      <c r="N232" s="6">
        <v>0</v>
      </c>
      <c r="O232" s="6">
        <v>0</v>
      </c>
      <c r="P232" s="6">
        <v>64</v>
      </c>
      <c r="Q232" s="4" t="s">
        <v>26</v>
      </c>
      <c r="R232" s="4">
        <v>0</v>
      </c>
      <c r="S232" s="6">
        <v>20</v>
      </c>
      <c r="T232" s="6">
        <v>0</v>
      </c>
      <c r="U232" s="6">
        <v>0</v>
      </c>
      <c r="V232" s="6">
        <f>IF(ISERROR(VLOOKUP($S$232,'TAR FIN'!$A$1:$O$113,15,0)),0,VLOOKUP($S$232,'TAR FIN'!$A$1:$O$113,15,0))</f>
        <v>14</v>
      </c>
      <c r="W232" s="6">
        <f>IF(ISERROR(VLOOKUP($T$232,'TAR FIN'!$A$1:$O$113,15,0)),0,VLOOKUP($T$232,'TAR FIN'!$A$1:$O$113,15,0))</f>
        <v>0</v>
      </c>
      <c r="X232" s="6">
        <f>IF(ISERROR(VLOOKUP($U$232,'TAR FIN'!$A$1:$O$113,15,0)),0,VLOOKUP($U$232,'TAR FIN'!$A$1:$O$113,15,0))</f>
        <v>0</v>
      </c>
      <c r="Y232" s="6">
        <f ca="1">('TUSD BE'!$AM$19+'TUSD BF'!$AM$19+'TUSD CVA'!$AM$19)*1</f>
        <v>16.035953923331604</v>
      </c>
      <c r="Z232" s="6"/>
      <c r="AA232" s="6"/>
      <c r="AB232" s="6">
        <f>$K$232*$V$232</f>
        <v>103418</v>
      </c>
      <c r="AC232" s="6">
        <f>$M$232*$W$232</f>
        <v>0</v>
      </c>
      <c r="AD232" s="6">
        <f>$O$232*$X$232</f>
        <v>0</v>
      </c>
      <c r="AE232" s="6">
        <f ca="1">$K$232*$Y$232</f>
        <v>118457.59163165056</v>
      </c>
      <c r="AF232" s="6">
        <f>$M$232*$Z$232</f>
        <v>0</v>
      </c>
      <c r="AG232" s="6">
        <f>$O$232*$AA$232</f>
        <v>0</v>
      </c>
    </row>
    <row r="233" spans="1:33" ht="11.25" customHeight="1" x14ac:dyDescent="0.3">
      <c r="A233" s="4" t="s">
        <v>28</v>
      </c>
      <c r="B233" s="4" t="s">
        <v>39</v>
      </c>
      <c r="C233" s="4" t="s">
        <v>41</v>
      </c>
      <c r="D233" s="4" t="s">
        <v>42</v>
      </c>
      <c r="E233" s="4" t="s">
        <v>25</v>
      </c>
      <c r="F233" s="4" t="s">
        <v>25</v>
      </c>
      <c r="G233" s="4" t="s">
        <v>25</v>
      </c>
      <c r="H233" s="4" t="s">
        <v>25</v>
      </c>
      <c r="I233" s="5">
        <v>44501</v>
      </c>
      <c r="J233" s="6">
        <v>135</v>
      </c>
      <c r="K233" s="6">
        <v>135</v>
      </c>
      <c r="L233" s="6">
        <v>0</v>
      </c>
      <c r="M233" s="6">
        <v>0</v>
      </c>
      <c r="N233" s="6">
        <v>0</v>
      </c>
      <c r="O233" s="6">
        <v>0</v>
      </c>
      <c r="P233" s="6">
        <v>2</v>
      </c>
      <c r="Q233" s="4" t="s">
        <v>26</v>
      </c>
      <c r="R233" s="4">
        <v>0</v>
      </c>
      <c r="S233" s="6">
        <v>20</v>
      </c>
      <c r="T233" s="6">
        <v>0</v>
      </c>
      <c r="U233" s="6">
        <v>0</v>
      </c>
      <c r="V233" s="6">
        <f>IF(ISERROR(VLOOKUP($S$233,'TAR FIN'!$A$1:$O$113,15,0)),0,VLOOKUP($S$233,'TAR FIN'!$A$1:$O$113,15,0))</f>
        <v>14</v>
      </c>
      <c r="W233" s="6">
        <f>IF(ISERROR(VLOOKUP($T$233,'TAR FIN'!$A$1:$O$113,15,0)),0,VLOOKUP($T$233,'TAR FIN'!$A$1:$O$113,15,0))</f>
        <v>0</v>
      </c>
      <c r="X233" s="6">
        <f>IF(ISERROR(VLOOKUP($U$233,'TAR FIN'!$A$1:$O$113,15,0)),0,VLOOKUP($U$233,'TAR FIN'!$A$1:$O$113,15,0))</f>
        <v>0</v>
      </c>
      <c r="Y233" s="6">
        <f ca="1">('TUSD BE'!$AM$19+'TUSD BF'!$AM$19+'TUSD CVA'!$AM$19)*1</f>
        <v>16.035953923331604</v>
      </c>
      <c r="Z233" s="6"/>
      <c r="AA233" s="6"/>
      <c r="AB233" s="6">
        <f>$K$233*$V$233</f>
        <v>1890</v>
      </c>
      <c r="AC233" s="6">
        <f>$M$233*$W$233</f>
        <v>0</v>
      </c>
      <c r="AD233" s="6">
        <f>$O$233*$X$233</f>
        <v>0</v>
      </c>
      <c r="AE233" s="6">
        <f ca="1">$K$233*$Y$233</f>
        <v>2164.8537796497667</v>
      </c>
      <c r="AF233" s="6">
        <f>$M$233*$Z$233</f>
        <v>0</v>
      </c>
      <c r="AG233" s="6">
        <f>$O$233*$AA$233</f>
        <v>0</v>
      </c>
    </row>
    <row r="234" spans="1:33" ht="11.25" customHeight="1" x14ac:dyDescent="0.3">
      <c r="A234" s="4" t="s">
        <v>21</v>
      </c>
      <c r="B234" s="4" t="s">
        <v>39</v>
      </c>
      <c r="C234" s="4" t="s">
        <v>41</v>
      </c>
      <c r="D234" s="4" t="s">
        <v>42</v>
      </c>
      <c r="E234" s="4" t="s">
        <v>25</v>
      </c>
      <c r="F234" s="4" t="s">
        <v>25</v>
      </c>
      <c r="G234" s="4" t="s">
        <v>25</v>
      </c>
      <c r="H234" s="4" t="s">
        <v>25</v>
      </c>
      <c r="I234" s="5">
        <v>44531</v>
      </c>
      <c r="J234" s="6">
        <v>7520</v>
      </c>
      <c r="K234" s="6">
        <v>7520</v>
      </c>
      <c r="L234" s="6">
        <v>0</v>
      </c>
      <c r="M234" s="6">
        <v>0</v>
      </c>
      <c r="N234" s="6">
        <v>0</v>
      </c>
      <c r="O234" s="6">
        <v>0</v>
      </c>
      <c r="P234" s="6">
        <v>64</v>
      </c>
      <c r="Q234" s="4" t="s">
        <v>26</v>
      </c>
      <c r="R234" s="4">
        <v>0</v>
      </c>
      <c r="S234" s="6">
        <v>20</v>
      </c>
      <c r="T234" s="6">
        <v>0</v>
      </c>
      <c r="U234" s="6">
        <v>0</v>
      </c>
      <c r="V234" s="6">
        <f>IF(ISERROR(VLOOKUP($S$234,'TAR FIN'!$A$1:$O$113,15,0)),0,VLOOKUP($S$234,'TAR FIN'!$A$1:$O$113,15,0))</f>
        <v>14</v>
      </c>
      <c r="W234" s="6">
        <f>IF(ISERROR(VLOOKUP($T$234,'TAR FIN'!$A$1:$O$113,15,0)),0,VLOOKUP($T$234,'TAR FIN'!$A$1:$O$113,15,0))</f>
        <v>0</v>
      </c>
      <c r="X234" s="6">
        <f>IF(ISERROR(VLOOKUP($U$234,'TAR FIN'!$A$1:$O$113,15,0)),0,VLOOKUP($U$234,'TAR FIN'!$A$1:$O$113,15,0))</f>
        <v>0</v>
      </c>
      <c r="Y234" s="6">
        <f ca="1">('TUSD BE'!$AM$19+'TUSD BF'!$AM$19+'TUSD CVA'!$AM$19)*1</f>
        <v>16.035953923331604</v>
      </c>
      <c r="Z234" s="6"/>
      <c r="AA234" s="6"/>
      <c r="AB234" s="6">
        <f>$K$234*$V$234</f>
        <v>105280</v>
      </c>
      <c r="AC234" s="6">
        <f>$M$234*$W$234</f>
        <v>0</v>
      </c>
      <c r="AD234" s="6">
        <f>$O$234*$X$234</f>
        <v>0</v>
      </c>
      <c r="AE234" s="6">
        <f ca="1">$K$234*$Y$234</f>
        <v>120590.37350345367</v>
      </c>
      <c r="AF234" s="6">
        <f>$M$234*$Z$234</f>
        <v>0</v>
      </c>
      <c r="AG234" s="6">
        <f>$O$234*$AA$234</f>
        <v>0</v>
      </c>
    </row>
    <row r="235" spans="1:33" ht="11.25" customHeight="1" x14ac:dyDescent="0.3">
      <c r="A235" s="4" t="s">
        <v>28</v>
      </c>
      <c r="B235" s="4" t="s">
        <v>39</v>
      </c>
      <c r="C235" s="4" t="s">
        <v>41</v>
      </c>
      <c r="D235" s="4" t="s">
        <v>42</v>
      </c>
      <c r="E235" s="4" t="s">
        <v>25</v>
      </c>
      <c r="F235" s="4" t="s">
        <v>25</v>
      </c>
      <c r="G235" s="4" t="s">
        <v>25</v>
      </c>
      <c r="H235" s="4" t="s">
        <v>25</v>
      </c>
      <c r="I235" s="5">
        <v>44531</v>
      </c>
      <c r="J235" s="6">
        <v>135</v>
      </c>
      <c r="K235" s="6">
        <v>135</v>
      </c>
      <c r="L235" s="6">
        <v>0</v>
      </c>
      <c r="M235" s="6">
        <v>0</v>
      </c>
      <c r="N235" s="6">
        <v>0</v>
      </c>
      <c r="O235" s="6">
        <v>0</v>
      </c>
      <c r="P235" s="6">
        <v>2</v>
      </c>
      <c r="Q235" s="4" t="s">
        <v>26</v>
      </c>
      <c r="R235" s="4">
        <v>0</v>
      </c>
      <c r="S235" s="6">
        <v>20</v>
      </c>
      <c r="T235" s="6">
        <v>0</v>
      </c>
      <c r="U235" s="6">
        <v>0</v>
      </c>
      <c r="V235" s="6">
        <f>IF(ISERROR(VLOOKUP($S$235,'TAR FIN'!$A$1:$O$113,15,0)),0,VLOOKUP($S$235,'TAR FIN'!$A$1:$O$113,15,0))</f>
        <v>14</v>
      </c>
      <c r="W235" s="6">
        <f>IF(ISERROR(VLOOKUP($T$235,'TAR FIN'!$A$1:$O$113,15,0)),0,VLOOKUP($T$235,'TAR FIN'!$A$1:$O$113,15,0))</f>
        <v>0</v>
      </c>
      <c r="X235" s="6">
        <f>IF(ISERROR(VLOOKUP($U$235,'TAR FIN'!$A$1:$O$113,15,0)),0,VLOOKUP($U$235,'TAR FIN'!$A$1:$O$113,15,0))</f>
        <v>0</v>
      </c>
      <c r="Y235" s="6">
        <f ca="1">('TUSD BE'!$AM$19+'TUSD BF'!$AM$19+'TUSD CVA'!$AM$19)*1</f>
        <v>16.035953923331604</v>
      </c>
      <c r="Z235" s="6"/>
      <c r="AA235" s="6"/>
      <c r="AB235" s="6">
        <f>$K$235*$V$235</f>
        <v>1890</v>
      </c>
      <c r="AC235" s="6">
        <f>$M$235*$W$235</f>
        <v>0</v>
      </c>
      <c r="AD235" s="6">
        <f>$O$235*$X$235</f>
        <v>0</v>
      </c>
      <c r="AE235" s="6">
        <f ca="1">$K$235*$Y$235</f>
        <v>2164.8537796497667</v>
      </c>
      <c r="AF235" s="6">
        <f>$M$235*$Z$235</f>
        <v>0</v>
      </c>
      <c r="AG235" s="6">
        <f>$O$235*$AA$235</f>
        <v>0</v>
      </c>
    </row>
    <row r="236" spans="1:33" ht="11.25" customHeight="1" x14ac:dyDescent="0.3">
      <c r="A236" s="4" t="s">
        <v>21</v>
      </c>
      <c r="B236" s="4" t="s">
        <v>39</v>
      </c>
      <c r="C236" s="4" t="s">
        <v>41</v>
      </c>
      <c r="D236" s="4" t="s">
        <v>42</v>
      </c>
      <c r="E236" s="4" t="s">
        <v>25</v>
      </c>
      <c r="F236" s="4" t="s">
        <v>25</v>
      </c>
      <c r="G236" s="4" t="s">
        <v>25</v>
      </c>
      <c r="H236" s="4" t="s">
        <v>25</v>
      </c>
      <c r="I236" s="5">
        <v>44562</v>
      </c>
      <c r="J236" s="6">
        <v>7146</v>
      </c>
      <c r="K236" s="6">
        <v>7146</v>
      </c>
      <c r="L236" s="6">
        <v>0</v>
      </c>
      <c r="M236" s="6">
        <v>0</v>
      </c>
      <c r="N236" s="6">
        <v>0</v>
      </c>
      <c r="O236" s="6">
        <v>0</v>
      </c>
      <c r="P236" s="6">
        <v>62</v>
      </c>
      <c r="Q236" s="4" t="s">
        <v>26</v>
      </c>
      <c r="R236" s="4">
        <v>0</v>
      </c>
      <c r="S236" s="6">
        <v>20</v>
      </c>
      <c r="T236" s="6">
        <v>0</v>
      </c>
      <c r="U236" s="6">
        <v>0</v>
      </c>
      <c r="V236" s="6">
        <f>IF(ISERROR(VLOOKUP($S$236,'TAR FIN'!$A$1:$O$113,15,0)),0,VLOOKUP($S$236,'TAR FIN'!$A$1:$O$113,15,0))</f>
        <v>14</v>
      </c>
      <c r="W236" s="6">
        <f>IF(ISERROR(VLOOKUP($T$236,'TAR FIN'!$A$1:$O$113,15,0)),0,VLOOKUP($T$236,'TAR FIN'!$A$1:$O$113,15,0))</f>
        <v>0</v>
      </c>
      <c r="X236" s="6">
        <f>IF(ISERROR(VLOOKUP($U$236,'TAR FIN'!$A$1:$O$113,15,0)),0,VLOOKUP($U$236,'TAR FIN'!$A$1:$O$113,15,0))</f>
        <v>0</v>
      </c>
      <c r="Y236" s="6">
        <f ca="1">('TUSD BE'!$AM$19+'TUSD BF'!$AM$19+'TUSD CVA'!$AM$19)*1</f>
        <v>16.035953923331604</v>
      </c>
      <c r="Z236" s="6"/>
      <c r="AA236" s="6"/>
      <c r="AB236" s="6">
        <f>$K$236*$V$236</f>
        <v>100044</v>
      </c>
      <c r="AC236" s="6">
        <f>$M$236*$W$236</f>
        <v>0</v>
      </c>
      <c r="AD236" s="6">
        <f>$O$236*$X$236</f>
        <v>0</v>
      </c>
      <c r="AE236" s="6">
        <f ca="1">$K$236*$Y$236</f>
        <v>114592.92673612764</v>
      </c>
      <c r="AF236" s="6">
        <f>$M$236*$Z$236</f>
        <v>0</v>
      </c>
      <c r="AG236" s="6">
        <f>$O$236*$AA$236</f>
        <v>0</v>
      </c>
    </row>
    <row r="237" spans="1:33" ht="11.25" customHeight="1" x14ac:dyDescent="0.3">
      <c r="A237" s="4" t="s">
        <v>28</v>
      </c>
      <c r="B237" s="4" t="s">
        <v>39</v>
      </c>
      <c r="C237" s="4" t="s">
        <v>41</v>
      </c>
      <c r="D237" s="4" t="s">
        <v>42</v>
      </c>
      <c r="E237" s="4" t="s">
        <v>25</v>
      </c>
      <c r="F237" s="4" t="s">
        <v>25</v>
      </c>
      <c r="G237" s="4" t="s">
        <v>25</v>
      </c>
      <c r="H237" s="4" t="s">
        <v>25</v>
      </c>
      <c r="I237" s="5">
        <v>44562</v>
      </c>
      <c r="J237" s="6">
        <v>135</v>
      </c>
      <c r="K237" s="6">
        <v>135</v>
      </c>
      <c r="L237" s="6">
        <v>0</v>
      </c>
      <c r="M237" s="6">
        <v>0</v>
      </c>
      <c r="N237" s="6">
        <v>0</v>
      </c>
      <c r="O237" s="6">
        <v>0</v>
      </c>
      <c r="P237" s="6">
        <v>2</v>
      </c>
      <c r="Q237" s="4" t="s">
        <v>26</v>
      </c>
      <c r="R237" s="4">
        <v>0</v>
      </c>
      <c r="S237" s="6">
        <v>20</v>
      </c>
      <c r="T237" s="6">
        <v>0</v>
      </c>
      <c r="U237" s="6">
        <v>0</v>
      </c>
      <c r="V237" s="6">
        <f>IF(ISERROR(VLOOKUP($S$237,'TAR FIN'!$A$1:$O$113,15,0)),0,VLOOKUP($S$237,'TAR FIN'!$A$1:$O$113,15,0))</f>
        <v>14</v>
      </c>
      <c r="W237" s="6">
        <f>IF(ISERROR(VLOOKUP($T$237,'TAR FIN'!$A$1:$O$113,15,0)),0,VLOOKUP($T$237,'TAR FIN'!$A$1:$O$113,15,0))</f>
        <v>0</v>
      </c>
      <c r="X237" s="6">
        <f>IF(ISERROR(VLOOKUP($U$237,'TAR FIN'!$A$1:$O$113,15,0)),0,VLOOKUP($U$237,'TAR FIN'!$A$1:$O$113,15,0))</f>
        <v>0</v>
      </c>
      <c r="Y237" s="6">
        <f ca="1">('TUSD BE'!$AM$19+'TUSD BF'!$AM$19+'TUSD CVA'!$AM$19)*1</f>
        <v>16.035953923331604</v>
      </c>
      <c r="Z237" s="6"/>
      <c r="AA237" s="6"/>
      <c r="AB237" s="6">
        <f>$K$237*$V$237</f>
        <v>1890</v>
      </c>
      <c r="AC237" s="6">
        <f>$M$237*$W$237</f>
        <v>0</v>
      </c>
      <c r="AD237" s="6">
        <f>$O$237*$X$237</f>
        <v>0</v>
      </c>
      <c r="AE237" s="6">
        <f ca="1">$K$237*$Y$237</f>
        <v>2164.8537796497667</v>
      </c>
      <c r="AF237" s="6">
        <f>$M$237*$Z$237</f>
        <v>0</v>
      </c>
      <c r="AG237" s="6">
        <f>$O$237*$AA$237</f>
        <v>0</v>
      </c>
    </row>
    <row r="238" spans="1:33" ht="11.25" customHeight="1" x14ac:dyDescent="0.3">
      <c r="A238" s="4" t="s">
        <v>21</v>
      </c>
      <c r="B238" s="4" t="s">
        <v>39</v>
      </c>
      <c r="C238" s="4" t="s">
        <v>41</v>
      </c>
      <c r="D238" s="4" t="s">
        <v>42</v>
      </c>
      <c r="E238" s="4" t="s">
        <v>25</v>
      </c>
      <c r="F238" s="4" t="s">
        <v>25</v>
      </c>
      <c r="G238" s="4" t="s">
        <v>25</v>
      </c>
      <c r="H238" s="4" t="s">
        <v>25</v>
      </c>
      <c r="I238" s="5">
        <v>44593</v>
      </c>
      <c r="J238" s="6">
        <v>7182</v>
      </c>
      <c r="K238" s="6">
        <v>7182</v>
      </c>
      <c r="L238" s="6">
        <v>0</v>
      </c>
      <c r="M238" s="6">
        <v>0</v>
      </c>
      <c r="N238" s="6">
        <v>0</v>
      </c>
      <c r="O238" s="6">
        <v>0</v>
      </c>
      <c r="P238" s="6">
        <v>62</v>
      </c>
      <c r="Q238" s="4" t="s">
        <v>26</v>
      </c>
      <c r="R238" s="4">
        <v>0</v>
      </c>
      <c r="S238" s="6">
        <v>20</v>
      </c>
      <c r="T238" s="6">
        <v>0</v>
      </c>
      <c r="U238" s="6">
        <v>0</v>
      </c>
      <c r="V238" s="6">
        <f>IF(ISERROR(VLOOKUP($S$238,'TAR FIN'!$A$1:$O$113,15,0)),0,VLOOKUP($S$238,'TAR FIN'!$A$1:$O$113,15,0))</f>
        <v>14</v>
      </c>
      <c r="W238" s="6">
        <f>IF(ISERROR(VLOOKUP($T$238,'TAR FIN'!$A$1:$O$113,15,0)),0,VLOOKUP($T$238,'TAR FIN'!$A$1:$O$113,15,0))</f>
        <v>0</v>
      </c>
      <c r="X238" s="6">
        <f>IF(ISERROR(VLOOKUP($U$238,'TAR FIN'!$A$1:$O$113,15,0)),0,VLOOKUP($U$238,'TAR FIN'!$A$1:$O$113,15,0))</f>
        <v>0</v>
      </c>
      <c r="Y238" s="6">
        <f ca="1">('TUSD BE'!$AM$19+'TUSD BF'!$AM$19+'TUSD CVA'!$AM$19)*1</f>
        <v>16.035953923331604</v>
      </c>
      <c r="Z238" s="6"/>
      <c r="AA238" s="6"/>
      <c r="AB238" s="6">
        <f>$K$238*$V$238</f>
        <v>100548</v>
      </c>
      <c r="AC238" s="6">
        <f>$M$238*$W$238</f>
        <v>0</v>
      </c>
      <c r="AD238" s="6">
        <f>$O$238*$X$238</f>
        <v>0</v>
      </c>
      <c r="AE238" s="6">
        <f ca="1">$K$238*$Y$238</f>
        <v>115170.22107736758</v>
      </c>
      <c r="AF238" s="6">
        <f>$M$238*$Z$238</f>
        <v>0</v>
      </c>
      <c r="AG238" s="6">
        <f>$O$238*$AA$238</f>
        <v>0</v>
      </c>
    </row>
    <row r="239" spans="1:33" ht="11.25" customHeight="1" x14ac:dyDescent="0.3">
      <c r="A239" s="4" t="s">
        <v>27</v>
      </c>
      <c r="B239" s="4" t="s">
        <v>39</v>
      </c>
      <c r="C239" s="4" t="s">
        <v>41</v>
      </c>
      <c r="D239" s="4" t="s">
        <v>42</v>
      </c>
      <c r="E239" s="4" t="s">
        <v>25</v>
      </c>
      <c r="F239" s="4" t="s">
        <v>25</v>
      </c>
      <c r="G239" s="4" t="s">
        <v>25</v>
      </c>
      <c r="H239" s="4" t="s">
        <v>25</v>
      </c>
      <c r="I239" s="5">
        <v>44593</v>
      </c>
      <c r="J239" s="6">
        <v>-9</v>
      </c>
      <c r="K239" s="6">
        <v>-9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4" t="s">
        <v>26</v>
      </c>
      <c r="R239" s="4">
        <v>0</v>
      </c>
      <c r="S239" s="6">
        <v>20</v>
      </c>
      <c r="T239" s="6">
        <v>0</v>
      </c>
      <c r="U239" s="6">
        <v>0</v>
      </c>
      <c r="V239" s="6">
        <f>IF(ISERROR(VLOOKUP($S$239,'TAR FIN'!$A$1:$O$113,15,0)),0,VLOOKUP($S$239,'TAR FIN'!$A$1:$O$113,15,0))</f>
        <v>14</v>
      </c>
      <c r="W239" s="6">
        <f>IF(ISERROR(VLOOKUP($T$239,'TAR FIN'!$A$1:$O$113,15,0)),0,VLOOKUP($T$239,'TAR FIN'!$A$1:$O$113,15,0))</f>
        <v>0</v>
      </c>
      <c r="X239" s="6">
        <f>IF(ISERROR(VLOOKUP($U$239,'TAR FIN'!$A$1:$O$113,15,0)),0,VLOOKUP($U$239,'TAR FIN'!$A$1:$O$113,15,0))</f>
        <v>0</v>
      </c>
      <c r="Y239" s="6">
        <f ca="1">('TUSD BE'!$AM$19+'TUSD BF'!$AM$19+'TUSD CVA'!$AM$19)*1</f>
        <v>16.035953923331604</v>
      </c>
      <c r="Z239" s="6"/>
      <c r="AA239" s="6"/>
      <c r="AB239" s="6">
        <f>$K$239*$V$239</f>
        <v>-126</v>
      </c>
      <c r="AC239" s="6">
        <f>$M$239*$W$239</f>
        <v>0</v>
      </c>
      <c r="AD239" s="6">
        <f>$O$239*$X$239</f>
        <v>0</v>
      </c>
      <c r="AE239" s="6">
        <f ca="1">$K$239*$Y$239</f>
        <v>-144.32358530998442</v>
      </c>
      <c r="AF239" s="6">
        <f>$M$239*$Z$239</f>
        <v>0</v>
      </c>
      <c r="AG239" s="6">
        <f>$O$239*$AA$239</f>
        <v>0</v>
      </c>
    </row>
    <row r="240" spans="1:33" ht="11.25" customHeight="1" x14ac:dyDescent="0.3">
      <c r="A240" s="4" t="s">
        <v>28</v>
      </c>
      <c r="B240" s="4" t="s">
        <v>39</v>
      </c>
      <c r="C240" s="4" t="s">
        <v>41</v>
      </c>
      <c r="D240" s="4" t="s">
        <v>42</v>
      </c>
      <c r="E240" s="4" t="s">
        <v>25</v>
      </c>
      <c r="F240" s="4" t="s">
        <v>25</v>
      </c>
      <c r="G240" s="4" t="s">
        <v>25</v>
      </c>
      <c r="H240" s="4" t="s">
        <v>25</v>
      </c>
      <c r="I240" s="5">
        <v>44593</v>
      </c>
      <c r="J240" s="6">
        <v>135</v>
      </c>
      <c r="K240" s="6">
        <v>135</v>
      </c>
      <c r="L240" s="6">
        <v>0</v>
      </c>
      <c r="M240" s="6">
        <v>0</v>
      </c>
      <c r="N240" s="6">
        <v>0</v>
      </c>
      <c r="O240" s="6">
        <v>0</v>
      </c>
      <c r="P240" s="6">
        <v>2</v>
      </c>
      <c r="Q240" s="4" t="s">
        <v>26</v>
      </c>
      <c r="R240" s="4">
        <v>0</v>
      </c>
      <c r="S240" s="6">
        <v>20</v>
      </c>
      <c r="T240" s="6">
        <v>0</v>
      </c>
      <c r="U240" s="6">
        <v>0</v>
      </c>
      <c r="V240" s="6">
        <f>IF(ISERROR(VLOOKUP($S$240,'TAR FIN'!$A$1:$O$113,15,0)),0,VLOOKUP($S$240,'TAR FIN'!$A$1:$O$113,15,0))</f>
        <v>14</v>
      </c>
      <c r="W240" s="6">
        <f>IF(ISERROR(VLOOKUP($T$240,'TAR FIN'!$A$1:$O$113,15,0)),0,VLOOKUP($T$240,'TAR FIN'!$A$1:$O$113,15,0))</f>
        <v>0</v>
      </c>
      <c r="X240" s="6">
        <f>IF(ISERROR(VLOOKUP($U$240,'TAR FIN'!$A$1:$O$113,15,0)),0,VLOOKUP($U$240,'TAR FIN'!$A$1:$O$113,15,0))</f>
        <v>0</v>
      </c>
      <c r="Y240" s="6">
        <f ca="1">('TUSD BE'!$AM$19+'TUSD BF'!$AM$19+'TUSD CVA'!$AM$19)*1</f>
        <v>16.035953923331604</v>
      </c>
      <c r="Z240" s="6"/>
      <c r="AA240" s="6"/>
      <c r="AB240" s="6">
        <f>$K$240*$V$240</f>
        <v>1890</v>
      </c>
      <c r="AC240" s="6">
        <f>$M$240*$W$240</f>
        <v>0</v>
      </c>
      <c r="AD240" s="6">
        <f>$O$240*$X$240</f>
        <v>0</v>
      </c>
      <c r="AE240" s="6">
        <f ca="1">$K$240*$Y$240</f>
        <v>2164.8537796497667</v>
      </c>
      <c r="AF240" s="6">
        <f>$M$240*$Z$240</f>
        <v>0</v>
      </c>
      <c r="AG240" s="6">
        <f>$O$240*$AA$240</f>
        <v>0</v>
      </c>
    </row>
    <row r="241" spans="1:33" ht="11.25" customHeight="1" x14ac:dyDescent="0.3">
      <c r="A241" s="4" t="s">
        <v>21</v>
      </c>
      <c r="B241" s="4" t="s">
        <v>39</v>
      </c>
      <c r="C241" s="4" t="s">
        <v>41</v>
      </c>
      <c r="D241" s="4" t="s">
        <v>42</v>
      </c>
      <c r="E241" s="4" t="s">
        <v>25</v>
      </c>
      <c r="F241" s="4" t="s">
        <v>25</v>
      </c>
      <c r="G241" s="4" t="s">
        <v>25</v>
      </c>
      <c r="H241" s="4" t="s">
        <v>25</v>
      </c>
      <c r="I241" s="5">
        <v>44621</v>
      </c>
      <c r="J241" s="6">
        <v>7102</v>
      </c>
      <c r="K241" s="6">
        <v>7102</v>
      </c>
      <c r="L241" s="6">
        <v>0</v>
      </c>
      <c r="M241" s="6">
        <v>0</v>
      </c>
      <c r="N241" s="6">
        <v>0</v>
      </c>
      <c r="O241" s="6">
        <v>0</v>
      </c>
      <c r="P241" s="6">
        <v>62</v>
      </c>
      <c r="Q241" s="4" t="s">
        <v>26</v>
      </c>
      <c r="R241" s="4">
        <v>0</v>
      </c>
      <c r="S241" s="6">
        <v>20</v>
      </c>
      <c r="T241" s="6">
        <v>0</v>
      </c>
      <c r="U241" s="6">
        <v>0</v>
      </c>
      <c r="V241" s="6">
        <f>IF(ISERROR(VLOOKUP($S$241,'TAR FIN'!$A$1:$O$113,15,0)),0,VLOOKUP($S$241,'TAR FIN'!$A$1:$O$113,15,0))</f>
        <v>14</v>
      </c>
      <c r="W241" s="6">
        <f>IF(ISERROR(VLOOKUP($T$241,'TAR FIN'!$A$1:$O$113,15,0)),0,VLOOKUP($T$241,'TAR FIN'!$A$1:$O$113,15,0))</f>
        <v>0</v>
      </c>
      <c r="X241" s="6">
        <f>IF(ISERROR(VLOOKUP($U$241,'TAR FIN'!$A$1:$O$113,15,0)),0,VLOOKUP($U$241,'TAR FIN'!$A$1:$O$113,15,0))</f>
        <v>0</v>
      </c>
      <c r="Y241" s="6">
        <f ca="1">('TUSD BE'!$AM$19+'TUSD BF'!$AM$19+'TUSD CVA'!$AM$19)*1</f>
        <v>16.035953923331604</v>
      </c>
      <c r="Z241" s="6"/>
      <c r="AA241" s="6"/>
      <c r="AB241" s="6">
        <f>$K$241*$V$241</f>
        <v>99428</v>
      </c>
      <c r="AC241" s="6">
        <f>$M$241*$W$241</f>
        <v>0</v>
      </c>
      <c r="AD241" s="6">
        <f>$O$241*$X$241</f>
        <v>0</v>
      </c>
      <c r="AE241" s="6">
        <f ca="1">$K$241*$Y$241</f>
        <v>113887.34476350105</v>
      </c>
      <c r="AF241" s="6">
        <f>$M$241*$Z$241</f>
        <v>0</v>
      </c>
      <c r="AG241" s="6">
        <f>$O$241*$AA$241</f>
        <v>0</v>
      </c>
    </row>
    <row r="242" spans="1:33" ht="11.25" customHeight="1" x14ac:dyDescent="0.3">
      <c r="A242" s="4" t="s">
        <v>28</v>
      </c>
      <c r="B242" s="4" t="s">
        <v>39</v>
      </c>
      <c r="C242" s="4" t="s">
        <v>41</v>
      </c>
      <c r="D242" s="4" t="s">
        <v>42</v>
      </c>
      <c r="E242" s="4" t="s">
        <v>25</v>
      </c>
      <c r="F242" s="4" t="s">
        <v>25</v>
      </c>
      <c r="G242" s="4" t="s">
        <v>25</v>
      </c>
      <c r="H242" s="4" t="s">
        <v>25</v>
      </c>
      <c r="I242" s="5">
        <v>44621</v>
      </c>
      <c r="J242" s="6">
        <v>135</v>
      </c>
      <c r="K242" s="6">
        <v>135</v>
      </c>
      <c r="L242" s="6">
        <v>0</v>
      </c>
      <c r="M242" s="6">
        <v>0</v>
      </c>
      <c r="N242" s="6">
        <v>0</v>
      </c>
      <c r="O242" s="6">
        <v>0</v>
      </c>
      <c r="P242" s="6">
        <v>2</v>
      </c>
      <c r="Q242" s="4" t="s">
        <v>26</v>
      </c>
      <c r="R242" s="4">
        <v>0</v>
      </c>
      <c r="S242" s="6">
        <v>20</v>
      </c>
      <c r="T242" s="6">
        <v>0</v>
      </c>
      <c r="U242" s="6">
        <v>0</v>
      </c>
      <c r="V242" s="6">
        <f>IF(ISERROR(VLOOKUP($S$242,'TAR FIN'!$A$1:$O$113,15,0)),0,VLOOKUP($S$242,'TAR FIN'!$A$1:$O$113,15,0))</f>
        <v>14</v>
      </c>
      <c r="W242" s="6">
        <f>IF(ISERROR(VLOOKUP($T$242,'TAR FIN'!$A$1:$O$113,15,0)),0,VLOOKUP($T$242,'TAR FIN'!$A$1:$O$113,15,0))</f>
        <v>0</v>
      </c>
      <c r="X242" s="6">
        <f>IF(ISERROR(VLOOKUP($U$242,'TAR FIN'!$A$1:$O$113,15,0)),0,VLOOKUP($U$242,'TAR FIN'!$A$1:$O$113,15,0))</f>
        <v>0</v>
      </c>
      <c r="Y242" s="6">
        <f ca="1">('TUSD BE'!$AM$19+'TUSD BF'!$AM$19+'TUSD CVA'!$AM$19)*1</f>
        <v>16.035953923331604</v>
      </c>
      <c r="Z242" s="6"/>
      <c r="AA242" s="6"/>
      <c r="AB242" s="6">
        <f>$K$242*$V$242</f>
        <v>1890</v>
      </c>
      <c r="AC242" s="6">
        <f>$M$242*$W$242</f>
        <v>0</v>
      </c>
      <c r="AD242" s="6">
        <f>$O$242*$X$242</f>
        <v>0</v>
      </c>
      <c r="AE242" s="6">
        <f ca="1">$K$242*$Y$242</f>
        <v>2164.8537796497667</v>
      </c>
      <c r="AF242" s="6">
        <f>$M$242*$Z$242</f>
        <v>0</v>
      </c>
      <c r="AG242" s="6">
        <f>$O$242*$AA$242</f>
        <v>0</v>
      </c>
    </row>
    <row r="243" spans="1:33" ht="11.25" customHeight="1" x14ac:dyDescent="0.3">
      <c r="A243" s="4" t="s">
        <v>21</v>
      </c>
      <c r="B243" s="4" t="s">
        <v>39</v>
      </c>
      <c r="C243" s="4" t="s">
        <v>41</v>
      </c>
      <c r="D243" s="4" t="s">
        <v>42</v>
      </c>
      <c r="E243" s="4" t="s">
        <v>25</v>
      </c>
      <c r="F243" s="4" t="s">
        <v>25</v>
      </c>
      <c r="G243" s="4" t="s">
        <v>25</v>
      </c>
      <c r="H243" s="4" t="s">
        <v>25</v>
      </c>
      <c r="I243" s="5">
        <v>44652</v>
      </c>
      <c r="J243" s="6">
        <v>6776</v>
      </c>
      <c r="K243" s="6">
        <v>6776</v>
      </c>
      <c r="L243" s="6">
        <v>0</v>
      </c>
      <c r="M243" s="6">
        <v>0</v>
      </c>
      <c r="N243" s="6">
        <v>0</v>
      </c>
      <c r="O243" s="6">
        <v>0</v>
      </c>
      <c r="P243" s="6">
        <v>60</v>
      </c>
      <c r="Q243" s="4" t="s">
        <v>26</v>
      </c>
      <c r="R243" s="4">
        <v>0</v>
      </c>
      <c r="S243" s="6">
        <v>20</v>
      </c>
      <c r="T243" s="6">
        <v>0</v>
      </c>
      <c r="U243" s="6">
        <v>0</v>
      </c>
      <c r="V243" s="6">
        <f>IF(ISERROR(VLOOKUP($S$243,'TAR FIN'!$A$1:$O$113,15,0)),0,VLOOKUP($S$243,'TAR FIN'!$A$1:$O$113,15,0))</f>
        <v>14</v>
      </c>
      <c r="W243" s="6">
        <f>IF(ISERROR(VLOOKUP($T$243,'TAR FIN'!$A$1:$O$113,15,0)),0,VLOOKUP($T$243,'TAR FIN'!$A$1:$O$113,15,0))</f>
        <v>0</v>
      </c>
      <c r="X243" s="6">
        <f>IF(ISERROR(VLOOKUP($U$243,'TAR FIN'!$A$1:$O$113,15,0)),0,VLOOKUP($U$243,'TAR FIN'!$A$1:$O$113,15,0))</f>
        <v>0</v>
      </c>
      <c r="Y243" s="6">
        <f ca="1">('TUSD BE'!$AM$19+'TUSD BF'!$AM$19+'TUSD CVA'!$AM$19)*1</f>
        <v>16.035953923331604</v>
      </c>
      <c r="Z243" s="6"/>
      <c r="AA243" s="6"/>
      <c r="AB243" s="6">
        <f>$K$243*$V$243</f>
        <v>94864</v>
      </c>
      <c r="AC243" s="6">
        <f>$M$243*$W$243</f>
        <v>0</v>
      </c>
      <c r="AD243" s="6">
        <f>$O$243*$X$243</f>
        <v>0</v>
      </c>
      <c r="AE243" s="6">
        <f ca="1">$K$243*$Y$243</f>
        <v>108659.62378449495</v>
      </c>
      <c r="AF243" s="6">
        <f>$M$243*$Z$243</f>
        <v>0</v>
      </c>
      <c r="AG243" s="6">
        <f>$O$243*$AA$243</f>
        <v>0</v>
      </c>
    </row>
    <row r="244" spans="1:33" ht="11.25" customHeight="1" x14ac:dyDescent="0.3">
      <c r="A244" s="4" t="s">
        <v>28</v>
      </c>
      <c r="B244" s="4" t="s">
        <v>39</v>
      </c>
      <c r="C244" s="4" t="s">
        <v>41</v>
      </c>
      <c r="D244" s="4" t="s">
        <v>42</v>
      </c>
      <c r="E244" s="4" t="s">
        <v>25</v>
      </c>
      <c r="F244" s="4" t="s">
        <v>25</v>
      </c>
      <c r="G244" s="4" t="s">
        <v>25</v>
      </c>
      <c r="H244" s="4" t="s">
        <v>25</v>
      </c>
      <c r="I244" s="5">
        <v>44652</v>
      </c>
      <c r="J244" s="6">
        <v>135</v>
      </c>
      <c r="K244" s="6">
        <v>135</v>
      </c>
      <c r="L244" s="6">
        <v>0</v>
      </c>
      <c r="M244" s="6">
        <v>0</v>
      </c>
      <c r="N244" s="6">
        <v>0</v>
      </c>
      <c r="O244" s="6">
        <v>0</v>
      </c>
      <c r="P244" s="6">
        <v>2</v>
      </c>
      <c r="Q244" s="4" t="s">
        <v>26</v>
      </c>
      <c r="R244" s="4">
        <v>0</v>
      </c>
      <c r="S244" s="6">
        <v>20</v>
      </c>
      <c r="T244" s="6">
        <v>0</v>
      </c>
      <c r="U244" s="6">
        <v>0</v>
      </c>
      <c r="V244" s="6">
        <f>IF(ISERROR(VLOOKUP($S$244,'TAR FIN'!$A$1:$O$113,15,0)),0,VLOOKUP($S$244,'TAR FIN'!$A$1:$O$113,15,0))</f>
        <v>14</v>
      </c>
      <c r="W244" s="6">
        <f>IF(ISERROR(VLOOKUP($T$244,'TAR FIN'!$A$1:$O$113,15,0)),0,VLOOKUP($T$244,'TAR FIN'!$A$1:$O$113,15,0))</f>
        <v>0</v>
      </c>
      <c r="X244" s="6">
        <f>IF(ISERROR(VLOOKUP($U$244,'TAR FIN'!$A$1:$O$113,15,0)),0,VLOOKUP($U$244,'TAR FIN'!$A$1:$O$113,15,0))</f>
        <v>0</v>
      </c>
      <c r="Y244" s="6">
        <f ca="1">('TUSD BE'!$AM$19+'TUSD BF'!$AM$19+'TUSD CVA'!$AM$19)*1</f>
        <v>16.035953923331604</v>
      </c>
      <c r="Z244" s="6"/>
      <c r="AA244" s="6"/>
      <c r="AB244" s="6">
        <f>$K$244*$V$244</f>
        <v>1890</v>
      </c>
      <c r="AC244" s="6">
        <f>$M$244*$W$244</f>
        <v>0</v>
      </c>
      <c r="AD244" s="6">
        <f>$O$244*$X$244</f>
        <v>0</v>
      </c>
      <c r="AE244" s="6">
        <f ca="1">$K$244*$Y$244</f>
        <v>2164.8537796497667</v>
      </c>
      <c r="AF244" s="6">
        <f>$M$244*$Z$244</f>
        <v>0</v>
      </c>
      <c r="AG244" s="6">
        <f>$O$244*$AA$244</f>
        <v>0</v>
      </c>
    </row>
    <row r="245" spans="1:33" ht="11.25" customHeight="1" x14ac:dyDescent="0.3">
      <c r="A245" s="4" t="s">
        <v>21</v>
      </c>
      <c r="B245" s="4" t="s">
        <v>39</v>
      </c>
      <c r="C245" s="4" t="s">
        <v>41</v>
      </c>
      <c r="D245" s="4" t="s">
        <v>42</v>
      </c>
      <c r="E245" s="4" t="s">
        <v>25</v>
      </c>
      <c r="F245" s="4" t="s">
        <v>25</v>
      </c>
      <c r="G245" s="4" t="s">
        <v>25</v>
      </c>
      <c r="H245" s="4" t="s">
        <v>25</v>
      </c>
      <c r="I245" s="5">
        <v>44682</v>
      </c>
      <c r="J245" s="6">
        <v>6662</v>
      </c>
      <c r="K245" s="6">
        <v>6662</v>
      </c>
      <c r="L245" s="6">
        <v>0</v>
      </c>
      <c r="M245" s="6">
        <v>0</v>
      </c>
      <c r="N245" s="6">
        <v>0</v>
      </c>
      <c r="O245" s="6">
        <v>0</v>
      </c>
      <c r="P245" s="6">
        <v>60</v>
      </c>
      <c r="Q245" s="4" t="s">
        <v>26</v>
      </c>
      <c r="R245" s="4">
        <v>0</v>
      </c>
      <c r="S245" s="6">
        <v>20</v>
      </c>
      <c r="T245" s="6">
        <v>0</v>
      </c>
      <c r="U245" s="6">
        <v>0</v>
      </c>
      <c r="V245" s="6">
        <f>IF(ISERROR(VLOOKUP($S$245,'TAR FIN'!$A$1:$O$113,15,0)),0,VLOOKUP($S$245,'TAR FIN'!$A$1:$O$113,15,0))</f>
        <v>14</v>
      </c>
      <c r="W245" s="6">
        <f>IF(ISERROR(VLOOKUP($T$245,'TAR FIN'!$A$1:$O$113,15,0)),0,VLOOKUP($T$245,'TAR FIN'!$A$1:$O$113,15,0))</f>
        <v>0</v>
      </c>
      <c r="X245" s="6">
        <f>IF(ISERROR(VLOOKUP($U$245,'TAR FIN'!$A$1:$O$113,15,0)),0,VLOOKUP($U$245,'TAR FIN'!$A$1:$O$113,15,0))</f>
        <v>0</v>
      </c>
      <c r="Y245" s="6">
        <f ca="1">('TUSD BE'!$AM$19+'TUSD BF'!$AM$19+'TUSD CVA'!$AM$19)*1</f>
        <v>16.035953923331604</v>
      </c>
      <c r="Z245" s="6"/>
      <c r="AA245" s="6"/>
      <c r="AB245" s="6">
        <f>$K$245*$V$245</f>
        <v>93268</v>
      </c>
      <c r="AC245" s="6">
        <f>$M$245*$W$245</f>
        <v>0</v>
      </c>
      <c r="AD245" s="6">
        <f>$O$245*$X$245</f>
        <v>0</v>
      </c>
      <c r="AE245" s="6">
        <f ca="1">$K$245*$Y$245</f>
        <v>106831.52503723514</v>
      </c>
      <c r="AF245" s="6">
        <f>$M$245*$Z$245</f>
        <v>0</v>
      </c>
      <c r="AG245" s="6">
        <f>$O$245*$AA$245</f>
        <v>0</v>
      </c>
    </row>
    <row r="246" spans="1:33" ht="11.25" customHeight="1" x14ac:dyDescent="0.3">
      <c r="A246" s="4" t="s">
        <v>28</v>
      </c>
      <c r="B246" s="4" t="s">
        <v>39</v>
      </c>
      <c r="C246" s="4" t="s">
        <v>41</v>
      </c>
      <c r="D246" s="4" t="s">
        <v>42</v>
      </c>
      <c r="E246" s="4" t="s">
        <v>25</v>
      </c>
      <c r="F246" s="4" t="s">
        <v>25</v>
      </c>
      <c r="G246" s="4" t="s">
        <v>25</v>
      </c>
      <c r="H246" s="4" t="s">
        <v>25</v>
      </c>
      <c r="I246" s="5">
        <v>44682</v>
      </c>
      <c r="J246" s="6">
        <v>195</v>
      </c>
      <c r="K246" s="6">
        <v>195</v>
      </c>
      <c r="L246" s="6">
        <v>0</v>
      </c>
      <c r="M246" s="6">
        <v>0</v>
      </c>
      <c r="N246" s="6">
        <v>0</v>
      </c>
      <c r="O246" s="6">
        <v>0</v>
      </c>
      <c r="P246" s="6">
        <v>3</v>
      </c>
      <c r="Q246" s="4" t="s">
        <v>26</v>
      </c>
      <c r="R246" s="4">
        <v>0</v>
      </c>
      <c r="S246" s="6">
        <v>20</v>
      </c>
      <c r="T246" s="6">
        <v>0</v>
      </c>
      <c r="U246" s="6">
        <v>0</v>
      </c>
      <c r="V246" s="6">
        <f>IF(ISERROR(VLOOKUP($S$246,'TAR FIN'!$A$1:$O$113,15,0)),0,VLOOKUP($S$246,'TAR FIN'!$A$1:$O$113,15,0))</f>
        <v>14</v>
      </c>
      <c r="W246" s="6">
        <f>IF(ISERROR(VLOOKUP($T$246,'TAR FIN'!$A$1:$O$113,15,0)),0,VLOOKUP($T$246,'TAR FIN'!$A$1:$O$113,15,0))</f>
        <v>0</v>
      </c>
      <c r="X246" s="6">
        <f>IF(ISERROR(VLOOKUP($U$246,'TAR FIN'!$A$1:$O$113,15,0)),0,VLOOKUP($U$246,'TAR FIN'!$A$1:$O$113,15,0))</f>
        <v>0</v>
      </c>
      <c r="Y246" s="6">
        <f ca="1">('TUSD BE'!$AM$19+'TUSD BF'!$AM$19+'TUSD CVA'!$AM$19)*1</f>
        <v>16.035953923331604</v>
      </c>
      <c r="Z246" s="6"/>
      <c r="AA246" s="6"/>
      <c r="AB246" s="6">
        <f>$K$246*$V$246</f>
        <v>2730</v>
      </c>
      <c r="AC246" s="6">
        <f>$M$246*$W$246</f>
        <v>0</v>
      </c>
      <c r="AD246" s="6">
        <f>$O$246*$X$246</f>
        <v>0</v>
      </c>
      <c r="AE246" s="6">
        <f ca="1">$K$246*$Y$246</f>
        <v>3127.011015049663</v>
      </c>
      <c r="AF246" s="6">
        <f>$M$246*$Z$246</f>
        <v>0</v>
      </c>
      <c r="AG246" s="6">
        <f>$O$246*$AA$246</f>
        <v>0</v>
      </c>
    </row>
    <row r="247" spans="1:33" ht="11.25" customHeight="1" x14ac:dyDescent="0.3">
      <c r="A247" s="4" t="s">
        <v>21</v>
      </c>
      <c r="B247" s="4" t="s">
        <v>39</v>
      </c>
      <c r="C247" s="4" t="s">
        <v>41</v>
      </c>
      <c r="D247" s="4" t="s">
        <v>42</v>
      </c>
      <c r="E247" s="4" t="s">
        <v>25</v>
      </c>
      <c r="F247" s="4" t="s">
        <v>25</v>
      </c>
      <c r="G247" s="4" t="s">
        <v>25</v>
      </c>
      <c r="H247" s="4" t="s">
        <v>25</v>
      </c>
      <c r="I247" s="5">
        <v>44713</v>
      </c>
      <c r="J247" s="6">
        <v>6581</v>
      </c>
      <c r="K247" s="6">
        <v>6581</v>
      </c>
      <c r="L247" s="6">
        <v>0</v>
      </c>
      <c r="M247" s="6">
        <v>0</v>
      </c>
      <c r="N247" s="6">
        <v>0</v>
      </c>
      <c r="O247" s="6">
        <v>0</v>
      </c>
      <c r="P247" s="6">
        <v>59</v>
      </c>
      <c r="Q247" s="4" t="s">
        <v>26</v>
      </c>
      <c r="R247" s="4">
        <v>0</v>
      </c>
      <c r="S247" s="6">
        <v>20</v>
      </c>
      <c r="T247" s="6">
        <v>0</v>
      </c>
      <c r="U247" s="6">
        <v>0</v>
      </c>
      <c r="V247" s="6">
        <f>IF(ISERROR(VLOOKUP($S$247,'TAR FIN'!$A$1:$O$113,15,0)),0,VLOOKUP($S$247,'TAR FIN'!$A$1:$O$113,15,0))</f>
        <v>14</v>
      </c>
      <c r="W247" s="6">
        <f>IF(ISERROR(VLOOKUP($T$247,'TAR FIN'!$A$1:$O$113,15,0)),0,VLOOKUP($T$247,'TAR FIN'!$A$1:$O$113,15,0))</f>
        <v>0</v>
      </c>
      <c r="X247" s="6">
        <f>IF(ISERROR(VLOOKUP($U$247,'TAR FIN'!$A$1:$O$113,15,0)),0,VLOOKUP($U$247,'TAR FIN'!$A$1:$O$113,15,0))</f>
        <v>0</v>
      </c>
      <c r="Y247" s="6">
        <f ca="1">('TUSD BE'!$AM$19+'TUSD BF'!$AM$19+'TUSD CVA'!$AM$19)*1</f>
        <v>16.035953923331604</v>
      </c>
      <c r="Z247" s="6"/>
      <c r="AA247" s="6"/>
      <c r="AB247" s="6">
        <f>$K$247*$V$247</f>
        <v>92134</v>
      </c>
      <c r="AC247" s="6">
        <f>$M$247*$W$247</f>
        <v>0</v>
      </c>
      <c r="AD247" s="6">
        <f>$O$247*$X$247</f>
        <v>0</v>
      </c>
      <c r="AE247" s="6">
        <f ca="1">$K$247*$Y$247</f>
        <v>105532.61276944529</v>
      </c>
      <c r="AF247" s="6">
        <f>$M$247*$Z$247</f>
        <v>0</v>
      </c>
      <c r="AG247" s="6">
        <f>$O$247*$AA$247</f>
        <v>0</v>
      </c>
    </row>
    <row r="248" spans="1:33" ht="11.25" customHeight="1" x14ac:dyDescent="0.3">
      <c r="A248" s="4" t="s">
        <v>28</v>
      </c>
      <c r="B248" s="4" t="s">
        <v>39</v>
      </c>
      <c r="C248" s="4" t="s">
        <v>41</v>
      </c>
      <c r="D248" s="4" t="s">
        <v>42</v>
      </c>
      <c r="E248" s="4" t="s">
        <v>25</v>
      </c>
      <c r="F248" s="4" t="s">
        <v>25</v>
      </c>
      <c r="G248" s="4" t="s">
        <v>25</v>
      </c>
      <c r="H248" s="4" t="s">
        <v>25</v>
      </c>
      <c r="I248" s="5">
        <v>44713</v>
      </c>
      <c r="J248" s="6">
        <v>225</v>
      </c>
      <c r="K248" s="6">
        <v>225</v>
      </c>
      <c r="L248" s="6">
        <v>0</v>
      </c>
      <c r="M248" s="6">
        <v>0</v>
      </c>
      <c r="N248" s="6">
        <v>0</v>
      </c>
      <c r="O248" s="6">
        <v>0</v>
      </c>
      <c r="P248" s="6">
        <v>4</v>
      </c>
      <c r="Q248" s="4" t="s">
        <v>26</v>
      </c>
      <c r="R248" s="4">
        <v>0</v>
      </c>
      <c r="S248" s="6">
        <v>20</v>
      </c>
      <c r="T248" s="6">
        <v>0</v>
      </c>
      <c r="U248" s="6">
        <v>0</v>
      </c>
      <c r="V248" s="6">
        <f>IF(ISERROR(VLOOKUP($S$248,'TAR FIN'!$A$1:$O$113,15,0)),0,VLOOKUP($S$248,'TAR FIN'!$A$1:$O$113,15,0))</f>
        <v>14</v>
      </c>
      <c r="W248" s="6">
        <f>IF(ISERROR(VLOOKUP($T$248,'TAR FIN'!$A$1:$O$113,15,0)),0,VLOOKUP($T$248,'TAR FIN'!$A$1:$O$113,15,0))</f>
        <v>0</v>
      </c>
      <c r="X248" s="6">
        <f>IF(ISERROR(VLOOKUP($U$248,'TAR FIN'!$A$1:$O$113,15,0)),0,VLOOKUP($U$248,'TAR FIN'!$A$1:$O$113,15,0))</f>
        <v>0</v>
      </c>
      <c r="Y248" s="6">
        <f ca="1">('TUSD BE'!$AM$19+'TUSD BF'!$AM$19+'TUSD CVA'!$AM$19)*1</f>
        <v>16.035953923331604</v>
      </c>
      <c r="Z248" s="6"/>
      <c r="AA248" s="6"/>
      <c r="AB248" s="6">
        <f>$K$248*$V$248</f>
        <v>3150</v>
      </c>
      <c r="AC248" s="6">
        <f>$M$248*$W$248</f>
        <v>0</v>
      </c>
      <c r="AD248" s="6">
        <f>$O$248*$X$248</f>
        <v>0</v>
      </c>
      <c r="AE248" s="6">
        <f ca="1">$K$248*$Y$248</f>
        <v>3608.0896327496112</v>
      </c>
      <c r="AF248" s="6">
        <f>$M$248*$Z$248</f>
        <v>0</v>
      </c>
      <c r="AG248" s="6">
        <f>$O$248*$AA$248</f>
        <v>0</v>
      </c>
    </row>
    <row r="249" spans="1:33" ht="11.25" customHeight="1" x14ac:dyDescent="0.3">
      <c r="A249" s="4" t="s">
        <v>21</v>
      </c>
      <c r="B249" s="4" t="s">
        <v>39</v>
      </c>
      <c r="C249" s="4" t="s">
        <v>41</v>
      </c>
      <c r="D249" s="4" t="s">
        <v>42</v>
      </c>
      <c r="E249" s="4" t="s">
        <v>25</v>
      </c>
      <c r="F249" s="4" t="s">
        <v>25</v>
      </c>
      <c r="G249" s="4" t="s">
        <v>25</v>
      </c>
      <c r="H249" s="4" t="s">
        <v>25</v>
      </c>
      <c r="I249" s="5">
        <v>44743</v>
      </c>
      <c r="J249" s="6">
        <v>6430</v>
      </c>
      <c r="K249" s="6">
        <v>6430</v>
      </c>
      <c r="L249" s="6">
        <v>0</v>
      </c>
      <c r="M249" s="6">
        <v>0</v>
      </c>
      <c r="N249" s="6">
        <v>0</v>
      </c>
      <c r="O249" s="6">
        <v>0</v>
      </c>
      <c r="P249" s="6">
        <v>59</v>
      </c>
      <c r="Q249" s="4" t="s">
        <v>26</v>
      </c>
      <c r="R249" s="4">
        <v>0</v>
      </c>
      <c r="S249" s="6">
        <v>20</v>
      </c>
      <c r="T249" s="6">
        <v>0</v>
      </c>
      <c r="U249" s="6">
        <v>0</v>
      </c>
      <c r="V249" s="6">
        <f>IF(ISERROR(VLOOKUP($S$249,'TAR FIN'!$A$1:$O$113,15,0)),0,VLOOKUP($S$249,'TAR FIN'!$A$1:$O$113,15,0))</f>
        <v>14</v>
      </c>
      <c r="W249" s="6">
        <f>IF(ISERROR(VLOOKUP($T$249,'TAR FIN'!$A$1:$O$113,15,0)),0,VLOOKUP($T$249,'TAR FIN'!$A$1:$O$113,15,0))</f>
        <v>0</v>
      </c>
      <c r="X249" s="6">
        <f>IF(ISERROR(VLOOKUP($U$249,'TAR FIN'!$A$1:$O$113,15,0)),0,VLOOKUP($U$249,'TAR FIN'!$A$1:$O$113,15,0))</f>
        <v>0</v>
      </c>
      <c r="Y249" s="6">
        <f ca="1">('TUSD BE'!$AM$19+'TUSD BF'!$AM$19+'TUSD CVA'!$AM$19)*1</f>
        <v>16.035953923331604</v>
      </c>
      <c r="Z249" s="6"/>
      <c r="AA249" s="6"/>
      <c r="AB249" s="6">
        <f>$K$249*$V$249</f>
        <v>90020</v>
      </c>
      <c r="AC249" s="6">
        <f>$M$249*$W$249</f>
        <v>0</v>
      </c>
      <c r="AD249" s="6">
        <f>$O$249*$X$249</f>
        <v>0</v>
      </c>
      <c r="AE249" s="6">
        <f ca="1">$K$249*$Y$249</f>
        <v>103111.18372702222</v>
      </c>
      <c r="AF249" s="6">
        <f>$M$249*$Z$249</f>
        <v>0</v>
      </c>
      <c r="AG249" s="6">
        <f>$O$249*$AA$249</f>
        <v>0</v>
      </c>
    </row>
    <row r="250" spans="1:33" ht="11.25" customHeight="1" x14ac:dyDescent="0.3">
      <c r="A250" s="4" t="s">
        <v>21</v>
      </c>
      <c r="B250" s="4" t="s">
        <v>39</v>
      </c>
      <c r="C250" s="4" t="s">
        <v>41</v>
      </c>
      <c r="D250" s="4" t="s">
        <v>42</v>
      </c>
      <c r="E250" s="4" t="s">
        <v>25</v>
      </c>
      <c r="F250" s="4" t="s">
        <v>25</v>
      </c>
      <c r="G250" s="4" t="s">
        <v>25</v>
      </c>
      <c r="H250" s="4" t="s">
        <v>25</v>
      </c>
      <c r="I250" s="5">
        <v>44774</v>
      </c>
      <c r="J250" s="6">
        <v>6420</v>
      </c>
      <c r="K250" s="6">
        <v>6420</v>
      </c>
      <c r="L250" s="6">
        <v>0</v>
      </c>
      <c r="M250" s="6">
        <v>0</v>
      </c>
      <c r="N250" s="6">
        <v>0</v>
      </c>
      <c r="O250" s="6">
        <v>0</v>
      </c>
      <c r="P250" s="6">
        <v>58</v>
      </c>
      <c r="Q250" s="4" t="s">
        <v>26</v>
      </c>
      <c r="R250" s="4">
        <v>0</v>
      </c>
      <c r="S250" s="6">
        <v>20</v>
      </c>
      <c r="T250" s="6">
        <v>0</v>
      </c>
      <c r="U250" s="6">
        <v>0</v>
      </c>
      <c r="V250" s="6">
        <f>IF(ISERROR(VLOOKUP($S$250,'TAR FIN'!$A$1:$O$113,15,0)),0,VLOOKUP($S$250,'TAR FIN'!$A$1:$O$113,15,0))</f>
        <v>14</v>
      </c>
      <c r="W250" s="6">
        <f>IF(ISERROR(VLOOKUP($T$250,'TAR FIN'!$A$1:$O$113,15,0)),0,VLOOKUP($T$250,'TAR FIN'!$A$1:$O$113,15,0))</f>
        <v>0</v>
      </c>
      <c r="X250" s="6">
        <f>IF(ISERROR(VLOOKUP($U$250,'TAR FIN'!$A$1:$O$113,15,0)),0,VLOOKUP($U$250,'TAR FIN'!$A$1:$O$113,15,0))</f>
        <v>0</v>
      </c>
      <c r="Y250" s="6">
        <f ca="1">('TUSD BE'!$AM$19+'TUSD BF'!$AM$19+'TUSD CVA'!$AM$19)*1</f>
        <v>16.035953923331604</v>
      </c>
      <c r="Z250" s="6"/>
      <c r="AA250" s="6"/>
      <c r="AB250" s="6">
        <f>$K$250*$V$250</f>
        <v>89880</v>
      </c>
      <c r="AC250" s="6">
        <f>$M$250*$W$250</f>
        <v>0</v>
      </c>
      <c r="AD250" s="6">
        <f>$O$250*$X$250</f>
        <v>0</v>
      </c>
      <c r="AE250" s="6">
        <f ca="1">$K$250*$Y$250</f>
        <v>102950.82418778889</v>
      </c>
      <c r="AF250" s="6">
        <f>$M$250*$Z$250</f>
        <v>0</v>
      </c>
      <c r="AG250" s="6">
        <f>$O$250*$AA$250</f>
        <v>0</v>
      </c>
    </row>
    <row r="251" spans="1:33" ht="11.25" customHeight="1" x14ac:dyDescent="0.3">
      <c r="A251" s="4" t="s">
        <v>28</v>
      </c>
      <c r="B251" s="4" t="s">
        <v>39</v>
      </c>
      <c r="C251" s="4" t="s">
        <v>41</v>
      </c>
      <c r="D251" s="4" t="s">
        <v>42</v>
      </c>
      <c r="E251" s="4" t="s">
        <v>25</v>
      </c>
      <c r="F251" s="4" t="s">
        <v>25</v>
      </c>
      <c r="G251" s="4" t="s">
        <v>25</v>
      </c>
      <c r="H251" s="4" t="s">
        <v>25</v>
      </c>
      <c r="I251" s="5">
        <v>44774</v>
      </c>
      <c r="J251" s="6">
        <v>472</v>
      </c>
      <c r="K251" s="6">
        <v>472</v>
      </c>
      <c r="L251" s="6">
        <v>0</v>
      </c>
      <c r="M251" s="6">
        <v>0</v>
      </c>
      <c r="N251" s="6">
        <v>0</v>
      </c>
      <c r="O251" s="6">
        <v>0</v>
      </c>
      <c r="P251" s="6">
        <v>5</v>
      </c>
      <c r="Q251" s="4" t="s">
        <v>26</v>
      </c>
      <c r="R251" s="4">
        <v>0</v>
      </c>
      <c r="S251" s="6">
        <v>20</v>
      </c>
      <c r="T251" s="6">
        <v>0</v>
      </c>
      <c r="U251" s="6">
        <v>0</v>
      </c>
      <c r="V251" s="6">
        <f>IF(ISERROR(VLOOKUP($S$251,'TAR FIN'!$A$1:$O$113,15,0)),0,VLOOKUP($S$251,'TAR FIN'!$A$1:$O$113,15,0))</f>
        <v>14</v>
      </c>
      <c r="W251" s="6">
        <f>IF(ISERROR(VLOOKUP($T$251,'TAR FIN'!$A$1:$O$113,15,0)),0,VLOOKUP($T$251,'TAR FIN'!$A$1:$O$113,15,0))</f>
        <v>0</v>
      </c>
      <c r="X251" s="6">
        <f>IF(ISERROR(VLOOKUP($U$251,'TAR FIN'!$A$1:$O$113,15,0)),0,VLOOKUP($U$251,'TAR FIN'!$A$1:$O$113,15,0))</f>
        <v>0</v>
      </c>
      <c r="Y251" s="6">
        <f ca="1">('TUSD BE'!$AM$19+'TUSD BF'!$AM$19+'TUSD CVA'!$AM$19)*1</f>
        <v>16.035953923331604</v>
      </c>
      <c r="Z251" s="6"/>
      <c r="AA251" s="6"/>
      <c r="AB251" s="6">
        <f>$K$251*$V$251</f>
        <v>6608</v>
      </c>
      <c r="AC251" s="6">
        <f>$M$251*$W$251</f>
        <v>0</v>
      </c>
      <c r="AD251" s="6">
        <f>$O$251*$X$251</f>
        <v>0</v>
      </c>
      <c r="AE251" s="6">
        <f ca="1">$K$251*$Y$251</f>
        <v>7568.9702518125168</v>
      </c>
      <c r="AF251" s="6">
        <f>$M$251*$Z$251</f>
        <v>0</v>
      </c>
      <c r="AG251" s="6">
        <f>$O$251*$AA$251</f>
        <v>0</v>
      </c>
    </row>
    <row r="252" spans="1:33" ht="11.25" customHeight="1" x14ac:dyDescent="0.3">
      <c r="A252" s="4" t="s">
        <v>21</v>
      </c>
      <c r="B252" s="4" t="s">
        <v>39</v>
      </c>
      <c r="C252" s="4" t="s">
        <v>41</v>
      </c>
      <c r="D252" s="4" t="s">
        <v>42</v>
      </c>
      <c r="E252" s="4" t="s">
        <v>25</v>
      </c>
      <c r="F252" s="4" t="s">
        <v>25</v>
      </c>
      <c r="G252" s="4" t="s">
        <v>25</v>
      </c>
      <c r="H252" s="4" t="s">
        <v>25</v>
      </c>
      <c r="I252" s="5">
        <v>44805</v>
      </c>
      <c r="J252" s="6">
        <v>6420</v>
      </c>
      <c r="K252" s="6">
        <v>6420</v>
      </c>
      <c r="L252" s="6">
        <v>0</v>
      </c>
      <c r="M252" s="6">
        <v>0</v>
      </c>
      <c r="N252" s="6">
        <v>0</v>
      </c>
      <c r="O252" s="6">
        <v>0</v>
      </c>
      <c r="P252" s="6">
        <v>59</v>
      </c>
      <c r="Q252" s="4" t="s">
        <v>26</v>
      </c>
      <c r="R252" s="4">
        <v>0</v>
      </c>
      <c r="S252" s="6">
        <v>20</v>
      </c>
      <c r="T252" s="6">
        <v>0</v>
      </c>
      <c r="U252" s="6">
        <v>0</v>
      </c>
      <c r="V252" s="6">
        <f>IF(ISERROR(VLOOKUP($S$252,'TAR FIN'!$A$1:$O$113,15,0)),0,VLOOKUP($S$252,'TAR FIN'!$A$1:$O$113,15,0))</f>
        <v>14</v>
      </c>
      <c r="W252" s="6">
        <f>IF(ISERROR(VLOOKUP($T$252,'TAR FIN'!$A$1:$O$113,15,0)),0,VLOOKUP($T$252,'TAR FIN'!$A$1:$O$113,15,0))</f>
        <v>0</v>
      </c>
      <c r="X252" s="6">
        <f>IF(ISERROR(VLOOKUP($U$252,'TAR FIN'!$A$1:$O$113,15,0)),0,VLOOKUP($U$252,'TAR FIN'!$A$1:$O$113,15,0))</f>
        <v>0</v>
      </c>
      <c r="Y252" s="6">
        <f ca="1">('TUSD BE'!$AM$19+'TUSD BF'!$AM$19+'TUSD CVA'!$AM$19)*1</f>
        <v>16.035953923331604</v>
      </c>
      <c r="Z252" s="6"/>
      <c r="AA252" s="6"/>
      <c r="AB252" s="6">
        <f>$K$252*$V$252</f>
        <v>89880</v>
      </c>
      <c r="AC252" s="6">
        <f>$M$252*$W$252</f>
        <v>0</v>
      </c>
      <c r="AD252" s="6">
        <f>$O$252*$X$252</f>
        <v>0</v>
      </c>
      <c r="AE252" s="6">
        <f ca="1">$K$252*$Y$252</f>
        <v>102950.82418778889</v>
      </c>
      <c r="AF252" s="6">
        <f>$M$252*$Z$252</f>
        <v>0</v>
      </c>
      <c r="AG252" s="6">
        <f>$O$252*$AA$252</f>
        <v>0</v>
      </c>
    </row>
    <row r="253" spans="1:33" ht="11.25" customHeight="1" x14ac:dyDescent="0.3">
      <c r="A253" s="4" t="s">
        <v>28</v>
      </c>
      <c r="B253" s="4" t="s">
        <v>39</v>
      </c>
      <c r="C253" s="4" t="s">
        <v>41</v>
      </c>
      <c r="D253" s="4" t="s">
        <v>42</v>
      </c>
      <c r="E253" s="4" t="s">
        <v>25</v>
      </c>
      <c r="F253" s="4" t="s">
        <v>25</v>
      </c>
      <c r="G253" s="4" t="s">
        <v>25</v>
      </c>
      <c r="H253" s="4" t="s">
        <v>25</v>
      </c>
      <c r="I253" s="5">
        <v>44805</v>
      </c>
      <c r="J253" s="6">
        <v>472</v>
      </c>
      <c r="K253" s="6">
        <v>472</v>
      </c>
      <c r="L253" s="6">
        <v>0</v>
      </c>
      <c r="M253" s="6">
        <v>0</v>
      </c>
      <c r="N253" s="6">
        <v>0</v>
      </c>
      <c r="O253" s="6">
        <v>0</v>
      </c>
      <c r="P253" s="6">
        <v>5</v>
      </c>
      <c r="Q253" s="4" t="s">
        <v>26</v>
      </c>
      <c r="R253" s="4">
        <v>0</v>
      </c>
      <c r="S253" s="6">
        <v>20</v>
      </c>
      <c r="T253" s="6">
        <v>0</v>
      </c>
      <c r="U253" s="6">
        <v>0</v>
      </c>
      <c r="V253" s="6">
        <f>IF(ISERROR(VLOOKUP($S$253,'TAR FIN'!$A$1:$O$113,15,0)),0,VLOOKUP($S$253,'TAR FIN'!$A$1:$O$113,15,0))</f>
        <v>14</v>
      </c>
      <c r="W253" s="6">
        <f>IF(ISERROR(VLOOKUP($T$253,'TAR FIN'!$A$1:$O$113,15,0)),0,VLOOKUP($T$253,'TAR FIN'!$A$1:$O$113,15,0))</f>
        <v>0</v>
      </c>
      <c r="X253" s="6">
        <f>IF(ISERROR(VLOOKUP($U$253,'TAR FIN'!$A$1:$O$113,15,0)),0,VLOOKUP($U$253,'TAR FIN'!$A$1:$O$113,15,0))</f>
        <v>0</v>
      </c>
      <c r="Y253" s="6">
        <f ca="1">('TUSD BE'!$AM$19+'TUSD BF'!$AM$19+'TUSD CVA'!$AM$19)*1</f>
        <v>16.035953923331604</v>
      </c>
      <c r="Z253" s="6"/>
      <c r="AA253" s="6"/>
      <c r="AB253" s="6">
        <f>$K$253*$V$253</f>
        <v>6608</v>
      </c>
      <c r="AC253" s="6">
        <f>$M$253*$W$253</f>
        <v>0</v>
      </c>
      <c r="AD253" s="6">
        <f>$O$253*$X$253</f>
        <v>0</v>
      </c>
      <c r="AE253" s="6">
        <f ca="1">$K$253*$Y$253</f>
        <v>7568.9702518125168</v>
      </c>
      <c r="AF253" s="6">
        <f>$M$253*$Z$253</f>
        <v>0</v>
      </c>
      <c r="AG253" s="6">
        <f>$O$253*$AA$253</f>
        <v>0</v>
      </c>
    </row>
    <row r="254" spans="1:33" ht="11.25" customHeight="1" x14ac:dyDescent="0.3">
      <c r="A254" s="4" t="s">
        <v>53</v>
      </c>
      <c r="B254" s="4" t="s">
        <v>39</v>
      </c>
      <c r="C254" s="4" t="s">
        <v>41</v>
      </c>
      <c r="D254" s="4" t="s">
        <v>42</v>
      </c>
      <c r="E254" s="4" t="s">
        <v>25</v>
      </c>
      <c r="F254" s="4" t="s">
        <v>25</v>
      </c>
      <c r="G254" s="4" t="s">
        <v>25</v>
      </c>
      <c r="H254" s="4" t="s">
        <v>25</v>
      </c>
      <c r="I254" s="5">
        <v>44835</v>
      </c>
      <c r="J254" s="6">
        <v>6420</v>
      </c>
      <c r="K254" s="6">
        <v>6420</v>
      </c>
      <c r="L254" s="6">
        <v>0</v>
      </c>
      <c r="M254" s="6">
        <v>0</v>
      </c>
      <c r="N254" s="6">
        <v>0</v>
      </c>
      <c r="O254" s="6">
        <v>0</v>
      </c>
      <c r="P254" s="6">
        <v>59</v>
      </c>
      <c r="Q254" s="4" t="s">
        <v>26</v>
      </c>
      <c r="R254" s="4">
        <v>0</v>
      </c>
      <c r="S254" s="6">
        <v>20</v>
      </c>
      <c r="T254" s="6">
        <v>0</v>
      </c>
      <c r="U254" s="6">
        <v>0</v>
      </c>
      <c r="V254" s="6">
        <f>IF(ISERROR(VLOOKUP($S$254,'TAR FIN'!$A$1:$O$113,15,0)),0,VLOOKUP($S$254,'TAR FIN'!$A$1:$O$113,15,0))</f>
        <v>14</v>
      </c>
      <c r="W254" s="6">
        <f>IF(ISERROR(VLOOKUP($T$254,'TAR FIN'!$A$1:$O$113,15,0)),0,VLOOKUP($T$254,'TAR FIN'!$A$1:$O$113,15,0))</f>
        <v>0</v>
      </c>
      <c r="X254" s="6">
        <f>IF(ISERROR(VLOOKUP($U$254,'TAR FIN'!$A$1:$O$113,15,0)),0,VLOOKUP($U$254,'TAR FIN'!$A$1:$O$113,15,0))</f>
        <v>0</v>
      </c>
      <c r="Y254" s="6">
        <f ca="1">('TUSD BE'!$AM$19+'TUSD BF'!$AM$19+'TUSD CVA'!$AM$19)*1</f>
        <v>16.035953923331604</v>
      </c>
      <c r="Z254" s="6"/>
      <c r="AA254" s="6"/>
      <c r="AB254" s="6">
        <f>$K$254*$V$254</f>
        <v>89880</v>
      </c>
      <c r="AC254" s="6">
        <f>$M$254*$W$254</f>
        <v>0</v>
      </c>
      <c r="AD254" s="6">
        <f>$O$254*$X$254</f>
        <v>0</v>
      </c>
      <c r="AE254" s="6">
        <f ca="1">$K$254*$Y$254</f>
        <v>102950.82418778889</v>
      </c>
      <c r="AF254" s="6">
        <f>$M$254*$Z$254</f>
        <v>0</v>
      </c>
      <c r="AG254" s="6">
        <f>$O$254*$AA$254</f>
        <v>0</v>
      </c>
    </row>
    <row r="255" spans="1:33" ht="11.25" customHeight="1" x14ac:dyDescent="0.3">
      <c r="A255" s="4" t="s">
        <v>53</v>
      </c>
      <c r="B255" s="4" t="s">
        <v>39</v>
      </c>
      <c r="C255" s="4" t="s">
        <v>41</v>
      </c>
      <c r="D255" s="4" t="s">
        <v>42</v>
      </c>
      <c r="E255" s="4" t="s">
        <v>25</v>
      </c>
      <c r="F255" s="4" t="s">
        <v>25</v>
      </c>
      <c r="G255" s="4" t="s">
        <v>25</v>
      </c>
      <c r="H255" s="4" t="s">
        <v>25</v>
      </c>
      <c r="I255" s="5">
        <v>44835</v>
      </c>
      <c r="J255" s="6">
        <v>472</v>
      </c>
      <c r="K255" s="6">
        <v>472</v>
      </c>
      <c r="L255" s="6">
        <v>0</v>
      </c>
      <c r="M255" s="6">
        <v>0</v>
      </c>
      <c r="N255" s="6">
        <v>0</v>
      </c>
      <c r="O255" s="6">
        <v>0</v>
      </c>
      <c r="P255" s="6">
        <v>5</v>
      </c>
      <c r="Q255" s="4" t="s">
        <v>26</v>
      </c>
      <c r="R255" s="4">
        <v>0</v>
      </c>
      <c r="S255" s="6">
        <v>20</v>
      </c>
      <c r="T255" s="6">
        <v>0</v>
      </c>
      <c r="U255" s="6">
        <v>0</v>
      </c>
      <c r="V255" s="6">
        <f>IF(ISERROR(VLOOKUP($S$255,'TAR FIN'!$A$1:$O$113,15,0)),0,VLOOKUP($S$255,'TAR FIN'!$A$1:$O$113,15,0))</f>
        <v>14</v>
      </c>
      <c r="W255" s="6">
        <f>IF(ISERROR(VLOOKUP($T$255,'TAR FIN'!$A$1:$O$113,15,0)),0,VLOOKUP($T$255,'TAR FIN'!$A$1:$O$113,15,0))</f>
        <v>0</v>
      </c>
      <c r="X255" s="6">
        <f>IF(ISERROR(VLOOKUP($U$255,'TAR FIN'!$A$1:$O$113,15,0)),0,VLOOKUP($U$255,'TAR FIN'!$A$1:$O$113,15,0))</f>
        <v>0</v>
      </c>
      <c r="Y255" s="6">
        <f ca="1">('TUSD BE'!$AM$19+'TUSD BF'!$AM$19+'TUSD CVA'!$AM$19)*1</f>
        <v>16.035953923331604</v>
      </c>
      <c r="Z255" s="6"/>
      <c r="AA255" s="6"/>
      <c r="AB255" s="6">
        <f>$K$255*$V$255</f>
        <v>6608</v>
      </c>
      <c r="AC255" s="6">
        <f>$M$255*$W$255</f>
        <v>0</v>
      </c>
      <c r="AD255" s="6">
        <f>$O$255*$X$255</f>
        <v>0</v>
      </c>
      <c r="AE255" s="6">
        <f ca="1">$K$255*$Y$255</f>
        <v>7568.9702518125168</v>
      </c>
      <c r="AF255" s="6">
        <f>$M$255*$Z$255</f>
        <v>0</v>
      </c>
      <c r="AG255" s="6">
        <f>$O$255*$AA$255</f>
        <v>0</v>
      </c>
    </row>
    <row r="256" spans="1:33" ht="11.25" customHeight="1" x14ac:dyDescent="0.3">
      <c r="A256" s="4" t="s">
        <v>21</v>
      </c>
      <c r="B256" s="4" t="s">
        <v>39</v>
      </c>
      <c r="C256" s="4" t="s">
        <v>41</v>
      </c>
      <c r="D256" s="4" t="s">
        <v>42</v>
      </c>
      <c r="E256" s="4" t="s">
        <v>25</v>
      </c>
      <c r="F256" s="4" t="s">
        <v>25</v>
      </c>
      <c r="G256" s="4" t="s">
        <v>25</v>
      </c>
      <c r="H256" s="4" t="s">
        <v>34</v>
      </c>
      <c r="I256" s="5">
        <v>44501</v>
      </c>
      <c r="J256" s="6">
        <v>0</v>
      </c>
      <c r="K256" s="6">
        <v>0</v>
      </c>
      <c r="L256" s="6">
        <v>111.202</v>
      </c>
      <c r="M256" s="6">
        <v>111.202</v>
      </c>
      <c r="N256" s="6">
        <v>111.202</v>
      </c>
      <c r="O256" s="6">
        <v>111.202</v>
      </c>
      <c r="P256" s="6">
        <v>0</v>
      </c>
      <c r="Q256" s="4" t="s">
        <v>26</v>
      </c>
      <c r="R256" s="4">
        <v>0</v>
      </c>
      <c r="S256" s="6">
        <v>0</v>
      </c>
      <c r="T256" s="6">
        <v>8</v>
      </c>
      <c r="U256" s="6">
        <v>38</v>
      </c>
      <c r="V256" s="6">
        <f>IF(ISERROR(VLOOKUP($S$256,'TAR FIN'!$A$1:$O$113,15,0)),0,VLOOKUP($S$256,'TAR FIN'!$A$1:$O$113,15,0))</f>
        <v>0</v>
      </c>
      <c r="W256" s="6">
        <f>IF(ISERROR(VLOOKUP($T$256,'TAR FIN'!$A$1:$O$113,15,0)),0,VLOOKUP($T$256,'TAR FIN'!$A$1:$O$113,15,0))</f>
        <v>940.43</v>
      </c>
      <c r="X256" s="6">
        <f>IF(ISERROR(VLOOKUP($U$256,'TAR FIN'!$A$1:$O$113,15,0)),0,VLOOKUP($U$256,'TAR FIN'!$A$1:$O$113,15,0))</f>
        <v>442.86</v>
      </c>
      <c r="Y256" s="6"/>
      <c r="Z256" s="6">
        <f ca="1">('TUSD BE'!$AM$20+'TUSD BF'!$AM$20+'TUSD CVA'!$AM$20)*1</f>
        <v>1117.8285588949407</v>
      </c>
      <c r="AA256" s="6">
        <f>('TE BE'!$AB$9+'TE BF'!$AB$9+'TE CVA'!$AB$9)*1</f>
        <v>486.43608405794748</v>
      </c>
      <c r="AB256" s="6">
        <f>$K$256*$V$256</f>
        <v>0</v>
      </c>
      <c r="AC256" s="6">
        <f>$M$256*$W$256</f>
        <v>104577.69686</v>
      </c>
      <c r="AD256" s="6">
        <f>$O$256*$X$256</f>
        <v>49246.917719999998</v>
      </c>
      <c r="AE256" s="6">
        <f>$K$256*$Y$256</f>
        <v>0</v>
      </c>
      <c r="AF256" s="6">
        <f ca="1">$M$256*$Z$256</f>
        <v>124304.77140623519</v>
      </c>
      <c r="AG256" s="6">
        <f>$O$256*$AA$256</f>
        <v>54092.665419411875</v>
      </c>
    </row>
    <row r="257" spans="1:33" ht="11.25" customHeight="1" x14ac:dyDescent="0.3">
      <c r="A257" s="4" t="s">
        <v>28</v>
      </c>
      <c r="B257" s="4" t="s">
        <v>39</v>
      </c>
      <c r="C257" s="4" t="s">
        <v>41</v>
      </c>
      <c r="D257" s="4" t="s">
        <v>42</v>
      </c>
      <c r="E257" s="4" t="s">
        <v>25</v>
      </c>
      <c r="F257" s="4" t="s">
        <v>25</v>
      </c>
      <c r="G257" s="4" t="s">
        <v>25</v>
      </c>
      <c r="H257" s="4" t="s">
        <v>34</v>
      </c>
      <c r="I257" s="5">
        <v>44501</v>
      </c>
      <c r="J257" s="6">
        <v>0</v>
      </c>
      <c r="K257" s="6">
        <v>0</v>
      </c>
      <c r="L257" s="6">
        <v>2.8340000000000001</v>
      </c>
      <c r="M257" s="6">
        <v>2.8340000000000001</v>
      </c>
      <c r="N257" s="6">
        <v>2.8340000000000001</v>
      </c>
      <c r="O257" s="6">
        <v>2.8340000000000001</v>
      </c>
      <c r="P257" s="6">
        <v>0</v>
      </c>
      <c r="Q257" s="4" t="s">
        <v>26</v>
      </c>
      <c r="R257" s="4">
        <v>0</v>
      </c>
      <c r="S257" s="6">
        <v>0</v>
      </c>
      <c r="T257" s="6">
        <v>8</v>
      </c>
      <c r="U257" s="6">
        <v>38</v>
      </c>
      <c r="V257" s="6">
        <f>IF(ISERROR(VLOOKUP($S$257,'TAR FIN'!$A$1:$O$113,15,0)),0,VLOOKUP($S$257,'TAR FIN'!$A$1:$O$113,15,0))</f>
        <v>0</v>
      </c>
      <c r="W257" s="6">
        <f>IF(ISERROR(VLOOKUP($T$257,'TAR FIN'!$A$1:$O$113,15,0)),0,VLOOKUP($T$257,'TAR FIN'!$A$1:$O$113,15,0))</f>
        <v>940.43</v>
      </c>
      <c r="X257" s="6">
        <f>IF(ISERROR(VLOOKUP($U$257,'TAR FIN'!$A$1:$O$113,15,0)),0,VLOOKUP($U$257,'TAR FIN'!$A$1:$O$113,15,0))</f>
        <v>442.86</v>
      </c>
      <c r="Y257" s="6"/>
      <c r="Z257" s="6">
        <f ca="1">('TUSD BE'!$AM$20+'TUSD BF'!$AM$20+'TUSD CVA'!$AM$20)*1</f>
        <v>1117.8285588949407</v>
      </c>
      <c r="AA257" s="6">
        <f>('TE BE'!$AB$9+'TE BF'!$AB$9+'TE CVA'!$AB$9)*1</f>
        <v>486.43608405794748</v>
      </c>
      <c r="AB257" s="6">
        <f>$K$257*$V$257</f>
        <v>0</v>
      </c>
      <c r="AC257" s="6">
        <f>$M$257*$W$257</f>
        <v>2665.1786200000001</v>
      </c>
      <c r="AD257" s="6">
        <f>$O$257*$X$257</f>
        <v>1255.0652400000001</v>
      </c>
      <c r="AE257" s="6">
        <f>$K$257*$Y$257</f>
        <v>0</v>
      </c>
      <c r="AF257" s="6">
        <f ca="1">$M$257*$Z$257</f>
        <v>3167.926135908262</v>
      </c>
      <c r="AG257" s="6">
        <f>$O$257*$AA$257</f>
        <v>1378.5598622202233</v>
      </c>
    </row>
    <row r="258" spans="1:33" ht="11.25" customHeight="1" x14ac:dyDescent="0.3">
      <c r="A258" s="4" t="s">
        <v>21</v>
      </c>
      <c r="B258" s="4" t="s">
        <v>39</v>
      </c>
      <c r="C258" s="4" t="s">
        <v>41</v>
      </c>
      <c r="D258" s="4" t="s">
        <v>42</v>
      </c>
      <c r="E258" s="4" t="s">
        <v>25</v>
      </c>
      <c r="F258" s="4" t="s">
        <v>25</v>
      </c>
      <c r="G258" s="4" t="s">
        <v>25</v>
      </c>
      <c r="H258" s="4" t="s">
        <v>34</v>
      </c>
      <c r="I258" s="5">
        <v>44531</v>
      </c>
      <c r="J258" s="6">
        <v>0</v>
      </c>
      <c r="K258" s="6">
        <v>0</v>
      </c>
      <c r="L258" s="6">
        <v>127.17</v>
      </c>
      <c r="M258" s="6">
        <v>127.17</v>
      </c>
      <c r="N258" s="6">
        <v>127.17</v>
      </c>
      <c r="O258" s="6">
        <v>127.17</v>
      </c>
      <c r="P258" s="6">
        <v>0</v>
      </c>
      <c r="Q258" s="4" t="s">
        <v>26</v>
      </c>
      <c r="R258" s="4">
        <v>0</v>
      </c>
      <c r="S258" s="6">
        <v>0</v>
      </c>
      <c r="T258" s="6">
        <v>8</v>
      </c>
      <c r="U258" s="6">
        <v>38</v>
      </c>
      <c r="V258" s="6">
        <f>IF(ISERROR(VLOOKUP($S$258,'TAR FIN'!$A$1:$O$113,15,0)),0,VLOOKUP($S$258,'TAR FIN'!$A$1:$O$113,15,0))</f>
        <v>0</v>
      </c>
      <c r="W258" s="6">
        <f>IF(ISERROR(VLOOKUP($T$258,'TAR FIN'!$A$1:$O$113,15,0)),0,VLOOKUP($T$258,'TAR FIN'!$A$1:$O$113,15,0))</f>
        <v>940.43</v>
      </c>
      <c r="X258" s="6">
        <f>IF(ISERROR(VLOOKUP($U$258,'TAR FIN'!$A$1:$O$113,15,0)),0,VLOOKUP($U$258,'TAR FIN'!$A$1:$O$113,15,0))</f>
        <v>442.86</v>
      </c>
      <c r="Y258" s="6"/>
      <c r="Z258" s="6">
        <f ca="1">('TUSD BE'!$AM$20+'TUSD BF'!$AM$20+'TUSD CVA'!$AM$20)*1</f>
        <v>1117.8285588949407</v>
      </c>
      <c r="AA258" s="6">
        <f>('TE BE'!$AB$9+'TE BF'!$AB$9+'TE CVA'!$AB$9)*1</f>
        <v>486.43608405794748</v>
      </c>
      <c r="AB258" s="6">
        <f>$K$258*$V$258</f>
        <v>0</v>
      </c>
      <c r="AC258" s="6">
        <f>$M$258*$W$258</f>
        <v>119594.4831</v>
      </c>
      <c r="AD258" s="6">
        <f>$O$258*$X$258</f>
        <v>56318.506200000003</v>
      </c>
      <c r="AE258" s="6">
        <f>$K$258*$Y$258</f>
        <v>0</v>
      </c>
      <c r="AF258" s="6">
        <f ca="1">$M$258*$Z$258</f>
        <v>142154.25783466961</v>
      </c>
      <c r="AG258" s="6">
        <f>$O$258*$AA$258</f>
        <v>61860.076809649181</v>
      </c>
    </row>
    <row r="259" spans="1:33" ht="11.25" customHeight="1" x14ac:dyDescent="0.3">
      <c r="A259" s="4" t="s">
        <v>28</v>
      </c>
      <c r="B259" s="4" t="s">
        <v>39</v>
      </c>
      <c r="C259" s="4" t="s">
        <v>41</v>
      </c>
      <c r="D259" s="4" t="s">
        <v>42</v>
      </c>
      <c r="E259" s="4" t="s">
        <v>25</v>
      </c>
      <c r="F259" s="4" t="s">
        <v>25</v>
      </c>
      <c r="G259" s="4" t="s">
        <v>25</v>
      </c>
      <c r="H259" s="4" t="s">
        <v>34</v>
      </c>
      <c r="I259" s="5">
        <v>44531</v>
      </c>
      <c r="J259" s="6">
        <v>0</v>
      </c>
      <c r="K259" s="6">
        <v>0</v>
      </c>
      <c r="L259" s="6">
        <v>2.5609999999999999</v>
      </c>
      <c r="M259" s="6">
        <v>2.5609999999999999</v>
      </c>
      <c r="N259" s="6">
        <v>2.5609999999999999</v>
      </c>
      <c r="O259" s="6">
        <v>2.5609999999999999</v>
      </c>
      <c r="P259" s="6">
        <v>0</v>
      </c>
      <c r="Q259" s="4" t="s">
        <v>26</v>
      </c>
      <c r="R259" s="4">
        <v>0</v>
      </c>
      <c r="S259" s="6">
        <v>0</v>
      </c>
      <c r="T259" s="6">
        <v>8</v>
      </c>
      <c r="U259" s="6">
        <v>38</v>
      </c>
      <c r="V259" s="6">
        <f>IF(ISERROR(VLOOKUP($S$259,'TAR FIN'!$A$1:$O$113,15,0)),0,VLOOKUP($S$259,'TAR FIN'!$A$1:$O$113,15,0))</f>
        <v>0</v>
      </c>
      <c r="W259" s="6">
        <f>IF(ISERROR(VLOOKUP($T$259,'TAR FIN'!$A$1:$O$113,15,0)),0,VLOOKUP($T$259,'TAR FIN'!$A$1:$O$113,15,0))</f>
        <v>940.43</v>
      </c>
      <c r="X259" s="6">
        <f>IF(ISERROR(VLOOKUP($U$259,'TAR FIN'!$A$1:$O$113,15,0)),0,VLOOKUP($U$259,'TAR FIN'!$A$1:$O$113,15,0))</f>
        <v>442.86</v>
      </c>
      <c r="Y259" s="6"/>
      <c r="Z259" s="6">
        <f ca="1">('TUSD BE'!$AM$20+'TUSD BF'!$AM$20+'TUSD CVA'!$AM$20)*1</f>
        <v>1117.8285588949407</v>
      </c>
      <c r="AA259" s="6">
        <f>('TE BE'!$AB$9+'TE BF'!$AB$9+'TE CVA'!$AB$9)*1</f>
        <v>486.43608405794748</v>
      </c>
      <c r="AB259" s="6">
        <f>$K$259*$V$259</f>
        <v>0</v>
      </c>
      <c r="AC259" s="6">
        <f>$M$259*$W$259</f>
        <v>2408.4412299999999</v>
      </c>
      <c r="AD259" s="6">
        <f>$O$259*$X$259</f>
        <v>1134.16446</v>
      </c>
      <c r="AE259" s="6">
        <f>$K$259*$Y$259</f>
        <v>0</v>
      </c>
      <c r="AF259" s="6">
        <f ca="1">$M$259*$Z$259</f>
        <v>2862.7589393299431</v>
      </c>
      <c r="AG259" s="6">
        <f>$O$259*$AA$259</f>
        <v>1245.7628112724035</v>
      </c>
    </row>
    <row r="260" spans="1:33" ht="11.25" customHeight="1" x14ac:dyDescent="0.3">
      <c r="A260" s="4" t="s">
        <v>21</v>
      </c>
      <c r="B260" s="4" t="s">
        <v>39</v>
      </c>
      <c r="C260" s="4" t="s">
        <v>41</v>
      </c>
      <c r="D260" s="4" t="s">
        <v>42</v>
      </c>
      <c r="E260" s="4" t="s">
        <v>25</v>
      </c>
      <c r="F260" s="4" t="s">
        <v>25</v>
      </c>
      <c r="G260" s="4" t="s">
        <v>25</v>
      </c>
      <c r="H260" s="4" t="s">
        <v>34</v>
      </c>
      <c r="I260" s="5">
        <v>44562</v>
      </c>
      <c r="J260" s="6">
        <v>0</v>
      </c>
      <c r="K260" s="6">
        <v>0</v>
      </c>
      <c r="L260" s="6">
        <v>131.60499999999999</v>
      </c>
      <c r="M260" s="6">
        <v>131.60499999999999</v>
      </c>
      <c r="N260" s="6">
        <v>131.60499999999999</v>
      </c>
      <c r="O260" s="6">
        <v>131.60499999999999</v>
      </c>
      <c r="P260" s="6">
        <v>0</v>
      </c>
      <c r="Q260" s="4" t="s">
        <v>26</v>
      </c>
      <c r="R260" s="4">
        <v>0</v>
      </c>
      <c r="S260" s="6">
        <v>0</v>
      </c>
      <c r="T260" s="6">
        <v>8</v>
      </c>
      <c r="U260" s="6">
        <v>38</v>
      </c>
      <c r="V260" s="6">
        <f>IF(ISERROR(VLOOKUP($S$260,'TAR FIN'!$A$1:$O$113,15,0)),0,VLOOKUP($S$260,'TAR FIN'!$A$1:$O$113,15,0))</f>
        <v>0</v>
      </c>
      <c r="W260" s="6">
        <f>IF(ISERROR(VLOOKUP($T$260,'TAR FIN'!$A$1:$O$113,15,0)),0,VLOOKUP($T$260,'TAR FIN'!$A$1:$O$113,15,0))</f>
        <v>940.43</v>
      </c>
      <c r="X260" s="6">
        <f>IF(ISERROR(VLOOKUP($U$260,'TAR FIN'!$A$1:$O$113,15,0)),0,VLOOKUP($U$260,'TAR FIN'!$A$1:$O$113,15,0))</f>
        <v>442.86</v>
      </c>
      <c r="Y260" s="6"/>
      <c r="Z260" s="6">
        <f ca="1">('TUSD BE'!$AM$20+'TUSD BF'!$AM$20+'TUSD CVA'!$AM$20)*1</f>
        <v>1117.8285588949407</v>
      </c>
      <c r="AA260" s="6">
        <f>('TE BE'!$AB$9+'TE BF'!$AB$9+'TE CVA'!$AB$9)*1</f>
        <v>486.43608405794748</v>
      </c>
      <c r="AB260" s="6">
        <f>$K$260*$V$260</f>
        <v>0</v>
      </c>
      <c r="AC260" s="6">
        <f>$M$260*$W$260</f>
        <v>123765.29014999999</v>
      </c>
      <c r="AD260" s="6">
        <f>$O$260*$X$260</f>
        <v>58282.590299999996</v>
      </c>
      <c r="AE260" s="6">
        <f>$K$260*$Y$260</f>
        <v>0</v>
      </c>
      <c r="AF260" s="6">
        <f ca="1">$M$260*$Z$260</f>
        <v>147111.82749336865</v>
      </c>
      <c r="AG260" s="6">
        <f>$O$260*$AA$260</f>
        <v>64017.420842446176</v>
      </c>
    </row>
    <row r="261" spans="1:33" ht="11.25" customHeight="1" x14ac:dyDescent="0.3">
      <c r="A261" s="4" t="s">
        <v>28</v>
      </c>
      <c r="B261" s="4" t="s">
        <v>39</v>
      </c>
      <c r="C261" s="4" t="s">
        <v>41</v>
      </c>
      <c r="D261" s="4" t="s">
        <v>42</v>
      </c>
      <c r="E261" s="4" t="s">
        <v>25</v>
      </c>
      <c r="F261" s="4" t="s">
        <v>25</v>
      </c>
      <c r="G261" s="4" t="s">
        <v>25</v>
      </c>
      <c r="H261" s="4" t="s">
        <v>34</v>
      </c>
      <c r="I261" s="5">
        <v>44562</v>
      </c>
      <c r="J261" s="6">
        <v>0</v>
      </c>
      <c r="K261" s="6">
        <v>0</v>
      </c>
      <c r="L261" s="6">
        <v>3.1579999999999999</v>
      </c>
      <c r="M261" s="6">
        <v>3.1579999999999999</v>
      </c>
      <c r="N261" s="6">
        <v>3.1579999999999999</v>
      </c>
      <c r="O261" s="6">
        <v>3.1579999999999999</v>
      </c>
      <c r="P261" s="6">
        <v>0</v>
      </c>
      <c r="Q261" s="4" t="s">
        <v>26</v>
      </c>
      <c r="R261" s="4">
        <v>0</v>
      </c>
      <c r="S261" s="6">
        <v>0</v>
      </c>
      <c r="T261" s="6">
        <v>8</v>
      </c>
      <c r="U261" s="6">
        <v>38</v>
      </c>
      <c r="V261" s="6">
        <f>IF(ISERROR(VLOOKUP($S$261,'TAR FIN'!$A$1:$O$113,15,0)),0,VLOOKUP($S$261,'TAR FIN'!$A$1:$O$113,15,0))</f>
        <v>0</v>
      </c>
      <c r="W261" s="6">
        <f>IF(ISERROR(VLOOKUP($T$261,'TAR FIN'!$A$1:$O$113,15,0)),0,VLOOKUP($T$261,'TAR FIN'!$A$1:$O$113,15,0))</f>
        <v>940.43</v>
      </c>
      <c r="X261" s="6">
        <f>IF(ISERROR(VLOOKUP($U$261,'TAR FIN'!$A$1:$O$113,15,0)),0,VLOOKUP($U$261,'TAR FIN'!$A$1:$O$113,15,0))</f>
        <v>442.86</v>
      </c>
      <c r="Y261" s="6"/>
      <c r="Z261" s="6">
        <f ca="1">('TUSD BE'!$AM$20+'TUSD BF'!$AM$20+'TUSD CVA'!$AM$20)*1</f>
        <v>1117.8285588949407</v>
      </c>
      <c r="AA261" s="6">
        <f>('TE BE'!$AB$9+'TE BF'!$AB$9+'TE CVA'!$AB$9)*1</f>
        <v>486.43608405794748</v>
      </c>
      <c r="AB261" s="6">
        <f>$K$261*$V$261</f>
        <v>0</v>
      </c>
      <c r="AC261" s="6">
        <f>$M$261*$W$261</f>
        <v>2969.8779399999999</v>
      </c>
      <c r="AD261" s="6">
        <f>$O$261*$X$261</f>
        <v>1398.55188</v>
      </c>
      <c r="AE261" s="6">
        <f>$K$261*$Y$261</f>
        <v>0</v>
      </c>
      <c r="AF261" s="6">
        <f ca="1">$M$261*$Z$261</f>
        <v>3530.1025889902226</v>
      </c>
      <c r="AG261" s="6">
        <f>$O$261*$AA$261</f>
        <v>1536.1651534549981</v>
      </c>
    </row>
    <row r="262" spans="1:33" ht="11.25" customHeight="1" x14ac:dyDescent="0.3">
      <c r="A262" s="4" t="s">
        <v>21</v>
      </c>
      <c r="B262" s="4" t="s">
        <v>39</v>
      </c>
      <c r="C262" s="4" t="s">
        <v>41</v>
      </c>
      <c r="D262" s="4" t="s">
        <v>42</v>
      </c>
      <c r="E262" s="4" t="s">
        <v>25</v>
      </c>
      <c r="F262" s="4" t="s">
        <v>25</v>
      </c>
      <c r="G262" s="4" t="s">
        <v>25</v>
      </c>
      <c r="H262" s="4" t="s">
        <v>34</v>
      </c>
      <c r="I262" s="5">
        <v>44593</v>
      </c>
      <c r="J262" s="6">
        <v>0</v>
      </c>
      <c r="K262" s="6">
        <v>0</v>
      </c>
      <c r="L262" s="6">
        <v>125.58199999999999</v>
      </c>
      <c r="M262" s="6">
        <v>125.58199999999999</v>
      </c>
      <c r="N262" s="6">
        <v>125.58199999999999</v>
      </c>
      <c r="O262" s="6">
        <v>125.58199999999999</v>
      </c>
      <c r="P262" s="6">
        <v>0</v>
      </c>
      <c r="Q262" s="4" t="s">
        <v>26</v>
      </c>
      <c r="R262" s="4">
        <v>0</v>
      </c>
      <c r="S262" s="6">
        <v>0</v>
      </c>
      <c r="T262" s="6">
        <v>8</v>
      </c>
      <c r="U262" s="6">
        <v>38</v>
      </c>
      <c r="V262" s="6">
        <f>IF(ISERROR(VLOOKUP($S$262,'TAR FIN'!$A$1:$O$113,15,0)),0,VLOOKUP($S$262,'TAR FIN'!$A$1:$O$113,15,0))</f>
        <v>0</v>
      </c>
      <c r="W262" s="6">
        <f>IF(ISERROR(VLOOKUP($T$262,'TAR FIN'!$A$1:$O$113,15,0)),0,VLOOKUP($T$262,'TAR FIN'!$A$1:$O$113,15,0))</f>
        <v>940.43</v>
      </c>
      <c r="X262" s="6">
        <f>IF(ISERROR(VLOOKUP($U$262,'TAR FIN'!$A$1:$O$113,15,0)),0,VLOOKUP($U$262,'TAR FIN'!$A$1:$O$113,15,0))</f>
        <v>442.86</v>
      </c>
      <c r="Y262" s="6"/>
      <c r="Z262" s="6">
        <f ca="1">('TUSD BE'!$AM$20+'TUSD BF'!$AM$20+'TUSD CVA'!$AM$20)*1</f>
        <v>1117.8285588949407</v>
      </c>
      <c r="AA262" s="6">
        <f>('TE BE'!$AB$9+'TE BF'!$AB$9+'TE CVA'!$AB$9)*1</f>
        <v>486.43608405794748</v>
      </c>
      <c r="AB262" s="6">
        <f>$K$262*$V$262</f>
        <v>0</v>
      </c>
      <c r="AC262" s="6">
        <f>$M$262*$W$262</f>
        <v>118101.08025999999</v>
      </c>
      <c r="AD262" s="6">
        <f>$O$262*$X$262</f>
        <v>55615.24452</v>
      </c>
      <c r="AE262" s="6">
        <f>$K$262*$Y$262</f>
        <v>0</v>
      </c>
      <c r="AF262" s="6">
        <f ca="1">$M$262*$Z$262</f>
        <v>140379.14608314444</v>
      </c>
      <c r="AG262" s="6">
        <f>$O$262*$AA$262</f>
        <v>61087.616308165161</v>
      </c>
    </row>
    <row r="263" spans="1:33" ht="11.25" customHeight="1" x14ac:dyDescent="0.3">
      <c r="A263" s="4" t="s">
        <v>27</v>
      </c>
      <c r="B263" s="4" t="s">
        <v>39</v>
      </c>
      <c r="C263" s="4" t="s">
        <v>41</v>
      </c>
      <c r="D263" s="4" t="s">
        <v>42</v>
      </c>
      <c r="E263" s="4" t="s">
        <v>25</v>
      </c>
      <c r="F263" s="4" t="s">
        <v>25</v>
      </c>
      <c r="G263" s="4" t="s">
        <v>25</v>
      </c>
      <c r="H263" s="4" t="s">
        <v>34</v>
      </c>
      <c r="I263" s="5">
        <v>44593</v>
      </c>
      <c r="J263" s="6">
        <v>0</v>
      </c>
      <c r="K263" s="6">
        <v>0</v>
      </c>
      <c r="L263" s="6">
        <v>-0.183</v>
      </c>
      <c r="M263" s="6">
        <v>-0.183</v>
      </c>
      <c r="N263" s="6">
        <v>-0.183</v>
      </c>
      <c r="O263" s="6">
        <v>-0.183</v>
      </c>
      <c r="P263" s="6">
        <v>0</v>
      </c>
      <c r="Q263" s="4" t="s">
        <v>26</v>
      </c>
      <c r="R263" s="4">
        <v>0</v>
      </c>
      <c r="S263" s="6">
        <v>0</v>
      </c>
      <c r="T263" s="6">
        <v>8</v>
      </c>
      <c r="U263" s="6">
        <v>38</v>
      </c>
      <c r="V263" s="6">
        <f>IF(ISERROR(VLOOKUP($S$263,'TAR FIN'!$A$1:$O$113,15,0)),0,VLOOKUP($S$263,'TAR FIN'!$A$1:$O$113,15,0))</f>
        <v>0</v>
      </c>
      <c r="W263" s="6">
        <f>IF(ISERROR(VLOOKUP($T$263,'TAR FIN'!$A$1:$O$113,15,0)),0,VLOOKUP($T$263,'TAR FIN'!$A$1:$O$113,15,0))</f>
        <v>940.43</v>
      </c>
      <c r="X263" s="6">
        <f>IF(ISERROR(VLOOKUP($U$263,'TAR FIN'!$A$1:$O$113,15,0)),0,VLOOKUP($U$263,'TAR FIN'!$A$1:$O$113,15,0))</f>
        <v>442.86</v>
      </c>
      <c r="Y263" s="6"/>
      <c r="Z263" s="6">
        <f ca="1">('TUSD BE'!$AM$20+'TUSD BF'!$AM$20+'TUSD CVA'!$AM$20)*1</f>
        <v>1117.8285588949407</v>
      </c>
      <c r="AA263" s="6">
        <f>('TE BE'!$AB$9+'TE BF'!$AB$9+'TE CVA'!$AB$9)*1</f>
        <v>486.43608405794748</v>
      </c>
      <c r="AB263" s="6">
        <f>$K$263*$V$263</f>
        <v>0</v>
      </c>
      <c r="AC263" s="6">
        <f>$M$263*$W$263</f>
        <v>-172.09868999999998</v>
      </c>
      <c r="AD263" s="6">
        <f>$O$263*$X$263</f>
        <v>-81.043379999999999</v>
      </c>
      <c r="AE263" s="6">
        <f>$K$263*$Y$263</f>
        <v>0</v>
      </c>
      <c r="AF263" s="6">
        <f ca="1">$M$263*$Z$263</f>
        <v>-204.56262627777414</v>
      </c>
      <c r="AG263" s="6">
        <f>$O$263*$AA$263</f>
        <v>-89.017803382604384</v>
      </c>
    </row>
    <row r="264" spans="1:33" ht="11.25" customHeight="1" x14ac:dyDescent="0.3">
      <c r="A264" s="4" t="s">
        <v>28</v>
      </c>
      <c r="B264" s="4" t="s">
        <v>39</v>
      </c>
      <c r="C264" s="4" t="s">
        <v>41</v>
      </c>
      <c r="D264" s="4" t="s">
        <v>42</v>
      </c>
      <c r="E264" s="4" t="s">
        <v>25</v>
      </c>
      <c r="F264" s="4" t="s">
        <v>25</v>
      </c>
      <c r="G264" s="4" t="s">
        <v>25</v>
      </c>
      <c r="H264" s="4" t="s">
        <v>34</v>
      </c>
      <c r="I264" s="5">
        <v>44593</v>
      </c>
      <c r="J264" s="6">
        <v>0</v>
      </c>
      <c r="K264" s="6">
        <v>0</v>
      </c>
      <c r="L264" s="6">
        <v>2.9790000000000001</v>
      </c>
      <c r="M264" s="6">
        <v>2.9790000000000001</v>
      </c>
      <c r="N264" s="6">
        <v>2.9790000000000001</v>
      </c>
      <c r="O264" s="6">
        <v>2.9790000000000001</v>
      </c>
      <c r="P264" s="6">
        <v>0</v>
      </c>
      <c r="Q264" s="4" t="s">
        <v>26</v>
      </c>
      <c r="R264" s="4">
        <v>0</v>
      </c>
      <c r="S264" s="6">
        <v>0</v>
      </c>
      <c r="T264" s="6">
        <v>8</v>
      </c>
      <c r="U264" s="6">
        <v>38</v>
      </c>
      <c r="V264" s="6">
        <f>IF(ISERROR(VLOOKUP($S$264,'TAR FIN'!$A$1:$O$113,15,0)),0,VLOOKUP($S$264,'TAR FIN'!$A$1:$O$113,15,0))</f>
        <v>0</v>
      </c>
      <c r="W264" s="6">
        <f>IF(ISERROR(VLOOKUP($T$264,'TAR FIN'!$A$1:$O$113,15,0)),0,VLOOKUP($T$264,'TAR FIN'!$A$1:$O$113,15,0))</f>
        <v>940.43</v>
      </c>
      <c r="X264" s="6">
        <f>IF(ISERROR(VLOOKUP($U$264,'TAR FIN'!$A$1:$O$113,15,0)),0,VLOOKUP($U$264,'TAR FIN'!$A$1:$O$113,15,0))</f>
        <v>442.86</v>
      </c>
      <c r="Y264" s="6"/>
      <c r="Z264" s="6">
        <f ca="1">('TUSD BE'!$AM$20+'TUSD BF'!$AM$20+'TUSD CVA'!$AM$20)*1</f>
        <v>1117.8285588949407</v>
      </c>
      <c r="AA264" s="6">
        <f>('TE BE'!$AB$9+'TE BF'!$AB$9+'TE CVA'!$AB$9)*1</f>
        <v>486.43608405794748</v>
      </c>
      <c r="AB264" s="6">
        <f>$K$264*$V$264</f>
        <v>0</v>
      </c>
      <c r="AC264" s="6">
        <f>$M$264*$W$264</f>
        <v>2801.54097</v>
      </c>
      <c r="AD264" s="6">
        <f>$O$264*$X$264</f>
        <v>1319.2799400000001</v>
      </c>
      <c r="AE264" s="6">
        <f>$K$264*$Y$264</f>
        <v>0</v>
      </c>
      <c r="AF264" s="6">
        <f ca="1">$M$264*$Z$264</f>
        <v>3330.0112769480284</v>
      </c>
      <c r="AG264" s="6">
        <f>$O$264*$AA$264</f>
        <v>1449.0930944086256</v>
      </c>
    </row>
    <row r="265" spans="1:33" ht="11.25" customHeight="1" x14ac:dyDescent="0.3">
      <c r="A265" s="4" t="s">
        <v>21</v>
      </c>
      <c r="B265" s="4" t="s">
        <v>39</v>
      </c>
      <c r="C265" s="4" t="s">
        <v>41</v>
      </c>
      <c r="D265" s="4" t="s">
        <v>42</v>
      </c>
      <c r="E265" s="4" t="s">
        <v>25</v>
      </c>
      <c r="F265" s="4" t="s">
        <v>25</v>
      </c>
      <c r="G265" s="4" t="s">
        <v>25</v>
      </c>
      <c r="H265" s="4" t="s">
        <v>34</v>
      </c>
      <c r="I265" s="5">
        <v>44621</v>
      </c>
      <c r="J265" s="6">
        <v>0</v>
      </c>
      <c r="K265" s="6">
        <v>0</v>
      </c>
      <c r="L265" s="6">
        <v>104.45</v>
      </c>
      <c r="M265" s="6">
        <v>104.45</v>
      </c>
      <c r="N265" s="6">
        <v>104.45</v>
      </c>
      <c r="O265" s="6">
        <v>104.45</v>
      </c>
      <c r="P265" s="6">
        <v>0</v>
      </c>
      <c r="Q265" s="4" t="s">
        <v>26</v>
      </c>
      <c r="R265" s="4">
        <v>0</v>
      </c>
      <c r="S265" s="6">
        <v>0</v>
      </c>
      <c r="T265" s="6">
        <v>8</v>
      </c>
      <c r="U265" s="6">
        <v>38</v>
      </c>
      <c r="V265" s="6">
        <f>IF(ISERROR(VLOOKUP($S$265,'TAR FIN'!$A$1:$O$113,15,0)),0,VLOOKUP($S$265,'TAR FIN'!$A$1:$O$113,15,0))</f>
        <v>0</v>
      </c>
      <c r="W265" s="6">
        <f>IF(ISERROR(VLOOKUP($T$265,'TAR FIN'!$A$1:$O$113,15,0)),0,VLOOKUP($T$265,'TAR FIN'!$A$1:$O$113,15,0))</f>
        <v>940.43</v>
      </c>
      <c r="X265" s="6">
        <f>IF(ISERROR(VLOOKUP($U$265,'TAR FIN'!$A$1:$O$113,15,0)),0,VLOOKUP($U$265,'TAR FIN'!$A$1:$O$113,15,0))</f>
        <v>442.86</v>
      </c>
      <c r="Y265" s="6"/>
      <c r="Z265" s="6">
        <f ca="1">('TUSD BE'!$AM$20+'TUSD BF'!$AM$20+'TUSD CVA'!$AM$20)*1</f>
        <v>1117.8285588949407</v>
      </c>
      <c r="AA265" s="6">
        <f>('TE BE'!$AB$9+'TE BF'!$AB$9+'TE CVA'!$AB$9)*1</f>
        <v>486.43608405794748</v>
      </c>
      <c r="AB265" s="6">
        <f>$K$265*$V$265</f>
        <v>0</v>
      </c>
      <c r="AC265" s="6">
        <f>$M$265*$W$265</f>
        <v>98227.913499999995</v>
      </c>
      <c r="AD265" s="6">
        <f>$O$265*$X$265</f>
        <v>46256.727000000006</v>
      </c>
      <c r="AE265" s="6">
        <f>$K$265*$Y$265</f>
        <v>0</v>
      </c>
      <c r="AF265" s="6">
        <f ca="1">$M$265*$Z$265</f>
        <v>116757.19297657655</v>
      </c>
      <c r="AG265" s="6">
        <f>$O$265*$AA$265</f>
        <v>50808.248979852615</v>
      </c>
    </row>
    <row r="266" spans="1:33" ht="11.25" customHeight="1" x14ac:dyDescent="0.3">
      <c r="A266" s="4" t="s">
        <v>28</v>
      </c>
      <c r="B266" s="4" t="s">
        <v>39</v>
      </c>
      <c r="C266" s="4" t="s">
        <v>41</v>
      </c>
      <c r="D266" s="4" t="s">
        <v>42</v>
      </c>
      <c r="E266" s="4" t="s">
        <v>25</v>
      </c>
      <c r="F266" s="4" t="s">
        <v>25</v>
      </c>
      <c r="G266" s="4" t="s">
        <v>25</v>
      </c>
      <c r="H266" s="4" t="s">
        <v>34</v>
      </c>
      <c r="I266" s="5">
        <v>44621</v>
      </c>
      <c r="J266" s="6">
        <v>0</v>
      </c>
      <c r="K266" s="6">
        <v>0</v>
      </c>
      <c r="L266" s="6">
        <v>2.8170000000000002</v>
      </c>
      <c r="M266" s="6">
        <v>2.8170000000000002</v>
      </c>
      <c r="N266" s="6">
        <v>2.8170000000000002</v>
      </c>
      <c r="O266" s="6">
        <v>2.8170000000000002</v>
      </c>
      <c r="P266" s="6">
        <v>0</v>
      </c>
      <c r="Q266" s="4" t="s">
        <v>26</v>
      </c>
      <c r="R266" s="4">
        <v>0</v>
      </c>
      <c r="S266" s="6">
        <v>0</v>
      </c>
      <c r="T266" s="6">
        <v>8</v>
      </c>
      <c r="U266" s="6">
        <v>38</v>
      </c>
      <c r="V266" s="6">
        <f>IF(ISERROR(VLOOKUP($S$266,'TAR FIN'!$A$1:$O$113,15,0)),0,VLOOKUP($S$266,'TAR FIN'!$A$1:$O$113,15,0))</f>
        <v>0</v>
      </c>
      <c r="W266" s="6">
        <f>IF(ISERROR(VLOOKUP($T$266,'TAR FIN'!$A$1:$O$113,15,0)),0,VLOOKUP($T$266,'TAR FIN'!$A$1:$O$113,15,0))</f>
        <v>940.43</v>
      </c>
      <c r="X266" s="6">
        <f>IF(ISERROR(VLOOKUP($U$266,'TAR FIN'!$A$1:$O$113,15,0)),0,VLOOKUP($U$266,'TAR FIN'!$A$1:$O$113,15,0))</f>
        <v>442.86</v>
      </c>
      <c r="Y266" s="6"/>
      <c r="Z266" s="6">
        <f ca="1">('TUSD BE'!$AM$20+'TUSD BF'!$AM$20+'TUSD CVA'!$AM$20)*1</f>
        <v>1117.8285588949407</v>
      </c>
      <c r="AA266" s="6">
        <f>('TE BE'!$AB$9+'TE BF'!$AB$9+'TE CVA'!$AB$9)*1</f>
        <v>486.43608405794748</v>
      </c>
      <c r="AB266" s="6">
        <f>$K$266*$V$266</f>
        <v>0</v>
      </c>
      <c r="AC266" s="6">
        <f>$M$266*$W$266</f>
        <v>2649.1913100000002</v>
      </c>
      <c r="AD266" s="6">
        <f>$O$266*$X$266</f>
        <v>1247.5366200000001</v>
      </c>
      <c r="AE266" s="6">
        <f>$K$266*$Y$266</f>
        <v>0</v>
      </c>
      <c r="AF266" s="6">
        <f ca="1">$M$266*$Z$266</f>
        <v>3148.9230504070479</v>
      </c>
      <c r="AG266" s="6">
        <f>$O$266*$AA$266</f>
        <v>1370.2904487912381</v>
      </c>
    </row>
    <row r="267" spans="1:33" ht="11.25" customHeight="1" x14ac:dyDescent="0.3">
      <c r="A267" s="4" t="s">
        <v>21</v>
      </c>
      <c r="B267" s="4" t="s">
        <v>39</v>
      </c>
      <c r="C267" s="4" t="s">
        <v>41</v>
      </c>
      <c r="D267" s="4" t="s">
        <v>42</v>
      </c>
      <c r="E267" s="4" t="s">
        <v>25</v>
      </c>
      <c r="F267" s="4" t="s">
        <v>25</v>
      </c>
      <c r="G267" s="4" t="s">
        <v>25</v>
      </c>
      <c r="H267" s="4" t="s">
        <v>34</v>
      </c>
      <c r="I267" s="5">
        <v>44652</v>
      </c>
      <c r="J267" s="6">
        <v>0</v>
      </c>
      <c r="K267" s="6">
        <v>0</v>
      </c>
      <c r="L267" s="6">
        <v>95.438999999999993</v>
      </c>
      <c r="M267" s="6">
        <v>95.438999999999993</v>
      </c>
      <c r="N267" s="6">
        <v>95.438999999999993</v>
      </c>
      <c r="O267" s="6">
        <v>95.438999999999993</v>
      </c>
      <c r="P267" s="6">
        <v>0</v>
      </c>
      <c r="Q267" s="4" t="s">
        <v>26</v>
      </c>
      <c r="R267" s="4">
        <v>0</v>
      </c>
      <c r="S267" s="6">
        <v>0</v>
      </c>
      <c r="T267" s="6">
        <v>8</v>
      </c>
      <c r="U267" s="6">
        <v>38</v>
      </c>
      <c r="V267" s="6">
        <f>IF(ISERROR(VLOOKUP($S$267,'TAR FIN'!$A$1:$O$113,15,0)),0,VLOOKUP($S$267,'TAR FIN'!$A$1:$O$113,15,0))</f>
        <v>0</v>
      </c>
      <c r="W267" s="6">
        <f>IF(ISERROR(VLOOKUP($T$267,'TAR FIN'!$A$1:$O$113,15,0)),0,VLOOKUP($T$267,'TAR FIN'!$A$1:$O$113,15,0))</f>
        <v>940.43</v>
      </c>
      <c r="X267" s="6">
        <f>IF(ISERROR(VLOOKUP($U$267,'TAR FIN'!$A$1:$O$113,15,0)),0,VLOOKUP($U$267,'TAR FIN'!$A$1:$O$113,15,0))</f>
        <v>442.86</v>
      </c>
      <c r="Y267" s="6"/>
      <c r="Z267" s="6">
        <f ca="1">('TUSD BE'!$AM$20+'TUSD BF'!$AM$20+'TUSD CVA'!$AM$20)*1</f>
        <v>1117.8285588949407</v>
      </c>
      <c r="AA267" s="6">
        <f>('TE BE'!$AB$9+'TE BF'!$AB$9+'TE CVA'!$AB$9)*1</f>
        <v>486.43608405794748</v>
      </c>
      <c r="AB267" s="6">
        <f>$K$267*$V$267</f>
        <v>0</v>
      </c>
      <c r="AC267" s="6">
        <f>$M$267*$W$267</f>
        <v>89753.698769999988</v>
      </c>
      <c r="AD267" s="6">
        <f>$O$267*$X$267</f>
        <v>42266.115539999999</v>
      </c>
      <c r="AE267" s="6">
        <f>$K$267*$Y$267</f>
        <v>0</v>
      </c>
      <c r="AF267" s="6">
        <f ca="1">$M$267*$Z$267</f>
        <v>106684.43983237424</v>
      </c>
      <c r="AG267" s="6">
        <f>$O$267*$AA$267</f>
        <v>46424.973426406446</v>
      </c>
    </row>
    <row r="268" spans="1:33" ht="11.25" customHeight="1" x14ac:dyDescent="0.3">
      <c r="A268" s="4" t="s">
        <v>28</v>
      </c>
      <c r="B268" s="4" t="s">
        <v>39</v>
      </c>
      <c r="C268" s="4" t="s">
        <v>41</v>
      </c>
      <c r="D268" s="4" t="s">
        <v>42</v>
      </c>
      <c r="E268" s="4" t="s">
        <v>25</v>
      </c>
      <c r="F268" s="4" t="s">
        <v>25</v>
      </c>
      <c r="G268" s="4" t="s">
        <v>25</v>
      </c>
      <c r="H268" s="4" t="s">
        <v>34</v>
      </c>
      <c r="I268" s="5">
        <v>44652</v>
      </c>
      <c r="J268" s="6">
        <v>0</v>
      </c>
      <c r="K268" s="6">
        <v>0</v>
      </c>
      <c r="L268" s="6">
        <v>3.2559999999999998</v>
      </c>
      <c r="M268" s="6">
        <v>3.2559999999999998</v>
      </c>
      <c r="N268" s="6">
        <v>3.2559999999999998</v>
      </c>
      <c r="O268" s="6">
        <v>3.2559999999999998</v>
      </c>
      <c r="P268" s="6">
        <v>0</v>
      </c>
      <c r="Q268" s="4" t="s">
        <v>26</v>
      </c>
      <c r="R268" s="4">
        <v>0</v>
      </c>
      <c r="S268" s="6">
        <v>0</v>
      </c>
      <c r="T268" s="6">
        <v>8</v>
      </c>
      <c r="U268" s="6">
        <v>38</v>
      </c>
      <c r="V268" s="6">
        <f>IF(ISERROR(VLOOKUP($S$268,'TAR FIN'!$A$1:$O$113,15,0)),0,VLOOKUP($S$268,'TAR FIN'!$A$1:$O$113,15,0))</f>
        <v>0</v>
      </c>
      <c r="W268" s="6">
        <f>IF(ISERROR(VLOOKUP($T$268,'TAR FIN'!$A$1:$O$113,15,0)),0,VLOOKUP($T$268,'TAR FIN'!$A$1:$O$113,15,0))</f>
        <v>940.43</v>
      </c>
      <c r="X268" s="6">
        <f>IF(ISERROR(VLOOKUP($U$268,'TAR FIN'!$A$1:$O$113,15,0)),0,VLOOKUP($U$268,'TAR FIN'!$A$1:$O$113,15,0))</f>
        <v>442.86</v>
      </c>
      <c r="Y268" s="6"/>
      <c r="Z268" s="6">
        <f ca="1">('TUSD BE'!$AM$20+'TUSD BF'!$AM$20+'TUSD CVA'!$AM$20)*1</f>
        <v>1117.8285588949407</v>
      </c>
      <c r="AA268" s="6">
        <f>('TE BE'!$AB$9+'TE BF'!$AB$9+'TE CVA'!$AB$9)*1</f>
        <v>486.43608405794748</v>
      </c>
      <c r="AB268" s="6">
        <f>$K$268*$V$268</f>
        <v>0</v>
      </c>
      <c r="AC268" s="6">
        <f>$M$268*$W$268</f>
        <v>3062.0400799999998</v>
      </c>
      <c r="AD268" s="6">
        <f>$O$268*$X$268</f>
        <v>1441.95216</v>
      </c>
      <c r="AE268" s="6">
        <f>$K$268*$Y$268</f>
        <v>0</v>
      </c>
      <c r="AF268" s="6">
        <f ca="1">$M$268*$Z$268</f>
        <v>3639.6497877619267</v>
      </c>
      <c r="AG268" s="6">
        <f>$O$268*$AA$268</f>
        <v>1583.8358896926768</v>
      </c>
    </row>
    <row r="269" spans="1:33" ht="11.25" customHeight="1" x14ac:dyDescent="0.3">
      <c r="A269" s="4" t="s">
        <v>21</v>
      </c>
      <c r="B269" s="4" t="s">
        <v>39</v>
      </c>
      <c r="C269" s="4" t="s">
        <v>41</v>
      </c>
      <c r="D269" s="4" t="s">
        <v>42</v>
      </c>
      <c r="E269" s="4" t="s">
        <v>25</v>
      </c>
      <c r="F269" s="4" t="s">
        <v>25</v>
      </c>
      <c r="G269" s="4" t="s">
        <v>25</v>
      </c>
      <c r="H269" s="4" t="s">
        <v>34</v>
      </c>
      <c r="I269" s="5">
        <v>44682</v>
      </c>
      <c r="J269" s="6">
        <v>0</v>
      </c>
      <c r="K269" s="6">
        <v>0</v>
      </c>
      <c r="L269" s="6">
        <v>81.887</v>
      </c>
      <c r="M269" s="6">
        <v>81.887</v>
      </c>
      <c r="N269" s="6">
        <v>81.887</v>
      </c>
      <c r="O269" s="6">
        <v>81.887</v>
      </c>
      <c r="P269" s="6">
        <v>0</v>
      </c>
      <c r="Q269" s="4" t="s">
        <v>26</v>
      </c>
      <c r="R269" s="4">
        <v>0</v>
      </c>
      <c r="S269" s="6">
        <v>0</v>
      </c>
      <c r="T269" s="6">
        <v>8</v>
      </c>
      <c r="U269" s="6">
        <v>38</v>
      </c>
      <c r="V269" s="6">
        <f>IF(ISERROR(VLOOKUP($S$269,'TAR FIN'!$A$1:$O$113,15,0)),0,VLOOKUP($S$269,'TAR FIN'!$A$1:$O$113,15,0))</f>
        <v>0</v>
      </c>
      <c r="W269" s="6">
        <f>IF(ISERROR(VLOOKUP($T$269,'TAR FIN'!$A$1:$O$113,15,0)),0,VLOOKUP($T$269,'TAR FIN'!$A$1:$O$113,15,0))</f>
        <v>940.43</v>
      </c>
      <c r="X269" s="6">
        <f>IF(ISERROR(VLOOKUP($U$269,'TAR FIN'!$A$1:$O$113,15,0)),0,VLOOKUP($U$269,'TAR FIN'!$A$1:$O$113,15,0))</f>
        <v>442.86</v>
      </c>
      <c r="Y269" s="6"/>
      <c r="Z269" s="6">
        <f ca="1">('TUSD BE'!$AM$20+'TUSD BF'!$AM$20+'TUSD CVA'!$AM$20)*1</f>
        <v>1117.8285588949407</v>
      </c>
      <c r="AA269" s="6">
        <f>('TE BE'!$AB$9+'TE BF'!$AB$9+'TE CVA'!$AB$9)*1</f>
        <v>486.43608405794748</v>
      </c>
      <c r="AB269" s="6">
        <f>$K$269*$V$269</f>
        <v>0</v>
      </c>
      <c r="AC269" s="6">
        <f>$M$269*$W$269</f>
        <v>77008.991410000002</v>
      </c>
      <c r="AD269" s="6">
        <f>$O$269*$X$269</f>
        <v>36264.476820000003</v>
      </c>
      <c r="AE269" s="6">
        <f>$K$269*$Y$269</f>
        <v>0</v>
      </c>
      <c r="AF269" s="6">
        <f ca="1">$M$269*$Z$269</f>
        <v>91535.627202230011</v>
      </c>
      <c r="AG269" s="6">
        <f>$O$269*$AA$269</f>
        <v>39832.791615253147</v>
      </c>
    </row>
    <row r="270" spans="1:33" ht="11.25" customHeight="1" x14ac:dyDescent="0.3">
      <c r="A270" s="4" t="s">
        <v>28</v>
      </c>
      <c r="B270" s="4" t="s">
        <v>39</v>
      </c>
      <c r="C270" s="4" t="s">
        <v>41</v>
      </c>
      <c r="D270" s="4" t="s">
        <v>42</v>
      </c>
      <c r="E270" s="4" t="s">
        <v>25</v>
      </c>
      <c r="F270" s="4" t="s">
        <v>25</v>
      </c>
      <c r="G270" s="4" t="s">
        <v>25</v>
      </c>
      <c r="H270" s="4" t="s">
        <v>34</v>
      </c>
      <c r="I270" s="5">
        <v>44682</v>
      </c>
      <c r="J270" s="6">
        <v>0</v>
      </c>
      <c r="K270" s="6">
        <v>0</v>
      </c>
      <c r="L270" s="6">
        <v>2.8359999999999999</v>
      </c>
      <c r="M270" s="6">
        <v>2.8359999999999999</v>
      </c>
      <c r="N270" s="6">
        <v>2.8359999999999999</v>
      </c>
      <c r="O270" s="6">
        <v>2.8359999999999999</v>
      </c>
      <c r="P270" s="6">
        <v>0</v>
      </c>
      <c r="Q270" s="4" t="s">
        <v>26</v>
      </c>
      <c r="R270" s="4">
        <v>0</v>
      </c>
      <c r="S270" s="6">
        <v>0</v>
      </c>
      <c r="T270" s="6">
        <v>8</v>
      </c>
      <c r="U270" s="6">
        <v>38</v>
      </c>
      <c r="V270" s="6">
        <f>IF(ISERROR(VLOOKUP($S$270,'TAR FIN'!$A$1:$O$113,15,0)),0,VLOOKUP($S$270,'TAR FIN'!$A$1:$O$113,15,0))</f>
        <v>0</v>
      </c>
      <c r="W270" s="6">
        <f>IF(ISERROR(VLOOKUP($T$270,'TAR FIN'!$A$1:$O$113,15,0)),0,VLOOKUP($T$270,'TAR FIN'!$A$1:$O$113,15,0))</f>
        <v>940.43</v>
      </c>
      <c r="X270" s="6">
        <f>IF(ISERROR(VLOOKUP($U$270,'TAR FIN'!$A$1:$O$113,15,0)),0,VLOOKUP($U$270,'TAR FIN'!$A$1:$O$113,15,0))</f>
        <v>442.86</v>
      </c>
      <c r="Y270" s="6"/>
      <c r="Z270" s="6">
        <f ca="1">('TUSD BE'!$AM$20+'TUSD BF'!$AM$20+'TUSD CVA'!$AM$20)*1</f>
        <v>1117.8285588949407</v>
      </c>
      <c r="AA270" s="6">
        <f>('TE BE'!$AB$9+'TE BF'!$AB$9+'TE CVA'!$AB$9)*1</f>
        <v>486.43608405794748</v>
      </c>
      <c r="AB270" s="6">
        <f>$K$270*$V$270</f>
        <v>0</v>
      </c>
      <c r="AC270" s="6">
        <f>$M$270*$W$270</f>
        <v>2667.0594799999999</v>
      </c>
      <c r="AD270" s="6">
        <f>$O$270*$X$270</f>
        <v>1255.9509599999999</v>
      </c>
      <c r="AE270" s="6">
        <f>$K$270*$Y$270</f>
        <v>0</v>
      </c>
      <c r="AF270" s="6">
        <f ca="1">$M$270*$Z$270</f>
        <v>3170.1617930260518</v>
      </c>
      <c r="AG270" s="6">
        <f>$O$270*$AA$270</f>
        <v>1379.5327343883389</v>
      </c>
    </row>
    <row r="271" spans="1:33" ht="11.25" customHeight="1" x14ac:dyDescent="0.3">
      <c r="A271" s="4" t="s">
        <v>21</v>
      </c>
      <c r="B271" s="4" t="s">
        <v>39</v>
      </c>
      <c r="C271" s="4" t="s">
        <v>41</v>
      </c>
      <c r="D271" s="4" t="s">
        <v>42</v>
      </c>
      <c r="E271" s="4" t="s">
        <v>25</v>
      </c>
      <c r="F271" s="4" t="s">
        <v>25</v>
      </c>
      <c r="G271" s="4" t="s">
        <v>25</v>
      </c>
      <c r="H271" s="4" t="s">
        <v>34</v>
      </c>
      <c r="I271" s="5">
        <v>44713</v>
      </c>
      <c r="J271" s="6">
        <v>0</v>
      </c>
      <c r="K271" s="6">
        <v>0</v>
      </c>
      <c r="L271" s="6">
        <v>85.778999999999996</v>
      </c>
      <c r="M271" s="6">
        <v>85.778999999999996</v>
      </c>
      <c r="N271" s="6">
        <v>85.778999999999996</v>
      </c>
      <c r="O271" s="6">
        <v>85.778999999999996</v>
      </c>
      <c r="P271" s="6">
        <v>0</v>
      </c>
      <c r="Q271" s="4" t="s">
        <v>26</v>
      </c>
      <c r="R271" s="4">
        <v>0</v>
      </c>
      <c r="S271" s="6">
        <v>0</v>
      </c>
      <c r="T271" s="6">
        <v>8</v>
      </c>
      <c r="U271" s="6">
        <v>38</v>
      </c>
      <c r="V271" s="6">
        <f>IF(ISERROR(VLOOKUP($S$271,'TAR FIN'!$A$1:$O$113,15,0)),0,VLOOKUP($S$271,'TAR FIN'!$A$1:$O$113,15,0))</f>
        <v>0</v>
      </c>
      <c r="W271" s="6">
        <f>IF(ISERROR(VLOOKUP($T$271,'TAR FIN'!$A$1:$O$113,15,0)),0,VLOOKUP($T$271,'TAR FIN'!$A$1:$O$113,15,0))</f>
        <v>940.43</v>
      </c>
      <c r="X271" s="6">
        <f>IF(ISERROR(VLOOKUP($U$271,'TAR FIN'!$A$1:$O$113,15,0)),0,VLOOKUP($U$271,'TAR FIN'!$A$1:$O$113,15,0))</f>
        <v>442.86</v>
      </c>
      <c r="Y271" s="6"/>
      <c r="Z271" s="6">
        <f ca="1">('TUSD BE'!$AM$20+'TUSD BF'!$AM$20+'TUSD CVA'!$AM$20)*1</f>
        <v>1117.8285588949407</v>
      </c>
      <c r="AA271" s="6">
        <f>('TE BE'!$AB$9+'TE BF'!$AB$9+'TE CVA'!$AB$9)*1</f>
        <v>486.43608405794748</v>
      </c>
      <c r="AB271" s="6">
        <f>$K$271*$V$271</f>
        <v>0</v>
      </c>
      <c r="AC271" s="6">
        <f>$M$271*$W$271</f>
        <v>80669.144969999994</v>
      </c>
      <c r="AD271" s="6">
        <f>$O$271*$X$271</f>
        <v>37988.087939999998</v>
      </c>
      <c r="AE271" s="6">
        <f>$K$271*$Y$271</f>
        <v>0</v>
      </c>
      <c r="AF271" s="6">
        <f ca="1">$M$271*$Z$271</f>
        <v>95886.215953449107</v>
      </c>
      <c r="AG271" s="6">
        <f>$O$271*$AA$271</f>
        <v>41726.000854406673</v>
      </c>
    </row>
    <row r="272" spans="1:33" ht="11.25" customHeight="1" x14ac:dyDescent="0.3">
      <c r="A272" s="4" t="s">
        <v>28</v>
      </c>
      <c r="B272" s="4" t="s">
        <v>39</v>
      </c>
      <c r="C272" s="4" t="s">
        <v>41</v>
      </c>
      <c r="D272" s="4" t="s">
        <v>42</v>
      </c>
      <c r="E272" s="4" t="s">
        <v>25</v>
      </c>
      <c r="F272" s="4" t="s">
        <v>25</v>
      </c>
      <c r="G272" s="4" t="s">
        <v>25</v>
      </c>
      <c r="H272" s="4" t="s">
        <v>34</v>
      </c>
      <c r="I272" s="5">
        <v>44713</v>
      </c>
      <c r="J272" s="6">
        <v>0</v>
      </c>
      <c r="K272" s="6">
        <v>0</v>
      </c>
      <c r="L272" s="6">
        <v>2.7690000000000001</v>
      </c>
      <c r="M272" s="6">
        <v>2.7690000000000001</v>
      </c>
      <c r="N272" s="6">
        <v>2.7690000000000001</v>
      </c>
      <c r="O272" s="6">
        <v>2.7690000000000001</v>
      </c>
      <c r="P272" s="6">
        <v>0</v>
      </c>
      <c r="Q272" s="4" t="s">
        <v>26</v>
      </c>
      <c r="R272" s="4">
        <v>0</v>
      </c>
      <c r="S272" s="6">
        <v>0</v>
      </c>
      <c r="T272" s="6">
        <v>8</v>
      </c>
      <c r="U272" s="6">
        <v>38</v>
      </c>
      <c r="V272" s="6">
        <f>IF(ISERROR(VLOOKUP($S$272,'TAR FIN'!$A$1:$O$113,15,0)),0,VLOOKUP($S$272,'TAR FIN'!$A$1:$O$113,15,0))</f>
        <v>0</v>
      </c>
      <c r="W272" s="6">
        <f>IF(ISERROR(VLOOKUP($T$272,'TAR FIN'!$A$1:$O$113,15,0)),0,VLOOKUP($T$272,'TAR FIN'!$A$1:$O$113,15,0))</f>
        <v>940.43</v>
      </c>
      <c r="X272" s="6">
        <f>IF(ISERROR(VLOOKUP($U$272,'TAR FIN'!$A$1:$O$113,15,0)),0,VLOOKUP($U$272,'TAR FIN'!$A$1:$O$113,15,0))</f>
        <v>442.86</v>
      </c>
      <c r="Y272" s="6"/>
      <c r="Z272" s="6">
        <f ca="1">('TUSD BE'!$AM$20+'TUSD BF'!$AM$20+'TUSD CVA'!$AM$20)*1</f>
        <v>1117.8285588949407</v>
      </c>
      <c r="AA272" s="6">
        <f>('TE BE'!$AB$9+'TE BF'!$AB$9+'TE CVA'!$AB$9)*1</f>
        <v>486.43608405794748</v>
      </c>
      <c r="AB272" s="6">
        <f>$K$272*$V$272</f>
        <v>0</v>
      </c>
      <c r="AC272" s="6">
        <f>$M$272*$W$272</f>
        <v>2604.0506700000001</v>
      </c>
      <c r="AD272" s="6">
        <f>$O$272*$X$272</f>
        <v>1226.27934</v>
      </c>
      <c r="AE272" s="6">
        <f>$K$272*$Y$272</f>
        <v>0</v>
      </c>
      <c r="AF272" s="6">
        <f ca="1">$M$272*$Z$272</f>
        <v>3095.2672795800909</v>
      </c>
      <c r="AG272" s="6">
        <f>$O$272*$AA$272</f>
        <v>1346.9415167564566</v>
      </c>
    </row>
    <row r="273" spans="1:33" ht="11.25" customHeight="1" x14ac:dyDescent="0.3">
      <c r="A273" s="4" t="s">
        <v>21</v>
      </c>
      <c r="B273" s="4" t="s">
        <v>39</v>
      </c>
      <c r="C273" s="4" t="s">
        <v>41</v>
      </c>
      <c r="D273" s="4" t="s">
        <v>42</v>
      </c>
      <c r="E273" s="4" t="s">
        <v>25</v>
      </c>
      <c r="F273" s="4" t="s">
        <v>25</v>
      </c>
      <c r="G273" s="4" t="s">
        <v>25</v>
      </c>
      <c r="H273" s="4" t="s">
        <v>34</v>
      </c>
      <c r="I273" s="5">
        <v>44743</v>
      </c>
      <c r="J273" s="6">
        <v>0</v>
      </c>
      <c r="K273" s="6">
        <v>0</v>
      </c>
      <c r="L273" s="6">
        <v>81.951999999999998</v>
      </c>
      <c r="M273" s="6">
        <v>81.951999999999998</v>
      </c>
      <c r="N273" s="6">
        <v>81.951999999999998</v>
      </c>
      <c r="O273" s="6">
        <v>81.951999999999998</v>
      </c>
      <c r="P273" s="6">
        <v>0</v>
      </c>
      <c r="Q273" s="4" t="s">
        <v>26</v>
      </c>
      <c r="R273" s="4">
        <v>0</v>
      </c>
      <c r="S273" s="6">
        <v>0</v>
      </c>
      <c r="T273" s="6">
        <v>8</v>
      </c>
      <c r="U273" s="6">
        <v>38</v>
      </c>
      <c r="V273" s="6">
        <f>IF(ISERROR(VLOOKUP($S$273,'TAR FIN'!$A$1:$O$113,15,0)),0,VLOOKUP($S$273,'TAR FIN'!$A$1:$O$113,15,0))</f>
        <v>0</v>
      </c>
      <c r="W273" s="6">
        <f>IF(ISERROR(VLOOKUP($T$273,'TAR FIN'!$A$1:$O$113,15,0)),0,VLOOKUP($T$273,'TAR FIN'!$A$1:$O$113,15,0))</f>
        <v>940.43</v>
      </c>
      <c r="X273" s="6">
        <f>IF(ISERROR(VLOOKUP($U$273,'TAR FIN'!$A$1:$O$113,15,0)),0,VLOOKUP($U$273,'TAR FIN'!$A$1:$O$113,15,0))</f>
        <v>442.86</v>
      </c>
      <c r="Y273" s="6"/>
      <c r="Z273" s="6">
        <f ca="1">('TUSD BE'!$AM$20+'TUSD BF'!$AM$20+'TUSD CVA'!$AM$20)*1</f>
        <v>1117.8285588949407</v>
      </c>
      <c r="AA273" s="6">
        <f>('TE BE'!$AB$9+'TE BF'!$AB$9+'TE CVA'!$AB$9)*1</f>
        <v>486.43608405794748</v>
      </c>
      <c r="AB273" s="6">
        <f>$K$273*$V$273</f>
        <v>0</v>
      </c>
      <c r="AC273" s="6">
        <f>$M$273*$W$273</f>
        <v>77070.119359999997</v>
      </c>
      <c r="AD273" s="6">
        <f>$O$273*$X$273</f>
        <v>36293.262719999999</v>
      </c>
      <c r="AE273" s="6">
        <f>$K$273*$Y$273</f>
        <v>0</v>
      </c>
      <c r="AF273" s="6">
        <f ca="1">$M$273*$Z$273</f>
        <v>91608.28605855818</v>
      </c>
      <c r="AG273" s="6">
        <f>$O$273*$AA$273</f>
        <v>39864.409960716912</v>
      </c>
    </row>
    <row r="274" spans="1:33" ht="11.25" customHeight="1" x14ac:dyDescent="0.3">
      <c r="A274" s="4" t="s">
        <v>21</v>
      </c>
      <c r="B274" s="4" t="s">
        <v>39</v>
      </c>
      <c r="C274" s="4" t="s">
        <v>41</v>
      </c>
      <c r="D274" s="4" t="s">
        <v>42</v>
      </c>
      <c r="E274" s="4" t="s">
        <v>25</v>
      </c>
      <c r="F274" s="4" t="s">
        <v>25</v>
      </c>
      <c r="G274" s="4" t="s">
        <v>25</v>
      </c>
      <c r="H274" s="4" t="s">
        <v>34</v>
      </c>
      <c r="I274" s="5">
        <v>44774</v>
      </c>
      <c r="J274" s="6">
        <v>0</v>
      </c>
      <c r="K274" s="6">
        <v>0</v>
      </c>
      <c r="L274" s="6">
        <v>84.757999999999996</v>
      </c>
      <c r="M274" s="6">
        <v>84.757999999999996</v>
      </c>
      <c r="N274" s="6">
        <v>84.757999999999996</v>
      </c>
      <c r="O274" s="6">
        <v>84.757999999999996</v>
      </c>
      <c r="P274" s="6">
        <v>0</v>
      </c>
      <c r="Q274" s="4" t="s">
        <v>26</v>
      </c>
      <c r="R274" s="4">
        <v>0</v>
      </c>
      <c r="S274" s="6">
        <v>0</v>
      </c>
      <c r="T274" s="6">
        <v>8</v>
      </c>
      <c r="U274" s="6">
        <v>38</v>
      </c>
      <c r="V274" s="6">
        <f>IF(ISERROR(VLOOKUP($S$274,'TAR FIN'!$A$1:$O$113,15,0)),0,VLOOKUP($S$274,'TAR FIN'!$A$1:$O$113,15,0))</f>
        <v>0</v>
      </c>
      <c r="W274" s="6">
        <f>IF(ISERROR(VLOOKUP($T$274,'TAR FIN'!$A$1:$O$113,15,0)),0,VLOOKUP($T$274,'TAR FIN'!$A$1:$O$113,15,0))</f>
        <v>940.43</v>
      </c>
      <c r="X274" s="6">
        <f>IF(ISERROR(VLOOKUP($U$274,'TAR FIN'!$A$1:$O$113,15,0)),0,VLOOKUP($U$274,'TAR FIN'!$A$1:$O$113,15,0))</f>
        <v>442.86</v>
      </c>
      <c r="Y274" s="6"/>
      <c r="Z274" s="6">
        <f ca="1">('TUSD BE'!$AM$20+'TUSD BF'!$AM$20+'TUSD CVA'!$AM$20)*1</f>
        <v>1117.8285588949407</v>
      </c>
      <c r="AA274" s="6">
        <f>('TE BE'!$AB$9+'TE BF'!$AB$9+'TE CVA'!$AB$9)*1</f>
        <v>486.43608405794748</v>
      </c>
      <c r="AB274" s="6">
        <f>$K$274*$V$274</f>
        <v>0</v>
      </c>
      <c r="AC274" s="6">
        <f>$M$274*$W$274</f>
        <v>79708.965939999995</v>
      </c>
      <c r="AD274" s="6">
        <f>$O$274*$X$274</f>
        <v>37535.927879999996</v>
      </c>
      <c r="AE274" s="6">
        <f>$K$274*$Y$274</f>
        <v>0</v>
      </c>
      <c r="AF274" s="6">
        <f ca="1">$M$274*$Z$274</f>
        <v>94744.91299481738</v>
      </c>
      <c r="AG274" s="6">
        <f>$O$274*$AA$274</f>
        <v>41229.349612583508</v>
      </c>
    </row>
    <row r="275" spans="1:33" ht="11.25" customHeight="1" x14ac:dyDescent="0.3">
      <c r="A275" s="4" t="s">
        <v>28</v>
      </c>
      <c r="B275" s="4" t="s">
        <v>39</v>
      </c>
      <c r="C275" s="4" t="s">
        <v>41</v>
      </c>
      <c r="D275" s="4" t="s">
        <v>42</v>
      </c>
      <c r="E275" s="4" t="s">
        <v>25</v>
      </c>
      <c r="F275" s="4" t="s">
        <v>25</v>
      </c>
      <c r="G275" s="4" t="s">
        <v>25</v>
      </c>
      <c r="H275" s="4" t="s">
        <v>34</v>
      </c>
      <c r="I275" s="5">
        <v>44774</v>
      </c>
      <c r="J275" s="6">
        <v>0</v>
      </c>
      <c r="K275" s="6">
        <v>0</v>
      </c>
      <c r="L275" s="6">
        <v>2.94</v>
      </c>
      <c r="M275" s="6">
        <v>2.94</v>
      </c>
      <c r="N275" s="6">
        <v>2.94</v>
      </c>
      <c r="O275" s="6">
        <v>2.94</v>
      </c>
      <c r="P275" s="6">
        <v>0</v>
      </c>
      <c r="Q275" s="4" t="s">
        <v>26</v>
      </c>
      <c r="R275" s="4">
        <v>0</v>
      </c>
      <c r="S275" s="6">
        <v>0</v>
      </c>
      <c r="T275" s="6">
        <v>8</v>
      </c>
      <c r="U275" s="6">
        <v>38</v>
      </c>
      <c r="V275" s="6">
        <f>IF(ISERROR(VLOOKUP($S$275,'TAR FIN'!$A$1:$O$113,15,0)),0,VLOOKUP($S$275,'TAR FIN'!$A$1:$O$113,15,0))</f>
        <v>0</v>
      </c>
      <c r="W275" s="6">
        <f>IF(ISERROR(VLOOKUP($T$275,'TAR FIN'!$A$1:$O$113,15,0)),0,VLOOKUP($T$275,'TAR FIN'!$A$1:$O$113,15,0))</f>
        <v>940.43</v>
      </c>
      <c r="X275" s="6">
        <f>IF(ISERROR(VLOOKUP($U$275,'TAR FIN'!$A$1:$O$113,15,0)),0,VLOOKUP($U$275,'TAR FIN'!$A$1:$O$113,15,0))</f>
        <v>442.86</v>
      </c>
      <c r="Y275" s="6"/>
      <c r="Z275" s="6">
        <f ca="1">('TUSD BE'!$AM$20+'TUSD BF'!$AM$20+'TUSD CVA'!$AM$20)*1</f>
        <v>1117.8285588949407</v>
      </c>
      <c r="AA275" s="6">
        <f>('TE BE'!$AB$9+'TE BF'!$AB$9+'TE CVA'!$AB$9)*1</f>
        <v>486.43608405794748</v>
      </c>
      <c r="AB275" s="6">
        <f>$K$275*$V$275</f>
        <v>0</v>
      </c>
      <c r="AC275" s="6">
        <f>$M$275*$W$275</f>
        <v>2764.8642</v>
      </c>
      <c r="AD275" s="6">
        <f>$O$275*$X$275</f>
        <v>1302.0083999999999</v>
      </c>
      <c r="AE275" s="6">
        <f>$K$275*$Y$275</f>
        <v>0</v>
      </c>
      <c r="AF275" s="6">
        <f ca="1">$M$275*$Z$275</f>
        <v>3286.4159631511257</v>
      </c>
      <c r="AG275" s="6">
        <f>$O$275*$AA$275</f>
        <v>1430.1220871303656</v>
      </c>
    </row>
    <row r="276" spans="1:33" ht="11.25" customHeight="1" x14ac:dyDescent="0.3">
      <c r="A276" s="4" t="s">
        <v>21</v>
      </c>
      <c r="B276" s="4" t="s">
        <v>39</v>
      </c>
      <c r="C276" s="4" t="s">
        <v>41</v>
      </c>
      <c r="D276" s="4" t="s">
        <v>42</v>
      </c>
      <c r="E276" s="4" t="s">
        <v>25</v>
      </c>
      <c r="F276" s="4" t="s">
        <v>25</v>
      </c>
      <c r="G276" s="4" t="s">
        <v>25</v>
      </c>
      <c r="H276" s="4" t="s">
        <v>34</v>
      </c>
      <c r="I276" s="5">
        <v>44805</v>
      </c>
      <c r="J276" s="6">
        <v>0</v>
      </c>
      <c r="K276" s="6">
        <v>0</v>
      </c>
      <c r="L276" s="6">
        <v>83.126999999999995</v>
      </c>
      <c r="M276" s="6">
        <v>83.126999999999995</v>
      </c>
      <c r="N276" s="6">
        <v>83.126999999999995</v>
      </c>
      <c r="O276" s="6">
        <v>83.126999999999995</v>
      </c>
      <c r="P276" s="6">
        <v>0</v>
      </c>
      <c r="Q276" s="4" t="s">
        <v>26</v>
      </c>
      <c r="R276" s="4">
        <v>0</v>
      </c>
      <c r="S276" s="6">
        <v>0</v>
      </c>
      <c r="T276" s="6">
        <v>8</v>
      </c>
      <c r="U276" s="6">
        <v>38</v>
      </c>
      <c r="V276" s="6">
        <f>IF(ISERROR(VLOOKUP($S$276,'TAR FIN'!$A$1:$O$113,15,0)),0,VLOOKUP($S$276,'TAR FIN'!$A$1:$O$113,15,0))</f>
        <v>0</v>
      </c>
      <c r="W276" s="6">
        <f>IF(ISERROR(VLOOKUP($T$276,'TAR FIN'!$A$1:$O$113,15,0)),0,VLOOKUP($T$276,'TAR FIN'!$A$1:$O$113,15,0))</f>
        <v>940.43</v>
      </c>
      <c r="X276" s="6">
        <f>IF(ISERROR(VLOOKUP($U$276,'TAR FIN'!$A$1:$O$113,15,0)),0,VLOOKUP($U$276,'TAR FIN'!$A$1:$O$113,15,0))</f>
        <v>442.86</v>
      </c>
      <c r="Y276" s="6"/>
      <c r="Z276" s="6">
        <f ca="1">('TUSD BE'!$AM$20+'TUSD BF'!$AM$20+'TUSD CVA'!$AM$20)*1</f>
        <v>1117.8285588949407</v>
      </c>
      <c r="AA276" s="6">
        <f>('TE BE'!$AB$9+'TE BF'!$AB$9+'TE CVA'!$AB$9)*1</f>
        <v>486.43608405794748</v>
      </c>
      <c r="AB276" s="6">
        <f>$K$276*$V$276</f>
        <v>0</v>
      </c>
      <c r="AC276" s="6">
        <f>$M$276*$W$276</f>
        <v>78175.124609999984</v>
      </c>
      <c r="AD276" s="6">
        <f>$O$276*$X$276</f>
        <v>36813.623220000001</v>
      </c>
      <c r="AE276" s="6">
        <f>$K$276*$Y$276</f>
        <v>0</v>
      </c>
      <c r="AF276" s="6">
        <f ca="1">$M$276*$Z$276</f>
        <v>92921.734615259731</v>
      </c>
      <c r="AG276" s="6">
        <f>$O$276*$AA$276</f>
        <v>40435.972359485</v>
      </c>
    </row>
    <row r="277" spans="1:33" ht="11.25" customHeight="1" x14ac:dyDescent="0.3">
      <c r="A277" s="4" t="s">
        <v>27</v>
      </c>
      <c r="B277" s="4" t="s">
        <v>39</v>
      </c>
      <c r="C277" s="4" t="s">
        <v>41</v>
      </c>
      <c r="D277" s="4" t="s">
        <v>42</v>
      </c>
      <c r="E277" s="4" t="s">
        <v>25</v>
      </c>
      <c r="F277" s="4" t="s">
        <v>25</v>
      </c>
      <c r="G277" s="4" t="s">
        <v>25</v>
      </c>
      <c r="H277" s="4" t="s">
        <v>34</v>
      </c>
      <c r="I277" s="5">
        <v>44805</v>
      </c>
      <c r="J277" s="6">
        <v>0</v>
      </c>
      <c r="K277" s="6">
        <v>0</v>
      </c>
      <c r="L277" s="6">
        <v>-0.36899999999999999</v>
      </c>
      <c r="M277" s="6">
        <v>-0.36899999999999999</v>
      </c>
      <c r="N277" s="6">
        <v>-0.36899999999999999</v>
      </c>
      <c r="O277" s="6">
        <v>-0.36899999999999999</v>
      </c>
      <c r="P277" s="6">
        <v>0</v>
      </c>
      <c r="Q277" s="4" t="s">
        <v>26</v>
      </c>
      <c r="R277" s="4">
        <v>0</v>
      </c>
      <c r="S277" s="6">
        <v>0</v>
      </c>
      <c r="T277" s="6">
        <v>8</v>
      </c>
      <c r="U277" s="6">
        <v>38</v>
      </c>
      <c r="V277" s="6">
        <f>IF(ISERROR(VLOOKUP($S$277,'TAR FIN'!$A$1:$O$113,15,0)),0,VLOOKUP($S$277,'TAR FIN'!$A$1:$O$113,15,0))</f>
        <v>0</v>
      </c>
      <c r="W277" s="6">
        <f>IF(ISERROR(VLOOKUP($T$277,'TAR FIN'!$A$1:$O$113,15,0)),0,VLOOKUP($T$277,'TAR FIN'!$A$1:$O$113,15,0))</f>
        <v>940.43</v>
      </c>
      <c r="X277" s="6">
        <f>IF(ISERROR(VLOOKUP($U$277,'TAR FIN'!$A$1:$O$113,15,0)),0,VLOOKUP($U$277,'TAR FIN'!$A$1:$O$113,15,0))</f>
        <v>442.86</v>
      </c>
      <c r="Y277" s="6"/>
      <c r="Z277" s="6">
        <f ca="1">('TUSD BE'!$AM$20+'TUSD BF'!$AM$20+'TUSD CVA'!$AM$20)*1</f>
        <v>1117.8285588949407</v>
      </c>
      <c r="AA277" s="6">
        <f>('TE BE'!$AB$9+'TE BF'!$AB$9+'TE CVA'!$AB$9)*1</f>
        <v>486.43608405794748</v>
      </c>
      <c r="AB277" s="6">
        <f>$K$277*$V$277</f>
        <v>0</v>
      </c>
      <c r="AC277" s="6">
        <f>$M$277*$W$277</f>
        <v>-347.01866999999999</v>
      </c>
      <c r="AD277" s="6">
        <f>$O$277*$X$277</f>
        <v>-163.41534000000001</v>
      </c>
      <c r="AE277" s="6">
        <f>$K$277*$Y$277</f>
        <v>0</v>
      </c>
      <c r="AF277" s="6">
        <f ca="1">$M$277*$Z$277</f>
        <v>-412.47873823223313</v>
      </c>
      <c r="AG277" s="6">
        <f>$O$277*$AA$277</f>
        <v>-179.49491501738262</v>
      </c>
    </row>
    <row r="278" spans="1:33" ht="11.25" customHeight="1" x14ac:dyDescent="0.3">
      <c r="A278" s="4" t="s">
        <v>28</v>
      </c>
      <c r="B278" s="4" t="s">
        <v>39</v>
      </c>
      <c r="C278" s="4" t="s">
        <v>41</v>
      </c>
      <c r="D278" s="4" t="s">
        <v>42</v>
      </c>
      <c r="E278" s="4" t="s">
        <v>25</v>
      </c>
      <c r="F278" s="4" t="s">
        <v>25</v>
      </c>
      <c r="G278" s="4" t="s">
        <v>25</v>
      </c>
      <c r="H278" s="4" t="s">
        <v>34</v>
      </c>
      <c r="I278" s="5">
        <v>44805</v>
      </c>
      <c r="J278" s="6">
        <v>0</v>
      </c>
      <c r="K278" s="6">
        <v>0</v>
      </c>
      <c r="L278" s="6">
        <v>3.1859999999999999</v>
      </c>
      <c r="M278" s="6">
        <v>3.1859999999999999</v>
      </c>
      <c r="N278" s="6">
        <v>3.1859999999999999</v>
      </c>
      <c r="O278" s="6">
        <v>3.1859999999999999</v>
      </c>
      <c r="P278" s="6">
        <v>0</v>
      </c>
      <c r="Q278" s="4" t="s">
        <v>26</v>
      </c>
      <c r="R278" s="4">
        <v>0</v>
      </c>
      <c r="S278" s="6">
        <v>0</v>
      </c>
      <c r="T278" s="6">
        <v>8</v>
      </c>
      <c r="U278" s="6">
        <v>38</v>
      </c>
      <c r="V278" s="6">
        <f>IF(ISERROR(VLOOKUP($S$278,'TAR FIN'!$A$1:$O$113,15,0)),0,VLOOKUP($S$278,'TAR FIN'!$A$1:$O$113,15,0))</f>
        <v>0</v>
      </c>
      <c r="W278" s="6">
        <f>IF(ISERROR(VLOOKUP($T$278,'TAR FIN'!$A$1:$O$113,15,0)),0,VLOOKUP($T$278,'TAR FIN'!$A$1:$O$113,15,0))</f>
        <v>940.43</v>
      </c>
      <c r="X278" s="6">
        <f>IF(ISERROR(VLOOKUP($U$278,'TAR FIN'!$A$1:$O$113,15,0)),0,VLOOKUP($U$278,'TAR FIN'!$A$1:$O$113,15,0))</f>
        <v>442.86</v>
      </c>
      <c r="Y278" s="6"/>
      <c r="Z278" s="6">
        <f ca="1">('TUSD BE'!$AM$20+'TUSD BF'!$AM$20+'TUSD CVA'!$AM$20)*1</f>
        <v>1117.8285588949407</v>
      </c>
      <c r="AA278" s="6">
        <f>('TE BE'!$AB$9+'TE BF'!$AB$9+'TE CVA'!$AB$9)*1</f>
        <v>486.43608405794748</v>
      </c>
      <c r="AB278" s="6">
        <f>$K$278*$V$278</f>
        <v>0</v>
      </c>
      <c r="AC278" s="6">
        <f>$M$278*$W$278</f>
        <v>2996.2099799999996</v>
      </c>
      <c r="AD278" s="6">
        <f>$O$278*$X$278</f>
        <v>1410.9519600000001</v>
      </c>
      <c r="AE278" s="6">
        <f>$K$278*$Y$278</f>
        <v>0</v>
      </c>
      <c r="AF278" s="6">
        <f ca="1">$M$278*$Z$278</f>
        <v>3561.4017886392808</v>
      </c>
      <c r="AG278" s="6">
        <f>$O$278*$AA$278</f>
        <v>1549.7853638086206</v>
      </c>
    </row>
    <row r="279" spans="1:33" ht="11.25" customHeight="1" x14ac:dyDescent="0.3">
      <c r="A279" s="4" t="s">
        <v>53</v>
      </c>
      <c r="B279" s="4" t="s">
        <v>39</v>
      </c>
      <c r="C279" s="4" t="s">
        <v>41</v>
      </c>
      <c r="D279" s="4" t="s">
        <v>42</v>
      </c>
      <c r="E279" s="4" t="s">
        <v>25</v>
      </c>
      <c r="F279" s="4" t="s">
        <v>25</v>
      </c>
      <c r="G279" s="4" t="s">
        <v>25</v>
      </c>
      <c r="H279" s="4" t="s">
        <v>34</v>
      </c>
      <c r="I279" s="5">
        <v>44835</v>
      </c>
      <c r="J279" s="6">
        <v>0</v>
      </c>
      <c r="K279" s="6">
        <v>0</v>
      </c>
      <c r="L279" s="6">
        <v>83.126999999999995</v>
      </c>
      <c r="M279" s="6">
        <v>83.126999999999995</v>
      </c>
      <c r="N279" s="6">
        <v>83.126999999999995</v>
      </c>
      <c r="O279" s="6">
        <v>83.126999999999995</v>
      </c>
      <c r="P279" s="6">
        <v>0</v>
      </c>
      <c r="Q279" s="4" t="s">
        <v>26</v>
      </c>
      <c r="R279" s="4">
        <v>0</v>
      </c>
      <c r="S279" s="6">
        <v>0</v>
      </c>
      <c r="T279" s="6">
        <v>8</v>
      </c>
      <c r="U279" s="6">
        <v>38</v>
      </c>
      <c r="V279" s="6">
        <f>IF(ISERROR(VLOOKUP($S$279,'TAR FIN'!$A$1:$O$113,15,0)),0,VLOOKUP($S$279,'TAR FIN'!$A$1:$O$113,15,0))</f>
        <v>0</v>
      </c>
      <c r="W279" s="6">
        <f>IF(ISERROR(VLOOKUP($T$279,'TAR FIN'!$A$1:$O$113,15,0)),0,VLOOKUP($T$279,'TAR FIN'!$A$1:$O$113,15,0))</f>
        <v>940.43</v>
      </c>
      <c r="X279" s="6">
        <f>IF(ISERROR(VLOOKUP($U$279,'TAR FIN'!$A$1:$O$113,15,0)),0,VLOOKUP($U$279,'TAR FIN'!$A$1:$O$113,15,0))</f>
        <v>442.86</v>
      </c>
      <c r="Y279" s="6"/>
      <c r="Z279" s="6">
        <f ca="1">('TUSD BE'!$AM$20+'TUSD BF'!$AM$20+'TUSD CVA'!$AM$20)*1</f>
        <v>1117.8285588949407</v>
      </c>
      <c r="AA279" s="6">
        <f>('TE BE'!$AB$9+'TE BF'!$AB$9+'TE CVA'!$AB$9)*1</f>
        <v>486.43608405794748</v>
      </c>
      <c r="AB279" s="6">
        <f>$K$279*$V$279</f>
        <v>0</v>
      </c>
      <c r="AC279" s="6">
        <f>$M$279*$W$279</f>
        <v>78175.124609999984</v>
      </c>
      <c r="AD279" s="6">
        <f>$O$279*$X$279</f>
        <v>36813.623220000001</v>
      </c>
      <c r="AE279" s="6">
        <f>$K$279*$Y$279</f>
        <v>0</v>
      </c>
      <c r="AF279" s="6">
        <f ca="1">$M$279*$Z$279</f>
        <v>92921.734615259731</v>
      </c>
      <c r="AG279" s="6">
        <f>$O$279*$AA$279</f>
        <v>40435.972359485</v>
      </c>
    </row>
    <row r="280" spans="1:33" ht="11.25" customHeight="1" x14ac:dyDescent="0.3">
      <c r="A280" s="4" t="s">
        <v>53</v>
      </c>
      <c r="B280" s="4" t="s">
        <v>39</v>
      </c>
      <c r="C280" s="4" t="s">
        <v>41</v>
      </c>
      <c r="D280" s="4" t="s">
        <v>42</v>
      </c>
      <c r="E280" s="4" t="s">
        <v>25</v>
      </c>
      <c r="F280" s="4" t="s">
        <v>25</v>
      </c>
      <c r="G280" s="4" t="s">
        <v>25</v>
      </c>
      <c r="H280" s="4" t="s">
        <v>34</v>
      </c>
      <c r="I280" s="5">
        <v>44835</v>
      </c>
      <c r="J280" s="6">
        <v>0</v>
      </c>
      <c r="K280" s="6">
        <v>0</v>
      </c>
      <c r="L280" s="6">
        <v>-0.36899999999999999</v>
      </c>
      <c r="M280" s="6">
        <v>-0.36899999999999999</v>
      </c>
      <c r="N280" s="6">
        <v>-0.36899999999999999</v>
      </c>
      <c r="O280" s="6">
        <v>-0.36899999999999999</v>
      </c>
      <c r="P280" s="6">
        <v>0</v>
      </c>
      <c r="Q280" s="4" t="s">
        <v>26</v>
      </c>
      <c r="R280" s="4">
        <v>0</v>
      </c>
      <c r="S280" s="6">
        <v>0</v>
      </c>
      <c r="T280" s="6">
        <v>8</v>
      </c>
      <c r="U280" s="6">
        <v>38</v>
      </c>
      <c r="V280" s="6">
        <f>IF(ISERROR(VLOOKUP($S$280,'TAR FIN'!$A$1:$O$113,15,0)),0,VLOOKUP($S$280,'TAR FIN'!$A$1:$O$113,15,0))</f>
        <v>0</v>
      </c>
      <c r="W280" s="6">
        <f>IF(ISERROR(VLOOKUP($T$280,'TAR FIN'!$A$1:$O$113,15,0)),0,VLOOKUP($T$280,'TAR FIN'!$A$1:$O$113,15,0))</f>
        <v>940.43</v>
      </c>
      <c r="X280" s="6">
        <f>IF(ISERROR(VLOOKUP($U$280,'TAR FIN'!$A$1:$O$113,15,0)),0,VLOOKUP($U$280,'TAR FIN'!$A$1:$O$113,15,0))</f>
        <v>442.86</v>
      </c>
      <c r="Y280" s="6"/>
      <c r="Z280" s="6">
        <f ca="1">('TUSD BE'!$AM$20+'TUSD BF'!$AM$20+'TUSD CVA'!$AM$20)*1</f>
        <v>1117.8285588949407</v>
      </c>
      <c r="AA280" s="6">
        <f>('TE BE'!$AB$9+'TE BF'!$AB$9+'TE CVA'!$AB$9)*1</f>
        <v>486.43608405794748</v>
      </c>
      <c r="AB280" s="6">
        <f>$K$280*$V$280</f>
        <v>0</v>
      </c>
      <c r="AC280" s="6">
        <f>$M$280*$W$280</f>
        <v>-347.01866999999999</v>
      </c>
      <c r="AD280" s="6">
        <f>$O$280*$X$280</f>
        <v>-163.41534000000001</v>
      </c>
      <c r="AE280" s="6">
        <f>$K$280*$Y$280</f>
        <v>0</v>
      </c>
      <c r="AF280" s="6">
        <f ca="1">$M$280*$Z$280</f>
        <v>-412.47873823223313</v>
      </c>
      <c r="AG280" s="6">
        <f>$O$280*$AA$280</f>
        <v>-179.49491501738262</v>
      </c>
    </row>
    <row r="281" spans="1:33" ht="11.25" customHeight="1" x14ac:dyDescent="0.3">
      <c r="A281" s="4" t="s">
        <v>53</v>
      </c>
      <c r="B281" s="4" t="s">
        <v>39</v>
      </c>
      <c r="C281" s="4" t="s">
        <v>41</v>
      </c>
      <c r="D281" s="4" t="s">
        <v>42</v>
      </c>
      <c r="E281" s="4" t="s">
        <v>25</v>
      </c>
      <c r="F281" s="4" t="s">
        <v>25</v>
      </c>
      <c r="G281" s="4" t="s">
        <v>25</v>
      </c>
      <c r="H281" s="4" t="s">
        <v>34</v>
      </c>
      <c r="I281" s="5">
        <v>44835</v>
      </c>
      <c r="J281" s="6">
        <v>0</v>
      </c>
      <c r="K281" s="6">
        <v>0</v>
      </c>
      <c r="L281" s="6">
        <v>3.1859999999999999</v>
      </c>
      <c r="M281" s="6">
        <v>3.1859999999999999</v>
      </c>
      <c r="N281" s="6">
        <v>3.1859999999999999</v>
      </c>
      <c r="O281" s="6">
        <v>3.1859999999999999</v>
      </c>
      <c r="P281" s="6">
        <v>0</v>
      </c>
      <c r="Q281" s="4" t="s">
        <v>26</v>
      </c>
      <c r="R281" s="4">
        <v>0</v>
      </c>
      <c r="S281" s="6">
        <v>0</v>
      </c>
      <c r="T281" s="6">
        <v>8</v>
      </c>
      <c r="U281" s="6">
        <v>38</v>
      </c>
      <c r="V281" s="6">
        <f>IF(ISERROR(VLOOKUP($S$281,'TAR FIN'!$A$1:$O$113,15,0)),0,VLOOKUP($S$281,'TAR FIN'!$A$1:$O$113,15,0))</f>
        <v>0</v>
      </c>
      <c r="W281" s="6">
        <f>IF(ISERROR(VLOOKUP($T$281,'TAR FIN'!$A$1:$O$113,15,0)),0,VLOOKUP($T$281,'TAR FIN'!$A$1:$O$113,15,0))</f>
        <v>940.43</v>
      </c>
      <c r="X281" s="6">
        <f>IF(ISERROR(VLOOKUP($U$281,'TAR FIN'!$A$1:$O$113,15,0)),0,VLOOKUP($U$281,'TAR FIN'!$A$1:$O$113,15,0))</f>
        <v>442.86</v>
      </c>
      <c r="Y281" s="6"/>
      <c r="Z281" s="6">
        <f ca="1">('TUSD BE'!$AM$20+'TUSD BF'!$AM$20+'TUSD CVA'!$AM$20)*1</f>
        <v>1117.8285588949407</v>
      </c>
      <c r="AA281" s="6">
        <f>('TE BE'!$AB$9+'TE BF'!$AB$9+'TE CVA'!$AB$9)*1</f>
        <v>486.43608405794748</v>
      </c>
      <c r="AB281" s="6">
        <f>$K$281*$V$281</f>
        <v>0</v>
      </c>
      <c r="AC281" s="6">
        <f>$M$281*$W$281</f>
        <v>2996.2099799999996</v>
      </c>
      <c r="AD281" s="6">
        <f>$O$281*$X$281</f>
        <v>1410.9519600000001</v>
      </c>
      <c r="AE281" s="6">
        <f>$K$281*$Y$281</f>
        <v>0</v>
      </c>
      <c r="AF281" s="6">
        <f ca="1">$M$281*$Z$281</f>
        <v>3561.4017886392808</v>
      </c>
      <c r="AG281" s="6">
        <f>$O$281*$AA$281</f>
        <v>1549.7853638086206</v>
      </c>
    </row>
    <row r="282" spans="1:33" ht="11.25" customHeight="1" x14ac:dyDescent="0.3">
      <c r="A282" s="4" t="s">
        <v>21</v>
      </c>
      <c r="B282" s="4" t="s">
        <v>39</v>
      </c>
      <c r="C282" s="4" t="s">
        <v>41</v>
      </c>
      <c r="D282" s="4" t="s">
        <v>52</v>
      </c>
      <c r="E282" s="4" t="s">
        <v>25</v>
      </c>
      <c r="F282" s="4" t="s">
        <v>25</v>
      </c>
      <c r="G282" s="4" t="s">
        <v>25</v>
      </c>
      <c r="H282" s="4" t="s">
        <v>35</v>
      </c>
      <c r="I282" s="5">
        <v>44501</v>
      </c>
      <c r="J282" s="6">
        <v>0</v>
      </c>
      <c r="K282" s="6">
        <v>0</v>
      </c>
      <c r="L282" s="6">
        <v>44.383000000000003</v>
      </c>
      <c r="M282" s="6">
        <v>44.383000000000003</v>
      </c>
      <c r="N282" s="6">
        <v>44.383000000000003</v>
      </c>
      <c r="O282" s="6">
        <v>44.383000000000003</v>
      </c>
      <c r="P282" s="6">
        <v>0</v>
      </c>
      <c r="Q282" s="4" t="s">
        <v>26</v>
      </c>
      <c r="R282" s="4">
        <v>0</v>
      </c>
      <c r="S282" s="6">
        <v>0</v>
      </c>
      <c r="T282" s="6">
        <v>6</v>
      </c>
      <c r="U282" s="6">
        <v>61</v>
      </c>
      <c r="V282" s="6">
        <f>IF(ISERROR(VLOOKUP($S$282,'TAR FIN'!$A$1:$O$113,15,0)),0,VLOOKUP($S$282,'TAR FIN'!$A$1:$O$113,15,0))</f>
        <v>0</v>
      </c>
      <c r="W282" s="6">
        <f>IF(ISERROR(VLOOKUP($T$282,'TAR FIN'!$A$1:$O$113,15,0)),0,VLOOKUP($T$282,'TAR FIN'!$A$1:$O$113,15,0))</f>
        <v>72.150000000000006</v>
      </c>
      <c r="X282" s="6">
        <f>IF(ISERROR(VLOOKUP($U$282,'TAR FIN'!$A$1:$O$113,15,0)),0,VLOOKUP($U$282,'TAR FIN'!$A$1:$O$113,15,0))</f>
        <v>278.67</v>
      </c>
      <c r="Y282" s="6"/>
      <c r="Z282" s="6">
        <f ca="1">('TUSD BE'!$AM$21+'TUSD BF'!$AM$21+'TUSD CVA'!$AM$21)*1</f>
        <v>122.14055331663396</v>
      </c>
      <c r="AA282" s="6">
        <f>('TE BE'!$AB$10+'TE BF'!$AB$10+'TE CVA'!$AB$10)*1</f>
        <v>299.18055042718134</v>
      </c>
      <c r="AB282" s="6">
        <f>$K$282*$V$282</f>
        <v>0</v>
      </c>
      <c r="AC282" s="6">
        <f>$M$282*$W$282</f>
        <v>3202.2334500000006</v>
      </c>
      <c r="AD282" s="6">
        <f>$O$282*$X$282</f>
        <v>12368.210610000002</v>
      </c>
      <c r="AE282" s="6">
        <f>$K$282*$Y$282</f>
        <v>0</v>
      </c>
      <c r="AF282" s="6">
        <f ca="1">$M$282*$Z$282</f>
        <v>5420.9641778521654</v>
      </c>
      <c r="AG282" s="6">
        <f>$O$282*$AA$282</f>
        <v>13278.530369609591</v>
      </c>
    </row>
    <row r="283" spans="1:33" ht="11.25" customHeight="1" x14ac:dyDescent="0.3">
      <c r="A283" s="4" t="s">
        <v>21</v>
      </c>
      <c r="B283" s="4" t="s">
        <v>39</v>
      </c>
      <c r="C283" s="4" t="s">
        <v>41</v>
      </c>
      <c r="D283" s="4" t="s">
        <v>52</v>
      </c>
      <c r="E283" s="4" t="s">
        <v>25</v>
      </c>
      <c r="F283" s="4" t="s">
        <v>25</v>
      </c>
      <c r="G283" s="4" t="s">
        <v>25</v>
      </c>
      <c r="H283" s="4" t="s">
        <v>35</v>
      </c>
      <c r="I283" s="5">
        <v>44531</v>
      </c>
      <c r="J283" s="6">
        <v>0</v>
      </c>
      <c r="K283" s="6">
        <v>0</v>
      </c>
      <c r="L283" s="6">
        <v>41.969000000000001</v>
      </c>
      <c r="M283" s="6">
        <v>41.969000000000001</v>
      </c>
      <c r="N283" s="6">
        <v>41.969000000000001</v>
      </c>
      <c r="O283" s="6">
        <v>41.969000000000001</v>
      </c>
      <c r="P283" s="6">
        <v>0</v>
      </c>
      <c r="Q283" s="4" t="s">
        <v>26</v>
      </c>
      <c r="R283" s="4">
        <v>0</v>
      </c>
      <c r="S283" s="6">
        <v>0</v>
      </c>
      <c r="T283" s="6">
        <v>6</v>
      </c>
      <c r="U283" s="6">
        <v>61</v>
      </c>
      <c r="V283" s="6">
        <f>IF(ISERROR(VLOOKUP($S$283,'TAR FIN'!$A$1:$O$113,15,0)),0,VLOOKUP($S$283,'TAR FIN'!$A$1:$O$113,15,0))</f>
        <v>0</v>
      </c>
      <c r="W283" s="6">
        <f>IF(ISERROR(VLOOKUP($T$283,'TAR FIN'!$A$1:$O$113,15,0)),0,VLOOKUP($T$283,'TAR FIN'!$A$1:$O$113,15,0))</f>
        <v>72.150000000000006</v>
      </c>
      <c r="X283" s="6">
        <f>IF(ISERROR(VLOOKUP($U$283,'TAR FIN'!$A$1:$O$113,15,0)),0,VLOOKUP($U$283,'TAR FIN'!$A$1:$O$113,15,0))</f>
        <v>278.67</v>
      </c>
      <c r="Y283" s="6"/>
      <c r="Z283" s="6">
        <f ca="1">('TUSD BE'!$AM$21+'TUSD BF'!$AM$21+'TUSD CVA'!$AM$21)*1</f>
        <v>122.14055331663396</v>
      </c>
      <c r="AA283" s="6">
        <f>('TE BE'!$AB$10+'TE BF'!$AB$10+'TE CVA'!$AB$10)*1</f>
        <v>299.18055042718134</v>
      </c>
      <c r="AB283" s="6">
        <f>$K$283*$V$283</f>
        <v>0</v>
      </c>
      <c r="AC283" s="6">
        <f>$M$283*$W$283</f>
        <v>3028.0633500000004</v>
      </c>
      <c r="AD283" s="6">
        <f>$O$283*$X$283</f>
        <v>11695.501230000002</v>
      </c>
      <c r="AE283" s="6">
        <f>$K$283*$Y$283</f>
        <v>0</v>
      </c>
      <c r="AF283" s="6">
        <f ca="1">$M$283*$Z$283</f>
        <v>5126.1168821458105</v>
      </c>
      <c r="AG283" s="6">
        <f>$O$283*$AA$283</f>
        <v>12556.308520878374</v>
      </c>
    </row>
    <row r="284" spans="1:33" ht="11.25" customHeight="1" x14ac:dyDescent="0.3">
      <c r="A284" s="4" t="s">
        <v>21</v>
      </c>
      <c r="B284" s="4" t="s">
        <v>39</v>
      </c>
      <c r="C284" s="4" t="s">
        <v>41</v>
      </c>
      <c r="D284" s="4" t="s">
        <v>52</v>
      </c>
      <c r="E284" s="4" t="s">
        <v>25</v>
      </c>
      <c r="F284" s="4" t="s">
        <v>25</v>
      </c>
      <c r="G284" s="4" t="s">
        <v>25</v>
      </c>
      <c r="H284" s="4" t="s">
        <v>35</v>
      </c>
      <c r="I284" s="5">
        <v>44562</v>
      </c>
      <c r="J284" s="6">
        <v>0</v>
      </c>
      <c r="K284" s="6">
        <v>0</v>
      </c>
      <c r="L284" s="6">
        <v>46.014000000000003</v>
      </c>
      <c r="M284" s="6">
        <v>46.014000000000003</v>
      </c>
      <c r="N284" s="6">
        <v>46.014000000000003</v>
      </c>
      <c r="O284" s="6">
        <v>46.014000000000003</v>
      </c>
      <c r="P284" s="6">
        <v>0</v>
      </c>
      <c r="Q284" s="4" t="s">
        <v>26</v>
      </c>
      <c r="R284" s="4">
        <v>0</v>
      </c>
      <c r="S284" s="6">
        <v>0</v>
      </c>
      <c r="T284" s="6">
        <v>6</v>
      </c>
      <c r="U284" s="6">
        <v>61</v>
      </c>
      <c r="V284" s="6">
        <f>IF(ISERROR(VLOOKUP($S$284,'TAR FIN'!$A$1:$O$113,15,0)),0,VLOOKUP($S$284,'TAR FIN'!$A$1:$O$113,15,0))</f>
        <v>0</v>
      </c>
      <c r="W284" s="6">
        <f>IF(ISERROR(VLOOKUP($T$284,'TAR FIN'!$A$1:$O$113,15,0)),0,VLOOKUP($T$284,'TAR FIN'!$A$1:$O$113,15,0))</f>
        <v>72.150000000000006</v>
      </c>
      <c r="X284" s="6">
        <f>IF(ISERROR(VLOOKUP($U$284,'TAR FIN'!$A$1:$O$113,15,0)),0,VLOOKUP($U$284,'TAR FIN'!$A$1:$O$113,15,0))</f>
        <v>278.67</v>
      </c>
      <c r="Y284" s="6"/>
      <c r="Z284" s="6">
        <f ca="1">('TUSD BE'!$AM$21+'TUSD BF'!$AM$21+'TUSD CVA'!$AM$21)*1</f>
        <v>122.14055331663396</v>
      </c>
      <c r="AA284" s="6">
        <f>('TE BE'!$AB$10+'TE BF'!$AB$10+'TE CVA'!$AB$10)*1</f>
        <v>299.18055042718134</v>
      </c>
      <c r="AB284" s="6">
        <f>$K$284*$V$284</f>
        <v>0</v>
      </c>
      <c r="AC284" s="6">
        <f>$M$284*$W$284</f>
        <v>3319.9101000000005</v>
      </c>
      <c r="AD284" s="6">
        <f>$O$284*$X$284</f>
        <v>12822.721380000001</v>
      </c>
      <c r="AE284" s="6">
        <f>$K$284*$Y$284</f>
        <v>0</v>
      </c>
      <c r="AF284" s="6">
        <f ca="1">$M$284*$Z$284</f>
        <v>5620.1754203115952</v>
      </c>
      <c r="AG284" s="6">
        <f>$O$284*$AA$284</f>
        <v>13766.493847356323</v>
      </c>
    </row>
    <row r="285" spans="1:33" ht="11.25" customHeight="1" x14ac:dyDescent="0.3">
      <c r="A285" s="4" t="s">
        <v>21</v>
      </c>
      <c r="B285" s="4" t="s">
        <v>39</v>
      </c>
      <c r="C285" s="4" t="s">
        <v>41</v>
      </c>
      <c r="D285" s="4" t="s">
        <v>52</v>
      </c>
      <c r="E285" s="4" t="s">
        <v>25</v>
      </c>
      <c r="F285" s="4" t="s">
        <v>25</v>
      </c>
      <c r="G285" s="4" t="s">
        <v>25</v>
      </c>
      <c r="H285" s="4" t="s">
        <v>35</v>
      </c>
      <c r="I285" s="5">
        <v>44593</v>
      </c>
      <c r="J285" s="6">
        <v>0</v>
      </c>
      <c r="K285" s="6">
        <v>0</v>
      </c>
      <c r="L285" s="6">
        <v>46.798999999999999</v>
      </c>
      <c r="M285" s="6">
        <v>46.798999999999999</v>
      </c>
      <c r="N285" s="6">
        <v>46.798999999999999</v>
      </c>
      <c r="O285" s="6">
        <v>46.798999999999999</v>
      </c>
      <c r="P285" s="6">
        <v>0</v>
      </c>
      <c r="Q285" s="4" t="s">
        <v>26</v>
      </c>
      <c r="R285" s="4">
        <v>0</v>
      </c>
      <c r="S285" s="6">
        <v>0</v>
      </c>
      <c r="T285" s="6">
        <v>6</v>
      </c>
      <c r="U285" s="6">
        <v>61</v>
      </c>
      <c r="V285" s="6">
        <f>IF(ISERROR(VLOOKUP($S$285,'TAR FIN'!$A$1:$O$113,15,0)),0,VLOOKUP($S$285,'TAR FIN'!$A$1:$O$113,15,0))</f>
        <v>0</v>
      </c>
      <c r="W285" s="6">
        <f>IF(ISERROR(VLOOKUP($T$285,'TAR FIN'!$A$1:$O$113,15,0)),0,VLOOKUP($T$285,'TAR FIN'!$A$1:$O$113,15,0))</f>
        <v>72.150000000000006</v>
      </c>
      <c r="X285" s="6">
        <f>IF(ISERROR(VLOOKUP($U$285,'TAR FIN'!$A$1:$O$113,15,0)),0,VLOOKUP($U$285,'TAR FIN'!$A$1:$O$113,15,0))</f>
        <v>278.67</v>
      </c>
      <c r="Y285" s="6"/>
      <c r="Z285" s="6">
        <f ca="1">('TUSD BE'!$AM$21+'TUSD BF'!$AM$21+'TUSD CVA'!$AM$21)*1</f>
        <v>122.14055331663396</v>
      </c>
      <c r="AA285" s="6">
        <f>('TE BE'!$AB$10+'TE BF'!$AB$10+'TE CVA'!$AB$10)*1</f>
        <v>299.18055042718134</v>
      </c>
      <c r="AB285" s="6">
        <f>$K$285*$V$285</f>
        <v>0</v>
      </c>
      <c r="AC285" s="6">
        <f>$M$285*$W$285</f>
        <v>3376.5478500000004</v>
      </c>
      <c r="AD285" s="6">
        <f>$O$285*$X$285</f>
        <v>13041.47733</v>
      </c>
      <c r="AE285" s="6">
        <f>$K$285*$Y$285</f>
        <v>0</v>
      </c>
      <c r="AF285" s="6">
        <f ca="1">$M$285*$Z$285</f>
        <v>5716.0557546651526</v>
      </c>
      <c r="AG285" s="6">
        <f>$O$285*$AA$285</f>
        <v>14001.35057944166</v>
      </c>
    </row>
    <row r="286" spans="1:33" ht="11.25" customHeight="1" x14ac:dyDescent="0.3">
      <c r="A286" s="4" t="s">
        <v>21</v>
      </c>
      <c r="B286" s="4" t="s">
        <v>39</v>
      </c>
      <c r="C286" s="4" t="s">
        <v>41</v>
      </c>
      <c r="D286" s="4" t="s">
        <v>52</v>
      </c>
      <c r="E286" s="4" t="s">
        <v>25</v>
      </c>
      <c r="F286" s="4" t="s">
        <v>25</v>
      </c>
      <c r="G286" s="4" t="s">
        <v>25</v>
      </c>
      <c r="H286" s="4" t="s">
        <v>35</v>
      </c>
      <c r="I286" s="5">
        <v>44621</v>
      </c>
      <c r="J286" s="6">
        <v>0</v>
      </c>
      <c r="K286" s="6">
        <v>0</v>
      </c>
      <c r="L286" s="6">
        <v>41.585000000000001</v>
      </c>
      <c r="M286" s="6">
        <v>41.585000000000001</v>
      </c>
      <c r="N286" s="6">
        <v>41.585000000000001</v>
      </c>
      <c r="O286" s="6">
        <v>41.585000000000001</v>
      </c>
      <c r="P286" s="6">
        <v>0</v>
      </c>
      <c r="Q286" s="4" t="s">
        <v>26</v>
      </c>
      <c r="R286" s="4">
        <v>0</v>
      </c>
      <c r="S286" s="6">
        <v>0</v>
      </c>
      <c r="T286" s="6">
        <v>6</v>
      </c>
      <c r="U286" s="6">
        <v>61</v>
      </c>
      <c r="V286" s="6">
        <f>IF(ISERROR(VLOOKUP($S$286,'TAR FIN'!$A$1:$O$113,15,0)),0,VLOOKUP($S$286,'TAR FIN'!$A$1:$O$113,15,0))</f>
        <v>0</v>
      </c>
      <c r="W286" s="6">
        <f>IF(ISERROR(VLOOKUP($T$286,'TAR FIN'!$A$1:$O$113,15,0)),0,VLOOKUP($T$286,'TAR FIN'!$A$1:$O$113,15,0))</f>
        <v>72.150000000000006</v>
      </c>
      <c r="X286" s="6">
        <f>IF(ISERROR(VLOOKUP($U$286,'TAR FIN'!$A$1:$O$113,15,0)),0,VLOOKUP($U$286,'TAR FIN'!$A$1:$O$113,15,0))</f>
        <v>278.67</v>
      </c>
      <c r="Y286" s="6"/>
      <c r="Z286" s="6">
        <f ca="1">('TUSD BE'!$AM$21+'TUSD BF'!$AM$21+'TUSD CVA'!$AM$21)*1</f>
        <v>122.14055331663396</v>
      </c>
      <c r="AA286" s="6">
        <f>('TE BE'!$AB$10+'TE BF'!$AB$10+'TE CVA'!$AB$10)*1</f>
        <v>299.18055042718134</v>
      </c>
      <c r="AB286" s="6">
        <f>$K$286*$V$286</f>
        <v>0</v>
      </c>
      <c r="AC286" s="6">
        <f>$M$286*$W$286</f>
        <v>3000.3577500000001</v>
      </c>
      <c r="AD286" s="6">
        <f>$O$286*$X$286</f>
        <v>11588.491950000001</v>
      </c>
      <c r="AE286" s="6">
        <f>$K$286*$Y$286</f>
        <v>0</v>
      </c>
      <c r="AF286" s="6">
        <f ca="1">$M$286*$Z$286</f>
        <v>5079.2149096722233</v>
      </c>
      <c r="AG286" s="6">
        <f>$O$286*$AA$286</f>
        <v>12441.423189514337</v>
      </c>
    </row>
    <row r="287" spans="1:33" ht="11.25" customHeight="1" x14ac:dyDescent="0.3">
      <c r="A287" s="4" t="s">
        <v>21</v>
      </c>
      <c r="B287" s="4" t="s">
        <v>39</v>
      </c>
      <c r="C287" s="4" t="s">
        <v>41</v>
      </c>
      <c r="D287" s="4" t="s">
        <v>52</v>
      </c>
      <c r="E287" s="4" t="s">
        <v>25</v>
      </c>
      <c r="F287" s="4" t="s">
        <v>25</v>
      </c>
      <c r="G287" s="4" t="s">
        <v>25</v>
      </c>
      <c r="H287" s="4" t="s">
        <v>35</v>
      </c>
      <c r="I287" s="5">
        <v>44652</v>
      </c>
      <c r="J287" s="6">
        <v>0</v>
      </c>
      <c r="K287" s="6">
        <v>0</v>
      </c>
      <c r="L287" s="6">
        <v>47.45</v>
      </c>
      <c r="M287" s="6">
        <v>47.45</v>
      </c>
      <c r="N287" s="6">
        <v>47.45</v>
      </c>
      <c r="O287" s="6">
        <v>47.45</v>
      </c>
      <c r="P287" s="6">
        <v>0</v>
      </c>
      <c r="Q287" s="4" t="s">
        <v>26</v>
      </c>
      <c r="R287" s="4">
        <v>0</v>
      </c>
      <c r="S287" s="6">
        <v>0</v>
      </c>
      <c r="T287" s="6">
        <v>6</v>
      </c>
      <c r="U287" s="6">
        <v>61</v>
      </c>
      <c r="V287" s="6">
        <f>IF(ISERROR(VLOOKUP($S$287,'TAR FIN'!$A$1:$O$113,15,0)),0,VLOOKUP($S$287,'TAR FIN'!$A$1:$O$113,15,0))</f>
        <v>0</v>
      </c>
      <c r="W287" s="6">
        <f>IF(ISERROR(VLOOKUP($T$287,'TAR FIN'!$A$1:$O$113,15,0)),0,VLOOKUP($T$287,'TAR FIN'!$A$1:$O$113,15,0))</f>
        <v>72.150000000000006</v>
      </c>
      <c r="X287" s="6">
        <f>IF(ISERROR(VLOOKUP($U$287,'TAR FIN'!$A$1:$O$113,15,0)),0,VLOOKUP($U$287,'TAR FIN'!$A$1:$O$113,15,0))</f>
        <v>278.67</v>
      </c>
      <c r="Y287" s="6"/>
      <c r="Z287" s="6">
        <f ca="1">('TUSD BE'!$AM$21+'TUSD BF'!$AM$21+'TUSD CVA'!$AM$21)*1</f>
        <v>122.14055331663396</v>
      </c>
      <c r="AA287" s="6">
        <f>('TE BE'!$AB$10+'TE BF'!$AB$10+'TE CVA'!$AB$10)*1</f>
        <v>299.18055042718134</v>
      </c>
      <c r="AB287" s="6">
        <f>$K$287*$V$287</f>
        <v>0</v>
      </c>
      <c r="AC287" s="6">
        <f>$M$287*$W$287</f>
        <v>3423.5175000000004</v>
      </c>
      <c r="AD287" s="6">
        <f>$O$287*$X$287</f>
        <v>13222.891500000002</v>
      </c>
      <c r="AE287" s="6">
        <f>$K$287*$Y$287</f>
        <v>0</v>
      </c>
      <c r="AF287" s="6">
        <f ca="1">$M$287*$Z$287</f>
        <v>5795.5692548742818</v>
      </c>
      <c r="AG287" s="6">
        <f>$O$287*$AA$287</f>
        <v>14196.117117769756</v>
      </c>
    </row>
    <row r="288" spans="1:33" ht="11.25" customHeight="1" x14ac:dyDescent="0.3">
      <c r="A288" s="4" t="s">
        <v>21</v>
      </c>
      <c r="B288" s="4" t="s">
        <v>39</v>
      </c>
      <c r="C288" s="4" t="s">
        <v>41</v>
      </c>
      <c r="D288" s="4" t="s">
        <v>52</v>
      </c>
      <c r="E288" s="4" t="s">
        <v>25</v>
      </c>
      <c r="F288" s="4" t="s">
        <v>25</v>
      </c>
      <c r="G288" s="4" t="s">
        <v>25</v>
      </c>
      <c r="H288" s="4" t="s">
        <v>35</v>
      </c>
      <c r="I288" s="5">
        <v>44682</v>
      </c>
      <c r="J288" s="6">
        <v>0</v>
      </c>
      <c r="K288" s="6">
        <v>0</v>
      </c>
      <c r="L288" s="6">
        <v>46.521000000000001</v>
      </c>
      <c r="M288" s="6">
        <v>46.521000000000001</v>
      </c>
      <c r="N288" s="6">
        <v>46.521000000000001</v>
      </c>
      <c r="O288" s="6">
        <v>46.521000000000001</v>
      </c>
      <c r="P288" s="6">
        <v>0</v>
      </c>
      <c r="Q288" s="4" t="s">
        <v>26</v>
      </c>
      <c r="R288" s="4">
        <v>0</v>
      </c>
      <c r="S288" s="6">
        <v>0</v>
      </c>
      <c r="T288" s="6">
        <v>6</v>
      </c>
      <c r="U288" s="6">
        <v>61</v>
      </c>
      <c r="V288" s="6">
        <f>IF(ISERROR(VLOOKUP($S$288,'TAR FIN'!$A$1:$O$113,15,0)),0,VLOOKUP($S$288,'TAR FIN'!$A$1:$O$113,15,0))</f>
        <v>0</v>
      </c>
      <c r="W288" s="6">
        <f>IF(ISERROR(VLOOKUP($T$288,'TAR FIN'!$A$1:$O$113,15,0)),0,VLOOKUP($T$288,'TAR FIN'!$A$1:$O$113,15,0))</f>
        <v>72.150000000000006</v>
      </c>
      <c r="X288" s="6">
        <f>IF(ISERROR(VLOOKUP($U$288,'TAR FIN'!$A$1:$O$113,15,0)),0,VLOOKUP($U$288,'TAR FIN'!$A$1:$O$113,15,0))</f>
        <v>278.67</v>
      </c>
      <c r="Y288" s="6"/>
      <c r="Z288" s="6">
        <f ca="1">('TUSD BE'!$AM$21+'TUSD BF'!$AM$21+'TUSD CVA'!$AM$21)*1</f>
        <v>122.14055331663396</v>
      </c>
      <c r="AA288" s="6">
        <f>('TE BE'!$AB$10+'TE BF'!$AB$10+'TE CVA'!$AB$10)*1</f>
        <v>299.18055042718134</v>
      </c>
      <c r="AB288" s="6">
        <f>$K$288*$V$288</f>
        <v>0</v>
      </c>
      <c r="AC288" s="6">
        <f>$M$288*$W$288</f>
        <v>3356.4901500000005</v>
      </c>
      <c r="AD288" s="6">
        <f>$O$288*$X$288</f>
        <v>12964.007070000001</v>
      </c>
      <c r="AE288" s="6">
        <f>$K$288*$Y$288</f>
        <v>0</v>
      </c>
      <c r="AF288" s="6">
        <f ca="1">$M$288*$Z$288</f>
        <v>5682.1006808431284</v>
      </c>
      <c r="AG288" s="6">
        <f>$O$288*$AA$288</f>
        <v>13918.178386422904</v>
      </c>
    </row>
    <row r="289" spans="1:33" ht="11.25" customHeight="1" x14ac:dyDescent="0.3">
      <c r="A289" s="4" t="s">
        <v>21</v>
      </c>
      <c r="B289" s="4" t="s">
        <v>39</v>
      </c>
      <c r="C289" s="4" t="s">
        <v>41</v>
      </c>
      <c r="D289" s="4" t="s">
        <v>52</v>
      </c>
      <c r="E289" s="4" t="s">
        <v>25</v>
      </c>
      <c r="F289" s="4" t="s">
        <v>25</v>
      </c>
      <c r="G289" s="4" t="s">
        <v>25</v>
      </c>
      <c r="H289" s="4" t="s">
        <v>35</v>
      </c>
      <c r="I289" s="5">
        <v>44713</v>
      </c>
      <c r="J289" s="6">
        <v>0</v>
      </c>
      <c r="K289" s="6">
        <v>0</v>
      </c>
      <c r="L289" s="6">
        <v>45.906999999999996</v>
      </c>
      <c r="M289" s="6">
        <v>45.906999999999996</v>
      </c>
      <c r="N289" s="6">
        <v>45.906999999999996</v>
      </c>
      <c r="O289" s="6">
        <v>45.906999999999996</v>
      </c>
      <c r="P289" s="6">
        <v>0</v>
      </c>
      <c r="Q289" s="4" t="s">
        <v>26</v>
      </c>
      <c r="R289" s="4">
        <v>0</v>
      </c>
      <c r="S289" s="6">
        <v>0</v>
      </c>
      <c r="T289" s="6">
        <v>6</v>
      </c>
      <c r="U289" s="6">
        <v>61</v>
      </c>
      <c r="V289" s="6">
        <f>IF(ISERROR(VLOOKUP($S$289,'TAR FIN'!$A$1:$O$113,15,0)),0,VLOOKUP($S$289,'TAR FIN'!$A$1:$O$113,15,0))</f>
        <v>0</v>
      </c>
      <c r="W289" s="6">
        <f>IF(ISERROR(VLOOKUP($T$289,'TAR FIN'!$A$1:$O$113,15,0)),0,VLOOKUP($T$289,'TAR FIN'!$A$1:$O$113,15,0))</f>
        <v>72.150000000000006</v>
      </c>
      <c r="X289" s="6">
        <f>IF(ISERROR(VLOOKUP($U$289,'TAR FIN'!$A$1:$O$113,15,0)),0,VLOOKUP($U$289,'TAR FIN'!$A$1:$O$113,15,0))</f>
        <v>278.67</v>
      </c>
      <c r="Y289" s="6"/>
      <c r="Z289" s="6">
        <f ca="1">('TUSD BE'!$AM$21+'TUSD BF'!$AM$21+'TUSD CVA'!$AM$21)*1</f>
        <v>122.14055331663396</v>
      </c>
      <c r="AA289" s="6">
        <f>('TE BE'!$AB$10+'TE BF'!$AB$10+'TE CVA'!$AB$10)*1</f>
        <v>299.18055042718134</v>
      </c>
      <c r="AB289" s="6">
        <f>$K$289*$V$289</f>
        <v>0</v>
      </c>
      <c r="AC289" s="6">
        <f>$M$289*$W$289</f>
        <v>3312.1900500000002</v>
      </c>
      <c r="AD289" s="6">
        <f>$O$289*$X$289</f>
        <v>12792.903689999999</v>
      </c>
      <c r="AE289" s="6">
        <f>$K$289*$Y$289</f>
        <v>0</v>
      </c>
      <c r="AF289" s="6">
        <f ca="1">$M$289*$Z$289</f>
        <v>5607.1063811067143</v>
      </c>
      <c r="AG289" s="6">
        <f>$O$289*$AA$289</f>
        <v>13734.481528460614</v>
      </c>
    </row>
    <row r="290" spans="1:33" ht="11.25" customHeight="1" x14ac:dyDescent="0.3">
      <c r="A290" s="4" t="s">
        <v>21</v>
      </c>
      <c r="B290" s="4" t="s">
        <v>39</v>
      </c>
      <c r="C290" s="4" t="s">
        <v>41</v>
      </c>
      <c r="D290" s="4" t="s">
        <v>52</v>
      </c>
      <c r="E290" s="4" t="s">
        <v>25</v>
      </c>
      <c r="F290" s="4" t="s">
        <v>25</v>
      </c>
      <c r="G290" s="4" t="s">
        <v>25</v>
      </c>
      <c r="H290" s="4" t="s">
        <v>35</v>
      </c>
      <c r="I290" s="5">
        <v>44743</v>
      </c>
      <c r="J290" s="6">
        <v>0</v>
      </c>
      <c r="K290" s="6">
        <v>0</v>
      </c>
      <c r="L290" s="6">
        <v>42.271999999999998</v>
      </c>
      <c r="M290" s="6">
        <v>42.271999999999998</v>
      </c>
      <c r="N290" s="6">
        <v>42.271999999999998</v>
      </c>
      <c r="O290" s="6">
        <v>42.271999999999998</v>
      </c>
      <c r="P290" s="6">
        <v>0</v>
      </c>
      <c r="Q290" s="4" t="s">
        <v>26</v>
      </c>
      <c r="R290" s="4">
        <v>0</v>
      </c>
      <c r="S290" s="6">
        <v>0</v>
      </c>
      <c r="T290" s="6">
        <v>6</v>
      </c>
      <c r="U290" s="6">
        <v>61</v>
      </c>
      <c r="V290" s="6">
        <f>IF(ISERROR(VLOOKUP($S$290,'TAR FIN'!$A$1:$O$113,15,0)),0,VLOOKUP($S$290,'TAR FIN'!$A$1:$O$113,15,0))</f>
        <v>0</v>
      </c>
      <c r="W290" s="6">
        <f>IF(ISERROR(VLOOKUP($T$290,'TAR FIN'!$A$1:$O$113,15,0)),0,VLOOKUP($T$290,'TAR FIN'!$A$1:$O$113,15,0))</f>
        <v>72.150000000000006</v>
      </c>
      <c r="X290" s="6">
        <f>IF(ISERROR(VLOOKUP($U$290,'TAR FIN'!$A$1:$O$113,15,0)),0,VLOOKUP($U$290,'TAR FIN'!$A$1:$O$113,15,0))</f>
        <v>278.67</v>
      </c>
      <c r="Y290" s="6"/>
      <c r="Z290" s="6">
        <f ca="1">('TUSD BE'!$AM$21+'TUSD BF'!$AM$21+'TUSD CVA'!$AM$21)*1</f>
        <v>122.14055331663396</v>
      </c>
      <c r="AA290" s="6">
        <f>('TE BE'!$AB$10+'TE BF'!$AB$10+'TE CVA'!$AB$10)*1</f>
        <v>299.18055042718134</v>
      </c>
      <c r="AB290" s="6">
        <f>$K$290*$V$290</f>
        <v>0</v>
      </c>
      <c r="AC290" s="6">
        <f>$M$290*$W$290</f>
        <v>3049.9248000000002</v>
      </c>
      <c r="AD290" s="6">
        <f>$O$290*$X$290</f>
        <v>11779.938239999999</v>
      </c>
      <c r="AE290" s="6">
        <f>$K$290*$Y$290</f>
        <v>0</v>
      </c>
      <c r="AF290" s="6">
        <f ca="1">$M$290*$Z$290</f>
        <v>5163.1254698007506</v>
      </c>
      <c r="AG290" s="6">
        <f>$O$290*$AA$290</f>
        <v>12646.96022765781</v>
      </c>
    </row>
    <row r="291" spans="1:33" ht="11.25" customHeight="1" x14ac:dyDescent="0.3">
      <c r="A291" s="4" t="s">
        <v>21</v>
      </c>
      <c r="B291" s="4" t="s">
        <v>39</v>
      </c>
      <c r="C291" s="4" t="s">
        <v>41</v>
      </c>
      <c r="D291" s="4" t="s">
        <v>52</v>
      </c>
      <c r="E291" s="4" t="s">
        <v>25</v>
      </c>
      <c r="F291" s="4" t="s">
        <v>25</v>
      </c>
      <c r="G291" s="4" t="s">
        <v>25</v>
      </c>
      <c r="H291" s="4" t="s">
        <v>35</v>
      </c>
      <c r="I291" s="5">
        <v>44774</v>
      </c>
      <c r="J291" s="6">
        <v>0</v>
      </c>
      <c r="K291" s="6">
        <v>0</v>
      </c>
      <c r="L291" s="6">
        <v>47.389000000000003</v>
      </c>
      <c r="M291" s="6">
        <v>47.389000000000003</v>
      </c>
      <c r="N291" s="6">
        <v>47.389000000000003</v>
      </c>
      <c r="O291" s="6">
        <v>47.389000000000003</v>
      </c>
      <c r="P291" s="6">
        <v>0</v>
      </c>
      <c r="Q291" s="4" t="s">
        <v>26</v>
      </c>
      <c r="R291" s="4">
        <v>0</v>
      </c>
      <c r="S291" s="6">
        <v>0</v>
      </c>
      <c r="T291" s="6">
        <v>6</v>
      </c>
      <c r="U291" s="6">
        <v>61</v>
      </c>
      <c r="V291" s="6">
        <f>IF(ISERROR(VLOOKUP($S$291,'TAR FIN'!$A$1:$O$113,15,0)),0,VLOOKUP($S$291,'TAR FIN'!$A$1:$O$113,15,0))</f>
        <v>0</v>
      </c>
      <c r="W291" s="6">
        <f>IF(ISERROR(VLOOKUP($T$291,'TAR FIN'!$A$1:$O$113,15,0)),0,VLOOKUP($T$291,'TAR FIN'!$A$1:$O$113,15,0))</f>
        <v>72.150000000000006</v>
      </c>
      <c r="X291" s="6">
        <f>IF(ISERROR(VLOOKUP($U$291,'TAR FIN'!$A$1:$O$113,15,0)),0,VLOOKUP($U$291,'TAR FIN'!$A$1:$O$113,15,0))</f>
        <v>278.67</v>
      </c>
      <c r="Y291" s="6"/>
      <c r="Z291" s="6">
        <f ca="1">('TUSD BE'!$AM$21+'TUSD BF'!$AM$21+'TUSD CVA'!$AM$21)*1</f>
        <v>122.14055331663396</v>
      </c>
      <c r="AA291" s="6">
        <f>('TE BE'!$AB$10+'TE BF'!$AB$10+'TE CVA'!$AB$10)*1</f>
        <v>299.18055042718134</v>
      </c>
      <c r="AB291" s="6">
        <f>$K$291*$V$291</f>
        <v>0</v>
      </c>
      <c r="AC291" s="6">
        <f>$M$291*$W$291</f>
        <v>3419.1163500000007</v>
      </c>
      <c r="AD291" s="6">
        <f>$O$291*$X$291</f>
        <v>13205.892630000002</v>
      </c>
      <c r="AE291" s="6">
        <f>$K$291*$Y$291</f>
        <v>0</v>
      </c>
      <c r="AF291" s="6">
        <f ca="1">$M$291*$Z$291</f>
        <v>5788.1186811219668</v>
      </c>
      <c r="AG291" s="6">
        <f>$O$291*$AA$291</f>
        <v>14177.867104193698</v>
      </c>
    </row>
    <row r="292" spans="1:33" ht="11.25" customHeight="1" x14ac:dyDescent="0.3">
      <c r="A292" s="4" t="s">
        <v>21</v>
      </c>
      <c r="B292" s="4" t="s">
        <v>39</v>
      </c>
      <c r="C292" s="4" t="s">
        <v>41</v>
      </c>
      <c r="D292" s="4" t="s">
        <v>52</v>
      </c>
      <c r="E292" s="4" t="s">
        <v>25</v>
      </c>
      <c r="F292" s="4" t="s">
        <v>25</v>
      </c>
      <c r="G292" s="4" t="s">
        <v>25</v>
      </c>
      <c r="H292" s="4" t="s">
        <v>35</v>
      </c>
      <c r="I292" s="5">
        <v>44805</v>
      </c>
      <c r="J292" s="6">
        <v>0</v>
      </c>
      <c r="K292" s="6">
        <v>0</v>
      </c>
      <c r="L292" s="6">
        <v>46.94</v>
      </c>
      <c r="M292" s="6">
        <v>46.94</v>
      </c>
      <c r="N292" s="6">
        <v>46.94</v>
      </c>
      <c r="O292" s="6">
        <v>46.94</v>
      </c>
      <c r="P292" s="6">
        <v>0</v>
      </c>
      <c r="Q292" s="4" t="s">
        <v>26</v>
      </c>
      <c r="R292" s="4">
        <v>0</v>
      </c>
      <c r="S292" s="6">
        <v>0</v>
      </c>
      <c r="T292" s="6">
        <v>6</v>
      </c>
      <c r="U292" s="6">
        <v>61</v>
      </c>
      <c r="V292" s="6">
        <f>IF(ISERROR(VLOOKUP($S$292,'TAR FIN'!$A$1:$O$113,15,0)),0,VLOOKUP($S$292,'TAR FIN'!$A$1:$O$113,15,0))</f>
        <v>0</v>
      </c>
      <c r="W292" s="6">
        <f>IF(ISERROR(VLOOKUP($T$292,'TAR FIN'!$A$1:$O$113,15,0)),0,VLOOKUP($T$292,'TAR FIN'!$A$1:$O$113,15,0))</f>
        <v>72.150000000000006</v>
      </c>
      <c r="X292" s="6">
        <f>IF(ISERROR(VLOOKUP($U$292,'TAR FIN'!$A$1:$O$113,15,0)),0,VLOOKUP($U$292,'TAR FIN'!$A$1:$O$113,15,0))</f>
        <v>278.67</v>
      </c>
      <c r="Y292" s="6"/>
      <c r="Z292" s="6">
        <f ca="1">('TUSD BE'!$AM$21+'TUSD BF'!$AM$21+'TUSD CVA'!$AM$21)*1</f>
        <v>122.14055331663396</v>
      </c>
      <c r="AA292" s="6">
        <f>('TE BE'!$AB$10+'TE BF'!$AB$10+'TE CVA'!$AB$10)*1</f>
        <v>299.18055042718134</v>
      </c>
      <c r="AB292" s="6">
        <f>$K$292*$V$292</f>
        <v>0</v>
      </c>
      <c r="AC292" s="6">
        <f>$M$292*$W$292</f>
        <v>3386.721</v>
      </c>
      <c r="AD292" s="6">
        <f>$O$292*$X$292</f>
        <v>13080.7698</v>
      </c>
      <c r="AE292" s="6">
        <f>$K$292*$Y$292</f>
        <v>0</v>
      </c>
      <c r="AF292" s="6">
        <f ca="1">$M$292*$Z$292</f>
        <v>5733.2775726827977</v>
      </c>
      <c r="AG292" s="6">
        <f>$O$292*$AA$292</f>
        <v>14043.535037051892</v>
      </c>
    </row>
    <row r="293" spans="1:33" ht="11.25" customHeight="1" x14ac:dyDescent="0.3">
      <c r="A293" s="4" t="s">
        <v>53</v>
      </c>
      <c r="B293" s="4" t="s">
        <v>39</v>
      </c>
      <c r="C293" s="4" t="s">
        <v>41</v>
      </c>
      <c r="D293" s="4" t="s">
        <v>52</v>
      </c>
      <c r="E293" s="4" t="s">
        <v>25</v>
      </c>
      <c r="F293" s="4" t="s">
        <v>25</v>
      </c>
      <c r="G293" s="4" t="s">
        <v>25</v>
      </c>
      <c r="H293" s="4" t="s">
        <v>35</v>
      </c>
      <c r="I293" s="5">
        <v>44835</v>
      </c>
      <c r="J293" s="6">
        <v>0</v>
      </c>
      <c r="K293" s="6">
        <v>0</v>
      </c>
      <c r="L293" s="6">
        <v>46.94</v>
      </c>
      <c r="M293" s="6">
        <v>46.94</v>
      </c>
      <c r="N293" s="6">
        <v>46.94</v>
      </c>
      <c r="O293" s="6">
        <v>46.94</v>
      </c>
      <c r="P293" s="6">
        <v>0</v>
      </c>
      <c r="Q293" s="4" t="s">
        <v>26</v>
      </c>
      <c r="R293" s="4">
        <v>0</v>
      </c>
      <c r="S293" s="6">
        <v>0</v>
      </c>
      <c r="T293" s="6">
        <v>6</v>
      </c>
      <c r="U293" s="6">
        <v>61</v>
      </c>
      <c r="V293" s="6">
        <f>IF(ISERROR(VLOOKUP($S$293,'TAR FIN'!$A$1:$O$113,15,0)),0,VLOOKUP($S$293,'TAR FIN'!$A$1:$O$113,15,0))</f>
        <v>0</v>
      </c>
      <c r="W293" s="6">
        <f>IF(ISERROR(VLOOKUP($T$293,'TAR FIN'!$A$1:$O$113,15,0)),0,VLOOKUP($T$293,'TAR FIN'!$A$1:$O$113,15,0))</f>
        <v>72.150000000000006</v>
      </c>
      <c r="X293" s="6">
        <f>IF(ISERROR(VLOOKUP($U$293,'TAR FIN'!$A$1:$O$113,15,0)),0,VLOOKUP($U$293,'TAR FIN'!$A$1:$O$113,15,0))</f>
        <v>278.67</v>
      </c>
      <c r="Y293" s="6"/>
      <c r="Z293" s="6">
        <f ca="1">('TUSD BE'!$AM$21+'TUSD BF'!$AM$21+'TUSD CVA'!$AM$21)*1</f>
        <v>122.14055331663396</v>
      </c>
      <c r="AA293" s="6">
        <f>('TE BE'!$AB$10+'TE BF'!$AB$10+'TE CVA'!$AB$10)*1</f>
        <v>299.18055042718134</v>
      </c>
      <c r="AB293" s="6">
        <f>$K$293*$V$293</f>
        <v>0</v>
      </c>
      <c r="AC293" s="6">
        <f>$M$293*$W$293</f>
        <v>3386.721</v>
      </c>
      <c r="AD293" s="6">
        <f>$O$293*$X$293</f>
        <v>13080.7698</v>
      </c>
      <c r="AE293" s="6">
        <f>$K$293*$Y$293</f>
        <v>0</v>
      </c>
      <c r="AF293" s="6">
        <f ca="1">$M$293*$Z$293</f>
        <v>5733.2775726827977</v>
      </c>
      <c r="AG293" s="6">
        <f>$O$293*$AA$293</f>
        <v>14043.535037051892</v>
      </c>
    </row>
    <row r="294" spans="1:33" ht="11.25" customHeight="1" x14ac:dyDescent="0.3">
      <c r="A294" s="4" t="s">
        <v>21</v>
      </c>
      <c r="B294" s="4" t="s">
        <v>39</v>
      </c>
      <c r="C294" s="4" t="s">
        <v>41</v>
      </c>
      <c r="D294" s="4" t="s">
        <v>52</v>
      </c>
      <c r="E294" s="4" t="s">
        <v>25</v>
      </c>
      <c r="F294" s="4" t="s">
        <v>25</v>
      </c>
      <c r="G294" s="4" t="s">
        <v>25</v>
      </c>
      <c r="H294" s="4" t="s">
        <v>25</v>
      </c>
      <c r="I294" s="5">
        <v>44501</v>
      </c>
      <c r="J294" s="6">
        <v>257</v>
      </c>
      <c r="K294" s="6">
        <v>257</v>
      </c>
      <c r="L294" s="6">
        <v>0</v>
      </c>
      <c r="M294" s="6">
        <v>0</v>
      </c>
      <c r="N294" s="6">
        <v>0</v>
      </c>
      <c r="O294" s="6">
        <v>0</v>
      </c>
      <c r="P294" s="6">
        <v>7</v>
      </c>
      <c r="Q294" s="4" t="s">
        <v>26</v>
      </c>
      <c r="R294" s="4">
        <v>0</v>
      </c>
      <c r="S294" s="6">
        <v>20</v>
      </c>
      <c r="T294" s="6">
        <v>0</v>
      </c>
      <c r="U294" s="6">
        <v>0</v>
      </c>
      <c r="V294" s="6">
        <f>IF(ISERROR(VLOOKUP($S$294,'TAR FIN'!$A$1:$O$113,15,0)),0,VLOOKUP($S$294,'TAR FIN'!$A$1:$O$113,15,0))</f>
        <v>14</v>
      </c>
      <c r="W294" s="6">
        <f>IF(ISERROR(VLOOKUP($T$294,'TAR FIN'!$A$1:$O$113,15,0)),0,VLOOKUP($T$294,'TAR FIN'!$A$1:$O$113,15,0))</f>
        <v>0</v>
      </c>
      <c r="X294" s="6">
        <f>IF(ISERROR(VLOOKUP($U$294,'TAR FIN'!$A$1:$O$113,15,0)),0,VLOOKUP($U$294,'TAR FIN'!$A$1:$O$113,15,0))</f>
        <v>0</v>
      </c>
      <c r="Y294" s="6">
        <f ca="1">('TUSD BE'!$AM$19+'TUSD BF'!$AM$19+'TUSD CVA'!$AM$19)*1</f>
        <v>16.035953923331604</v>
      </c>
      <c r="Z294" s="6"/>
      <c r="AA294" s="6"/>
      <c r="AB294" s="6">
        <f>$K$294*$V$294</f>
        <v>3598</v>
      </c>
      <c r="AC294" s="6">
        <f>$M$294*$W$294</f>
        <v>0</v>
      </c>
      <c r="AD294" s="6">
        <f>$O$294*$X$294</f>
        <v>0</v>
      </c>
      <c r="AE294" s="6">
        <f ca="1">$K$294*$Y$294</f>
        <v>4121.240158296222</v>
      </c>
      <c r="AF294" s="6">
        <f>$M$294*$Z$294</f>
        <v>0</v>
      </c>
      <c r="AG294" s="6">
        <f>$O$294*$AA$294</f>
        <v>0</v>
      </c>
    </row>
    <row r="295" spans="1:33" ht="11.25" customHeight="1" x14ac:dyDescent="0.3">
      <c r="A295" s="4" t="s">
        <v>21</v>
      </c>
      <c r="B295" s="4" t="s">
        <v>39</v>
      </c>
      <c r="C295" s="4" t="s">
        <v>41</v>
      </c>
      <c r="D295" s="4" t="s">
        <v>52</v>
      </c>
      <c r="E295" s="4" t="s">
        <v>25</v>
      </c>
      <c r="F295" s="4" t="s">
        <v>25</v>
      </c>
      <c r="G295" s="4" t="s">
        <v>25</v>
      </c>
      <c r="H295" s="4" t="s">
        <v>25</v>
      </c>
      <c r="I295" s="5">
        <v>44531</v>
      </c>
      <c r="J295" s="6">
        <v>263</v>
      </c>
      <c r="K295" s="6">
        <v>263</v>
      </c>
      <c r="L295" s="6">
        <v>0</v>
      </c>
      <c r="M295" s="6">
        <v>0</v>
      </c>
      <c r="N295" s="6">
        <v>0</v>
      </c>
      <c r="O295" s="6">
        <v>0</v>
      </c>
      <c r="P295" s="6">
        <v>7</v>
      </c>
      <c r="Q295" s="4" t="s">
        <v>26</v>
      </c>
      <c r="R295" s="4">
        <v>0</v>
      </c>
      <c r="S295" s="6">
        <v>20</v>
      </c>
      <c r="T295" s="6">
        <v>0</v>
      </c>
      <c r="U295" s="6">
        <v>0</v>
      </c>
      <c r="V295" s="6">
        <f>IF(ISERROR(VLOOKUP($S$295,'TAR FIN'!$A$1:$O$113,15,0)),0,VLOOKUP($S$295,'TAR FIN'!$A$1:$O$113,15,0))</f>
        <v>14</v>
      </c>
      <c r="W295" s="6">
        <f>IF(ISERROR(VLOOKUP($T$295,'TAR FIN'!$A$1:$O$113,15,0)),0,VLOOKUP($T$295,'TAR FIN'!$A$1:$O$113,15,0))</f>
        <v>0</v>
      </c>
      <c r="X295" s="6">
        <f>IF(ISERROR(VLOOKUP($U$295,'TAR FIN'!$A$1:$O$113,15,0)),0,VLOOKUP($U$295,'TAR FIN'!$A$1:$O$113,15,0))</f>
        <v>0</v>
      </c>
      <c r="Y295" s="6">
        <f ca="1">('TUSD BE'!$AM$19+'TUSD BF'!$AM$19+'TUSD CVA'!$AM$19)*1</f>
        <v>16.035953923331604</v>
      </c>
      <c r="Z295" s="6"/>
      <c r="AA295" s="6"/>
      <c r="AB295" s="6">
        <f>$K$295*$V$295</f>
        <v>3682</v>
      </c>
      <c r="AC295" s="6">
        <f>$M$295*$W$295</f>
        <v>0</v>
      </c>
      <c r="AD295" s="6">
        <f>$O$295*$X$295</f>
        <v>0</v>
      </c>
      <c r="AE295" s="6">
        <f ca="1">$K$295*$Y$295</f>
        <v>4217.455881836212</v>
      </c>
      <c r="AF295" s="6">
        <f>$M$295*$Z$295</f>
        <v>0</v>
      </c>
      <c r="AG295" s="6">
        <f>$O$295*$AA$295</f>
        <v>0</v>
      </c>
    </row>
    <row r="296" spans="1:33" ht="11.25" customHeight="1" x14ac:dyDescent="0.3">
      <c r="A296" s="4" t="s">
        <v>21</v>
      </c>
      <c r="B296" s="4" t="s">
        <v>39</v>
      </c>
      <c r="C296" s="4" t="s">
        <v>41</v>
      </c>
      <c r="D296" s="4" t="s">
        <v>52</v>
      </c>
      <c r="E296" s="4" t="s">
        <v>25</v>
      </c>
      <c r="F296" s="4" t="s">
        <v>25</v>
      </c>
      <c r="G296" s="4" t="s">
        <v>25</v>
      </c>
      <c r="H296" s="4" t="s">
        <v>25</v>
      </c>
      <c r="I296" s="5">
        <v>44562</v>
      </c>
      <c r="J296" s="6">
        <v>256</v>
      </c>
      <c r="K296" s="6">
        <v>256</v>
      </c>
      <c r="L296" s="6">
        <v>0</v>
      </c>
      <c r="M296" s="6">
        <v>0</v>
      </c>
      <c r="N296" s="6">
        <v>0</v>
      </c>
      <c r="O296" s="6">
        <v>0</v>
      </c>
      <c r="P296" s="6">
        <v>7</v>
      </c>
      <c r="Q296" s="4" t="s">
        <v>26</v>
      </c>
      <c r="R296" s="4">
        <v>0</v>
      </c>
      <c r="S296" s="6">
        <v>20</v>
      </c>
      <c r="T296" s="6">
        <v>0</v>
      </c>
      <c r="U296" s="6">
        <v>0</v>
      </c>
      <c r="V296" s="6">
        <f>IF(ISERROR(VLOOKUP($S$296,'TAR FIN'!$A$1:$O$113,15,0)),0,VLOOKUP($S$296,'TAR FIN'!$A$1:$O$113,15,0))</f>
        <v>14</v>
      </c>
      <c r="W296" s="6">
        <f>IF(ISERROR(VLOOKUP($T$296,'TAR FIN'!$A$1:$O$113,15,0)),0,VLOOKUP($T$296,'TAR FIN'!$A$1:$O$113,15,0))</f>
        <v>0</v>
      </c>
      <c r="X296" s="6">
        <f>IF(ISERROR(VLOOKUP($U$296,'TAR FIN'!$A$1:$O$113,15,0)),0,VLOOKUP($U$296,'TAR FIN'!$A$1:$O$113,15,0))</f>
        <v>0</v>
      </c>
      <c r="Y296" s="6">
        <f ca="1">('TUSD BE'!$AM$19+'TUSD BF'!$AM$19+'TUSD CVA'!$AM$19)*1</f>
        <v>16.035953923331604</v>
      </c>
      <c r="Z296" s="6"/>
      <c r="AA296" s="6"/>
      <c r="AB296" s="6">
        <f>$K$296*$V$296</f>
        <v>3584</v>
      </c>
      <c r="AC296" s="6">
        <f>$M$296*$W$296</f>
        <v>0</v>
      </c>
      <c r="AD296" s="6">
        <f>$O$296*$X$296</f>
        <v>0</v>
      </c>
      <c r="AE296" s="6">
        <f ca="1">$K$296*$Y$296</f>
        <v>4105.2042043728907</v>
      </c>
      <c r="AF296" s="6">
        <f>$M$296*$Z$296</f>
        <v>0</v>
      </c>
      <c r="AG296" s="6">
        <f>$O$296*$AA$296</f>
        <v>0</v>
      </c>
    </row>
    <row r="297" spans="1:33" ht="11.25" customHeight="1" x14ac:dyDescent="0.3">
      <c r="A297" s="4" t="s">
        <v>21</v>
      </c>
      <c r="B297" s="4" t="s">
        <v>39</v>
      </c>
      <c r="C297" s="4" t="s">
        <v>41</v>
      </c>
      <c r="D297" s="4" t="s">
        <v>52</v>
      </c>
      <c r="E297" s="4" t="s">
        <v>25</v>
      </c>
      <c r="F297" s="4" t="s">
        <v>25</v>
      </c>
      <c r="G297" s="4" t="s">
        <v>25</v>
      </c>
      <c r="H297" s="4" t="s">
        <v>25</v>
      </c>
      <c r="I297" s="5">
        <v>44593</v>
      </c>
      <c r="J297" s="6">
        <v>260</v>
      </c>
      <c r="K297" s="6">
        <v>260</v>
      </c>
      <c r="L297" s="6">
        <v>0</v>
      </c>
      <c r="M297" s="6">
        <v>0</v>
      </c>
      <c r="N297" s="6">
        <v>0</v>
      </c>
      <c r="O297" s="6">
        <v>0</v>
      </c>
      <c r="P297" s="6">
        <v>7</v>
      </c>
      <c r="Q297" s="4" t="s">
        <v>26</v>
      </c>
      <c r="R297" s="4">
        <v>0</v>
      </c>
      <c r="S297" s="6">
        <v>20</v>
      </c>
      <c r="T297" s="6">
        <v>0</v>
      </c>
      <c r="U297" s="6">
        <v>0</v>
      </c>
      <c r="V297" s="6">
        <f>IF(ISERROR(VLOOKUP($S$297,'TAR FIN'!$A$1:$O$113,15,0)),0,VLOOKUP($S$297,'TAR FIN'!$A$1:$O$113,15,0))</f>
        <v>14</v>
      </c>
      <c r="W297" s="6">
        <f>IF(ISERROR(VLOOKUP($T$297,'TAR FIN'!$A$1:$O$113,15,0)),0,VLOOKUP($T$297,'TAR FIN'!$A$1:$O$113,15,0))</f>
        <v>0</v>
      </c>
      <c r="X297" s="6">
        <f>IF(ISERROR(VLOOKUP($U$297,'TAR FIN'!$A$1:$O$113,15,0)),0,VLOOKUP($U$297,'TAR FIN'!$A$1:$O$113,15,0))</f>
        <v>0</v>
      </c>
      <c r="Y297" s="6">
        <f ca="1">('TUSD BE'!$AM$19+'TUSD BF'!$AM$19+'TUSD CVA'!$AM$19)*1</f>
        <v>16.035953923331604</v>
      </c>
      <c r="Z297" s="6"/>
      <c r="AA297" s="6"/>
      <c r="AB297" s="6">
        <f>$K$297*$V$297</f>
        <v>3640</v>
      </c>
      <c r="AC297" s="6">
        <f>$M$297*$W$297</f>
        <v>0</v>
      </c>
      <c r="AD297" s="6">
        <f>$O$297*$X$297</f>
        <v>0</v>
      </c>
      <c r="AE297" s="6">
        <f ca="1">$K$297*$Y$297</f>
        <v>4169.348020066217</v>
      </c>
      <c r="AF297" s="6">
        <f>$M$297*$Z$297</f>
        <v>0</v>
      </c>
      <c r="AG297" s="6">
        <f>$O$297*$AA$297</f>
        <v>0</v>
      </c>
    </row>
    <row r="298" spans="1:33" ht="11.25" customHeight="1" x14ac:dyDescent="0.3">
      <c r="A298" s="4" t="s">
        <v>21</v>
      </c>
      <c r="B298" s="4" t="s">
        <v>39</v>
      </c>
      <c r="C298" s="4" t="s">
        <v>41</v>
      </c>
      <c r="D298" s="4" t="s">
        <v>52</v>
      </c>
      <c r="E298" s="4" t="s">
        <v>25</v>
      </c>
      <c r="F298" s="4" t="s">
        <v>25</v>
      </c>
      <c r="G298" s="4" t="s">
        <v>25</v>
      </c>
      <c r="H298" s="4" t="s">
        <v>25</v>
      </c>
      <c r="I298" s="5">
        <v>44621</v>
      </c>
      <c r="J298" s="6">
        <v>258</v>
      </c>
      <c r="K298" s="6">
        <v>258</v>
      </c>
      <c r="L298" s="6">
        <v>0</v>
      </c>
      <c r="M298" s="6">
        <v>0</v>
      </c>
      <c r="N298" s="6">
        <v>0</v>
      </c>
      <c r="O298" s="6">
        <v>0</v>
      </c>
      <c r="P298" s="6">
        <v>7</v>
      </c>
      <c r="Q298" s="4" t="s">
        <v>26</v>
      </c>
      <c r="R298" s="4">
        <v>0</v>
      </c>
      <c r="S298" s="6">
        <v>20</v>
      </c>
      <c r="T298" s="6">
        <v>0</v>
      </c>
      <c r="U298" s="6">
        <v>0</v>
      </c>
      <c r="V298" s="6">
        <f>IF(ISERROR(VLOOKUP($S$298,'TAR FIN'!$A$1:$O$113,15,0)),0,VLOOKUP($S$298,'TAR FIN'!$A$1:$O$113,15,0))</f>
        <v>14</v>
      </c>
      <c r="W298" s="6">
        <f>IF(ISERROR(VLOOKUP($T$298,'TAR FIN'!$A$1:$O$113,15,0)),0,VLOOKUP($T$298,'TAR FIN'!$A$1:$O$113,15,0))</f>
        <v>0</v>
      </c>
      <c r="X298" s="6">
        <f>IF(ISERROR(VLOOKUP($U$298,'TAR FIN'!$A$1:$O$113,15,0)),0,VLOOKUP($U$298,'TAR FIN'!$A$1:$O$113,15,0))</f>
        <v>0</v>
      </c>
      <c r="Y298" s="6">
        <f ca="1">('TUSD BE'!$AM$19+'TUSD BF'!$AM$19+'TUSD CVA'!$AM$19)*1</f>
        <v>16.035953923331604</v>
      </c>
      <c r="Z298" s="6"/>
      <c r="AA298" s="6"/>
      <c r="AB298" s="6">
        <f>$K$298*$V$298</f>
        <v>3612</v>
      </c>
      <c r="AC298" s="6">
        <f>$M$298*$W$298</f>
        <v>0</v>
      </c>
      <c r="AD298" s="6">
        <f>$O$298*$X$298</f>
        <v>0</v>
      </c>
      <c r="AE298" s="6">
        <f ca="1">$K$298*$Y$298</f>
        <v>4137.2761122195543</v>
      </c>
      <c r="AF298" s="6">
        <f>$M$298*$Z$298</f>
        <v>0</v>
      </c>
      <c r="AG298" s="6">
        <f>$O$298*$AA$298</f>
        <v>0</v>
      </c>
    </row>
    <row r="299" spans="1:33" ht="11.25" customHeight="1" x14ac:dyDescent="0.3">
      <c r="A299" s="4" t="s">
        <v>21</v>
      </c>
      <c r="B299" s="4" t="s">
        <v>39</v>
      </c>
      <c r="C299" s="4" t="s">
        <v>41</v>
      </c>
      <c r="D299" s="4" t="s">
        <v>52</v>
      </c>
      <c r="E299" s="4" t="s">
        <v>25</v>
      </c>
      <c r="F299" s="4" t="s">
        <v>25</v>
      </c>
      <c r="G299" s="4" t="s">
        <v>25</v>
      </c>
      <c r="H299" s="4" t="s">
        <v>25</v>
      </c>
      <c r="I299" s="5">
        <v>44652</v>
      </c>
      <c r="J299" s="6">
        <v>253</v>
      </c>
      <c r="K299" s="6">
        <v>253</v>
      </c>
      <c r="L299" s="6">
        <v>0</v>
      </c>
      <c r="M299" s="6">
        <v>0</v>
      </c>
      <c r="N299" s="6">
        <v>0</v>
      </c>
      <c r="O299" s="6">
        <v>0</v>
      </c>
      <c r="P299" s="6">
        <v>7</v>
      </c>
      <c r="Q299" s="4" t="s">
        <v>26</v>
      </c>
      <c r="R299" s="4">
        <v>0</v>
      </c>
      <c r="S299" s="6">
        <v>20</v>
      </c>
      <c r="T299" s="6">
        <v>0</v>
      </c>
      <c r="U299" s="6">
        <v>0</v>
      </c>
      <c r="V299" s="6">
        <f>IF(ISERROR(VLOOKUP($S$299,'TAR FIN'!$A$1:$O$113,15,0)),0,VLOOKUP($S$299,'TAR FIN'!$A$1:$O$113,15,0))</f>
        <v>14</v>
      </c>
      <c r="W299" s="6">
        <f>IF(ISERROR(VLOOKUP($T$299,'TAR FIN'!$A$1:$O$113,15,0)),0,VLOOKUP($T$299,'TAR FIN'!$A$1:$O$113,15,0))</f>
        <v>0</v>
      </c>
      <c r="X299" s="6">
        <f>IF(ISERROR(VLOOKUP($U$299,'TAR FIN'!$A$1:$O$113,15,0)),0,VLOOKUP($U$299,'TAR FIN'!$A$1:$O$113,15,0))</f>
        <v>0</v>
      </c>
      <c r="Y299" s="6">
        <f ca="1">('TUSD BE'!$AM$19+'TUSD BF'!$AM$19+'TUSD CVA'!$AM$19)*1</f>
        <v>16.035953923331604</v>
      </c>
      <c r="Z299" s="6"/>
      <c r="AA299" s="6"/>
      <c r="AB299" s="6">
        <f>$K$299*$V$299</f>
        <v>3542</v>
      </c>
      <c r="AC299" s="6">
        <f>$M$299*$W$299</f>
        <v>0</v>
      </c>
      <c r="AD299" s="6">
        <f>$O$299*$X$299</f>
        <v>0</v>
      </c>
      <c r="AE299" s="6">
        <f ca="1">$K$299*$Y$299</f>
        <v>4057.0963426028957</v>
      </c>
      <c r="AF299" s="6">
        <f>$M$299*$Z$299</f>
        <v>0</v>
      </c>
      <c r="AG299" s="6">
        <f>$O$299*$AA$299</f>
        <v>0</v>
      </c>
    </row>
    <row r="300" spans="1:33" ht="11.25" customHeight="1" x14ac:dyDescent="0.3">
      <c r="A300" s="4" t="s">
        <v>21</v>
      </c>
      <c r="B300" s="4" t="s">
        <v>39</v>
      </c>
      <c r="C300" s="4" t="s">
        <v>41</v>
      </c>
      <c r="D300" s="4" t="s">
        <v>52</v>
      </c>
      <c r="E300" s="4" t="s">
        <v>25</v>
      </c>
      <c r="F300" s="4" t="s">
        <v>25</v>
      </c>
      <c r="G300" s="4" t="s">
        <v>25</v>
      </c>
      <c r="H300" s="4" t="s">
        <v>25</v>
      </c>
      <c r="I300" s="5">
        <v>44682</v>
      </c>
      <c r="J300" s="6">
        <v>249</v>
      </c>
      <c r="K300" s="6">
        <v>249</v>
      </c>
      <c r="L300" s="6">
        <v>0</v>
      </c>
      <c r="M300" s="6">
        <v>0</v>
      </c>
      <c r="N300" s="6">
        <v>0</v>
      </c>
      <c r="O300" s="6">
        <v>0</v>
      </c>
      <c r="P300" s="6">
        <v>7</v>
      </c>
      <c r="Q300" s="4" t="s">
        <v>26</v>
      </c>
      <c r="R300" s="4">
        <v>0</v>
      </c>
      <c r="S300" s="6">
        <v>20</v>
      </c>
      <c r="T300" s="6">
        <v>0</v>
      </c>
      <c r="U300" s="6">
        <v>0</v>
      </c>
      <c r="V300" s="6">
        <f>IF(ISERROR(VLOOKUP($S$300,'TAR FIN'!$A$1:$O$113,15,0)),0,VLOOKUP($S$300,'TAR FIN'!$A$1:$O$113,15,0))</f>
        <v>14</v>
      </c>
      <c r="W300" s="6">
        <f>IF(ISERROR(VLOOKUP($T$300,'TAR FIN'!$A$1:$O$113,15,0)),0,VLOOKUP($T$300,'TAR FIN'!$A$1:$O$113,15,0))</f>
        <v>0</v>
      </c>
      <c r="X300" s="6">
        <f>IF(ISERROR(VLOOKUP($U$300,'TAR FIN'!$A$1:$O$113,15,0)),0,VLOOKUP($U$300,'TAR FIN'!$A$1:$O$113,15,0))</f>
        <v>0</v>
      </c>
      <c r="Y300" s="6">
        <f ca="1">('TUSD BE'!$AM$19+'TUSD BF'!$AM$19+'TUSD CVA'!$AM$19)*1</f>
        <v>16.035953923331604</v>
      </c>
      <c r="Z300" s="6"/>
      <c r="AA300" s="6"/>
      <c r="AB300" s="6">
        <f>$K$300*$V$300</f>
        <v>3486</v>
      </c>
      <c r="AC300" s="6">
        <f>$M$300*$W$300</f>
        <v>0</v>
      </c>
      <c r="AD300" s="6">
        <f>$O$300*$X$300</f>
        <v>0</v>
      </c>
      <c r="AE300" s="6">
        <f ca="1">$K$300*$Y$300</f>
        <v>3992.9525269095693</v>
      </c>
      <c r="AF300" s="6">
        <f>$M$300*$Z$300</f>
        <v>0</v>
      </c>
      <c r="AG300" s="6">
        <f>$O$300*$AA$300</f>
        <v>0</v>
      </c>
    </row>
    <row r="301" spans="1:33" ht="11.25" customHeight="1" x14ac:dyDescent="0.3">
      <c r="A301" s="4" t="s">
        <v>21</v>
      </c>
      <c r="B301" s="4" t="s">
        <v>39</v>
      </c>
      <c r="C301" s="4" t="s">
        <v>41</v>
      </c>
      <c r="D301" s="4" t="s">
        <v>52</v>
      </c>
      <c r="E301" s="4" t="s">
        <v>25</v>
      </c>
      <c r="F301" s="4" t="s">
        <v>25</v>
      </c>
      <c r="G301" s="4" t="s">
        <v>25</v>
      </c>
      <c r="H301" s="4" t="s">
        <v>25</v>
      </c>
      <c r="I301" s="5">
        <v>44713</v>
      </c>
      <c r="J301" s="6">
        <v>249</v>
      </c>
      <c r="K301" s="6">
        <v>249</v>
      </c>
      <c r="L301" s="6">
        <v>0</v>
      </c>
      <c r="M301" s="6">
        <v>0</v>
      </c>
      <c r="N301" s="6">
        <v>0</v>
      </c>
      <c r="O301" s="6">
        <v>0</v>
      </c>
      <c r="P301" s="6">
        <v>7</v>
      </c>
      <c r="Q301" s="4" t="s">
        <v>26</v>
      </c>
      <c r="R301" s="4">
        <v>0</v>
      </c>
      <c r="S301" s="6">
        <v>20</v>
      </c>
      <c r="T301" s="6">
        <v>0</v>
      </c>
      <c r="U301" s="6">
        <v>0</v>
      </c>
      <c r="V301" s="6">
        <f>IF(ISERROR(VLOOKUP($S$301,'TAR FIN'!$A$1:$O$113,15,0)),0,VLOOKUP($S$301,'TAR FIN'!$A$1:$O$113,15,0))</f>
        <v>14</v>
      </c>
      <c r="W301" s="6">
        <f>IF(ISERROR(VLOOKUP($T$301,'TAR FIN'!$A$1:$O$113,15,0)),0,VLOOKUP($T$301,'TAR FIN'!$A$1:$O$113,15,0))</f>
        <v>0</v>
      </c>
      <c r="X301" s="6">
        <f>IF(ISERROR(VLOOKUP($U$301,'TAR FIN'!$A$1:$O$113,15,0)),0,VLOOKUP($U$301,'TAR FIN'!$A$1:$O$113,15,0))</f>
        <v>0</v>
      </c>
      <c r="Y301" s="6">
        <f ca="1">('TUSD BE'!$AM$19+'TUSD BF'!$AM$19+'TUSD CVA'!$AM$19)*1</f>
        <v>16.035953923331604</v>
      </c>
      <c r="Z301" s="6"/>
      <c r="AA301" s="6"/>
      <c r="AB301" s="6">
        <f>$K$301*$V$301</f>
        <v>3486</v>
      </c>
      <c r="AC301" s="6">
        <f>$M$301*$W$301</f>
        <v>0</v>
      </c>
      <c r="AD301" s="6">
        <f>$O$301*$X$301</f>
        <v>0</v>
      </c>
      <c r="AE301" s="6">
        <f ca="1">$K$301*$Y$301</f>
        <v>3992.9525269095693</v>
      </c>
      <c r="AF301" s="6">
        <f>$M$301*$Z$301</f>
        <v>0</v>
      </c>
      <c r="AG301" s="6">
        <f>$O$301*$AA$301</f>
        <v>0</v>
      </c>
    </row>
    <row r="302" spans="1:33" ht="11.25" customHeight="1" x14ac:dyDescent="0.3">
      <c r="A302" s="4" t="s">
        <v>21</v>
      </c>
      <c r="B302" s="4" t="s">
        <v>39</v>
      </c>
      <c r="C302" s="4" t="s">
        <v>41</v>
      </c>
      <c r="D302" s="4" t="s">
        <v>52</v>
      </c>
      <c r="E302" s="4" t="s">
        <v>25</v>
      </c>
      <c r="F302" s="4" t="s">
        <v>25</v>
      </c>
      <c r="G302" s="4" t="s">
        <v>25</v>
      </c>
      <c r="H302" s="4" t="s">
        <v>25</v>
      </c>
      <c r="I302" s="5">
        <v>44743</v>
      </c>
      <c r="J302" s="6">
        <v>254</v>
      </c>
      <c r="K302" s="6">
        <v>254</v>
      </c>
      <c r="L302" s="6">
        <v>0</v>
      </c>
      <c r="M302" s="6">
        <v>0</v>
      </c>
      <c r="N302" s="6">
        <v>0</v>
      </c>
      <c r="O302" s="6">
        <v>0</v>
      </c>
      <c r="P302" s="6">
        <v>7</v>
      </c>
      <c r="Q302" s="4" t="s">
        <v>26</v>
      </c>
      <c r="R302" s="4">
        <v>0</v>
      </c>
      <c r="S302" s="6">
        <v>20</v>
      </c>
      <c r="T302" s="6">
        <v>0</v>
      </c>
      <c r="U302" s="6">
        <v>0</v>
      </c>
      <c r="V302" s="6">
        <f>IF(ISERROR(VLOOKUP($S$302,'TAR FIN'!$A$1:$O$113,15,0)),0,VLOOKUP($S$302,'TAR FIN'!$A$1:$O$113,15,0))</f>
        <v>14</v>
      </c>
      <c r="W302" s="6">
        <f>IF(ISERROR(VLOOKUP($T$302,'TAR FIN'!$A$1:$O$113,15,0)),0,VLOOKUP($T$302,'TAR FIN'!$A$1:$O$113,15,0))</f>
        <v>0</v>
      </c>
      <c r="X302" s="6">
        <f>IF(ISERROR(VLOOKUP($U$302,'TAR FIN'!$A$1:$O$113,15,0)),0,VLOOKUP($U$302,'TAR FIN'!$A$1:$O$113,15,0))</f>
        <v>0</v>
      </c>
      <c r="Y302" s="6">
        <f ca="1">('TUSD BE'!$AM$19+'TUSD BF'!$AM$19+'TUSD CVA'!$AM$19)*1</f>
        <v>16.035953923331604</v>
      </c>
      <c r="Z302" s="6"/>
      <c r="AA302" s="6"/>
      <c r="AB302" s="6">
        <f>$K$302*$V$302</f>
        <v>3556</v>
      </c>
      <c r="AC302" s="6">
        <f>$M$302*$W$302</f>
        <v>0</v>
      </c>
      <c r="AD302" s="6">
        <f>$O$302*$X$302</f>
        <v>0</v>
      </c>
      <c r="AE302" s="6">
        <f ca="1">$K$302*$Y$302</f>
        <v>4073.1322965262275</v>
      </c>
      <c r="AF302" s="6">
        <f>$M$302*$Z$302</f>
        <v>0</v>
      </c>
      <c r="AG302" s="6">
        <f>$O$302*$AA$302</f>
        <v>0</v>
      </c>
    </row>
    <row r="303" spans="1:33" ht="11.25" customHeight="1" x14ac:dyDescent="0.3">
      <c r="A303" s="4" t="s">
        <v>21</v>
      </c>
      <c r="B303" s="4" t="s">
        <v>39</v>
      </c>
      <c r="C303" s="4" t="s">
        <v>41</v>
      </c>
      <c r="D303" s="4" t="s">
        <v>52</v>
      </c>
      <c r="E303" s="4" t="s">
        <v>25</v>
      </c>
      <c r="F303" s="4" t="s">
        <v>25</v>
      </c>
      <c r="G303" s="4" t="s">
        <v>25</v>
      </c>
      <c r="H303" s="4" t="s">
        <v>25</v>
      </c>
      <c r="I303" s="5">
        <v>44774</v>
      </c>
      <c r="J303" s="6">
        <v>285</v>
      </c>
      <c r="K303" s="6">
        <v>285</v>
      </c>
      <c r="L303" s="6">
        <v>0</v>
      </c>
      <c r="M303" s="6">
        <v>0</v>
      </c>
      <c r="N303" s="6">
        <v>0</v>
      </c>
      <c r="O303" s="6">
        <v>0</v>
      </c>
      <c r="P303" s="6">
        <v>7</v>
      </c>
      <c r="Q303" s="4" t="s">
        <v>26</v>
      </c>
      <c r="R303" s="4">
        <v>0</v>
      </c>
      <c r="S303" s="6">
        <v>20</v>
      </c>
      <c r="T303" s="6">
        <v>0</v>
      </c>
      <c r="U303" s="6">
        <v>0</v>
      </c>
      <c r="V303" s="6">
        <f>IF(ISERROR(VLOOKUP($S$303,'TAR FIN'!$A$1:$O$113,15,0)),0,VLOOKUP($S$303,'TAR FIN'!$A$1:$O$113,15,0))</f>
        <v>14</v>
      </c>
      <c r="W303" s="6">
        <f>IF(ISERROR(VLOOKUP($T$303,'TAR FIN'!$A$1:$O$113,15,0)),0,VLOOKUP($T$303,'TAR FIN'!$A$1:$O$113,15,0))</f>
        <v>0</v>
      </c>
      <c r="X303" s="6">
        <f>IF(ISERROR(VLOOKUP($U$303,'TAR FIN'!$A$1:$O$113,15,0)),0,VLOOKUP($U$303,'TAR FIN'!$A$1:$O$113,15,0))</f>
        <v>0</v>
      </c>
      <c r="Y303" s="6">
        <f ca="1">('TUSD BE'!$AM$19+'TUSD BF'!$AM$19+'TUSD CVA'!$AM$19)*1</f>
        <v>16.035953923331604</v>
      </c>
      <c r="Z303" s="6"/>
      <c r="AA303" s="6"/>
      <c r="AB303" s="6">
        <f>$K$303*$V$303</f>
        <v>3990</v>
      </c>
      <c r="AC303" s="6">
        <f>$M$303*$W$303</f>
        <v>0</v>
      </c>
      <c r="AD303" s="6">
        <f>$O$303*$X$303</f>
        <v>0</v>
      </c>
      <c r="AE303" s="6">
        <f ca="1">$K$303*$Y$303</f>
        <v>4570.2468681495075</v>
      </c>
      <c r="AF303" s="6">
        <f>$M$303*$Z$303</f>
        <v>0</v>
      </c>
      <c r="AG303" s="6">
        <f>$O$303*$AA$303</f>
        <v>0</v>
      </c>
    </row>
    <row r="304" spans="1:33" ht="11.25" customHeight="1" x14ac:dyDescent="0.3">
      <c r="A304" s="4" t="s">
        <v>21</v>
      </c>
      <c r="B304" s="4" t="s">
        <v>39</v>
      </c>
      <c r="C304" s="4" t="s">
        <v>41</v>
      </c>
      <c r="D304" s="4" t="s">
        <v>52</v>
      </c>
      <c r="E304" s="4" t="s">
        <v>25</v>
      </c>
      <c r="F304" s="4" t="s">
        <v>25</v>
      </c>
      <c r="G304" s="4" t="s">
        <v>25</v>
      </c>
      <c r="H304" s="4" t="s">
        <v>25</v>
      </c>
      <c r="I304" s="5">
        <v>44805</v>
      </c>
      <c r="J304" s="6">
        <v>253</v>
      </c>
      <c r="K304" s="6">
        <v>253</v>
      </c>
      <c r="L304" s="6">
        <v>0</v>
      </c>
      <c r="M304" s="6">
        <v>0</v>
      </c>
      <c r="N304" s="6">
        <v>0</v>
      </c>
      <c r="O304" s="6">
        <v>0</v>
      </c>
      <c r="P304" s="6">
        <v>7</v>
      </c>
      <c r="Q304" s="4" t="s">
        <v>26</v>
      </c>
      <c r="R304" s="4">
        <v>0</v>
      </c>
      <c r="S304" s="6">
        <v>20</v>
      </c>
      <c r="T304" s="6">
        <v>0</v>
      </c>
      <c r="U304" s="6">
        <v>0</v>
      </c>
      <c r="V304" s="6">
        <f>IF(ISERROR(VLOOKUP($S$304,'TAR FIN'!$A$1:$O$113,15,0)),0,VLOOKUP($S$304,'TAR FIN'!$A$1:$O$113,15,0))</f>
        <v>14</v>
      </c>
      <c r="W304" s="6">
        <f>IF(ISERROR(VLOOKUP($T$304,'TAR FIN'!$A$1:$O$113,15,0)),0,VLOOKUP($T$304,'TAR FIN'!$A$1:$O$113,15,0))</f>
        <v>0</v>
      </c>
      <c r="X304" s="6">
        <f>IF(ISERROR(VLOOKUP($U$304,'TAR FIN'!$A$1:$O$113,15,0)),0,VLOOKUP($U$304,'TAR FIN'!$A$1:$O$113,15,0))</f>
        <v>0</v>
      </c>
      <c r="Y304" s="6">
        <f ca="1">('TUSD BE'!$AM$19+'TUSD BF'!$AM$19+'TUSD CVA'!$AM$19)*1</f>
        <v>16.035953923331604</v>
      </c>
      <c r="Z304" s="6"/>
      <c r="AA304" s="6"/>
      <c r="AB304" s="6">
        <f>$K$304*$V$304</f>
        <v>3542</v>
      </c>
      <c r="AC304" s="6">
        <f>$M$304*$W$304</f>
        <v>0</v>
      </c>
      <c r="AD304" s="6">
        <f>$O$304*$X$304</f>
        <v>0</v>
      </c>
      <c r="AE304" s="6">
        <f ca="1">$K$304*$Y$304</f>
        <v>4057.0963426028957</v>
      </c>
      <c r="AF304" s="6">
        <f>$M$304*$Z$304</f>
        <v>0</v>
      </c>
      <c r="AG304" s="6">
        <f>$O$304*$AA$304</f>
        <v>0</v>
      </c>
    </row>
    <row r="305" spans="1:33" ht="11.25" customHeight="1" x14ac:dyDescent="0.3">
      <c r="A305" s="4" t="s">
        <v>53</v>
      </c>
      <c r="B305" s="4" t="s">
        <v>39</v>
      </c>
      <c r="C305" s="4" t="s">
        <v>41</v>
      </c>
      <c r="D305" s="4" t="s">
        <v>52</v>
      </c>
      <c r="E305" s="4" t="s">
        <v>25</v>
      </c>
      <c r="F305" s="4" t="s">
        <v>25</v>
      </c>
      <c r="G305" s="4" t="s">
        <v>25</v>
      </c>
      <c r="H305" s="4" t="s">
        <v>25</v>
      </c>
      <c r="I305" s="5">
        <v>44835</v>
      </c>
      <c r="J305" s="6">
        <v>253</v>
      </c>
      <c r="K305" s="6">
        <v>253</v>
      </c>
      <c r="L305" s="6">
        <v>0</v>
      </c>
      <c r="M305" s="6">
        <v>0</v>
      </c>
      <c r="N305" s="6">
        <v>0</v>
      </c>
      <c r="O305" s="6">
        <v>0</v>
      </c>
      <c r="P305" s="6">
        <v>7</v>
      </c>
      <c r="Q305" s="4" t="s">
        <v>26</v>
      </c>
      <c r="R305" s="4">
        <v>0</v>
      </c>
      <c r="S305" s="6">
        <v>20</v>
      </c>
      <c r="T305" s="6">
        <v>0</v>
      </c>
      <c r="U305" s="6">
        <v>0</v>
      </c>
      <c r="V305" s="6">
        <f>IF(ISERROR(VLOOKUP($S$305,'TAR FIN'!$A$1:$O$113,15,0)),0,VLOOKUP($S$305,'TAR FIN'!$A$1:$O$113,15,0))</f>
        <v>14</v>
      </c>
      <c r="W305" s="6">
        <f>IF(ISERROR(VLOOKUP($T$305,'TAR FIN'!$A$1:$O$113,15,0)),0,VLOOKUP($T$305,'TAR FIN'!$A$1:$O$113,15,0))</f>
        <v>0</v>
      </c>
      <c r="X305" s="6">
        <f>IF(ISERROR(VLOOKUP($U$305,'TAR FIN'!$A$1:$O$113,15,0)),0,VLOOKUP($U$305,'TAR FIN'!$A$1:$O$113,15,0))</f>
        <v>0</v>
      </c>
      <c r="Y305" s="6">
        <f ca="1">('TUSD BE'!$AM$19+'TUSD BF'!$AM$19+'TUSD CVA'!$AM$19)*1</f>
        <v>16.035953923331604</v>
      </c>
      <c r="Z305" s="6"/>
      <c r="AA305" s="6"/>
      <c r="AB305" s="6">
        <f>$K$305*$V$305</f>
        <v>3542</v>
      </c>
      <c r="AC305" s="6">
        <f>$M$305*$W$305</f>
        <v>0</v>
      </c>
      <c r="AD305" s="6">
        <f>$O$305*$X$305</f>
        <v>0</v>
      </c>
      <c r="AE305" s="6">
        <f ca="1">$K$305*$Y$305</f>
        <v>4057.0963426028957</v>
      </c>
      <c r="AF305" s="6">
        <f>$M$305*$Z$305</f>
        <v>0</v>
      </c>
      <c r="AG305" s="6">
        <f>$O$305*$AA$305</f>
        <v>0</v>
      </c>
    </row>
    <row r="306" spans="1:33" ht="11.25" customHeight="1" x14ac:dyDescent="0.3">
      <c r="A306" s="4" t="s">
        <v>21</v>
      </c>
      <c r="B306" s="4" t="s">
        <v>39</v>
      </c>
      <c r="C306" s="4" t="s">
        <v>41</v>
      </c>
      <c r="D306" s="4" t="s">
        <v>52</v>
      </c>
      <c r="E306" s="4" t="s">
        <v>25</v>
      </c>
      <c r="F306" s="4" t="s">
        <v>25</v>
      </c>
      <c r="G306" s="4" t="s">
        <v>25</v>
      </c>
      <c r="H306" s="4" t="s">
        <v>34</v>
      </c>
      <c r="I306" s="5">
        <v>44501</v>
      </c>
      <c r="J306" s="6">
        <v>0</v>
      </c>
      <c r="K306" s="6">
        <v>0</v>
      </c>
      <c r="L306" s="6">
        <v>4.4749999999999996</v>
      </c>
      <c r="M306" s="6">
        <v>4.4749999999999996</v>
      </c>
      <c r="N306" s="6">
        <v>4.4749999999999996</v>
      </c>
      <c r="O306" s="6">
        <v>4.4749999999999996</v>
      </c>
      <c r="P306" s="6">
        <v>0</v>
      </c>
      <c r="Q306" s="4" t="s">
        <v>26</v>
      </c>
      <c r="R306" s="4">
        <v>0</v>
      </c>
      <c r="S306" s="6">
        <v>0</v>
      </c>
      <c r="T306" s="6">
        <v>8</v>
      </c>
      <c r="U306" s="6">
        <v>38</v>
      </c>
      <c r="V306" s="6">
        <f>IF(ISERROR(VLOOKUP($S$306,'TAR FIN'!$A$1:$O$113,15,0)),0,VLOOKUP($S$306,'TAR FIN'!$A$1:$O$113,15,0))</f>
        <v>0</v>
      </c>
      <c r="W306" s="6">
        <f>IF(ISERROR(VLOOKUP($T$306,'TAR FIN'!$A$1:$O$113,15,0)),0,VLOOKUP($T$306,'TAR FIN'!$A$1:$O$113,15,0))</f>
        <v>940.43</v>
      </c>
      <c r="X306" s="6">
        <f>IF(ISERROR(VLOOKUP($U$306,'TAR FIN'!$A$1:$O$113,15,0)),0,VLOOKUP($U$306,'TAR FIN'!$A$1:$O$113,15,0))</f>
        <v>442.86</v>
      </c>
      <c r="Y306" s="6"/>
      <c r="Z306" s="6">
        <f ca="1">('TUSD BE'!$AM$20+'TUSD BF'!$AM$20+'TUSD CVA'!$AM$20)*1</f>
        <v>1117.8285588949407</v>
      </c>
      <c r="AA306" s="6">
        <f>('TE BE'!$AB$9+'TE BF'!$AB$9+'TE CVA'!$AB$9)*1</f>
        <v>486.43608405794748</v>
      </c>
      <c r="AB306" s="6">
        <f>$K$306*$V$306</f>
        <v>0</v>
      </c>
      <c r="AC306" s="6">
        <f>$M$306*$W$306</f>
        <v>4208.4242499999991</v>
      </c>
      <c r="AD306" s="6">
        <f>$O$306*$X$306</f>
        <v>1981.7984999999999</v>
      </c>
      <c r="AE306" s="6">
        <f>$K$306*$Y$306</f>
        <v>0</v>
      </c>
      <c r="AF306" s="6">
        <f ca="1">$M$306*$Z$306</f>
        <v>5002.2828010548592</v>
      </c>
      <c r="AG306" s="6">
        <f>$O$306*$AA$306</f>
        <v>2176.8014761593149</v>
      </c>
    </row>
    <row r="307" spans="1:33" ht="11.25" customHeight="1" x14ac:dyDescent="0.3">
      <c r="A307" s="4" t="s">
        <v>21</v>
      </c>
      <c r="B307" s="4" t="s">
        <v>39</v>
      </c>
      <c r="C307" s="4" t="s">
        <v>41</v>
      </c>
      <c r="D307" s="4" t="s">
        <v>52</v>
      </c>
      <c r="E307" s="4" t="s">
        <v>25</v>
      </c>
      <c r="F307" s="4" t="s">
        <v>25</v>
      </c>
      <c r="G307" s="4" t="s">
        <v>25</v>
      </c>
      <c r="H307" s="4" t="s">
        <v>34</v>
      </c>
      <c r="I307" s="5">
        <v>44531</v>
      </c>
      <c r="J307" s="6">
        <v>0</v>
      </c>
      <c r="K307" s="6">
        <v>0</v>
      </c>
      <c r="L307" s="6">
        <v>4.2549999999999999</v>
      </c>
      <c r="M307" s="6">
        <v>4.2549999999999999</v>
      </c>
      <c r="N307" s="6">
        <v>4.2549999999999999</v>
      </c>
      <c r="O307" s="6">
        <v>4.2549999999999999</v>
      </c>
      <c r="P307" s="6">
        <v>0</v>
      </c>
      <c r="Q307" s="4" t="s">
        <v>26</v>
      </c>
      <c r="R307" s="4">
        <v>0</v>
      </c>
      <c r="S307" s="6">
        <v>0</v>
      </c>
      <c r="T307" s="6">
        <v>8</v>
      </c>
      <c r="U307" s="6">
        <v>38</v>
      </c>
      <c r="V307" s="6">
        <f>IF(ISERROR(VLOOKUP($S$307,'TAR FIN'!$A$1:$O$113,15,0)),0,VLOOKUP($S$307,'TAR FIN'!$A$1:$O$113,15,0))</f>
        <v>0</v>
      </c>
      <c r="W307" s="6">
        <f>IF(ISERROR(VLOOKUP($T$307,'TAR FIN'!$A$1:$O$113,15,0)),0,VLOOKUP($T$307,'TAR FIN'!$A$1:$O$113,15,0))</f>
        <v>940.43</v>
      </c>
      <c r="X307" s="6">
        <f>IF(ISERROR(VLOOKUP($U$307,'TAR FIN'!$A$1:$O$113,15,0)),0,VLOOKUP($U$307,'TAR FIN'!$A$1:$O$113,15,0))</f>
        <v>442.86</v>
      </c>
      <c r="Y307" s="6"/>
      <c r="Z307" s="6">
        <f ca="1">('TUSD BE'!$AM$20+'TUSD BF'!$AM$20+'TUSD CVA'!$AM$20)*1</f>
        <v>1117.8285588949407</v>
      </c>
      <c r="AA307" s="6">
        <f>('TE BE'!$AB$9+'TE BF'!$AB$9+'TE CVA'!$AB$9)*1</f>
        <v>486.43608405794748</v>
      </c>
      <c r="AB307" s="6">
        <f>$K$307*$V$307</f>
        <v>0</v>
      </c>
      <c r="AC307" s="6">
        <f>$M$307*$W$307</f>
        <v>4001.5296499999995</v>
      </c>
      <c r="AD307" s="6">
        <f>$O$307*$X$307</f>
        <v>1884.3693000000001</v>
      </c>
      <c r="AE307" s="6">
        <f>$K$307*$Y$307</f>
        <v>0</v>
      </c>
      <c r="AF307" s="6">
        <f ca="1">$M$307*$Z$307</f>
        <v>4756.3605180979721</v>
      </c>
      <c r="AG307" s="6">
        <f>$O$307*$AA$307</f>
        <v>2069.7855376665666</v>
      </c>
    </row>
    <row r="308" spans="1:33" ht="11.25" customHeight="1" x14ac:dyDescent="0.3">
      <c r="A308" s="4" t="s">
        <v>21</v>
      </c>
      <c r="B308" s="4" t="s">
        <v>39</v>
      </c>
      <c r="C308" s="4" t="s">
        <v>41</v>
      </c>
      <c r="D308" s="4" t="s">
        <v>52</v>
      </c>
      <c r="E308" s="4" t="s">
        <v>25</v>
      </c>
      <c r="F308" s="4" t="s">
        <v>25</v>
      </c>
      <c r="G308" s="4" t="s">
        <v>25</v>
      </c>
      <c r="H308" s="4" t="s">
        <v>34</v>
      </c>
      <c r="I308" s="5">
        <v>44562</v>
      </c>
      <c r="J308" s="6">
        <v>0</v>
      </c>
      <c r="K308" s="6">
        <v>0</v>
      </c>
      <c r="L308" s="6">
        <v>5.1749999999999998</v>
      </c>
      <c r="M308" s="6">
        <v>5.1749999999999998</v>
      </c>
      <c r="N308" s="6">
        <v>5.1749999999999998</v>
      </c>
      <c r="O308" s="6">
        <v>5.1749999999999998</v>
      </c>
      <c r="P308" s="6">
        <v>0</v>
      </c>
      <c r="Q308" s="4" t="s">
        <v>26</v>
      </c>
      <c r="R308" s="4">
        <v>0</v>
      </c>
      <c r="S308" s="6">
        <v>0</v>
      </c>
      <c r="T308" s="6">
        <v>8</v>
      </c>
      <c r="U308" s="6">
        <v>38</v>
      </c>
      <c r="V308" s="6">
        <f>IF(ISERROR(VLOOKUP($S$308,'TAR FIN'!$A$1:$O$113,15,0)),0,VLOOKUP($S$308,'TAR FIN'!$A$1:$O$113,15,0))</f>
        <v>0</v>
      </c>
      <c r="W308" s="6">
        <f>IF(ISERROR(VLOOKUP($T$308,'TAR FIN'!$A$1:$O$113,15,0)),0,VLOOKUP($T$308,'TAR FIN'!$A$1:$O$113,15,0))</f>
        <v>940.43</v>
      </c>
      <c r="X308" s="6">
        <f>IF(ISERROR(VLOOKUP($U$308,'TAR FIN'!$A$1:$O$113,15,0)),0,VLOOKUP($U$308,'TAR FIN'!$A$1:$O$113,15,0))</f>
        <v>442.86</v>
      </c>
      <c r="Y308" s="6"/>
      <c r="Z308" s="6">
        <f ca="1">('TUSD BE'!$AM$20+'TUSD BF'!$AM$20+'TUSD CVA'!$AM$20)*1</f>
        <v>1117.8285588949407</v>
      </c>
      <c r="AA308" s="6">
        <f>('TE BE'!$AB$9+'TE BF'!$AB$9+'TE CVA'!$AB$9)*1</f>
        <v>486.43608405794748</v>
      </c>
      <c r="AB308" s="6">
        <f>$K$308*$V$308</f>
        <v>0</v>
      </c>
      <c r="AC308" s="6">
        <f>$M$308*$W$308</f>
        <v>4866.7252499999995</v>
      </c>
      <c r="AD308" s="6">
        <f>$O$308*$X$308</f>
        <v>2291.8004999999998</v>
      </c>
      <c r="AE308" s="6">
        <f>$K$308*$Y$308</f>
        <v>0</v>
      </c>
      <c r="AF308" s="6">
        <f ca="1">$M$308*$Z$308</f>
        <v>5784.7627922813181</v>
      </c>
      <c r="AG308" s="6">
        <f>$O$308*$AA$308</f>
        <v>2517.3067349998782</v>
      </c>
    </row>
    <row r="309" spans="1:33" ht="11.25" customHeight="1" x14ac:dyDescent="0.3">
      <c r="A309" s="4" t="s">
        <v>21</v>
      </c>
      <c r="B309" s="4" t="s">
        <v>39</v>
      </c>
      <c r="C309" s="4" t="s">
        <v>41</v>
      </c>
      <c r="D309" s="4" t="s">
        <v>52</v>
      </c>
      <c r="E309" s="4" t="s">
        <v>25</v>
      </c>
      <c r="F309" s="4" t="s">
        <v>25</v>
      </c>
      <c r="G309" s="4" t="s">
        <v>25</v>
      </c>
      <c r="H309" s="4" t="s">
        <v>34</v>
      </c>
      <c r="I309" s="5">
        <v>44593</v>
      </c>
      <c r="J309" s="6">
        <v>0</v>
      </c>
      <c r="K309" s="6">
        <v>0</v>
      </c>
      <c r="L309" s="6">
        <v>4.7939999999999996</v>
      </c>
      <c r="M309" s="6">
        <v>4.7939999999999996</v>
      </c>
      <c r="N309" s="6">
        <v>4.7939999999999996</v>
      </c>
      <c r="O309" s="6">
        <v>4.7939999999999996</v>
      </c>
      <c r="P309" s="6">
        <v>0</v>
      </c>
      <c r="Q309" s="4" t="s">
        <v>26</v>
      </c>
      <c r="R309" s="4">
        <v>0</v>
      </c>
      <c r="S309" s="6">
        <v>0</v>
      </c>
      <c r="T309" s="6">
        <v>8</v>
      </c>
      <c r="U309" s="6">
        <v>38</v>
      </c>
      <c r="V309" s="6">
        <f>IF(ISERROR(VLOOKUP($S$309,'TAR FIN'!$A$1:$O$113,15,0)),0,VLOOKUP($S$309,'TAR FIN'!$A$1:$O$113,15,0))</f>
        <v>0</v>
      </c>
      <c r="W309" s="6">
        <f>IF(ISERROR(VLOOKUP($T$309,'TAR FIN'!$A$1:$O$113,15,0)),0,VLOOKUP($T$309,'TAR FIN'!$A$1:$O$113,15,0))</f>
        <v>940.43</v>
      </c>
      <c r="X309" s="6">
        <f>IF(ISERROR(VLOOKUP($U$309,'TAR FIN'!$A$1:$O$113,15,0)),0,VLOOKUP($U$309,'TAR FIN'!$A$1:$O$113,15,0))</f>
        <v>442.86</v>
      </c>
      <c r="Y309" s="6"/>
      <c r="Z309" s="6">
        <f ca="1">('TUSD BE'!$AM$20+'TUSD BF'!$AM$20+'TUSD CVA'!$AM$20)*1</f>
        <v>1117.8285588949407</v>
      </c>
      <c r="AA309" s="6">
        <f>('TE BE'!$AB$9+'TE BF'!$AB$9+'TE CVA'!$AB$9)*1</f>
        <v>486.43608405794748</v>
      </c>
      <c r="AB309" s="6">
        <f>$K$309*$V$309</f>
        <v>0</v>
      </c>
      <c r="AC309" s="6">
        <f>$M$309*$W$309</f>
        <v>4508.4214199999997</v>
      </c>
      <c r="AD309" s="6">
        <f>$O$309*$X$309</f>
        <v>2123.0708399999999</v>
      </c>
      <c r="AE309" s="6">
        <f>$K$309*$Y$309</f>
        <v>0</v>
      </c>
      <c r="AF309" s="6">
        <f ca="1">$M$309*$Z$309</f>
        <v>5358.8701113423449</v>
      </c>
      <c r="AG309" s="6">
        <f>$O$309*$AA$309</f>
        <v>2331.9745869737999</v>
      </c>
    </row>
    <row r="310" spans="1:33" ht="11.25" customHeight="1" x14ac:dyDescent="0.3">
      <c r="A310" s="4" t="s">
        <v>21</v>
      </c>
      <c r="B310" s="4" t="s">
        <v>39</v>
      </c>
      <c r="C310" s="4" t="s">
        <v>41</v>
      </c>
      <c r="D310" s="4" t="s">
        <v>52</v>
      </c>
      <c r="E310" s="4" t="s">
        <v>25</v>
      </c>
      <c r="F310" s="4" t="s">
        <v>25</v>
      </c>
      <c r="G310" s="4" t="s">
        <v>25</v>
      </c>
      <c r="H310" s="4" t="s">
        <v>34</v>
      </c>
      <c r="I310" s="5">
        <v>44621</v>
      </c>
      <c r="J310" s="6">
        <v>0</v>
      </c>
      <c r="K310" s="6">
        <v>0</v>
      </c>
      <c r="L310" s="6">
        <v>4.569</v>
      </c>
      <c r="M310" s="6">
        <v>4.569</v>
      </c>
      <c r="N310" s="6">
        <v>4.569</v>
      </c>
      <c r="O310" s="6">
        <v>4.569</v>
      </c>
      <c r="P310" s="6">
        <v>0</v>
      </c>
      <c r="Q310" s="4" t="s">
        <v>26</v>
      </c>
      <c r="R310" s="4">
        <v>0</v>
      </c>
      <c r="S310" s="6">
        <v>0</v>
      </c>
      <c r="T310" s="6">
        <v>8</v>
      </c>
      <c r="U310" s="6">
        <v>38</v>
      </c>
      <c r="V310" s="6">
        <f>IF(ISERROR(VLOOKUP($S$310,'TAR FIN'!$A$1:$O$113,15,0)),0,VLOOKUP($S$310,'TAR FIN'!$A$1:$O$113,15,0))</f>
        <v>0</v>
      </c>
      <c r="W310" s="6">
        <f>IF(ISERROR(VLOOKUP($T$310,'TAR FIN'!$A$1:$O$113,15,0)),0,VLOOKUP($T$310,'TAR FIN'!$A$1:$O$113,15,0))</f>
        <v>940.43</v>
      </c>
      <c r="X310" s="6">
        <f>IF(ISERROR(VLOOKUP($U$310,'TAR FIN'!$A$1:$O$113,15,0)),0,VLOOKUP($U$310,'TAR FIN'!$A$1:$O$113,15,0))</f>
        <v>442.86</v>
      </c>
      <c r="Y310" s="6"/>
      <c r="Z310" s="6">
        <f ca="1">('TUSD BE'!$AM$20+'TUSD BF'!$AM$20+'TUSD CVA'!$AM$20)*1</f>
        <v>1117.8285588949407</v>
      </c>
      <c r="AA310" s="6">
        <f>('TE BE'!$AB$9+'TE BF'!$AB$9+'TE CVA'!$AB$9)*1</f>
        <v>486.43608405794748</v>
      </c>
      <c r="AB310" s="6">
        <f>$K$310*$V$310</f>
        <v>0</v>
      </c>
      <c r="AC310" s="6">
        <f>$M$310*$W$310</f>
        <v>4296.82467</v>
      </c>
      <c r="AD310" s="6">
        <f>$O$310*$X$310</f>
        <v>2023.42734</v>
      </c>
      <c r="AE310" s="6">
        <f>$K$310*$Y$310</f>
        <v>0</v>
      </c>
      <c r="AF310" s="6">
        <f ca="1">$M$310*$Z$310</f>
        <v>5107.3586855909834</v>
      </c>
      <c r="AG310" s="6">
        <f>$O$310*$AA$310</f>
        <v>2222.526468060762</v>
      </c>
    </row>
    <row r="311" spans="1:33" ht="11.25" customHeight="1" x14ac:dyDescent="0.3">
      <c r="A311" s="4" t="s">
        <v>21</v>
      </c>
      <c r="B311" s="4" t="s">
        <v>39</v>
      </c>
      <c r="C311" s="4" t="s">
        <v>41</v>
      </c>
      <c r="D311" s="4" t="s">
        <v>52</v>
      </c>
      <c r="E311" s="4" t="s">
        <v>25</v>
      </c>
      <c r="F311" s="4" t="s">
        <v>25</v>
      </c>
      <c r="G311" s="4" t="s">
        <v>25</v>
      </c>
      <c r="H311" s="4" t="s">
        <v>34</v>
      </c>
      <c r="I311" s="5">
        <v>44652</v>
      </c>
      <c r="J311" s="6">
        <v>0</v>
      </c>
      <c r="K311" s="6">
        <v>0</v>
      </c>
      <c r="L311" s="6">
        <v>5.274</v>
      </c>
      <c r="M311" s="6">
        <v>5.274</v>
      </c>
      <c r="N311" s="6">
        <v>5.274</v>
      </c>
      <c r="O311" s="6">
        <v>5.274</v>
      </c>
      <c r="P311" s="6">
        <v>0</v>
      </c>
      <c r="Q311" s="4" t="s">
        <v>26</v>
      </c>
      <c r="R311" s="4">
        <v>0</v>
      </c>
      <c r="S311" s="6">
        <v>0</v>
      </c>
      <c r="T311" s="6">
        <v>8</v>
      </c>
      <c r="U311" s="6">
        <v>38</v>
      </c>
      <c r="V311" s="6">
        <f>IF(ISERROR(VLOOKUP($S$311,'TAR FIN'!$A$1:$O$113,15,0)),0,VLOOKUP($S$311,'TAR FIN'!$A$1:$O$113,15,0))</f>
        <v>0</v>
      </c>
      <c r="W311" s="6">
        <f>IF(ISERROR(VLOOKUP($T$311,'TAR FIN'!$A$1:$O$113,15,0)),0,VLOOKUP($T$311,'TAR FIN'!$A$1:$O$113,15,0))</f>
        <v>940.43</v>
      </c>
      <c r="X311" s="6">
        <f>IF(ISERROR(VLOOKUP($U$311,'TAR FIN'!$A$1:$O$113,15,0)),0,VLOOKUP($U$311,'TAR FIN'!$A$1:$O$113,15,0))</f>
        <v>442.86</v>
      </c>
      <c r="Y311" s="6"/>
      <c r="Z311" s="6">
        <f ca="1">('TUSD BE'!$AM$20+'TUSD BF'!$AM$20+'TUSD CVA'!$AM$20)*1</f>
        <v>1117.8285588949407</v>
      </c>
      <c r="AA311" s="6">
        <f>('TE BE'!$AB$9+'TE BF'!$AB$9+'TE CVA'!$AB$9)*1</f>
        <v>486.43608405794748</v>
      </c>
      <c r="AB311" s="6">
        <f>$K$311*$V$311</f>
        <v>0</v>
      </c>
      <c r="AC311" s="6">
        <f>$M$311*$W$311</f>
        <v>4959.8278199999995</v>
      </c>
      <c r="AD311" s="6">
        <f>$O$311*$X$311</f>
        <v>2335.6436400000002</v>
      </c>
      <c r="AE311" s="6">
        <f>$K$311*$Y$311</f>
        <v>0</v>
      </c>
      <c r="AF311" s="6">
        <f ca="1">$M$311*$Z$311</f>
        <v>5895.4278196119167</v>
      </c>
      <c r="AG311" s="6">
        <f>$O$311*$AA$311</f>
        <v>2565.4639073216149</v>
      </c>
    </row>
    <row r="312" spans="1:33" ht="11.25" customHeight="1" x14ac:dyDescent="0.3">
      <c r="A312" s="4" t="s">
        <v>21</v>
      </c>
      <c r="B312" s="4" t="s">
        <v>39</v>
      </c>
      <c r="C312" s="4" t="s">
        <v>41</v>
      </c>
      <c r="D312" s="4" t="s">
        <v>52</v>
      </c>
      <c r="E312" s="4" t="s">
        <v>25</v>
      </c>
      <c r="F312" s="4" t="s">
        <v>25</v>
      </c>
      <c r="G312" s="4" t="s">
        <v>25</v>
      </c>
      <c r="H312" s="4" t="s">
        <v>34</v>
      </c>
      <c r="I312" s="5">
        <v>44682</v>
      </c>
      <c r="J312" s="6">
        <v>0</v>
      </c>
      <c r="K312" s="6">
        <v>0</v>
      </c>
      <c r="L312" s="6">
        <v>4.6159999999999997</v>
      </c>
      <c r="M312" s="6">
        <v>4.6159999999999997</v>
      </c>
      <c r="N312" s="6">
        <v>4.6159999999999997</v>
      </c>
      <c r="O312" s="6">
        <v>4.6159999999999997</v>
      </c>
      <c r="P312" s="6">
        <v>0</v>
      </c>
      <c r="Q312" s="4" t="s">
        <v>26</v>
      </c>
      <c r="R312" s="4">
        <v>0</v>
      </c>
      <c r="S312" s="6">
        <v>0</v>
      </c>
      <c r="T312" s="6">
        <v>8</v>
      </c>
      <c r="U312" s="6">
        <v>38</v>
      </c>
      <c r="V312" s="6">
        <f>IF(ISERROR(VLOOKUP($S$312,'TAR FIN'!$A$1:$O$113,15,0)),0,VLOOKUP($S$312,'TAR FIN'!$A$1:$O$113,15,0))</f>
        <v>0</v>
      </c>
      <c r="W312" s="6">
        <f>IF(ISERROR(VLOOKUP($T$312,'TAR FIN'!$A$1:$O$113,15,0)),0,VLOOKUP($T$312,'TAR FIN'!$A$1:$O$113,15,0))</f>
        <v>940.43</v>
      </c>
      <c r="X312" s="6">
        <f>IF(ISERROR(VLOOKUP($U$312,'TAR FIN'!$A$1:$O$113,15,0)),0,VLOOKUP($U$312,'TAR FIN'!$A$1:$O$113,15,0))</f>
        <v>442.86</v>
      </c>
      <c r="Y312" s="6"/>
      <c r="Z312" s="6">
        <f ca="1">('TUSD BE'!$AM$20+'TUSD BF'!$AM$20+'TUSD CVA'!$AM$20)*1</f>
        <v>1117.8285588949407</v>
      </c>
      <c r="AA312" s="6">
        <f>('TE BE'!$AB$9+'TE BF'!$AB$9+'TE CVA'!$AB$9)*1</f>
        <v>486.43608405794748</v>
      </c>
      <c r="AB312" s="6">
        <f>$K$312*$V$312</f>
        <v>0</v>
      </c>
      <c r="AC312" s="6">
        <f>$M$312*$W$312</f>
        <v>4341.024879999999</v>
      </c>
      <c r="AD312" s="6">
        <f>$O$312*$X$312</f>
        <v>2044.2417599999999</v>
      </c>
      <c r="AE312" s="6">
        <f>$K$312*$Y$312</f>
        <v>0</v>
      </c>
      <c r="AF312" s="6">
        <f ca="1">$M$312*$Z$312</f>
        <v>5159.896627859046</v>
      </c>
      <c r="AG312" s="6">
        <f>$O$312*$AA$312</f>
        <v>2245.3889640114853</v>
      </c>
    </row>
    <row r="313" spans="1:33" ht="11.25" customHeight="1" x14ac:dyDescent="0.3">
      <c r="A313" s="4" t="s">
        <v>21</v>
      </c>
      <c r="B313" s="4" t="s">
        <v>39</v>
      </c>
      <c r="C313" s="4" t="s">
        <v>41</v>
      </c>
      <c r="D313" s="4" t="s">
        <v>52</v>
      </c>
      <c r="E313" s="4" t="s">
        <v>25</v>
      </c>
      <c r="F313" s="4" t="s">
        <v>25</v>
      </c>
      <c r="G313" s="4" t="s">
        <v>25</v>
      </c>
      <c r="H313" s="4" t="s">
        <v>34</v>
      </c>
      <c r="I313" s="5">
        <v>44713</v>
      </c>
      <c r="J313" s="6">
        <v>0</v>
      </c>
      <c r="K313" s="6">
        <v>0</v>
      </c>
      <c r="L313" s="6">
        <v>5.0890000000000004</v>
      </c>
      <c r="M313" s="6">
        <v>5.0890000000000004</v>
      </c>
      <c r="N313" s="6">
        <v>5.0890000000000004</v>
      </c>
      <c r="O313" s="6">
        <v>5.0890000000000004</v>
      </c>
      <c r="P313" s="6">
        <v>0</v>
      </c>
      <c r="Q313" s="4" t="s">
        <v>26</v>
      </c>
      <c r="R313" s="4">
        <v>0</v>
      </c>
      <c r="S313" s="6">
        <v>0</v>
      </c>
      <c r="T313" s="6">
        <v>8</v>
      </c>
      <c r="U313" s="6">
        <v>38</v>
      </c>
      <c r="V313" s="6">
        <f>IF(ISERROR(VLOOKUP($S$313,'TAR FIN'!$A$1:$O$113,15,0)),0,VLOOKUP($S$313,'TAR FIN'!$A$1:$O$113,15,0))</f>
        <v>0</v>
      </c>
      <c r="W313" s="6">
        <f>IF(ISERROR(VLOOKUP($T$313,'TAR FIN'!$A$1:$O$113,15,0)),0,VLOOKUP($T$313,'TAR FIN'!$A$1:$O$113,15,0))</f>
        <v>940.43</v>
      </c>
      <c r="X313" s="6">
        <f>IF(ISERROR(VLOOKUP($U$313,'TAR FIN'!$A$1:$O$113,15,0)),0,VLOOKUP($U$313,'TAR FIN'!$A$1:$O$113,15,0))</f>
        <v>442.86</v>
      </c>
      <c r="Y313" s="6"/>
      <c r="Z313" s="6">
        <f ca="1">('TUSD BE'!$AM$20+'TUSD BF'!$AM$20+'TUSD CVA'!$AM$20)*1</f>
        <v>1117.8285588949407</v>
      </c>
      <c r="AA313" s="6">
        <f>('TE BE'!$AB$9+'TE BF'!$AB$9+'TE CVA'!$AB$9)*1</f>
        <v>486.43608405794748</v>
      </c>
      <c r="AB313" s="6">
        <f>$K$313*$V$313</f>
        <v>0</v>
      </c>
      <c r="AC313" s="6">
        <f>$M$313*$W$313</f>
        <v>4785.8482700000004</v>
      </c>
      <c r="AD313" s="6">
        <f>$O$313*$X$313</f>
        <v>2253.7145400000004</v>
      </c>
      <c r="AE313" s="6">
        <f>$K$313*$Y$313</f>
        <v>0</v>
      </c>
      <c r="AF313" s="6">
        <f ca="1">$M$313*$Z$313</f>
        <v>5688.6295362163537</v>
      </c>
      <c r="AG313" s="6">
        <f>$O$313*$AA$313</f>
        <v>2475.4732317708949</v>
      </c>
    </row>
    <row r="314" spans="1:33" ht="11.25" customHeight="1" x14ac:dyDescent="0.3">
      <c r="A314" s="4" t="s">
        <v>21</v>
      </c>
      <c r="B314" s="4" t="s">
        <v>39</v>
      </c>
      <c r="C314" s="4" t="s">
        <v>41</v>
      </c>
      <c r="D314" s="4" t="s">
        <v>52</v>
      </c>
      <c r="E314" s="4" t="s">
        <v>25</v>
      </c>
      <c r="F314" s="4" t="s">
        <v>25</v>
      </c>
      <c r="G314" s="4" t="s">
        <v>25</v>
      </c>
      <c r="H314" s="4" t="s">
        <v>34</v>
      </c>
      <c r="I314" s="5">
        <v>44743</v>
      </c>
      <c r="J314" s="6">
        <v>0</v>
      </c>
      <c r="K314" s="6">
        <v>0</v>
      </c>
      <c r="L314" s="6">
        <v>4.7629999999999999</v>
      </c>
      <c r="M314" s="6">
        <v>4.7629999999999999</v>
      </c>
      <c r="N314" s="6">
        <v>4.7629999999999999</v>
      </c>
      <c r="O314" s="6">
        <v>4.7629999999999999</v>
      </c>
      <c r="P314" s="6">
        <v>0</v>
      </c>
      <c r="Q314" s="4" t="s">
        <v>26</v>
      </c>
      <c r="R314" s="4">
        <v>0</v>
      </c>
      <c r="S314" s="6">
        <v>0</v>
      </c>
      <c r="T314" s="6">
        <v>8</v>
      </c>
      <c r="U314" s="6">
        <v>38</v>
      </c>
      <c r="V314" s="6">
        <f>IF(ISERROR(VLOOKUP($S$314,'TAR FIN'!$A$1:$O$113,15,0)),0,VLOOKUP($S$314,'TAR FIN'!$A$1:$O$113,15,0))</f>
        <v>0</v>
      </c>
      <c r="W314" s="6">
        <f>IF(ISERROR(VLOOKUP($T$314,'TAR FIN'!$A$1:$O$113,15,0)),0,VLOOKUP($T$314,'TAR FIN'!$A$1:$O$113,15,0))</f>
        <v>940.43</v>
      </c>
      <c r="X314" s="6">
        <f>IF(ISERROR(VLOOKUP($U$314,'TAR FIN'!$A$1:$O$113,15,0)),0,VLOOKUP($U$314,'TAR FIN'!$A$1:$O$113,15,0))</f>
        <v>442.86</v>
      </c>
      <c r="Y314" s="6"/>
      <c r="Z314" s="6">
        <f ca="1">('TUSD BE'!$AM$20+'TUSD BF'!$AM$20+'TUSD CVA'!$AM$20)*1</f>
        <v>1117.8285588949407</v>
      </c>
      <c r="AA314" s="6">
        <f>('TE BE'!$AB$9+'TE BF'!$AB$9+'TE CVA'!$AB$9)*1</f>
        <v>486.43608405794748</v>
      </c>
      <c r="AB314" s="6">
        <f>$K$314*$V$314</f>
        <v>0</v>
      </c>
      <c r="AC314" s="6">
        <f>$M$314*$W$314</f>
        <v>4479.2680899999996</v>
      </c>
      <c r="AD314" s="6">
        <f>$O$314*$X$314</f>
        <v>2109.3421800000001</v>
      </c>
      <c r="AE314" s="6">
        <f>$K$314*$Y$314</f>
        <v>0</v>
      </c>
      <c r="AF314" s="6">
        <f ca="1">$M$314*$Z$314</f>
        <v>5324.2174260166021</v>
      </c>
      <c r="AG314" s="6">
        <f>$O$314*$AA$314</f>
        <v>2316.8950683680036</v>
      </c>
    </row>
    <row r="315" spans="1:33" ht="11.25" customHeight="1" x14ac:dyDescent="0.3">
      <c r="A315" s="4" t="s">
        <v>21</v>
      </c>
      <c r="B315" s="4" t="s">
        <v>39</v>
      </c>
      <c r="C315" s="4" t="s">
        <v>41</v>
      </c>
      <c r="D315" s="4" t="s">
        <v>52</v>
      </c>
      <c r="E315" s="4" t="s">
        <v>25</v>
      </c>
      <c r="F315" s="4" t="s">
        <v>25</v>
      </c>
      <c r="G315" s="4" t="s">
        <v>25</v>
      </c>
      <c r="H315" s="4" t="s">
        <v>34</v>
      </c>
      <c r="I315" s="5">
        <v>44774</v>
      </c>
      <c r="J315" s="6">
        <v>0</v>
      </c>
      <c r="K315" s="6">
        <v>0</v>
      </c>
      <c r="L315" s="6">
        <v>4.9459999999999997</v>
      </c>
      <c r="M315" s="6">
        <v>4.9459999999999997</v>
      </c>
      <c r="N315" s="6">
        <v>4.9459999999999997</v>
      </c>
      <c r="O315" s="6">
        <v>4.9459999999999997</v>
      </c>
      <c r="P315" s="6">
        <v>0</v>
      </c>
      <c r="Q315" s="4" t="s">
        <v>26</v>
      </c>
      <c r="R315" s="4">
        <v>0</v>
      </c>
      <c r="S315" s="6">
        <v>0</v>
      </c>
      <c r="T315" s="6">
        <v>8</v>
      </c>
      <c r="U315" s="6">
        <v>38</v>
      </c>
      <c r="V315" s="6">
        <f>IF(ISERROR(VLOOKUP($S$315,'TAR FIN'!$A$1:$O$113,15,0)),0,VLOOKUP($S$315,'TAR FIN'!$A$1:$O$113,15,0))</f>
        <v>0</v>
      </c>
      <c r="W315" s="6">
        <f>IF(ISERROR(VLOOKUP($T$315,'TAR FIN'!$A$1:$O$113,15,0)),0,VLOOKUP($T$315,'TAR FIN'!$A$1:$O$113,15,0))</f>
        <v>940.43</v>
      </c>
      <c r="X315" s="6">
        <f>IF(ISERROR(VLOOKUP($U$315,'TAR FIN'!$A$1:$O$113,15,0)),0,VLOOKUP($U$315,'TAR FIN'!$A$1:$O$113,15,0))</f>
        <v>442.86</v>
      </c>
      <c r="Y315" s="6"/>
      <c r="Z315" s="6">
        <f ca="1">('TUSD BE'!$AM$20+'TUSD BF'!$AM$20+'TUSD CVA'!$AM$20)*1</f>
        <v>1117.8285588949407</v>
      </c>
      <c r="AA315" s="6">
        <f>('TE BE'!$AB$9+'TE BF'!$AB$9+'TE CVA'!$AB$9)*1</f>
        <v>486.43608405794748</v>
      </c>
      <c r="AB315" s="6">
        <f>$K$315*$V$315</f>
        <v>0</v>
      </c>
      <c r="AC315" s="6">
        <f>$M$315*$W$315</f>
        <v>4651.3667799999994</v>
      </c>
      <c r="AD315" s="6">
        <f>$O$315*$X$315</f>
        <v>2190.3855600000002</v>
      </c>
      <c r="AE315" s="6">
        <f>$K$315*$Y$315</f>
        <v>0</v>
      </c>
      <c r="AF315" s="6">
        <f ca="1">$M$315*$Z$315</f>
        <v>5528.7800522943762</v>
      </c>
      <c r="AG315" s="6">
        <f>$O$315*$AA$315</f>
        <v>2405.9128717506082</v>
      </c>
    </row>
    <row r="316" spans="1:33" ht="11.25" customHeight="1" x14ac:dyDescent="0.3">
      <c r="A316" s="4" t="s">
        <v>21</v>
      </c>
      <c r="B316" s="4" t="s">
        <v>39</v>
      </c>
      <c r="C316" s="4" t="s">
        <v>41</v>
      </c>
      <c r="D316" s="4" t="s">
        <v>52</v>
      </c>
      <c r="E316" s="4" t="s">
        <v>25</v>
      </c>
      <c r="F316" s="4" t="s">
        <v>25</v>
      </c>
      <c r="G316" s="4" t="s">
        <v>25</v>
      </c>
      <c r="H316" s="4" t="s">
        <v>34</v>
      </c>
      <c r="I316" s="5">
        <v>44805</v>
      </c>
      <c r="J316" s="6">
        <v>0</v>
      </c>
      <c r="K316" s="6">
        <v>0</v>
      </c>
      <c r="L316" s="6">
        <v>5.39</v>
      </c>
      <c r="M316" s="6">
        <v>5.39</v>
      </c>
      <c r="N316" s="6">
        <v>5.39</v>
      </c>
      <c r="O316" s="6">
        <v>5.39</v>
      </c>
      <c r="P316" s="6">
        <v>0</v>
      </c>
      <c r="Q316" s="4" t="s">
        <v>26</v>
      </c>
      <c r="R316" s="4">
        <v>0</v>
      </c>
      <c r="S316" s="6">
        <v>0</v>
      </c>
      <c r="T316" s="6">
        <v>8</v>
      </c>
      <c r="U316" s="6">
        <v>38</v>
      </c>
      <c r="V316" s="6">
        <f>IF(ISERROR(VLOOKUP($S$316,'TAR FIN'!$A$1:$O$113,15,0)),0,VLOOKUP($S$316,'TAR FIN'!$A$1:$O$113,15,0))</f>
        <v>0</v>
      </c>
      <c r="W316" s="6">
        <f>IF(ISERROR(VLOOKUP($T$316,'TAR FIN'!$A$1:$O$113,15,0)),0,VLOOKUP($T$316,'TAR FIN'!$A$1:$O$113,15,0))</f>
        <v>940.43</v>
      </c>
      <c r="X316" s="6">
        <f>IF(ISERROR(VLOOKUP($U$316,'TAR FIN'!$A$1:$O$113,15,0)),0,VLOOKUP($U$316,'TAR FIN'!$A$1:$O$113,15,0))</f>
        <v>442.86</v>
      </c>
      <c r="Y316" s="6"/>
      <c r="Z316" s="6">
        <f ca="1">('TUSD BE'!$AM$20+'TUSD BF'!$AM$20+'TUSD CVA'!$AM$20)*1</f>
        <v>1117.8285588949407</v>
      </c>
      <c r="AA316" s="6">
        <f>('TE BE'!$AB$9+'TE BF'!$AB$9+'TE CVA'!$AB$9)*1</f>
        <v>486.43608405794748</v>
      </c>
      <c r="AB316" s="6">
        <f>$K$316*$V$316</f>
        <v>0</v>
      </c>
      <c r="AC316" s="6">
        <f>$M$316*$W$316</f>
        <v>5068.9176999999991</v>
      </c>
      <c r="AD316" s="6">
        <f>$O$316*$X$316</f>
        <v>2387.0153999999998</v>
      </c>
      <c r="AE316" s="6">
        <f>$K$316*$Y$316</f>
        <v>0</v>
      </c>
      <c r="AF316" s="6">
        <f ca="1">$M$316*$Z$316</f>
        <v>6025.0959324437299</v>
      </c>
      <c r="AG316" s="6">
        <f>$O$316*$AA$316</f>
        <v>2621.890493072337</v>
      </c>
    </row>
    <row r="317" spans="1:33" ht="11.25" customHeight="1" x14ac:dyDescent="0.3">
      <c r="A317" s="4" t="s">
        <v>53</v>
      </c>
      <c r="B317" s="4" t="s">
        <v>39</v>
      </c>
      <c r="C317" s="4" t="s">
        <v>41</v>
      </c>
      <c r="D317" s="4" t="s">
        <v>52</v>
      </c>
      <c r="E317" s="4" t="s">
        <v>25</v>
      </c>
      <c r="F317" s="4" t="s">
        <v>25</v>
      </c>
      <c r="G317" s="4" t="s">
        <v>25</v>
      </c>
      <c r="H317" s="4" t="s">
        <v>34</v>
      </c>
      <c r="I317" s="5">
        <v>44835</v>
      </c>
      <c r="J317" s="6">
        <v>0</v>
      </c>
      <c r="K317" s="6">
        <v>0</v>
      </c>
      <c r="L317" s="6">
        <v>5.39</v>
      </c>
      <c r="M317" s="6">
        <v>5.39</v>
      </c>
      <c r="N317" s="6">
        <v>5.39</v>
      </c>
      <c r="O317" s="6">
        <v>5.39</v>
      </c>
      <c r="P317" s="6">
        <v>0</v>
      </c>
      <c r="Q317" s="4" t="s">
        <v>26</v>
      </c>
      <c r="R317" s="4">
        <v>0</v>
      </c>
      <c r="S317" s="6">
        <v>0</v>
      </c>
      <c r="T317" s="6">
        <v>8</v>
      </c>
      <c r="U317" s="6">
        <v>38</v>
      </c>
      <c r="V317" s="6">
        <f>IF(ISERROR(VLOOKUP($S$317,'TAR FIN'!$A$1:$O$113,15,0)),0,VLOOKUP($S$317,'TAR FIN'!$A$1:$O$113,15,0))</f>
        <v>0</v>
      </c>
      <c r="W317" s="6">
        <f>IF(ISERROR(VLOOKUP($T$317,'TAR FIN'!$A$1:$O$113,15,0)),0,VLOOKUP($T$317,'TAR FIN'!$A$1:$O$113,15,0))</f>
        <v>940.43</v>
      </c>
      <c r="X317" s="6">
        <f>IF(ISERROR(VLOOKUP($U$317,'TAR FIN'!$A$1:$O$113,15,0)),0,VLOOKUP($U$317,'TAR FIN'!$A$1:$O$113,15,0))</f>
        <v>442.86</v>
      </c>
      <c r="Y317" s="6"/>
      <c r="Z317" s="6">
        <f ca="1">('TUSD BE'!$AM$20+'TUSD BF'!$AM$20+'TUSD CVA'!$AM$20)*1</f>
        <v>1117.8285588949407</v>
      </c>
      <c r="AA317" s="6">
        <f>('TE BE'!$AB$9+'TE BF'!$AB$9+'TE CVA'!$AB$9)*1</f>
        <v>486.43608405794748</v>
      </c>
      <c r="AB317" s="6">
        <f>$K$317*$V$317</f>
        <v>0</v>
      </c>
      <c r="AC317" s="6">
        <f>$M$317*$W$317</f>
        <v>5068.9176999999991</v>
      </c>
      <c r="AD317" s="6">
        <f>$O$317*$X$317</f>
        <v>2387.0153999999998</v>
      </c>
      <c r="AE317" s="6">
        <f>$K$317*$Y$317</f>
        <v>0</v>
      </c>
      <c r="AF317" s="6">
        <f ca="1">$M$317*$Z$317</f>
        <v>6025.0959324437299</v>
      </c>
      <c r="AG317" s="6">
        <f>$O$317*$AA$317</f>
        <v>2621.890493072337</v>
      </c>
    </row>
    <row r="318" spans="1:33" ht="11.25" customHeight="1" x14ac:dyDescent="0.3">
      <c r="A318" s="4" t="s">
        <v>21</v>
      </c>
      <c r="B318" s="4" t="s">
        <v>39</v>
      </c>
      <c r="C318" s="4" t="s">
        <v>41</v>
      </c>
      <c r="D318" s="4" t="s">
        <v>38</v>
      </c>
      <c r="E318" s="4" t="s">
        <v>25</v>
      </c>
      <c r="F318" s="4" t="s">
        <v>56</v>
      </c>
      <c r="G318" s="4" t="s">
        <v>25</v>
      </c>
      <c r="H318" s="4" t="s">
        <v>35</v>
      </c>
      <c r="I318" s="5">
        <v>44501</v>
      </c>
      <c r="J318" s="6">
        <v>0</v>
      </c>
      <c r="K318" s="6">
        <v>0</v>
      </c>
      <c r="L318" s="6">
        <v>1753.7190000000001</v>
      </c>
      <c r="M318" s="6">
        <v>1753.7190000000001</v>
      </c>
      <c r="N318" s="6">
        <v>0</v>
      </c>
      <c r="O318" s="6">
        <v>0</v>
      </c>
      <c r="P318" s="6">
        <v>0</v>
      </c>
      <c r="Q318" s="4" t="s">
        <v>55</v>
      </c>
      <c r="R318" s="4">
        <v>0</v>
      </c>
      <c r="S318" s="6">
        <v>0</v>
      </c>
      <c r="T318" s="6">
        <v>6</v>
      </c>
      <c r="U318" s="6">
        <v>0</v>
      </c>
      <c r="V318" s="6">
        <f>IF(ISERROR(VLOOKUP($S$318,'TAR FIN'!$A$1:$O$113,15,0)),0,VLOOKUP($S$318,'TAR FIN'!$A$1:$O$113,15,0))</f>
        <v>0</v>
      </c>
      <c r="W318" s="6">
        <f>IF(ISERROR(VLOOKUP($T$318,'TAR FIN'!$A$1:$O$113,15,0)),0,VLOOKUP($T$318,'TAR FIN'!$A$1:$O$113,15,0))</f>
        <v>72.150000000000006</v>
      </c>
      <c r="X318" s="6">
        <f>IF(ISERROR(VLOOKUP($U$318,'TAR FIN'!$A$1:$O$113,15,0)),0,VLOOKUP($U$318,'TAR FIN'!$A$1:$O$113,15,0))</f>
        <v>0</v>
      </c>
      <c r="Y318" s="6"/>
      <c r="Z318" s="6">
        <f ca="1">('TUSD BE'!$AM$21+'TUSD BF'!$AM$21+'TUSD CVA'!$AM$21)*1</f>
        <v>122.14055331663396</v>
      </c>
      <c r="AA318" s="6"/>
      <c r="AB318" s="6">
        <f>$K$318*$V$318</f>
        <v>0</v>
      </c>
      <c r="AC318" s="6">
        <f>$M$318*$W$318</f>
        <v>126530.82585000001</v>
      </c>
      <c r="AD318" s="6">
        <f>$O$318*$X$318</f>
        <v>0</v>
      </c>
      <c r="AE318" s="6">
        <f>$K$318*$Y$318</f>
        <v>0</v>
      </c>
      <c r="AF318" s="6">
        <f ca="1">$M$318*$Z$318</f>
        <v>214200.209021894</v>
      </c>
      <c r="AG318" s="6">
        <f>$O$318*$AA$318</f>
        <v>0</v>
      </c>
    </row>
    <row r="319" spans="1:33" ht="11.25" customHeight="1" x14ac:dyDescent="0.3">
      <c r="A319" s="4" t="s">
        <v>21</v>
      </c>
      <c r="B319" s="4" t="s">
        <v>39</v>
      </c>
      <c r="C319" s="4" t="s">
        <v>41</v>
      </c>
      <c r="D319" s="4" t="s">
        <v>38</v>
      </c>
      <c r="E319" s="4" t="s">
        <v>25</v>
      </c>
      <c r="F319" s="4" t="s">
        <v>56</v>
      </c>
      <c r="G319" s="4" t="s">
        <v>25</v>
      </c>
      <c r="H319" s="4" t="s">
        <v>35</v>
      </c>
      <c r="I319" s="5">
        <v>44531</v>
      </c>
      <c r="J319" s="6">
        <v>0</v>
      </c>
      <c r="K319" s="6">
        <v>0</v>
      </c>
      <c r="L319" s="6">
        <v>1678.8050000000001</v>
      </c>
      <c r="M319" s="6">
        <v>1678.8050000000001</v>
      </c>
      <c r="N319" s="6">
        <v>0</v>
      </c>
      <c r="O319" s="6">
        <v>0</v>
      </c>
      <c r="P319" s="6">
        <v>0</v>
      </c>
      <c r="Q319" s="4" t="s">
        <v>55</v>
      </c>
      <c r="R319" s="4">
        <v>0</v>
      </c>
      <c r="S319" s="6">
        <v>0</v>
      </c>
      <c r="T319" s="6">
        <v>6</v>
      </c>
      <c r="U319" s="6">
        <v>0</v>
      </c>
      <c r="V319" s="6">
        <f>IF(ISERROR(VLOOKUP($S$319,'TAR FIN'!$A$1:$O$113,15,0)),0,VLOOKUP($S$319,'TAR FIN'!$A$1:$O$113,15,0))</f>
        <v>0</v>
      </c>
      <c r="W319" s="6">
        <f>IF(ISERROR(VLOOKUP($T$319,'TAR FIN'!$A$1:$O$113,15,0)),0,VLOOKUP($T$319,'TAR FIN'!$A$1:$O$113,15,0))</f>
        <v>72.150000000000006</v>
      </c>
      <c r="X319" s="6">
        <f>IF(ISERROR(VLOOKUP($U$319,'TAR FIN'!$A$1:$O$113,15,0)),0,VLOOKUP($U$319,'TAR FIN'!$A$1:$O$113,15,0))</f>
        <v>0</v>
      </c>
      <c r="Y319" s="6"/>
      <c r="Z319" s="6">
        <f ca="1">('TUSD BE'!$AM$21+'TUSD BF'!$AM$21+'TUSD CVA'!$AM$21)*1</f>
        <v>122.14055331663396</v>
      </c>
      <c r="AA319" s="6"/>
      <c r="AB319" s="6">
        <f>$K$319*$V$319</f>
        <v>0</v>
      </c>
      <c r="AC319" s="6">
        <f>$M$319*$W$319</f>
        <v>121125.78075000002</v>
      </c>
      <c r="AD319" s="6">
        <f>$O$319*$X$319</f>
        <v>0</v>
      </c>
      <c r="AE319" s="6">
        <f>$K$319*$Y$319</f>
        <v>0</v>
      </c>
      <c r="AF319" s="6">
        <f ca="1">$M$319*$Z$319</f>
        <v>205050.17161073166</v>
      </c>
      <c r="AG319" s="6">
        <f>$O$319*$AA$319</f>
        <v>0</v>
      </c>
    </row>
    <row r="320" spans="1:33" ht="11.25" customHeight="1" x14ac:dyDescent="0.3">
      <c r="A320" s="4" t="s">
        <v>21</v>
      </c>
      <c r="B320" s="4" t="s">
        <v>39</v>
      </c>
      <c r="C320" s="4" t="s">
        <v>41</v>
      </c>
      <c r="D320" s="4" t="s">
        <v>38</v>
      </c>
      <c r="E320" s="4" t="s">
        <v>25</v>
      </c>
      <c r="F320" s="4" t="s">
        <v>56</v>
      </c>
      <c r="G320" s="4" t="s">
        <v>25</v>
      </c>
      <c r="H320" s="4" t="s">
        <v>35</v>
      </c>
      <c r="I320" s="5">
        <v>44562</v>
      </c>
      <c r="J320" s="6">
        <v>0</v>
      </c>
      <c r="K320" s="6">
        <v>0</v>
      </c>
      <c r="L320" s="6">
        <v>1693.835</v>
      </c>
      <c r="M320" s="6">
        <v>1693.835</v>
      </c>
      <c r="N320" s="6">
        <v>0</v>
      </c>
      <c r="O320" s="6">
        <v>0</v>
      </c>
      <c r="P320" s="6">
        <v>0</v>
      </c>
      <c r="Q320" s="4" t="s">
        <v>55</v>
      </c>
      <c r="R320" s="4">
        <v>0</v>
      </c>
      <c r="S320" s="6">
        <v>0</v>
      </c>
      <c r="T320" s="6">
        <v>6</v>
      </c>
      <c r="U320" s="6">
        <v>0</v>
      </c>
      <c r="V320" s="6">
        <f>IF(ISERROR(VLOOKUP($S$320,'TAR FIN'!$A$1:$O$113,15,0)),0,VLOOKUP($S$320,'TAR FIN'!$A$1:$O$113,15,0))</f>
        <v>0</v>
      </c>
      <c r="W320" s="6">
        <f>IF(ISERROR(VLOOKUP($T$320,'TAR FIN'!$A$1:$O$113,15,0)),0,VLOOKUP($T$320,'TAR FIN'!$A$1:$O$113,15,0))</f>
        <v>72.150000000000006</v>
      </c>
      <c r="X320" s="6">
        <f>IF(ISERROR(VLOOKUP($U$320,'TAR FIN'!$A$1:$O$113,15,0)),0,VLOOKUP($U$320,'TAR FIN'!$A$1:$O$113,15,0))</f>
        <v>0</v>
      </c>
      <c r="Y320" s="6"/>
      <c r="Z320" s="6">
        <f ca="1">('TUSD BE'!$AM$21+'TUSD BF'!$AM$21+'TUSD CVA'!$AM$21)*1</f>
        <v>122.14055331663396</v>
      </c>
      <c r="AA320" s="6"/>
      <c r="AB320" s="6">
        <f>$K$320*$V$320</f>
        <v>0</v>
      </c>
      <c r="AC320" s="6">
        <f>$M$320*$W$320</f>
        <v>122210.19525000002</v>
      </c>
      <c r="AD320" s="6">
        <f>$O$320*$X$320</f>
        <v>0</v>
      </c>
      <c r="AE320" s="6">
        <f>$K$320*$Y$320</f>
        <v>0</v>
      </c>
      <c r="AF320" s="6">
        <f ca="1">$M$320*$Z$320</f>
        <v>206885.94412708067</v>
      </c>
      <c r="AG320" s="6">
        <f>$O$320*$AA$320</f>
        <v>0</v>
      </c>
    </row>
    <row r="321" spans="1:33" ht="11.25" customHeight="1" x14ac:dyDescent="0.3">
      <c r="A321" s="4" t="s">
        <v>21</v>
      </c>
      <c r="B321" s="4" t="s">
        <v>39</v>
      </c>
      <c r="C321" s="4" t="s">
        <v>41</v>
      </c>
      <c r="D321" s="4" t="s">
        <v>38</v>
      </c>
      <c r="E321" s="4" t="s">
        <v>25</v>
      </c>
      <c r="F321" s="4" t="s">
        <v>56</v>
      </c>
      <c r="G321" s="4" t="s">
        <v>25</v>
      </c>
      <c r="H321" s="4" t="s">
        <v>35</v>
      </c>
      <c r="I321" s="5">
        <v>44593</v>
      </c>
      <c r="J321" s="6">
        <v>0</v>
      </c>
      <c r="K321" s="6">
        <v>0</v>
      </c>
      <c r="L321" s="6">
        <v>1820.998</v>
      </c>
      <c r="M321" s="6">
        <v>1820.998</v>
      </c>
      <c r="N321" s="6">
        <v>0</v>
      </c>
      <c r="O321" s="6">
        <v>0</v>
      </c>
      <c r="P321" s="6">
        <v>0</v>
      </c>
      <c r="Q321" s="4" t="s">
        <v>55</v>
      </c>
      <c r="R321" s="4">
        <v>0</v>
      </c>
      <c r="S321" s="6">
        <v>0</v>
      </c>
      <c r="T321" s="6">
        <v>6</v>
      </c>
      <c r="U321" s="6">
        <v>0</v>
      </c>
      <c r="V321" s="6">
        <f>IF(ISERROR(VLOOKUP($S$321,'TAR FIN'!$A$1:$O$113,15,0)),0,VLOOKUP($S$321,'TAR FIN'!$A$1:$O$113,15,0))</f>
        <v>0</v>
      </c>
      <c r="W321" s="6">
        <f>IF(ISERROR(VLOOKUP($T$321,'TAR FIN'!$A$1:$O$113,15,0)),0,VLOOKUP($T$321,'TAR FIN'!$A$1:$O$113,15,0))</f>
        <v>72.150000000000006</v>
      </c>
      <c r="X321" s="6">
        <f>IF(ISERROR(VLOOKUP($U$321,'TAR FIN'!$A$1:$O$113,15,0)),0,VLOOKUP($U$321,'TAR FIN'!$A$1:$O$113,15,0))</f>
        <v>0</v>
      </c>
      <c r="Y321" s="6"/>
      <c r="Z321" s="6">
        <f ca="1">('TUSD BE'!$AM$21+'TUSD BF'!$AM$21+'TUSD CVA'!$AM$21)*1</f>
        <v>122.14055331663396</v>
      </c>
      <c r="AA321" s="6"/>
      <c r="AB321" s="6">
        <f>$K$321*$V$321</f>
        <v>0</v>
      </c>
      <c r="AC321" s="6">
        <f>$M$321*$W$321</f>
        <v>131385.00570000001</v>
      </c>
      <c r="AD321" s="6">
        <f>$O$321*$X$321</f>
        <v>0</v>
      </c>
      <c r="AE321" s="6">
        <f>$K$321*$Y$321</f>
        <v>0</v>
      </c>
      <c r="AF321" s="6">
        <f ca="1">$M$321*$Z$321</f>
        <v>222417.70330848382</v>
      </c>
      <c r="AG321" s="6">
        <f>$O$321*$AA$321</f>
        <v>0</v>
      </c>
    </row>
    <row r="322" spans="1:33" ht="11.25" customHeight="1" x14ac:dyDescent="0.3">
      <c r="A322" s="4" t="s">
        <v>21</v>
      </c>
      <c r="B322" s="4" t="s">
        <v>39</v>
      </c>
      <c r="C322" s="4" t="s">
        <v>41</v>
      </c>
      <c r="D322" s="4" t="s">
        <v>38</v>
      </c>
      <c r="E322" s="4" t="s">
        <v>25</v>
      </c>
      <c r="F322" s="4" t="s">
        <v>56</v>
      </c>
      <c r="G322" s="4" t="s">
        <v>25</v>
      </c>
      <c r="H322" s="4" t="s">
        <v>35</v>
      </c>
      <c r="I322" s="5">
        <v>44621</v>
      </c>
      <c r="J322" s="6">
        <v>0</v>
      </c>
      <c r="K322" s="6">
        <v>0</v>
      </c>
      <c r="L322" s="6">
        <v>1778.502</v>
      </c>
      <c r="M322" s="6">
        <v>1778.502</v>
      </c>
      <c r="N322" s="6">
        <v>0</v>
      </c>
      <c r="O322" s="6">
        <v>0</v>
      </c>
      <c r="P322" s="6">
        <v>0</v>
      </c>
      <c r="Q322" s="4" t="s">
        <v>55</v>
      </c>
      <c r="R322" s="4">
        <v>0</v>
      </c>
      <c r="S322" s="6">
        <v>0</v>
      </c>
      <c r="T322" s="6">
        <v>6</v>
      </c>
      <c r="U322" s="6">
        <v>0</v>
      </c>
      <c r="V322" s="6">
        <f>IF(ISERROR(VLOOKUP($S$322,'TAR FIN'!$A$1:$O$113,15,0)),0,VLOOKUP($S$322,'TAR FIN'!$A$1:$O$113,15,0))</f>
        <v>0</v>
      </c>
      <c r="W322" s="6">
        <f>IF(ISERROR(VLOOKUP($T$322,'TAR FIN'!$A$1:$O$113,15,0)),0,VLOOKUP($T$322,'TAR FIN'!$A$1:$O$113,15,0))</f>
        <v>72.150000000000006</v>
      </c>
      <c r="X322" s="6">
        <f>IF(ISERROR(VLOOKUP($U$322,'TAR FIN'!$A$1:$O$113,15,0)),0,VLOOKUP($U$322,'TAR FIN'!$A$1:$O$113,15,0))</f>
        <v>0</v>
      </c>
      <c r="Y322" s="6"/>
      <c r="Z322" s="6">
        <f ca="1">('TUSD BE'!$AM$21+'TUSD BF'!$AM$21+'TUSD CVA'!$AM$21)*1</f>
        <v>122.14055331663396</v>
      </c>
      <c r="AA322" s="6"/>
      <c r="AB322" s="6">
        <f>$K$322*$V$322</f>
        <v>0</v>
      </c>
      <c r="AC322" s="6">
        <f>$M$322*$W$322</f>
        <v>128318.91930000001</v>
      </c>
      <c r="AD322" s="6">
        <f>$O$322*$X$322</f>
        <v>0</v>
      </c>
      <c r="AE322" s="6">
        <f>$K$322*$Y$322</f>
        <v>0</v>
      </c>
      <c r="AF322" s="6">
        <f ca="1">$M$322*$Z$322</f>
        <v>217227.21835474012</v>
      </c>
      <c r="AG322" s="6">
        <f>$O$322*$AA$322</f>
        <v>0</v>
      </c>
    </row>
    <row r="323" spans="1:33" ht="11.25" customHeight="1" x14ac:dyDescent="0.3">
      <c r="A323" s="4" t="s">
        <v>21</v>
      </c>
      <c r="B323" s="4" t="s">
        <v>39</v>
      </c>
      <c r="C323" s="4" t="s">
        <v>41</v>
      </c>
      <c r="D323" s="4" t="s">
        <v>38</v>
      </c>
      <c r="E323" s="4" t="s">
        <v>25</v>
      </c>
      <c r="F323" s="4" t="s">
        <v>56</v>
      </c>
      <c r="G323" s="4" t="s">
        <v>25</v>
      </c>
      <c r="H323" s="4" t="s">
        <v>35</v>
      </c>
      <c r="I323" s="5">
        <v>44652</v>
      </c>
      <c r="J323" s="6">
        <v>0</v>
      </c>
      <c r="K323" s="6">
        <v>0</v>
      </c>
      <c r="L323" s="6">
        <v>2134.7739999999999</v>
      </c>
      <c r="M323" s="6">
        <v>2134.7739999999999</v>
      </c>
      <c r="N323" s="6">
        <v>0</v>
      </c>
      <c r="O323" s="6">
        <v>0</v>
      </c>
      <c r="P323" s="6">
        <v>0</v>
      </c>
      <c r="Q323" s="4" t="s">
        <v>55</v>
      </c>
      <c r="R323" s="4">
        <v>0</v>
      </c>
      <c r="S323" s="6">
        <v>0</v>
      </c>
      <c r="T323" s="6">
        <v>6</v>
      </c>
      <c r="U323" s="6">
        <v>0</v>
      </c>
      <c r="V323" s="6">
        <f>IF(ISERROR(VLOOKUP($S$323,'TAR FIN'!$A$1:$O$113,15,0)),0,VLOOKUP($S$323,'TAR FIN'!$A$1:$O$113,15,0))</f>
        <v>0</v>
      </c>
      <c r="W323" s="6">
        <f>IF(ISERROR(VLOOKUP($T$323,'TAR FIN'!$A$1:$O$113,15,0)),0,VLOOKUP($T$323,'TAR FIN'!$A$1:$O$113,15,0))</f>
        <v>72.150000000000006</v>
      </c>
      <c r="X323" s="6">
        <f>IF(ISERROR(VLOOKUP($U$323,'TAR FIN'!$A$1:$O$113,15,0)),0,VLOOKUP($U$323,'TAR FIN'!$A$1:$O$113,15,0))</f>
        <v>0</v>
      </c>
      <c r="Y323" s="6"/>
      <c r="Z323" s="6">
        <f ca="1">('TUSD BE'!$AM$21+'TUSD BF'!$AM$21+'TUSD CVA'!$AM$21)*1</f>
        <v>122.14055331663396</v>
      </c>
      <c r="AA323" s="6"/>
      <c r="AB323" s="6">
        <f>$K$323*$V$323</f>
        <v>0</v>
      </c>
      <c r="AC323" s="6">
        <f>$M$323*$W$323</f>
        <v>154023.94409999999</v>
      </c>
      <c r="AD323" s="6">
        <f>$O$323*$X$323</f>
        <v>0</v>
      </c>
      <c r="AE323" s="6">
        <f>$K$323*$Y$323</f>
        <v>0</v>
      </c>
      <c r="AF323" s="6">
        <f ca="1">$M$323*$Z$323</f>
        <v>260742.47756596393</v>
      </c>
      <c r="AG323" s="6">
        <f>$O$323*$AA$323</f>
        <v>0</v>
      </c>
    </row>
    <row r="324" spans="1:33" ht="11.25" customHeight="1" x14ac:dyDescent="0.3">
      <c r="A324" s="4" t="s">
        <v>21</v>
      </c>
      <c r="B324" s="4" t="s">
        <v>39</v>
      </c>
      <c r="C324" s="4" t="s">
        <v>41</v>
      </c>
      <c r="D324" s="4" t="s">
        <v>38</v>
      </c>
      <c r="E324" s="4" t="s">
        <v>25</v>
      </c>
      <c r="F324" s="4" t="s">
        <v>56</v>
      </c>
      <c r="G324" s="4" t="s">
        <v>25</v>
      </c>
      <c r="H324" s="4" t="s">
        <v>35</v>
      </c>
      <c r="I324" s="5">
        <v>44682</v>
      </c>
      <c r="J324" s="6">
        <v>0</v>
      </c>
      <c r="K324" s="6">
        <v>0</v>
      </c>
      <c r="L324" s="6">
        <v>1901.9580000000001</v>
      </c>
      <c r="M324" s="6">
        <v>1901.9580000000001</v>
      </c>
      <c r="N324" s="6">
        <v>0</v>
      </c>
      <c r="O324" s="6">
        <v>0</v>
      </c>
      <c r="P324" s="6">
        <v>0</v>
      </c>
      <c r="Q324" s="4" t="s">
        <v>55</v>
      </c>
      <c r="R324" s="4">
        <v>0</v>
      </c>
      <c r="S324" s="6">
        <v>0</v>
      </c>
      <c r="T324" s="6">
        <v>6</v>
      </c>
      <c r="U324" s="6">
        <v>0</v>
      </c>
      <c r="V324" s="6">
        <f>IF(ISERROR(VLOOKUP($S$324,'TAR FIN'!$A$1:$O$113,15,0)),0,VLOOKUP($S$324,'TAR FIN'!$A$1:$O$113,15,0))</f>
        <v>0</v>
      </c>
      <c r="W324" s="6">
        <f>IF(ISERROR(VLOOKUP($T$324,'TAR FIN'!$A$1:$O$113,15,0)),0,VLOOKUP($T$324,'TAR FIN'!$A$1:$O$113,15,0))</f>
        <v>72.150000000000006</v>
      </c>
      <c r="X324" s="6">
        <f>IF(ISERROR(VLOOKUP($U$324,'TAR FIN'!$A$1:$O$113,15,0)),0,VLOOKUP($U$324,'TAR FIN'!$A$1:$O$113,15,0))</f>
        <v>0</v>
      </c>
      <c r="Y324" s="6"/>
      <c r="Z324" s="6">
        <f ca="1">('TUSD BE'!$AM$21+'TUSD BF'!$AM$21+'TUSD CVA'!$AM$21)*1</f>
        <v>122.14055331663396</v>
      </c>
      <c r="AA324" s="6"/>
      <c r="AB324" s="6">
        <f>$K$324*$V$324</f>
        <v>0</v>
      </c>
      <c r="AC324" s="6">
        <f>$M$324*$W$324</f>
        <v>137226.2697</v>
      </c>
      <c r="AD324" s="6">
        <f>$O$324*$X$324</f>
        <v>0</v>
      </c>
      <c r="AE324" s="6">
        <f>$K$324*$Y$324</f>
        <v>0</v>
      </c>
      <c r="AF324" s="6">
        <f ca="1">$M$324*$Z$324</f>
        <v>232306.20250499848</v>
      </c>
      <c r="AG324" s="6">
        <f>$O$324*$AA$324</f>
        <v>0</v>
      </c>
    </row>
    <row r="325" spans="1:33" ht="11.25" customHeight="1" x14ac:dyDescent="0.3">
      <c r="A325" s="4" t="s">
        <v>21</v>
      </c>
      <c r="B325" s="4" t="s">
        <v>39</v>
      </c>
      <c r="C325" s="4" t="s">
        <v>41</v>
      </c>
      <c r="D325" s="4" t="s">
        <v>38</v>
      </c>
      <c r="E325" s="4" t="s">
        <v>25</v>
      </c>
      <c r="F325" s="4" t="s">
        <v>56</v>
      </c>
      <c r="G325" s="4" t="s">
        <v>25</v>
      </c>
      <c r="H325" s="4" t="s">
        <v>35</v>
      </c>
      <c r="I325" s="5">
        <v>44713</v>
      </c>
      <c r="J325" s="6">
        <v>0</v>
      </c>
      <c r="K325" s="6">
        <v>0</v>
      </c>
      <c r="L325" s="6">
        <v>1849.085</v>
      </c>
      <c r="M325" s="6">
        <v>1849.085</v>
      </c>
      <c r="N325" s="6">
        <v>0</v>
      </c>
      <c r="O325" s="6">
        <v>0</v>
      </c>
      <c r="P325" s="6">
        <v>0</v>
      </c>
      <c r="Q325" s="4" t="s">
        <v>55</v>
      </c>
      <c r="R325" s="4">
        <v>0</v>
      </c>
      <c r="S325" s="6">
        <v>0</v>
      </c>
      <c r="T325" s="6">
        <v>6</v>
      </c>
      <c r="U325" s="6">
        <v>0</v>
      </c>
      <c r="V325" s="6">
        <f>IF(ISERROR(VLOOKUP($S$325,'TAR FIN'!$A$1:$O$113,15,0)),0,VLOOKUP($S$325,'TAR FIN'!$A$1:$O$113,15,0))</f>
        <v>0</v>
      </c>
      <c r="W325" s="6">
        <f>IF(ISERROR(VLOOKUP($T$325,'TAR FIN'!$A$1:$O$113,15,0)),0,VLOOKUP($T$325,'TAR FIN'!$A$1:$O$113,15,0))</f>
        <v>72.150000000000006</v>
      </c>
      <c r="X325" s="6">
        <f>IF(ISERROR(VLOOKUP($U$325,'TAR FIN'!$A$1:$O$113,15,0)),0,VLOOKUP($U$325,'TAR FIN'!$A$1:$O$113,15,0))</f>
        <v>0</v>
      </c>
      <c r="Y325" s="6"/>
      <c r="Z325" s="6">
        <f ca="1">('TUSD BE'!$AM$21+'TUSD BF'!$AM$21+'TUSD CVA'!$AM$21)*1</f>
        <v>122.14055331663396</v>
      </c>
      <c r="AA325" s="6"/>
      <c r="AB325" s="6">
        <f>$K$325*$V$325</f>
        <v>0</v>
      </c>
      <c r="AC325" s="6">
        <f>$M$325*$W$325</f>
        <v>133411.48275000002</v>
      </c>
      <c r="AD325" s="6">
        <f>$O$325*$X$325</f>
        <v>0</v>
      </c>
      <c r="AE325" s="6">
        <f>$K$325*$Y$325</f>
        <v>0</v>
      </c>
      <c r="AF325" s="6">
        <f ca="1">$M$325*$Z$325</f>
        <v>225848.2650294881</v>
      </c>
      <c r="AG325" s="6">
        <f>$O$325*$AA$325</f>
        <v>0</v>
      </c>
    </row>
    <row r="326" spans="1:33" ht="11.25" customHeight="1" x14ac:dyDescent="0.3">
      <c r="A326" s="4" t="s">
        <v>21</v>
      </c>
      <c r="B326" s="4" t="s">
        <v>39</v>
      </c>
      <c r="C326" s="4" t="s">
        <v>41</v>
      </c>
      <c r="D326" s="4" t="s">
        <v>38</v>
      </c>
      <c r="E326" s="4" t="s">
        <v>25</v>
      </c>
      <c r="F326" s="4" t="s">
        <v>56</v>
      </c>
      <c r="G326" s="4" t="s">
        <v>25</v>
      </c>
      <c r="H326" s="4" t="s">
        <v>35</v>
      </c>
      <c r="I326" s="5">
        <v>44743</v>
      </c>
      <c r="J326" s="6">
        <v>0</v>
      </c>
      <c r="K326" s="6">
        <v>0</v>
      </c>
      <c r="L326" s="6">
        <v>1817.01</v>
      </c>
      <c r="M326" s="6">
        <v>1817.01</v>
      </c>
      <c r="N326" s="6">
        <v>0</v>
      </c>
      <c r="O326" s="6">
        <v>0</v>
      </c>
      <c r="P326" s="6">
        <v>0</v>
      </c>
      <c r="Q326" s="4" t="s">
        <v>55</v>
      </c>
      <c r="R326" s="4">
        <v>0</v>
      </c>
      <c r="S326" s="6">
        <v>0</v>
      </c>
      <c r="T326" s="6">
        <v>6</v>
      </c>
      <c r="U326" s="6">
        <v>0</v>
      </c>
      <c r="V326" s="6">
        <f>IF(ISERROR(VLOOKUP($S$326,'TAR FIN'!$A$1:$O$113,15,0)),0,VLOOKUP($S$326,'TAR FIN'!$A$1:$O$113,15,0))</f>
        <v>0</v>
      </c>
      <c r="W326" s="6">
        <f>IF(ISERROR(VLOOKUP($T$326,'TAR FIN'!$A$1:$O$113,15,0)),0,VLOOKUP($T$326,'TAR FIN'!$A$1:$O$113,15,0))</f>
        <v>72.150000000000006</v>
      </c>
      <c r="X326" s="6">
        <f>IF(ISERROR(VLOOKUP($U$326,'TAR FIN'!$A$1:$O$113,15,0)),0,VLOOKUP($U$326,'TAR FIN'!$A$1:$O$113,15,0))</f>
        <v>0</v>
      </c>
      <c r="Y326" s="6"/>
      <c r="Z326" s="6">
        <f ca="1">('TUSD BE'!$AM$21+'TUSD BF'!$AM$21+'TUSD CVA'!$AM$21)*1</f>
        <v>122.14055331663396</v>
      </c>
      <c r="AA326" s="6"/>
      <c r="AB326" s="6">
        <f>$K$326*$V$326</f>
        <v>0</v>
      </c>
      <c r="AC326" s="6">
        <f>$M$326*$W$326</f>
        <v>131097.2715</v>
      </c>
      <c r="AD326" s="6">
        <f>$O$326*$X$326</f>
        <v>0</v>
      </c>
      <c r="AE326" s="6">
        <f>$K$326*$Y$326</f>
        <v>0</v>
      </c>
      <c r="AF326" s="6">
        <f ca="1">$M$326*$Z$326</f>
        <v>221930.60678185706</v>
      </c>
      <c r="AG326" s="6">
        <f>$O$326*$AA$326</f>
        <v>0</v>
      </c>
    </row>
    <row r="327" spans="1:33" ht="11.25" customHeight="1" x14ac:dyDescent="0.3">
      <c r="A327" s="4" t="s">
        <v>21</v>
      </c>
      <c r="B327" s="4" t="s">
        <v>39</v>
      </c>
      <c r="C327" s="4" t="s">
        <v>41</v>
      </c>
      <c r="D327" s="4" t="s">
        <v>38</v>
      </c>
      <c r="E327" s="4" t="s">
        <v>25</v>
      </c>
      <c r="F327" s="4" t="s">
        <v>56</v>
      </c>
      <c r="G327" s="4" t="s">
        <v>25</v>
      </c>
      <c r="H327" s="4" t="s">
        <v>35</v>
      </c>
      <c r="I327" s="5">
        <v>44774</v>
      </c>
      <c r="J327" s="6">
        <v>0</v>
      </c>
      <c r="K327" s="6">
        <v>0</v>
      </c>
      <c r="L327" s="6">
        <v>1863.682</v>
      </c>
      <c r="M327" s="6">
        <v>1863.682</v>
      </c>
      <c r="N327" s="6">
        <v>0</v>
      </c>
      <c r="O327" s="6">
        <v>0</v>
      </c>
      <c r="P327" s="6">
        <v>0</v>
      </c>
      <c r="Q327" s="4" t="s">
        <v>55</v>
      </c>
      <c r="R327" s="4">
        <v>0</v>
      </c>
      <c r="S327" s="6">
        <v>0</v>
      </c>
      <c r="T327" s="6">
        <v>6</v>
      </c>
      <c r="U327" s="6">
        <v>0</v>
      </c>
      <c r="V327" s="6">
        <f>IF(ISERROR(VLOOKUP($S$327,'TAR FIN'!$A$1:$O$113,15,0)),0,VLOOKUP($S$327,'TAR FIN'!$A$1:$O$113,15,0))</f>
        <v>0</v>
      </c>
      <c r="W327" s="6">
        <f>IF(ISERROR(VLOOKUP($T$327,'TAR FIN'!$A$1:$O$113,15,0)),0,VLOOKUP($T$327,'TAR FIN'!$A$1:$O$113,15,0))</f>
        <v>72.150000000000006</v>
      </c>
      <c r="X327" s="6">
        <f>IF(ISERROR(VLOOKUP($U$327,'TAR FIN'!$A$1:$O$113,15,0)),0,VLOOKUP($U$327,'TAR FIN'!$A$1:$O$113,15,0))</f>
        <v>0</v>
      </c>
      <c r="Y327" s="6"/>
      <c r="Z327" s="6">
        <f ca="1">('TUSD BE'!$AM$21+'TUSD BF'!$AM$21+'TUSD CVA'!$AM$21)*1</f>
        <v>122.14055331663396</v>
      </c>
      <c r="AA327" s="6"/>
      <c r="AB327" s="6">
        <f>$K$327*$V$327</f>
        <v>0</v>
      </c>
      <c r="AC327" s="6">
        <f>$M$327*$W$327</f>
        <v>134464.6563</v>
      </c>
      <c r="AD327" s="6">
        <f>$O$327*$X$327</f>
        <v>0</v>
      </c>
      <c r="AE327" s="6">
        <f>$K$327*$Y$327</f>
        <v>0</v>
      </c>
      <c r="AF327" s="6">
        <f ca="1">$M$327*$Z$327</f>
        <v>227631.150686251</v>
      </c>
      <c r="AG327" s="6">
        <f>$O$327*$AA$327</f>
        <v>0</v>
      </c>
    </row>
    <row r="328" spans="1:33" ht="11.25" customHeight="1" x14ac:dyDescent="0.3">
      <c r="A328" s="4" t="s">
        <v>21</v>
      </c>
      <c r="B328" s="4" t="s">
        <v>39</v>
      </c>
      <c r="C328" s="4" t="s">
        <v>41</v>
      </c>
      <c r="D328" s="4" t="s">
        <v>38</v>
      </c>
      <c r="E328" s="4" t="s">
        <v>25</v>
      </c>
      <c r="F328" s="4" t="s">
        <v>56</v>
      </c>
      <c r="G328" s="4" t="s">
        <v>25</v>
      </c>
      <c r="H328" s="4" t="s">
        <v>35</v>
      </c>
      <c r="I328" s="5">
        <v>44805</v>
      </c>
      <c r="J328" s="6">
        <v>0</v>
      </c>
      <c r="K328" s="6">
        <v>0</v>
      </c>
      <c r="L328" s="6">
        <v>1955.509</v>
      </c>
      <c r="M328" s="6">
        <v>1955.509</v>
      </c>
      <c r="N328" s="6">
        <v>0</v>
      </c>
      <c r="O328" s="6">
        <v>0</v>
      </c>
      <c r="P328" s="6">
        <v>0</v>
      </c>
      <c r="Q328" s="4" t="s">
        <v>55</v>
      </c>
      <c r="R328" s="4">
        <v>0</v>
      </c>
      <c r="S328" s="6">
        <v>0</v>
      </c>
      <c r="T328" s="6">
        <v>6</v>
      </c>
      <c r="U328" s="6">
        <v>0</v>
      </c>
      <c r="V328" s="6">
        <f>IF(ISERROR(VLOOKUP($S$328,'TAR FIN'!$A$1:$O$113,15,0)),0,VLOOKUP($S$328,'TAR FIN'!$A$1:$O$113,15,0))</f>
        <v>0</v>
      </c>
      <c r="W328" s="6">
        <f>IF(ISERROR(VLOOKUP($T$328,'TAR FIN'!$A$1:$O$113,15,0)),0,VLOOKUP($T$328,'TAR FIN'!$A$1:$O$113,15,0))</f>
        <v>72.150000000000006</v>
      </c>
      <c r="X328" s="6">
        <f>IF(ISERROR(VLOOKUP($U$328,'TAR FIN'!$A$1:$O$113,15,0)),0,VLOOKUP($U$328,'TAR FIN'!$A$1:$O$113,15,0))</f>
        <v>0</v>
      </c>
      <c r="Y328" s="6"/>
      <c r="Z328" s="6">
        <f ca="1">('TUSD BE'!$AM$21+'TUSD BF'!$AM$21+'TUSD CVA'!$AM$21)*1</f>
        <v>122.14055331663396</v>
      </c>
      <c r="AA328" s="6"/>
      <c r="AB328" s="6">
        <f>$K$328*$V$328</f>
        <v>0</v>
      </c>
      <c r="AC328" s="6">
        <f>$M$328*$W$328</f>
        <v>141089.97435</v>
      </c>
      <c r="AD328" s="6">
        <f>$O$328*$X$328</f>
        <v>0</v>
      </c>
      <c r="AE328" s="6">
        <f>$K$328*$Y$328</f>
        <v>0</v>
      </c>
      <c r="AF328" s="6">
        <f ca="1">$M$328*$Z$328</f>
        <v>238846.95127565754</v>
      </c>
      <c r="AG328" s="6">
        <f>$O$328*$AA$328</f>
        <v>0</v>
      </c>
    </row>
    <row r="329" spans="1:33" ht="11.25" customHeight="1" x14ac:dyDescent="0.3">
      <c r="A329" s="4" t="s">
        <v>53</v>
      </c>
      <c r="B329" s="4" t="s">
        <v>39</v>
      </c>
      <c r="C329" s="4" t="s">
        <v>41</v>
      </c>
      <c r="D329" s="4" t="s">
        <v>38</v>
      </c>
      <c r="E329" s="4" t="s">
        <v>25</v>
      </c>
      <c r="F329" s="4" t="s">
        <v>56</v>
      </c>
      <c r="G329" s="4" t="s">
        <v>25</v>
      </c>
      <c r="H329" s="4" t="s">
        <v>35</v>
      </c>
      <c r="I329" s="5">
        <v>44835</v>
      </c>
      <c r="J329" s="6">
        <v>0</v>
      </c>
      <c r="K329" s="6">
        <v>0</v>
      </c>
      <c r="L329" s="6">
        <v>1955.509</v>
      </c>
      <c r="M329" s="6">
        <v>1955.509</v>
      </c>
      <c r="N329" s="6">
        <v>0</v>
      </c>
      <c r="O329" s="6">
        <v>0</v>
      </c>
      <c r="P329" s="6">
        <v>0</v>
      </c>
      <c r="Q329" s="4" t="s">
        <v>55</v>
      </c>
      <c r="R329" s="4">
        <v>0</v>
      </c>
      <c r="S329" s="6">
        <v>0</v>
      </c>
      <c r="T329" s="6">
        <v>6</v>
      </c>
      <c r="U329" s="6">
        <v>0</v>
      </c>
      <c r="V329" s="6">
        <f>IF(ISERROR(VLOOKUP($S$329,'TAR FIN'!$A$1:$O$113,15,0)),0,VLOOKUP($S$329,'TAR FIN'!$A$1:$O$113,15,0))</f>
        <v>0</v>
      </c>
      <c r="W329" s="6">
        <f>IF(ISERROR(VLOOKUP($T$329,'TAR FIN'!$A$1:$O$113,15,0)),0,VLOOKUP($T$329,'TAR FIN'!$A$1:$O$113,15,0))</f>
        <v>72.150000000000006</v>
      </c>
      <c r="X329" s="6">
        <f>IF(ISERROR(VLOOKUP($U$329,'TAR FIN'!$A$1:$O$113,15,0)),0,VLOOKUP($U$329,'TAR FIN'!$A$1:$O$113,15,0))</f>
        <v>0</v>
      </c>
      <c r="Y329" s="6"/>
      <c r="Z329" s="6">
        <f ca="1">('TUSD BE'!$AM$21+'TUSD BF'!$AM$21+'TUSD CVA'!$AM$21)*1</f>
        <v>122.14055331663396</v>
      </c>
      <c r="AA329" s="6"/>
      <c r="AB329" s="6">
        <f>$K$329*$V$329</f>
        <v>0</v>
      </c>
      <c r="AC329" s="6">
        <f>$M$329*$W$329</f>
        <v>141089.97435</v>
      </c>
      <c r="AD329" s="6">
        <f>$O$329*$X$329</f>
        <v>0</v>
      </c>
      <c r="AE329" s="6">
        <f>$K$329*$Y$329</f>
        <v>0</v>
      </c>
      <c r="AF329" s="6">
        <f ca="1">$M$329*$Z$329</f>
        <v>238846.95127565754</v>
      </c>
      <c r="AG329" s="6">
        <f>$O$329*$AA$329</f>
        <v>0</v>
      </c>
    </row>
    <row r="330" spans="1:33" ht="11.25" customHeight="1" x14ac:dyDescent="0.3">
      <c r="A330" s="4" t="s">
        <v>21</v>
      </c>
      <c r="B330" s="4" t="s">
        <v>39</v>
      </c>
      <c r="C330" s="4" t="s">
        <v>41</v>
      </c>
      <c r="D330" s="4" t="s">
        <v>38</v>
      </c>
      <c r="E330" s="4" t="s">
        <v>25</v>
      </c>
      <c r="F330" s="4" t="s">
        <v>56</v>
      </c>
      <c r="G330" s="4" t="s">
        <v>25</v>
      </c>
      <c r="H330" s="4" t="s">
        <v>25</v>
      </c>
      <c r="I330" s="5">
        <v>44501</v>
      </c>
      <c r="J330" s="6">
        <v>5385</v>
      </c>
      <c r="K330" s="6">
        <v>4382.6265147000004</v>
      </c>
      <c r="L330" s="6">
        <v>0</v>
      </c>
      <c r="M330" s="6">
        <v>0</v>
      </c>
      <c r="N330" s="6">
        <v>0</v>
      </c>
      <c r="O330" s="6">
        <v>0</v>
      </c>
      <c r="P330" s="6">
        <v>9</v>
      </c>
      <c r="Q330" s="4" t="s">
        <v>55</v>
      </c>
      <c r="R330" s="4">
        <v>0</v>
      </c>
      <c r="S330" s="6">
        <v>20</v>
      </c>
      <c r="T330" s="6">
        <v>0</v>
      </c>
      <c r="U330" s="6">
        <v>0</v>
      </c>
      <c r="V330" s="6">
        <f>IF(ISERROR(VLOOKUP($S$330,'TAR FIN'!$A$1:$O$113,15,0)),0,VLOOKUP($S$330,'TAR FIN'!$A$1:$O$113,15,0))</f>
        <v>14</v>
      </c>
      <c r="W330" s="6">
        <f>IF(ISERROR(VLOOKUP($T$330,'TAR FIN'!$A$1:$O$113,15,0)),0,VLOOKUP($T$330,'TAR FIN'!$A$1:$O$113,15,0))</f>
        <v>0</v>
      </c>
      <c r="X330" s="6">
        <f>IF(ISERROR(VLOOKUP($U$330,'TAR FIN'!$A$1:$O$113,15,0)),0,VLOOKUP($U$330,'TAR FIN'!$A$1:$O$113,15,0))</f>
        <v>0</v>
      </c>
      <c r="Y330" s="6">
        <f ca="1">('TUSD BE'!$AM$19+'TUSD BF'!$AM$19+'TUSD CVA'!$AM$19)*1</f>
        <v>16.035953923331604</v>
      </c>
      <c r="Z330" s="6"/>
      <c r="AA330" s="6"/>
      <c r="AB330" s="6">
        <f>$K$330*$V$330</f>
        <v>61356.771205800003</v>
      </c>
      <c r="AC330" s="6">
        <f>$M$330*$W$330</f>
        <v>0</v>
      </c>
      <c r="AD330" s="6">
        <f>$O$330*$X$330</f>
        <v>0</v>
      </c>
      <c r="AE330" s="6">
        <f ca="1">$K$330*$Y$330</f>
        <v>70279.596852900591</v>
      </c>
      <c r="AF330" s="6">
        <f>$M$330*$Z$330</f>
        <v>0</v>
      </c>
      <c r="AG330" s="6">
        <f>$O$330*$AA$330</f>
        <v>0</v>
      </c>
    </row>
    <row r="331" spans="1:33" ht="11.25" customHeight="1" x14ac:dyDescent="0.3">
      <c r="A331" s="4" t="s">
        <v>21</v>
      </c>
      <c r="B331" s="4" t="s">
        <v>39</v>
      </c>
      <c r="C331" s="4" t="s">
        <v>41</v>
      </c>
      <c r="D331" s="4" t="s">
        <v>38</v>
      </c>
      <c r="E331" s="4" t="s">
        <v>25</v>
      </c>
      <c r="F331" s="4" t="s">
        <v>56</v>
      </c>
      <c r="G331" s="4" t="s">
        <v>25</v>
      </c>
      <c r="H331" s="4" t="s">
        <v>25</v>
      </c>
      <c r="I331" s="5">
        <v>44531</v>
      </c>
      <c r="J331" s="6">
        <v>5464</v>
      </c>
      <c r="K331" s="6">
        <v>2639.6861571200002</v>
      </c>
      <c r="L331" s="6">
        <v>0</v>
      </c>
      <c r="M331" s="6">
        <v>0</v>
      </c>
      <c r="N331" s="6">
        <v>0</v>
      </c>
      <c r="O331" s="6">
        <v>0</v>
      </c>
      <c r="P331" s="6">
        <v>9</v>
      </c>
      <c r="Q331" s="4" t="s">
        <v>55</v>
      </c>
      <c r="R331" s="4">
        <v>0</v>
      </c>
      <c r="S331" s="6">
        <v>20</v>
      </c>
      <c r="T331" s="6">
        <v>0</v>
      </c>
      <c r="U331" s="6">
        <v>0</v>
      </c>
      <c r="V331" s="6">
        <f>IF(ISERROR(VLOOKUP($S$331,'TAR FIN'!$A$1:$O$113,15,0)),0,VLOOKUP($S$331,'TAR FIN'!$A$1:$O$113,15,0))</f>
        <v>14</v>
      </c>
      <c r="W331" s="6">
        <f>IF(ISERROR(VLOOKUP($T$331,'TAR FIN'!$A$1:$O$113,15,0)),0,VLOOKUP($T$331,'TAR FIN'!$A$1:$O$113,15,0))</f>
        <v>0</v>
      </c>
      <c r="X331" s="6">
        <f>IF(ISERROR(VLOOKUP($U$331,'TAR FIN'!$A$1:$O$113,15,0)),0,VLOOKUP($U$331,'TAR FIN'!$A$1:$O$113,15,0))</f>
        <v>0</v>
      </c>
      <c r="Y331" s="6">
        <f ca="1">('TUSD BE'!$AM$19+'TUSD BF'!$AM$19+'TUSD CVA'!$AM$19)*1</f>
        <v>16.035953923331604</v>
      </c>
      <c r="Z331" s="6"/>
      <c r="AA331" s="6"/>
      <c r="AB331" s="6">
        <f>$K$331*$V$331</f>
        <v>36955.606199680005</v>
      </c>
      <c r="AC331" s="6">
        <f>$M$331*$W$331</f>
        <v>0</v>
      </c>
      <c r="AD331" s="6">
        <f>$O$331*$X$331</f>
        <v>0</v>
      </c>
      <c r="AE331" s="6">
        <f ca="1">$K$331*$Y$331</f>
        <v>42329.885587632591</v>
      </c>
      <c r="AF331" s="6">
        <f>$M$331*$Z$331</f>
        <v>0</v>
      </c>
      <c r="AG331" s="6">
        <f>$O$331*$AA$331</f>
        <v>0</v>
      </c>
    </row>
    <row r="332" spans="1:33" ht="11.25" customHeight="1" x14ac:dyDescent="0.3">
      <c r="A332" s="4" t="s">
        <v>21</v>
      </c>
      <c r="B332" s="4" t="s">
        <v>39</v>
      </c>
      <c r="C332" s="4" t="s">
        <v>41</v>
      </c>
      <c r="D332" s="4" t="s">
        <v>38</v>
      </c>
      <c r="E332" s="4" t="s">
        <v>25</v>
      </c>
      <c r="F332" s="4" t="s">
        <v>56</v>
      </c>
      <c r="G332" s="4" t="s">
        <v>25</v>
      </c>
      <c r="H332" s="4" t="s">
        <v>25</v>
      </c>
      <c r="I332" s="5">
        <v>44562</v>
      </c>
      <c r="J332" s="6">
        <v>5699</v>
      </c>
      <c r="K332" s="6">
        <v>1816.6392844300001</v>
      </c>
      <c r="L332" s="6">
        <v>0</v>
      </c>
      <c r="M332" s="6">
        <v>0</v>
      </c>
      <c r="N332" s="6">
        <v>0</v>
      </c>
      <c r="O332" s="6">
        <v>0</v>
      </c>
      <c r="P332" s="6">
        <v>11</v>
      </c>
      <c r="Q332" s="4" t="s">
        <v>55</v>
      </c>
      <c r="R332" s="4">
        <v>0</v>
      </c>
      <c r="S332" s="6">
        <v>20</v>
      </c>
      <c r="T332" s="6">
        <v>0</v>
      </c>
      <c r="U332" s="6">
        <v>0</v>
      </c>
      <c r="V332" s="6">
        <f>IF(ISERROR(VLOOKUP($S$332,'TAR FIN'!$A$1:$O$113,15,0)),0,VLOOKUP($S$332,'TAR FIN'!$A$1:$O$113,15,0))</f>
        <v>14</v>
      </c>
      <c r="W332" s="6">
        <f>IF(ISERROR(VLOOKUP($T$332,'TAR FIN'!$A$1:$O$113,15,0)),0,VLOOKUP($T$332,'TAR FIN'!$A$1:$O$113,15,0))</f>
        <v>0</v>
      </c>
      <c r="X332" s="6">
        <f>IF(ISERROR(VLOOKUP($U$332,'TAR FIN'!$A$1:$O$113,15,0)),0,VLOOKUP($U$332,'TAR FIN'!$A$1:$O$113,15,0))</f>
        <v>0</v>
      </c>
      <c r="Y332" s="6">
        <f ca="1">('TUSD BE'!$AM$19+'TUSD BF'!$AM$19+'TUSD CVA'!$AM$19)*1</f>
        <v>16.035953923331604</v>
      </c>
      <c r="Z332" s="6"/>
      <c r="AA332" s="6"/>
      <c r="AB332" s="6">
        <f>$K$332*$V$332</f>
        <v>25432.94998202</v>
      </c>
      <c r="AC332" s="6">
        <f>$M$332*$W$332</f>
        <v>0</v>
      </c>
      <c r="AD332" s="6">
        <f>$O$332*$X$332</f>
        <v>0</v>
      </c>
      <c r="AE332" s="6">
        <f ca="1">$K$332*$Y$332</f>
        <v>29131.54386043358</v>
      </c>
      <c r="AF332" s="6">
        <f>$M$332*$Z$332</f>
        <v>0</v>
      </c>
      <c r="AG332" s="6">
        <f>$O$332*$AA$332</f>
        <v>0</v>
      </c>
    </row>
    <row r="333" spans="1:33" ht="11.25" customHeight="1" x14ac:dyDescent="0.3">
      <c r="A333" s="4" t="s">
        <v>21</v>
      </c>
      <c r="B333" s="4" t="s">
        <v>39</v>
      </c>
      <c r="C333" s="4" t="s">
        <v>41</v>
      </c>
      <c r="D333" s="4" t="s">
        <v>38</v>
      </c>
      <c r="E333" s="4" t="s">
        <v>25</v>
      </c>
      <c r="F333" s="4" t="s">
        <v>56</v>
      </c>
      <c r="G333" s="4" t="s">
        <v>25</v>
      </c>
      <c r="H333" s="4" t="s">
        <v>25</v>
      </c>
      <c r="I333" s="5">
        <v>44593</v>
      </c>
      <c r="J333" s="6">
        <v>6247</v>
      </c>
      <c r="K333" s="6">
        <v>3020.874284</v>
      </c>
      <c r="L333" s="6">
        <v>0</v>
      </c>
      <c r="M333" s="6">
        <v>0</v>
      </c>
      <c r="N333" s="6">
        <v>0</v>
      </c>
      <c r="O333" s="6">
        <v>0</v>
      </c>
      <c r="P333" s="6">
        <v>12</v>
      </c>
      <c r="Q333" s="4" t="s">
        <v>55</v>
      </c>
      <c r="R333" s="4">
        <v>0</v>
      </c>
      <c r="S333" s="6">
        <v>20</v>
      </c>
      <c r="T333" s="6">
        <v>0</v>
      </c>
      <c r="U333" s="6">
        <v>0</v>
      </c>
      <c r="V333" s="6">
        <f>IF(ISERROR(VLOOKUP($S$333,'TAR FIN'!$A$1:$O$113,15,0)),0,VLOOKUP($S$333,'TAR FIN'!$A$1:$O$113,15,0))</f>
        <v>14</v>
      </c>
      <c r="W333" s="6">
        <f>IF(ISERROR(VLOOKUP($T$333,'TAR FIN'!$A$1:$O$113,15,0)),0,VLOOKUP($T$333,'TAR FIN'!$A$1:$O$113,15,0))</f>
        <v>0</v>
      </c>
      <c r="X333" s="6">
        <f>IF(ISERROR(VLOOKUP($U$333,'TAR FIN'!$A$1:$O$113,15,0)),0,VLOOKUP($U$333,'TAR FIN'!$A$1:$O$113,15,0))</f>
        <v>0</v>
      </c>
      <c r="Y333" s="6">
        <f ca="1">('TUSD BE'!$AM$19+'TUSD BF'!$AM$19+'TUSD CVA'!$AM$19)*1</f>
        <v>16.035953923331604</v>
      </c>
      <c r="Z333" s="6"/>
      <c r="AA333" s="6"/>
      <c r="AB333" s="6">
        <f>$K$333*$V$333</f>
        <v>42292.239975999997</v>
      </c>
      <c r="AC333" s="6">
        <f>$M$333*$W$333</f>
        <v>0</v>
      </c>
      <c r="AD333" s="6">
        <f>$O$333*$X$333</f>
        <v>0</v>
      </c>
      <c r="AE333" s="6">
        <f ca="1">$K$333*$Y$333</f>
        <v>48442.600826401351</v>
      </c>
      <c r="AF333" s="6">
        <f>$M$333*$Z$333</f>
        <v>0</v>
      </c>
      <c r="AG333" s="6">
        <f>$O$333*$AA$333</f>
        <v>0</v>
      </c>
    </row>
    <row r="334" spans="1:33" ht="11.25" customHeight="1" x14ac:dyDescent="0.3">
      <c r="A334" s="4" t="s">
        <v>21</v>
      </c>
      <c r="B334" s="4" t="s">
        <v>39</v>
      </c>
      <c r="C334" s="4" t="s">
        <v>41</v>
      </c>
      <c r="D334" s="4" t="s">
        <v>38</v>
      </c>
      <c r="E334" s="4" t="s">
        <v>25</v>
      </c>
      <c r="F334" s="4" t="s">
        <v>56</v>
      </c>
      <c r="G334" s="4" t="s">
        <v>25</v>
      </c>
      <c r="H334" s="4" t="s">
        <v>25</v>
      </c>
      <c r="I334" s="5">
        <v>44621</v>
      </c>
      <c r="J334" s="6">
        <v>6434</v>
      </c>
      <c r="K334" s="6">
        <v>3202.3385868400001</v>
      </c>
      <c r="L334" s="6">
        <v>0</v>
      </c>
      <c r="M334" s="6">
        <v>0</v>
      </c>
      <c r="N334" s="6">
        <v>0</v>
      </c>
      <c r="O334" s="6">
        <v>0</v>
      </c>
      <c r="P334" s="6">
        <v>13</v>
      </c>
      <c r="Q334" s="4" t="s">
        <v>55</v>
      </c>
      <c r="R334" s="4">
        <v>0</v>
      </c>
      <c r="S334" s="6">
        <v>20</v>
      </c>
      <c r="T334" s="6">
        <v>0</v>
      </c>
      <c r="U334" s="6">
        <v>0</v>
      </c>
      <c r="V334" s="6">
        <f>IF(ISERROR(VLOOKUP($S$334,'TAR FIN'!$A$1:$O$113,15,0)),0,VLOOKUP($S$334,'TAR FIN'!$A$1:$O$113,15,0))</f>
        <v>14</v>
      </c>
      <c r="W334" s="6">
        <f>IF(ISERROR(VLOOKUP($T$334,'TAR FIN'!$A$1:$O$113,15,0)),0,VLOOKUP($T$334,'TAR FIN'!$A$1:$O$113,15,0))</f>
        <v>0</v>
      </c>
      <c r="X334" s="6">
        <f>IF(ISERROR(VLOOKUP($U$334,'TAR FIN'!$A$1:$O$113,15,0)),0,VLOOKUP($U$334,'TAR FIN'!$A$1:$O$113,15,0))</f>
        <v>0</v>
      </c>
      <c r="Y334" s="6">
        <f ca="1">('TUSD BE'!$AM$19+'TUSD BF'!$AM$19+'TUSD CVA'!$AM$19)*1</f>
        <v>16.035953923331604</v>
      </c>
      <c r="Z334" s="6"/>
      <c r="AA334" s="6"/>
      <c r="AB334" s="6">
        <f>$K$334*$V$334</f>
        <v>44832.740215760001</v>
      </c>
      <c r="AC334" s="6">
        <f>$M$334*$W$334</f>
        <v>0</v>
      </c>
      <c r="AD334" s="6">
        <f>$O$334*$X$334</f>
        <v>0</v>
      </c>
      <c r="AE334" s="6">
        <f ca="1">$K$334*$Y$334</f>
        <v>51352.554025473088</v>
      </c>
      <c r="AF334" s="6">
        <f>$M$334*$Z$334</f>
        <v>0</v>
      </c>
      <c r="AG334" s="6">
        <f>$O$334*$AA$334</f>
        <v>0</v>
      </c>
    </row>
    <row r="335" spans="1:33" ht="11.25" customHeight="1" x14ac:dyDescent="0.3">
      <c r="A335" s="4" t="s">
        <v>21</v>
      </c>
      <c r="B335" s="4" t="s">
        <v>39</v>
      </c>
      <c r="C335" s="4" t="s">
        <v>41</v>
      </c>
      <c r="D335" s="4" t="s">
        <v>38</v>
      </c>
      <c r="E335" s="4" t="s">
        <v>25</v>
      </c>
      <c r="F335" s="4" t="s">
        <v>56</v>
      </c>
      <c r="G335" s="4" t="s">
        <v>25</v>
      </c>
      <c r="H335" s="4" t="s">
        <v>25</v>
      </c>
      <c r="I335" s="5">
        <v>44652</v>
      </c>
      <c r="J335" s="6">
        <v>6719</v>
      </c>
      <c r="K335" s="6">
        <v>3187.2271244600001</v>
      </c>
      <c r="L335" s="6">
        <v>0</v>
      </c>
      <c r="M335" s="6">
        <v>0</v>
      </c>
      <c r="N335" s="6">
        <v>0</v>
      </c>
      <c r="O335" s="6">
        <v>0</v>
      </c>
      <c r="P335" s="6">
        <v>15</v>
      </c>
      <c r="Q335" s="4" t="s">
        <v>55</v>
      </c>
      <c r="R335" s="4">
        <v>0</v>
      </c>
      <c r="S335" s="6">
        <v>20</v>
      </c>
      <c r="T335" s="6">
        <v>0</v>
      </c>
      <c r="U335" s="6">
        <v>0</v>
      </c>
      <c r="V335" s="6">
        <f>IF(ISERROR(VLOOKUP($S$335,'TAR FIN'!$A$1:$O$113,15,0)),0,VLOOKUP($S$335,'TAR FIN'!$A$1:$O$113,15,0))</f>
        <v>14</v>
      </c>
      <c r="W335" s="6">
        <f>IF(ISERROR(VLOOKUP($T$335,'TAR FIN'!$A$1:$O$113,15,0)),0,VLOOKUP($T$335,'TAR FIN'!$A$1:$O$113,15,0))</f>
        <v>0</v>
      </c>
      <c r="X335" s="6">
        <f>IF(ISERROR(VLOOKUP($U$335,'TAR FIN'!$A$1:$O$113,15,0)),0,VLOOKUP($U$335,'TAR FIN'!$A$1:$O$113,15,0))</f>
        <v>0</v>
      </c>
      <c r="Y335" s="6">
        <f ca="1">('TUSD BE'!$AM$19+'TUSD BF'!$AM$19+'TUSD CVA'!$AM$19)*1</f>
        <v>16.035953923331604</v>
      </c>
      <c r="Z335" s="6"/>
      <c r="AA335" s="6"/>
      <c r="AB335" s="6">
        <f>$K$335*$V$335</f>
        <v>44621.179742439999</v>
      </c>
      <c r="AC335" s="6">
        <f>$M$335*$W$335</f>
        <v>0</v>
      </c>
      <c r="AD335" s="6">
        <f>$O$335*$X$335</f>
        <v>0</v>
      </c>
      <c r="AE335" s="6">
        <f ca="1">$K$335*$Y$335</f>
        <v>51110.227311033246</v>
      </c>
      <c r="AF335" s="6">
        <f>$M$335*$Z$335</f>
        <v>0</v>
      </c>
      <c r="AG335" s="6">
        <f>$O$335*$AA$335</f>
        <v>0</v>
      </c>
    </row>
    <row r="336" spans="1:33" ht="11.25" customHeight="1" x14ac:dyDescent="0.3">
      <c r="A336" s="4" t="s">
        <v>21</v>
      </c>
      <c r="B336" s="4" t="s">
        <v>39</v>
      </c>
      <c r="C336" s="4" t="s">
        <v>41</v>
      </c>
      <c r="D336" s="4" t="s">
        <v>38</v>
      </c>
      <c r="E336" s="4" t="s">
        <v>25</v>
      </c>
      <c r="F336" s="4" t="s">
        <v>56</v>
      </c>
      <c r="G336" s="4" t="s">
        <v>25</v>
      </c>
      <c r="H336" s="4" t="s">
        <v>25</v>
      </c>
      <c r="I336" s="5">
        <v>44682</v>
      </c>
      <c r="J336" s="6">
        <v>6697</v>
      </c>
      <c r="K336" s="6">
        <v>3460.6249912899998</v>
      </c>
      <c r="L336" s="6">
        <v>0</v>
      </c>
      <c r="M336" s="6">
        <v>0</v>
      </c>
      <c r="N336" s="6">
        <v>0</v>
      </c>
      <c r="O336" s="6">
        <v>0</v>
      </c>
      <c r="P336" s="6">
        <v>15</v>
      </c>
      <c r="Q336" s="4" t="s">
        <v>55</v>
      </c>
      <c r="R336" s="4">
        <v>0</v>
      </c>
      <c r="S336" s="6">
        <v>20</v>
      </c>
      <c r="T336" s="6">
        <v>0</v>
      </c>
      <c r="U336" s="6">
        <v>0</v>
      </c>
      <c r="V336" s="6">
        <f>IF(ISERROR(VLOOKUP($S$336,'TAR FIN'!$A$1:$O$113,15,0)),0,VLOOKUP($S$336,'TAR FIN'!$A$1:$O$113,15,0))</f>
        <v>14</v>
      </c>
      <c r="W336" s="6">
        <f>IF(ISERROR(VLOOKUP($T$336,'TAR FIN'!$A$1:$O$113,15,0)),0,VLOOKUP($T$336,'TAR FIN'!$A$1:$O$113,15,0))</f>
        <v>0</v>
      </c>
      <c r="X336" s="6">
        <f>IF(ISERROR(VLOOKUP($U$336,'TAR FIN'!$A$1:$O$113,15,0)),0,VLOOKUP($U$336,'TAR FIN'!$A$1:$O$113,15,0))</f>
        <v>0</v>
      </c>
      <c r="Y336" s="6">
        <f ca="1">('TUSD BE'!$AM$19+'TUSD BF'!$AM$19+'TUSD CVA'!$AM$19)*1</f>
        <v>16.035953923331604</v>
      </c>
      <c r="Z336" s="6"/>
      <c r="AA336" s="6"/>
      <c r="AB336" s="6">
        <f>$K$336*$V$336</f>
        <v>48448.74987806</v>
      </c>
      <c r="AC336" s="6">
        <f>$M$336*$W$336</f>
        <v>0</v>
      </c>
      <c r="AD336" s="6">
        <f>$O$336*$X$336</f>
        <v>0</v>
      </c>
      <c r="AE336" s="6">
        <f ca="1">$K$336*$Y$336</f>
        <v>55494.422906256274</v>
      </c>
      <c r="AF336" s="6">
        <f>$M$336*$Z$336</f>
        <v>0</v>
      </c>
      <c r="AG336" s="6">
        <f>$O$336*$AA$336</f>
        <v>0</v>
      </c>
    </row>
    <row r="337" spans="1:33" ht="11.25" customHeight="1" x14ac:dyDescent="0.3">
      <c r="A337" s="4" t="s">
        <v>21</v>
      </c>
      <c r="B337" s="4" t="s">
        <v>39</v>
      </c>
      <c r="C337" s="4" t="s">
        <v>41</v>
      </c>
      <c r="D337" s="4" t="s">
        <v>38</v>
      </c>
      <c r="E337" s="4" t="s">
        <v>25</v>
      </c>
      <c r="F337" s="4" t="s">
        <v>56</v>
      </c>
      <c r="G337" s="4" t="s">
        <v>25</v>
      </c>
      <c r="H337" s="4" t="s">
        <v>25</v>
      </c>
      <c r="I337" s="5">
        <v>44713</v>
      </c>
      <c r="J337" s="6">
        <v>7006</v>
      </c>
      <c r="K337" s="6">
        <v>3237.26858528</v>
      </c>
      <c r="L337" s="6">
        <v>0</v>
      </c>
      <c r="M337" s="6">
        <v>0</v>
      </c>
      <c r="N337" s="6">
        <v>0</v>
      </c>
      <c r="O337" s="6">
        <v>0</v>
      </c>
      <c r="P337" s="6">
        <v>16</v>
      </c>
      <c r="Q337" s="4" t="s">
        <v>55</v>
      </c>
      <c r="R337" s="4">
        <v>0</v>
      </c>
      <c r="S337" s="6">
        <v>20</v>
      </c>
      <c r="T337" s="6">
        <v>0</v>
      </c>
      <c r="U337" s="6">
        <v>0</v>
      </c>
      <c r="V337" s="6">
        <f>IF(ISERROR(VLOOKUP($S$337,'TAR FIN'!$A$1:$O$113,15,0)),0,VLOOKUP($S$337,'TAR FIN'!$A$1:$O$113,15,0))</f>
        <v>14</v>
      </c>
      <c r="W337" s="6">
        <f>IF(ISERROR(VLOOKUP($T$337,'TAR FIN'!$A$1:$O$113,15,0)),0,VLOOKUP($T$337,'TAR FIN'!$A$1:$O$113,15,0))</f>
        <v>0</v>
      </c>
      <c r="X337" s="6">
        <f>IF(ISERROR(VLOOKUP($U$337,'TAR FIN'!$A$1:$O$113,15,0)),0,VLOOKUP($U$337,'TAR FIN'!$A$1:$O$113,15,0))</f>
        <v>0</v>
      </c>
      <c r="Y337" s="6">
        <f ca="1">('TUSD BE'!$AM$19+'TUSD BF'!$AM$19+'TUSD CVA'!$AM$19)*1</f>
        <v>16.035953923331604</v>
      </c>
      <c r="Z337" s="6"/>
      <c r="AA337" s="6"/>
      <c r="AB337" s="6">
        <f>$K$337*$V$337</f>
        <v>45321.760193920003</v>
      </c>
      <c r="AC337" s="6">
        <f>$M$337*$W$337</f>
        <v>0</v>
      </c>
      <c r="AD337" s="6">
        <f>$O$337*$X$337</f>
        <v>0</v>
      </c>
      <c r="AE337" s="6">
        <f ca="1">$K$337*$Y$337</f>
        <v>51912.689870998969</v>
      </c>
      <c r="AF337" s="6">
        <f>$M$337*$Z$337</f>
        <v>0</v>
      </c>
      <c r="AG337" s="6">
        <f>$O$337*$AA$337</f>
        <v>0</v>
      </c>
    </row>
    <row r="338" spans="1:33" ht="11.25" customHeight="1" x14ac:dyDescent="0.3">
      <c r="A338" s="4" t="s">
        <v>21</v>
      </c>
      <c r="B338" s="4" t="s">
        <v>39</v>
      </c>
      <c r="C338" s="4" t="s">
        <v>41</v>
      </c>
      <c r="D338" s="4" t="s">
        <v>38</v>
      </c>
      <c r="E338" s="4" t="s">
        <v>25</v>
      </c>
      <c r="F338" s="4" t="s">
        <v>56</v>
      </c>
      <c r="G338" s="4" t="s">
        <v>25</v>
      </c>
      <c r="H338" s="4" t="s">
        <v>25</v>
      </c>
      <c r="I338" s="5">
        <v>44743</v>
      </c>
      <c r="J338" s="6">
        <v>7138</v>
      </c>
      <c r="K338" s="6">
        <v>3276.37140856</v>
      </c>
      <c r="L338" s="6">
        <v>0</v>
      </c>
      <c r="M338" s="6">
        <v>0</v>
      </c>
      <c r="N338" s="6">
        <v>0</v>
      </c>
      <c r="O338" s="6">
        <v>0</v>
      </c>
      <c r="P338" s="6">
        <v>16</v>
      </c>
      <c r="Q338" s="4" t="s">
        <v>55</v>
      </c>
      <c r="R338" s="4">
        <v>0</v>
      </c>
      <c r="S338" s="6">
        <v>20</v>
      </c>
      <c r="T338" s="6">
        <v>0</v>
      </c>
      <c r="U338" s="6">
        <v>0</v>
      </c>
      <c r="V338" s="6">
        <f>IF(ISERROR(VLOOKUP($S$338,'TAR FIN'!$A$1:$O$113,15,0)),0,VLOOKUP($S$338,'TAR FIN'!$A$1:$O$113,15,0))</f>
        <v>14</v>
      </c>
      <c r="W338" s="6">
        <f>IF(ISERROR(VLOOKUP($T$338,'TAR FIN'!$A$1:$O$113,15,0)),0,VLOOKUP($T$338,'TAR FIN'!$A$1:$O$113,15,0))</f>
        <v>0</v>
      </c>
      <c r="X338" s="6">
        <f>IF(ISERROR(VLOOKUP($U$338,'TAR FIN'!$A$1:$O$113,15,0)),0,VLOOKUP($U$338,'TAR FIN'!$A$1:$O$113,15,0))</f>
        <v>0</v>
      </c>
      <c r="Y338" s="6">
        <f ca="1">('TUSD BE'!$AM$19+'TUSD BF'!$AM$19+'TUSD CVA'!$AM$19)*1</f>
        <v>16.035953923331604</v>
      </c>
      <c r="Z338" s="6"/>
      <c r="AA338" s="6"/>
      <c r="AB338" s="6">
        <f>$K$338*$V$338</f>
        <v>45869.199719839999</v>
      </c>
      <c r="AC338" s="6">
        <f>$M$338*$W$338</f>
        <v>0</v>
      </c>
      <c r="AD338" s="6">
        <f>$O$338*$X$338</f>
        <v>0</v>
      </c>
      <c r="AE338" s="6">
        <f ca="1">$K$338*$Y$338</f>
        <v>52539.740943389224</v>
      </c>
      <c r="AF338" s="6">
        <f>$M$338*$Z$338</f>
        <v>0</v>
      </c>
      <c r="AG338" s="6">
        <f>$O$338*$AA$338</f>
        <v>0</v>
      </c>
    </row>
    <row r="339" spans="1:33" ht="11.25" customHeight="1" x14ac:dyDescent="0.3">
      <c r="A339" s="4" t="s">
        <v>21</v>
      </c>
      <c r="B339" s="4" t="s">
        <v>39</v>
      </c>
      <c r="C339" s="4" t="s">
        <v>41</v>
      </c>
      <c r="D339" s="4" t="s">
        <v>38</v>
      </c>
      <c r="E339" s="4" t="s">
        <v>25</v>
      </c>
      <c r="F339" s="4" t="s">
        <v>56</v>
      </c>
      <c r="G339" s="4" t="s">
        <v>25</v>
      </c>
      <c r="H339" s="4" t="s">
        <v>25</v>
      </c>
      <c r="I339" s="5">
        <v>44774</v>
      </c>
      <c r="J339" s="6">
        <v>7158</v>
      </c>
      <c r="K339" s="6">
        <v>3383.4035699400001</v>
      </c>
      <c r="L339" s="6">
        <v>0</v>
      </c>
      <c r="M339" s="6">
        <v>0</v>
      </c>
      <c r="N339" s="6">
        <v>0</v>
      </c>
      <c r="O339" s="6">
        <v>0</v>
      </c>
      <c r="P339" s="6">
        <v>16</v>
      </c>
      <c r="Q339" s="4" t="s">
        <v>55</v>
      </c>
      <c r="R339" s="4">
        <v>0</v>
      </c>
      <c r="S339" s="6">
        <v>20</v>
      </c>
      <c r="T339" s="6">
        <v>0</v>
      </c>
      <c r="U339" s="6">
        <v>0</v>
      </c>
      <c r="V339" s="6">
        <f>IF(ISERROR(VLOOKUP($S$339,'TAR FIN'!$A$1:$O$113,15,0)),0,VLOOKUP($S$339,'TAR FIN'!$A$1:$O$113,15,0))</f>
        <v>14</v>
      </c>
      <c r="W339" s="6">
        <f>IF(ISERROR(VLOOKUP($T$339,'TAR FIN'!$A$1:$O$113,15,0)),0,VLOOKUP($T$339,'TAR FIN'!$A$1:$O$113,15,0))</f>
        <v>0</v>
      </c>
      <c r="X339" s="6">
        <f>IF(ISERROR(VLOOKUP($U$339,'TAR FIN'!$A$1:$O$113,15,0)),0,VLOOKUP($U$339,'TAR FIN'!$A$1:$O$113,15,0))</f>
        <v>0</v>
      </c>
      <c r="Y339" s="6">
        <f ca="1">('TUSD BE'!$AM$19+'TUSD BF'!$AM$19+'TUSD CVA'!$AM$19)*1</f>
        <v>16.035953923331604</v>
      </c>
      <c r="Z339" s="6"/>
      <c r="AA339" s="6"/>
      <c r="AB339" s="6">
        <f>$K$339*$V$339</f>
        <v>47367.64997916</v>
      </c>
      <c r="AC339" s="6">
        <f>$M$339*$W$339</f>
        <v>0</v>
      </c>
      <c r="AD339" s="6">
        <f>$O$339*$X$339</f>
        <v>0</v>
      </c>
      <c r="AE339" s="6">
        <f ca="1">$K$339*$Y$339</f>
        <v>54256.103751593502</v>
      </c>
      <c r="AF339" s="6">
        <f>$M$339*$Z$339</f>
        <v>0</v>
      </c>
      <c r="AG339" s="6">
        <f>$O$339*$AA$339</f>
        <v>0</v>
      </c>
    </row>
    <row r="340" spans="1:33" ht="11.25" customHeight="1" x14ac:dyDescent="0.3">
      <c r="A340" s="4" t="s">
        <v>21</v>
      </c>
      <c r="B340" s="4" t="s">
        <v>39</v>
      </c>
      <c r="C340" s="4" t="s">
        <v>41</v>
      </c>
      <c r="D340" s="4" t="s">
        <v>38</v>
      </c>
      <c r="E340" s="4" t="s">
        <v>25</v>
      </c>
      <c r="F340" s="4" t="s">
        <v>56</v>
      </c>
      <c r="G340" s="4" t="s">
        <v>25</v>
      </c>
      <c r="H340" s="4" t="s">
        <v>25</v>
      </c>
      <c r="I340" s="5">
        <v>44805</v>
      </c>
      <c r="J340" s="6">
        <v>7177</v>
      </c>
      <c r="K340" s="6">
        <v>3390.3400156600001</v>
      </c>
      <c r="L340" s="6">
        <v>0</v>
      </c>
      <c r="M340" s="6">
        <v>0</v>
      </c>
      <c r="N340" s="6">
        <v>0</v>
      </c>
      <c r="O340" s="6">
        <v>0</v>
      </c>
      <c r="P340" s="6">
        <v>16</v>
      </c>
      <c r="Q340" s="4" t="s">
        <v>55</v>
      </c>
      <c r="R340" s="4">
        <v>0</v>
      </c>
      <c r="S340" s="6">
        <v>20</v>
      </c>
      <c r="T340" s="6">
        <v>0</v>
      </c>
      <c r="U340" s="6">
        <v>0</v>
      </c>
      <c r="V340" s="6">
        <f>IF(ISERROR(VLOOKUP($S$340,'TAR FIN'!$A$1:$O$113,15,0)),0,VLOOKUP($S$340,'TAR FIN'!$A$1:$O$113,15,0))</f>
        <v>14</v>
      </c>
      <c r="W340" s="6">
        <f>IF(ISERROR(VLOOKUP($T$340,'TAR FIN'!$A$1:$O$113,15,0)),0,VLOOKUP($T$340,'TAR FIN'!$A$1:$O$113,15,0))</f>
        <v>0</v>
      </c>
      <c r="X340" s="6">
        <f>IF(ISERROR(VLOOKUP($U$340,'TAR FIN'!$A$1:$O$113,15,0)),0,VLOOKUP($U$340,'TAR FIN'!$A$1:$O$113,15,0))</f>
        <v>0</v>
      </c>
      <c r="Y340" s="6">
        <f ca="1">('TUSD BE'!$AM$19+'TUSD BF'!$AM$19+'TUSD CVA'!$AM$19)*1</f>
        <v>16.035953923331604</v>
      </c>
      <c r="Z340" s="6"/>
      <c r="AA340" s="6"/>
      <c r="AB340" s="6">
        <f>$K$340*$V$340</f>
        <v>47464.760219240001</v>
      </c>
      <c r="AC340" s="6">
        <f>$M$340*$W$340</f>
        <v>0</v>
      </c>
      <c r="AD340" s="6">
        <f>$O$340*$X$340</f>
        <v>0</v>
      </c>
      <c r="AE340" s="6">
        <f ca="1">$K$340*$Y$340</f>
        <v>54367.336275551112</v>
      </c>
      <c r="AF340" s="6">
        <f>$M$340*$Z$340</f>
        <v>0</v>
      </c>
      <c r="AG340" s="6">
        <f>$O$340*$AA$340</f>
        <v>0</v>
      </c>
    </row>
    <row r="341" spans="1:33" ht="11.25" customHeight="1" x14ac:dyDescent="0.3">
      <c r="A341" s="4" t="s">
        <v>53</v>
      </c>
      <c r="B341" s="4" t="s">
        <v>39</v>
      </c>
      <c r="C341" s="4" t="s">
        <v>41</v>
      </c>
      <c r="D341" s="4" t="s">
        <v>38</v>
      </c>
      <c r="E341" s="4" t="s">
        <v>25</v>
      </c>
      <c r="F341" s="4" t="s">
        <v>56</v>
      </c>
      <c r="G341" s="4" t="s">
        <v>25</v>
      </c>
      <c r="H341" s="4" t="s">
        <v>25</v>
      </c>
      <c r="I341" s="5">
        <v>44835</v>
      </c>
      <c r="J341" s="6">
        <v>7177</v>
      </c>
      <c r="K341" s="6">
        <v>3390.3400156600001</v>
      </c>
      <c r="L341" s="6">
        <v>0</v>
      </c>
      <c r="M341" s="6">
        <v>0</v>
      </c>
      <c r="N341" s="6">
        <v>0</v>
      </c>
      <c r="O341" s="6">
        <v>0</v>
      </c>
      <c r="P341" s="6">
        <v>16</v>
      </c>
      <c r="Q341" s="4" t="s">
        <v>55</v>
      </c>
      <c r="R341" s="4">
        <v>0</v>
      </c>
      <c r="S341" s="6">
        <v>20</v>
      </c>
      <c r="T341" s="6">
        <v>0</v>
      </c>
      <c r="U341" s="6">
        <v>0</v>
      </c>
      <c r="V341" s="6">
        <f>IF(ISERROR(VLOOKUP($S$341,'TAR FIN'!$A$1:$O$113,15,0)),0,VLOOKUP($S$341,'TAR FIN'!$A$1:$O$113,15,0))</f>
        <v>14</v>
      </c>
      <c r="W341" s="6">
        <f>IF(ISERROR(VLOOKUP($T$341,'TAR FIN'!$A$1:$O$113,15,0)),0,VLOOKUP($T$341,'TAR FIN'!$A$1:$O$113,15,0))</f>
        <v>0</v>
      </c>
      <c r="X341" s="6">
        <f>IF(ISERROR(VLOOKUP($U$341,'TAR FIN'!$A$1:$O$113,15,0)),0,VLOOKUP($U$341,'TAR FIN'!$A$1:$O$113,15,0))</f>
        <v>0</v>
      </c>
      <c r="Y341" s="6">
        <f ca="1">('TUSD BE'!$AM$19+'TUSD BF'!$AM$19+'TUSD CVA'!$AM$19)*1</f>
        <v>16.035953923331604</v>
      </c>
      <c r="Z341" s="6"/>
      <c r="AA341" s="6"/>
      <c r="AB341" s="6">
        <f>$K$341*$V$341</f>
        <v>47464.760219240001</v>
      </c>
      <c r="AC341" s="6">
        <f>$M$341*$W$341</f>
        <v>0</v>
      </c>
      <c r="AD341" s="6">
        <f>$O$341*$X$341</f>
        <v>0</v>
      </c>
      <c r="AE341" s="6">
        <f ca="1">$K$341*$Y$341</f>
        <v>54367.336275551112</v>
      </c>
      <c r="AF341" s="6">
        <f>$M$341*$Z$341</f>
        <v>0</v>
      </c>
      <c r="AG341" s="6">
        <f>$O$341*$AA$341</f>
        <v>0</v>
      </c>
    </row>
    <row r="342" spans="1:33" ht="11.25" customHeight="1" x14ac:dyDescent="0.3">
      <c r="A342" s="4" t="s">
        <v>21</v>
      </c>
      <c r="B342" s="4" t="s">
        <v>39</v>
      </c>
      <c r="C342" s="4" t="s">
        <v>41</v>
      </c>
      <c r="D342" s="4" t="s">
        <v>38</v>
      </c>
      <c r="E342" s="4" t="s">
        <v>25</v>
      </c>
      <c r="F342" s="4" t="s">
        <v>56</v>
      </c>
      <c r="G342" s="4" t="s">
        <v>25</v>
      </c>
      <c r="H342" s="4" t="s">
        <v>34</v>
      </c>
      <c r="I342" s="5">
        <v>44501</v>
      </c>
      <c r="J342" s="6">
        <v>0</v>
      </c>
      <c r="K342" s="6">
        <v>0</v>
      </c>
      <c r="L342" s="6">
        <v>121.318</v>
      </c>
      <c r="M342" s="6">
        <v>108.06427661278001</v>
      </c>
      <c r="N342" s="6">
        <v>0</v>
      </c>
      <c r="O342" s="6">
        <v>0</v>
      </c>
      <c r="P342" s="6">
        <v>0</v>
      </c>
      <c r="Q342" s="4" t="s">
        <v>55</v>
      </c>
      <c r="R342" s="4">
        <v>0</v>
      </c>
      <c r="S342" s="6">
        <v>0</v>
      </c>
      <c r="T342" s="6">
        <v>8</v>
      </c>
      <c r="U342" s="6">
        <v>0</v>
      </c>
      <c r="V342" s="6">
        <f>IF(ISERROR(VLOOKUP($S$342,'TAR FIN'!$A$1:$O$113,15,0)),0,VLOOKUP($S$342,'TAR FIN'!$A$1:$O$113,15,0))</f>
        <v>0</v>
      </c>
      <c r="W342" s="6">
        <f>IF(ISERROR(VLOOKUP($T$342,'TAR FIN'!$A$1:$O$113,15,0)),0,VLOOKUP($T$342,'TAR FIN'!$A$1:$O$113,15,0))</f>
        <v>940.43</v>
      </c>
      <c r="X342" s="6">
        <f>IF(ISERROR(VLOOKUP($U$342,'TAR FIN'!$A$1:$O$113,15,0)),0,VLOOKUP($U$342,'TAR FIN'!$A$1:$O$113,15,0))</f>
        <v>0</v>
      </c>
      <c r="Y342" s="6"/>
      <c r="Z342" s="6">
        <f ca="1">('TUSD BE'!$AM$20+'TUSD BF'!$AM$20+'TUSD CVA'!$AM$20)*1</f>
        <v>1117.8285588949407</v>
      </c>
      <c r="AA342" s="6"/>
      <c r="AB342" s="6">
        <f>$K$342*$V$342</f>
        <v>0</v>
      </c>
      <c r="AC342" s="6">
        <f>$M$342*$W$342</f>
        <v>101626.88765495669</v>
      </c>
      <c r="AD342" s="6">
        <f>$O$342*$X$342</f>
        <v>0</v>
      </c>
      <c r="AE342" s="6">
        <f>$K$342*$Y$342</f>
        <v>0</v>
      </c>
      <c r="AF342" s="6">
        <f ca="1">$M$342*$Z$342</f>
        <v>120797.33459408811</v>
      </c>
      <c r="AG342" s="6">
        <f>$O$342*$AA$342</f>
        <v>0</v>
      </c>
    </row>
    <row r="343" spans="1:33" ht="11.25" customHeight="1" x14ac:dyDescent="0.3">
      <c r="A343" s="4" t="s">
        <v>21</v>
      </c>
      <c r="B343" s="4" t="s">
        <v>39</v>
      </c>
      <c r="C343" s="4" t="s">
        <v>41</v>
      </c>
      <c r="D343" s="4" t="s">
        <v>38</v>
      </c>
      <c r="E343" s="4" t="s">
        <v>25</v>
      </c>
      <c r="F343" s="4" t="s">
        <v>56</v>
      </c>
      <c r="G343" s="4" t="s">
        <v>25</v>
      </c>
      <c r="H343" s="4" t="s">
        <v>34</v>
      </c>
      <c r="I343" s="5">
        <v>44531</v>
      </c>
      <c r="J343" s="6">
        <v>0</v>
      </c>
      <c r="K343" s="6">
        <v>0</v>
      </c>
      <c r="L343" s="6">
        <v>138.202</v>
      </c>
      <c r="M343" s="6">
        <v>73.546681935999999</v>
      </c>
      <c r="N343" s="6">
        <v>0</v>
      </c>
      <c r="O343" s="6">
        <v>0</v>
      </c>
      <c r="P343" s="6">
        <v>0</v>
      </c>
      <c r="Q343" s="4" t="s">
        <v>55</v>
      </c>
      <c r="R343" s="4">
        <v>0</v>
      </c>
      <c r="S343" s="6">
        <v>0</v>
      </c>
      <c r="T343" s="6">
        <v>8</v>
      </c>
      <c r="U343" s="6">
        <v>0</v>
      </c>
      <c r="V343" s="6">
        <f>IF(ISERROR(VLOOKUP($S$343,'TAR FIN'!$A$1:$O$113,15,0)),0,VLOOKUP($S$343,'TAR FIN'!$A$1:$O$113,15,0))</f>
        <v>0</v>
      </c>
      <c r="W343" s="6">
        <f>IF(ISERROR(VLOOKUP($T$343,'TAR FIN'!$A$1:$O$113,15,0)),0,VLOOKUP($T$343,'TAR FIN'!$A$1:$O$113,15,0))</f>
        <v>940.43</v>
      </c>
      <c r="X343" s="6">
        <f>IF(ISERROR(VLOOKUP($U$343,'TAR FIN'!$A$1:$O$113,15,0)),0,VLOOKUP($U$343,'TAR FIN'!$A$1:$O$113,15,0))</f>
        <v>0</v>
      </c>
      <c r="Y343" s="6"/>
      <c r="Z343" s="6">
        <f ca="1">('TUSD BE'!$AM$20+'TUSD BF'!$AM$20+'TUSD CVA'!$AM$20)*1</f>
        <v>1117.8285588949407</v>
      </c>
      <c r="AA343" s="6"/>
      <c r="AB343" s="6">
        <f>$K$343*$V$343</f>
        <v>0</v>
      </c>
      <c r="AC343" s="6">
        <f>$M$343*$W$343</f>
        <v>69165.506093072472</v>
      </c>
      <c r="AD343" s="6">
        <f>$O$343*$X$343</f>
        <v>0</v>
      </c>
      <c r="AE343" s="6">
        <f>$K$343*$Y$343</f>
        <v>0</v>
      </c>
      <c r="AF343" s="6">
        <f ca="1">$M$343*$Z$343</f>
        <v>82212.581480023437</v>
      </c>
      <c r="AG343" s="6">
        <f>$O$343*$AA$343</f>
        <v>0</v>
      </c>
    </row>
    <row r="344" spans="1:33" ht="11.25" customHeight="1" x14ac:dyDescent="0.3">
      <c r="A344" s="4" t="s">
        <v>21</v>
      </c>
      <c r="B344" s="4" t="s">
        <v>39</v>
      </c>
      <c r="C344" s="4" t="s">
        <v>41</v>
      </c>
      <c r="D344" s="4" t="s">
        <v>38</v>
      </c>
      <c r="E344" s="4" t="s">
        <v>25</v>
      </c>
      <c r="F344" s="4" t="s">
        <v>56</v>
      </c>
      <c r="G344" s="4" t="s">
        <v>25</v>
      </c>
      <c r="H344" s="4" t="s">
        <v>34</v>
      </c>
      <c r="I344" s="5">
        <v>44562</v>
      </c>
      <c r="J344" s="6">
        <v>0</v>
      </c>
      <c r="K344" s="6">
        <v>0</v>
      </c>
      <c r="L344" s="6">
        <v>183.863</v>
      </c>
      <c r="M344" s="6">
        <v>82.91051747457</v>
      </c>
      <c r="N344" s="6">
        <v>0</v>
      </c>
      <c r="O344" s="6">
        <v>0</v>
      </c>
      <c r="P344" s="6">
        <v>0</v>
      </c>
      <c r="Q344" s="4" t="s">
        <v>55</v>
      </c>
      <c r="R344" s="4">
        <v>0</v>
      </c>
      <c r="S344" s="6">
        <v>0</v>
      </c>
      <c r="T344" s="6">
        <v>8</v>
      </c>
      <c r="U344" s="6">
        <v>0</v>
      </c>
      <c r="V344" s="6">
        <f>IF(ISERROR(VLOOKUP($S$344,'TAR FIN'!$A$1:$O$113,15,0)),0,VLOOKUP($S$344,'TAR FIN'!$A$1:$O$113,15,0))</f>
        <v>0</v>
      </c>
      <c r="W344" s="6">
        <f>IF(ISERROR(VLOOKUP($T$344,'TAR FIN'!$A$1:$O$113,15,0)),0,VLOOKUP($T$344,'TAR FIN'!$A$1:$O$113,15,0))</f>
        <v>940.43</v>
      </c>
      <c r="X344" s="6">
        <f>IF(ISERROR(VLOOKUP($U$344,'TAR FIN'!$A$1:$O$113,15,0)),0,VLOOKUP($U$344,'TAR FIN'!$A$1:$O$113,15,0))</f>
        <v>0</v>
      </c>
      <c r="Y344" s="6"/>
      <c r="Z344" s="6">
        <f ca="1">('TUSD BE'!$AM$20+'TUSD BF'!$AM$20+'TUSD CVA'!$AM$20)*1</f>
        <v>1117.8285588949407</v>
      </c>
      <c r="AA344" s="6"/>
      <c r="AB344" s="6">
        <f>$K$344*$V$344</f>
        <v>0</v>
      </c>
      <c r="AC344" s="6">
        <f>$M$344*$W$344</f>
        <v>77971.537948609854</v>
      </c>
      <c r="AD344" s="6">
        <f>$O$344*$X$344</f>
        <v>0</v>
      </c>
      <c r="AE344" s="6">
        <f>$K$344*$Y$344</f>
        <v>0</v>
      </c>
      <c r="AF344" s="6">
        <f ca="1">$M$344*$Z$344</f>
        <v>92679.744265832385</v>
      </c>
      <c r="AG344" s="6">
        <f>$O$344*$AA$344</f>
        <v>0</v>
      </c>
    </row>
    <row r="345" spans="1:33" ht="11.25" customHeight="1" x14ac:dyDescent="0.3">
      <c r="A345" s="4" t="s">
        <v>21</v>
      </c>
      <c r="B345" s="4" t="s">
        <v>39</v>
      </c>
      <c r="C345" s="4" t="s">
        <v>41</v>
      </c>
      <c r="D345" s="4" t="s">
        <v>38</v>
      </c>
      <c r="E345" s="4" t="s">
        <v>25</v>
      </c>
      <c r="F345" s="4" t="s">
        <v>56</v>
      </c>
      <c r="G345" s="4" t="s">
        <v>25</v>
      </c>
      <c r="H345" s="4" t="s">
        <v>34</v>
      </c>
      <c r="I345" s="5">
        <v>44593</v>
      </c>
      <c r="J345" s="6">
        <v>0</v>
      </c>
      <c r="K345" s="6">
        <v>0</v>
      </c>
      <c r="L345" s="6">
        <v>176.209</v>
      </c>
      <c r="M345" s="6">
        <v>94.779071372480004</v>
      </c>
      <c r="N345" s="6">
        <v>0</v>
      </c>
      <c r="O345" s="6">
        <v>0</v>
      </c>
      <c r="P345" s="6">
        <v>0</v>
      </c>
      <c r="Q345" s="4" t="s">
        <v>55</v>
      </c>
      <c r="R345" s="4">
        <v>0</v>
      </c>
      <c r="S345" s="6">
        <v>0</v>
      </c>
      <c r="T345" s="6">
        <v>8</v>
      </c>
      <c r="U345" s="6">
        <v>0</v>
      </c>
      <c r="V345" s="6">
        <f>IF(ISERROR(VLOOKUP($S$345,'TAR FIN'!$A$1:$O$113,15,0)),0,VLOOKUP($S$345,'TAR FIN'!$A$1:$O$113,15,0))</f>
        <v>0</v>
      </c>
      <c r="W345" s="6">
        <f>IF(ISERROR(VLOOKUP($T$345,'TAR FIN'!$A$1:$O$113,15,0)),0,VLOOKUP($T$345,'TAR FIN'!$A$1:$O$113,15,0))</f>
        <v>940.43</v>
      </c>
      <c r="X345" s="6">
        <f>IF(ISERROR(VLOOKUP($U$345,'TAR FIN'!$A$1:$O$113,15,0)),0,VLOOKUP($U$345,'TAR FIN'!$A$1:$O$113,15,0))</f>
        <v>0</v>
      </c>
      <c r="Y345" s="6"/>
      <c r="Z345" s="6">
        <f ca="1">('TUSD BE'!$AM$20+'TUSD BF'!$AM$20+'TUSD CVA'!$AM$20)*1</f>
        <v>1117.8285588949407</v>
      </c>
      <c r="AA345" s="6"/>
      <c r="AB345" s="6">
        <f>$K$345*$V$345</f>
        <v>0</v>
      </c>
      <c r="AC345" s="6">
        <f>$M$345*$W$345</f>
        <v>89133.082090821365</v>
      </c>
      <c r="AD345" s="6">
        <f>$O$345*$X$345</f>
        <v>0</v>
      </c>
      <c r="AE345" s="6">
        <f>$K$345*$Y$345</f>
        <v>0</v>
      </c>
      <c r="AF345" s="6">
        <f ca="1">$M$345*$Z$345</f>
        <v>105946.75276570005</v>
      </c>
      <c r="AG345" s="6">
        <f>$O$345*$AA$345</f>
        <v>0</v>
      </c>
    </row>
    <row r="346" spans="1:33" ht="11.25" customHeight="1" x14ac:dyDescent="0.3">
      <c r="A346" s="4" t="s">
        <v>21</v>
      </c>
      <c r="B346" s="4" t="s">
        <v>39</v>
      </c>
      <c r="C346" s="4" t="s">
        <v>41</v>
      </c>
      <c r="D346" s="4" t="s">
        <v>38</v>
      </c>
      <c r="E346" s="4" t="s">
        <v>25</v>
      </c>
      <c r="F346" s="4" t="s">
        <v>56</v>
      </c>
      <c r="G346" s="4" t="s">
        <v>25</v>
      </c>
      <c r="H346" s="4" t="s">
        <v>34</v>
      </c>
      <c r="I346" s="5">
        <v>44621</v>
      </c>
      <c r="J346" s="6">
        <v>0</v>
      </c>
      <c r="K346" s="6">
        <v>0</v>
      </c>
      <c r="L346" s="6">
        <v>182.48099999999999</v>
      </c>
      <c r="M346" s="6">
        <v>98.261492971199999</v>
      </c>
      <c r="N346" s="6">
        <v>0</v>
      </c>
      <c r="O346" s="6">
        <v>0</v>
      </c>
      <c r="P346" s="6">
        <v>0</v>
      </c>
      <c r="Q346" s="4" t="s">
        <v>55</v>
      </c>
      <c r="R346" s="4">
        <v>0</v>
      </c>
      <c r="S346" s="6">
        <v>0</v>
      </c>
      <c r="T346" s="6">
        <v>8</v>
      </c>
      <c r="U346" s="6">
        <v>0</v>
      </c>
      <c r="V346" s="6">
        <f>IF(ISERROR(VLOOKUP($S$346,'TAR FIN'!$A$1:$O$113,15,0)),0,VLOOKUP($S$346,'TAR FIN'!$A$1:$O$113,15,0))</f>
        <v>0</v>
      </c>
      <c r="W346" s="6">
        <f>IF(ISERROR(VLOOKUP($T$346,'TAR FIN'!$A$1:$O$113,15,0)),0,VLOOKUP($T$346,'TAR FIN'!$A$1:$O$113,15,0))</f>
        <v>940.43</v>
      </c>
      <c r="X346" s="6">
        <f>IF(ISERROR(VLOOKUP($U$346,'TAR FIN'!$A$1:$O$113,15,0)),0,VLOOKUP($U$346,'TAR FIN'!$A$1:$O$113,15,0))</f>
        <v>0</v>
      </c>
      <c r="Y346" s="6"/>
      <c r="Z346" s="6">
        <f ca="1">('TUSD BE'!$AM$20+'TUSD BF'!$AM$20+'TUSD CVA'!$AM$20)*1</f>
        <v>1117.8285588949407</v>
      </c>
      <c r="AA346" s="6"/>
      <c r="AB346" s="6">
        <f>$K$346*$V$346</f>
        <v>0</v>
      </c>
      <c r="AC346" s="6">
        <f>$M$346*$W$346</f>
        <v>92408.055834905608</v>
      </c>
      <c r="AD346" s="6">
        <f>$O$346*$X$346</f>
        <v>0</v>
      </c>
      <c r="AE346" s="6">
        <f>$K$346*$Y$346</f>
        <v>0</v>
      </c>
      <c r="AF346" s="6">
        <f ca="1">$M$346*$Z$346</f>
        <v>109839.50308286183</v>
      </c>
      <c r="AG346" s="6">
        <f>$O$346*$AA$346</f>
        <v>0</v>
      </c>
    </row>
    <row r="347" spans="1:33" ht="11.25" customHeight="1" x14ac:dyDescent="0.3">
      <c r="A347" s="4" t="s">
        <v>21</v>
      </c>
      <c r="B347" s="4" t="s">
        <v>39</v>
      </c>
      <c r="C347" s="4" t="s">
        <v>41</v>
      </c>
      <c r="D347" s="4" t="s">
        <v>38</v>
      </c>
      <c r="E347" s="4" t="s">
        <v>25</v>
      </c>
      <c r="F347" s="4" t="s">
        <v>56</v>
      </c>
      <c r="G347" s="4" t="s">
        <v>25</v>
      </c>
      <c r="H347" s="4" t="s">
        <v>34</v>
      </c>
      <c r="I347" s="5">
        <v>44652</v>
      </c>
      <c r="J347" s="6">
        <v>0</v>
      </c>
      <c r="K347" s="6">
        <v>0</v>
      </c>
      <c r="L347" s="6">
        <v>216.84899999999999</v>
      </c>
      <c r="M347" s="6">
        <v>113.59783189716001</v>
      </c>
      <c r="N347" s="6">
        <v>0</v>
      </c>
      <c r="O347" s="6">
        <v>0</v>
      </c>
      <c r="P347" s="6">
        <v>0</v>
      </c>
      <c r="Q347" s="4" t="s">
        <v>55</v>
      </c>
      <c r="R347" s="4">
        <v>0</v>
      </c>
      <c r="S347" s="6">
        <v>0</v>
      </c>
      <c r="T347" s="6">
        <v>8</v>
      </c>
      <c r="U347" s="6">
        <v>0</v>
      </c>
      <c r="V347" s="6">
        <f>IF(ISERROR(VLOOKUP($S$347,'TAR FIN'!$A$1:$O$113,15,0)),0,VLOOKUP($S$347,'TAR FIN'!$A$1:$O$113,15,0))</f>
        <v>0</v>
      </c>
      <c r="W347" s="6">
        <f>IF(ISERROR(VLOOKUP($T$347,'TAR FIN'!$A$1:$O$113,15,0)),0,VLOOKUP($T$347,'TAR FIN'!$A$1:$O$113,15,0))</f>
        <v>940.43</v>
      </c>
      <c r="X347" s="6">
        <f>IF(ISERROR(VLOOKUP($U$347,'TAR FIN'!$A$1:$O$113,15,0)),0,VLOOKUP($U$347,'TAR FIN'!$A$1:$O$113,15,0))</f>
        <v>0</v>
      </c>
      <c r="Y347" s="6"/>
      <c r="Z347" s="6">
        <f ca="1">('TUSD BE'!$AM$20+'TUSD BF'!$AM$20+'TUSD CVA'!$AM$20)*1</f>
        <v>1117.8285588949407</v>
      </c>
      <c r="AA347" s="6"/>
      <c r="AB347" s="6">
        <f>$K$347*$V$347</f>
        <v>0</v>
      </c>
      <c r="AC347" s="6">
        <f>$M$347*$W$347</f>
        <v>106830.80905104618</v>
      </c>
      <c r="AD347" s="6">
        <f>$O$347*$X$347</f>
        <v>0</v>
      </c>
      <c r="AE347" s="6">
        <f>$K$347*$Y$347</f>
        <v>0</v>
      </c>
      <c r="AF347" s="6">
        <f ca="1">$M$347*$Z$347</f>
        <v>126982.9007231921</v>
      </c>
      <c r="AG347" s="6">
        <f>$O$347*$AA$347</f>
        <v>0</v>
      </c>
    </row>
    <row r="348" spans="1:33" ht="11.25" customHeight="1" x14ac:dyDescent="0.3">
      <c r="A348" s="4" t="s">
        <v>21</v>
      </c>
      <c r="B348" s="4" t="s">
        <v>39</v>
      </c>
      <c r="C348" s="4" t="s">
        <v>41</v>
      </c>
      <c r="D348" s="4" t="s">
        <v>38</v>
      </c>
      <c r="E348" s="4" t="s">
        <v>25</v>
      </c>
      <c r="F348" s="4" t="s">
        <v>56</v>
      </c>
      <c r="G348" s="4" t="s">
        <v>25</v>
      </c>
      <c r="H348" s="4" t="s">
        <v>34</v>
      </c>
      <c r="I348" s="5">
        <v>44682</v>
      </c>
      <c r="J348" s="6">
        <v>0</v>
      </c>
      <c r="K348" s="6">
        <v>0</v>
      </c>
      <c r="L348" s="6">
        <v>175.78700000000001</v>
      </c>
      <c r="M348" s="6">
        <v>98.715021550540001</v>
      </c>
      <c r="N348" s="6">
        <v>0</v>
      </c>
      <c r="O348" s="6">
        <v>0</v>
      </c>
      <c r="P348" s="6">
        <v>0</v>
      </c>
      <c r="Q348" s="4" t="s">
        <v>55</v>
      </c>
      <c r="R348" s="4">
        <v>0</v>
      </c>
      <c r="S348" s="6">
        <v>0</v>
      </c>
      <c r="T348" s="6">
        <v>8</v>
      </c>
      <c r="U348" s="6">
        <v>0</v>
      </c>
      <c r="V348" s="6">
        <f>IF(ISERROR(VLOOKUP($S$348,'TAR FIN'!$A$1:$O$113,15,0)),0,VLOOKUP($S$348,'TAR FIN'!$A$1:$O$113,15,0))</f>
        <v>0</v>
      </c>
      <c r="W348" s="6">
        <f>IF(ISERROR(VLOOKUP($T$348,'TAR FIN'!$A$1:$O$113,15,0)),0,VLOOKUP($T$348,'TAR FIN'!$A$1:$O$113,15,0))</f>
        <v>940.43</v>
      </c>
      <c r="X348" s="6">
        <f>IF(ISERROR(VLOOKUP($U$348,'TAR FIN'!$A$1:$O$113,15,0)),0,VLOOKUP($U$348,'TAR FIN'!$A$1:$O$113,15,0))</f>
        <v>0</v>
      </c>
      <c r="Y348" s="6"/>
      <c r="Z348" s="6">
        <f ca="1">('TUSD BE'!$AM$20+'TUSD BF'!$AM$20+'TUSD CVA'!$AM$20)*1</f>
        <v>1117.8285588949407</v>
      </c>
      <c r="AA348" s="6"/>
      <c r="AB348" s="6">
        <f>$K$348*$V$348</f>
        <v>0</v>
      </c>
      <c r="AC348" s="6">
        <f>$M$348*$W$348</f>
        <v>92834.567716774327</v>
      </c>
      <c r="AD348" s="6">
        <f>$O$348*$X$348</f>
        <v>0</v>
      </c>
      <c r="AE348" s="6">
        <f>$K$348*$Y$348</f>
        <v>0</v>
      </c>
      <c r="AF348" s="6">
        <f ca="1">$M$348*$Z$348</f>
        <v>110346.47028112314</v>
      </c>
      <c r="AG348" s="6">
        <f>$O$348*$AA$348</f>
        <v>0</v>
      </c>
    </row>
    <row r="349" spans="1:33" ht="11.25" customHeight="1" x14ac:dyDescent="0.3">
      <c r="A349" s="4" t="s">
        <v>21</v>
      </c>
      <c r="B349" s="4" t="s">
        <v>39</v>
      </c>
      <c r="C349" s="4" t="s">
        <v>41</v>
      </c>
      <c r="D349" s="4" t="s">
        <v>38</v>
      </c>
      <c r="E349" s="4" t="s">
        <v>25</v>
      </c>
      <c r="F349" s="4" t="s">
        <v>56</v>
      </c>
      <c r="G349" s="4" t="s">
        <v>25</v>
      </c>
      <c r="H349" s="4" t="s">
        <v>34</v>
      </c>
      <c r="I349" s="5">
        <v>44713</v>
      </c>
      <c r="J349" s="6">
        <v>0</v>
      </c>
      <c r="K349" s="6">
        <v>0</v>
      </c>
      <c r="L349" s="6">
        <v>188.727</v>
      </c>
      <c r="M349" s="6">
        <v>100.25089915764001</v>
      </c>
      <c r="N349" s="6">
        <v>0</v>
      </c>
      <c r="O349" s="6">
        <v>0</v>
      </c>
      <c r="P349" s="6">
        <v>0</v>
      </c>
      <c r="Q349" s="4" t="s">
        <v>55</v>
      </c>
      <c r="R349" s="4">
        <v>0</v>
      </c>
      <c r="S349" s="6">
        <v>0</v>
      </c>
      <c r="T349" s="6">
        <v>8</v>
      </c>
      <c r="U349" s="6">
        <v>0</v>
      </c>
      <c r="V349" s="6">
        <f>IF(ISERROR(VLOOKUP($S$349,'TAR FIN'!$A$1:$O$113,15,0)),0,VLOOKUP($S$349,'TAR FIN'!$A$1:$O$113,15,0))</f>
        <v>0</v>
      </c>
      <c r="W349" s="6">
        <f>IF(ISERROR(VLOOKUP($T$349,'TAR FIN'!$A$1:$O$113,15,0)),0,VLOOKUP($T$349,'TAR FIN'!$A$1:$O$113,15,0))</f>
        <v>940.43</v>
      </c>
      <c r="X349" s="6">
        <f>IF(ISERROR(VLOOKUP($U$349,'TAR FIN'!$A$1:$O$113,15,0)),0,VLOOKUP($U$349,'TAR FIN'!$A$1:$O$113,15,0))</f>
        <v>0</v>
      </c>
      <c r="Y349" s="6"/>
      <c r="Z349" s="6">
        <f ca="1">('TUSD BE'!$AM$20+'TUSD BF'!$AM$20+'TUSD CVA'!$AM$20)*1</f>
        <v>1117.8285588949407</v>
      </c>
      <c r="AA349" s="6"/>
      <c r="AB349" s="6">
        <f>$K$349*$V$349</f>
        <v>0</v>
      </c>
      <c r="AC349" s="6">
        <f>$M$349*$W$349</f>
        <v>94278.953094819386</v>
      </c>
      <c r="AD349" s="6">
        <f>$O$349*$X$349</f>
        <v>0</v>
      </c>
      <c r="AE349" s="6">
        <f>$K$349*$Y$349</f>
        <v>0</v>
      </c>
      <c r="AF349" s="6">
        <f ca="1">$M$349*$Z$349</f>
        <v>112063.31813330675</v>
      </c>
      <c r="AG349" s="6">
        <f>$O$349*$AA$349</f>
        <v>0</v>
      </c>
    </row>
    <row r="350" spans="1:33" ht="11.25" customHeight="1" x14ac:dyDescent="0.3">
      <c r="A350" s="4" t="s">
        <v>21</v>
      </c>
      <c r="B350" s="4" t="s">
        <v>39</v>
      </c>
      <c r="C350" s="4" t="s">
        <v>41</v>
      </c>
      <c r="D350" s="4" t="s">
        <v>38</v>
      </c>
      <c r="E350" s="4" t="s">
        <v>25</v>
      </c>
      <c r="F350" s="4" t="s">
        <v>56</v>
      </c>
      <c r="G350" s="4" t="s">
        <v>25</v>
      </c>
      <c r="H350" s="4" t="s">
        <v>34</v>
      </c>
      <c r="I350" s="5">
        <v>44743</v>
      </c>
      <c r="J350" s="6">
        <v>0</v>
      </c>
      <c r="K350" s="6">
        <v>0</v>
      </c>
      <c r="L350" s="6">
        <v>179.56100000000001</v>
      </c>
      <c r="M350" s="6">
        <v>92.625512965469994</v>
      </c>
      <c r="N350" s="6">
        <v>0</v>
      </c>
      <c r="O350" s="6">
        <v>0</v>
      </c>
      <c r="P350" s="6">
        <v>0</v>
      </c>
      <c r="Q350" s="4" t="s">
        <v>55</v>
      </c>
      <c r="R350" s="4">
        <v>0</v>
      </c>
      <c r="S350" s="6">
        <v>0</v>
      </c>
      <c r="T350" s="6">
        <v>8</v>
      </c>
      <c r="U350" s="6">
        <v>0</v>
      </c>
      <c r="V350" s="6">
        <f>IF(ISERROR(VLOOKUP($S$350,'TAR FIN'!$A$1:$O$113,15,0)),0,VLOOKUP($S$350,'TAR FIN'!$A$1:$O$113,15,0))</f>
        <v>0</v>
      </c>
      <c r="W350" s="6">
        <f>IF(ISERROR(VLOOKUP($T$350,'TAR FIN'!$A$1:$O$113,15,0)),0,VLOOKUP($T$350,'TAR FIN'!$A$1:$O$113,15,0))</f>
        <v>940.43</v>
      </c>
      <c r="X350" s="6">
        <f>IF(ISERROR(VLOOKUP($U$350,'TAR FIN'!$A$1:$O$113,15,0)),0,VLOOKUP($U$350,'TAR FIN'!$A$1:$O$113,15,0))</f>
        <v>0</v>
      </c>
      <c r="Y350" s="6"/>
      <c r="Z350" s="6">
        <f ca="1">('TUSD BE'!$AM$20+'TUSD BF'!$AM$20+'TUSD CVA'!$AM$20)*1</f>
        <v>1117.8285588949407</v>
      </c>
      <c r="AA350" s="6"/>
      <c r="AB350" s="6">
        <f>$K$350*$V$350</f>
        <v>0</v>
      </c>
      <c r="AC350" s="6">
        <f>$M$350*$W$350</f>
        <v>87107.811158116936</v>
      </c>
      <c r="AD350" s="6">
        <f>$O$350*$X$350</f>
        <v>0</v>
      </c>
      <c r="AE350" s="6">
        <f>$K$350*$Y$350</f>
        <v>0</v>
      </c>
      <c r="AF350" s="6">
        <f ca="1">$M$350*$Z$350</f>
        <v>103539.44367509597</v>
      </c>
      <c r="AG350" s="6">
        <f>$O$350*$AA$350</f>
        <v>0</v>
      </c>
    </row>
    <row r="351" spans="1:33" ht="11.25" customHeight="1" x14ac:dyDescent="0.3">
      <c r="A351" s="4" t="s">
        <v>21</v>
      </c>
      <c r="B351" s="4" t="s">
        <v>39</v>
      </c>
      <c r="C351" s="4" t="s">
        <v>41</v>
      </c>
      <c r="D351" s="4" t="s">
        <v>38</v>
      </c>
      <c r="E351" s="4" t="s">
        <v>25</v>
      </c>
      <c r="F351" s="4" t="s">
        <v>56</v>
      </c>
      <c r="G351" s="4" t="s">
        <v>25</v>
      </c>
      <c r="H351" s="4" t="s">
        <v>34</v>
      </c>
      <c r="I351" s="5">
        <v>44774</v>
      </c>
      <c r="J351" s="6">
        <v>0</v>
      </c>
      <c r="K351" s="6">
        <v>0</v>
      </c>
      <c r="L351" s="6">
        <v>167.62700000000001</v>
      </c>
      <c r="M351" s="6">
        <v>88.032715173019994</v>
      </c>
      <c r="N351" s="6">
        <v>0</v>
      </c>
      <c r="O351" s="6">
        <v>0</v>
      </c>
      <c r="P351" s="6">
        <v>0</v>
      </c>
      <c r="Q351" s="4" t="s">
        <v>55</v>
      </c>
      <c r="R351" s="4">
        <v>0</v>
      </c>
      <c r="S351" s="6">
        <v>0</v>
      </c>
      <c r="T351" s="6">
        <v>8</v>
      </c>
      <c r="U351" s="6">
        <v>0</v>
      </c>
      <c r="V351" s="6">
        <f>IF(ISERROR(VLOOKUP($S$351,'TAR FIN'!$A$1:$O$113,15,0)),0,VLOOKUP($S$351,'TAR FIN'!$A$1:$O$113,15,0))</f>
        <v>0</v>
      </c>
      <c r="W351" s="6">
        <f>IF(ISERROR(VLOOKUP($T$351,'TAR FIN'!$A$1:$O$113,15,0)),0,VLOOKUP($T$351,'TAR FIN'!$A$1:$O$113,15,0))</f>
        <v>940.43</v>
      </c>
      <c r="X351" s="6">
        <f>IF(ISERROR(VLOOKUP($U$351,'TAR FIN'!$A$1:$O$113,15,0)),0,VLOOKUP($U$351,'TAR FIN'!$A$1:$O$113,15,0))</f>
        <v>0</v>
      </c>
      <c r="Y351" s="6"/>
      <c r="Z351" s="6">
        <f ca="1">('TUSD BE'!$AM$20+'TUSD BF'!$AM$20+'TUSD CVA'!$AM$20)*1</f>
        <v>1117.8285588949407</v>
      </c>
      <c r="AA351" s="6"/>
      <c r="AB351" s="6">
        <f>$K$351*$V$351</f>
        <v>0</v>
      </c>
      <c r="AC351" s="6">
        <f>$M$351*$W$351</f>
        <v>82788.606330163195</v>
      </c>
      <c r="AD351" s="6">
        <f>$O$351*$X$351</f>
        <v>0</v>
      </c>
      <c r="AE351" s="6">
        <f>$K$351*$Y$351</f>
        <v>0</v>
      </c>
      <c r="AF351" s="6">
        <f ca="1">$M$351*$Z$351</f>
        <v>98405.483137465722</v>
      </c>
      <c r="AG351" s="6">
        <f>$O$351*$AA$351</f>
        <v>0</v>
      </c>
    </row>
    <row r="352" spans="1:33" ht="11.25" customHeight="1" x14ac:dyDescent="0.3">
      <c r="A352" s="4" t="s">
        <v>21</v>
      </c>
      <c r="B352" s="4" t="s">
        <v>39</v>
      </c>
      <c r="C352" s="4" t="s">
        <v>41</v>
      </c>
      <c r="D352" s="4" t="s">
        <v>38</v>
      </c>
      <c r="E352" s="4" t="s">
        <v>25</v>
      </c>
      <c r="F352" s="4" t="s">
        <v>56</v>
      </c>
      <c r="G352" s="4" t="s">
        <v>25</v>
      </c>
      <c r="H352" s="4" t="s">
        <v>34</v>
      </c>
      <c r="I352" s="5">
        <v>44805</v>
      </c>
      <c r="J352" s="6">
        <v>0</v>
      </c>
      <c r="K352" s="6">
        <v>0</v>
      </c>
      <c r="L352" s="6">
        <v>201.63499999999999</v>
      </c>
      <c r="M352" s="6">
        <v>106.0584009527</v>
      </c>
      <c r="N352" s="6">
        <v>0</v>
      </c>
      <c r="O352" s="6">
        <v>0</v>
      </c>
      <c r="P352" s="6">
        <v>0</v>
      </c>
      <c r="Q352" s="4" t="s">
        <v>55</v>
      </c>
      <c r="R352" s="4">
        <v>0</v>
      </c>
      <c r="S352" s="6">
        <v>0</v>
      </c>
      <c r="T352" s="6">
        <v>8</v>
      </c>
      <c r="U352" s="6">
        <v>0</v>
      </c>
      <c r="V352" s="6">
        <f>IF(ISERROR(VLOOKUP($S$352,'TAR FIN'!$A$1:$O$113,15,0)),0,VLOOKUP($S$352,'TAR FIN'!$A$1:$O$113,15,0))</f>
        <v>0</v>
      </c>
      <c r="W352" s="6">
        <f>IF(ISERROR(VLOOKUP($T$352,'TAR FIN'!$A$1:$O$113,15,0)),0,VLOOKUP($T$352,'TAR FIN'!$A$1:$O$113,15,0))</f>
        <v>940.43</v>
      </c>
      <c r="X352" s="6">
        <f>IF(ISERROR(VLOOKUP($U$352,'TAR FIN'!$A$1:$O$113,15,0)),0,VLOOKUP($U$352,'TAR FIN'!$A$1:$O$113,15,0))</f>
        <v>0</v>
      </c>
      <c r="Y352" s="6"/>
      <c r="Z352" s="6">
        <f ca="1">('TUSD BE'!$AM$20+'TUSD BF'!$AM$20+'TUSD CVA'!$AM$20)*1</f>
        <v>1117.8285588949407</v>
      </c>
      <c r="AA352" s="6"/>
      <c r="AB352" s="6">
        <f>$K$352*$V$352</f>
        <v>0</v>
      </c>
      <c r="AC352" s="6">
        <f>$M$352*$W$352</f>
        <v>99740.502007947653</v>
      </c>
      <c r="AD352" s="6">
        <f>$O$352*$X$352</f>
        <v>0</v>
      </c>
      <c r="AE352" s="6">
        <f>$K$352*$Y$352</f>
        <v>0</v>
      </c>
      <c r="AF352" s="6">
        <f ca="1">$M$352*$Z$352</f>
        <v>118555.10949565844</v>
      </c>
      <c r="AG352" s="6">
        <f>$O$352*$AA$352</f>
        <v>0</v>
      </c>
    </row>
    <row r="353" spans="1:33" ht="11.25" customHeight="1" x14ac:dyDescent="0.3">
      <c r="A353" s="4" t="s">
        <v>53</v>
      </c>
      <c r="B353" s="4" t="s">
        <v>39</v>
      </c>
      <c r="C353" s="4" t="s">
        <v>41</v>
      </c>
      <c r="D353" s="4" t="s">
        <v>38</v>
      </c>
      <c r="E353" s="4" t="s">
        <v>25</v>
      </c>
      <c r="F353" s="4" t="s">
        <v>56</v>
      </c>
      <c r="G353" s="4" t="s">
        <v>25</v>
      </c>
      <c r="H353" s="4" t="s">
        <v>34</v>
      </c>
      <c r="I353" s="5">
        <v>44835</v>
      </c>
      <c r="J353" s="6">
        <v>0</v>
      </c>
      <c r="K353" s="6">
        <v>0</v>
      </c>
      <c r="L353" s="6">
        <v>201.63499999999999</v>
      </c>
      <c r="M353" s="6">
        <v>106.0584009527</v>
      </c>
      <c r="N353" s="6">
        <v>0</v>
      </c>
      <c r="O353" s="6">
        <v>0</v>
      </c>
      <c r="P353" s="6">
        <v>0</v>
      </c>
      <c r="Q353" s="4" t="s">
        <v>55</v>
      </c>
      <c r="R353" s="4">
        <v>0</v>
      </c>
      <c r="S353" s="6">
        <v>0</v>
      </c>
      <c r="T353" s="6">
        <v>8</v>
      </c>
      <c r="U353" s="6">
        <v>0</v>
      </c>
      <c r="V353" s="6">
        <f>IF(ISERROR(VLOOKUP($S$353,'TAR FIN'!$A$1:$O$113,15,0)),0,VLOOKUP($S$353,'TAR FIN'!$A$1:$O$113,15,0))</f>
        <v>0</v>
      </c>
      <c r="W353" s="6">
        <f>IF(ISERROR(VLOOKUP($T$353,'TAR FIN'!$A$1:$O$113,15,0)),0,VLOOKUP($T$353,'TAR FIN'!$A$1:$O$113,15,0))</f>
        <v>940.43</v>
      </c>
      <c r="X353" s="6">
        <f>IF(ISERROR(VLOOKUP($U$353,'TAR FIN'!$A$1:$O$113,15,0)),0,VLOOKUP($U$353,'TAR FIN'!$A$1:$O$113,15,0))</f>
        <v>0</v>
      </c>
      <c r="Y353" s="6"/>
      <c r="Z353" s="6">
        <f ca="1">('TUSD BE'!$AM$20+'TUSD BF'!$AM$20+'TUSD CVA'!$AM$20)*1</f>
        <v>1117.8285588949407</v>
      </c>
      <c r="AA353" s="6"/>
      <c r="AB353" s="6">
        <f>$K$353*$V$353</f>
        <v>0</v>
      </c>
      <c r="AC353" s="6">
        <f>$M$353*$W$353</f>
        <v>99740.502007947653</v>
      </c>
      <c r="AD353" s="6">
        <f>$O$353*$X$353</f>
        <v>0</v>
      </c>
      <c r="AE353" s="6">
        <f>$K$353*$Y$353</f>
        <v>0</v>
      </c>
      <c r="AF353" s="6">
        <f ca="1">$M$353*$Z$353</f>
        <v>118555.10949565844</v>
      </c>
      <c r="AG353" s="6">
        <f>$O$353*$AA$353</f>
        <v>0</v>
      </c>
    </row>
    <row r="354" spans="1:33" ht="11.25" customHeight="1" x14ac:dyDescent="0.3">
      <c r="A354" s="4" t="s">
        <v>21</v>
      </c>
      <c r="B354" s="4" t="s">
        <v>39</v>
      </c>
      <c r="C354" s="4" t="s">
        <v>41</v>
      </c>
      <c r="D354" s="4" t="s">
        <v>38</v>
      </c>
      <c r="E354" s="4" t="s">
        <v>25</v>
      </c>
      <c r="F354" s="4" t="s">
        <v>25</v>
      </c>
      <c r="G354" s="4" t="s">
        <v>25</v>
      </c>
      <c r="H354" s="4" t="s">
        <v>35</v>
      </c>
      <c r="I354" s="5">
        <v>44501</v>
      </c>
      <c r="J354" s="6">
        <v>0</v>
      </c>
      <c r="K354" s="6">
        <v>0</v>
      </c>
      <c r="L354" s="6">
        <v>1978.3230000000001</v>
      </c>
      <c r="M354" s="6">
        <v>1978.3230000000001</v>
      </c>
      <c r="N354" s="6">
        <v>1978.3230000000001</v>
      </c>
      <c r="O354" s="6">
        <v>1978.3230000000001</v>
      </c>
      <c r="P354" s="6">
        <v>0</v>
      </c>
      <c r="Q354" s="4" t="s">
        <v>26</v>
      </c>
      <c r="R354" s="4">
        <v>0</v>
      </c>
      <c r="S354" s="6">
        <v>0</v>
      </c>
      <c r="T354" s="6">
        <v>6</v>
      </c>
      <c r="U354" s="6">
        <v>61</v>
      </c>
      <c r="V354" s="6">
        <f>IF(ISERROR(VLOOKUP($S$354,'TAR FIN'!$A$1:$O$113,15,0)),0,VLOOKUP($S$354,'TAR FIN'!$A$1:$O$113,15,0))</f>
        <v>0</v>
      </c>
      <c r="W354" s="6">
        <f>IF(ISERROR(VLOOKUP($T$354,'TAR FIN'!$A$1:$O$113,15,0)),0,VLOOKUP($T$354,'TAR FIN'!$A$1:$O$113,15,0))</f>
        <v>72.150000000000006</v>
      </c>
      <c r="X354" s="6">
        <f>IF(ISERROR(VLOOKUP($U$354,'TAR FIN'!$A$1:$O$113,15,0)),0,VLOOKUP($U$354,'TAR FIN'!$A$1:$O$113,15,0))</f>
        <v>278.67</v>
      </c>
      <c r="Y354" s="6"/>
      <c r="Z354" s="6">
        <f ca="1">('TUSD BE'!$AM$21+'TUSD BF'!$AM$21+'TUSD CVA'!$AM$21)*1</f>
        <v>122.14055331663396</v>
      </c>
      <c r="AA354" s="6">
        <f>('TE BE'!$AB$10+'TE BF'!$AB$10+'TE CVA'!$AB$10)*1</f>
        <v>299.18055042718134</v>
      </c>
      <c r="AB354" s="6">
        <f>$K$354*$V$354</f>
        <v>0</v>
      </c>
      <c r="AC354" s="6">
        <f>$M$354*$W$354</f>
        <v>142736.00445000001</v>
      </c>
      <c r="AD354" s="6">
        <f>$O$354*$X$354</f>
        <v>551299.27041000011</v>
      </c>
      <c r="AE354" s="6">
        <f>$K$354*$Y$354</f>
        <v>0</v>
      </c>
      <c r="AF354" s="6">
        <f ca="1">$M$354*$Z$354</f>
        <v>241633.46585902324</v>
      </c>
      <c r="AG354" s="6">
        <f>$O$354*$AA$354</f>
        <v>591875.76406275271</v>
      </c>
    </row>
    <row r="355" spans="1:33" ht="11.25" customHeight="1" x14ac:dyDescent="0.3">
      <c r="A355" s="4" t="s">
        <v>21</v>
      </c>
      <c r="B355" s="4" t="s">
        <v>39</v>
      </c>
      <c r="C355" s="4" t="s">
        <v>41</v>
      </c>
      <c r="D355" s="4" t="s">
        <v>38</v>
      </c>
      <c r="E355" s="4" t="s">
        <v>25</v>
      </c>
      <c r="F355" s="4" t="s">
        <v>25</v>
      </c>
      <c r="G355" s="4" t="s">
        <v>25</v>
      </c>
      <c r="H355" s="4" t="s">
        <v>35</v>
      </c>
      <c r="I355" s="5">
        <v>44501</v>
      </c>
      <c r="J355" s="6">
        <v>0</v>
      </c>
      <c r="K355" s="6">
        <v>0</v>
      </c>
      <c r="L355" s="6">
        <v>685.279</v>
      </c>
      <c r="M355" s="6">
        <v>685.279</v>
      </c>
      <c r="N355" s="6">
        <v>0</v>
      </c>
      <c r="O355" s="6">
        <v>0</v>
      </c>
      <c r="P355" s="6">
        <v>0</v>
      </c>
      <c r="Q355" s="4" t="s">
        <v>55</v>
      </c>
      <c r="R355" s="4">
        <v>0</v>
      </c>
      <c r="S355" s="6">
        <v>0</v>
      </c>
      <c r="T355" s="6">
        <v>6</v>
      </c>
      <c r="U355" s="6">
        <v>0</v>
      </c>
      <c r="V355" s="6">
        <f>IF(ISERROR(VLOOKUP($S$355,'TAR FIN'!$A$1:$O$113,15,0)),0,VLOOKUP($S$355,'TAR FIN'!$A$1:$O$113,15,0))</f>
        <v>0</v>
      </c>
      <c r="W355" s="6">
        <f>IF(ISERROR(VLOOKUP($T$355,'TAR FIN'!$A$1:$O$113,15,0)),0,VLOOKUP($T$355,'TAR FIN'!$A$1:$O$113,15,0))</f>
        <v>72.150000000000006</v>
      </c>
      <c r="X355" s="6">
        <f>IF(ISERROR(VLOOKUP($U$355,'TAR FIN'!$A$1:$O$113,15,0)),0,VLOOKUP($U$355,'TAR FIN'!$A$1:$O$113,15,0))</f>
        <v>0</v>
      </c>
      <c r="Y355" s="6"/>
      <c r="Z355" s="6">
        <f ca="1">('TUSD BE'!$AM$21+'TUSD BF'!$AM$21+'TUSD CVA'!$AM$21)*1</f>
        <v>122.14055331663396</v>
      </c>
      <c r="AA355" s="6"/>
      <c r="AB355" s="6">
        <f>$K$355*$V$355</f>
        <v>0</v>
      </c>
      <c r="AC355" s="6">
        <f>$M$355*$W$355</f>
        <v>49442.879850000005</v>
      </c>
      <c r="AD355" s="6">
        <f>$O$355*$X$355</f>
        <v>0</v>
      </c>
      <c r="AE355" s="6">
        <f>$K$355*$Y$355</f>
        <v>0</v>
      </c>
      <c r="AF355" s="6">
        <f ca="1">$M$355*$Z$355</f>
        <v>83700.356236269596</v>
      </c>
      <c r="AG355" s="6">
        <f>$O$355*$AA$355</f>
        <v>0</v>
      </c>
    </row>
    <row r="356" spans="1:33" ht="11.25" customHeight="1" x14ac:dyDescent="0.3">
      <c r="A356" s="4" t="s">
        <v>21</v>
      </c>
      <c r="B356" s="4" t="s">
        <v>39</v>
      </c>
      <c r="C356" s="4" t="s">
        <v>41</v>
      </c>
      <c r="D356" s="4" t="s">
        <v>38</v>
      </c>
      <c r="E356" s="4" t="s">
        <v>25</v>
      </c>
      <c r="F356" s="4" t="s">
        <v>25</v>
      </c>
      <c r="G356" s="4" t="s">
        <v>25</v>
      </c>
      <c r="H356" s="4" t="s">
        <v>35</v>
      </c>
      <c r="I356" s="5">
        <v>44531</v>
      </c>
      <c r="J356" s="6">
        <v>0</v>
      </c>
      <c r="K356" s="6">
        <v>0</v>
      </c>
      <c r="L356" s="6">
        <v>1941.5260000000001</v>
      </c>
      <c r="M356" s="6">
        <v>1941.5260000000001</v>
      </c>
      <c r="N356" s="6">
        <v>1941.5260000000001</v>
      </c>
      <c r="O356" s="6">
        <v>1941.5260000000001</v>
      </c>
      <c r="P356" s="6">
        <v>0</v>
      </c>
      <c r="Q356" s="4" t="s">
        <v>26</v>
      </c>
      <c r="R356" s="4">
        <v>0</v>
      </c>
      <c r="S356" s="6">
        <v>0</v>
      </c>
      <c r="T356" s="6">
        <v>6</v>
      </c>
      <c r="U356" s="6">
        <v>61</v>
      </c>
      <c r="V356" s="6">
        <f>IF(ISERROR(VLOOKUP($S$356,'TAR FIN'!$A$1:$O$113,15,0)),0,VLOOKUP($S$356,'TAR FIN'!$A$1:$O$113,15,0))</f>
        <v>0</v>
      </c>
      <c r="W356" s="6">
        <f>IF(ISERROR(VLOOKUP($T$356,'TAR FIN'!$A$1:$O$113,15,0)),0,VLOOKUP($T$356,'TAR FIN'!$A$1:$O$113,15,0))</f>
        <v>72.150000000000006</v>
      </c>
      <c r="X356" s="6">
        <f>IF(ISERROR(VLOOKUP($U$356,'TAR FIN'!$A$1:$O$113,15,0)),0,VLOOKUP($U$356,'TAR FIN'!$A$1:$O$113,15,0))</f>
        <v>278.67</v>
      </c>
      <c r="Y356" s="6"/>
      <c r="Z356" s="6">
        <f ca="1">('TUSD BE'!$AM$21+'TUSD BF'!$AM$21+'TUSD CVA'!$AM$21)*1</f>
        <v>122.14055331663396</v>
      </c>
      <c r="AA356" s="6">
        <f>('TE BE'!$AB$10+'TE BF'!$AB$10+'TE CVA'!$AB$10)*1</f>
        <v>299.18055042718134</v>
      </c>
      <c r="AB356" s="6">
        <f>$K$356*$V$356</f>
        <v>0</v>
      </c>
      <c r="AC356" s="6">
        <f>$M$356*$W$356</f>
        <v>140081.10090000002</v>
      </c>
      <c r="AD356" s="6">
        <f>$O$356*$X$356</f>
        <v>541045.0504200001</v>
      </c>
      <c r="AE356" s="6">
        <f>$K$356*$Y$356</f>
        <v>0</v>
      </c>
      <c r="AF356" s="6">
        <f ca="1">$M$356*$Z$356</f>
        <v>237139.05991863107</v>
      </c>
      <c r="AG356" s="6">
        <f>$O$356*$AA$356</f>
        <v>580866.81734868372</v>
      </c>
    </row>
    <row r="357" spans="1:33" ht="11.25" customHeight="1" x14ac:dyDescent="0.3">
      <c r="A357" s="4" t="s">
        <v>21</v>
      </c>
      <c r="B357" s="4" t="s">
        <v>39</v>
      </c>
      <c r="C357" s="4" t="s">
        <v>41</v>
      </c>
      <c r="D357" s="4" t="s">
        <v>38</v>
      </c>
      <c r="E357" s="4" t="s">
        <v>25</v>
      </c>
      <c r="F357" s="4" t="s">
        <v>25</v>
      </c>
      <c r="G357" s="4" t="s">
        <v>25</v>
      </c>
      <c r="H357" s="4" t="s">
        <v>35</v>
      </c>
      <c r="I357" s="5">
        <v>44531</v>
      </c>
      <c r="J357" s="6">
        <v>0</v>
      </c>
      <c r="K357" s="6">
        <v>0</v>
      </c>
      <c r="L357" s="6">
        <v>693.53800000000001</v>
      </c>
      <c r="M357" s="6">
        <v>693.53800000000001</v>
      </c>
      <c r="N357" s="6">
        <v>0</v>
      </c>
      <c r="O357" s="6">
        <v>0</v>
      </c>
      <c r="P357" s="6">
        <v>0</v>
      </c>
      <c r="Q357" s="4" t="s">
        <v>55</v>
      </c>
      <c r="R357" s="4">
        <v>0</v>
      </c>
      <c r="S357" s="6">
        <v>0</v>
      </c>
      <c r="T357" s="6">
        <v>6</v>
      </c>
      <c r="U357" s="6">
        <v>0</v>
      </c>
      <c r="V357" s="6">
        <f>IF(ISERROR(VLOOKUP($S$357,'TAR FIN'!$A$1:$O$113,15,0)),0,VLOOKUP($S$357,'TAR FIN'!$A$1:$O$113,15,0))</f>
        <v>0</v>
      </c>
      <c r="W357" s="6">
        <f>IF(ISERROR(VLOOKUP($T$357,'TAR FIN'!$A$1:$O$113,15,0)),0,VLOOKUP($T$357,'TAR FIN'!$A$1:$O$113,15,0))</f>
        <v>72.150000000000006</v>
      </c>
      <c r="X357" s="6">
        <f>IF(ISERROR(VLOOKUP($U$357,'TAR FIN'!$A$1:$O$113,15,0)),0,VLOOKUP($U$357,'TAR FIN'!$A$1:$O$113,15,0))</f>
        <v>0</v>
      </c>
      <c r="Y357" s="6"/>
      <c r="Z357" s="6">
        <f ca="1">('TUSD BE'!$AM$21+'TUSD BF'!$AM$21+'TUSD CVA'!$AM$21)*1</f>
        <v>122.14055331663396</v>
      </c>
      <c r="AA357" s="6"/>
      <c r="AB357" s="6">
        <f>$K$357*$V$357</f>
        <v>0</v>
      </c>
      <c r="AC357" s="6">
        <f>$M$357*$W$357</f>
        <v>50038.766700000007</v>
      </c>
      <c r="AD357" s="6">
        <f>$O$357*$X$357</f>
        <v>0</v>
      </c>
      <c r="AE357" s="6">
        <f>$K$357*$Y$357</f>
        <v>0</v>
      </c>
      <c r="AF357" s="6">
        <f ca="1">$M$357*$Z$357</f>
        <v>84709.115066111684</v>
      </c>
      <c r="AG357" s="6">
        <f>$O$357*$AA$357</f>
        <v>0</v>
      </c>
    </row>
    <row r="358" spans="1:33" ht="11.25" customHeight="1" x14ac:dyDescent="0.3">
      <c r="A358" s="4" t="s">
        <v>21</v>
      </c>
      <c r="B358" s="4" t="s">
        <v>39</v>
      </c>
      <c r="C358" s="4" t="s">
        <v>41</v>
      </c>
      <c r="D358" s="4" t="s">
        <v>38</v>
      </c>
      <c r="E358" s="4" t="s">
        <v>25</v>
      </c>
      <c r="F358" s="4" t="s">
        <v>25</v>
      </c>
      <c r="G358" s="4" t="s">
        <v>25</v>
      </c>
      <c r="H358" s="4" t="s">
        <v>35</v>
      </c>
      <c r="I358" s="5">
        <v>44562</v>
      </c>
      <c r="J358" s="6">
        <v>0</v>
      </c>
      <c r="K358" s="6">
        <v>0</v>
      </c>
      <c r="L358" s="6">
        <v>1775.636</v>
      </c>
      <c r="M358" s="6">
        <v>1775.636</v>
      </c>
      <c r="N358" s="6">
        <v>1775.636</v>
      </c>
      <c r="O358" s="6">
        <v>1775.636</v>
      </c>
      <c r="P358" s="6">
        <v>0</v>
      </c>
      <c r="Q358" s="4" t="s">
        <v>26</v>
      </c>
      <c r="R358" s="4">
        <v>0</v>
      </c>
      <c r="S358" s="6">
        <v>0</v>
      </c>
      <c r="T358" s="6">
        <v>6</v>
      </c>
      <c r="U358" s="6">
        <v>61</v>
      </c>
      <c r="V358" s="6">
        <f>IF(ISERROR(VLOOKUP($S$358,'TAR FIN'!$A$1:$O$113,15,0)),0,VLOOKUP($S$358,'TAR FIN'!$A$1:$O$113,15,0))</f>
        <v>0</v>
      </c>
      <c r="W358" s="6">
        <f>IF(ISERROR(VLOOKUP($T$358,'TAR FIN'!$A$1:$O$113,15,0)),0,VLOOKUP($T$358,'TAR FIN'!$A$1:$O$113,15,0))</f>
        <v>72.150000000000006</v>
      </c>
      <c r="X358" s="6">
        <f>IF(ISERROR(VLOOKUP($U$358,'TAR FIN'!$A$1:$O$113,15,0)),0,VLOOKUP($U$358,'TAR FIN'!$A$1:$O$113,15,0))</f>
        <v>278.67</v>
      </c>
      <c r="Y358" s="6"/>
      <c r="Z358" s="6">
        <f ca="1">('TUSD BE'!$AM$21+'TUSD BF'!$AM$21+'TUSD CVA'!$AM$21)*1</f>
        <v>122.14055331663396</v>
      </c>
      <c r="AA358" s="6">
        <f>('TE BE'!$AB$10+'TE BF'!$AB$10+'TE CVA'!$AB$10)*1</f>
        <v>299.18055042718134</v>
      </c>
      <c r="AB358" s="6">
        <f>$K$358*$V$358</f>
        <v>0</v>
      </c>
      <c r="AC358" s="6">
        <f>$M$358*$W$358</f>
        <v>128112.13740000001</v>
      </c>
      <c r="AD358" s="6">
        <f>$O$358*$X$358</f>
        <v>494816.48412000004</v>
      </c>
      <c r="AE358" s="6">
        <f>$K$358*$Y$358</f>
        <v>0</v>
      </c>
      <c r="AF358" s="6">
        <f ca="1">$M$358*$Z$358</f>
        <v>216877.16352893465</v>
      </c>
      <c r="AG358" s="6">
        <f>$O$358*$AA$358</f>
        <v>531235.75583831861</v>
      </c>
    </row>
    <row r="359" spans="1:33" ht="11.25" customHeight="1" x14ac:dyDescent="0.3">
      <c r="A359" s="4" t="s">
        <v>21</v>
      </c>
      <c r="B359" s="4" t="s">
        <v>39</v>
      </c>
      <c r="C359" s="4" t="s">
        <v>41</v>
      </c>
      <c r="D359" s="4" t="s">
        <v>38</v>
      </c>
      <c r="E359" s="4" t="s">
        <v>25</v>
      </c>
      <c r="F359" s="4" t="s">
        <v>25</v>
      </c>
      <c r="G359" s="4" t="s">
        <v>25</v>
      </c>
      <c r="H359" s="4" t="s">
        <v>35</v>
      </c>
      <c r="I359" s="5">
        <v>44562</v>
      </c>
      <c r="J359" s="6">
        <v>0</v>
      </c>
      <c r="K359" s="6">
        <v>0</v>
      </c>
      <c r="L359" s="6">
        <v>545.86</v>
      </c>
      <c r="M359" s="6">
        <v>545.86</v>
      </c>
      <c r="N359" s="6">
        <v>0</v>
      </c>
      <c r="O359" s="6">
        <v>0</v>
      </c>
      <c r="P359" s="6">
        <v>0</v>
      </c>
      <c r="Q359" s="4" t="s">
        <v>55</v>
      </c>
      <c r="R359" s="4">
        <v>0</v>
      </c>
      <c r="S359" s="6">
        <v>0</v>
      </c>
      <c r="T359" s="6">
        <v>6</v>
      </c>
      <c r="U359" s="6">
        <v>0</v>
      </c>
      <c r="V359" s="6">
        <f>IF(ISERROR(VLOOKUP($S$359,'TAR FIN'!$A$1:$O$113,15,0)),0,VLOOKUP($S$359,'TAR FIN'!$A$1:$O$113,15,0))</f>
        <v>0</v>
      </c>
      <c r="W359" s="6">
        <f>IF(ISERROR(VLOOKUP($T$359,'TAR FIN'!$A$1:$O$113,15,0)),0,VLOOKUP($T$359,'TAR FIN'!$A$1:$O$113,15,0))</f>
        <v>72.150000000000006</v>
      </c>
      <c r="X359" s="6">
        <f>IF(ISERROR(VLOOKUP($U$359,'TAR FIN'!$A$1:$O$113,15,0)),0,VLOOKUP($U$359,'TAR FIN'!$A$1:$O$113,15,0))</f>
        <v>0</v>
      </c>
      <c r="Y359" s="6"/>
      <c r="Z359" s="6">
        <f ca="1">('TUSD BE'!$AM$21+'TUSD BF'!$AM$21+'TUSD CVA'!$AM$21)*1</f>
        <v>122.14055331663396</v>
      </c>
      <c r="AA359" s="6"/>
      <c r="AB359" s="6">
        <f>$K$359*$V$359</f>
        <v>0</v>
      </c>
      <c r="AC359" s="6">
        <f>$M$359*$W$359</f>
        <v>39383.799000000006</v>
      </c>
      <c r="AD359" s="6">
        <f>$O$359*$X$359</f>
        <v>0</v>
      </c>
      <c r="AE359" s="6">
        <f>$K$359*$Y$359</f>
        <v>0</v>
      </c>
      <c r="AF359" s="6">
        <f ca="1">$M$359*$Z$359</f>
        <v>66671.642433417815</v>
      </c>
      <c r="AG359" s="6">
        <f>$O$359*$AA$359</f>
        <v>0</v>
      </c>
    </row>
    <row r="360" spans="1:33" ht="11.25" customHeight="1" x14ac:dyDescent="0.3">
      <c r="A360" s="4" t="s">
        <v>21</v>
      </c>
      <c r="B360" s="4" t="s">
        <v>39</v>
      </c>
      <c r="C360" s="4" t="s">
        <v>41</v>
      </c>
      <c r="D360" s="4" t="s">
        <v>38</v>
      </c>
      <c r="E360" s="4" t="s">
        <v>25</v>
      </c>
      <c r="F360" s="4" t="s">
        <v>25</v>
      </c>
      <c r="G360" s="4" t="s">
        <v>25</v>
      </c>
      <c r="H360" s="4" t="s">
        <v>35</v>
      </c>
      <c r="I360" s="5">
        <v>44593</v>
      </c>
      <c r="J360" s="6">
        <v>0</v>
      </c>
      <c r="K360" s="6">
        <v>0</v>
      </c>
      <c r="L360" s="6">
        <v>1727.298</v>
      </c>
      <c r="M360" s="6">
        <v>1727.298</v>
      </c>
      <c r="N360" s="6">
        <v>1727.298</v>
      </c>
      <c r="O360" s="6">
        <v>1727.298</v>
      </c>
      <c r="P360" s="6">
        <v>0</v>
      </c>
      <c r="Q360" s="4" t="s">
        <v>26</v>
      </c>
      <c r="R360" s="4">
        <v>0</v>
      </c>
      <c r="S360" s="6">
        <v>0</v>
      </c>
      <c r="T360" s="6">
        <v>6</v>
      </c>
      <c r="U360" s="6">
        <v>61</v>
      </c>
      <c r="V360" s="6">
        <f>IF(ISERROR(VLOOKUP($S$360,'TAR FIN'!$A$1:$O$113,15,0)),0,VLOOKUP($S$360,'TAR FIN'!$A$1:$O$113,15,0))</f>
        <v>0</v>
      </c>
      <c r="W360" s="6">
        <f>IF(ISERROR(VLOOKUP($T$360,'TAR FIN'!$A$1:$O$113,15,0)),0,VLOOKUP($T$360,'TAR FIN'!$A$1:$O$113,15,0))</f>
        <v>72.150000000000006</v>
      </c>
      <c r="X360" s="6">
        <f>IF(ISERROR(VLOOKUP($U$360,'TAR FIN'!$A$1:$O$113,15,0)),0,VLOOKUP($U$360,'TAR FIN'!$A$1:$O$113,15,0))</f>
        <v>278.67</v>
      </c>
      <c r="Y360" s="6"/>
      <c r="Z360" s="6">
        <f ca="1">('TUSD BE'!$AM$21+'TUSD BF'!$AM$21+'TUSD CVA'!$AM$21)*1</f>
        <v>122.14055331663396</v>
      </c>
      <c r="AA360" s="6">
        <f>('TE BE'!$AB$10+'TE BF'!$AB$10+'TE CVA'!$AB$10)*1</f>
        <v>299.18055042718134</v>
      </c>
      <c r="AB360" s="6">
        <f>$K$360*$V$360</f>
        <v>0</v>
      </c>
      <c r="AC360" s="6">
        <f>$M$360*$W$360</f>
        <v>124624.55070000001</v>
      </c>
      <c r="AD360" s="6">
        <f>$O$360*$X$360</f>
        <v>481346.13366000005</v>
      </c>
      <c r="AE360" s="6">
        <f>$K$360*$Y$360</f>
        <v>0</v>
      </c>
      <c r="AF360" s="6">
        <f ca="1">$M$360*$Z$360</f>
        <v>210973.1334627152</v>
      </c>
      <c r="AG360" s="6">
        <f>$O$360*$AA$360</f>
        <v>516773.96639176947</v>
      </c>
    </row>
    <row r="361" spans="1:33" ht="11.25" customHeight="1" x14ac:dyDescent="0.3">
      <c r="A361" s="4" t="s">
        <v>28</v>
      </c>
      <c r="B361" s="4" t="s">
        <v>39</v>
      </c>
      <c r="C361" s="4" t="s">
        <v>41</v>
      </c>
      <c r="D361" s="4" t="s">
        <v>38</v>
      </c>
      <c r="E361" s="4" t="s">
        <v>25</v>
      </c>
      <c r="F361" s="4" t="s">
        <v>25</v>
      </c>
      <c r="G361" s="4" t="s">
        <v>25</v>
      </c>
      <c r="H361" s="4" t="s">
        <v>35</v>
      </c>
      <c r="I361" s="5">
        <v>44593</v>
      </c>
      <c r="J361" s="6">
        <v>0</v>
      </c>
      <c r="K361" s="6">
        <v>0</v>
      </c>
      <c r="L361" s="6">
        <v>20.742999999999999</v>
      </c>
      <c r="M361" s="6">
        <v>20.742999999999999</v>
      </c>
      <c r="N361" s="6">
        <v>20.742999999999999</v>
      </c>
      <c r="O361" s="6">
        <v>20.742999999999999</v>
      </c>
      <c r="P361" s="6">
        <v>0</v>
      </c>
      <c r="Q361" s="4" t="s">
        <v>26</v>
      </c>
      <c r="R361" s="4">
        <v>0</v>
      </c>
      <c r="S361" s="6">
        <v>0</v>
      </c>
      <c r="T361" s="6">
        <v>6</v>
      </c>
      <c r="U361" s="6">
        <v>61</v>
      </c>
      <c r="V361" s="6">
        <f>IF(ISERROR(VLOOKUP($S$361,'TAR FIN'!$A$1:$O$113,15,0)),0,VLOOKUP($S$361,'TAR FIN'!$A$1:$O$113,15,0))</f>
        <v>0</v>
      </c>
      <c r="W361" s="6">
        <f>IF(ISERROR(VLOOKUP($T$361,'TAR FIN'!$A$1:$O$113,15,0)),0,VLOOKUP($T$361,'TAR FIN'!$A$1:$O$113,15,0))</f>
        <v>72.150000000000006</v>
      </c>
      <c r="X361" s="6">
        <f>IF(ISERROR(VLOOKUP($U$361,'TAR FIN'!$A$1:$O$113,15,0)),0,VLOOKUP($U$361,'TAR FIN'!$A$1:$O$113,15,0))</f>
        <v>278.67</v>
      </c>
      <c r="Y361" s="6"/>
      <c r="Z361" s="6">
        <f ca="1">('TUSD BE'!$AM$21+'TUSD BF'!$AM$21+'TUSD CVA'!$AM$21)*1</f>
        <v>122.14055331663396</v>
      </c>
      <c r="AA361" s="6">
        <f>('TE BE'!$AB$10+'TE BF'!$AB$10+'TE CVA'!$AB$10)*1</f>
        <v>299.18055042718134</v>
      </c>
      <c r="AB361" s="6">
        <f>$K$361*$V$361</f>
        <v>0</v>
      </c>
      <c r="AC361" s="6">
        <f>$M$361*$W$361</f>
        <v>1496.60745</v>
      </c>
      <c r="AD361" s="6">
        <f>$O$361*$X$361</f>
        <v>5780.4518099999996</v>
      </c>
      <c r="AE361" s="6">
        <f>$K$361*$Y$361</f>
        <v>0</v>
      </c>
      <c r="AF361" s="6">
        <f ca="1">$M$361*$Z$361</f>
        <v>2533.5614974469381</v>
      </c>
      <c r="AG361" s="6">
        <f>$O$361*$AA$361</f>
        <v>6205.9021575110219</v>
      </c>
    </row>
    <row r="362" spans="1:33" ht="11.25" customHeight="1" x14ac:dyDescent="0.3">
      <c r="A362" s="4" t="s">
        <v>21</v>
      </c>
      <c r="B362" s="4" t="s">
        <v>39</v>
      </c>
      <c r="C362" s="4" t="s">
        <v>41</v>
      </c>
      <c r="D362" s="4" t="s">
        <v>38</v>
      </c>
      <c r="E362" s="4" t="s">
        <v>25</v>
      </c>
      <c r="F362" s="4" t="s">
        <v>25</v>
      </c>
      <c r="G362" s="4" t="s">
        <v>25</v>
      </c>
      <c r="H362" s="4" t="s">
        <v>35</v>
      </c>
      <c r="I362" s="5">
        <v>44593</v>
      </c>
      <c r="J362" s="6">
        <v>0</v>
      </c>
      <c r="K362" s="6">
        <v>0</v>
      </c>
      <c r="L362" s="6">
        <v>651.76800000000003</v>
      </c>
      <c r="M362" s="6">
        <v>651.76800000000003</v>
      </c>
      <c r="N362" s="6">
        <v>0</v>
      </c>
      <c r="O362" s="6">
        <v>0</v>
      </c>
      <c r="P362" s="6">
        <v>0</v>
      </c>
      <c r="Q362" s="4" t="s">
        <v>55</v>
      </c>
      <c r="R362" s="4">
        <v>0</v>
      </c>
      <c r="S362" s="6">
        <v>0</v>
      </c>
      <c r="T362" s="6">
        <v>6</v>
      </c>
      <c r="U362" s="6">
        <v>0</v>
      </c>
      <c r="V362" s="6">
        <f>IF(ISERROR(VLOOKUP($S$362,'TAR FIN'!$A$1:$O$113,15,0)),0,VLOOKUP($S$362,'TAR FIN'!$A$1:$O$113,15,0))</f>
        <v>0</v>
      </c>
      <c r="W362" s="6">
        <f>IF(ISERROR(VLOOKUP($T$362,'TAR FIN'!$A$1:$O$113,15,0)),0,VLOOKUP($T$362,'TAR FIN'!$A$1:$O$113,15,0))</f>
        <v>72.150000000000006</v>
      </c>
      <c r="X362" s="6">
        <f>IF(ISERROR(VLOOKUP($U$362,'TAR FIN'!$A$1:$O$113,15,0)),0,VLOOKUP($U$362,'TAR FIN'!$A$1:$O$113,15,0))</f>
        <v>0</v>
      </c>
      <c r="Y362" s="6"/>
      <c r="Z362" s="6">
        <f ca="1">('TUSD BE'!$AM$21+'TUSD BF'!$AM$21+'TUSD CVA'!$AM$21)*1</f>
        <v>122.14055331663396</v>
      </c>
      <c r="AA362" s="6"/>
      <c r="AB362" s="6">
        <f>$K$362*$V$362</f>
        <v>0</v>
      </c>
      <c r="AC362" s="6">
        <f>$M$362*$W$362</f>
        <v>47025.061200000004</v>
      </c>
      <c r="AD362" s="6">
        <f>$O$362*$X$362</f>
        <v>0</v>
      </c>
      <c r="AE362" s="6">
        <f>$K$362*$Y$362</f>
        <v>0</v>
      </c>
      <c r="AF362" s="6">
        <f ca="1">$M$362*$Z$362</f>
        <v>79607.304154075886</v>
      </c>
      <c r="AG362" s="6">
        <f>$O$362*$AA$362</f>
        <v>0</v>
      </c>
    </row>
    <row r="363" spans="1:33" ht="11.25" customHeight="1" x14ac:dyDescent="0.3">
      <c r="A363" s="4" t="s">
        <v>21</v>
      </c>
      <c r="B363" s="4" t="s">
        <v>39</v>
      </c>
      <c r="C363" s="4" t="s">
        <v>41</v>
      </c>
      <c r="D363" s="4" t="s">
        <v>38</v>
      </c>
      <c r="E363" s="4" t="s">
        <v>25</v>
      </c>
      <c r="F363" s="4" t="s">
        <v>25</v>
      </c>
      <c r="G363" s="4" t="s">
        <v>25</v>
      </c>
      <c r="H363" s="4" t="s">
        <v>35</v>
      </c>
      <c r="I363" s="5">
        <v>44621</v>
      </c>
      <c r="J363" s="6">
        <v>0</v>
      </c>
      <c r="K363" s="6">
        <v>0</v>
      </c>
      <c r="L363" s="6">
        <v>1756.01</v>
      </c>
      <c r="M363" s="6">
        <v>1756.01</v>
      </c>
      <c r="N363" s="6">
        <v>1756.01</v>
      </c>
      <c r="O363" s="6">
        <v>1756.01</v>
      </c>
      <c r="P363" s="6">
        <v>0</v>
      </c>
      <c r="Q363" s="4" t="s">
        <v>26</v>
      </c>
      <c r="R363" s="4">
        <v>0</v>
      </c>
      <c r="S363" s="6">
        <v>0</v>
      </c>
      <c r="T363" s="6">
        <v>6</v>
      </c>
      <c r="U363" s="6">
        <v>61</v>
      </c>
      <c r="V363" s="6">
        <f>IF(ISERROR(VLOOKUP($S$363,'TAR FIN'!$A$1:$O$113,15,0)),0,VLOOKUP($S$363,'TAR FIN'!$A$1:$O$113,15,0))</f>
        <v>0</v>
      </c>
      <c r="W363" s="6">
        <f>IF(ISERROR(VLOOKUP($T$363,'TAR FIN'!$A$1:$O$113,15,0)),0,VLOOKUP($T$363,'TAR FIN'!$A$1:$O$113,15,0))</f>
        <v>72.150000000000006</v>
      </c>
      <c r="X363" s="6">
        <f>IF(ISERROR(VLOOKUP($U$363,'TAR FIN'!$A$1:$O$113,15,0)),0,VLOOKUP($U$363,'TAR FIN'!$A$1:$O$113,15,0))</f>
        <v>278.67</v>
      </c>
      <c r="Y363" s="6"/>
      <c r="Z363" s="6">
        <f ca="1">('TUSD BE'!$AM$21+'TUSD BF'!$AM$21+'TUSD CVA'!$AM$21)*1</f>
        <v>122.14055331663396</v>
      </c>
      <c r="AA363" s="6">
        <f>('TE BE'!$AB$10+'TE BF'!$AB$10+'TE CVA'!$AB$10)*1</f>
        <v>299.18055042718134</v>
      </c>
      <c r="AB363" s="6">
        <f>$K$363*$V$363</f>
        <v>0</v>
      </c>
      <c r="AC363" s="6">
        <f>$M$363*$W$363</f>
        <v>126696.12150000001</v>
      </c>
      <c r="AD363" s="6">
        <f>$O$363*$X$363</f>
        <v>489347.30670000002</v>
      </c>
      <c r="AE363" s="6">
        <f>$K$363*$Y$363</f>
        <v>0</v>
      </c>
      <c r="AF363" s="6">
        <f ca="1">$M$363*$Z$363</f>
        <v>214480.03302954239</v>
      </c>
      <c r="AG363" s="6">
        <f>$O$363*$AA$363</f>
        <v>525364.03835563466</v>
      </c>
    </row>
    <row r="364" spans="1:33" ht="11.25" customHeight="1" x14ac:dyDescent="0.3">
      <c r="A364" s="4" t="s">
        <v>28</v>
      </c>
      <c r="B364" s="4" t="s">
        <v>39</v>
      </c>
      <c r="C364" s="4" t="s">
        <v>41</v>
      </c>
      <c r="D364" s="4" t="s">
        <v>38</v>
      </c>
      <c r="E364" s="4" t="s">
        <v>25</v>
      </c>
      <c r="F364" s="4" t="s">
        <v>25</v>
      </c>
      <c r="G364" s="4" t="s">
        <v>25</v>
      </c>
      <c r="H364" s="4" t="s">
        <v>35</v>
      </c>
      <c r="I364" s="5">
        <v>44621</v>
      </c>
      <c r="J364" s="6">
        <v>0</v>
      </c>
      <c r="K364" s="6">
        <v>0</v>
      </c>
      <c r="L364" s="6">
        <v>10.256</v>
      </c>
      <c r="M364" s="6">
        <v>10.256</v>
      </c>
      <c r="N364" s="6">
        <v>10.256</v>
      </c>
      <c r="O364" s="6">
        <v>10.256</v>
      </c>
      <c r="P364" s="6">
        <v>0</v>
      </c>
      <c r="Q364" s="4" t="s">
        <v>26</v>
      </c>
      <c r="R364" s="4">
        <v>0</v>
      </c>
      <c r="S364" s="6">
        <v>0</v>
      </c>
      <c r="T364" s="6">
        <v>6</v>
      </c>
      <c r="U364" s="6">
        <v>61</v>
      </c>
      <c r="V364" s="6">
        <f>IF(ISERROR(VLOOKUP($S$364,'TAR FIN'!$A$1:$O$113,15,0)),0,VLOOKUP($S$364,'TAR FIN'!$A$1:$O$113,15,0))</f>
        <v>0</v>
      </c>
      <c r="W364" s="6">
        <f>IF(ISERROR(VLOOKUP($T$364,'TAR FIN'!$A$1:$O$113,15,0)),0,VLOOKUP($T$364,'TAR FIN'!$A$1:$O$113,15,0))</f>
        <v>72.150000000000006</v>
      </c>
      <c r="X364" s="6">
        <f>IF(ISERROR(VLOOKUP($U$364,'TAR FIN'!$A$1:$O$113,15,0)),0,VLOOKUP($U$364,'TAR FIN'!$A$1:$O$113,15,0))</f>
        <v>278.67</v>
      </c>
      <c r="Y364" s="6"/>
      <c r="Z364" s="6">
        <f ca="1">('TUSD BE'!$AM$21+'TUSD BF'!$AM$21+'TUSD CVA'!$AM$21)*1</f>
        <v>122.14055331663396</v>
      </c>
      <c r="AA364" s="6">
        <f>('TE BE'!$AB$10+'TE BF'!$AB$10+'TE CVA'!$AB$10)*1</f>
        <v>299.18055042718134</v>
      </c>
      <c r="AB364" s="6">
        <f>$K$364*$V$364</f>
        <v>0</v>
      </c>
      <c r="AC364" s="6">
        <f>$M$364*$W$364</f>
        <v>739.97040000000004</v>
      </c>
      <c r="AD364" s="6">
        <f>$O$364*$X$364</f>
        <v>2858.0395200000003</v>
      </c>
      <c r="AE364" s="6">
        <f>$K$364*$Y$364</f>
        <v>0</v>
      </c>
      <c r="AF364" s="6">
        <f ca="1">$M$364*$Z$364</f>
        <v>1252.6735148153978</v>
      </c>
      <c r="AG364" s="6">
        <f>$O$364*$AA$364</f>
        <v>3068.3957251811721</v>
      </c>
    </row>
    <row r="365" spans="1:33" ht="11.25" customHeight="1" x14ac:dyDescent="0.3">
      <c r="A365" s="4" t="s">
        <v>21</v>
      </c>
      <c r="B365" s="4" t="s">
        <v>39</v>
      </c>
      <c r="C365" s="4" t="s">
        <v>41</v>
      </c>
      <c r="D365" s="4" t="s">
        <v>38</v>
      </c>
      <c r="E365" s="4" t="s">
        <v>25</v>
      </c>
      <c r="F365" s="4" t="s">
        <v>25</v>
      </c>
      <c r="G365" s="4" t="s">
        <v>25</v>
      </c>
      <c r="H365" s="4" t="s">
        <v>35</v>
      </c>
      <c r="I365" s="5">
        <v>44621</v>
      </c>
      <c r="J365" s="6">
        <v>0</v>
      </c>
      <c r="K365" s="6">
        <v>0</v>
      </c>
      <c r="L365" s="6">
        <v>652.69399999999996</v>
      </c>
      <c r="M365" s="6">
        <v>652.69399999999996</v>
      </c>
      <c r="N365" s="6">
        <v>0</v>
      </c>
      <c r="O365" s="6">
        <v>0</v>
      </c>
      <c r="P365" s="6">
        <v>0</v>
      </c>
      <c r="Q365" s="4" t="s">
        <v>55</v>
      </c>
      <c r="R365" s="4">
        <v>0</v>
      </c>
      <c r="S365" s="6">
        <v>0</v>
      </c>
      <c r="T365" s="6">
        <v>6</v>
      </c>
      <c r="U365" s="6">
        <v>0</v>
      </c>
      <c r="V365" s="6">
        <f>IF(ISERROR(VLOOKUP($S$365,'TAR FIN'!$A$1:$O$113,15,0)),0,VLOOKUP($S$365,'TAR FIN'!$A$1:$O$113,15,0))</f>
        <v>0</v>
      </c>
      <c r="W365" s="6">
        <f>IF(ISERROR(VLOOKUP($T$365,'TAR FIN'!$A$1:$O$113,15,0)),0,VLOOKUP($T$365,'TAR FIN'!$A$1:$O$113,15,0))</f>
        <v>72.150000000000006</v>
      </c>
      <c r="X365" s="6">
        <f>IF(ISERROR(VLOOKUP($U$365,'TAR FIN'!$A$1:$O$113,15,0)),0,VLOOKUP($U$365,'TAR FIN'!$A$1:$O$113,15,0))</f>
        <v>0</v>
      </c>
      <c r="Y365" s="6"/>
      <c r="Z365" s="6">
        <f ca="1">('TUSD BE'!$AM$21+'TUSD BF'!$AM$21+'TUSD CVA'!$AM$21)*1</f>
        <v>122.14055331663396</v>
      </c>
      <c r="AA365" s="6"/>
      <c r="AB365" s="6">
        <f>$K$365*$V$365</f>
        <v>0</v>
      </c>
      <c r="AC365" s="6">
        <f>$M$365*$W$365</f>
        <v>47091.872100000001</v>
      </c>
      <c r="AD365" s="6">
        <f>$O$365*$X$365</f>
        <v>0</v>
      </c>
      <c r="AE365" s="6">
        <f>$K$365*$Y$365</f>
        <v>0</v>
      </c>
      <c r="AF365" s="6">
        <f ca="1">$M$365*$Z$365</f>
        <v>79720.406306447083</v>
      </c>
      <c r="AG365" s="6">
        <f>$O$365*$AA$365</f>
        <v>0</v>
      </c>
    </row>
    <row r="366" spans="1:33" ht="11.25" customHeight="1" x14ac:dyDescent="0.3">
      <c r="A366" s="4" t="s">
        <v>21</v>
      </c>
      <c r="B366" s="4" t="s">
        <v>39</v>
      </c>
      <c r="C366" s="4" t="s">
        <v>41</v>
      </c>
      <c r="D366" s="4" t="s">
        <v>38</v>
      </c>
      <c r="E366" s="4" t="s">
        <v>25</v>
      </c>
      <c r="F366" s="4" t="s">
        <v>25</v>
      </c>
      <c r="G366" s="4" t="s">
        <v>25</v>
      </c>
      <c r="H366" s="4" t="s">
        <v>35</v>
      </c>
      <c r="I366" s="5">
        <v>44652</v>
      </c>
      <c r="J366" s="6">
        <v>0</v>
      </c>
      <c r="K366" s="6">
        <v>0</v>
      </c>
      <c r="L366" s="6">
        <v>1979.059</v>
      </c>
      <c r="M366" s="6">
        <v>1979.059</v>
      </c>
      <c r="N366" s="6">
        <v>1979.059</v>
      </c>
      <c r="O366" s="6">
        <v>1979.059</v>
      </c>
      <c r="P366" s="6">
        <v>0</v>
      </c>
      <c r="Q366" s="4" t="s">
        <v>26</v>
      </c>
      <c r="R366" s="4">
        <v>0</v>
      </c>
      <c r="S366" s="6">
        <v>0</v>
      </c>
      <c r="T366" s="6">
        <v>6</v>
      </c>
      <c r="U366" s="6">
        <v>61</v>
      </c>
      <c r="V366" s="6">
        <f>IF(ISERROR(VLOOKUP($S$366,'TAR FIN'!$A$1:$O$113,15,0)),0,VLOOKUP($S$366,'TAR FIN'!$A$1:$O$113,15,0))</f>
        <v>0</v>
      </c>
      <c r="W366" s="6">
        <f>IF(ISERROR(VLOOKUP($T$366,'TAR FIN'!$A$1:$O$113,15,0)),0,VLOOKUP($T$366,'TAR FIN'!$A$1:$O$113,15,0))</f>
        <v>72.150000000000006</v>
      </c>
      <c r="X366" s="6">
        <f>IF(ISERROR(VLOOKUP($U$366,'TAR FIN'!$A$1:$O$113,15,0)),0,VLOOKUP($U$366,'TAR FIN'!$A$1:$O$113,15,0))</f>
        <v>278.67</v>
      </c>
      <c r="Y366" s="6"/>
      <c r="Z366" s="6">
        <f ca="1">('TUSD BE'!$AM$21+'TUSD BF'!$AM$21+'TUSD CVA'!$AM$21)*1</f>
        <v>122.14055331663396</v>
      </c>
      <c r="AA366" s="6">
        <f>('TE BE'!$AB$10+'TE BF'!$AB$10+'TE CVA'!$AB$10)*1</f>
        <v>299.18055042718134</v>
      </c>
      <c r="AB366" s="6">
        <f>$K$366*$V$366</f>
        <v>0</v>
      </c>
      <c r="AC366" s="6">
        <f>$M$366*$W$366</f>
        <v>142789.10685000001</v>
      </c>
      <c r="AD366" s="6">
        <f>$O$366*$X$366</f>
        <v>551504.37153</v>
      </c>
      <c r="AE366" s="6">
        <f>$K$366*$Y$366</f>
        <v>0</v>
      </c>
      <c r="AF366" s="6">
        <f ca="1">$M$366*$Z$366</f>
        <v>241723.36130626427</v>
      </c>
      <c r="AG366" s="6">
        <f>$O$366*$AA$366</f>
        <v>592095.96094786713</v>
      </c>
    </row>
    <row r="367" spans="1:33" ht="11.25" customHeight="1" x14ac:dyDescent="0.3">
      <c r="A367" s="4" t="s">
        <v>28</v>
      </c>
      <c r="B367" s="4" t="s">
        <v>39</v>
      </c>
      <c r="C367" s="4" t="s">
        <v>41</v>
      </c>
      <c r="D367" s="4" t="s">
        <v>38</v>
      </c>
      <c r="E367" s="4" t="s">
        <v>25</v>
      </c>
      <c r="F367" s="4" t="s">
        <v>25</v>
      </c>
      <c r="G367" s="4" t="s">
        <v>25</v>
      </c>
      <c r="H367" s="4" t="s">
        <v>35</v>
      </c>
      <c r="I367" s="5">
        <v>44652</v>
      </c>
      <c r="J367" s="6">
        <v>0</v>
      </c>
      <c r="K367" s="6">
        <v>0</v>
      </c>
      <c r="L367" s="6">
        <v>9.3640000000000008</v>
      </c>
      <c r="M367" s="6">
        <v>9.3640000000000008</v>
      </c>
      <c r="N367" s="6">
        <v>9.3640000000000008</v>
      </c>
      <c r="O367" s="6">
        <v>9.3640000000000008</v>
      </c>
      <c r="P367" s="6">
        <v>0</v>
      </c>
      <c r="Q367" s="4" t="s">
        <v>26</v>
      </c>
      <c r="R367" s="4">
        <v>0</v>
      </c>
      <c r="S367" s="6">
        <v>0</v>
      </c>
      <c r="T367" s="6">
        <v>6</v>
      </c>
      <c r="U367" s="6">
        <v>61</v>
      </c>
      <c r="V367" s="6">
        <f>IF(ISERROR(VLOOKUP($S$367,'TAR FIN'!$A$1:$O$113,15,0)),0,VLOOKUP($S$367,'TAR FIN'!$A$1:$O$113,15,0))</f>
        <v>0</v>
      </c>
      <c r="W367" s="6">
        <f>IF(ISERROR(VLOOKUP($T$367,'TAR FIN'!$A$1:$O$113,15,0)),0,VLOOKUP($T$367,'TAR FIN'!$A$1:$O$113,15,0))</f>
        <v>72.150000000000006</v>
      </c>
      <c r="X367" s="6">
        <f>IF(ISERROR(VLOOKUP($U$367,'TAR FIN'!$A$1:$O$113,15,0)),0,VLOOKUP($U$367,'TAR FIN'!$A$1:$O$113,15,0))</f>
        <v>278.67</v>
      </c>
      <c r="Y367" s="6"/>
      <c r="Z367" s="6">
        <f ca="1">('TUSD BE'!$AM$21+'TUSD BF'!$AM$21+'TUSD CVA'!$AM$21)*1</f>
        <v>122.14055331663396</v>
      </c>
      <c r="AA367" s="6">
        <f>('TE BE'!$AB$10+'TE BF'!$AB$10+'TE CVA'!$AB$10)*1</f>
        <v>299.18055042718134</v>
      </c>
      <c r="AB367" s="6">
        <f>$K$367*$V$367</f>
        <v>0</v>
      </c>
      <c r="AC367" s="6">
        <f>$M$367*$W$367</f>
        <v>675.61260000000016</v>
      </c>
      <c r="AD367" s="6">
        <f>$O$367*$X$367</f>
        <v>2609.4658800000002</v>
      </c>
      <c r="AE367" s="6">
        <f>$K$367*$Y$367</f>
        <v>0</v>
      </c>
      <c r="AF367" s="6">
        <f ca="1">$M$367*$Z$367</f>
        <v>1143.7241412569604</v>
      </c>
      <c r="AG367" s="6">
        <f>$O$367*$AA$367</f>
        <v>2801.5266742001263</v>
      </c>
    </row>
    <row r="368" spans="1:33" ht="11.25" customHeight="1" x14ac:dyDescent="0.3">
      <c r="A368" s="4" t="s">
        <v>21</v>
      </c>
      <c r="B368" s="4" t="s">
        <v>39</v>
      </c>
      <c r="C368" s="4" t="s">
        <v>41</v>
      </c>
      <c r="D368" s="4" t="s">
        <v>38</v>
      </c>
      <c r="E368" s="4" t="s">
        <v>25</v>
      </c>
      <c r="F368" s="4" t="s">
        <v>25</v>
      </c>
      <c r="G368" s="4" t="s">
        <v>25</v>
      </c>
      <c r="H368" s="4" t="s">
        <v>35</v>
      </c>
      <c r="I368" s="5">
        <v>44652</v>
      </c>
      <c r="J368" s="6">
        <v>0</v>
      </c>
      <c r="K368" s="6">
        <v>0</v>
      </c>
      <c r="L368" s="6">
        <v>755.45600000000002</v>
      </c>
      <c r="M368" s="6">
        <v>755.45600000000002</v>
      </c>
      <c r="N368" s="6">
        <v>0</v>
      </c>
      <c r="O368" s="6">
        <v>0</v>
      </c>
      <c r="P368" s="6">
        <v>0</v>
      </c>
      <c r="Q368" s="4" t="s">
        <v>55</v>
      </c>
      <c r="R368" s="4">
        <v>0</v>
      </c>
      <c r="S368" s="6">
        <v>0</v>
      </c>
      <c r="T368" s="6">
        <v>6</v>
      </c>
      <c r="U368" s="6">
        <v>0</v>
      </c>
      <c r="V368" s="6">
        <f>IF(ISERROR(VLOOKUP($S$368,'TAR FIN'!$A$1:$O$113,15,0)),0,VLOOKUP($S$368,'TAR FIN'!$A$1:$O$113,15,0))</f>
        <v>0</v>
      </c>
      <c r="W368" s="6">
        <f>IF(ISERROR(VLOOKUP($T$368,'TAR FIN'!$A$1:$O$113,15,0)),0,VLOOKUP($T$368,'TAR FIN'!$A$1:$O$113,15,0))</f>
        <v>72.150000000000006</v>
      </c>
      <c r="X368" s="6">
        <f>IF(ISERROR(VLOOKUP($U$368,'TAR FIN'!$A$1:$O$113,15,0)),0,VLOOKUP($U$368,'TAR FIN'!$A$1:$O$113,15,0))</f>
        <v>0</v>
      </c>
      <c r="Y368" s="6"/>
      <c r="Z368" s="6">
        <f ca="1">('TUSD BE'!$AM$21+'TUSD BF'!$AM$21+'TUSD CVA'!$AM$21)*1</f>
        <v>122.14055331663396</v>
      </c>
      <c r="AA368" s="6"/>
      <c r="AB368" s="6">
        <f>$K$368*$V$368</f>
        <v>0</v>
      </c>
      <c r="AC368" s="6">
        <f>$M$368*$W$368</f>
        <v>54506.150400000006</v>
      </c>
      <c r="AD368" s="6">
        <f>$O$368*$X$368</f>
        <v>0</v>
      </c>
      <c r="AE368" s="6">
        <f>$K$368*$Y$368</f>
        <v>0</v>
      </c>
      <c r="AF368" s="6">
        <f ca="1">$M$368*$Z$368</f>
        <v>92271.81384637102</v>
      </c>
      <c r="AG368" s="6">
        <f>$O$368*$AA$368</f>
        <v>0</v>
      </c>
    </row>
    <row r="369" spans="1:33" ht="11.25" customHeight="1" x14ac:dyDescent="0.3">
      <c r="A369" s="4" t="s">
        <v>21</v>
      </c>
      <c r="B369" s="4" t="s">
        <v>39</v>
      </c>
      <c r="C369" s="4" t="s">
        <v>41</v>
      </c>
      <c r="D369" s="4" t="s">
        <v>38</v>
      </c>
      <c r="E369" s="4" t="s">
        <v>25</v>
      </c>
      <c r="F369" s="4" t="s">
        <v>25</v>
      </c>
      <c r="G369" s="4" t="s">
        <v>25</v>
      </c>
      <c r="H369" s="4" t="s">
        <v>35</v>
      </c>
      <c r="I369" s="5">
        <v>44682</v>
      </c>
      <c r="J369" s="6">
        <v>0</v>
      </c>
      <c r="K369" s="6">
        <v>0</v>
      </c>
      <c r="L369" s="6">
        <v>1812.2260000000001</v>
      </c>
      <c r="M369" s="6">
        <v>1812.2260000000001</v>
      </c>
      <c r="N369" s="6">
        <v>1812.2260000000001</v>
      </c>
      <c r="O369" s="6">
        <v>1812.2260000000001</v>
      </c>
      <c r="P369" s="6">
        <v>0</v>
      </c>
      <c r="Q369" s="4" t="s">
        <v>26</v>
      </c>
      <c r="R369" s="4">
        <v>0</v>
      </c>
      <c r="S369" s="6">
        <v>0</v>
      </c>
      <c r="T369" s="6">
        <v>6</v>
      </c>
      <c r="U369" s="6">
        <v>61</v>
      </c>
      <c r="V369" s="6">
        <f>IF(ISERROR(VLOOKUP($S$369,'TAR FIN'!$A$1:$O$113,15,0)),0,VLOOKUP($S$369,'TAR FIN'!$A$1:$O$113,15,0))</f>
        <v>0</v>
      </c>
      <c r="W369" s="6">
        <f>IF(ISERROR(VLOOKUP($T$369,'TAR FIN'!$A$1:$O$113,15,0)),0,VLOOKUP($T$369,'TAR FIN'!$A$1:$O$113,15,0))</f>
        <v>72.150000000000006</v>
      </c>
      <c r="X369" s="6">
        <f>IF(ISERROR(VLOOKUP($U$369,'TAR FIN'!$A$1:$O$113,15,0)),0,VLOOKUP($U$369,'TAR FIN'!$A$1:$O$113,15,0))</f>
        <v>278.67</v>
      </c>
      <c r="Y369" s="6"/>
      <c r="Z369" s="6">
        <f ca="1">('TUSD BE'!$AM$21+'TUSD BF'!$AM$21+'TUSD CVA'!$AM$21)*1</f>
        <v>122.14055331663396</v>
      </c>
      <c r="AA369" s="6">
        <f>('TE BE'!$AB$10+'TE BF'!$AB$10+'TE CVA'!$AB$10)*1</f>
        <v>299.18055042718134</v>
      </c>
      <c r="AB369" s="6">
        <f>$K$369*$V$369</f>
        <v>0</v>
      </c>
      <c r="AC369" s="6">
        <f>$M$369*$W$369</f>
        <v>130752.10590000002</v>
      </c>
      <c r="AD369" s="6">
        <f>$O$369*$X$369</f>
        <v>505013.01942000008</v>
      </c>
      <c r="AE369" s="6">
        <f>$K$369*$Y$369</f>
        <v>0</v>
      </c>
      <c r="AF369" s="6">
        <f ca="1">$M$369*$Z$369</f>
        <v>221346.2863747903</v>
      </c>
      <c r="AG369" s="6">
        <f>$O$369*$AA$369</f>
        <v>542182.7721784492</v>
      </c>
    </row>
    <row r="370" spans="1:33" ht="11.25" customHeight="1" x14ac:dyDescent="0.3">
      <c r="A370" s="4" t="s">
        <v>28</v>
      </c>
      <c r="B370" s="4" t="s">
        <v>39</v>
      </c>
      <c r="C370" s="4" t="s">
        <v>41</v>
      </c>
      <c r="D370" s="4" t="s">
        <v>38</v>
      </c>
      <c r="E370" s="4" t="s">
        <v>25</v>
      </c>
      <c r="F370" s="4" t="s">
        <v>25</v>
      </c>
      <c r="G370" s="4" t="s">
        <v>25</v>
      </c>
      <c r="H370" s="4" t="s">
        <v>35</v>
      </c>
      <c r="I370" s="5">
        <v>44682</v>
      </c>
      <c r="J370" s="6">
        <v>0</v>
      </c>
      <c r="K370" s="6">
        <v>0</v>
      </c>
      <c r="L370" s="6">
        <v>4.0359999999999996</v>
      </c>
      <c r="M370" s="6">
        <v>4.0359999999999996</v>
      </c>
      <c r="N370" s="6">
        <v>4.0359999999999996</v>
      </c>
      <c r="O370" s="6">
        <v>4.0359999999999996</v>
      </c>
      <c r="P370" s="6">
        <v>0</v>
      </c>
      <c r="Q370" s="4" t="s">
        <v>26</v>
      </c>
      <c r="R370" s="4">
        <v>0</v>
      </c>
      <c r="S370" s="6">
        <v>0</v>
      </c>
      <c r="T370" s="6">
        <v>6</v>
      </c>
      <c r="U370" s="6">
        <v>61</v>
      </c>
      <c r="V370" s="6">
        <f>IF(ISERROR(VLOOKUP($S$370,'TAR FIN'!$A$1:$O$113,15,0)),0,VLOOKUP($S$370,'TAR FIN'!$A$1:$O$113,15,0))</f>
        <v>0</v>
      </c>
      <c r="W370" s="6">
        <f>IF(ISERROR(VLOOKUP($T$370,'TAR FIN'!$A$1:$O$113,15,0)),0,VLOOKUP($T$370,'TAR FIN'!$A$1:$O$113,15,0))</f>
        <v>72.150000000000006</v>
      </c>
      <c r="X370" s="6">
        <f>IF(ISERROR(VLOOKUP($U$370,'TAR FIN'!$A$1:$O$113,15,0)),0,VLOOKUP($U$370,'TAR FIN'!$A$1:$O$113,15,0))</f>
        <v>278.67</v>
      </c>
      <c r="Y370" s="6"/>
      <c r="Z370" s="6">
        <f ca="1">('TUSD BE'!$AM$21+'TUSD BF'!$AM$21+'TUSD CVA'!$AM$21)*1</f>
        <v>122.14055331663396</v>
      </c>
      <c r="AA370" s="6">
        <f>('TE BE'!$AB$10+'TE BF'!$AB$10+'TE CVA'!$AB$10)*1</f>
        <v>299.18055042718134</v>
      </c>
      <c r="AB370" s="6">
        <f>$K$370*$V$370</f>
        <v>0</v>
      </c>
      <c r="AC370" s="6">
        <f>$M$370*$W$370</f>
        <v>291.19740000000002</v>
      </c>
      <c r="AD370" s="6">
        <f>$O$370*$X$370</f>
        <v>1124.7121199999999</v>
      </c>
      <c r="AE370" s="6">
        <f>$K$370*$Y$370</f>
        <v>0</v>
      </c>
      <c r="AF370" s="6">
        <f ca="1">$M$370*$Z$370</f>
        <v>492.95927318593459</v>
      </c>
      <c r="AG370" s="6">
        <f>$O$370*$AA$370</f>
        <v>1207.4927015241037</v>
      </c>
    </row>
    <row r="371" spans="1:33" ht="11.25" customHeight="1" x14ac:dyDescent="0.3">
      <c r="A371" s="4" t="s">
        <v>21</v>
      </c>
      <c r="B371" s="4" t="s">
        <v>39</v>
      </c>
      <c r="C371" s="4" t="s">
        <v>41</v>
      </c>
      <c r="D371" s="4" t="s">
        <v>38</v>
      </c>
      <c r="E371" s="4" t="s">
        <v>25</v>
      </c>
      <c r="F371" s="4" t="s">
        <v>25</v>
      </c>
      <c r="G371" s="4" t="s">
        <v>25</v>
      </c>
      <c r="H371" s="4" t="s">
        <v>35</v>
      </c>
      <c r="I371" s="5">
        <v>44682</v>
      </c>
      <c r="J371" s="6">
        <v>0</v>
      </c>
      <c r="K371" s="6">
        <v>0</v>
      </c>
      <c r="L371" s="6">
        <v>676.995</v>
      </c>
      <c r="M371" s="6">
        <v>676.995</v>
      </c>
      <c r="N371" s="6">
        <v>0</v>
      </c>
      <c r="O371" s="6">
        <v>0</v>
      </c>
      <c r="P371" s="6">
        <v>0</v>
      </c>
      <c r="Q371" s="4" t="s">
        <v>55</v>
      </c>
      <c r="R371" s="4">
        <v>0</v>
      </c>
      <c r="S371" s="6">
        <v>0</v>
      </c>
      <c r="T371" s="6">
        <v>6</v>
      </c>
      <c r="U371" s="6">
        <v>0</v>
      </c>
      <c r="V371" s="6">
        <f>IF(ISERROR(VLOOKUP($S$371,'TAR FIN'!$A$1:$O$113,15,0)),0,VLOOKUP($S$371,'TAR FIN'!$A$1:$O$113,15,0))</f>
        <v>0</v>
      </c>
      <c r="W371" s="6">
        <f>IF(ISERROR(VLOOKUP($T$371,'TAR FIN'!$A$1:$O$113,15,0)),0,VLOOKUP($T$371,'TAR FIN'!$A$1:$O$113,15,0))</f>
        <v>72.150000000000006</v>
      </c>
      <c r="X371" s="6">
        <f>IF(ISERROR(VLOOKUP($U$371,'TAR FIN'!$A$1:$O$113,15,0)),0,VLOOKUP($U$371,'TAR FIN'!$A$1:$O$113,15,0))</f>
        <v>0</v>
      </c>
      <c r="Y371" s="6"/>
      <c r="Z371" s="6">
        <f ca="1">('TUSD BE'!$AM$21+'TUSD BF'!$AM$21+'TUSD CVA'!$AM$21)*1</f>
        <v>122.14055331663396</v>
      </c>
      <c r="AA371" s="6"/>
      <c r="AB371" s="6">
        <f>$K$371*$V$371</f>
        <v>0</v>
      </c>
      <c r="AC371" s="6">
        <f>$M$371*$W$371</f>
        <v>48845.189250000003</v>
      </c>
      <c r="AD371" s="6">
        <f>$O$371*$X$371</f>
        <v>0</v>
      </c>
      <c r="AE371" s="6">
        <f>$K$371*$Y$371</f>
        <v>0</v>
      </c>
      <c r="AF371" s="6">
        <f ca="1">$M$371*$Z$371</f>
        <v>82688.543892594607</v>
      </c>
      <c r="AG371" s="6">
        <f>$O$371*$AA$371</f>
        <v>0</v>
      </c>
    </row>
    <row r="372" spans="1:33" ht="11.25" customHeight="1" x14ac:dyDescent="0.3">
      <c r="A372" s="4" t="s">
        <v>21</v>
      </c>
      <c r="B372" s="4" t="s">
        <v>39</v>
      </c>
      <c r="C372" s="4" t="s">
        <v>41</v>
      </c>
      <c r="D372" s="4" t="s">
        <v>38</v>
      </c>
      <c r="E372" s="4" t="s">
        <v>25</v>
      </c>
      <c r="F372" s="4" t="s">
        <v>25</v>
      </c>
      <c r="G372" s="4" t="s">
        <v>25</v>
      </c>
      <c r="H372" s="4" t="s">
        <v>35</v>
      </c>
      <c r="I372" s="5">
        <v>44713</v>
      </c>
      <c r="J372" s="6">
        <v>0</v>
      </c>
      <c r="K372" s="6">
        <v>0</v>
      </c>
      <c r="L372" s="6">
        <v>1918.991</v>
      </c>
      <c r="M372" s="6">
        <v>1918.991</v>
      </c>
      <c r="N372" s="6">
        <v>1918.991</v>
      </c>
      <c r="O372" s="6">
        <v>1918.991</v>
      </c>
      <c r="P372" s="6">
        <v>0</v>
      </c>
      <c r="Q372" s="4" t="s">
        <v>26</v>
      </c>
      <c r="R372" s="4">
        <v>0</v>
      </c>
      <c r="S372" s="6">
        <v>0</v>
      </c>
      <c r="T372" s="6">
        <v>6</v>
      </c>
      <c r="U372" s="6">
        <v>61</v>
      </c>
      <c r="V372" s="6">
        <f>IF(ISERROR(VLOOKUP($S$372,'TAR FIN'!$A$1:$O$113,15,0)),0,VLOOKUP($S$372,'TAR FIN'!$A$1:$O$113,15,0))</f>
        <v>0</v>
      </c>
      <c r="W372" s="6">
        <f>IF(ISERROR(VLOOKUP($T$372,'TAR FIN'!$A$1:$O$113,15,0)),0,VLOOKUP($T$372,'TAR FIN'!$A$1:$O$113,15,0))</f>
        <v>72.150000000000006</v>
      </c>
      <c r="X372" s="6">
        <f>IF(ISERROR(VLOOKUP($U$372,'TAR FIN'!$A$1:$O$113,15,0)),0,VLOOKUP($U$372,'TAR FIN'!$A$1:$O$113,15,0))</f>
        <v>278.67</v>
      </c>
      <c r="Y372" s="6"/>
      <c r="Z372" s="6">
        <f ca="1">('TUSD BE'!$AM$21+'TUSD BF'!$AM$21+'TUSD CVA'!$AM$21)*1</f>
        <v>122.14055331663396</v>
      </c>
      <c r="AA372" s="6">
        <f>('TE BE'!$AB$10+'TE BF'!$AB$10+'TE CVA'!$AB$10)*1</f>
        <v>299.18055042718134</v>
      </c>
      <c r="AB372" s="6">
        <f>$K$372*$V$372</f>
        <v>0</v>
      </c>
      <c r="AC372" s="6">
        <f>$M$372*$W$372</f>
        <v>138455.20065000001</v>
      </c>
      <c r="AD372" s="6">
        <f>$O$372*$X$372</f>
        <v>534765.22197000007</v>
      </c>
      <c r="AE372" s="6">
        <f>$K$372*$Y$372</f>
        <v>0</v>
      </c>
      <c r="AF372" s="6">
        <f ca="1">$M$372*$Z$372</f>
        <v>234386.62254964071</v>
      </c>
      <c r="AG372" s="6">
        <f>$O$372*$AA$372</f>
        <v>574124.78364480718</v>
      </c>
    </row>
    <row r="373" spans="1:33" ht="11.25" customHeight="1" x14ac:dyDescent="0.3">
      <c r="A373" s="4" t="s">
        <v>28</v>
      </c>
      <c r="B373" s="4" t="s">
        <v>39</v>
      </c>
      <c r="C373" s="4" t="s">
        <v>41</v>
      </c>
      <c r="D373" s="4" t="s">
        <v>38</v>
      </c>
      <c r="E373" s="4" t="s">
        <v>25</v>
      </c>
      <c r="F373" s="4" t="s">
        <v>25</v>
      </c>
      <c r="G373" s="4" t="s">
        <v>25</v>
      </c>
      <c r="H373" s="4" t="s">
        <v>35</v>
      </c>
      <c r="I373" s="5">
        <v>44713</v>
      </c>
      <c r="J373" s="6">
        <v>0</v>
      </c>
      <c r="K373" s="6">
        <v>0</v>
      </c>
      <c r="L373" s="6">
        <v>11.496</v>
      </c>
      <c r="M373" s="6">
        <v>11.496</v>
      </c>
      <c r="N373" s="6">
        <v>11.496</v>
      </c>
      <c r="O373" s="6">
        <v>11.496</v>
      </c>
      <c r="P373" s="6">
        <v>0</v>
      </c>
      <c r="Q373" s="4" t="s">
        <v>26</v>
      </c>
      <c r="R373" s="4">
        <v>0</v>
      </c>
      <c r="S373" s="6">
        <v>0</v>
      </c>
      <c r="T373" s="6">
        <v>6</v>
      </c>
      <c r="U373" s="6">
        <v>61</v>
      </c>
      <c r="V373" s="6">
        <f>IF(ISERROR(VLOOKUP($S$373,'TAR FIN'!$A$1:$O$113,15,0)),0,VLOOKUP($S$373,'TAR FIN'!$A$1:$O$113,15,0))</f>
        <v>0</v>
      </c>
      <c r="W373" s="6">
        <f>IF(ISERROR(VLOOKUP($T$373,'TAR FIN'!$A$1:$O$113,15,0)),0,VLOOKUP($T$373,'TAR FIN'!$A$1:$O$113,15,0))</f>
        <v>72.150000000000006</v>
      </c>
      <c r="X373" s="6">
        <f>IF(ISERROR(VLOOKUP($U$373,'TAR FIN'!$A$1:$O$113,15,0)),0,VLOOKUP($U$373,'TAR FIN'!$A$1:$O$113,15,0))</f>
        <v>278.67</v>
      </c>
      <c r="Y373" s="6"/>
      <c r="Z373" s="6">
        <f ca="1">('TUSD BE'!$AM$21+'TUSD BF'!$AM$21+'TUSD CVA'!$AM$21)*1</f>
        <v>122.14055331663396</v>
      </c>
      <c r="AA373" s="6">
        <f>('TE BE'!$AB$10+'TE BF'!$AB$10+'TE CVA'!$AB$10)*1</f>
        <v>299.18055042718134</v>
      </c>
      <c r="AB373" s="6">
        <f>$K$373*$V$373</f>
        <v>0</v>
      </c>
      <c r="AC373" s="6">
        <f>$M$373*$W$373</f>
        <v>829.43640000000005</v>
      </c>
      <c r="AD373" s="6">
        <f>$O$373*$X$373</f>
        <v>3203.5903200000002</v>
      </c>
      <c r="AE373" s="6">
        <f>$K$373*$Y$373</f>
        <v>0</v>
      </c>
      <c r="AF373" s="6">
        <f ca="1">$M$373*$Z$373</f>
        <v>1404.127800928024</v>
      </c>
      <c r="AG373" s="6">
        <f>$O$373*$AA$373</f>
        <v>3439.3796077108768</v>
      </c>
    </row>
    <row r="374" spans="1:33" ht="11.25" customHeight="1" x14ac:dyDescent="0.3">
      <c r="A374" s="4" t="s">
        <v>21</v>
      </c>
      <c r="B374" s="4" t="s">
        <v>39</v>
      </c>
      <c r="C374" s="4" t="s">
        <v>41</v>
      </c>
      <c r="D374" s="4" t="s">
        <v>38</v>
      </c>
      <c r="E374" s="4" t="s">
        <v>25</v>
      </c>
      <c r="F374" s="4" t="s">
        <v>25</v>
      </c>
      <c r="G374" s="4" t="s">
        <v>25</v>
      </c>
      <c r="H374" s="4" t="s">
        <v>35</v>
      </c>
      <c r="I374" s="5">
        <v>44713</v>
      </c>
      <c r="J374" s="6">
        <v>0</v>
      </c>
      <c r="K374" s="6">
        <v>0</v>
      </c>
      <c r="L374" s="6">
        <v>693.12900000000002</v>
      </c>
      <c r="M374" s="6">
        <v>693.12900000000002</v>
      </c>
      <c r="N374" s="6">
        <v>0</v>
      </c>
      <c r="O374" s="6">
        <v>0</v>
      </c>
      <c r="P374" s="6">
        <v>0</v>
      </c>
      <c r="Q374" s="4" t="s">
        <v>55</v>
      </c>
      <c r="R374" s="4">
        <v>0</v>
      </c>
      <c r="S374" s="6">
        <v>0</v>
      </c>
      <c r="T374" s="6">
        <v>6</v>
      </c>
      <c r="U374" s="6">
        <v>0</v>
      </c>
      <c r="V374" s="6">
        <f>IF(ISERROR(VLOOKUP($S$374,'TAR FIN'!$A$1:$O$113,15,0)),0,VLOOKUP($S$374,'TAR FIN'!$A$1:$O$113,15,0))</f>
        <v>0</v>
      </c>
      <c r="W374" s="6">
        <f>IF(ISERROR(VLOOKUP($T$374,'TAR FIN'!$A$1:$O$113,15,0)),0,VLOOKUP($T$374,'TAR FIN'!$A$1:$O$113,15,0))</f>
        <v>72.150000000000006</v>
      </c>
      <c r="X374" s="6">
        <f>IF(ISERROR(VLOOKUP($U$374,'TAR FIN'!$A$1:$O$113,15,0)),0,VLOOKUP($U$374,'TAR FIN'!$A$1:$O$113,15,0))</f>
        <v>0</v>
      </c>
      <c r="Y374" s="6"/>
      <c r="Z374" s="6">
        <f ca="1">('TUSD BE'!$AM$21+'TUSD BF'!$AM$21+'TUSD CVA'!$AM$21)*1</f>
        <v>122.14055331663396</v>
      </c>
      <c r="AA374" s="6"/>
      <c r="AB374" s="6">
        <f>$K$374*$V$374</f>
        <v>0</v>
      </c>
      <c r="AC374" s="6">
        <f>$M$374*$W$374</f>
        <v>50009.257350000007</v>
      </c>
      <c r="AD374" s="6">
        <f>$O$374*$X$374</f>
        <v>0</v>
      </c>
      <c r="AE374" s="6">
        <f>$K$374*$Y$374</f>
        <v>0</v>
      </c>
      <c r="AF374" s="6">
        <f ca="1">$M$374*$Z$374</f>
        <v>84659.159579805186</v>
      </c>
      <c r="AG374" s="6">
        <f>$O$374*$AA$374</f>
        <v>0</v>
      </c>
    </row>
    <row r="375" spans="1:33" ht="11.25" customHeight="1" x14ac:dyDescent="0.3">
      <c r="A375" s="4" t="s">
        <v>21</v>
      </c>
      <c r="B375" s="4" t="s">
        <v>39</v>
      </c>
      <c r="C375" s="4" t="s">
        <v>41</v>
      </c>
      <c r="D375" s="4" t="s">
        <v>38</v>
      </c>
      <c r="E375" s="4" t="s">
        <v>25</v>
      </c>
      <c r="F375" s="4" t="s">
        <v>25</v>
      </c>
      <c r="G375" s="4" t="s">
        <v>25</v>
      </c>
      <c r="H375" s="4" t="s">
        <v>35</v>
      </c>
      <c r="I375" s="5">
        <v>44743</v>
      </c>
      <c r="J375" s="6">
        <v>0</v>
      </c>
      <c r="K375" s="6">
        <v>0</v>
      </c>
      <c r="L375" s="6">
        <v>1802.39</v>
      </c>
      <c r="M375" s="6">
        <v>1802.39</v>
      </c>
      <c r="N375" s="6">
        <v>1802.39</v>
      </c>
      <c r="O375" s="6">
        <v>1802.39</v>
      </c>
      <c r="P375" s="6">
        <v>0</v>
      </c>
      <c r="Q375" s="4" t="s">
        <v>26</v>
      </c>
      <c r="R375" s="4">
        <v>0</v>
      </c>
      <c r="S375" s="6">
        <v>0</v>
      </c>
      <c r="T375" s="6">
        <v>6</v>
      </c>
      <c r="U375" s="6">
        <v>61</v>
      </c>
      <c r="V375" s="6">
        <f>IF(ISERROR(VLOOKUP($S$375,'TAR FIN'!$A$1:$O$113,15,0)),0,VLOOKUP($S$375,'TAR FIN'!$A$1:$O$113,15,0))</f>
        <v>0</v>
      </c>
      <c r="W375" s="6">
        <f>IF(ISERROR(VLOOKUP($T$375,'TAR FIN'!$A$1:$O$113,15,0)),0,VLOOKUP($T$375,'TAR FIN'!$A$1:$O$113,15,0))</f>
        <v>72.150000000000006</v>
      </c>
      <c r="X375" s="6">
        <f>IF(ISERROR(VLOOKUP($U$375,'TAR FIN'!$A$1:$O$113,15,0)),0,VLOOKUP($U$375,'TAR FIN'!$A$1:$O$113,15,0))</f>
        <v>278.67</v>
      </c>
      <c r="Y375" s="6"/>
      <c r="Z375" s="6">
        <f ca="1">('TUSD BE'!$AM$21+'TUSD BF'!$AM$21+'TUSD CVA'!$AM$21)*1</f>
        <v>122.14055331663396</v>
      </c>
      <c r="AA375" s="6">
        <f>('TE BE'!$AB$10+'TE BF'!$AB$10+'TE CVA'!$AB$10)*1</f>
        <v>299.18055042718134</v>
      </c>
      <c r="AB375" s="6">
        <f>$K$375*$V$375</f>
        <v>0</v>
      </c>
      <c r="AC375" s="6">
        <f>$M$375*$W$375</f>
        <v>130042.43850000002</v>
      </c>
      <c r="AD375" s="6">
        <f>$O$375*$X$375</f>
        <v>502272.02130000008</v>
      </c>
      <c r="AE375" s="6">
        <f>$K$375*$Y$375</f>
        <v>0</v>
      </c>
      <c r="AF375" s="6">
        <f ca="1">$M$375*$Z$375</f>
        <v>220144.91189236788</v>
      </c>
      <c r="AG375" s="6">
        <f>$O$375*$AA$375</f>
        <v>539240.03228444746</v>
      </c>
    </row>
    <row r="376" spans="1:33" ht="11.25" customHeight="1" x14ac:dyDescent="0.3">
      <c r="A376" s="4" t="s">
        <v>21</v>
      </c>
      <c r="B376" s="4" t="s">
        <v>39</v>
      </c>
      <c r="C376" s="4" t="s">
        <v>41</v>
      </c>
      <c r="D376" s="4" t="s">
        <v>38</v>
      </c>
      <c r="E376" s="4" t="s">
        <v>25</v>
      </c>
      <c r="F376" s="4" t="s">
        <v>25</v>
      </c>
      <c r="G376" s="4" t="s">
        <v>25</v>
      </c>
      <c r="H376" s="4" t="s">
        <v>35</v>
      </c>
      <c r="I376" s="5">
        <v>44743</v>
      </c>
      <c r="J376" s="6">
        <v>0</v>
      </c>
      <c r="K376" s="6">
        <v>0</v>
      </c>
      <c r="L376" s="6">
        <v>454.67399999999998</v>
      </c>
      <c r="M376" s="6">
        <v>454.67399999999998</v>
      </c>
      <c r="N376" s="6">
        <v>0</v>
      </c>
      <c r="O376" s="6">
        <v>0</v>
      </c>
      <c r="P376" s="6">
        <v>0</v>
      </c>
      <c r="Q376" s="4" t="s">
        <v>55</v>
      </c>
      <c r="R376" s="4">
        <v>0</v>
      </c>
      <c r="S376" s="6">
        <v>0</v>
      </c>
      <c r="T376" s="6">
        <v>6</v>
      </c>
      <c r="U376" s="6">
        <v>0</v>
      </c>
      <c r="V376" s="6">
        <f>IF(ISERROR(VLOOKUP($S$376,'TAR FIN'!$A$1:$O$113,15,0)),0,VLOOKUP($S$376,'TAR FIN'!$A$1:$O$113,15,0))</f>
        <v>0</v>
      </c>
      <c r="W376" s="6">
        <f>IF(ISERROR(VLOOKUP($T$376,'TAR FIN'!$A$1:$O$113,15,0)),0,VLOOKUP($T$376,'TAR FIN'!$A$1:$O$113,15,0))</f>
        <v>72.150000000000006</v>
      </c>
      <c r="X376" s="6">
        <f>IF(ISERROR(VLOOKUP($U$376,'TAR FIN'!$A$1:$O$113,15,0)),0,VLOOKUP($U$376,'TAR FIN'!$A$1:$O$113,15,0))</f>
        <v>0</v>
      </c>
      <c r="Y376" s="6"/>
      <c r="Z376" s="6">
        <f ca="1">('TUSD BE'!$AM$21+'TUSD BF'!$AM$21+'TUSD CVA'!$AM$21)*1</f>
        <v>122.14055331663396</v>
      </c>
      <c r="AA376" s="6"/>
      <c r="AB376" s="6">
        <f>$K$376*$V$376</f>
        <v>0</v>
      </c>
      <c r="AC376" s="6">
        <f>$M$376*$W$376</f>
        <v>32804.729100000004</v>
      </c>
      <c r="AD376" s="6">
        <f>$O$376*$X$376</f>
        <v>0</v>
      </c>
      <c r="AE376" s="6">
        <f>$K$376*$Y$376</f>
        <v>0</v>
      </c>
      <c r="AF376" s="6">
        <f ca="1">$M$376*$Z$376</f>
        <v>55534.133938687228</v>
      </c>
      <c r="AG376" s="6">
        <f>$O$376*$AA$376</f>
        <v>0</v>
      </c>
    </row>
    <row r="377" spans="1:33" ht="11.25" customHeight="1" x14ac:dyDescent="0.3">
      <c r="A377" s="4" t="s">
        <v>21</v>
      </c>
      <c r="B377" s="4" t="s">
        <v>39</v>
      </c>
      <c r="C377" s="4" t="s">
        <v>41</v>
      </c>
      <c r="D377" s="4" t="s">
        <v>38</v>
      </c>
      <c r="E377" s="4" t="s">
        <v>25</v>
      </c>
      <c r="F377" s="4" t="s">
        <v>25</v>
      </c>
      <c r="G377" s="4" t="s">
        <v>25</v>
      </c>
      <c r="H377" s="4" t="s">
        <v>35</v>
      </c>
      <c r="I377" s="5">
        <v>44774</v>
      </c>
      <c r="J377" s="6">
        <v>0</v>
      </c>
      <c r="K377" s="6">
        <v>0</v>
      </c>
      <c r="L377" s="6">
        <v>1938.971</v>
      </c>
      <c r="M377" s="6">
        <v>1938.971</v>
      </c>
      <c r="N377" s="6">
        <v>1938.971</v>
      </c>
      <c r="O377" s="6">
        <v>1938.971</v>
      </c>
      <c r="P377" s="6">
        <v>0</v>
      </c>
      <c r="Q377" s="4" t="s">
        <v>26</v>
      </c>
      <c r="R377" s="4">
        <v>0</v>
      </c>
      <c r="S377" s="6">
        <v>0</v>
      </c>
      <c r="T377" s="6">
        <v>6</v>
      </c>
      <c r="U377" s="6">
        <v>61</v>
      </c>
      <c r="V377" s="6">
        <f>IF(ISERROR(VLOOKUP($S$377,'TAR FIN'!$A$1:$O$113,15,0)),0,VLOOKUP($S$377,'TAR FIN'!$A$1:$O$113,15,0))</f>
        <v>0</v>
      </c>
      <c r="W377" s="6">
        <f>IF(ISERROR(VLOOKUP($T$377,'TAR FIN'!$A$1:$O$113,15,0)),0,VLOOKUP($T$377,'TAR FIN'!$A$1:$O$113,15,0))</f>
        <v>72.150000000000006</v>
      </c>
      <c r="X377" s="6">
        <f>IF(ISERROR(VLOOKUP($U$377,'TAR FIN'!$A$1:$O$113,15,0)),0,VLOOKUP($U$377,'TAR FIN'!$A$1:$O$113,15,0))</f>
        <v>278.67</v>
      </c>
      <c r="Y377" s="6"/>
      <c r="Z377" s="6">
        <f ca="1">('TUSD BE'!$AM$21+'TUSD BF'!$AM$21+'TUSD CVA'!$AM$21)*1</f>
        <v>122.14055331663396</v>
      </c>
      <c r="AA377" s="6">
        <f>('TE BE'!$AB$10+'TE BF'!$AB$10+'TE CVA'!$AB$10)*1</f>
        <v>299.18055042718134</v>
      </c>
      <c r="AB377" s="6">
        <f>$K$377*$V$377</f>
        <v>0</v>
      </c>
      <c r="AC377" s="6">
        <f>$M$377*$W$377</f>
        <v>139896.75765000001</v>
      </c>
      <c r="AD377" s="6">
        <f>$O$377*$X$377</f>
        <v>540333.04856999998</v>
      </c>
      <c r="AE377" s="6">
        <f>$K$377*$Y$377</f>
        <v>0</v>
      </c>
      <c r="AF377" s="6">
        <f ca="1">$M$377*$Z$377</f>
        <v>236826.99080490705</v>
      </c>
      <c r="AG377" s="6">
        <f>$O$377*$AA$377</f>
        <v>580102.4110423422</v>
      </c>
    </row>
    <row r="378" spans="1:33" ht="11.25" customHeight="1" x14ac:dyDescent="0.3">
      <c r="A378" s="4" t="s">
        <v>27</v>
      </c>
      <c r="B378" s="4" t="s">
        <v>39</v>
      </c>
      <c r="C378" s="4" t="s">
        <v>41</v>
      </c>
      <c r="D378" s="4" t="s">
        <v>38</v>
      </c>
      <c r="E378" s="4" t="s">
        <v>25</v>
      </c>
      <c r="F378" s="4" t="s">
        <v>25</v>
      </c>
      <c r="G378" s="4" t="s">
        <v>25</v>
      </c>
      <c r="H378" s="4" t="s">
        <v>35</v>
      </c>
      <c r="I378" s="5">
        <v>44774</v>
      </c>
      <c r="J378" s="6">
        <v>0</v>
      </c>
      <c r="K378" s="6">
        <v>0</v>
      </c>
      <c r="L378" s="6">
        <v>9.6170000000000009</v>
      </c>
      <c r="M378" s="6">
        <v>9.6170000000000009</v>
      </c>
      <c r="N378" s="6">
        <v>9.6170000000000009</v>
      </c>
      <c r="O378" s="6">
        <v>9.6170000000000009</v>
      </c>
      <c r="P378" s="6">
        <v>0</v>
      </c>
      <c r="Q378" s="4" t="s">
        <v>26</v>
      </c>
      <c r="R378" s="4">
        <v>0</v>
      </c>
      <c r="S378" s="6">
        <v>0</v>
      </c>
      <c r="T378" s="6">
        <v>6</v>
      </c>
      <c r="U378" s="6">
        <v>61</v>
      </c>
      <c r="V378" s="6">
        <f>IF(ISERROR(VLOOKUP($S$378,'TAR FIN'!$A$1:$O$113,15,0)),0,VLOOKUP($S$378,'TAR FIN'!$A$1:$O$113,15,0))</f>
        <v>0</v>
      </c>
      <c r="W378" s="6">
        <f>IF(ISERROR(VLOOKUP($T$378,'TAR FIN'!$A$1:$O$113,15,0)),0,VLOOKUP($T$378,'TAR FIN'!$A$1:$O$113,15,0))</f>
        <v>72.150000000000006</v>
      </c>
      <c r="X378" s="6">
        <f>IF(ISERROR(VLOOKUP($U$378,'TAR FIN'!$A$1:$O$113,15,0)),0,VLOOKUP($U$378,'TAR FIN'!$A$1:$O$113,15,0))</f>
        <v>278.67</v>
      </c>
      <c r="Y378" s="6"/>
      <c r="Z378" s="6">
        <f ca="1">('TUSD BE'!$AM$21+'TUSD BF'!$AM$21+'TUSD CVA'!$AM$21)*1</f>
        <v>122.14055331663396</v>
      </c>
      <c r="AA378" s="6">
        <f>('TE BE'!$AB$10+'TE BF'!$AB$10+'TE CVA'!$AB$10)*1</f>
        <v>299.18055042718134</v>
      </c>
      <c r="AB378" s="6">
        <f>$K$378*$V$378</f>
        <v>0</v>
      </c>
      <c r="AC378" s="6">
        <f>$M$378*$W$378</f>
        <v>693.86655000000007</v>
      </c>
      <c r="AD378" s="6">
        <f>$O$378*$X$378</f>
        <v>2679.9693900000002</v>
      </c>
      <c r="AE378" s="6">
        <f>$K$378*$Y$378</f>
        <v>0</v>
      </c>
      <c r="AF378" s="6">
        <f ca="1">$M$378*$Z$378</f>
        <v>1174.625701246069</v>
      </c>
      <c r="AG378" s="6">
        <f>$O$378*$AA$378</f>
        <v>2877.2193534582034</v>
      </c>
    </row>
    <row r="379" spans="1:33" ht="11.25" customHeight="1" x14ac:dyDescent="0.3">
      <c r="A379" s="4" t="s">
        <v>28</v>
      </c>
      <c r="B379" s="4" t="s">
        <v>39</v>
      </c>
      <c r="C379" s="4" t="s">
        <v>41</v>
      </c>
      <c r="D379" s="4" t="s">
        <v>38</v>
      </c>
      <c r="E379" s="4" t="s">
        <v>25</v>
      </c>
      <c r="F379" s="4" t="s">
        <v>25</v>
      </c>
      <c r="G379" s="4" t="s">
        <v>25</v>
      </c>
      <c r="H379" s="4" t="s">
        <v>35</v>
      </c>
      <c r="I379" s="5">
        <v>44774</v>
      </c>
      <c r="J379" s="6">
        <v>0</v>
      </c>
      <c r="K379" s="6">
        <v>0</v>
      </c>
      <c r="L379" s="6">
        <v>16.373999999999999</v>
      </c>
      <c r="M379" s="6">
        <v>16.373999999999999</v>
      </c>
      <c r="N379" s="6">
        <v>16.373999999999999</v>
      </c>
      <c r="O379" s="6">
        <v>16.373999999999999</v>
      </c>
      <c r="P379" s="6">
        <v>0</v>
      </c>
      <c r="Q379" s="4" t="s">
        <v>26</v>
      </c>
      <c r="R379" s="4">
        <v>0</v>
      </c>
      <c r="S379" s="6">
        <v>0</v>
      </c>
      <c r="T379" s="6">
        <v>6</v>
      </c>
      <c r="U379" s="6">
        <v>61</v>
      </c>
      <c r="V379" s="6">
        <f>IF(ISERROR(VLOOKUP($S$379,'TAR FIN'!$A$1:$O$113,15,0)),0,VLOOKUP($S$379,'TAR FIN'!$A$1:$O$113,15,0))</f>
        <v>0</v>
      </c>
      <c r="W379" s="6">
        <f>IF(ISERROR(VLOOKUP($T$379,'TAR FIN'!$A$1:$O$113,15,0)),0,VLOOKUP($T$379,'TAR FIN'!$A$1:$O$113,15,0))</f>
        <v>72.150000000000006</v>
      </c>
      <c r="X379" s="6">
        <f>IF(ISERROR(VLOOKUP($U$379,'TAR FIN'!$A$1:$O$113,15,0)),0,VLOOKUP($U$379,'TAR FIN'!$A$1:$O$113,15,0))</f>
        <v>278.67</v>
      </c>
      <c r="Y379" s="6"/>
      <c r="Z379" s="6">
        <f ca="1">('TUSD BE'!$AM$21+'TUSD BF'!$AM$21+'TUSD CVA'!$AM$21)*1</f>
        <v>122.14055331663396</v>
      </c>
      <c r="AA379" s="6">
        <f>('TE BE'!$AB$10+'TE BF'!$AB$10+'TE CVA'!$AB$10)*1</f>
        <v>299.18055042718134</v>
      </c>
      <c r="AB379" s="6">
        <f>$K$379*$V$379</f>
        <v>0</v>
      </c>
      <c r="AC379" s="6">
        <f>$M$379*$W$379</f>
        <v>1181.3841</v>
      </c>
      <c r="AD379" s="6">
        <f>$O$379*$X$379</f>
        <v>4562.9425799999999</v>
      </c>
      <c r="AE379" s="6">
        <f>$K$379*$Y$379</f>
        <v>0</v>
      </c>
      <c r="AF379" s="6">
        <f ca="1">$M$379*$Z$379</f>
        <v>1999.9294200065642</v>
      </c>
      <c r="AG379" s="6">
        <f>$O$379*$AA$379</f>
        <v>4898.7823326946673</v>
      </c>
    </row>
    <row r="380" spans="1:33" ht="11.25" customHeight="1" x14ac:dyDescent="0.3">
      <c r="A380" s="4" t="s">
        <v>21</v>
      </c>
      <c r="B380" s="4" t="s">
        <v>39</v>
      </c>
      <c r="C380" s="4" t="s">
        <v>41</v>
      </c>
      <c r="D380" s="4" t="s">
        <v>38</v>
      </c>
      <c r="E380" s="4" t="s">
        <v>25</v>
      </c>
      <c r="F380" s="4" t="s">
        <v>25</v>
      </c>
      <c r="G380" s="4" t="s">
        <v>25</v>
      </c>
      <c r="H380" s="4" t="s">
        <v>35</v>
      </c>
      <c r="I380" s="5">
        <v>44774</v>
      </c>
      <c r="J380" s="6">
        <v>0</v>
      </c>
      <c r="K380" s="6">
        <v>0</v>
      </c>
      <c r="L380" s="6">
        <v>660.92499999999995</v>
      </c>
      <c r="M380" s="6">
        <v>660.92499999999995</v>
      </c>
      <c r="N380" s="6">
        <v>0</v>
      </c>
      <c r="O380" s="6">
        <v>0</v>
      </c>
      <c r="P380" s="6">
        <v>0</v>
      </c>
      <c r="Q380" s="4" t="s">
        <v>55</v>
      </c>
      <c r="R380" s="4">
        <v>0</v>
      </c>
      <c r="S380" s="6">
        <v>0</v>
      </c>
      <c r="T380" s="6">
        <v>6</v>
      </c>
      <c r="U380" s="6">
        <v>0</v>
      </c>
      <c r="V380" s="6">
        <f>IF(ISERROR(VLOOKUP($S$380,'TAR FIN'!$A$1:$O$113,15,0)),0,VLOOKUP($S$380,'TAR FIN'!$A$1:$O$113,15,0))</f>
        <v>0</v>
      </c>
      <c r="W380" s="6">
        <f>IF(ISERROR(VLOOKUP($T$380,'TAR FIN'!$A$1:$O$113,15,0)),0,VLOOKUP($T$380,'TAR FIN'!$A$1:$O$113,15,0))</f>
        <v>72.150000000000006</v>
      </c>
      <c r="X380" s="6">
        <f>IF(ISERROR(VLOOKUP($U$380,'TAR FIN'!$A$1:$O$113,15,0)),0,VLOOKUP($U$380,'TAR FIN'!$A$1:$O$113,15,0))</f>
        <v>0</v>
      </c>
      <c r="Y380" s="6"/>
      <c r="Z380" s="6">
        <f ca="1">('TUSD BE'!$AM$21+'TUSD BF'!$AM$21+'TUSD CVA'!$AM$21)*1</f>
        <v>122.14055331663396</v>
      </c>
      <c r="AA380" s="6"/>
      <c r="AB380" s="6">
        <f>$K$380*$V$380</f>
        <v>0</v>
      </c>
      <c r="AC380" s="6">
        <f>$M$380*$W$380</f>
        <v>47685.738750000004</v>
      </c>
      <c r="AD380" s="6">
        <f>$O$380*$X$380</f>
        <v>0</v>
      </c>
      <c r="AE380" s="6">
        <f>$K$380*$Y$380</f>
        <v>0</v>
      </c>
      <c r="AF380" s="6">
        <f ca="1">$M$380*$Z$380</f>
        <v>80725.745200796286</v>
      </c>
      <c r="AG380" s="6">
        <f>$O$380*$AA$380</f>
        <v>0</v>
      </c>
    </row>
    <row r="381" spans="1:33" ht="11.25" customHeight="1" x14ac:dyDescent="0.3">
      <c r="A381" s="4" t="s">
        <v>21</v>
      </c>
      <c r="B381" s="4" t="s">
        <v>39</v>
      </c>
      <c r="C381" s="4" t="s">
        <v>41</v>
      </c>
      <c r="D381" s="4" t="s">
        <v>38</v>
      </c>
      <c r="E381" s="4" t="s">
        <v>25</v>
      </c>
      <c r="F381" s="4" t="s">
        <v>25</v>
      </c>
      <c r="G381" s="4" t="s">
        <v>25</v>
      </c>
      <c r="H381" s="4" t="s">
        <v>35</v>
      </c>
      <c r="I381" s="5">
        <v>44805</v>
      </c>
      <c r="J381" s="6">
        <v>0</v>
      </c>
      <c r="K381" s="6">
        <v>0</v>
      </c>
      <c r="L381" s="6">
        <v>2059.8589999999999</v>
      </c>
      <c r="M381" s="6">
        <v>2059.8589999999999</v>
      </c>
      <c r="N381" s="6">
        <v>2059.8589999999999</v>
      </c>
      <c r="O381" s="6">
        <v>2059.8589999999999</v>
      </c>
      <c r="P381" s="6">
        <v>0</v>
      </c>
      <c r="Q381" s="4" t="s">
        <v>26</v>
      </c>
      <c r="R381" s="4">
        <v>0</v>
      </c>
      <c r="S381" s="6">
        <v>0</v>
      </c>
      <c r="T381" s="6">
        <v>6</v>
      </c>
      <c r="U381" s="6">
        <v>61</v>
      </c>
      <c r="V381" s="6">
        <f>IF(ISERROR(VLOOKUP($S$381,'TAR FIN'!$A$1:$O$113,15,0)),0,VLOOKUP($S$381,'TAR FIN'!$A$1:$O$113,15,0))</f>
        <v>0</v>
      </c>
      <c r="W381" s="6">
        <f>IF(ISERROR(VLOOKUP($T$381,'TAR FIN'!$A$1:$O$113,15,0)),0,VLOOKUP($T$381,'TAR FIN'!$A$1:$O$113,15,0))</f>
        <v>72.150000000000006</v>
      </c>
      <c r="X381" s="6">
        <f>IF(ISERROR(VLOOKUP($U$381,'TAR FIN'!$A$1:$O$113,15,0)),0,VLOOKUP($U$381,'TAR FIN'!$A$1:$O$113,15,0))</f>
        <v>278.67</v>
      </c>
      <c r="Y381" s="6"/>
      <c r="Z381" s="6">
        <f ca="1">('TUSD BE'!$AM$21+'TUSD BF'!$AM$21+'TUSD CVA'!$AM$21)*1</f>
        <v>122.14055331663396</v>
      </c>
      <c r="AA381" s="6">
        <f>('TE BE'!$AB$10+'TE BF'!$AB$10+'TE CVA'!$AB$10)*1</f>
        <v>299.18055042718134</v>
      </c>
      <c r="AB381" s="6">
        <f>$K$381*$V$381</f>
        <v>0</v>
      </c>
      <c r="AC381" s="6">
        <f>$M$381*$W$381</f>
        <v>148618.82685000001</v>
      </c>
      <c r="AD381" s="6">
        <f>$O$381*$X$381</f>
        <v>574020.90752999997</v>
      </c>
      <c r="AE381" s="6">
        <f>$K$381*$Y$381</f>
        <v>0</v>
      </c>
      <c r="AF381" s="6">
        <f ca="1">$M$381*$Z$381</f>
        <v>251592.3180142483</v>
      </c>
      <c r="AG381" s="6">
        <f>$O$381*$AA$381</f>
        <v>616269.74942238326</v>
      </c>
    </row>
    <row r="382" spans="1:33" ht="11.25" customHeight="1" x14ac:dyDescent="0.3">
      <c r="A382" s="4" t="s">
        <v>28</v>
      </c>
      <c r="B382" s="4" t="s">
        <v>39</v>
      </c>
      <c r="C382" s="4" t="s">
        <v>41</v>
      </c>
      <c r="D382" s="4" t="s">
        <v>38</v>
      </c>
      <c r="E382" s="4" t="s">
        <v>25</v>
      </c>
      <c r="F382" s="4" t="s">
        <v>25</v>
      </c>
      <c r="G382" s="4" t="s">
        <v>25</v>
      </c>
      <c r="H382" s="4" t="s">
        <v>35</v>
      </c>
      <c r="I382" s="5">
        <v>44805</v>
      </c>
      <c r="J382" s="6">
        <v>0</v>
      </c>
      <c r="K382" s="6">
        <v>0</v>
      </c>
      <c r="L382" s="6">
        <v>15.010999999999999</v>
      </c>
      <c r="M382" s="6">
        <v>15.010999999999999</v>
      </c>
      <c r="N382" s="6">
        <v>15.010999999999999</v>
      </c>
      <c r="O382" s="6">
        <v>15.010999999999999</v>
      </c>
      <c r="P382" s="6">
        <v>0</v>
      </c>
      <c r="Q382" s="4" t="s">
        <v>26</v>
      </c>
      <c r="R382" s="4">
        <v>0</v>
      </c>
      <c r="S382" s="6">
        <v>0</v>
      </c>
      <c r="T382" s="6">
        <v>6</v>
      </c>
      <c r="U382" s="6">
        <v>61</v>
      </c>
      <c r="V382" s="6">
        <f>IF(ISERROR(VLOOKUP($S$382,'TAR FIN'!$A$1:$O$113,15,0)),0,VLOOKUP($S$382,'TAR FIN'!$A$1:$O$113,15,0))</f>
        <v>0</v>
      </c>
      <c r="W382" s="6">
        <f>IF(ISERROR(VLOOKUP($T$382,'TAR FIN'!$A$1:$O$113,15,0)),0,VLOOKUP($T$382,'TAR FIN'!$A$1:$O$113,15,0))</f>
        <v>72.150000000000006</v>
      </c>
      <c r="X382" s="6">
        <f>IF(ISERROR(VLOOKUP($U$382,'TAR FIN'!$A$1:$O$113,15,0)),0,VLOOKUP($U$382,'TAR FIN'!$A$1:$O$113,15,0))</f>
        <v>278.67</v>
      </c>
      <c r="Y382" s="6"/>
      <c r="Z382" s="6">
        <f ca="1">('TUSD BE'!$AM$21+'TUSD BF'!$AM$21+'TUSD CVA'!$AM$21)*1</f>
        <v>122.14055331663396</v>
      </c>
      <c r="AA382" s="6">
        <f>('TE BE'!$AB$10+'TE BF'!$AB$10+'TE CVA'!$AB$10)*1</f>
        <v>299.18055042718134</v>
      </c>
      <c r="AB382" s="6">
        <f>$K$382*$V$382</f>
        <v>0</v>
      </c>
      <c r="AC382" s="6">
        <f>$M$382*$W$382</f>
        <v>1083.0436500000001</v>
      </c>
      <c r="AD382" s="6">
        <f>$O$382*$X$382</f>
        <v>4183.1153700000004</v>
      </c>
      <c r="AE382" s="6">
        <f>$K$382*$Y$382</f>
        <v>0</v>
      </c>
      <c r="AF382" s="6">
        <f ca="1">$M$382*$Z$382</f>
        <v>1833.4518458359921</v>
      </c>
      <c r="AG382" s="6">
        <f>$O$382*$AA$382</f>
        <v>4490.9992424624188</v>
      </c>
    </row>
    <row r="383" spans="1:33" ht="11.25" customHeight="1" x14ac:dyDescent="0.3">
      <c r="A383" s="4" t="s">
        <v>21</v>
      </c>
      <c r="B383" s="4" t="s">
        <v>39</v>
      </c>
      <c r="C383" s="4" t="s">
        <v>41</v>
      </c>
      <c r="D383" s="4" t="s">
        <v>38</v>
      </c>
      <c r="E383" s="4" t="s">
        <v>25</v>
      </c>
      <c r="F383" s="4" t="s">
        <v>25</v>
      </c>
      <c r="G383" s="4" t="s">
        <v>25</v>
      </c>
      <c r="H383" s="4" t="s">
        <v>35</v>
      </c>
      <c r="I383" s="5">
        <v>44805</v>
      </c>
      <c r="J383" s="6">
        <v>0</v>
      </c>
      <c r="K383" s="6">
        <v>0</v>
      </c>
      <c r="L383" s="6">
        <v>669.56600000000003</v>
      </c>
      <c r="M383" s="6">
        <v>669.56600000000003</v>
      </c>
      <c r="N383" s="6">
        <v>0</v>
      </c>
      <c r="O383" s="6">
        <v>0</v>
      </c>
      <c r="P383" s="6">
        <v>0</v>
      </c>
      <c r="Q383" s="4" t="s">
        <v>55</v>
      </c>
      <c r="R383" s="4">
        <v>0</v>
      </c>
      <c r="S383" s="6">
        <v>0</v>
      </c>
      <c r="T383" s="6">
        <v>6</v>
      </c>
      <c r="U383" s="6">
        <v>0</v>
      </c>
      <c r="V383" s="6">
        <f>IF(ISERROR(VLOOKUP($S$383,'TAR FIN'!$A$1:$O$113,15,0)),0,VLOOKUP($S$383,'TAR FIN'!$A$1:$O$113,15,0))</f>
        <v>0</v>
      </c>
      <c r="W383" s="6">
        <f>IF(ISERROR(VLOOKUP($T$383,'TAR FIN'!$A$1:$O$113,15,0)),0,VLOOKUP($T$383,'TAR FIN'!$A$1:$O$113,15,0))</f>
        <v>72.150000000000006</v>
      </c>
      <c r="X383" s="6">
        <f>IF(ISERROR(VLOOKUP($U$383,'TAR FIN'!$A$1:$O$113,15,0)),0,VLOOKUP($U$383,'TAR FIN'!$A$1:$O$113,15,0))</f>
        <v>0</v>
      </c>
      <c r="Y383" s="6"/>
      <c r="Z383" s="6">
        <f ca="1">('TUSD BE'!$AM$21+'TUSD BF'!$AM$21+'TUSD CVA'!$AM$21)*1</f>
        <v>122.14055331663396</v>
      </c>
      <c r="AA383" s="6"/>
      <c r="AB383" s="6">
        <f>$K$383*$V$383</f>
        <v>0</v>
      </c>
      <c r="AC383" s="6">
        <f>$M$383*$W$383</f>
        <v>48309.186900000008</v>
      </c>
      <c r="AD383" s="6">
        <f>$O$383*$X$383</f>
        <v>0</v>
      </c>
      <c r="AE383" s="6">
        <f>$K$383*$Y$383</f>
        <v>0</v>
      </c>
      <c r="AF383" s="6">
        <f ca="1">$M$383*$Z$383</f>
        <v>81781.16172200533</v>
      </c>
      <c r="AG383" s="6">
        <f>$O$383*$AA$383</f>
        <v>0</v>
      </c>
    </row>
    <row r="384" spans="1:33" ht="11.25" customHeight="1" x14ac:dyDescent="0.3">
      <c r="A384" s="4" t="s">
        <v>53</v>
      </c>
      <c r="B384" s="4" t="s">
        <v>39</v>
      </c>
      <c r="C384" s="4" t="s">
        <v>41</v>
      </c>
      <c r="D384" s="4" t="s">
        <v>38</v>
      </c>
      <c r="E384" s="4" t="s">
        <v>25</v>
      </c>
      <c r="F384" s="4" t="s">
        <v>25</v>
      </c>
      <c r="G384" s="4" t="s">
        <v>25</v>
      </c>
      <c r="H384" s="4" t="s">
        <v>35</v>
      </c>
      <c r="I384" s="5">
        <v>44835</v>
      </c>
      <c r="J384" s="6">
        <v>0</v>
      </c>
      <c r="K384" s="6">
        <v>0</v>
      </c>
      <c r="L384" s="6">
        <v>2059.8589999999999</v>
      </c>
      <c r="M384" s="6">
        <v>2059.8589999999999</v>
      </c>
      <c r="N384" s="6">
        <v>2059.8589999999999</v>
      </c>
      <c r="O384" s="6">
        <v>2059.8589999999999</v>
      </c>
      <c r="P384" s="6">
        <v>0</v>
      </c>
      <c r="Q384" s="4" t="s">
        <v>26</v>
      </c>
      <c r="R384" s="4">
        <v>0</v>
      </c>
      <c r="S384" s="6">
        <v>0</v>
      </c>
      <c r="T384" s="6">
        <v>6</v>
      </c>
      <c r="U384" s="6">
        <v>61</v>
      </c>
      <c r="V384" s="6">
        <f>IF(ISERROR(VLOOKUP($S$384,'TAR FIN'!$A$1:$O$113,15,0)),0,VLOOKUP($S$384,'TAR FIN'!$A$1:$O$113,15,0))</f>
        <v>0</v>
      </c>
      <c r="W384" s="6">
        <f>IF(ISERROR(VLOOKUP($T$384,'TAR FIN'!$A$1:$O$113,15,0)),0,VLOOKUP($T$384,'TAR FIN'!$A$1:$O$113,15,0))</f>
        <v>72.150000000000006</v>
      </c>
      <c r="X384" s="6">
        <f>IF(ISERROR(VLOOKUP($U$384,'TAR FIN'!$A$1:$O$113,15,0)),0,VLOOKUP($U$384,'TAR FIN'!$A$1:$O$113,15,0))</f>
        <v>278.67</v>
      </c>
      <c r="Y384" s="6"/>
      <c r="Z384" s="6">
        <f ca="1">('TUSD BE'!$AM$21+'TUSD BF'!$AM$21+'TUSD CVA'!$AM$21)*1</f>
        <v>122.14055331663396</v>
      </c>
      <c r="AA384" s="6">
        <f>('TE BE'!$AB$10+'TE BF'!$AB$10+'TE CVA'!$AB$10)*1</f>
        <v>299.18055042718134</v>
      </c>
      <c r="AB384" s="6">
        <f>$K$384*$V$384</f>
        <v>0</v>
      </c>
      <c r="AC384" s="6">
        <f>$M$384*$W$384</f>
        <v>148618.82685000001</v>
      </c>
      <c r="AD384" s="6">
        <f>$O$384*$X$384</f>
        <v>574020.90752999997</v>
      </c>
      <c r="AE384" s="6">
        <f>$K$384*$Y$384</f>
        <v>0</v>
      </c>
      <c r="AF384" s="6">
        <f ca="1">$M$384*$Z$384</f>
        <v>251592.3180142483</v>
      </c>
      <c r="AG384" s="6">
        <f>$O$384*$AA$384</f>
        <v>616269.74942238326</v>
      </c>
    </row>
    <row r="385" spans="1:33" ht="11.25" customHeight="1" x14ac:dyDescent="0.3">
      <c r="A385" s="4" t="s">
        <v>53</v>
      </c>
      <c r="B385" s="4" t="s">
        <v>39</v>
      </c>
      <c r="C385" s="4" t="s">
        <v>41</v>
      </c>
      <c r="D385" s="4" t="s">
        <v>38</v>
      </c>
      <c r="E385" s="4" t="s">
        <v>25</v>
      </c>
      <c r="F385" s="4" t="s">
        <v>25</v>
      </c>
      <c r="G385" s="4" t="s">
        <v>25</v>
      </c>
      <c r="H385" s="4" t="s">
        <v>35</v>
      </c>
      <c r="I385" s="5">
        <v>44835</v>
      </c>
      <c r="J385" s="6">
        <v>0</v>
      </c>
      <c r="K385" s="6">
        <v>0</v>
      </c>
      <c r="L385" s="6">
        <v>15.010999999999999</v>
      </c>
      <c r="M385" s="6">
        <v>15.010999999999999</v>
      </c>
      <c r="N385" s="6">
        <v>15.010999999999999</v>
      </c>
      <c r="O385" s="6">
        <v>15.010999999999999</v>
      </c>
      <c r="P385" s="6">
        <v>0</v>
      </c>
      <c r="Q385" s="4" t="s">
        <v>26</v>
      </c>
      <c r="R385" s="4">
        <v>0</v>
      </c>
      <c r="S385" s="6">
        <v>0</v>
      </c>
      <c r="T385" s="6">
        <v>6</v>
      </c>
      <c r="U385" s="6">
        <v>61</v>
      </c>
      <c r="V385" s="6">
        <f>IF(ISERROR(VLOOKUP($S$385,'TAR FIN'!$A$1:$O$113,15,0)),0,VLOOKUP($S$385,'TAR FIN'!$A$1:$O$113,15,0))</f>
        <v>0</v>
      </c>
      <c r="W385" s="6">
        <f>IF(ISERROR(VLOOKUP($T$385,'TAR FIN'!$A$1:$O$113,15,0)),0,VLOOKUP($T$385,'TAR FIN'!$A$1:$O$113,15,0))</f>
        <v>72.150000000000006</v>
      </c>
      <c r="X385" s="6">
        <f>IF(ISERROR(VLOOKUP($U$385,'TAR FIN'!$A$1:$O$113,15,0)),0,VLOOKUP($U$385,'TAR FIN'!$A$1:$O$113,15,0))</f>
        <v>278.67</v>
      </c>
      <c r="Y385" s="6"/>
      <c r="Z385" s="6">
        <f ca="1">('TUSD BE'!$AM$21+'TUSD BF'!$AM$21+'TUSD CVA'!$AM$21)*1</f>
        <v>122.14055331663396</v>
      </c>
      <c r="AA385" s="6">
        <f>('TE BE'!$AB$10+'TE BF'!$AB$10+'TE CVA'!$AB$10)*1</f>
        <v>299.18055042718134</v>
      </c>
      <c r="AB385" s="6">
        <f>$K$385*$V$385</f>
        <v>0</v>
      </c>
      <c r="AC385" s="6">
        <f>$M$385*$W$385</f>
        <v>1083.0436500000001</v>
      </c>
      <c r="AD385" s="6">
        <f>$O$385*$X$385</f>
        <v>4183.1153700000004</v>
      </c>
      <c r="AE385" s="6">
        <f>$K$385*$Y$385</f>
        <v>0</v>
      </c>
      <c r="AF385" s="6">
        <f ca="1">$M$385*$Z$385</f>
        <v>1833.4518458359921</v>
      </c>
      <c r="AG385" s="6">
        <f>$O$385*$AA$385</f>
        <v>4490.9992424624188</v>
      </c>
    </row>
    <row r="386" spans="1:33" ht="11.25" customHeight="1" x14ac:dyDescent="0.3">
      <c r="A386" s="4" t="s">
        <v>53</v>
      </c>
      <c r="B386" s="4" t="s">
        <v>39</v>
      </c>
      <c r="C386" s="4" t="s">
        <v>41</v>
      </c>
      <c r="D386" s="4" t="s">
        <v>38</v>
      </c>
      <c r="E386" s="4" t="s">
        <v>25</v>
      </c>
      <c r="F386" s="4" t="s">
        <v>25</v>
      </c>
      <c r="G386" s="4" t="s">
        <v>25</v>
      </c>
      <c r="H386" s="4" t="s">
        <v>35</v>
      </c>
      <c r="I386" s="5">
        <v>44835</v>
      </c>
      <c r="J386" s="6">
        <v>0</v>
      </c>
      <c r="K386" s="6">
        <v>0</v>
      </c>
      <c r="L386" s="6">
        <v>669.56600000000003</v>
      </c>
      <c r="M386" s="6">
        <v>669.56600000000003</v>
      </c>
      <c r="N386" s="6">
        <v>0</v>
      </c>
      <c r="O386" s="6">
        <v>0</v>
      </c>
      <c r="P386" s="6">
        <v>0</v>
      </c>
      <c r="Q386" s="4" t="s">
        <v>55</v>
      </c>
      <c r="R386" s="4">
        <v>0</v>
      </c>
      <c r="S386" s="6">
        <v>0</v>
      </c>
      <c r="T386" s="6">
        <v>6</v>
      </c>
      <c r="U386" s="6">
        <v>0</v>
      </c>
      <c r="V386" s="6">
        <f>IF(ISERROR(VLOOKUP($S$386,'TAR FIN'!$A$1:$O$113,15,0)),0,VLOOKUP($S$386,'TAR FIN'!$A$1:$O$113,15,0))</f>
        <v>0</v>
      </c>
      <c r="W386" s="6">
        <f>IF(ISERROR(VLOOKUP($T$386,'TAR FIN'!$A$1:$O$113,15,0)),0,VLOOKUP($T$386,'TAR FIN'!$A$1:$O$113,15,0))</f>
        <v>72.150000000000006</v>
      </c>
      <c r="X386" s="6">
        <f>IF(ISERROR(VLOOKUP($U$386,'TAR FIN'!$A$1:$O$113,15,0)),0,VLOOKUP($U$386,'TAR FIN'!$A$1:$O$113,15,0))</f>
        <v>0</v>
      </c>
      <c r="Y386" s="6"/>
      <c r="Z386" s="6">
        <f ca="1">('TUSD BE'!$AM$21+'TUSD BF'!$AM$21+'TUSD CVA'!$AM$21)*1</f>
        <v>122.14055331663396</v>
      </c>
      <c r="AA386" s="6"/>
      <c r="AB386" s="6">
        <f>$K$386*$V$386</f>
        <v>0</v>
      </c>
      <c r="AC386" s="6">
        <f>$M$386*$W$386</f>
        <v>48309.186900000008</v>
      </c>
      <c r="AD386" s="6">
        <f>$O$386*$X$386</f>
        <v>0</v>
      </c>
      <c r="AE386" s="6">
        <f>$K$386*$Y$386</f>
        <v>0</v>
      </c>
      <c r="AF386" s="6">
        <f ca="1">$M$386*$Z$386</f>
        <v>81781.16172200533</v>
      </c>
      <c r="AG386" s="6">
        <f>$O$386*$AA$386</f>
        <v>0</v>
      </c>
    </row>
    <row r="387" spans="1:33" ht="11.25" customHeight="1" x14ac:dyDescent="0.3">
      <c r="A387" s="4" t="s">
        <v>21</v>
      </c>
      <c r="B387" s="4" t="s">
        <v>39</v>
      </c>
      <c r="C387" s="4" t="s">
        <v>41</v>
      </c>
      <c r="D387" s="4" t="s">
        <v>38</v>
      </c>
      <c r="E387" s="4" t="s">
        <v>25</v>
      </c>
      <c r="F387" s="4" t="s">
        <v>25</v>
      </c>
      <c r="G387" s="4" t="s">
        <v>25</v>
      </c>
      <c r="H387" s="4" t="s">
        <v>25</v>
      </c>
      <c r="I387" s="5">
        <v>44501</v>
      </c>
      <c r="J387" s="6">
        <v>9109</v>
      </c>
      <c r="K387" s="6">
        <v>9109</v>
      </c>
      <c r="L387" s="6">
        <v>0</v>
      </c>
      <c r="M387" s="6">
        <v>0</v>
      </c>
      <c r="N387" s="6">
        <v>0</v>
      </c>
      <c r="O387" s="6">
        <v>0</v>
      </c>
      <c r="P387" s="6">
        <v>39</v>
      </c>
      <c r="Q387" s="4" t="s">
        <v>26</v>
      </c>
      <c r="R387" s="4">
        <v>0</v>
      </c>
      <c r="S387" s="6">
        <v>20</v>
      </c>
      <c r="T387" s="6">
        <v>0</v>
      </c>
      <c r="U387" s="6">
        <v>0</v>
      </c>
      <c r="V387" s="6">
        <f>IF(ISERROR(VLOOKUP($S$387,'TAR FIN'!$A$1:$O$113,15,0)),0,VLOOKUP($S$387,'TAR FIN'!$A$1:$O$113,15,0))</f>
        <v>14</v>
      </c>
      <c r="W387" s="6">
        <f>IF(ISERROR(VLOOKUP($T$387,'TAR FIN'!$A$1:$O$113,15,0)),0,VLOOKUP($T$387,'TAR FIN'!$A$1:$O$113,15,0))</f>
        <v>0</v>
      </c>
      <c r="X387" s="6">
        <f>IF(ISERROR(VLOOKUP($U$387,'TAR FIN'!$A$1:$O$113,15,0)),0,VLOOKUP($U$387,'TAR FIN'!$A$1:$O$113,15,0))</f>
        <v>0</v>
      </c>
      <c r="Y387" s="6">
        <f ca="1">('TUSD BE'!$AM$19+'TUSD BF'!$AM$19+'TUSD CVA'!$AM$19)*1</f>
        <v>16.035953923331604</v>
      </c>
      <c r="Z387" s="6"/>
      <c r="AA387" s="6"/>
      <c r="AB387" s="6">
        <f>$K$387*$V$387</f>
        <v>127526</v>
      </c>
      <c r="AC387" s="6">
        <f>$M$387*$W$387</f>
        <v>0</v>
      </c>
      <c r="AD387" s="6">
        <f>$O$387*$X$387</f>
        <v>0</v>
      </c>
      <c r="AE387" s="6">
        <f ca="1">$K$387*$Y$387</f>
        <v>146071.50428762758</v>
      </c>
      <c r="AF387" s="6">
        <f>$M$387*$Z$387</f>
        <v>0</v>
      </c>
      <c r="AG387" s="6">
        <f>$O$387*$AA$387</f>
        <v>0</v>
      </c>
    </row>
    <row r="388" spans="1:33" ht="11.25" customHeight="1" x14ac:dyDescent="0.3">
      <c r="A388" s="4" t="s">
        <v>21</v>
      </c>
      <c r="B388" s="4" t="s">
        <v>39</v>
      </c>
      <c r="C388" s="4" t="s">
        <v>41</v>
      </c>
      <c r="D388" s="4" t="s">
        <v>38</v>
      </c>
      <c r="E388" s="4" t="s">
        <v>25</v>
      </c>
      <c r="F388" s="4" t="s">
        <v>25</v>
      </c>
      <c r="G388" s="4" t="s">
        <v>25</v>
      </c>
      <c r="H388" s="4" t="s">
        <v>25</v>
      </c>
      <c r="I388" s="5">
        <v>44501</v>
      </c>
      <c r="J388" s="6">
        <v>2000</v>
      </c>
      <c r="K388" s="6">
        <v>2000</v>
      </c>
      <c r="L388" s="6">
        <v>0</v>
      </c>
      <c r="M388" s="6">
        <v>0</v>
      </c>
      <c r="N388" s="6">
        <v>0</v>
      </c>
      <c r="O388" s="6">
        <v>0</v>
      </c>
      <c r="P388" s="6">
        <v>1</v>
      </c>
      <c r="Q388" s="4" t="s">
        <v>55</v>
      </c>
      <c r="R388" s="4">
        <v>0</v>
      </c>
      <c r="S388" s="6">
        <v>20</v>
      </c>
      <c r="T388" s="6">
        <v>0</v>
      </c>
      <c r="U388" s="6">
        <v>0</v>
      </c>
      <c r="V388" s="6">
        <f>IF(ISERROR(VLOOKUP($S$388,'TAR FIN'!$A$1:$O$113,15,0)),0,VLOOKUP($S$388,'TAR FIN'!$A$1:$O$113,15,0))</f>
        <v>14</v>
      </c>
      <c r="W388" s="6">
        <f>IF(ISERROR(VLOOKUP($T$388,'TAR FIN'!$A$1:$O$113,15,0)),0,VLOOKUP($T$388,'TAR FIN'!$A$1:$O$113,15,0))</f>
        <v>0</v>
      </c>
      <c r="X388" s="6">
        <f>IF(ISERROR(VLOOKUP($U$388,'TAR FIN'!$A$1:$O$113,15,0)),0,VLOOKUP($U$388,'TAR FIN'!$A$1:$O$113,15,0))</f>
        <v>0</v>
      </c>
      <c r="Y388" s="6">
        <f ca="1">('TUSD BE'!$AM$19+'TUSD BF'!$AM$19+'TUSD CVA'!$AM$19)*1</f>
        <v>16.035953923331604</v>
      </c>
      <c r="Z388" s="6"/>
      <c r="AA388" s="6"/>
      <c r="AB388" s="6">
        <f>$K$388*$V$388</f>
        <v>28000</v>
      </c>
      <c r="AC388" s="6">
        <f>$M$388*$W$388</f>
        <v>0</v>
      </c>
      <c r="AD388" s="6">
        <f>$O$388*$X$388</f>
        <v>0</v>
      </c>
      <c r="AE388" s="6">
        <f ca="1">$K$388*$Y$388</f>
        <v>32071.907846663209</v>
      </c>
      <c r="AF388" s="6">
        <f>$M$388*$Z$388</f>
        <v>0</v>
      </c>
      <c r="AG388" s="6">
        <f>$O$388*$AA$388</f>
        <v>0</v>
      </c>
    </row>
    <row r="389" spans="1:33" ht="11.25" customHeight="1" x14ac:dyDescent="0.3">
      <c r="A389" s="4" t="s">
        <v>21</v>
      </c>
      <c r="B389" s="4" t="s">
        <v>39</v>
      </c>
      <c r="C389" s="4" t="s">
        <v>41</v>
      </c>
      <c r="D389" s="4" t="s">
        <v>38</v>
      </c>
      <c r="E389" s="4" t="s">
        <v>25</v>
      </c>
      <c r="F389" s="4" t="s">
        <v>25</v>
      </c>
      <c r="G389" s="4" t="s">
        <v>25</v>
      </c>
      <c r="H389" s="4" t="s">
        <v>25</v>
      </c>
      <c r="I389" s="5">
        <v>44531</v>
      </c>
      <c r="J389" s="6">
        <v>9064</v>
      </c>
      <c r="K389" s="6">
        <v>9064</v>
      </c>
      <c r="L389" s="6">
        <v>0</v>
      </c>
      <c r="M389" s="6">
        <v>0</v>
      </c>
      <c r="N389" s="6">
        <v>0</v>
      </c>
      <c r="O389" s="6">
        <v>0</v>
      </c>
      <c r="P389" s="6">
        <v>39</v>
      </c>
      <c r="Q389" s="4" t="s">
        <v>26</v>
      </c>
      <c r="R389" s="4">
        <v>0</v>
      </c>
      <c r="S389" s="6">
        <v>20</v>
      </c>
      <c r="T389" s="6">
        <v>0</v>
      </c>
      <c r="U389" s="6">
        <v>0</v>
      </c>
      <c r="V389" s="6">
        <f>IF(ISERROR(VLOOKUP($S$389,'TAR FIN'!$A$1:$O$113,15,0)),0,VLOOKUP($S$389,'TAR FIN'!$A$1:$O$113,15,0))</f>
        <v>14</v>
      </c>
      <c r="W389" s="6">
        <f>IF(ISERROR(VLOOKUP($T$389,'TAR FIN'!$A$1:$O$113,15,0)),0,VLOOKUP($T$389,'TAR FIN'!$A$1:$O$113,15,0))</f>
        <v>0</v>
      </c>
      <c r="X389" s="6">
        <f>IF(ISERROR(VLOOKUP($U$389,'TAR FIN'!$A$1:$O$113,15,0)),0,VLOOKUP($U$389,'TAR FIN'!$A$1:$O$113,15,0))</f>
        <v>0</v>
      </c>
      <c r="Y389" s="6">
        <f ca="1">('TUSD BE'!$AM$19+'TUSD BF'!$AM$19+'TUSD CVA'!$AM$19)*1</f>
        <v>16.035953923331604</v>
      </c>
      <c r="Z389" s="6"/>
      <c r="AA389" s="6"/>
      <c r="AB389" s="6">
        <f>$K$389*$V$389</f>
        <v>126896</v>
      </c>
      <c r="AC389" s="6">
        <f>$M$389*$W$389</f>
        <v>0</v>
      </c>
      <c r="AD389" s="6">
        <f>$O$389*$X$389</f>
        <v>0</v>
      </c>
      <c r="AE389" s="6">
        <f ca="1">$K$389*$Y$389</f>
        <v>145349.88636107766</v>
      </c>
      <c r="AF389" s="6">
        <f>$M$389*$Z$389</f>
        <v>0</v>
      </c>
      <c r="AG389" s="6">
        <f>$O$389*$AA$389</f>
        <v>0</v>
      </c>
    </row>
    <row r="390" spans="1:33" ht="11.25" customHeight="1" x14ac:dyDescent="0.3">
      <c r="A390" s="4" t="s">
        <v>21</v>
      </c>
      <c r="B390" s="4" t="s">
        <v>39</v>
      </c>
      <c r="C390" s="4" t="s">
        <v>41</v>
      </c>
      <c r="D390" s="4" t="s">
        <v>38</v>
      </c>
      <c r="E390" s="4" t="s">
        <v>25</v>
      </c>
      <c r="F390" s="4" t="s">
        <v>25</v>
      </c>
      <c r="G390" s="4" t="s">
        <v>25</v>
      </c>
      <c r="H390" s="4" t="s">
        <v>25</v>
      </c>
      <c r="I390" s="5">
        <v>44531</v>
      </c>
      <c r="J390" s="6">
        <v>2000</v>
      </c>
      <c r="K390" s="6">
        <v>2000</v>
      </c>
      <c r="L390" s="6">
        <v>0</v>
      </c>
      <c r="M390" s="6">
        <v>0</v>
      </c>
      <c r="N390" s="6">
        <v>0</v>
      </c>
      <c r="O390" s="6">
        <v>0</v>
      </c>
      <c r="P390" s="6">
        <v>1</v>
      </c>
      <c r="Q390" s="4" t="s">
        <v>55</v>
      </c>
      <c r="R390" s="4">
        <v>0</v>
      </c>
      <c r="S390" s="6">
        <v>20</v>
      </c>
      <c r="T390" s="6">
        <v>0</v>
      </c>
      <c r="U390" s="6">
        <v>0</v>
      </c>
      <c r="V390" s="6">
        <f>IF(ISERROR(VLOOKUP($S$390,'TAR FIN'!$A$1:$O$113,15,0)),0,VLOOKUP($S$390,'TAR FIN'!$A$1:$O$113,15,0))</f>
        <v>14</v>
      </c>
      <c r="W390" s="6">
        <f>IF(ISERROR(VLOOKUP($T$390,'TAR FIN'!$A$1:$O$113,15,0)),0,VLOOKUP($T$390,'TAR FIN'!$A$1:$O$113,15,0))</f>
        <v>0</v>
      </c>
      <c r="X390" s="6">
        <f>IF(ISERROR(VLOOKUP($U$390,'TAR FIN'!$A$1:$O$113,15,0)),0,VLOOKUP($U$390,'TAR FIN'!$A$1:$O$113,15,0))</f>
        <v>0</v>
      </c>
      <c r="Y390" s="6">
        <f ca="1">('TUSD BE'!$AM$19+'TUSD BF'!$AM$19+'TUSD CVA'!$AM$19)*1</f>
        <v>16.035953923331604</v>
      </c>
      <c r="Z390" s="6"/>
      <c r="AA390" s="6"/>
      <c r="AB390" s="6">
        <f>$K$390*$V$390</f>
        <v>28000</v>
      </c>
      <c r="AC390" s="6">
        <f>$M$390*$W$390</f>
        <v>0</v>
      </c>
      <c r="AD390" s="6">
        <f>$O$390*$X$390</f>
        <v>0</v>
      </c>
      <c r="AE390" s="6">
        <f ca="1">$K$390*$Y$390</f>
        <v>32071.907846663209</v>
      </c>
      <c r="AF390" s="6">
        <f>$M$390*$Z$390</f>
        <v>0</v>
      </c>
      <c r="AG390" s="6">
        <f>$O$390*$AA$390</f>
        <v>0</v>
      </c>
    </row>
    <row r="391" spans="1:33" ht="11.25" customHeight="1" x14ac:dyDescent="0.3">
      <c r="A391" s="4" t="s">
        <v>21</v>
      </c>
      <c r="B391" s="4" t="s">
        <v>39</v>
      </c>
      <c r="C391" s="4" t="s">
        <v>41</v>
      </c>
      <c r="D391" s="4" t="s">
        <v>38</v>
      </c>
      <c r="E391" s="4" t="s">
        <v>25</v>
      </c>
      <c r="F391" s="4" t="s">
        <v>25</v>
      </c>
      <c r="G391" s="4" t="s">
        <v>25</v>
      </c>
      <c r="H391" s="4" t="s">
        <v>25</v>
      </c>
      <c r="I391" s="5">
        <v>44562</v>
      </c>
      <c r="J391" s="6">
        <v>8998</v>
      </c>
      <c r="K391" s="6">
        <v>8998</v>
      </c>
      <c r="L391" s="6">
        <v>0</v>
      </c>
      <c r="M391" s="6">
        <v>0</v>
      </c>
      <c r="N391" s="6">
        <v>0</v>
      </c>
      <c r="O391" s="6">
        <v>0</v>
      </c>
      <c r="P391" s="6">
        <v>39</v>
      </c>
      <c r="Q391" s="4" t="s">
        <v>26</v>
      </c>
      <c r="R391" s="4">
        <v>0</v>
      </c>
      <c r="S391" s="6">
        <v>20</v>
      </c>
      <c r="T391" s="6">
        <v>0</v>
      </c>
      <c r="U391" s="6">
        <v>0</v>
      </c>
      <c r="V391" s="6">
        <f>IF(ISERROR(VLOOKUP($S$391,'TAR FIN'!$A$1:$O$113,15,0)),0,VLOOKUP($S$391,'TAR FIN'!$A$1:$O$113,15,0))</f>
        <v>14</v>
      </c>
      <c r="W391" s="6">
        <f>IF(ISERROR(VLOOKUP($T$391,'TAR FIN'!$A$1:$O$113,15,0)),0,VLOOKUP($T$391,'TAR FIN'!$A$1:$O$113,15,0))</f>
        <v>0</v>
      </c>
      <c r="X391" s="6">
        <f>IF(ISERROR(VLOOKUP($U$391,'TAR FIN'!$A$1:$O$113,15,0)),0,VLOOKUP($U$391,'TAR FIN'!$A$1:$O$113,15,0))</f>
        <v>0</v>
      </c>
      <c r="Y391" s="6">
        <f ca="1">('TUSD BE'!$AM$19+'TUSD BF'!$AM$19+'TUSD CVA'!$AM$19)*1</f>
        <v>16.035953923331604</v>
      </c>
      <c r="Z391" s="6"/>
      <c r="AA391" s="6"/>
      <c r="AB391" s="6">
        <f>$K$391*$V$391</f>
        <v>125972</v>
      </c>
      <c r="AC391" s="6">
        <f>$M$391*$W$391</f>
        <v>0</v>
      </c>
      <c r="AD391" s="6">
        <f>$O$391*$X$391</f>
        <v>0</v>
      </c>
      <c r="AE391" s="6">
        <f ca="1">$K$391*$Y$391</f>
        <v>144291.51340213779</v>
      </c>
      <c r="AF391" s="6">
        <f>$M$391*$Z$391</f>
        <v>0</v>
      </c>
      <c r="AG391" s="6">
        <f>$O$391*$AA$391</f>
        <v>0</v>
      </c>
    </row>
    <row r="392" spans="1:33" ht="11.25" customHeight="1" x14ac:dyDescent="0.3">
      <c r="A392" s="4" t="s">
        <v>21</v>
      </c>
      <c r="B392" s="4" t="s">
        <v>39</v>
      </c>
      <c r="C392" s="4" t="s">
        <v>41</v>
      </c>
      <c r="D392" s="4" t="s">
        <v>38</v>
      </c>
      <c r="E392" s="4" t="s">
        <v>25</v>
      </c>
      <c r="F392" s="4" t="s">
        <v>25</v>
      </c>
      <c r="G392" s="4" t="s">
        <v>25</v>
      </c>
      <c r="H392" s="4" t="s">
        <v>25</v>
      </c>
      <c r="I392" s="5">
        <v>44562</v>
      </c>
      <c r="J392" s="6">
        <v>2000</v>
      </c>
      <c r="K392" s="6">
        <v>2000</v>
      </c>
      <c r="L392" s="6">
        <v>0</v>
      </c>
      <c r="M392" s="6">
        <v>0</v>
      </c>
      <c r="N392" s="6">
        <v>0</v>
      </c>
      <c r="O392" s="6">
        <v>0</v>
      </c>
      <c r="P392" s="6">
        <v>1</v>
      </c>
      <c r="Q392" s="4" t="s">
        <v>55</v>
      </c>
      <c r="R392" s="4">
        <v>0</v>
      </c>
      <c r="S392" s="6">
        <v>20</v>
      </c>
      <c r="T392" s="6">
        <v>0</v>
      </c>
      <c r="U392" s="6">
        <v>0</v>
      </c>
      <c r="V392" s="6">
        <f>IF(ISERROR(VLOOKUP($S$392,'TAR FIN'!$A$1:$O$113,15,0)),0,VLOOKUP($S$392,'TAR FIN'!$A$1:$O$113,15,0))</f>
        <v>14</v>
      </c>
      <c r="W392" s="6">
        <f>IF(ISERROR(VLOOKUP($T$392,'TAR FIN'!$A$1:$O$113,15,0)),0,VLOOKUP($T$392,'TAR FIN'!$A$1:$O$113,15,0))</f>
        <v>0</v>
      </c>
      <c r="X392" s="6">
        <f>IF(ISERROR(VLOOKUP($U$392,'TAR FIN'!$A$1:$O$113,15,0)),0,VLOOKUP($U$392,'TAR FIN'!$A$1:$O$113,15,0))</f>
        <v>0</v>
      </c>
      <c r="Y392" s="6">
        <f ca="1">('TUSD BE'!$AM$19+'TUSD BF'!$AM$19+'TUSD CVA'!$AM$19)*1</f>
        <v>16.035953923331604</v>
      </c>
      <c r="Z392" s="6"/>
      <c r="AA392" s="6"/>
      <c r="AB392" s="6">
        <f>$K$392*$V$392</f>
        <v>28000</v>
      </c>
      <c r="AC392" s="6">
        <f>$M$392*$W$392</f>
        <v>0</v>
      </c>
      <c r="AD392" s="6">
        <f>$O$392*$X$392</f>
        <v>0</v>
      </c>
      <c r="AE392" s="6">
        <f ca="1">$K$392*$Y$392</f>
        <v>32071.907846663209</v>
      </c>
      <c r="AF392" s="6">
        <f>$M$392*$Z$392</f>
        <v>0</v>
      </c>
      <c r="AG392" s="6">
        <f>$O$392*$AA$392</f>
        <v>0</v>
      </c>
    </row>
    <row r="393" spans="1:33" ht="11.25" customHeight="1" x14ac:dyDescent="0.3">
      <c r="A393" s="4" t="s">
        <v>21</v>
      </c>
      <c r="B393" s="4" t="s">
        <v>39</v>
      </c>
      <c r="C393" s="4" t="s">
        <v>41</v>
      </c>
      <c r="D393" s="4" t="s">
        <v>38</v>
      </c>
      <c r="E393" s="4" t="s">
        <v>25</v>
      </c>
      <c r="F393" s="4" t="s">
        <v>25</v>
      </c>
      <c r="G393" s="4" t="s">
        <v>25</v>
      </c>
      <c r="H393" s="4" t="s">
        <v>25</v>
      </c>
      <c r="I393" s="5">
        <v>44593</v>
      </c>
      <c r="J393" s="6">
        <v>8411</v>
      </c>
      <c r="K393" s="6">
        <v>8411</v>
      </c>
      <c r="L393" s="6">
        <v>0</v>
      </c>
      <c r="M393" s="6">
        <v>0</v>
      </c>
      <c r="N393" s="6">
        <v>0</v>
      </c>
      <c r="O393" s="6">
        <v>0</v>
      </c>
      <c r="P393" s="6">
        <v>37</v>
      </c>
      <c r="Q393" s="4" t="s">
        <v>26</v>
      </c>
      <c r="R393" s="4">
        <v>0</v>
      </c>
      <c r="S393" s="6">
        <v>20</v>
      </c>
      <c r="T393" s="6">
        <v>0</v>
      </c>
      <c r="U393" s="6">
        <v>0</v>
      </c>
      <c r="V393" s="6">
        <f>IF(ISERROR(VLOOKUP($S$393,'TAR FIN'!$A$1:$O$113,15,0)),0,VLOOKUP($S$393,'TAR FIN'!$A$1:$O$113,15,0))</f>
        <v>14</v>
      </c>
      <c r="W393" s="6">
        <f>IF(ISERROR(VLOOKUP($T$393,'TAR FIN'!$A$1:$O$113,15,0)),0,VLOOKUP($T$393,'TAR FIN'!$A$1:$O$113,15,0))</f>
        <v>0</v>
      </c>
      <c r="X393" s="6">
        <f>IF(ISERROR(VLOOKUP($U$393,'TAR FIN'!$A$1:$O$113,15,0)),0,VLOOKUP($U$393,'TAR FIN'!$A$1:$O$113,15,0))</f>
        <v>0</v>
      </c>
      <c r="Y393" s="6">
        <f ca="1">('TUSD BE'!$AM$19+'TUSD BF'!$AM$19+'TUSD CVA'!$AM$19)*1</f>
        <v>16.035953923331604</v>
      </c>
      <c r="Z393" s="6"/>
      <c r="AA393" s="6"/>
      <c r="AB393" s="6">
        <f>$K$393*$V$393</f>
        <v>117754</v>
      </c>
      <c r="AC393" s="6">
        <f>$M$393*$W$393</f>
        <v>0</v>
      </c>
      <c r="AD393" s="6">
        <f>$O$393*$X$393</f>
        <v>0</v>
      </c>
      <c r="AE393" s="6">
        <f ca="1">$K$393*$Y$393</f>
        <v>134878.40844914212</v>
      </c>
      <c r="AF393" s="6">
        <f>$M$393*$Z$393</f>
        <v>0</v>
      </c>
      <c r="AG393" s="6">
        <f>$O$393*$AA$393</f>
        <v>0</v>
      </c>
    </row>
    <row r="394" spans="1:33" ht="11.25" customHeight="1" x14ac:dyDescent="0.3">
      <c r="A394" s="4" t="s">
        <v>28</v>
      </c>
      <c r="B394" s="4" t="s">
        <v>39</v>
      </c>
      <c r="C394" s="4" t="s">
        <v>41</v>
      </c>
      <c r="D394" s="4" t="s">
        <v>38</v>
      </c>
      <c r="E394" s="4" t="s">
        <v>25</v>
      </c>
      <c r="F394" s="4" t="s">
        <v>25</v>
      </c>
      <c r="G394" s="4" t="s">
        <v>25</v>
      </c>
      <c r="H394" s="4" t="s">
        <v>25</v>
      </c>
      <c r="I394" s="5">
        <v>44593</v>
      </c>
      <c r="J394" s="6">
        <v>162</v>
      </c>
      <c r="K394" s="6">
        <v>162</v>
      </c>
      <c r="L394" s="6">
        <v>0</v>
      </c>
      <c r="M394" s="6">
        <v>0</v>
      </c>
      <c r="N394" s="6">
        <v>0</v>
      </c>
      <c r="O394" s="6">
        <v>0</v>
      </c>
      <c r="P394" s="6">
        <v>1</v>
      </c>
      <c r="Q394" s="4" t="s">
        <v>26</v>
      </c>
      <c r="R394" s="4">
        <v>0</v>
      </c>
      <c r="S394" s="6">
        <v>20</v>
      </c>
      <c r="T394" s="6">
        <v>0</v>
      </c>
      <c r="U394" s="6">
        <v>0</v>
      </c>
      <c r="V394" s="6">
        <f>IF(ISERROR(VLOOKUP($S$394,'TAR FIN'!$A$1:$O$113,15,0)),0,VLOOKUP($S$394,'TAR FIN'!$A$1:$O$113,15,0))</f>
        <v>14</v>
      </c>
      <c r="W394" s="6">
        <f>IF(ISERROR(VLOOKUP($T$394,'TAR FIN'!$A$1:$O$113,15,0)),0,VLOOKUP($T$394,'TAR FIN'!$A$1:$O$113,15,0))</f>
        <v>0</v>
      </c>
      <c r="X394" s="6">
        <f>IF(ISERROR(VLOOKUP($U$394,'TAR FIN'!$A$1:$O$113,15,0)),0,VLOOKUP($U$394,'TAR FIN'!$A$1:$O$113,15,0))</f>
        <v>0</v>
      </c>
      <c r="Y394" s="6">
        <f ca="1">('TUSD BE'!$AM$19+'TUSD BF'!$AM$19+'TUSD CVA'!$AM$19)*1</f>
        <v>16.035953923331604</v>
      </c>
      <c r="Z394" s="6"/>
      <c r="AA394" s="6"/>
      <c r="AB394" s="6">
        <f>$K$394*$V$394</f>
        <v>2268</v>
      </c>
      <c r="AC394" s="6">
        <f>$M$394*$W$394</f>
        <v>0</v>
      </c>
      <c r="AD394" s="6">
        <f>$O$394*$X$394</f>
        <v>0</v>
      </c>
      <c r="AE394" s="6">
        <f ca="1">$K$394*$Y$394</f>
        <v>2597.8245355797198</v>
      </c>
      <c r="AF394" s="6">
        <f>$M$394*$Z$394</f>
        <v>0</v>
      </c>
      <c r="AG394" s="6">
        <f>$O$394*$AA$394</f>
        <v>0</v>
      </c>
    </row>
    <row r="395" spans="1:33" ht="11.25" customHeight="1" x14ac:dyDescent="0.3">
      <c r="A395" s="4" t="s">
        <v>21</v>
      </c>
      <c r="B395" s="4" t="s">
        <v>39</v>
      </c>
      <c r="C395" s="4" t="s">
        <v>41</v>
      </c>
      <c r="D395" s="4" t="s">
        <v>38</v>
      </c>
      <c r="E395" s="4" t="s">
        <v>25</v>
      </c>
      <c r="F395" s="4" t="s">
        <v>25</v>
      </c>
      <c r="G395" s="4" t="s">
        <v>25</v>
      </c>
      <c r="H395" s="4" t="s">
        <v>25</v>
      </c>
      <c r="I395" s="5">
        <v>44593</v>
      </c>
      <c r="J395" s="6">
        <v>2000</v>
      </c>
      <c r="K395" s="6">
        <v>2000</v>
      </c>
      <c r="L395" s="6">
        <v>0</v>
      </c>
      <c r="M395" s="6">
        <v>0</v>
      </c>
      <c r="N395" s="6">
        <v>0</v>
      </c>
      <c r="O395" s="6">
        <v>0</v>
      </c>
      <c r="P395" s="6">
        <v>1</v>
      </c>
      <c r="Q395" s="4" t="s">
        <v>55</v>
      </c>
      <c r="R395" s="4">
        <v>0</v>
      </c>
      <c r="S395" s="6">
        <v>20</v>
      </c>
      <c r="T395" s="6">
        <v>0</v>
      </c>
      <c r="U395" s="6">
        <v>0</v>
      </c>
      <c r="V395" s="6">
        <f>IF(ISERROR(VLOOKUP($S$395,'TAR FIN'!$A$1:$O$113,15,0)),0,VLOOKUP($S$395,'TAR FIN'!$A$1:$O$113,15,0))</f>
        <v>14</v>
      </c>
      <c r="W395" s="6">
        <f>IF(ISERROR(VLOOKUP($T$395,'TAR FIN'!$A$1:$O$113,15,0)),0,VLOOKUP($T$395,'TAR FIN'!$A$1:$O$113,15,0))</f>
        <v>0</v>
      </c>
      <c r="X395" s="6">
        <f>IF(ISERROR(VLOOKUP($U$395,'TAR FIN'!$A$1:$O$113,15,0)),0,VLOOKUP($U$395,'TAR FIN'!$A$1:$O$113,15,0))</f>
        <v>0</v>
      </c>
      <c r="Y395" s="6">
        <f ca="1">('TUSD BE'!$AM$19+'TUSD BF'!$AM$19+'TUSD CVA'!$AM$19)*1</f>
        <v>16.035953923331604</v>
      </c>
      <c r="Z395" s="6"/>
      <c r="AA395" s="6"/>
      <c r="AB395" s="6">
        <f>$K$395*$V$395</f>
        <v>28000</v>
      </c>
      <c r="AC395" s="6">
        <f>$M$395*$W$395</f>
        <v>0</v>
      </c>
      <c r="AD395" s="6">
        <f>$O$395*$X$395</f>
        <v>0</v>
      </c>
      <c r="AE395" s="6">
        <f ca="1">$K$395*$Y$395</f>
        <v>32071.907846663209</v>
      </c>
      <c r="AF395" s="6">
        <f>$M$395*$Z$395</f>
        <v>0</v>
      </c>
      <c r="AG395" s="6">
        <f>$O$395*$AA$395</f>
        <v>0</v>
      </c>
    </row>
    <row r="396" spans="1:33" ht="11.25" customHeight="1" x14ac:dyDescent="0.3">
      <c r="A396" s="4" t="s">
        <v>21</v>
      </c>
      <c r="B396" s="4" t="s">
        <v>39</v>
      </c>
      <c r="C396" s="4" t="s">
        <v>41</v>
      </c>
      <c r="D396" s="4" t="s">
        <v>38</v>
      </c>
      <c r="E396" s="4" t="s">
        <v>25</v>
      </c>
      <c r="F396" s="4" t="s">
        <v>25</v>
      </c>
      <c r="G396" s="4" t="s">
        <v>25</v>
      </c>
      <c r="H396" s="4" t="s">
        <v>25</v>
      </c>
      <c r="I396" s="5">
        <v>44621</v>
      </c>
      <c r="J396" s="6">
        <v>8139</v>
      </c>
      <c r="K396" s="6">
        <v>8139</v>
      </c>
      <c r="L396" s="6">
        <v>0</v>
      </c>
      <c r="M396" s="6">
        <v>0</v>
      </c>
      <c r="N396" s="6">
        <v>0</v>
      </c>
      <c r="O396" s="6">
        <v>0</v>
      </c>
      <c r="P396" s="6">
        <v>35</v>
      </c>
      <c r="Q396" s="4" t="s">
        <v>26</v>
      </c>
      <c r="R396" s="4">
        <v>0</v>
      </c>
      <c r="S396" s="6">
        <v>20</v>
      </c>
      <c r="T396" s="6">
        <v>0</v>
      </c>
      <c r="U396" s="6">
        <v>0</v>
      </c>
      <c r="V396" s="6">
        <f>IF(ISERROR(VLOOKUP($S$396,'TAR FIN'!$A$1:$O$113,15,0)),0,VLOOKUP($S$396,'TAR FIN'!$A$1:$O$113,15,0))</f>
        <v>14</v>
      </c>
      <c r="W396" s="6">
        <f>IF(ISERROR(VLOOKUP($T$396,'TAR FIN'!$A$1:$O$113,15,0)),0,VLOOKUP($T$396,'TAR FIN'!$A$1:$O$113,15,0))</f>
        <v>0</v>
      </c>
      <c r="X396" s="6">
        <f>IF(ISERROR(VLOOKUP($U$396,'TAR FIN'!$A$1:$O$113,15,0)),0,VLOOKUP($U$396,'TAR FIN'!$A$1:$O$113,15,0))</f>
        <v>0</v>
      </c>
      <c r="Y396" s="6">
        <f ca="1">('TUSD BE'!$AM$19+'TUSD BF'!$AM$19+'TUSD CVA'!$AM$19)*1</f>
        <v>16.035953923331604</v>
      </c>
      <c r="Z396" s="6"/>
      <c r="AA396" s="6"/>
      <c r="AB396" s="6">
        <f>$K$396*$V$396</f>
        <v>113946</v>
      </c>
      <c r="AC396" s="6">
        <f>$M$396*$W$396</f>
        <v>0</v>
      </c>
      <c r="AD396" s="6">
        <f>$O$396*$X$396</f>
        <v>0</v>
      </c>
      <c r="AE396" s="6">
        <f ca="1">$K$396*$Y$396</f>
        <v>130516.62898199592</v>
      </c>
      <c r="AF396" s="6">
        <f>$M$396*$Z$396</f>
        <v>0</v>
      </c>
      <c r="AG396" s="6">
        <f>$O$396*$AA$396</f>
        <v>0</v>
      </c>
    </row>
    <row r="397" spans="1:33" ht="11.25" customHeight="1" x14ac:dyDescent="0.3">
      <c r="A397" s="4" t="s">
        <v>28</v>
      </c>
      <c r="B397" s="4" t="s">
        <v>39</v>
      </c>
      <c r="C397" s="4" t="s">
        <v>41</v>
      </c>
      <c r="D397" s="4" t="s">
        <v>38</v>
      </c>
      <c r="E397" s="4" t="s">
        <v>25</v>
      </c>
      <c r="F397" s="4" t="s">
        <v>25</v>
      </c>
      <c r="G397" s="4" t="s">
        <v>25</v>
      </c>
      <c r="H397" s="4" t="s">
        <v>25</v>
      </c>
      <c r="I397" s="5">
        <v>44621</v>
      </c>
      <c r="J397" s="6">
        <v>328</v>
      </c>
      <c r="K397" s="6">
        <v>328</v>
      </c>
      <c r="L397" s="6">
        <v>0</v>
      </c>
      <c r="M397" s="6">
        <v>0</v>
      </c>
      <c r="N397" s="6">
        <v>0</v>
      </c>
      <c r="O397" s="6">
        <v>0</v>
      </c>
      <c r="P397" s="6">
        <v>2</v>
      </c>
      <c r="Q397" s="4" t="s">
        <v>26</v>
      </c>
      <c r="R397" s="4">
        <v>0</v>
      </c>
      <c r="S397" s="6">
        <v>20</v>
      </c>
      <c r="T397" s="6">
        <v>0</v>
      </c>
      <c r="U397" s="6">
        <v>0</v>
      </c>
      <c r="V397" s="6">
        <f>IF(ISERROR(VLOOKUP($S$397,'TAR FIN'!$A$1:$O$113,15,0)),0,VLOOKUP($S$397,'TAR FIN'!$A$1:$O$113,15,0))</f>
        <v>14</v>
      </c>
      <c r="W397" s="6">
        <f>IF(ISERROR(VLOOKUP($T$397,'TAR FIN'!$A$1:$O$113,15,0)),0,VLOOKUP($T$397,'TAR FIN'!$A$1:$O$113,15,0))</f>
        <v>0</v>
      </c>
      <c r="X397" s="6">
        <f>IF(ISERROR(VLOOKUP($U$397,'TAR FIN'!$A$1:$O$113,15,0)),0,VLOOKUP($U$397,'TAR FIN'!$A$1:$O$113,15,0))</f>
        <v>0</v>
      </c>
      <c r="Y397" s="6">
        <f ca="1">('TUSD BE'!$AM$19+'TUSD BF'!$AM$19+'TUSD CVA'!$AM$19)*1</f>
        <v>16.035953923331604</v>
      </c>
      <c r="Z397" s="6"/>
      <c r="AA397" s="6"/>
      <c r="AB397" s="6">
        <f>$K$397*$V$397</f>
        <v>4592</v>
      </c>
      <c r="AC397" s="6">
        <f>$M$397*$W$397</f>
        <v>0</v>
      </c>
      <c r="AD397" s="6">
        <f>$O$397*$X$397</f>
        <v>0</v>
      </c>
      <c r="AE397" s="6">
        <f ca="1">$K$397*$Y$397</f>
        <v>5259.7928868527661</v>
      </c>
      <c r="AF397" s="6">
        <f>$M$397*$Z$397</f>
        <v>0</v>
      </c>
      <c r="AG397" s="6">
        <f>$O$397*$AA$397</f>
        <v>0</v>
      </c>
    </row>
    <row r="398" spans="1:33" ht="11.25" customHeight="1" x14ac:dyDescent="0.3">
      <c r="A398" s="4" t="s">
        <v>21</v>
      </c>
      <c r="B398" s="4" t="s">
        <v>39</v>
      </c>
      <c r="C398" s="4" t="s">
        <v>41</v>
      </c>
      <c r="D398" s="4" t="s">
        <v>38</v>
      </c>
      <c r="E398" s="4" t="s">
        <v>25</v>
      </c>
      <c r="F398" s="4" t="s">
        <v>25</v>
      </c>
      <c r="G398" s="4" t="s">
        <v>25</v>
      </c>
      <c r="H398" s="4" t="s">
        <v>25</v>
      </c>
      <c r="I398" s="5">
        <v>44621</v>
      </c>
      <c r="J398" s="6">
        <v>2000</v>
      </c>
      <c r="K398" s="6">
        <v>2000</v>
      </c>
      <c r="L398" s="6">
        <v>0</v>
      </c>
      <c r="M398" s="6">
        <v>0</v>
      </c>
      <c r="N398" s="6">
        <v>0</v>
      </c>
      <c r="O398" s="6">
        <v>0</v>
      </c>
      <c r="P398" s="6">
        <v>1</v>
      </c>
      <c r="Q398" s="4" t="s">
        <v>55</v>
      </c>
      <c r="R398" s="4">
        <v>0</v>
      </c>
      <c r="S398" s="6">
        <v>20</v>
      </c>
      <c r="T398" s="6">
        <v>0</v>
      </c>
      <c r="U398" s="6">
        <v>0</v>
      </c>
      <c r="V398" s="6">
        <f>IF(ISERROR(VLOOKUP($S$398,'TAR FIN'!$A$1:$O$113,15,0)),0,VLOOKUP($S$398,'TAR FIN'!$A$1:$O$113,15,0))</f>
        <v>14</v>
      </c>
      <c r="W398" s="6">
        <f>IF(ISERROR(VLOOKUP($T$398,'TAR FIN'!$A$1:$O$113,15,0)),0,VLOOKUP($T$398,'TAR FIN'!$A$1:$O$113,15,0))</f>
        <v>0</v>
      </c>
      <c r="X398" s="6">
        <f>IF(ISERROR(VLOOKUP($U$398,'TAR FIN'!$A$1:$O$113,15,0)),0,VLOOKUP($U$398,'TAR FIN'!$A$1:$O$113,15,0))</f>
        <v>0</v>
      </c>
      <c r="Y398" s="6">
        <f ca="1">('TUSD BE'!$AM$19+'TUSD BF'!$AM$19+'TUSD CVA'!$AM$19)*1</f>
        <v>16.035953923331604</v>
      </c>
      <c r="Z398" s="6"/>
      <c r="AA398" s="6"/>
      <c r="AB398" s="6">
        <f>$K$398*$V$398</f>
        <v>28000</v>
      </c>
      <c r="AC398" s="6">
        <f>$M$398*$W$398</f>
        <v>0</v>
      </c>
      <c r="AD398" s="6">
        <f>$O$398*$X$398</f>
        <v>0</v>
      </c>
      <c r="AE398" s="6">
        <f ca="1">$K$398*$Y$398</f>
        <v>32071.907846663209</v>
      </c>
      <c r="AF398" s="6">
        <f>$M$398*$Z$398</f>
        <v>0</v>
      </c>
      <c r="AG398" s="6">
        <f>$O$398*$AA$398</f>
        <v>0</v>
      </c>
    </row>
    <row r="399" spans="1:33" ht="11.25" customHeight="1" x14ac:dyDescent="0.3">
      <c r="A399" s="4" t="s">
        <v>21</v>
      </c>
      <c r="B399" s="4" t="s">
        <v>39</v>
      </c>
      <c r="C399" s="4" t="s">
        <v>41</v>
      </c>
      <c r="D399" s="4" t="s">
        <v>38</v>
      </c>
      <c r="E399" s="4" t="s">
        <v>25</v>
      </c>
      <c r="F399" s="4" t="s">
        <v>25</v>
      </c>
      <c r="G399" s="4" t="s">
        <v>25</v>
      </c>
      <c r="H399" s="4" t="s">
        <v>25</v>
      </c>
      <c r="I399" s="5">
        <v>44652</v>
      </c>
      <c r="J399" s="6">
        <v>8033</v>
      </c>
      <c r="K399" s="6">
        <v>8033</v>
      </c>
      <c r="L399" s="6">
        <v>0</v>
      </c>
      <c r="M399" s="6">
        <v>0</v>
      </c>
      <c r="N399" s="6">
        <v>0</v>
      </c>
      <c r="O399" s="6">
        <v>0</v>
      </c>
      <c r="P399" s="6">
        <v>34</v>
      </c>
      <c r="Q399" s="4" t="s">
        <v>26</v>
      </c>
      <c r="R399" s="4">
        <v>0</v>
      </c>
      <c r="S399" s="6">
        <v>20</v>
      </c>
      <c r="T399" s="6">
        <v>0</v>
      </c>
      <c r="U399" s="6">
        <v>0</v>
      </c>
      <c r="V399" s="6">
        <f>IF(ISERROR(VLOOKUP($S$399,'TAR FIN'!$A$1:$O$113,15,0)),0,VLOOKUP($S$399,'TAR FIN'!$A$1:$O$113,15,0))</f>
        <v>14</v>
      </c>
      <c r="W399" s="6">
        <f>IF(ISERROR(VLOOKUP($T$399,'TAR FIN'!$A$1:$O$113,15,0)),0,VLOOKUP($T$399,'TAR FIN'!$A$1:$O$113,15,0))</f>
        <v>0</v>
      </c>
      <c r="X399" s="6">
        <f>IF(ISERROR(VLOOKUP($U$399,'TAR FIN'!$A$1:$O$113,15,0)),0,VLOOKUP($U$399,'TAR FIN'!$A$1:$O$113,15,0))</f>
        <v>0</v>
      </c>
      <c r="Y399" s="6">
        <f ca="1">('TUSD BE'!$AM$19+'TUSD BF'!$AM$19+'TUSD CVA'!$AM$19)*1</f>
        <v>16.035953923331604</v>
      </c>
      <c r="Z399" s="6"/>
      <c r="AA399" s="6"/>
      <c r="AB399" s="6">
        <f>$K$399*$V$399</f>
        <v>112462</v>
      </c>
      <c r="AC399" s="6">
        <f>$M$399*$W$399</f>
        <v>0</v>
      </c>
      <c r="AD399" s="6">
        <f>$O$399*$X$399</f>
        <v>0</v>
      </c>
      <c r="AE399" s="6">
        <f ca="1">$K$399*$Y$399</f>
        <v>128816.81786612277</v>
      </c>
      <c r="AF399" s="6">
        <f>$M$399*$Z$399</f>
        <v>0</v>
      </c>
      <c r="AG399" s="6">
        <f>$O$399*$AA$399</f>
        <v>0</v>
      </c>
    </row>
    <row r="400" spans="1:33" ht="11.25" customHeight="1" x14ac:dyDescent="0.3">
      <c r="A400" s="4" t="s">
        <v>28</v>
      </c>
      <c r="B400" s="4" t="s">
        <v>39</v>
      </c>
      <c r="C400" s="4" t="s">
        <v>41</v>
      </c>
      <c r="D400" s="4" t="s">
        <v>38</v>
      </c>
      <c r="E400" s="4" t="s">
        <v>25</v>
      </c>
      <c r="F400" s="4" t="s">
        <v>25</v>
      </c>
      <c r="G400" s="4" t="s">
        <v>25</v>
      </c>
      <c r="H400" s="4" t="s">
        <v>25</v>
      </c>
      <c r="I400" s="5">
        <v>44652</v>
      </c>
      <c r="J400" s="6">
        <v>460</v>
      </c>
      <c r="K400" s="6">
        <v>460</v>
      </c>
      <c r="L400" s="6">
        <v>0</v>
      </c>
      <c r="M400" s="6">
        <v>0</v>
      </c>
      <c r="N400" s="6">
        <v>0</v>
      </c>
      <c r="O400" s="6">
        <v>0</v>
      </c>
      <c r="P400" s="6">
        <v>3</v>
      </c>
      <c r="Q400" s="4" t="s">
        <v>26</v>
      </c>
      <c r="R400" s="4">
        <v>0</v>
      </c>
      <c r="S400" s="6">
        <v>20</v>
      </c>
      <c r="T400" s="6">
        <v>0</v>
      </c>
      <c r="U400" s="6">
        <v>0</v>
      </c>
      <c r="V400" s="6">
        <f>IF(ISERROR(VLOOKUP($S$400,'TAR FIN'!$A$1:$O$113,15,0)),0,VLOOKUP($S$400,'TAR FIN'!$A$1:$O$113,15,0))</f>
        <v>14</v>
      </c>
      <c r="W400" s="6">
        <f>IF(ISERROR(VLOOKUP($T$400,'TAR FIN'!$A$1:$O$113,15,0)),0,VLOOKUP($T$400,'TAR FIN'!$A$1:$O$113,15,0))</f>
        <v>0</v>
      </c>
      <c r="X400" s="6">
        <f>IF(ISERROR(VLOOKUP($U$400,'TAR FIN'!$A$1:$O$113,15,0)),0,VLOOKUP($U$400,'TAR FIN'!$A$1:$O$113,15,0))</f>
        <v>0</v>
      </c>
      <c r="Y400" s="6">
        <f ca="1">('TUSD BE'!$AM$19+'TUSD BF'!$AM$19+'TUSD CVA'!$AM$19)*1</f>
        <v>16.035953923331604</v>
      </c>
      <c r="Z400" s="6"/>
      <c r="AA400" s="6"/>
      <c r="AB400" s="6">
        <f>$K$400*$V$400</f>
        <v>6440</v>
      </c>
      <c r="AC400" s="6">
        <f>$M$400*$W$400</f>
        <v>0</v>
      </c>
      <c r="AD400" s="6">
        <f>$O$400*$X$400</f>
        <v>0</v>
      </c>
      <c r="AE400" s="6">
        <f ca="1">$K$400*$Y$400</f>
        <v>7376.5388047325378</v>
      </c>
      <c r="AF400" s="6">
        <f>$M$400*$Z$400</f>
        <v>0</v>
      </c>
      <c r="AG400" s="6">
        <f>$O$400*$AA$400</f>
        <v>0</v>
      </c>
    </row>
    <row r="401" spans="1:33" ht="11.25" customHeight="1" x14ac:dyDescent="0.3">
      <c r="A401" s="4" t="s">
        <v>21</v>
      </c>
      <c r="B401" s="4" t="s">
        <v>39</v>
      </c>
      <c r="C401" s="4" t="s">
        <v>41</v>
      </c>
      <c r="D401" s="4" t="s">
        <v>38</v>
      </c>
      <c r="E401" s="4" t="s">
        <v>25</v>
      </c>
      <c r="F401" s="4" t="s">
        <v>25</v>
      </c>
      <c r="G401" s="4" t="s">
        <v>25</v>
      </c>
      <c r="H401" s="4" t="s">
        <v>25</v>
      </c>
      <c r="I401" s="5">
        <v>44652</v>
      </c>
      <c r="J401" s="6">
        <v>2230</v>
      </c>
      <c r="K401" s="6">
        <v>2230</v>
      </c>
      <c r="L401" s="6">
        <v>0</v>
      </c>
      <c r="M401" s="6">
        <v>0</v>
      </c>
      <c r="N401" s="6">
        <v>0</v>
      </c>
      <c r="O401" s="6">
        <v>0</v>
      </c>
      <c r="P401" s="6">
        <v>2</v>
      </c>
      <c r="Q401" s="4" t="s">
        <v>55</v>
      </c>
      <c r="R401" s="4">
        <v>0</v>
      </c>
      <c r="S401" s="6">
        <v>20</v>
      </c>
      <c r="T401" s="6">
        <v>0</v>
      </c>
      <c r="U401" s="6">
        <v>0</v>
      </c>
      <c r="V401" s="6">
        <f>IF(ISERROR(VLOOKUP($S$401,'TAR FIN'!$A$1:$O$113,15,0)),0,VLOOKUP($S$401,'TAR FIN'!$A$1:$O$113,15,0))</f>
        <v>14</v>
      </c>
      <c r="W401" s="6">
        <f>IF(ISERROR(VLOOKUP($T$401,'TAR FIN'!$A$1:$O$113,15,0)),0,VLOOKUP($T$401,'TAR FIN'!$A$1:$O$113,15,0))</f>
        <v>0</v>
      </c>
      <c r="X401" s="6">
        <f>IF(ISERROR(VLOOKUP($U$401,'TAR FIN'!$A$1:$O$113,15,0)),0,VLOOKUP($U$401,'TAR FIN'!$A$1:$O$113,15,0))</f>
        <v>0</v>
      </c>
      <c r="Y401" s="6">
        <f ca="1">('TUSD BE'!$AM$19+'TUSD BF'!$AM$19+'TUSD CVA'!$AM$19)*1</f>
        <v>16.035953923331604</v>
      </c>
      <c r="Z401" s="6"/>
      <c r="AA401" s="6"/>
      <c r="AB401" s="6">
        <f>$K$401*$V$401</f>
        <v>31220</v>
      </c>
      <c r="AC401" s="6">
        <f>$M$401*$W$401</f>
        <v>0</v>
      </c>
      <c r="AD401" s="6">
        <f>$O$401*$X$401</f>
        <v>0</v>
      </c>
      <c r="AE401" s="6">
        <f ca="1">$K$401*$Y$401</f>
        <v>35760.177249029475</v>
      </c>
      <c r="AF401" s="6">
        <f>$M$401*$Z$401</f>
        <v>0</v>
      </c>
      <c r="AG401" s="6">
        <f>$O$401*$AA$401</f>
        <v>0</v>
      </c>
    </row>
    <row r="402" spans="1:33" ht="11.25" customHeight="1" x14ac:dyDescent="0.3">
      <c r="A402" s="4" t="s">
        <v>21</v>
      </c>
      <c r="B402" s="4" t="s">
        <v>39</v>
      </c>
      <c r="C402" s="4" t="s">
        <v>41</v>
      </c>
      <c r="D402" s="4" t="s">
        <v>38</v>
      </c>
      <c r="E402" s="4" t="s">
        <v>25</v>
      </c>
      <c r="F402" s="4" t="s">
        <v>25</v>
      </c>
      <c r="G402" s="4" t="s">
        <v>25</v>
      </c>
      <c r="H402" s="4" t="s">
        <v>25</v>
      </c>
      <c r="I402" s="5">
        <v>44682</v>
      </c>
      <c r="J402" s="6">
        <v>8014</v>
      </c>
      <c r="K402" s="6">
        <v>8014</v>
      </c>
      <c r="L402" s="6">
        <v>0</v>
      </c>
      <c r="M402" s="6">
        <v>0</v>
      </c>
      <c r="N402" s="6">
        <v>0</v>
      </c>
      <c r="O402" s="6">
        <v>0</v>
      </c>
      <c r="P402" s="6">
        <v>33</v>
      </c>
      <c r="Q402" s="4" t="s">
        <v>26</v>
      </c>
      <c r="R402" s="4">
        <v>0</v>
      </c>
      <c r="S402" s="6">
        <v>20</v>
      </c>
      <c r="T402" s="6">
        <v>0</v>
      </c>
      <c r="U402" s="6">
        <v>0</v>
      </c>
      <c r="V402" s="6">
        <f>IF(ISERROR(VLOOKUP($S$402,'TAR FIN'!$A$1:$O$113,15,0)),0,VLOOKUP($S$402,'TAR FIN'!$A$1:$O$113,15,0))</f>
        <v>14</v>
      </c>
      <c r="W402" s="6">
        <f>IF(ISERROR(VLOOKUP($T$402,'TAR FIN'!$A$1:$O$113,15,0)),0,VLOOKUP($T$402,'TAR FIN'!$A$1:$O$113,15,0))</f>
        <v>0</v>
      </c>
      <c r="X402" s="6">
        <f>IF(ISERROR(VLOOKUP($U$402,'TAR FIN'!$A$1:$O$113,15,0)),0,VLOOKUP($U$402,'TAR FIN'!$A$1:$O$113,15,0))</f>
        <v>0</v>
      </c>
      <c r="Y402" s="6">
        <f ca="1">('TUSD BE'!$AM$19+'TUSD BF'!$AM$19+'TUSD CVA'!$AM$19)*1</f>
        <v>16.035953923331604</v>
      </c>
      <c r="Z402" s="6"/>
      <c r="AA402" s="6"/>
      <c r="AB402" s="6">
        <f>$K$402*$V$402</f>
        <v>112196</v>
      </c>
      <c r="AC402" s="6">
        <f>$M$402*$W$402</f>
        <v>0</v>
      </c>
      <c r="AD402" s="6">
        <f>$O$402*$X$402</f>
        <v>0</v>
      </c>
      <c r="AE402" s="6">
        <f ca="1">$K$402*$Y$402</f>
        <v>128512.13474157947</v>
      </c>
      <c r="AF402" s="6">
        <f>$M$402*$Z$402</f>
        <v>0</v>
      </c>
      <c r="AG402" s="6">
        <f>$O$402*$AA$402</f>
        <v>0</v>
      </c>
    </row>
    <row r="403" spans="1:33" ht="11.25" customHeight="1" x14ac:dyDescent="0.3">
      <c r="A403" s="4" t="s">
        <v>28</v>
      </c>
      <c r="B403" s="4" t="s">
        <v>39</v>
      </c>
      <c r="C403" s="4" t="s">
        <v>41</v>
      </c>
      <c r="D403" s="4" t="s">
        <v>38</v>
      </c>
      <c r="E403" s="4" t="s">
        <v>25</v>
      </c>
      <c r="F403" s="4" t="s">
        <v>25</v>
      </c>
      <c r="G403" s="4" t="s">
        <v>25</v>
      </c>
      <c r="H403" s="4" t="s">
        <v>25</v>
      </c>
      <c r="I403" s="5">
        <v>44682</v>
      </c>
      <c r="J403" s="6">
        <v>460</v>
      </c>
      <c r="K403" s="6">
        <v>460</v>
      </c>
      <c r="L403" s="6">
        <v>0</v>
      </c>
      <c r="M403" s="6">
        <v>0</v>
      </c>
      <c r="N403" s="6">
        <v>0</v>
      </c>
      <c r="O403" s="6">
        <v>0</v>
      </c>
      <c r="P403" s="6">
        <v>3</v>
      </c>
      <c r="Q403" s="4" t="s">
        <v>26</v>
      </c>
      <c r="R403" s="4">
        <v>0</v>
      </c>
      <c r="S403" s="6">
        <v>20</v>
      </c>
      <c r="T403" s="6">
        <v>0</v>
      </c>
      <c r="U403" s="6">
        <v>0</v>
      </c>
      <c r="V403" s="6">
        <f>IF(ISERROR(VLOOKUP($S$403,'TAR FIN'!$A$1:$O$113,15,0)),0,VLOOKUP($S$403,'TAR FIN'!$A$1:$O$113,15,0))</f>
        <v>14</v>
      </c>
      <c r="W403" s="6">
        <f>IF(ISERROR(VLOOKUP($T$403,'TAR FIN'!$A$1:$O$113,15,0)),0,VLOOKUP($T$403,'TAR FIN'!$A$1:$O$113,15,0))</f>
        <v>0</v>
      </c>
      <c r="X403" s="6">
        <f>IF(ISERROR(VLOOKUP($U$403,'TAR FIN'!$A$1:$O$113,15,0)),0,VLOOKUP($U$403,'TAR FIN'!$A$1:$O$113,15,0))</f>
        <v>0</v>
      </c>
      <c r="Y403" s="6">
        <f ca="1">('TUSD BE'!$AM$19+'TUSD BF'!$AM$19+'TUSD CVA'!$AM$19)*1</f>
        <v>16.035953923331604</v>
      </c>
      <c r="Z403" s="6"/>
      <c r="AA403" s="6"/>
      <c r="AB403" s="6">
        <f>$K$403*$V$403</f>
        <v>6440</v>
      </c>
      <c r="AC403" s="6">
        <f>$M$403*$W$403</f>
        <v>0</v>
      </c>
      <c r="AD403" s="6">
        <f>$O$403*$X$403</f>
        <v>0</v>
      </c>
      <c r="AE403" s="6">
        <f ca="1">$K$403*$Y$403</f>
        <v>7376.5388047325378</v>
      </c>
      <c r="AF403" s="6">
        <f>$M$403*$Z$403</f>
        <v>0</v>
      </c>
      <c r="AG403" s="6">
        <f>$O$403*$AA$403</f>
        <v>0</v>
      </c>
    </row>
    <row r="404" spans="1:33" ht="11.25" customHeight="1" x14ac:dyDescent="0.3">
      <c r="A404" s="4" t="s">
        <v>21</v>
      </c>
      <c r="B404" s="4" t="s">
        <v>39</v>
      </c>
      <c r="C404" s="4" t="s">
        <v>41</v>
      </c>
      <c r="D404" s="4" t="s">
        <v>38</v>
      </c>
      <c r="E404" s="4" t="s">
        <v>25</v>
      </c>
      <c r="F404" s="4" t="s">
        <v>25</v>
      </c>
      <c r="G404" s="4" t="s">
        <v>25</v>
      </c>
      <c r="H404" s="4" t="s">
        <v>25</v>
      </c>
      <c r="I404" s="5">
        <v>44682</v>
      </c>
      <c r="J404" s="6">
        <v>2230</v>
      </c>
      <c r="K404" s="6">
        <v>2230</v>
      </c>
      <c r="L404" s="6">
        <v>0</v>
      </c>
      <c r="M404" s="6">
        <v>0</v>
      </c>
      <c r="N404" s="6">
        <v>0</v>
      </c>
      <c r="O404" s="6">
        <v>0</v>
      </c>
      <c r="P404" s="6">
        <v>2</v>
      </c>
      <c r="Q404" s="4" t="s">
        <v>55</v>
      </c>
      <c r="R404" s="4">
        <v>0</v>
      </c>
      <c r="S404" s="6">
        <v>20</v>
      </c>
      <c r="T404" s="6">
        <v>0</v>
      </c>
      <c r="U404" s="6">
        <v>0</v>
      </c>
      <c r="V404" s="6">
        <f>IF(ISERROR(VLOOKUP($S$404,'TAR FIN'!$A$1:$O$113,15,0)),0,VLOOKUP($S$404,'TAR FIN'!$A$1:$O$113,15,0))</f>
        <v>14</v>
      </c>
      <c r="W404" s="6">
        <f>IF(ISERROR(VLOOKUP($T$404,'TAR FIN'!$A$1:$O$113,15,0)),0,VLOOKUP($T$404,'TAR FIN'!$A$1:$O$113,15,0))</f>
        <v>0</v>
      </c>
      <c r="X404" s="6">
        <f>IF(ISERROR(VLOOKUP($U$404,'TAR FIN'!$A$1:$O$113,15,0)),0,VLOOKUP($U$404,'TAR FIN'!$A$1:$O$113,15,0))</f>
        <v>0</v>
      </c>
      <c r="Y404" s="6">
        <f ca="1">('TUSD BE'!$AM$19+'TUSD BF'!$AM$19+'TUSD CVA'!$AM$19)*1</f>
        <v>16.035953923331604</v>
      </c>
      <c r="Z404" s="6"/>
      <c r="AA404" s="6"/>
      <c r="AB404" s="6">
        <f>$K$404*$V$404</f>
        <v>31220</v>
      </c>
      <c r="AC404" s="6">
        <f>$M$404*$W$404</f>
        <v>0</v>
      </c>
      <c r="AD404" s="6">
        <f>$O$404*$X$404</f>
        <v>0</v>
      </c>
      <c r="AE404" s="6">
        <f ca="1">$K$404*$Y$404</f>
        <v>35760.177249029475</v>
      </c>
      <c r="AF404" s="6">
        <f>$M$404*$Z$404</f>
        <v>0</v>
      </c>
      <c r="AG404" s="6">
        <f>$O$404*$AA$404</f>
        <v>0</v>
      </c>
    </row>
    <row r="405" spans="1:33" ht="11.25" customHeight="1" x14ac:dyDescent="0.3">
      <c r="A405" s="4" t="s">
        <v>21</v>
      </c>
      <c r="B405" s="4" t="s">
        <v>39</v>
      </c>
      <c r="C405" s="4" t="s">
        <v>41</v>
      </c>
      <c r="D405" s="4" t="s">
        <v>38</v>
      </c>
      <c r="E405" s="4" t="s">
        <v>25</v>
      </c>
      <c r="F405" s="4" t="s">
        <v>25</v>
      </c>
      <c r="G405" s="4" t="s">
        <v>25</v>
      </c>
      <c r="H405" s="4" t="s">
        <v>25</v>
      </c>
      <c r="I405" s="5">
        <v>44713</v>
      </c>
      <c r="J405" s="6">
        <v>7994</v>
      </c>
      <c r="K405" s="6">
        <v>7994</v>
      </c>
      <c r="L405" s="6">
        <v>0</v>
      </c>
      <c r="M405" s="6">
        <v>0</v>
      </c>
      <c r="N405" s="6">
        <v>0</v>
      </c>
      <c r="O405" s="6">
        <v>0</v>
      </c>
      <c r="P405" s="6">
        <v>33</v>
      </c>
      <c r="Q405" s="4" t="s">
        <v>26</v>
      </c>
      <c r="R405" s="4">
        <v>0</v>
      </c>
      <c r="S405" s="6">
        <v>20</v>
      </c>
      <c r="T405" s="6">
        <v>0</v>
      </c>
      <c r="U405" s="6">
        <v>0</v>
      </c>
      <c r="V405" s="6">
        <f>IF(ISERROR(VLOOKUP($S$405,'TAR FIN'!$A$1:$O$113,15,0)),0,VLOOKUP($S$405,'TAR FIN'!$A$1:$O$113,15,0))</f>
        <v>14</v>
      </c>
      <c r="W405" s="6">
        <f>IF(ISERROR(VLOOKUP($T$405,'TAR FIN'!$A$1:$O$113,15,0)),0,VLOOKUP($T$405,'TAR FIN'!$A$1:$O$113,15,0))</f>
        <v>0</v>
      </c>
      <c r="X405" s="6">
        <f>IF(ISERROR(VLOOKUP($U$405,'TAR FIN'!$A$1:$O$113,15,0)),0,VLOOKUP($U$405,'TAR FIN'!$A$1:$O$113,15,0))</f>
        <v>0</v>
      </c>
      <c r="Y405" s="6">
        <f ca="1">('TUSD BE'!$AM$19+'TUSD BF'!$AM$19+'TUSD CVA'!$AM$19)*1</f>
        <v>16.035953923331604</v>
      </c>
      <c r="Z405" s="6"/>
      <c r="AA405" s="6"/>
      <c r="AB405" s="6">
        <f>$K$405*$V$405</f>
        <v>111916</v>
      </c>
      <c r="AC405" s="6">
        <f>$M$405*$W$405</f>
        <v>0</v>
      </c>
      <c r="AD405" s="6">
        <f>$O$405*$X$405</f>
        <v>0</v>
      </c>
      <c r="AE405" s="6">
        <f ca="1">$K$405*$Y$405</f>
        <v>128191.41566311284</v>
      </c>
      <c r="AF405" s="6">
        <f>$M$405*$Z$405</f>
        <v>0</v>
      </c>
      <c r="AG405" s="6">
        <f>$O$405*$AA$405</f>
        <v>0</v>
      </c>
    </row>
    <row r="406" spans="1:33" ht="11.25" customHeight="1" x14ac:dyDescent="0.3">
      <c r="A406" s="4" t="s">
        <v>28</v>
      </c>
      <c r="B406" s="4" t="s">
        <v>39</v>
      </c>
      <c r="C406" s="4" t="s">
        <v>41</v>
      </c>
      <c r="D406" s="4" t="s">
        <v>38</v>
      </c>
      <c r="E406" s="4" t="s">
        <v>25</v>
      </c>
      <c r="F406" s="4" t="s">
        <v>25</v>
      </c>
      <c r="G406" s="4" t="s">
        <v>25</v>
      </c>
      <c r="H406" s="4" t="s">
        <v>25</v>
      </c>
      <c r="I406" s="5">
        <v>44713</v>
      </c>
      <c r="J406" s="6">
        <v>460</v>
      </c>
      <c r="K406" s="6">
        <v>460</v>
      </c>
      <c r="L406" s="6">
        <v>0</v>
      </c>
      <c r="M406" s="6">
        <v>0</v>
      </c>
      <c r="N406" s="6">
        <v>0</v>
      </c>
      <c r="O406" s="6">
        <v>0</v>
      </c>
      <c r="P406" s="6">
        <v>3</v>
      </c>
      <c r="Q406" s="4" t="s">
        <v>26</v>
      </c>
      <c r="R406" s="4">
        <v>0</v>
      </c>
      <c r="S406" s="6">
        <v>20</v>
      </c>
      <c r="T406" s="6">
        <v>0</v>
      </c>
      <c r="U406" s="6">
        <v>0</v>
      </c>
      <c r="V406" s="6">
        <f>IF(ISERROR(VLOOKUP($S$406,'TAR FIN'!$A$1:$O$113,15,0)),0,VLOOKUP($S$406,'TAR FIN'!$A$1:$O$113,15,0))</f>
        <v>14</v>
      </c>
      <c r="W406" s="6">
        <f>IF(ISERROR(VLOOKUP($T$406,'TAR FIN'!$A$1:$O$113,15,0)),0,VLOOKUP($T$406,'TAR FIN'!$A$1:$O$113,15,0))</f>
        <v>0</v>
      </c>
      <c r="X406" s="6">
        <f>IF(ISERROR(VLOOKUP($U$406,'TAR FIN'!$A$1:$O$113,15,0)),0,VLOOKUP($U$406,'TAR FIN'!$A$1:$O$113,15,0))</f>
        <v>0</v>
      </c>
      <c r="Y406" s="6">
        <f ca="1">('TUSD BE'!$AM$19+'TUSD BF'!$AM$19+'TUSD CVA'!$AM$19)*1</f>
        <v>16.035953923331604</v>
      </c>
      <c r="Z406" s="6"/>
      <c r="AA406" s="6"/>
      <c r="AB406" s="6">
        <f>$K$406*$V$406</f>
        <v>6440</v>
      </c>
      <c r="AC406" s="6">
        <f>$M$406*$W$406</f>
        <v>0</v>
      </c>
      <c r="AD406" s="6">
        <f>$O$406*$X$406</f>
        <v>0</v>
      </c>
      <c r="AE406" s="6">
        <f ca="1">$K$406*$Y$406</f>
        <v>7376.5388047325378</v>
      </c>
      <c r="AF406" s="6">
        <f>$M$406*$Z$406</f>
        <v>0</v>
      </c>
      <c r="AG406" s="6">
        <f>$O$406*$AA$406</f>
        <v>0</v>
      </c>
    </row>
    <row r="407" spans="1:33" ht="11.25" customHeight="1" x14ac:dyDescent="0.3">
      <c r="A407" s="4" t="s">
        <v>21</v>
      </c>
      <c r="B407" s="4" t="s">
        <v>39</v>
      </c>
      <c r="C407" s="4" t="s">
        <v>41</v>
      </c>
      <c r="D407" s="4" t="s">
        <v>38</v>
      </c>
      <c r="E407" s="4" t="s">
        <v>25</v>
      </c>
      <c r="F407" s="4" t="s">
        <v>25</v>
      </c>
      <c r="G407" s="4" t="s">
        <v>25</v>
      </c>
      <c r="H407" s="4" t="s">
        <v>25</v>
      </c>
      <c r="I407" s="5">
        <v>44713</v>
      </c>
      <c r="J407" s="6">
        <v>2000</v>
      </c>
      <c r="K407" s="6">
        <v>2000</v>
      </c>
      <c r="L407" s="6">
        <v>0</v>
      </c>
      <c r="M407" s="6">
        <v>0</v>
      </c>
      <c r="N407" s="6">
        <v>0</v>
      </c>
      <c r="O407" s="6">
        <v>0</v>
      </c>
      <c r="P407" s="6">
        <v>1</v>
      </c>
      <c r="Q407" s="4" t="s">
        <v>55</v>
      </c>
      <c r="R407" s="4">
        <v>0</v>
      </c>
      <c r="S407" s="6">
        <v>20</v>
      </c>
      <c r="T407" s="6">
        <v>0</v>
      </c>
      <c r="U407" s="6">
        <v>0</v>
      </c>
      <c r="V407" s="6">
        <f>IF(ISERROR(VLOOKUP($S$407,'TAR FIN'!$A$1:$O$113,15,0)),0,VLOOKUP($S$407,'TAR FIN'!$A$1:$O$113,15,0))</f>
        <v>14</v>
      </c>
      <c r="W407" s="6">
        <f>IF(ISERROR(VLOOKUP($T$407,'TAR FIN'!$A$1:$O$113,15,0)),0,VLOOKUP($T$407,'TAR FIN'!$A$1:$O$113,15,0))</f>
        <v>0</v>
      </c>
      <c r="X407" s="6">
        <f>IF(ISERROR(VLOOKUP($U$407,'TAR FIN'!$A$1:$O$113,15,0)),0,VLOOKUP($U$407,'TAR FIN'!$A$1:$O$113,15,0))</f>
        <v>0</v>
      </c>
      <c r="Y407" s="6">
        <f ca="1">('TUSD BE'!$AM$19+'TUSD BF'!$AM$19+'TUSD CVA'!$AM$19)*1</f>
        <v>16.035953923331604</v>
      </c>
      <c r="Z407" s="6"/>
      <c r="AA407" s="6"/>
      <c r="AB407" s="6">
        <f>$K$407*$V$407</f>
        <v>28000</v>
      </c>
      <c r="AC407" s="6">
        <f>$M$407*$W$407</f>
        <v>0</v>
      </c>
      <c r="AD407" s="6">
        <f>$O$407*$X$407</f>
        <v>0</v>
      </c>
      <c r="AE407" s="6">
        <f ca="1">$K$407*$Y$407</f>
        <v>32071.907846663209</v>
      </c>
      <c r="AF407" s="6">
        <f>$M$407*$Z$407</f>
        <v>0</v>
      </c>
      <c r="AG407" s="6">
        <f>$O$407*$AA$407</f>
        <v>0</v>
      </c>
    </row>
    <row r="408" spans="1:33" ht="11.25" customHeight="1" x14ac:dyDescent="0.3">
      <c r="A408" s="4" t="s">
        <v>21</v>
      </c>
      <c r="B408" s="4" t="s">
        <v>39</v>
      </c>
      <c r="C408" s="4" t="s">
        <v>41</v>
      </c>
      <c r="D408" s="4" t="s">
        <v>38</v>
      </c>
      <c r="E408" s="4" t="s">
        <v>25</v>
      </c>
      <c r="F408" s="4" t="s">
        <v>25</v>
      </c>
      <c r="G408" s="4" t="s">
        <v>25</v>
      </c>
      <c r="H408" s="4" t="s">
        <v>25</v>
      </c>
      <c r="I408" s="5">
        <v>44743</v>
      </c>
      <c r="J408" s="6">
        <v>8102</v>
      </c>
      <c r="K408" s="6">
        <v>8102</v>
      </c>
      <c r="L408" s="6">
        <v>0</v>
      </c>
      <c r="M408" s="6">
        <v>0</v>
      </c>
      <c r="N408" s="6">
        <v>0</v>
      </c>
      <c r="O408" s="6">
        <v>0</v>
      </c>
      <c r="P408" s="6">
        <v>34</v>
      </c>
      <c r="Q408" s="4" t="s">
        <v>26</v>
      </c>
      <c r="R408" s="4">
        <v>0</v>
      </c>
      <c r="S408" s="6">
        <v>20</v>
      </c>
      <c r="T408" s="6">
        <v>0</v>
      </c>
      <c r="U408" s="6">
        <v>0</v>
      </c>
      <c r="V408" s="6">
        <f>IF(ISERROR(VLOOKUP($S$408,'TAR FIN'!$A$1:$O$113,15,0)),0,VLOOKUP($S$408,'TAR FIN'!$A$1:$O$113,15,0))</f>
        <v>14</v>
      </c>
      <c r="W408" s="6">
        <f>IF(ISERROR(VLOOKUP($T$408,'TAR FIN'!$A$1:$O$113,15,0)),0,VLOOKUP($T$408,'TAR FIN'!$A$1:$O$113,15,0))</f>
        <v>0</v>
      </c>
      <c r="X408" s="6">
        <f>IF(ISERROR(VLOOKUP($U$408,'TAR FIN'!$A$1:$O$113,15,0)),0,VLOOKUP($U$408,'TAR FIN'!$A$1:$O$113,15,0))</f>
        <v>0</v>
      </c>
      <c r="Y408" s="6">
        <f ca="1">('TUSD BE'!$AM$19+'TUSD BF'!$AM$19+'TUSD CVA'!$AM$19)*1</f>
        <v>16.035953923331604</v>
      </c>
      <c r="Z408" s="6"/>
      <c r="AA408" s="6"/>
      <c r="AB408" s="6">
        <f>$K$408*$V$408</f>
        <v>113428</v>
      </c>
      <c r="AC408" s="6">
        <f>$M$408*$W$408</f>
        <v>0</v>
      </c>
      <c r="AD408" s="6">
        <f>$O$408*$X$408</f>
        <v>0</v>
      </c>
      <c r="AE408" s="6">
        <f ca="1">$K$408*$Y$408</f>
        <v>129923.29868683266</v>
      </c>
      <c r="AF408" s="6">
        <f>$M$408*$Z$408</f>
        <v>0</v>
      </c>
      <c r="AG408" s="6">
        <f>$O$408*$AA$408</f>
        <v>0</v>
      </c>
    </row>
    <row r="409" spans="1:33" ht="11.25" customHeight="1" x14ac:dyDescent="0.3">
      <c r="A409" s="4" t="s">
        <v>21</v>
      </c>
      <c r="B409" s="4" t="s">
        <v>39</v>
      </c>
      <c r="C409" s="4" t="s">
        <v>41</v>
      </c>
      <c r="D409" s="4" t="s">
        <v>38</v>
      </c>
      <c r="E409" s="4" t="s">
        <v>25</v>
      </c>
      <c r="F409" s="4" t="s">
        <v>25</v>
      </c>
      <c r="G409" s="4" t="s">
        <v>25</v>
      </c>
      <c r="H409" s="4" t="s">
        <v>25</v>
      </c>
      <c r="I409" s="5">
        <v>44743</v>
      </c>
      <c r="J409" s="6">
        <v>2000</v>
      </c>
      <c r="K409" s="6">
        <v>2000</v>
      </c>
      <c r="L409" s="6">
        <v>0</v>
      </c>
      <c r="M409" s="6">
        <v>0</v>
      </c>
      <c r="N409" s="6">
        <v>0</v>
      </c>
      <c r="O409" s="6">
        <v>0</v>
      </c>
      <c r="P409" s="6">
        <v>1</v>
      </c>
      <c r="Q409" s="4" t="s">
        <v>55</v>
      </c>
      <c r="R409" s="4">
        <v>0</v>
      </c>
      <c r="S409" s="6">
        <v>20</v>
      </c>
      <c r="T409" s="6">
        <v>0</v>
      </c>
      <c r="U409" s="6">
        <v>0</v>
      </c>
      <c r="V409" s="6">
        <f>IF(ISERROR(VLOOKUP($S$409,'TAR FIN'!$A$1:$O$113,15,0)),0,VLOOKUP($S$409,'TAR FIN'!$A$1:$O$113,15,0))</f>
        <v>14</v>
      </c>
      <c r="W409" s="6">
        <f>IF(ISERROR(VLOOKUP($T$409,'TAR FIN'!$A$1:$O$113,15,0)),0,VLOOKUP($T$409,'TAR FIN'!$A$1:$O$113,15,0))</f>
        <v>0</v>
      </c>
      <c r="X409" s="6">
        <f>IF(ISERROR(VLOOKUP($U$409,'TAR FIN'!$A$1:$O$113,15,0)),0,VLOOKUP($U$409,'TAR FIN'!$A$1:$O$113,15,0))</f>
        <v>0</v>
      </c>
      <c r="Y409" s="6">
        <f ca="1">('TUSD BE'!$AM$19+'TUSD BF'!$AM$19+'TUSD CVA'!$AM$19)*1</f>
        <v>16.035953923331604</v>
      </c>
      <c r="Z409" s="6"/>
      <c r="AA409" s="6"/>
      <c r="AB409" s="6">
        <f>$K$409*$V$409</f>
        <v>28000</v>
      </c>
      <c r="AC409" s="6">
        <f>$M$409*$W$409</f>
        <v>0</v>
      </c>
      <c r="AD409" s="6">
        <f>$O$409*$X$409</f>
        <v>0</v>
      </c>
      <c r="AE409" s="6">
        <f ca="1">$K$409*$Y$409</f>
        <v>32071.907846663209</v>
      </c>
      <c r="AF409" s="6">
        <f>$M$409*$Z$409</f>
        <v>0</v>
      </c>
      <c r="AG409" s="6">
        <f>$O$409*$AA$409</f>
        <v>0</v>
      </c>
    </row>
    <row r="410" spans="1:33" ht="11.25" customHeight="1" x14ac:dyDescent="0.3">
      <c r="A410" s="4" t="s">
        <v>21</v>
      </c>
      <c r="B410" s="4" t="s">
        <v>39</v>
      </c>
      <c r="C410" s="4" t="s">
        <v>41</v>
      </c>
      <c r="D410" s="4" t="s">
        <v>38</v>
      </c>
      <c r="E410" s="4" t="s">
        <v>25</v>
      </c>
      <c r="F410" s="4" t="s">
        <v>25</v>
      </c>
      <c r="G410" s="4" t="s">
        <v>25</v>
      </c>
      <c r="H410" s="4" t="s">
        <v>25</v>
      </c>
      <c r="I410" s="5">
        <v>44774</v>
      </c>
      <c r="J410" s="6">
        <v>8075</v>
      </c>
      <c r="K410" s="6">
        <v>8075</v>
      </c>
      <c r="L410" s="6">
        <v>0</v>
      </c>
      <c r="M410" s="6">
        <v>0</v>
      </c>
      <c r="N410" s="6">
        <v>0</v>
      </c>
      <c r="O410" s="6">
        <v>0</v>
      </c>
      <c r="P410" s="6">
        <v>33</v>
      </c>
      <c r="Q410" s="4" t="s">
        <v>26</v>
      </c>
      <c r="R410" s="4">
        <v>0</v>
      </c>
      <c r="S410" s="6">
        <v>20</v>
      </c>
      <c r="T410" s="6">
        <v>0</v>
      </c>
      <c r="U410" s="6">
        <v>0</v>
      </c>
      <c r="V410" s="6">
        <f>IF(ISERROR(VLOOKUP($S$410,'TAR FIN'!$A$1:$O$113,15,0)),0,VLOOKUP($S$410,'TAR FIN'!$A$1:$O$113,15,0))</f>
        <v>14</v>
      </c>
      <c r="W410" s="6">
        <f>IF(ISERROR(VLOOKUP($T$410,'TAR FIN'!$A$1:$O$113,15,0)),0,VLOOKUP($T$410,'TAR FIN'!$A$1:$O$113,15,0))</f>
        <v>0</v>
      </c>
      <c r="X410" s="6">
        <f>IF(ISERROR(VLOOKUP($U$410,'TAR FIN'!$A$1:$O$113,15,0)),0,VLOOKUP($U$410,'TAR FIN'!$A$1:$O$113,15,0))</f>
        <v>0</v>
      </c>
      <c r="Y410" s="6">
        <f ca="1">('TUSD BE'!$AM$19+'TUSD BF'!$AM$19+'TUSD CVA'!$AM$19)*1</f>
        <v>16.035953923331604</v>
      </c>
      <c r="Z410" s="6"/>
      <c r="AA410" s="6"/>
      <c r="AB410" s="6">
        <f>$K$410*$V$410</f>
        <v>113050</v>
      </c>
      <c r="AC410" s="6">
        <f>$M$410*$W$410</f>
        <v>0</v>
      </c>
      <c r="AD410" s="6">
        <f>$O$410*$X$410</f>
        <v>0</v>
      </c>
      <c r="AE410" s="6">
        <f ca="1">$K$410*$Y$410</f>
        <v>129490.3279309027</v>
      </c>
      <c r="AF410" s="6">
        <f>$M$410*$Z$410</f>
        <v>0</v>
      </c>
      <c r="AG410" s="6">
        <f>$O$410*$AA$410</f>
        <v>0</v>
      </c>
    </row>
    <row r="411" spans="1:33" ht="11.25" customHeight="1" x14ac:dyDescent="0.3">
      <c r="A411" s="4" t="s">
        <v>28</v>
      </c>
      <c r="B411" s="4" t="s">
        <v>39</v>
      </c>
      <c r="C411" s="4" t="s">
        <v>41</v>
      </c>
      <c r="D411" s="4" t="s">
        <v>38</v>
      </c>
      <c r="E411" s="4" t="s">
        <v>25</v>
      </c>
      <c r="F411" s="4" t="s">
        <v>25</v>
      </c>
      <c r="G411" s="4" t="s">
        <v>25</v>
      </c>
      <c r="H411" s="4" t="s">
        <v>25</v>
      </c>
      <c r="I411" s="5">
        <v>44774</v>
      </c>
      <c r="J411" s="6">
        <v>483</v>
      </c>
      <c r="K411" s="6">
        <v>483</v>
      </c>
      <c r="L411" s="6">
        <v>0</v>
      </c>
      <c r="M411" s="6">
        <v>0</v>
      </c>
      <c r="N411" s="6">
        <v>0</v>
      </c>
      <c r="O411" s="6">
        <v>0</v>
      </c>
      <c r="P411" s="6">
        <v>3</v>
      </c>
      <c r="Q411" s="4" t="s">
        <v>26</v>
      </c>
      <c r="R411" s="4">
        <v>0</v>
      </c>
      <c r="S411" s="6">
        <v>20</v>
      </c>
      <c r="T411" s="6">
        <v>0</v>
      </c>
      <c r="U411" s="6">
        <v>0</v>
      </c>
      <c r="V411" s="6">
        <f>IF(ISERROR(VLOOKUP($S$411,'TAR FIN'!$A$1:$O$113,15,0)),0,VLOOKUP($S$411,'TAR FIN'!$A$1:$O$113,15,0))</f>
        <v>14</v>
      </c>
      <c r="W411" s="6">
        <f>IF(ISERROR(VLOOKUP($T$411,'TAR FIN'!$A$1:$O$113,15,0)),0,VLOOKUP($T$411,'TAR FIN'!$A$1:$O$113,15,0))</f>
        <v>0</v>
      </c>
      <c r="X411" s="6">
        <f>IF(ISERROR(VLOOKUP($U$411,'TAR FIN'!$A$1:$O$113,15,0)),0,VLOOKUP($U$411,'TAR FIN'!$A$1:$O$113,15,0))</f>
        <v>0</v>
      </c>
      <c r="Y411" s="6">
        <f ca="1">('TUSD BE'!$AM$19+'TUSD BF'!$AM$19+'TUSD CVA'!$AM$19)*1</f>
        <v>16.035953923331604</v>
      </c>
      <c r="Z411" s="6"/>
      <c r="AA411" s="6"/>
      <c r="AB411" s="6">
        <f>$K$411*$V$411</f>
        <v>6762</v>
      </c>
      <c r="AC411" s="6">
        <f>$M$411*$W$411</f>
        <v>0</v>
      </c>
      <c r="AD411" s="6">
        <f>$O$411*$X$411</f>
        <v>0</v>
      </c>
      <c r="AE411" s="6">
        <f ca="1">$K$411*$Y$411</f>
        <v>7745.3657449691646</v>
      </c>
      <c r="AF411" s="6">
        <f>$M$411*$Z$411</f>
        <v>0</v>
      </c>
      <c r="AG411" s="6">
        <f>$O$411*$AA$411</f>
        <v>0</v>
      </c>
    </row>
    <row r="412" spans="1:33" ht="11.25" customHeight="1" x14ac:dyDescent="0.3">
      <c r="A412" s="4" t="s">
        <v>21</v>
      </c>
      <c r="B412" s="4" t="s">
        <v>39</v>
      </c>
      <c r="C412" s="4" t="s">
        <v>41</v>
      </c>
      <c r="D412" s="4" t="s">
        <v>38</v>
      </c>
      <c r="E412" s="4" t="s">
        <v>25</v>
      </c>
      <c r="F412" s="4" t="s">
        <v>25</v>
      </c>
      <c r="G412" s="4" t="s">
        <v>25</v>
      </c>
      <c r="H412" s="4" t="s">
        <v>25</v>
      </c>
      <c r="I412" s="5">
        <v>44774</v>
      </c>
      <c r="J412" s="6">
        <v>2000</v>
      </c>
      <c r="K412" s="6">
        <v>2000</v>
      </c>
      <c r="L412" s="6">
        <v>0</v>
      </c>
      <c r="M412" s="6">
        <v>0</v>
      </c>
      <c r="N412" s="6">
        <v>0</v>
      </c>
      <c r="O412" s="6">
        <v>0</v>
      </c>
      <c r="P412" s="6">
        <v>1</v>
      </c>
      <c r="Q412" s="4" t="s">
        <v>55</v>
      </c>
      <c r="R412" s="4">
        <v>0</v>
      </c>
      <c r="S412" s="6">
        <v>20</v>
      </c>
      <c r="T412" s="6">
        <v>0</v>
      </c>
      <c r="U412" s="6">
        <v>0</v>
      </c>
      <c r="V412" s="6">
        <f>IF(ISERROR(VLOOKUP($S$412,'TAR FIN'!$A$1:$O$113,15,0)),0,VLOOKUP($S$412,'TAR FIN'!$A$1:$O$113,15,0))</f>
        <v>14</v>
      </c>
      <c r="W412" s="6">
        <f>IF(ISERROR(VLOOKUP($T$412,'TAR FIN'!$A$1:$O$113,15,0)),0,VLOOKUP($T$412,'TAR FIN'!$A$1:$O$113,15,0))</f>
        <v>0</v>
      </c>
      <c r="X412" s="6">
        <f>IF(ISERROR(VLOOKUP($U$412,'TAR FIN'!$A$1:$O$113,15,0)),0,VLOOKUP($U$412,'TAR FIN'!$A$1:$O$113,15,0))</f>
        <v>0</v>
      </c>
      <c r="Y412" s="6">
        <f ca="1">('TUSD BE'!$AM$19+'TUSD BF'!$AM$19+'TUSD CVA'!$AM$19)*1</f>
        <v>16.035953923331604</v>
      </c>
      <c r="Z412" s="6"/>
      <c r="AA412" s="6"/>
      <c r="AB412" s="6">
        <f>$K$412*$V$412</f>
        <v>28000</v>
      </c>
      <c r="AC412" s="6">
        <f>$M$412*$W$412</f>
        <v>0</v>
      </c>
      <c r="AD412" s="6">
        <f>$O$412*$X$412</f>
        <v>0</v>
      </c>
      <c r="AE412" s="6">
        <f ca="1">$K$412*$Y$412</f>
        <v>32071.907846663209</v>
      </c>
      <c r="AF412" s="6">
        <f>$M$412*$Z$412</f>
        <v>0</v>
      </c>
      <c r="AG412" s="6">
        <f>$O$412*$AA$412</f>
        <v>0</v>
      </c>
    </row>
    <row r="413" spans="1:33" ht="11.25" customHeight="1" x14ac:dyDescent="0.3">
      <c r="A413" s="4" t="s">
        <v>21</v>
      </c>
      <c r="B413" s="4" t="s">
        <v>39</v>
      </c>
      <c r="C413" s="4" t="s">
        <v>41</v>
      </c>
      <c r="D413" s="4" t="s">
        <v>38</v>
      </c>
      <c r="E413" s="4" t="s">
        <v>25</v>
      </c>
      <c r="F413" s="4" t="s">
        <v>25</v>
      </c>
      <c r="G413" s="4" t="s">
        <v>25</v>
      </c>
      <c r="H413" s="4" t="s">
        <v>25</v>
      </c>
      <c r="I413" s="5">
        <v>44805</v>
      </c>
      <c r="J413" s="6">
        <v>8140</v>
      </c>
      <c r="K413" s="6">
        <v>8140</v>
      </c>
      <c r="L413" s="6">
        <v>0</v>
      </c>
      <c r="M413" s="6">
        <v>0</v>
      </c>
      <c r="N413" s="6">
        <v>0</v>
      </c>
      <c r="O413" s="6">
        <v>0</v>
      </c>
      <c r="P413" s="6">
        <v>33</v>
      </c>
      <c r="Q413" s="4" t="s">
        <v>26</v>
      </c>
      <c r="R413" s="4">
        <v>0</v>
      </c>
      <c r="S413" s="6">
        <v>20</v>
      </c>
      <c r="T413" s="6">
        <v>0</v>
      </c>
      <c r="U413" s="6">
        <v>0</v>
      </c>
      <c r="V413" s="6">
        <f>IF(ISERROR(VLOOKUP($S$413,'TAR FIN'!$A$1:$O$113,15,0)),0,VLOOKUP($S$413,'TAR FIN'!$A$1:$O$113,15,0))</f>
        <v>14</v>
      </c>
      <c r="W413" s="6">
        <f>IF(ISERROR(VLOOKUP($T$413,'TAR FIN'!$A$1:$O$113,15,0)),0,VLOOKUP($T$413,'TAR FIN'!$A$1:$O$113,15,0))</f>
        <v>0</v>
      </c>
      <c r="X413" s="6">
        <f>IF(ISERROR(VLOOKUP($U$413,'TAR FIN'!$A$1:$O$113,15,0)),0,VLOOKUP($U$413,'TAR FIN'!$A$1:$O$113,15,0))</f>
        <v>0</v>
      </c>
      <c r="Y413" s="6">
        <f ca="1">('TUSD BE'!$AM$19+'TUSD BF'!$AM$19+'TUSD CVA'!$AM$19)*1</f>
        <v>16.035953923331604</v>
      </c>
      <c r="Z413" s="6"/>
      <c r="AA413" s="6"/>
      <c r="AB413" s="6">
        <f>$K$413*$V$413</f>
        <v>113960</v>
      </c>
      <c r="AC413" s="6">
        <f>$M$413*$W$413</f>
        <v>0</v>
      </c>
      <c r="AD413" s="6">
        <f>$O$413*$X$413</f>
        <v>0</v>
      </c>
      <c r="AE413" s="6">
        <f ca="1">$K$413*$Y$413</f>
        <v>130532.66493591925</v>
      </c>
      <c r="AF413" s="6">
        <f>$M$413*$Z$413</f>
        <v>0</v>
      </c>
      <c r="AG413" s="6">
        <f>$O$413*$AA$413</f>
        <v>0</v>
      </c>
    </row>
    <row r="414" spans="1:33" ht="11.25" customHeight="1" x14ac:dyDescent="0.3">
      <c r="A414" s="4" t="s">
        <v>28</v>
      </c>
      <c r="B414" s="4" t="s">
        <v>39</v>
      </c>
      <c r="C414" s="4" t="s">
        <v>41</v>
      </c>
      <c r="D414" s="4" t="s">
        <v>38</v>
      </c>
      <c r="E414" s="4" t="s">
        <v>25</v>
      </c>
      <c r="F414" s="4" t="s">
        <v>25</v>
      </c>
      <c r="G414" s="4" t="s">
        <v>25</v>
      </c>
      <c r="H414" s="4" t="s">
        <v>25</v>
      </c>
      <c r="I414" s="5">
        <v>44805</v>
      </c>
      <c r="J414" s="6">
        <v>420</v>
      </c>
      <c r="K414" s="6">
        <v>420</v>
      </c>
      <c r="L414" s="6">
        <v>0</v>
      </c>
      <c r="M414" s="6">
        <v>0</v>
      </c>
      <c r="N414" s="6">
        <v>0</v>
      </c>
      <c r="O414" s="6">
        <v>0</v>
      </c>
      <c r="P414" s="6">
        <v>2</v>
      </c>
      <c r="Q414" s="4" t="s">
        <v>26</v>
      </c>
      <c r="R414" s="4">
        <v>0</v>
      </c>
      <c r="S414" s="6">
        <v>20</v>
      </c>
      <c r="T414" s="6">
        <v>0</v>
      </c>
      <c r="U414" s="6">
        <v>0</v>
      </c>
      <c r="V414" s="6">
        <f>IF(ISERROR(VLOOKUP($S$414,'TAR FIN'!$A$1:$O$113,15,0)),0,VLOOKUP($S$414,'TAR FIN'!$A$1:$O$113,15,0))</f>
        <v>14</v>
      </c>
      <c r="W414" s="6">
        <f>IF(ISERROR(VLOOKUP($T$414,'TAR FIN'!$A$1:$O$113,15,0)),0,VLOOKUP($T$414,'TAR FIN'!$A$1:$O$113,15,0))</f>
        <v>0</v>
      </c>
      <c r="X414" s="6">
        <f>IF(ISERROR(VLOOKUP($U$414,'TAR FIN'!$A$1:$O$113,15,0)),0,VLOOKUP($U$414,'TAR FIN'!$A$1:$O$113,15,0))</f>
        <v>0</v>
      </c>
      <c r="Y414" s="6">
        <f ca="1">('TUSD BE'!$AM$19+'TUSD BF'!$AM$19+'TUSD CVA'!$AM$19)*1</f>
        <v>16.035953923331604</v>
      </c>
      <c r="Z414" s="6"/>
      <c r="AA414" s="6"/>
      <c r="AB414" s="6">
        <f>$K$414*$V$414</f>
        <v>5880</v>
      </c>
      <c r="AC414" s="6">
        <f>$M$414*$W$414</f>
        <v>0</v>
      </c>
      <c r="AD414" s="6">
        <f>$O$414*$X$414</f>
        <v>0</v>
      </c>
      <c r="AE414" s="6">
        <f ca="1">$K$414*$Y$414</f>
        <v>6735.1006477992742</v>
      </c>
      <c r="AF414" s="6">
        <f>$M$414*$Z$414</f>
        <v>0</v>
      </c>
      <c r="AG414" s="6">
        <f>$O$414*$AA$414</f>
        <v>0</v>
      </c>
    </row>
    <row r="415" spans="1:33" ht="11.25" customHeight="1" x14ac:dyDescent="0.3">
      <c r="A415" s="4" t="s">
        <v>21</v>
      </c>
      <c r="B415" s="4" t="s">
        <v>39</v>
      </c>
      <c r="C415" s="4" t="s">
        <v>41</v>
      </c>
      <c r="D415" s="4" t="s">
        <v>38</v>
      </c>
      <c r="E415" s="4" t="s">
        <v>25</v>
      </c>
      <c r="F415" s="4" t="s">
        <v>25</v>
      </c>
      <c r="G415" s="4" t="s">
        <v>25</v>
      </c>
      <c r="H415" s="4" t="s">
        <v>25</v>
      </c>
      <c r="I415" s="5">
        <v>44805</v>
      </c>
      <c r="J415" s="6">
        <v>2000</v>
      </c>
      <c r="K415" s="6">
        <v>2000</v>
      </c>
      <c r="L415" s="6">
        <v>0</v>
      </c>
      <c r="M415" s="6">
        <v>0</v>
      </c>
      <c r="N415" s="6">
        <v>0</v>
      </c>
      <c r="O415" s="6">
        <v>0</v>
      </c>
      <c r="P415" s="6">
        <v>1</v>
      </c>
      <c r="Q415" s="4" t="s">
        <v>55</v>
      </c>
      <c r="R415" s="4">
        <v>0</v>
      </c>
      <c r="S415" s="6">
        <v>20</v>
      </c>
      <c r="T415" s="6">
        <v>0</v>
      </c>
      <c r="U415" s="6">
        <v>0</v>
      </c>
      <c r="V415" s="6">
        <f>IF(ISERROR(VLOOKUP($S$415,'TAR FIN'!$A$1:$O$113,15,0)),0,VLOOKUP($S$415,'TAR FIN'!$A$1:$O$113,15,0))</f>
        <v>14</v>
      </c>
      <c r="W415" s="6">
        <f>IF(ISERROR(VLOOKUP($T$415,'TAR FIN'!$A$1:$O$113,15,0)),0,VLOOKUP($T$415,'TAR FIN'!$A$1:$O$113,15,0))</f>
        <v>0</v>
      </c>
      <c r="X415" s="6">
        <f>IF(ISERROR(VLOOKUP($U$415,'TAR FIN'!$A$1:$O$113,15,0)),0,VLOOKUP($U$415,'TAR FIN'!$A$1:$O$113,15,0))</f>
        <v>0</v>
      </c>
      <c r="Y415" s="6">
        <f ca="1">('TUSD BE'!$AM$19+'TUSD BF'!$AM$19+'TUSD CVA'!$AM$19)*1</f>
        <v>16.035953923331604</v>
      </c>
      <c r="Z415" s="6"/>
      <c r="AA415" s="6"/>
      <c r="AB415" s="6">
        <f>$K$415*$V$415</f>
        <v>28000</v>
      </c>
      <c r="AC415" s="6">
        <f>$M$415*$W$415</f>
        <v>0</v>
      </c>
      <c r="AD415" s="6">
        <f>$O$415*$X$415</f>
        <v>0</v>
      </c>
      <c r="AE415" s="6">
        <f ca="1">$K$415*$Y$415</f>
        <v>32071.907846663209</v>
      </c>
      <c r="AF415" s="6">
        <f>$M$415*$Z$415</f>
        <v>0</v>
      </c>
      <c r="AG415" s="6">
        <f>$O$415*$AA$415</f>
        <v>0</v>
      </c>
    </row>
    <row r="416" spans="1:33" ht="11.25" customHeight="1" x14ac:dyDescent="0.3">
      <c r="A416" s="4" t="s">
        <v>53</v>
      </c>
      <c r="B416" s="4" t="s">
        <v>39</v>
      </c>
      <c r="C416" s="4" t="s">
        <v>41</v>
      </c>
      <c r="D416" s="4" t="s">
        <v>38</v>
      </c>
      <c r="E416" s="4" t="s">
        <v>25</v>
      </c>
      <c r="F416" s="4" t="s">
        <v>25</v>
      </c>
      <c r="G416" s="4" t="s">
        <v>25</v>
      </c>
      <c r="H416" s="4" t="s">
        <v>25</v>
      </c>
      <c r="I416" s="5">
        <v>44835</v>
      </c>
      <c r="J416" s="6">
        <v>8140</v>
      </c>
      <c r="K416" s="6">
        <v>8140</v>
      </c>
      <c r="L416" s="6">
        <v>0</v>
      </c>
      <c r="M416" s="6">
        <v>0</v>
      </c>
      <c r="N416" s="6">
        <v>0</v>
      </c>
      <c r="O416" s="6">
        <v>0</v>
      </c>
      <c r="P416" s="6">
        <v>33</v>
      </c>
      <c r="Q416" s="4" t="s">
        <v>26</v>
      </c>
      <c r="R416" s="4">
        <v>0</v>
      </c>
      <c r="S416" s="6">
        <v>20</v>
      </c>
      <c r="T416" s="6">
        <v>0</v>
      </c>
      <c r="U416" s="6">
        <v>0</v>
      </c>
      <c r="V416" s="6">
        <f>IF(ISERROR(VLOOKUP($S$416,'TAR FIN'!$A$1:$O$113,15,0)),0,VLOOKUP($S$416,'TAR FIN'!$A$1:$O$113,15,0))</f>
        <v>14</v>
      </c>
      <c r="W416" s="6">
        <f>IF(ISERROR(VLOOKUP($T$416,'TAR FIN'!$A$1:$O$113,15,0)),0,VLOOKUP($T$416,'TAR FIN'!$A$1:$O$113,15,0))</f>
        <v>0</v>
      </c>
      <c r="X416" s="6">
        <f>IF(ISERROR(VLOOKUP($U$416,'TAR FIN'!$A$1:$O$113,15,0)),0,VLOOKUP($U$416,'TAR FIN'!$A$1:$O$113,15,0))</f>
        <v>0</v>
      </c>
      <c r="Y416" s="6">
        <f ca="1">('TUSD BE'!$AM$19+'TUSD BF'!$AM$19+'TUSD CVA'!$AM$19)*1</f>
        <v>16.035953923331604</v>
      </c>
      <c r="Z416" s="6"/>
      <c r="AA416" s="6"/>
      <c r="AB416" s="6">
        <f>$K$416*$V$416</f>
        <v>113960</v>
      </c>
      <c r="AC416" s="6">
        <f>$M$416*$W$416</f>
        <v>0</v>
      </c>
      <c r="AD416" s="6">
        <f>$O$416*$X$416</f>
        <v>0</v>
      </c>
      <c r="AE416" s="6">
        <f ca="1">$K$416*$Y$416</f>
        <v>130532.66493591925</v>
      </c>
      <c r="AF416" s="6">
        <f>$M$416*$Z$416</f>
        <v>0</v>
      </c>
      <c r="AG416" s="6">
        <f>$O$416*$AA$416</f>
        <v>0</v>
      </c>
    </row>
    <row r="417" spans="1:33" ht="11.25" customHeight="1" x14ac:dyDescent="0.3">
      <c r="A417" s="4" t="s">
        <v>53</v>
      </c>
      <c r="B417" s="4" t="s">
        <v>39</v>
      </c>
      <c r="C417" s="4" t="s">
        <v>41</v>
      </c>
      <c r="D417" s="4" t="s">
        <v>38</v>
      </c>
      <c r="E417" s="4" t="s">
        <v>25</v>
      </c>
      <c r="F417" s="4" t="s">
        <v>25</v>
      </c>
      <c r="G417" s="4" t="s">
        <v>25</v>
      </c>
      <c r="H417" s="4" t="s">
        <v>25</v>
      </c>
      <c r="I417" s="5">
        <v>44835</v>
      </c>
      <c r="J417" s="6">
        <v>420</v>
      </c>
      <c r="K417" s="6">
        <v>420</v>
      </c>
      <c r="L417" s="6">
        <v>0</v>
      </c>
      <c r="M417" s="6">
        <v>0</v>
      </c>
      <c r="N417" s="6">
        <v>0</v>
      </c>
      <c r="O417" s="6">
        <v>0</v>
      </c>
      <c r="P417" s="6">
        <v>2</v>
      </c>
      <c r="Q417" s="4" t="s">
        <v>26</v>
      </c>
      <c r="R417" s="4">
        <v>0</v>
      </c>
      <c r="S417" s="6">
        <v>20</v>
      </c>
      <c r="T417" s="6">
        <v>0</v>
      </c>
      <c r="U417" s="6">
        <v>0</v>
      </c>
      <c r="V417" s="6">
        <f>IF(ISERROR(VLOOKUP($S$417,'TAR FIN'!$A$1:$O$113,15,0)),0,VLOOKUP($S$417,'TAR FIN'!$A$1:$O$113,15,0))</f>
        <v>14</v>
      </c>
      <c r="W417" s="6">
        <f>IF(ISERROR(VLOOKUP($T$417,'TAR FIN'!$A$1:$O$113,15,0)),0,VLOOKUP($T$417,'TAR FIN'!$A$1:$O$113,15,0))</f>
        <v>0</v>
      </c>
      <c r="X417" s="6">
        <f>IF(ISERROR(VLOOKUP($U$417,'TAR FIN'!$A$1:$O$113,15,0)),0,VLOOKUP($U$417,'TAR FIN'!$A$1:$O$113,15,0))</f>
        <v>0</v>
      </c>
      <c r="Y417" s="6">
        <f ca="1">('TUSD BE'!$AM$19+'TUSD BF'!$AM$19+'TUSD CVA'!$AM$19)*1</f>
        <v>16.035953923331604</v>
      </c>
      <c r="Z417" s="6"/>
      <c r="AA417" s="6"/>
      <c r="AB417" s="6">
        <f>$K$417*$V$417</f>
        <v>5880</v>
      </c>
      <c r="AC417" s="6">
        <f>$M$417*$W$417</f>
        <v>0</v>
      </c>
      <c r="AD417" s="6">
        <f>$O$417*$X$417</f>
        <v>0</v>
      </c>
      <c r="AE417" s="6">
        <f ca="1">$K$417*$Y$417</f>
        <v>6735.1006477992742</v>
      </c>
      <c r="AF417" s="6">
        <f>$M$417*$Z$417</f>
        <v>0</v>
      </c>
      <c r="AG417" s="6">
        <f>$O$417*$AA$417</f>
        <v>0</v>
      </c>
    </row>
    <row r="418" spans="1:33" ht="11.25" customHeight="1" x14ac:dyDescent="0.3">
      <c r="A418" s="4" t="s">
        <v>53</v>
      </c>
      <c r="B418" s="4" t="s">
        <v>39</v>
      </c>
      <c r="C418" s="4" t="s">
        <v>41</v>
      </c>
      <c r="D418" s="4" t="s">
        <v>38</v>
      </c>
      <c r="E418" s="4" t="s">
        <v>25</v>
      </c>
      <c r="F418" s="4" t="s">
        <v>25</v>
      </c>
      <c r="G418" s="4" t="s">
        <v>25</v>
      </c>
      <c r="H418" s="4" t="s">
        <v>25</v>
      </c>
      <c r="I418" s="5">
        <v>44835</v>
      </c>
      <c r="J418" s="6">
        <v>2000</v>
      </c>
      <c r="K418" s="6">
        <v>2000</v>
      </c>
      <c r="L418" s="6">
        <v>0</v>
      </c>
      <c r="M418" s="6">
        <v>0</v>
      </c>
      <c r="N418" s="6">
        <v>0</v>
      </c>
      <c r="O418" s="6">
        <v>0</v>
      </c>
      <c r="P418" s="6">
        <v>1</v>
      </c>
      <c r="Q418" s="4" t="s">
        <v>55</v>
      </c>
      <c r="R418" s="4">
        <v>0</v>
      </c>
      <c r="S418" s="6">
        <v>20</v>
      </c>
      <c r="T418" s="6">
        <v>0</v>
      </c>
      <c r="U418" s="6">
        <v>0</v>
      </c>
      <c r="V418" s="6">
        <f>IF(ISERROR(VLOOKUP($S$418,'TAR FIN'!$A$1:$O$113,15,0)),0,VLOOKUP($S$418,'TAR FIN'!$A$1:$O$113,15,0))</f>
        <v>14</v>
      </c>
      <c r="W418" s="6">
        <f>IF(ISERROR(VLOOKUP($T$418,'TAR FIN'!$A$1:$O$113,15,0)),0,VLOOKUP($T$418,'TAR FIN'!$A$1:$O$113,15,0))</f>
        <v>0</v>
      </c>
      <c r="X418" s="6">
        <f>IF(ISERROR(VLOOKUP($U$418,'TAR FIN'!$A$1:$O$113,15,0)),0,VLOOKUP($U$418,'TAR FIN'!$A$1:$O$113,15,0))</f>
        <v>0</v>
      </c>
      <c r="Y418" s="6">
        <f ca="1">('TUSD BE'!$AM$19+'TUSD BF'!$AM$19+'TUSD CVA'!$AM$19)*1</f>
        <v>16.035953923331604</v>
      </c>
      <c r="Z418" s="6"/>
      <c r="AA418" s="6"/>
      <c r="AB418" s="6">
        <f>$K$418*$V$418</f>
        <v>28000</v>
      </c>
      <c r="AC418" s="6">
        <f>$M$418*$W$418</f>
        <v>0</v>
      </c>
      <c r="AD418" s="6">
        <f>$O$418*$X$418</f>
        <v>0</v>
      </c>
      <c r="AE418" s="6">
        <f ca="1">$K$418*$Y$418</f>
        <v>32071.907846663209</v>
      </c>
      <c r="AF418" s="6">
        <f>$M$418*$Z$418</f>
        <v>0</v>
      </c>
      <c r="AG418" s="6">
        <f>$O$418*$AA$418</f>
        <v>0</v>
      </c>
    </row>
    <row r="419" spans="1:33" ht="11.25" customHeight="1" x14ac:dyDescent="0.3">
      <c r="A419" s="4" t="s">
        <v>21</v>
      </c>
      <c r="B419" s="4" t="s">
        <v>39</v>
      </c>
      <c r="C419" s="4" t="s">
        <v>41</v>
      </c>
      <c r="D419" s="4" t="s">
        <v>38</v>
      </c>
      <c r="E419" s="4" t="s">
        <v>25</v>
      </c>
      <c r="F419" s="4" t="s">
        <v>25</v>
      </c>
      <c r="G419" s="4" t="s">
        <v>25</v>
      </c>
      <c r="H419" s="4" t="s">
        <v>34</v>
      </c>
      <c r="I419" s="5">
        <v>44501</v>
      </c>
      <c r="J419" s="6">
        <v>0</v>
      </c>
      <c r="K419" s="6">
        <v>0</v>
      </c>
      <c r="L419" s="6">
        <v>155.779</v>
      </c>
      <c r="M419" s="6">
        <v>155.779</v>
      </c>
      <c r="N419" s="6">
        <v>155.779</v>
      </c>
      <c r="O419" s="6">
        <v>155.779</v>
      </c>
      <c r="P419" s="6">
        <v>0</v>
      </c>
      <c r="Q419" s="4" t="s">
        <v>26</v>
      </c>
      <c r="R419" s="4">
        <v>0</v>
      </c>
      <c r="S419" s="6">
        <v>0</v>
      </c>
      <c r="T419" s="6">
        <v>8</v>
      </c>
      <c r="U419" s="6">
        <v>38</v>
      </c>
      <c r="V419" s="6">
        <f>IF(ISERROR(VLOOKUP($S$419,'TAR FIN'!$A$1:$O$113,15,0)),0,VLOOKUP($S$419,'TAR FIN'!$A$1:$O$113,15,0))</f>
        <v>0</v>
      </c>
      <c r="W419" s="6">
        <f>IF(ISERROR(VLOOKUP($T$419,'TAR FIN'!$A$1:$O$113,15,0)),0,VLOOKUP($T$419,'TAR FIN'!$A$1:$O$113,15,0))</f>
        <v>940.43</v>
      </c>
      <c r="X419" s="6">
        <f>IF(ISERROR(VLOOKUP($U$419,'TAR FIN'!$A$1:$O$113,15,0)),0,VLOOKUP($U$419,'TAR FIN'!$A$1:$O$113,15,0))</f>
        <v>442.86</v>
      </c>
      <c r="Y419" s="6"/>
      <c r="Z419" s="6">
        <f ca="1">('TUSD BE'!$AM$20+'TUSD BF'!$AM$20+'TUSD CVA'!$AM$20)*1</f>
        <v>1117.8285588949407</v>
      </c>
      <c r="AA419" s="6">
        <f>('TE BE'!$AB$9+'TE BF'!$AB$9+'TE CVA'!$AB$9)*1</f>
        <v>486.43608405794748</v>
      </c>
      <c r="AB419" s="6">
        <f>$K$419*$V$419</f>
        <v>0</v>
      </c>
      <c r="AC419" s="6">
        <f>$M$419*$W$419</f>
        <v>146499.24497</v>
      </c>
      <c r="AD419" s="6">
        <f>$O$419*$X$419</f>
        <v>68988.287939999995</v>
      </c>
      <c r="AE419" s="6">
        <f>$K$419*$Y$419</f>
        <v>0</v>
      </c>
      <c r="AF419" s="6">
        <f ca="1">$M$419*$Z$419</f>
        <v>174134.21507609496</v>
      </c>
      <c r="AG419" s="6">
        <f>$O$419*$AA$419</f>
        <v>75776.526738462999</v>
      </c>
    </row>
    <row r="420" spans="1:33" ht="11.25" customHeight="1" x14ac:dyDescent="0.3">
      <c r="A420" s="4" t="s">
        <v>21</v>
      </c>
      <c r="B420" s="4" t="s">
        <v>39</v>
      </c>
      <c r="C420" s="4" t="s">
        <v>41</v>
      </c>
      <c r="D420" s="4" t="s">
        <v>38</v>
      </c>
      <c r="E420" s="4" t="s">
        <v>25</v>
      </c>
      <c r="F420" s="4" t="s">
        <v>25</v>
      </c>
      <c r="G420" s="4" t="s">
        <v>25</v>
      </c>
      <c r="H420" s="4" t="s">
        <v>34</v>
      </c>
      <c r="I420" s="5">
        <v>44501</v>
      </c>
      <c r="J420" s="6">
        <v>0</v>
      </c>
      <c r="K420" s="6">
        <v>0</v>
      </c>
      <c r="L420" s="6">
        <v>87.932000000000002</v>
      </c>
      <c r="M420" s="6">
        <v>87.932000000000002</v>
      </c>
      <c r="N420" s="6">
        <v>0</v>
      </c>
      <c r="O420" s="6">
        <v>0</v>
      </c>
      <c r="P420" s="6">
        <v>0</v>
      </c>
      <c r="Q420" s="4" t="s">
        <v>55</v>
      </c>
      <c r="R420" s="4">
        <v>0</v>
      </c>
      <c r="S420" s="6">
        <v>0</v>
      </c>
      <c r="T420" s="6">
        <v>8</v>
      </c>
      <c r="U420" s="6">
        <v>0</v>
      </c>
      <c r="V420" s="6">
        <f>IF(ISERROR(VLOOKUP($S$420,'TAR FIN'!$A$1:$O$113,15,0)),0,VLOOKUP($S$420,'TAR FIN'!$A$1:$O$113,15,0))</f>
        <v>0</v>
      </c>
      <c r="W420" s="6">
        <f>IF(ISERROR(VLOOKUP($T$420,'TAR FIN'!$A$1:$O$113,15,0)),0,VLOOKUP($T$420,'TAR FIN'!$A$1:$O$113,15,0))</f>
        <v>940.43</v>
      </c>
      <c r="X420" s="6">
        <f>IF(ISERROR(VLOOKUP($U$420,'TAR FIN'!$A$1:$O$113,15,0)),0,VLOOKUP($U$420,'TAR FIN'!$A$1:$O$113,15,0))</f>
        <v>0</v>
      </c>
      <c r="Y420" s="6"/>
      <c r="Z420" s="6">
        <f ca="1">('TUSD BE'!$AM$20+'TUSD BF'!$AM$20+'TUSD CVA'!$AM$20)*1</f>
        <v>1117.8285588949407</v>
      </c>
      <c r="AA420" s="6"/>
      <c r="AB420" s="6">
        <f>$K$420*$V$420</f>
        <v>0</v>
      </c>
      <c r="AC420" s="6">
        <f>$M$420*$W$420</f>
        <v>82693.890759999995</v>
      </c>
      <c r="AD420" s="6">
        <f>$O$420*$X$420</f>
        <v>0</v>
      </c>
      <c r="AE420" s="6">
        <f>$K$420*$Y$420</f>
        <v>0</v>
      </c>
      <c r="AF420" s="6">
        <f ca="1">$M$420*$Z$420</f>
        <v>98292.90084074992</v>
      </c>
      <c r="AG420" s="6">
        <f>$O$420*$AA$420</f>
        <v>0</v>
      </c>
    </row>
    <row r="421" spans="1:33" ht="11.25" customHeight="1" x14ac:dyDescent="0.3">
      <c r="A421" s="4" t="s">
        <v>21</v>
      </c>
      <c r="B421" s="4" t="s">
        <v>39</v>
      </c>
      <c r="C421" s="4" t="s">
        <v>41</v>
      </c>
      <c r="D421" s="4" t="s">
        <v>38</v>
      </c>
      <c r="E421" s="4" t="s">
        <v>25</v>
      </c>
      <c r="F421" s="4" t="s">
        <v>25</v>
      </c>
      <c r="G421" s="4" t="s">
        <v>25</v>
      </c>
      <c r="H421" s="4" t="s">
        <v>34</v>
      </c>
      <c r="I421" s="5">
        <v>44531</v>
      </c>
      <c r="J421" s="6">
        <v>0</v>
      </c>
      <c r="K421" s="6">
        <v>0</v>
      </c>
      <c r="L421" s="6">
        <v>164.52199999999999</v>
      </c>
      <c r="M421" s="6">
        <v>164.52199999999999</v>
      </c>
      <c r="N421" s="6">
        <v>164.52199999999999</v>
      </c>
      <c r="O421" s="6">
        <v>164.52199999999999</v>
      </c>
      <c r="P421" s="6">
        <v>0</v>
      </c>
      <c r="Q421" s="4" t="s">
        <v>26</v>
      </c>
      <c r="R421" s="4">
        <v>0</v>
      </c>
      <c r="S421" s="6">
        <v>0</v>
      </c>
      <c r="T421" s="6">
        <v>8</v>
      </c>
      <c r="U421" s="6">
        <v>38</v>
      </c>
      <c r="V421" s="6">
        <f>IF(ISERROR(VLOOKUP($S$421,'TAR FIN'!$A$1:$O$113,15,0)),0,VLOOKUP($S$421,'TAR FIN'!$A$1:$O$113,15,0))</f>
        <v>0</v>
      </c>
      <c r="W421" s="6">
        <f>IF(ISERROR(VLOOKUP($T$421,'TAR FIN'!$A$1:$O$113,15,0)),0,VLOOKUP($T$421,'TAR FIN'!$A$1:$O$113,15,0))</f>
        <v>940.43</v>
      </c>
      <c r="X421" s="6">
        <f>IF(ISERROR(VLOOKUP($U$421,'TAR FIN'!$A$1:$O$113,15,0)),0,VLOOKUP($U$421,'TAR FIN'!$A$1:$O$113,15,0))</f>
        <v>442.86</v>
      </c>
      <c r="Y421" s="6"/>
      <c r="Z421" s="6">
        <f ca="1">('TUSD BE'!$AM$20+'TUSD BF'!$AM$20+'TUSD CVA'!$AM$20)*1</f>
        <v>1117.8285588949407</v>
      </c>
      <c r="AA421" s="6">
        <f>('TE BE'!$AB$9+'TE BF'!$AB$9+'TE CVA'!$AB$9)*1</f>
        <v>486.43608405794748</v>
      </c>
      <c r="AB421" s="6">
        <f>$K$421*$V$421</f>
        <v>0</v>
      </c>
      <c r="AC421" s="6">
        <f>$M$421*$W$421</f>
        <v>154721.42445999998</v>
      </c>
      <c r="AD421" s="6">
        <f>$O$421*$X$421</f>
        <v>72860.212920000005</v>
      </c>
      <c r="AE421" s="6">
        <f>$K$421*$Y$421</f>
        <v>0</v>
      </c>
      <c r="AF421" s="6">
        <f ca="1">$M$421*$Z$421</f>
        <v>183907.39016651342</v>
      </c>
      <c r="AG421" s="6">
        <f>$O$421*$AA$421</f>
        <v>80029.437421381634</v>
      </c>
    </row>
    <row r="422" spans="1:33" ht="11.25" customHeight="1" x14ac:dyDescent="0.3">
      <c r="A422" s="4" t="s">
        <v>21</v>
      </c>
      <c r="B422" s="4" t="s">
        <v>39</v>
      </c>
      <c r="C422" s="4" t="s">
        <v>41</v>
      </c>
      <c r="D422" s="4" t="s">
        <v>38</v>
      </c>
      <c r="E422" s="4" t="s">
        <v>25</v>
      </c>
      <c r="F422" s="4" t="s">
        <v>25</v>
      </c>
      <c r="G422" s="4" t="s">
        <v>25</v>
      </c>
      <c r="H422" s="4" t="s">
        <v>34</v>
      </c>
      <c r="I422" s="5">
        <v>44531</v>
      </c>
      <c r="J422" s="6">
        <v>0</v>
      </c>
      <c r="K422" s="6">
        <v>0</v>
      </c>
      <c r="L422" s="6">
        <v>78.861000000000004</v>
      </c>
      <c r="M422" s="6">
        <v>78.861000000000004</v>
      </c>
      <c r="N422" s="6">
        <v>0</v>
      </c>
      <c r="O422" s="6">
        <v>0</v>
      </c>
      <c r="P422" s="6">
        <v>0</v>
      </c>
      <c r="Q422" s="4" t="s">
        <v>55</v>
      </c>
      <c r="R422" s="4">
        <v>0</v>
      </c>
      <c r="S422" s="6">
        <v>0</v>
      </c>
      <c r="T422" s="6">
        <v>8</v>
      </c>
      <c r="U422" s="6">
        <v>0</v>
      </c>
      <c r="V422" s="6">
        <f>IF(ISERROR(VLOOKUP($S$422,'TAR FIN'!$A$1:$O$113,15,0)),0,VLOOKUP($S$422,'TAR FIN'!$A$1:$O$113,15,0))</f>
        <v>0</v>
      </c>
      <c r="W422" s="6">
        <f>IF(ISERROR(VLOOKUP($T$422,'TAR FIN'!$A$1:$O$113,15,0)),0,VLOOKUP($T$422,'TAR FIN'!$A$1:$O$113,15,0))</f>
        <v>940.43</v>
      </c>
      <c r="X422" s="6">
        <f>IF(ISERROR(VLOOKUP($U$422,'TAR FIN'!$A$1:$O$113,15,0)),0,VLOOKUP($U$422,'TAR FIN'!$A$1:$O$113,15,0))</f>
        <v>0</v>
      </c>
      <c r="Y422" s="6"/>
      <c r="Z422" s="6">
        <f ca="1">('TUSD BE'!$AM$20+'TUSD BF'!$AM$20+'TUSD CVA'!$AM$20)*1</f>
        <v>1117.8285588949407</v>
      </c>
      <c r="AA422" s="6"/>
      <c r="AB422" s="6">
        <f>$K$422*$V$422</f>
        <v>0</v>
      </c>
      <c r="AC422" s="6">
        <f>$M$422*$W$422</f>
        <v>74163.250230000005</v>
      </c>
      <c r="AD422" s="6">
        <f>$O$422*$X$422</f>
        <v>0</v>
      </c>
      <c r="AE422" s="6">
        <f>$K$422*$Y$422</f>
        <v>0</v>
      </c>
      <c r="AF422" s="6">
        <f ca="1">$M$422*$Z$422</f>
        <v>88153.077983013922</v>
      </c>
      <c r="AG422" s="6">
        <f>$O$422*$AA$422</f>
        <v>0</v>
      </c>
    </row>
    <row r="423" spans="1:33" ht="11.25" customHeight="1" x14ac:dyDescent="0.3">
      <c r="A423" s="4" t="s">
        <v>21</v>
      </c>
      <c r="B423" s="4" t="s">
        <v>39</v>
      </c>
      <c r="C423" s="4" t="s">
        <v>41</v>
      </c>
      <c r="D423" s="4" t="s">
        <v>38</v>
      </c>
      <c r="E423" s="4" t="s">
        <v>25</v>
      </c>
      <c r="F423" s="4" t="s">
        <v>25</v>
      </c>
      <c r="G423" s="4" t="s">
        <v>25</v>
      </c>
      <c r="H423" s="4" t="s">
        <v>34</v>
      </c>
      <c r="I423" s="5">
        <v>44562</v>
      </c>
      <c r="J423" s="6">
        <v>0</v>
      </c>
      <c r="K423" s="6">
        <v>0</v>
      </c>
      <c r="L423" s="6">
        <v>155.499</v>
      </c>
      <c r="M423" s="6">
        <v>155.499</v>
      </c>
      <c r="N423" s="6">
        <v>155.499</v>
      </c>
      <c r="O423" s="6">
        <v>155.499</v>
      </c>
      <c r="P423" s="6">
        <v>0</v>
      </c>
      <c r="Q423" s="4" t="s">
        <v>26</v>
      </c>
      <c r="R423" s="4">
        <v>0</v>
      </c>
      <c r="S423" s="6">
        <v>0</v>
      </c>
      <c r="T423" s="6">
        <v>8</v>
      </c>
      <c r="U423" s="6">
        <v>38</v>
      </c>
      <c r="V423" s="6">
        <f>IF(ISERROR(VLOOKUP($S$423,'TAR FIN'!$A$1:$O$113,15,0)),0,VLOOKUP($S$423,'TAR FIN'!$A$1:$O$113,15,0))</f>
        <v>0</v>
      </c>
      <c r="W423" s="6">
        <f>IF(ISERROR(VLOOKUP($T$423,'TAR FIN'!$A$1:$O$113,15,0)),0,VLOOKUP($T$423,'TAR FIN'!$A$1:$O$113,15,0))</f>
        <v>940.43</v>
      </c>
      <c r="X423" s="6">
        <f>IF(ISERROR(VLOOKUP($U$423,'TAR FIN'!$A$1:$O$113,15,0)),0,VLOOKUP($U$423,'TAR FIN'!$A$1:$O$113,15,0))</f>
        <v>442.86</v>
      </c>
      <c r="Y423" s="6"/>
      <c r="Z423" s="6">
        <f ca="1">('TUSD BE'!$AM$20+'TUSD BF'!$AM$20+'TUSD CVA'!$AM$20)*1</f>
        <v>1117.8285588949407</v>
      </c>
      <c r="AA423" s="6">
        <f>('TE BE'!$AB$9+'TE BF'!$AB$9+'TE CVA'!$AB$9)*1</f>
        <v>486.43608405794748</v>
      </c>
      <c r="AB423" s="6">
        <f>$K$423*$V$423</f>
        <v>0</v>
      </c>
      <c r="AC423" s="6">
        <f>$M$423*$W$423</f>
        <v>146235.92456999997</v>
      </c>
      <c r="AD423" s="6">
        <f>$O$423*$X$423</f>
        <v>68864.28714</v>
      </c>
      <c r="AE423" s="6">
        <f>$K$423*$Y$423</f>
        <v>0</v>
      </c>
      <c r="AF423" s="6">
        <f ca="1">$M$423*$Z$423</f>
        <v>173821.22307960439</v>
      </c>
      <c r="AG423" s="6">
        <f>$O$423*$AA$423</f>
        <v>75640.324634926772</v>
      </c>
    </row>
    <row r="424" spans="1:33" ht="11.25" customHeight="1" x14ac:dyDescent="0.3">
      <c r="A424" s="4" t="s">
        <v>21</v>
      </c>
      <c r="B424" s="4" t="s">
        <v>39</v>
      </c>
      <c r="C424" s="4" t="s">
        <v>41</v>
      </c>
      <c r="D424" s="4" t="s">
        <v>38</v>
      </c>
      <c r="E424" s="4" t="s">
        <v>25</v>
      </c>
      <c r="F424" s="4" t="s">
        <v>25</v>
      </c>
      <c r="G424" s="4" t="s">
        <v>25</v>
      </c>
      <c r="H424" s="4" t="s">
        <v>34</v>
      </c>
      <c r="I424" s="5">
        <v>44562</v>
      </c>
      <c r="J424" s="6">
        <v>0</v>
      </c>
      <c r="K424" s="6">
        <v>0</v>
      </c>
      <c r="L424" s="6">
        <v>67.552999999999997</v>
      </c>
      <c r="M424" s="6">
        <v>67.552999999999997</v>
      </c>
      <c r="N424" s="6">
        <v>0</v>
      </c>
      <c r="O424" s="6">
        <v>0</v>
      </c>
      <c r="P424" s="6">
        <v>0</v>
      </c>
      <c r="Q424" s="4" t="s">
        <v>55</v>
      </c>
      <c r="R424" s="4">
        <v>0</v>
      </c>
      <c r="S424" s="6">
        <v>0</v>
      </c>
      <c r="T424" s="6">
        <v>8</v>
      </c>
      <c r="U424" s="6">
        <v>0</v>
      </c>
      <c r="V424" s="6">
        <f>IF(ISERROR(VLOOKUP($S$424,'TAR FIN'!$A$1:$O$113,15,0)),0,VLOOKUP($S$424,'TAR FIN'!$A$1:$O$113,15,0))</f>
        <v>0</v>
      </c>
      <c r="W424" s="6">
        <f>IF(ISERROR(VLOOKUP($T$424,'TAR FIN'!$A$1:$O$113,15,0)),0,VLOOKUP($T$424,'TAR FIN'!$A$1:$O$113,15,0))</f>
        <v>940.43</v>
      </c>
      <c r="X424" s="6">
        <f>IF(ISERROR(VLOOKUP($U$424,'TAR FIN'!$A$1:$O$113,15,0)),0,VLOOKUP($U$424,'TAR FIN'!$A$1:$O$113,15,0))</f>
        <v>0</v>
      </c>
      <c r="Y424" s="6"/>
      <c r="Z424" s="6">
        <f ca="1">('TUSD BE'!$AM$20+'TUSD BF'!$AM$20+'TUSD CVA'!$AM$20)*1</f>
        <v>1117.8285588949407</v>
      </c>
      <c r="AA424" s="6"/>
      <c r="AB424" s="6">
        <f>$K$424*$V$424</f>
        <v>0</v>
      </c>
      <c r="AC424" s="6">
        <f>$M$424*$W$424</f>
        <v>63528.867789999997</v>
      </c>
      <c r="AD424" s="6">
        <f>$O$424*$X$424</f>
        <v>0</v>
      </c>
      <c r="AE424" s="6">
        <f>$K$424*$Y$424</f>
        <v>0</v>
      </c>
      <c r="AF424" s="6">
        <f ca="1">$M$424*$Z$424</f>
        <v>75512.67263902993</v>
      </c>
      <c r="AG424" s="6">
        <f>$O$424*$AA$424</f>
        <v>0</v>
      </c>
    </row>
    <row r="425" spans="1:33" ht="11.25" customHeight="1" x14ac:dyDescent="0.3">
      <c r="A425" s="4" t="s">
        <v>21</v>
      </c>
      <c r="B425" s="4" t="s">
        <v>39</v>
      </c>
      <c r="C425" s="4" t="s">
        <v>41</v>
      </c>
      <c r="D425" s="4" t="s">
        <v>38</v>
      </c>
      <c r="E425" s="4" t="s">
        <v>25</v>
      </c>
      <c r="F425" s="4" t="s">
        <v>25</v>
      </c>
      <c r="G425" s="4" t="s">
        <v>25</v>
      </c>
      <c r="H425" s="4" t="s">
        <v>34</v>
      </c>
      <c r="I425" s="5">
        <v>44593</v>
      </c>
      <c r="J425" s="6">
        <v>0</v>
      </c>
      <c r="K425" s="6">
        <v>0</v>
      </c>
      <c r="L425" s="6">
        <v>148.649</v>
      </c>
      <c r="M425" s="6">
        <v>148.649</v>
      </c>
      <c r="N425" s="6">
        <v>148.649</v>
      </c>
      <c r="O425" s="6">
        <v>148.649</v>
      </c>
      <c r="P425" s="6">
        <v>0</v>
      </c>
      <c r="Q425" s="4" t="s">
        <v>26</v>
      </c>
      <c r="R425" s="4">
        <v>0</v>
      </c>
      <c r="S425" s="6">
        <v>0</v>
      </c>
      <c r="T425" s="6">
        <v>8</v>
      </c>
      <c r="U425" s="6">
        <v>38</v>
      </c>
      <c r="V425" s="6">
        <f>IF(ISERROR(VLOOKUP($S$425,'TAR FIN'!$A$1:$O$113,15,0)),0,VLOOKUP($S$425,'TAR FIN'!$A$1:$O$113,15,0))</f>
        <v>0</v>
      </c>
      <c r="W425" s="6">
        <f>IF(ISERROR(VLOOKUP($T$425,'TAR FIN'!$A$1:$O$113,15,0)),0,VLOOKUP($T$425,'TAR FIN'!$A$1:$O$113,15,0))</f>
        <v>940.43</v>
      </c>
      <c r="X425" s="6">
        <f>IF(ISERROR(VLOOKUP($U$425,'TAR FIN'!$A$1:$O$113,15,0)),0,VLOOKUP($U$425,'TAR FIN'!$A$1:$O$113,15,0))</f>
        <v>442.86</v>
      </c>
      <c r="Y425" s="6"/>
      <c r="Z425" s="6">
        <f ca="1">('TUSD BE'!$AM$20+'TUSD BF'!$AM$20+'TUSD CVA'!$AM$20)*1</f>
        <v>1117.8285588949407</v>
      </c>
      <c r="AA425" s="6">
        <f>('TE BE'!$AB$9+'TE BF'!$AB$9+'TE CVA'!$AB$9)*1</f>
        <v>486.43608405794748</v>
      </c>
      <c r="AB425" s="6">
        <f>$K$425*$V$425</f>
        <v>0</v>
      </c>
      <c r="AC425" s="6">
        <f>$M$425*$W$425</f>
        <v>139793.97907</v>
      </c>
      <c r="AD425" s="6">
        <f>$O$425*$X$425</f>
        <v>65830.69614</v>
      </c>
      <c r="AE425" s="6">
        <f>$K$425*$Y$425</f>
        <v>0</v>
      </c>
      <c r="AF425" s="6">
        <f ca="1">$M$425*$Z$425</f>
        <v>166164.09745117405</v>
      </c>
      <c r="AG425" s="6">
        <f>$O$425*$AA$425</f>
        <v>72308.237459129828</v>
      </c>
    </row>
    <row r="426" spans="1:33" ht="11.25" customHeight="1" x14ac:dyDescent="0.3">
      <c r="A426" s="4" t="s">
        <v>28</v>
      </c>
      <c r="B426" s="4" t="s">
        <v>39</v>
      </c>
      <c r="C426" s="4" t="s">
        <v>41</v>
      </c>
      <c r="D426" s="4" t="s">
        <v>38</v>
      </c>
      <c r="E426" s="4" t="s">
        <v>25</v>
      </c>
      <c r="F426" s="4" t="s">
        <v>25</v>
      </c>
      <c r="G426" s="4" t="s">
        <v>25</v>
      </c>
      <c r="H426" s="4" t="s">
        <v>34</v>
      </c>
      <c r="I426" s="5">
        <v>44593</v>
      </c>
      <c r="J426" s="6">
        <v>0</v>
      </c>
      <c r="K426" s="6">
        <v>0</v>
      </c>
      <c r="L426" s="6">
        <v>3.7490000000000001</v>
      </c>
      <c r="M426" s="6">
        <v>3.7490000000000001</v>
      </c>
      <c r="N426" s="6">
        <v>3.7490000000000001</v>
      </c>
      <c r="O426" s="6">
        <v>3.7490000000000001</v>
      </c>
      <c r="P426" s="6">
        <v>0</v>
      </c>
      <c r="Q426" s="4" t="s">
        <v>26</v>
      </c>
      <c r="R426" s="4">
        <v>0</v>
      </c>
      <c r="S426" s="6">
        <v>0</v>
      </c>
      <c r="T426" s="6">
        <v>8</v>
      </c>
      <c r="U426" s="6">
        <v>38</v>
      </c>
      <c r="V426" s="6">
        <f>IF(ISERROR(VLOOKUP($S$426,'TAR FIN'!$A$1:$O$113,15,0)),0,VLOOKUP($S$426,'TAR FIN'!$A$1:$O$113,15,0))</f>
        <v>0</v>
      </c>
      <c r="W426" s="6">
        <f>IF(ISERROR(VLOOKUP($T$426,'TAR FIN'!$A$1:$O$113,15,0)),0,VLOOKUP($T$426,'TAR FIN'!$A$1:$O$113,15,0))</f>
        <v>940.43</v>
      </c>
      <c r="X426" s="6">
        <f>IF(ISERROR(VLOOKUP($U$426,'TAR FIN'!$A$1:$O$113,15,0)),0,VLOOKUP($U$426,'TAR FIN'!$A$1:$O$113,15,0))</f>
        <v>442.86</v>
      </c>
      <c r="Y426" s="6"/>
      <c r="Z426" s="6">
        <f ca="1">('TUSD BE'!$AM$20+'TUSD BF'!$AM$20+'TUSD CVA'!$AM$20)*1</f>
        <v>1117.8285588949407</v>
      </c>
      <c r="AA426" s="6">
        <f>('TE BE'!$AB$9+'TE BF'!$AB$9+'TE CVA'!$AB$9)*1</f>
        <v>486.43608405794748</v>
      </c>
      <c r="AB426" s="6">
        <f>$K$426*$V$426</f>
        <v>0</v>
      </c>
      <c r="AC426" s="6">
        <f>$M$426*$W$426</f>
        <v>3525.6720700000001</v>
      </c>
      <c r="AD426" s="6">
        <f>$O$426*$X$426</f>
        <v>1660.28214</v>
      </c>
      <c r="AE426" s="6">
        <f>$K$426*$Y$426</f>
        <v>0</v>
      </c>
      <c r="AF426" s="6">
        <f ca="1">$M$426*$Z$426</f>
        <v>4190.7392672971328</v>
      </c>
      <c r="AG426" s="6">
        <f>$O$426*$AA$426</f>
        <v>1823.6488791332451</v>
      </c>
    </row>
    <row r="427" spans="1:33" ht="11.25" customHeight="1" x14ac:dyDescent="0.3">
      <c r="A427" s="4" t="s">
        <v>21</v>
      </c>
      <c r="B427" s="4" t="s">
        <v>39</v>
      </c>
      <c r="C427" s="4" t="s">
        <v>41</v>
      </c>
      <c r="D427" s="4" t="s">
        <v>38</v>
      </c>
      <c r="E427" s="4" t="s">
        <v>25</v>
      </c>
      <c r="F427" s="4" t="s">
        <v>25</v>
      </c>
      <c r="G427" s="4" t="s">
        <v>25</v>
      </c>
      <c r="H427" s="4" t="s">
        <v>34</v>
      </c>
      <c r="I427" s="5">
        <v>44593</v>
      </c>
      <c r="J427" s="6">
        <v>0</v>
      </c>
      <c r="K427" s="6">
        <v>0</v>
      </c>
      <c r="L427" s="6">
        <v>84.46</v>
      </c>
      <c r="M427" s="6">
        <v>84.46</v>
      </c>
      <c r="N427" s="6">
        <v>0</v>
      </c>
      <c r="O427" s="6">
        <v>0</v>
      </c>
      <c r="P427" s="6">
        <v>0</v>
      </c>
      <c r="Q427" s="4" t="s">
        <v>55</v>
      </c>
      <c r="R427" s="4">
        <v>0</v>
      </c>
      <c r="S427" s="6">
        <v>0</v>
      </c>
      <c r="T427" s="6">
        <v>8</v>
      </c>
      <c r="U427" s="6">
        <v>0</v>
      </c>
      <c r="V427" s="6">
        <f>IF(ISERROR(VLOOKUP($S$427,'TAR FIN'!$A$1:$O$113,15,0)),0,VLOOKUP($S$427,'TAR FIN'!$A$1:$O$113,15,0))</f>
        <v>0</v>
      </c>
      <c r="W427" s="6">
        <f>IF(ISERROR(VLOOKUP($T$427,'TAR FIN'!$A$1:$O$113,15,0)),0,VLOOKUP($T$427,'TAR FIN'!$A$1:$O$113,15,0))</f>
        <v>940.43</v>
      </c>
      <c r="X427" s="6">
        <f>IF(ISERROR(VLOOKUP($U$427,'TAR FIN'!$A$1:$O$113,15,0)),0,VLOOKUP($U$427,'TAR FIN'!$A$1:$O$113,15,0))</f>
        <v>0</v>
      </c>
      <c r="Y427" s="6"/>
      <c r="Z427" s="6">
        <f ca="1">('TUSD BE'!$AM$20+'TUSD BF'!$AM$20+'TUSD CVA'!$AM$20)*1</f>
        <v>1117.8285588949407</v>
      </c>
      <c r="AA427" s="6"/>
      <c r="AB427" s="6">
        <f>$K$427*$V$427</f>
        <v>0</v>
      </c>
      <c r="AC427" s="6">
        <f>$M$427*$W$427</f>
        <v>79428.717799999984</v>
      </c>
      <c r="AD427" s="6">
        <f>$O$427*$X$427</f>
        <v>0</v>
      </c>
      <c r="AE427" s="6">
        <f>$K$427*$Y$427</f>
        <v>0</v>
      </c>
      <c r="AF427" s="6">
        <f ca="1">$M$427*$Z$427</f>
        <v>94411.800084266681</v>
      </c>
      <c r="AG427" s="6">
        <f>$O$427*$AA$427</f>
        <v>0</v>
      </c>
    </row>
    <row r="428" spans="1:33" ht="11.25" customHeight="1" x14ac:dyDescent="0.3">
      <c r="A428" s="4" t="s">
        <v>21</v>
      </c>
      <c r="B428" s="4" t="s">
        <v>39</v>
      </c>
      <c r="C428" s="4" t="s">
        <v>41</v>
      </c>
      <c r="D428" s="4" t="s">
        <v>38</v>
      </c>
      <c r="E428" s="4" t="s">
        <v>25</v>
      </c>
      <c r="F428" s="4" t="s">
        <v>25</v>
      </c>
      <c r="G428" s="4" t="s">
        <v>25</v>
      </c>
      <c r="H428" s="4" t="s">
        <v>34</v>
      </c>
      <c r="I428" s="5">
        <v>44621</v>
      </c>
      <c r="J428" s="6">
        <v>0</v>
      </c>
      <c r="K428" s="6">
        <v>0</v>
      </c>
      <c r="L428" s="6">
        <v>162.43</v>
      </c>
      <c r="M428" s="6">
        <v>162.43</v>
      </c>
      <c r="N428" s="6">
        <v>162.43</v>
      </c>
      <c r="O428" s="6">
        <v>162.43</v>
      </c>
      <c r="P428" s="6">
        <v>0</v>
      </c>
      <c r="Q428" s="4" t="s">
        <v>26</v>
      </c>
      <c r="R428" s="4">
        <v>0</v>
      </c>
      <c r="S428" s="6">
        <v>0</v>
      </c>
      <c r="T428" s="6">
        <v>8</v>
      </c>
      <c r="U428" s="6">
        <v>38</v>
      </c>
      <c r="V428" s="6">
        <f>IF(ISERROR(VLOOKUP($S$428,'TAR FIN'!$A$1:$O$113,15,0)),0,VLOOKUP($S$428,'TAR FIN'!$A$1:$O$113,15,0))</f>
        <v>0</v>
      </c>
      <c r="W428" s="6">
        <f>IF(ISERROR(VLOOKUP($T$428,'TAR FIN'!$A$1:$O$113,15,0)),0,VLOOKUP($T$428,'TAR FIN'!$A$1:$O$113,15,0))</f>
        <v>940.43</v>
      </c>
      <c r="X428" s="6">
        <f>IF(ISERROR(VLOOKUP($U$428,'TAR FIN'!$A$1:$O$113,15,0)),0,VLOOKUP($U$428,'TAR FIN'!$A$1:$O$113,15,0))</f>
        <v>442.86</v>
      </c>
      <c r="Y428" s="6"/>
      <c r="Z428" s="6">
        <f ca="1">('TUSD BE'!$AM$20+'TUSD BF'!$AM$20+'TUSD CVA'!$AM$20)*1</f>
        <v>1117.8285588949407</v>
      </c>
      <c r="AA428" s="6">
        <f>('TE BE'!$AB$9+'TE BF'!$AB$9+'TE CVA'!$AB$9)*1</f>
        <v>486.43608405794748</v>
      </c>
      <c r="AB428" s="6">
        <f>$K$428*$V$428</f>
        <v>0</v>
      </c>
      <c r="AC428" s="6">
        <f>$M$428*$W$428</f>
        <v>152754.04490000001</v>
      </c>
      <c r="AD428" s="6">
        <f>$O$428*$X$428</f>
        <v>71933.749800000005</v>
      </c>
      <c r="AE428" s="6">
        <f>$K$428*$Y$428</f>
        <v>0</v>
      </c>
      <c r="AF428" s="6">
        <f ca="1">$M$428*$Z$428</f>
        <v>181568.89282130523</v>
      </c>
      <c r="AG428" s="6">
        <f>$O$428*$AA$428</f>
        <v>79011.813133532414</v>
      </c>
    </row>
    <row r="429" spans="1:33" ht="11.25" customHeight="1" x14ac:dyDescent="0.3">
      <c r="A429" s="4" t="s">
        <v>28</v>
      </c>
      <c r="B429" s="4" t="s">
        <v>39</v>
      </c>
      <c r="C429" s="4" t="s">
        <v>41</v>
      </c>
      <c r="D429" s="4" t="s">
        <v>38</v>
      </c>
      <c r="E429" s="4" t="s">
        <v>25</v>
      </c>
      <c r="F429" s="4" t="s">
        <v>25</v>
      </c>
      <c r="G429" s="4" t="s">
        <v>25</v>
      </c>
      <c r="H429" s="4" t="s">
        <v>34</v>
      </c>
      <c r="I429" s="5">
        <v>44621</v>
      </c>
      <c r="J429" s="6">
        <v>0</v>
      </c>
      <c r="K429" s="6">
        <v>0</v>
      </c>
      <c r="L429" s="6">
        <v>3.5339999999999998</v>
      </c>
      <c r="M429" s="6">
        <v>3.5339999999999998</v>
      </c>
      <c r="N429" s="6">
        <v>3.5339999999999998</v>
      </c>
      <c r="O429" s="6">
        <v>3.5339999999999998</v>
      </c>
      <c r="P429" s="6">
        <v>0</v>
      </c>
      <c r="Q429" s="4" t="s">
        <v>26</v>
      </c>
      <c r="R429" s="4">
        <v>0</v>
      </c>
      <c r="S429" s="6">
        <v>0</v>
      </c>
      <c r="T429" s="6">
        <v>8</v>
      </c>
      <c r="U429" s="6">
        <v>38</v>
      </c>
      <c r="V429" s="6">
        <f>IF(ISERROR(VLOOKUP($S$429,'TAR FIN'!$A$1:$O$113,15,0)),0,VLOOKUP($S$429,'TAR FIN'!$A$1:$O$113,15,0))</f>
        <v>0</v>
      </c>
      <c r="W429" s="6">
        <f>IF(ISERROR(VLOOKUP($T$429,'TAR FIN'!$A$1:$O$113,15,0)),0,VLOOKUP($T$429,'TAR FIN'!$A$1:$O$113,15,0))</f>
        <v>940.43</v>
      </c>
      <c r="X429" s="6">
        <f>IF(ISERROR(VLOOKUP($U$429,'TAR FIN'!$A$1:$O$113,15,0)),0,VLOOKUP($U$429,'TAR FIN'!$A$1:$O$113,15,0))</f>
        <v>442.86</v>
      </c>
      <c r="Y429" s="6"/>
      <c r="Z429" s="6">
        <f ca="1">('TUSD BE'!$AM$20+'TUSD BF'!$AM$20+'TUSD CVA'!$AM$20)*1</f>
        <v>1117.8285588949407</v>
      </c>
      <c r="AA429" s="6">
        <f>('TE BE'!$AB$9+'TE BF'!$AB$9+'TE CVA'!$AB$9)*1</f>
        <v>486.43608405794748</v>
      </c>
      <c r="AB429" s="6">
        <f>$K$429*$V$429</f>
        <v>0</v>
      </c>
      <c r="AC429" s="6">
        <f>$M$429*$W$429</f>
        <v>3323.4796199999996</v>
      </c>
      <c r="AD429" s="6">
        <f>$O$429*$X$429</f>
        <v>1565.0672399999999</v>
      </c>
      <c r="AE429" s="6">
        <f>$K$429*$Y$429</f>
        <v>0</v>
      </c>
      <c r="AF429" s="6">
        <f ca="1">$M$429*$Z$429</f>
        <v>3950.40612713472</v>
      </c>
      <c r="AG429" s="6">
        <f>$O$429*$AA$429</f>
        <v>1719.0651210607864</v>
      </c>
    </row>
    <row r="430" spans="1:33" ht="11.25" customHeight="1" x14ac:dyDescent="0.3">
      <c r="A430" s="4" t="s">
        <v>21</v>
      </c>
      <c r="B430" s="4" t="s">
        <v>39</v>
      </c>
      <c r="C430" s="4" t="s">
        <v>41</v>
      </c>
      <c r="D430" s="4" t="s">
        <v>38</v>
      </c>
      <c r="E430" s="4" t="s">
        <v>25</v>
      </c>
      <c r="F430" s="4" t="s">
        <v>25</v>
      </c>
      <c r="G430" s="4" t="s">
        <v>25</v>
      </c>
      <c r="H430" s="4" t="s">
        <v>34</v>
      </c>
      <c r="I430" s="5">
        <v>44621</v>
      </c>
      <c r="J430" s="6">
        <v>0</v>
      </c>
      <c r="K430" s="6">
        <v>0</v>
      </c>
      <c r="L430" s="6">
        <v>83.861000000000004</v>
      </c>
      <c r="M430" s="6">
        <v>83.861000000000004</v>
      </c>
      <c r="N430" s="6">
        <v>0</v>
      </c>
      <c r="O430" s="6">
        <v>0</v>
      </c>
      <c r="P430" s="6">
        <v>0</v>
      </c>
      <c r="Q430" s="4" t="s">
        <v>55</v>
      </c>
      <c r="R430" s="4">
        <v>0</v>
      </c>
      <c r="S430" s="6">
        <v>0</v>
      </c>
      <c r="T430" s="6">
        <v>8</v>
      </c>
      <c r="U430" s="6">
        <v>0</v>
      </c>
      <c r="V430" s="6">
        <f>IF(ISERROR(VLOOKUP($S$430,'TAR FIN'!$A$1:$O$113,15,0)),0,VLOOKUP($S$430,'TAR FIN'!$A$1:$O$113,15,0))</f>
        <v>0</v>
      </c>
      <c r="W430" s="6">
        <f>IF(ISERROR(VLOOKUP($T$430,'TAR FIN'!$A$1:$O$113,15,0)),0,VLOOKUP($T$430,'TAR FIN'!$A$1:$O$113,15,0))</f>
        <v>940.43</v>
      </c>
      <c r="X430" s="6">
        <f>IF(ISERROR(VLOOKUP($U$430,'TAR FIN'!$A$1:$O$113,15,0)),0,VLOOKUP($U$430,'TAR FIN'!$A$1:$O$113,15,0))</f>
        <v>0</v>
      </c>
      <c r="Y430" s="6"/>
      <c r="Z430" s="6">
        <f ca="1">('TUSD BE'!$AM$20+'TUSD BF'!$AM$20+'TUSD CVA'!$AM$20)*1</f>
        <v>1117.8285588949407</v>
      </c>
      <c r="AA430" s="6"/>
      <c r="AB430" s="6">
        <f>$K$430*$V$430</f>
        <v>0</v>
      </c>
      <c r="AC430" s="6">
        <f>$M$430*$W$430</f>
        <v>78865.400229999999</v>
      </c>
      <c r="AD430" s="6">
        <f>$O$430*$X$430</f>
        <v>0</v>
      </c>
      <c r="AE430" s="6">
        <f>$K$430*$Y$430</f>
        <v>0</v>
      </c>
      <c r="AF430" s="6">
        <f ca="1">$M$430*$Z$430</f>
        <v>93742.220777488619</v>
      </c>
      <c r="AG430" s="6">
        <f>$O$430*$AA$430</f>
        <v>0</v>
      </c>
    </row>
    <row r="431" spans="1:33" ht="11.25" customHeight="1" x14ac:dyDescent="0.3">
      <c r="A431" s="4" t="s">
        <v>21</v>
      </c>
      <c r="B431" s="4" t="s">
        <v>39</v>
      </c>
      <c r="C431" s="4" t="s">
        <v>41</v>
      </c>
      <c r="D431" s="4" t="s">
        <v>38</v>
      </c>
      <c r="E431" s="4" t="s">
        <v>25</v>
      </c>
      <c r="F431" s="4" t="s">
        <v>25</v>
      </c>
      <c r="G431" s="4" t="s">
        <v>25</v>
      </c>
      <c r="H431" s="4" t="s">
        <v>34</v>
      </c>
      <c r="I431" s="5">
        <v>44652</v>
      </c>
      <c r="J431" s="6">
        <v>0</v>
      </c>
      <c r="K431" s="6">
        <v>0</v>
      </c>
      <c r="L431" s="6">
        <v>183.04300000000001</v>
      </c>
      <c r="M431" s="6">
        <v>183.04300000000001</v>
      </c>
      <c r="N431" s="6">
        <v>183.04300000000001</v>
      </c>
      <c r="O431" s="6">
        <v>183.04300000000001</v>
      </c>
      <c r="P431" s="6">
        <v>0</v>
      </c>
      <c r="Q431" s="4" t="s">
        <v>26</v>
      </c>
      <c r="R431" s="4">
        <v>0</v>
      </c>
      <c r="S431" s="6">
        <v>0</v>
      </c>
      <c r="T431" s="6">
        <v>8</v>
      </c>
      <c r="U431" s="6">
        <v>38</v>
      </c>
      <c r="V431" s="6">
        <f>IF(ISERROR(VLOOKUP($S$431,'TAR FIN'!$A$1:$O$113,15,0)),0,VLOOKUP($S$431,'TAR FIN'!$A$1:$O$113,15,0))</f>
        <v>0</v>
      </c>
      <c r="W431" s="6">
        <f>IF(ISERROR(VLOOKUP($T$431,'TAR FIN'!$A$1:$O$113,15,0)),0,VLOOKUP($T$431,'TAR FIN'!$A$1:$O$113,15,0))</f>
        <v>940.43</v>
      </c>
      <c r="X431" s="6">
        <f>IF(ISERROR(VLOOKUP($U$431,'TAR FIN'!$A$1:$O$113,15,0)),0,VLOOKUP($U$431,'TAR FIN'!$A$1:$O$113,15,0))</f>
        <v>442.86</v>
      </c>
      <c r="Y431" s="6"/>
      <c r="Z431" s="6">
        <f ca="1">('TUSD BE'!$AM$20+'TUSD BF'!$AM$20+'TUSD CVA'!$AM$20)*1</f>
        <v>1117.8285588949407</v>
      </c>
      <c r="AA431" s="6">
        <f>('TE BE'!$AB$9+'TE BF'!$AB$9+'TE CVA'!$AB$9)*1</f>
        <v>486.43608405794748</v>
      </c>
      <c r="AB431" s="6">
        <f>$K$431*$V$431</f>
        <v>0</v>
      </c>
      <c r="AC431" s="6">
        <f>$M$431*$W$431</f>
        <v>172139.12849</v>
      </c>
      <c r="AD431" s="6">
        <f>$O$431*$X$431</f>
        <v>81062.422980000003</v>
      </c>
      <c r="AE431" s="6">
        <f>$K$431*$Y$431</f>
        <v>0</v>
      </c>
      <c r="AF431" s="6">
        <f ca="1">$M$431*$Z$431</f>
        <v>204610.69290580665</v>
      </c>
      <c r="AG431" s="6">
        <f>$O$431*$AA$431</f>
        <v>89038.720134218878</v>
      </c>
    </row>
    <row r="432" spans="1:33" ht="11.25" customHeight="1" x14ac:dyDescent="0.3">
      <c r="A432" s="4" t="s">
        <v>28</v>
      </c>
      <c r="B432" s="4" t="s">
        <v>39</v>
      </c>
      <c r="C432" s="4" t="s">
        <v>41</v>
      </c>
      <c r="D432" s="4" t="s">
        <v>38</v>
      </c>
      <c r="E432" s="4" t="s">
        <v>25</v>
      </c>
      <c r="F432" s="4" t="s">
        <v>25</v>
      </c>
      <c r="G432" s="4" t="s">
        <v>25</v>
      </c>
      <c r="H432" s="4" t="s">
        <v>34</v>
      </c>
      <c r="I432" s="5">
        <v>44652</v>
      </c>
      <c r="J432" s="6">
        <v>0</v>
      </c>
      <c r="K432" s="6">
        <v>0</v>
      </c>
      <c r="L432" s="6">
        <v>4.609</v>
      </c>
      <c r="M432" s="6">
        <v>4.609</v>
      </c>
      <c r="N432" s="6">
        <v>4.609</v>
      </c>
      <c r="O432" s="6">
        <v>4.609</v>
      </c>
      <c r="P432" s="6">
        <v>0</v>
      </c>
      <c r="Q432" s="4" t="s">
        <v>26</v>
      </c>
      <c r="R432" s="4">
        <v>0</v>
      </c>
      <c r="S432" s="6">
        <v>0</v>
      </c>
      <c r="T432" s="6">
        <v>8</v>
      </c>
      <c r="U432" s="6">
        <v>38</v>
      </c>
      <c r="V432" s="6">
        <f>IF(ISERROR(VLOOKUP($S$432,'TAR FIN'!$A$1:$O$113,15,0)),0,VLOOKUP($S$432,'TAR FIN'!$A$1:$O$113,15,0))</f>
        <v>0</v>
      </c>
      <c r="W432" s="6">
        <f>IF(ISERROR(VLOOKUP($T$432,'TAR FIN'!$A$1:$O$113,15,0)),0,VLOOKUP($T$432,'TAR FIN'!$A$1:$O$113,15,0))</f>
        <v>940.43</v>
      </c>
      <c r="X432" s="6">
        <f>IF(ISERROR(VLOOKUP($U$432,'TAR FIN'!$A$1:$O$113,15,0)),0,VLOOKUP($U$432,'TAR FIN'!$A$1:$O$113,15,0))</f>
        <v>442.86</v>
      </c>
      <c r="Y432" s="6"/>
      <c r="Z432" s="6">
        <f ca="1">('TUSD BE'!$AM$20+'TUSD BF'!$AM$20+'TUSD CVA'!$AM$20)*1</f>
        <v>1117.8285588949407</v>
      </c>
      <c r="AA432" s="6">
        <f>('TE BE'!$AB$9+'TE BF'!$AB$9+'TE CVA'!$AB$9)*1</f>
        <v>486.43608405794748</v>
      </c>
      <c r="AB432" s="6">
        <f>$K$432*$V$432</f>
        <v>0</v>
      </c>
      <c r="AC432" s="6">
        <f>$M$432*$W$432</f>
        <v>4334.4418699999997</v>
      </c>
      <c r="AD432" s="6">
        <f>$O$432*$X$432</f>
        <v>2041.14174</v>
      </c>
      <c r="AE432" s="6">
        <f>$K$432*$Y$432</f>
        <v>0</v>
      </c>
      <c r="AF432" s="6">
        <f ca="1">$M$432*$Z$432</f>
        <v>5152.0718279467819</v>
      </c>
      <c r="AG432" s="6">
        <f>$O$432*$AA$432</f>
        <v>2241.9839114230799</v>
      </c>
    </row>
    <row r="433" spans="1:33" ht="11.25" customHeight="1" x14ac:dyDescent="0.3">
      <c r="A433" s="4" t="s">
        <v>21</v>
      </c>
      <c r="B433" s="4" t="s">
        <v>39</v>
      </c>
      <c r="C433" s="4" t="s">
        <v>41</v>
      </c>
      <c r="D433" s="4" t="s">
        <v>38</v>
      </c>
      <c r="E433" s="4" t="s">
        <v>25</v>
      </c>
      <c r="F433" s="4" t="s">
        <v>25</v>
      </c>
      <c r="G433" s="4" t="s">
        <v>25</v>
      </c>
      <c r="H433" s="4" t="s">
        <v>34</v>
      </c>
      <c r="I433" s="5">
        <v>44652</v>
      </c>
      <c r="J433" s="6">
        <v>0</v>
      </c>
      <c r="K433" s="6">
        <v>0</v>
      </c>
      <c r="L433" s="6">
        <v>90.254999999999995</v>
      </c>
      <c r="M433" s="6">
        <v>90.254999999999995</v>
      </c>
      <c r="N433" s="6">
        <v>0</v>
      </c>
      <c r="O433" s="6">
        <v>0</v>
      </c>
      <c r="P433" s="6">
        <v>0</v>
      </c>
      <c r="Q433" s="4" t="s">
        <v>55</v>
      </c>
      <c r="R433" s="4">
        <v>0</v>
      </c>
      <c r="S433" s="6">
        <v>0</v>
      </c>
      <c r="T433" s="6">
        <v>8</v>
      </c>
      <c r="U433" s="6">
        <v>0</v>
      </c>
      <c r="V433" s="6">
        <f>IF(ISERROR(VLOOKUP($S$433,'TAR FIN'!$A$1:$O$113,15,0)),0,VLOOKUP($S$433,'TAR FIN'!$A$1:$O$113,15,0))</f>
        <v>0</v>
      </c>
      <c r="W433" s="6">
        <f>IF(ISERROR(VLOOKUP($T$433,'TAR FIN'!$A$1:$O$113,15,0)),0,VLOOKUP($T$433,'TAR FIN'!$A$1:$O$113,15,0))</f>
        <v>940.43</v>
      </c>
      <c r="X433" s="6">
        <f>IF(ISERROR(VLOOKUP($U$433,'TAR FIN'!$A$1:$O$113,15,0)),0,VLOOKUP($U$433,'TAR FIN'!$A$1:$O$113,15,0))</f>
        <v>0</v>
      </c>
      <c r="Y433" s="6"/>
      <c r="Z433" s="6">
        <f ca="1">('TUSD BE'!$AM$20+'TUSD BF'!$AM$20+'TUSD CVA'!$AM$20)*1</f>
        <v>1117.8285588949407</v>
      </c>
      <c r="AA433" s="6"/>
      <c r="AB433" s="6">
        <f>$K$433*$V$433</f>
        <v>0</v>
      </c>
      <c r="AC433" s="6">
        <f>$M$433*$W$433</f>
        <v>84878.509649999993</v>
      </c>
      <c r="AD433" s="6">
        <f>$O$433*$X$433</f>
        <v>0</v>
      </c>
      <c r="AE433" s="6">
        <f>$K$433*$Y$433</f>
        <v>0</v>
      </c>
      <c r="AF433" s="6">
        <f ca="1">$M$433*$Z$433</f>
        <v>100889.61658306286</v>
      </c>
      <c r="AG433" s="6">
        <f>$O$433*$AA$433</f>
        <v>0</v>
      </c>
    </row>
    <row r="434" spans="1:33" ht="11.25" customHeight="1" x14ac:dyDescent="0.3">
      <c r="A434" s="4" t="s">
        <v>21</v>
      </c>
      <c r="B434" s="4" t="s">
        <v>39</v>
      </c>
      <c r="C434" s="4" t="s">
        <v>41</v>
      </c>
      <c r="D434" s="4" t="s">
        <v>38</v>
      </c>
      <c r="E434" s="4" t="s">
        <v>25</v>
      </c>
      <c r="F434" s="4" t="s">
        <v>25</v>
      </c>
      <c r="G434" s="4" t="s">
        <v>25</v>
      </c>
      <c r="H434" s="4" t="s">
        <v>34</v>
      </c>
      <c r="I434" s="5">
        <v>44682</v>
      </c>
      <c r="J434" s="6">
        <v>0</v>
      </c>
      <c r="K434" s="6">
        <v>0</v>
      </c>
      <c r="L434" s="6">
        <v>153.35499999999999</v>
      </c>
      <c r="M434" s="6">
        <v>153.35499999999999</v>
      </c>
      <c r="N434" s="6">
        <v>153.35499999999999</v>
      </c>
      <c r="O434" s="6">
        <v>153.35499999999999</v>
      </c>
      <c r="P434" s="6">
        <v>0</v>
      </c>
      <c r="Q434" s="4" t="s">
        <v>26</v>
      </c>
      <c r="R434" s="4">
        <v>0</v>
      </c>
      <c r="S434" s="6">
        <v>0</v>
      </c>
      <c r="T434" s="6">
        <v>8</v>
      </c>
      <c r="U434" s="6">
        <v>38</v>
      </c>
      <c r="V434" s="6">
        <f>IF(ISERROR(VLOOKUP($S$434,'TAR FIN'!$A$1:$O$113,15,0)),0,VLOOKUP($S$434,'TAR FIN'!$A$1:$O$113,15,0))</f>
        <v>0</v>
      </c>
      <c r="W434" s="6">
        <f>IF(ISERROR(VLOOKUP($T$434,'TAR FIN'!$A$1:$O$113,15,0)),0,VLOOKUP($T$434,'TAR FIN'!$A$1:$O$113,15,0))</f>
        <v>940.43</v>
      </c>
      <c r="X434" s="6">
        <f>IF(ISERROR(VLOOKUP($U$434,'TAR FIN'!$A$1:$O$113,15,0)),0,VLOOKUP($U$434,'TAR FIN'!$A$1:$O$113,15,0))</f>
        <v>442.86</v>
      </c>
      <c r="Y434" s="6"/>
      <c r="Z434" s="6">
        <f ca="1">('TUSD BE'!$AM$20+'TUSD BF'!$AM$20+'TUSD CVA'!$AM$20)*1</f>
        <v>1117.8285588949407</v>
      </c>
      <c r="AA434" s="6">
        <f>('TE BE'!$AB$9+'TE BF'!$AB$9+'TE CVA'!$AB$9)*1</f>
        <v>486.43608405794748</v>
      </c>
      <c r="AB434" s="6">
        <f>$K$434*$V$434</f>
        <v>0</v>
      </c>
      <c r="AC434" s="6">
        <f>$M$434*$W$434</f>
        <v>144219.64264999999</v>
      </c>
      <c r="AD434" s="6">
        <f>$O$434*$X$434</f>
        <v>67914.795299999998</v>
      </c>
      <c r="AE434" s="6">
        <f>$K$434*$Y$434</f>
        <v>0</v>
      </c>
      <c r="AF434" s="6">
        <f ca="1">$M$434*$Z$434</f>
        <v>171424.59864933361</v>
      </c>
      <c r="AG434" s="6">
        <f>$O$434*$AA$434</f>
        <v>74597.405670706532</v>
      </c>
    </row>
    <row r="435" spans="1:33" ht="11.25" customHeight="1" x14ac:dyDescent="0.3">
      <c r="A435" s="4" t="s">
        <v>28</v>
      </c>
      <c r="B435" s="4" t="s">
        <v>39</v>
      </c>
      <c r="C435" s="4" t="s">
        <v>41</v>
      </c>
      <c r="D435" s="4" t="s">
        <v>38</v>
      </c>
      <c r="E435" s="4" t="s">
        <v>25</v>
      </c>
      <c r="F435" s="4" t="s">
        <v>25</v>
      </c>
      <c r="G435" s="4" t="s">
        <v>25</v>
      </c>
      <c r="H435" s="4" t="s">
        <v>34</v>
      </c>
      <c r="I435" s="5">
        <v>44682</v>
      </c>
      <c r="J435" s="6">
        <v>0</v>
      </c>
      <c r="K435" s="6">
        <v>0</v>
      </c>
      <c r="L435" s="6">
        <v>4.7350000000000003</v>
      </c>
      <c r="M435" s="6">
        <v>4.7350000000000003</v>
      </c>
      <c r="N435" s="6">
        <v>4.7350000000000003</v>
      </c>
      <c r="O435" s="6">
        <v>4.7350000000000003</v>
      </c>
      <c r="P435" s="6">
        <v>0</v>
      </c>
      <c r="Q435" s="4" t="s">
        <v>26</v>
      </c>
      <c r="R435" s="4">
        <v>0</v>
      </c>
      <c r="S435" s="6">
        <v>0</v>
      </c>
      <c r="T435" s="6">
        <v>8</v>
      </c>
      <c r="U435" s="6">
        <v>38</v>
      </c>
      <c r="V435" s="6">
        <f>IF(ISERROR(VLOOKUP($S$435,'TAR FIN'!$A$1:$O$113,15,0)),0,VLOOKUP($S$435,'TAR FIN'!$A$1:$O$113,15,0))</f>
        <v>0</v>
      </c>
      <c r="W435" s="6">
        <f>IF(ISERROR(VLOOKUP($T$435,'TAR FIN'!$A$1:$O$113,15,0)),0,VLOOKUP($T$435,'TAR FIN'!$A$1:$O$113,15,0))</f>
        <v>940.43</v>
      </c>
      <c r="X435" s="6">
        <f>IF(ISERROR(VLOOKUP($U$435,'TAR FIN'!$A$1:$O$113,15,0)),0,VLOOKUP($U$435,'TAR FIN'!$A$1:$O$113,15,0))</f>
        <v>442.86</v>
      </c>
      <c r="Y435" s="6"/>
      <c r="Z435" s="6">
        <f ca="1">('TUSD BE'!$AM$20+'TUSD BF'!$AM$20+'TUSD CVA'!$AM$20)*1</f>
        <v>1117.8285588949407</v>
      </c>
      <c r="AA435" s="6">
        <f>('TE BE'!$AB$9+'TE BF'!$AB$9+'TE CVA'!$AB$9)*1</f>
        <v>486.43608405794748</v>
      </c>
      <c r="AB435" s="6">
        <f>$K$435*$V$435</f>
        <v>0</v>
      </c>
      <c r="AC435" s="6">
        <f>$M$435*$W$435</f>
        <v>4452.9360500000003</v>
      </c>
      <c r="AD435" s="6">
        <f>$O$435*$X$435</f>
        <v>2096.9421000000002</v>
      </c>
      <c r="AE435" s="6">
        <f>$K$435*$Y$435</f>
        <v>0</v>
      </c>
      <c r="AF435" s="6">
        <f ca="1">$M$435*$Z$435</f>
        <v>5292.9182263675448</v>
      </c>
      <c r="AG435" s="6">
        <f>$O$435*$AA$435</f>
        <v>2303.2748580143816</v>
      </c>
    </row>
    <row r="436" spans="1:33" ht="11.25" customHeight="1" x14ac:dyDescent="0.3">
      <c r="A436" s="4" t="s">
        <v>21</v>
      </c>
      <c r="B436" s="4" t="s">
        <v>39</v>
      </c>
      <c r="C436" s="4" t="s">
        <v>41</v>
      </c>
      <c r="D436" s="4" t="s">
        <v>38</v>
      </c>
      <c r="E436" s="4" t="s">
        <v>25</v>
      </c>
      <c r="F436" s="4" t="s">
        <v>25</v>
      </c>
      <c r="G436" s="4" t="s">
        <v>25</v>
      </c>
      <c r="H436" s="4" t="s">
        <v>34</v>
      </c>
      <c r="I436" s="5">
        <v>44682</v>
      </c>
      <c r="J436" s="6">
        <v>0</v>
      </c>
      <c r="K436" s="6">
        <v>0</v>
      </c>
      <c r="L436" s="6">
        <v>80.528000000000006</v>
      </c>
      <c r="M436" s="6">
        <v>80.528000000000006</v>
      </c>
      <c r="N436" s="6">
        <v>0</v>
      </c>
      <c r="O436" s="6">
        <v>0</v>
      </c>
      <c r="P436" s="6">
        <v>0</v>
      </c>
      <c r="Q436" s="4" t="s">
        <v>55</v>
      </c>
      <c r="R436" s="4">
        <v>0</v>
      </c>
      <c r="S436" s="6">
        <v>0</v>
      </c>
      <c r="T436" s="6">
        <v>8</v>
      </c>
      <c r="U436" s="6">
        <v>0</v>
      </c>
      <c r="V436" s="6">
        <f>IF(ISERROR(VLOOKUP($S$436,'TAR FIN'!$A$1:$O$113,15,0)),0,VLOOKUP($S$436,'TAR FIN'!$A$1:$O$113,15,0))</f>
        <v>0</v>
      </c>
      <c r="W436" s="6">
        <f>IF(ISERROR(VLOOKUP($T$436,'TAR FIN'!$A$1:$O$113,15,0)),0,VLOOKUP($T$436,'TAR FIN'!$A$1:$O$113,15,0))</f>
        <v>940.43</v>
      </c>
      <c r="X436" s="6">
        <f>IF(ISERROR(VLOOKUP($U$436,'TAR FIN'!$A$1:$O$113,15,0)),0,VLOOKUP($U$436,'TAR FIN'!$A$1:$O$113,15,0))</f>
        <v>0</v>
      </c>
      <c r="Y436" s="6"/>
      <c r="Z436" s="6">
        <f ca="1">('TUSD BE'!$AM$20+'TUSD BF'!$AM$20+'TUSD CVA'!$AM$20)*1</f>
        <v>1117.8285588949407</v>
      </c>
      <c r="AA436" s="6"/>
      <c r="AB436" s="6">
        <f>$K$436*$V$436</f>
        <v>0</v>
      </c>
      <c r="AC436" s="6">
        <f>$M$436*$W$436</f>
        <v>75730.947039999999</v>
      </c>
      <c r="AD436" s="6">
        <f>$O$436*$X$436</f>
        <v>0</v>
      </c>
      <c r="AE436" s="6">
        <f>$K$436*$Y$436</f>
        <v>0</v>
      </c>
      <c r="AF436" s="6">
        <f ca="1">$M$436*$Z$436</f>
        <v>90016.498190691782</v>
      </c>
      <c r="AG436" s="6">
        <f>$O$436*$AA$436</f>
        <v>0</v>
      </c>
    </row>
    <row r="437" spans="1:33" ht="11.25" customHeight="1" x14ac:dyDescent="0.3">
      <c r="A437" s="4" t="s">
        <v>21</v>
      </c>
      <c r="B437" s="4" t="s">
        <v>39</v>
      </c>
      <c r="C437" s="4" t="s">
        <v>41</v>
      </c>
      <c r="D437" s="4" t="s">
        <v>38</v>
      </c>
      <c r="E437" s="4" t="s">
        <v>25</v>
      </c>
      <c r="F437" s="4" t="s">
        <v>25</v>
      </c>
      <c r="G437" s="4" t="s">
        <v>25</v>
      </c>
      <c r="H437" s="4" t="s">
        <v>34</v>
      </c>
      <c r="I437" s="5">
        <v>44713</v>
      </c>
      <c r="J437" s="6">
        <v>0</v>
      </c>
      <c r="K437" s="6">
        <v>0</v>
      </c>
      <c r="L437" s="6">
        <v>176.46600000000001</v>
      </c>
      <c r="M437" s="6">
        <v>176.46600000000001</v>
      </c>
      <c r="N437" s="6">
        <v>176.46600000000001</v>
      </c>
      <c r="O437" s="6">
        <v>176.46600000000001</v>
      </c>
      <c r="P437" s="6">
        <v>0</v>
      </c>
      <c r="Q437" s="4" t="s">
        <v>26</v>
      </c>
      <c r="R437" s="4">
        <v>0</v>
      </c>
      <c r="S437" s="6">
        <v>0</v>
      </c>
      <c r="T437" s="6">
        <v>8</v>
      </c>
      <c r="U437" s="6">
        <v>38</v>
      </c>
      <c r="V437" s="6">
        <f>IF(ISERROR(VLOOKUP($S$437,'TAR FIN'!$A$1:$O$113,15,0)),0,VLOOKUP($S$437,'TAR FIN'!$A$1:$O$113,15,0))</f>
        <v>0</v>
      </c>
      <c r="W437" s="6">
        <f>IF(ISERROR(VLOOKUP($T$437,'TAR FIN'!$A$1:$O$113,15,0)),0,VLOOKUP($T$437,'TAR FIN'!$A$1:$O$113,15,0))</f>
        <v>940.43</v>
      </c>
      <c r="X437" s="6">
        <f>IF(ISERROR(VLOOKUP($U$437,'TAR FIN'!$A$1:$O$113,15,0)),0,VLOOKUP($U$437,'TAR FIN'!$A$1:$O$113,15,0))</f>
        <v>442.86</v>
      </c>
      <c r="Y437" s="6"/>
      <c r="Z437" s="6">
        <f ca="1">('TUSD BE'!$AM$20+'TUSD BF'!$AM$20+'TUSD CVA'!$AM$20)*1</f>
        <v>1117.8285588949407</v>
      </c>
      <c r="AA437" s="6">
        <f>('TE BE'!$AB$9+'TE BF'!$AB$9+'TE CVA'!$AB$9)*1</f>
        <v>486.43608405794748</v>
      </c>
      <c r="AB437" s="6">
        <f>$K$437*$V$437</f>
        <v>0</v>
      </c>
      <c r="AC437" s="6">
        <f>$M$437*$W$437</f>
        <v>165953.92038</v>
      </c>
      <c r="AD437" s="6">
        <f>$O$437*$X$437</f>
        <v>78149.732759999999</v>
      </c>
      <c r="AE437" s="6">
        <f>$K$437*$Y$437</f>
        <v>0</v>
      </c>
      <c r="AF437" s="6">
        <f ca="1">$M$437*$Z$437</f>
        <v>197258.7344739546</v>
      </c>
      <c r="AG437" s="6">
        <f>$O$437*$AA$437</f>
        <v>85839.430009369768</v>
      </c>
    </row>
    <row r="438" spans="1:33" ht="11.25" customHeight="1" x14ac:dyDescent="0.3">
      <c r="A438" s="4" t="s">
        <v>28</v>
      </c>
      <c r="B438" s="4" t="s">
        <v>39</v>
      </c>
      <c r="C438" s="4" t="s">
        <v>41</v>
      </c>
      <c r="D438" s="4" t="s">
        <v>38</v>
      </c>
      <c r="E438" s="4" t="s">
        <v>25</v>
      </c>
      <c r="F438" s="4" t="s">
        <v>25</v>
      </c>
      <c r="G438" s="4" t="s">
        <v>25</v>
      </c>
      <c r="H438" s="4" t="s">
        <v>34</v>
      </c>
      <c r="I438" s="5">
        <v>44713</v>
      </c>
      <c r="J438" s="6">
        <v>0</v>
      </c>
      <c r="K438" s="6">
        <v>0</v>
      </c>
      <c r="L438" s="6">
        <v>5.508</v>
      </c>
      <c r="M438" s="6">
        <v>5.508</v>
      </c>
      <c r="N438" s="6">
        <v>5.508</v>
      </c>
      <c r="O438" s="6">
        <v>5.508</v>
      </c>
      <c r="P438" s="6">
        <v>0</v>
      </c>
      <c r="Q438" s="4" t="s">
        <v>26</v>
      </c>
      <c r="R438" s="4">
        <v>0</v>
      </c>
      <c r="S438" s="6">
        <v>0</v>
      </c>
      <c r="T438" s="6">
        <v>8</v>
      </c>
      <c r="U438" s="6">
        <v>38</v>
      </c>
      <c r="V438" s="6">
        <f>IF(ISERROR(VLOOKUP($S$438,'TAR FIN'!$A$1:$O$113,15,0)),0,VLOOKUP($S$438,'TAR FIN'!$A$1:$O$113,15,0))</f>
        <v>0</v>
      </c>
      <c r="W438" s="6">
        <f>IF(ISERROR(VLOOKUP($T$438,'TAR FIN'!$A$1:$O$113,15,0)),0,VLOOKUP($T$438,'TAR FIN'!$A$1:$O$113,15,0))</f>
        <v>940.43</v>
      </c>
      <c r="X438" s="6">
        <f>IF(ISERROR(VLOOKUP($U$438,'TAR FIN'!$A$1:$O$113,15,0)),0,VLOOKUP($U$438,'TAR FIN'!$A$1:$O$113,15,0))</f>
        <v>442.86</v>
      </c>
      <c r="Y438" s="6"/>
      <c r="Z438" s="6">
        <f ca="1">('TUSD BE'!$AM$20+'TUSD BF'!$AM$20+'TUSD CVA'!$AM$20)*1</f>
        <v>1117.8285588949407</v>
      </c>
      <c r="AA438" s="6">
        <f>('TE BE'!$AB$9+'TE BF'!$AB$9+'TE CVA'!$AB$9)*1</f>
        <v>486.43608405794748</v>
      </c>
      <c r="AB438" s="6">
        <f>$K$438*$V$438</f>
        <v>0</v>
      </c>
      <c r="AC438" s="6">
        <f>$M$438*$W$438</f>
        <v>5179.8884399999997</v>
      </c>
      <c r="AD438" s="6">
        <f>$O$438*$X$438</f>
        <v>2439.27288</v>
      </c>
      <c r="AE438" s="6">
        <f>$K$438*$Y$438</f>
        <v>0</v>
      </c>
      <c r="AF438" s="6">
        <f ca="1">$M$438*$Z$438</f>
        <v>6156.9997023933329</v>
      </c>
      <c r="AG438" s="6">
        <f>$O$438*$AA$438</f>
        <v>2679.2899509911749</v>
      </c>
    </row>
    <row r="439" spans="1:33" ht="11.25" customHeight="1" x14ac:dyDescent="0.3">
      <c r="A439" s="4" t="s">
        <v>21</v>
      </c>
      <c r="B439" s="4" t="s">
        <v>39</v>
      </c>
      <c r="C439" s="4" t="s">
        <v>41</v>
      </c>
      <c r="D439" s="4" t="s">
        <v>38</v>
      </c>
      <c r="E439" s="4" t="s">
        <v>25</v>
      </c>
      <c r="F439" s="4" t="s">
        <v>25</v>
      </c>
      <c r="G439" s="4" t="s">
        <v>25</v>
      </c>
      <c r="H439" s="4" t="s">
        <v>34</v>
      </c>
      <c r="I439" s="5">
        <v>44713</v>
      </c>
      <c r="J439" s="6">
        <v>0</v>
      </c>
      <c r="K439" s="6">
        <v>0</v>
      </c>
      <c r="L439" s="6">
        <v>89.091999999999999</v>
      </c>
      <c r="M439" s="6">
        <v>89.091999999999999</v>
      </c>
      <c r="N439" s="6">
        <v>0</v>
      </c>
      <c r="O439" s="6">
        <v>0</v>
      </c>
      <c r="P439" s="6">
        <v>0</v>
      </c>
      <c r="Q439" s="4" t="s">
        <v>55</v>
      </c>
      <c r="R439" s="4">
        <v>0</v>
      </c>
      <c r="S439" s="6">
        <v>0</v>
      </c>
      <c r="T439" s="6">
        <v>8</v>
      </c>
      <c r="U439" s="6">
        <v>0</v>
      </c>
      <c r="V439" s="6">
        <f>IF(ISERROR(VLOOKUP($S$439,'TAR FIN'!$A$1:$O$113,15,0)),0,VLOOKUP($S$439,'TAR FIN'!$A$1:$O$113,15,0))</f>
        <v>0</v>
      </c>
      <c r="W439" s="6">
        <f>IF(ISERROR(VLOOKUP($T$439,'TAR FIN'!$A$1:$O$113,15,0)),0,VLOOKUP($T$439,'TAR FIN'!$A$1:$O$113,15,0))</f>
        <v>940.43</v>
      </c>
      <c r="X439" s="6">
        <f>IF(ISERROR(VLOOKUP($U$439,'TAR FIN'!$A$1:$O$113,15,0)),0,VLOOKUP($U$439,'TAR FIN'!$A$1:$O$113,15,0))</f>
        <v>0</v>
      </c>
      <c r="Y439" s="6"/>
      <c r="Z439" s="6">
        <f ca="1">('TUSD BE'!$AM$20+'TUSD BF'!$AM$20+'TUSD CVA'!$AM$20)*1</f>
        <v>1117.8285588949407</v>
      </c>
      <c r="AA439" s="6"/>
      <c r="AB439" s="6">
        <f>$K$439*$V$439</f>
        <v>0</v>
      </c>
      <c r="AC439" s="6">
        <f>$M$439*$W$439</f>
        <v>83784.78955999999</v>
      </c>
      <c r="AD439" s="6">
        <f>$O$439*$X$439</f>
        <v>0</v>
      </c>
      <c r="AE439" s="6">
        <f>$K$439*$Y$439</f>
        <v>0</v>
      </c>
      <c r="AF439" s="6">
        <f ca="1">$M$439*$Z$439</f>
        <v>99589.581969068051</v>
      </c>
      <c r="AG439" s="6">
        <f>$O$439*$AA$439</f>
        <v>0</v>
      </c>
    </row>
    <row r="440" spans="1:33" ht="11.25" customHeight="1" x14ac:dyDescent="0.3">
      <c r="A440" s="4" t="s">
        <v>21</v>
      </c>
      <c r="B440" s="4" t="s">
        <v>39</v>
      </c>
      <c r="C440" s="4" t="s">
        <v>41</v>
      </c>
      <c r="D440" s="4" t="s">
        <v>38</v>
      </c>
      <c r="E440" s="4" t="s">
        <v>25</v>
      </c>
      <c r="F440" s="4" t="s">
        <v>25</v>
      </c>
      <c r="G440" s="4" t="s">
        <v>25</v>
      </c>
      <c r="H440" s="4" t="s">
        <v>34</v>
      </c>
      <c r="I440" s="5">
        <v>44743</v>
      </c>
      <c r="J440" s="6">
        <v>0</v>
      </c>
      <c r="K440" s="6">
        <v>0</v>
      </c>
      <c r="L440" s="6">
        <v>181.10499999999999</v>
      </c>
      <c r="M440" s="6">
        <v>181.10499999999999</v>
      </c>
      <c r="N440" s="6">
        <v>181.10499999999999</v>
      </c>
      <c r="O440" s="6">
        <v>181.10499999999999</v>
      </c>
      <c r="P440" s="6">
        <v>0</v>
      </c>
      <c r="Q440" s="4" t="s">
        <v>26</v>
      </c>
      <c r="R440" s="4">
        <v>0</v>
      </c>
      <c r="S440" s="6">
        <v>0</v>
      </c>
      <c r="T440" s="6">
        <v>8</v>
      </c>
      <c r="U440" s="6">
        <v>38</v>
      </c>
      <c r="V440" s="6">
        <f>IF(ISERROR(VLOOKUP($S$440,'TAR FIN'!$A$1:$O$113,15,0)),0,VLOOKUP($S$440,'TAR FIN'!$A$1:$O$113,15,0))</f>
        <v>0</v>
      </c>
      <c r="W440" s="6">
        <f>IF(ISERROR(VLOOKUP($T$440,'TAR FIN'!$A$1:$O$113,15,0)),0,VLOOKUP($T$440,'TAR FIN'!$A$1:$O$113,15,0))</f>
        <v>940.43</v>
      </c>
      <c r="X440" s="6">
        <f>IF(ISERROR(VLOOKUP($U$440,'TAR FIN'!$A$1:$O$113,15,0)),0,VLOOKUP($U$440,'TAR FIN'!$A$1:$O$113,15,0))</f>
        <v>442.86</v>
      </c>
      <c r="Y440" s="6"/>
      <c r="Z440" s="6">
        <f ca="1">('TUSD BE'!$AM$20+'TUSD BF'!$AM$20+'TUSD CVA'!$AM$20)*1</f>
        <v>1117.8285588949407</v>
      </c>
      <c r="AA440" s="6">
        <f>('TE BE'!$AB$9+'TE BF'!$AB$9+'TE CVA'!$AB$9)*1</f>
        <v>486.43608405794748</v>
      </c>
      <c r="AB440" s="6">
        <f>$K$440*$V$440</f>
        <v>0</v>
      </c>
      <c r="AC440" s="6">
        <f>$M$440*$W$440</f>
        <v>170316.57514999999</v>
      </c>
      <c r="AD440" s="6">
        <f>$O$440*$X$440</f>
        <v>80204.160300000003</v>
      </c>
      <c r="AE440" s="6">
        <f>$K$440*$Y$440</f>
        <v>0</v>
      </c>
      <c r="AF440" s="6">
        <f ca="1">$M$440*$Z$440</f>
        <v>202444.34115866822</v>
      </c>
      <c r="AG440" s="6">
        <f>$O$440*$AA$440</f>
        <v>88096.007003314575</v>
      </c>
    </row>
    <row r="441" spans="1:33" ht="11.25" customHeight="1" x14ac:dyDescent="0.3">
      <c r="A441" s="4" t="s">
        <v>21</v>
      </c>
      <c r="B441" s="4" t="s">
        <v>39</v>
      </c>
      <c r="C441" s="4" t="s">
        <v>41</v>
      </c>
      <c r="D441" s="4" t="s">
        <v>38</v>
      </c>
      <c r="E441" s="4" t="s">
        <v>25</v>
      </c>
      <c r="F441" s="4" t="s">
        <v>25</v>
      </c>
      <c r="G441" s="4" t="s">
        <v>25</v>
      </c>
      <c r="H441" s="4" t="s">
        <v>34</v>
      </c>
      <c r="I441" s="5">
        <v>44743</v>
      </c>
      <c r="J441" s="6">
        <v>0</v>
      </c>
      <c r="K441" s="6">
        <v>0</v>
      </c>
      <c r="L441" s="6">
        <v>54.564</v>
      </c>
      <c r="M441" s="6">
        <v>54.564</v>
      </c>
      <c r="N441" s="6">
        <v>0</v>
      </c>
      <c r="O441" s="6">
        <v>0</v>
      </c>
      <c r="P441" s="6">
        <v>0</v>
      </c>
      <c r="Q441" s="4" t="s">
        <v>55</v>
      </c>
      <c r="R441" s="4">
        <v>0</v>
      </c>
      <c r="S441" s="6">
        <v>0</v>
      </c>
      <c r="T441" s="6">
        <v>8</v>
      </c>
      <c r="U441" s="6">
        <v>0</v>
      </c>
      <c r="V441" s="6">
        <f>IF(ISERROR(VLOOKUP($S$441,'TAR FIN'!$A$1:$O$113,15,0)),0,VLOOKUP($S$441,'TAR FIN'!$A$1:$O$113,15,0))</f>
        <v>0</v>
      </c>
      <c r="W441" s="6">
        <f>IF(ISERROR(VLOOKUP($T$441,'TAR FIN'!$A$1:$O$113,15,0)),0,VLOOKUP($T$441,'TAR FIN'!$A$1:$O$113,15,0))</f>
        <v>940.43</v>
      </c>
      <c r="X441" s="6">
        <f>IF(ISERROR(VLOOKUP($U$441,'TAR FIN'!$A$1:$O$113,15,0)),0,VLOOKUP($U$441,'TAR FIN'!$A$1:$O$113,15,0))</f>
        <v>0</v>
      </c>
      <c r="Y441" s="6"/>
      <c r="Z441" s="6">
        <f ca="1">('TUSD BE'!$AM$20+'TUSD BF'!$AM$20+'TUSD CVA'!$AM$20)*1</f>
        <v>1117.8285588949407</v>
      </c>
      <c r="AA441" s="6"/>
      <c r="AB441" s="6">
        <f>$K$441*$V$441</f>
        <v>0</v>
      </c>
      <c r="AC441" s="6">
        <f>$M$441*$W$441</f>
        <v>51313.622519999997</v>
      </c>
      <c r="AD441" s="6">
        <f>$O$441*$X$441</f>
        <v>0</v>
      </c>
      <c r="AE441" s="6">
        <f>$K$441*$Y$441</f>
        <v>0</v>
      </c>
      <c r="AF441" s="6">
        <f ca="1">$M$441*$Z$441</f>
        <v>60993.197487543541</v>
      </c>
      <c r="AG441" s="6">
        <f>$O$441*$AA$441</f>
        <v>0</v>
      </c>
    </row>
    <row r="442" spans="1:33" ht="11.25" customHeight="1" x14ac:dyDescent="0.3">
      <c r="A442" s="4" t="s">
        <v>21</v>
      </c>
      <c r="B442" s="4" t="s">
        <v>39</v>
      </c>
      <c r="C442" s="4" t="s">
        <v>41</v>
      </c>
      <c r="D442" s="4" t="s">
        <v>38</v>
      </c>
      <c r="E442" s="4" t="s">
        <v>25</v>
      </c>
      <c r="F442" s="4" t="s">
        <v>25</v>
      </c>
      <c r="G442" s="4" t="s">
        <v>25</v>
      </c>
      <c r="H442" s="4" t="s">
        <v>34</v>
      </c>
      <c r="I442" s="5">
        <v>44774</v>
      </c>
      <c r="J442" s="6">
        <v>0</v>
      </c>
      <c r="K442" s="6">
        <v>0</v>
      </c>
      <c r="L442" s="6">
        <v>178.84399999999999</v>
      </c>
      <c r="M442" s="6">
        <v>178.84399999999999</v>
      </c>
      <c r="N442" s="6">
        <v>178.84399999999999</v>
      </c>
      <c r="O442" s="6">
        <v>178.84399999999999</v>
      </c>
      <c r="P442" s="6">
        <v>0</v>
      </c>
      <c r="Q442" s="4" t="s">
        <v>26</v>
      </c>
      <c r="R442" s="4">
        <v>0</v>
      </c>
      <c r="S442" s="6">
        <v>0</v>
      </c>
      <c r="T442" s="6">
        <v>8</v>
      </c>
      <c r="U442" s="6">
        <v>38</v>
      </c>
      <c r="V442" s="6">
        <f>IF(ISERROR(VLOOKUP($S$442,'TAR FIN'!$A$1:$O$113,15,0)),0,VLOOKUP($S$442,'TAR FIN'!$A$1:$O$113,15,0))</f>
        <v>0</v>
      </c>
      <c r="W442" s="6">
        <f>IF(ISERROR(VLOOKUP($T$442,'TAR FIN'!$A$1:$O$113,15,0)),0,VLOOKUP($T$442,'TAR FIN'!$A$1:$O$113,15,0))</f>
        <v>940.43</v>
      </c>
      <c r="X442" s="6">
        <f>IF(ISERROR(VLOOKUP($U$442,'TAR FIN'!$A$1:$O$113,15,0)),0,VLOOKUP($U$442,'TAR FIN'!$A$1:$O$113,15,0))</f>
        <v>442.86</v>
      </c>
      <c r="Y442" s="6"/>
      <c r="Z442" s="6">
        <f ca="1">('TUSD BE'!$AM$20+'TUSD BF'!$AM$20+'TUSD CVA'!$AM$20)*1</f>
        <v>1117.8285588949407</v>
      </c>
      <c r="AA442" s="6">
        <f>('TE BE'!$AB$9+'TE BF'!$AB$9+'TE CVA'!$AB$9)*1</f>
        <v>486.43608405794748</v>
      </c>
      <c r="AB442" s="6">
        <f>$K$442*$V$442</f>
        <v>0</v>
      </c>
      <c r="AC442" s="6">
        <f>$M$442*$W$442</f>
        <v>168190.26291999998</v>
      </c>
      <c r="AD442" s="6">
        <f>$O$442*$X$442</f>
        <v>79202.853839999996</v>
      </c>
      <c r="AE442" s="6">
        <f>$K$442*$Y$442</f>
        <v>0</v>
      </c>
      <c r="AF442" s="6">
        <f ca="1">$M$442*$Z$442</f>
        <v>199916.93078700677</v>
      </c>
      <c r="AG442" s="6">
        <f>$O$442*$AA$442</f>
        <v>86996.175017259564</v>
      </c>
    </row>
    <row r="443" spans="1:33" ht="11.25" customHeight="1" x14ac:dyDescent="0.3">
      <c r="A443" s="4" t="s">
        <v>27</v>
      </c>
      <c r="B443" s="4" t="s">
        <v>39</v>
      </c>
      <c r="C443" s="4" t="s">
        <v>41</v>
      </c>
      <c r="D443" s="4" t="s">
        <v>38</v>
      </c>
      <c r="E443" s="4" t="s">
        <v>25</v>
      </c>
      <c r="F443" s="4" t="s">
        <v>25</v>
      </c>
      <c r="G443" s="4" t="s">
        <v>25</v>
      </c>
      <c r="H443" s="4" t="s">
        <v>34</v>
      </c>
      <c r="I443" s="5">
        <v>44774</v>
      </c>
      <c r="J443" s="6">
        <v>0</v>
      </c>
      <c r="K443" s="6">
        <v>0</v>
      </c>
      <c r="L443" s="6">
        <v>-9.6170000000000009</v>
      </c>
      <c r="M443" s="6">
        <v>-9.6170000000000009</v>
      </c>
      <c r="N443" s="6">
        <v>-9.6170000000000009</v>
      </c>
      <c r="O443" s="6">
        <v>-9.6170000000000009</v>
      </c>
      <c r="P443" s="6">
        <v>0</v>
      </c>
      <c r="Q443" s="4" t="s">
        <v>26</v>
      </c>
      <c r="R443" s="4">
        <v>0</v>
      </c>
      <c r="S443" s="6">
        <v>0</v>
      </c>
      <c r="T443" s="6">
        <v>8</v>
      </c>
      <c r="U443" s="6">
        <v>38</v>
      </c>
      <c r="V443" s="6">
        <f>IF(ISERROR(VLOOKUP($S$443,'TAR FIN'!$A$1:$O$113,15,0)),0,VLOOKUP($S$443,'TAR FIN'!$A$1:$O$113,15,0))</f>
        <v>0</v>
      </c>
      <c r="W443" s="6">
        <f>IF(ISERROR(VLOOKUP($T$443,'TAR FIN'!$A$1:$O$113,15,0)),0,VLOOKUP($T$443,'TAR FIN'!$A$1:$O$113,15,0))</f>
        <v>940.43</v>
      </c>
      <c r="X443" s="6">
        <f>IF(ISERROR(VLOOKUP($U$443,'TAR FIN'!$A$1:$O$113,15,0)),0,VLOOKUP($U$443,'TAR FIN'!$A$1:$O$113,15,0))</f>
        <v>442.86</v>
      </c>
      <c r="Y443" s="6"/>
      <c r="Z443" s="6">
        <f ca="1">('TUSD BE'!$AM$20+'TUSD BF'!$AM$20+'TUSD CVA'!$AM$20)*1</f>
        <v>1117.8285588949407</v>
      </c>
      <c r="AA443" s="6">
        <f>('TE BE'!$AB$9+'TE BF'!$AB$9+'TE CVA'!$AB$9)*1</f>
        <v>486.43608405794748</v>
      </c>
      <c r="AB443" s="6">
        <f>$K$443*$V$443</f>
        <v>0</v>
      </c>
      <c r="AC443" s="6">
        <f>$M$443*$W$443</f>
        <v>-9044.115310000001</v>
      </c>
      <c r="AD443" s="6">
        <f>$O$443*$X$443</f>
        <v>-4258.9846200000002</v>
      </c>
      <c r="AE443" s="6">
        <f>$K$443*$Y$443</f>
        <v>0</v>
      </c>
      <c r="AF443" s="6">
        <f ca="1">$M$443*$Z$443</f>
        <v>-10750.157250892646</v>
      </c>
      <c r="AG443" s="6">
        <f>$O$443*$AA$443</f>
        <v>-4678.0558203852815</v>
      </c>
    </row>
    <row r="444" spans="1:33" ht="11.25" customHeight="1" x14ac:dyDescent="0.3">
      <c r="A444" s="4" t="s">
        <v>28</v>
      </c>
      <c r="B444" s="4" t="s">
        <v>39</v>
      </c>
      <c r="C444" s="4" t="s">
        <v>41</v>
      </c>
      <c r="D444" s="4" t="s">
        <v>38</v>
      </c>
      <c r="E444" s="4" t="s">
        <v>25</v>
      </c>
      <c r="F444" s="4" t="s">
        <v>25</v>
      </c>
      <c r="G444" s="4" t="s">
        <v>25</v>
      </c>
      <c r="H444" s="4" t="s">
        <v>34</v>
      </c>
      <c r="I444" s="5">
        <v>44774</v>
      </c>
      <c r="J444" s="6">
        <v>0</v>
      </c>
      <c r="K444" s="6">
        <v>0</v>
      </c>
      <c r="L444" s="6">
        <v>5.7839999999999998</v>
      </c>
      <c r="M444" s="6">
        <v>5.7839999999999998</v>
      </c>
      <c r="N444" s="6">
        <v>5.7839999999999998</v>
      </c>
      <c r="O444" s="6">
        <v>5.7839999999999998</v>
      </c>
      <c r="P444" s="6">
        <v>0</v>
      </c>
      <c r="Q444" s="4" t="s">
        <v>26</v>
      </c>
      <c r="R444" s="4">
        <v>0</v>
      </c>
      <c r="S444" s="6">
        <v>0</v>
      </c>
      <c r="T444" s="6">
        <v>8</v>
      </c>
      <c r="U444" s="6">
        <v>38</v>
      </c>
      <c r="V444" s="6">
        <f>IF(ISERROR(VLOOKUP($S$444,'TAR FIN'!$A$1:$O$113,15,0)),0,VLOOKUP($S$444,'TAR FIN'!$A$1:$O$113,15,0))</f>
        <v>0</v>
      </c>
      <c r="W444" s="6">
        <f>IF(ISERROR(VLOOKUP($T$444,'TAR FIN'!$A$1:$O$113,15,0)),0,VLOOKUP($T$444,'TAR FIN'!$A$1:$O$113,15,0))</f>
        <v>940.43</v>
      </c>
      <c r="X444" s="6">
        <f>IF(ISERROR(VLOOKUP($U$444,'TAR FIN'!$A$1:$O$113,15,0)),0,VLOOKUP($U$444,'TAR FIN'!$A$1:$O$113,15,0))</f>
        <v>442.86</v>
      </c>
      <c r="Y444" s="6"/>
      <c r="Z444" s="6">
        <f ca="1">('TUSD BE'!$AM$20+'TUSD BF'!$AM$20+'TUSD CVA'!$AM$20)*1</f>
        <v>1117.8285588949407</v>
      </c>
      <c r="AA444" s="6">
        <f>('TE BE'!$AB$9+'TE BF'!$AB$9+'TE CVA'!$AB$9)*1</f>
        <v>486.43608405794748</v>
      </c>
      <c r="AB444" s="6">
        <f>$K$444*$V$444</f>
        <v>0</v>
      </c>
      <c r="AC444" s="6">
        <f>$M$444*$W$444</f>
        <v>5439.4471199999998</v>
      </c>
      <c r="AD444" s="6">
        <f>$O$444*$X$444</f>
        <v>2561.5022399999998</v>
      </c>
      <c r="AE444" s="6">
        <f>$K$444*$Y$444</f>
        <v>0</v>
      </c>
      <c r="AF444" s="6">
        <f ca="1">$M$444*$Z$444</f>
        <v>6465.5203846483364</v>
      </c>
      <c r="AG444" s="6">
        <f>$O$444*$AA$444</f>
        <v>2813.5463101911682</v>
      </c>
    </row>
    <row r="445" spans="1:33" ht="11.25" customHeight="1" x14ac:dyDescent="0.3">
      <c r="A445" s="4" t="s">
        <v>21</v>
      </c>
      <c r="B445" s="4" t="s">
        <v>39</v>
      </c>
      <c r="C445" s="4" t="s">
        <v>41</v>
      </c>
      <c r="D445" s="4" t="s">
        <v>38</v>
      </c>
      <c r="E445" s="4" t="s">
        <v>25</v>
      </c>
      <c r="F445" s="4" t="s">
        <v>25</v>
      </c>
      <c r="G445" s="4" t="s">
        <v>25</v>
      </c>
      <c r="H445" s="4" t="s">
        <v>34</v>
      </c>
      <c r="I445" s="5">
        <v>44774</v>
      </c>
      <c r="J445" s="6">
        <v>0</v>
      </c>
      <c r="K445" s="6">
        <v>0</v>
      </c>
      <c r="L445" s="6">
        <v>80.736999999999995</v>
      </c>
      <c r="M445" s="6">
        <v>80.736999999999995</v>
      </c>
      <c r="N445" s="6">
        <v>0</v>
      </c>
      <c r="O445" s="6">
        <v>0</v>
      </c>
      <c r="P445" s="6">
        <v>0</v>
      </c>
      <c r="Q445" s="4" t="s">
        <v>55</v>
      </c>
      <c r="R445" s="4">
        <v>0</v>
      </c>
      <c r="S445" s="6">
        <v>0</v>
      </c>
      <c r="T445" s="6">
        <v>8</v>
      </c>
      <c r="U445" s="6">
        <v>0</v>
      </c>
      <c r="V445" s="6">
        <f>IF(ISERROR(VLOOKUP($S$445,'TAR FIN'!$A$1:$O$113,15,0)),0,VLOOKUP($S$445,'TAR FIN'!$A$1:$O$113,15,0))</f>
        <v>0</v>
      </c>
      <c r="W445" s="6">
        <f>IF(ISERROR(VLOOKUP($T$445,'TAR FIN'!$A$1:$O$113,15,0)),0,VLOOKUP($T$445,'TAR FIN'!$A$1:$O$113,15,0))</f>
        <v>940.43</v>
      </c>
      <c r="X445" s="6">
        <f>IF(ISERROR(VLOOKUP($U$445,'TAR FIN'!$A$1:$O$113,15,0)),0,VLOOKUP($U$445,'TAR FIN'!$A$1:$O$113,15,0))</f>
        <v>0</v>
      </c>
      <c r="Y445" s="6"/>
      <c r="Z445" s="6">
        <f ca="1">('TUSD BE'!$AM$20+'TUSD BF'!$AM$20+'TUSD CVA'!$AM$20)*1</f>
        <v>1117.8285588949407</v>
      </c>
      <c r="AA445" s="6"/>
      <c r="AB445" s="6">
        <f>$K$445*$V$445</f>
        <v>0</v>
      </c>
      <c r="AC445" s="6">
        <f>$M$445*$W$445</f>
        <v>75927.496909999987</v>
      </c>
      <c r="AD445" s="6">
        <f>$O$445*$X$445</f>
        <v>0</v>
      </c>
      <c r="AE445" s="6">
        <f>$K$445*$Y$445</f>
        <v>0</v>
      </c>
      <c r="AF445" s="6">
        <f ca="1">$M$445*$Z$445</f>
        <v>90250.124359500813</v>
      </c>
      <c r="AG445" s="6">
        <f>$O$445*$AA$445</f>
        <v>0</v>
      </c>
    </row>
    <row r="446" spans="1:33" ht="11.25" customHeight="1" x14ac:dyDescent="0.3">
      <c r="A446" s="4" t="s">
        <v>21</v>
      </c>
      <c r="B446" s="4" t="s">
        <v>39</v>
      </c>
      <c r="C446" s="4" t="s">
        <v>41</v>
      </c>
      <c r="D446" s="4" t="s">
        <v>38</v>
      </c>
      <c r="E446" s="4" t="s">
        <v>25</v>
      </c>
      <c r="F446" s="4" t="s">
        <v>25</v>
      </c>
      <c r="G446" s="4" t="s">
        <v>25</v>
      </c>
      <c r="H446" s="4" t="s">
        <v>34</v>
      </c>
      <c r="I446" s="5">
        <v>44805</v>
      </c>
      <c r="J446" s="6">
        <v>0</v>
      </c>
      <c r="K446" s="6">
        <v>0</v>
      </c>
      <c r="L446" s="6">
        <v>196.90899999999999</v>
      </c>
      <c r="M446" s="6">
        <v>196.90899999999999</v>
      </c>
      <c r="N446" s="6">
        <v>196.90899999999999</v>
      </c>
      <c r="O446" s="6">
        <v>196.90899999999999</v>
      </c>
      <c r="P446" s="6">
        <v>0</v>
      </c>
      <c r="Q446" s="4" t="s">
        <v>26</v>
      </c>
      <c r="R446" s="4">
        <v>0</v>
      </c>
      <c r="S446" s="6">
        <v>0</v>
      </c>
      <c r="T446" s="6">
        <v>8</v>
      </c>
      <c r="U446" s="6">
        <v>38</v>
      </c>
      <c r="V446" s="6">
        <f>IF(ISERROR(VLOOKUP($S$446,'TAR FIN'!$A$1:$O$113,15,0)),0,VLOOKUP($S$446,'TAR FIN'!$A$1:$O$113,15,0))</f>
        <v>0</v>
      </c>
      <c r="W446" s="6">
        <f>IF(ISERROR(VLOOKUP($T$446,'TAR FIN'!$A$1:$O$113,15,0)),0,VLOOKUP($T$446,'TAR FIN'!$A$1:$O$113,15,0))</f>
        <v>940.43</v>
      </c>
      <c r="X446" s="6">
        <f>IF(ISERROR(VLOOKUP($U$446,'TAR FIN'!$A$1:$O$113,15,0)),0,VLOOKUP($U$446,'TAR FIN'!$A$1:$O$113,15,0))</f>
        <v>442.86</v>
      </c>
      <c r="Y446" s="6"/>
      <c r="Z446" s="6">
        <f ca="1">('TUSD BE'!$AM$20+'TUSD BF'!$AM$20+'TUSD CVA'!$AM$20)*1</f>
        <v>1117.8285588949407</v>
      </c>
      <c r="AA446" s="6">
        <f>('TE BE'!$AB$9+'TE BF'!$AB$9+'TE CVA'!$AB$9)*1</f>
        <v>486.43608405794748</v>
      </c>
      <c r="AB446" s="6">
        <f>$K$446*$V$446</f>
        <v>0</v>
      </c>
      <c r="AC446" s="6">
        <f>$M$446*$W$446</f>
        <v>185179.13086999999</v>
      </c>
      <c r="AD446" s="6">
        <f>$O$446*$X$446</f>
        <v>87203.119739999995</v>
      </c>
      <c r="AE446" s="6">
        <f>$K$446*$Y$446</f>
        <v>0</v>
      </c>
      <c r="AF446" s="6">
        <f ca="1">$M$446*$Z$446</f>
        <v>220110.50370344386</v>
      </c>
      <c r="AG446" s="6">
        <f>$O$446*$AA$446</f>
        <v>95783.642875766382</v>
      </c>
    </row>
    <row r="447" spans="1:33" ht="11.25" customHeight="1" x14ac:dyDescent="0.3">
      <c r="A447" s="4" t="s">
        <v>28</v>
      </c>
      <c r="B447" s="4" t="s">
        <v>39</v>
      </c>
      <c r="C447" s="4" t="s">
        <v>41</v>
      </c>
      <c r="D447" s="4" t="s">
        <v>38</v>
      </c>
      <c r="E447" s="4" t="s">
        <v>25</v>
      </c>
      <c r="F447" s="4" t="s">
        <v>25</v>
      </c>
      <c r="G447" s="4" t="s">
        <v>25</v>
      </c>
      <c r="H447" s="4" t="s">
        <v>34</v>
      </c>
      <c r="I447" s="5">
        <v>44805</v>
      </c>
      <c r="J447" s="6">
        <v>0</v>
      </c>
      <c r="K447" s="6">
        <v>0</v>
      </c>
      <c r="L447" s="6">
        <v>4.5129999999999999</v>
      </c>
      <c r="M447" s="6">
        <v>4.5129999999999999</v>
      </c>
      <c r="N447" s="6">
        <v>4.5129999999999999</v>
      </c>
      <c r="O447" s="6">
        <v>4.5129999999999999</v>
      </c>
      <c r="P447" s="6">
        <v>0</v>
      </c>
      <c r="Q447" s="4" t="s">
        <v>26</v>
      </c>
      <c r="R447" s="4">
        <v>0</v>
      </c>
      <c r="S447" s="6">
        <v>0</v>
      </c>
      <c r="T447" s="6">
        <v>8</v>
      </c>
      <c r="U447" s="6">
        <v>38</v>
      </c>
      <c r="V447" s="6">
        <f>IF(ISERROR(VLOOKUP($S$447,'TAR FIN'!$A$1:$O$113,15,0)),0,VLOOKUP($S$447,'TAR FIN'!$A$1:$O$113,15,0))</f>
        <v>0</v>
      </c>
      <c r="W447" s="6">
        <f>IF(ISERROR(VLOOKUP($T$447,'TAR FIN'!$A$1:$O$113,15,0)),0,VLOOKUP($T$447,'TAR FIN'!$A$1:$O$113,15,0))</f>
        <v>940.43</v>
      </c>
      <c r="X447" s="6">
        <f>IF(ISERROR(VLOOKUP($U$447,'TAR FIN'!$A$1:$O$113,15,0)),0,VLOOKUP($U$447,'TAR FIN'!$A$1:$O$113,15,0))</f>
        <v>442.86</v>
      </c>
      <c r="Y447" s="6"/>
      <c r="Z447" s="6">
        <f ca="1">('TUSD BE'!$AM$20+'TUSD BF'!$AM$20+'TUSD CVA'!$AM$20)*1</f>
        <v>1117.8285588949407</v>
      </c>
      <c r="AA447" s="6">
        <f>('TE BE'!$AB$9+'TE BF'!$AB$9+'TE CVA'!$AB$9)*1</f>
        <v>486.43608405794748</v>
      </c>
      <c r="AB447" s="6">
        <f>$K$447*$V$447</f>
        <v>0</v>
      </c>
      <c r="AC447" s="6">
        <f>$M$447*$W$447</f>
        <v>4244.1605899999995</v>
      </c>
      <c r="AD447" s="6">
        <f>$O$447*$X$447</f>
        <v>1998.62718</v>
      </c>
      <c r="AE447" s="6">
        <f>$K$447*$Y$447</f>
        <v>0</v>
      </c>
      <c r="AF447" s="6">
        <f ca="1">$M$447*$Z$447</f>
        <v>5044.760286292867</v>
      </c>
      <c r="AG447" s="6">
        <f>$O$447*$AA$447</f>
        <v>2195.286047353517</v>
      </c>
    </row>
    <row r="448" spans="1:33" ht="11.25" customHeight="1" x14ac:dyDescent="0.3">
      <c r="A448" s="4" t="s">
        <v>21</v>
      </c>
      <c r="B448" s="4" t="s">
        <v>39</v>
      </c>
      <c r="C448" s="4" t="s">
        <v>41</v>
      </c>
      <c r="D448" s="4" t="s">
        <v>38</v>
      </c>
      <c r="E448" s="4" t="s">
        <v>25</v>
      </c>
      <c r="F448" s="4" t="s">
        <v>25</v>
      </c>
      <c r="G448" s="4" t="s">
        <v>25</v>
      </c>
      <c r="H448" s="4" t="s">
        <v>34</v>
      </c>
      <c r="I448" s="5">
        <v>44805</v>
      </c>
      <c r="J448" s="6">
        <v>0</v>
      </c>
      <c r="K448" s="6">
        <v>0</v>
      </c>
      <c r="L448" s="6">
        <v>88.828000000000003</v>
      </c>
      <c r="M448" s="6">
        <v>88.828000000000003</v>
      </c>
      <c r="N448" s="6">
        <v>0</v>
      </c>
      <c r="O448" s="6">
        <v>0</v>
      </c>
      <c r="P448" s="6">
        <v>0</v>
      </c>
      <c r="Q448" s="4" t="s">
        <v>55</v>
      </c>
      <c r="R448" s="4">
        <v>0</v>
      </c>
      <c r="S448" s="6">
        <v>0</v>
      </c>
      <c r="T448" s="6">
        <v>8</v>
      </c>
      <c r="U448" s="6">
        <v>0</v>
      </c>
      <c r="V448" s="6">
        <f>IF(ISERROR(VLOOKUP($S$448,'TAR FIN'!$A$1:$O$113,15,0)),0,VLOOKUP($S$448,'TAR FIN'!$A$1:$O$113,15,0))</f>
        <v>0</v>
      </c>
      <c r="W448" s="6">
        <f>IF(ISERROR(VLOOKUP($T$448,'TAR FIN'!$A$1:$O$113,15,0)),0,VLOOKUP($T$448,'TAR FIN'!$A$1:$O$113,15,0))</f>
        <v>940.43</v>
      </c>
      <c r="X448" s="6">
        <f>IF(ISERROR(VLOOKUP($U$448,'TAR FIN'!$A$1:$O$113,15,0)),0,VLOOKUP($U$448,'TAR FIN'!$A$1:$O$113,15,0))</f>
        <v>0</v>
      </c>
      <c r="Y448" s="6"/>
      <c r="Z448" s="6">
        <f ca="1">('TUSD BE'!$AM$20+'TUSD BF'!$AM$20+'TUSD CVA'!$AM$20)*1</f>
        <v>1117.8285588949407</v>
      </c>
      <c r="AA448" s="6"/>
      <c r="AB448" s="6">
        <f>$K$448*$V$448</f>
        <v>0</v>
      </c>
      <c r="AC448" s="6">
        <f>$M$448*$W$448</f>
        <v>83536.516040000002</v>
      </c>
      <c r="AD448" s="6">
        <f>$O$448*$X$448</f>
        <v>0</v>
      </c>
      <c r="AE448" s="6">
        <f>$K$448*$Y$448</f>
        <v>0</v>
      </c>
      <c r="AF448" s="6">
        <f ca="1">$M$448*$Z$448</f>
        <v>99294.475229519798</v>
      </c>
      <c r="AG448" s="6">
        <f>$O$448*$AA$448</f>
        <v>0</v>
      </c>
    </row>
    <row r="449" spans="1:33" ht="11.25" customHeight="1" x14ac:dyDescent="0.3">
      <c r="A449" s="4" t="s">
        <v>53</v>
      </c>
      <c r="B449" s="4" t="s">
        <v>39</v>
      </c>
      <c r="C449" s="4" t="s">
        <v>41</v>
      </c>
      <c r="D449" s="4" t="s">
        <v>38</v>
      </c>
      <c r="E449" s="4" t="s">
        <v>25</v>
      </c>
      <c r="F449" s="4" t="s">
        <v>25</v>
      </c>
      <c r="G449" s="4" t="s">
        <v>25</v>
      </c>
      <c r="H449" s="4" t="s">
        <v>34</v>
      </c>
      <c r="I449" s="5">
        <v>44835</v>
      </c>
      <c r="J449" s="6">
        <v>0</v>
      </c>
      <c r="K449" s="6">
        <v>0</v>
      </c>
      <c r="L449" s="6">
        <v>196.90899999999999</v>
      </c>
      <c r="M449" s="6">
        <v>196.90899999999999</v>
      </c>
      <c r="N449" s="6">
        <v>196.90899999999999</v>
      </c>
      <c r="O449" s="6">
        <v>196.90899999999999</v>
      </c>
      <c r="P449" s="6">
        <v>0</v>
      </c>
      <c r="Q449" s="4" t="s">
        <v>26</v>
      </c>
      <c r="R449" s="4">
        <v>0</v>
      </c>
      <c r="S449" s="6">
        <v>0</v>
      </c>
      <c r="T449" s="6">
        <v>8</v>
      </c>
      <c r="U449" s="6">
        <v>38</v>
      </c>
      <c r="V449" s="6">
        <f>IF(ISERROR(VLOOKUP($S$449,'TAR FIN'!$A$1:$O$113,15,0)),0,VLOOKUP($S$449,'TAR FIN'!$A$1:$O$113,15,0))</f>
        <v>0</v>
      </c>
      <c r="W449" s="6">
        <f>IF(ISERROR(VLOOKUP($T$449,'TAR FIN'!$A$1:$O$113,15,0)),0,VLOOKUP($T$449,'TAR FIN'!$A$1:$O$113,15,0))</f>
        <v>940.43</v>
      </c>
      <c r="X449" s="6">
        <f>IF(ISERROR(VLOOKUP($U$449,'TAR FIN'!$A$1:$O$113,15,0)),0,VLOOKUP($U$449,'TAR FIN'!$A$1:$O$113,15,0))</f>
        <v>442.86</v>
      </c>
      <c r="Y449" s="6"/>
      <c r="Z449" s="6">
        <f ca="1">('TUSD BE'!$AM$20+'TUSD BF'!$AM$20+'TUSD CVA'!$AM$20)*1</f>
        <v>1117.8285588949407</v>
      </c>
      <c r="AA449" s="6">
        <f>('TE BE'!$AB$9+'TE BF'!$AB$9+'TE CVA'!$AB$9)*1</f>
        <v>486.43608405794748</v>
      </c>
      <c r="AB449" s="6">
        <f>$K$449*$V$449</f>
        <v>0</v>
      </c>
      <c r="AC449" s="6">
        <f>$M$449*$W$449</f>
        <v>185179.13086999999</v>
      </c>
      <c r="AD449" s="6">
        <f>$O$449*$X$449</f>
        <v>87203.119739999995</v>
      </c>
      <c r="AE449" s="6">
        <f>$K$449*$Y$449</f>
        <v>0</v>
      </c>
      <c r="AF449" s="6">
        <f ca="1">$M$449*$Z$449</f>
        <v>220110.50370344386</v>
      </c>
      <c r="AG449" s="6">
        <f>$O$449*$AA$449</f>
        <v>95783.642875766382</v>
      </c>
    </row>
    <row r="450" spans="1:33" ht="11.25" customHeight="1" x14ac:dyDescent="0.3">
      <c r="A450" s="4" t="s">
        <v>53</v>
      </c>
      <c r="B450" s="4" t="s">
        <v>39</v>
      </c>
      <c r="C450" s="4" t="s">
        <v>41</v>
      </c>
      <c r="D450" s="4" t="s">
        <v>38</v>
      </c>
      <c r="E450" s="4" t="s">
        <v>25</v>
      </c>
      <c r="F450" s="4" t="s">
        <v>25</v>
      </c>
      <c r="G450" s="4" t="s">
        <v>25</v>
      </c>
      <c r="H450" s="4" t="s">
        <v>34</v>
      </c>
      <c r="I450" s="5">
        <v>44835</v>
      </c>
      <c r="J450" s="6">
        <v>0</v>
      </c>
      <c r="K450" s="6">
        <v>0</v>
      </c>
      <c r="L450" s="6">
        <v>4.5129999999999999</v>
      </c>
      <c r="M450" s="6">
        <v>4.5129999999999999</v>
      </c>
      <c r="N450" s="6">
        <v>4.5129999999999999</v>
      </c>
      <c r="O450" s="6">
        <v>4.5129999999999999</v>
      </c>
      <c r="P450" s="6">
        <v>0</v>
      </c>
      <c r="Q450" s="4" t="s">
        <v>26</v>
      </c>
      <c r="R450" s="4">
        <v>0</v>
      </c>
      <c r="S450" s="6">
        <v>0</v>
      </c>
      <c r="T450" s="6">
        <v>8</v>
      </c>
      <c r="U450" s="6">
        <v>38</v>
      </c>
      <c r="V450" s="6">
        <f>IF(ISERROR(VLOOKUP($S$450,'TAR FIN'!$A$1:$O$113,15,0)),0,VLOOKUP($S$450,'TAR FIN'!$A$1:$O$113,15,0))</f>
        <v>0</v>
      </c>
      <c r="W450" s="6">
        <f>IF(ISERROR(VLOOKUP($T$450,'TAR FIN'!$A$1:$O$113,15,0)),0,VLOOKUP($T$450,'TAR FIN'!$A$1:$O$113,15,0))</f>
        <v>940.43</v>
      </c>
      <c r="X450" s="6">
        <f>IF(ISERROR(VLOOKUP($U$450,'TAR FIN'!$A$1:$O$113,15,0)),0,VLOOKUP($U$450,'TAR FIN'!$A$1:$O$113,15,0))</f>
        <v>442.86</v>
      </c>
      <c r="Y450" s="6"/>
      <c r="Z450" s="6">
        <f ca="1">('TUSD BE'!$AM$20+'TUSD BF'!$AM$20+'TUSD CVA'!$AM$20)*1</f>
        <v>1117.8285588949407</v>
      </c>
      <c r="AA450" s="6">
        <f>('TE BE'!$AB$9+'TE BF'!$AB$9+'TE CVA'!$AB$9)*1</f>
        <v>486.43608405794748</v>
      </c>
      <c r="AB450" s="6">
        <f>$K$450*$V$450</f>
        <v>0</v>
      </c>
      <c r="AC450" s="6">
        <f>$M$450*$W$450</f>
        <v>4244.1605899999995</v>
      </c>
      <c r="AD450" s="6">
        <f>$O$450*$X$450</f>
        <v>1998.62718</v>
      </c>
      <c r="AE450" s="6">
        <f>$K$450*$Y$450</f>
        <v>0</v>
      </c>
      <c r="AF450" s="6">
        <f ca="1">$M$450*$Z$450</f>
        <v>5044.760286292867</v>
      </c>
      <c r="AG450" s="6">
        <f>$O$450*$AA$450</f>
        <v>2195.286047353517</v>
      </c>
    </row>
    <row r="451" spans="1:33" ht="11.25" customHeight="1" x14ac:dyDescent="0.3">
      <c r="A451" s="4" t="s">
        <v>53</v>
      </c>
      <c r="B451" s="4" t="s">
        <v>39</v>
      </c>
      <c r="C451" s="4" t="s">
        <v>41</v>
      </c>
      <c r="D451" s="4" t="s">
        <v>38</v>
      </c>
      <c r="E451" s="4" t="s">
        <v>25</v>
      </c>
      <c r="F451" s="4" t="s">
        <v>25</v>
      </c>
      <c r="G451" s="4" t="s">
        <v>25</v>
      </c>
      <c r="H451" s="4" t="s">
        <v>34</v>
      </c>
      <c r="I451" s="5">
        <v>44835</v>
      </c>
      <c r="J451" s="6">
        <v>0</v>
      </c>
      <c r="K451" s="6">
        <v>0</v>
      </c>
      <c r="L451" s="6">
        <v>88.828000000000003</v>
      </c>
      <c r="M451" s="6">
        <v>88.828000000000003</v>
      </c>
      <c r="N451" s="6">
        <v>0</v>
      </c>
      <c r="O451" s="6">
        <v>0</v>
      </c>
      <c r="P451" s="6">
        <v>0</v>
      </c>
      <c r="Q451" s="4" t="s">
        <v>55</v>
      </c>
      <c r="R451" s="4">
        <v>0</v>
      </c>
      <c r="S451" s="6">
        <v>0</v>
      </c>
      <c r="T451" s="6">
        <v>8</v>
      </c>
      <c r="U451" s="6">
        <v>0</v>
      </c>
      <c r="V451" s="6">
        <f>IF(ISERROR(VLOOKUP($S$451,'TAR FIN'!$A$1:$O$113,15,0)),0,VLOOKUP($S$451,'TAR FIN'!$A$1:$O$113,15,0))</f>
        <v>0</v>
      </c>
      <c r="W451" s="6">
        <f>IF(ISERROR(VLOOKUP($T$451,'TAR FIN'!$A$1:$O$113,15,0)),0,VLOOKUP($T$451,'TAR FIN'!$A$1:$O$113,15,0))</f>
        <v>940.43</v>
      </c>
      <c r="X451" s="6">
        <f>IF(ISERROR(VLOOKUP($U$451,'TAR FIN'!$A$1:$O$113,15,0)),0,VLOOKUP($U$451,'TAR FIN'!$A$1:$O$113,15,0))</f>
        <v>0</v>
      </c>
      <c r="Y451" s="6"/>
      <c r="Z451" s="6">
        <f ca="1">('TUSD BE'!$AM$20+'TUSD BF'!$AM$20+'TUSD CVA'!$AM$20)*1</f>
        <v>1117.8285588949407</v>
      </c>
      <c r="AA451" s="6"/>
      <c r="AB451" s="6">
        <f>$K$451*$V$451</f>
        <v>0</v>
      </c>
      <c r="AC451" s="6">
        <f>$M$451*$W$451</f>
        <v>83536.516040000002</v>
      </c>
      <c r="AD451" s="6">
        <f>$O$451*$X$451</f>
        <v>0</v>
      </c>
      <c r="AE451" s="6">
        <f>$K$451*$Y$451</f>
        <v>0</v>
      </c>
      <c r="AF451" s="6">
        <f ca="1">$M$451*$Z$451</f>
        <v>99294.475229519798</v>
      </c>
      <c r="AG451" s="6">
        <f>$O$451*$AA$451</f>
        <v>0</v>
      </c>
    </row>
    <row r="452" spans="1:33" ht="11.25" customHeight="1" x14ac:dyDescent="0.3">
      <c r="A452" s="4" t="s">
        <v>21</v>
      </c>
      <c r="B452" s="4" t="s">
        <v>39</v>
      </c>
      <c r="C452" s="4" t="s">
        <v>41</v>
      </c>
      <c r="D452" s="4" t="s">
        <v>46</v>
      </c>
      <c r="E452" s="4" t="s">
        <v>25</v>
      </c>
      <c r="F452" s="4" t="s">
        <v>25</v>
      </c>
      <c r="G452" s="4" t="s">
        <v>25</v>
      </c>
      <c r="H452" s="4" t="s">
        <v>35</v>
      </c>
      <c r="I452" s="5">
        <v>44501</v>
      </c>
      <c r="J452" s="6">
        <v>0</v>
      </c>
      <c r="K452" s="6">
        <v>0</v>
      </c>
      <c r="L452" s="6">
        <v>42.69</v>
      </c>
      <c r="M452" s="6">
        <v>42.69</v>
      </c>
      <c r="N452" s="6">
        <v>42.69</v>
      </c>
      <c r="O452" s="6">
        <v>42.69</v>
      </c>
      <c r="P452" s="6">
        <v>0</v>
      </c>
      <c r="Q452" s="4" t="s">
        <v>26</v>
      </c>
      <c r="R452" s="4">
        <v>0</v>
      </c>
      <c r="S452" s="6">
        <v>0</v>
      </c>
      <c r="T452" s="6">
        <v>6</v>
      </c>
      <c r="U452" s="6">
        <v>61</v>
      </c>
      <c r="V452" s="6">
        <f>IF(ISERROR(VLOOKUP($S$452,'TAR FIN'!$A$1:$O$113,15,0)),0,VLOOKUP($S$452,'TAR FIN'!$A$1:$O$113,15,0))</f>
        <v>0</v>
      </c>
      <c r="W452" s="6">
        <f>IF(ISERROR(VLOOKUP($T$452,'TAR FIN'!$A$1:$O$113,15,0)),0,VLOOKUP($T$452,'TAR FIN'!$A$1:$O$113,15,0))</f>
        <v>72.150000000000006</v>
      </c>
      <c r="X452" s="6">
        <f>IF(ISERROR(VLOOKUP($U$452,'TAR FIN'!$A$1:$O$113,15,0)),0,VLOOKUP($U$452,'TAR FIN'!$A$1:$O$113,15,0))</f>
        <v>278.67</v>
      </c>
      <c r="Y452" s="6"/>
      <c r="Z452" s="6">
        <f ca="1">('TUSD BE'!$AM$21+'TUSD BF'!$AM$21+'TUSD CVA'!$AM$21)*1</f>
        <v>122.14055331663396</v>
      </c>
      <c r="AA452" s="6">
        <f>('TE BE'!$AB$10+'TE BF'!$AB$10+'TE CVA'!$AB$10)*1</f>
        <v>299.18055042718134</v>
      </c>
      <c r="AB452" s="6">
        <f>$K$452*$V$452</f>
        <v>0</v>
      </c>
      <c r="AC452" s="6">
        <f>$M$452*$W$452</f>
        <v>3080.0835000000002</v>
      </c>
      <c r="AD452" s="6">
        <f>$O$452*$X$452</f>
        <v>11896.4223</v>
      </c>
      <c r="AE452" s="6">
        <f>$K$452*$Y$452</f>
        <v>0</v>
      </c>
      <c r="AF452" s="6">
        <f ca="1">$M$452*$Z$452</f>
        <v>5214.1802210871028</v>
      </c>
      <c r="AG452" s="6">
        <f>$O$452*$AA$452</f>
        <v>12772.017697736372</v>
      </c>
    </row>
    <row r="453" spans="1:33" ht="11.25" customHeight="1" x14ac:dyDescent="0.3">
      <c r="A453" s="4" t="s">
        <v>28</v>
      </c>
      <c r="B453" s="4" t="s">
        <v>39</v>
      </c>
      <c r="C453" s="4" t="s">
        <v>41</v>
      </c>
      <c r="D453" s="4" t="s">
        <v>46</v>
      </c>
      <c r="E453" s="4" t="s">
        <v>25</v>
      </c>
      <c r="F453" s="4" t="s">
        <v>25</v>
      </c>
      <c r="G453" s="4" t="s">
        <v>25</v>
      </c>
      <c r="H453" s="4" t="s">
        <v>35</v>
      </c>
      <c r="I453" s="5">
        <v>44501</v>
      </c>
      <c r="J453" s="6">
        <v>0</v>
      </c>
      <c r="K453" s="6">
        <v>0</v>
      </c>
      <c r="L453" s="6">
        <v>6.8730000000000002</v>
      </c>
      <c r="M453" s="6">
        <v>6.8730000000000002</v>
      </c>
      <c r="N453" s="6">
        <v>6.8730000000000002</v>
      </c>
      <c r="O453" s="6">
        <v>6.8730000000000002</v>
      </c>
      <c r="P453" s="6">
        <v>0</v>
      </c>
      <c r="Q453" s="4" t="s">
        <v>26</v>
      </c>
      <c r="R453" s="4">
        <v>0</v>
      </c>
      <c r="S453" s="6">
        <v>0</v>
      </c>
      <c r="T453" s="6">
        <v>6</v>
      </c>
      <c r="U453" s="6">
        <v>61</v>
      </c>
      <c r="V453" s="6">
        <f>IF(ISERROR(VLOOKUP($S$453,'TAR FIN'!$A$1:$O$113,15,0)),0,VLOOKUP($S$453,'TAR FIN'!$A$1:$O$113,15,0))</f>
        <v>0</v>
      </c>
      <c r="W453" s="6">
        <f>IF(ISERROR(VLOOKUP($T$453,'TAR FIN'!$A$1:$O$113,15,0)),0,VLOOKUP($T$453,'TAR FIN'!$A$1:$O$113,15,0))</f>
        <v>72.150000000000006</v>
      </c>
      <c r="X453" s="6">
        <f>IF(ISERROR(VLOOKUP($U$453,'TAR FIN'!$A$1:$O$113,15,0)),0,VLOOKUP($U$453,'TAR FIN'!$A$1:$O$113,15,0))</f>
        <v>278.67</v>
      </c>
      <c r="Y453" s="6"/>
      <c r="Z453" s="6">
        <f ca="1">('TUSD BE'!$AM$21+'TUSD BF'!$AM$21+'TUSD CVA'!$AM$21)*1</f>
        <v>122.14055331663396</v>
      </c>
      <c r="AA453" s="6">
        <f>('TE BE'!$AB$10+'TE BF'!$AB$10+'TE CVA'!$AB$10)*1</f>
        <v>299.18055042718134</v>
      </c>
      <c r="AB453" s="6">
        <f>$K$453*$V$453</f>
        <v>0</v>
      </c>
      <c r="AC453" s="6">
        <f>$M$453*$W$453</f>
        <v>495.88695000000007</v>
      </c>
      <c r="AD453" s="6">
        <f>$O$453*$X$453</f>
        <v>1915.2989100000002</v>
      </c>
      <c r="AE453" s="6">
        <f>$K$453*$Y$453</f>
        <v>0</v>
      </c>
      <c r="AF453" s="6">
        <f ca="1">$M$453*$Z$453</f>
        <v>839.47202294522515</v>
      </c>
      <c r="AG453" s="6">
        <f>$O$453*$AA$453</f>
        <v>2056.2679230860176</v>
      </c>
    </row>
    <row r="454" spans="1:33" ht="11.25" customHeight="1" x14ac:dyDescent="0.3">
      <c r="A454" s="4" t="s">
        <v>21</v>
      </c>
      <c r="B454" s="4" t="s">
        <v>39</v>
      </c>
      <c r="C454" s="4" t="s">
        <v>41</v>
      </c>
      <c r="D454" s="4" t="s">
        <v>46</v>
      </c>
      <c r="E454" s="4" t="s">
        <v>25</v>
      </c>
      <c r="F454" s="4" t="s">
        <v>25</v>
      </c>
      <c r="G454" s="4" t="s">
        <v>25</v>
      </c>
      <c r="H454" s="4" t="s">
        <v>35</v>
      </c>
      <c r="I454" s="5">
        <v>44531</v>
      </c>
      <c r="J454" s="6">
        <v>0</v>
      </c>
      <c r="K454" s="6">
        <v>0</v>
      </c>
      <c r="L454" s="6">
        <v>43.225999999999999</v>
      </c>
      <c r="M454" s="6">
        <v>43.225999999999999</v>
      </c>
      <c r="N454" s="6">
        <v>43.225999999999999</v>
      </c>
      <c r="O454" s="6">
        <v>43.225999999999999</v>
      </c>
      <c r="P454" s="6">
        <v>0</v>
      </c>
      <c r="Q454" s="4" t="s">
        <v>26</v>
      </c>
      <c r="R454" s="4">
        <v>0</v>
      </c>
      <c r="S454" s="6">
        <v>0</v>
      </c>
      <c r="T454" s="6">
        <v>6</v>
      </c>
      <c r="U454" s="6">
        <v>61</v>
      </c>
      <c r="V454" s="6">
        <f>IF(ISERROR(VLOOKUP($S$454,'TAR FIN'!$A$1:$O$113,15,0)),0,VLOOKUP($S$454,'TAR FIN'!$A$1:$O$113,15,0))</f>
        <v>0</v>
      </c>
      <c r="W454" s="6">
        <f>IF(ISERROR(VLOOKUP($T$454,'TAR FIN'!$A$1:$O$113,15,0)),0,VLOOKUP($T$454,'TAR FIN'!$A$1:$O$113,15,0))</f>
        <v>72.150000000000006</v>
      </c>
      <c r="X454" s="6">
        <f>IF(ISERROR(VLOOKUP($U$454,'TAR FIN'!$A$1:$O$113,15,0)),0,VLOOKUP($U$454,'TAR FIN'!$A$1:$O$113,15,0))</f>
        <v>278.67</v>
      </c>
      <c r="Y454" s="6"/>
      <c r="Z454" s="6">
        <f ca="1">('TUSD BE'!$AM$21+'TUSD BF'!$AM$21+'TUSD CVA'!$AM$21)*1</f>
        <v>122.14055331663396</v>
      </c>
      <c r="AA454" s="6">
        <f>('TE BE'!$AB$10+'TE BF'!$AB$10+'TE CVA'!$AB$10)*1</f>
        <v>299.18055042718134</v>
      </c>
      <c r="AB454" s="6">
        <f>$K$454*$V$454</f>
        <v>0</v>
      </c>
      <c r="AC454" s="6">
        <f>$M$454*$W$454</f>
        <v>3118.7559000000001</v>
      </c>
      <c r="AD454" s="6">
        <f>$O$454*$X$454</f>
        <v>12045.789420000001</v>
      </c>
      <c r="AE454" s="6">
        <f>$K$454*$Y$454</f>
        <v>0</v>
      </c>
      <c r="AF454" s="6">
        <f ca="1">$M$454*$Z$454</f>
        <v>5279.647557664819</v>
      </c>
      <c r="AG454" s="6">
        <f>$O$454*$AA$454</f>
        <v>12932.37847276534</v>
      </c>
    </row>
    <row r="455" spans="1:33" ht="11.25" customHeight="1" x14ac:dyDescent="0.3">
      <c r="A455" s="4" t="s">
        <v>28</v>
      </c>
      <c r="B455" s="4" t="s">
        <v>39</v>
      </c>
      <c r="C455" s="4" t="s">
        <v>41</v>
      </c>
      <c r="D455" s="4" t="s">
        <v>46</v>
      </c>
      <c r="E455" s="4" t="s">
        <v>25</v>
      </c>
      <c r="F455" s="4" t="s">
        <v>25</v>
      </c>
      <c r="G455" s="4" t="s">
        <v>25</v>
      </c>
      <c r="H455" s="4" t="s">
        <v>35</v>
      </c>
      <c r="I455" s="5">
        <v>44531</v>
      </c>
      <c r="J455" s="6">
        <v>0</v>
      </c>
      <c r="K455" s="6">
        <v>0</v>
      </c>
      <c r="L455" s="6">
        <v>5.0629999999999997</v>
      </c>
      <c r="M455" s="6">
        <v>5.0629999999999997</v>
      </c>
      <c r="N455" s="6">
        <v>5.0629999999999997</v>
      </c>
      <c r="O455" s="6">
        <v>5.0629999999999997</v>
      </c>
      <c r="P455" s="6">
        <v>0</v>
      </c>
      <c r="Q455" s="4" t="s">
        <v>26</v>
      </c>
      <c r="R455" s="4">
        <v>0</v>
      </c>
      <c r="S455" s="6">
        <v>0</v>
      </c>
      <c r="T455" s="6">
        <v>6</v>
      </c>
      <c r="U455" s="6">
        <v>61</v>
      </c>
      <c r="V455" s="6">
        <f>IF(ISERROR(VLOOKUP($S$455,'TAR FIN'!$A$1:$O$113,15,0)),0,VLOOKUP($S$455,'TAR FIN'!$A$1:$O$113,15,0))</f>
        <v>0</v>
      </c>
      <c r="W455" s="6">
        <f>IF(ISERROR(VLOOKUP($T$455,'TAR FIN'!$A$1:$O$113,15,0)),0,VLOOKUP($T$455,'TAR FIN'!$A$1:$O$113,15,0))</f>
        <v>72.150000000000006</v>
      </c>
      <c r="X455" s="6">
        <f>IF(ISERROR(VLOOKUP($U$455,'TAR FIN'!$A$1:$O$113,15,0)),0,VLOOKUP($U$455,'TAR FIN'!$A$1:$O$113,15,0))</f>
        <v>278.67</v>
      </c>
      <c r="Y455" s="6"/>
      <c r="Z455" s="6">
        <f ca="1">('TUSD BE'!$AM$21+'TUSD BF'!$AM$21+'TUSD CVA'!$AM$21)*1</f>
        <v>122.14055331663396</v>
      </c>
      <c r="AA455" s="6">
        <f>('TE BE'!$AB$10+'TE BF'!$AB$10+'TE CVA'!$AB$10)*1</f>
        <v>299.18055042718134</v>
      </c>
      <c r="AB455" s="6">
        <f>$K$455*$V$455</f>
        <v>0</v>
      </c>
      <c r="AC455" s="6">
        <f>$M$455*$W$455</f>
        <v>365.29545000000002</v>
      </c>
      <c r="AD455" s="6">
        <f>$O$455*$X$455</f>
        <v>1410.9062100000001</v>
      </c>
      <c r="AE455" s="6">
        <f>$K$455*$Y$455</f>
        <v>0</v>
      </c>
      <c r="AF455" s="6">
        <f ca="1">$M$455*$Z$455</f>
        <v>618.39762144211772</v>
      </c>
      <c r="AG455" s="6">
        <f>$O$455*$AA$455</f>
        <v>1514.7511268128192</v>
      </c>
    </row>
    <row r="456" spans="1:33" ht="11.25" customHeight="1" x14ac:dyDescent="0.3">
      <c r="A456" s="4" t="s">
        <v>21</v>
      </c>
      <c r="B456" s="4" t="s">
        <v>39</v>
      </c>
      <c r="C456" s="4" t="s">
        <v>41</v>
      </c>
      <c r="D456" s="4" t="s">
        <v>46</v>
      </c>
      <c r="E456" s="4" t="s">
        <v>25</v>
      </c>
      <c r="F456" s="4" t="s">
        <v>25</v>
      </c>
      <c r="G456" s="4" t="s">
        <v>25</v>
      </c>
      <c r="H456" s="4" t="s">
        <v>35</v>
      </c>
      <c r="I456" s="5">
        <v>44562</v>
      </c>
      <c r="J456" s="6">
        <v>0</v>
      </c>
      <c r="K456" s="6">
        <v>0</v>
      </c>
      <c r="L456" s="6">
        <v>41.533000000000001</v>
      </c>
      <c r="M456" s="6">
        <v>41.533000000000001</v>
      </c>
      <c r="N456" s="6">
        <v>41.533000000000001</v>
      </c>
      <c r="O456" s="6">
        <v>41.533000000000001</v>
      </c>
      <c r="P456" s="6">
        <v>0</v>
      </c>
      <c r="Q456" s="4" t="s">
        <v>26</v>
      </c>
      <c r="R456" s="4">
        <v>0</v>
      </c>
      <c r="S456" s="6">
        <v>0</v>
      </c>
      <c r="T456" s="6">
        <v>6</v>
      </c>
      <c r="U456" s="6">
        <v>61</v>
      </c>
      <c r="V456" s="6">
        <f>IF(ISERROR(VLOOKUP($S$456,'TAR FIN'!$A$1:$O$113,15,0)),0,VLOOKUP($S$456,'TAR FIN'!$A$1:$O$113,15,0))</f>
        <v>0</v>
      </c>
      <c r="W456" s="6">
        <f>IF(ISERROR(VLOOKUP($T$456,'TAR FIN'!$A$1:$O$113,15,0)),0,VLOOKUP($T$456,'TAR FIN'!$A$1:$O$113,15,0))</f>
        <v>72.150000000000006</v>
      </c>
      <c r="X456" s="6">
        <f>IF(ISERROR(VLOOKUP($U$456,'TAR FIN'!$A$1:$O$113,15,0)),0,VLOOKUP($U$456,'TAR FIN'!$A$1:$O$113,15,0))</f>
        <v>278.67</v>
      </c>
      <c r="Y456" s="6"/>
      <c r="Z456" s="6">
        <f ca="1">('TUSD BE'!$AM$21+'TUSD BF'!$AM$21+'TUSD CVA'!$AM$21)*1</f>
        <v>122.14055331663396</v>
      </c>
      <c r="AA456" s="6">
        <f>('TE BE'!$AB$10+'TE BF'!$AB$10+'TE CVA'!$AB$10)*1</f>
        <v>299.18055042718134</v>
      </c>
      <c r="AB456" s="6">
        <f>$K$456*$V$456</f>
        <v>0</v>
      </c>
      <c r="AC456" s="6">
        <f>$M$456*$W$456</f>
        <v>2996.6059500000001</v>
      </c>
      <c r="AD456" s="6">
        <f>$O$456*$X$456</f>
        <v>11574.001110000001</v>
      </c>
      <c r="AE456" s="6">
        <f>$K$456*$Y$456</f>
        <v>0</v>
      </c>
      <c r="AF456" s="6">
        <f ca="1">$M$456*$Z$456</f>
        <v>5072.8636008997582</v>
      </c>
      <c r="AG456" s="6">
        <f>$O$456*$AA$456</f>
        <v>12425.865800892123</v>
      </c>
    </row>
    <row r="457" spans="1:33" ht="11.25" customHeight="1" x14ac:dyDescent="0.3">
      <c r="A457" s="4" t="s">
        <v>28</v>
      </c>
      <c r="B457" s="4" t="s">
        <v>39</v>
      </c>
      <c r="C457" s="4" t="s">
        <v>41</v>
      </c>
      <c r="D457" s="4" t="s">
        <v>46</v>
      </c>
      <c r="E457" s="4" t="s">
        <v>25</v>
      </c>
      <c r="F457" s="4" t="s">
        <v>25</v>
      </c>
      <c r="G457" s="4" t="s">
        <v>25</v>
      </c>
      <c r="H457" s="4" t="s">
        <v>35</v>
      </c>
      <c r="I457" s="5">
        <v>44562</v>
      </c>
      <c r="J457" s="6">
        <v>0</v>
      </c>
      <c r="K457" s="6">
        <v>0</v>
      </c>
      <c r="L457" s="6">
        <v>5.0999999999999996</v>
      </c>
      <c r="M457" s="6">
        <v>5.0999999999999996</v>
      </c>
      <c r="N457" s="6">
        <v>5.0999999999999996</v>
      </c>
      <c r="O457" s="6">
        <v>5.0999999999999996</v>
      </c>
      <c r="P457" s="6">
        <v>0</v>
      </c>
      <c r="Q457" s="4" t="s">
        <v>26</v>
      </c>
      <c r="R457" s="4">
        <v>0</v>
      </c>
      <c r="S457" s="6">
        <v>0</v>
      </c>
      <c r="T457" s="6">
        <v>6</v>
      </c>
      <c r="U457" s="6">
        <v>61</v>
      </c>
      <c r="V457" s="6">
        <f>IF(ISERROR(VLOOKUP($S$457,'TAR FIN'!$A$1:$O$113,15,0)),0,VLOOKUP($S$457,'TAR FIN'!$A$1:$O$113,15,0))</f>
        <v>0</v>
      </c>
      <c r="W457" s="6">
        <f>IF(ISERROR(VLOOKUP($T$457,'TAR FIN'!$A$1:$O$113,15,0)),0,VLOOKUP($T$457,'TAR FIN'!$A$1:$O$113,15,0))</f>
        <v>72.150000000000006</v>
      </c>
      <c r="X457" s="6">
        <f>IF(ISERROR(VLOOKUP($U$457,'TAR FIN'!$A$1:$O$113,15,0)),0,VLOOKUP($U$457,'TAR FIN'!$A$1:$O$113,15,0))</f>
        <v>278.67</v>
      </c>
      <c r="Y457" s="6"/>
      <c r="Z457" s="6">
        <f ca="1">('TUSD BE'!$AM$21+'TUSD BF'!$AM$21+'TUSD CVA'!$AM$21)*1</f>
        <v>122.14055331663396</v>
      </c>
      <c r="AA457" s="6">
        <f>('TE BE'!$AB$10+'TE BF'!$AB$10+'TE CVA'!$AB$10)*1</f>
        <v>299.18055042718134</v>
      </c>
      <c r="AB457" s="6">
        <f>$K$457*$V$457</f>
        <v>0</v>
      </c>
      <c r="AC457" s="6">
        <f>$M$457*$W$457</f>
        <v>367.96499999999997</v>
      </c>
      <c r="AD457" s="6">
        <f>$O$457*$X$457</f>
        <v>1421.2169999999999</v>
      </c>
      <c r="AE457" s="6">
        <f>$K$457*$Y$457</f>
        <v>0</v>
      </c>
      <c r="AF457" s="6">
        <f ca="1">$M$457*$Z$457</f>
        <v>622.91682191483312</v>
      </c>
      <c r="AG457" s="6">
        <f>$O$457*$AA$457</f>
        <v>1525.8208071786248</v>
      </c>
    </row>
    <row r="458" spans="1:33" ht="11.25" customHeight="1" x14ac:dyDescent="0.3">
      <c r="A458" s="4" t="s">
        <v>21</v>
      </c>
      <c r="B458" s="4" t="s">
        <v>39</v>
      </c>
      <c r="C458" s="4" t="s">
        <v>41</v>
      </c>
      <c r="D458" s="4" t="s">
        <v>46</v>
      </c>
      <c r="E458" s="4" t="s">
        <v>25</v>
      </c>
      <c r="F458" s="4" t="s">
        <v>25</v>
      </c>
      <c r="G458" s="4" t="s">
        <v>25</v>
      </c>
      <c r="H458" s="4" t="s">
        <v>35</v>
      </c>
      <c r="I458" s="5">
        <v>44593</v>
      </c>
      <c r="J458" s="6">
        <v>0</v>
      </c>
      <c r="K458" s="6">
        <v>0</v>
      </c>
      <c r="L458" s="6">
        <v>40.228999999999999</v>
      </c>
      <c r="M458" s="6">
        <v>40.228999999999999</v>
      </c>
      <c r="N458" s="6">
        <v>40.228999999999999</v>
      </c>
      <c r="O458" s="6">
        <v>40.228999999999999</v>
      </c>
      <c r="P458" s="6">
        <v>0</v>
      </c>
      <c r="Q458" s="4" t="s">
        <v>26</v>
      </c>
      <c r="R458" s="4">
        <v>0</v>
      </c>
      <c r="S458" s="6">
        <v>0</v>
      </c>
      <c r="T458" s="6">
        <v>6</v>
      </c>
      <c r="U458" s="6">
        <v>61</v>
      </c>
      <c r="V458" s="6">
        <f>IF(ISERROR(VLOOKUP($S$458,'TAR FIN'!$A$1:$O$113,15,0)),0,VLOOKUP($S$458,'TAR FIN'!$A$1:$O$113,15,0))</f>
        <v>0</v>
      </c>
      <c r="W458" s="6">
        <f>IF(ISERROR(VLOOKUP($T$458,'TAR FIN'!$A$1:$O$113,15,0)),0,VLOOKUP($T$458,'TAR FIN'!$A$1:$O$113,15,0))</f>
        <v>72.150000000000006</v>
      </c>
      <c r="X458" s="6">
        <f>IF(ISERROR(VLOOKUP($U$458,'TAR FIN'!$A$1:$O$113,15,0)),0,VLOOKUP($U$458,'TAR FIN'!$A$1:$O$113,15,0))</f>
        <v>278.67</v>
      </c>
      <c r="Y458" s="6"/>
      <c r="Z458" s="6">
        <f ca="1">('TUSD BE'!$AM$21+'TUSD BF'!$AM$21+'TUSD CVA'!$AM$21)*1</f>
        <v>122.14055331663396</v>
      </c>
      <c r="AA458" s="6">
        <f>('TE BE'!$AB$10+'TE BF'!$AB$10+'TE CVA'!$AB$10)*1</f>
        <v>299.18055042718134</v>
      </c>
      <c r="AB458" s="6">
        <f>$K$458*$V$458</f>
        <v>0</v>
      </c>
      <c r="AC458" s="6">
        <f>$M$458*$W$458</f>
        <v>2902.5223500000002</v>
      </c>
      <c r="AD458" s="6">
        <f>$O$458*$X$458</f>
        <v>11210.61543</v>
      </c>
      <c r="AE458" s="6">
        <f>$K$458*$Y$458</f>
        <v>0</v>
      </c>
      <c r="AF458" s="6">
        <f ca="1">$M$458*$Z$458</f>
        <v>4913.5923193748677</v>
      </c>
      <c r="AG458" s="6">
        <f>$O$458*$AA$458</f>
        <v>12035.734363135078</v>
      </c>
    </row>
    <row r="459" spans="1:33" ht="11.25" customHeight="1" x14ac:dyDescent="0.3">
      <c r="A459" s="4" t="s">
        <v>28</v>
      </c>
      <c r="B459" s="4" t="s">
        <v>39</v>
      </c>
      <c r="C459" s="4" t="s">
        <v>41</v>
      </c>
      <c r="D459" s="4" t="s">
        <v>46</v>
      </c>
      <c r="E459" s="4" t="s">
        <v>25</v>
      </c>
      <c r="F459" s="4" t="s">
        <v>25</v>
      </c>
      <c r="G459" s="4" t="s">
        <v>25</v>
      </c>
      <c r="H459" s="4" t="s">
        <v>35</v>
      </c>
      <c r="I459" s="5">
        <v>44593</v>
      </c>
      <c r="J459" s="6">
        <v>0</v>
      </c>
      <c r="K459" s="6">
        <v>0</v>
      </c>
      <c r="L459" s="6">
        <v>5.3650000000000002</v>
      </c>
      <c r="M459" s="6">
        <v>5.3650000000000002</v>
      </c>
      <c r="N459" s="6">
        <v>5.3650000000000002</v>
      </c>
      <c r="O459" s="6">
        <v>5.3650000000000002</v>
      </c>
      <c r="P459" s="6">
        <v>0</v>
      </c>
      <c r="Q459" s="4" t="s">
        <v>26</v>
      </c>
      <c r="R459" s="4">
        <v>0</v>
      </c>
      <c r="S459" s="6">
        <v>0</v>
      </c>
      <c r="T459" s="6">
        <v>6</v>
      </c>
      <c r="U459" s="6">
        <v>61</v>
      </c>
      <c r="V459" s="6">
        <f>IF(ISERROR(VLOOKUP($S$459,'TAR FIN'!$A$1:$O$113,15,0)),0,VLOOKUP($S$459,'TAR FIN'!$A$1:$O$113,15,0))</f>
        <v>0</v>
      </c>
      <c r="W459" s="6">
        <f>IF(ISERROR(VLOOKUP($T$459,'TAR FIN'!$A$1:$O$113,15,0)),0,VLOOKUP($T$459,'TAR FIN'!$A$1:$O$113,15,0))</f>
        <v>72.150000000000006</v>
      </c>
      <c r="X459" s="6">
        <f>IF(ISERROR(VLOOKUP($U$459,'TAR FIN'!$A$1:$O$113,15,0)),0,VLOOKUP($U$459,'TAR FIN'!$A$1:$O$113,15,0))</f>
        <v>278.67</v>
      </c>
      <c r="Y459" s="6"/>
      <c r="Z459" s="6">
        <f ca="1">('TUSD BE'!$AM$21+'TUSD BF'!$AM$21+'TUSD CVA'!$AM$21)*1</f>
        <v>122.14055331663396</v>
      </c>
      <c r="AA459" s="6">
        <f>('TE BE'!$AB$10+'TE BF'!$AB$10+'TE CVA'!$AB$10)*1</f>
        <v>299.18055042718134</v>
      </c>
      <c r="AB459" s="6">
        <f>$K$459*$V$459</f>
        <v>0</v>
      </c>
      <c r="AC459" s="6">
        <f>$M$459*$W$459</f>
        <v>387.08475000000004</v>
      </c>
      <c r="AD459" s="6">
        <f>$O$459*$X$459</f>
        <v>1495.0645500000001</v>
      </c>
      <c r="AE459" s="6">
        <f>$K$459*$Y$459</f>
        <v>0</v>
      </c>
      <c r="AF459" s="6">
        <f ca="1">$M$459*$Z$459</f>
        <v>655.28406854374123</v>
      </c>
      <c r="AG459" s="6">
        <f>$O$459*$AA$459</f>
        <v>1605.103653041828</v>
      </c>
    </row>
    <row r="460" spans="1:33" ht="11.25" customHeight="1" x14ac:dyDescent="0.3">
      <c r="A460" s="4" t="s">
        <v>21</v>
      </c>
      <c r="B460" s="4" t="s">
        <v>39</v>
      </c>
      <c r="C460" s="4" t="s">
        <v>41</v>
      </c>
      <c r="D460" s="4" t="s">
        <v>46</v>
      </c>
      <c r="E460" s="4" t="s">
        <v>25</v>
      </c>
      <c r="F460" s="4" t="s">
        <v>25</v>
      </c>
      <c r="G460" s="4" t="s">
        <v>25</v>
      </c>
      <c r="H460" s="4" t="s">
        <v>35</v>
      </c>
      <c r="I460" s="5">
        <v>44621</v>
      </c>
      <c r="J460" s="6">
        <v>0</v>
      </c>
      <c r="K460" s="6">
        <v>0</v>
      </c>
      <c r="L460" s="6">
        <v>41.337000000000003</v>
      </c>
      <c r="M460" s="6">
        <v>41.337000000000003</v>
      </c>
      <c r="N460" s="6">
        <v>41.337000000000003</v>
      </c>
      <c r="O460" s="6">
        <v>41.337000000000003</v>
      </c>
      <c r="P460" s="6">
        <v>0</v>
      </c>
      <c r="Q460" s="4" t="s">
        <v>26</v>
      </c>
      <c r="R460" s="4">
        <v>0</v>
      </c>
      <c r="S460" s="6">
        <v>0</v>
      </c>
      <c r="T460" s="6">
        <v>6</v>
      </c>
      <c r="U460" s="6">
        <v>61</v>
      </c>
      <c r="V460" s="6">
        <f>IF(ISERROR(VLOOKUP($S$460,'TAR FIN'!$A$1:$O$113,15,0)),0,VLOOKUP($S$460,'TAR FIN'!$A$1:$O$113,15,0))</f>
        <v>0</v>
      </c>
      <c r="W460" s="6">
        <f>IF(ISERROR(VLOOKUP($T$460,'TAR FIN'!$A$1:$O$113,15,0)),0,VLOOKUP($T$460,'TAR FIN'!$A$1:$O$113,15,0))</f>
        <v>72.150000000000006</v>
      </c>
      <c r="X460" s="6">
        <f>IF(ISERROR(VLOOKUP($U$460,'TAR FIN'!$A$1:$O$113,15,0)),0,VLOOKUP($U$460,'TAR FIN'!$A$1:$O$113,15,0))</f>
        <v>278.67</v>
      </c>
      <c r="Y460" s="6"/>
      <c r="Z460" s="6">
        <f ca="1">('TUSD BE'!$AM$21+'TUSD BF'!$AM$21+'TUSD CVA'!$AM$21)*1</f>
        <v>122.14055331663396</v>
      </c>
      <c r="AA460" s="6">
        <f>('TE BE'!$AB$10+'TE BF'!$AB$10+'TE CVA'!$AB$10)*1</f>
        <v>299.18055042718134</v>
      </c>
      <c r="AB460" s="6">
        <f>$K$460*$V$460</f>
        <v>0</v>
      </c>
      <c r="AC460" s="6">
        <f>$M$460*$W$460</f>
        <v>2982.4645500000006</v>
      </c>
      <c r="AD460" s="6">
        <f>$O$460*$X$460</f>
        <v>11519.381790000001</v>
      </c>
      <c r="AE460" s="6">
        <f>$K$460*$Y$460</f>
        <v>0</v>
      </c>
      <c r="AF460" s="6">
        <f ca="1">$M$460*$Z$460</f>
        <v>5048.9240524496981</v>
      </c>
      <c r="AG460" s="6">
        <f>$O$460*$AA$460</f>
        <v>12367.226413008397</v>
      </c>
    </row>
    <row r="461" spans="1:33" ht="11.25" customHeight="1" x14ac:dyDescent="0.3">
      <c r="A461" s="4" t="s">
        <v>28</v>
      </c>
      <c r="B461" s="4" t="s">
        <v>39</v>
      </c>
      <c r="C461" s="4" t="s">
        <v>41</v>
      </c>
      <c r="D461" s="4" t="s">
        <v>46</v>
      </c>
      <c r="E461" s="4" t="s">
        <v>25</v>
      </c>
      <c r="F461" s="4" t="s">
        <v>25</v>
      </c>
      <c r="G461" s="4" t="s">
        <v>25</v>
      </c>
      <c r="H461" s="4" t="s">
        <v>35</v>
      </c>
      <c r="I461" s="5">
        <v>44621</v>
      </c>
      <c r="J461" s="6">
        <v>0</v>
      </c>
      <c r="K461" s="6">
        <v>0</v>
      </c>
      <c r="L461" s="6">
        <v>4.3250000000000002</v>
      </c>
      <c r="M461" s="6">
        <v>4.3250000000000002</v>
      </c>
      <c r="N461" s="6">
        <v>4.3250000000000002</v>
      </c>
      <c r="O461" s="6">
        <v>4.3250000000000002</v>
      </c>
      <c r="P461" s="6">
        <v>0</v>
      </c>
      <c r="Q461" s="4" t="s">
        <v>26</v>
      </c>
      <c r="R461" s="4">
        <v>0</v>
      </c>
      <c r="S461" s="6">
        <v>0</v>
      </c>
      <c r="T461" s="6">
        <v>6</v>
      </c>
      <c r="U461" s="6">
        <v>61</v>
      </c>
      <c r="V461" s="6">
        <f>IF(ISERROR(VLOOKUP($S$461,'TAR FIN'!$A$1:$O$113,15,0)),0,VLOOKUP($S$461,'TAR FIN'!$A$1:$O$113,15,0))</f>
        <v>0</v>
      </c>
      <c r="W461" s="6">
        <f>IF(ISERROR(VLOOKUP($T$461,'TAR FIN'!$A$1:$O$113,15,0)),0,VLOOKUP($T$461,'TAR FIN'!$A$1:$O$113,15,0))</f>
        <v>72.150000000000006</v>
      </c>
      <c r="X461" s="6">
        <f>IF(ISERROR(VLOOKUP($U$461,'TAR FIN'!$A$1:$O$113,15,0)),0,VLOOKUP($U$461,'TAR FIN'!$A$1:$O$113,15,0))</f>
        <v>278.67</v>
      </c>
      <c r="Y461" s="6"/>
      <c r="Z461" s="6">
        <f ca="1">('TUSD BE'!$AM$21+'TUSD BF'!$AM$21+'TUSD CVA'!$AM$21)*1</f>
        <v>122.14055331663396</v>
      </c>
      <c r="AA461" s="6">
        <f>('TE BE'!$AB$10+'TE BF'!$AB$10+'TE CVA'!$AB$10)*1</f>
        <v>299.18055042718134</v>
      </c>
      <c r="AB461" s="6">
        <f>$K$461*$V$461</f>
        <v>0</v>
      </c>
      <c r="AC461" s="6">
        <f>$M$461*$W$461</f>
        <v>312.04875000000004</v>
      </c>
      <c r="AD461" s="6">
        <f>$O$461*$X$461</f>
        <v>1205.2477500000002</v>
      </c>
      <c r="AE461" s="6">
        <f>$K$461*$Y$461</f>
        <v>0</v>
      </c>
      <c r="AF461" s="6">
        <f ca="1">$M$461*$Z$461</f>
        <v>528.2578930944419</v>
      </c>
      <c r="AG461" s="6">
        <f>$O$461*$AA$461</f>
        <v>1293.9558805975594</v>
      </c>
    </row>
    <row r="462" spans="1:33" ht="11.25" customHeight="1" x14ac:dyDescent="0.3">
      <c r="A462" s="4" t="s">
        <v>21</v>
      </c>
      <c r="B462" s="4" t="s">
        <v>39</v>
      </c>
      <c r="C462" s="4" t="s">
        <v>41</v>
      </c>
      <c r="D462" s="4" t="s">
        <v>46</v>
      </c>
      <c r="E462" s="4" t="s">
        <v>25</v>
      </c>
      <c r="F462" s="4" t="s">
        <v>25</v>
      </c>
      <c r="G462" s="4" t="s">
        <v>25</v>
      </c>
      <c r="H462" s="4" t="s">
        <v>35</v>
      </c>
      <c r="I462" s="5">
        <v>44652</v>
      </c>
      <c r="J462" s="6">
        <v>0</v>
      </c>
      <c r="K462" s="6">
        <v>0</v>
      </c>
      <c r="L462" s="6">
        <v>50.235999999999997</v>
      </c>
      <c r="M462" s="6">
        <v>50.235999999999997</v>
      </c>
      <c r="N462" s="6">
        <v>50.235999999999997</v>
      </c>
      <c r="O462" s="6">
        <v>50.235999999999997</v>
      </c>
      <c r="P462" s="6">
        <v>0</v>
      </c>
      <c r="Q462" s="4" t="s">
        <v>26</v>
      </c>
      <c r="R462" s="4">
        <v>0</v>
      </c>
      <c r="S462" s="6">
        <v>0</v>
      </c>
      <c r="T462" s="6">
        <v>6</v>
      </c>
      <c r="U462" s="6">
        <v>61</v>
      </c>
      <c r="V462" s="6">
        <f>IF(ISERROR(VLOOKUP($S$462,'TAR FIN'!$A$1:$O$113,15,0)),0,VLOOKUP($S$462,'TAR FIN'!$A$1:$O$113,15,0))</f>
        <v>0</v>
      </c>
      <c r="W462" s="6">
        <f>IF(ISERROR(VLOOKUP($T$462,'TAR FIN'!$A$1:$O$113,15,0)),0,VLOOKUP($T$462,'TAR FIN'!$A$1:$O$113,15,0))</f>
        <v>72.150000000000006</v>
      </c>
      <c r="X462" s="6">
        <f>IF(ISERROR(VLOOKUP($U$462,'TAR FIN'!$A$1:$O$113,15,0)),0,VLOOKUP($U$462,'TAR FIN'!$A$1:$O$113,15,0))</f>
        <v>278.67</v>
      </c>
      <c r="Y462" s="6"/>
      <c r="Z462" s="6">
        <f ca="1">('TUSD BE'!$AM$21+'TUSD BF'!$AM$21+'TUSD CVA'!$AM$21)*1</f>
        <v>122.14055331663396</v>
      </c>
      <c r="AA462" s="6">
        <f>('TE BE'!$AB$10+'TE BF'!$AB$10+'TE CVA'!$AB$10)*1</f>
        <v>299.18055042718134</v>
      </c>
      <c r="AB462" s="6">
        <f>$K$462*$V$462</f>
        <v>0</v>
      </c>
      <c r="AC462" s="6">
        <f>$M$462*$W$462</f>
        <v>3624.5273999999999</v>
      </c>
      <c r="AD462" s="6">
        <f>$O$462*$X$462</f>
        <v>13999.26612</v>
      </c>
      <c r="AE462" s="6">
        <f>$K$462*$Y$462</f>
        <v>0</v>
      </c>
      <c r="AF462" s="6">
        <f ca="1">$M$462*$Z$462</f>
        <v>6135.8528364144231</v>
      </c>
      <c r="AG462" s="6">
        <f>$O$462*$AA$462</f>
        <v>15029.634131259882</v>
      </c>
    </row>
    <row r="463" spans="1:33" ht="11.25" customHeight="1" x14ac:dyDescent="0.3">
      <c r="A463" s="4" t="s">
        <v>28</v>
      </c>
      <c r="B463" s="4" t="s">
        <v>39</v>
      </c>
      <c r="C463" s="4" t="s">
        <v>41</v>
      </c>
      <c r="D463" s="4" t="s">
        <v>46</v>
      </c>
      <c r="E463" s="4" t="s">
        <v>25</v>
      </c>
      <c r="F463" s="4" t="s">
        <v>25</v>
      </c>
      <c r="G463" s="4" t="s">
        <v>25</v>
      </c>
      <c r="H463" s="4" t="s">
        <v>35</v>
      </c>
      <c r="I463" s="5">
        <v>44652</v>
      </c>
      <c r="J463" s="6">
        <v>0</v>
      </c>
      <c r="K463" s="6">
        <v>0</v>
      </c>
      <c r="L463" s="6">
        <v>6.0019999999999998</v>
      </c>
      <c r="M463" s="6">
        <v>6.0019999999999998</v>
      </c>
      <c r="N463" s="6">
        <v>6.0019999999999998</v>
      </c>
      <c r="O463" s="6">
        <v>6.0019999999999998</v>
      </c>
      <c r="P463" s="6">
        <v>0</v>
      </c>
      <c r="Q463" s="4" t="s">
        <v>26</v>
      </c>
      <c r="R463" s="4">
        <v>0</v>
      </c>
      <c r="S463" s="6">
        <v>0</v>
      </c>
      <c r="T463" s="6">
        <v>6</v>
      </c>
      <c r="U463" s="6">
        <v>61</v>
      </c>
      <c r="V463" s="6">
        <f>IF(ISERROR(VLOOKUP($S$463,'TAR FIN'!$A$1:$O$113,15,0)),0,VLOOKUP($S$463,'TAR FIN'!$A$1:$O$113,15,0))</f>
        <v>0</v>
      </c>
      <c r="W463" s="6">
        <f>IF(ISERROR(VLOOKUP($T$463,'TAR FIN'!$A$1:$O$113,15,0)),0,VLOOKUP($T$463,'TAR FIN'!$A$1:$O$113,15,0))</f>
        <v>72.150000000000006</v>
      </c>
      <c r="X463" s="6">
        <f>IF(ISERROR(VLOOKUP($U$463,'TAR FIN'!$A$1:$O$113,15,0)),0,VLOOKUP($U$463,'TAR FIN'!$A$1:$O$113,15,0))</f>
        <v>278.67</v>
      </c>
      <c r="Y463" s="6"/>
      <c r="Z463" s="6">
        <f ca="1">('TUSD BE'!$AM$21+'TUSD BF'!$AM$21+'TUSD CVA'!$AM$21)*1</f>
        <v>122.14055331663396</v>
      </c>
      <c r="AA463" s="6">
        <f>('TE BE'!$AB$10+'TE BF'!$AB$10+'TE CVA'!$AB$10)*1</f>
        <v>299.18055042718134</v>
      </c>
      <c r="AB463" s="6">
        <f>$K$463*$V$463</f>
        <v>0</v>
      </c>
      <c r="AC463" s="6">
        <f>$M$463*$W$463</f>
        <v>433.04430000000002</v>
      </c>
      <c r="AD463" s="6">
        <f>$O$463*$X$463</f>
        <v>1672.57734</v>
      </c>
      <c r="AE463" s="6">
        <f>$K$463*$Y$463</f>
        <v>0</v>
      </c>
      <c r="AF463" s="6">
        <f ca="1">$M$463*$Z$463</f>
        <v>733.08760100643701</v>
      </c>
      <c r="AG463" s="6">
        <f>$O$463*$AA$463</f>
        <v>1795.6816636639423</v>
      </c>
    </row>
    <row r="464" spans="1:33" ht="11.25" customHeight="1" x14ac:dyDescent="0.3">
      <c r="A464" s="4" t="s">
        <v>21</v>
      </c>
      <c r="B464" s="4" t="s">
        <v>39</v>
      </c>
      <c r="C464" s="4" t="s">
        <v>41</v>
      </c>
      <c r="D464" s="4" t="s">
        <v>46</v>
      </c>
      <c r="E464" s="4" t="s">
        <v>25</v>
      </c>
      <c r="F464" s="4" t="s">
        <v>25</v>
      </c>
      <c r="G464" s="4" t="s">
        <v>25</v>
      </c>
      <c r="H464" s="4" t="s">
        <v>35</v>
      </c>
      <c r="I464" s="5">
        <v>44682</v>
      </c>
      <c r="J464" s="6">
        <v>0</v>
      </c>
      <c r="K464" s="6">
        <v>0</v>
      </c>
      <c r="L464" s="6">
        <v>45.79</v>
      </c>
      <c r="M464" s="6">
        <v>45.79</v>
      </c>
      <c r="N464" s="6">
        <v>45.79</v>
      </c>
      <c r="O464" s="6">
        <v>45.79</v>
      </c>
      <c r="P464" s="6">
        <v>0</v>
      </c>
      <c r="Q464" s="4" t="s">
        <v>26</v>
      </c>
      <c r="R464" s="4">
        <v>0</v>
      </c>
      <c r="S464" s="6">
        <v>0</v>
      </c>
      <c r="T464" s="6">
        <v>6</v>
      </c>
      <c r="U464" s="6">
        <v>61</v>
      </c>
      <c r="V464" s="6">
        <f>IF(ISERROR(VLOOKUP($S$464,'TAR FIN'!$A$1:$O$113,15,0)),0,VLOOKUP($S$464,'TAR FIN'!$A$1:$O$113,15,0))</f>
        <v>0</v>
      </c>
      <c r="W464" s="6">
        <f>IF(ISERROR(VLOOKUP($T$464,'TAR FIN'!$A$1:$O$113,15,0)),0,VLOOKUP($T$464,'TAR FIN'!$A$1:$O$113,15,0))</f>
        <v>72.150000000000006</v>
      </c>
      <c r="X464" s="6">
        <f>IF(ISERROR(VLOOKUP($U$464,'TAR FIN'!$A$1:$O$113,15,0)),0,VLOOKUP($U$464,'TAR FIN'!$A$1:$O$113,15,0))</f>
        <v>278.67</v>
      </c>
      <c r="Y464" s="6"/>
      <c r="Z464" s="6">
        <f ca="1">('TUSD BE'!$AM$21+'TUSD BF'!$AM$21+'TUSD CVA'!$AM$21)*1</f>
        <v>122.14055331663396</v>
      </c>
      <c r="AA464" s="6">
        <f>('TE BE'!$AB$10+'TE BF'!$AB$10+'TE CVA'!$AB$10)*1</f>
        <v>299.18055042718134</v>
      </c>
      <c r="AB464" s="6">
        <f>$K$464*$V$464</f>
        <v>0</v>
      </c>
      <c r="AC464" s="6">
        <f>$M$464*$W$464</f>
        <v>3303.7485000000001</v>
      </c>
      <c r="AD464" s="6">
        <f>$O$464*$X$464</f>
        <v>12760.299300000001</v>
      </c>
      <c r="AE464" s="6">
        <f>$K$464*$Y$464</f>
        <v>0</v>
      </c>
      <c r="AF464" s="6">
        <f ca="1">$M$464*$Z$464</f>
        <v>5592.8159363686691</v>
      </c>
      <c r="AG464" s="6">
        <f>$O$464*$AA$464</f>
        <v>13699.477404060633</v>
      </c>
    </row>
    <row r="465" spans="1:33" ht="11.25" customHeight="1" x14ac:dyDescent="0.3">
      <c r="A465" s="4" t="s">
        <v>28</v>
      </c>
      <c r="B465" s="4" t="s">
        <v>39</v>
      </c>
      <c r="C465" s="4" t="s">
        <v>41</v>
      </c>
      <c r="D465" s="4" t="s">
        <v>46</v>
      </c>
      <c r="E465" s="4" t="s">
        <v>25</v>
      </c>
      <c r="F465" s="4" t="s">
        <v>25</v>
      </c>
      <c r="G465" s="4" t="s">
        <v>25</v>
      </c>
      <c r="H465" s="4" t="s">
        <v>35</v>
      </c>
      <c r="I465" s="5">
        <v>44682</v>
      </c>
      <c r="J465" s="6">
        <v>0</v>
      </c>
      <c r="K465" s="6">
        <v>0</v>
      </c>
      <c r="L465" s="6">
        <v>5.968</v>
      </c>
      <c r="M465" s="6">
        <v>5.968</v>
      </c>
      <c r="N465" s="6">
        <v>5.968</v>
      </c>
      <c r="O465" s="6">
        <v>5.968</v>
      </c>
      <c r="P465" s="6">
        <v>0</v>
      </c>
      <c r="Q465" s="4" t="s">
        <v>26</v>
      </c>
      <c r="R465" s="4">
        <v>0</v>
      </c>
      <c r="S465" s="6">
        <v>0</v>
      </c>
      <c r="T465" s="6">
        <v>6</v>
      </c>
      <c r="U465" s="6">
        <v>61</v>
      </c>
      <c r="V465" s="6">
        <f>IF(ISERROR(VLOOKUP($S$465,'TAR FIN'!$A$1:$O$113,15,0)),0,VLOOKUP($S$465,'TAR FIN'!$A$1:$O$113,15,0))</f>
        <v>0</v>
      </c>
      <c r="W465" s="6">
        <f>IF(ISERROR(VLOOKUP($T$465,'TAR FIN'!$A$1:$O$113,15,0)),0,VLOOKUP($T$465,'TAR FIN'!$A$1:$O$113,15,0))</f>
        <v>72.150000000000006</v>
      </c>
      <c r="X465" s="6">
        <f>IF(ISERROR(VLOOKUP($U$465,'TAR FIN'!$A$1:$O$113,15,0)),0,VLOOKUP($U$465,'TAR FIN'!$A$1:$O$113,15,0))</f>
        <v>278.67</v>
      </c>
      <c r="Y465" s="6"/>
      <c r="Z465" s="6">
        <f ca="1">('TUSD BE'!$AM$21+'TUSD BF'!$AM$21+'TUSD CVA'!$AM$21)*1</f>
        <v>122.14055331663396</v>
      </c>
      <c r="AA465" s="6">
        <f>('TE BE'!$AB$10+'TE BF'!$AB$10+'TE CVA'!$AB$10)*1</f>
        <v>299.18055042718134</v>
      </c>
      <c r="AB465" s="6">
        <f>$K$465*$V$465</f>
        <v>0</v>
      </c>
      <c r="AC465" s="6">
        <f>$M$465*$W$465</f>
        <v>430.59120000000001</v>
      </c>
      <c r="AD465" s="6">
        <f>$O$465*$X$465</f>
        <v>1663.10256</v>
      </c>
      <c r="AE465" s="6">
        <f>$K$465*$Y$465</f>
        <v>0</v>
      </c>
      <c r="AF465" s="6">
        <f ca="1">$M$465*$Z$465</f>
        <v>728.93482219367149</v>
      </c>
      <c r="AG465" s="6">
        <f>$O$465*$AA$465</f>
        <v>1785.5095249494182</v>
      </c>
    </row>
    <row r="466" spans="1:33" ht="11.25" customHeight="1" x14ac:dyDescent="0.3">
      <c r="A466" s="4" t="s">
        <v>21</v>
      </c>
      <c r="B466" s="4" t="s">
        <v>39</v>
      </c>
      <c r="C466" s="4" t="s">
        <v>41</v>
      </c>
      <c r="D466" s="4" t="s">
        <v>46</v>
      </c>
      <c r="E466" s="4" t="s">
        <v>25</v>
      </c>
      <c r="F466" s="4" t="s">
        <v>25</v>
      </c>
      <c r="G466" s="4" t="s">
        <v>25</v>
      </c>
      <c r="H466" s="4" t="s">
        <v>35</v>
      </c>
      <c r="I466" s="5">
        <v>44713</v>
      </c>
      <c r="J466" s="6">
        <v>0</v>
      </c>
      <c r="K466" s="6">
        <v>0</v>
      </c>
      <c r="L466" s="6">
        <v>47.131999999999998</v>
      </c>
      <c r="M466" s="6">
        <v>47.131999999999998</v>
      </c>
      <c r="N466" s="6">
        <v>47.131999999999998</v>
      </c>
      <c r="O466" s="6">
        <v>47.131999999999998</v>
      </c>
      <c r="P466" s="6">
        <v>0</v>
      </c>
      <c r="Q466" s="4" t="s">
        <v>26</v>
      </c>
      <c r="R466" s="4">
        <v>0</v>
      </c>
      <c r="S466" s="6">
        <v>0</v>
      </c>
      <c r="T466" s="6">
        <v>6</v>
      </c>
      <c r="U466" s="6">
        <v>61</v>
      </c>
      <c r="V466" s="6">
        <f>IF(ISERROR(VLOOKUP($S$466,'TAR FIN'!$A$1:$O$113,15,0)),0,VLOOKUP($S$466,'TAR FIN'!$A$1:$O$113,15,0))</f>
        <v>0</v>
      </c>
      <c r="W466" s="6">
        <f>IF(ISERROR(VLOOKUP($T$466,'TAR FIN'!$A$1:$O$113,15,0)),0,VLOOKUP($T$466,'TAR FIN'!$A$1:$O$113,15,0))</f>
        <v>72.150000000000006</v>
      </c>
      <c r="X466" s="6">
        <f>IF(ISERROR(VLOOKUP($U$466,'TAR FIN'!$A$1:$O$113,15,0)),0,VLOOKUP($U$466,'TAR FIN'!$A$1:$O$113,15,0))</f>
        <v>278.67</v>
      </c>
      <c r="Y466" s="6"/>
      <c r="Z466" s="6">
        <f ca="1">('TUSD BE'!$AM$21+'TUSD BF'!$AM$21+'TUSD CVA'!$AM$21)*1</f>
        <v>122.14055331663396</v>
      </c>
      <c r="AA466" s="6">
        <f>('TE BE'!$AB$10+'TE BF'!$AB$10+'TE CVA'!$AB$10)*1</f>
        <v>299.18055042718134</v>
      </c>
      <c r="AB466" s="6">
        <f>$K$466*$V$466</f>
        <v>0</v>
      </c>
      <c r="AC466" s="6">
        <f>$M$466*$W$466</f>
        <v>3400.5738000000001</v>
      </c>
      <c r="AD466" s="6">
        <f>$O$466*$X$466</f>
        <v>13134.274440000001</v>
      </c>
      <c r="AE466" s="6">
        <f>$K$466*$Y$466</f>
        <v>0</v>
      </c>
      <c r="AF466" s="6">
        <f ca="1">$M$466*$Z$466</f>
        <v>5756.7285589195917</v>
      </c>
      <c r="AG466" s="6">
        <f>$O$466*$AA$466</f>
        <v>14100.97770273391</v>
      </c>
    </row>
    <row r="467" spans="1:33" ht="11.25" customHeight="1" x14ac:dyDescent="0.3">
      <c r="A467" s="4" t="s">
        <v>28</v>
      </c>
      <c r="B467" s="4" t="s">
        <v>39</v>
      </c>
      <c r="C467" s="4" t="s">
        <v>41</v>
      </c>
      <c r="D467" s="4" t="s">
        <v>46</v>
      </c>
      <c r="E467" s="4" t="s">
        <v>25</v>
      </c>
      <c r="F467" s="4" t="s">
        <v>25</v>
      </c>
      <c r="G467" s="4" t="s">
        <v>25</v>
      </c>
      <c r="H467" s="4" t="s">
        <v>35</v>
      </c>
      <c r="I467" s="5">
        <v>44713</v>
      </c>
      <c r="J467" s="6">
        <v>0</v>
      </c>
      <c r="K467" s="6">
        <v>0</v>
      </c>
      <c r="L467" s="6">
        <v>7.9249999999999998</v>
      </c>
      <c r="M467" s="6">
        <v>7.9249999999999998</v>
      </c>
      <c r="N467" s="6">
        <v>7.9249999999999998</v>
      </c>
      <c r="O467" s="6">
        <v>7.9249999999999998</v>
      </c>
      <c r="P467" s="6">
        <v>0</v>
      </c>
      <c r="Q467" s="4" t="s">
        <v>26</v>
      </c>
      <c r="R467" s="4">
        <v>0</v>
      </c>
      <c r="S467" s="6">
        <v>0</v>
      </c>
      <c r="T467" s="6">
        <v>6</v>
      </c>
      <c r="U467" s="6">
        <v>61</v>
      </c>
      <c r="V467" s="6">
        <f>IF(ISERROR(VLOOKUP($S$467,'TAR FIN'!$A$1:$O$113,15,0)),0,VLOOKUP($S$467,'TAR FIN'!$A$1:$O$113,15,0))</f>
        <v>0</v>
      </c>
      <c r="W467" s="6">
        <f>IF(ISERROR(VLOOKUP($T$467,'TAR FIN'!$A$1:$O$113,15,0)),0,VLOOKUP($T$467,'TAR FIN'!$A$1:$O$113,15,0))</f>
        <v>72.150000000000006</v>
      </c>
      <c r="X467" s="6">
        <f>IF(ISERROR(VLOOKUP($U$467,'TAR FIN'!$A$1:$O$113,15,0)),0,VLOOKUP($U$467,'TAR FIN'!$A$1:$O$113,15,0))</f>
        <v>278.67</v>
      </c>
      <c r="Y467" s="6"/>
      <c r="Z467" s="6">
        <f ca="1">('TUSD BE'!$AM$21+'TUSD BF'!$AM$21+'TUSD CVA'!$AM$21)*1</f>
        <v>122.14055331663396</v>
      </c>
      <c r="AA467" s="6">
        <f>('TE BE'!$AB$10+'TE BF'!$AB$10+'TE CVA'!$AB$10)*1</f>
        <v>299.18055042718134</v>
      </c>
      <c r="AB467" s="6">
        <f>$K$467*$V$467</f>
        <v>0</v>
      </c>
      <c r="AC467" s="6">
        <f>$M$467*$W$467</f>
        <v>571.78875000000005</v>
      </c>
      <c r="AD467" s="6">
        <f>$O$467*$X$467</f>
        <v>2208.45975</v>
      </c>
      <c r="AE467" s="6">
        <f>$K$467*$Y$467</f>
        <v>0</v>
      </c>
      <c r="AF467" s="6">
        <f ca="1">$M$467*$Z$467</f>
        <v>967.96388503432411</v>
      </c>
      <c r="AG467" s="6">
        <f>$O$467*$AA$467</f>
        <v>2371.0058621354119</v>
      </c>
    </row>
    <row r="468" spans="1:33" ht="11.25" customHeight="1" x14ac:dyDescent="0.3">
      <c r="A468" s="4" t="s">
        <v>21</v>
      </c>
      <c r="B468" s="4" t="s">
        <v>39</v>
      </c>
      <c r="C468" s="4" t="s">
        <v>41</v>
      </c>
      <c r="D468" s="4" t="s">
        <v>46</v>
      </c>
      <c r="E468" s="4" t="s">
        <v>25</v>
      </c>
      <c r="F468" s="4" t="s">
        <v>25</v>
      </c>
      <c r="G468" s="4" t="s">
        <v>25</v>
      </c>
      <c r="H468" s="4" t="s">
        <v>35</v>
      </c>
      <c r="I468" s="5">
        <v>44743</v>
      </c>
      <c r="J468" s="6">
        <v>0</v>
      </c>
      <c r="K468" s="6">
        <v>0</v>
      </c>
      <c r="L468" s="6">
        <v>46.232999999999997</v>
      </c>
      <c r="M468" s="6">
        <v>46.232999999999997</v>
      </c>
      <c r="N468" s="6">
        <v>46.232999999999997</v>
      </c>
      <c r="O468" s="6">
        <v>46.232999999999997</v>
      </c>
      <c r="P468" s="6">
        <v>0</v>
      </c>
      <c r="Q468" s="4" t="s">
        <v>26</v>
      </c>
      <c r="R468" s="4">
        <v>0</v>
      </c>
      <c r="S468" s="6">
        <v>0</v>
      </c>
      <c r="T468" s="6">
        <v>6</v>
      </c>
      <c r="U468" s="6">
        <v>61</v>
      </c>
      <c r="V468" s="6">
        <f>IF(ISERROR(VLOOKUP($S$468,'TAR FIN'!$A$1:$O$113,15,0)),0,VLOOKUP($S$468,'TAR FIN'!$A$1:$O$113,15,0))</f>
        <v>0</v>
      </c>
      <c r="W468" s="6">
        <f>IF(ISERROR(VLOOKUP($T$468,'TAR FIN'!$A$1:$O$113,15,0)),0,VLOOKUP($T$468,'TAR FIN'!$A$1:$O$113,15,0))</f>
        <v>72.150000000000006</v>
      </c>
      <c r="X468" s="6">
        <f>IF(ISERROR(VLOOKUP($U$468,'TAR FIN'!$A$1:$O$113,15,0)),0,VLOOKUP($U$468,'TAR FIN'!$A$1:$O$113,15,0))</f>
        <v>278.67</v>
      </c>
      <c r="Y468" s="6"/>
      <c r="Z468" s="6">
        <f ca="1">('TUSD BE'!$AM$21+'TUSD BF'!$AM$21+'TUSD CVA'!$AM$21)*1</f>
        <v>122.14055331663396</v>
      </c>
      <c r="AA468" s="6">
        <f>('TE BE'!$AB$10+'TE BF'!$AB$10+'TE CVA'!$AB$10)*1</f>
        <v>299.18055042718134</v>
      </c>
      <c r="AB468" s="6">
        <f>$K$468*$V$468</f>
        <v>0</v>
      </c>
      <c r="AC468" s="6">
        <f>$M$468*$W$468</f>
        <v>3335.7109500000001</v>
      </c>
      <c r="AD468" s="6">
        <f>$O$468*$X$468</f>
        <v>12883.750109999999</v>
      </c>
      <c r="AE468" s="6">
        <f>$K$468*$Y$468</f>
        <v>0</v>
      </c>
      <c r="AF468" s="6">
        <f ca="1">$M$468*$Z$468</f>
        <v>5646.9242014879374</v>
      </c>
      <c r="AG468" s="6">
        <f>$O$468*$AA$468</f>
        <v>13832.014387899873</v>
      </c>
    </row>
    <row r="469" spans="1:33" ht="11.25" customHeight="1" x14ac:dyDescent="0.3">
      <c r="A469" s="4" t="s">
        <v>21</v>
      </c>
      <c r="B469" s="4" t="s">
        <v>39</v>
      </c>
      <c r="C469" s="4" t="s">
        <v>41</v>
      </c>
      <c r="D469" s="4" t="s">
        <v>46</v>
      </c>
      <c r="E469" s="4" t="s">
        <v>25</v>
      </c>
      <c r="F469" s="4" t="s">
        <v>25</v>
      </c>
      <c r="G469" s="4" t="s">
        <v>25</v>
      </c>
      <c r="H469" s="4" t="s">
        <v>35</v>
      </c>
      <c r="I469" s="5">
        <v>44774</v>
      </c>
      <c r="J469" s="6">
        <v>0</v>
      </c>
      <c r="K469" s="6">
        <v>0</v>
      </c>
      <c r="L469" s="6">
        <v>46.384</v>
      </c>
      <c r="M469" s="6">
        <v>46.384</v>
      </c>
      <c r="N469" s="6">
        <v>46.384</v>
      </c>
      <c r="O469" s="6">
        <v>46.384</v>
      </c>
      <c r="P469" s="6">
        <v>0</v>
      </c>
      <c r="Q469" s="4" t="s">
        <v>26</v>
      </c>
      <c r="R469" s="4">
        <v>0</v>
      </c>
      <c r="S469" s="6">
        <v>0</v>
      </c>
      <c r="T469" s="6">
        <v>6</v>
      </c>
      <c r="U469" s="6">
        <v>61</v>
      </c>
      <c r="V469" s="6">
        <f>IF(ISERROR(VLOOKUP($S$469,'TAR FIN'!$A$1:$O$113,15,0)),0,VLOOKUP($S$469,'TAR FIN'!$A$1:$O$113,15,0))</f>
        <v>0</v>
      </c>
      <c r="W469" s="6">
        <f>IF(ISERROR(VLOOKUP($T$469,'TAR FIN'!$A$1:$O$113,15,0)),0,VLOOKUP($T$469,'TAR FIN'!$A$1:$O$113,15,0))</f>
        <v>72.150000000000006</v>
      </c>
      <c r="X469" s="6">
        <f>IF(ISERROR(VLOOKUP($U$469,'TAR FIN'!$A$1:$O$113,15,0)),0,VLOOKUP($U$469,'TAR FIN'!$A$1:$O$113,15,0))</f>
        <v>278.67</v>
      </c>
      <c r="Y469" s="6"/>
      <c r="Z469" s="6">
        <f ca="1">('TUSD BE'!$AM$21+'TUSD BF'!$AM$21+'TUSD CVA'!$AM$21)*1</f>
        <v>122.14055331663396</v>
      </c>
      <c r="AA469" s="6">
        <f>('TE BE'!$AB$10+'TE BF'!$AB$10+'TE CVA'!$AB$10)*1</f>
        <v>299.18055042718134</v>
      </c>
      <c r="AB469" s="6">
        <f>$K$469*$V$469</f>
        <v>0</v>
      </c>
      <c r="AC469" s="6">
        <f>$M$469*$W$469</f>
        <v>3346.6056000000003</v>
      </c>
      <c r="AD469" s="6">
        <f>$O$469*$X$469</f>
        <v>12925.82928</v>
      </c>
      <c r="AE469" s="6">
        <f>$K$469*$Y$469</f>
        <v>0</v>
      </c>
      <c r="AF469" s="6">
        <f ca="1">$M$469*$Z$469</f>
        <v>5665.3674250387494</v>
      </c>
      <c r="AG469" s="6">
        <f>$O$469*$AA$469</f>
        <v>13877.19065101438</v>
      </c>
    </row>
    <row r="470" spans="1:33" ht="11.25" customHeight="1" x14ac:dyDescent="0.3">
      <c r="A470" s="4" t="s">
        <v>28</v>
      </c>
      <c r="B470" s="4" t="s">
        <v>39</v>
      </c>
      <c r="C470" s="4" t="s">
        <v>41</v>
      </c>
      <c r="D470" s="4" t="s">
        <v>46</v>
      </c>
      <c r="E470" s="4" t="s">
        <v>25</v>
      </c>
      <c r="F470" s="4" t="s">
        <v>25</v>
      </c>
      <c r="G470" s="4" t="s">
        <v>25</v>
      </c>
      <c r="H470" s="4" t="s">
        <v>35</v>
      </c>
      <c r="I470" s="5">
        <v>44774</v>
      </c>
      <c r="J470" s="6">
        <v>0</v>
      </c>
      <c r="K470" s="6">
        <v>0</v>
      </c>
      <c r="L470" s="6">
        <v>12.36</v>
      </c>
      <c r="M470" s="6">
        <v>12.36</v>
      </c>
      <c r="N470" s="6">
        <v>12.36</v>
      </c>
      <c r="O470" s="6">
        <v>12.36</v>
      </c>
      <c r="P470" s="6">
        <v>0</v>
      </c>
      <c r="Q470" s="4" t="s">
        <v>26</v>
      </c>
      <c r="R470" s="4">
        <v>0</v>
      </c>
      <c r="S470" s="6">
        <v>0</v>
      </c>
      <c r="T470" s="6">
        <v>6</v>
      </c>
      <c r="U470" s="6">
        <v>61</v>
      </c>
      <c r="V470" s="6">
        <f>IF(ISERROR(VLOOKUP($S$470,'TAR FIN'!$A$1:$O$113,15,0)),0,VLOOKUP($S$470,'TAR FIN'!$A$1:$O$113,15,0))</f>
        <v>0</v>
      </c>
      <c r="W470" s="6">
        <f>IF(ISERROR(VLOOKUP($T$470,'TAR FIN'!$A$1:$O$113,15,0)),0,VLOOKUP($T$470,'TAR FIN'!$A$1:$O$113,15,0))</f>
        <v>72.150000000000006</v>
      </c>
      <c r="X470" s="6">
        <f>IF(ISERROR(VLOOKUP($U$470,'TAR FIN'!$A$1:$O$113,15,0)),0,VLOOKUP($U$470,'TAR FIN'!$A$1:$O$113,15,0))</f>
        <v>278.67</v>
      </c>
      <c r="Y470" s="6"/>
      <c r="Z470" s="6">
        <f ca="1">('TUSD BE'!$AM$21+'TUSD BF'!$AM$21+'TUSD CVA'!$AM$21)*1</f>
        <v>122.14055331663396</v>
      </c>
      <c r="AA470" s="6">
        <f>('TE BE'!$AB$10+'TE BF'!$AB$10+'TE CVA'!$AB$10)*1</f>
        <v>299.18055042718134</v>
      </c>
      <c r="AB470" s="6">
        <f>$K$470*$V$470</f>
        <v>0</v>
      </c>
      <c r="AC470" s="6">
        <f>$M$470*$W$470</f>
        <v>891.774</v>
      </c>
      <c r="AD470" s="6">
        <f>$O$470*$X$470</f>
        <v>3444.3611999999998</v>
      </c>
      <c r="AE470" s="6">
        <f>$K$470*$Y$470</f>
        <v>0</v>
      </c>
      <c r="AF470" s="6">
        <f ca="1">$M$470*$Z$470</f>
        <v>1509.6572389935957</v>
      </c>
      <c r="AG470" s="6">
        <f>$O$470*$AA$470</f>
        <v>3697.8716032799612</v>
      </c>
    </row>
    <row r="471" spans="1:33" ht="11.25" customHeight="1" x14ac:dyDescent="0.3">
      <c r="A471" s="4" t="s">
        <v>21</v>
      </c>
      <c r="B471" s="4" t="s">
        <v>39</v>
      </c>
      <c r="C471" s="4" t="s">
        <v>41</v>
      </c>
      <c r="D471" s="4" t="s">
        <v>46</v>
      </c>
      <c r="E471" s="4" t="s">
        <v>25</v>
      </c>
      <c r="F471" s="4" t="s">
        <v>25</v>
      </c>
      <c r="G471" s="4" t="s">
        <v>25</v>
      </c>
      <c r="H471" s="4" t="s">
        <v>35</v>
      </c>
      <c r="I471" s="5">
        <v>44805</v>
      </c>
      <c r="J471" s="6">
        <v>0</v>
      </c>
      <c r="K471" s="6">
        <v>0</v>
      </c>
      <c r="L471" s="6">
        <v>47.414000000000001</v>
      </c>
      <c r="M471" s="6">
        <v>47.414000000000001</v>
      </c>
      <c r="N471" s="6">
        <v>47.414000000000001</v>
      </c>
      <c r="O471" s="6">
        <v>47.414000000000001</v>
      </c>
      <c r="P471" s="6">
        <v>0</v>
      </c>
      <c r="Q471" s="4" t="s">
        <v>26</v>
      </c>
      <c r="R471" s="4">
        <v>0</v>
      </c>
      <c r="S471" s="6">
        <v>0</v>
      </c>
      <c r="T471" s="6">
        <v>6</v>
      </c>
      <c r="U471" s="6">
        <v>61</v>
      </c>
      <c r="V471" s="6">
        <f>IF(ISERROR(VLOOKUP($S$471,'TAR FIN'!$A$1:$O$113,15,0)),0,VLOOKUP($S$471,'TAR FIN'!$A$1:$O$113,15,0))</f>
        <v>0</v>
      </c>
      <c r="W471" s="6">
        <f>IF(ISERROR(VLOOKUP($T$471,'TAR FIN'!$A$1:$O$113,15,0)),0,VLOOKUP($T$471,'TAR FIN'!$A$1:$O$113,15,0))</f>
        <v>72.150000000000006</v>
      </c>
      <c r="X471" s="6">
        <f>IF(ISERROR(VLOOKUP($U$471,'TAR FIN'!$A$1:$O$113,15,0)),0,VLOOKUP($U$471,'TAR FIN'!$A$1:$O$113,15,0))</f>
        <v>278.67</v>
      </c>
      <c r="Y471" s="6"/>
      <c r="Z471" s="6">
        <f ca="1">('TUSD BE'!$AM$21+'TUSD BF'!$AM$21+'TUSD CVA'!$AM$21)*1</f>
        <v>122.14055331663396</v>
      </c>
      <c r="AA471" s="6">
        <f>('TE BE'!$AB$10+'TE BF'!$AB$10+'TE CVA'!$AB$10)*1</f>
        <v>299.18055042718134</v>
      </c>
      <c r="AB471" s="6">
        <f>$K$471*$V$471</f>
        <v>0</v>
      </c>
      <c r="AC471" s="6">
        <f>$M$471*$W$471</f>
        <v>3420.9201000000003</v>
      </c>
      <c r="AD471" s="6">
        <f>$O$471*$X$471</f>
        <v>13212.859380000002</v>
      </c>
      <c r="AE471" s="6">
        <f>$K$471*$Y$471</f>
        <v>0</v>
      </c>
      <c r="AF471" s="6">
        <f ca="1">$M$471*$Z$471</f>
        <v>5791.1721949548828</v>
      </c>
      <c r="AG471" s="6">
        <f>$O$471*$AA$471</f>
        <v>14185.346617954378</v>
      </c>
    </row>
    <row r="472" spans="1:33" ht="11.25" customHeight="1" x14ac:dyDescent="0.3">
      <c r="A472" s="4" t="s">
        <v>28</v>
      </c>
      <c r="B472" s="4" t="s">
        <v>39</v>
      </c>
      <c r="C472" s="4" t="s">
        <v>41</v>
      </c>
      <c r="D472" s="4" t="s">
        <v>46</v>
      </c>
      <c r="E472" s="4" t="s">
        <v>25</v>
      </c>
      <c r="F472" s="4" t="s">
        <v>25</v>
      </c>
      <c r="G472" s="4" t="s">
        <v>25</v>
      </c>
      <c r="H472" s="4" t="s">
        <v>35</v>
      </c>
      <c r="I472" s="5">
        <v>44805</v>
      </c>
      <c r="J472" s="6">
        <v>0</v>
      </c>
      <c r="K472" s="6">
        <v>0</v>
      </c>
      <c r="L472" s="6">
        <v>13.048999999999999</v>
      </c>
      <c r="M472" s="6">
        <v>13.048999999999999</v>
      </c>
      <c r="N472" s="6">
        <v>13.048999999999999</v>
      </c>
      <c r="O472" s="6">
        <v>13.048999999999999</v>
      </c>
      <c r="P472" s="6">
        <v>0</v>
      </c>
      <c r="Q472" s="4" t="s">
        <v>26</v>
      </c>
      <c r="R472" s="4">
        <v>0</v>
      </c>
      <c r="S472" s="6">
        <v>0</v>
      </c>
      <c r="T472" s="6">
        <v>6</v>
      </c>
      <c r="U472" s="6">
        <v>61</v>
      </c>
      <c r="V472" s="6">
        <f>IF(ISERROR(VLOOKUP($S$472,'TAR FIN'!$A$1:$O$113,15,0)),0,VLOOKUP($S$472,'TAR FIN'!$A$1:$O$113,15,0))</f>
        <v>0</v>
      </c>
      <c r="W472" s="6">
        <f>IF(ISERROR(VLOOKUP($T$472,'TAR FIN'!$A$1:$O$113,15,0)),0,VLOOKUP($T$472,'TAR FIN'!$A$1:$O$113,15,0))</f>
        <v>72.150000000000006</v>
      </c>
      <c r="X472" s="6">
        <f>IF(ISERROR(VLOOKUP($U$472,'TAR FIN'!$A$1:$O$113,15,0)),0,VLOOKUP($U$472,'TAR FIN'!$A$1:$O$113,15,0))</f>
        <v>278.67</v>
      </c>
      <c r="Y472" s="6"/>
      <c r="Z472" s="6">
        <f ca="1">('TUSD BE'!$AM$21+'TUSD BF'!$AM$21+'TUSD CVA'!$AM$21)*1</f>
        <v>122.14055331663396</v>
      </c>
      <c r="AA472" s="6">
        <f>('TE BE'!$AB$10+'TE BF'!$AB$10+'TE CVA'!$AB$10)*1</f>
        <v>299.18055042718134</v>
      </c>
      <c r="AB472" s="6">
        <f>$K$472*$V$472</f>
        <v>0</v>
      </c>
      <c r="AC472" s="6">
        <f>$M$472*$W$472</f>
        <v>941.48535000000004</v>
      </c>
      <c r="AD472" s="6">
        <f>$O$472*$X$472</f>
        <v>3636.36483</v>
      </c>
      <c r="AE472" s="6">
        <f>$K$472*$Y$472</f>
        <v>0</v>
      </c>
      <c r="AF472" s="6">
        <f ca="1">$M$472*$Z$472</f>
        <v>1593.8120802287565</v>
      </c>
      <c r="AG472" s="6">
        <f>$O$472*$AA$472</f>
        <v>3904.0070025242894</v>
      </c>
    </row>
    <row r="473" spans="1:33" ht="11.25" customHeight="1" x14ac:dyDescent="0.3">
      <c r="A473" s="4" t="s">
        <v>53</v>
      </c>
      <c r="B473" s="4" t="s">
        <v>39</v>
      </c>
      <c r="C473" s="4" t="s">
        <v>41</v>
      </c>
      <c r="D473" s="4" t="s">
        <v>46</v>
      </c>
      <c r="E473" s="4" t="s">
        <v>25</v>
      </c>
      <c r="F473" s="4" t="s">
        <v>25</v>
      </c>
      <c r="G473" s="4" t="s">
        <v>25</v>
      </c>
      <c r="H473" s="4" t="s">
        <v>35</v>
      </c>
      <c r="I473" s="5">
        <v>44835</v>
      </c>
      <c r="J473" s="6">
        <v>0</v>
      </c>
      <c r="K473" s="6">
        <v>0</v>
      </c>
      <c r="L473" s="6">
        <v>47.414000000000001</v>
      </c>
      <c r="M473" s="6">
        <v>47.414000000000001</v>
      </c>
      <c r="N473" s="6">
        <v>47.414000000000001</v>
      </c>
      <c r="O473" s="6">
        <v>47.414000000000001</v>
      </c>
      <c r="P473" s="6">
        <v>0</v>
      </c>
      <c r="Q473" s="4" t="s">
        <v>26</v>
      </c>
      <c r="R473" s="4">
        <v>0</v>
      </c>
      <c r="S473" s="6">
        <v>0</v>
      </c>
      <c r="T473" s="6">
        <v>6</v>
      </c>
      <c r="U473" s="6">
        <v>61</v>
      </c>
      <c r="V473" s="6">
        <f>IF(ISERROR(VLOOKUP($S$473,'TAR FIN'!$A$1:$O$113,15,0)),0,VLOOKUP($S$473,'TAR FIN'!$A$1:$O$113,15,0))</f>
        <v>0</v>
      </c>
      <c r="W473" s="6">
        <f>IF(ISERROR(VLOOKUP($T$473,'TAR FIN'!$A$1:$O$113,15,0)),0,VLOOKUP($T$473,'TAR FIN'!$A$1:$O$113,15,0))</f>
        <v>72.150000000000006</v>
      </c>
      <c r="X473" s="6">
        <f>IF(ISERROR(VLOOKUP($U$473,'TAR FIN'!$A$1:$O$113,15,0)),0,VLOOKUP($U$473,'TAR FIN'!$A$1:$O$113,15,0))</f>
        <v>278.67</v>
      </c>
      <c r="Y473" s="6"/>
      <c r="Z473" s="6">
        <f ca="1">('TUSD BE'!$AM$21+'TUSD BF'!$AM$21+'TUSD CVA'!$AM$21)*1</f>
        <v>122.14055331663396</v>
      </c>
      <c r="AA473" s="6">
        <f>('TE BE'!$AB$10+'TE BF'!$AB$10+'TE CVA'!$AB$10)*1</f>
        <v>299.18055042718134</v>
      </c>
      <c r="AB473" s="6">
        <f>$K$473*$V$473</f>
        <v>0</v>
      </c>
      <c r="AC473" s="6">
        <f>$M$473*$W$473</f>
        <v>3420.9201000000003</v>
      </c>
      <c r="AD473" s="6">
        <f>$O$473*$X$473</f>
        <v>13212.859380000002</v>
      </c>
      <c r="AE473" s="6">
        <f>$K$473*$Y$473</f>
        <v>0</v>
      </c>
      <c r="AF473" s="6">
        <f ca="1">$M$473*$Z$473</f>
        <v>5791.1721949548828</v>
      </c>
      <c r="AG473" s="6">
        <f>$O$473*$AA$473</f>
        <v>14185.346617954378</v>
      </c>
    </row>
    <row r="474" spans="1:33" ht="11.25" customHeight="1" x14ac:dyDescent="0.3">
      <c r="A474" s="4" t="s">
        <v>53</v>
      </c>
      <c r="B474" s="4" t="s">
        <v>39</v>
      </c>
      <c r="C474" s="4" t="s">
        <v>41</v>
      </c>
      <c r="D474" s="4" t="s">
        <v>46</v>
      </c>
      <c r="E474" s="4" t="s">
        <v>25</v>
      </c>
      <c r="F474" s="4" t="s">
        <v>25</v>
      </c>
      <c r="G474" s="4" t="s">
        <v>25</v>
      </c>
      <c r="H474" s="4" t="s">
        <v>35</v>
      </c>
      <c r="I474" s="5">
        <v>44835</v>
      </c>
      <c r="J474" s="6">
        <v>0</v>
      </c>
      <c r="K474" s="6">
        <v>0</v>
      </c>
      <c r="L474" s="6">
        <v>13.048999999999999</v>
      </c>
      <c r="M474" s="6">
        <v>13.048999999999999</v>
      </c>
      <c r="N474" s="6">
        <v>13.048999999999999</v>
      </c>
      <c r="O474" s="6">
        <v>13.048999999999999</v>
      </c>
      <c r="P474" s="6">
        <v>0</v>
      </c>
      <c r="Q474" s="4" t="s">
        <v>26</v>
      </c>
      <c r="R474" s="4">
        <v>0</v>
      </c>
      <c r="S474" s="6">
        <v>0</v>
      </c>
      <c r="T474" s="6">
        <v>6</v>
      </c>
      <c r="U474" s="6">
        <v>61</v>
      </c>
      <c r="V474" s="6">
        <f>IF(ISERROR(VLOOKUP($S$474,'TAR FIN'!$A$1:$O$113,15,0)),0,VLOOKUP($S$474,'TAR FIN'!$A$1:$O$113,15,0))</f>
        <v>0</v>
      </c>
      <c r="W474" s="6">
        <f>IF(ISERROR(VLOOKUP($T$474,'TAR FIN'!$A$1:$O$113,15,0)),0,VLOOKUP($T$474,'TAR FIN'!$A$1:$O$113,15,0))</f>
        <v>72.150000000000006</v>
      </c>
      <c r="X474" s="6">
        <f>IF(ISERROR(VLOOKUP($U$474,'TAR FIN'!$A$1:$O$113,15,0)),0,VLOOKUP($U$474,'TAR FIN'!$A$1:$O$113,15,0))</f>
        <v>278.67</v>
      </c>
      <c r="Y474" s="6"/>
      <c r="Z474" s="6">
        <f ca="1">('TUSD BE'!$AM$21+'TUSD BF'!$AM$21+'TUSD CVA'!$AM$21)*1</f>
        <v>122.14055331663396</v>
      </c>
      <c r="AA474" s="6">
        <f>('TE BE'!$AB$10+'TE BF'!$AB$10+'TE CVA'!$AB$10)*1</f>
        <v>299.18055042718134</v>
      </c>
      <c r="AB474" s="6">
        <f>$K$474*$V$474</f>
        <v>0</v>
      </c>
      <c r="AC474" s="6">
        <f>$M$474*$W$474</f>
        <v>941.48535000000004</v>
      </c>
      <c r="AD474" s="6">
        <f>$O$474*$X$474</f>
        <v>3636.36483</v>
      </c>
      <c r="AE474" s="6">
        <f>$K$474*$Y$474</f>
        <v>0</v>
      </c>
      <c r="AF474" s="6">
        <f ca="1">$M$474*$Z$474</f>
        <v>1593.8120802287565</v>
      </c>
      <c r="AG474" s="6">
        <f>$O$474*$AA$474</f>
        <v>3904.0070025242894</v>
      </c>
    </row>
    <row r="475" spans="1:33" ht="11.25" customHeight="1" x14ac:dyDescent="0.3">
      <c r="A475" s="4" t="s">
        <v>21</v>
      </c>
      <c r="B475" s="4" t="s">
        <v>39</v>
      </c>
      <c r="C475" s="4" t="s">
        <v>41</v>
      </c>
      <c r="D475" s="4" t="s">
        <v>46</v>
      </c>
      <c r="E475" s="4" t="s">
        <v>25</v>
      </c>
      <c r="F475" s="4" t="s">
        <v>25</v>
      </c>
      <c r="G475" s="4" t="s">
        <v>25</v>
      </c>
      <c r="H475" s="4" t="s">
        <v>25</v>
      </c>
      <c r="I475" s="5">
        <v>44501</v>
      </c>
      <c r="J475" s="6">
        <v>559</v>
      </c>
      <c r="K475" s="6">
        <v>559</v>
      </c>
      <c r="L475" s="6">
        <v>0</v>
      </c>
      <c r="M475" s="6">
        <v>0</v>
      </c>
      <c r="N475" s="6">
        <v>0</v>
      </c>
      <c r="O475" s="6">
        <v>0</v>
      </c>
      <c r="P475" s="6">
        <v>12</v>
      </c>
      <c r="Q475" s="4" t="s">
        <v>26</v>
      </c>
      <c r="R475" s="4">
        <v>0</v>
      </c>
      <c r="S475" s="6">
        <v>20</v>
      </c>
      <c r="T475" s="6">
        <v>0</v>
      </c>
      <c r="U475" s="6">
        <v>0</v>
      </c>
      <c r="V475" s="6">
        <f>IF(ISERROR(VLOOKUP($S$475,'TAR FIN'!$A$1:$O$113,15,0)),0,VLOOKUP($S$475,'TAR FIN'!$A$1:$O$113,15,0))</f>
        <v>14</v>
      </c>
      <c r="W475" s="6">
        <f>IF(ISERROR(VLOOKUP($T$475,'TAR FIN'!$A$1:$O$113,15,0)),0,VLOOKUP($T$475,'TAR FIN'!$A$1:$O$113,15,0))</f>
        <v>0</v>
      </c>
      <c r="X475" s="6">
        <f>IF(ISERROR(VLOOKUP($U$475,'TAR FIN'!$A$1:$O$113,15,0)),0,VLOOKUP($U$475,'TAR FIN'!$A$1:$O$113,15,0))</f>
        <v>0</v>
      </c>
      <c r="Y475" s="6">
        <f ca="1">('TUSD BE'!$AM$19+'TUSD BF'!$AM$19+'TUSD CVA'!$AM$19)*1</f>
        <v>16.035953923331604</v>
      </c>
      <c r="Z475" s="6"/>
      <c r="AA475" s="6"/>
      <c r="AB475" s="6">
        <f>$K$475*$V$475</f>
        <v>7826</v>
      </c>
      <c r="AC475" s="6">
        <f>$M$475*$W$475</f>
        <v>0</v>
      </c>
      <c r="AD475" s="6">
        <f>$O$475*$X$475</f>
        <v>0</v>
      </c>
      <c r="AE475" s="6">
        <f ca="1">$K$475*$Y$475</f>
        <v>8964.0982431423672</v>
      </c>
      <c r="AF475" s="6">
        <f>$M$475*$Z$475</f>
        <v>0</v>
      </c>
      <c r="AG475" s="6">
        <f>$O$475*$AA$475</f>
        <v>0</v>
      </c>
    </row>
    <row r="476" spans="1:33" ht="11.25" customHeight="1" x14ac:dyDescent="0.3">
      <c r="A476" s="4" t="s">
        <v>28</v>
      </c>
      <c r="B476" s="4" t="s">
        <v>39</v>
      </c>
      <c r="C476" s="4" t="s">
        <v>41</v>
      </c>
      <c r="D476" s="4" t="s">
        <v>46</v>
      </c>
      <c r="E476" s="4" t="s">
        <v>25</v>
      </c>
      <c r="F476" s="4" t="s">
        <v>25</v>
      </c>
      <c r="G476" s="4" t="s">
        <v>25</v>
      </c>
      <c r="H476" s="4" t="s">
        <v>25</v>
      </c>
      <c r="I476" s="5">
        <v>44501</v>
      </c>
      <c r="J476" s="6">
        <v>240</v>
      </c>
      <c r="K476" s="6">
        <v>240</v>
      </c>
      <c r="L476" s="6">
        <v>0</v>
      </c>
      <c r="M476" s="6">
        <v>0</v>
      </c>
      <c r="N476" s="6">
        <v>0</v>
      </c>
      <c r="O476" s="6">
        <v>0</v>
      </c>
      <c r="P476" s="6">
        <v>2</v>
      </c>
      <c r="Q476" s="4" t="s">
        <v>26</v>
      </c>
      <c r="R476" s="4">
        <v>0</v>
      </c>
      <c r="S476" s="6">
        <v>20</v>
      </c>
      <c r="T476" s="6">
        <v>0</v>
      </c>
      <c r="U476" s="6">
        <v>0</v>
      </c>
      <c r="V476" s="6">
        <f>IF(ISERROR(VLOOKUP($S$476,'TAR FIN'!$A$1:$O$113,15,0)),0,VLOOKUP($S$476,'TAR FIN'!$A$1:$O$113,15,0))</f>
        <v>14</v>
      </c>
      <c r="W476" s="6">
        <f>IF(ISERROR(VLOOKUP($T$476,'TAR FIN'!$A$1:$O$113,15,0)),0,VLOOKUP($T$476,'TAR FIN'!$A$1:$O$113,15,0))</f>
        <v>0</v>
      </c>
      <c r="X476" s="6">
        <f>IF(ISERROR(VLOOKUP($U$476,'TAR FIN'!$A$1:$O$113,15,0)),0,VLOOKUP($U$476,'TAR FIN'!$A$1:$O$113,15,0))</f>
        <v>0</v>
      </c>
      <c r="Y476" s="6">
        <f ca="1">('TUSD BE'!$AM$19+'TUSD BF'!$AM$19+'TUSD CVA'!$AM$19)*1</f>
        <v>16.035953923331604</v>
      </c>
      <c r="Z476" s="6"/>
      <c r="AA476" s="6"/>
      <c r="AB476" s="6">
        <f>$K$476*$V$476</f>
        <v>3360</v>
      </c>
      <c r="AC476" s="6">
        <f>$M$476*$W$476</f>
        <v>0</v>
      </c>
      <c r="AD476" s="6">
        <f>$O$476*$X$476</f>
        <v>0</v>
      </c>
      <c r="AE476" s="6">
        <f ca="1">$K$476*$Y$476</f>
        <v>3848.6289415995852</v>
      </c>
      <c r="AF476" s="6">
        <f>$M$476*$Z$476</f>
        <v>0</v>
      </c>
      <c r="AG476" s="6">
        <f>$O$476*$AA$476</f>
        <v>0</v>
      </c>
    </row>
    <row r="477" spans="1:33" ht="11.25" customHeight="1" x14ac:dyDescent="0.3">
      <c r="A477" s="4" t="s">
        <v>21</v>
      </c>
      <c r="B477" s="4" t="s">
        <v>39</v>
      </c>
      <c r="C477" s="4" t="s">
        <v>41</v>
      </c>
      <c r="D477" s="4" t="s">
        <v>46</v>
      </c>
      <c r="E477" s="4" t="s">
        <v>25</v>
      </c>
      <c r="F477" s="4" t="s">
        <v>25</v>
      </c>
      <c r="G477" s="4" t="s">
        <v>25</v>
      </c>
      <c r="H477" s="4" t="s">
        <v>25</v>
      </c>
      <c r="I477" s="5">
        <v>44531</v>
      </c>
      <c r="J477" s="6">
        <v>559</v>
      </c>
      <c r="K477" s="6">
        <v>559</v>
      </c>
      <c r="L477" s="6">
        <v>0</v>
      </c>
      <c r="M477" s="6">
        <v>0</v>
      </c>
      <c r="N477" s="6">
        <v>0</v>
      </c>
      <c r="O477" s="6">
        <v>0</v>
      </c>
      <c r="P477" s="6">
        <v>12</v>
      </c>
      <c r="Q477" s="4" t="s">
        <v>26</v>
      </c>
      <c r="R477" s="4">
        <v>0</v>
      </c>
      <c r="S477" s="6">
        <v>20</v>
      </c>
      <c r="T477" s="6">
        <v>0</v>
      </c>
      <c r="U477" s="6">
        <v>0</v>
      </c>
      <c r="V477" s="6">
        <f>IF(ISERROR(VLOOKUP($S$477,'TAR FIN'!$A$1:$O$113,15,0)),0,VLOOKUP($S$477,'TAR FIN'!$A$1:$O$113,15,0))</f>
        <v>14</v>
      </c>
      <c r="W477" s="6">
        <f>IF(ISERROR(VLOOKUP($T$477,'TAR FIN'!$A$1:$O$113,15,0)),0,VLOOKUP($T$477,'TAR FIN'!$A$1:$O$113,15,0))</f>
        <v>0</v>
      </c>
      <c r="X477" s="6">
        <f>IF(ISERROR(VLOOKUP($U$477,'TAR FIN'!$A$1:$O$113,15,0)),0,VLOOKUP($U$477,'TAR FIN'!$A$1:$O$113,15,0))</f>
        <v>0</v>
      </c>
      <c r="Y477" s="6">
        <f ca="1">('TUSD BE'!$AM$19+'TUSD BF'!$AM$19+'TUSD CVA'!$AM$19)*1</f>
        <v>16.035953923331604</v>
      </c>
      <c r="Z477" s="6"/>
      <c r="AA477" s="6"/>
      <c r="AB477" s="6">
        <f>$K$477*$V$477</f>
        <v>7826</v>
      </c>
      <c r="AC477" s="6">
        <f>$M$477*$W$477</f>
        <v>0</v>
      </c>
      <c r="AD477" s="6">
        <f>$O$477*$X$477</f>
        <v>0</v>
      </c>
      <c r="AE477" s="6">
        <f ca="1">$K$477*$Y$477</f>
        <v>8964.0982431423672</v>
      </c>
      <c r="AF477" s="6">
        <f>$M$477*$Z$477</f>
        <v>0</v>
      </c>
      <c r="AG477" s="6">
        <f>$O$477*$AA$477</f>
        <v>0</v>
      </c>
    </row>
    <row r="478" spans="1:33" ht="11.25" customHeight="1" x14ac:dyDescent="0.3">
      <c r="A478" s="4" t="s">
        <v>28</v>
      </c>
      <c r="B478" s="4" t="s">
        <v>39</v>
      </c>
      <c r="C478" s="4" t="s">
        <v>41</v>
      </c>
      <c r="D478" s="4" t="s">
        <v>46</v>
      </c>
      <c r="E478" s="4" t="s">
        <v>25</v>
      </c>
      <c r="F478" s="4" t="s">
        <v>25</v>
      </c>
      <c r="G478" s="4" t="s">
        <v>25</v>
      </c>
      <c r="H478" s="4" t="s">
        <v>25</v>
      </c>
      <c r="I478" s="5">
        <v>44531</v>
      </c>
      <c r="J478" s="6">
        <v>240</v>
      </c>
      <c r="K478" s="6">
        <v>240</v>
      </c>
      <c r="L478" s="6">
        <v>0</v>
      </c>
      <c r="M478" s="6">
        <v>0</v>
      </c>
      <c r="N478" s="6">
        <v>0</v>
      </c>
      <c r="O478" s="6">
        <v>0</v>
      </c>
      <c r="P478" s="6">
        <v>2</v>
      </c>
      <c r="Q478" s="4" t="s">
        <v>26</v>
      </c>
      <c r="R478" s="4">
        <v>0</v>
      </c>
      <c r="S478" s="6">
        <v>20</v>
      </c>
      <c r="T478" s="6">
        <v>0</v>
      </c>
      <c r="U478" s="6">
        <v>0</v>
      </c>
      <c r="V478" s="6">
        <f>IF(ISERROR(VLOOKUP($S$478,'TAR FIN'!$A$1:$O$113,15,0)),0,VLOOKUP($S$478,'TAR FIN'!$A$1:$O$113,15,0))</f>
        <v>14</v>
      </c>
      <c r="W478" s="6">
        <f>IF(ISERROR(VLOOKUP($T$478,'TAR FIN'!$A$1:$O$113,15,0)),0,VLOOKUP($T$478,'TAR FIN'!$A$1:$O$113,15,0))</f>
        <v>0</v>
      </c>
      <c r="X478" s="6">
        <f>IF(ISERROR(VLOOKUP($U$478,'TAR FIN'!$A$1:$O$113,15,0)),0,VLOOKUP($U$478,'TAR FIN'!$A$1:$O$113,15,0))</f>
        <v>0</v>
      </c>
      <c r="Y478" s="6">
        <f ca="1">('TUSD BE'!$AM$19+'TUSD BF'!$AM$19+'TUSD CVA'!$AM$19)*1</f>
        <v>16.035953923331604</v>
      </c>
      <c r="Z478" s="6"/>
      <c r="AA478" s="6"/>
      <c r="AB478" s="6">
        <f>$K$478*$V$478</f>
        <v>3360</v>
      </c>
      <c r="AC478" s="6">
        <f>$M$478*$W$478</f>
        <v>0</v>
      </c>
      <c r="AD478" s="6">
        <f>$O$478*$X$478</f>
        <v>0</v>
      </c>
      <c r="AE478" s="6">
        <f ca="1">$K$478*$Y$478</f>
        <v>3848.6289415995852</v>
      </c>
      <c r="AF478" s="6">
        <f>$M$478*$Z$478</f>
        <v>0</v>
      </c>
      <c r="AG478" s="6">
        <f>$O$478*$AA$478</f>
        <v>0</v>
      </c>
    </row>
    <row r="479" spans="1:33" ht="11.25" customHeight="1" x14ac:dyDescent="0.3">
      <c r="A479" s="4" t="s">
        <v>21</v>
      </c>
      <c r="B479" s="4" t="s">
        <v>39</v>
      </c>
      <c r="C479" s="4" t="s">
        <v>41</v>
      </c>
      <c r="D479" s="4" t="s">
        <v>46</v>
      </c>
      <c r="E479" s="4" t="s">
        <v>25</v>
      </c>
      <c r="F479" s="4" t="s">
        <v>25</v>
      </c>
      <c r="G479" s="4" t="s">
        <v>25</v>
      </c>
      <c r="H479" s="4" t="s">
        <v>25</v>
      </c>
      <c r="I479" s="5">
        <v>44562</v>
      </c>
      <c r="J479" s="6">
        <v>559</v>
      </c>
      <c r="K479" s="6">
        <v>559</v>
      </c>
      <c r="L479" s="6">
        <v>0</v>
      </c>
      <c r="M479" s="6">
        <v>0</v>
      </c>
      <c r="N479" s="6">
        <v>0</v>
      </c>
      <c r="O479" s="6">
        <v>0</v>
      </c>
      <c r="P479" s="6">
        <v>12</v>
      </c>
      <c r="Q479" s="4" t="s">
        <v>26</v>
      </c>
      <c r="R479" s="4">
        <v>0</v>
      </c>
      <c r="S479" s="6">
        <v>20</v>
      </c>
      <c r="T479" s="6">
        <v>0</v>
      </c>
      <c r="U479" s="6">
        <v>0</v>
      </c>
      <c r="V479" s="6">
        <f>IF(ISERROR(VLOOKUP($S$479,'TAR FIN'!$A$1:$O$113,15,0)),0,VLOOKUP($S$479,'TAR FIN'!$A$1:$O$113,15,0))</f>
        <v>14</v>
      </c>
      <c r="W479" s="6">
        <f>IF(ISERROR(VLOOKUP($T$479,'TAR FIN'!$A$1:$O$113,15,0)),0,VLOOKUP($T$479,'TAR FIN'!$A$1:$O$113,15,0))</f>
        <v>0</v>
      </c>
      <c r="X479" s="6">
        <f>IF(ISERROR(VLOOKUP($U$479,'TAR FIN'!$A$1:$O$113,15,0)),0,VLOOKUP($U$479,'TAR FIN'!$A$1:$O$113,15,0))</f>
        <v>0</v>
      </c>
      <c r="Y479" s="6">
        <f ca="1">('TUSD BE'!$AM$19+'TUSD BF'!$AM$19+'TUSD CVA'!$AM$19)*1</f>
        <v>16.035953923331604</v>
      </c>
      <c r="Z479" s="6"/>
      <c r="AA479" s="6"/>
      <c r="AB479" s="6">
        <f>$K$479*$V$479</f>
        <v>7826</v>
      </c>
      <c r="AC479" s="6">
        <f>$M$479*$W$479</f>
        <v>0</v>
      </c>
      <c r="AD479" s="6">
        <f>$O$479*$X$479</f>
        <v>0</v>
      </c>
      <c r="AE479" s="6">
        <f ca="1">$K$479*$Y$479</f>
        <v>8964.0982431423672</v>
      </c>
      <c r="AF479" s="6">
        <f>$M$479*$Z$479</f>
        <v>0</v>
      </c>
      <c r="AG479" s="6">
        <f>$O$479*$AA$479</f>
        <v>0</v>
      </c>
    </row>
    <row r="480" spans="1:33" ht="11.25" customHeight="1" x14ac:dyDescent="0.3">
      <c r="A480" s="4" t="s">
        <v>28</v>
      </c>
      <c r="B480" s="4" t="s">
        <v>39</v>
      </c>
      <c r="C480" s="4" t="s">
        <v>41</v>
      </c>
      <c r="D480" s="4" t="s">
        <v>46</v>
      </c>
      <c r="E480" s="4" t="s">
        <v>25</v>
      </c>
      <c r="F480" s="4" t="s">
        <v>25</v>
      </c>
      <c r="G480" s="4" t="s">
        <v>25</v>
      </c>
      <c r="H480" s="4" t="s">
        <v>25</v>
      </c>
      <c r="I480" s="5">
        <v>44562</v>
      </c>
      <c r="J480" s="6">
        <v>240</v>
      </c>
      <c r="K480" s="6">
        <v>240</v>
      </c>
      <c r="L480" s="6">
        <v>0</v>
      </c>
      <c r="M480" s="6">
        <v>0</v>
      </c>
      <c r="N480" s="6">
        <v>0</v>
      </c>
      <c r="O480" s="6">
        <v>0</v>
      </c>
      <c r="P480" s="6">
        <v>2</v>
      </c>
      <c r="Q480" s="4" t="s">
        <v>26</v>
      </c>
      <c r="R480" s="4">
        <v>0</v>
      </c>
      <c r="S480" s="6">
        <v>20</v>
      </c>
      <c r="T480" s="6">
        <v>0</v>
      </c>
      <c r="U480" s="6">
        <v>0</v>
      </c>
      <c r="V480" s="6">
        <f>IF(ISERROR(VLOOKUP($S$480,'TAR FIN'!$A$1:$O$113,15,0)),0,VLOOKUP($S$480,'TAR FIN'!$A$1:$O$113,15,0))</f>
        <v>14</v>
      </c>
      <c r="W480" s="6">
        <f>IF(ISERROR(VLOOKUP($T$480,'TAR FIN'!$A$1:$O$113,15,0)),0,VLOOKUP($T$480,'TAR FIN'!$A$1:$O$113,15,0))</f>
        <v>0</v>
      </c>
      <c r="X480" s="6">
        <f>IF(ISERROR(VLOOKUP($U$480,'TAR FIN'!$A$1:$O$113,15,0)),0,VLOOKUP($U$480,'TAR FIN'!$A$1:$O$113,15,0))</f>
        <v>0</v>
      </c>
      <c r="Y480" s="6">
        <f ca="1">('TUSD BE'!$AM$19+'TUSD BF'!$AM$19+'TUSD CVA'!$AM$19)*1</f>
        <v>16.035953923331604</v>
      </c>
      <c r="Z480" s="6"/>
      <c r="AA480" s="6"/>
      <c r="AB480" s="6">
        <f>$K$480*$V$480</f>
        <v>3360</v>
      </c>
      <c r="AC480" s="6">
        <f>$M$480*$W$480</f>
        <v>0</v>
      </c>
      <c r="AD480" s="6">
        <f>$O$480*$X$480</f>
        <v>0</v>
      </c>
      <c r="AE480" s="6">
        <f ca="1">$K$480*$Y$480</f>
        <v>3848.6289415995852</v>
      </c>
      <c r="AF480" s="6">
        <f>$M$480*$Z$480</f>
        <v>0</v>
      </c>
      <c r="AG480" s="6">
        <f>$O$480*$AA$480</f>
        <v>0</v>
      </c>
    </row>
    <row r="481" spans="1:33" ht="11.25" customHeight="1" x14ac:dyDescent="0.3">
      <c r="A481" s="4" t="s">
        <v>21</v>
      </c>
      <c r="B481" s="4" t="s">
        <v>39</v>
      </c>
      <c r="C481" s="4" t="s">
        <v>41</v>
      </c>
      <c r="D481" s="4" t="s">
        <v>46</v>
      </c>
      <c r="E481" s="4" t="s">
        <v>25</v>
      </c>
      <c r="F481" s="4" t="s">
        <v>25</v>
      </c>
      <c r="G481" s="4" t="s">
        <v>25</v>
      </c>
      <c r="H481" s="4" t="s">
        <v>25</v>
      </c>
      <c r="I481" s="5">
        <v>44593</v>
      </c>
      <c r="J481" s="6">
        <v>562</v>
      </c>
      <c r="K481" s="6">
        <v>562</v>
      </c>
      <c r="L481" s="6">
        <v>0</v>
      </c>
      <c r="M481" s="6">
        <v>0</v>
      </c>
      <c r="N481" s="6">
        <v>0</v>
      </c>
      <c r="O481" s="6">
        <v>0</v>
      </c>
      <c r="P481" s="6">
        <v>12</v>
      </c>
      <c r="Q481" s="4" t="s">
        <v>26</v>
      </c>
      <c r="R481" s="4">
        <v>0</v>
      </c>
      <c r="S481" s="6">
        <v>20</v>
      </c>
      <c r="T481" s="6">
        <v>0</v>
      </c>
      <c r="U481" s="6">
        <v>0</v>
      </c>
      <c r="V481" s="6">
        <f>IF(ISERROR(VLOOKUP($S$481,'TAR FIN'!$A$1:$O$113,15,0)),0,VLOOKUP($S$481,'TAR FIN'!$A$1:$O$113,15,0))</f>
        <v>14</v>
      </c>
      <c r="W481" s="6">
        <f>IF(ISERROR(VLOOKUP($T$481,'TAR FIN'!$A$1:$O$113,15,0)),0,VLOOKUP($T$481,'TAR FIN'!$A$1:$O$113,15,0))</f>
        <v>0</v>
      </c>
      <c r="X481" s="6">
        <f>IF(ISERROR(VLOOKUP($U$481,'TAR FIN'!$A$1:$O$113,15,0)),0,VLOOKUP($U$481,'TAR FIN'!$A$1:$O$113,15,0))</f>
        <v>0</v>
      </c>
      <c r="Y481" s="6">
        <f ca="1">('TUSD BE'!$AM$19+'TUSD BF'!$AM$19+'TUSD CVA'!$AM$19)*1</f>
        <v>16.035953923331604</v>
      </c>
      <c r="Z481" s="6"/>
      <c r="AA481" s="6"/>
      <c r="AB481" s="6">
        <f>$K$481*$V$481</f>
        <v>7868</v>
      </c>
      <c r="AC481" s="6">
        <f>$M$481*$W$481</f>
        <v>0</v>
      </c>
      <c r="AD481" s="6">
        <f>$O$481*$X$481</f>
        <v>0</v>
      </c>
      <c r="AE481" s="6">
        <f ca="1">$K$481*$Y$481</f>
        <v>9012.2061049123622</v>
      </c>
      <c r="AF481" s="6">
        <f>$M$481*$Z$481</f>
        <v>0</v>
      </c>
      <c r="AG481" s="6">
        <f>$O$481*$AA$481</f>
        <v>0</v>
      </c>
    </row>
    <row r="482" spans="1:33" ht="11.25" customHeight="1" x14ac:dyDescent="0.3">
      <c r="A482" s="4" t="s">
        <v>28</v>
      </c>
      <c r="B482" s="4" t="s">
        <v>39</v>
      </c>
      <c r="C482" s="4" t="s">
        <v>41</v>
      </c>
      <c r="D482" s="4" t="s">
        <v>46</v>
      </c>
      <c r="E482" s="4" t="s">
        <v>25</v>
      </c>
      <c r="F482" s="4" t="s">
        <v>25</v>
      </c>
      <c r="G482" s="4" t="s">
        <v>25</v>
      </c>
      <c r="H482" s="4" t="s">
        <v>25</v>
      </c>
      <c r="I482" s="5">
        <v>44593</v>
      </c>
      <c r="J482" s="6">
        <v>290</v>
      </c>
      <c r="K482" s="6">
        <v>290</v>
      </c>
      <c r="L482" s="6">
        <v>0</v>
      </c>
      <c r="M482" s="6">
        <v>0</v>
      </c>
      <c r="N482" s="6">
        <v>0</v>
      </c>
      <c r="O482" s="6">
        <v>0</v>
      </c>
      <c r="P482" s="6">
        <v>2</v>
      </c>
      <c r="Q482" s="4" t="s">
        <v>26</v>
      </c>
      <c r="R482" s="4">
        <v>0</v>
      </c>
      <c r="S482" s="6">
        <v>20</v>
      </c>
      <c r="T482" s="6">
        <v>0</v>
      </c>
      <c r="U482" s="6">
        <v>0</v>
      </c>
      <c r="V482" s="6">
        <f>IF(ISERROR(VLOOKUP($S$482,'TAR FIN'!$A$1:$O$113,15,0)),0,VLOOKUP($S$482,'TAR FIN'!$A$1:$O$113,15,0))</f>
        <v>14</v>
      </c>
      <c r="W482" s="6">
        <f>IF(ISERROR(VLOOKUP($T$482,'TAR FIN'!$A$1:$O$113,15,0)),0,VLOOKUP($T$482,'TAR FIN'!$A$1:$O$113,15,0))</f>
        <v>0</v>
      </c>
      <c r="X482" s="6">
        <f>IF(ISERROR(VLOOKUP($U$482,'TAR FIN'!$A$1:$O$113,15,0)),0,VLOOKUP($U$482,'TAR FIN'!$A$1:$O$113,15,0))</f>
        <v>0</v>
      </c>
      <c r="Y482" s="6">
        <f ca="1">('TUSD BE'!$AM$19+'TUSD BF'!$AM$19+'TUSD CVA'!$AM$19)*1</f>
        <v>16.035953923331604</v>
      </c>
      <c r="Z482" s="6"/>
      <c r="AA482" s="6"/>
      <c r="AB482" s="6">
        <f>$K$482*$V$482</f>
        <v>4060</v>
      </c>
      <c r="AC482" s="6">
        <f>$M$482*$W$482</f>
        <v>0</v>
      </c>
      <c r="AD482" s="6">
        <f>$O$482*$X$482</f>
        <v>0</v>
      </c>
      <c r="AE482" s="6">
        <f ca="1">$K$482*$Y$482</f>
        <v>4650.4266377661652</v>
      </c>
      <c r="AF482" s="6">
        <f>$M$482*$Z$482</f>
        <v>0</v>
      </c>
      <c r="AG482" s="6">
        <f>$O$482*$AA$482</f>
        <v>0</v>
      </c>
    </row>
    <row r="483" spans="1:33" ht="11.25" customHeight="1" x14ac:dyDescent="0.3">
      <c r="A483" s="4" t="s">
        <v>21</v>
      </c>
      <c r="B483" s="4" t="s">
        <v>39</v>
      </c>
      <c r="C483" s="4" t="s">
        <v>41</v>
      </c>
      <c r="D483" s="4" t="s">
        <v>46</v>
      </c>
      <c r="E483" s="4" t="s">
        <v>25</v>
      </c>
      <c r="F483" s="4" t="s">
        <v>25</v>
      </c>
      <c r="G483" s="4" t="s">
        <v>25</v>
      </c>
      <c r="H483" s="4" t="s">
        <v>25</v>
      </c>
      <c r="I483" s="5">
        <v>44621</v>
      </c>
      <c r="J483" s="6">
        <v>561</v>
      </c>
      <c r="K483" s="6">
        <v>561</v>
      </c>
      <c r="L483" s="6">
        <v>0</v>
      </c>
      <c r="M483" s="6">
        <v>0</v>
      </c>
      <c r="N483" s="6">
        <v>0</v>
      </c>
      <c r="O483" s="6">
        <v>0</v>
      </c>
      <c r="P483" s="6">
        <v>12</v>
      </c>
      <c r="Q483" s="4" t="s">
        <v>26</v>
      </c>
      <c r="R483" s="4">
        <v>0</v>
      </c>
      <c r="S483" s="6">
        <v>20</v>
      </c>
      <c r="T483" s="6">
        <v>0</v>
      </c>
      <c r="U483" s="6">
        <v>0</v>
      </c>
      <c r="V483" s="6">
        <f>IF(ISERROR(VLOOKUP($S$483,'TAR FIN'!$A$1:$O$113,15,0)),0,VLOOKUP($S$483,'TAR FIN'!$A$1:$O$113,15,0))</f>
        <v>14</v>
      </c>
      <c r="W483" s="6">
        <f>IF(ISERROR(VLOOKUP($T$483,'TAR FIN'!$A$1:$O$113,15,0)),0,VLOOKUP($T$483,'TAR FIN'!$A$1:$O$113,15,0))</f>
        <v>0</v>
      </c>
      <c r="X483" s="6">
        <f>IF(ISERROR(VLOOKUP($U$483,'TAR FIN'!$A$1:$O$113,15,0)),0,VLOOKUP($U$483,'TAR FIN'!$A$1:$O$113,15,0))</f>
        <v>0</v>
      </c>
      <c r="Y483" s="6">
        <f ca="1">('TUSD BE'!$AM$19+'TUSD BF'!$AM$19+'TUSD CVA'!$AM$19)*1</f>
        <v>16.035953923331604</v>
      </c>
      <c r="Z483" s="6"/>
      <c r="AA483" s="6"/>
      <c r="AB483" s="6">
        <f>$K$483*$V$483</f>
        <v>7854</v>
      </c>
      <c r="AC483" s="6">
        <f>$M$483*$W$483</f>
        <v>0</v>
      </c>
      <c r="AD483" s="6">
        <f>$O$483*$X$483</f>
        <v>0</v>
      </c>
      <c r="AE483" s="6">
        <f ca="1">$K$483*$Y$483</f>
        <v>8996.1701509890299</v>
      </c>
      <c r="AF483" s="6">
        <f>$M$483*$Z$483</f>
        <v>0</v>
      </c>
      <c r="AG483" s="6">
        <f>$O$483*$AA$483</f>
        <v>0</v>
      </c>
    </row>
    <row r="484" spans="1:33" ht="11.25" customHeight="1" x14ac:dyDescent="0.3">
      <c r="A484" s="4" t="s">
        <v>28</v>
      </c>
      <c r="B484" s="4" t="s">
        <v>39</v>
      </c>
      <c r="C484" s="4" t="s">
        <v>41</v>
      </c>
      <c r="D484" s="4" t="s">
        <v>46</v>
      </c>
      <c r="E484" s="4" t="s">
        <v>25</v>
      </c>
      <c r="F484" s="4" t="s">
        <v>25</v>
      </c>
      <c r="G484" s="4" t="s">
        <v>25</v>
      </c>
      <c r="H484" s="4" t="s">
        <v>25</v>
      </c>
      <c r="I484" s="5">
        <v>44621</v>
      </c>
      <c r="J484" s="6">
        <v>290</v>
      </c>
      <c r="K484" s="6">
        <v>290</v>
      </c>
      <c r="L484" s="6">
        <v>0</v>
      </c>
      <c r="M484" s="6">
        <v>0</v>
      </c>
      <c r="N484" s="6">
        <v>0</v>
      </c>
      <c r="O484" s="6">
        <v>0</v>
      </c>
      <c r="P484" s="6">
        <v>2</v>
      </c>
      <c r="Q484" s="4" t="s">
        <v>26</v>
      </c>
      <c r="R484" s="4">
        <v>0</v>
      </c>
      <c r="S484" s="6">
        <v>20</v>
      </c>
      <c r="T484" s="6">
        <v>0</v>
      </c>
      <c r="U484" s="6">
        <v>0</v>
      </c>
      <c r="V484" s="6">
        <f>IF(ISERROR(VLOOKUP($S$484,'TAR FIN'!$A$1:$O$113,15,0)),0,VLOOKUP($S$484,'TAR FIN'!$A$1:$O$113,15,0))</f>
        <v>14</v>
      </c>
      <c r="W484" s="6">
        <f>IF(ISERROR(VLOOKUP($T$484,'TAR FIN'!$A$1:$O$113,15,0)),0,VLOOKUP($T$484,'TAR FIN'!$A$1:$O$113,15,0))</f>
        <v>0</v>
      </c>
      <c r="X484" s="6">
        <f>IF(ISERROR(VLOOKUP($U$484,'TAR FIN'!$A$1:$O$113,15,0)),0,VLOOKUP($U$484,'TAR FIN'!$A$1:$O$113,15,0))</f>
        <v>0</v>
      </c>
      <c r="Y484" s="6">
        <f ca="1">('TUSD BE'!$AM$19+'TUSD BF'!$AM$19+'TUSD CVA'!$AM$19)*1</f>
        <v>16.035953923331604</v>
      </c>
      <c r="Z484" s="6"/>
      <c r="AA484" s="6"/>
      <c r="AB484" s="6">
        <f>$K$484*$V$484</f>
        <v>4060</v>
      </c>
      <c r="AC484" s="6">
        <f>$M$484*$W$484</f>
        <v>0</v>
      </c>
      <c r="AD484" s="6">
        <f>$O$484*$X$484</f>
        <v>0</v>
      </c>
      <c r="AE484" s="6">
        <f ca="1">$K$484*$Y$484</f>
        <v>4650.4266377661652</v>
      </c>
      <c r="AF484" s="6">
        <f>$M$484*$Z$484</f>
        <v>0</v>
      </c>
      <c r="AG484" s="6">
        <f>$O$484*$AA$484</f>
        <v>0</v>
      </c>
    </row>
    <row r="485" spans="1:33" ht="11.25" customHeight="1" x14ac:dyDescent="0.3">
      <c r="A485" s="4" t="s">
        <v>21</v>
      </c>
      <c r="B485" s="4" t="s">
        <v>39</v>
      </c>
      <c r="C485" s="4" t="s">
        <v>41</v>
      </c>
      <c r="D485" s="4" t="s">
        <v>46</v>
      </c>
      <c r="E485" s="4" t="s">
        <v>25</v>
      </c>
      <c r="F485" s="4" t="s">
        <v>25</v>
      </c>
      <c r="G485" s="4" t="s">
        <v>25</v>
      </c>
      <c r="H485" s="4" t="s">
        <v>25</v>
      </c>
      <c r="I485" s="5">
        <v>44652</v>
      </c>
      <c r="J485" s="6">
        <v>568</v>
      </c>
      <c r="K485" s="6">
        <v>568</v>
      </c>
      <c r="L485" s="6">
        <v>0</v>
      </c>
      <c r="M485" s="6">
        <v>0</v>
      </c>
      <c r="N485" s="6">
        <v>0</v>
      </c>
      <c r="O485" s="6">
        <v>0</v>
      </c>
      <c r="P485" s="6">
        <v>12</v>
      </c>
      <c r="Q485" s="4" t="s">
        <v>26</v>
      </c>
      <c r="R485" s="4">
        <v>0</v>
      </c>
      <c r="S485" s="6">
        <v>20</v>
      </c>
      <c r="T485" s="6">
        <v>0</v>
      </c>
      <c r="U485" s="6">
        <v>0</v>
      </c>
      <c r="V485" s="6">
        <f>IF(ISERROR(VLOOKUP($S$485,'TAR FIN'!$A$1:$O$113,15,0)),0,VLOOKUP($S$485,'TAR FIN'!$A$1:$O$113,15,0))</f>
        <v>14</v>
      </c>
      <c r="W485" s="6">
        <f>IF(ISERROR(VLOOKUP($T$485,'TAR FIN'!$A$1:$O$113,15,0)),0,VLOOKUP($T$485,'TAR FIN'!$A$1:$O$113,15,0))</f>
        <v>0</v>
      </c>
      <c r="X485" s="6">
        <f>IF(ISERROR(VLOOKUP($U$485,'TAR FIN'!$A$1:$O$113,15,0)),0,VLOOKUP($U$485,'TAR FIN'!$A$1:$O$113,15,0))</f>
        <v>0</v>
      </c>
      <c r="Y485" s="6">
        <f ca="1">('TUSD BE'!$AM$19+'TUSD BF'!$AM$19+'TUSD CVA'!$AM$19)*1</f>
        <v>16.035953923331604</v>
      </c>
      <c r="Z485" s="6"/>
      <c r="AA485" s="6"/>
      <c r="AB485" s="6">
        <f>$K$485*$V$485</f>
        <v>7952</v>
      </c>
      <c r="AC485" s="6">
        <f>$M$485*$W$485</f>
        <v>0</v>
      </c>
      <c r="AD485" s="6">
        <f>$O$485*$X$485</f>
        <v>0</v>
      </c>
      <c r="AE485" s="6">
        <f ca="1">$K$485*$Y$485</f>
        <v>9108.4218284523504</v>
      </c>
      <c r="AF485" s="6">
        <f>$M$485*$Z$485</f>
        <v>0</v>
      </c>
      <c r="AG485" s="6">
        <f>$O$485*$AA$485</f>
        <v>0</v>
      </c>
    </row>
    <row r="486" spans="1:33" ht="11.25" customHeight="1" x14ac:dyDescent="0.3">
      <c r="A486" s="4" t="s">
        <v>28</v>
      </c>
      <c r="B486" s="4" t="s">
        <v>39</v>
      </c>
      <c r="C486" s="4" t="s">
        <v>41</v>
      </c>
      <c r="D486" s="4" t="s">
        <v>46</v>
      </c>
      <c r="E486" s="4" t="s">
        <v>25</v>
      </c>
      <c r="F486" s="4" t="s">
        <v>25</v>
      </c>
      <c r="G486" s="4" t="s">
        <v>25</v>
      </c>
      <c r="H486" s="4" t="s">
        <v>25</v>
      </c>
      <c r="I486" s="5">
        <v>44652</v>
      </c>
      <c r="J486" s="6">
        <v>290</v>
      </c>
      <c r="K486" s="6">
        <v>290</v>
      </c>
      <c r="L486" s="6">
        <v>0</v>
      </c>
      <c r="M486" s="6">
        <v>0</v>
      </c>
      <c r="N486" s="6">
        <v>0</v>
      </c>
      <c r="O486" s="6">
        <v>0</v>
      </c>
      <c r="P486" s="6">
        <v>2</v>
      </c>
      <c r="Q486" s="4" t="s">
        <v>26</v>
      </c>
      <c r="R486" s="4">
        <v>0</v>
      </c>
      <c r="S486" s="6">
        <v>20</v>
      </c>
      <c r="T486" s="6">
        <v>0</v>
      </c>
      <c r="U486" s="6">
        <v>0</v>
      </c>
      <c r="V486" s="6">
        <f>IF(ISERROR(VLOOKUP($S$486,'TAR FIN'!$A$1:$O$113,15,0)),0,VLOOKUP($S$486,'TAR FIN'!$A$1:$O$113,15,0))</f>
        <v>14</v>
      </c>
      <c r="W486" s="6">
        <f>IF(ISERROR(VLOOKUP($T$486,'TAR FIN'!$A$1:$O$113,15,0)),0,VLOOKUP($T$486,'TAR FIN'!$A$1:$O$113,15,0))</f>
        <v>0</v>
      </c>
      <c r="X486" s="6">
        <f>IF(ISERROR(VLOOKUP($U$486,'TAR FIN'!$A$1:$O$113,15,0)),0,VLOOKUP($U$486,'TAR FIN'!$A$1:$O$113,15,0))</f>
        <v>0</v>
      </c>
      <c r="Y486" s="6">
        <f ca="1">('TUSD BE'!$AM$19+'TUSD BF'!$AM$19+'TUSD CVA'!$AM$19)*1</f>
        <v>16.035953923331604</v>
      </c>
      <c r="Z486" s="6"/>
      <c r="AA486" s="6"/>
      <c r="AB486" s="6">
        <f>$K$486*$V$486</f>
        <v>4060</v>
      </c>
      <c r="AC486" s="6">
        <f>$M$486*$W$486</f>
        <v>0</v>
      </c>
      <c r="AD486" s="6">
        <f>$O$486*$X$486</f>
        <v>0</v>
      </c>
      <c r="AE486" s="6">
        <f ca="1">$K$486*$Y$486</f>
        <v>4650.4266377661652</v>
      </c>
      <c r="AF486" s="6">
        <f>$M$486*$Z$486</f>
        <v>0</v>
      </c>
      <c r="AG486" s="6">
        <f>$O$486*$AA$486</f>
        <v>0</v>
      </c>
    </row>
    <row r="487" spans="1:33" ht="11.25" customHeight="1" x14ac:dyDescent="0.3">
      <c r="A487" s="4" t="s">
        <v>21</v>
      </c>
      <c r="B487" s="4" t="s">
        <v>39</v>
      </c>
      <c r="C487" s="4" t="s">
        <v>41</v>
      </c>
      <c r="D487" s="4" t="s">
        <v>46</v>
      </c>
      <c r="E487" s="4" t="s">
        <v>25</v>
      </c>
      <c r="F487" s="4" t="s">
        <v>25</v>
      </c>
      <c r="G487" s="4" t="s">
        <v>25</v>
      </c>
      <c r="H487" s="4" t="s">
        <v>25</v>
      </c>
      <c r="I487" s="5">
        <v>44682</v>
      </c>
      <c r="J487" s="6">
        <v>565</v>
      </c>
      <c r="K487" s="6">
        <v>565</v>
      </c>
      <c r="L487" s="6">
        <v>0</v>
      </c>
      <c r="M487" s="6">
        <v>0</v>
      </c>
      <c r="N487" s="6">
        <v>0</v>
      </c>
      <c r="O487" s="6">
        <v>0</v>
      </c>
      <c r="P487" s="6">
        <v>12</v>
      </c>
      <c r="Q487" s="4" t="s">
        <v>26</v>
      </c>
      <c r="R487" s="4">
        <v>0</v>
      </c>
      <c r="S487" s="6">
        <v>20</v>
      </c>
      <c r="T487" s="6">
        <v>0</v>
      </c>
      <c r="U487" s="6">
        <v>0</v>
      </c>
      <c r="V487" s="6">
        <f>IF(ISERROR(VLOOKUP($S$487,'TAR FIN'!$A$1:$O$113,15,0)),0,VLOOKUP($S$487,'TAR FIN'!$A$1:$O$113,15,0))</f>
        <v>14</v>
      </c>
      <c r="W487" s="6">
        <f>IF(ISERROR(VLOOKUP($T$487,'TAR FIN'!$A$1:$O$113,15,0)),0,VLOOKUP($T$487,'TAR FIN'!$A$1:$O$113,15,0))</f>
        <v>0</v>
      </c>
      <c r="X487" s="6">
        <f>IF(ISERROR(VLOOKUP($U$487,'TAR FIN'!$A$1:$O$113,15,0)),0,VLOOKUP($U$487,'TAR FIN'!$A$1:$O$113,15,0))</f>
        <v>0</v>
      </c>
      <c r="Y487" s="6">
        <f ca="1">('TUSD BE'!$AM$19+'TUSD BF'!$AM$19+'TUSD CVA'!$AM$19)*1</f>
        <v>16.035953923331604</v>
      </c>
      <c r="Z487" s="6"/>
      <c r="AA487" s="6"/>
      <c r="AB487" s="6">
        <f>$K$487*$V$487</f>
        <v>7910</v>
      </c>
      <c r="AC487" s="6">
        <f>$M$487*$W$487</f>
        <v>0</v>
      </c>
      <c r="AD487" s="6">
        <f>$O$487*$X$487</f>
        <v>0</v>
      </c>
      <c r="AE487" s="6">
        <f ca="1">$K$487*$Y$487</f>
        <v>9060.3139666823572</v>
      </c>
      <c r="AF487" s="6">
        <f>$M$487*$Z$487</f>
        <v>0</v>
      </c>
      <c r="AG487" s="6">
        <f>$O$487*$AA$487</f>
        <v>0</v>
      </c>
    </row>
    <row r="488" spans="1:33" ht="11.25" customHeight="1" x14ac:dyDescent="0.3">
      <c r="A488" s="4" t="s">
        <v>28</v>
      </c>
      <c r="B488" s="4" t="s">
        <v>39</v>
      </c>
      <c r="C488" s="4" t="s">
        <v>41</v>
      </c>
      <c r="D488" s="4" t="s">
        <v>46</v>
      </c>
      <c r="E488" s="4" t="s">
        <v>25</v>
      </c>
      <c r="F488" s="4" t="s">
        <v>25</v>
      </c>
      <c r="G488" s="4" t="s">
        <v>25</v>
      </c>
      <c r="H488" s="4" t="s">
        <v>25</v>
      </c>
      <c r="I488" s="5">
        <v>44682</v>
      </c>
      <c r="J488" s="6">
        <v>290</v>
      </c>
      <c r="K488" s="6">
        <v>290</v>
      </c>
      <c r="L488" s="6">
        <v>0</v>
      </c>
      <c r="M488" s="6">
        <v>0</v>
      </c>
      <c r="N488" s="6">
        <v>0</v>
      </c>
      <c r="O488" s="6">
        <v>0</v>
      </c>
      <c r="P488" s="6">
        <v>2</v>
      </c>
      <c r="Q488" s="4" t="s">
        <v>26</v>
      </c>
      <c r="R488" s="4">
        <v>0</v>
      </c>
      <c r="S488" s="6">
        <v>20</v>
      </c>
      <c r="T488" s="6">
        <v>0</v>
      </c>
      <c r="U488" s="6">
        <v>0</v>
      </c>
      <c r="V488" s="6">
        <f>IF(ISERROR(VLOOKUP($S$488,'TAR FIN'!$A$1:$O$113,15,0)),0,VLOOKUP($S$488,'TAR FIN'!$A$1:$O$113,15,0))</f>
        <v>14</v>
      </c>
      <c r="W488" s="6">
        <f>IF(ISERROR(VLOOKUP($T$488,'TAR FIN'!$A$1:$O$113,15,0)),0,VLOOKUP($T$488,'TAR FIN'!$A$1:$O$113,15,0))</f>
        <v>0</v>
      </c>
      <c r="X488" s="6">
        <f>IF(ISERROR(VLOOKUP($U$488,'TAR FIN'!$A$1:$O$113,15,0)),0,VLOOKUP($U$488,'TAR FIN'!$A$1:$O$113,15,0))</f>
        <v>0</v>
      </c>
      <c r="Y488" s="6">
        <f ca="1">('TUSD BE'!$AM$19+'TUSD BF'!$AM$19+'TUSD CVA'!$AM$19)*1</f>
        <v>16.035953923331604</v>
      </c>
      <c r="Z488" s="6"/>
      <c r="AA488" s="6"/>
      <c r="AB488" s="6">
        <f>$K$488*$V$488</f>
        <v>4060</v>
      </c>
      <c r="AC488" s="6">
        <f>$M$488*$W$488</f>
        <v>0</v>
      </c>
      <c r="AD488" s="6">
        <f>$O$488*$X$488</f>
        <v>0</v>
      </c>
      <c r="AE488" s="6">
        <f ca="1">$K$488*$Y$488</f>
        <v>4650.4266377661652</v>
      </c>
      <c r="AF488" s="6">
        <f>$M$488*$Z$488</f>
        <v>0</v>
      </c>
      <c r="AG488" s="6">
        <f>$O$488*$AA$488</f>
        <v>0</v>
      </c>
    </row>
    <row r="489" spans="1:33" ht="11.25" customHeight="1" x14ac:dyDescent="0.3">
      <c r="A489" s="4" t="s">
        <v>21</v>
      </c>
      <c r="B489" s="4" t="s">
        <v>39</v>
      </c>
      <c r="C489" s="4" t="s">
        <v>41</v>
      </c>
      <c r="D489" s="4" t="s">
        <v>46</v>
      </c>
      <c r="E489" s="4" t="s">
        <v>25</v>
      </c>
      <c r="F489" s="4" t="s">
        <v>25</v>
      </c>
      <c r="G489" s="4" t="s">
        <v>25</v>
      </c>
      <c r="H489" s="4" t="s">
        <v>25</v>
      </c>
      <c r="I489" s="5">
        <v>44713</v>
      </c>
      <c r="J489" s="6">
        <v>564</v>
      </c>
      <c r="K489" s="6">
        <v>564</v>
      </c>
      <c r="L489" s="6">
        <v>0</v>
      </c>
      <c r="M489" s="6">
        <v>0</v>
      </c>
      <c r="N489" s="6">
        <v>0</v>
      </c>
      <c r="O489" s="6">
        <v>0</v>
      </c>
      <c r="P489" s="6">
        <v>12</v>
      </c>
      <c r="Q489" s="4" t="s">
        <v>26</v>
      </c>
      <c r="R489" s="4">
        <v>0</v>
      </c>
      <c r="S489" s="6">
        <v>20</v>
      </c>
      <c r="T489" s="6">
        <v>0</v>
      </c>
      <c r="U489" s="6">
        <v>0</v>
      </c>
      <c r="V489" s="6">
        <f>IF(ISERROR(VLOOKUP($S$489,'TAR FIN'!$A$1:$O$113,15,0)),0,VLOOKUP($S$489,'TAR FIN'!$A$1:$O$113,15,0))</f>
        <v>14</v>
      </c>
      <c r="W489" s="6">
        <f>IF(ISERROR(VLOOKUP($T$489,'TAR FIN'!$A$1:$O$113,15,0)),0,VLOOKUP($T$489,'TAR FIN'!$A$1:$O$113,15,0))</f>
        <v>0</v>
      </c>
      <c r="X489" s="6">
        <f>IF(ISERROR(VLOOKUP($U$489,'TAR FIN'!$A$1:$O$113,15,0)),0,VLOOKUP($U$489,'TAR FIN'!$A$1:$O$113,15,0))</f>
        <v>0</v>
      </c>
      <c r="Y489" s="6">
        <f ca="1">('TUSD BE'!$AM$19+'TUSD BF'!$AM$19+'TUSD CVA'!$AM$19)*1</f>
        <v>16.035953923331604</v>
      </c>
      <c r="Z489" s="6"/>
      <c r="AA489" s="6"/>
      <c r="AB489" s="6">
        <f>$K$489*$V$489</f>
        <v>7896</v>
      </c>
      <c r="AC489" s="6">
        <f>$M$489*$W$489</f>
        <v>0</v>
      </c>
      <c r="AD489" s="6">
        <f>$O$489*$X$489</f>
        <v>0</v>
      </c>
      <c r="AE489" s="6">
        <f ca="1">$K$489*$Y$489</f>
        <v>9044.2780127590249</v>
      </c>
      <c r="AF489" s="6">
        <f>$M$489*$Z$489</f>
        <v>0</v>
      </c>
      <c r="AG489" s="6">
        <f>$O$489*$AA$489</f>
        <v>0</v>
      </c>
    </row>
    <row r="490" spans="1:33" ht="11.25" customHeight="1" x14ac:dyDescent="0.3">
      <c r="A490" s="4" t="s">
        <v>28</v>
      </c>
      <c r="B490" s="4" t="s">
        <v>39</v>
      </c>
      <c r="C490" s="4" t="s">
        <v>41</v>
      </c>
      <c r="D490" s="4" t="s">
        <v>46</v>
      </c>
      <c r="E490" s="4" t="s">
        <v>25</v>
      </c>
      <c r="F490" s="4" t="s">
        <v>25</v>
      </c>
      <c r="G490" s="4" t="s">
        <v>25</v>
      </c>
      <c r="H490" s="4" t="s">
        <v>25</v>
      </c>
      <c r="I490" s="5">
        <v>44713</v>
      </c>
      <c r="J490" s="6">
        <v>290</v>
      </c>
      <c r="K490" s="6">
        <v>290</v>
      </c>
      <c r="L490" s="6">
        <v>0</v>
      </c>
      <c r="M490" s="6">
        <v>0</v>
      </c>
      <c r="N490" s="6">
        <v>0</v>
      </c>
      <c r="O490" s="6">
        <v>0</v>
      </c>
      <c r="P490" s="6">
        <v>2</v>
      </c>
      <c r="Q490" s="4" t="s">
        <v>26</v>
      </c>
      <c r="R490" s="4">
        <v>0</v>
      </c>
      <c r="S490" s="6">
        <v>20</v>
      </c>
      <c r="T490" s="6">
        <v>0</v>
      </c>
      <c r="U490" s="6">
        <v>0</v>
      </c>
      <c r="V490" s="6">
        <f>IF(ISERROR(VLOOKUP($S$490,'TAR FIN'!$A$1:$O$113,15,0)),0,VLOOKUP($S$490,'TAR FIN'!$A$1:$O$113,15,0))</f>
        <v>14</v>
      </c>
      <c r="W490" s="6">
        <f>IF(ISERROR(VLOOKUP($T$490,'TAR FIN'!$A$1:$O$113,15,0)),0,VLOOKUP($T$490,'TAR FIN'!$A$1:$O$113,15,0))</f>
        <v>0</v>
      </c>
      <c r="X490" s="6">
        <f>IF(ISERROR(VLOOKUP($U$490,'TAR FIN'!$A$1:$O$113,15,0)),0,VLOOKUP($U$490,'TAR FIN'!$A$1:$O$113,15,0))</f>
        <v>0</v>
      </c>
      <c r="Y490" s="6">
        <f ca="1">('TUSD BE'!$AM$19+'TUSD BF'!$AM$19+'TUSD CVA'!$AM$19)*1</f>
        <v>16.035953923331604</v>
      </c>
      <c r="Z490" s="6"/>
      <c r="AA490" s="6"/>
      <c r="AB490" s="6">
        <f>$K$490*$V$490</f>
        <v>4060</v>
      </c>
      <c r="AC490" s="6">
        <f>$M$490*$W$490</f>
        <v>0</v>
      </c>
      <c r="AD490" s="6">
        <f>$O$490*$X$490</f>
        <v>0</v>
      </c>
      <c r="AE490" s="6">
        <f ca="1">$K$490*$Y$490</f>
        <v>4650.4266377661652</v>
      </c>
      <c r="AF490" s="6">
        <f>$M$490*$Z$490</f>
        <v>0</v>
      </c>
      <c r="AG490" s="6">
        <f>$O$490*$AA$490</f>
        <v>0</v>
      </c>
    </row>
    <row r="491" spans="1:33" ht="11.25" customHeight="1" x14ac:dyDescent="0.3">
      <c r="A491" s="4" t="s">
        <v>21</v>
      </c>
      <c r="B491" s="4" t="s">
        <v>39</v>
      </c>
      <c r="C491" s="4" t="s">
        <v>41</v>
      </c>
      <c r="D491" s="4" t="s">
        <v>46</v>
      </c>
      <c r="E491" s="4" t="s">
        <v>25</v>
      </c>
      <c r="F491" s="4" t="s">
        <v>25</v>
      </c>
      <c r="G491" s="4" t="s">
        <v>25</v>
      </c>
      <c r="H491" s="4" t="s">
        <v>25</v>
      </c>
      <c r="I491" s="5">
        <v>44743</v>
      </c>
      <c r="J491" s="6">
        <v>559</v>
      </c>
      <c r="K491" s="6">
        <v>559</v>
      </c>
      <c r="L491" s="6">
        <v>0</v>
      </c>
      <c r="M491" s="6">
        <v>0</v>
      </c>
      <c r="N491" s="6">
        <v>0</v>
      </c>
      <c r="O491" s="6">
        <v>0</v>
      </c>
      <c r="P491" s="6">
        <v>12</v>
      </c>
      <c r="Q491" s="4" t="s">
        <v>26</v>
      </c>
      <c r="R491" s="4">
        <v>0</v>
      </c>
      <c r="S491" s="6">
        <v>20</v>
      </c>
      <c r="T491" s="6">
        <v>0</v>
      </c>
      <c r="U491" s="6">
        <v>0</v>
      </c>
      <c r="V491" s="6">
        <f>IF(ISERROR(VLOOKUP($S$491,'TAR FIN'!$A$1:$O$113,15,0)),0,VLOOKUP($S$491,'TAR FIN'!$A$1:$O$113,15,0))</f>
        <v>14</v>
      </c>
      <c r="W491" s="6">
        <f>IF(ISERROR(VLOOKUP($T$491,'TAR FIN'!$A$1:$O$113,15,0)),0,VLOOKUP($T$491,'TAR FIN'!$A$1:$O$113,15,0))</f>
        <v>0</v>
      </c>
      <c r="X491" s="6">
        <f>IF(ISERROR(VLOOKUP($U$491,'TAR FIN'!$A$1:$O$113,15,0)),0,VLOOKUP($U$491,'TAR FIN'!$A$1:$O$113,15,0))</f>
        <v>0</v>
      </c>
      <c r="Y491" s="6">
        <f ca="1">('TUSD BE'!$AM$19+'TUSD BF'!$AM$19+'TUSD CVA'!$AM$19)*1</f>
        <v>16.035953923331604</v>
      </c>
      <c r="Z491" s="6"/>
      <c r="AA491" s="6"/>
      <c r="AB491" s="6">
        <f>$K$491*$V$491</f>
        <v>7826</v>
      </c>
      <c r="AC491" s="6">
        <f>$M$491*$W$491</f>
        <v>0</v>
      </c>
      <c r="AD491" s="6">
        <f>$O$491*$X$491</f>
        <v>0</v>
      </c>
      <c r="AE491" s="6">
        <f ca="1">$K$491*$Y$491</f>
        <v>8964.0982431423672</v>
      </c>
      <c r="AF491" s="6">
        <f>$M$491*$Z$491</f>
        <v>0</v>
      </c>
      <c r="AG491" s="6">
        <f>$O$491*$AA$491</f>
        <v>0</v>
      </c>
    </row>
    <row r="492" spans="1:33" ht="11.25" customHeight="1" x14ac:dyDescent="0.3">
      <c r="A492" s="4" t="s">
        <v>21</v>
      </c>
      <c r="B492" s="4" t="s">
        <v>39</v>
      </c>
      <c r="C492" s="4" t="s">
        <v>41</v>
      </c>
      <c r="D492" s="4" t="s">
        <v>46</v>
      </c>
      <c r="E492" s="4" t="s">
        <v>25</v>
      </c>
      <c r="F492" s="4" t="s">
        <v>25</v>
      </c>
      <c r="G492" s="4" t="s">
        <v>25</v>
      </c>
      <c r="H492" s="4" t="s">
        <v>25</v>
      </c>
      <c r="I492" s="5">
        <v>44774</v>
      </c>
      <c r="J492" s="6">
        <v>559</v>
      </c>
      <c r="K492" s="6">
        <v>559</v>
      </c>
      <c r="L492" s="6">
        <v>0</v>
      </c>
      <c r="M492" s="6">
        <v>0</v>
      </c>
      <c r="N492" s="6">
        <v>0</v>
      </c>
      <c r="O492" s="6">
        <v>0</v>
      </c>
      <c r="P492" s="6">
        <v>12</v>
      </c>
      <c r="Q492" s="4" t="s">
        <v>26</v>
      </c>
      <c r="R492" s="4">
        <v>0</v>
      </c>
      <c r="S492" s="6">
        <v>20</v>
      </c>
      <c r="T492" s="6">
        <v>0</v>
      </c>
      <c r="U492" s="6">
        <v>0</v>
      </c>
      <c r="V492" s="6">
        <f>IF(ISERROR(VLOOKUP($S$492,'TAR FIN'!$A$1:$O$113,15,0)),0,VLOOKUP($S$492,'TAR FIN'!$A$1:$O$113,15,0))</f>
        <v>14</v>
      </c>
      <c r="W492" s="6">
        <f>IF(ISERROR(VLOOKUP($T$492,'TAR FIN'!$A$1:$O$113,15,0)),0,VLOOKUP($T$492,'TAR FIN'!$A$1:$O$113,15,0))</f>
        <v>0</v>
      </c>
      <c r="X492" s="6">
        <f>IF(ISERROR(VLOOKUP($U$492,'TAR FIN'!$A$1:$O$113,15,0)),0,VLOOKUP($U$492,'TAR FIN'!$A$1:$O$113,15,0))</f>
        <v>0</v>
      </c>
      <c r="Y492" s="6">
        <f ca="1">('TUSD BE'!$AM$19+'TUSD BF'!$AM$19+'TUSD CVA'!$AM$19)*1</f>
        <v>16.035953923331604</v>
      </c>
      <c r="Z492" s="6"/>
      <c r="AA492" s="6"/>
      <c r="AB492" s="6">
        <f>$K$492*$V$492</f>
        <v>7826</v>
      </c>
      <c r="AC492" s="6">
        <f>$M$492*$W$492</f>
        <v>0</v>
      </c>
      <c r="AD492" s="6">
        <f>$O$492*$X$492</f>
        <v>0</v>
      </c>
      <c r="AE492" s="6">
        <f ca="1">$K$492*$Y$492</f>
        <v>8964.0982431423672</v>
      </c>
      <c r="AF492" s="6">
        <f>$M$492*$Z$492</f>
        <v>0</v>
      </c>
      <c r="AG492" s="6">
        <f>$O$492*$AA$492</f>
        <v>0</v>
      </c>
    </row>
    <row r="493" spans="1:33" ht="11.25" customHeight="1" x14ac:dyDescent="0.3">
      <c r="A493" s="4" t="s">
        <v>28</v>
      </c>
      <c r="B493" s="4" t="s">
        <v>39</v>
      </c>
      <c r="C493" s="4" t="s">
        <v>41</v>
      </c>
      <c r="D493" s="4" t="s">
        <v>46</v>
      </c>
      <c r="E493" s="4" t="s">
        <v>25</v>
      </c>
      <c r="F493" s="4" t="s">
        <v>25</v>
      </c>
      <c r="G493" s="4" t="s">
        <v>25</v>
      </c>
      <c r="H493" s="4" t="s">
        <v>25</v>
      </c>
      <c r="I493" s="5">
        <v>44774</v>
      </c>
      <c r="J493" s="6">
        <v>290</v>
      </c>
      <c r="K493" s="6">
        <v>290</v>
      </c>
      <c r="L493" s="6">
        <v>0</v>
      </c>
      <c r="M493" s="6">
        <v>0</v>
      </c>
      <c r="N493" s="6">
        <v>0</v>
      </c>
      <c r="O493" s="6">
        <v>0</v>
      </c>
      <c r="P493" s="6">
        <v>2</v>
      </c>
      <c r="Q493" s="4" t="s">
        <v>26</v>
      </c>
      <c r="R493" s="4">
        <v>0</v>
      </c>
      <c r="S493" s="6">
        <v>20</v>
      </c>
      <c r="T493" s="6">
        <v>0</v>
      </c>
      <c r="U493" s="6">
        <v>0</v>
      </c>
      <c r="V493" s="6">
        <f>IF(ISERROR(VLOOKUP($S$493,'TAR FIN'!$A$1:$O$113,15,0)),0,VLOOKUP($S$493,'TAR FIN'!$A$1:$O$113,15,0))</f>
        <v>14</v>
      </c>
      <c r="W493" s="6">
        <f>IF(ISERROR(VLOOKUP($T$493,'TAR FIN'!$A$1:$O$113,15,0)),0,VLOOKUP($T$493,'TAR FIN'!$A$1:$O$113,15,0))</f>
        <v>0</v>
      </c>
      <c r="X493" s="6">
        <f>IF(ISERROR(VLOOKUP($U$493,'TAR FIN'!$A$1:$O$113,15,0)),0,VLOOKUP($U$493,'TAR FIN'!$A$1:$O$113,15,0))</f>
        <v>0</v>
      </c>
      <c r="Y493" s="6">
        <f ca="1">('TUSD BE'!$AM$19+'TUSD BF'!$AM$19+'TUSD CVA'!$AM$19)*1</f>
        <v>16.035953923331604</v>
      </c>
      <c r="Z493" s="6"/>
      <c r="AA493" s="6"/>
      <c r="AB493" s="6">
        <f>$K$493*$V$493</f>
        <v>4060</v>
      </c>
      <c r="AC493" s="6">
        <f>$M$493*$W$493</f>
        <v>0</v>
      </c>
      <c r="AD493" s="6">
        <f>$O$493*$X$493</f>
        <v>0</v>
      </c>
      <c r="AE493" s="6">
        <f ca="1">$K$493*$Y$493</f>
        <v>4650.4266377661652</v>
      </c>
      <c r="AF493" s="6">
        <f>$M$493*$Z$493</f>
        <v>0</v>
      </c>
      <c r="AG493" s="6">
        <f>$O$493*$AA$493</f>
        <v>0</v>
      </c>
    </row>
    <row r="494" spans="1:33" ht="11.25" customHeight="1" x14ac:dyDescent="0.3">
      <c r="A494" s="4" t="s">
        <v>21</v>
      </c>
      <c r="B494" s="4" t="s">
        <v>39</v>
      </c>
      <c r="C494" s="4" t="s">
        <v>41</v>
      </c>
      <c r="D494" s="4" t="s">
        <v>46</v>
      </c>
      <c r="E494" s="4" t="s">
        <v>25</v>
      </c>
      <c r="F494" s="4" t="s">
        <v>25</v>
      </c>
      <c r="G494" s="4" t="s">
        <v>25</v>
      </c>
      <c r="H494" s="4" t="s">
        <v>25</v>
      </c>
      <c r="I494" s="5">
        <v>44805</v>
      </c>
      <c r="J494" s="6">
        <v>559</v>
      </c>
      <c r="K494" s="6">
        <v>559</v>
      </c>
      <c r="L494" s="6">
        <v>0</v>
      </c>
      <c r="M494" s="6">
        <v>0</v>
      </c>
      <c r="N494" s="6">
        <v>0</v>
      </c>
      <c r="O494" s="6">
        <v>0</v>
      </c>
      <c r="P494" s="6">
        <v>12</v>
      </c>
      <c r="Q494" s="4" t="s">
        <v>26</v>
      </c>
      <c r="R494" s="4">
        <v>0</v>
      </c>
      <c r="S494" s="6">
        <v>20</v>
      </c>
      <c r="T494" s="6">
        <v>0</v>
      </c>
      <c r="U494" s="6">
        <v>0</v>
      </c>
      <c r="V494" s="6">
        <f>IF(ISERROR(VLOOKUP($S$494,'TAR FIN'!$A$1:$O$113,15,0)),0,VLOOKUP($S$494,'TAR FIN'!$A$1:$O$113,15,0))</f>
        <v>14</v>
      </c>
      <c r="W494" s="6">
        <f>IF(ISERROR(VLOOKUP($T$494,'TAR FIN'!$A$1:$O$113,15,0)),0,VLOOKUP($T$494,'TAR FIN'!$A$1:$O$113,15,0))</f>
        <v>0</v>
      </c>
      <c r="X494" s="6">
        <f>IF(ISERROR(VLOOKUP($U$494,'TAR FIN'!$A$1:$O$113,15,0)),0,VLOOKUP($U$494,'TAR FIN'!$A$1:$O$113,15,0))</f>
        <v>0</v>
      </c>
      <c r="Y494" s="6">
        <f ca="1">('TUSD BE'!$AM$19+'TUSD BF'!$AM$19+'TUSD CVA'!$AM$19)*1</f>
        <v>16.035953923331604</v>
      </c>
      <c r="Z494" s="6"/>
      <c r="AA494" s="6"/>
      <c r="AB494" s="6">
        <f>$K$494*$V$494</f>
        <v>7826</v>
      </c>
      <c r="AC494" s="6">
        <f>$M$494*$W$494</f>
        <v>0</v>
      </c>
      <c r="AD494" s="6">
        <f>$O$494*$X$494</f>
        <v>0</v>
      </c>
      <c r="AE494" s="6">
        <f ca="1">$K$494*$Y$494</f>
        <v>8964.0982431423672</v>
      </c>
      <c r="AF494" s="6">
        <f>$M$494*$Z$494</f>
        <v>0</v>
      </c>
      <c r="AG494" s="6">
        <f>$O$494*$AA$494</f>
        <v>0</v>
      </c>
    </row>
    <row r="495" spans="1:33" ht="11.25" customHeight="1" x14ac:dyDescent="0.3">
      <c r="A495" s="4" t="s">
        <v>28</v>
      </c>
      <c r="B495" s="4" t="s">
        <v>39</v>
      </c>
      <c r="C495" s="4" t="s">
        <v>41</v>
      </c>
      <c r="D495" s="4" t="s">
        <v>46</v>
      </c>
      <c r="E495" s="4" t="s">
        <v>25</v>
      </c>
      <c r="F495" s="4" t="s">
        <v>25</v>
      </c>
      <c r="G495" s="4" t="s">
        <v>25</v>
      </c>
      <c r="H495" s="4" t="s">
        <v>25</v>
      </c>
      <c r="I495" s="5">
        <v>44805</v>
      </c>
      <c r="J495" s="6">
        <v>290</v>
      </c>
      <c r="K495" s="6">
        <v>290</v>
      </c>
      <c r="L495" s="6">
        <v>0</v>
      </c>
      <c r="M495" s="6">
        <v>0</v>
      </c>
      <c r="N495" s="6">
        <v>0</v>
      </c>
      <c r="O495" s="6">
        <v>0</v>
      </c>
      <c r="P495" s="6">
        <v>2</v>
      </c>
      <c r="Q495" s="4" t="s">
        <v>26</v>
      </c>
      <c r="R495" s="4">
        <v>0</v>
      </c>
      <c r="S495" s="6">
        <v>20</v>
      </c>
      <c r="T495" s="6">
        <v>0</v>
      </c>
      <c r="U495" s="6">
        <v>0</v>
      </c>
      <c r="V495" s="6">
        <f>IF(ISERROR(VLOOKUP($S$495,'TAR FIN'!$A$1:$O$113,15,0)),0,VLOOKUP($S$495,'TAR FIN'!$A$1:$O$113,15,0))</f>
        <v>14</v>
      </c>
      <c r="W495" s="6">
        <f>IF(ISERROR(VLOOKUP($T$495,'TAR FIN'!$A$1:$O$113,15,0)),0,VLOOKUP($T$495,'TAR FIN'!$A$1:$O$113,15,0))</f>
        <v>0</v>
      </c>
      <c r="X495" s="6">
        <f>IF(ISERROR(VLOOKUP($U$495,'TAR FIN'!$A$1:$O$113,15,0)),0,VLOOKUP($U$495,'TAR FIN'!$A$1:$O$113,15,0))</f>
        <v>0</v>
      </c>
      <c r="Y495" s="6">
        <f ca="1">('TUSD BE'!$AM$19+'TUSD BF'!$AM$19+'TUSD CVA'!$AM$19)*1</f>
        <v>16.035953923331604</v>
      </c>
      <c r="Z495" s="6"/>
      <c r="AA495" s="6"/>
      <c r="AB495" s="6">
        <f>$K$495*$V$495</f>
        <v>4060</v>
      </c>
      <c r="AC495" s="6">
        <f>$M$495*$W$495</f>
        <v>0</v>
      </c>
      <c r="AD495" s="6">
        <f>$O$495*$X$495</f>
        <v>0</v>
      </c>
      <c r="AE495" s="6">
        <f ca="1">$K$495*$Y$495</f>
        <v>4650.4266377661652</v>
      </c>
      <c r="AF495" s="6">
        <f>$M$495*$Z$495</f>
        <v>0</v>
      </c>
      <c r="AG495" s="6">
        <f>$O$495*$AA$495</f>
        <v>0</v>
      </c>
    </row>
    <row r="496" spans="1:33" ht="11.25" customHeight="1" x14ac:dyDescent="0.3">
      <c r="A496" s="4" t="s">
        <v>53</v>
      </c>
      <c r="B496" s="4" t="s">
        <v>39</v>
      </c>
      <c r="C496" s="4" t="s">
        <v>41</v>
      </c>
      <c r="D496" s="4" t="s">
        <v>46</v>
      </c>
      <c r="E496" s="4" t="s">
        <v>25</v>
      </c>
      <c r="F496" s="4" t="s">
        <v>25</v>
      </c>
      <c r="G496" s="4" t="s">
        <v>25</v>
      </c>
      <c r="H496" s="4" t="s">
        <v>25</v>
      </c>
      <c r="I496" s="5">
        <v>44835</v>
      </c>
      <c r="J496" s="6">
        <v>559</v>
      </c>
      <c r="K496" s="6">
        <v>559</v>
      </c>
      <c r="L496" s="6">
        <v>0</v>
      </c>
      <c r="M496" s="6">
        <v>0</v>
      </c>
      <c r="N496" s="6">
        <v>0</v>
      </c>
      <c r="O496" s="6">
        <v>0</v>
      </c>
      <c r="P496" s="6">
        <v>12</v>
      </c>
      <c r="Q496" s="4" t="s">
        <v>26</v>
      </c>
      <c r="R496" s="4">
        <v>0</v>
      </c>
      <c r="S496" s="6">
        <v>20</v>
      </c>
      <c r="T496" s="6">
        <v>0</v>
      </c>
      <c r="U496" s="6">
        <v>0</v>
      </c>
      <c r="V496" s="6">
        <f>IF(ISERROR(VLOOKUP($S$496,'TAR FIN'!$A$1:$O$113,15,0)),0,VLOOKUP($S$496,'TAR FIN'!$A$1:$O$113,15,0))</f>
        <v>14</v>
      </c>
      <c r="W496" s="6">
        <f>IF(ISERROR(VLOOKUP($T$496,'TAR FIN'!$A$1:$O$113,15,0)),0,VLOOKUP($T$496,'TAR FIN'!$A$1:$O$113,15,0))</f>
        <v>0</v>
      </c>
      <c r="X496" s="6">
        <f>IF(ISERROR(VLOOKUP($U$496,'TAR FIN'!$A$1:$O$113,15,0)),0,VLOOKUP($U$496,'TAR FIN'!$A$1:$O$113,15,0))</f>
        <v>0</v>
      </c>
      <c r="Y496" s="6">
        <f ca="1">('TUSD BE'!$AM$19+'TUSD BF'!$AM$19+'TUSD CVA'!$AM$19)*1</f>
        <v>16.035953923331604</v>
      </c>
      <c r="Z496" s="6"/>
      <c r="AA496" s="6"/>
      <c r="AB496" s="6">
        <f>$K$496*$V$496</f>
        <v>7826</v>
      </c>
      <c r="AC496" s="6">
        <f>$M$496*$W$496</f>
        <v>0</v>
      </c>
      <c r="AD496" s="6">
        <f>$O$496*$X$496</f>
        <v>0</v>
      </c>
      <c r="AE496" s="6">
        <f ca="1">$K$496*$Y$496</f>
        <v>8964.0982431423672</v>
      </c>
      <c r="AF496" s="6">
        <f>$M$496*$Z$496</f>
        <v>0</v>
      </c>
      <c r="AG496" s="6">
        <f>$O$496*$AA$496</f>
        <v>0</v>
      </c>
    </row>
    <row r="497" spans="1:33" ht="11.25" customHeight="1" x14ac:dyDescent="0.3">
      <c r="A497" s="4" t="s">
        <v>53</v>
      </c>
      <c r="B497" s="4" t="s">
        <v>39</v>
      </c>
      <c r="C497" s="4" t="s">
        <v>41</v>
      </c>
      <c r="D497" s="4" t="s">
        <v>46</v>
      </c>
      <c r="E497" s="4" t="s">
        <v>25</v>
      </c>
      <c r="F497" s="4" t="s">
        <v>25</v>
      </c>
      <c r="G497" s="4" t="s">
        <v>25</v>
      </c>
      <c r="H497" s="4" t="s">
        <v>25</v>
      </c>
      <c r="I497" s="5">
        <v>44835</v>
      </c>
      <c r="J497" s="6">
        <v>290</v>
      </c>
      <c r="K497" s="6">
        <v>290</v>
      </c>
      <c r="L497" s="6">
        <v>0</v>
      </c>
      <c r="M497" s="6">
        <v>0</v>
      </c>
      <c r="N497" s="6">
        <v>0</v>
      </c>
      <c r="O497" s="6">
        <v>0</v>
      </c>
      <c r="P497" s="6">
        <v>2</v>
      </c>
      <c r="Q497" s="4" t="s">
        <v>26</v>
      </c>
      <c r="R497" s="4">
        <v>0</v>
      </c>
      <c r="S497" s="6">
        <v>20</v>
      </c>
      <c r="T497" s="6">
        <v>0</v>
      </c>
      <c r="U497" s="6">
        <v>0</v>
      </c>
      <c r="V497" s="6">
        <f>IF(ISERROR(VLOOKUP($S$497,'TAR FIN'!$A$1:$O$113,15,0)),0,VLOOKUP($S$497,'TAR FIN'!$A$1:$O$113,15,0))</f>
        <v>14</v>
      </c>
      <c r="W497" s="6">
        <f>IF(ISERROR(VLOOKUP($T$497,'TAR FIN'!$A$1:$O$113,15,0)),0,VLOOKUP($T$497,'TAR FIN'!$A$1:$O$113,15,0))</f>
        <v>0</v>
      </c>
      <c r="X497" s="6">
        <f>IF(ISERROR(VLOOKUP($U$497,'TAR FIN'!$A$1:$O$113,15,0)),0,VLOOKUP($U$497,'TAR FIN'!$A$1:$O$113,15,0))</f>
        <v>0</v>
      </c>
      <c r="Y497" s="6">
        <f ca="1">('TUSD BE'!$AM$19+'TUSD BF'!$AM$19+'TUSD CVA'!$AM$19)*1</f>
        <v>16.035953923331604</v>
      </c>
      <c r="Z497" s="6"/>
      <c r="AA497" s="6"/>
      <c r="AB497" s="6">
        <f>$K$497*$V$497</f>
        <v>4060</v>
      </c>
      <c r="AC497" s="6">
        <f>$M$497*$W$497</f>
        <v>0</v>
      </c>
      <c r="AD497" s="6">
        <f>$O$497*$X$497</f>
        <v>0</v>
      </c>
      <c r="AE497" s="6">
        <f ca="1">$K$497*$Y$497</f>
        <v>4650.4266377661652</v>
      </c>
      <c r="AF497" s="6">
        <f>$M$497*$Z$497</f>
        <v>0</v>
      </c>
      <c r="AG497" s="6">
        <f>$O$497*$AA$497</f>
        <v>0</v>
      </c>
    </row>
    <row r="498" spans="1:33" ht="11.25" customHeight="1" x14ac:dyDescent="0.3">
      <c r="A498" s="4" t="s">
        <v>21</v>
      </c>
      <c r="B498" s="4" t="s">
        <v>39</v>
      </c>
      <c r="C498" s="4" t="s">
        <v>41</v>
      </c>
      <c r="D498" s="4" t="s">
        <v>46</v>
      </c>
      <c r="E498" s="4" t="s">
        <v>25</v>
      </c>
      <c r="F498" s="4" t="s">
        <v>25</v>
      </c>
      <c r="G498" s="4" t="s">
        <v>25</v>
      </c>
      <c r="H498" s="4" t="s">
        <v>34</v>
      </c>
      <c r="I498" s="5">
        <v>44501</v>
      </c>
      <c r="J498" s="6">
        <v>0</v>
      </c>
      <c r="K498" s="6">
        <v>0</v>
      </c>
      <c r="L498" s="6">
        <v>4.0469999999999997</v>
      </c>
      <c r="M498" s="6">
        <v>4.0469999999999997</v>
      </c>
      <c r="N498" s="6">
        <v>4.0469999999999997</v>
      </c>
      <c r="O498" s="6">
        <v>4.0469999999999997</v>
      </c>
      <c r="P498" s="6">
        <v>0</v>
      </c>
      <c r="Q498" s="4" t="s">
        <v>26</v>
      </c>
      <c r="R498" s="4">
        <v>0</v>
      </c>
      <c r="S498" s="6">
        <v>0</v>
      </c>
      <c r="T498" s="6">
        <v>8</v>
      </c>
      <c r="U498" s="6">
        <v>38</v>
      </c>
      <c r="V498" s="6">
        <f>IF(ISERROR(VLOOKUP($S$498,'TAR FIN'!$A$1:$O$113,15,0)),0,VLOOKUP($S$498,'TAR FIN'!$A$1:$O$113,15,0))</f>
        <v>0</v>
      </c>
      <c r="W498" s="6">
        <f>IF(ISERROR(VLOOKUP($T$498,'TAR FIN'!$A$1:$O$113,15,0)),0,VLOOKUP($T$498,'TAR FIN'!$A$1:$O$113,15,0))</f>
        <v>940.43</v>
      </c>
      <c r="X498" s="6">
        <f>IF(ISERROR(VLOOKUP($U$498,'TAR FIN'!$A$1:$O$113,15,0)),0,VLOOKUP($U$498,'TAR FIN'!$A$1:$O$113,15,0))</f>
        <v>442.86</v>
      </c>
      <c r="Y498" s="6"/>
      <c r="Z498" s="6">
        <f ca="1">('TUSD BE'!$AM$20+'TUSD BF'!$AM$20+'TUSD CVA'!$AM$20)*1</f>
        <v>1117.8285588949407</v>
      </c>
      <c r="AA498" s="6">
        <f>('TE BE'!$AB$9+'TE BF'!$AB$9+'TE CVA'!$AB$9)*1</f>
        <v>486.43608405794748</v>
      </c>
      <c r="AB498" s="6">
        <f>$K$498*$V$498</f>
        <v>0</v>
      </c>
      <c r="AC498" s="6">
        <f>$M$498*$W$498</f>
        <v>3805.9202099999993</v>
      </c>
      <c r="AD498" s="6">
        <f>$O$498*$X$498</f>
        <v>1792.25442</v>
      </c>
      <c r="AE498" s="6">
        <f>$K$498*$Y$498</f>
        <v>0</v>
      </c>
      <c r="AF498" s="6">
        <f ca="1">$M$498*$Z$498</f>
        <v>4523.8521778478244</v>
      </c>
      <c r="AG498" s="6">
        <f>$O$498*$AA$498</f>
        <v>1968.6068321825132</v>
      </c>
    </row>
    <row r="499" spans="1:33" ht="11.25" customHeight="1" x14ac:dyDescent="0.3">
      <c r="A499" s="4" t="s">
        <v>28</v>
      </c>
      <c r="B499" s="4" t="s">
        <v>39</v>
      </c>
      <c r="C499" s="4" t="s">
        <v>41</v>
      </c>
      <c r="D499" s="4" t="s">
        <v>46</v>
      </c>
      <c r="E499" s="4" t="s">
        <v>25</v>
      </c>
      <c r="F499" s="4" t="s">
        <v>25</v>
      </c>
      <c r="G499" s="4" t="s">
        <v>25</v>
      </c>
      <c r="H499" s="4" t="s">
        <v>34</v>
      </c>
      <c r="I499" s="5">
        <v>44501</v>
      </c>
      <c r="J499" s="6">
        <v>0</v>
      </c>
      <c r="K499" s="6">
        <v>0</v>
      </c>
      <c r="L499" s="6">
        <v>1.3049999999999999</v>
      </c>
      <c r="M499" s="6">
        <v>1.3049999999999999</v>
      </c>
      <c r="N499" s="6">
        <v>1.3049999999999999</v>
      </c>
      <c r="O499" s="6">
        <v>1.3049999999999999</v>
      </c>
      <c r="P499" s="6">
        <v>0</v>
      </c>
      <c r="Q499" s="4" t="s">
        <v>26</v>
      </c>
      <c r="R499" s="4">
        <v>0</v>
      </c>
      <c r="S499" s="6">
        <v>0</v>
      </c>
      <c r="T499" s="6">
        <v>8</v>
      </c>
      <c r="U499" s="6">
        <v>38</v>
      </c>
      <c r="V499" s="6">
        <f>IF(ISERROR(VLOOKUP($S$499,'TAR FIN'!$A$1:$O$113,15,0)),0,VLOOKUP($S$499,'TAR FIN'!$A$1:$O$113,15,0))</f>
        <v>0</v>
      </c>
      <c r="W499" s="6">
        <f>IF(ISERROR(VLOOKUP($T$499,'TAR FIN'!$A$1:$O$113,15,0)),0,VLOOKUP($T$499,'TAR FIN'!$A$1:$O$113,15,0))</f>
        <v>940.43</v>
      </c>
      <c r="X499" s="6">
        <f>IF(ISERROR(VLOOKUP($U$499,'TAR FIN'!$A$1:$O$113,15,0)),0,VLOOKUP($U$499,'TAR FIN'!$A$1:$O$113,15,0))</f>
        <v>442.86</v>
      </c>
      <c r="Y499" s="6"/>
      <c r="Z499" s="6">
        <f ca="1">('TUSD BE'!$AM$20+'TUSD BF'!$AM$20+'TUSD CVA'!$AM$20)*1</f>
        <v>1117.8285588949407</v>
      </c>
      <c r="AA499" s="6">
        <f>('TE BE'!$AB$9+'TE BF'!$AB$9+'TE CVA'!$AB$9)*1</f>
        <v>486.43608405794748</v>
      </c>
      <c r="AB499" s="6">
        <f>$K$499*$V$499</f>
        <v>0</v>
      </c>
      <c r="AC499" s="6">
        <f>$M$499*$W$499</f>
        <v>1227.2611499999998</v>
      </c>
      <c r="AD499" s="6">
        <f>$O$499*$X$499</f>
        <v>577.93229999999994</v>
      </c>
      <c r="AE499" s="6">
        <f>$K$499*$Y$499</f>
        <v>0</v>
      </c>
      <c r="AF499" s="6">
        <f ca="1">$M$499*$Z$499</f>
        <v>1458.7662693578975</v>
      </c>
      <c r="AG499" s="6">
        <f>$O$499*$AA$499</f>
        <v>634.79908969562143</v>
      </c>
    </row>
    <row r="500" spans="1:33" ht="11.25" customHeight="1" x14ac:dyDescent="0.3">
      <c r="A500" s="4" t="s">
        <v>21</v>
      </c>
      <c r="B500" s="4" t="s">
        <v>39</v>
      </c>
      <c r="C500" s="4" t="s">
        <v>41</v>
      </c>
      <c r="D500" s="4" t="s">
        <v>46</v>
      </c>
      <c r="E500" s="4" t="s">
        <v>25</v>
      </c>
      <c r="F500" s="4" t="s">
        <v>25</v>
      </c>
      <c r="G500" s="4" t="s">
        <v>25</v>
      </c>
      <c r="H500" s="4" t="s">
        <v>34</v>
      </c>
      <c r="I500" s="5">
        <v>44531</v>
      </c>
      <c r="J500" s="6">
        <v>0</v>
      </c>
      <c r="K500" s="6">
        <v>0</v>
      </c>
      <c r="L500" s="6">
        <v>3.786</v>
      </c>
      <c r="M500" s="6">
        <v>3.786</v>
      </c>
      <c r="N500" s="6">
        <v>3.786</v>
      </c>
      <c r="O500" s="6">
        <v>3.786</v>
      </c>
      <c r="P500" s="6">
        <v>0</v>
      </c>
      <c r="Q500" s="4" t="s">
        <v>26</v>
      </c>
      <c r="R500" s="4">
        <v>0</v>
      </c>
      <c r="S500" s="6">
        <v>0</v>
      </c>
      <c r="T500" s="6">
        <v>8</v>
      </c>
      <c r="U500" s="6">
        <v>38</v>
      </c>
      <c r="V500" s="6">
        <f>IF(ISERROR(VLOOKUP($S$500,'TAR FIN'!$A$1:$O$113,15,0)),0,VLOOKUP($S$500,'TAR FIN'!$A$1:$O$113,15,0))</f>
        <v>0</v>
      </c>
      <c r="W500" s="6">
        <f>IF(ISERROR(VLOOKUP($T$500,'TAR FIN'!$A$1:$O$113,15,0)),0,VLOOKUP($T$500,'TAR FIN'!$A$1:$O$113,15,0))</f>
        <v>940.43</v>
      </c>
      <c r="X500" s="6">
        <f>IF(ISERROR(VLOOKUP($U$500,'TAR FIN'!$A$1:$O$113,15,0)),0,VLOOKUP($U$500,'TAR FIN'!$A$1:$O$113,15,0))</f>
        <v>442.86</v>
      </c>
      <c r="Y500" s="6"/>
      <c r="Z500" s="6">
        <f ca="1">('TUSD BE'!$AM$20+'TUSD BF'!$AM$20+'TUSD CVA'!$AM$20)*1</f>
        <v>1117.8285588949407</v>
      </c>
      <c r="AA500" s="6">
        <f>('TE BE'!$AB$9+'TE BF'!$AB$9+'TE CVA'!$AB$9)*1</f>
        <v>486.43608405794748</v>
      </c>
      <c r="AB500" s="6">
        <f>$K$500*$V$500</f>
        <v>0</v>
      </c>
      <c r="AC500" s="6">
        <f>$M$500*$W$500</f>
        <v>3560.4679799999999</v>
      </c>
      <c r="AD500" s="6">
        <f>$O$500*$X$500</f>
        <v>1676.66796</v>
      </c>
      <c r="AE500" s="6">
        <f>$K$500*$Y$500</f>
        <v>0</v>
      </c>
      <c r="AF500" s="6">
        <f ca="1">$M$500*$Z$500</f>
        <v>4232.0989239762457</v>
      </c>
      <c r="AG500" s="6">
        <f>$O$500*$AA$500</f>
        <v>1841.6470142433891</v>
      </c>
    </row>
    <row r="501" spans="1:33" ht="11.25" customHeight="1" x14ac:dyDescent="0.3">
      <c r="A501" s="4" t="s">
        <v>28</v>
      </c>
      <c r="B501" s="4" t="s">
        <v>39</v>
      </c>
      <c r="C501" s="4" t="s">
        <v>41</v>
      </c>
      <c r="D501" s="4" t="s">
        <v>46</v>
      </c>
      <c r="E501" s="4" t="s">
        <v>25</v>
      </c>
      <c r="F501" s="4" t="s">
        <v>25</v>
      </c>
      <c r="G501" s="4" t="s">
        <v>25</v>
      </c>
      <c r="H501" s="4" t="s">
        <v>34</v>
      </c>
      <c r="I501" s="5">
        <v>44531</v>
      </c>
      <c r="J501" s="6">
        <v>0</v>
      </c>
      <c r="K501" s="6">
        <v>0</v>
      </c>
      <c r="L501" s="6">
        <v>1.1319999999999999</v>
      </c>
      <c r="M501" s="6">
        <v>1.1319999999999999</v>
      </c>
      <c r="N501" s="6">
        <v>1.1319999999999999</v>
      </c>
      <c r="O501" s="6">
        <v>1.1319999999999999</v>
      </c>
      <c r="P501" s="6">
        <v>0</v>
      </c>
      <c r="Q501" s="4" t="s">
        <v>26</v>
      </c>
      <c r="R501" s="4">
        <v>0</v>
      </c>
      <c r="S501" s="6">
        <v>0</v>
      </c>
      <c r="T501" s="6">
        <v>8</v>
      </c>
      <c r="U501" s="6">
        <v>38</v>
      </c>
      <c r="V501" s="6">
        <f>IF(ISERROR(VLOOKUP($S$501,'TAR FIN'!$A$1:$O$113,15,0)),0,VLOOKUP($S$501,'TAR FIN'!$A$1:$O$113,15,0))</f>
        <v>0</v>
      </c>
      <c r="W501" s="6">
        <f>IF(ISERROR(VLOOKUP($T$501,'TAR FIN'!$A$1:$O$113,15,0)),0,VLOOKUP($T$501,'TAR FIN'!$A$1:$O$113,15,0))</f>
        <v>940.43</v>
      </c>
      <c r="X501" s="6">
        <f>IF(ISERROR(VLOOKUP($U$501,'TAR FIN'!$A$1:$O$113,15,0)),0,VLOOKUP($U$501,'TAR FIN'!$A$1:$O$113,15,0))</f>
        <v>442.86</v>
      </c>
      <c r="Y501" s="6"/>
      <c r="Z501" s="6">
        <f ca="1">('TUSD BE'!$AM$20+'TUSD BF'!$AM$20+'TUSD CVA'!$AM$20)*1</f>
        <v>1117.8285588949407</v>
      </c>
      <c r="AA501" s="6">
        <f>('TE BE'!$AB$9+'TE BF'!$AB$9+'TE CVA'!$AB$9)*1</f>
        <v>486.43608405794748</v>
      </c>
      <c r="AB501" s="6">
        <f>$K$501*$V$501</f>
        <v>0</v>
      </c>
      <c r="AC501" s="6">
        <f>$M$501*$W$501</f>
        <v>1064.5667599999999</v>
      </c>
      <c r="AD501" s="6">
        <f>$O$501*$X$501</f>
        <v>501.31751999999994</v>
      </c>
      <c r="AE501" s="6">
        <f>$K$501*$Y$501</f>
        <v>0</v>
      </c>
      <c r="AF501" s="6">
        <f ca="1">$M$501*$Z$501</f>
        <v>1265.3819286690727</v>
      </c>
      <c r="AG501" s="6">
        <f>$O$501*$AA$501</f>
        <v>550.64564715359654</v>
      </c>
    </row>
    <row r="502" spans="1:33" ht="11.25" customHeight="1" x14ac:dyDescent="0.3">
      <c r="A502" s="4" t="s">
        <v>21</v>
      </c>
      <c r="B502" s="4" t="s">
        <v>39</v>
      </c>
      <c r="C502" s="4" t="s">
        <v>41</v>
      </c>
      <c r="D502" s="4" t="s">
        <v>46</v>
      </c>
      <c r="E502" s="4" t="s">
        <v>25</v>
      </c>
      <c r="F502" s="4" t="s">
        <v>25</v>
      </c>
      <c r="G502" s="4" t="s">
        <v>25</v>
      </c>
      <c r="H502" s="4" t="s">
        <v>34</v>
      </c>
      <c r="I502" s="5">
        <v>44562</v>
      </c>
      <c r="J502" s="6">
        <v>0</v>
      </c>
      <c r="K502" s="6">
        <v>0</v>
      </c>
      <c r="L502" s="6">
        <v>3.9630000000000001</v>
      </c>
      <c r="M502" s="6">
        <v>3.9630000000000001</v>
      </c>
      <c r="N502" s="6">
        <v>3.9630000000000001</v>
      </c>
      <c r="O502" s="6">
        <v>3.9630000000000001</v>
      </c>
      <c r="P502" s="6">
        <v>0</v>
      </c>
      <c r="Q502" s="4" t="s">
        <v>26</v>
      </c>
      <c r="R502" s="4">
        <v>0</v>
      </c>
      <c r="S502" s="6">
        <v>0</v>
      </c>
      <c r="T502" s="6">
        <v>8</v>
      </c>
      <c r="U502" s="6">
        <v>38</v>
      </c>
      <c r="V502" s="6">
        <f>IF(ISERROR(VLOOKUP($S$502,'TAR FIN'!$A$1:$O$113,15,0)),0,VLOOKUP($S$502,'TAR FIN'!$A$1:$O$113,15,0))</f>
        <v>0</v>
      </c>
      <c r="W502" s="6">
        <f>IF(ISERROR(VLOOKUP($T$502,'TAR FIN'!$A$1:$O$113,15,0)),0,VLOOKUP($T$502,'TAR FIN'!$A$1:$O$113,15,0))</f>
        <v>940.43</v>
      </c>
      <c r="X502" s="6">
        <f>IF(ISERROR(VLOOKUP($U$502,'TAR FIN'!$A$1:$O$113,15,0)),0,VLOOKUP($U$502,'TAR FIN'!$A$1:$O$113,15,0))</f>
        <v>442.86</v>
      </c>
      <c r="Y502" s="6"/>
      <c r="Z502" s="6">
        <f ca="1">('TUSD BE'!$AM$20+'TUSD BF'!$AM$20+'TUSD CVA'!$AM$20)*1</f>
        <v>1117.8285588949407</v>
      </c>
      <c r="AA502" s="6">
        <f>('TE BE'!$AB$9+'TE BF'!$AB$9+'TE CVA'!$AB$9)*1</f>
        <v>486.43608405794748</v>
      </c>
      <c r="AB502" s="6">
        <f>$K$502*$V$502</f>
        <v>0</v>
      </c>
      <c r="AC502" s="6">
        <f>$M$502*$W$502</f>
        <v>3726.92409</v>
      </c>
      <c r="AD502" s="6">
        <f>$O$502*$X$502</f>
        <v>1755.0541800000001</v>
      </c>
      <c r="AE502" s="6">
        <f>$K$502*$Y$502</f>
        <v>0</v>
      </c>
      <c r="AF502" s="6">
        <f ca="1">$M$502*$Z$502</f>
        <v>4429.9545789006497</v>
      </c>
      <c r="AG502" s="6">
        <f>$O$502*$AA$502</f>
        <v>1927.746201121646</v>
      </c>
    </row>
    <row r="503" spans="1:33" ht="11.25" customHeight="1" x14ac:dyDescent="0.3">
      <c r="A503" s="4" t="s">
        <v>28</v>
      </c>
      <c r="B503" s="4" t="s">
        <v>39</v>
      </c>
      <c r="C503" s="4" t="s">
        <v>41</v>
      </c>
      <c r="D503" s="4" t="s">
        <v>46</v>
      </c>
      <c r="E503" s="4" t="s">
        <v>25</v>
      </c>
      <c r="F503" s="4" t="s">
        <v>25</v>
      </c>
      <c r="G503" s="4" t="s">
        <v>25</v>
      </c>
      <c r="H503" s="4" t="s">
        <v>34</v>
      </c>
      <c r="I503" s="5">
        <v>44562</v>
      </c>
      <c r="J503" s="6">
        <v>0</v>
      </c>
      <c r="K503" s="6">
        <v>0</v>
      </c>
      <c r="L503" s="6">
        <v>0.89100000000000001</v>
      </c>
      <c r="M503" s="6">
        <v>0.89100000000000001</v>
      </c>
      <c r="N503" s="6">
        <v>0.89100000000000001</v>
      </c>
      <c r="O503" s="6">
        <v>0.89100000000000001</v>
      </c>
      <c r="P503" s="6">
        <v>0</v>
      </c>
      <c r="Q503" s="4" t="s">
        <v>26</v>
      </c>
      <c r="R503" s="4">
        <v>0</v>
      </c>
      <c r="S503" s="6">
        <v>0</v>
      </c>
      <c r="T503" s="6">
        <v>8</v>
      </c>
      <c r="U503" s="6">
        <v>38</v>
      </c>
      <c r="V503" s="6">
        <f>IF(ISERROR(VLOOKUP($S$503,'TAR FIN'!$A$1:$O$113,15,0)),0,VLOOKUP($S$503,'TAR FIN'!$A$1:$O$113,15,0))</f>
        <v>0</v>
      </c>
      <c r="W503" s="6">
        <f>IF(ISERROR(VLOOKUP($T$503,'TAR FIN'!$A$1:$O$113,15,0)),0,VLOOKUP($T$503,'TAR FIN'!$A$1:$O$113,15,0))</f>
        <v>940.43</v>
      </c>
      <c r="X503" s="6">
        <f>IF(ISERROR(VLOOKUP($U$503,'TAR FIN'!$A$1:$O$113,15,0)),0,VLOOKUP($U$503,'TAR FIN'!$A$1:$O$113,15,0))</f>
        <v>442.86</v>
      </c>
      <c r="Y503" s="6"/>
      <c r="Z503" s="6">
        <f ca="1">('TUSD BE'!$AM$20+'TUSD BF'!$AM$20+'TUSD CVA'!$AM$20)*1</f>
        <v>1117.8285588949407</v>
      </c>
      <c r="AA503" s="6">
        <f>('TE BE'!$AB$9+'TE BF'!$AB$9+'TE CVA'!$AB$9)*1</f>
        <v>486.43608405794748</v>
      </c>
      <c r="AB503" s="6">
        <f>$K$503*$V$503</f>
        <v>0</v>
      </c>
      <c r="AC503" s="6">
        <f>$M$503*$W$503</f>
        <v>837.92313000000001</v>
      </c>
      <c r="AD503" s="6">
        <f>$O$503*$X$503</f>
        <v>394.58825999999999</v>
      </c>
      <c r="AE503" s="6">
        <f>$K$503*$Y$503</f>
        <v>0</v>
      </c>
      <c r="AF503" s="6">
        <f ca="1">$M$503*$Z$503</f>
        <v>995.9852459753921</v>
      </c>
      <c r="AG503" s="6">
        <f>$O$503*$AA$503</f>
        <v>433.41455089563124</v>
      </c>
    </row>
    <row r="504" spans="1:33" ht="11.25" customHeight="1" x14ac:dyDescent="0.3">
      <c r="A504" s="4" t="s">
        <v>21</v>
      </c>
      <c r="B504" s="4" t="s">
        <v>39</v>
      </c>
      <c r="C504" s="4" t="s">
        <v>41</v>
      </c>
      <c r="D504" s="4" t="s">
        <v>46</v>
      </c>
      <c r="E504" s="4" t="s">
        <v>25</v>
      </c>
      <c r="F504" s="4" t="s">
        <v>25</v>
      </c>
      <c r="G504" s="4" t="s">
        <v>25</v>
      </c>
      <c r="H504" s="4" t="s">
        <v>34</v>
      </c>
      <c r="I504" s="5">
        <v>44593</v>
      </c>
      <c r="J504" s="6">
        <v>0</v>
      </c>
      <c r="K504" s="6">
        <v>0</v>
      </c>
      <c r="L504" s="6">
        <v>3.8090000000000002</v>
      </c>
      <c r="M504" s="6">
        <v>3.8090000000000002</v>
      </c>
      <c r="N504" s="6">
        <v>3.8090000000000002</v>
      </c>
      <c r="O504" s="6">
        <v>3.8090000000000002</v>
      </c>
      <c r="P504" s="6">
        <v>0</v>
      </c>
      <c r="Q504" s="4" t="s">
        <v>26</v>
      </c>
      <c r="R504" s="4">
        <v>0</v>
      </c>
      <c r="S504" s="6">
        <v>0</v>
      </c>
      <c r="T504" s="6">
        <v>8</v>
      </c>
      <c r="U504" s="6">
        <v>38</v>
      </c>
      <c r="V504" s="6">
        <f>IF(ISERROR(VLOOKUP($S$504,'TAR FIN'!$A$1:$O$113,15,0)),0,VLOOKUP($S$504,'TAR FIN'!$A$1:$O$113,15,0))</f>
        <v>0</v>
      </c>
      <c r="W504" s="6">
        <f>IF(ISERROR(VLOOKUP($T$504,'TAR FIN'!$A$1:$O$113,15,0)),0,VLOOKUP($T$504,'TAR FIN'!$A$1:$O$113,15,0))</f>
        <v>940.43</v>
      </c>
      <c r="X504" s="6">
        <f>IF(ISERROR(VLOOKUP($U$504,'TAR FIN'!$A$1:$O$113,15,0)),0,VLOOKUP($U$504,'TAR FIN'!$A$1:$O$113,15,0))</f>
        <v>442.86</v>
      </c>
      <c r="Y504" s="6"/>
      <c r="Z504" s="6">
        <f ca="1">('TUSD BE'!$AM$20+'TUSD BF'!$AM$20+'TUSD CVA'!$AM$20)*1</f>
        <v>1117.8285588949407</v>
      </c>
      <c r="AA504" s="6">
        <f>('TE BE'!$AB$9+'TE BF'!$AB$9+'TE CVA'!$AB$9)*1</f>
        <v>486.43608405794748</v>
      </c>
      <c r="AB504" s="6">
        <f>$K$504*$V$504</f>
        <v>0</v>
      </c>
      <c r="AC504" s="6">
        <f>$M$504*$W$504</f>
        <v>3582.0978700000001</v>
      </c>
      <c r="AD504" s="6">
        <f>$O$504*$X$504</f>
        <v>1686.85374</v>
      </c>
      <c r="AE504" s="6">
        <f>$K$504*$Y$504</f>
        <v>0</v>
      </c>
      <c r="AF504" s="6">
        <f ca="1">$M$504*$Z$504</f>
        <v>4257.8089808308296</v>
      </c>
      <c r="AG504" s="6">
        <f>$O$504*$AA$504</f>
        <v>1852.835044176722</v>
      </c>
    </row>
    <row r="505" spans="1:33" ht="11.25" customHeight="1" x14ac:dyDescent="0.3">
      <c r="A505" s="4" t="s">
        <v>28</v>
      </c>
      <c r="B505" s="4" t="s">
        <v>39</v>
      </c>
      <c r="C505" s="4" t="s">
        <v>41</v>
      </c>
      <c r="D505" s="4" t="s">
        <v>46</v>
      </c>
      <c r="E505" s="4" t="s">
        <v>25</v>
      </c>
      <c r="F505" s="4" t="s">
        <v>25</v>
      </c>
      <c r="G505" s="4" t="s">
        <v>25</v>
      </c>
      <c r="H505" s="4" t="s">
        <v>34</v>
      </c>
      <c r="I505" s="5">
        <v>44593</v>
      </c>
      <c r="J505" s="6">
        <v>0</v>
      </c>
      <c r="K505" s="6">
        <v>0</v>
      </c>
      <c r="L505" s="6">
        <v>0.66700000000000004</v>
      </c>
      <c r="M505" s="6">
        <v>0.66700000000000004</v>
      </c>
      <c r="N505" s="6">
        <v>0.66700000000000004</v>
      </c>
      <c r="O505" s="6">
        <v>0.66700000000000004</v>
      </c>
      <c r="P505" s="6">
        <v>0</v>
      </c>
      <c r="Q505" s="4" t="s">
        <v>26</v>
      </c>
      <c r="R505" s="4">
        <v>0</v>
      </c>
      <c r="S505" s="6">
        <v>0</v>
      </c>
      <c r="T505" s="6">
        <v>8</v>
      </c>
      <c r="U505" s="6">
        <v>38</v>
      </c>
      <c r="V505" s="6">
        <f>IF(ISERROR(VLOOKUP($S$505,'TAR FIN'!$A$1:$O$113,15,0)),0,VLOOKUP($S$505,'TAR FIN'!$A$1:$O$113,15,0))</f>
        <v>0</v>
      </c>
      <c r="W505" s="6">
        <f>IF(ISERROR(VLOOKUP($T$505,'TAR FIN'!$A$1:$O$113,15,0)),0,VLOOKUP($T$505,'TAR FIN'!$A$1:$O$113,15,0))</f>
        <v>940.43</v>
      </c>
      <c r="X505" s="6">
        <f>IF(ISERROR(VLOOKUP($U$505,'TAR FIN'!$A$1:$O$113,15,0)),0,VLOOKUP($U$505,'TAR FIN'!$A$1:$O$113,15,0))</f>
        <v>442.86</v>
      </c>
      <c r="Y505" s="6"/>
      <c r="Z505" s="6">
        <f ca="1">('TUSD BE'!$AM$20+'TUSD BF'!$AM$20+'TUSD CVA'!$AM$20)*1</f>
        <v>1117.8285588949407</v>
      </c>
      <c r="AA505" s="6">
        <f>('TE BE'!$AB$9+'TE BF'!$AB$9+'TE CVA'!$AB$9)*1</f>
        <v>486.43608405794748</v>
      </c>
      <c r="AB505" s="6">
        <f>$K$505*$V$505</f>
        <v>0</v>
      </c>
      <c r="AC505" s="6">
        <f>$M$505*$W$505</f>
        <v>627.26680999999996</v>
      </c>
      <c r="AD505" s="6">
        <f>$O$505*$X$505</f>
        <v>295.38762000000003</v>
      </c>
      <c r="AE505" s="6">
        <f>$K$505*$Y$505</f>
        <v>0</v>
      </c>
      <c r="AF505" s="6">
        <f ca="1">$M$505*$Z$505</f>
        <v>745.59164878292552</v>
      </c>
      <c r="AG505" s="6">
        <f>$O$505*$AA$505</f>
        <v>324.45286806665098</v>
      </c>
    </row>
    <row r="506" spans="1:33" ht="11.25" customHeight="1" x14ac:dyDescent="0.3">
      <c r="A506" s="4" t="s">
        <v>21</v>
      </c>
      <c r="B506" s="4" t="s">
        <v>39</v>
      </c>
      <c r="C506" s="4" t="s">
        <v>41</v>
      </c>
      <c r="D506" s="4" t="s">
        <v>46</v>
      </c>
      <c r="E506" s="4" t="s">
        <v>25</v>
      </c>
      <c r="F506" s="4" t="s">
        <v>25</v>
      </c>
      <c r="G506" s="4" t="s">
        <v>25</v>
      </c>
      <c r="H506" s="4" t="s">
        <v>34</v>
      </c>
      <c r="I506" s="5">
        <v>44621</v>
      </c>
      <c r="J506" s="6">
        <v>0</v>
      </c>
      <c r="K506" s="6">
        <v>0</v>
      </c>
      <c r="L506" s="6">
        <v>4.0229999999999997</v>
      </c>
      <c r="M506" s="6">
        <v>4.0229999999999997</v>
      </c>
      <c r="N506" s="6">
        <v>4.0229999999999997</v>
      </c>
      <c r="O506" s="6">
        <v>4.0229999999999997</v>
      </c>
      <c r="P506" s="6">
        <v>0</v>
      </c>
      <c r="Q506" s="4" t="s">
        <v>26</v>
      </c>
      <c r="R506" s="4">
        <v>0</v>
      </c>
      <c r="S506" s="6">
        <v>0</v>
      </c>
      <c r="T506" s="6">
        <v>8</v>
      </c>
      <c r="U506" s="6">
        <v>38</v>
      </c>
      <c r="V506" s="6">
        <f>IF(ISERROR(VLOOKUP($S$506,'TAR FIN'!$A$1:$O$113,15,0)),0,VLOOKUP($S$506,'TAR FIN'!$A$1:$O$113,15,0))</f>
        <v>0</v>
      </c>
      <c r="W506" s="6">
        <f>IF(ISERROR(VLOOKUP($T$506,'TAR FIN'!$A$1:$O$113,15,0)),0,VLOOKUP($T$506,'TAR FIN'!$A$1:$O$113,15,0))</f>
        <v>940.43</v>
      </c>
      <c r="X506" s="6">
        <f>IF(ISERROR(VLOOKUP($U$506,'TAR FIN'!$A$1:$O$113,15,0)),0,VLOOKUP($U$506,'TAR FIN'!$A$1:$O$113,15,0))</f>
        <v>442.86</v>
      </c>
      <c r="Y506" s="6"/>
      <c r="Z506" s="6">
        <f ca="1">('TUSD BE'!$AM$20+'TUSD BF'!$AM$20+'TUSD CVA'!$AM$20)*1</f>
        <v>1117.8285588949407</v>
      </c>
      <c r="AA506" s="6">
        <f>('TE BE'!$AB$9+'TE BF'!$AB$9+'TE CVA'!$AB$9)*1</f>
        <v>486.43608405794748</v>
      </c>
      <c r="AB506" s="6">
        <f>$K$506*$V$506</f>
        <v>0</v>
      </c>
      <c r="AC506" s="6">
        <f>$M$506*$W$506</f>
        <v>3783.3498899999995</v>
      </c>
      <c r="AD506" s="6">
        <f>$O$506*$X$506</f>
        <v>1781.6257799999998</v>
      </c>
      <c r="AE506" s="6">
        <f>$K$506*$Y$506</f>
        <v>0</v>
      </c>
      <c r="AF506" s="6">
        <f ca="1">$M$506*$Z$506</f>
        <v>4497.0242924343456</v>
      </c>
      <c r="AG506" s="6">
        <f>$O$506*$AA$506</f>
        <v>1956.9323661651226</v>
      </c>
    </row>
    <row r="507" spans="1:33" ht="11.25" customHeight="1" x14ac:dyDescent="0.3">
      <c r="A507" s="4" t="s">
        <v>28</v>
      </c>
      <c r="B507" s="4" t="s">
        <v>39</v>
      </c>
      <c r="C507" s="4" t="s">
        <v>41</v>
      </c>
      <c r="D507" s="4" t="s">
        <v>46</v>
      </c>
      <c r="E507" s="4" t="s">
        <v>25</v>
      </c>
      <c r="F507" s="4" t="s">
        <v>25</v>
      </c>
      <c r="G507" s="4" t="s">
        <v>25</v>
      </c>
      <c r="H507" s="4" t="s">
        <v>34</v>
      </c>
      <c r="I507" s="5">
        <v>44621</v>
      </c>
      <c r="J507" s="6">
        <v>0</v>
      </c>
      <c r="K507" s="6">
        <v>0</v>
      </c>
      <c r="L507" s="6">
        <v>1.0129999999999999</v>
      </c>
      <c r="M507" s="6">
        <v>1.0129999999999999</v>
      </c>
      <c r="N507" s="6">
        <v>1.0129999999999999</v>
      </c>
      <c r="O507" s="6">
        <v>1.0129999999999999</v>
      </c>
      <c r="P507" s="6">
        <v>0</v>
      </c>
      <c r="Q507" s="4" t="s">
        <v>26</v>
      </c>
      <c r="R507" s="4">
        <v>0</v>
      </c>
      <c r="S507" s="6">
        <v>0</v>
      </c>
      <c r="T507" s="6">
        <v>8</v>
      </c>
      <c r="U507" s="6">
        <v>38</v>
      </c>
      <c r="V507" s="6">
        <f>IF(ISERROR(VLOOKUP($S$507,'TAR FIN'!$A$1:$O$113,15,0)),0,VLOOKUP($S$507,'TAR FIN'!$A$1:$O$113,15,0))</f>
        <v>0</v>
      </c>
      <c r="W507" s="6">
        <f>IF(ISERROR(VLOOKUP($T$507,'TAR FIN'!$A$1:$O$113,15,0)),0,VLOOKUP($T$507,'TAR FIN'!$A$1:$O$113,15,0))</f>
        <v>940.43</v>
      </c>
      <c r="X507" s="6">
        <f>IF(ISERROR(VLOOKUP($U$507,'TAR FIN'!$A$1:$O$113,15,0)),0,VLOOKUP($U$507,'TAR FIN'!$A$1:$O$113,15,0))</f>
        <v>442.86</v>
      </c>
      <c r="Y507" s="6"/>
      <c r="Z507" s="6">
        <f ca="1">('TUSD BE'!$AM$20+'TUSD BF'!$AM$20+'TUSD CVA'!$AM$20)*1</f>
        <v>1117.8285588949407</v>
      </c>
      <c r="AA507" s="6">
        <f>('TE BE'!$AB$9+'TE BF'!$AB$9+'TE CVA'!$AB$9)*1</f>
        <v>486.43608405794748</v>
      </c>
      <c r="AB507" s="6">
        <f>$K$507*$V$507</f>
        <v>0</v>
      </c>
      <c r="AC507" s="6">
        <f>$M$507*$W$507</f>
        <v>952.65558999999985</v>
      </c>
      <c r="AD507" s="6">
        <f>$O$507*$X$507</f>
        <v>448.61717999999996</v>
      </c>
      <c r="AE507" s="6">
        <f>$K$507*$Y$507</f>
        <v>0</v>
      </c>
      <c r="AF507" s="6">
        <f ca="1">$M$507*$Z$507</f>
        <v>1132.3603301605747</v>
      </c>
      <c r="AG507" s="6">
        <f>$O$507*$AA$507</f>
        <v>492.75975315070076</v>
      </c>
    </row>
    <row r="508" spans="1:33" ht="11.25" customHeight="1" x14ac:dyDescent="0.3">
      <c r="A508" s="4" t="s">
        <v>21</v>
      </c>
      <c r="B508" s="4" t="s">
        <v>39</v>
      </c>
      <c r="C508" s="4" t="s">
        <v>41</v>
      </c>
      <c r="D508" s="4" t="s">
        <v>46</v>
      </c>
      <c r="E508" s="4" t="s">
        <v>25</v>
      </c>
      <c r="F508" s="4" t="s">
        <v>25</v>
      </c>
      <c r="G508" s="4" t="s">
        <v>25</v>
      </c>
      <c r="H508" s="4" t="s">
        <v>34</v>
      </c>
      <c r="I508" s="5">
        <v>44652</v>
      </c>
      <c r="J508" s="6">
        <v>0</v>
      </c>
      <c r="K508" s="6">
        <v>0</v>
      </c>
      <c r="L508" s="6">
        <v>4.7590000000000003</v>
      </c>
      <c r="M508" s="6">
        <v>4.7590000000000003</v>
      </c>
      <c r="N508" s="6">
        <v>4.7590000000000003</v>
      </c>
      <c r="O508" s="6">
        <v>4.7590000000000003</v>
      </c>
      <c r="P508" s="6">
        <v>0</v>
      </c>
      <c r="Q508" s="4" t="s">
        <v>26</v>
      </c>
      <c r="R508" s="4">
        <v>0</v>
      </c>
      <c r="S508" s="6">
        <v>0</v>
      </c>
      <c r="T508" s="6">
        <v>8</v>
      </c>
      <c r="U508" s="6">
        <v>38</v>
      </c>
      <c r="V508" s="6">
        <f>IF(ISERROR(VLOOKUP($S$508,'TAR FIN'!$A$1:$O$113,15,0)),0,VLOOKUP($S$508,'TAR FIN'!$A$1:$O$113,15,0))</f>
        <v>0</v>
      </c>
      <c r="W508" s="6">
        <f>IF(ISERROR(VLOOKUP($T$508,'TAR FIN'!$A$1:$O$113,15,0)),0,VLOOKUP($T$508,'TAR FIN'!$A$1:$O$113,15,0))</f>
        <v>940.43</v>
      </c>
      <c r="X508" s="6">
        <f>IF(ISERROR(VLOOKUP($U$508,'TAR FIN'!$A$1:$O$113,15,0)),0,VLOOKUP($U$508,'TAR FIN'!$A$1:$O$113,15,0))</f>
        <v>442.86</v>
      </c>
      <c r="Y508" s="6"/>
      <c r="Z508" s="6">
        <f ca="1">('TUSD BE'!$AM$20+'TUSD BF'!$AM$20+'TUSD CVA'!$AM$20)*1</f>
        <v>1117.8285588949407</v>
      </c>
      <c r="AA508" s="6">
        <f>('TE BE'!$AB$9+'TE BF'!$AB$9+'TE CVA'!$AB$9)*1</f>
        <v>486.43608405794748</v>
      </c>
      <c r="AB508" s="6">
        <f>$K$508*$V$508</f>
        <v>0</v>
      </c>
      <c r="AC508" s="6">
        <f>$M$508*$W$508</f>
        <v>4475.5063700000001</v>
      </c>
      <c r="AD508" s="6">
        <f>$O$508*$X$508</f>
        <v>2107.5707400000001</v>
      </c>
      <c r="AE508" s="6">
        <f>$K$508*$Y$508</f>
        <v>0</v>
      </c>
      <c r="AF508" s="6">
        <f ca="1">$M$508*$Z$508</f>
        <v>5319.7461117810226</v>
      </c>
      <c r="AG508" s="6">
        <f>$O$508*$AA$508</f>
        <v>2314.9493240317724</v>
      </c>
    </row>
    <row r="509" spans="1:33" ht="11.25" customHeight="1" x14ac:dyDescent="0.3">
      <c r="A509" s="4" t="s">
        <v>28</v>
      </c>
      <c r="B509" s="4" t="s">
        <v>39</v>
      </c>
      <c r="C509" s="4" t="s">
        <v>41</v>
      </c>
      <c r="D509" s="4" t="s">
        <v>46</v>
      </c>
      <c r="E509" s="4" t="s">
        <v>25</v>
      </c>
      <c r="F509" s="4" t="s">
        <v>25</v>
      </c>
      <c r="G509" s="4" t="s">
        <v>25</v>
      </c>
      <c r="H509" s="4" t="s">
        <v>34</v>
      </c>
      <c r="I509" s="5">
        <v>44652</v>
      </c>
      <c r="J509" s="6">
        <v>0</v>
      </c>
      <c r="K509" s="6">
        <v>0</v>
      </c>
      <c r="L509" s="6">
        <v>1.726</v>
      </c>
      <c r="M509" s="6">
        <v>1.726</v>
      </c>
      <c r="N509" s="6">
        <v>1.726</v>
      </c>
      <c r="O509" s="6">
        <v>1.726</v>
      </c>
      <c r="P509" s="6">
        <v>0</v>
      </c>
      <c r="Q509" s="4" t="s">
        <v>26</v>
      </c>
      <c r="R509" s="4">
        <v>0</v>
      </c>
      <c r="S509" s="6">
        <v>0</v>
      </c>
      <c r="T509" s="6">
        <v>8</v>
      </c>
      <c r="U509" s="6">
        <v>38</v>
      </c>
      <c r="V509" s="6">
        <f>IF(ISERROR(VLOOKUP($S$509,'TAR FIN'!$A$1:$O$113,15,0)),0,VLOOKUP($S$509,'TAR FIN'!$A$1:$O$113,15,0))</f>
        <v>0</v>
      </c>
      <c r="W509" s="6">
        <f>IF(ISERROR(VLOOKUP($T$509,'TAR FIN'!$A$1:$O$113,15,0)),0,VLOOKUP($T$509,'TAR FIN'!$A$1:$O$113,15,0))</f>
        <v>940.43</v>
      </c>
      <c r="X509" s="6">
        <f>IF(ISERROR(VLOOKUP($U$509,'TAR FIN'!$A$1:$O$113,15,0)),0,VLOOKUP($U$509,'TAR FIN'!$A$1:$O$113,15,0))</f>
        <v>442.86</v>
      </c>
      <c r="Y509" s="6"/>
      <c r="Z509" s="6">
        <f ca="1">('TUSD BE'!$AM$20+'TUSD BF'!$AM$20+'TUSD CVA'!$AM$20)*1</f>
        <v>1117.8285588949407</v>
      </c>
      <c r="AA509" s="6">
        <f>('TE BE'!$AB$9+'TE BF'!$AB$9+'TE CVA'!$AB$9)*1</f>
        <v>486.43608405794748</v>
      </c>
      <c r="AB509" s="6">
        <f>$K$509*$V$509</f>
        <v>0</v>
      </c>
      <c r="AC509" s="6">
        <f>$M$509*$W$509</f>
        <v>1623.1821799999998</v>
      </c>
      <c r="AD509" s="6">
        <f>$O$509*$X$509</f>
        <v>764.37635999999998</v>
      </c>
      <c r="AE509" s="6">
        <f>$K$509*$Y$509</f>
        <v>0</v>
      </c>
      <c r="AF509" s="6">
        <f ca="1">$M$509*$Z$509</f>
        <v>1929.3720926526676</v>
      </c>
      <c r="AG509" s="6">
        <f>$O$509*$AA$509</f>
        <v>839.58868108401737</v>
      </c>
    </row>
    <row r="510" spans="1:33" ht="11.25" customHeight="1" x14ac:dyDescent="0.3">
      <c r="A510" s="4" t="s">
        <v>21</v>
      </c>
      <c r="B510" s="4" t="s">
        <v>39</v>
      </c>
      <c r="C510" s="4" t="s">
        <v>41</v>
      </c>
      <c r="D510" s="4" t="s">
        <v>46</v>
      </c>
      <c r="E510" s="4" t="s">
        <v>25</v>
      </c>
      <c r="F510" s="4" t="s">
        <v>25</v>
      </c>
      <c r="G510" s="4" t="s">
        <v>25</v>
      </c>
      <c r="H510" s="4" t="s">
        <v>34</v>
      </c>
      <c r="I510" s="5">
        <v>44682</v>
      </c>
      <c r="J510" s="6">
        <v>0</v>
      </c>
      <c r="K510" s="6">
        <v>0</v>
      </c>
      <c r="L510" s="6">
        <v>4.3949999999999996</v>
      </c>
      <c r="M510" s="6">
        <v>4.3949999999999996</v>
      </c>
      <c r="N510" s="6">
        <v>4.3949999999999996</v>
      </c>
      <c r="O510" s="6">
        <v>4.3949999999999996</v>
      </c>
      <c r="P510" s="6">
        <v>0</v>
      </c>
      <c r="Q510" s="4" t="s">
        <v>26</v>
      </c>
      <c r="R510" s="4">
        <v>0</v>
      </c>
      <c r="S510" s="6">
        <v>0</v>
      </c>
      <c r="T510" s="6">
        <v>8</v>
      </c>
      <c r="U510" s="6">
        <v>38</v>
      </c>
      <c r="V510" s="6">
        <f>IF(ISERROR(VLOOKUP($S$510,'TAR FIN'!$A$1:$O$113,15,0)),0,VLOOKUP($S$510,'TAR FIN'!$A$1:$O$113,15,0))</f>
        <v>0</v>
      </c>
      <c r="W510" s="6">
        <f>IF(ISERROR(VLOOKUP($T$510,'TAR FIN'!$A$1:$O$113,15,0)),0,VLOOKUP($T$510,'TAR FIN'!$A$1:$O$113,15,0))</f>
        <v>940.43</v>
      </c>
      <c r="X510" s="6">
        <f>IF(ISERROR(VLOOKUP($U$510,'TAR FIN'!$A$1:$O$113,15,0)),0,VLOOKUP($U$510,'TAR FIN'!$A$1:$O$113,15,0))</f>
        <v>442.86</v>
      </c>
      <c r="Y510" s="6"/>
      <c r="Z510" s="6">
        <f ca="1">('TUSD BE'!$AM$20+'TUSD BF'!$AM$20+'TUSD CVA'!$AM$20)*1</f>
        <v>1117.8285588949407</v>
      </c>
      <c r="AA510" s="6">
        <f>('TE BE'!$AB$9+'TE BF'!$AB$9+'TE CVA'!$AB$9)*1</f>
        <v>486.43608405794748</v>
      </c>
      <c r="AB510" s="6">
        <f>$K$510*$V$510</f>
        <v>0</v>
      </c>
      <c r="AC510" s="6">
        <f>$M$510*$W$510</f>
        <v>4133.1898499999998</v>
      </c>
      <c r="AD510" s="6">
        <f>$O$510*$X$510</f>
        <v>1946.3697</v>
      </c>
      <c r="AE510" s="6">
        <f>$K$510*$Y$510</f>
        <v>0</v>
      </c>
      <c r="AF510" s="6">
        <f ca="1">$M$510*$Z$510</f>
        <v>4912.856516343264</v>
      </c>
      <c r="AG510" s="6">
        <f>$O$510*$AA$510</f>
        <v>2137.8865894346791</v>
      </c>
    </row>
    <row r="511" spans="1:33" ht="11.25" customHeight="1" x14ac:dyDescent="0.3">
      <c r="A511" s="4" t="s">
        <v>28</v>
      </c>
      <c r="B511" s="4" t="s">
        <v>39</v>
      </c>
      <c r="C511" s="4" t="s">
        <v>41</v>
      </c>
      <c r="D511" s="4" t="s">
        <v>46</v>
      </c>
      <c r="E511" s="4" t="s">
        <v>25</v>
      </c>
      <c r="F511" s="4" t="s">
        <v>25</v>
      </c>
      <c r="G511" s="4" t="s">
        <v>25</v>
      </c>
      <c r="H511" s="4" t="s">
        <v>34</v>
      </c>
      <c r="I511" s="5">
        <v>44682</v>
      </c>
      <c r="J511" s="6">
        <v>0</v>
      </c>
      <c r="K511" s="6">
        <v>0</v>
      </c>
      <c r="L511" s="6">
        <v>1.68</v>
      </c>
      <c r="M511" s="6">
        <v>1.68</v>
      </c>
      <c r="N511" s="6">
        <v>1.68</v>
      </c>
      <c r="O511" s="6">
        <v>1.68</v>
      </c>
      <c r="P511" s="6">
        <v>0</v>
      </c>
      <c r="Q511" s="4" t="s">
        <v>26</v>
      </c>
      <c r="R511" s="4">
        <v>0</v>
      </c>
      <c r="S511" s="6">
        <v>0</v>
      </c>
      <c r="T511" s="6">
        <v>8</v>
      </c>
      <c r="U511" s="6">
        <v>38</v>
      </c>
      <c r="V511" s="6">
        <f>IF(ISERROR(VLOOKUP($S$511,'TAR FIN'!$A$1:$O$113,15,0)),0,VLOOKUP($S$511,'TAR FIN'!$A$1:$O$113,15,0))</f>
        <v>0</v>
      </c>
      <c r="W511" s="6">
        <f>IF(ISERROR(VLOOKUP($T$511,'TAR FIN'!$A$1:$O$113,15,0)),0,VLOOKUP($T$511,'TAR FIN'!$A$1:$O$113,15,0))</f>
        <v>940.43</v>
      </c>
      <c r="X511" s="6">
        <f>IF(ISERROR(VLOOKUP($U$511,'TAR FIN'!$A$1:$O$113,15,0)),0,VLOOKUP($U$511,'TAR FIN'!$A$1:$O$113,15,0))</f>
        <v>442.86</v>
      </c>
      <c r="Y511" s="6"/>
      <c r="Z511" s="6">
        <f ca="1">('TUSD BE'!$AM$20+'TUSD BF'!$AM$20+'TUSD CVA'!$AM$20)*1</f>
        <v>1117.8285588949407</v>
      </c>
      <c r="AA511" s="6">
        <f>('TE BE'!$AB$9+'TE BF'!$AB$9+'TE CVA'!$AB$9)*1</f>
        <v>486.43608405794748</v>
      </c>
      <c r="AB511" s="6">
        <f>$K$511*$V$511</f>
        <v>0</v>
      </c>
      <c r="AC511" s="6">
        <f>$M$511*$W$511</f>
        <v>1579.9223999999999</v>
      </c>
      <c r="AD511" s="6">
        <f>$O$511*$X$511</f>
        <v>744.00480000000005</v>
      </c>
      <c r="AE511" s="6">
        <f>$K$511*$Y$511</f>
        <v>0</v>
      </c>
      <c r="AF511" s="6">
        <f ca="1">$M$511*$Z$511</f>
        <v>1877.9519789435003</v>
      </c>
      <c r="AG511" s="6">
        <f>$O$511*$AA$511</f>
        <v>817.21262121735174</v>
      </c>
    </row>
    <row r="512" spans="1:33" ht="11.25" customHeight="1" x14ac:dyDescent="0.3">
      <c r="A512" s="4" t="s">
        <v>21</v>
      </c>
      <c r="B512" s="4" t="s">
        <v>39</v>
      </c>
      <c r="C512" s="4" t="s">
        <v>41</v>
      </c>
      <c r="D512" s="4" t="s">
        <v>46</v>
      </c>
      <c r="E512" s="4" t="s">
        <v>25</v>
      </c>
      <c r="F512" s="4" t="s">
        <v>25</v>
      </c>
      <c r="G512" s="4" t="s">
        <v>25</v>
      </c>
      <c r="H512" s="4" t="s">
        <v>34</v>
      </c>
      <c r="I512" s="5">
        <v>44713</v>
      </c>
      <c r="J512" s="6">
        <v>0</v>
      </c>
      <c r="K512" s="6">
        <v>0</v>
      </c>
      <c r="L512" s="6">
        <v>4.6749999999999998</v>
      </c>
      <c r="M512" s="6">
        <v>4.6749999999999998</v>
      </c>
      <c r="N512" s="6">
        <v>4.6749999999999998</v>
      </c>
      <c r="O512" s="6">
        <v>4.6749999999999998</v>
      </c>
      <c r="P512" s="6">
        <v>0</v>
      </c>
      <c r="Q512" s="4" t="s">
        <v>26</v>
      </c>
      <c r="R512" s="4">
        <v>0</v>
      </c>
      <c r="S512" s="6">
        <v>0</v>
      </c>
      <c r="T512" s="6">
        <v>8</v>
      </c>
      <c r="U512" s="6">
        <v>38</v>
      </c>
      <c r="V512" s="6">
        <f>IF(ISERROR(VLOOKUP($S$512,'TAR FIN'!$A$1:$O$113,15,0)),0,VLOOKUP($S$512,'TAR FIN'!$A$1:$O$113,15,0))</f>
        <v>0</v>
      </c>
      <c r="W512" s="6">
        <f>IF(ISERROR(VLOOKUP($T$512,'TAR FIN'!$A$1:$O$113,15,0)),0,VLOOKUP($T$512,'TAR FIN'!$A$1:$O$113,15,0))</f>
        <v>940.43</v>
      </c>
      <c r="X512" s="6">
        <f>IF(ISERROR(VLOOKUP($U$512,'TAR FIN'!$A$1:$O$113,15,0)),0,VLOOKUP($U$512,'TAR FIN'!$A$1:$O$113,15,0))</f>
        <v>442.86</v>
      </c>
      <c r="Y512" s="6"/>
      <c r="Z512" s="6">
        <f ca="1">('TUSD BE'!$AM$20+'TUSD BF'!$AM$20+'TUSD CVA'!$AM$20)*1</f>
        <v>1117.8285588949407</v>
      </c>
      <c r="AA512" s="6">
        <f>('TE BE'!$AB$9+'TE BF'!$AB$9+'TE CVA'!$AB$9)*1</f>
        <v>486.43608405794748</v>
      </c>
      <c r="AB512" s="6">
        <f>$K$512*$V$512</f>
        <v>0</v>
      </c>
      <c r="AC512" s="6">
        <f>$M$512*$W$512</f>
        <v>4396.5102499999994</v>
      </c>
      <c r="AD512" s="6">
        <f>$O$512*$X$512</f>
        <v>2070.3705</v>
      </c>
      <c r="AE512" s="6">
        <f>$K$512*$Y$512</f>
        <v>0</v>
      </c>
      <c r="AF512" s="6">
        <f ca="1">$M$512*$Z$512</f>
        <v>5225.8485128338471</v>
      </c>
      <c r="AG512" s="6">
        <f>$O$512*$AA$512</f>
        <v>2274.0886929709045</v>
      </c>
    </row>
    <row r="513" spans="1:33" ht="11.25" customHeight="1" x14ac:dyDescent="0.3">
      <c r="A513" s="4" t="s">
        <v>28</v>
      </c>
      <c r="B513" s="4" t="s">
        <v>39</v>
      </c>
      <c r="C513" s="4" t="s">
        <v>41</v>
      </c>
      <c r="D513" s="4" t="s">
        <v>46</v>
      </c>
      <c r="E513" s="4" t="s">
        <v>25</v>
      </c>
      <c r="F513" s="4" t="s">
        <v>25</v>
      </c>
      <c r="G513" s="4" t="s">
        <v>25</v>
      </c>
      <c r="H513" s="4" t="s">
        <v>34</v>
      </c>
      <c r="I513" s="5">
        <v>44713</v>
      </c>
      <c r="J513" s="6">
        <v>0</v>
      </c>
      <c r="K513" s="6">
        <v>0</v>
      </c>
      <c r="L513" s="6">
        <v>2.4609999999999999</v>
      </c>
      <c r="M513" s="6">
        <v>2.4609999999999999</v>
      </c>
      <c r="N513" s="6">
        <v>2.4609999999999999</v>
      </c>
      <c r="O513" s="6">
        <v>2.4609999999999999</v>
      </c>
      <c r="P513" s="6">
        <v>0</v>
      </c>
      <c r="Q513" s="4" t="s">
        <v>26</v>
      </c>
      <c r="R513" s="4">
        <v>0</v>
      </c>
      <c r="S513" s="6">
        <v>0</v>
      </c>
      <c r="T513" s="6">
        <v>8</v>
      </c>
      <c r="U513" s="6">
        <v>38</v>
      </c>
      <c r="V513" s="6">
        <f>IF(ISERROR(VLOOKUP($S$513,'TAR FIN'!$A$1:$O$113,15,0)),0,VLOOKUP($S$513,'TAR FIN'!$A$1:$O$113,15,0))</f>
        <v>0</v>
      </c>
      <c r="W513" s="6">
        <f>IF(ISERROR(VLOOKUP($T$513,'TAR FIN'!$A$1:$O$113,15,0)),0,VLOOKUP($T$513,'TAR FIN'!$A$1:$O$113,15,0))</f>
        <v>940.43</v>
      </c>
      <c r="X513" s="6">
        <f>IF(ISERROR(VLOOKUP($U$513,'TAR FIN'!$A$1:$O$113,15,0)),0,VLOOKUP($U$513,'TAR FIN'!$A$1:$O$113,15,0))</f>
        <v>442.86</v>
      </c>
      <c r="Y513" s="6"/>
      <c r="Z513" s="6">
        <f ca="1">('TUSD BE'!$AM$20+'TUSD BF'!$AM$20+'TUSD CVA'!$AM$20)*1</f>
        <v>1117.8285588949407</v>
      </c>
      <c r="AA513" s="6">
        <f>('TE BE'!$AB$9+'TE BF'!$AB$9+'TE CVA'!$AB$9)*1</f>
        <v>486.43608405794748</v>
      </c>
      <c r="AB513" s="6">
        <f>$K$513*$V$513</f>
        <v>0</v>
      </c>
      <c r="AC513" s="6">
        <f>$M$513*$W$513</f>
        <v>2314.3982299999998</v>
      </c>
      <c r="AD513" s="6">
        <f>$O$513*$X$513</f>
        <v>1089.8784599999999</v>
      </c>
      <c r="AE513" s="6">
        <f>$K$513*$Y$513</f>
        <v>0</v>
      </c>
      <c r="AF513" s="6">
        <f ca="1">$M$513*$Z$513</f>
        <v>2750.9760834404487</v>
      </c>
      <c r="AG513" s="6">
        <f>$O$513*$AA$513</f>
        <v>1197.1192028666087</v>
      </c>
    </row>
    <row r="514" spans="1:33" ht="11.25" customHeight="1" x14ac:dyDescent="0.3">
      <c r="A514" s="4" t="s">
        <v>21</v>
      </c>
      <c r="B514" s="4" t="s">
        <v>39</v>
      </c>
      <c r="C514" s="4" t="s">
        <v>41</v>
      </c>
      <c r="D514" s="4" t="s">
        <v>46</v>
      </c>
      <c r="E514" s="4" t="s">
        <v>25</v>
      </c>
      <c r="F514" s="4" t="s">
        <v>25</v>
      </c>
      <c r="G514" s="4" t="s">
        <v>25</v>
      </c>
      <c r="H514" s="4" t="s">
        <v>34</v>
      </c>
      <c r="I514" s="5">
        <v>44743</v>
      </c>
      <c r="J514" s="6">
        <v>0</v>
      </c>
      <c r="K514" s="6">
        <v>0</v>
      </c>
      <c r="L514" s="6">
        <v>4.4320000000000004</v>
      </c>
      <c r="M514" s="6">
        <v>4.4320000000000004</v>
      </c>
      <c r="N514" s="6">
        <v>4.4320000000000004</v>
      </c>
      <c r="O514" s="6">
        <v>4.4320000000000004</v>
      </c>
      <c r="P514" s="6">
        <v>0</v>
      </c>
      <c r="Q514" s="4" t="s">
        <v>26</v>
      </c>
      <c r="R514" s="4">
        <v>0</v>
      </c>
      <c r="S514" s="6">
        <v>0</v>
      </c>
      <c r="T514" s="6">
        <v>8</v>
      </c>
      <c r="U514" s="6">
        <v>38</v>
      </c>
      <c r="V514" s="6">
        <f>IF(ISERROR(VLOOKUP($S$514,'TAR FIN'!$A$1:$O$113,15,0)),0,VLOOKUP($S$514,'TAR FIN'!$A$1:$O$113,15,0))</f>
        <v>0</v>
      </c>
      <c r="W514" s="6">
        <f>IF(ISERROR(VLOOKUP($T$514,'TAR FIN'!$A$1:$O$113,15,0)),0,VLOOKUP($T$514,'TAR FIN'!$A$1:$O$113,15,0))</f>
        <v>940.43</v>
      </c>
      <c r="X514" s="6">
        <f>IF(ISERROR(VLOOKUP($U$514,'TAR FIN'!$A$1:$O$113,15,0)),0,VLOOKUP($U$514,'TAR FIN'!$A$1:$O$113,15,0))</f>
        <v>442.86</v>
      </c>
      <c r="Y514" s="6"/>
      <c r="Z514" s="6">
        <f ca="1">('TUSD BE'!$AM$20+'TUSD BF'!$AM$20+'TUSD CVA'!$AM$20)*1</f>
        <v>1117.8285588949407</v>
      </c>
      <c r="AA514" s="6">
        <f>('TE BE'!$AB$9+'TE BF'!$AB$9+'TE CVA'!$AB$9)*1</f>
        <v>486.43608405794748</v>
      </c>
      <c r="AB514" s="6">
        <f>$K$514*$V$514</f>
        <v>0</v>
      </c>
      <c r="AC514" s="6">
        <f>$M$514*$W$514</f>
        <v>4167.9857600000005</v>
      </c>
      <c r="AD514" s="6">
        <f>$O$514*$X$514</f>
        <v>1962.7555200000002</v>
      </c>
      <c r="AE514" s="6">
        <f>$K$514*$Y$514</f>
        <v>0</v>
      </c>
      <c r="AF514" s="6">
        <f ca="1">$M$514*$Z$514</f>
        <v>4954.2161730223779</v>
      </c>
      <c r="AG514" s="6">
        <f>$O$514*$AA$514</f>
        <v>2155.8847245448233</v>
      </c>
    </row>
    <row r="515" spans="1:33" ht="11.25" customHeight="1" x14ac:dyDescent="0.3">
      <c r="A515" s="4" t="s">
        <v>21</v>
      </c>
      <c r="B515" s="4" t="s">
        <v>39</v>
      </c>
      <c r="C515" s="4" t="s">
        <v>41</v>
      </c>
      <c r="D515" s="4" t="s">
        <v>46</v>
      </c>
      <c r="E515" s="4" t="s">
        <v>25</v>
      </c>
      <c r="F515" s="4" t="s">
        <v>25</v>
      </c>
      <c r="G515" s="4" t="s">
        <v>25</v>
      </c>
      <c r="H515" s="4" t="s">
        <v>34</v>
      </c>
      <c r="I515" s="5">
        <v>44774</v>
      </c>
      <c r="J515" s="6">
        <v>0</v>
      </c>
      <c r="K515" s="6">
        <v>0</v>
      </c>
      <c r="L515" s="6">
        <v>4.1310000000000002</v>
      </c>
      <c r="M515" s="6">
        <v>4.1310000000000002</v>
      </c>
      <c r="N515" s="6">
        <v>4.1310000000000002</v>
      </c>
      <c r="O515" s="6">
        <v>4.1310000000000002</v>
      </c>
      <c r="P515" s="6">
        <v>0</v>
      </c>
      <c r="Q515" s="4" t="s">
        <v>26</v>
      </c>
      <c r="R515" s="4">
        <v>0</v>
      </c>
      <c r="S515" s="6">
        <v>0</v>
      </c>
      <c r="T515" s="6">
        <v>8</v>
      </c>
      <c r="U515" s="6">
        <v>38</v>
      </c>
      <c r="V515" s="6">
        <f>IF(ISERROR(VLOOKUP($S$515,'TAR FIN'!$A$1:$O$113,15,0)),0,VLOOKUP($S$515,'TAR FIN'!$A$1:$O$113,15,0))</f>
        <v>0</v>
      </c>
      <c r="W515" s="6">
        <f>IF(ISERROR(VLOOKUP($T$515,'TAR FIN'!$A$1:$O$113,15,0)),0,VLOOKUP($T$515,'TAR FIN'!$A$1:$O$113,15,0))</f>
        <v>940.43</v>
      </c>
      <c r="X515" s="6">
        <f>IF(ISERROR(VLOOKUP($U$515,'TAR FIN'!$A$1:$O$113,15,0)),0,VLOOKUP($U$515,'TAR FIN'!$A$1:$O$113,15,0))</f>
        <v>442.86</v>
      </c>
      <c r="Y515" s="6"/>
      <c r="Z515" s="6">
        <f ca="1">('TUSD BE'!$AM$20+'TUSD BF'!$AM$20+'TUSD CVA'!$AM$20)*1</f>
        <v>1117.8285588949407</v>
      </c>
      <c r="AA515" s="6">
        <f>('TE BE'!$AB$9+'TE BF'!$AB$9+'TE CVA'!$AB$9)*1</f>
        <v>486.43608405794748</v>
      </c>
      <c r="AB515" s="6">
        <f>$K$515*$V$515</f>
        <v>0</v>
      </c>
      <c r="AC515" s="6">
        <f>$M$515*$W$515</f>
        <v>3884.91633</v>
      </c>
      <c r="AD515" s="6">
        <f>$O$515*$X$515</f>
        <v>1829.4546600000001</v>
      </c>
      <c r="AE515" s="6">
        <f>$K$515*$Y$515</f>
        <v>0</v>
      </c>
      <c r="AF515" s="6">
        <f ca="1">$M$515*$Z$515</f>
        <v>4617.7497767949999</v>
      </c>
      <c r="AG515" s="6">
        <f>$O$515*$AA$515</f>
        <v>2009.4674632433812</v>
      </c>
    </row>
    <row r="516" spans="1:33" ht="11.25" customHeight="1" x14ac:dyDescent="0.3">
      <c r="A516" s="4" t="s">
        <v>28</v>
      </c>
      <c r="B516" s="4" t="s">
        <v>39</v>
      </c>
      <c r="C516" s="4" t="s">
        <v>41</v>
      </c>
      <c r="D516" s="4" t="s">
        <v>46</v>
      </c>
      <c r="E516" s="4" t="s">
        <v>25</v>
      </c>
      <c r="F516" s="4" t="s">
        <v>25</v>
      </c>
      <c r="G516" s="4" t="s">
        <v>25</v>
      </c>
      <c r="H516" s="4" t="s">
        <v>34</v>
      </c>
      <c r="I516" s="5">
        <v>44774</v>
      </c>
      <c r="J516" s="6">
        <v>0</v>
      </c>
      <c r="K516" s="6">
        <v>0</v>
      </c>
      <c r="L516" s="6">
        <v>3.6379999999999999</v>
      </c>
      <c r="M516" s="6">
        <v>3.6379999999999999</v>
      </c>
      <c r="N516" s="6">
        <v>3.6379999999999999</v>
      </c>
      <c r="O516" s="6">
        <v>3.6379999999999999</v>
      </c>
      <c r="P516" s="6">
        <v>0</v>
      </c>
      <c r="Q516" s="4" t="s">
        <v>26</v>
      </c>
      <c r="R516" s="4">
        <v>0</v>
      </c>
      <c r="S516" s="6">
        <v>0</v>
      </c>
      <c r="T516" s="6">
        <v>8</v>
      </c>
      <c r="U516" s="6">
        <v>38</v>
      </c>
      <c r="V516" s="6">
        <f>IF(ISERROR(VLOOKUP($S$516,'TAR FIN'!$A$1:$O$113,15,0)),0,VLOOKUP($S$516,'TAR FIN'!$A$1:$O$113,15,0))</f>
        <v>0</v>
      </c>
      <c r="W516" s="6">
        <f>IF(ISERROR(VLOOKUP($T$516,'TAR FIN'!$A$1:$O$113,15,0)),0,VLOOKUP($T$516,'TAR FIN'!$A$1:$O$113,15,0))</f>
        <v>940.43</v>
      </c>
      <c r="X516" s="6">
        <f>IF(ISERROR(VLOOKUP($U$516,'TAR FIN'!$A$1:$O$113,15,0)),0,VLOOKUP($U$516,'TAR FIN'!$A$1:$O$113,15,0))</f>
        <v>442.86</v>
      </c>
      <c r="Y516" s="6"/>
      <c r="Z516" s="6">
        <f ca="1">('TUSD BE'!$AM$20+'TUSD BF'!$AM$20+'TUSD CVA'!$AM$20)*1</f>
        <v>1117.8285588949407</v>
      </c>
      <c r="AA516" s="6">
        <f>('TE BE'!$AB$9+'TE BF'!$AB$9+'TE CVA'!$AB$9)*1</f>
        <v>486.43608405794748</v>
      </c>
      <c r="AB516" s="6">
        <f>$K$516*$V$516</f>
        <v>0</v>
      </c>
      <c r="AC516" s="6">
        <f>$M$516*$W$516</f>
        <v>3421.2843399999997</v>
      </c>
      <c r="AD516" s="6">
        <f>$O$516*$X$516</f>
        <v>1611.1246799999999</v>
      </c>
      <c r="AE516" s="6">
        <f>$K$516*$Y$516</f>
        <v>0</v>
      </c>
      <c r="AF516" s="6">
        <f ca="1">$M$516*$Z$516</f>
        <v>4066.6602972597939</v>
      </c>
      <c r="AG516" s="6">
        <f>$O$516*$AA$516</f>
        <v>1769.6544738028128</v>
      </c>
    </row>
    <row r="517" spans="1:33" ht="11.25" customHeight="1" x14ac:dyDescent="0.3">
      <c r="A517" s="4" t="s">
        <v>21</v>
      </c>
      <c r="B517" s="4" t="s">
        <v>39</v>
      </c>
      <c r="C517" s="4" t="s">
        <v>41</v>
      </c>
      <c r="D517" s="4" t="s">
        <v>46</v>
      </c>
      <c r="E517" s="4" t="s">
        <v>25</v>
      </c>
      <c r="F517" s="4" t="s">
        <v>25</v>
      </c>
      <c r="G517" s="4" t="s">
        <v>25</v>
      </c>
      <c r="H517" s="4" t="s">
        <v>34</v>
      </c>
      <c r="I517" s="5">
        <v>44805</v>
      </c>
      <c r="J517" s="6">
        <v>0</v>
      </c>
      <c r="K517" s="6">
        <v>0</v>
      </c>
      <c r="L517" s="6">
        <v>4.6980000000000004</v>
      </c>
      <c r="M517" s="6">
        <v>4.6980000000000004</v>
      </c>
      <c r="N517" s="6">
        <v>4.6980000000000004</v>
      </c>
      <c r="O517" s="6">
        <v>4.6980000000000004</v>
      </c>
      <c r="P517" s="6">
        <v>0</v>
      </c>
      <c r="Q517" s="4" t="s">
        <v>26</v>
      </c>
      <c r="R517" s="4">
        <v>0</v>
      </c>
      <c r="S517" s="6">
        <v>0</v>
      </c>
      <c r="T517" s="6">
        <v>8</v>
      </c>
      <c r="U517" s="6">
        <v>38</v>
      </c>
      <c r="V517" s="6">
        <f>IF(ISERROR(VLOOKUP($S$517,'TAR FIN'!$A$1:$O$113,15,0)),0,VLOOKUP($S$517,'TAR FIN'!$A$1:$O$113,15,0))</f>
        <v>0</v>
      </c>
      <c r="W517" s="6">
        <f>IF(ISERROR(VLOOKUP($T$517,'TAR FIN'!$A$1:$O$113,15,0)),0,VLOOKUP($T$517,'TAR FIN'!$A$1:$O$113,15,0))</f>
        <v>940.43</v>
      </c>
      <c r="X517" s="6">
        <f>IF(ISERROR(VLOOKUP($U$517,'TAR FIN'!$A$1:$O$113,15,0)),0,VLOOKUP($U$517,'TAR FIN'!$A$1:$O$113,15,0))</f>
        <v>442.86</v>
      </c>
      <c r="Y517" s="6"/>
      <c r="Z517" s="6">
        <f ca="1">('TUSD BE'!$AM$20+'TUSD BF'!$AM$20+'TUSD CVA'!$AM$20)*1</f>
        <v>1117.8285588949407</v>
      </c>
      <c r="AA517" s="6">
        <f>('TE BE'!$AB$9+'TE BF'!$AB$9+'TE CVA'!$AB$9)*1</f>
        <v>486.43608405794748</v>
      </c>
      <c r="AB517" s="6">
        <f>$K$517*$V$517</f>
        <v>0</v>
      </c>
      <c r="AC517" s="6">
        <f>$M$517*$W$517</f>
        <v>4418.1401400000004</v>
      </c>
      <c r="AD517" s="6">
        <f>$O$517*$X$517</f>
        <v>2080.5562800000002</v>
      </c>
      <c r="AE517" s="6">
        <f>$K$517*$Y$517</f>
        <v>0</v>
      </c>
      <c r="AF517" s="6">
        <f ca="1">$M$517*$Z$517</f>
        <v>5251.5585696884318</v>
      </c>
      <c r="AG517" s="6">
        <f>$O$517*$AA$517</f>
        <v>2285.2767229042374</v>
      </c>
    </row>
    <row r="518" spans="1:33" ht="11.25" customHeight="1" x14ac:dyDescent="0.3">
      <c r="A518" s="4" t="s">
        <v>28</v>
      </c>
      <c r="B518" s="4" t="s">
        <v>39</v>
      </c>
      <c r="C518" s="4" t="s">
        <v>41</v>
      </c>
      <c r="D518" s="4" t="s">
        <v>46</v>
      </c>
      <c r="E518" s="4" t="s">
        <v>25</v>
      </c>
      <c r="F518" s="4" t="s">
        <v>25</v>
      </c>
      <c r="G518" s="4" t="s">
        <v>25</v>
      </c>
      <c r="H518" s="4" t="s">
        <v>34</v>
      </c>
      <c r="I518" s="5">
        <v>44805</v>
      </c>
      <c r="J518" s="6">
        <v>0</v>
      </c>
      <c r="K518" s="6">
        <v>0</v>
      </c>
      <c r="L518" s="6">
        <v>3.6280000000000001</v>
      </c>
      <c r="M518" s="6">
        <v>3.6280000000000001</v>
      </c>
      <c r="N518" s="6">
        <v>3.6280000000000001</v>
      </c>
      <c r="O518" s="6">
        <v>3.6280000000000001</v>
      </c>
      <c r="P518" s="6">
        <v>0</v>
      </c>
      <c r="Q518" s="4" t="s">
        <v>26</v>
      </c>
      <c r="R518" s="4">
        <v>0</v>
      </c>
      <c r="S518" s="6">
        <v>0</v>
      </c>
      <c r="T518" s="6">
        <v>8</v>
      </c>
      <c r="U518" s="6">
        <v>38</v>
      </c>
      <c r="V518" s="6">
        <f>IF(ISERROR(VLOOKUP($S$518,'TAR FIN'!$A$1:$O$113,15,0)),0,VLOOKUP($S$518,'TAR FIN'!$A$1:$O$113,15,0))</f>
        <v>0</v>
      </c>
      <c r="W518" s="6">
        <f>IF(ISERROR(VLOOKUP($T$518,'TAR FIN'!$A$1:$O$113,15,0)),0,VLOOKUP($T$518,'TAR FIN'!$A$1:$O$113,15,0))</f>
        <v>940.43</v>
      </c>
      <c r="X518" s="6">
        <f>IF(ISERROR(VLOOKUP($U$518,'TAR FIN'!$A$1:$O$113,15,0)),0,VLOOKUP($U$518,'TAR FIN'!$A$1:$O$113,15,0))</f>
        <v>442.86</v>
      </c>
      <c r="Y518" s="6"/>
      <c r="Z518" s="6">
        <f ca="1">('TUSD BE'!$AM$20+'TUSD BF'!$AM$20+'TUSD CVA'!$AM$20)*1</f>
        <v>1117.8285588949407</v>
      </c>
      <c r="AA518" s="6">
        <f>('TE BE'!$AB$9+'TE BF'!$AB$9+'TE CVA'!$AB$9)*1</f>
        <v>486.43608405794748</v>
      </c>
      <c r="AB518" s="6">
        <f>$K$518*$V$518</f>
        <v>0</v>
      </c>
      <c r="AC518" s="6">
        <f>$M$518*$W$518</f>
        <v>3411.88004</v>
      </c>
      <c r="AD518" s="6">
        <f>$O$518*$X$518</f>
        <v>1606.6960800000002</v>
      </c>
      <c r="AE518" s="6">
        <f>$K$518*$Y$518</f>
        <v>0</v>
      </c>
      <c r="AF518" s="6">
        <f ca="1">$M$518*$Z$518</f>
        <v>4055.4820116708447</v>
      </c>
      <c r="AG518" s="6">
        <f>$O$518*$AA$518</f>
        <v>1764.7901129622335</v>
      </c>
    </row>
    <row r="519" spans="1:33" ht="11.25" customHeight="1" x14ac:dyDescent="0.3">
      <c r="A519" s="4" t="s">
        <v>53</v>
      </c>
      <c r="B519" s="4" t="s">
        <v>39</v>
      </c>
      <c r="C519" s="4" t="s">
        <v>41</v>
      </c>
      <c r="D519" s="4" t="s">
        <v>46</v>
      </c>
      <c r="E519" s="4" t="s">
        <v>25</v>
      </c>
      <c r="F519" s="4" t="s">
        <v>25</v>
      </c>
      <c r="G519" s="4" t="s">
        <v>25</v>
      </c>
      <c r="H519" s="4" t="s">
        <v>34</v>
      </c>
      <c r="I519" s="5">
        <v>44835</v>
      </c>
      <c r="J519" s="6">
        <v>0</v>
      </c>
      <c r="K519" s="6">
        <v>0</v>
      </c>
      <c r="L519" s="6">
        <v>4.6980000000000004</v>
      </c>
      <c r="M519" s="6">
        <v>4.6980000000000004</v>
      </c>
      <c r="N519" s="6">
        <v>4.6980000000000004</v>
      </c>
      <c r="O519" s="6">
        <v>4.6980000000000004</v>
      </c>
      <c r="P519" s="6">
        <v>0</v>
      </c>
      <c r="Q519" s="4" t="s">
        <v>26</v>
      </c>
      <c r="R519" s="4">
        <v>0</v>
      </c>
      <c r="S519" s="6">
        <v>0</v>
      </c>
      <c r="T519" s="6">
        <v>8</v>
      </c>
      <c r="U519" s="6">
        <v>38</v>
      </c>
      <c r="V519" s="6">
        <f>IF(ISERROR(VLOOKUP($S$519,'TAR FIN'!$A$1:$O$113,15,0)),0,VLOOKUP($S$519,'TAR FIN'!$A$1:$O$113,15,0))</f>
        <v>0</v>
      </c>
      <c r="W519" s="6">
        <f>IF(ISERROR(VLOOKUP($T$519,'TAR FIN'!$A$1:$O$113,15,0)),0,VLOOKUP($T$519,'TAR FIN'!$A$1:$O$113,15,0))</f>
        <v>940.43</v>
      </c>
      <c r="X519" s="6">
        <f>IF(ISERROR(VLOOKUP($U$519,'TAR FIN'!$A$1:$O$113,15,0)),0,VLOOKUP($U$519,'TAR FIN'!$A$1:$O$113,15,0))</f>
        <v>442.86</v>
      </c>
      <c r="Y519" s="6"/>
      <c r="Z519" s="6">
        <f ca="1">('TUSD BE'!$AM$20+'TUSD BF'!$AM$20+'TUSD CVA'!$AM$20)*1</f>
        <v>1117.8285588949407</v>
      </c>
      <c r="AA519" s="6">
        <f>('TE BE'!$AB$9+'TE BF'!$AB$9+'TE CVA'!$AB$9)*1</f>
        <v>486.43608405794748</v>
      </c>
      <c r="AB519" s="6">
        <f>$K$519*$V$519</f>
        <v>0</v>
      </c>
      <c r="AC519" s="6">
        <f>$M$519*$W$519</f>
        <v>4418.1401400000004</v>
      </c>
      <c r="AD519" s="6">
        <f>$O$519*$X$519</f>
        <v>2080.5562800000002</v>
      </c>
      <c r="AE519" s="6">
        <f>$K$519*$Y$519</f>
        <v>0</v>
      </c>
      <c r="AF519" s="6">
        <f ca="1">$M$519*$Z$519</f>
        <v>5251.5585696884318</v>
      </c>
      <c r="AG519" s="6">
        <f>$O$519*$AA$519</f>
        <v>2285.2767229042374</v>
      </c>
    </row>
    <row r="520" spans="1:33" ht="11.25" customHeight="1" x14ac:dyDescent="0.3">
      <c r="A520" s="4" t="s">
        <v>53</v>
      </c>
      <c r="B520" s="4" t="s">
        <v>39</v>
      </c>
      <c r="C520" s="4" t="s">
        <v>41</v>
      </c>
      <c r="D520" s="4" t="s">
        <v>46</v>
      </c>
      <c r="E520" s="4" t="s">
        <v>25</v>
      </c>
      <c r="F520" s="4" t="s">
        <v>25</v>
      </c>
      <c r="G520" s="4" t="s">
        <v>25</v>
      </c>
      <c r="H520" s="4" t="s">
        <v>34</v>
      </c>
      <c r="I520" s="5">
        <v>44835</v>
      </c>
      <c r="J520" s="6">
        <v>0</v>
      </c>
      <c r="K520" s="6">
        <v>0</v>
      </c>
      <c r="L520" s="6">
        <v>3.6280000000000001</v>
      </c>
      <c r="M520" s="6">
        <v>3.6280000000000001</v>
      </c>
      <c r="N520" s="6">
        <v>3.6280000000000001</v>
      </c>
      <c r="O520" s="6">
        <v>3.6280000000000001</v>
      </c>
      <c r="P520" s="6">
        <v>0</v>
      </c>
      <c r="Q520" s="4" t="s">
        <v>26</v>
      </c>
      <c r="R520" s="4">
        <v>0</v>
      </c>
      <c r="S520" s="6">
        <v>0</v>
      </c>
      <c r="T520" s="6">
        <v>8</v>
      </c>
      <c r="U520" s="6">
        <v>38</v>
      </c>
      <c r="V520" s="6">
        <f>IF(ISERROR(VLOOKUP($S$520,'TAR FIN'!$A$1:$O$113,15,0)),0,VLOOKUP($S$520,'TAR FIN'!$A$1:$O$113,15,0))</f>
        <v>0</v>
      </c>
      <c r="W520" s="6">
        <f>IF(ISERROR(VLOOKUP($T$520,'TAR FIN'!$A$1:$O$113,15,0)),0,VLOOKUP($T$520,'TAR FIN'!$A$1:$O$113,15,0))</f>
        <v>940.43</v>
      </c>
      <c r="X520" s="6">
        <f>IF(ISERROR(VLOOKUP($U$520,'TAR FIN'!$A$1:$O$113,15,0)),0,VLOOKUP($U$520,'TAR FIN'!$A$1:$O$113,15,0))</f>
        <v>442.86</v>
      </c>
      <c r="Y520" s="6"/>
      <c r="Z520" s="6">
        <f ca="1">('TUSD BE'!$AM$20+'TUSD BF'!$AM$20+'TUSD CVA'!$AM$20)*1</f>
        <v>1117.8285588949407</v>
      </c>
      <c r="AA520" s="6">
        <f>('TE BE'!$AB$9+'TE BF'!$AB$9+'TE CVA'!$AB$9)*1</f>
        <v>486.43608405794748</v>
      </c>
      <c r="AB520" s="6">
        <f>$K$520*$V$520</f>
        <v>0</v>
      </c>
      <c r="AC520" s="6">
        <f>$M$520*$W$520</f>
        <v>3411.88004</v>
      </c>
      <c r="AD520" s="6">
        <f>$O$520*$X$520</f>
        <v>1606.6960800000002</v>
      </c>
      <c r="AE520" s="6">
        <f>$K$520*$Y$520</f>
        <v>0</v>
      </c>
      <c r="AF520" s="6">
        <f ca="1">$M$520*$Z$520</f>
        <v>4055.4820116708447</v>
      </c>
      <c r="AG520" s="6">
        <f>$O$520*$AA$520</f>
        <v>1764.7901129622335</v>
      </c>
    </row>
    <row r="521" spans="1:33" ht="11.25" customHeight="1" x14ac:dyDescent="0.3">
      <c r="A521" s="4" t="s">
        <v>21</v>
      </c>
      <c r="B521" s="4" t="s">
        <v>39</v>
      </c>
      <c r="C521" s="4" t="s">
        <v>41</v>
      </c>
      <c r="D521" s="4" t="s">
        <v>45</v>
      </c>
      <c r="E521" s="4" t="s">
        <v>25</v>
      </c>
      <c r="F521" s="4" t="s">
        <v>25</v>
      </c>
      <c r="G521" s="4" t="s">
        <v>25</v>
      </c>
      <c r="H521" s="4" t="s">
        <v>35</v>
      </c>
      <c r="I521" s="5">
        <v>44501</v>
      </c>
      <c r="J521" s="6">
        <v>0</v>
      </c>
      <c r="K521" s="53">
        <v>0</v>
      </c>
      <c r="L521" s="6">
        <v>113.935</v>
      </c>
      <c r="M521" s="53">
        <v>113.935</v>
      </c>
      <c r="N521" s="6">
        <v>113.935</v>
      </c>
      <c r="O521" s="53">
        <v>113.935</v>
      </c>
      <c r="P521" s="6">
        <v>0</v>
      </c>
      <c r="Q521" s="4" t="s">
        <v>26</v>
      </c>
      <c r="R521" s="4">
        <v>0</v>
      </c>
      <c r="S521" s="6">
        <v>0</v>
      </c>
      <c r="T521" s="6">
        <v>6</v>
      </c>
      <c r="U521" s="6">
        <v>61</v>
      </c>
      <c r="V521" s="53">
        <f>IF(ISERROR(VLOOKUP($S$521,'TAR FIN'!$A$1:$O$113,15,0)),0,VLOOKUP($S$521,'TAR FIN'!$A$1:$O$113,15,0))</f>
        <v>0</v>
      </c>
      <c r="W521" s="53">
        <f>IF(ISERROR(VLOOKUP($T$521,'TAR FIN'!$A$1:$O$113,15,0)),0,VLOOKUP($T$521,'TAR FIN'!$A$1:$O$113,15,0))*(1-0.04)</f>
        <v>69.263999999999996</v>
      </c>
      <c r="X521" s="53">
        <f>IF(ISERROR(VLOOKUP($U$521,'TAR FIN'!$A$1:$O$113,15,0)),0,VLOOKUP($U$521,'TAR FIN'!$A$1:$O$113,15,0))*(1-0.04)</f>
        <v>267.52320000000003</v>
      </c>
      <c r="Y521" s="53"/>
      <c r="Z521" s="53">
        <f ca="1">('TUSD BE'!$AM$21+'TUSD BF'!$AM$21+'TUSD CVA'!$AM$21)*1*(1-0.02)</f>
        <v>119.69774225030127</v>
      </c>
      <c r="AA521" s="53">
        <f>('TE BE'!$AB$10+'TE BF'!$AB$10+'TE CVA'!$AB$10)*1*(1-0.02)</f>
        <v>293.19693941863773</v>
      </c>
      <c r="AB521" s="6">
        <f>$K$521*$V$521</f>
        <v>0</v>
      </c>
      <c r="AC521" s="6">
        <f>$M$521*$W$521</f>
        <v>7891.5938399999995</v>
      </c>
      <c r="AD521" s="6">
        <f>$O$521*$X$521</f>
        <v>30480.255792000004</v>
      </c>
      <c r="AE521" s="6">
        <f>$K$521*$Y$521</f>
        <v>0</v>
      </c>
      <c r="AF521" s="6">
        <f ca="1">$M$521*$Z$521</f>
        <v>13637.762263288076</v>
      </c>
      <c r="AG521" s="6">
        <f>$O$521*$AA$521</f>
        <v>33405.393292662491</v>
      </c>
    </row>
    <row r="522" spans="1:33" ht="11.25" customHeight="1" x14ac:dyDescent="0.3">
      <c r="A522" s="4" t="s">
        <v>21</v>
      </c>
      <c r="B522" s="4" t="s">
        <v>39</v>
      </c>
      <c r="C522" s="4" t="s">
        <v>41</v>
      </c>
      <c r="D522" s="4" t="s">
        <v>45</v>
      </c>
      <c r="E522" s="4" t="s">
        <v>25</v>
      </c>
      <c r="F522" s="4" t="s">
        <v>25</v>
      </c>
      <c r="G522" s="4" t="s">
        <v>25</v>
      </c>
      <c r="H522" s="4" t="s">
        <v>35</v>
      </c>
      <c r="I522" s="5">
        <v>44531</v>
      </c>
      <c r="J522" s="6">
        <v>0</v>
      </c>
      <c r="K522" s="53">
        <v>0</v>
      </c>
      <c r="L522" s="6">
        <v>110.267</v>
      </c>
      <c r="M522" s="53">
        <v>110.267</v>
      </c>
      <c r="N522" s="6">
        <v>110.267</v>
      </c>
      <c r="O522" s="53">
        <v>110.267</v>
      </c>
      <c r="P522" s="6">
        <v>0</v>
      </c>
      <c r="Q522" s="4" t="s">
        <v>26</v>
      </c>
      <c r="R522" s="4">
        <v>0</v>
      </c>
      <c r="S522" s="6">
        <v>0</v>
      </c>
      <c r="T522" s="6">
        <v>6</v>
      </c>
      <c r="U522" s="6">
        <v>61</v>
      </c>
      <c r="V522" s="53">
        <f>IF(ISERROR(VLOOKUP($S$522,'TAR FIN'!$A$1:$O$113,15,0)),0,VLOOKUP($S$522,'TAR FIN'!$A$1:$O$113,15,0))</f>
        <v>0</v>
      </c>
      <c r="W522" s="53">
        <f>IF(ISERROR(VLOOKUP($T$522,'TAR FIN'!$A$1:$O$113,15,0)),0,VLOOKUP($T$522,'TAR FIN'!$A$1:$O$113,15,0))*(1-0.04)</f>
        <v>69.263999999999996</v>
      </c>
      <c r="X522" s="53">
        <f>IF(ISERROR(VLOOKUP($U$522,'TAR FIN'!$A$1:$O$113,15,0)),0,VLOOKUP($U$522,'TAR FIN'!$A$1:$O$113,15,0))*(1-0.04)</f>
        <v>267.52320000000003</v>
      </c>
      <c r="Y522" s="53"/>
      <c r="Z522" s="53">
        <f ca="1">('TUSD BE'!$AM$21+'TUSD BF'!$AM$21+'TUSD CVA'!$AM$21)*1*(1-0.02)</f>
        <v>119.69774225030127</v>
      </c>
      <c r="AA522" s="53">
        <f>('TE BE'!$AB$10+'TE BF'!$AB$10+'TE CVA'!$AB$10)*1*(1-0.02)</f>
        <v>293.19693941863773</v>
      </c>
      <c r="AB522" s="6">
        <f>$K$522*$V$522</f>
        <v>0</v>
      </c>
      <c r="AC522" s="6">
        <f>$M$522*$W$522</f>
        <v>7637.5334879999991</v>
      </c>
      <c r="AD522" s="6">
        <f>$O$522*$X$522</f>
        <v>29498.980694400001</v>
      </c>
      <c r="AE522" s="6">
        <f>$K$522*$Y$522</f>
        <v>0</v>
      </c>
      <c r="AF522" s="6">
        <f ca="1">$M$522*$Z$522</f>
        <v>13198.71094471397</v>
      </c>
      <c r="AG522" s="6">
        <f>$O$522*$AA$522</f>
        <v>32329.946918874924</v>
      </c>
    </row>
    <row r="523" spans="1:33" ht="11.25" customHeight="1" x14ac:dyDescent="0.3">
      <c r="A523" s="4" t="s">
        <v>21</v>
      </c>
      <c r="B523" s="4" t="s">
        <v>39</v>
      </c>
      <c r="C523" s="4" t="s">
        <v>41</v>
      </c>
      <c r="D523" s="4" t="s">
        <v>45</v>
      </c>
      <c r="E523" s="4" t="s">
        <v>25</v>
      </c>
      <c r="F523" s="4" t="s">
        <v>25</v>
      </c>
      <c r="G523" s="4" t="s">
        <v>25</v>
      </c>
      <c r="H523" s="4" t="s">
        <v>35</v>
      </c>
      <c r="I523" s="5">
        <v>44562</v>
      </c>
      <c r="J523" s="6">
        <v>0</v>
      </c>
      <c r="K523" s="53">
        <v>0</v>
      </c>
      <c r="L523" s="6">
        <v>111.45</v>
      </c>
      <c r="M523" s="53">
        <v>111.45</v>
      </c>
      <c r="N523" s="6">
        <v>111.45</v>
      </c>
      <c r="O523" s="53">
        <v>111.45</v>
      </c>
      <c r="P523" s="6">
        <v>0</v>
      </c>
      <c r="Q523" s="4" t="s">
        <v>26</v>
      </c>
      <c r="R523" s="4">
        <v>0</v>
      </c>
      <c r="S523" s="6">
        <v>0</v>
      </c>
      <c r="T523" s="6">
        <v>6</v>
      </c>
      <c r="U523" s="6">
        <v>61</v>
      </c>
      <c r="V523" s="53">
        <f>IF(ISERROR(VLOOKUP($S$523,'TAR FIN'!$A$1:$O$113,15,0)),0,VLOOKUP($S$523,'TAR FIN'!$A$1:$O$113,15,0))</f>
        <v>0</v>
      </c>
      <c r="W523" s="53">
        <f>IF(ISERROR(VLOOKUP($T$523,'TAR FIN'!$A$1:$O$113,15,0)),0,VLOOKUP($T$523,'TAR FIN'!$A$1:$O$113,15,0))*(1-0.04)</f>
        <v>69.263999999999996</v>
      </c>
      <c r="X523" s="53">
        <f>IF(ISERROR(VLOOKUP($U$523,'TAR FIN'!$A$1:$O$113,15,0)),0,VLOOKUP($U$523,'TAR FIN'!$A$1:$O$113,15,0))*(1-0.04)</f>
        <v>267.52320000000003</v>
      </c>
      <c r="Y523" s="53"/>
      <c r="Z523" s="53">
        <f ca="1">('TUSD BE'!$AM$21+'TUSD BF'!$AM$21+'TUSD CVA'!$AM$21)*1*(1-0.02)</f>
        <v>119.69774225030127</v>
      </c>
      <c r="AA523" s="53">
        <f>('TE BE'!$AB$10+'TE BF'!$AB$10+'TE CVA'!$AB$10)*1*(1-0.02)</f>
        <v>293.19693941863773</v>
      </c>
      <c r="AB523" s="6">
        <f>$K$523*$V$523</f>
        <v>0</v>
      </c>
      <c r="AC523" s="6">
        <f>$M$523*$W$523</f>
        <v>7719.4727999999996</v>
      </c>
      <c r="AD523" s="6">
        <f>$O$523*$X$523</f>
        <v>29815.460640000005</v>
      </c>
      <c r="AE523" s="6">
        <f>$K$523*$Y$523</f>
        <v>0</v>
      </c>
      <c r="AF523" s="6">
        <f ca="1">$M$523*$Z$523</f>
        <v>13340.313373796078</v>
      </c>
      <c r="AG523" s="6">
        <f>$O$523*$AA$523</f>
        <v>32676.798898207177</v>
      </c>
    </row>
    <row r="524" spans="1:33" ht="11.25" customHeight="1" x14ac:dyDescent="0.3">
      <c r="A524" s="4" t="s">
        <v>21</v>
      </c>
      <c r="B524" s="4" t="s">
        <v>39</v>
      </c>
      <c r="C524" s="4" t="s">
        <v>41</v>
      </c>
      <c r="D524" s="4" t="s">
        <v>45</v>
      </c>
      <c r="E524" s="4" t="s">
        <v>25</v>
      </c>
      <c r="F524" s="4" t="s">
        <v>25</v>
      </c>
      <c r="G524" s="4" t="s">
        <v>25</v>
      </c>
      <c r="H524" s="4" t="s">
        <v>35</v>
      </c>
      <c r="I524" s="5">
        <v>44593</v>
      </c>
      <c r="J524" s="6">
        <v>0</v>
      </c>
      <c r="K524" s="53">
        <v>0</v>
      </c>
      <c r="L524" s="6">
        <v>107.66800000000001</v>
      </c>
      <c r="M524" s="53">
        <v>107.66800000000001</v>
      </c>
      <c r="N524" s="6">
        <v>107.66800000000001</v>
      </c>
      <c r="O524" s="53">
        <v>107.66800000000001</v>
      </c>
      <c r="P524" s="6">
        <v>0</v>
      </c>
      <c r="Q524" s="4" t="s">
        <v>26</v>
      </c>
      <c r="R524" s="4">
        <v>0</v>
      </c>
      <c r="S524" s="6">
        <v>0</v>
      </c>
      <c r="T524" s="6">
        <v>6</v>
      </c>
      <c r="U524" s="6">
        <v>61</v>
      </c>
      <c r="V524" s="53">
        <f>IF(ISERROR(VLOOKUP($S$524,'TAR FIN'!$A$1:$O$113,15,0)),0,VLOOKUP($S$524,'TAR FIN'!$A$1:$O$113,15,0))</f>
        <v>0</v>
      </c>
      <c r="W524" s="53">
        <f>IF(ISERROR(VLOOKUP($T$524,'TAR FIN'!$A$1:$O$113,15,0)),0,VLOOKUP($T$524,'TAR FIN'!$A$1:$O$113,15,0))*(1-0.04)</f>
        <v>69.263999999999996</v>
      </c>
      <c r="X524" s="53">
        <f>IF(ISERROR(VLOOKUP($U$524,'TAR FIN'!$A$1:$O$113,15,0)),0,VLOOKUP($U$524,'TAR FIN'!$A$1:$O$113,15,0))*(1-0.04)</f>
        <v>267.52320000000003</v>
      </c>
      <c r="Y524" s="53"/>
      <c r="Z524" s="53">
        <f ca="1">('TUSD BE'!$AM$21+'TUSD BF'!$AM$21+'TUSD CVA'!$AM$21)*1*(1-0.02)</f>
        <v>119.69774225030127</v>
      </c>
      <c r="AA524" s="53">
        <f>('TE BE'!$AB$10+'TE BF'!$AB$10+'TE CVA'!$AB$10)*1*(1-0.02)</f>
        <v>293.19693941863773</v>
      </c>
      <c r="AB524" s="6">
        <f>$K$524*$V$524</f>
        <v>0</v>
      </c>
      <c r="AC524" s="6">
        <f>$M$524*$W$524</f>
        <v>7457.5163519999996</v>
      </c>
      <c r="AD524" s="6">
        <f>$O$524*$X$524</f>
        <v>28803.687897600004</v>
      </c>
      <c r="AE524" s="6">
        <f>$K$524*$Y$524</f>
        <v>0</v>
      </c>
      <c r="AF524" s="6">
        <f ca="1">$M$524*$Z$524</f>
        <v>12887.616512605438</v>
      </c>
      <c r="AG524" s="6">
        <f>$O$524*$AA$524</f>
        <v>31567.928073325889</v>
      </c>
    </row>
    <row r="525" spans="1:33" ht="11.25" customHeight="1" x14ac:dyDescent="0.3">
      <c r="A525" s="4" t="s">
        <v>21</v>
      </c>
      <c r="B525" s="4" t="s">
        <v>39</v>
      </c>
      <c r="C525" s="4" t="s">
        <v>41</v>
      </c>
      <c r="D525" s="4" t="s">
        <v>45</v>
      </c>
      <c r="E525" s="4" t="s">
        <v>25</v>
      </c>
      <c r="F525" s="4" t="s">
        <v>25</v>
      </c>
      <c r="G525" s="4" t="s">
        <v>25</v>
      </c>
      <c r="H525" s="4" t="s">
        <v>35</v>
      </c>
      <c r="I525" s="5">
        <v>44621</v>
      </c>
      <c r="J525" s="6">
        <v>0</v>
      </c>
      <c r="K525" s="53">
        <v>0</v>
      </c>
      <c r="L525" s="6">
        <v>93.82</v>
      </c>
      <c r="M525" s="53">
        <v>93.82</v>
      </c>
      <c r="N525" s="6">
        <v>93.82</v>
      </c>
      <c r="O525" s="53">
        <v>93.82</v>
      </c>
      <c r="P525" s="6">
        <v>0</v>
      </c>
      <c r="Q525" s="4" t="s">
        <v>26</v>
      </c>
      <c r="R525" s="4">
        <v>0</v>
      </c>
      <c r="S525" s="6">
        <v>0</v>
      </c>
      <c r="T525" s="6">
        <v>6</v>
      </c>
      <c r="U525" s="6">
        <v>61</v>
      </c>
      <c r="V525" s="53">
        <f>IF(ISERROR(VLOOKUP($S$525,'TAR FIN'!$A$1:$O$113,15,0)),0,VLOOKUP($S$525,'TAR FIN'!$A$1:$O$113,15,0))</f>
        <v>0</v>
      </c>
      <c r="W525" s="53">
        <f>IF(ISERROR(VLOOKUP($T$525,'TAR FIN'!$A$1:$O$113,15,0)),0,VLOOKUP($T$525,'TAR FIN'!$A$1:$O$113,15,0))*(1-0.04)</f>
        <v>69.263999999999996</v>
      </c>
      <c r="X525" s="53">
        <f>IF(ISERROR(VLOOKUP($U$525,'TAR FIN'!$A$1:$O$113,15,0)),0,VLOOKUP($U$525,'TAR FIN'!$A$1:$O$113,15,0))*(1-0.04)</f>
        <v>267.52320000000003</v>
      </c>
      <c r="Y525" s="53"/>
      <c r="Z525" s="53">
        <f ca="1">('TUSD BE'!$AM$21+'TUSD BF'!$AM$21+'TUSD CVA'!$AM$21)*1*(1-0.02)</f>
        <v>119.69774225030127</v>
      </c>
      <c r="AA525" s="53">
        <f>('TE BE'!$AB$10+'TE BF'!$AB$10+'TE CVA'!$AB$10)*1*(1-0.02)</f>
        <v>293.19693941863773</v>
      </c>
      <c r="AB525" s="6">
        <f>$K$525*$V$525</f>
        <v>0</v>
      </c>
      <c r="AC525" s="6">
        <f>$M$525*$W$525</f>
        <v>6498.3484799999987</v>
      </c>
      <c r="AD525" s="6">
        <f>$O$525*$X$525</f>
        <v>25099.026624000002</v>
      </c>
      <c r="AE525" s="6">
        <f>$K$525*$Y$525</f>
        <v>0</v>
      </c>
      <c r="AF525" s="6">
        <f ca="1">$M$525*$Z$525</f>
        <v>11230.042177923266</v>
      </c>
      <c r="AG525" s="6">
        <f>$O$525*$AA$525</f>
        <v>27507.73685625659</v>
      </c>
    </row>
    <row r="526" spans="1:33" ht="11.25" customHeight="1" x14ac:dyDescent="0.3">
      <c r="A526" s="4" t="s">
        <v>21</v>
      </c>
      <c r="B526" s="4" t="s">
        <v>39</v>
      </c>
      <c r="C526" s="4" t="s">
        <v>41</v>
      </c>
      <c r="D526" s="4" t="s">
        <v>45</v>
      </c>
      <c r="E526" s="4" t="s">
        <v>25</v>
      </c>
      <c r="F526" s="4" t="s">
        <v>25</v>
      </c>
      <c r="G526" s="4" t="s">
        <v>25</v>
      </c>
      <c r="H526" s="4" t="s">
        <v>35</v>
      </c>
      <c r="I526" s="5">
        <v>44652</v>
      </c>
      <c r="J526" s="6">
        <v>0</v>
      </c>
      <c r="K526" s="53">
        <v>0</v>
      </c>
      <c r="L526" s="6">
        <v>106.645</v>
      </c>
      <c r="M526" s="53">
        <v>106.645</v>
      </c>
      <c r="N526" s="6">
        <v>106.645</v>
      </c>
      <c r="O526" s="53">
        <v>106.645</v>
      </c>
      <c r="P526" s="6">
        <v>0</v>
      </c>
      <c r="Q526" s="4" t="s">
        <v>26</v>
      </c>
      <c r="R526" s="4">
        <v>0</v>
      </c>
      <c r="S526" s="6">
        <v>0</v>
      </c>
      <c r="T526" s="6">
        <v>6</v>
      </c>
      <c r="U526" s="6">
        <v>61</v>
      </c>
      <c r="V526" s="53">
        <f>IF(ISERROR(VLOOKUP($S$526,'TAR FIN'!$A$1:$O$113,15,0)),0,VLOOKUP($S$526,'TAR FIN'!$A$1:$O$113,15,0))</f>
        <v>0</v>
      </c>
      <c r="W526" s="53">
        <f>IF(ISERROR(VLOOKUP($T$526,'TAR FIN'!$A$1:$O$113,15,0)),0,VLOOKUP($T$526,'TAR FIN'!$A$1:$O$113,15,0))*(1-0.04)</f>
        <v>69.263999999999996</v>
      </c>
      <c r="X526" s="53">
        <f>IF(ISERROR(VLOOKUP($U$526,'TAR FIN'!$A$1:$O$113,15,0)),0,VLOOKUP($U$526,'TAR FIN'!$A$1:$O$113,15,0))*(1-0.04)</f>
        <v>267.52320000000003</v>
      </c>
      <c r="Y526" s="53"/>
      <c r="Z526" s="53">
        <f ca="1">('TUSD BE'!$AM$21+'TUSD BF'!$AM$21+'TUSD CVA'!$AM$21)*1*(1-0.02)</f>
        <v>119.69774225030127</v>
      </c>
      <c r="AA526" s="53">
        <f>('TE BE'!$AB$10+'TE BF'!$AB$10+'TE CVA'!$AB$10)*1*(1-0.02)</f>
        <v>293.19693941863773</v>
      </c>
      <c r="AB526" s="6">
        <f>$K$526*$V$526</f>
        <v>0</v>
      </c>
      <c r="AC526" s="6">
        <f>$M$526*$W$526</f>
        <v>7386.6592799999989</v>
      </c>
      <c r="AD526" s="6">
        <f>$O$526*$X$526</f>
        <v>28530.011664000001</v>
      </c>
      <c r="AE526" s="6">
        <f>$K$526*$Y$526</f>
        <v>0</v>
      </c>
      <c r="AF526" s="6">
        <f ca="1">$M$526*$Z$526</f>
        <v>12765.165722283378</v>
      </c>
      <c r="AG526" s="6">
        <f>$O$526*$AA$526</f>
        <v>31267.987604300619</v>
      </c>
    </row>
    <row r="527" spans="1:33" ht="11.25" customHeight="1" x14ac:dyDescent="0.3">
      <c r="A527" s="4" t="s">
        <v>21</v>
      </c>
      <c r="B527" s="4" t="s">
        <v>39</v>
      </c>
      <c r="C527" s="4" t="s">
        <v>41</v>
      </c>
      <c r="D527" s="4" t="s">
        <v>45</v>
      </c>
      <c r="E527" s="4" t="s">
        <v>25</v>
      </c>
      <c r="F527" s="4" t="s">
        <v>25</v>
      </c>
      <c r="G527" s="4" t="s">
        <v>25</v>
      </c>
      <c r="H527" s="4" t="s">
        <v>35</v>
      </c>
      <c r="I527" s="5">
        <v>44682</v>
      </c>
      <c r="J527" s="6">
        <v>0</v>
      </c>
      <c r="K527" s="53">
        <v>0</v>
      </c>
      <c r="L527" s="6">
        <v>103.27500000000001</v>
      </c>
      <c r="M527" s="53">
        <v>103.27500000000001</v>
      </c>
      <c r="N527" s="6">
        <v>103.27500000000001</v>
      </c>
      <c r="O527" s="53">
        <v>103.27500000000001</v>
      </c>
      <c r="P527" s="6">
        <v>0</v>
      </c>
      <c r="Q527" s="4" t="s">
        <v>26</v>
      </c>
      <c r="R527" s="4">
        <v>0</v>
      </c>
      <c r="S527" s="6">
        <v>0</v>
      </c>
      <c r="T527" s="6">
        <v>6</v>
      </c>
      <c r="U527" s="6">
        <v>61</v>
      </c>
      <c r="V527" s="53">
        <f>IF(ISERROR(VLOOKUP($S$527,'TAR FIN'!$A$1:$O$113,15,0)),0,VLOOKUP($S$527,'TAR FIN'!$A$1:$O$113,15,0))</f>
        <v>0</v>
      </c>
      <c r="W527" s="53">
        <f>IF(ISERROR(VLOOKUP($T$527,'TAR FIN'!$A$1:$O$113,15,0)),0,VLOOKUP($T$527,'TAR FIN'!$A$1:$O$113,15,0))*(1-0.04)</f>
        <v>69.263999999999996</v>
      </c>
      <c r="X527" s="53">
        <f>IF(ISERROR(VLOOKUP($U$527,'TAR FIN'!$A$1:$O$113,15,0)),0,VLOOKUP($U$527,'TAR FIN'!$A$1:$O$113,15,0))*(1-0.04)</f>
        <v>267.52320000000003</v>
      </c>
      <c r="Y527" s="53"/>
      <c r="Z527" s="53">
        <f ca="1">('TUSD BE'!$AM$21+'TUSD BF'!$AM$21+'TUSD CVA'!$AM$21)*1*(1-0.02)</f>
        <v>119.69774225030127</v>
      </c>
      <c r="AA527" s="53">
        <f>('TE BE'!$AB$10+'TE BF'!$AB$10+'TE CVA'!$AB$10)*1*(1-0.02)</f>
        <v>293.19693941863773</v>
      </c>
      <c r="AB527" s="6">
        <f>$K$527*$V$527</f>
        <v>0</v>
      </c>
      <c r="AC527" s="6">
        <f>$M$527*$W$527</f>
        <v>7153.2395999999999</v>
      </c>
      <c r="AD527" s="6">
        <f>$O$527*$X$527</f>
        <v>27628.458480000005</v>
      </c>
      <c r="AE527" s="6">
        <f>$K$527*$Y$527</f>
        <v>0</v>
      </c>
      <c r="AF527" s="6">
        <f ca="1">$M$527*$Z$527</f>
        <v>12361.784330899865</v>
      </c>
      <c r="AG527" s="6">
        <f>$O$527*$AA$527</f>
        <v>30279.913918459813</v>
      </c>
    </row>
    <row r="528" spans="1:33" ht="11.25" customHeight="1" x14ac:dyDescent="0.3">
      <c r="A528" s="4" t="s">
        <v>21</v>
      </c>
      <c r="B528" s="4" t="s">
        <v>39</v>
      </c>
      <c r="C528" s="4" t="s">
        <v>41</v>
      </c>
      <c r="D528" s="4" t="s">
        <v>45</v>
      </c>
      <c r="E528" s="4" t="s">
        <v>25</v>
      </c>
      <c r="F528" s="4" t="s">
        <v>25</v>
      </c>
      <c r="G528" s="4" t="s">
        <v>25</v>
      </c>
      <c r="H528" s="4" t="s">
        <v>35</v>
      </c>
      <c r="I528" s="5">
        <v>44713</v>
      </c>
      <c r="J528" s="6">
        <v>0</v>
      </c>
      <c r="K528" s="53">
        <v>0</v>
      </c>
      <c r="L528" s="6">
        <v>100.271</v>
      </c>
      <c r="M528" s="53">
        <v>100.271</v>
      </c>
      <c r="N528" s="6">
        <v>100.271</v>
      </c>
      <c r="O528" s="53">
        <v>100.271</v>
      </c>
      <c r="P528" s="6">
        <v>0</v>
      </c>
      <c r="Q528" s="4" t="s">
        <v>26</v>
      </c>
      <c r="R528" s="4">
        <v>0</v>
      </c>
      <c r="S528" s="6">
        <v>0</v>
      </c>
      <c r="T528" s="6">
        <v>6</v>
      </c>
      <c r="U528" s="6">
        <v>61</v>
      </c>
      <c r="V528" s="53">
        <f>IF(ISERROR(VLOOKUP($S$528,'TAR FIN'!$A$1:$O$113,15,0)),0,VLOOKUP($S$528,'TAR FIN'!$A$1:$O$113,15,0))</f>
        <v>0</v>
      </c>
      <c r="W528" s="53">
        <f>IF(ISERROR(VLOOKUP($T$528,'TAR FIN'!$A$1:$O$113,15,0)),0,VLOOKUP($T$528,'TAR FIN'!$A$1:$O$113,15,0))*(1-0.04)</f>
        <v>69.263999999999996</v>
      </c>
      <c r="X528" s="53">
        <f>IF(ISERROR(VLOOKUP($U$528,'TAR FIN'!$A$1:$O$113,15,0)),0,VLOOKUP($U$528,'TAR FIN'!$A$1:$O$113,15,0))*(1-0.04)</f>
        <v>267.52320000000003</v>
      </c>
      <c r="Y528" s="53"/>
      <c r="Z528" s="53">
        <f ca="1">('TUSD BE'!$AM$21+'TUSD BF'!$AM$21+'TUSD CVA'!$AM$21)*1*(1-0.02)</f>
        <v>119.69774225030127</v>
      </c>
      <c r="AA528" s="53">
        <f>('TE BE'!$AB$10+'TE BF'!$AB$10+'TE CVA'!$AB$10)*1*(1-0.02)</f>
        <v>293.19693941863773</v>
      </c>
      <c r="AB528" s="6">
        <f>$K$528*$V$528</f>
        <v>0</v>
      </c>
      <c r="AC528" s="6">
        <f>$M$528*$W$528</f>
        <v>6945.1705439999996</v>
      </c>
      <c r="AD528" s="6">
        <f>$O$528*$X$528</f>
        <v>26824.818787200002</v>
      </c>
      <c r="AE528" s="6">
        <f>$K$528*$Y$528</f>
        <v>0</v>
      </c>
      <c r="AF528" s="6">
        <f ca="1">$M$528*$Z$528</f>
        <v>12002.21231317996</v>
      </c>
      <c r="AG528" s="6">
        <f>$O$528*$AA$528</f>
        <v>29399.150312446225</v>
      </c>
    </row>
    <row r="529" spans="1:33" ht="11.25" customHeight="1" x14ac:dyDescent="0.3">
      <c r="A529" s="4" t="s">
        <v>21</v>
      </c>
      <c r="B529" s="4" t="s">
        <v>39</v>
      </c>
      <c r="C529" s="4" t="s">
        <v>41</v>
      </c>
      <c r="D529" s="4" t="s">
        <v>45</v>
      </c>
      <c r="E529" s="4" t="s">
        <v>25</v>
      </c>
      <c r="F529" s="4" t="s">
        <v>25</v>
      </c>
      <c r="G529" s="4" t="s">
        <v>25</v>
      </c>
      <c r="H529" s="4" t="s">
        <v>35</v>
      </c>
      <c r="I529" s="5">
        <v>44743</v>
      </c>
      <c r="J529" s="6">
        <v>0</v>
      </c>
      <c r="K529" s="53">
        <v>0</v>
      </c>
      <c r="L529" s="6">
        <v>107.95699999999999</v>
      </c>
      <c r="M529" s="53">
        <v>107.95699999999999</v>
      </c>
      <c r="N529" s="6">
        <v>107.95699999999999</v>
      </c>
      <c r="O529" s="53">
        <v>107.95699999999999</v>
      </c>
      <c r="P529" s="6">
        <v>0</v>
      </c>
      <c r="Q529" s="4" t="s">
        <v>26</v>
      </c>
      <c r="R529" s="4">
        <v>0</v>
      </c>
      <c r="S529" s="6">
        <v>0</v>
      </c>
      <c r="T529" s="6">
        <v>6</v>
      </c>
      <c r="U529" s="6">
        <v>61</v>
      </c>
      <c r="V529" s="53">
        <f>IF(ISERROR(VLOOKUP($S$529,'TAR FIN'!$A$1:$O$113,15,0)),0,VLOOKUP($S$529,'TAR FIN'!$A$1:$O$113,15,0))</f>
        <v>0</v>
      </c>
      <c r="W529" s="53">
        <f>IF(ISERROR(VLOOKUP($T$529,'TAR FIN'!$A$1:$O$113,15,0)),0,VLOOKUP($T$529,'TAR FIN'!$A$1:$O$113,15,0))*(1-0.04)</f>
        <v>69.263999999999996</v>
      </c>
      <c r="X529" s="53">
        <f>IF(ISERROR(VLOOKUP($U$529,'TAR FIN'!$A$1:$O$113,15,0)),0,VLOOKUP($U$529,'TAR FIN'!$A$1:$O$113,15,0))*(1-0.04)</f>
        <v>267.52320000000003</v>
      </c>
      <c r="Y529" s="53"/>
      <c r="Z529" s="53">
        <f ca="1">('TUSD BE'!$AM$21+'TUSD BF'!$AM$21+'TUSD CVA'!$AM$21)*1*(1-0.02)</f>
        <v>119.69774225030127</v>
      </c>
      <c r="AA529" s="53">
        <f>('TE BE'!$AB$10+'TE BF'!$AB$10+'TE CVA'!$AB$10)*1*(1-0.02)</f>
        <v>293.19693941863773</v>
      </c>
      <c r="AB529" s="6">
        <f>$K$529*$V$529</f>
        <v>0</v>
      </c>
      <c r="AC529" s="6">
        <f>$M$529*$W$529</f>
        <v>7477.5336479999987</v>
      </c>
      <c r="AD529" s="6">
        <f>$O$529*$X$529</f>
        <v>28881.002102400002</v>
      </c>
      <c r="AE529" s="6">
        <f>$K$529*$Y$529</f>
        <v>0</v>
      </c>
      <c r="AF529" s="6">
        <f ca="1">$M$529*$Z$529</f>
        <v>12922.209160115774</v>
      </c>
      <c r="AG529" s="6">
        <f>$O$529*$AA$529</f>
        <v>31652.661988817872</v>
      </c>
    </row>
    <row r="530" spans="1:33" ht="11.25" customHeight="1" x14ac:dyDescent="0.3">
      <c r="A530" s="4" t="s">
        <v>21</v>
      </c>
      <c r="B530" s="4" t="s">
        <v>39</v>
      </c>
      <c r="C530" s="4" t="s">
        <v>41</v>
      </c>
      <c r="D530" s="4" t="s">
        <v>45</v>
      </c>
      <c r="E530" s="4" t="s">
        <v>25</v>
      </c>
      <c r="F530" s="4" t="s">
        <v>25</v>
      </c>
      <c r="G530" s="4" t="s">
        <v>25</v>
      </c>
      <c r="H530" s="4" t="s">
        <v>35</v>
      </c>
      <c r="I530" s="5">
        <v>44774</v>
      </c>
      <c r="J530" s="6">
        <v>0</v>
      </c>
      <c r="K530" s="53">
        <v>0</v>
      </c>
      <c r="L530" s="6">
        <v>102.619</v>
      </c>
      <c r="M530" s="53">
        <v>102.619</v>
      </c>
      <c r="N530" s="6">
        <v>102.619</v>
      </c>
      <c r="O530" s="53">
        <v>102.619</v>
      </c>
      <c r="P530" s="6">
        <v>0</v>
      </c>
      <c r="Q530" s="4" t="s">
        <v>26</v>
      </c>
      <c r="R530" s="4">
        <v>0</v>
      </c>
      <c r="S530" s="6">
        <v>0</v>
      </c>
      <c r="T530" s="6">
        <v>6</v>
      </c>
      <c r="U530" s="6">
        <v>61</v>
      </c>
      <c r="V530" s="53">
        <f>IF(ISERROR(VLOOKUP($S$530,'TAR FIN'!$A$1:$O$113,15,0)),0,VLOOKUP($S$530,'TAR FIN'!$A$1:$O$113,15,0))</f>
        <v>0</v>
      </c>
      <c r="W530" s="53">
        <f>IF(ISERROR(VLOOKUP($T$530,'TAR FIN'!$A$1:$O$113,15,0)),0,VLOOKUP($T$530,'TAR FIN'!$A$1:$O$113,15,0))*(1-0.04)</f>
        <v>69.263999999999996</v>
      </c>
      <c r="X530" s="53">
        <f>IF(ISERROR(VLOOKUP($U$530,'TAR FIN'!$A$1:$O$113,15,0)),0,VLOOKUP($U$530,'TAR FIN'!$A$1:$O$113,15,0))*(1-0.04)</f>
        <v>267.52320000000003</v>
      </c>
      <c r="Y530" s="53"/>
      <c r="Z530" s="53">
        <f ca="1">('TUSD BE'!$AM$21+'TUSD BF'!$AM$21+'TUSD CVA'!$AM$21)*1*(1-0.02)</f>
        <v>119.69774225030127</v>
      </c>
      <c r="AA530" s="53">
        <f>('TE BE'!$AB$10+'TE BF'!$AB$10+'TE CVA'!$AB$10)*1*(1-0.02)</f>
        <v>293.19693941863773</v>
      </c>
      <c r="AB530" s="6">
        <f>$K$530*$V$530</f>
        <v>0</v>
      </c>
      <c r="AC530" s="6">
        <f>$M$530*$W$530</f>
        <v>7107.8024159999995</v>
      </c>
      <c r="AD530" s="6">
        <f>$O$530*$X$530</f>
        <v>27452.963260800003</v>
      </c>
      <c r="AE530" s="6">
        <f>$K$530*$Y$530</f>
        <v>0</v>
      </c>
      <c r="AF530" s="6">
        <f ca="1">$M$530*$Z$530</f>
        <v>12283.262611983666</v>
      </c>
      <c r="AG530" s="6">
        <f>$O$530*$AA$530</f>
        <v>30087.576726201183</v>
      </c>
    </row>
    <row r="531" spans="1:33" ht="11.25" customHeight="1" x14ac:dyDescent="0.3">
      <c r="A531" s="4" t="s">
        <v>21</v>
      </c>
      <c r="B531" s="4" t="s">
        <v>39</v>
      </c>
      <c r="C531" s="4" t="s">
        <v>41</v>
      </c>
      <c r="D531" s="4" t="s">
        <v>45</v>
      </c>
      <c r="E531" s="4" t="s">
        <v>25</v>
      </c>
      <c r="F531" s="4" t="s">
        <v>25</v>
      </c>
      <c r="G531" s="4" t="s">
        <v>25</v>
      </c>
      <c r="H531" s="4" t="s">
        <v>35</v>
      </c>
      <c r="I531" s="5">
        <v>44805</v>
      </c>
      <c r="J531" s="6">
        <v>0</v>
      </c>
      <c r="K531" s="53">
        <v>0</v>
      </c>
      <c r="L531" s="6">
        <v>160.94</v>
      </c>
      <c r="M531" s="53">
        <v>160.94</v>
      </c>
      <c r="N531" s="6">
        <v>160.94</v>
      </c>
      <c r="O531" s="53">
        <v>160.94</v>
      </c>
      <c r="P531" s="6">
        <v>0</v>
      </c>
      <c r="Q531" s="4" t="s">
        <v>26</v>
      </c>
      <c r="R531" s="4">
        <v>0</v>
      </c>
      <c r="S531" s="6">
        <v>0</v>
      </c>
      <c r="T531" s="6">
        <v>6</v>
      </c>
      <c r="U531" s="6">
        <v>61</v>
      </c>
      <c r="V531" s="53">
        <f>IF(ISERROR(VLOOKUP($S$531,'TAR FIN'!$A$1:$O$113,15,0)),0,VLOOKUP($S$531,'TAR FIN'!$A$1:$O$113,15,0))</f>
        <v>0</v>
      </c>
      <c r="W531" s="53">
        <f>IF(ISERROR(VLOOKUP($T$531,'TAR FIN'!$A$1:$O$113,15,0)),0,VLOOKUP($T$531,'TAR FIN'!$A$1:$O$113,15,0))*(1-0.04)</f>
        <v>69.263999999999996</v>
      </c>
      <c r="X531" s="53">
        <f>IF(ISERROR(VLOOKUP($U$531,'TAR FIN'!$A$1:$O$113,15,0)),0,VLOOKUP($U$531,'TAR FIN'!$A$1:$O$113,15,0))*(1-0.04)</f>
        <v>267.52320000000003</v>
      </c>
      <c r="Y531" s="53"/>
      <c r="Z531" s="53">
        <f ca="1">('TUSD BE'!$AM$21+'TUSD BF'!$AM$21+'TUSD CVA'!$AM$21)*1*(1-0.02)</f>
        <v>119.69774225030127</v>
      </c>
      <c r="AA531" s="53">
        <f>('TE BE'!$AB$10+'TE BF'!$AB$10+'TE CVA'!$AB$10)*1*(1-0.02)</f>
        <v>293.19693941863773</v>
      </c>
      <c r="AB531" s="6">
        <f>$K$531*$V$531</f>
        <v>0</v>
      </c>
      <c r="AC531" s="6">
        <f>$M$531*$W$531</f>
        <v>11147.34816</v>
      </c>
      <c r="AD531" s="6">
        <f>$O$531*$X$531</f>
        <v>43055.183808000002</v>
      </c>
      <c r="AE531" s="6">
        <f>$K$531*$Y$531</f>
        <v>0</v>
      </c>
      <c r="AF531" s="6">
        <f ca="1">$M$531*$Z$531</f>
        <v>19264.154637763488</v>
      </c>
      <c r="AG531" s="6">
        <f>$O$531*$AA$531</f>
        <v>47187.115430035556</v>
      </c>
    </row>
    <row r="532" spans="1:33" ht="11.25" customHeight="1" x14ac:dyDescent="0.3">
      <c r="A532" s="4" t="s">
        <v>53</v>
      </c>
      <c r="B532" s="4" t="s">
        <v>39</v>
      </c>
      <c r="C532" s="4" t="s">
        <v>41</v>
      </c>
      <c r="D532" s="4" t="s">
        <v>45</v>
      </c>
      <c r="E532" s="4" t="s">
        <v>25</v>
      </c>
      <c r="F532" s="4" t="s">
        <v>25</v>
      </c>
      <c r="G532" s="4" t="s">
        <v>25</v>
      </c>
      <c r="H532" s="4" t="s">
        <v>35</v>
      </c>
      <c r="I532" s="5">
        <v>44835</v>
      </c>
      <c r="J532" s="6">
        <v>0</v>
      </c>
      <c r="K532" s="53">
        <v>0</v>
      </c>
      <c r="L532" s="6">
        <v>160.94</v>
      </c>
      <c r="M532" s="53">
        <v>160.94</v>
      </c>
      <c r="N532" s="6">
        <v>160.94</v>
      </c>
      <c r="O532" s="53">
        <v>160.94</v>
      </c>
      <c r="P532" s="6">
        <v>0</v>
      </c>
      <c r="Q532" s="4" t="s">
        <v>26</v>
      </c>
      <c r="R532" s="4">
        <v>0</v>
      </c>
      <c r="S532" s="6">
        <v>0</v>
      </c>
      <c r="T532" s="6">
        <v>6</v>
      </c>
      <c r="U532" s="6">
        <v>61</v>
      </c>
      <c r="V532" s="53">
        <f>IF(ISERROR(VLOOKUP($S$532,'TAR FIN'!$A$1:$O$113,15,0)),0,VLOOKUP($S$532,'TAR FIN'!$A$1:$O$113,15,0))</f>
        <v>0</v>
      </c>
      <c r="W532" s="53">
        <f>IF(ISERROR(VLOOKUP($T$532,'TAR FIN'!$A$1:$O$113,15,0)),0,VLOOKUP($T$532,'TAR FIN'!$A$1:$O$113,15,0))*(1-0.04)</f>
        <v>69.263999999999996</v>
      </c>
      <c r="X532" s="53">
        <f>IF(ISERROR(VLOOKUP($U$532,'TAR FIN'!$A$1:$O$113,15,0)),0,VLOOKUP($U$532,'TAR FIN'!$A$1:$O$113,15,0))*(1-0.04)</f>
        <v>267.52320000000003</v>
      </c>
      <c r="Y532" s="53"/>
      <c r="Z532" s="53">
        <f ca="1">('TUSD BE'!$AM$21+'TUSD BF'!$AM$21+'TUSD CVA'!$AM$21)*1*(1-0.02)</f>
        <v>119.69774225030127</v>
      </c>
      <c r="AA532" s="53">
        <f>('TE BE'!$AB$10+'TE BF'!$AB$10+'TE CVA'!$AB$10)*1*(1-0.02)</f>
        <v>293.19693941863773</v>
      </c>
      <c r="AB532" s="6">
        <f>$K$532*$V$532</f>
        <v>0</v>
      </c>
      <c r="AC532" s="6">
        <f>$M$532*$W$532</f>
        <v>11147.34816</v>
      </c>
      <c r="AD532" s="6">
        <f>$O$532*$X$532</f>
        <v>43055.183808000002</v>
      </c>
      <c r="AE532" s="6">
        <f>$K$532*$Y$532</f>
        <v>0</v>
      </c>
      <c r="AF532" s="6">
        <f ca="1">$M$532*$Z$532</f>
        <v>19264.154637763488</v>
      </c>
      <c r="AG532" s="6">
        <f>$O$532*$AA$532</f>
        <v>47187.115430035556</v>
      </c>
    </row>
    <row r="533" spans="1:33" ht="11.25" customHeight="1" x14ac:dyDescent="0.3">
      <c r="A533" s="4" t="s">
        <v>21</v>
      </c>
      <c r="B533" s="4" t="s">
        <v>39</v>
      </c>
      <c r="C533" s="4" t="s">
        <v>41</v>
      </c>
      <c r="D533" s="4" t="s">
        <v>45</v>
      </c>
      <c r="E533" s="4" t="s">
        <v>25</v>
      </c>
      <c r="F533" s="4" t="s">
        <v>25</v>
      </c>
      <c r="G533" s="4" t="s">
        <v>25</v>
      </c>
      <c r="H533" s="4" t="s">
        <v>25</v>
      </c>
      <c r="I533" s="5">
        <v>44501</v>
      </c>
      <c r="J533" s="6">
        <v>517</v>
      </c>
      <c r="K533" s="53">
        <v>517</v>
      </c>
      <c r="L533" s="6">
        <v>0</v>
      </c>
      <c r="M533" s="53">
        <v>0</v>
      </c>
      <c r="N533" s="6">
        <v>0</v>
      </c>
      <c r="O533" s="53">
        <v>0</v>
      </c>
      <c r="P533" s="6">
        <v>5</v>
      </c>
      <c r="Q533" s="4" t="s">
        <v>26</v>
      </c>
      <c r="R533" s="4">
        <v>0</v>
      </c>
      <c r="S533" s="6">
        <v>20</v>
      </c>
      <c r="T533" s="6">
        <v>0</v>
      </c>
      <c r="U533" s="6">
        <v>0</v>
      </c>
      <c r="V533" s="53">
        <f>IF(ISERROR(VLOOKUP($S$533,'TAR FIN'!$A$1:$O$113,15,0)),0,VLOOKUP($S$533,'TAR FIN'!$A$1:$O$113,15,0))*(1-0.04)</f>
        <v>13.44</v>
      </c>
      <c r="W533" s="53">
        <f>IF(ISERROR(VLOOKUP($T$533,'TAR FIN'!$A$1:$O$113,15,0)),0,VLOOKUP($T$533,'TAR FIN'!$A$1:$O$113,15,0))</f>
        <v>0</v>
      </c>
      <c r="X533" s="53">
        <f>IF(ISERROR(VLOOKUP($U$533,'TAR FIN'!$A$1:$O$113,15,0)),0,VLOOKUP($U$533,'TAR FIN'!$A$1:$O$113,15,0))</f>
        <v>0</v>
      </c>
      <c r="Y533" s="53">
        <f ca="1">('TUSD BE'!$AM$19+'TUSD BF'!$AM$19+'TUSD CVA'!$AM$19)*1*(1-0.02)</f>
        <v>15.715234844864971</v>
      </c>
      <c r="Z533" s="53"/>
      <c r="AA533" s="53"/>
      <c r="AB533" s="6">
        <f>$K$533*$V$533</f>
        <v>6948.48</v>
      </c>
      <c r="AC533" s="6">
        <f>$M$533*$W$533</f>
        <v>0</v>
      </c>
      <c r="AD533" s="6">
        <f>$O$533*$X$533</f>
        <v>0</v>
      </c>
      <c r="AE533" s="6">
        <f ca="1">$K$533*$Y$533</f>
        <v>8124.7764147951902</v>
      </c>
      <c r="AF533" s="6">
        <f>$M$533*$Z$533</f>
        <v>0</v>
      </c>
      <c r="AG533" s="6">
        <f>$O$533*$AA$533</f>
        <v>0</v>
      </c>
    </row>
    <row r="534" spans="1:33" ht="11.25" customHeight="1" x14ac:dyDescent="0.3">
      <c r="A534" s="4" t="s">
        <v>21</v>
      </c>
      <c r="B534" s="4" t="s">
        <v>39</v>
      </c>
      <c r="C534" s="4" t="s">
        <v>41</v>
      </c>
      <c r="D534" s="4" t="s">
        <v>45</v>
      </c>
      <c r="E534" s="4" t="s">
        <v>25</v>
      </c>
      <c r="F534" s="4" t="s">
        <v>25</v>
      </c>
      <c r="G534" s="4" t="s">
        <v>25</v>
      </c>
      <c r="H534" s="4" t="s">
        <v>25</v>
      </c>
      <c r="I534" s="5">
        <v>44531</v>
      </c>
      <c r="J534" s="6">
        <v>376</v>
      </c>
      <c r="K534" s="53">
        <v>376</v>
      </c>
      <c r="L534" s="6">
        <v>0</v>
      </c>
      <c r="M534" s="53">
        <v>0</v>
      </c>
      <c r="N534" s="6">
        <v>0</v>
      </c>
      <c r="O534" s="53">
        <v>0</v>
      </c>
      <c r="P534" s="6">
        <v>5</v>
      </c>
      <c r="Q534" s="4" t="s">
        <v>26</v>
      </c>
      <c r="R534" s="4">
        <v>0</v>
      </c>
      <c r="S534" s="6">
        <v>20</v>
      </c>
      <c r="T534" s="6">
        <v>0</v>
      </c>
      <c r="U534" s="6">
        <v>0</v>
      </c>
      <c r="V534" s="53">
        <f>IF(ISERROR(VLOOKUP($S$534,'TAR FIN'!$A$1:$O$113,15,0)),0,VLOOKUP($S$534,'TAR FIN'!$A$1:$O$113,15,0))*(1-0.04)</f>
        <v>13.44</v>
      </c>
      <c r="W534" s="53">
        <f>IF(ISERROR(VLOOKUP($T$534,'TAR FIN'!$A$1:$O$113,15,0)),0,VLOOKUP($T$534,'TAR FIN'!$A$1:$O$113,15,0))</f>
        <v>0</v>
      </c>
      <c r="X534" s="53">
        <f>IF(ISERROR(VLOOKUP($U$534,'TAR FIN'!$A$1:$O$113,15,0)),0,VLOOKUP($U$534,'TAR FIN'!$A$1:$O$113,15,0))</f>
        <v>0</v>
      </c>
      <c r="Y534" s="53">
        <f ca="1">('TUSD BE'!$AM$19+'TUSD BF'!$AM$19+'TUSD CVA'!$AM$19)*1*(1-0.02)</f>
        <v>15.715234844864971</v>
      </c>
      <c r="Z534" s="53"/>
      <c r="AA534" s="53"/>
      <c r="AB534" s="6">
        <f>$K$534*$V$534</f>
        <v>5053.4399999999996</v>
      </c>
      <c r="AC534" s="6">
        <f>$M$534*$W$534</f>
        <v>0</v>
      </c>
      <c r="AD534" s="6">
        <f>$O$534*$X$534</f>
        <v>0</v>
      </c>
      <c r="AE534" s="6">
        <f ca="1">$K$534*$Y$534</f>
        <v>5908.9283016692289</v>
      </c>
      <c r="AF534" s="6">
        <f>$M$534*$Z$534</f>
        <v>0</v>
      </c>
      <c r="AG534" s="6">
        <f>$O$534*$AA$534</f>
        <v>0</v>
      </c>
    </row>
    <row r="535" spans="1:33" ht="11.25" customHeight="1" x14ac:dyDescent="0.3">
      <c r="A535" s="4" t="s">
        <v>21</v>
      </c>
      <c r="B535" s="4" t="s">
        <v>39</v>
      </c>
      <c r="C535" s="4" t="s">
        <v>41</v>
      </c>
      <c r="D535" s="4" t="s">
        <v>45</v>
      </c>
      <c r="E535" s="4" t="s">
        <v>25</v>
      </c>
      <c r="F535" s="4" t="s">
        <v>25</v>
      </c>
      <c r="G535" s="4" t="s">
        <v>25</v>
      </c>
      <c r="H535" s="4" t="s">
        <v>25</v>
      </c>
      <c r="I535" s="5">
        <v>44562</v>
      </c>
      <c r="J535" s="6">
        <v>401</v>
      </c>
      <c r="K535" s="53">
        <v>401</v>
      </c>
      <c r="L535" s="6">
        <v>0</v>
      </c>
      <c r="M535" s="53">
        <v>0</v>
      </c>
      <c r="N535" s="6">
        <v>0</v>
      </c>
      <c r="O535" s="53">
        <v>0</v>
      </c>
      <c r="P535" s="6">
        <v>5</v>
      </c>
      <c r="Q535" s="4" t="s">
        <v>26</v>
      </c>
      <c r="R535" s="4">
        <v>0</v>
      </c>
      <c r="S535" s="6">
        <v>20</v>
      </c>
      <c r="T535" s="6">
        <v>0</v>
      </c>
      <c r="U535" s="6">
        <v>0</v>
      </c>
      <c r="V535" s="53">
        <f>IF(ISERROR(VLOOKUP($S$535,'TAR FIN'!$A$1:$O$113,15,0)),0,VLOOKUP($S$535,'TAR FIN'!$A$1:$O$113,15,0))*(1-0.04)</f>
        <v>13.44</v>
      </c>
      <c r="W535" s="53">
        <f>IF(ISERROR(VLOOKUP($T$535,'TAR FIN'!$A$1:$O$113,15,0)),0,VLOOKUP($T$535,'TAR FIN'!$A$1:$O$113,15,0))</f>
        <v>0</v>
      </c>
      <c r="X535" s="53">
        <f>IF(ISERROR(VLOOKUP($U$535,'TAR FIN'!$A$1:$O$113,15,0)),0,VLOOKUP($U$535,'TAR FIN'!$A$1:$O$113,15,0))</f>
        <v>0</v>
      </c>
      <c r="Y535" s="53">
        <f ca="1">('TUSD BE'!$AM$19+'TUSD BF'!$AM$19+'TUSD CVA'!$AM$19)*1*(1-0.02)</f>
        <v>15.715234844864971</v>
      </c>
      <c r="Z535" s="53"/>
      <c r="AA535" s="53"/>
      <c r="AB535" s="6">
        <f>$K$535*$V$535</f>
        <v>5389.44</v>
      </c>
      <c r="AC535" s="6">
        <f>$M$535*$W$535</f>
        <v>0</v>
      </c>
      <c r="AD535" s="6">
        <f>$O$535*$X$535</f>
        <v>0</v>
      </c>
      <c r="AE535" s="6">
        <f ca="1">$K$535*$Y$535</f>
        <v>6301.8091727908532</v>
      </c>
      <c r="AF535" s="6">
        <f>$M$535*$Z$535</f>
        <v>0</v>
      </c>
      <c r="AG535" s="6">
        <f>$O$535*$AA$535</f>
        <v>0</v>
      </c>
    </row>
    <row r="536" spans="1:33" ht="11.25" customHeight="1" x14ac:dyDescent="0.3">
      <c r="A536" s="4" t="s">
        <v>21</v>
      </c>
      <c r="B536" s="4" t="s">
        <v>39</v>
      </c>
      <c r="C536" s="4" t="s">
        <v>41</v>
      </c>
      <c r="D536" s="4" t="s">
        <v>45</v>
      </c>
      <c r="E536" s="4" t="s">
        <v>25</v>
      </c>
      <c r="F536" s="4" t="s">
        <v>25</v>
      </c>
      <c r="G536" s="4" t="s">
        <v>25</v>
      </c>
      <c r="H536" s="4" t="s">
        <v>25</v>
      </c>
      <c r="I536" s="5">
        <v>44593</v>
      </c>
      <c r="J536" s="6">
        <v>395</v>
      </c>
      <c r="K536" s="53">
        <v>395</v>
      </c>
      <c r="L536" s="6">
        <v>0</v>
      </c>
      <c r="M536" s="53">
        <v>0</v>
      </c>
      <c r="N536" s="6">
        <v>0</v>
      </c>
      <c r="O536" s="53">
        <v>0</v>
      </c>
      <c r="P536" s="6">
        <v>5</v>
      </c>
      <c r="Q536" s="4" t="s">
        <v>26</v>
      </c>
      <c r="R536" s="4">
        <v>0</v>
      </c>
      <c r="S536" s="6">
        <v>20</v>
      </c>
      <c r="T536" s="6">
        <v>0</v>
      </c>
      <c r="U536" s="6">
        <v>0</v>
      </c>
      <c r="V536" s="53">
        <f>IF(ISERROR(VLOOKUP($S$536,'TAR FIN'!$A$1:$O$113,15,0)),0,VLOOKUP($S$536,'TAR FIN'!$A$1:$O$113,15,0))*(1-0.04)</f>
        <v>13.44</v>
      </c>
      <c r="W536" s="53">
        <f>IF(ISERROR(VLOOKUP($T$536,'TAR FIN'!$A$1:$O$113,15,0)),0,VLOOKUP($T$536,'TAR FIN'!$A$1:$O$113,15,0))</f>
        <v>0</v>
      </c>
      <c r="X536" s="53">
        <f>IF(ISERROR(VLOOKUP($U$536,'TAR FIN'!$A$1:$O$113,15,0)),0,VLOOKUP($U$536,'TAR FIN'!$A$1:$O$113,15,0))</f>
        <v>0</v>
      </c>
      <c r="Y536" s="53">
        <f ca="1">('TUSD BE'!$AM$19+'TUSD BF'!$AM$19+'TUSD CVA'!$AM$19)*1*(1-0.02)</f>
        <v>15.715234844864971</v>
      </c>
      <c r="Z536" s="53"/>
      <c r="AA536" s="53"/>
      <c r="AB536" s="6">
        <f>$K$536*$V$536</f>
        <v>5308.8</v>
      </c>
      <c r="AC536" s="6">
        <f>$M$536*$W$536</f>
        <v>0</v>
      </c>
      <c r="AD536" s="6">
        <f>$O$536*$X$536</f>
        <v>0</v>
      </c>
      <c r="AE536" s="6">
        <f ca="1">$K$536*$Y$536</f>
        <v>6207.5177637216639</v>
      </c>
      <c r="AF536" s="6">
        <f>$M$536*$Z$536</f>
        <v>0</v>
      </c>
      <c r="AG536" s="6">
        <f>$O$536*$AA$536</f>
        <v>0</v>
      </c>
    </row>
    <row r="537" spans="1:33" ht="11.25" customHeight="1" x14ac:dyDescent="0.3">
      <c r="A537" s="4" t="s">
        <v>21</v>
      </c>
      <c r="B537" s="4" t="s">
        <v>39</v>
      </c>
      <c r="C537" s="4" t="s">
        <v>41</v>
      </c>
      <c r="D537" s="4" t="s">
        <v>45</v>
      </c>
      <c r="E537" s="4" t="s">
        <v>25</v>
      </c>
      <c r="F537" s="4" t="s">
        <v>25</v>
      </c>
      <c r="G537" s="4" t="s">
        <v>25</v>
      </c>
      <c r="H537" s="4" t="s">
        <v>25</v>
      </c>
      <c r="I537" s="5">
        <v>44621</v>
      </c>
      <c r="J537" s="6">
        <v>365</v>
      </c>
      <c r="K537" s="53">
        <v>365</v>
      </c>
      <c r="L537" s="6">
        <v>0</v>
      </c>
      <c r="M537" s="53">
        <v>0</v>
      </c>
      <c r="N537" s="6">
        <v>0</v>
      </c>
      <c r="O537" s="53">
        <v>0</v>
      </c>
      <c r="P537" s="6">
        <v>5</v>
      </c>
      <c r="Q537" s="4" t="s">
        <v>26</v>
      </c>
      <c r="R537" s="4">
        <v>0</v>
      </c>
      <c r="S537" s="6">
        <v>20</v>
      </c>
      <c r="T537" s="6">
        <v>0</v>
      </c>
      <c r="U537" s="6">
        <v>0</v>
      </c>
      <c r="V537" s="53">
        <f>IF(ISERROR(VLOOKUP($S$537,'TAR FIN'!$A$1:$O$113,15,0)),0,VLOOKUP($S$537,'TAR FIN'!$A$1:$O$113,15,0))*(1-0.04)</f>
        <v>13.44</v>
      </c>
      <c r="W537" s="53">
        <f>IF(ISERROR(VLOOKUP($T$537,'TAR FIN'!$A$1:$O$113,15,0)),0,VLOOKUP($T$537,'TAR FIN'!$A$1:$O$113,15,0))</f>
        <v>0</v>
      </c>
      <c r="X537" s="53">
        <f>IF(ISERROR(VLOOKUP($U$537,'TAR FIN'!$A$1:$O$113,15,0)),0,VLOOKUP($U$537,'TAR FIN'!$A$1:$O$113,15,0))</f>
        <v>0</v>
      </c>
      <c r="Y537" s="53">
        <f ca="1">('TUSD BE'!$AM$19+'TUSD BF'!$AM$19+'TUSD CVA'!$AM$19)*1*(1-0.02)</f>
        <v>15.715234844864971</v>
      </c>
      <c r="Z537" s="53"/>
      <c r="AA537" s="53"/>
      <c r="AB537" s="6">
        <f>$K$537*$V$537</f>
        <v>4905.5999999999995</v>
      </c>
      <c r="AC537" s="6">
        <f>$M$537*$W$537</f>
        <v>0</v>
      </c>
      <c r="AD537" s="6">
        <f>$O$537*$X$537</f>
        <v>0</v>
      </c>
      <c r="AE537" s="6">
        <f ca="1">$K$537*$Y$537</f>
        <v>5736.0607183757147</v>
      </c>
      <c r="AF537" s="6">
        <f>$M$537*$Z$537</f>
        <v>0</v>
      </c>
      <c r="AG537" s="6">
        <f>$O$537*$AA$537</f>
        <v>0</v>
      </c>
    </row>
    <row r="538" spans="1:33" ht="11.25" customHeight="1" x14ac:dyDescent="0.3">
      <c r="A538" s="4" t="s">
        <v>21</v>
      </c>
      <c r="B538" s="4" t="s">
        <v>39</v>
      </c>
      <c r="C538" s="4" t="s">
        <v>41</v>
      </c>
      <c r="D538" s="4" t="s">
        <v>45</v>
      </c>
      <c r="E538" s="4" t="s">
        <v>25</v>
      </c>
      <c r="F538" s="4" t="s">
        <v>25</v>
      </c>
      <c r="G538" s="4" t="s">
        <v>25</v>
      </c>
      <c r="H538" s="4" t="s">
        <v>25</v>
      </c>
      <c r="I538" s="5">
        <v>44652</v>
      </c>
      <c r="J538" s="6">
        <v>422</v>
      </c>
      <c r="K538" s="53">
        <v>422</v>
      </c>
      <c r="L538" s="6">
        <v>0</v>
      </c>
      <c r="M538" s="53">
        <v>0</v>
      </c>
      <c r="N538" s="6">
        <v>0</v>
      </c>
      <c r="O538" s="53">
        <v>0</v>
      </c>
      <c r="P538" s="6">
        <v>5</v>
      </c>
      <c r="Q538" s="4" t="s">
        <v>26</v>
      </c>
      <c r="R538" s="4">
        <v>0</v>
      </c>
      <c r="S538" s="6">
        <v>20</v>
      </c>
      <c r="T538" s="6">
        <v>0</v>
      </c>
      <c r="U538" s="6">
        <v>0</v>
      </c>
      <c r="V538" s="53">
        <f>IF(ISERROR(VLOOKUP($S$538,'TAR FIN'!$A$1:$O$113,15,0)),0,VLOOKUP($S$538,'TAR FIN'!$A$1:$O$113,15,0))*(1-0.04)</f>
        <v>13.44</v>
      </c>
      <c r="W538" s="53">
        <f>IF(ISERROR(VLOOKUP($T$538,'TAR FIN'!$A$1:$O$113,15,0)),0,VLOOKUP($T$538,'TAR FIN'!$A$1:$O$113,15,0))</f>
        <v>0</v>
      </c>
      <c r="X538" s="53">
        <f>IF(ISERROR(VLOOKUP($U$538,'TAR FIN'!$A$1:$O$113,15,0)),0,VLOOKUP($U$538,'TAR FIN'!$A$1:$O$113,15,0))</f>
        <v>0</v>
      </c>
      <c r="Y538" s="53">
        <f ca="1">('TUSD BE'!$AM$19+'TUSD BF'!$AM$19+'TUSD CVA'!$AM$19)*1*(1-0.02)</f>
        <v>15.715234844864971</v>
      </c>
      <c r="Z538" s="53"/>
      <c r="AA538" s="53"/>
      <c r="AB538" s="6">
        <f>$K$538*$V$538</f>
        <v>5671.6799999999994</v>
      </c>
      <c r="AC538" s="6">
        <f>$M$538*$W$538</f>
        <v>0</v>
      </c>
      <c r="AD538" s="6">
        <f>$O$538*$X$538</f>
        <v>0</v>
      </c>
      <c r="AE538" s="6">
        <f ca="1">$K$538*$Y$538</f>
        <v>6631.8291045330179</v>
      </c>
      <c r="AF538" s="6">
        <f>$M$538*$Z$538</f>
        <v>0</v>
      </c>
      <c r="AG538" s="6">
        <f>$O$538*$AA$538</f>
        <v>0</v>
      </c>
    </row>
    <row r="539" spans="1:33" ht="11.25" customHeight="1" x14ac:dyDescent="0.3">
      <c r="A539" s="4" t="s">
        <v>21</v>
      </c>
      <c r="B539" s="4" t="s">
        <v>39</v>
      </c>
      <c r="C539" s="4" t="s">
        <v>41</v>
      </c>
      <c r="D539" s="4" t="s">
        <v>45</v>
      </c>
      <c r="E539" s="4" t="s">
        <v>25</v>
      </c>
      <c r="F539" s="4" t="s">
        <v>25</v>
      </c>
      <c r="G539" s="4" t="s">
        <v>25</v>
      </c>
      <c r="H539" s="4" t="s">
        <v>25</v>
      </c>
      <c r="I539" s="5">
        <v>44682</v>
      </c>
      <c r="J539" s="6">
        <v>403</v>
      </c>
      <c r="K539" s="53">
        <v>403</v>
      </c>
      <c r="L539" s="6">
        <v>0</v>
      </c>
      <c r="M539" s="53">
        <v>0</v>
      </c>
      <c r="N539" s="6">
        <v>0</v>
      </c>
      <c r="O539" s="53">
        <v>0</v>
      </c>
      <c r="P539" s="6">
        <v>5</v>
      </c>
      <c r="Q539" s="4" t="s">
        <v>26</v>
      </c>
      <c r="R539" s="4">
        <v>0</v>
      </c>
      <c r="S539" s="6">
        <v>20</v>
      </c>
      <c r="T539" s="6">
        <v>0</v>
      </c>
      <c r="U539" s="6">
        <v>0</v>
      </c>
      <c r="V539" s="53">
        <f>IF(ISERROR(VLOOKUP($S$539,'TAR FIN'!$A$1:$O$113,15,0)),0,VLOOKUP($S$539,'TAR FIN'!$A$1:$O$113,15,0))*(1-0.04)</f>
        <v>13.44</v>
      </c>
      <c r="W539" s="53">
        <f>IF(ISERROR(VLOOKUP($T$539,'TAR FIN'!$A$1:$O$113,15,0)),0,VLOOKUP($T$539,'TAR FIN'!$A$1:$O$113,15,0))</f>
        <v>0</v>
      </c>
      <c r="X539" s="53">
        <f>IF(ISERROR(VLOOKUP($U$539,'TAR FIN'!$A$1:$O$113,15,0)),0,VLOOKUP($U$539,'TAR FIN'!$A$1:$O$113,15,0))</f>
        <v>0</v>
      </c>
      <c r="Y539" s="53">
        <f ca="1">('TUSD BE'!$AM$19+'TUSD BF'!$AM$19+'TUSD CVA'!$AM$19)*1*(1-0.02)</f>
        <v>15.715234844864971</v>
      </c>
      <c r="Z539" s="53"/>
      <c r="AA539" s="53"/>
      <c r="AB539" s="6">
        <f>$K$539*$V$539</f>
        <v>5416.32</v>
      </c>
      <c r="AC539" s="6">
        <f>$M$539*$W$539</f>
        <v>0</v>
      </c>
      <c r="AD539" s="6">
        <f>$O$539*$X$539</f>
        <v>0</v>
      </c>
      <c r="AE539" s="6">
        <f ca="1">$K$539*$Y$539</f>
        <v>6333.2396424805838</v>
      </c>
      <c r="AF539" s="6">
        <f>$M$539*$Z$539</f>
        <v>0</v>
      </c>
      <c r="AG539" s="6">
        <f>$O$539*$AA$539</f>
        <v>0</v>
      </c>
    </row>
    <row r="540" spans="1:33" ht="11.25" customHeight="1" x14ac:dyDescent="0.3">
      <c r="A540" s="4" t="s">
        <v>21</v>
      </c>
      <c r="B540" s="4" t="s">
        <v>39</v>
      </c>
      <c r="C540" s="4" t="s">
        <v>41</v>
      </c>
      <c r="D540" s="4" t="s">
        <v>45</v>
      </c>
      <c r="E540" s="4" t="s">
        <v>25</v>
      </c>
      <c r="F540" s="4" t="s">
        <v>25</v>
      </c>
      <c r="G540" s="4" t="s">
        <v>25</v>
      </c>
      <c r="H540" s="4" t="s">
        <v>25</v>
      </c>
      <c r="I540" s="5">
        <v>44713</v>
      </c>
      <c r="J540" s="6">
        <v>365</v>
      </c>
      <c r="K540" s="53">
        <v>365</v>
      </c>
      <c r="L540" s="6">
        <v>0</v>
      </c>
      <c r="M540" s="53">
        <v>0</v>
      </c>
      <c r="N540" s="6">
        <v>0</v>
      </c>
      <c r="O540" s="53">
        <v>0</v>
      </c>
      <c r="P540" s="6">
        <v>5</v>
      </c>
      <c r="Q540" s="4" t="s">
        <v>26</v>
      </c>
      <c r="R540" s="4">
        <v>0</v>
      </c>
      <c r="S540" s="6">
        <v>20</v>
      </c>
      <c r="T540" s="6">
        <v>0</v>
      </c>
      <c r="U540" s="6">
        <v>0</v>
      </c>
      <c r="V540" s="53">
        <f>IF(ISERROR(VLOOKUP($S$540,'TAR FIN'!$A$1:$O$113,15,0)),0,VLOOKUP($S$540,'TAR FIN'!$A$1:$O$113,15,0))*(1-0.04)</f>
        <v>13.44</v>
      </c>
      <c r="W540" s="53">
        <f>IF(ISERROR(VLOOKUP($T$540,'TAR FIN'!$A$1:$O$113,15,0)),0,VLOOKUP($T$540,'TAR FIN'!$A$1:$O$113,15,0))</f>
        <v>0</v>
      </c>
      <c r="X540" s="53">
        <f>IF(ISERROR(VLOOKUP($U$540,'TAR FIN'!$A$1:$O$113,15,0)),0,VLOOKUP($U$540,'TAR FIN'!$A$1:$O$113,15,0))</f>
        <v>0</v>
      </c>
      <c r="Y540" s="53">
        <f ca="1">('TUSD BE'!$AM$19+'TUSD BF'!$AM$19+'TUSD CVA'!$AM$19)*1*(1-0.02)</f>
        <v>15.715234844864971</v>
      </c>
      <c r="Z540" s="53"/>
      <c r="AA540" s="53"/>
      <c r="AB540" s="6">
        <f>$K$540*$V$540</f>
        <v>4905.5999999999995</v>
      </c>
      <c r="AC540" s="6">
        <f>$M$540*$W$540</f>
        <v>0</v>
      </c>
      <c r="AD540" s="6">
        <f>$O$540*$X$540</f>
        <v>0</v>
      </c>
      <c r="AE540" s="6">
        <f ca="1">$K$540*$Y$540</f>
        <v>5736.0607183757147</v>
      </c>
      <c r="AF540" s="6">
        <f>$M$540*$Z$540</f>
        <v>0</v>
      </c>
      <c r="AG540" s="6">
        <f>$O$540*$AA$540</f>
        <v>0</v>
      </c>
    </row>
    <row r="541" spans="1:33" ht="11.25" customHeight="1" x14ac:dyDescent="0.3">
      <c r="A541" s="4" t="s">
        <v>21</v>
      </c>
      <c r="B541" s="4" t="s">
        <v>39</v>
      </c>
      <c r="C541" s="4" t="s">
        <v>41</v>
      </c>
      <c r="D541" s="4" t="s">
        <v>45</v>
      </c>
      <c r="E541" s="4" t="s">
        <v>25</v>
      </c>
      <c r="F541" s="4" t="s">
        <v>25</v>
      </c>
      <c r="G541" s="4" t="s">
        <v>25</v>
      </c>
      <c r="H541" s="4" t="s">
        <v>25</v>
      </c>
      <c r="I541" s="5">
        <v>44743</v>
      </c>
      <c r="J541" s="6">
        <v>416</v>
      </c>
      <c r="K541" s="53">
        <v>416</v>
      </c>
      <c r="L541" s="6">
        <v>0</v>
      </c>
      <c r="M541" s="53">
        <v>0</v>
      </c>
      <c r="N541" s="6">
        <v>0</v>
      </c>
      <c r="O541" s="53">
        <v>0</v>
      </c>
      <c r="P541" s="6">
        <v>4</v>
      </c>
      <c r="Q541" s="4" t="s">
        <v>26</v>
      </c>
      <c r="R541" s="4">
        <v>0</v>
      </c>
      <c r="S541" s="6">
        <v>20</v>
      </c>
      <c r="T541" s="6">
        <v>0</v>
      </c>
      <c r="U541" s="6">
        <v>0</v>
      </c>
      <c r="V541" s="53">
        <f>IF(ISERROR(VLOOKUP($S$541,'TAR FIN'!$A$1:$O$113,15,0)),0,VLOOKUP($S$541,'TAR FIN'!$A$1:$O$113,15,0))*(1-0.04)</f>
        <v>13.44</v>
      </c>
      <c r="W541" s="53">
        <f>IF(ISERROR(VLOOKUP($T$541,'TAR FIN'!$A$1:$O$113,15,0)),0,VLOOKUP($T$541,'TAR FIN'!$A$1:$O$113,15,0))</f>
        <v>0</v>
      </c>
      <c r="X541" s="53">
        <f>IF(ISERROR(VLOOKUP($U$541,'TAR FIN'!$A$1:$O$113,15,0)),0,VLOOKUP($U$541,'TAR FIN'!$A$1:$O$113,15,0))</f>
        <v>0</v>
      </c>
      <c r="Y541" s="53">
        <f ca="1">('TUSD BE'!$AM$19+'TUSD BF'!$AM$19+'TUSD CVA'!$AM$19)*1*(1-0.02)</f>
        <v>15.715234844864971</v>
      </c>
      <c r="Z541" s="53"/>
      <c r="AA541" s="53"/>
      <c r="AB541" s="6">
        <f>$K$541*$V$541</f>
        <v>5591.04</v>
      </c>
      <c r="AC541" s="6">
        <f>$M$541*$W$541</f>
        <v>0</v>
      </c>
      <c r="AD541" s="6">
        <f>$O$541*$X$541</f>
        <v>0</v>
      </c>
      <c r="AE541" s="6">
        <f ca="1">$K$541*$Y$541</f>
        <v>6537.5376954638277</v>
      </c>
      <c r="AF541" s="6">
        <f>$M$541*$Z$541</f>
        <v>0</v>
      </c>
      <c r="AG541" s="6">
        <f>$O$541*$AA$541</f>
        <v>0</v>
      </c>
    </row>
    <row r="542" spans="1:33" ht="11.25" customHeight="1" x14ac:dyDescent="0.3">
      <c r="A542" s="4" t="s">
        <v>21</v>
      </c>
      <c r="B542" s="4" t="s">
        <v>39</v>
      </c>
      <c r="C542" s="4" t="s">
        <v>41</v>
      </c>
      <c r="D542" s="4" t="s">
        <v>45</v>
      </c>
      <c r="E542" s="4" t="s">
        <v>25</v>
      </c>
      <c r="F542" s="4" t="s">
        <v>25</v>
      </c>
      <c r="G542" s="4" t="s">
        <v>25</v>
      </c>
      <c r="H542" s="4" t="s">
        <v>25</v>
      </c>
      <c r="I542" s="5">
        <v>44774</v>
      </c>
      <c r="J542" s="6">
        <v>366</v>
      </c>
      <c r="K542" s="53">
        <v>366</v>
      </c>
      <c r="L542" s="6">
        <v>0</v>
      </c>
      <c r="M542" s="53">
        <v>0</v>
      </c>
      <c r="N542" s="6">
        <v>0</v>
      </c>
      <c r="O542" s="53">
        <v>0</v>
      </c>
      <c r="P542" s="6">
        <v>5</v>
      </c>
      <c r="Q542" s="4" t="s">
        <v>26</v>
      </c>
      <c r="R542" s="4">
        <v>0</v>
      </c>
      <c r="S542" s="6">
        <v>20</v>
      </c>
      <c r="T542" s="6">
        <v>0</v>
      </c>
      <c r="U542" s="6">
        <v>0</v>
      </c>
      <c r="V542" s="53">
        <f>IF(ISERROR(VLOOKUP($S$542,'TAR FIN'!$A$1:$O$113,15,0)),0,VLOOKUP($S$542,'TAR FIN'!$A$1:$O$113,15,0))*(1-0.04)</f>
        <v>13.44</v>
      </c>
      <c r="W542" s="53">
        <f>IF(ISERROR(VLOOKUP($T$542,'TAR FIN'!$A$1:$O$113,15,0)),0,VLOOKUP($T$542,'TAR FIN'!$A$1:$O$113,15,0))</f>
        <v>0</v>
      </c>
      <c r="X542" s="53">
        <f>IF(ISERROR(VLOOKUP($U$542,'TAR FIN'!$A$1:$O$113,15,0)),0,VLOOKUP($U$542,'TAR FIN'!$A$1:$O$113,15,0))</f>
        <v>0</v>
      </c>
      <c r="Y542" s="53">
        <f ca="1">('TUSD BE'!$AM$19+'TUSD BF'!$AM$19+'TUSD CVA'!$AM$19)*1*(1-0.02)</f>
        <v>15.715234844864971</v>
      </c>
      <c r="Z542" s="53"/>
      <c r="AA542" s="53"/>
      <c r="AB542" s="6">
        <f>$K$542*$V$542</f>
        <v>4919.04</v>
      </c>
      <c r="AC542" s="6">
        <f>$M$542*$W$542</f>
        <v>0</v>
      </c>
      <c r="AD542" s="6">
        <f>$O$542*$X$542</f>
        <v>0</v>
      </c>
      <c r="AE542" s="6">
        <f ca="1">$K$542*$Y$542</f>
        <v>5751.7759532205791</v>
      </c>
      <c r="AF542" s="6">
        <f>$M$542*$Z$542</f>
        <v>0</v>
      </c>
      <c r="AG542" s="6">
        <f>$O$542*$AA$542</f>
        <v>0</v>
      </c>
    </row>
    <row r="543" spans="1:33" ht="11.25" customHeight="1" x14ac:dyDescent="0.3">
      <c r="A543" s="4" t="s">
        <v>21</v>
      </c>
      <c r="B543" s="4" t="s">
        <v>39</v>
      </c>
      <c r="C543" s="4" t="s">
        <v>41</v>
      </c>
      <c r="D543" s="4" t="s">
        <v>45</v>
      </c>
      <c r="E543" s="4" t="s">
        <v>25</v>
      </c>
      <c r="F543" s="4" t="s">
        <v>25</v>
      </c>
      <c r="G543" s="4" t="s">
        <v>25</v>
      </c>
      <c r="H543" s="4" t="s">
        <v>25</v>
      </c>
      <c r="I543" s="5">
        <v>44805</v>
      </c>
      <c r="J543" s="6">
        <v>838</v>
      </c>
      <c r="K543" s="53">
        <v>838</v>
      </c>
      <c r="L543" s="6">
        <v>0</v>
      </c>
      <c r="M543" s="53">
        <v>0</v>
      </c>
      <c r="N543" s="6">
        <v>0</v>
      </c>
      <c r="O543" s="53">
        <v>0</v>
      </c>
      <c r="P543" s="6">
        <v>6</v>
      </c>
      <c r="Q543" s="4" t="s">
        <v>26</v>
      </c>
      <c r="R543" s="4">
        <v>0</v>
      </c>
      <c r="S543" s="6">
        <v>20</v>
      </c>
      <c r="T543" s="6">
        <v>0</v>
      </c>
      <c r="U543" s="6">
        <v>0</v>
      </c>
      <c r="V543" s="53">
        <f>IF(ISERROR(VLOOKUP($S$543,'TAR FIN'!$A$1:$O$113,15,0)),0,VLOOKUP($S$543,'TAR FIN'!$A$1:$O$113,15,0))*(1-0.04)</f>
        <v>13.44</v>
      </c>
      <c r="W543" s="53">
        <f>IF(ISERROR(VLOOKUP($T$543,'TAR FIN'!$A$1:$O$113,15,0)),0,VLOOKUP($T$543,'TAR FIN'!$A$1:$O$113,15,0))</f>
        <v>0</v>
      </c>
      <c r="X543" s="53">
        <f>IF(ISERROR(VLOOKUP($U$543,'TAR FIN'!$A$1:$O$113,15,0)),0,VLOOKUP($U$543,'TAR FIN'!$A$1:$O$113,15,0))</f>
        <v>0</v>
      </c>
      <c r="Y543" s="53">
        <f ca="1">('TUSD BE'!$AM$19+'TUSD BF'!$AM$19+'TUSD CVA'!$AM$19)*1*(1-0.02)</f>
        <v>15.715234844864971</v>
      </c>
      <c r="Z543" s="53"/>
      <c r="AA543" s="53"/>
      <c r="AB543" s="6">
        <f>$K$543*$V$543</f>
        <v>11262.72</v>
      </c>
      <c r="AC543" s="6">
        <f>$M$543*$W$543</f>
        <v>0</v>
      </c>
      <c r="AD543" s="6">
        <f>$O$543*$X$543</f>
        <v>0</v>
      </c>
      <c r="AE543" s="6">
        <f ca="1">$K$543*$Y$543</f>
        <v>13169.366799996846</v>
      </c>
      <c r="AF543" s="6">
        <f>$M$543*$Z$543</f>
        <v>0</v>
      </c>
      <c r="AG543" s="6">
        <f>$O$543*$AA$543</f>
        <v>0</v>
      </c>
    </row>
    <row r="544" spans="1:33" ht="11.25" customHeight="1" x14ac:dyDescent="0.3">
      <c r="A544" s="4" t="s">
        <v>53</v>
      </c>
      <c r="B544" s="4" t="s">
        <v>39</v>
      </c>
      <c r="C544" s="4" t="s">
        <v>41</v>
      </c>
      <c r="D544" s="4" t="s">
        <v>45</v>
      </c>
      <c r="E544" s="4" t="s">
        <v>25</v>
      </c>
      <c r="F544" s="4" t="s">
        <v>25</v>
      </c>
      <c r="G544" s="4" t="s">
        <v>25</v>
      </c>
      <c r="H544" s="4" t="s">
        <v>25</v>
      </c>
      <c r="I544" s="5">
        <v>44835</v>
      </c>
      <c r="J544" s="6">
        <v>838</v>
      </c>
      <c r="K544" s="53">
        <v>838</v>
      </c>
      <c r="L544" s="6">
        <v>0</v>
      </c>
      <c r="M544" s="53">
        <v>0</v>
      </c>
      <c r="N544" s="6">
        <v>0</v>
      </c>
      <c r="O544" s="53">
        <v>0</v>
      </c>
      <c r="P544" s="6">
        <v>6</v>
      </c>
      <c r="Q544" s="4" t="s">
        <v>26</v>
      </c>
      <c r="R544" s="4">
        <v>0</v>
      </c>
      <c r="S544" s="6">
        <v>20</v>
      </c>
      <c r="T544" s="6">
        <v>0</v>
      </c>
      <c r="U544" s="6">
        <v>0</v>
      </c>
      <c r="V544" s="53">
        <f>IF(ISERROR(VLOOKUP($S$544,'TAR FIN'!$A$1:$O$113,15,0)),0,VLOOKUP($S$544,'TAR FIN'!$A$1:$O$113,15,0))*(1-0.04)</f>
        <v>13.44</v>
      </c>
      <c r="W544" s="53">
        <f>IF(ISERROR(VLOOKUP($T$544,'TAR FIN'!$A$1:$O$113,15,0)),0,VLOOKUP($T$544,'TAR FIN'!$A$1:$O$113,15,0))</f>
        <v>0</v>
      </c>
      <c r="X544" s="53">
        <f>IF(ISERROR(VLOOKUP($U$544,'TAR FIN'!$A$1:$O$113,15,0)),0,VLOOKUP($U$544,'TAR FIN'!$A$1:$O$113,15,0))</f>
        <v>0</v>
      </c>
      <c r="Y544" s="53">
        <f ca="1">('TUSD BE'!$AM$19+'TUSD BF'!$AM$19+'TUSD CVA'!$AM$19)*1*(1-0.02)</f>
        <v>15.715234844864971</v>
      </c>
      <c r="Z544" s="53"/>
      <c r="AA544" s="53"/>
      <c r="AB544" s="6">
        <f>$K$544*$V$544</f>
        <v>11262.72</v>
      </c>
      <c r="AC544" s="6">
        <f>$M$544*$W$544</f>
        <v>0</v>
      </c>
      <c r="AD544" s="6">
        <f>$O$544*$X$544</f>
        <v>0</v>
      </c>
      <c r="AE544" s="6">
        <f ca="1">$K$544*$Y$544</f>
        <v>13169.366799996846</v>
      </c>
      <c r="AF544" s="6">
        <f>$M$544*$Z$544</f>
        <v>0</v>
      </c>
      <c r="AG544" s="6">
        <f>$O$544*$AA$544</f>
        <v>0</v>
      </c>
    </row>
    <row r="545" spans="1:33" ht="11.25" customHeight="1" x14ac:dyDescent="0.3">
      <c r="A545" s="4" t="s">
        <v>21</v>
      </c>
      <c r="B545" s="4" t="s">
        <v>39</v>
      </c>
      <c r="C545" s="4" t="s">
        <v>41</v>
      </c>
      <c r="D545" s="4" t="s">
        <v>45</v>
      </c>
      <c r="E545" s="4" t="s">
        <v>25</v>
      </c>
      <c r="F545" s="4" t="s">
        <v>25</v>
      </c>
      <c r="G545" s="4" t="s">
        <v>25</v>
      </c>
      <c r="H545" s="4" t="s">
        <v>34</v>
      </c>
      <c r="I545" s="5">
        <v>44501</v>
      </c>
      <c r="J545" s="6">
        <v>0</v>
      </c>
      <c r="K545" s="53">
        <v>0</v>
      </c>
      <c r="L545" s="6">
        <v>9.2420000000000009</v>
      </c>
      <c r="M545" s="53">
        <v>9.2420000000000009</v>
      </c>
      <c r="N545" s="6">
        <v>9.2420000000000009</v>
      </c>
      <c r="O545" s="53">
        <v>9.2420000000000009</v>
      </c>
      <c r="P545" s="6">
        <v>0</v>
      </c>
      <c r="Q545" s="4" t="s">
        <v>26</v>
      </c>
      <c r="R545" s="4">
        <v>0</v>
      </c>
      <c r="S545" s="6">
        <v>0</v>
      </c>
      <c r="T545" s="6">
        <v>8</v>
      </c>
      <c r="U545" s="6">
        <v>38</v>
      </c>
      <c r="V545" s="53">
        <f>IF(ISERROR(VLOOKUP($S$545,'TAR FIN'!$A$1:$O$113,15,0)),0,VLOOKUP($S$545,'TAR FIN'!$A$1:$O$113,15,0))</f>
        <v>0</v>
      </c>
      <c r="W545" s="53">
        <f>IF(ISERROR(VLOOKUP($T$545,'TAR FIN'!$A$1:$O$113,15,0)),0,VLOOKUP($T$545,'TAR FIN'!$A$1:$O$113,15,0))*(1-0.04)</f>
        <v>902.81279999999992</v>
      </c>
      <c r="X545" s="53">
        <f>IF(ISERROR(VLOOKUP($U$545,'TAR FIN'!$A$1:$O$113,15,0)),0,VLOOKUP($U$545,'TAR FIN'!$A$1:$O$113,15,0))*(1-0.04)</f>
        <v>425.1456</v>
      </c>
      <c r="Y545" s="53"/>
      <c r="Z545" s="53">
        <f ca="1">('TUSD BE'!$AM$20+'TUSD BF'!$AM$20+'TUSD CVA'!$AM$20)*1*(1-0.02)</f>
        <v>1095.4719877170419</v>
      </c>
      <c r="AA545" s="53">
        <f>('TE BE'!$AB$9+'TE BF'!$AB$9+'TE CVA'!$AB$9)*1*(1-0.02)</f>
        <v>476.70736237678852</v>
      </c>
      <c r="AB545" s="6">
        <f>$K$545*$V$545</f>
        <v>0</v>
      </c>
      <c r="AC545" s="6">
        <f>$M$545*$W$545</f>
        <v>8343.7958976000009</v>
      </c>
      <c r="AD545" s="6">
        <f>$O$545*$X$545</f>
        <v>3929.1956352000002</v>
      </c>
      <c r="AE545" s="6">
        <f>$K$545*$Y$545</f>
        <v>0</v>
      </c>
      <c r="AF545" s="6">
        <f ca="1">$M$545*$Z$545</f>
        <v>10124.352110480902</v>
      </c>
      <c r="AG545" s="6">
        <f>$O$545*$AA$545</f>
        <v>4405.7294430862803</v>
      </c>
    </row>
    <row r="546" spans="1:33" ht="11.25" customHeight="1" x14ac:dyDescent="0.3">
      <c r="A546" s="4" t="s">
        <v>21</v>
      </c>
      <c r="B546" s="4" t="s">
        <v>39</v>
      </c>
      <c r="C546" s="4" t="s">
        <v>41</v>
      </c>
      <c r="D546" s="4" t="s">
        <v>45</v>
      </c>
      <c r="E546" s="4" t="s">
        <v>25</v>
      </c>
      <c r="F546" s="4" t="s">
        <v>25</v>
      </c>
      <c r="G546" s="4" t="s">
        <v>25</v>
      </c>
      <c r="H546" s="4" t="s">
        <v>34</v>
      </c>
      <c r="I546" s="5">
        <v>44531</v>
      </c>
      <c r="J546" s="6">
        <v>0</v>
      </c>
      <c r="K546" s="53">
        <v>0</v>
      </c>
      <c r="L546" s="6">
        <v>9.8689999999999998</v>
      </c>
      <c r="M546" s="53">
        <v>9.8689999999999998</v>
      </c>
      <c r="N546" s="6">
        <v>9.8689999999999998</v>
      </c>
      <c r="O546" s="53">
        <v>9.8689999999999998</v>
      </c>
      <c r="P546" s="6">
        <v>0</v>
      </c>
      <c r="Q546" s="4" t="s">
        <v>26</v>
      </c>
      <c r="R546" s="4">
        <v>0</v>
      </c>
      <c r="S546" s="6">
        <v>0</v>
      </c>
      <c r="T546" s="6">
        <v>8</v>
      </c>
      <c r="U546" s="6">
        <v>38</v>
      </c>
      <c r="V546" s="53">
        <f>IF(ISERROR(VLOOKUP($S$546,'TAR FIN'!$A$1:$O$113,15,0)),0,VLOOKUP($S$546,'TAR FIN'!$A$1:$O$113,15,0))</f>
        <v>0</v>
      </c>
      <c r="W546" s="53">
        <f>IF(ISERROR(VLOOKUP($T$546,'TAR FIN'!$A$1:$O$113,15,0)),0,VLOOKUP($T$546,'TAR FIN'!$A$1:$O$113,15,0))*(1-0.04)</f>
        <v>902.81279999999992</v>
      </c>
      <c r="X546" s="53">
        <f>IF(ISERROR(VLOOKUP($U$546,'TAR FIN'!$A$1:$O$113,15,0)),0,VLOOKUP($U$546,'TAR FIN'!$A$1:$O$113,15,0))*(1-0.04)</f>
        <v>425.1456</v>
      </c>
      <c r="Y546" s="53"/>
      <c r="Z546" s="53">
        <f ca="1">('TUSD BE'!$AM$20+'TUSD BF'!$AM$20+'TUSD CVA'!$AM$20)*1*(1-0.02)</f>
        <v>1095.4719877170419</v>
      </c>
      <c r="AA546" s="53">
        <f>('TE BE'!$AB$9+'TE BF'!$AB$9+'TE CVA'!$AB$9)*1*(1-0.02)</f>
        <v>476.70736237678852</v>
      </c>
      <c r="AB546" s="6">
        <f>$K$546*$V$546</f>
        <v>0</v>
      </c>
      <c r="AC546" s="6">
        <f>$M$546*$W$546</f>
        <v>8909.8595231999989</v>
      </c>
      <c r="AD546" s="6">
        <f>$O$546*$X$546</f>
        <v>4195.7619263999995</v>
      </c>
      <c r="AE546" s="6">
        <f>$K$546*$Y$546</f>
        <v>0</v>
      </c>
      <c r="AF546" s="6">
        <f ca="1">$M$546*$Z$546</f>
        <v>10811.213046779487</v>
      </c>
      <c r="AG546" s="6">
        <f>$O$546*$AA$546</f>
        <v>4704.624959296526</v>
      </c>
    </row>
    <row r="547" spans="1:33" ht="11.25" customHeight="1" x14ac:dyDescent="0.3">
      <c r="A547" s="4" t="s">
        <v>21</v>
      </c>
      <c r="B547" s="4" t="s">
        <v>39</v>
      </c>
      <c r="C547" s="4" t="s">
        <v>41</v>
      </c>
      <c r="D547" s="4" t="s">
        <v>45</v>
      </c>
      <c r="E547" s="4" t="s">
        <v>25</v>
      </c>
      <c r="F547" s="4" t="s">
        <v>25</v>
      </c>
      <c r="G547" s="4" t="s">
        <v>25</v>
      </c>
      <c r="H547" s="4" t="s">
        <v>34</v>
      </c>
      <c r="I547" s="5">
        <v>44562</v>
      </c>
      <c r="J547" s="6">
        <v>0</v>
      </c>
      <c r="K547" s="53">
        <v>0</v>
      </c>
      <c r="L547" s="6">
        <v>11.326000000000001</v>
      </c>
      <c r="M547" s="53">
        <v>11.326000000000001</v>
      </c>
      <c r="N547" s="6">
        <v>11.326000000000001</v>
      </c>
      <c r="O547" s="53">
        <v>11.326000000000001</v>
      </c>
      <c r="P547" s="6">
        <v>0</v>
      </c>
      <c r="Q547" s="4" t="s">
        <v>26</v>
      </c>
      <c r="R547" s="4">
        <v>0</v>
      </c>
      <c r="S547" s="6">
        <v>0</v>
      </c>
      <c r="T547" s="6">
        <v>8</v>
      </c>
      <c r="U547" s="6">
        <v>38</v>
      </c>
      <c r="V547" s="53">
        <f>IF(ISERROR(VLOOKUP($S$547,'TAR FIN'!$A$1:$O$113,15,0)),0,VLOOKUP($S$547,'TAR FIN'!$A$1:$O$113,15,0))</f>
        <v>0</v>
      </c>
      <c r="W547" s="53">
        <f>IF(ISERROR(VLOOKUP($T$547,'TAR FIN'!$A$1:$O$113,15,0)),0,VLOOKUP($T$547,'TAR FIN'!$A$1:$O$113,15,0))*(1-0.04)</f>
        <v>902.81279999999992</v>
      </c>
      <c r="X547" s="53">
        <f>IF(ISERROR(VLOOKUP($U$547,'TAR FIN'!$A$1:$O$113,15,0)),0,VLOOKUP($U$547,'TAR FIN'!$A$1:$O$113,15,0))*(1-0.04)</f>
        <v>425.1456</v>
      </c>
      <c r="Y547" s="53"/>
      <c r="Z547" s="53">
        <f ca="1">('TUSD BE'!$AM$20+'TUSD BF'!$AM$20+'TUSD CVA'!$AM$20)*1*(1-0.02)</f>
        <v>1095.4719877170419</v>
      </c>
      <c r="AA547" s="53">
        <f>('TE BE'!$AB$9+'TE BF'!$AB$9+'TE CVA'!$AB$9)*1*(1-0.02)</f>
        <v>476.70736237678852</v>
      </c>
      <c r="AB547" s="6">
        <f>$K$547*$V$547</f>
        <v>0</v>
      </c>
      <c r="AC547" s="6">
        <f>$M$547*$W$547</f>
        <v>10225.2577728</v>
      </c>
      <c r="AD547" s="6">
        <f>$O$547*$X$547</f>
        <v>4815.1990655999998</v>
      </c>
      <c r="AE547" s="6">
        <f>$K$547*$Y$547</f>
        <v>0</v>
      </c>
      <c r="AF547" s="6">
        <f ca="1">$M$547*$Z$547</f>
        <v>12407.315732883217</v>
      </c>
      <c r="AG547" s="6">
        <f>$O$547*$AA$547</f>
        <v>5399.1875862795068</v>
      </c>
    </row>
    <row r="548" spans="1:33" ht="11.25" customHeight="1" x14ac:dyDescent="0.3">
      <c r="A548" s="4" t="s">
        <v>21</v>
      </c>
      <c r="B548" s="4" t="s">
        <v>39</v>
      </c>
      <c r="C548" s="4" t="s">
        <v>41</v>
      </c>
      <c r="D548" s="4" t="s">
        <v>45</v>
      </c>
      <c r="E548" s="4" t="s">
        <v>25</v>
      </c>
      <c r="F548" s="4" t="s">
        <v>25</v>
      </c>
      <c r="G548" s="4" t="s">
        <v>25</v>
      </c>
      <c r="H548" s="4" t="s">
        <v>34</v>
      </c>
      <c r="I548" s="5">
        <v>44593</v>
      </c>
      <c r="J548" s="6">
        <v>0</v>
      </c>
      <c r="K548" s="53">
        <v>0</v>
      </c>
      <c r="L548" s="6">
        <v>10.323</v>
      </c>
      <c r="M548" s="53">
        <v>10.323</v>
      </c>
      <c r="N548" s="6">
        <v>10.323</v>
      </c>
      <c r="O548" s="53">
        <v>10.323</v>
      </c>
      <c r="P548" s="6">
        <v>0</v>
      </c>
      <c r="Q548" s="4" t="s">
        <v>26</v>
      </c>
      <c r="R548" s="4">
        <v>0</v>
      </c>
      <c r="S548" s="6">
        <v>0</v>
      </c>
      <c r="T548" s="6">
        <v>8</v>
      </c>
      <c r="U548" s="6">
        <v>38</v>
      </c>
      <c r="V548" s="53">
        <f>IF(ISERROR(VLOOKUP($S$548,'TAR FIN'!$A$1:$O$113,15,0)),0,VLOOKUP($S$548,'TAR FIN'!$A$1:$O$113,15,0))</f>
        <v>0</v>
      </c>
      <c r="W548" s="53">
        <f>IF(ISERROR(VLOOKUP($T$548,'TAR FIN'!$A$1:$O$113,15,0)),0,VLOOKUP($T$548,'TAR FIN'!$A$1:$O$113,15,0))*(1-0.04)</f>
        <v>902.81279999999992</v>
      </c>
      <c r="X548" s="53">
        <f>IF(ISERROR(VLOOKUP($U$548,'TAR FIN'!$A$1:$O$113,15,0)),0,VLOOKUP($U$548,'TAR FIN'!$A$1:$O$113,15,0))*(1-0.04)</f>
        <v>425.1456</v>
      </c>
      <c r="Y548" s="53"/>
      <c r="Z548" s="53">
        <f ca="1">('TUSD BE'!$AM$20+'TUSD BF'!$AM$20+'TUSD CVA'!$AM$20)*1*(1-0.02)</f>
        <v>1095.4719877170419</v>
      </c>
      <c r="AA548" s="53">
        <f>('TE BE'!$AB$9+'TE BF'!$AB$9+'TE CVA'!$AB$9)*1*(1-0.02)</f>
        <v>476.70736237678852</v>
      </c>
      <c r="AB548" s="6">
        <f>$K$548*$V$548</f>
        <v>0</v>
      </c>
      <c r="AC548" s="6">
        <f>$M$548*$W$548</f>
        <v>9319.7365343999991</v>
      </c>
      <c r="AD548" s="6">
        <f>$O$548*$X$548</f>
        <v>4388.7780288000004</v>
      </c>
      <c r="AE548" s="6">
        <f>$K$548*$Y$548</f>
        <v>0</v>
      </c>
      <c r="AF548" s="6">
        <f ca="1">$M$548*$Z$548</f>
        <v>11308.557329203024</v>
      </c>
      <c r="AG548" s="6">
        <f>$O$548*$AA$548</f>
        <v>4921.0501018155883</v>
      </c>
    </row>
    <row r="549" spans="1:33" ht="11.25" customHeight="1" x14ac:dyDescent="0.3">
      <c r="A549" s="4" t="s">
        <v>21</v>
      </c>
      <c r="B549" s="4" t="s">
        <v>39</v>
      </c>
      <c r="C549" s="4" t="s">
        <v>41</v>
      </c>
      <c r="D549" s="4" t="s">
        <v>45</v>
      </c>
      <c r="E549" s="4" t="s">
        <v>25</v>
      </c>
      <c r="F549" s="4" t="s">
        <v>25</v>
      </c>
      <c r="G549" s="4" t="s">
        <v>25</v>
      </c>
      <c r="H549" s="4" t="s">
        <v>34</v>
      </c>
      <c r="I549" s="5">
        <v>44621</v>
      </c>
      <c r="J549" s="6">
        <v>0</v>
      </c>
      <c r="K549" s="53">
        <v>0</v>
      </c>
      <c r="L549" s="6">
        <v>9.7509999999999994</v>
      </c>
      <c r="M549" s="53">
        <v>9.7509999999999994</v>
      </c>
      <c r="N549" s="6">
        <v>9.7509999999999994</v>
      </c>
      <c r="O549" s="53">
        <v>9.7509999999999994</v>
      </c>
      <c r="P549" s="6">
        <v>0</v>
      </c>
      <c r="Q549" s="4" t="s">
        <v>26</v>
      </c>
      <c r="R549" s="4">
        <v>0</v>
      </c>
      <c r="S549" s="6">
        <v>0</v>
      </c>
      <c r="T549" s="6">
        <v>8</v>
      </c>
      <c r="U549" s="6">
        <v>38</v>
      </c>
      <c r="V549" s="53">
        <f>IF(ISERROR(VLOOKUP($S$549,'TAR FIN'!$A$1:$O$113,15,0)),0,VLOOKUP($S$549,'TAR FIN'!$A$1:$O$113,15,0))</f>
        <v>0</v>
      </c>
      <c r="W549" s="53">
        <f>IF(ISERROR(VLOOKUP($T$549,'TAR FIN'!$A$1:$O$113,15,0)),0,VLOOKUP($T$549,'TAR FIN'!$A$1:$O$113,15,0))*(1-0.04)</f>
        <v>902.81279999999992</v>
      </c>
      <c r="X549" s="53">
        <f>IF(ISERROR(VLOOKUP($U$549,'TAR FIN'!$A$1:$O$113,15,0)),0,VLOOKUP($U$549,'TAR FIN'!$A$1:$O$113,15,0))*(1-0.04)</f>
        <v>425.1456</v>
      </c>
      <c r="Y549" s="53"/>
      <c r="Z549" s="53">
        <f ca="1">('TUSD BE'!$AM$20+'TUSD BF'!$AM$20+'TUSD CVA'!$AM$20)*1*(1-0.02)</f>
        <v>1095.4719877170419</v>
      </c>
      <c r="AA549" s="53">
        <f>('TE BE'!$AB$9+'TE BF'!$AB$9+'TE CVA'!$AB$9)*1*(1-0.02)</f>
        <v>476.70736237678852</v>
      </c>
      <c r="AB549" s="6">
        <f>$K$549*$V$549</f>
        <v>0</v>
      </c>
      <c r="AC549" s="6">
        <f>$M$549*$W$549</f>
        <v>8803.327612799998</v>
      </c>
      <c r="AD549" s="6">
        <f>$O$549*$X$549</f>
        <v>4145.5947455999994</v>
      </c>
      <c r="AE549" s="6">
        <f>$K$549*$Y$549</f>
        <v>0</v>
      </c>
      <c r="AF549" s="6">
        <f ca="1">$M$549*$Z$549</f>
        <v>10681.947352228875</v>
      </c>
      <c r="AG549" s="6">
        <f>$O$549*$AA$549</f>
        <v>4648.3734905360643</v>
      </c>
    </row>
    <row r="550" spans="1:33" ht="11.25" customHeight="1" x14ac:dyDescent="0.3">
      <c r="A550" s="4" t="s">
        <v>21</v>
      </c>
      <c r="B550" s="4" t="s">
        <v>39</v>
      </c>
      <c r="C550" s="4" t="s">
        <v>41</v>
      </c>
      <c r="D550" s="4" t="s">
        <v>45</v>
      </c>
      <c r="E550" s="4" t="s">
        <v>25</v>
      </c>
      <c r="F550" s="4" t="s">
        <v>25</v>
      </c>
      <c r="G550" s="4" t="s">
        <v>25</v>
      </c>
      <c r="H550" s="4" t="s">
        <v>34</v>
      </c>
      <c r="I550" s="5">
        <v>44652</v>
      </c>
      <c r="J550" s="6">
        <v>0</v>
      </c>
      <c r="K550" s="53">
        <v>0</v>
      </c>
      <c r="L550" s="6">
        <v>10.827999999999999</v>
      </c>
      <c r="M550" s="53">
        <v>10.827999999999999</v>
      </c>
      <c r="N550" s="6">
        <v>10.827999999999999</v>
      </c>
      <c r="O550" s="53">
        <v>10.827999999999999</v>
      </c>
      <c r="P550" s="6">
        <v>0</v>
      </c>
      <c r="Q550" s="4" t="s">
        <v>26</v>
      </c>
      <c r="R550" s="4">
        <v>0</v>
      </c>
      <c r="S550" s="6">
        <v>0</v>
      </c>
      <c r="T550" s="6">
        <v>8</v>
      </c>
      <c r="U550" s="6">
        <v>38</v>
      </c>
      <c r="V550" s="53">
        <f>IF(ISERROR(VLOOKUP($S$550,'TAR FIN'!$A$1:$O$113,15,0)),0,VLOOKUP($S$550,'TAR FIN'!$A$1:$O$113,15,0))</f>
        <v>0</v>
      </c>
      <c r="W550" s="53">
        <f>IF(ISERROR(VLOOKUP($T$550,'TAR FIN'!$A$1:$O$113,15,0)),0,VLOOKUP($T$550,'TAR FIN'!$A$1:$O$113,15,0))*(1-0.04)</f>
        <v>902.81279999999992</v>
      </c>
      <c r="X550" s="53">
        <f>IF(ISERROR(VLOOKUP($U$550,'TAR FIN'!$A$1:$O$113,15,0)),0,VLOOKUP($U$550,'TAR FIN'!$A$1:$O$113,15,0))*(1-0.04)</f>
        <v>425.1456</v>
      </c>
      <c r="Y550" s="53"/>
      <c r="Z550" s="53">
        <f ca="1">('TUSD BE'!$AM$20+'TUSD BF'!$AM$20+'TUSD CVA'!$AM$20)*1*(1-0.02)</f>
        <v>1095.4719877170419</v>
      </c>
      <c r="AA550" s="53">
        <f>('TE BE'!$AB$9+'TE BF'!$AB$9+'TE CVA'!$AB$9)*1*(1-0.02)</f>
        <v>476.70736237678852</v>
      </c>
      <c r="AB550" s="6">
        <f>$K$550*$V$550</f>
        <v>0</v>
      </c>
      <c r="AC550" s="6">
        <f>$M$550*$W$550</f>
        <v>9775.656998399998</v>
      </c>
      <c r="AD550" s="6">
        <f>$O$550*$X$550</f>
        <v>4603.4765567999993</v>
      </c>
      <c r="AE550" s="6">
        <f>$K$550*$Y$550</f>
        <v>0</v>
      </c>
      <c r="AF550" s="6">
        <f ca="1">$M$550*$Z$550</f>
        <v>11861.770683000128</v>
      </c>
      <c r="AG550" s="6">
        <f>$O$550*$AA$550</f>
        <v>5161.7873198158659</v>
      </c>
    </row>
    <row r="551" spans="1:33" ht="11.25" customHeight="1" x14ac:dyDescent="0.3">
      <c r="A551" s="4" t="s">
        <v>21</v>
      </c>
      <c r="B551" s="4" t="s">
        <v>39</v>
      </c>
      <c r="C551" s="4" t="s">
        <v>41</v>
      </c>
      <c r="D551" s="4" t="s">
        <v>45</v>
      </c>
      <c r="E551" s="4" t="s">
        <v>25</v>
      </c>
      <c r="F551" s="4" t="s">
        <v>25</v>
      </c>
      <c r="G551" s="4" t="s">
        <v>25</v>
      </c>
      <c r="H551" s="4" t="s">
        <v>34</v>
      </c>
      <c r="I551" s="5">
        <v>44682</v>
      </c>
      <c r="J551" s="6">
        <v>0</v>
      </c>
      <c r="K551" s="53">
        <v>0</v>
      </c>
      <c r="L551" s="6">
        <v>9.1790000000000003</v>
      </c>
      <c r="M551" s="53">
        <v>9.1790000000000003</v>
      </c>
      <c r="N551" s="6">
        <v>9.1790000000000003</v>
      </c>
      <c r="O551" s="53">
        <v>9.1790000000000003</v>
      </c>
      <c r="P551" s="6">
        <v>0</v>
      </c>
      <c r="Q551" s="4" t="s">
        <v>26</v>
      </c>
      <c r="R551" s="4">
        <v>0</v>
      </c>
      <c r="S551" s="6">
        <v>0</v>
      </c>
      <c r="T551" s="6">
        <v>8</v>
      </c>
      <c r="U551" s="6">
        <v>38</v>
      </c>
      <c r="V551" s="53">
        <f>IF(ISERROR(VLOOKUP($S$551,'TAR FIN'!$A$1:$O$113,15,0)),0,VLOOKUP($S$551,'TAR FIN'!$A$1:$O$113,15,0))</f>
        <v>0</v>
      </c>
      <c r="W551" s="53">
        <f>IF(ISERROR(VLOOKUP($T$551,'TAR FIN'!$A$1:$O$113,15,0)),0,VLOOKUP($T$551,'TAR FIN'!$A$1:$O$113,15,0))*(1-0.04)</f>
        <v>902.81279999999992</v>
      </c>
      <c r="X551" s="53">
        <f>IF(ISERROR(VLOOKUP($U$551,'TAR FIN'!$A$1:$O$113,15,0)),0,VLOOKUP($U$551,'TAR FIN'!$A$1:$O$113,15,0))*(1-0.04)</f>
        <v>425.1456</v>
      </c>
      <c r="Y551" s="53"/>
      <c r="Z551" s="53">
        <f ca="1">('TUSD BE'!$AM$20+'TUSD BF'!$AM$20+'TUSD CVA'!$AM$20)*1*(1-0.02)</f>
        <v>1095.4719877170419</v>
      </c>
      <c r="AA551" s="53">
        <f>('TE BE'!$AB$9+'TE BF'!$AB$9+'TE CVA'!$AB$9)*1*(1-0.02)</f>
        <v>476.70736237678852</v>
      </c>
      <c r="AB551" s="6">
        <f>$K$551*$V$551</f>
        <v>0</v>
      </c>
      <c r="AC551" s="6">
        <f>$M$551*$W$551</f>
        <v>8286.9186911999986</v>
      </c>
      <c r="AD551" s="6">
        <f>$O$551*$X$551</f>
        <v>3902.4114624000003</v>
      </c>
      <c r="AE551" s="6">
        <f>$K$551*$Y$551</f>
        <v>0</v>
      </c>
      <c r="AF551" s="6">
        <f ca="1">$M$551*$Z$551</f>
        <v>10055.337375254729</v>
      </c>
      <c r="AG551" s="6">
        <f>$O$551*$AA$551</f>
        <v>4375.6968792565422</v>
      </c>
    </row>
    <row r="552" spans="1:33" ht="11.25" customHeight="1" x14ac:dyDescent="0.3">
      <c r="A552" s="4" t="s">
        <v>21</v>
      </c>
      <c r="B552" s="4" t="s">
        <v>39</v>
      </c>
      <c r="C552" s="4" t="s">
        <v>41</v>
      </c>
      <c r="D552" s="4" t="s">
        <v>45</v>
      </c>
      <c r="E552" s="4" t="s">
        <v>25</v>
      </c>
      <c r="F552" s="4" t="s">
        <v>25</v>
      </c>
      <c r="G552" s="4" t="s">
        <v>25</v>
      </c>
      <c r="H552" s="4" t="s">
        <v>34</v>
      </c>
      <c r="I552" s="5">
        <v>44713</v>
      </c>
      <c r="J552" s="6">
        <v>0</v>
      </c>
      <c r="K552" s="53">
        <v>0</v>
      </c>
      <c r="L552" s="6">
        <v>10.166</v>
      </c>
      <c r="M552" s="53">
        <v>10.166</v>
      </c>
      <c r="N552" s="6">
        <v>10.166</v>
      </c>
      <c r="O552" s="53">
        <v>10.166</v>
      </c>
      <c r="P552" s="6">
        <v>0</v>
      </c>
      <c r="Q552" s="4" t="s">
        <v>26</v>
      </c>
      <c r="R552" s="4">
        <v>0</v>
      </c>
      <c r="S552" s="6">
        <v>0</v>
      </c>
      <c r="T552" s="6">
        <v>8</v>
      </c>
      <c r="U552" s="6">
        <v>38</v>
      </c>
      <c r="V552" s="53">
        <f>IF(ISERROR(VLOOKUP($S$552,'TAR FIN'!$A$1:$O$113,15,0)),0,VLOOKUP($S$552,'TAR FIN'!$A$1:$O$113,15,0))</f>
        <v>0</v>
      </c>
      <c r="W552" s="53">
        <f>IF(ISERROR(VLOOKUP($T$552,'TAR FIN'!$A$1:$O$113,15,0)),0,VLOOKUP($T$552,'TAR FIN'!$A$1:$O$113,15,0))*(1-0.04)</f>
        <v>902.81279999999992</v>
      </c>
      <c r="X552" s="53">
        <f>IF(ISERROR(VLOOKUP($U$552,'TAR FIN'!$A$1:$O$113,15,0)),0,VLOOKUP($U$552,'TAR FIN'!$A$1:$O$113,15,0))*(1-0.04)</f>
        <v>425.1456</v>
      </c>
      <c r="Y552" s="53"/>
      <c r="Z552" s="53">
        <f ca="1">('TUSD BE'!$AM$20+'TUSD BF'!$AM$20+'TUSD CVA'!$AM$20)*1*(1-0.02)</f>
        <v>1095.4719877170419</v>
      </c>
      <c r="AA552" s="53">
        <f>('TE BE'!$AB$9+'TE BF'!$AB$9+'TE CVA'!$AB$9)*1*(1-0.02)</f>
        <v>476.70736237678852</v>
      </c>
      <c r="AB552" s="6">
        <f>$K$552*$V$552</f>
        <v>0</v>
      </c>
      <c r="AC552" s="6">
        <f>$M$552*$W$552</f>
        <v>9177.9949247999994</v>
      </c>
      <c r="AD552" s="6">
        <f>$O$552*$X$552</f>
        <v>4322.0301696000006</v>
      </c>
      <c r="AE552" s="6">
        <f>$K$552*$Y$552</f>
        <v>0</v>
      </c>
      <c r="AF552" s="6">
        <f ca="1">$M$552*$Z$552</f>
        <v>11136.568227131449</v>
      </c>
      <c r="AG552" s="6">
        <f>$O$552*$AA$552</f>
        <v>4846.2070459224324</v>
      </c>
    </row>
    <row r="553" spans="1:33" ht="11.25" customHeight="1" x14ac:dyDescent="0.3">
      <c r="A553" s="4" t="s">
        <v>21</v>
      </c>
      <c r="B553" s="4" t="s">
        <v>39</v>
      </c>
      <c r="C553" s="4" t="s">
        <v>41</v>
      </c>
      <c r="D553" s="4" t="s">
        <v>45</v>
      </c>
      <c r="E553" s="4" t="s">
        <v>25</v>
      </c>
      <c r="F553" s="4" t="s">
        <v>25</v>
      </c>
      <c r="G553" s="4" t="s">
        <v>25</v>
      </c>
      <c r="H553" s="4" t="s">
        <v>34</v>
      </c>
      <c r="I553" s="5">
        <v>44743</v>
      </c>
      <c r="J553" s="6">
        <v>0</v>
      </c>
      <c r="K553" s="53">
        <v>0</v>
      </c>
      <c r="L553" s="6">
        <v>11.698</v>
      </c>
      <c r="M553" s="53">
        <v>11.698</v>
      </c>
      <c r="N553" s="6">
        <v>11.698</v>
      </c>
      <c r="O553" s="53">
        <v>11.698</v>
      </c>
      <c r="P553" s="6">
        <v>0</v>
      </c>
      <c r="Q553" s="4" t="s">
        <v>26</v>
      </c>
      <c r="R553" s="4">
        <v>0</v>
      </c>
      <c r="S553" s="6">
        <v>0</v>
      </c>
      <c r="T553" s="6">
        <v>8</v>
      </c>
      <c r="U553" s="6">
        <v>38</v>
      </c>
      <c r="V553" s="53">
        <f>IF(ISERROR(VLOOKUP($S$553,'TAR FIN'!$A$1:$O$113,15,0)),0,VLOOKUP($S$553,'TAR FIN'!$A$1:$O$113,15,0))</f>
        <v>0</v>
      </c>
      <c r="W553" s="53">
        <f>IF(ISERROR(VLOOKUP($T$553,'TAR FIN'!$A$1:$O$113,15,0)),0,VLOOKUP($T$553,'TAR FIN'!$A$1:$O$113,15,0))*(1-0.04)</f>
        <v>902.81279999999992</v>
      </c>
      <c r="X553" s="53">
        <f>IF(ISERROR(VLOOKUP($U$553,'TAR FIN'!$A$1:$O$113,15,0)),0,VLOOKUP($U$553,'TAR FIN'!$A$1:$O$113,15,0))*(1-0.04)</f>
        <v>425.1456</v>
      </c>
      <c r="Y553" s="53"/>
      <c r="Z553" s="53">
        <f ca="1">('TUSD BE'!$AM$20+'TUSD BF'!$AM$20+'TUSD CVA'!$AM$20)*1*(1-0.02)</f>
        <v>1095.4719877170419</v>
      </c>
      <c r="AA553" s="53">
        <f>('TE BE'!$AB$9+'TE BF'!$AB$9+'TE CVA'!$AB$9)*1*(1-0.02)</f>
        <v>476.70736237678852</v>
      </c>
      <c r="AB553" s="6">
        <f>$K$553*$V$553</f>
        <v>0</v>
      </c>
      <c r="AC553" s="6">
        <f>$M$553*$W$553</f>
        <v>10561.104134399999</v>
      </c>
      <c r="AD553" s="6">
        <f>$O$553*$X$553</f>
        <v>4973.3532288000006</v>
      </c>
      <c r="AE553" s="6">
        <f>$K$553*$Y$553</f>
        <v>0</v>
      </c>
      <c r="AF553" s="6">
        <f ca="1">$M$553*$Z$553</f>
        <v>12814.831312313956</v>
      </c>
      <c r="AG553" s="6">
        <f>$O$553*$AA$553</f>
        <v>5576.5227250836724</v>
      </c>
    </row>
    <row r="554" spans="1:33" ht="11.25" customHeight="1" x14ac:dyDescent="0.3">
      <c r="A554" s="4" t="s">
        <v>21</v>
      </c>
      <c r="B554" s="4" t="s">
        <v>39</v>
      </c>
      <c r="C554" s="4" t="s">
        <v>41</v>
      </c>
      <c r="D554" s="4" t="s">
        <v>45</v>
      </c>
      <c r="E554" s="4" t="s">
        <v>25</v>
      </c>
      <c r="F554" s="4" t="s">
        <v>25</v>
      </c>
      <c r="G554" s="4" t="s">
        <v>25</v>
      </c>
      <c r="H554" s="4" t="s">
        <v>34</v>
      </c>
      <c r="I554" s="5">
        <v>44774</v>
      </c>
      <c r="J554" s="6">
        <v>0</v>
      </c>
      <c r="K554" s="53">
        <v>0</v>
      </c>
      <c r="L554" s="6">
        <v>11.590999999999999</v>
      </c>
      <c r="M554" s="53">
        <v>11.590999999999999</v>
      </c>
      <c r="N554" s="6">
        <v>11.590999999999999</v>
      </c>
      <c r="O554" s="53">
        <v>11.590999999999999</v>
      </c>
      <c r="P554" s="6">
        <v>0</v>
      </c>
      <c r="Q554" s="4" t="s">
        <v>26</v>
      </c>
      <c r="R554" s="4">
        <v>0</v>
      </c>
      <c r="S554" s="6">
        <v>0</v>
      </c>
      <c r="T554" s="6">
        <v>8</v>
      </c>
      <c r="U554" s="6">
        <v>38</v>
      </c>
      <c r="V554" s="53">
        <f>IF(ISERROR(VLOOKUP($S$554,'TAR FIN'!$A$1:$O$113,15,0)),0,VLOOKUP($S$554,'TAR FIN'!$A$1:$O$113,15,0))</f>
        <v>0</v>
      </c>
      <c r="W554" s="53">
        <f>IF(ISERROR(VLOOKUP($T$554,'TAR FIN'!$A$1:$O$113,15,0)),0,VLOOKUP($T$554,'TAR FIN'!$A$1:$O$113,15,0))*(1-0.04)</f>
        <v>902.81279999999992</v>
      </c>
      <c r="X554" s="53">
        <f>IF(ISERROR(VLOOKUP($U$554,'TAR FIN'!$A$1:$O$113,15,0)),0,VLOOKUP($U$554,'TAR FIN'!$A$1:$O$113,15,0))*(1-0.04)</f>
        <v>425.1456</v>
      </c>
      <c r="Y554" s="53"/>
      <c r="Z554" s="53">
        <f ca="1">('TUSD BE'!$AM$20+'TUSD BF'!$AM$20+'TUSD CVA'!$AM$20)*1*(1-0.02)</f>
        <v>1095.4719877170419</v>
      </c>
      <c r="AA554" s="53">
        <f>('TE BE'!$AB$9+'TE BF'!$AB$9+'TE CVA'!$AB$9)*1*(1-0.02)</f>
        <v>476.70736237678852</v>
      </c>
      <c r="AB554" s="6">
        <f>$K$554*$V$554</f>
        <v>0</v>
      </c>
      <c r="AC554" s="6">
        <f>$M$554*$W$554</f>
        <v>10464.503164799999</v>
      </c>
      <c r="AD554" s="6">
        <f>$O$554*$X$554</f>
        <v>4927.8626495999997</v>
      </c>
      <c r="AE554" s="6">
        <f>$K$554*$Y$554</f>
        <v>0</v>
      </c>
      <c r="AF554" s="6">
        <f ca="1">$M$554*$Z$554</f>
        <v>12697.615809628232</v>
      </c>
      <c r="AG554" s="6">
        <f>$O$554*$AA$554</f>
        <v>5525.5150373093556</v>
      </c>
    </row>
    <row r="555" spans="1:33" ht="11.25" customHeight="1" x14ac:dyDescent="0.3">
      <c r="A555" s="4" t="s">
        <v>21</v>
      </c>
      <c r="B555" s="4" t="s">
        <v>39</v>
      </c>
      <c r="C555" s="4" t="s">
        <v>41</v>
      </c>
      <c r="D555" s="4" t="s">
        <v>45</v>
      </c>
      <c r="E555" s="4" t="s">
        <v>25</v>
      </c>
      <c r="F555" s="4" t="s">
        <v>25</v>
      </c>
      <c r="G555" s="4" t="s">
        <v>25</v>
      </c>
      <c r="H555" s="4" t="s">
        <v>34</v>
      </c>
      <c r="I555" s="5">
        <v>44805</v>
      </c>
      <c r="J555" s="6">
        <v>0</v>
      </c>
      <c r="K555" s="53">
        <v>0</v>
      </c>
      <c r="L555" s="6">
        <v>13.89</v>
      </c>
      <c r="M555" s="53">
        <v>13.89</v>
      </c>
      <c r="N555" s="6">
        <v>13.89</v>
      </c>
      <c r="O555" s="53">
        <v>13.89</v>
      </c>
      <c r="P555" s="6">
        <v>0</v>
      </c>
      <c r="Q555" s="4" t="s">
        <v>26</v>
      </c>
      <c r="R555" s="4">
        <v>0</v>
      </c>
      <c r="S555" s="6">
        <v>0</v>
      </c>
      <c r="T555" s="6">
        <v>8</v>
      </c>
      <c r="U555" s="6">
        <v>38</v>
      </c>
      <c r="V555" s="53">
        <f>IF(ISERROR(VLOOKUP($S$555,'TAR FIN'!$A$1:$O$113,15,0)),0,VLOOKUP($S$555,'TAR FIN'!$A$1:$O$113,15,0))</f>
        <v>0</v>
      </c>
      <c r="W555" s="53">
        <f>IF(ISERROR(VLOOKUP($T$555,'TAR FIN'!$A$1:$O$113,15,0)),0,VLOOKUP($T$555,'TAR FIN'!$A$1:$O$113,15,0))*(1-0.04)</f>
        <v>902.81279999999992</v>
      </c>
      <c r="X555" s="53">
        <f>IF(ISERROR(VLOOKUP($U$555,'TAR FIN'!$A$1:$O$113,15,0)),0,VLOOKUP($U$555,'TAR FIN'!$A$1:$O$113,15,0))*(1-0.04)</f>
        <v>425.1456</v>
      </c>
      <c r="Y555" s="53"/>
      <c r="Z555" s="53">
        <f ca="1">('TUSD BE'!$AM$20+'TUSD BF'!$AM$20+'TUSD CVA'!$AM$20)*1*(1-0.02)</f>
        <v>1095.4719877170419</v>
      </c>
      <c r="AA555" s="53">
        <f>('TE BE'!$AB$9+'TE BF'!$AB$9+'TE CVA'!$AB$9)*1*(1-0.02)</f>
        <v>476.70736237678852</v>
      </c>
      <c r="AB555" s="6">
        <f>$K$555*$V$555</f>
        <v>0</v>
      </c>
      <c r="AC555" s="6">
        <f>$M$555*$W$555</f>
        <v>12540.069792</v>
      </c>
      <c r="AD555" s="6">
        <f>$O$555*$X$555</f>
        <v>5905.2723839999999</v>
      </c>
      <c r="AE555" s="6">
        <f>$K$555*$Y$555</f>
        <v>0</v>
      </c>
      <c r="AF555" s="6">
        <f ca="1">$M$555*$Z$555</f>
        <v>15216.105909389713</v>
      </c>
      <c r="AG555" s="6">
        <f>$O$555*$AA$555</f>
        <v>6621.4652634135928</v>
      </c>
    </row>
    <row r="556" spans="1:33" ht="11.25" customHeight="1" x14ac:dyDescent="0.3">
      <c r="A556" s="4" t="s">
        <v>53</v>
      </c>
      <c r="B556" s="4" t="s">
        <v>39</v>
      </c>
      <c r="C556" s="4" t="s">
        <v>41</v>
      </c>
      <c r="D556" s="4" t="s">
        <v>45</v>
      </c>
      <c r="E556" s="4" t="s">
        <v>25</v>
      </c>
      <c r="F556" s="4" t="s">
        <v>25</v>
      </c>
      <c r="G556" s="4" t="s">
        <v>25</v>
      </c>
      <c r="H556" s="4" t="s">
        <v>34</v>
      </c>
      <c r="I556" s="5">
        <v>44835</v>
      </c>
      <c r="J556" s="6">
        <v>0</v>
      </c>
      <c r="K556" s="53">
        <v>0</v>
      </c>
      <c r="L556" s="6">
        <v>13.89</v>
      </c>
      <c r="M556" s="53">
        <v>13.89</v>
      </c>
      <c r="N556" s="6">
        <v>13.89</v>
      </c>
      <c r="O556" s="53">
        <v>13.89</v>
      </c>
      <c r="P556" s="6">
        <v>0</v>
      </c>
      <c r="Q556" s="4" t="s">
        <v>26</v>
      </c>
      <c r="R556" s="4">
        <v>0</v>
      </c>
      <c r="S556" s="6">
        <v>0</v>
      </c>
      <c r="T556" s="6">
        <v>8</v>
      </c>
      <c r="U556" s="6">
        <v>38</v>
      </c>
      <c r="V556" s="53">
        <f>IF(ISERROR(VLOOKUP($S$556,'TAR FIN'!$A$1:$O$113,15,0)),0,VLOOKUP($S$556,'TAR FIN'!$A$1:$O$113,15,0))</f>
        <v>0</v>
      </c>
      <c r="W556" s="53">
        <f>IF(ISERROR(VLOOKUP($T$556,'TAR FIN'!$A$1:$O$113,15,0)),0,VLOOKUP($T$556,'TAR FIN'!$A$1:$O$113,15,0))*(1-0.04)</f>
        <v>902.81279999999992</v>
      </c>
      <c r="X556" s="53">
        <f>IF(ISERROR(VLOOKUP($U$556,'TAR FIN'!$A$1:$O$113,15,0)),0,VLOOKUP($U$556,'TAR FIN'!$A$1:$O$113,15,0))*(1-0.04)</f>
        <v>425.1456</v>
      </c>
      <c r="Y556" s="53"/>
      <c r="Z556" s="53">
        <f ca="1">('TUSD BE'!$AM$20+'TUSD BF'!$AM$20+'TUSD CVA'!$AM$20)*1*(1-0.02)</f>
        <v>1095.4719877170419</v>
      </c>
      <c r="AA556" s="53">
        <f>('TE BE'!$AB$9+'TE BF'!$AB$9+'TE CVA'!$AB$9)*1*(1-0.02)</f>
        <v>476.70736237678852</v>
      </c>
      <c r="AB556" s="6">
        <f>$K$556*$V$556</f>
        <v>0</v>
      </c>
      <c r="AC556" s="6">
        <f>$M$556*$W$556</f>
        <v>12540.069792</v>
      </c>
      <c r="AD556" s="6">
        <f>$O$556*$X$556</f>
        <v>5905.2723839999999</v>
      </c>
      <c r="AE556" s="6">
        <f>$K$556*$Y$556</f>
        <v>0</v>
      </c>
      <c r="AF556" s="6">
        <f ca="1">$M$556*$Z$556</f>
        <v>15216.105909389713</v>
      </c>
      <c r="AG556" s="6">
        <f>$O$556*$AA$556</f>
        <v>6621.4652634135928</v>
      </c>
    </row>
    <row r="557" spans="1:33" ht="11.25" customHeight="1" x14ac:dyDescent="0.3">
      <c r="A557" s="4" t="s">
        <v>21</v>
      </c>
      <c r="B557" s="4" t="s">
        <v>39</v>
      </c>
      <c r="C557" s="4" t="s">
        <v>41</v>
      </c>
      <c r="D557" s="4" t="s">
        <v>50</v>
      </c>
      <c r="E557" s="4" t="s">
        <v>51</v>
      </c>
      <c r="F557" s="4" t="s">
        <v>25</v>
      </c>
      <c r="G557" s="4" t="s">
        <v>25</v>
      </c>
      <c r="H557" s="4" t="s">
        <v>35</v>
      </c>
      <c r="I557" s="5">
        <v>44501</v>
      </c>
      <c r="J557" s="6">
        <v>0</v>
      </c>
      <c r="K557" s="53">
        <v>0</v>
      </c>
      <c r="L557" s="6">
        <v>938.82899999999995</v>
      </c>
      <c r="M557" s="53">
        <v>938.82899999999995</v>
      </c>
      <c r="N557" s="6">
        <v>938.82899999999995</v>
      </c>
      <c r="O557" s="53">
        <v>938.82899999999995</v>
      </c>
      <c r="P557" s="6">
        <v>0</v>
      </c>
      <c r="Q557" s="4" t="s">
        <v>26</v>
      </c>
      <c r="R557" s="4">
        <v>0</v>
      </c>
      <c r="S557" s="6">
        <v>0</v>
      </c>
      <c r="T557" s="6">
        <v>6</v>
      </c>
      <c r="U557" s="6">
        <v>61</v>
      </c>
      <c r="V557" s="53">
        <f>IF(ISERROR(VLOOKUP($S$557,'TAR FIN'!$A$1:$O$113,15,0)),0,VLOOKUP($S$557,'TAR FIN'!$A$1:$O$113,15,0))</f>
        <v>0</v>
      </c>
      <c r="W557" s="53">
        <f>IF(ISERROR(VLOOKUP($T$557,'TAR FIN'!$A$1:$O$113,15,0)),0,VLOOKUP($T$557,'TAR FIN'!$A$1:$O$113,15,0))*(1-0.06)</f>
        <v>67.820999999999998</v>
      </c>
      <c r="X557" s="53">
        <f>IF(ISERROR(VLOOKUP($U$557,'TAR FIN'!$A$1:$O$113,15,0)),0,VLOOKUP($U$557,'TAR FIN'!$A$1:$O$113,15,0))*(1-0.06)</f>
        <v>261.94979999999998</v>
      </c>
      <c r="Y557" s="53"/>
      <c r="Z557" s="53">
        <f ca="1">('TUSD BE'!$AM$21+'TUSD BF'!$AM$21+'TUSD CVA'!$AM$21)*1*(1-0.03)</f>
        <v>118.47633671713493</v>
      </c>
      <c r="AA557" s="53">
        <f>('TE BE'!$AB$10+'TE BF'!$AB$10+'TE CVA'!$AB$10)*1*(1-0.03)</f>
        <v>290.20513391436589</v>
      </c>
      <c r="AB557" s="6">
        <f>$K$557*$V$557</f>
        <v>0</v>
      </c>
      <c r="AC557" s="6">
        <f>$M$557*$W$557</f>
        <v>63672.321608999991</v>
      </c>
      <c r="AD557" s="6">
        <f>$O$557*$X$557</f>
        <v>245926.06878419998</v>
      </c>
      <c r="AE557" s="6">
        <f>$K$557*$Y$557</f>
        <v>0</v>
      </c>
      <c r="AF557" s="6">
        <f ca="1">$M$557*$Z$557</f>
        <v>111229.02072381106</v>
      </c>
      <c r="AG557" s="6">
        <f>$O$557*$AA$557</f>
        <v>272452.99566769018</v>
      </c>
    </row>
    <row r="558" spans="1:33" ht="11.25" customHeight="1" x14ac:dyDescent="0.3">
      <c r="A558" s="4" t="s">
        <v>21</v>
      </c>
      <c r="B558" s="4" t="s">
        <v>39</v>
      </c>
      <c r="C558" s="4" t="s">
        <v>41</v>
      </c>
      <c r="D558" s="4" t="s">
        <v>50</v>
      </c>
      <c r="E558" s="4" t="s">
        <v>51</v>
      </c>
      <c r="F558" s="4" t="s">
        <v>25</v>
      </c>
      <c r="G558" s="4" t="s">
        <v>25</v>
      </c>
      <c r="H558" s="4" t="s">
        <v>35</v>
      </c>
      <c r="I558" s="5">
        <v>44531</v>
      </c>
      <c r="J558" s="6">
        <v>0</v>
      </c>
      <c r="K558" s="53">
        <v>0</v>
      </c>
      <c r="L558" s="6">
        <v>892.47500000000002</v>
      </c>
      <c r="M558" s="53">
        <v>892.47500000000002</v>
      </c>
      <c r="N558" s="6">
        <v>892.47500000000002</v>
      </c>
      <c r="O558" s="53">
        <v>892.47500000000002</v>
      </c>
      <c r="P558" s="6">
        <v>0</v>
      </c>
      <c r="Q558" s="4" t="s">
        <v>26</v>
      </c>
      <c r="R558" s="4">
        <v>0</v>
      </c>
      <c r="S558" s="6">
        <v>0</v>
      </c>
      <c r="T558" s="6">
        <v>6</v>
      </c>
      <c r="U558" s="6">
        <v>61</v>
      </c>
      <c r="V558" s="53">
        <f>IF(ISERROR(VLOOKUP($S$558,'TAR FIN'!$A$1:$O$113,15,0)),0,VLOOKUP($S$558,'TAR FIN'!$A$1:$O$113,15,0))</f>
        <v>0</v>
      </c>
      <c r="W558" s="53">
        <f>IF(ISERROR(VLOOKUP($T$558,'TAR FIN'!$A$1:$O$113,15,0)),0,VLOOKUP($T$558,'TAR FIN'!$A$1:$O$113,15,0))*(1-0.06)</f>
        <v>67.820999999999998</v>
      </c>
      <c r="X558" s="53">
        <f>IF(ISERROR(VLOOKUP($U$558,'TAR FIN'!$A$1:$O$113,15,0)),0,VLOOKUP($U$558,'TAR FIN'!$A$1:$O$113,15,0))*(1-0.06)</f>
        <v>261.94979999999998</v>
      </c>
      <c r="Y558" s="53"/>
      <c r="Z558" s="53">
        <f ca="1">('TUSD BE'!$AM$21+'TUSD BF'!$AM$21+'TUSD CVA'!$AM$21)*1*(1-0.03)</f>
        <v>118.47633671713493</v>
      </c>
      <c r="AA558" s="53">
        <f>('TE BE'!$AB$10+'TE BF'!$AB$10+'TE CVA'!$AB$10)*1*(1-0.03)</f>
        <v>290.20513391436589</v>
      </c>
      <c r="AB558" s="6">
        <f>$K$558*$V$558</f>
        <v>0</v>
      </c>
      <c r="AC558" s="6">
        <f>$M$558*$W$558</f>
        <v>60528.546974999997</v>
      </c>
      <c r="AD558" s="6">
        <f>$O$558*$X$558</f>
        <v>233783.64775499998</v>
      </c>
      <c r="AE558" s="6">
        <f>$K$558*$Y$558</f>
        <v>0</v>
      </c>
      <c r="AF558" s="6">
        <f ca="1">$M$558*$Z$558</f>
        <v>105737.16861162499</v>
      </c>
      <c r="AG558" s="6">
        <f>$O$558*$AA$558</f>
        <v>259000.82689022369</v>
      </c>
    </row>
    <row r="559" spans="1:33" ht="11.25" customHeight="1" x14ac:dyDescent="0.3">
      <c r="A559" s="4" t="s">
        <v>21</v>
      </c>
      <c r="B559" s="4" t="s">
        <v>39</v>
      </c>
      <c r="C559" s="4" t="s">
        <v>41</v>
      </c>
      <c r="D559" s="4" t="s">
        <v>50</v>
      </c>
      <c r="E559" s="4" t="s">
        <v>51</v>
      </c>
      <c r="F559" s="4" t="s">
        <v>25</v>
      </c>
      <c r="G559" s="4" t="s">
        <v>25</v>
      </c>
      <c r="H559" s="4" t="s">
        <v>35</v>
      </c>
      <c r="I559" s="5">
        <v>44562</v>
      </c>
      <c r="J559" s="6">
        <v>0</v>
      </c>
      <c r="K559" s="53">
        <v>0</v>
      </c>
      <c r="L559" s="6">
        <v>895.87800000000004</v>
      </c>
      <c r="M559" s="53">
        <v>895.87800000000004</v>
      </c>
      <c r="N559" s="6">
        <v>895.87800000000004</v>
      </c>
      <c r="O559" s="53">
        <v>895.87800000000004</v>
      </c>
      <c r="P559" s="6">
        <v>0</v>
      </c>
      <c r="Q559" s="4" t="s">
        <v>26</v>
      </c>
      <c r="R559" s="4">
        <v>0</v>
      </c>
      <c r="S559" s="6">
        <v>0</v>
      </c>
      <c r="T559" s="6">
        <v>6</v>
      </c>
      <c r="U559" s="6">
        <v>61</v>
      </c>
      <c r="V559" s="53">
        <f>IF(ISERROR(VLOOKUP($S$559,'TAR FIN'!$A$1:$O$113,15,0)),0,VLOOKUP($S$559,'TAR FIN'!$A$1:$O$113,15,0))</f>
        <v>0</v>
      </c>
      <c r="W559" s="53">
        <f>IF(ISERROR(VLOOKUP($T$559,'TAR FIN'!$A$1:$O$113,15,0)),0,VLOOKUP($T$559,'TAR FIN'!$A$1:$O$113,15,0))*(1-0.06)</f>
        <v>67.820999999999998</v>
      </c>
      <c r="X559" s="53">
        <f>IF(ISERROR(VLOOKUP($U$559,'TAR FIN'!$A$1:$O$113,15,0)),0,VLOOKUP($U$559,'TAR FIN'!$A$1:$O$113,15,0))*(1-0.06)</f>
        <v>261.94979999999998</v>
      </c>
      <c r="Y559" s="53"/>
      <c r="Z559" s="53">
        <f ca="1">('TUSD BE'!$AM$21+'TUSD BF'!$AM$21+'TUSD CVA'!$AM$21)*1*(1-0.03)</f>
        <v>118.47633671713493</v>
      </c>
      <c r="AA559" s="53">
        <f>('TE BE'!$AB$10+'TE BF'!$AB$10+'TE CVA'!$AB$10)*1*(1-0.03)</f>
        <v>290.20513391436589</v>
      </c>
      <c r="AB559" s="6">
        <f>$K$559*$V$559</f>
        <v>0</v>
      </c>
      <c r="AC559" s="6">
        <f>$M$559*$W$559</f>
        <v>60759.341838</v>
      </c>
      <c r="AD559" s="6">
        <f>$O$559*$X$559</f>
        <v>234675.0629244</v>
      </c>
      <c r="AE559" s="6">
        <f>$K$559*$Y$559</f>
        <v>0</v>
      </c>
      <c r="AF559" s="6">
        <f ca="1">$M$559*$Z$559</f>
        <v>106140.34358547341</v>
      </c>
      <c r="AG559" s="6">
        <f>$O$559*$AA$559</f>
        <v>259988.3949609343</v>
      </c>
    </row>
    <row r="560" spans="1:33" ht="11.25" customHeight="1" x14ac:dyDescent="0.3">
      <c r="A560" s="4" t="s">
        <v>21</v>
      </c>
      <c r="B560" s="4" t="s">
        <v>39</v>
      </c>
      <c r="C560" s="4" t="s">
        <v>41</v>
      </c>
      <c r="D560" s="4" t="s">
        <v>50</v>
      </c>
      <c r="E560" s="4" t="s">
        <v>51</v>
      </c>
      <c r="F560" s="4" t="s">
        <v>25</v>
      </c>
      <c r="G560" s="4" t="s">
        <v>25</v>
      </c>
      <c r="H560" s="4" t="s">
        <v>35</v>
      </c>
      <c r="I560" s="5">
        <v>44593</v>
      </c>
      <c r="J560" s="6">
        <v>0</v>
      </c>
      <c r="K560" s="53">
        <v>0</v>
      </c>
      <c r="L560" s="6">
        <v>890.16</v>
      </c>
      <c r="M560" s="53">
        <v>890.16</v>
      </c>
      <c r="N560" s="6">
        <v>890.16</v>
      </c>
      <c r="O560" s="53">
        <v>890.16</v>
      </c>
      <c r="P560" s="6">
        <v>0</v>
      </c>
      <c r="Q560" s="4" t="s">
        <v>26</v>
      </c>
      <c r="R560" s="4">
        <v>0</v>
      </c>
      <c r="S560" s="6">
        <v>0</v>
      </c>
      <c r="T560" s="6">
        <v>6</v>
      </c>
      <c r="U560" s="6">
        <v>61</v>
      </c>
      <c r="V560" s="53">
        <f>IF(ISERROR(VLOOKUP($S$560,'TAR FIN'!$A$1:$O$113,15,0)),0,VLOOKUP($S$560,'TAR FIN'!$A$1:$O$113,15,0))</f>
        <v>0</v>
      </c>
      <c r="W560" s="53">
        <f>IF(ISERROR(VLOOKUP($T$560,'TAR FIN'!$A$1:$O$113,15,0)),0,VLOOKUP($T$560,'TAR FIN'!$A$1:$O$113,15,0))*(1-0.06)</f>
        <v>67.820999999999998</v>
      </c>
      <c r="X560" s="53">
        <f>IF(ISERROR(VLOOKUP($U$560,'TAR FIN'!$A$1:$O$113,15,0)),0,VLOOKUP($U$560,'TAR FIN'!$A$1:$O$113,15,0))*(1-0.06)</f>
        <v>261.94979999999998</v>
      </c>
      <c r="Y560" s="53"/>
      <c r="Z560" s="53">
        <f ca="1">('TUSD BE'!$AM$21+'TUSD BF'!$AM$21+'TUSD CVA'!$AM$21)*1*(1-0.03)</f>
        <v>118.47633671713493</v>
      </c>
      <c r="AA560" s="53">
        <f>('TE BE'!$AB$10+'TE BF'!$AB$10+'TE CVA'!$AB$10)*1*(1-0.03)</f>
        <v>290.20513391436589</v>
      </c>
      <c r="AB560" s="6">
        <f>$K$560*$V$560</f>
        <v>0</v>
      </c>
      <c r="AC560" s="6">
        <f>$M$560*$W$560</f>
        <v>60371.541359999996</v>
      </c>
      <c r="AD560" s="6">
        <f>$O$560*$X$560</f>
        <v>233177.23396799999</v>
      </c>
      <c r="AE560" s="6">
        <f>$K$560*$Y$560</f>
        <v>0</v>
      </c>
      <c r="AF560" s="6">
        <f ca="1">$M$560*$Z$560</f>
        <v>105462.89589212483</v>
      </c>
      <c r="AG560" s="6">
        <f>$O$560*$AA$560</f>
        <v>258329.00200521192</v>
      </c>
    </row>
    <row r="561" spans="1:33" ht="11.25" customHeight="1" x14ac:dyDescent="0.3">
      <c r="A561" s="4" t="s">
        <v>21</v>
      </c>
      <c r="B561" s="4" t="s">
        <v>39</v>
      </c>
      <c r="C561" s="4" t="s">
        <v>41</v>
      </c>
      <c r="D561" s="4" t="s">
        <v>50</v>
      </c>
      <c r="E561" s="4" t="s">
        <v>51</v>
      </c>
      <c r="F561" s="4" t="s">
        <v>25</v>
      </c>
      <c r="G561" s="4" t="s">
        <v>25</v>
      </c>
      <c r="H561" s="4" t="s">
        <v>35</v>
      </c>
      <c r="I561" s="5">
        <v>44621</v>
      </c>
      <c r="J561" s="6">
        <v>0</v>
      </c>
      <c r="K561" s="53">
        <v>0</v>
      </c>
      <c r="L561" s="6">
        <v>841.64800000000002</v>
      </c>
      <c r="M561" s="53">
        <v>841.64800000000002</v>
      </c>
      <c r="N561" s="6">
        <v>841.64800000000002</v>
      </c>
      <c r="O561" s="53">
        <v>841.64800000000002</v>
      </c>
      <c r="P561" s="6">
        <v>0</v>
      </c>
      <c r="Q561" s="4" t="s">
        <v>26</v>
      </c>
      <c r="R561" s="4">
        <v>0</v>
      </c>
      <c r="S561" s="6">
        <v>0</v>
      </c>
      <c r="T561" s="6">
        <v>6</v>
      </c>
      <c r="U561" s="6">
        <v>61</v>
      </c>
      <c r="V561" s="53">
        <f>IF(ISERROR(VLOOKUP($S$561,'TAR FIN'!$A$1:$O$113,15,0)),0,VLOOKUP($S$561,'TAR FIN'!$A$1:$O$113,15,0))</f>
        <v>0</v>
      </c>
      <c r="W561" s="53">
        <f>IF(ISERROR(VLOOKUP($T$561,'TAR FIN'!$A$1:$O$113,15,0)),0,VLOOKUP($T$561,'TAR FIN'!$A$1:$O$113,15,0))*(1-0.06)</f>
        <v>67.820999999999998</v>
      </c>
      <c r="X561" s="53">
        <f>IF(ISERROR(VLOOKUP($U$561,'TAR FIN'!$A$1:$O$113,15,0)),0,VLOOKUP($U$561,'TAR FIN'!$A$1:$O$113,15,0))*(1-0.06)</f>
        <v>261.94979999999998</v>
      </c>
      <c r="Y561" s="53"/>
      <c r="Z561" s="53">
        <f ca="1">('TUSD BE'!$AM$21+'TUSD BF'!$AM$21+'TUSD CVA'!$AM$21)*1*(1-0.03)</f>
        <v>118.47633671713493</v>
      </c>
      <c r="AA561" s="53">
        <f>('TE BE'!$AB$10+'TE BF'!$AB$10+'TE CVA'!$AB$10)*1*(1-0.03)</f>
        <v>290.20513391436589</v>
      </c>
      <c r="AB561" s="6">
        <f>$K$561*$V$561</f>
        <v>0</v>
      </c>
      <c r="AC561" s="6">
        <f>$M$561*$W$561</f>
        <v>57081.409008000002</v>
      </c>
      <c r="AD561" s="6">
        <f>$O$561*$X$561</f>
        <v>220469.52527039999</v>
      </c>
      <c r="AE561" s="6">
        <f>$K$561*$Y$561</f>
        <v>0</v>
      </c>
      <c r="AF561" s="6">
        <f ca="1">$M$561*$Z$561</f>
        <v>99715.371845303176</v>
      </c>
      <c r="AG561" s="6">
        <f>$O$561*$AA$561</f>
        <v>244250.57054875823</v>
      </c>
    </row>
    <row r="562" spans="1:33" ht="11.25" customHeight="1" x14ac:dyDescent="0.3">
      <c r="A562" s="4" t="s">
        <v>21</v>
      </c>
      <c r="B562" s="4" t="s">
        <v>39</v>
      </c>
      <c r="C562" s="4" t="s">
        <v>41</v>
      </c>
      <c r="D562" s="4" t="s">
        <v>50</v>
      </c>
      <c r="E562" s="4" t="s">
        <v>51</v>
      </c>
      <c r="F562" s="4" t="s">
        <v>25</v>
      </c>
      <c r="G562" s="4" t="s">
        <v>25</v>
      </c>
      <c r="H562" s="4" t="s">
        <v>35</v>
      </c>
      <c r="I562" s="5">
        <v>44652</v>
      </c>
      <c r="J562" s="6">
        <v>0</v>
      </c>
      <c r="K562" s="53">
        <v>0</v>
      </c>
      <c r="L562" s="6">
        <v>936.846</v>
      </c>
      <c r="M562" s="53">
        <v>936.846</v>
      </c>
      <c r="N562" s="6">
        <v>936.846</v>
      </c>
      <c r="O562" s="53">
        <v>936.846</v>
      </c>
      <c r="P562" s="6">
        <v>0</v>
      </c>
      <c r="Q562" s="4" t="s">
        <v>26</v>
      </c>
      <c r="R562" s="4">
        <v>0</v>
      </c>
      <c r="S562" s="6">
        <v>0</v>
      </c>
      <c r="T562" s="6">
        <v>6</v>
      </c>
      <c r="U562" s="6">
        <v>61</v>
      </c>
      <c r="V562" s="53">
        <f>IF(ISERROR(VLOOKUP($S$562,'TAR FIN'!$A$1:$O$113,15,0)),0,VLOOKUP($S$562,'TAR FIN'!$A$1:$O$113,15,0))</f>
        <v>0</v>
      </c>
      <c r="W562" s="53">
        <f>IF(ISERROR(VLOOKUP($T$562,'TAR FIN'!$A$1:$O$113,15,0)),0,VLOOKUP($T$562,'TAR FIN'!$A$1:$O$113,15,0))*(1-0.06)</f>
        <v>67.820999999999998</v>
      </c>
      <c r="X562" s="53">
        <f>IF(ISERROR(VLOOKUP($U$562,'TAR FIN'!$A$1:$O$113,15,0)),0,VLOOKUP($U$562,'TAR FIN'!$A$1:$O$113,15,0))*(1-0.06)</f>
        <v>261.94979999999998</v>
      </c>
      <c r="Y562" s="53"/>
      <c r="Z562" s="53">
        <f ca="1">('TUSD BE'!$AM$21+'TUSD BF'!$AM$21+'TUSD CVA'!$AM$21)*1*(1-0.03)</f>
        <v>118.47633671713493</v>
      </c>
      <c r="AA562" s="53">
        <f>('TE BE'!$AB$10+'TE BF'!$AB$10+'TE CVA'!$AB$10)*1*(1-0.03)</f>
        <v>290.20513391436589</v>
      </c>
      <c r="AB562" s="6">
        <f>$K$562*$V$562</f>
        <v>0</v>
      </c>
      <c r="AC562" s="6">
        <f>$M$562*$W$562</f>
        <v>63537.832565999997</v>
      </c>
      <c r="AD562" s="6">
        <f>$O$562*$X$562</f>
        <v>245406.62233079999</v>
      </c>
      <c r="AE562" s="6">
        <f>$K$562*$Y$562</f>
        <v>0</v>
      </c>
      <c r="AF562" s="6">
        <f ca="1">$M$562*$Z$562</f>
        <v>110994.08214810099</v>
      </c>
      <c r="AG562" s="6">
        <f>$O$562*$AA$562</f>
        <v>271877.51888713805</v>
      </c>
    </row>
    <row r="563" spans="1:33" ht="11.25" customHeight="1" x14ac:dyDescent="0.3">
      <c r="A563" s="4" t="s">
        <v>21</v>
      </c>
      <c r="B563" s="4" t="s">
        <v>39</v>
      </c>
      <c r="C563" s="4" t="s">
        <v>41</v>
      </c>
      <c r="D563" s="4" t="s">
        <v>50</v>
      </c>
      <c r="E563" s="4" t="s">
        <v>51</v>
      </c>
      <c r="F563" s="4" t="s">
        <v>25</v>
      </c>
      <c r="G563" s="4" t="s">
        <v>25</v>
      </c>
      <c r="H563" s="4" t="s">
        <v>35</v>
      </c>
      <c r="I563" s="5">
        <v>44682</v>
      </c>
      <c r="J563" s="6">
        <v>0</v>
      </c>
      <c r="K563" s="53">
        <v>0</v>
      </c>
      <c r="L563" s="6">
        <v>896.63499999999999</v>
      </c>
      <c r="M563" s="53">
        <v>896.63499999999999</v>
      </c>
      <c r="N563" s="6">
        <v>896.63499999999999</v>
      </c>
      <c r="O563" s="53">
        <v>896.63499999999999</v>
      </c>
      <c r="P563" s="6">
        <v>0</v>
      </c>
      <c r="Q563" s="4" t="s">
        <v>26</v>
      </c>
      <c r="R563" s="4">
        <v>0</v>
      </c>
      <c r="S563" s="6">
        <v>0</v>
      </c>
      <c r="T563" s="6">
        <v>6</v>
      </c>
      <c r="U563" s="6">
        <v>61</v>
      </c>
      <c r="V563" s="53">
        <f>IF(ISERROR(VLOOKUP($S$563,'TAR FIN'!$A$1:$O$113,15,0)),0,VLOOKUP($S$563,'TAR FIN'!$A$1:$O$113,15,0))</f>
        <v>0</v>
      </c>
      <c r="W563" s="53">
        <f>IF(ISERROR(VLOOKUP($T$563,'TAR FIN'!$A$1:$O$113,15,0)),0,VLOOKUP($T$563,'TAR FIN'!$A$1:$O$113,15,0))*(1-0.06)</f>
        <v>67.820999999999998</v>
      </c>
      <c r="X563" s="53">
        <f>IF(ISERROR(VLOOKUP($U$563,'TAR FIN'!$A$1:$O$113,15,0)),0,VLOOKUP($U$563,'TAR FIN'!$A$1:$O$113,15,0))*(1-0.06)</f>
        <v>261.94979999999998</v>
      </c>
      <c r="Y563" s="53"/>
      <c r="Z563" s="53">
        <f ca="1">('TUSD BE'!$AM$21+'TUSD BF'!$AM$21+'TUSD CVA'!$AM$21)*1*(1-0.03)</f>
        <v>118.47633671713493</v>
      </c>
      <c r="AA563" s="53">
        <f>('TE BE'!$AB$10+'TE BF'!$AB$10+'TE CVA'!$AB$10)*1*(1-0.03)</f>
        <v>290.20513391436589</v>
      </c>
      <c r="AB563" s="6">
        <f>$K$563*$V$563</f>
        <v>0</v>
      </c>
      <c r="AC563" s="6">
        <f>$M$563*$W$563</f>
        <v>60810.682334999998</v>
      </c>
      <c r="AD563" s="6">
        <f>$O$563*$X$563</f>
        <v>234873.35892299999</v>
      </c>
      <c r="AE563" s="6">
        <f>$K$563*$Y$563</f>
        <v>0</v>
      </c>
      <c r="AF563" s="6">
        <f ca="1">$M$563*$Z$563</f>
        <v>106230.03017236828</v>
      </c>
      <c r="AG563" s="6">
        <f>$O$563*$AA$563</f>
        <v>260208.08024730746</v>
      </c>
    </row>
    <row r="564" spans="1:33" ht="11.25" customHeight="1" x14ac:dyDescent="0.3">
      <c r="A564" s="4" t="s">
        <v>21</v>
      </c>
      <c r="B564" s="4" t="s">
        <v>39</v>
      </c>
      <c r="C564" s="4" t="s">
        <v>41</v>
      </c>
      <c r="D564" s="4" t="s">
        <v>50</v>
      </c>
      <c r="E564" s="4" t="s">
        <v>51</v>
      </c>
      <c r="F564" s="4" t="s">
        <v>25</v>
      </c>
      <c r="G564" s="4" t="s">
        <v>25</v>
      </c>
      <c r="H564" s="4" t="s">
        <v>35</v>
      </c>
      <c r="I564" s="5">
        <v>44713</v>
      </c>
      <c r="J564" s="6">
        <v>0</v>
      </c>
      <c r="K564" s="53">
        <v>0</v>
      </c>
      <c r="L564" s="6">
        <v>902.27800000000002</v>
      </c>
      <c r="M564" s="53">
        <v>902.27800000000002</v>
      </c>
      <c r="N564" s="6">
        <v>902.27800000000002</v>
      </c>
      <c r="O564" s="53">
        <v>902.27800000000002</v>
      </c>
      <c r="P564" s="6">
        <v>0</v>
      </c>
      <c r="Q564" s="4" t="s">
        <v>26</v>
      </c>
      <c r="R564" s="4">
        <v>0</v>
      </c>
      <c r="S564" s="6">
        <v>0</v>
      </c>
      <c r="T564" s="6">
        <v>6</v>
      </c>
      <c r="U564" s="6">
        <v>61</v>
      </c>
      <c r="V564" s="53">
        <f>IF(ISERROR(VLOOKUP($S$564,'TAR FIN'!$A$1:$O$113,15,0)),0,VLOOKUP($S$564,'TAR FIN'!$A$1:$O$113,15,0))</f>
        <v>0</v>
      </c>
      <c r="W564" s="53">
        <f>IF(ISERROR(VLOOKUP($T$564,'TAR FIN'!$A$1:$O$113,15,0)),0,VLOOKUP($T$564,'TAR FIN'!$A$1:$O$113,15,0))*(1-0.06)</f>
        <v>67.820999999999998</v>
      </c>
      <c r="X564" s="53">
        <f>IF(ISERROR(VLOOKUP($U$564,'TAR FIN'!$A$1:$O$113,15,0)),0,VLOOKUP($U$564,'TAR FIN'!$A$1:$O$113,15,0))*(1-0.06)</f>
        <v>261.94979999999998</v>
      </c>
      <c r="Y564" s="53"/>
      <c r="Z564" s="53">
        <f ca="1">('TUSD BE'!$AM$21+'TUSD BF'!$AM$21+'TUSD CVA'!$AM$21)*1*(1-0.03)</f>
        <v>118.47633671713493</v>
      </c>
      <c r="AA564" s="53">
        <f>('TE BE'!$AB$10+'TE BF'!$AB$10+'TE CVA'!$AB$10)*1*(1-0.03)</f>
        <v>290.20513391436589</v>
      </c>
      <c r="AB564" s="6">
        <f>$K$564*$V$564</f>
        <v>0</v>
      </c>
      <c r="AC564" s="6">
        <f>$M$564*$W$564</f>
        <v>61193.396238000001</v>
      </c>
      <c r="AD564" s="6">
        <f>$O$564*$X$564</f>
        <v>236351.54164439999</v>
      </c>
      <c r="AE564" s="6">
        <f>$K$564*$Y$564</f>
        <v>0</v>
      </c>
      <c r="AF564" s="6">
        <f ca="1">$M$564*$Z$564</f>
        <v>106898.59214046306</v>
      </c>
      <c r="AG564" s="6">
        <f>$O$564*$AA$564</f>
        <v>261845.70781798623</v>
      </c>
    </row>
    <row r="565" spans="1:33" ht="11.25" customHeight="1" x14ac:dyDescent="0.3">
      <c r="A565" s="4" t="s">
        <v>21</v>
      </c>
      <c r="B565" s="4" t="s">
        <v>39</v>
      </c>
      <c r="C565" s="4" t="s">
        <v>41</v>
      </c>
      <c r="D565" s="4" t="s">
        <v>50</v>
      </c>
      <c r="E565" s="4" t="s">
        <v>51</v>
      </c>
      <c r="F565" s="4" t="s">
        <v>25</v>
      </c>
      <c r="G565" s="4" t="s">
        <v>25</v>
      </c>
      <c r="H565" s="4" t="s">
        <v>35</v>
      </c>
      <c r="I565" s="5">
        <v>44743</v>
      </c>
      <c r="J565" s="6">
        <v>0</v>
      </c>
      <c r="K565" s="53">
        <v>0</v>
      </c>
      <c r="L565" s="6">
        <v>879.01599999999996</v>
      </c>
      <c r="M565" s="53">
        <v>879.01599999999996</v>
      </c>
      <c r="N565" s="6">
        <v>879.01599999999996</v>
      </c>
      <c r="O565" s="53">
        <v>879.01599999999996</v>
      </c>
      <c r="P565" s="6">
        <v>0</v>
      </c>
      <c r="Q565" s="4" t="s">
        <v>26</v>
      </c>
      <c r="R565" s="4">
        <v>0</v>
      </c>
      <c r="S565" s="6">
        <v>0</v>
      </c>
      <c r="T565" s="6">
        <v>6</v>
      </c>
      <c r="U565" s="6">
        <v>61</v>
      </c>
      <c r="V565" s="53">
        <f>IF(ISERROR(VLOOKUP($S$565,'TAR FIN'!$A$1:$O$113,15,0)),0,VLOOKUP($S$565,'TAR FIN'!$A$1:$O$113,15,0))</f>
        <v>0</v>
      </c>
      <c r="W565" s="53">
        <f>IF(ISERROR(VLOOKUP($T$565,'TAR FIN'!$A$1:$O$113,15,0)),0,VLOOKUP($T$565,'TAR FIN'!$A$1:$O$113,15,0))*(1-0.06)</f>
        <v>67.820999999999998</v>
      </c>
      <c r="X565" s="53">
        <f>IF(ISERROR(VLOOKUP($U$565,'TAR FIN'!$A$1:$O$113,15,0)),0,VLOOKUP($U$565,'TAR FIN'!$A$1:$O$113,15,0))*(1-0.06)</f>
        <v>261.94979999999998</v>
      </c>
      <c r="Y565" s="53"/>
      <c r="Z565" s="53">
        <f ca="1">('TUSD BE'!$AM$21+'TUSD BF'!$AM$21+'TUSD CVA'!$AM$21)*1*(1-0.03)</f>
        <v>118.47633671713493</v>
      </c>
      <c r="AA565" s="53">
        <f>('TE BE'!$AB$10+'TE BF'!$AB$10+'TE CVA'!$AB$10)*1*(1-0.03)</f>
        <v>290.20513391436589</v>
      </c>
      <c r="AB565" s="6">
        <f>$K$565*$V$565</f>
        <v>0</v>
      </c>
      <c r="AC565" s="6">
        <f>$M$565*$W$565</f>
        <v>59615.744135999994</v>
      </c>
      <c r="AD565" s="6">
        <f>$O$565*$X$565</f>
        <v>230258.06539679997</v>
      </c>
      <c r="AE565" s="6">
        <f>$K$565*$Y$565</f>
        <v>0</v>
      </c>
      <c r="AF565" s="6">
        <f ca="1">$M$565*$Z$565</f>
        <v>104142.59559574907</v>
      </c>
      <c r="AG565" s="6">
        <f>$O$565*$AA$565</f>
        <v>255094.95599287024</v>
      </c>
    </row>
    <row r="566" spans="1:33" ht="11.25" customHeight="1" x14ac:dyDescent="0.3">
      <c r="A566" s="4" t="s">
        <v>21</v>
      </c>
      <c r="B566" s="4" t="s">
        <v>39</v>
      </c>
      <c r="C566" s="4" t="s">
        <v>41</v>
      </c>
      <c r="D566" s="4" t="s">
        <v>50</v>
      </c>
      <c r="E566" s="4" t="s">
        <v>51</v>
      </c>
      <c r="F566" s="4" t="s">
        <v>25</v>
      </c>
      <c r="G566" s="4" t="s">
        <v>25</v>
      </c>
      <c r="H566" s="4" t="s">
        <v>35</v>
      </c>
      <c r="I566" s="5">
        <v>44774</v>
      </c>
      <c r="J566" s="6">
        <v>0</v>
      </c>
      <c r="K566" s="53">
        <v>0</v>
      </c>
      <c r="L566" s="6">
        <v>926.07299999999998</v>
      </c>
      <c r="M566" s="53">
        <v>926.07299999999998</v>
      </c>
      <c r="N566" s="6">
        <v>926.07299999999998</v>
      </c>
      <c r="O566" s="53">
        <v>926.07299999999998</v>
      </c>
      <c r="P566" s="6">
        <v>0</v>
      </c>
      <c r="Q566" s="4" t="s">
        <v>26</v>
      </c>
      <c r="R566" s="4">
        <v>0</v>
      </c>
      <c r="S566" s="6">
        <v>0</v>
      </c>
      <c r="T566" s="6">
        <v>6</v>
      </c>
      <c r="U566" s="6">
        <v>61</v>
      </c>
      <c r="V566" s="53">
        <f>IF(ISERROR(VLOOKUP($S$566,'TAR FIN'!$A$1:$O$113,15,0)),0,VLOOKUP($S$566,'TAR FIN'!$A$1:$O$113,15,0))</f>
        <v>0</v>
      </c>
      <c r="W566" s="53">
        <f>IF(ISERROR(VLOOKUP($T$566,'TAR FIN'!$A$1:$O$113,15,0)),0,VLOOKUP($T$566,'TAR FIN'!$A$1:$O$113,15,0))*(1-0.06)</f>
        <v>67.820999999999998</v>
      </c>
      <c r="X566" s="53">
        <f>IF(ISERROR(VLOOKUP($U$566,'TAR FIN'!$A$1:$O$113,15,0)),0,VLOOKUP($U$566,'TAR FIN'!$A$1:$O$113,15,0))*(1-0.06)</f>
        <v>261.94979999999998</v>
      </c>
      <c r="Y566" s="53"/>
      <c r="Z566" s="53">
        <f ca="1">('TUSD BE'!$AM$21+'TUSD BF'!$AM$21+'TUSD CVA'!$AM$21)*1*(1-0.03)</f>
        <v>118.47633671713493</v>
      </c>
      <c r="AA566" s="53">
        <f>('TE BE'!$AB$10+'TE BF'!$AB$10+'TE CVA'!$AB$10)*1*(1-0.03)</f>
        <v>290.20513391436589</v>
      </c>
      <c r="AB566" s="6">
        <f>$K$566*$V$566</f>
        <v>0</v>
      </c>
      <c r="AC566" s="6">
        <f>$M$566*$W$566</f>
        <v>62807.196932999999</v>
      </c>
      <c r="AD566" s="6">
        <f>$O$566*$X$566</f>
        <v>242584.63713539997</v>
      </c>
      <c r="AE566" s="6">
        <f>$K$566*$Y$566</f>
        <v>0</v>
      </c>
      <c r="AF566" s="6">
        <f ca="1">$M$566*$Z$566</f>
        <v>109717.73657264729</v>
      </c>
      <c r="AG566" s="6">
        <f>$O$566*$AA$566</f>
        <v>268751.13897947856</v>
      </c>
    </row>
    <row r="567" spans="1:33" ht="11.25" customHeight="1" x14ac:dyDescent="0.3">
      <c r="A567" s="4" t="s">
        <v>21</v>
      </c>
      <c r="B567" s="4" t="s">
        <v>39</v>
      </c>
      <c r="C567" s="4" t="s">
        <v>41</v>
      </c>
      <c r="D567" s="4" t="s">
        <v>50</v>
      </c>
      <c r="E567" s="4" t="s">
        <v>51</v>
      </c>
      <c r="F567" s="4" t="s">
        <v>25</v>
      </c>
      <c r="G567" s="4" t="s">
        <v>25</v>
      </c>
      <c r="H567" s="4" t="s">
        <v>35</v>
      </c>
      <c r="I567" s="5">
        <v>44805</v>
      </c>
      <c r="J567" s="6">
        <v>0</v>
      </c>
      <c r="K567" s="53">
        <v>0</v>
      </c>
      <c r="L567" s="6">
        <v>928.22900000000004</v>
      </c>
      <c r="M567" s="53">
        <v>928.22900000000004</v>
      </c>
      <c r="N567" s="6">
        <v>928.22900000000004</v>
      </c>
      <c r="O567" s="53">
        <v>928.22900000000004</v>
      </c>
      <c r="P567" s="6">
        <v>0</v>
      </c>
      <c r="Q567" s="4" t="s">
        <v>26</v>
      </c>
      <c r="R567" s="4">
        <v>0</v>
      </c>
      <c r="S567" s="6">
        <v>0</v>
      </c>
      <c r="T567" s="6">
        <v>6</v>
      </c>
      <c r="U567" s="6">
        <v>61</v>
      </c>
      <c r="V567" s="53">
        <f>IF(ISERROR(VLOOKUP($S$567,'TAR FIN'!$A$1:$O$113,15,0)),0,VLOOKUP($S$567,'TAR FIN'!$A$1:$O$113,15,0))</f>
        <v>0</v>
      </c>
      <c r="W567" s="53">
        <f>IF(ISERROR(VLOOKUP($T$567,'TAR FIN'!$A$1:$O$113,15,0)),0,VLOOKUP($T$567,'TAR FIN'!$A$1:$O$113,15,0))*(1-0.06)</f>
        <v>67.820999999999998</v>
      </c>
      <c r="X567" s="53">
        <f>IF(ISERROR(VLOOKUP($U$567,'TAR FIN'!$A$1:$O$113,15,0)),0,VLOOKUP($U$567,'TAR FIN'!$A$1:$O$113,15,0))*(1-0.06)</f>
        <v>261.94979999999998</v>
      </c>
      <c r="Y567" s="53"/>
      <c r="Z567" s="53">
        <f ca="1">('TUSD BE'!$AM$21+'TUSD BF'!$AM$21+'TUSD CVA'!$AM$21)*1*(1-0.03)</f>
        <v>118.47633671713493</v>
      </c>
      <c r="AA567" s="53">
        <f>('TE BE'!$AB$10+'TE BF'!$AB$10+'TE CVA'!$AB$10)*1*(1-0.03)</f>
        <v>290.20513391436589</v>
      </c>
      <c r="AB567" s="6">
        <f>$K$567*$V$567</f>
        <v>0</v>
      </c>
      <c r="AC567" s="6">
        <f>$M$567*$W$567</f>
        <v>62953.419008999997</v>
      </c>
      <c r="AD567" s="6">
        <f>$O$567*$X$567</f>
        <v>243149.40090419998</v>
      </c>
      <c r="AE567" s="6">
        <f>$K$567*$Y$567</f>
        <v>0</v>
      </c>
      <c r="AF567" s="6">
        <f ca="1">$M$567*$Z$567</f>
        <v>109973.17155460943</v>
      </c>
      <c r="AG567" s="6">
        <f>$O$567*$AA$567</f>
        <v>269376.82124819793</v>
      </c>
    </row>
    <row r="568" spans="1:33" ht="11.25" customHeight="1" x14ac:dyDescent="0.3">
      <c r="A568" s="4" t="s">
        <v>53</v>
      </c>
      <c r="B568" s="4" t="s">
        <v>39</v>
      </c>
      <c r="C568" s="4" t="s">
        <v>41</v>
      </c>
      <c r="D568" s="4" t="s">
        <v>50</v>
      </c>
      <c r="E568" s="4" t="s">
        <v>51</v>
      </c>
      <c r="F568" s="4" t="s">
        <v>25</v>
      </c>
      <c r="G568" s="4" t="s">
        <v>25</v>
      </c>
      <c r="H568" s="4" t="s">
        <v>35</v>
      </c>
      <c r="I568" s="5">
        <v>44835</v>
      </c>
      <c r="J568" s="6">
        <v>0</v>
      </c>
      <c r="K568" s="53">
        <v>0</v>
      </c>
      <c r="L568" s="6">
        <v>928.22900000000004</v>
      </c>
      <c r="M568" s="53">
        <v>928.22900000000004</v>
      </c>
      <c r="N568" s="6">
        <v>928.22900000000004</v>
      </c>
      <c r="O568" s="53">
        <v>928.22900000000004</v>
      </c>
      <c r="P568" s="6">
        <v>0</v>
      </c>
      <c r="Q568" s="4" t="s">
        <v>26</v>
      </c>
      <c r="R568" s="4">
        <v>0</v>
      </c>
      <c r="S568" s="6">
        <v>0</v>
      </c>
      <c r="T568" s="6">
        <v>6</v>
      </c>
      <c r="U568" s="6">
        <v>61</v>
      </c>
      <c r="V568" s="53">
        <f>IF(ISERROR(VLOOKUP($S$568,'TAR FIN'!$A$1:$O$113,15,0)),0,VLOOKUP($S$568,'TAR FIN'!$A$1:$O$113,15,0))</f>
        <v>0</v>
      </c>
      <c r="W568" s="53">
        <f>IF(ISERROR(VLOOKUP($T$568,'TAR FIN'!$A$1:$O$113,15,0)),0,VLOOKUP($T$568,'TAR FIN'!$A$1:$O$113,15,0))*(1-0.06)</f>
        <v>67.820999999999998</v>
      </c>
      <c r="X568" s="53">
        <f>IF(ISERROR(VLOOKUP($U$568,'TAR FIN'!$A$1:$O$113,15,0)),0,VLOOKUP($U$568,'TAR FIN'!$A$1:$O$113,15,0))*(1-0.06)</f>
        <v>261.94979999999998</v>
      </c>
      <c r="Y568" s="53"/>
      <c r="Z568" s="53">
        <f ca="1">('TUSD BE'!$AM$21+'TUSD BF'!$AM$21+'TUSD CVA'!$AM$21)*1*(1-0.03)</f>
        <v>118.47633671713493</v>
      </c>
      <c r="AA568" s="53">
        <f>('TE BE'!$AB$10+'TE BF'!$AB$10+'TE CVA'!$AB$10)*1*(1-0.03)</f>
        <v>290.20513391436589</v>
      </c>
      <c r="AB568" s="6">
        <f>$K$568*$V$568</f>
        <v>0</v>
      </c>
      <c r="AC568" s="6">
        <f>$M$568*$W$568</f>
        <v>62953.419008999997</v>
      </c>
      <c r="AD568" s="6">
        <f>$O$568*$X$568</f>
        <v>243149.40090419998</v>
      </c>
      <c r="AE568" s="6">
        <f>$K$568*$Y$568</f>
        <v>0</v>
      </c>
      <c r="AF568" s="6">
        <f ca="1">$M$568*$Z$568</f>
        <v>109973.17155460943</v>
      </c>
      <c r="AG568" s="6">
        <f>$O$568*$AA$568</f>
        <v>269376.82124819793</v>
      </c>
    </row>
    <row r="569" spans="1:33" ht="11.25" customHeight="1" x14ac:dyDescent="0.3">
      <c r="A569" s="4" t="s">
        <v>21</v>
      </c>
      <c r="B569" s="4" t="s">
        <v>39</v>
      </c>
      <c r="C569" s="4" t="s">
        <v>41</v>
      </c>
      <c r="D569" s="4" t="s">
        <v>50</v>
      </c>
      <c r="E569" s="4" t="s">
        <v>51</v>
      </c>
      <c r="F569" s="4" t="s">
        <v>25</v>
      </c>
      <c r="G569" s="4" t="s">
        <v>25</v>
      </c>
      <c r="H569" s="4" t="s">
        <v>25</v>
      </c>
      <c r="I569" s="5">
        <v>44501</v>
      </c>
      <c r="J569" s="6">
        <v>2053</v>
      </c>
      <c r="K569" s="52">
        <v>2053</v>
      </c>
      <c r="L569" s="6">
        <v>0</v>
      </c>
      <c r="M569" s="53">
        <v>0</v>
      </c>
      <c r="N569" s="6">
        <v>0</v>
      </c>
      <c r="O569" s="53">
        <v>0</v>
      </c>
      <c r="P569" s="6">
        <v>15</v>
      </c>
      <c r="Q569" s="4" t="s">
        <v>26</v>
      </c>
      <c r="R569" s="4">
        <v>0</v>
      </c>
      <c r="S569" s="6">
        <v>20</v>
      </c>
      <c r="T569" s="6">
        <v>0</v>
      </c>
      <c r="U569" s="6">
        <v>0</v>
      </c>
      <c r="V569" s="53">
        <f>IF(ISERROR(VLOOKUP($S$569,'TAR FIN'!$A$1:$O$113,15,0)),0,VLOOKUP($S$569,'TAR FIN'!$A$1:$O$113,15,0))*(1-0.06)</f>
        <v>13.16</v>
      </c>
      <c r="W569" s="53">
        <f>IF(ISERROR(VLOOKUP($T$569,'TAR FIN'!$A$1:$O$113,15,0)),0,VLOOKUP($T$569,'TAR FIN'!$A$1:$O$113,15,0))</f>
        <v>0</v>
      </c>
      <c r="X569" s="53">
        <f>IF(ISERROR(VLOOKUP($U$569,'TAR FIN'!$A$1:$O$113,15,0)),0,VLOOKUP($U$569,'TAR FIN'!$A$1:$O$113,15,0))</f>
        <v>0</v>
      </c>
      <c r="Y569" s="53">
        <f ca="1">('TUSD BE'!$AM$19+'TUSD BF'!$AM$19+'TUSD CVA'!$AM$19)*1*(1-0.03)</f>
        <v>15.554875305631656</v>
      </c>
      <c r="Z569" s="53"/>
      <c r="AA569" s="53"/>
      <c r="AB569" s="6">
        <f>$K$569*$V$569</f>
        <v>27017.48</v>
      </c>
      <c r="AC569" s="6">
        <f>$M$569*$W$569</f>
        <v>0</v>
      </c>
      <c r="AD569" s="6">
        <f>$O$569*$X$569</f>
        <v>0</v>
      </c>
      <c r="AE569" s="6">
        <f ca="1">$K$569*$Y$569</f>
        <v>31934.159002461791</v>
      </c>
      <c r="AF569" s="6">
        <f>$M$569*$Z$569</f>
        <v>0</v>
      </c>
      <c r="AG569" s="6">
        <f>$O$569*$AA$569</f>
        <v>0</v>
      </c>
    </row>
    <row r="570" spans="1:33" ht="11.25" customHeight="1" x14ac:dyDescent="0.3">
      <c r="A570" s="4" t="s">
        <v>21</v>
      </c>
      <c r="B570" s="4" t="s">
        <v>39</v>
      </c>
      <c r="C570" s="4" t="s">
        <v>41</v>
      </c>
      <c r="D570" s="4" t="s">
        <v>50</v>
      </c>
      <c r="E570" s="4" t="s">
        <v>51</v>
      </c>
      <c r="F570" s="4" t="s">
        <v>25</v>
      </c>
      <c r="G570" s="4" t="s">
        <v>25</v>
      </c>
      <c r="H570" s="4" t="s">
        <v>25</v>
      </c>
      <c r="I570" s="5">
        <v>44531</v>
      </c>
      <c r="J570" s="6">
        <v>2047</v>
      </c>
      <c r="K570" s="52">
        <v>2047</v>
      </c>
      <c r="L570" s="6">
        <v>0</v>
      </c>
      <c r="M570" s="53">
        <v>0</v>
      </c>
      <c r="N570" s="6">
        <v>0</v>
      </c>
      <c r="O570" s="53">
        <v>0</v>
      </c>
      <c r="P570" s="6">
        <v>15</v>
      </c>
      <c r="Q570" s="4" t="s">
        <v>26</v>
      </c>
      <c r="R570" s="4">
        <v>0</v>
      </c>
      <c r="S570" s="6">
        <v>20</v>
      </c>
      <c r="T570" s="6">
        <v>0</v>
      </c>
      <c r="U570" s="6">
        <v>0</v>
      </c>
      <c r="V570" s="53">
        <f>IF(ISERROR(VLOOKUP($S$570,'TAR FIN'!$A$1:$O$113,15,0)),0,VLOOKUP($S$570,'TAR FIN'!$A$1:$O$113,15,0))*(1-0.06)</f>
        <v>13.16</v>
      </c>
      <c r="W570" s="53">
        <f>IF(ISERROR(VLOOKUP($T$570,'TAR FIN'!$A$1:$O$113,15,0)),0,VLOOKUP($T$570,'TAR FIN'!$A$1:$O$113,15,0))</f>
        <v>0</v>
      </c>
      <c r="X570" s="53">
        <f>IF(ISERROR(VLOOKUP($U$570,'TAR FIN'!$A$1:$O$113,15,0)),0,VLOOKUP($U$570,'TAR FIN'!$A$1:$O$113,15,0))</f>
        <v>0</v>
      </c>
      <c r="Y570" s="53">
        <f ca="1">('TUSD BE'!$AM$19+'TUSD BF'!$AM$19+'TUSD CVA'!$AM$19)*1*(1-0.03)</f>
        <v>15.554875305631656</v>
      </c>
      <c r="Z570" s="53"/>
      <c r="AA570" s="53"/>
      <c r="AB570" s="6">
        <f>$K$570*$V$570</f>
        <v>26938.52</v>
      </c>
      <c r="AC570" s="6">
        <f>$M$570*$W$570</f>
        <v>0</v>
      </c>
      <c r="AD570" s="6">
        <f>$O$570*$X$570</f>
        <v>0</v>
      </c>
      <c r="AE570" s="6">
        <f ca="1">$K$570*$Y$570</f>
        <v>31840.829750628</v>
      </c>
      <c r="AF570" s="6">
        <f>$M$570*$Z$570</f>
        <v>0</v>
      </c>
      <c r="AG570" s="6">
        <f>$O$570*$AA$570</f>
        <v>0</v>
      </c>
    </row>
    <row r="571" spans="1:33" ht="11.25" customHeight="1" x14ac:dyDescent="0.3">
      <c r="A571" s="4" t="s">
        <v>21</v>
      </c>
      <c r="B571" s="4" t="s">
        <v>39</v>
      </c>
      <c r="C571" s="4" t="s">
        <v>41</v>
      </c>
      <c r="D571" s="4" t="s">
        <v>50</v>
      </c>
      <c r="E571" s="4" t="s">
        <v>51</v>
      </c>
      <c r="F571" s="4" t="s">
        <v>25</v>
      </c>
      <c r="G571" s="4" t="s">
        <v>25</v>
      </c>
      <c r="H571" s="4" t="s">
        <v>25</v>
      </c>
      <c r="I571" s="5">
        <v>44562</v>
      </c>
      <c r="J571" s="6">
        <v>2026</v>
      </c>
      <c r="K571" s="52">
        <v>2026</v>
      </c>
      <c r="L571" s="6">
        <v>0</v>
      </c>
      <c r="M571" s="53">
        <v>0</v>
      </c>
      <c r="N571" s="6">
        <v>0</v>
      </c>
      <c r="O571" s="53">
        <v>0</v>
      </c>
      <c r="P571" s="6">
        <v>14</v>
      </c>
      <c r="Q571" s="4" t="s">
        <v>26</v>
      </c>
      <c r="R571" s="4">
        <v>0</v>
      </c>
      <c r="S571" s="6">
        <v>20</v>
      </c>
      <c r="T571" s="6">
        <v>0</v>
      </c>
      <c r="U571" s="6">
        <v>0</v>
      </c>
      <c r="V571" s="53">
        <f>IF(ISERROR(VLOOKUP($S$571,'TAR FIN'!$A$1:$O$113,15,0)),0,VLOOKUP($S$571,'TAR FIN'!$A$1:$O$113,15,0))*(1-0.06)</f>
        <v>13.16</v>
      </c>
      <c r="W571" s="53">
        <f>IF(ISERROR(VLOOKUP($T$571,'TAR FIN'!$A$1:$O$113,15,0)),0,VLOOKUP($T$571,'TAR FIN'!$A$1:$O$113,15,0))</f>
        <v>0</v>
      </c>
      <c r="X571" s="53">
        <f>IF(ISERROR(VLOOKUP($U$571,'TAR FIN'!$A$1:$O$113,15,0)),0,VLOOKUP($U$571,'TAR FIN'!$A$1:$O$113,15,0))</f>
        <v>0</v>
      </c>
      <c r="Y571" s="53">
        <f ca="1">('TUSD BE'!$AM$19+'TUSD BF'!$AM$19+'TUSD CVA'!$AM$19)*1*(1-0.03)</f>
        <v>15.554875305631656</v>
      </c>
      <c r="Z571" s="53"/>
      <c r="AA571" s="53"/>
      <c r="AB571" s="6">
        <f>$K$571*$V$571</f>
        <v>26662.16</v>
      </c>
      <c r="AC571" s="6">
        <f>$M$571*$W$571</f>
        <v>0</v>
      </c>
      <c r="AD571" s="6">
        <f>$O$571*$X$571</f>
        <v>0</v>
      </c>
      <c r="AE571" s="6">
        <f ca="1">$K$571*$Y$571</f>
        <v>31514.177369209734</v>
      </c>
      <c r="AF571" s="6">
        <f>$M$571*$Z$571</f>
        <v>0</v>
      </c>
      <c r="AG571" s="6">
        <f>$O$571*$AA$571</f>
        <v>0</v>
      </c>
    </row>
    <row r="572" spans="1:33" ht="11.25" customHeight="1" x14ac:dyDescent="0.3">
      <c r="A572" s="4" t="s">
        <v>21</v>
      </c>
      <c r="B572" s="4" t="s">
        <v>39</v>
      </c>
      <c r="C572" s="4" t="s">
        <v>41</v>
      </c>
      <c r="D572" s="4" t="s">
        <v>50</v>
      </c>
      <c r="E572" s="4" t="s">
        <v>51</v>
      </c>
      <c r="F572" s="4" t="s">
        <v>25</v>
      </c>
      <c r="G572" s="4" t="s">
        <v>25</v>
      </c>
      <c r="H572" s="4" t="s">
        <v>25</v>
      </c>
      <c r="I572" s="5">
        <v>44593</v>
      </c>
      <c r="J572" s="6">
        <v>2048</v>
      </c>
      <c r="K572" s="52">
        <v>2048</v>
      </c>
      <c r="L572" s="6">
        <v>0</v>
      </c>
      <c r="M572" s="53">
        <v>0</v>
      </c>
      <c r="N572" s="6">
        <v>0</v>
      </c>
      <c r="O572" s="53">
        <v>0</v>
      </c>
      <c r="P572" s="6">
        <v>14</v>
      </c>
      <c r="Q572" s="4" t="s">
        <v>26</v>
      </c>
      <c r="R572" s="4">
        <v>0</v>
      </c>
      <c r="S572" s="6">
        <v>20</v>
      </c>
      <c r="T572" s="6">
        <v>0</v>
      </c>
      <c r="U572" s="6">
        <v>0</v>
      </c>
      <c r="V572" s="53">
        <f>IF(ISERROR(VLOOKUP($S$572,'TAR FIN'!$A$1:$O$113,15,0)),0,VLOOKUP($S$572,'TAR FIN'!$A$1:$O$113,15,0))*(1-0.06)</f>
        <v>13.16</v>
      </c>
      <c r="W572" s="53">
        <f>IF(ISERROR(VLOOKUP($T$572,'TAR FIN'!$A$1:$O$113,15,0)),0,VLOOKUP($T$572,'TAR FIN'!$A$1:$O$113,15,0))</f>
        <v>0</v>
      </c>
      <c r="X572" s="53">
        <f>IF(ISERROR(VLOOKUP($U$572,'TAR FIN'!$A$1:$O$113,15,0)),0,VLOOKUP($U$572,'TAR FIN'!$A$1:$O$113,15,0))</f>
        <v>0</v>
      </c>
      <c r="Y572" s="53">
        <f ca="1">('TUSD BE'!$AM$19+'TUSD BF'!$AM$19+'TUSD CVA'!$AM$19)*1*(1-0.03)</f>
        <v>15.554875305631656</v>
      </c>
      <c r="Z572" s="53"/>
      <c r="AA572" s="53"/>
      <c r="AB572" s="6">
        <f>$K$572*$V$572</f>
        <v>26951.68</v>
      </c>
      <c r="AC572" s="6">
        <f>$M$572*$W$572</f>
        <v>0</v>
      </c>
      <c r="AD572" s="6">
        <f>$O$572*$X$572</f>
        <v>0</v>
      </c>
      <c r="AE572" s="6">
        <f ca="1">$K$572*$Y$572</f>
        <v>31856.384625933631</v>
      </c>
      <c r="AF572" s="6">
        <f>$M$572*$Z$572</f>
        <v>0</v>
      </c>
      <c r="AG572" s="6">
        <f>$O$572*$AA$572</f>
        <v>0</v>
      </c>
    </row>
    <row r="573" spans="1:33" ht="11.25" customHeight="1" x14ac:dyDescent="0.3">
      <c r="A573" s="4" t="s">
        <v>21</v>
      </c>
      <c r="B573" s="4" t="s">
        <v>39</v>
      </c>
      <c r="C573" s="4" t="s">
        <v>41</v>
      </c>
      <c r="D573" s="4" t="s">
        <v>50</v>
      </c>
      <c r="E573" s="4" t="s">
        <v>51</v>
      </c>
      <c r="F573" s="4" t="s">
        <v>25</v>
      </c>
      <c r="G573" s="4" t="s">
        <v>25</v>
      </c>
      <c r="H573" s="4" t="s">
        <v>25</v>
      </c>
      <c r="I573" s="5">
        <v>44621</v>
      </c>
      <c r="J573" s="6">
        <v>2056</v>
      </c>
      <c r="K573" s="52">
        <v>2056</v>
      </c>
      <c r="L573" s="6">
        <v>0</v>
      </c>
      <c r="M573" s="53">
        <v>0</v>
      </c>
      <c r="N573" s="6">
        <v>0</v>
      </c>
      <c r="O573" s="53">
        <v>0</v>
      </c>
      <c r="P573" s="6">
        <v>14</v>
      </c>
      <c r="Q573" s="4" t="s">
        <v>26</v>
      </c>
      <c r="R573" s="4">
        <v>0</v>
      </c>
      <c r="S573" s="6">
        <v>20</v>
      </c>
      <c r="T573" s="6">
        <v>0</v>
      </c>
      <c r="U573" s="6">
        <v>0</v>
      </c>
      <c r="V573" s="53">
        <f>IF(ISERROR(VLOOKUP($S$573,'TAR FIN'!$A$1:$O$113,15,0)),0,VLOOKUP($S$573,'TAR FIN'!$A$1:$O$113,15,0))*(1-0.06)</f>
        <v>13.16</v>
      </c>
      <c r="W573" s="53">
        <f>IF(ISERROR(VLOOKUP($T$573,'TAR FIN'!$A$1:$O$113,15,0)),0,VLOOKUP($T$573,'TAR FIN'!$A$1:$O$113,15,0))</f>
        <v>0</v>
      </c>
      <c r="X573" s="53">
        <f>IF(ISERROR(VLOOKUP($U$573,'TAR FIN'!$A$1:$O$113,15,0)),0,VLOOKUP($U$573,'TAR FIN'!$A$1:$O$113,15,0))</f>
        <v>0</v>
      </c>
      <c r="Y573" s="53">
        <f ca="1">('TUSD BE'!$AM$19+'TUSD BF'!$AM$19+'TUSD CVA'!$AM$19)*1*(1-0.03)</f>
        <v>15.554875305631656</v>
      </c>
      <c r="Z573" s="53"/>
      <c r="AA573" s="53"/>
      <c r="AB573" s="6">
        <f>$K$573*$V$573</f>
        <v>27056.959999999999</v>
      </c>
      <c r="AC573" s="6">
        <f>$M$573*$W$573</f>
        <v>0</v>
      </c>
      <c r="AD573" s="6">
        <f>$O$573*$X$573</f>
        <v>0</v>
      </c>
      <c r="AE573" s="6">
        <f ca="1">$K$573*$Y$573</f>
        <v>31980.823628378686</v>
      </c>
      <c r="AF573" s="6">
        <f>$M$573*$Z$573</f>
        <v>0</v>
      </c>
      <c r="AG573" s="6">
        <f>$O$573*$AA$573</f>
        <v>0</v>
      </c>
    </row>
    <row r="574" spans="1:33" ht="11.25" customHeight="1" x14ac:dyDescent="0.3">
      <c r="A574" s="4" t="s">
        <v>21</v>
      </c>
      <c r="B574" s="4" t="s">
        <v>39</v>
      </c>
      <c r="C574" s="4" t="s">
        <v>41</v>
      </c>
      <c r="D574" s="4" t="s">
        <v>50</v>
      </c>
      <c r="E574" s="4" t="s">
        <v>51</v>
      </c>
      <c r="F574" s="4" t="s">
        <v>25</v>
      </c>
      <c r="G574" s="4" t="s">
        <v>25</v>
      </c>
      <c r="H574" s="4" t="s">
        <v>25</v>
      </c>
      <c r="I574" s="5">
        <v>44652</v>
      </c>
      <c r="J574" s="6">
        <v>2050</v>
      </c>
      <c r="K574" s="52">
        <v>2050</v>
      </c>
      <c r="L574" s="6">
        <v>0</v>
      </c>
      <c r="M574" s="53">
        <v>0</v>
      </c>
      <c r="N574" s="6">
        <v>0</v>
      </c>
      <c r="O574" s="53">
        <v>0</v>
      </c>
      <c r="P574" s="6">
        <v>14</v>
      </c>
      <c r="Q574" s="4" t="s">
        <v>26</v>
      </c>
      <c r="R574" s="4">
        <v>0</v>
      </c>
      <c r="S574" s="6">
        <v>20</v>
      </c>
      <c r="T574" s="6">
        <v>0</v>
      </c>
      <c r="U574" s="6">
        <v>0</v>
      </c>
      <c r="V574" s="53">
        <f>IF(ISERROR(VLOOKUP($S$574,'TAR FIN'!$A$1:$O$113,15,0)),0,VLOOKUP($S$574,'TAR FIN'!$A$1:$O$113,15,0))*(1-0.06)</f>
        <v>13.16</v>
      </c>
      <c r="W574" s="53">
        <f>IF(ISERROR(VLOOKUP($T$574,'TAR FIN'!$A$1:$O$113,15,0)),0,VLOOKUP($T$574,'TAR FIN'!$A$1:$O$113,15,0))</f>
        <v>0</v>
      </c>
      <c r="X574" s="53">
        <f>IF(ISERROR(VLOOKUP($U$574,'TAR FIN'!$A$1:$O$113,15,0)),0,VLOOKUP($U$574,'TAR FIN'!$A$1:$O$113,15,0))</f>
        <v>0</v>
      </c>
      <c r="Y574" s="53">
        <f ca="1">('TUSD BE'!$AM$19+'TUSD BF'!$AM$19+'TUSD CVA'!$AM$19)*1*(1-0.03)</f>
        <v>15.554875305631656</v>
      </c>
      <c r="Z574" s="53"/>
      <c r="AA574" s="53"/>
      <c r="AB574" s="6">
        <f>$K$574*$V$574</f>
        <v>26978</v>
      </c>
      <c r="AC574" s="6">
        <f>$M$574*$W$574</f>
        <v>0</v>
      </c>
      <c r="AD574" s="6">
        <f>$O$574*$X$574</f>
        <v>0</v>
      </c>
      <c r="AE574" s="6">
        <f ca="1">$K$574*$Y$574</f>
        <v>31887.494376544895</v>
      </c>
      <c r="AF574" s="6">
        <f>$M$574*$Z$574</f>
        <v>0</v>
      </c>
      <c r="AG574" s="6">
        <f>$O$574*$AA$574</f>
        <v>0</v>
      </c>
    </row>
    <row r="575" spans="1:33" ht="11.25" customHeight="1" x14ac:dyDescent="0.3">
      <c r="A575" s="4" t="s">
        <v>21</v>
      </c>
      <c r="B575" s="4" t="s">
        <v>39</v>
      </c>
      <c r="C575" s="4" t="s">
        <v>41</v>
      </c>
      <c r="D575" s="4" t="s">
        <v>50</v>
      </c>
      <c r="E575" s="4" t="s">
        <v>51</v>
      </c>
      <c r="F575" s="4" t="s">
        <v>25</v>
      </c>
      <c r="G575" s="4" t="s">
        <v>25</v>
      </c>
      <c r="H575" s="4" t="s">
        <v>25</v>
      </c>
      <c r="I575" s="5">
        <v>44682</v>
      </c>
      <c r="J575" s="6">
        <v>2072</v>
      </c>
      <c r="K575" s="52">
        <v>2072</v>
      </c>
      <c r="L575" s="6">
        <v>0</v>
      </c>
      <c r="M575" s="53">
        <v>0</v>
      </c>
      <c r="N575" s="6">
        <v>0</v>
      </c>
      <c r="O575" s="53">
        <v>0</v>
      </c>
      <c r="P575" s="6">
        <v>14</v>
      </c>
      <c r="Q575" s="4" t="s">
        <v>26</v>
      </c>
      <c r="R575" s="4">
        <v>0</v>
      </c>
      <c r="S575" s="6">
        <v>20</v>
      </c>
      <c r="T575" s="6">
        <v>0</v>
      </c>
      <c r="U575" s="6">
        <v>0</v>
      </c>
      <c r="V575" s="53">
        <f>IF(ISERROR(VLOOKUP($S$575,'TAR FIN'!$A$1:$O$113,15,0)),0,VLOOKUP($S$575,'TAR FIN'!$A$1:$O$113,15,0))*(1-0.06)</f>
        <v>13.16</v>
      </c>
      <c r="W575" s="53">
        <f>IF(ISERROR(VLOOKUP($T$575,'TAR FIN'!$A$1:$O$113,15,0)),0,VLOOKUP($T$575,'TAR FIN'!$A$1:$O$113,15,0))</f>
        <v>0</v>
      </c>
      <c r="X575" s="53">
        <f>IF(ISERROR(VLOOKUP($U$575,'TAR FIN'!$A$1:$O$113,15,0)),0,VLOOKUP($U$575,'TAR FIN'!$A$1:$O$113,15,0))</f>
        <v>0</v>
      </c>
      <c r="Y575" s="53">
        <f ca="1">('TUSD BE'!$AM$19+'TUSD BF'!$AM$19+'TUSD CVA'!$AM$19)*1*(1-0.03)</f>
        <v>15.554875305631656</v>
      </c>
      <c r="Z575" s="53"/>
      <c r="AA575" s="53"/>
      <c r="AB575" s="6">
        <f>$K$575*$V$575</f>
        <v>27267.52</v>
      </c>
      <c r="AC575" s="6">
        <f>$M$575*$W$575</f>
        <v>0</v>
      </c>
      <c r="AD575" s="6">
        <f>$O$575*$X$575</f>
        <v>0</v>
      </c>
      <c r="AE575" s="6">
        <f ca="1">$K$575*$Y$575</f>
        <v>32229.701633268793</v>
      </c>
      <c r="AF575" s="6">
        <f>$M$575*$Z$575</f>
        <v>0</v>
      </c>
      <c r="AG575" s="6">
        <f>$O$575*$AA$575</f>
        <v>0</v>
      </c>
    </row>
    <row r="576" spans="1:33" ht="11.25" customHeight="1" x14ac:dyDescent="0.3">
      <c r="A576" s="4" t="s">
        <v>21</v>
      </c>
      <c r="B576" s="4" t="s">
        <v>39</v>
      </c>
      <c r="C576" s="4" t="s">
        <v>41</v>
      </c>
      <c r="D576" s="4" t="s">
        <v>50</v>
      </c>
      <c r="E576" s="4" t="s">
        <v>51</v>
      </c>
      <c r="F576" s="4" t="s">
        <v>25</v>
      </c>
      <c r="G576" s="4" t="s">
        <v>25</v>
      </c>
      <c r="H576" s="4" t="s">
        <v>25</v>
      </c>
      <c r="I576" s="5">
        <v>44713</v>
      </c>
      <c r="J576" s="6">
        <v>2061</v>
      </c>
      <c r="K576" s="52">
        <v>2061</v>
      </c>
      <c r="L576" s="6">
        <v>0</v>
      </c>
      <c r="M576" s="53">
        <v>0</v>
      </c>
      <c r="N576" s="6">
        <v>0</v>
      </c>
      <c r="O576" s="53">
        <v>0</v>
      </c>
      <c r="P576" s="6">
        <v>14</v>
      </c>
      <c r="Q576" s="4" t="s">
        <v>26</v>
      </c>
      <c r="R576" s="4">
        <v>0</v>
      </c>
      <c r="S576" s="6">
        <v>20</v>
      </c>
      <c r="T576" s="6">
        <v>0</v>
      </c>
      <c r="U576" s="6">
        <v>0</v>
      </c>
      <c r="V576" s="53">
        <f>IF(ISERROR(VLOOKUP($S$576,'TAR FIN'!$A$1:$O$113,15,0)),0,VLOOKUP($S$576,'TAR FIN'!$A$1:$O$113,15,0))*(1-0.06)</f>
        <v>13.16</v>
      </c>
      <c r="W576" s="53">
        <f>IF(ISERROR(VLOOKUP($T$576,'TAR FIN'!$A$1:$O$113,15,0)),0,VLOOKUP($T$576,'TAR FIN'!$A$1:$O$113,15,0))</f>
        <v>0</v>
      </c>
      <c r="X576" s="53">
        <f>IF(ISERROR(VLOOKUP($U$576,'TAR FIN'!$A$1:$O$113,15,0)),0,VLOOKUP($U$576,'TAR FIN'!$A$1:$O$113,15,0))</f>
        <v>0</v>
      </c>
      <c r="Y576" s="53">
        <f ca="1">('TUSD BE'!$AM$19+'TUSD BF'!$AM$19+'TUSD CVA'!$AM$19)*1*(1-0.03)</f>
        <v>15.554875305631656</v>
      </c>
      <c r="Z576" s="53"/>
      <c r="AA576" s="53"/>
      <c r="AB576" s="6">
        <f>$K$576*$V$576</f>
        <v>27122.760000000002</v>
      </c>
      <c r="AC576" s="6">
        <f>$M$576*$W$576</f>
        <v>0</v>
      </c>
      <c r="AD576" s="6">
        <f>$O$576*$X$576</f>
        <v>0</v>
      </c>
      <c r="AE576" s="6">
        <f ca="1">$K$576*$Y$576</f>
        <v>32058.598004906842</v>
      </c>
      <c r="AF576" s="6">
        <f>$M$576*$Z$576</f>
        <v>0</v>
      </c>
      <c r="AG576" s="6">
        <f>$O$576*$AA$576</f>
        <v>0</v>
      </c>
    </row>
    <row r="577" spans="1:33" ht="11.25" customHeight="1" x14ac:dyDescent="0.3">
      <c r="A577" s="4" t="s">
        <v>21</v>
      </c>
      <c r="B577" s="4" t="s">
        <v>39</v>
      </c>
      <c r="C577" s="4" t="s">
        <v>41</v>
      </c>
      <c r="D577" s="4" t="s">
        <v>50</v>
      </c>
      <c r="E577" s="4" t="s">
        <v>51</v>
      </c>
      <c r="F577" s="4" t="s">
        <v>25</v>
      </c>
      <c r="G577" s="4" t="s">
        <v>25</v>
      </c>
      <c r="H577" s="4" t="s">
        <v>25</v>
      </c>
      <c r="I577" s="5">
        <v>44743</v>
      </c>
      <c r="J577" s="6">
        <v>2081</v>
      </c>
      <c r="K577" s="52">
        <v>2081</v>
      </c>
      <c r="L577" s="6">
        <v>0</v>
      </c>
      <c r="M577" s="53">
        <v>0</v>
      </c>
      <c r="N577" s="6">
        <v>0</v>
      </c>
      <c r="O577" s="53">
        <v>0</v>
      </c>
      <c r="P577" s="6">
        <v>14</v>
      </c>
      <c r="Q577" s="4" t="s">
        <v>26</v>
      </c>
      <c r="R577" s="4">
        <v>0</v>
      </c>
      <c r="S577" s="6">
        <v>20</v>
      </c>
      <c r="T577" s="6">
        <v>0</v>
      </c>
      <c r="U577" s="6">
        <v>0</v>
      </c>
      <c r="V577" s="53">
        <f>IF(ISERROR(VLOOKUP($S$577,'TAR FIN'!$A$1:$O$113,15,0)),0,VLOOKUP($S$577,'TAR FIN'!$A$1:$O$113,15,0))*(1-0.06)</f>
        <v>13.16</v>
      </c>
      <c r="W577" s="53">
        <f>IF(ISERROR(VLOOKUP($T$577,'TAR FIN'!$A$1:$O$113,15,0)),0,VLOOKUP($T$577,'TAR FIN'!$A$1:$O$113,15,0))</f>
        <v>0</v>
      </c>
      <c r="X577" s="53">
        <f>IF(ISERROR(VLOOKUP($U$577,'TAR FIN'!$A$1:$O$113,15,0)),0,VLOOKUP($U$577,'TAR FIN'!$A$1:$O$113,15,0))</f>
        <v>0</v>
      </c>
      <c r="Y577" s="53">
        <f ca="1">('TUSD BE'!$AM$19+'TUSD BF'!$AM$19+'TUSD CVA'!$AM$19)*1*(1-0.03)</f>
        <v>15.554875305631656</v>
      </c>
      <c r="Z577" s="53"/>
      <c r="AA577" s="53"/>
      <c r="AB577" s="6">
        <f>$K$577*$V$577</f>
        <v>27385.96</v>
      </c>
      <c r="AC577" s="6">
        <f>$M$577*$W$577</f>
        <v>0</v>
      </c>
      <c r="AD577" s="6">
        <f>$O$577*$X$577</f>
        <v>0</v>
      </c>
      <c r="AE577" s="6">
        <f ca="1">$K$577*$Y$577</f>
        <v>32369.695511019476</v>
      </c>
      <c r="AF577" s="6">
        <f>$M$577*$Z$577</f>
        <v>0</v>
      </c>
      <c r="AG577" s="6">
        <f>$O$577*$AA$577</f>
        <v>0</v>
      </c>
    </row>
    <row r="578" spans="1:33" ht="11.25" customHeight="1" x14ac:dyDescent="0.3">
      <c r="A578" s="4" t="s">
        <v>21</v>
      </c>
      <c r="B578" s="4" t="s">
        <v>39</v>
      </c>
      <c r="C578" s="4" t="s">
        <v>41</v>
      </c>
      <c r="D578" s="4" t="s">
        <v>50</v>
      </c>
      <c r="E578" s="4" t="s">
        <v>51</v>
      </c>
      <c r="F578" s="4" t="s">
        <v>25</v>
      </c>
      <c r="G578" s="4" t="s">
        <v>25</v>
      </c>
      <c r="H578" s="4" t="s">
        <v>25</v>
      </c>
      <c r="I578" s="5">
        <v>44774</v>
      </c>
      <c r="J578" s="6">
        <v>2090</v>
      </c>
      <c r="K578" s="52">
        <v>2090</v>
      </c>
      <c r="L578" s="6">
        <v>0</v>
      </c>
      <c r="M578" s="53">
        <v>0</v>
      </c>
      <c r="N578" s="6">
        <v>0</v>
      </c>
      <c r="O578" s="53">
        <v>0</v>
      </c>
      <c r="P578" s="6">
        <v>14</v>
      </c>
      <c r="Q578" s="4" t="s">
        <v>26</v>
      </c>
      <c r="R578" s="4">
        <v>0</v>
      </c>
      <c r="S578" s="6">
        <v>20</v>
      </c>
      <c r="T578" s="6">
        <v>0</v>
      </c>
      <c r="U578" s="6">
        <v>0</v>
      </c>
      <c r="V578" s="53">
        <f>IF(ISERROR(VLOOKUP($S$578,'TAR FIN'!$A$1:$O$113,15,0)),0,VLOOKUP($S$578,'TAR FIN'!$A$1:$O$113,15,0))*(1-0.06)</f>
        <v>13.16</v>
      </c>
      <c r="W578" s="53">
        <f>IF(ISERROR(VLOOKUP($T$578,'TAR FIN'!$A$1:$O$113,15,0)),0,VLOOKUP($T$578,'TAR FIN'!$A$1:$O$113,15,0))</f>
        <v>0</v>
      </c>
      <c r="X578" s="53">
        <f>IF(ISERROR(VLOOKUP($U$578,'TAR FIN'!$A$1:$O$113,15,0)),0,VLOOKUP($U$578,'TAR FIN'!$A$1:$O$113,15,0))</f>
        <v>0</v>
      </c>
      <c r="Y578" s="53">
        <f ca="1">('TUSD BE'!$AM$19+'TUSD BF'!$AM$19+'TUSD CVA'!$AM$19)*1*(1-0.03)</f>
        <v>15.554875305631656</v>
      </c>
      <c r="Z578" s="53"/>
      <c r="AA578" s="53"/>
      <c r="AB578" s="6">
        <f>$K$578*$V$578</f>
        <v>27504.400000000001</v>
      </c>
      <c r="AC578" s="6">
        <f>$M$578*$W$578</f>
        <v>0</v>
      </c>
      <c r="AD578" s="6">
        <f>$O$578*$X$578</f>
        <v>0</v>
      </c>
      <c r="AE578" s="6">
        <f ca="1">$K$578*$Y$578</f>
        <v>32509.689388770163</v>
      </c>
      <c r="AF578" s="6">
        <f>$M$578*$Z$578</f>
        <v>0</v>
      </c>
      <c r="AG578" s="6">
        <f>$O$578*$AA$578</f>
        <v>0</v>
      </c>
    </row>
    <row r="579" spans="1:33" ht="11.25" customHeight="1" x14ac:dyDescent="0.3">
      <c r="A579" s="4" t="s">
        <v>21</v>
      </c>
      <c r="B579" s="4" t="s">
        <v>39</v>
      </c>
      <c r="C579" s="4" t="s">
        <v>41</v>
      </c>
      <c r="D579" s="4" t="s">
        <v>50</v>
      </c>
      <c r="E579" s="4" t="s">
        <v>51</v>
      </c>
      <c r="F579" s="4" t="s">
        <v>25</v>
      </c>
      <c r="G579" s="4" t="s">
        <v>25</v>
      </c>
      <c r="H579" s="4" t="s">
        <v>25</v>
      </c>
      <c r="I579" s="5">
        <v>44805</v>
      </c>
      <c r="J579" s="6">
        <v>2091</v>
      </c>
      <c r="K579" s="52">
        <v>2091</v>
      </c>
      <c r="L579" s="6">
        <v>0</v>
      </c>
      <c r="M579" s="53">
        <v>0</v>
      </c>
      <c r="N579" s="6">
        <v>0</v>
      </c>
      <c r="O579" s="53">
        <v>0</v>
      </c>
      <c r="P579" s="6">
        <v>14</v>
      </c>
      <c r="Q579" s="4" t="s">
        <v>26</v>
      </c>
      <c r="R579" s="4">
        <v>0</v>
      </c>
      <c r="S579" s="6">
        <v>20</v>
      </c>
      <c r="T579" s="6">
        <v>0</v>
      </c>
      <c r="U579" s="6">
        <v>0</v>
      </c>
      <c r="V579" s="53">
        <f>IF(ISERROR(VLOOKUP($S$579,'TAR FIN'!$A$1:$O$113,15,0)),0,VLOOKUP($S$579,'TAR FIN'!$A$1:$O$113,15,0))*(1-0.06)</f>
        <v>13.16</v>
      </c>
      <c r="W579" s="53">
        <f>IF(ISERROR(VLOOKUP($T$579,'TAR FIN'!$A$1:$O$113,15,0)),0,VLOOKUP($T$579,'TAR FIN'!$A$1:$O$113,15,0))</f>
        <v>0</v>
      </c>
      <c r="X579" s="53">
        <f>IF(ISERROR(VLOOKUP($U$579,'TAR FIN'!$A$1:$O$113,15,0)),0,VLOOKUP($U$579,'TAR FIN'!$A$1:$O$113,15,0))</f>
        <v>0</v>
      </c>
      <c r="Y579" s="53">
        <f ca="1">('TUSD BE'!$AM$19+'TUSD BF'!$AM$19+'TUSD CVA'!$AM$19)*1*(1-0.03)</f>
        <v>15.554875305631656</v>
      </c>
      <c r="Z579" s="53"/>
      <c r="AA579" s="53"/>
      <c r="AB579" s="6">
        <f>$K$579*$V$579</f>
        <v>27517.56</v>
      </c>
      <c r="AC579" s="6">
        <f>$M$579*$W$579</f>
        <v>0</v>
      </c>
      <c r="AD579" s="6">
        <f>$O$579*$X$579</f>
        <v>0</v>
      </c>
      <c r="AE579" s="6">
        <f ca="1">$K$579*$Y$579</f>
        <v>32525.244264075794</v>
      </c>
      <c r="AF579" s="6">
        <f>$M$579*$Z$579</f>
        <v>0</v>
      </c>
      <c r="AG579" s="6">
        <f>$O$579*$AA$579</f>
        <v>0</v>
      </c>
    </row>
    <row r="580" spans="1:33" ht="11.25" customHeight="1" x14ac:dyDescent="0.3">
      <c r="A580" s="4" t="s">
        <v>53</v>
      </c>
      <c r="B580" s="4" t="s">
        <v>39</v>
      </c>
      <c r="C580" s="4" t="s">
        <v>41</v>
      </c>
      <c r="D580" s="4" t="s">
        <v>50</v>
      </c>
      <c r="E580" s="4" t="s">
        <v>51</v>
      </c>
      <c r="F580" s="4" t="s">
        <v>25</v>
      </c>
      <c r="G580" s="4" t="s">
        <v>25</v>
      </c>
      <c r="H580" s="4" t="s">
        <v>25</v>
      </c>
      <c r="I580" s="5">
        <v>44835</v>
      </c>
      <c r="J580" s="6">
        <v>2091</v>
      </c>
      <c r="K580" s="52">
        <v>2091</v>
      </c>
      <c r="L580" s="6">
        <v>0</v>
      </c>
      <c r="M580" s="53">
        <v>0</v>
      </c>
      <c r="N580" s="6">
        <v>0</v>
      </c>
      <c r="O580" s="53">
        <v>0</v>
      </c>
      <c r="P580" s="6">
        <v>14</v>
      </c>
      <c r="Q580" s="4" t="s">
        <v>26</v>
      </c>
      <c r="R580" s="4">
        <v>0</v>
      </c>
      <c r="S580" s="6">
        <v>20</v>
      </c>
      <c r="T580" s="6">
        <v>0</v>
      </c>
      <c r="U580" s="6">
        <v>0</v>
      </c>
      <c r="V580" s="53">
        <f>IF(ISERROR(VLOOKUP($S$580,'TAR FIN'!$A$1:$O$113,15,0)),0,VLOOKUP($S$580,'TAR FIN'!$A$1:$O$113,15,0))*(1-0.06)</f>
        <v>13.16</v>
      </c>
      <c r="W580" s="53">
        <f>IF(ISERROR(VLOOKUP($T$580,'TAR FIN'!$A$1:$O$113,15,0)),0,VLOOKUP($T$580,'TAR FIN'!$A$1:$O$113,15,0))</f>
        <v>0</v>
      </c>
      <c r="X580" s="53">
        <f>IF(ISERROR(VLOOKUP($U$580,'TAR FIN'!$A$1:$O$113,15,0)),0,VLOOKUP($U$580,'TAR FIN'!$A$1:$O$113,15,0))</f>
        <v>0</v>
      </c>
      <c r="Y580" s="53">
        <f ca="1">('TUSD BE'!$AM$19+'TUSD BF'!$AM$19+'TUSD CVA'!$AM$19)*1*(1-0.03)</f>
        <v>15.554875305631656</v>
      </c>
      <c r="Z580" s="53"/>
      <c r="AA580" s="53"/>
      <c r="AB580" s="6">
        <f>$K$580*$V$580</f>
        <v>27517.56</v>
      </c>
      <c r="AC580" s="6">
        <f>$M$580*$W$580</f>
        <v>0</v>
      </c>
      <c r="AD580" s="6">
        <f>$O$580*$X$580</f>
        <v>0</v>
      </c>
      <c r="AE580" s="6">
        <f ca="1">$K$580*$Y$580</f>
        <v>32525.244264075794</v>
      </c>
      <c r="AF580" s="6">
        <f>$M$580*$Z$580</f>
        <v>0</v>
      </c>
      <c r="AG580" s="6">
        <f>$O$580*$AA$580</f>
        <v>0</v>
      </c>
    </row>
    <row r="581" spans="1:33" ht="11.25" customHeight="1" x14ac:dyDescent="0.3">
      <c r="A581" s="4" t="s">
        <v>21</v>
      </c>
      <c r="B581" s="4" t="s">
        <v>39</v>
      </c>
      <c r="C581" s="4" t="s">
        <v>41</v>
      </c>
      <c r="D581" s="4" t="s">
        <v>50</v>
      </c>
      <c r="E581" s="4" t="s">
        <v>51</v>
      </c>
      <c r="F581" s="4" t="s">
        <v>25</v>
      </c>
      <c r="G581" s="4" t="s">
        <v>25</v>
      </c>
      <c r="H581" s="4" t="s">
        <v>34</v>
      </c>
      <c r="I581" s="5">
        <v>44501</v>
      </c>
      <c r="J581" s="6">
        <v>0</v>
      </c>
      <c r="K581" s="53">
        <v>0</v>
      </c>
      <c r="L581" s="6">
        <v>49.845999999999997</v>
      </c>
      <c r="M581" s="53">
        <v>49.845999999999997</v>
      </c>
      <c r="N581" s="6">
        <v>49.845999999999997</v>
      </c>
      <c r="O581" s="53">
        <v>49.845999999999997</v>
      </c>
      <c r="P581" s="6">
        <v>0</v>
      </c>
      <c r="Q581" s="4" t="s">
        <v>26</v>
      </c>
      <c r="R581" s="4">
        <v>0</v>
      </c>
      <c r="S581" s="6">
        <v>0</v>
      </c>
      <c r="T581" s="6">
        <v>8</v>
      </c>
      <c r="U581" s="6">
        <v>38</v>
      </c>
      <c r="V581" s="53">
        <f>IF(ISERROR(VLOOKUP($S$581,'TAR FIN'!$A$1:$O$113,15,0)),0,VLOOKUP($S$581,'TAR FIN'!$A$1:$O$113,15,0))</f>
        <v>0</v>
      </c>
      <c r="W581" s="53">
        <f>IF(ISERROR(VLOOKUP($T$581,'TAR FIN'!$A$1:$O$113,15,0)),0,VLOOKUP($T$581,'TAR FIN'!$A$1:$O$113,15,0))*(1-0.06)</f>
        <v>884.00419999999986</v>
      </c>
      <c r="X581" s="53">
        <f>IF(ISERROR(VLOOKUP($U$581,'TAR FIN'!$A$1:$O$113,15,0)),0,VLOOKUP($U$581,'TAR FIN'!$A$1:$O$113,15,0))*(1-0.06)</f>
        <v>416.28839999999997</v>
      </c>
      <c r="Y581" s="53"/>
      <c r="Z581" s="53">
        <f ca="1">('TUSD BE'!$AM$20+'TUSD BF'!$AM$20+'TUSD CVA'!$AM$20)*1*(1-0.03)</f>
        <v>1084.2937021280925</v>
      </c>
      <c r="AA581" s="53">
        <f>('TE BE'!$AB$9+'TE BF'!$AB$9+'TE CVA'!$AB$9)*1*(1-0.03)</f>
        <v>471.84300153620904</v>
      </c>
      <c r="AB581" s="6">
        <f>$K$581*$V$581</f>
        <v>0</v>
      </c>
      <c r="AC581" s="6">
        <f>$M$581*$W$581</f>
        <v>44064.073353199987</v>
      </c>
      <c r="AD581" s="6">
        <f>$O$581*$X$581</f>
        <v>20750.311586399996</v>
      </c>
      <c r="AE581" s="6">
        <f>$K$581*$Y$581</f>
        <v>0</v>
      </c>
      <c r="AF581" s="6">
        <f ca="1">$M$581*$Z$581</f>
        <v>54047.703876276893</v>
      </c>
      <c r="AG581" s="6">
        <f>$O$581*$AA$581</f>
        <v>23519.486254573876</v>
      </c>
    </row>
    <row r="582" spans="1:33" ht="11.25" customHeight="1" x14ac:dyDescent="0.3">
      <c r="A582" s="4" t="s">
        <v>21</v>
      </c>
      <c r="B582" s="4" t="s">
        <v>39</v>
      </c>
      <c r="C582" s="4" t="s">
        <v>41</v>
      </c>
      <c r="D582" s="4" t="s">
        <v>50</v>
      </c>
      <c r="E582" s="4" t="s">
        <v>51</v>
      </c>
      <c r="F582" s="4" t="s">
        <v>25</v>
      </c>
      <c r="G582" s="4" t="s">
        <v>25</v>
      </c>
      <c r="H582" s="4" t="s">
        <v>34</v>
      </c>
      <c r="I582" s="5">
        <v>44531</v>
      </c>
      <c r="J582" s="6">
        <v>0</v>
      </c>
      <c r="K582" s="53">
        <v>0</v>
      </c>
      <c r="L582" s="6">
        <v>41.014000000000003</v>
      </c>
      <c r="M582" s="53">
        <v>41.014000000000003</v>
      </c>
      <c r="N582" s="6">
        <v>41.014000000000003</v>
      </c>
      <c r="O582" s="53">
        <v>41.014000000000003</v>
      </c>
      <c r="P582" s="6">
        <v>0</v>
      </c>
      <c r="Q582" s="4" t="s">
        <v>26</v>
      </c>
      <c r="R582" s="4">
        <v>0</v>
      </c>
      <c r="S582" s="6">
        <v>0</v>
      </c>
      <c r="T582" s="6">
        <v>8</v>
      </c>
      <c r="U582" s="6">
        <v>38</v>
      </c>
      <c r="V582" s="53">
        <f>IF(ISERROR(VLOOKUP($S$582,'TAR FIN'!$A$1:$O$113,15,0)),0,VLOOKUP($S$582,'TAR FIN'!$A$1:$O$113,15,0))</f>
        <v>0</v>
      </c>
      <c r="W582" s="53">
        <f>IF(ISERROR(VLOOKUP($T$582,'TAR FIN'!$A$1:$O$113,15,0)),0,VLOOKUP($T$582,'TAR FIN'!$A$1:$O$113,15,0))*(1-0.06)</f>
        <v>884.00419999999986</v>
      </c>
      <c r="X582" s="53">
        <f>IF(ISERROR(VLOOKUP($U$582,'TAR FIN'!$A$1:$O$113,15,0)),0,VLOOKUP($U$582,'TAR FIN'!$A$1:$O$113,15,0))*(1-0.06)</f>
        <v>416.28839999999997</v>
      </c>
      <c r="Y582" s="53"/>
      <c r="Z582" s="53">
        <f ca="1">('TUSD BE'!$AM$20+'TUSD BF'!$AM$20+'TUSD CVA'!$AM$20)*1*(1-0.03)</f>
        <v>1084.2937021280925</v>
      </c>
      <c r="AA582" s="53">
        <f>('TE BE'!$AB$9+'TE BF'!$AB$9+'TE CVA'!$AB$9)*1*(1-0.03)</f>
        <v>471.84300153620904</v>
      </c>
      <c r="AB582" s="6">
        <f>$K$582*$V$582</f>
        <v>0</v>
      </c>
      <c r="AC582" s="6">
        <f>$M$582*$W$582</f>
        <v>36256.548258799994</v>
      </c>
      <c r="AD582" s="6">
        <f>$O$582*$X$582</f>
        <v>17073.652437600002</v>
      </c>
      <c r="AE582" s="6">
        <f>$K$582*$Y$582</f>
        <v>0</v>
      </c>
      <c r="AF582" s="6">
        <f ca="1">$M$582*$Z$582</f>
        <v>44471.221899081589</v>
      </c>
      <c r="AG582" s="6">
        <f>$O$582*$AA$582</f>
        <v>19352.168865006079</v>
      </c>
    </row>
    <row r="583" spans="1:33" ht="11.25" customHeight="1" x14ac:dyDescent="0.3">
      <c r="A583" s="4" t="s">
        <v>21</v>
      </c>
      <c r="B583" s="4" t="s">
        <v>39</v>
      </c>
      <c r="C583" s="4" t="s">
        <v>41</v>
      </c>
      <c r="D583" s="4" t="s">
        <v>50</v>
      </c>
      <c r="E583" s="4" t="s">
        <v>51</v>
      </c>
      <c r="F583" s="4" t="s">
        <v>25</v>
      </c>
      <c r="G583" s="4" t="s">
        <v>25</v>
      </c>
      <c r="H583" s="4" t="s">
        <v>34</v>
      </c>
      <c r="I583" s="5">
        <v>44562</v>
      </c>
      <c r="J583" s="6">
        <v>0</v>
      </c>
      <c r="K583" s="53">
        <v>0</v>
      </c>
      <c r="L583" s="6">
        <v>50.685000000000002</v>
      </c>
      <c r="M583" s="53">
        <v>50.685000000000002</v>
      </c>
      <c r="N583" s="6">
        <v>50.685000000000002</v>
      </c>
      <c r="O583" s="53">
        <v>50.685000000000002</v>
      </c>
      <c r="P583" s="6">
        <v>0</v>
      </c>
      <c r="Q583" s="4" t="s">
        <v>26</v>
      </c>
      <c r="R583" s="4">
        <v>0</v>
      </c>
      <c r="S583" s="6">
        <v>0</v>
      </c>
      <c r="T583" s="6">
        <v>8</v>
      </c>
      <c r="U583" s="6">
        <v>38</v>
      </c>
      <c r="V583" s="53">
        <f>IF(ISERROR(VLOOKUP($S$583,'TAR FIN'!$A$1:$O$113,15,0)),0,VLOOKUP($S$583,'TAR FIN'!$A$1:$O$113,15,0))</f>
        <v>0</v>
      </c>
      <c r="W583" s="53">
        <f>IF(ISERROR(VLOOKUP($T$583,'TAR FIN'!$A$1:$O$113,15,0)),0,VLOOKUP($T$583,'TAR FIN'!$A$1:$O$113,15,0))*(1-0.06)</f>
        <v>884.00419999999986</v>
      </c>
      <c r="X583" s="53">
        <f>IF(ISERROR(VLOOKUP($U$583,'TAR FIN'!$A$1:$O$113,15,0)),0,VLOOKUP($U$583,'TAR FIN'!$A$1:$O$113,15,0))*(1-0.06)</f>
        <v>416.28839999999997</v>
      </c>
      <c r="Y583" s="53"/>
      <c r="Z583" s="53">
        <f ca="1">('TUSD BE'!$AM$20+'TUSD BF'!$AM$20+'TUSD CVA'!$AM$20)*1*(1-0.03)</f>
        <v>1084.2937021280925</v>
      </c>
      <c r="AA583" s="53">
        <f>('TE BE'!$AB$9+'TE BF'!$AB$9+'TE CVA'!$AB$9)*1*(1-0.03)</f>
        <v>471.84300153620904</v>
      </c>
      <c r="AB583" s="6">
        <f>$K$583*$V$583</f>
        <v>0</v>
      </c>
      <c r="AC583" s="6">
        <f>$M$583*$W$583</f>
        <v>44805.752876999992</v>
      </c>
      <c r="AD583" s="6">
        <f>$O$583*$X$583</f>
        <v>21099.577554</v>
      </c>
      <c r="AE583" s="6">
        <f>$K$583*$Y$583</f>
        <v>0</v>
      </c>
      <c r="AF583" s="6">
        <f ca="1">$M$583*$Z$583</f>
        <v>54957.426292362368</v>
      </c>
      <c r="AG583" s="6">
        <f>$O$583*$AA$583</f>
        <v>23915.362532862757</v>
      </c>
    </row>
    <row r="584" spans="1:33" ht="11.25" customHeight="1" x14ac:dyDescent="0.3">
      <c r="A584" s="4" t="s">
        <v>21</v>
      </c>
      <c r="B584" s="4" t="s">
        <v>39</v>
      </c>
      <c r="C584" s="4" t="s">
        <v>41</v>
      </c>
      <c r="D584" s="4" t="s">
        <v>50</v>
      </c>
      <c r="E584" s="4" t="s">
        <v>51</v>
      </c>
      <c r="F584" s="4" t="s">
        <v>25</v>
      </c>
      <c r="G584" s="4" t="s">
        <v>25</v>
      </c>
      <c r="H584" s="4" t="s">
        <v>34</v>
      </c>
      <c r="I584" s="5">
        <v>44593</v>
      </c>
      <c r="J584" s="6">
        <v>0</v>
      </c>
      <c r="K584" s="53">
        <v>0</v>
      </c>
      <c r="L584" s="6">
        <v>43.015000000000001</v>
      </c>
      <c r="M584" s="53">
        <v>43.015000000000001</v>
      </c>
      <c r="N584" s="6">
        <v>43.015000000000001</v>
      </c>
      <c r="O584" s="53">
        <v>43.015000000000001</v>
      </c>
      <c r="P584" s="6">
        <v>0</v>
      </c>
      <c r="Q584" s="4" t="s">
        <v>26</v>
      </c>
      <c r="R584" s="4">
        <v>0</v>
      </c>
      <c r="S584" s="6">
        <v>0</v>
      </c>
      <c r="T584" s="6">
        <v>8</v>
      </c>
      <c r="U584" s="6">
        <v>38</v>
      </c>
      <c r="V584" s="53">
        <f>IF(ISERROR(VLOOKUP($S$584,'TAR FIN'!$A$1:$O$113,15,0)),0,VLOOKUP($S$584,'TAR FIN'!$A$1:$O$113,15,0))</f>
        <v>0</v>
      </c>
      <c r="W584" s="53">
        <f>IF(ISERROR(VLOOKUP($T$584,'TAR FIN'!$A$1:$O$113,15,0)),0,VLOOKUP($T$584,'TAR FIN'!$A$1:$O$113,15,0))*(1-0.06)</f>
        <v>884.00419999999986</v>
      </c>
      <c r="X584" s="53">
        <f>IF(ISERROR(VLOOKUP($U$584,'TAR FIN'!$A$1:$O$113,15,0)),0,VLOOKUP($U$584,'TAR FIN'!$A$1:$O$113,15,0))*(1-0.06)</f>
        <v>416.28839999999997</v>
      </c>
      <c r="Y584" s="53"/>
      <c r="Z584" s="53">
        <f ca="1">('TUSD BE'!$AM$20+'TUSD BF'!$AM$20+'TUSD CVA'!$AM$20)*1*(1-0.03)</f>
        <v>1084.2937021280925</v>
      </c>
      <c r="AA584" s="53">
        <f>('TE BE'!$AB$9+'TE BF'!$AB$9+'TE CVA'!$AB$9)*1*(1-0.03)</f>
        <v>471.84300153620904</v>
      </c>
      <c r="AB584" s="6">
        <f>$K$584*$V$584</f>
        <v>0</v>
      </c>
      <c r="AC584" s="6">
        <f>$M$584*$W$584</f>
        <v>38025.440662999994</v>
      </c>
      <c r="AD584" s="6">
        <f>$O$584*$X$584</f>
        <v>17906.645526</v>
      </c>
      <c r="AE584" s="6">
        <f>$K$584*$Y$584</f>
        <v>0</v>
      </c>
      <c r="AF584" s="6">
        <f ca="1">$M$584*$Z$584</f>
        <v>46640.893597039896</v>
      </c>
      <c r="AG584" s="6">
        <f>$O$584*$AA$584</f>
        <v>20296.326711080033</v>
      </c>
    </row>
    <row r="585" spans="1:33" ht="11.25" customHeight="1" x14ac:dyDescent="0.3">
      <c r="A585" s="4" t="s">
        <v>21</v>
      </c>
      <c r="B585" s="4" t="s">
        <v>39</v>
      </c>
      <c r="C585" s="4" t="s">
        <v>41</v>
      </c>
      <c r="D585" s="4" t="s">
        <v>50</v>
      </c>
      <c r="E585" s="4" t="s">
        <v>51</v>
      </c>
      <c r="F585" s="4" t="s">
        <v>25</v>
      </c>
      <c r="G585" s="4" t="s">
        <v>25</v>
      </c>
      <c r="H585" s="4" t="s">
        <v>34</v>
      </c>
      <c r="I585" s="5">
        <v>44621</v>
      </c>
      <c r="J585" s="6">
        <v>0</v>
      </c>
      <c r="K585" s="53">
        <v>0</v>
      </c>
      <c r="L585" s="6">
        <v>38.561</v>
      </c>
      <c r="M585" s="53">
        <v>38.561</v>
      </c>
      <c r="N585" s="6">
        <v>38.561</v>
      </c>
      <c r="O585" s="53">
        <v>38.561</v>
      </c>
      <c r="P585" s="6">
        <v>0</v>
      </c>
      <c r="Q585" s="4" t="s">
        <v>26</v>
      </c>
      <c r="R585" s="4">
        <v>0</v>
      </c>
      <c r="S585" s="6">
        <v>0</v>
      </c>
      <c r="T585" s="6">
        <v>8</v>
      </c>
      <c r="U585" s="6">
        <v>38</v>
      </c>
      <c r="V585" s="53">
        <f>IF(ISERROR(VLOOKUP($S$585,'TAR FIN'!$A$1:$O$113,15,0)),0,VLOOKUP($S$585,'TAR FIN'!$A$1:$O$113,15,0))</f>
        <v>0</v>
      </c>
      <c r="W585" s="53">
        <f>IF(ISERROR(VLOOKUP($T$585,'TAR FIN'!$A$1:$O$113,15,0)),0,VLOOKUP($T$585,'TAR FIN'!$A$1:$O$113,15,0))*(1-0.06)</f>
        <v>884.00419999999986</v>
      </c>
      <c r="X585" s="53">
        <f>IF(ISERROR(VLOOKUP($U$585,'TAR FIN'!$A$1:$O$113,15,0)),0,VLOOKUP($U$585,'TAR FIN'!$A$1:$O$113,15,0))*(1-0.06)</f>
        <v>416.28839999999997</v>
      </c>
      <c r="Y585" s="53"/>
      <c r="Z585" s="53">
        <f ca="1">('TUSD BE'!$AM$20+'TUSD BF'!$AM$20+'TUSD CVA'!$AM$20)*1*(1-0.03)</f>
        <v>1084.2937021280925</v>
      </c>
      <c r="AA585" s="53">
        <f>('TE BE'!$AB$9+'TE BF'!$AB$9+'TE CVA'!$AB$9)*1*(1-0.03)</f>
        <v>471.84300153620904</v>
      </c>
      <c r="AB585" s="6">
        <f>$K$585*$V$585</f>
        <v>0</v>
      </c>
      <c r="AC585" s="6">
        <f>$M$585*$W$585</f>
        <v>34088.085956199997</v>
      </c>
      <c r="AD585" s="6">
        <f>$O$585*$X$585</f>
        <v>16052.496992399998</v>
      </c>
      <c r="AE585" s="6">
        <f>$K$585*$Y$585</f>
        <v>0</v>
      </c>
      <c r="AF585" s="6">
        <f ca="1">$M$585*$Z$585</f>
        <v>41811.449447761377</v>
      </c>
      <c r="AG585" s="6">
        <f>$O$585*$AA$585</f>
        <v>18194.737982237755</v>
      </c>
    </row>
    <row r="586" spans="1:33" ht="11.25" customHeight="1" x14ac:dyDescent="0.3">
      <c r="A586" s="4" t="s">
        <v>21</v>
      </c>
      <c r="B586" s="4" t="s">
        <v>39</v>
      </c>
      <c r="C586" s="4" t="s">
        <v>41</v>
      </c>
      <c r="D586" s="4" t="s">
        <v>50</v>
      </c>
      <c r="E586" s="4" t="s">
        <v>51</v>
      </c>
      <c r="F586" s="4" t="s">
        <v>25</v>
      </c>
      <c r="G586" s="4" t="s">
        <v>25</v>
      </c>
      <c r="H586" s="4" t="s">
        <v>34</v>
      </c>
      <c r="I586" s="5">
        <v>44652</v>
      </c>
      <c r="J586" s="6">
        <v>0</v>
      </c>
      <c r="K586" s="53">
        <v>0</v>
      </c>
      <c r="L586" s="6">
        <v>44.167000000000002</v>
      </c>
      <c r="M586" s="53">
        <v>44.167000000000002</v>
      </c>
      <c r="N586" s="6">
        <v>44.167000000000002</v>
      </c>
      <c r="O586" s="53">
        <v>44.167000000000002</v>
      </c>
      <c r="P586" s="6">
        <v>0</v>
      </c>
      <c r="Q586" s="4" t="s">
        <v>26</v>
      </c>
      <c r="R586" s="4">
        <v>0</v>
      </c>
      <c r="S586" s="6">
        <v>0</v>
      </c>
      <c r="T586" s="6">
        <v>8</v>
      </c>
      <c r="U586" s="6">
        <v>38</v>
      </c>
      <c r="V586" s="53">
        <f>IF(ISERROR(VLOOKUP($S$586,'TAR FIN'!$A$1:$O$113,15,0)),0,VLOOKUP($S$586,'TAR FIN'!$A$1:$O$113,15,0))</f>
        <v>0</v>
      </c>
      <c r="W586" s="53">
        <f>IF(ISERROR(VLOOKUP($T$586,'TAR FIN'!$A$1:$O$113,15,0)),0,VLOOKUP($T$586,'TAR FIN'!$A$1:$O$113,15,0))*(1-0.06)</f>
        <v>884.00419999999986</v>
      </c>
      <c r="X586" s="53">
        <f>IF(ISERROR(VLOOKUP($U$586,'TAR FIN'!$A$1:$O$113,15,0)),0,VLOOKUP($U$586,'TAR FIN'!$A$1:$O$113,15,0))*(1-0.06)</f>
        <v>416.28839999999997</v>
      </c>
      <c r="Y586" s="53"/>
      <c r="Z586" s="53">
        <f ca="1">('TUSD BE'!$AM$20+'TUSD BF'!$AM$20+'TUSD CVA'!$AM$20)*1*(1-0.03)</f>
        <v>1084.2937021280925</v>
      </c>
      <c r="AA586" s="53">
        <f>('TE BE'!$AB$9+'TE BF'!$AB$9+'TE CVA'!$AB$9)*1*(1-0.03)</f>
        <v>471.84300153620904</v>
      </c>
      <c r="AB586" s="6">
        <f>$K$586*$V$586</f>
        <v>0</v>
      </c>
      <c r="AC586" s="6">
        <f>$M$586*$W$586</f>
        <v>39043.813501399993</v>
      </c>
      <c r="AD586" s="6">
        <f>$O$586*$X$586</f>
        <v>18386.209762799997</v>
      </c>
      <c r="AE586" s="6">
        <f>$K$586*$Y$586</f>
        <v>0</v>
      </c>
      <c r="AF586" s="6">
        <f ca="1">$M$586*$Z$586</f>
        <v>47889.999941891459</v>
      </c>
      <c r="AG586" s="6">
        <f>$O$586*$AA$586</f>
        <v>20839.889848849747</v>
      </c>
    </row>
    <row r="587" spans="1:33" ht="11.25" customHeight="1" x14ac:dyDescent="0.3">
      <c r="A587" s="4" t="s">
        <v>21</v>
      </c>
      <c r="B587" s="4" t="s">
        <v>39</v>
      </c>
      <c r="C587" s="4" t="s">
        <v>41</v>
      </c>
      <c r="D587" s="4" t="s">
        <v>50</v>
      </c>
      <c r="E587" s="4" t="s">
        <v>51</v>
      </c>
      <c r="F587" s="4" t="s">
        <v>25</v>
      </c>
      <c r="G587" s="4" t="s">
        <v>25</v>
      </c>
      <c r="H587" s="4" t="s">
        <v>34</v>
      </c>
      <c r="I587" s="5">
        <v>44682</v>
      </c>
      <c r="J587" s="6">
        <v>0</v>
      </c>
      <c r="K587" s="53">
        <v>0</v>
      </c>
      <c r="L587" s="6">
        <v>38.438000000000002</v>
      </c>
      <c r="M587" s="53">
        <v>38.438000000000002</v>
      </c>
      <c r="N587" s="6">
        <v>38.438000000000002</v>
      </c>
      <c r="O587" s="53">
        <v>38.438000000000002</v>
      </c>
      <c r="P587" s="6">
        <v>0</v>
      </c>
      <c r="Q587" s="4" t="s">
        <v>26</v>
      </c>
      <c r="R587" s="4">
        <v>0</v>
      </c>
      <c r="S587" s="6">
        <v>0</v>
      </c>
      <c r="T587" s="6">
        <v>8</v>
      </c>
      <c r="U587" s="6">
        <v>38</v>
      </c>
      <c r="V587" s="53">
        <f>IF(ISERROR(VLOOKUP($S$587,'TAR FIN'!$A$1:$O$113,15,0)),0,VLOOKUP($S$587,'TAR FIN'!$A$1:$O$113,15,0))</f>
        <v>0</v>
      </c>
      <c r="W587" s="53">
        <f>IF(ISERROR(VLOOKUP($T$587,'TAR FIN'!$A$1:$O$113,15,0)),0,VLOOKUP($T$587,'TAR FIN'!$A$1:$O$113,15,0))*(1-0.06)</f>
        <v>884.00419999999986</v>
      </c>
      <c r="X587" s="53">
        <f>IF(ISERROR(VLOOKUP($U$587,'TAR FIN'!$A$1:$O$113,15,0)),0,VLOOKUP($U$587,'TAR FIN'!$A$1:$O$113,15,0))*(1-0.06)</f>
        <v>416.28839999999997</v>
      </c>
      <c r="Y587" s="53"/>
      <c r="Z587" s="53">
        <f ca="1">('TUSD BE'!$AM$20+'TUSD BF'!$AM$20+'TUSD CVA'!$AM$20)*1*(1-0.03)</f>
        <v>1084.2937021280925</v>
      </c>
      <c r="AA587" s="53">
        <f>('TE BE'!$AB$9+'TE BF'!$AB$9+'TE CVA'!$AB$9)*1*(1-0.03)</f>
        <v>471.84300153620904</v>
      </c>
      <c r="AB587" s="6">
        <f>$K$587*$V$587</f>
        <v>0</v>
      </c>
      <c r="AC587" s="6">
        <f>$M$587*$W$587</f>
        <v>33979.353439599996</v>
      </c>
      <c r="AD587" s="6">
        <f>$O$587*$X$587</f>
        <v>16001.2935192</v>
      </c>
      <c r="AE587" s="6">
        <f>$K$587*$Y$587</f>
        <v>0</v>
      </c>
      <c r="AF587" s="6">
        <f ca="1">$M$587*$Z$587</f>
        <v>41678.081322399623</v>
      </c>
      <c r="AG587" s="6">
        <f>$O$587*$AA$587</f>
        <v>18136.701293048805</v>
      </c>
    </row>
    <row r="588" spans="1:33" ht="11.25" customHeight="1" x14ac:dyDescent="0.3">
      <c r="A588" s="4" t="s">
        <v>21</v>
      </c>
      <c r="B588" s="4" t="s">
        <v>39</v>
      </c>
      <c r="C588" s="4" t="s">
        <v>41</v>
      </c>
      <c r="D588" s="4" t="s">
        <v>50</v>
      </c>
      <c r="E588" s="4" t="s">
        <v>51</v>
      </c>
      <c r="F588" s="4" t="s">
        <v>25</v>
      </c>
      <c r="G588" s="4" t="s">
        <v>25</v>
      </c>
      <c r="H588" s="4" t="s">
        <v>34</v>
      </c>
      <c r="I588" s="5">
        <v>44713</v>
      </c>
      <c r="J588" s="6">
        <v>0</v>
      </c>
      <c r="K588" s="53">
        <v>0</v>
      </c>
      <c r="L588" s="6">
        <v>42.649000000000001</v>
      </c>
      <c r="M588" s="53">
        <v>42.649000000000001</v>
      </c>
      <c r="N588" s="6">
        <v>42.649000000000001</v>
      </c>
      <c r="O588" s="53">
        <v>42.649000000000001</v>
      </c>
      <c r="P588" s="6">
        <v>0</v>
      </c>
      <c r="Q588" s="4" t="s">
        <v>26</v>
      </c>
      <c r="R588" s="4">
        <v>0</v>
      </c>
      <c r="S588" s="6">
        <v>0</v>
      </c>
      <c r="T588" s="6">
        <v>8</v>
      </c>
      <c r="U588" s="6">
        <v>38</v>
      </c>
      <c r="V588" s="53">
        <f>IF(ISERROR(VLOOKUP($S$588,'TAR FIN'!$A$1:$O$113,15,0)),0,VLOOKUP($S$588,'TAR FIN'!$A$1:$O$113,15,0))</f>
        <v>0</v>
      </c>
      <c r="W588" s="53">
        <f>IF(ISERROR(VLOOKUP($T$588,'TAR FIN'!$A$1:$O$113,15,0)),0,VLOOKUP($T$588,'TAR FIN'!$A$1:$O$113,15,0))*(1-0.06)</f>
        <v>884.00419999999986</v>
      </c>
      <c r="X588" s="53">
        <f>IF(ISERROR(VLOOKUP($U$588,'TAR FIN'!$A$1:$O$113,15,0)),0,VLOOKUP($U$588,'TAR FIN'!$A$1:$O$113,15,0))*(1-0.06)</f>
        <v>416.28839999999997</v>
      </c>
      <c r="Y588" s="53"/>
      <c r="Z588" s="53">
        <f ca="1">('TUSD BE'!$AM$20+'TUSD BF'!$AM$20+'TUSD CVA'!$AM$20)*1*(1-0.03)</f>
        <v>1084.2937021280925</v>
      </c>
      <c r="AA588" s="53">
        <f>('TE BE'!$AB$9+'TE BF'!$AB$9+'TE CVA'!$AB$9)*1*(1-0.03)</f>
        <v>471.84300153620904</v>
      </c>
      <c r="AB588" s="6">
        <f>$K$588*$V$588</f>
        <v>0</v>
      </c>
      <c r="AC588" s="6">
        <f>$M$588*$W$588</f>
        <v>37701.895125799994</v>
      </c>
      <c r="AD588" s="6">
        <f>$O$588*$X$588</f>
        <v>17754.283971599998</v>
      </c>
      <c r="AE588" s="6">
        <f>$K$588*$Y$588</f>
        <v>0</v>
      </c>
      <c r="AF588" s="6">
        <f ca="1">$M$588*$Z$588</f>
        <v>46244.042102061016</v>
      </c>
      <c r="AG588" s="6">
        <f>$O$588*$AA$588</f>
        <v>20123.63217251778</v>
      </c>
    </row>
    <row r="589" spans="1:33" ht="11.25" customHeight="1" x14ac:dyDescent="0.3">
      <c r="A589" s="4" t="s">
        <v>21</v>
      </c>
      <c r="B589" s="4" t="s">
        <v>39</v>
      </c>
      <c r="C589" s="4" t="s">
        <v>41</v>
      </c>
      <c r="D589" s="4" t="s">
        <v>50</v>
      </c>
      <c r="E589" s="4" t="s">
        <v>51</v>
      </c>
      <c r="F589" s="4" t="s">
        <v>25</v>
      </c>
      <c r="G589" s="4" t="s">
        <v>25</v>
      </c>
      <c r="H589" s="4" t="s">
        <v>34</v>
      </c>
      <c r="I589" s="5">
        <v>44743</v>
      </c>
      <c r="J589" s="6">
        <v>0</v>
      </c>
      <c r="K589" s="53">
        <v>0</v>
      </c>
      <c r="L589" s="6">
        <v>38.14</v>
      </c>
      <c r="M589" s="53">
        <v>38.14</v>
      </c>
      <c r="N589" s="6">
        <v>38.14</v>
      </c>
      <c r="O589" s="53">
        <v>38.14</v>
      </c>
      <c r="P589" s="6">
        <v>0</v>
      </c>
      <c r="Q589" s="4" t="s">
        <v>26</v>
      </c>
      <c r="R589" s="4">
        <v>0</v>
      </c>
      <c r="S589" s="6">
        <v>0</v>
      </c>
      <c r="T589" s="6">
        <v>8</v>
      </c>
      <c r="U589" s="6">
        <v>38</v>
      </c>
      <c r="V589" s="53">
        <f>IF(ISERROR(VLOOKUP($S$589,'TAR FIN'!$A$1:$O$113,15,0)),0,VLOOKUP($S$589,'TAR FIN'!$A$1:$O$113,15,0))</f>
        <v>0</v>
      </c>
      <c r="W589" s="53">
        <f>IF(ISERROR(VLOOKUP($T$589,'TAR FIN'!$A$1:$O$113,15,0)),0,VLOOKUP($T$589,'TAR FIN'!$A$1:$O$113,15,0))*(1-0.06)</f>
        <v>884.00419999999986</v>
      </c>
      <c r="X589" s="53">
        <f>IF(ISERROR(VLOOKUP($U$589,'TAR FIN'!$A$1:$O$113,15,0)),0,VLOOKUP($U$589,'TAR FIN'!$A$1:$O$113,15,0))*(1-0.06)</f>
        <v>416.28839999999997</v>
      </c>
      <c r="Y589" s="53"/>
      <c r="Z589" s="53">
        <f ca="1">('TUSD BE'!$AM$20+'TUSD BF'!$AM$20+'TUSD CVA'!$AM$20)*1*(1-0.03)</f>
        <v>1084.2937021280925</v>
      </c>
      <c r="AA589" s="53">
        <f>('TE BE'!$AB$9+'TE BF'!$AB$9+'TE CVA'!$AB$9)*1*(1-0.03)</f>
        <v>471.84300153620904</v>
      </c>
      <c r="AB589" s="6">
        <f>$K$589*$V$589</f>
        <v>0</v>
      </c>
      <c r="AC589" s="6">
        <f>$M$589*$W$589</f>
        <v>33715.920187999996</v>
      </c>
      <c r="AD589" s="6">
        <f>$O$589*$X$589</f>
        <v>15877.239575999998</v>
      </c>
      <c r="AE589" s="6">
        <f>$K$589*$Y$589</f>
        <v>0</v>
      </c>
      <c r="AF589" s="6">
        <f ca="1">$M$589*$Z$589</f>
        <v>41354.961799165445</v>
      </c>
      <c r="AG589" s="6">
        <f>$O$589*$AA$589</f>
        <v>17996.092078591013</v>
      </c>
    </row>
    <row r="590" spans="1:33" ht="11.25" customHeight="1" x14ac:dyDescent="0.3">
      <c r="A590" s="4" t="s">
        <v>21</v>
      </c>
      <c r="B590" s="4" t="s">
        <v>39</v>
      </c>
      <c r="C590" s="4" t="s">
        <v>41</v>
      </c>
      <c r="D590" s="4" t="s">
        <v>50</v>
      </c>
      <c r="E590" s="4" t="s">
        <v>51</v>
      </c>
      <c r="F590" s="4" t="s">
        <v>25</v>
      </c>
      <c r="G590" s="4" t="s">
        <v>25</v>
      </c>
      <c r="H590" s="4" t="s">
        <v>34</v>
      </c>
      <c r="I590" s="5">
        <v>44774</v>
      </c>
      <c r="J590" s="6">
        <v>0</v>
      </c>
      <c r="K590" s="53">
        <v>0</v>
      </c>
      <c r="L590" s="6">
        <v>42.067</v>
      </c>
      <c r="M590" s="53">
        <v>42.067</v>
      </c>
      <c r="N590" s="6">
        <v>42.067</v>
      </c>
      <c r="O590" s="53">
        <v>42.067</v>
      </c>
      <c r="P590" s="6">
        <v>0</v>
      </c>
      <c r="Q590" s="4" t="s">
        <v>26</v>
      </c>
      <c r="R590" s="4">
        <v>0</v>
      </c>
      <c r="S590" s="6">
        <v>0</v>
      </c>
      <c r="T590" s="6">
        <v>8</v>
      </c>
      <c r="U590" s="6">
        <v>38</v>
      </c>
      <c r="V590" s="53">
        <f>IF(ISERROR(VLOOKUP($S$590,'TAR FIN'!$A$1:$O$113,15,0)),0,VLOOKUP($S$590,'TAR FIN'!$A$1:$O$113,15,0))</f>
        <v>0</v>
      </c>
      <c r="W590" s="53">
        <f>IF(ISERROR(VLOOKUP($T$590,'TAR FIN'!$A$1:$O$113,15,0)),0,VLOOKUP($T$590,'TAR FIN'!$A$1:$O$113,15,0))*(1-0.06)</f>
        <v>884.00419999999986</v>
      </c>
      <c r="X590" s="53">
        <f>IF(ISERROR(VLOOKUP($U$590,'TAR FIN'!$A$1:$O$113,15,0)),0,VLOOKUP($U$590,'TAR FIN'!$A$1:$O$113,15,0))*(1-0.06)</f>
        <v>416.28839999999997</v>
      </c>
      <c r="Y590" s="53"/>
      <c r="Z590" s="53">
        <f ca="1">('TUSD BE'!$AM$20+'TUSD BF'!$AM$20+'TUSD CVA'!$AM$20)*1*(1-0.03)</f>
        <v>1084.2937021280925</v>
      </c>
      <c r="AA590" s="53">
        <f>('TE BE'!$AB$9+'TE BF'!$AB$9+'TE CVA'!$AB$9)*1*(1-0.03)</f>
        <v>471.84300153620904</v>
      </c>
      <c r="AB590" s="6">
        <f>$K$590*$V$590</f>
        <v>0</v>
      </c>
      <c r="AC590" s="6">
        <f>$M$590*$W$590</f>
        <v>37187.404681399996</v>
      </c>
      <c r="AD590" s="6">
        <f>$O$590*$X$590</f>
        <v>17512.004122799997</v>
      </c>
      <c r="AE590" s="6">
        <f>$K$590*$Y$590</f>
        <v>0</v>
      </c>
      <c r="AF590" s="6">
        <f ca="1">$M$590*$Z$590</f>
        <v>45612.98316742247</v>
      </c>
      <c r="AG590" s="6">
        <f>$O$590*$AA$590</f>
        <v>19849.019545623705</v>
      </c>
    </row>
    <row r="591" spans="1:33" ht="11.25" customHeight="1" x14ac:dyDescent="0.3">
      <c r="A591" s="4" t="s">
        <v>21</v>
      </c>
      <c r="B591" s="4" t="s">
        <v>39</v>
      </c>
      <c r="C591" s="4" t="s">
        <v>41</v>
      </c>
      <c r="D591" s="4" t="s">
        <v>50</v>
      </c>
      <c r="E591" s="4" t="s">
        <v>51</v>
      </c>
      <c r="F591" s="4" t="s">
        <v>25</v>
      </c>
      <c r="G591" s="4" t="s">
        <v>25</v>
      </c>
      <c r="H591" s="4" t="s">
        <v>34</v>
      </c>
      <c r="I591" s="5">
        <v>44805</v>
      </c>
      <c r="J591" s="6">
        <v>0</v>
      </c>
      <c r="K591" s="53">
        <v>0</v>
      </c>
      <c r="L591" s="6">
        <v>40.218000000000004</v>
      </c>
      <c r="M591" s="53">
        <v>40.218000000000004</v>
      </c>
      <c r="N591" s="6">
        <v>40.218000000000004</v>
      </c>
      <c r="O591" s="53">
        <v>40.218000000000004</v>
      </c>
      <c r="P591" s="6">
        <v>0</v>
      </c>
      <c r="Q591" s="4" t="s">
        <v>26</v>
      </c>
      <c r="R591" s="4">
        <v>0</v>
      </c>
      <c r="S591" s="6">
        <v>0</v>
      </c>
      <c r="T591" s="6">
        <v>8</v>
      </c>
      <c r="U591" s="6">
        <v>38</v>
      </c>
      <c r="V591" s="53">
        <f>IF(ISERROR(VLOOKUP($S$591,'TAR FIN'!$A$1:$O$113,15,0)),0,VLOOKUP($S$591,'TAR FIN'!$A$1:$O$113,15,0))</f>
        <v>0</v>
      </c>
      <c r="W591" s="53">
        <f>IF(ISERROR(VLOOKUP($T$591,'TAR FIN'!$A$1:$O$113,15,0)),0,VLOOKUP($T$591,'TAR FIN'!$A$1:$O$113,15,0))*(1-0.06)</f>
        <v>884.00419999999986</v>
      </c>
      <c r="X591" s="53">
        <f>IF(ISERROR(VLOOKUP($U$591,'TAR FIN'!$A$1:$O$113,15,0)),0,VLOOKUP($U$591,'TAR FIN'!$A$1:$O$113,15,0))*(1-0.06)</f>
        <v>416.28839999999997</v>
      </c>
      <c r="Y591" s="53"/>
      <c r="Z591" s="53">
        <f ca="1">('TUSD BE'!$AM$20+'TUSD BF'!$AM$20+'TUSD CVA'!$AM$20)*1*(1-0.03)</f>
        <v>1084.2937021280925</v>
      </c>
      <c r="AA591" s="53">
        <f>('TE BE'!$AB$9+'TE BF'!$AB$9+'TE CVA'!$AB$9)*1*(1-0.03)</f>
        <v>471.84300153620904</v>
      </c>
      <c r="AB591" s="6">
        <f>$K$591*$V$591</f>
        <v>0</v>
      </c>
      <c r="AC591" s="6">
        <f>$M$591*$W$591</f>
        <v>35552.880915599999</v>
      </c>
      <c r="AD591" s="6">
        <f>$O$591*$X$591</f>
        <v>16742.286871200002</v>
      </c>
      <c r="AE591" s="6">
        <f>$K$591*$Y$591</f>
        <v>0</v>
      </c>
      <c r="AF591" s="6">
        <f ca="1">$M$591*$Z$591</f>
        <v>43608.12411218763</v>
      </c>
      <c r="AG591" s="6">
        <f>$O$591*$AA$591</f>
        <v>18976.581835783258</v>
      </c>
    </row>
    <row r="592" spans="1:33" ht="11.25" customHeight="1" x14ac:dyDescent="0.3">
      <c r="A592" s="4" t="s">
        <v>53</v>
      </c>
      <c r="B592" s="4" t="s">
        <v>39</v>
      </c>
      <c r="C592" s="4" t="s">
        <v>41</v>
      </c>
      <c r="D592" s="4" t="s">
        <v>50</v>
      </c>
      <c r="E592" s="4" t="s">
        <v>51</v>
      </c>
      <c r="F592" s="4" t="s">
        <v>25</v>
      </c>
      <c r="G592" s="4" t="s">
        <v>25</v>
      </c>
      <c r="H592" s="4" t="s">
        <v>34</v>
      </c>
      <c r="I592" s="5">
        <v>44835</v>
      </c>
      <c r="J592" s="6">
        <v>0</v>
      </c>
      <c r="K592" s="53">
        <v>0</v>
      </c>
      <c r="L592" s="6">
        <v>40.218000000000004</v>
      </c>
      <c r="M592" s="53">
        <v>40.218000000000004</v>
      </c>
      <c r="N592" s="6">
        <v>40.218000000000004</v>
      </c>
      <c r="O592" s="53">
        <v>40.218000000000004</v>
      </c>
      <c r="P592" s="6">
        <v>0</v>
      </c>
      <c r="Q592" s="4" t="s">
        <v>26</v>
      </c>
      <c r="R592" s="4">
        <v>0</v>
      </c>
      <c r="S592" s="6">
        <v>0</v>
      </c>
      <c r="T592" s="6">
        <v>8</v>
      </c>
      <c r="U592" s="6">
        <v>38</v>
      </c>
      <c r="V592" s="53">
        <f>IF(ISERROR(VLOOKUP($S$592,'TAR FIN'!$A$1:$O$113,15,0)),0,VLOOKUP($S$592,'TAR FIN'!$A$1:$O$113,15,0))</f>
        <v>0</v>
      </c>
      <c r="W592" s="53">
        <f>IF(ISERROR(VLOOKUP($T$592,'TAR FIN'!$A$1:$O$113,15,0)),0,VLOOKUP($T$592,'TAR FIN'!$A$1:$O$113,15,0))*(1-0.06)</f>
        <v>884.00419999999986</v>
      </c>
      <c r="X592" s="53">
        <f>IF(ISERROR(VLOOKUP($U$592,'TAR FIN'!$A$1:$O$113,15,0)),0,VLOOKUP($U$592,'TAR FIN'!$A$1:$O$113,15,0))*(1-0.06)</f>
        <v>416.28839999999997</v>
      </c>
      <c r="Y592" s="53"/>
      <c r="Z592" s="53">
        <f ca="1">('TUSD BE'!$AM$20+'TUSD BF'!$AM$20+'TUSD CVA'!$AM$20)*1*(1-0.03)</f>
        <v>1084.2937021280925</v>
      </c>
      <c r="AA592" s="53">
        <f>('TE BE'!$AB$9+'TE BF'!$AB$9+'TE CVA'!$AB$9)*1*(1-0.03)</f>
        <v>471.84300153620904</v>
      </c>
      <c r="AB592" s="6">
        <f>$K$592*$V$592</f>
        <v>0</v>
      </c>
      <c r="AC592" s="6">
        <f>$M$592*$W$592</f>
        <v>35552.880915599999</v>
      </c>
      <c r="AD592" s="6">
        <f>$O$592*$X$592</f>
        <v>16742.286871200002</v>
      </c>
      <c r="AE592" s="6">
        <f>$K$592*$Y$592</f>
        <v>0</v>
      </c>
      <c r="AF592" s="6">
        <f ca="1">$M$592*$Z$592</f>
        <v>43608.12411218763</v>
      </c>
      <c r="AG592" s="6">
        <f>$O$592*$AA$592</f>
        <v>18976.581835783258</v>
      </c>
    </row>
    <row r="593" spans="1:33" ht="11.25" customHeight="1" x14ac:dyDescent="0.3">
      <c r="A593" s="4" t="s">
        <v>21</v>
      </c>
      <c r="B593" s="4" t="s">
        <v>43</v>
      </c>
      <c r="C593" s="4" t="s">
        <v>41</v>
      </c>
      <c r="D593" s="4" t="s">
        <v>42</v>
      </c>
      <c r="E593" s="4" t="s">
        <v>25</v>
      </c>
      <c r="F593" s="4" t="s">
        <v>25</v>
      </c>
      <c r="G593" s="4" t="s">
        <v>25</v>
      </c>
      <c r="H593" s="4" t="s">
        <v>35</v>
      </c>
      <c r="I593" s="5">
        <v>44501</v>
      </c>
      <c r="J593" s="6">
        <v>0</v>
      </c>
      <c r="K593" s="6">
        <v>0</v>
      </c>
      <c r="L593" s="6">
        <v>48.823999999999998</v>
      </c>
      <c r="M593" s="6">
        <v>48.823999999999998</v>
      </c>
      <c r="N593" s="6">
        <v>48.823999999999998</v>
      </c>
      <c r="O593" s="6">
        <v>48.823999999999998</v>
      </c>
      <c r="P593" s="6">
        <v>0</v>
      </c>
      <c r="Q593" s="4" t="s">
        <v>26</v>
      </c>
      <c r="R593" s="4">
        <v>0</v>
      </c>
      <c r="S593" s="6">
        <v>0</v>
      </c>
      <c r="T593" s="6">
        <v>45</v>
      </c>
      <c r="U593" s="6">
        <v>70</v>
      </c>
      <c r="V593" s="6">
        <f>IF(ISERROR(VLOOKUP($S$593,'TAR FIN'!$A$1:$O$113,15,0)),0,VLOOKUP($S$593,'TAR FIN'!$A$1:$O$113,15,0))</f>
        <v>0</v>
      </c>
      <c r="W593" s="6">
        <f>IF(ISERROR(VLOOKUP($T$593,'TAR FIN'!$A$1:$O$113,15,0)),0,VLOOKUP($T$593,'TAR FIN'!$A$1:$O$113,15,0))</f>
        <v>105.73</v>
      </c>
      <c r="X593" s="6">
        <f>IF(ISERROR(VLOOKUP($U$593,'TAR FIN'!$A$1:$O$113,15,0)),0,VLOOKUP($U$593,'TAR FIN'!$A$1:$O$113,15,0))</f>
        <v>278.67</v>
      </c>
      <c r="Y593" s="6"/>
      <c r="Z593" s="6">
        <f ca="1">('TUSD BE'!$AM$30+'TUSD BF'!$AM$30+'TUSD CVA'!$AM$30)*1</f>
        <v>170.19945224700672</v>
      </c>
      <c r="AA593" s="6">
        <f>('TE BE'!$AB$13+'TE BF'!$AB$13+'TE CVA'!$AB$13)*1</f>
        <v>299.18055042718134</v>
      </c>
      <c r="AB593" s="6">
        <f>$K$593*$V$593</f>
        <v>0</v>
      </c>
      <c r="AC593" s="6">
        <f>$M$593*$W$593</f>
        <v>5162.1615199999997</v>
      </c>
      <c r="AD593" s="6">
        <f>$O$593*$X$593</f>
        <v>13605.784079999999</v>
      </c>
      <c r="AE593" s="6">
        <f>$K$593*$Y$593</f>
        <v>0</v>
      </c>
      <c r="AF593" s="6">
        <f ca="1">$M$593*$Z$593</f>
        <v>8309.8180565078565</v>
      </c>
      <c r="AG593" s="6">
        <f>$O$593*$AA$593</f>
        <v>14607.191194056701</v>
      </c>
    </row>
    <row r="594" spans="1:33" ht="11.25" customHeight="1" x14ac:dyDescent="0.3">
      <c r="A594" s="4" t="s">
        <v>21</v>
      </c>
      <c r="B594" s="4" t="s">
        <v>43</v>
      </c>
      <c r="C594" s="4" t="s">
        <v>41</v>
      </c>
      <c r="D594" s="4" t="s">
        <v>42</v>
      </c>
      <c r="E594" s="4" t="s">
        <v>25</v>
      </c>
      <c r="F594" s="4" t="s">
        <v>25</v>
      </c>
      <c r="G594" s="4" t="s">
        <v>25</v>
      </c>
      <c r="H594" s="4" t="s">
        <v>35</v>
      </c>
      <c r="I594" s="5">
        <v>44531</v>
      </c>
      <c r="J594" s="6">
        <v>0</v>
      </c>
      <c r="K594" s="6">
        <v>0</v>
      </c>
      <c r="L594" s="6">
        <v>21.030999999999999</v>
      </c>
      <c r="M594" s="6">
        <v>21.030999999999999</v>
      </c>
      <c r="N594" s="6">
        <v>21.030999999999999</v>
      </c>
      <c r="O594" s="6">
        <v>21.030999999999999</v>
      </c>
      <c r="P594" s="6">
        <v>0</v>
      </c>
      <c r="Q594" s="4" t="s">
        <v>26</v>
      </c>
      <c r="R594" s="4">
        <v>0</v>
      </c>
      <c r="S594" s="6">
        <v>0</v>
      </c>
      <c r="T594" s="6">
        <v>45</v>
      </c>
      <c r="U594" s="6">
        <v>70</v>
      </c>
      <c r="V594" s="6">
        <f>IF(ISERROR(VLOOKUP($S$594,'TAR FIN'!$A$1:$O$113,15,0)),0,VLOOKUP($S$594,'TAR FIN'!$A$1:$O$113,15,0))</f>
        <v>0</v>
      </c>
      <c r="W594" s="6">
        <f>IF(ISERROR(VLOOKUP($T$594,'TAR FIN'!$A$1:$O$113,15,0)),0,VLOOKUP($T$594,'TAR FIN'!$A$1:$O$113,15,0))</f>
        <v>105.73</v>
      </c>
      <c r="X594" s="6">
        <f>IF(ISERROR(VLOOKUP($U$594,'TAR FIN'!$A$1:$O$113,15,0)),0,VLOOKUP($U$594,'TAR FIN'!$A$1:$O$113,15,0))</f>
        <v>278.67</v>
      </c>
      <c r="Y594" s="6"/>
      <c r="Z594" s="6">
        <f ca="1">('TUSD BE'!$AM$30+'TUSD BF'!$AM$30+'TUSD CVA'!$AM$30)*1</f>
        <v>170.19945224700672</v>
      </c>
      <c r="AA594" s="6">
        <f>('TE BE'!$AB$13+'TE BF'!$AB$13+'TE CVA'!$AB$13)*1</f>
        <v>299.18055042718134</v>
      </c>
      <c r="AB594" s="6">
        <f>$K$594*$V$594</f>
        <v>0</v>
      </c>
      <c r="AC594" s="6">
        <f>$M$594*$W$594</f>
        <v>2223.60763</v>
      </c>
      <c r="AD594" s="6">
        <f>$O$594*$X$594</f>
        <v>5860.7087700000002</v>
      </c>
      <c r="AE594" s="6">
        <f>$K$594*$Y$594</f>
        <v>0</v>
      </c>
      <c r="AF594" s="6">
        <f ca="1">$M$594*$Z$594</f>
        <v>3579.4646802067982</v>
      </c>
      <c r="AG594" s="6">
        <f>$O$594*$AA$594</f>
        <v>6292.0661560340504</v>
      </c>
    </row>
    <row r="595" spans="1:33" ht="11.25" customHeight="1" x14ac:dyDescent="0.3">
      <c r="A595" s="4" t="s">
        <v>21</v>
      </c>
      <c r="B595" s="4" t="s">
        <v>43</v>
      </c>
      <c r="C595" s="4" t="s">
        <v>41</v>
      </c>
      <c r="D595" s="4" t="s">
        <v>42</v>
      </c>
      <c r="E595" s="4" t="s">
        <v>25</v>
      </c>
      <c r="F595" s="4" t="s">
        <v>25</v>
      </c>
      <c r="G595" s="4" t="s">
        <v>25</v>
      </c>
      <c r="H595" s="4" t="s">
        <v>35</v>
      </c>
      <c r="I595" s="5">
        <v>44562</v>
      </c>
      <c r="J595" s="6">
        <v>0</v>
      </c>
      <c r="K595" s="6">
        <v>0</v>
      </c>
      <c r="L595" s="6">
        <v>21.280999999999999</v>
      </c>
      <c r="M595" s="6">
        <v>21.280999999999999</v>
      </c>
      <c r="N595" s="6">
        <v>21.280999999999999</v>
      </c>
      <c r="O595" s="6">
        <v>21.280999999999999</v>
      </c>
      <c r="P595" s="6">
        <v>0</v>
      </c>
      <c r="Q595" s="4" t="s">
        <v>26</v>
      </c>
      <c r="R595" s="4">
        <v>0</v>
      </c>
      <c r="S595" s="6">
        <v>0</v>
      </c>
      <c r="T595" s="6">
        <v>45</v>
      </c>
      <c r="U595" s="6">
        <v>70</v>
      </c>
      <c r="V595" s="6">
        <f>IF(ISERROR(VLOOKUP($S$595,'TAR FIN'!$A$1:$O$113,15,0)),0,VLOOKUP($S$595,'TAR FIN'!$A$1:$O$113,15,0))</f>
        <v>0</v>
      </c>
      <c r="W595" s="6">
        <f>IF(ISERROR(VLOOKUP($T$595,'TAR FIN'!$A$1:$O$113,15,0)),0,VLOOKUP($T$595,'TAR FIN'!$A$1:$O$113,15,0))</f>
        <v>105.73</v>
      </c>
      <c r="X595" s="6">
        <f>IF(ISERROR(VLOOKUP($U$595,'TAR FIN'!$A$1:$O$113,15,0)),0,VLOOKUP($U$595,'TAR FIN'!$A$1:$O$113,15,0))</f>
        <v>278.67</v>
      </c>
      <c r="Y595" s="6"/>
      <c r="Z595" s="6">
        <f ca="1">('TUSD BE'!$AM$30+'TUSD BF'!$AM$30+'TUSD CVA'!$AM$30)*1</f>
        <v>170.19945224700672</v>
      </c>
      <c r="AA595" s="6">
        <f>('TE BE'!$AB$13+'TE BF'!$AB$13+'TE CVA'!$AB$13)*1</f>
        <v>299.18055042718134</v>
      </c>
      <c r="AB595" s="6">
        <f>$K$595*$V$595</f>
        <v>0</v>
      </c>
      <c r="AC595" s="6">
        <f>$M$595*$W$595</f>
        <v>2250.0401299999999</v>
      </c>
      <c r="AD595" s="6">
        <f>$O$595*$X$595</f>
        <v>5930.3762699999997</v>
      </c>
      <c r="AE595" s="6">
        <f>$K$595*$Y$595</f>
        <v>0</v>
      </c>
      <c r="AF595" s="6">
        <f ca="1">$M$595*$Z$595</f>
        <v>3622.0145432685499</v>
      </c>
      <c r="AG595" s="6">
        <f>$O$595*$AA$595</f>
        <v>6366.8612936408463</v>
      </c>
    </row>
    <row r="596" spans="1:33" ht="11.25" customHeight="1" x14ac:dyDescent="0.3">
      <c r="A596" s="4" t="s">
        <v>21</v>
      </c>
      <c r="B596" s="4" t="s">
        <v>43</v>
      </c>
      <c r="C596" s="4" t="s">
        <v>41</v>
      </c>
      <c r="D596" s="4" t="s">
        <v>42</v>
      </c>
      <c r="E596" s="4" t="s">
        <v>25</v>
      </c>
      <c r="F596" s="4" t="s">
        <v>25</v>
      </c>
      <c r="G596" s="4" t="s">
        <v>25</v>
      </c>
      <c r="H596" s="4" t="s">
        <v>35</v>
      </c>
      <c r="I596" s="5">
        <v>44593</v>
      </c>
      <c r="J596" s="6">
        <v>0</v>
      </c>
      <c r="K596" s="6">
        <v>0</v>
      </c>
      <c r="L596" s="6">
        <v>21.846</v>
      </c>
      <c r="M596" s="6">
        <v>21.846</v>
      </c>
      <c r="N596" s="6">
        <v>21.846</v>
      </c>
      <c r="O596" s="6">
        <v>21.846</v>
      </c>
      <c r="P596" s="6">
        <v>0</v>
      </c>
      <c r="Q596" s="4" t="s">
        <v>26</v>
      </c>
      <c r="R596" s="4">
        <v>0</v>
      </c>
      <c r="S596" s="6">
        <v>0</v>
      </c>
      <c r="T596" s="6">
        <v>45</v>
      </c>
      <c r="U596" s="6">
        <v>70</v>
      </c>
      <c r="V596" s="6">
        <f>IF(ISERROR(VLOOKUP($S$596,'TAR FIN'!$A$1:$O$113,15,0)),0,VLOOKUP($S$596,'TAR FIN'!$A$1:$O$113,15,0))</f>
        <v>0</v>
      </c>
      <c r="W596" s="6">
        <f>IF(ISERROR(VLOOKUP($T$596,'TAR FIN'!$A$1:$O$113,15,0)),0,VLOOKUP($T$596,'TAR FIN'!$A$1:$O$113,15,0))</f>
        <v>105.73</v>
      </c>
      <c r="X596" s="6">
        <f>IF(ISERROR(VLOOKUP($U$596,'TAR FIN'!$A$1:$O$113,15,0)),0,VLOOKUP($U$596,'TAR FIN'!$A$1:$O$113,15,0))</f>
        <v>278.67</v>
      </c>
      <c r="Y596" s="6"/>
      <c r="Z596" s="6">
        <f ca="1">('TUSD BE'!$AM$30+'TUSD BF'!$AM$30+'TUSD CVA'!$AM$30)*1</f>
        <v>170.19945224700672</v>
      </c>
      <c r="AA596" s="6">
        <f>('TE BE'!$AB$13+'TE BF'!$AB$13+'TE CVA'!$AB$13)*1</f>
        <v>299.18055042718134</v>
      </c>
      <c r="AB596" s="6">
        <f>$K$596*$V$596</f>
        <v>0</v>
      </c>
      <c r="AC596" s="6">
        <f>$M$596*$W$596</f>
        <v>2309.7775799999999</v>
      </c>
      <c r="AD596" s="6">
        <f>$O$596*$X$596</f>
        <v>6087.8248200000007</v>
      </c>
      <c r="AE596" s="6">
        <f>$K$596*$Y$596</f>
        <v>0</v>
      </c>
      <c r="AF596" s="6">
        <f ca="1">$M$596*$Z$596</f>
        <v>3718.1772337881089</v>
      </c>
      <c r="AG596" s="6">
        <f>$O$596*$AA$596</f>
        <v>6535.8983046322037</v>
      </c>
    </row>
    <row r="597" spans="1:33" ht="11.25" customHeight="1" x14ac:dyDescent="0.3">
      <c r="A597" s="4" t="s">
        <v>21</v>
      </c>
      <c r="B597" s="4" t="s">
        <v>43</v>
      </c>
      <c r="C597" s="4" t="s">
        <v>41</v>
      </c>
      <c r="D597" s="4" t="s">
        <v>42</v>
      </c>
      <c r="E597" s="4" t="s">
        <v>25</v>
      </c>
      <c r="F597" s="4" t="s">
        <v>25</v>
      </c>
      <c r="G597" s="4" t="s">
        <v>25</v>
      </c>
      <c r="H597" s="4" t="s">
        <v>35</v>
      </c>
      <c r="I597" s="5">
        <v>44621</v>
      </c>
      <c r="J597" s="6">
        <v>0</v>
      </c>
      <c r="K597" s="6">
        <v>0</v>
      </c>
      <c r="L597" s="6">
        <v>18.599</v>
      </c>
      <c r="M597" s="6">
        <v>18.599</v>
      </c>
      <c r="N597" s="6">
        <v>18.599</v>
      </c>
      <c r="O597" s="6">
        <v>18.599</v>
      </c>
      <c r="P597" s="6">
        <v>0</v>
      </c>
      <c r="Q597" s="4" t="s">
        <v>26</v>
      </c>
      <c r="R597" s="4">
        <v>0</v>
      </c>
      <c r="S597" s="6">
        <v>0</v>
      </c>
      <c r="T597" s="6">
        <v>45</v>
      </c>
      <c r="U597" s="6">
        <v>70</v>
      </c>
      <c r="V597" s="6">
        <f>IF(ISERROR(VLOOKUP($S$597,'TAR FIN'!$A$1:$O$113,15,0)),0,VLOOKUP($S$597,'TAR FIN'!$A$1:$O$113,15,0))</f>
        <v>0</v>
      </c>
      <c r="W597" s="6">
        <f>IF(ISERROR(VLOOKUP($T$597,'TAR FIN'!$A$1:$O$113,15,0)),0,VLOOKUP($T$597,'TAR FIN'!$A$1:$O$113,15,0))</f>
        <v>105.73</v>
      </c>
      <c r="X597" s="6">
        <f>IF(ISERROR(VLOOKUP($U$597,'TAR FIN'!$A$1:$O$113,15,0)),0,VLOOKUP($U$597,'TAR FIN'!$A$1:$O$113,15,0))</f>
        <v>278.67</v>
      </c>
      <c r="Y597" s="6"/>
      <c r="Z597" s="6">
        <f ca="1">('TUSD BE'!$AM$30+'TUSD BF'!$AM$30+'TUSD CVA'!$AM$30)*1</f>
        <v>170.19945224700672</v>
      </c>
      <c r="AA597" s="6">
        <f>('TE BE'!$AB$13+'TE BF'!$AB$13+'TE CVA'!$AB$13)*1</f>
        <v>299.18055042718134</v>
      </c>
      <c r="AB597" s="6">
        <f>$K$597*$V$597</f>
        <v>0</v>
      </c>
      <c r="AC597" s="6">
        <f>$M$597*$W$597</f>
        <v>1966.4722700000002</v>
      </c>
      <c r="AD597" s="6">
        <f>$O$597*$X$597</f>
        <v>5182.98333</v>
      </c>
      <c r="AE597" s="6">
        <f>$K$597*$Y$597</f>
        <v>0</v>
      </c>
      <c r="AF597" s="6">
        <f ca="1">$M$597*$Z$597</f>
        <v>3165.5396123420778</v>
      </c>
      <c r="AG597" s="6">
        <f>$O$597*$AA$597</f>
        <v>5564.4590573951455</v>
      </c>
    </row>
    <row r="598" spans="1:33" ht="11.25" customHeight="1" x14ac:dyDescent="0.3">
      <c r="A598" s="4" t="s">
        <v>21</v>
      </c>
      <c r="B598" s="4" t="s">
        <v>43</v>
      </c>
      <c r="C598" s="4" t="s">
        <v>41</v>
      </c>
      <c r="D598" s="4" t="s">
        <v>42</v>
      </c>
      <c r="E598" s="4" t="s">
        <v>25</v>
      </c>
      <c r="F598" s="4" t="s">
        <v>25</v>
      </c>
      <c r="G598" s="4" t="s">
        <v>25</v>
      </c>
      <c r="H598" s="4" t="s">
        <v>35</v>
      </c>
      <c r="I598" s="5">
        <v>44652</v>
      </c>
      <c r="J598" s="6">
        <v>0</v>
      </c>
      <c r="K598" s="6">
        <v>0</v>
      </c>
      <c r="L598" s="6">
        <v>23.963999999999999</v>
      </c>
      <c r="M598" s="6">
        <v>23.963999999999999</v>
      </c>
      <c r="N598" s="6">
        <v>23.963999999999999</v>
      </c>
      <c r="O598" s="6">
        <v>23.963999999999999</v>
      </c>
      <c r="P598" s="6">
        <v>0</v>
      </c>
      <c r="Q598" s="4" t="s">
        <v>26</v>
      </c>
      <c r="R598" s="4">
        <v>0</v>
      </c>
      <c r="S598" s="6">
        <v>0</v>
      </c>
      <c r="T598" s="6">
        <v>45</v>
      </c>
      <c r="U598" s="6">
        <v>70</v>
      </c>
      <c r="V598" s="6">
        <f>IF(ISERROR(VLOOKUP($S$598,'TAR FIN'!$A$1:$O$113,15,0)),0,VLOOKUP($S$598,'TAR FIN'!$A$1:$O$113,15,0))</f>
        <v>0</v>
      </c>
      <c r="W598" s="6">
        <f>IF(ISERROR(VLOOKUP($T$598,'TAR FIN'!$A$1:$O$113,15,0)),0,VLOOKUP($T$598,'TAR FIN'!$A$1:$O$113,15,0))</f>
        <v>105.73</v>
      </c>
      <c r="X598" s="6">
        <f>IF(ISERROR(VLOOKUP($U$598,'TAR FIN'!$A$1:$O$113,15,0)),0,VLOOKUP($U$598,'TAR FIN'!$A$1:$O$113,15,0))</f>
        <v>278.67</v>
      </c>
      <c r="Y598" s="6"/>
      <c r="Z598" s="6">
        <f ca="1">('TUSD BE'!$AM$30+'TUSD BF'!$AM$30+'TUSD CVA'!$AM$30)*1</f>
        <v>170.19945224700672</v>
      </c>
      <c r="AA598" s="6">
        <f>('TE BE'!$AB$13+'TE BF'!$AB$13+'TE CVA'!$AB$13)*1</f>
        <v>299.18055042718134</v>
      </c>
      <c r="AB598" s="6">
        <f>$K$598*$V$598</f>
        <v>0</v>
      </c>
      <c r="AC598" s="6">
        <f>$M$598*$W$598</f>
        <v>2533.7137199999997</v>
      </c>
      <c r="AD598" s="6">
        <f>$O$598*$X$598</f>
        <v>6678.0478800000001</v>
      </c>
      <c r="AE598" s="6">
        <f>$K$598*$Y$598</f>
        <v>0</v>
      </c>
      <c r="AF598" s="6">
        <f ca="1">$M$598*$Z$598</f>
        <v>4078.6596736472688</v>
      </c>
      <c r="AG598" s="6">
        <f>$O$598*$AA$598</f>
        <v>7169.5627104369732</v>
      </c>
    </row>
    <row r="599" spans="1:33" ht="11.25" customHeight="1" x14ac:dyDescent="0.3">
      <c r="A599" s="4" t="s">
        <v>21</v>
      </c>
      <c r="B599" s="4" t="s">
        <v>43</v>
      </c>
      <c r="C599" s="4" t="s">
        <v>41</v>
      </c>
      <c r="D599" s="4" t="s">
        <v>42</v>
      </c>
      <c r="E599" s="4" t="s">
        <v>25</v>
      </c>
      <c r="F599" s="4" t="s">
        <v>25</v>
      </c>
      <c r="G599" s="4" t="s">
        <v>25</v>
      </c>
      <c r="H599" s="4" t="s">
        <v>35</v>
      </c>
      <c r="I599" s="5">
        <v>44682</v>
      </c>
      <c r="J599" s="6">
        <v>0</v>
      </c>
      <c r="K599" s="6">
        <v>0</v>
      </c>
      <c r="L599" s="6">
        <v>20.87</v>
      </c>
      <c r="M599" s="6">
        <v>20.87</v>
      </c>
      <c r="N599" s="6">
        <v>20.87</v>
      </c>
      <c r="O599" s="6">
        <v>20.87</v>
      </c>
      <c r="P599" s="6">
        <v>0</v>
      </c>
      <c r="Q599" s="4" t="s">
        <v>26</v>
      </c>
      <c r="R599" s="4">
        <v>0</v>
      </c>
      <c r="S599" s="6">
        <v>0</v>
      </c>
      <c r="T599" s="6">
        <v>45</v>
      </c>
      <c r="U599" s="6">
        <v>70</v>
      </c>
      <c r="V599" s="6">
        <f>IF(ISERROR(VLOOKUP($S$599,'TAR FIN'!$A$1:$O$113,15,0)),0,VLOOKUP($S$599,'TAR FIN'!$A$1:$O$113,15,0))</f>
        <v>0</v>
      </c>
      <c r="W599" s="6">
        <f>IF(ISERROR(VLOOKUP($T$599,'TAR FIN'!$A$1:$O$113,15,0)),0,VLOOKUP($T$599,'TAR FIN'!$A$1:$O$113,15,0))</f>
        <v>105.73</v>
      </c>
      <c r="X599" s="6">
        <f>IF(ISERROR(VLOOKUP($U$599,'TAR FIN'!$A$1:$O$113,15,0)),0,VLOOKUP($U$599,'TAR FIN'!$A$1:$O$113,15,0))</f>
        <v>278.67</v>
      </c>
      <c r="Y599" s="6"/>
      <c r="Z599" s="6">
        <f ca="1">('TUSD BE'!$AM$30+'TUSD BF'!$AM$30+'TUSD CVA'!$AM$30)*1</f>
        <v>170.19945224700672</v>
      </c>
      <c r="AA599" s="6">
        <f>('TE BE'!$AB$13+'TE BF'!$AB$13+'TE CVA'!$AB$13)*1</f>
        <v>299.18055042718134</v>
      </c>
      <c r="AB599" s="6">
        <f>$K$599*$V$599</f>
        <v>0</v>
      </c>
      <c r="AC599" s="6">
        <f>$M$599*$W$599</f>
        <v>2206.5851000000002</v>
      </c>
      <c r="AD599" s="6">
        <f>$O$599*$X$599</f>
        <v>5815.8429000000006</v>
      </c>
      <c r="AE599" s="6">
        <f>$K$599*$Y$599</f>
        <v>0</v>
      </c>
      <c r="AF599" s="6">
        <f ca="1">$M$599*$Z$599</f>
        <v>3552.0625683950302</v>
      </c>
      <c r="AG599" s="6">
        <f>$O$599*$AA$599</f>
        <v>6243.8980874152749</v>
      </c>
    </row>
    <row r="600" spans="1:33" ht="11.25" customHeight="1" x14ac:dyDescent="0.3">
      <c r="A600" s="4" t="s">
        <v>21</v>
      </c>
      <c r="B600" s="4" t="s">
        <v>43</v>
      </c>
      <c r="C600" s="4" t="s">
        <v>41</v>
      </c>
      <c r="D600" s="4" t="s">
        <v>42</v>
      </c>
      <c r="E600" s="4" t="s">
        <v>25</v>
      </c>
      <c r="F600" s="4" t="s">
        <v>25</v>
      </c>
      <c r="G600" s="4" t="s">
        <v>25</v>
      </c>
      <c r="H600" s="4" t="s">
        <v>35</v>
      </c>
      <c r="I600" s="5">
        <v>44713</v>
      </c>
      <c r="J600" s="6">
        <v>0</v>
      </c>
      <c r="K600" s="6">
        <v>0</v>
      </c>
      <c r="L600" s="6">
        <v>14.413</v>
      </c>
      <c r="M600" s="6">
        <v>14.413</v>
      </c>
      <c r="N600" s="6">
        <v>14.413</v>
      </c>
      <c r="O600" s="6">
        <v>14.413</v>
      </c>
      <c r="P600" s="6">
        <v>0</v>
      </c>
      <c r="Q600" s="4" t="s">
        <v>26</v>
      </c>
      <c r="R600" s="4">
        <v>0</v>
      </c>
      <c r="S600" s="6">
        <v>0</v>
      </c>
      <c r="T600" s="6">
        <v>45</v>
      </c>
      <c r="U600" s="6">
        <v>70</v>
      </c>
      <c r="V600" s="6">
        <f>IF(ISERROR(VLOOKUP($S$600,'TAR FIN'!$A$1:$O$113,15,0)),0,VLOOKUP($S$600,'TAR FIN'!$A$1:$O$113,15,0))</f>
        <v>0</v>
      </c>
      <c r="W600" s="6">
        <f>IF(ISERROR(VLOOKUP($T$600,'TAR FIN'!$A$1:$O$113,15,0)),0,VLOOKUP($T$600,'TAR FIN'!$A$1:$O$113,15,0))</f>
        <v>105.73</v>
      </c>
      <c r="X600" s="6">
        <f>IF(ISERROR(VLOOKUP($U$600,'TAR FIN'!$A$1:$O$113,15,0)),0,VLOOKUP($U$600,'TAR FIN'!$A$1:$O$113,15,0))</f>
        <v>278.67</v>
      </c>
      <c r="Y600" s="6"/>
      <c r="Z600" s="6">
        <f ca="1">('TUSD BE'!$AM$30+'TUSD BF'!$AM$30+'TUSD CVA'!$AM$30)*1</f>
        <v>170.19945224700672</v>
      </c>
      <c r="AA600" s="6">
        <f>('TE BE'!$AB$13+'TE BF'!$AB$13+'TE CVA'!$AB$13)*1</f>
        <v>299.18055042718134</v>
      </c>
      <c r="AB600" s="6">
        <f>$K$600*$V$600</f>
        <v>0</v>
      </c>
      <c r="AC600" s="6">
        <f>$M$600*$W$600</f>
        <v>1523.8864900000001</v>
      </c>
      <c r="AD600" s="6">
        <f>$O$600*$X$600</f>
        <v>4016.4707100000005</v>
      </c>
      <c r="AE600" s="6">
        <f>$K$600*$Y$600</f>
        <v>0</v>
      </c>
      <c r="AF600" s="6">
        <f ca="1">$M$600*$Z$600</f>
        <v>2453.0847052361078</v>
      </c>
      <c r="AG600" s="6">
        <f>$O$600*$AA$600</f>
        <v>4312.089273306965</v>
      </c>
    </row>
    <row r="601" spans="1:33" ht="11.25" customHeight="1" x14ac:dyDescent="0.3">
      <c r="A601" s="4" t="s">
        <v>21</v>
      </c>
      <c r="B601" s="4" t="s">
        <v>43</v>
      </c>
      <c r="C601" s="4" t="s">
        <v>41</v>
      </c>
      <c r="D601" s="4" t="s">
        <v>42</v>
      </c>
      <c r="E601" s="4" t="s">
        <v>25</v>
      </c>
      <c r="F601" s="4" t="s">
        <v>25</v>
      </c>
      <c r="G601" s="4" t="s">
        <v>25</v>
      </c>
      <c r="H601" s="4" t="s">
        <v>35</v>
      </c>
      <c r="I601" s="5">
        <v>44743</v>
      </c>
      <c r="J601" s="6">
        <v>0</v>
      </c>
      <c r="K601" s="6">
        <v>0</v>
      </c>
      <c r="L601" s="6">
        <v>13.066000000000001</v>
      </c>
      <c r="M601" s="6">
        <v>13.066000000000001</v>
      </c>
      <c r="N601" s="6">
        <v>13.066000000000001</v>
      </c>
      <c r="O601" s="6">
        <v>13.066000000000001</v>
      </c>
      <c r="P601" s="6">
        <v>0</v>
      </c>
      <c r="Q601" s="4" t="s">
        <v>26</v>
      </c>
      <c r="R601" s="4">
        <v>0</v>
      </c>
      <c r="S601" s="6">
        <v>0</v>
      </c>
      <c r="T601" s="6">
        <v>45</v>
      </c>
      <c r="U601" s="6">
        <v>70</v>
      </c>
      <c r="V601" s="6">
        <f>IF(ISERROR(VLOOKUP($S$601,'TAR FIN'!$A$1:$O$113,15,0)),0,VLOOKUP($S$601,'TAR FIN'!$A$1:$O$113,15,0))</f>
        <v>0</v>
      </c>
      <c r="W601" s="6">
        <f>IF(ISERROR(VLOOKUP($T$601,'TAR FIN'!$A$1:$O$113,15,0)),0,VLOOKUP($T$601,'TAR FIN'!$A$1:$O$113,15,0))</f>
        <v>105.73</v>
      </c>
      <c r="X601" s="6">
        <f>IF(ISERROR(VLOOKUP($U$601,'TAR FIN'!$A$1:$O$113,15,0)),0,VLOOKUP($U$601,'TAR FIN'!$A$1:$O$113,15,0))</f>
        <v>278.67</v>
      </c>
      <c r="Y601" s="6"/>
      <c r="Z601" s="6">
        <f ca="1">('TUSD BE'!$AM$30+'TUSD BF'!$AM$30+'TUSD CVA'!$AM$30)*1</f>
        <v>170.19945224700672</v>
      </c>
      <c r="AA601" s="6">
        <f>('TE BE'!$AB$13+'TE BF'!$AB$13+'TE CVA'!$AB$13)*1</f>
        <v>299.18055042718134</v>
      </c>
      <c r="AB601" s="6">
        <f>$K$601*$V$601</f>
        <v>0</v>
      </c>
      <c r="AC601" s="6">
        <f>$M$601*$W$601</f>
        <v>1381.4681800000001</v>
      </c>
      <c r="AD601" s="6">
        <f>$O$601*$X$601</f>
        <v>3641.1022200000002</v>
      </c>
      <c r="AE601" s="6">
        <f>$K$601*$Y$601</f>
        <v>0</v>
      </c>
      <c r="AF601" s="6">
        <f ca="1">$M$601*$Z$601</f>
        <v>2223.82604305939</v>
      </c>
      <c r="AG601" s="6">
        <f>$O$601*$AA$601</f>
        <v>3909.0930718815516</v>
      </c>
    </row>
    <row r="602" spans="1:33" ht="11.25" customHeight="1" x14ac:dyDescent="0.3">
      <c r="A602" s="4" t="s">
        <v>21</v>
      </c>
      <c r="B602" s="4" t="s">
        <v>43</v>
      </c>
      <c r="C602" s="4" t="s">
        <v>41</v>
      </c>
      <c r="D602" s="4" t="s">
        <v>42</v>
      </c>
      <c r="E602" s="4" t="s">
        <v>25</v>
      </c>
      <c r="F602" s="4" t="s">
        <v>25</v>
      </c>
      <c r="G602" s="4" t="s">
        <v>25</v>
      </c>
      <c r="H602" s="4" t="s">
        <v>35</v>
      </c>
      <c r="I602" s="5">
        <v>44774</v>
      </c>
      <c r="J602" s="6">
        <v>0</v>
      </c>
      <c r="K602" s="6">
        <v>0</v>
      </c>
      <c r="L602" s="6">
        <v>13.843</v>
      </c>
      <c r="M602" s="6">
        <v>13.843</v>
      </c>
      <c r="N602" s="6">
        <v>13.843</v>
      </c>
      <c r="O602" s="6">
        <v>13.843</v>
      </c>
      <c r="P602" s="6">
        <v>0</v>
      </c>
      <c r="Q602" s="4" t="s">
        <v>26</v>
      </c>
      <c r="R602" s="4">
        <v>0</v>
      </c>
      <c r="S602" s="6">
        <v>0</v>
      </c>
      <c r="T602" s="6">
        <v>45</v>
      </c>
      <c r="U602" s="6">
        <v>70</v>
      </c>
      <c r="V602" s="6">
        <f>IF(ISERROR(VLOOKUP($S$602,'TAR FIN'!$A$1:$O$113,15,0)),0,VLOOKUP($S$602,'TAR FIN'!$A$1:$O$113,15,0))</f>
        <v>0</v>
      </c>
      <c r="W602" s="6">
        <f>IF(ISERROR(VLOOKUP($T$602,'TAR FIN'!$A$1:$O$113,15,0)),0,VLOOKUP($T$602,'TAR FIN'!$A$1:$O$113,15,0))</f>
        <v>105.73</v>
      </c>
      <c r="X602" s="6">
        <f>IF(ISERROR(VLOOKUP($U$602,'TAR FIN'!$A$1:$O$113,15,0)),0,VLOOKUP($U$602,'TAR FIN'!$A$1:$O$113,15,0))</f>
        <v>278.67</v>
      </c>
      <c r="Y602" s="6"/>
      <c r="Z602" s="6">
        <f ca="1">('TUSD BE'!$AM$30+'TUSD BF'!$AM$30+'TUSD CVA'!$AM$30)*1</f>
        <v>170.19945224700672</v>
      </c>
      <c r="AA602" s="6">
        <f>('TE BE'!$AB$13+'TE BF'!$AB$13+'TE CVA'!$AB$13)*1</f>
        <v>299.18055042718134</v>
      </c>
      <c r="AB602" s="6">
        <f>$K$602*$V$602</f>
        <v>0</v>
      </c>
      <c r="AC602" s="6">
        <f>$M$602*$W$602</f>
        <v>1463.62039</v>
      </c>
      <c r="AD602" s="6">
        <f>$O$602*$X$602</f>
        <v>3857.6288100000002</v>
      </c>
      <c r="AE602" s="6">
        <f>$K$602*$Y$602</f>
        <v>0</v>
      </c>
      <c r="AF602" s="6">
        <f ca="1">$M$602*$Z$602</f>
        <v>2356.0710174553142</v>
      </c>
      <c r="AG602" s="6">
        <f>$O$602*$AA$602</f>
        <v>4141.5563595634712</v>
      </c>
    </row>
    <row r="603" spans="1:33" ht="11.25" customHeight="1" x14ac:dyDescent="0.3">
      <c r="A603" s="4" t="s">
        <v>21</v>
      </c>
      <c r="B603" s="4" t="s">
        <v>43</v>
      </c>
      <c r="C603" s="4" t="s">
        <v>41</v>
      </c>
      <c r="D603" s="4" t="s">
        <v>42</v>
      </c>
      <c r="E603" s="4" t="s">
        <v>25</v>
      </c>
      <c r="F603" s="4" t="s">
        <v>25</v>
      </c>
      <c r="G603" s="4" t="s">
        <v>25</v>
      </c>
      <c r="H603" s="4" t="s">
        <v>35</v>
      </c>
      <c r="I603" s="5">
        <v>44805</v>
      </c>
      <c r="J603" s="6">
        <v>0</v>
      </c>
      <c r="K603" s="6">
        <v>0</v>
      </c>
      <c r="L603" s="6">
        <v>14.516</v>
      </c>
      <c r="M603" s="6">
        <v>14.516</v>
      </c>
      <c r="N603" s="6">
        <v>14.516</v>
      </c>
      <c r="O603" s="6">
        <v>14.516</v>
      </c>
      <c r="P603" s="6">
        <v>0</v>
      </c>
      <c r="Q603" s="4" t="s">
        <v>26</v>
      </c>
      <c r="R603" s="4">
        <v>0</v>
      </c>
      <c r="S603" s="6">
        <v>0</v>
      </c>
      <c r="T603" s="6">
        <v>45</v>
      </c>
      <c r="U603" s="6">
        <v>70</v>
      </c>
      <c r="V603" s="6">
        <f>IF(ISERROR(VLOOKUP($S$603,'TAR FIN'!$A$1:$O$113,15,0)),0,VLOOKUP($S$603,'TAR FIN'!$A$1:$O$113,15,0))</f>
        <v>0</v>
      </c>
      <c r="W603" s="6">
        <f>IF(ISERROR(VLOOKUP($T$603,'TAR FIN'!$A$1:$O$113,15,0)),0,VLOOKUP($T$603,'TAR FIN'!$A$1:$O$113,15,0))</f>
        <v>105.73</v>
      </c>
      <c r="X603" s="6">
        <f>IF(ISERROR(VLOOKUP($U$603,'TAR FIN'!$A$1:$O$113,15,0)),0,VLOOKUP($U$603,'TAR FIN'!$A$1:$O$113,15,0))</f>
        <v>278.67</v>
      </c>
      <c r="Y603" s="6"/>
      <c r="Z603" s="6">
        <f ca="1">('TUSD BE'!$AM$30+'TUSD BF'!$AM$30+'TUSD CVA'!$AM$30)*1</f>
        <v>170.19945224700672</v>
      </c>
      <c r="AA603" s="6">
        <f>('TE BE'!$AB$13+'TE BF'!$AB$13+'TE CVA'!$AB$13)*1</f>
        <v>299.18055042718134</v>
      </c>
      <c r="AB603" s="6">
        <f>$K$603*$V$603</f>
        <v>0</v>
      </c>
      <c r="AC603" s="6">
        <f>$M$603*$W$603</f>
        <v>1534.7766800000002</v>
      </c>
      <c r="AD603" s="6">
        <f>$O$603*$X$603</f>
        <v>4045.1737200000002</v>
      </c>
      <c r="AE603" s="6">
        <f>$K$603*$Y$603</f>
        <v>0</v>
      </c>
      <c r="AF603" s="6">
        <f ca="1">$M$603*$Z$603</f>
        <v>2470.6152488175494</v>
      </c>
      <c r="AG603" s="6">
        <f>$O$603*$AA$603</f>
        <v>4342.9048700009644</v>
      </c>
    </row>
    <row r="604" spans="1:33" ht="11.25" customHeight="1" x14ac:dyDescent="0.3">
      <c r="A604" s="4" t="s">
        <v>53</v>
      </c>
      <c r="B604" s="4" t="s">
        <v>43</v>
      </c>
      <c r="C604" s="4" t="s">
        <v>41</v>
      </c>
      <c r="D604" s="4" t="s">
        <v>42</v>
      </c>
      <c r="E604" s="4" t="s">
        <v>25</v>
      </c>
      <c r="F604" s="4" t="s">
        <v>25</v>
      </c>
      <c r="G604" s="4" t="s">
        <v>25</v>
      </c>
      <c r="H604" s="4" t="s">
        <v>35</v>
      </c>
      <c r="I604" s="5">
        <v>44835</v>
      </c>
      <c r="J604" s="6">
        <v>0</v>
      </c>
      <c r="K604" s="6">
        <v>0</v>
      </c>
      <c r="L604" s="6">
        <v>14.516</v>
      </c>
      <c r="M604" s="6">
        <v>14.516</v>
      </c>
      <c r="N604" s="6">
        <v>14.516</v>
      </c>
      <c r="O604" s="6">
        <v>14.516</v>
      </c>
      <c r="P604" s="6">
        <v>0</v>
      </c>
      <c r="Q604" s="4" t="s">
        <v>26</v>
      </c>
      <c r="R604" s="4">
        <v>0</v>
      </c>
      <c r="S604" s="6">
        <v>0</v>
      </c>
      <c r="T604" s="6">
        <v>45</v>
      </c>
      <c r="U604" s="6">
        <v>70</v>
      </c>
      <c r="V604" s="6">
        <f>IF(ISERROR(VLOOKUP($S$604,'TAR FIN'!$A$1:$O$113,15,0)),0,VLOOKUP($S$604,'TAR FIN'!$A$1:$O$113,15,0))</f>
        <v>0</v>
      </c>
      <c r="W604" s="6">
        <f>IF(ISERROR(VLOOKUP($T$604,'TAR FIN'!$A$1:$O$113,15,0)),0,VLOOKUP($T$604,'TAR FIN'!$A$1:$O$113,15,0))</f>
        <v>105.73</v>
      </c>
      <c r="X604" s="6">
        <f>IF(ISERROR(VLOOKUP($U$604,'TAR FIN'!$A$1:$O$113,15,0)),0,VLOOKUP($U$604,'TAR FIN'!$A$1:$O$113,15,0))</f>
        <v>278.67</v>
      </c>
      <c r="Y604" s="6"/>
      <c r="Z604" s="6">
        <f ca="1">('TUSD BE'!$AM$30+'TUSD BF'!$AM$30+'TUSD CVA'!$AM$30)*1</f>
        <v>170.19945224700672</v>
      </c>
      <c r="AA604" s="6">
        <f>('TE BE'!$AB$13+'TE BF'!$AB$13+'TE CVA'!$AB$13)*1</f>
        <v>299.18055042718134</v>
      </c>
      <c r="AB604" s="6">
        <f>$K$604*$V$604</f>
        <v>0</v>
      </c>
      <c r="AC604" s="6">
        <f>$M$604*$W$604</f>
        <v>1534.7766800000002</v>
      </c>
      <c r="AD604" s="6">
        <f>$O$604*$X$604</f>
        <v>4045.1737200000002</v>
      </c>
      <c r="AE604" s="6">
        <f>$K$604*$Y$604</f>
        <v>0</v>
      </c>
      <c r="AF604" s="6">
        <f ca="1">$M$604*$Z$604</f>
        <v>2470.6152488175494</v>
      </c>
      <c r="AG604" s="6">
        <f>$O$604*$AA$604</f>
        <v>4342.9048700009644</v>
      </c>
    </row>
    <row r="605" spans="1:33" ht="11.25" customHeight="1" x14ac:dyDescent="0.3">
      <c r="A605" s="4" t="s">
        <v>21</v>
      </c>
      <c r="B605" s="4" t="s">
        <v>43</v>
      </c>
      <c r="C605" s="4" t="s">
        <v>41</v>
      </c>
      <c r="D605" s="4" t="s">
        <v>42</v>
      </c>
      <c r="E605" s="4" t="s">
        <v>25</v>
      </c>
      <c r="F605" s="4" t="s">
        <v>25</v>
      </c>
      <c r="G605" s="4" t="s">
        <v>25</v>
      </c>
      <c r="H605" s="4" t="s">
        <v>25</v>
      </c>
      <c r="I605" s="5">
        <v>44501</v>
      </c>
      <c r="J605" s="6">
        <v>241</v>
      </c>
      <c r="K605" s="6">
        <v>241</v>
      </c>
      <c r="L605" s="6">
        <v>0</v>
      </c>
      <c r="M605" s="6">
        <v>0</v>
      </c>
      <c r="N605" s="6">
        <v>0</v>
      </c>
      <c r="O605" s="6">
        <v>0</v>
      </c>
      <c r="P605" s="6">
        <v>3</v>
      </c>
      <c r="Q605" s="4" t="s">
        <v>26</v>
      </c>
      <c r="R605" s="4">
        <v>0</v>
      </c>
      <c r="S605" s="6">
        <v>13</v>
      </c>
      <c r="T605" s="6">
        <v>0</v>
      </c>
      <c r="U605" s="6">
        <v>0</v>
      </c>
      <c r="V605" s="6">
        <f>IF(ISERROR(VLOOKUP($S$605,'TAR FIN'!$A$1:$O$113,15,0)),0,VLOOKUP($S$605,'TAR FIN'!$A$1:$O$113,15,0))</f>
        <v>11.74</v>
      </c>
      <c r="W605" s="6">
        <f>IF(ISERROR(VLOOKUP($T$605,'TAR FIN'!$A$1:$O$113,15,0)),0,VLOOKUP($T$605,'TAR FIN'!$A$1:$O$113,15,0))</f>
        <v>0</v>
      </c>
      <c r="X605" s="6">
        <f>IF(ISERROR(VLOOKUP($U$605,'TAR FIN'!$A$1:$O$113,15,0)),0,VLOOKUP($U$605,'TAR FIN'!$A$1:$O$113,15,0))</f>
        <v>0</v>
      </c>
      <c r="Y605" s="6">
        <f ca="1">('TUSD BE'!$AM$28+'TUSD BF'!$AM$28+'TUSD CVA'!$AM$28)*1</f>
        <v>13.458223506903105</v>
      </c>
      <c r="Z605" s="6"/>
      <c r="AA605" s="6"/>
      <c r="AB605" s="6">
        <f>$K$605*$V$605</f>
        <v>2829.34</v>
      </c>
      <c r="AC605" s="6">
        <f>$M$605*$W$605</f>
        <v>0</v>
      </c>
      <c r="AD605" s="6">
        <f>$O$605*$X$605</f>
        <v>0</v>
      </c>
      <c r="AE605" s="6">
        <f ca="1">$K$605*$Y$605</f>
        <v>3243.4318651636481</v>
      </c>
      <c r="AF605" s="6">
        <f>$M$605*$Z$605</f>
        <v>0</v>
      </c>
      <c r="AG605" s="6">
        <f>$O$605*$AA$605</f>
        <v>0</v>
      </c>
    </row>
    <row r="606" spans="1:33" ht="11.25" customHeight="1" x14ac:dyDescent="0.3">
      <c r="A606" s="4" t="s">
        <v>21</v>
      </c>
      <c r="B606" s="4" t="s">
        <v>43</v>
      </c>
      <c r="C606" s="4" t="s">
        <v>41</v>
      </c>
      <c r="D606" s="4" t="s">
        <v>42</v>
      </c>
      <c r="E606" s="4" t="s">
        <v>25</v>
      </c>
      <c r="F606" s="4" t="s">
        <v>25</v>
      </c>
      <c r="G606" s="4" t="s">
        <v>25</v>
      </c>
      <c r="H606" s="4" t="s">
        <v>25</v>
      </c>
      <c r="I606" s="5">
        <v>44531</v>
      </c>
      <c r="J606" s="6">
        <v>140</v>
      </c>
      <c r="K606" s="6">
        <v>140</v>
      </c>
      <c r="L606" s="6">
        <v>0</v>
      </c>
      <c r="M606" s="6">
        <v>0</v>
      </c>
      <c r="N606" s="6">
        <v>0</v>
      </c>
      <c r="O606" s="6">
        <v>0</v>
      </c>
      <c r="P606" s="6">
        <v>2</v>
      </c>
      <c r="Q606" s="4" t="s">
        <v>26</v>
      </c>
      <c r="R606" s="4">
        <v>0</v>
      </c>
      <c r="S606" s="6">
        <v>13</v>
      </c>
      <c r="T606" s="6">
        <v>0</v>
      </c>
      <c r="U606" s="6">
        <v>0</v>
      </c>
      <c r="V606" s="6">
        <f>IF(ISERROR(VLOOKUP($S$606,'TAR FIN'!$A$1:$O$113,15,0)),0,VLOOKUP($S$606,'TAR FIN'!$A$1:$O$113,15,0))</f>
        <v>11.74</v>
      </c>
      <c r="W606" s="6">
        <f>IF(ISERROR(VLOOKUP($T$606,'TAR FIN'!$A$1:$O$113,15,0)),0,VLOOKUP($T$606,'TAR FIN'!$A$1:$O$113,15,0))</f>
        <v>0</v>
      </c>
      <c r="X606" s="6">
        <f>IF(ISERROR(VLOOKUP($U$606,'TAR FIN'!$A$1:$O$113,15,0)),0,VLOOKUP($U$606,'TAR FIN'!$A$1:$O$113,15,0))</f>
        <v>0</v>
      </c>
      <c r="Y606" s="6">
        <f ca="1">('TUSD BE'!$AM$28+'TUSD BF'!$AM$28+'TUSD CVA'!$AM$28)*1</f>
        <v>13.458223506903105</v>
      </c>
      <c r="Z606" s="6"/>
      <c r="AA606" s="6"/>
      <c r="AB606" s="6">
        <f>$K$606*$V$606</f>
        <v>1643.6000000000001</v>
      </c>
      <c r="AC606" s="6">
        <f>$M$606*$W$606</f>
        <v>0</v>
      </c>
      <c r="AD606" s="6">
        <f>$O$606*$X$606</f>
        <v>0</v>
      </c>
      <c r="AE606" s="6">
        <f ca="1">$K$606*$Y$606</f>
        <v>1884.1512909664345</v>
      </c>
      <c r="AF606" s="6">
        <f>$M$606*$Z$606</f>
        <v>0</v>
      </c>
      <c r="AG606" s="6">
        <f>$O$606*$AA$606</f>
        <v>0</v>
      </c>
    </row>
    <row r="607" spans="1:33" ht="11.25" customHeight="1" x14ac:dyDescent="0.3">
      <c r="A607" s="4" t="s">
        <v>21</v>
      </c>
      <c r="B607" s="4" t="s">
        <v>43</v>
      </c>
      <c r="C607" s="4" t="s">
        <v>41</v>
      </c>
      <c r="D607" s="4" t="s">
        <v>42</v>
      </c>
      <c r="E607" s="4" t="s">
        <v>25</v>
      </c>
      <c r="F607" s="4" t="s">
        <v>25</v>
      </c>
      <c r="G607" s="4" t="s">
        <v>25</v>
      </c>
      <c r="H607" s="4" t="s">
        <v>25</v>
      </c>
      <c r="I607" s="5">
        <v>44562</v>
      </c>
      <c r="J607" s="6">
        <v>140</v>
      </c>
      <c r="K607" s="6">
        <v>140</v>
      </c>
      <c r="L607" s="6">
        <v>0</v>
      </c>
      <c r="M607" s="6">
        <v>0</v>
      </c>
      <c r="N607" s="6">
        <v>0</v>
      </c>
      <c r="O607" s="6">
        <v>0</v>
      </c>
      <c r="P607" s="6">
        <v>2</v>
      </c>
      <c r="Q607" s="4" t="s">
        <v>26</v>
      </c>
      <c r="R607" s="4">
        <v>0</v>
      </c>
      <c r="S607" s="6">
        <v>13</v>
      </c>
      <c r="T607" s="6">
        <v>0</v>
      </c>
      <c r="U607" s="6">
        <v>0</v>
      </c>
      <c r="V607" s="6">
        <f>IF(ISERROR(VLOOKUP($S$607,'TAR FIN'!$A$1:$O$113,15,0)),0,VLOOKUP($S$607,'TAR FIN'!$A$1:$O$113,15,0))</f>
        <v>11.74</v>
      </c>
      <c r="W607" s="6">
        <f>IF(ISERROR(VLOOKUP($T$607,'TAR FIN'!$A$1:$O$113,15,0)),0,VLOOKUP($T$607,'TAR FIN'!$A$1:$O$113,15,0))</f>
        <v>0</v>
      </c>
      <c r="X607" s="6">
        <f>IF(ISERROR(VLOOKUP($U$607,'TAR FIN'!$A$1:$O$113,15,0)),0,VLOOKUP($U$607,'TAR FIN'!$A$1:$O$113,15,0))</f>
        <v>0</v>
      </c>
      <c r="Y607" s="6">
        <f ca="1">('TUSD BE'!$AM$28+'TUSD BF'!$AM$28+'TUSD CVA'!$AM$28)*1</f>
        <v>13.458223506903105</v>
      </c>
      <c r="Z607" s="6"/>
      <c r="AA607" s="6"/>
      <c r="AB607" s="6">
        <f>$K$607*$V$607</f>
        <v>1643.6000000000001</v>
      </c>
      <c r="AC607" s="6">
        <f>$M$607*$W$607</f>
        <v>0</v>
      </c>
      <c r="AD607" s="6">
        <f>$O$607*$X$607</f>
        <v>0</v>
      </c>
      <c r="AE607" s="6">
        <f ca="1">$K$607*$Y$607</f>
        <v>1884.1512909664345</v>
      </c>
      <c r="AF607" s="6">
        <f>$M$607*$Z$607</f>
        <v>0</v>
      </c>
      <c r="AG607" s="6">
        <f>$O$607*$AA$607</f>
        <v>0</v>
      </c>
    </row>
    <row r="608" spans="1:33" ht="11.25" customHeight="1" x14ac:dyDescent="0.3">
      <c r="A608" s="4" t="s">
        <v>21</v>
      </c>
      <c r="B608" s="4" t="s">
        <v>43</v>
      </c>
      <c r="C608" s="4" t="s">
        <v>41</v>
      </c>
      <c r="D608" s="4" t="s">
        <v>42</v>
      </c>
      <c r="E608" s="4" t="s">
        <v>25</v>
      </c>
      <c r="F608" s="4" t="s">
        <v>25</v>
      </c>
      <c r="G608" s="4" t="s">
        <v>25</v>
      </c>
      <c r="H608" s="4" t="s">
        <v>25</v>
      </c>
      <c r="I608" s="5">
        <v>44593</v>
      </c>
      <c r="J608" s="6">
        <v>140</v>
      </c>
      <c r="K608" s="6">
        <v>140</v>
      </c>
      <c r="L608" s="6">
        <v>0</v>
      </c>
      <c r="M608" s="6">
        <v>0</v>
      </c>
      <c r="N608" s="6">
        <v>0</v>
      </c>
      <c r="O608" s="6">
        <v>0</v>
      </c>
      <c r="P608" s="6">
        <v>2</v>
      </c>
      <c r="Q608" s="4" t="s">
        <v>26</v>
      </c>
      <c r="R608" s="4">
        <v>0</v>
      </c>
      <c r="S608" s="6">
        <v>13</v>
      </c>
      <c r="T608" s="6">
        <v>0</v>
      </c>
      <c r="U608" s="6">
        <v>0</v>
      </c>
      <c r="V608" s="6">
        <f>IF(ISERROR(VLOOKUP($S$608,'TAR FIN'!$A$1:$O$113,15,0)),0,VLOOKUP($S$608,'TAR FIN'!$A$1:$O$113,15,0))</f>
        <v>11.74</v>
      </c>
      <c r="W608" s="6">
        <f>IF(ISERROR(VLOOKUP($T$608,'TAR FIN'!$A$1:$O$113,15,0)),0,VLOOKUP($T$608,'TAR FIN'!$A$1:$O$113,15,0))</f>
        <v>0</v>
      </c>
      <c r="X608" s="6">
        <f>IF(ISERROR(VLOOKUP($U$608,'TAR FIN'!$A$1:$O$113,15,0)),0,VLOOKUP($U$608,'TAR FIN'!$A$1:$O$113,15,0))</f>
        <v>0</v>
      </c>
      <c r="Y608" s="6">
        <f ca="1">('TUSD BE'!$AM$28+'TUSD BF'!$AM$28+'TUSD CVA'!$AM$28)*1</f>
        <v>13.458223506903105</v>
      </c>
      <c r="Z608" s="6"/>
      <c r="AA608" s="6"/>
      <c r="AB608" s="6">
        <f>$K$608*$V$608</f>
        <v>1643.6000000000001</v>
      </c>
      <c r="AC608" s="6">
        <f>$M$608*$W$608</f>
        <v>0</v>
      </c>
      <c r="AD608" s="6">
        <f>$O$608*$X$608</f>
        <v>0</v>
      </c>
      <c r="AE608" s="6">
        <f ca="1">$K$608*$Y$608</f>
        <v>1884.1512909664345</v>
      </c>
      <c r="AF608" s="6">
        <f>$M$608*$Z$608</f>
        <v>0</v>
      </c>
      <c r="AG608" s="6">
        <f>$O$608*$AA$608</f>
        <v>0</v>
      </c>
    </row>
    <row r="609" spans="1:33" ht="11.25" customHeight="1" x14ac:dyDescent="0.3">
      <c r="A609" s="4" t="s">
        <v>21</v>
      </c>
      <c r="B609" s="4" t="s">
        <v>43</v>
      </c>
      <c r="C609" s="4" t="s">
        <v>41</v>
      </c>
      <c r="D609" s="4" t="s">
        <v>42</v>
      </c>
      <c r="E609" s="4" t="s">
        <v>25</v>
      </c>
      <c r="F609" s="4" t="s">
        <v>25</v>
      </c>
      <c r="G609" s="4" t="s">
        <v>25</v>
      </c>
      <c r="H609" s="4" t="s">
        <v>25</v>
      </c>
      <c r="I609" s="5">
        <v>44621</v>
      </c>
      <c r="J609" s="6">
        <v>140</v>
      </c>
      <c r="K609" s="6">
        <v>140</v>
      </c>
      <c r="L609" s="6">
        <v>0</v>
      </c>
      <c r="M609" s="6">
        <v>0</v>
      </c>
      <c r="N609" s="6">
        <v>0</v>
      </c>
      <c r="O609" s="6">
        <v>0</v>
      </c>
      <c r="P609" s="6">
        <v>2</v>
      </c>
      <c r="Q609" s="4" t="s">
        <v>26</v>
      </c>
      <c r="R609" s="4">
        <v>0</v>
      </c>
      <c r="S609" s="6">
        <v>13</v>
      </c>
      <c r="T609" s="6">
        <v>0</v>
      </c>
      <c r="U609" s="6">
        <v>0</v>
      </c>
      <c r="V609" s="6">
        <f>IF(ISERROR(VLOOKUP($S$609,'TAR FIN'!$A$1:$O$113,15,0)),0,VLOOKUP($S$609,'TAR FIN'!$A$1:$O$113,15,0))</f>
        <v>11.74</v>
      </c>
      <c r="W609" s="6">
        <f>IF(ISERROR(VLOOKUP($T$609,'TAR FIN'!$A$1:$O$113,15,0)),0,VLOOKUP($T$609,'TAR FIN'!$A$1:$O$113,15,0))</f>
        <v>0</v>
      </c>
      <c r="X609" s="6">
        <f>IF(ISERROR(VLOOKUP($U$609,'TAR FIN'!$A$1:$O$113,15,0)),0,VLOOKUP($U$609,'TAR FIN'!$A$1:$O$113,15,0))</f>
        <v>0</v>
      </c>
      <c r="Y609" s="6">
        <f ca="1">('TUSD BE'!$AM$28+'TUSD BF'!$AM$28+'TUSD CVA'!$AM$28)*1</f>
        <v>13.458223506903105</v>
      </c>
      <c r="Z609" s="6"/>
      <c r="AA609" s="6"/>
      <c r="AB609" s="6">
        <f>$K$609*$V$609</f>
        <v>1643.6000000000001</v>
      </c>
      <c r="AC609" s="6">
        <f>$M$609*$W$609</f>
        <v>0</v>
      </c>
      <c r="AD609" s="6">
        <f>$O$609*$X$609</f>
        <v>0</v>
      </c>
      <c r="AE609" s="6">
        <f ca="1">$K$609*$Y$609</f>
        <v>1884.1512909664345</v>
      </c>
      <c r="AF609" s="6">
        <f>$M$609*$Z$609</f>
        <v>0</v>
      </c>
      <c r="AG609" s="6">
        <f>$O$609*$AA$609</f>
        <v>0</v>
      </c>
    </row>
    <row r="610" spans="1:33" ht="11.25" customHeight="1" x14ac:dyDescent="0.3">
      <c r="A610" s="4" t="s">
        <v>21</v>
      </c>
      <c r="B610" s="4" t="s">
        <v>43</v>
      </c>
      <c r="C610" s="4" t="s">
        <v>41</v>
      </c>
      <c r="D610" s="4" t="s">
        <v>42</v>
      </c>
      <c r="E610" s="4" t="s">
        <v>25</v>
      </c>
      <c r="F610" s="4" t="s">
        <v>25</v>
      </c>
      <c r="G610" s="4" t="s">
        <v>25</v>
      </c>
      <c r="H610" s="4" t="s">
        <v>25</v>
      </c>
      <c r="I610" s="5">
        <v>44652</v>
      </c>
      <c r="J610" s="6">
        <v>140</v>
      </c>
      <c r="K610" s="6">
        <v>140</v>
      </c>
      <c r="L610" s="6">
        <v>0</v>
      </c>
      <c r="M610" s="6">
        <v>0</v>
      </c>
      <c r="N610" s="6">
        <v>0</v>
      </c>
      <c r="O610" s="6">
        <v>0</v>
      </c>
      <c r="P610" s="6">
        <v>2</v>
      </c>
      <c r="Q610" s="4" t="s">
        <v>26</v>
      </c>
      <c r="R610" s="4">
        <v>0</v>
      </c>
      <c r="S610" s="6">
        <v>13</v>
      </c>
      <c r="T610" s="6">
        <v>0</v>
      </c>
      <c r="U610" s="6">
        <v>0</v>
      </c>
      <c r="V610" s="6">
        <f>IF(ISERROR(VLOOKUP($S$610,'TAR FIN'!$A$1:$O$113,15,0)),0,VLOOKUP($S$610,'TAR FIN'!$A$1:$O$113,15,0))</f>
        <v>11.74</v>
      </c>
      <c r="W610" s="6">
        <f>IF(ISERROR(VLOOKUP($T$610,'TAR FIN'!$A$1:$O$113,15,0)),0,VLOOKUP($T$610,'TAR FIN'!$A$1:$O$113,15,0))</f>
        <v>0</v>
      </c>
      <c r="X610" s="6">
        <f>IF(ISERROR(VLOOKUP($U$610,'TAR FIN'!$A$1:$O$113,15,0)),0,VLOOKUP($U$610,'TAR FIN'!$A$1:$O$113,15,0))</f>
        <v>0</v>
      </c>
      <c r="Y610" s="6">
        <f ca="1">('TUSD BE'!$AM$28+'TUSD BF'!$AM$28+'TUSD CVA'!$AM$28)*1</f>
        <v>13.458223506903105</v>
      </c>
      <c r="Z610" s="6"/>
      <c r="AA610" s="6"/>
      <c r="AB610" s="6">
        <f>$K$610*$V$610</f>
        <v>1643.6000000000001</v>
      </c>
      <c r="AC610" s="6">
        <f>$M$610*$W$610</f>
        <v>0</v>
      </c>
      <c r="AD610" s="6">
        <f>$O$610*$X$610</f>
        <v>0</v>
      </c>
      <c r="AE610" s="6">
        <f ca="1">$K$610*$Y$610</f>
        <v>1884.1512909664345</v>
      </c>
      <c r="AF610" s="6">
        <f>$M$610*$Z$610</f>
        <v>0</v>
      </c>
      <c r="AG610" s="6">
        <f>$O$610*$AA$610</f>
        <v>0</v>
      </c>
    </row>
    <row r="611" spans="1:33" ht="11.25" customHeight="1" x14ac:dyDescent="0.3">
      <c r="A611" s="4" t="s">
        <v>21</v>
      </c>
      <c r="B611" s="4" t="s">
        <v>43</v>
      </c>
      <c r="C611" s="4" t="s">
        <v>41</v>
      </c>
      <c r="D611" s="4" t="s">
        <v>42</v>
      </c>
      <c r="E611" s="4" t="s">
        <v>25</v>
      </c>
      <c r="F611" s="4" t="s">
        <v>25</v>
      </c>
      <c r="G611" s="4" t="s">
        <v>25</v>
      </c>
      <c r="H611" s="4" t="s">
        <v>25</v>
      </c>
      <c r="I611" s="5">
        <v>44682</v>
      </c>
      <c r="J611" s="6">
        <v>140</v>
      </c>
      <c r="K611" s="6">
        <v>140</v>
      </c>
      <c r="L611" s="6">
        <v>0</v>
      </c>
      <c r="M611" s="6">
        <v>0</v>
      </c>
      <c r="N611" s="6">
        <v>0</v>
      </c>
      <c r="O611" s="6">
        <v>0</v>
      </c>
      <c r="P611" s="6">
        <v>2</v>
      </c>
      <c r="Q611" s="4" t="s">
        <v>26</v>
      </c>
      <c r="R611" s="4">
        <v>0</v>
      </c>
      <c r="S611" s="6">
        <v>13</v>
      </c>
      <c r="T611" s="6">
        <v>0</v>
      </c>
      <c r="U611" s="6">
        <v>0</v>
      </c>
      <c r="V611" s="6">
        <f>IF(ISERROR(VLOOKUP($S$611,'TAR FIN'!$A$1:$O$113,15,0)),0,VLOOKUP($S$611,'TAR FIN'!$A$1:$O$113,15,0))</f>
        <v>11.74</v>
      </c>
      <c r="W611" s="6">
        <f>IF(ISERROR(VLOOKUP($T$611,'TAR FIN'!$A$1:$O$113,15,0)),0,VLOOKUP($T$611,'TAR FIN'!$A$1:$O$113,15,0))</f>
        <v>0</v>
      </c>
      <c r="X611" s="6">
        <f>IF(ISERROR(VLOOKUP($U$611,'TAR FIN'!$A$1:$O$113,15,0)),0,VLOOKUP($U$611,'TAR FIN'!$A$1:$O$113,15,0))</f>
        <v>0</v>
      </c>
      <c r="Y611" s="6">
        <f ca="1">('TUSD BE'!$AM$28+'TUSD BF'!$AM$28+'TUSD CVA'!$AM$28)*1</f>
        <v>13.458223506903105</v>
      </c>
      <c r="Z611" s="6"/>
      <c r="AA611" s="6"/>
      <c r="AB611" s="6">
        <f>$K$611*$V$611</f>
        <v>1643.6000000000001</v>
      </c>
      <c r="AC611" s="6">
        <f>$M$611*$W$611</f>
        <v>0</v>
      </c>
      <c r="AD611" s="6">
        <f>$O$611*$X$611</f>
        <v>0</v>
      </c>
      <c r="AE611" s="6">
        <f ca="1">$K$611*$Y$611</f>
        <v>1884.1512909664345</v>
      </c>
      <c r="AF611" s="6">
        <f>$M$611*$Z$611</f>
        <v>0</v>
      </c>
      <c r="AG611" s="6">
        <f>$O$611*$AA$611</f>
        <v>0</v>
      </c>
    </row>
    <row r="612" spans="1:33" ht="11.25" customHeight="1" x14ac:dyDescent="0.3">
      <c r="A612" s="4" t="s">
        <v>21</v>
      </c>
      <c r="B612" s="4" t="s">
        <v>43</v>
      </c>
      <c r="C612" s="4" t="s">
        <v>41</v>
      </c>
      <c r="D612" s="4" t="s">
        <v>42</v>
      </c>
      <c r="E612" s="4" t="s">
        <v>25</v>
      </c>
      <c r="F612" s="4" t="s">
        <v>25</v>
      </c>
      <c r="G612" s="4" t="s">
        <v>25</v>
      </c>
      <c r="H612" s="4" t="s">
        <v>25</v>
      </c>
      <c r="I612" s="5">
        <v>44713</v>
      </c>
      <c r="J612" s="6">
        <v>140</v>
      </c>
      <c r="K612" s="6">
        <v>140</v>
      </c>
      <c r="L612" s="6">
        <v>0</v>
      </c>
      <c r="M612" s="6">
        <v>0</v>
      </c>
      <c r="N612" s="6">
        <v>0</v>
      </c>
      <c r="O612" s="6">
        <v>0</v>
      </c>
      <c r="P612" s="6">
        <v>2</v>
      </c>
      <c r="Q612" s="4" t="s">
        <v>26</v>
      </c>
      <c r="R612" s="4">
        <v>0</v>
      </c>
      <c r="S612" s="6">
        <v>13</v>
      </c>
      <c r="T612" s="6">
        <v>0</v>
      </c>
      <c r="U612" s="6">
        <v>0</v>
      </c>
      <c r="V612" s="6">
        <f>IF(ISERROR(VLOOKUP($S$612,'TAR FIN'!$A$1:$O$113,15,0)),0,VLOOKUP($S$612,'TAR FIN'!$A$1:$O$113,15,0))</f>
        <v>11.74</v>
      </c>
      <c r="W612" s="6">
        <f>IF(ISERROR(VLOOKUP($T$612,'TAR FIN'!$A$1:$O$113,15,0)),0,VLOOKUP($T$612,'TAR FIN'!$A$1:$O$113,15,0))</f>
        <v>0</v>
      </c>
      <c r="X612" s="6">
        <f>IF(ISERROR(VLOOKUP($U$612,'TAR FIN'!$A$1:$O$113,15,0)),0,VLOOKUP($U$612,'TAR FIN'!$A$1:$O$113,15,0))</f>
        <v>0</v>
      </c>
      <c r="Y612" s="6">
        <f ca="1">('TUSD BE'!$AM$28+'TUSD BF'!$AM$28+'TUSD CVA'!$AM$28)*1</f>
        <v>13.458223506903105</v>
      </c>
      <c r="Z612" s="6"/>
      <c r="AA612" s="6"/>
      <c r="AB612" s="6">
        <f>$K$612*$V$612</f>
        <v>1643.6000000000001</v>
      </c>
      <c r="AC612" s="6">
        <f>$M$612*$W$612</f>
        <v>0</v>
      </c>
      <c r="AD612" s="6">
        <f>$O$612*$X$612</f>
        <v>0</v>
      </c>
      <c r="AE612" s="6">
        <f ca="1">$K$612*$Y$612</f>
        <v>1884.1512909664345</v>
      </c>
      <c r="AF612" s="6">
        <f>$M$612*$Z$612</f>
        <v>0</v>
      </c>
      <c r="AG612" s="6">
        <f>$O$612*$AA$612</f>
        <v>0</v>
      </c>
    </row>
    <row r="613" spans="1:33" ht="11.25" customHeight="1" x14ac:dyDescent="0.3">
      <c r="A613" s="4" t="s">
        <v>21</v>
      </c>
      <c r="B613" s="4" t="s">
        <v>43</v>
      </c>
      <c r="C613" s="4" t="s">
        <v>41</v>
      </c>
      <c r="D613" s="4" t="s">
        <v>42</v>
      </c>
      <c r="E613" s="4" t="s">
        <v>25</v>
      </c>
      <c r="F613" s="4" t="s">
        <v>25</v>
      </c>
      <c r="G613" s="4" t="s">
        <v>25</v>
      </c>
      <c r="H613" s="4" t="s">
        <v>25</v>
      </c>
      <c r="I613" s="5">
        <v>44743</v>
      </c>
      <c r="J613" s="6">
        <v>140</v>
      </c>
      <c r="K613" s="6">
        <v>140</v>
      </c>
      <c r="L613" s="6">
        <v>0</v>
      </c>
      <c r="M613" s="6">
        <v>0</v>
      </c>
      <c r="N613" s="6">
        <v>0</v>
      </c>
      <c r="O613" s="6">
        <v>0</v>
      </c>
      <c r="P613" s="6">
        <v>2</v>
      </c>
      <c r="Q613" s="4" t="s">
        <v>26</v>
      </c>
      <c r="R613" s="4">
        <v>0</v>
      </c>
      <c r="S613" s="6">
        <v>13</v>
      </c>
      <c r="T613" s="6">
        <v>0</v>
      </c>
      <c r="U613" s="6">
        <v>0</v>
      </c>
      <c r="V613" s="6">
        <f>IF(ISERROR(VLOOKUP($S$613,'TAR FIN'!$A$1:$O$113,15,0)),0,VLOOKUP($S$613,'TAR FIN'!$A$1:$O$113,15,0))</f>
        <v>11.74</v>
      </c>
      <c r="W613" s="6">
        <f>IF(ISERROR(VLOOKUP($T$613,'TAR FIN'!$A$1:$O$113,15,0)),0,VLOOKUP($T$613,'TAR FIN'!$A$1:$O$113,15,0))</f>
        <v>0</v>
      </c>
      <c r="X613" s="6">
        <f>IF(ISERROR(VLOOKUP($U$613,'TAR FIN'!$A$1:$O$113,15,0)),0,VLOOKUP($U$613,'TAR FIN'!$A$1:$O$113,15,0))</f>
        <v>0</v>
      </c>
      <c r="Y613" s="6">
        <f ca="1">('TUSD BE'!$AM$28+'TUSD BF'!$AM$28+'TUSD CVA'!$AM$28)*1</f>
        <v>13.458223506903105</v>
      </c>
      <c r="Z613" s="6"/>
      <c r="AA613" s="6"/>
      <c r="AB613" s="6">
        <f>$K$613*$V$613</f>
        <v>1643.6000000000001</v>
      </c>
      <c r="AC613" s="6">
        <f>$M$613*$W$613</f>
        <v>0</v>
      </c>
      <c r="AD613" s="6">
        <f>$O$613*$X$613</f>
        <v>0</v>
      </c>
      <c r="AE613" s="6">
        <f ca="1">$K$613*$Y$613</f>
        <v>1884.1512909664345</v>
      </c>
      <c r="AF613" s="6">
        <f>$M$613*$Z$613</f>
        <v>0</v>
      </c>
      <c r="AG613" s="6">
        <f>$O$613*$AA$613</f>
        <v>0</v>
      </c>
    </row>
    <row r="614" spans="1:33" ht="11.25" customHeight="1" x14ac:dyDescent="0.3">
      <c r="A614" s="4" t="s">
        <v>21</v>
      </c>
      <c r="B614" s="4" t="s">
        <v>43</v>
      </c>
      <c r="C614" s="4" t="s">
        <v>41</v>
      </c>
      <c r="D614" s="4" t="s">
        <v>42</v>
      </c>
      <c r="E614" s="4" t="s">
        <v>25</v>
      </c>
      <c r="F614" s="4" t="s">
        <v>25</v>
      </c>
      <c r="G614" s="4" t="s">
        <v>25</v>
      </c>
      <c r="H614" s="4" t="s">
        <v>25</v>
      </c>
      <c r="I614" s="5">
        <v>44774</v>
      </c>
      <c r="J614" s="6">
        <v>140</v>
      </c>
      <c r="K614" s="6">
        <v>140</v>
      </c>
      <c r="L614" s="6">
        <v>0</v>
      </c>
      <c r="M614" s="6">
        <v>0</v>
      </c>
      <c r="N614" s="6">
        <v>0</v>
      </c>
      <c r="O614" s="6">
        <v>0</v>
      </c>
      <c r="P614" s="6">
        <v>2</v>
      </c>
      <c r="Q614" s="4" t="s">
        <v>26</v>
      </c>
      <c r="R614" s="4">
        <v>0</v>
      </c>
      <c r="S614" s="6">
        <v>13</v>
      </c>
      <c r="T614" s="6">
        <v>0</v>
      </c>
      <c r="U614" s="6">
        <v>0</v>
      </c>
      <c r="V614" s="6">
        <f>IF(ISERROR(VLOOKUP($S$614,'TAR FIN'!$A$1:$O$113,15,0)),0,VLOOKUP($S$614,'TAR FIN'!$A$1:$O$113,15,0))</f>
        <v>11.74</v>
      </c>
      <c r="W614" s="6">
        <f>IF(ISERROR(VLOOKUP($T$614,'TAR FIN'!$A$1:$O$113,15,0)),0,VLOOKUP($T$614,'TAR FIN'!$A$1:$O$113,15,0))</f>
        <v>0</v>
      </c>
      <c r="X614" s="6">
        <f>IF(ISERROR(VLOOKUP($U$614,'TAR FIN'!$A$1:$O$113,15,0)),0,VLOOKUP($U$614,'TAR FIN'!$A$1:$O$113,15,0))</f>
        <v>0</v>
      </c>
      <c r="Y614" s="6">
        <f ca="1">('TUSD BE'!$AM$28+'TUSD BF'!$AM$28+'TUSD CVA'!$AM$28)*1</f>
        <v>13.458223506903105</v>
      </c>
      <c r="Z614" s="6"/>
      <c r="AA614" s="6"/>
      <c r="AB614" s="6">
        <f>$K$614*$V$614</f>
        <v>1643.6000000000001</v>
      </c>
      <c r="AC614" s="6">
        <f>$M$614*$W$614</f>
        <v>0</v>
      </c>
      <c r="AD614" s="6">
        <f>$O$614*$X$614</f>
        <v>0</v>
      </c>
      <c r="AE614" s="6">
        <f ca="1">$K$614*$Y$614</f>
        <v>1884.1512909664345</v>
      </c>
      <c r="AF614" s="6">
        <f>$M$614*$Z$614</f>
        <v>0</v>
      </c>
      <c r="AG614" s="6">
        <f>$O$614*$AA$614</f>
        <v>0</v>
      </c>
    </row>
    <row r="615" spans="1:33" ht="11.25" customHeight="1" x14ac:dyDescent="0.3">
      <c r="A615" s="4" t="s">
        <v>21</v>
      </c>
      <c r="B615" s="4" t="s">
        <v>43</v>
      </c>
      <c r="C615" s="4" t="s">
        <v>41</v>
      </c>
      <c r="D615" s="4" t="s">
        <v>42</v>
      </c>
      <c r="E615" s="4" t="s">
        <v>25</v>
      </c>
      <c r="F615" s="4" t="s">
        <v>25</v>
      </c>
      <c r="G615" s="4" t="s">
        <v>25</v>
      </c>
      <c r="H615" s="4" t="s">
        <v>25</v>
      </c>
      <c r="I615" s="5">
        <v>44805</v>
      </c>
      <c r="J615" s="6">
        <v>140</v>
      </c>
      <c r="K615" s="6">
        <v>140</v>
      </c>
      <c r="L615" s="6">
        <v>0</v>
      </c>
      <c r="M615" s="6">
        <v>0</v>
      </c>
      <c r="N615" s="6">
        <v>0</v>
      </c>
      <c r="O615" s="6">
        <v>0</v>
      </c>
      <c r="P615" s="6">
        <v>2</v>
      </c>
      <c r="Q615" s="4" t="s">
        <v>26</v>
      </c>
      <c r="R615" s="4">
        <v>0</v>
      </c>
      <c r="S615" s="6">
        <v>13</v>
      </c>
      <c r="T615" s="6">
        <v>0</v>
      </c>
      <c r="U615" s="6">
        <v>0</v>
      </c>
      <c r="V615" s="6">
        <f>IF(ISERROR(VLOOKUP($S$615,'TAR FIN'!$A$1:$O$113,15,0)),0,VLOOKUP($S$615,'TAR FIN'!$A$1:$O$113,15,0))</f>
        <v>11.74</v>
      </c>
      <c r="W615" s="6">
        <f>IF(ISERROR(VLOOKUP($T$615,'TAR FIN'!$A$1:$O$113,15,0)),0,VLOOKUP($T$615,'TAR FIN'!$A$1:$O$113,15,0))</f>
        <v>0</v>
      </c>
      <c r="X615" s="6">
        <f>IF(ISERROR(VLOOKUP($U$615,'TAR FIN'!$A$1:$O$113,15,0)),0,VLOOKUP($U$615,'TAR FIN'!$A$1:$O$113,15,0))</f>
        <v>0</v>
      </c>
      <c r="Y615" s="6">
        <f ca="1">('TUSD BE'!$AM$28+'TUSD BF'!$AM$28+'TUSD CVA'!$AM$28)*1</f>
        <v>13.458223506903105</v>
      </c>
      <c r="Z615" s="6"/>
      <c r="AA615" s="6"/>
      <c r="AB615" s="6">
        <f>$K$615*$V$615</f>
        <v>1643.6000000000001</v>
      </c>
      <c r="AC615" s="6">
        <f>$M$615*$W$615</f>
        <v>0</v>
      </c>
      <c r="AD615" s="6">
        <f>$O$615*$X$615</f>
        <v>0</v>
      </c>
      <c r="AE615" s="6">
        <f ca="1">$K$615*$Y$615</f>
        <v>1884.1512909664345</v>
      </c>
      <c r="AF615" s="6">
        <f>$M$615*$Z$615</f>
        <v>0</v>
      </c>
      <c r="AG615" s="6">
        <f>$O$615*$AA$615</f>
        <v>0</v>
      </c>
    </row>
    <row r="616" spans="1:33" ht="11.25" customHeight="1" x14ac:dyDescent="0.3">
      <c r="A616" s="4" t="s">
        <v>53</v>
      </c>
      <c r="B616" s="4" t="s">
        <v>43</v>
      </c>
      <c r="C616" s="4" t="s">
        <v>41</v>
      </c>
      <c r="D616" s="4" t="s">
        <v>42</v>
      </c>
      <c r="E616" s="4" t="s">
        <v>25</v>
      </c>
      <c r="F616" s="4" t="s">
        <v>25</v>
      </c>
      <c r="G616" s="4" t="s">
        <v>25</v>
      </c>
      <c r="H616" s="4" t="s">
        <v>25</v>
      </c>
      <c r="I616" s="5">
        <v>44835</v>
      </c>
      <c r="J616" s="6">
        <v>140</v>
      </c>
      <c r="K616" s="6">
        <v>140</v>
      </c>
      <c r="L616" s="6">
        <v>0</v>
      </c>
      <c r="M616" s="6">
        <v>0</v>
      </c>
      <c r="N616" s="6">
        <v>0</v>
      </c>
      <c r="O616" s="6">
        <v>0</v>
      </c>
      <c r="P616" s="6">
        <v>2</v>
      </c>
      <c r="Q616" s="4" t="s">
        <v>26</v>
      </c>
      <c r="R616" s="4">
        <v>0</v>
      </c>
      <c r="S616" s="6">
        <v>13</v>
      </c>
      <c r="T616" s="6">
        <v>0</v>
      </c>
      <c r="U616" s="6">
        <v>0</v>
      </c>
      <c r="V616" s="6">
        <f>IF(ISERROR(VLOOKUP($S$616,'TAR FIN'!$A$1:$O$113,15,0)),0,VLOOKUP($S$616,'TAR FIN'!$A$1:$O$113,15,0))</f>
        <v>11.74</v>
      </c>
      <c r="W616" s="6">
        <f>IF(ISERROR(VLOOKUP($T$616,'TAR FIN'!$A$1:$O$113,15,0)),0,VLOOKUP($T$616,'TAR FIN'!$A$1:$O$113,15,0))</f>
        <v>0</v>
      </c>
      <c r="X616" s="6">
        <f>IF(ISERROR(VLOOKUP($U$616,'TAR FIN'!$A$1:$O$113,15,0)),0,VLOOKUP($U$616,'TAR FIN'!$A$1:$O$113,15,0))</f>
        <v>0</v>
      </c>
      <c r="Y616" s="6">
        <f ca="1">('TUSD BE'!$AM$28+'TUSD BF'!$AM$28+'TUSD CVA'!$AM$28)*1</f>
        <v>13.458223506903105</v>
      </c>
      <c r="Z616" s="6"/>
      <c r="AA616" s="6"/>
      <c r="AB616" s="6">
        <f>$K$616*$V$616</f>
        <v>1643.6000000000001</v>
      </c>
      <c r="AC616" s="6">
        <f>$M$616*$W$616</f>
        <v>0</v>
      </c>
      <c r="AD616" s="6">
        <f>$O$616*$X$616</f>
        <v>0</v>
      </c>
      <c r="AE616" s="6">
        <f ca="1">$K$616*$Y$616</f>
        <v>1884.1512909664345</v>
      </c>
      <c r="AF616" s="6">
        <f>$M$616*$Z$616</f>
        <v>0</v>
      </c>
      <c r="AG616" s="6">
        <f>$O$616*$AA$616</f>
        <v>0</v>
      </c>
    </row>
    <row r="617" spans="1:33" ht="11.25" customHeight="1" x14ac:dyDescent="0.3">
      <c r="A617" s="4" t="s">
        <v>21</v>
      </c>
      <c r="B617" s="4" t="s">
        <v>43</v>
      </c>
      <c r="C617" s="4" t="s">
        <v>41</v>
      </c>
      <c r="D617" s="4" t="s">
        <v>42</v>
      </c>
      <c r="E617" s="4" t="s">
        <v>25</v>
      </c>
      <c r="F617" s="4" t="s">
        <v>25</v>
      </c>
      <c r="G617" s="4" t="s">
        <v>25</v>
      </c>
      <c r="H617" s="4" t="s">
        <v>34</v>
      </c>
      <c r="I617" s="5">
        <v>44501</v>
      </c>
      <c r="J617" s="6">
        <v>0</v>
      </c>
      <c r="K617" s="6">
        <v>0</v>
      </c>
      <c r="L617" s="6">
        <v>4.8680000000000003</v>
      </c>
      <c r="M617" s="6">
        <v>4.8680000000000003</v>
      </c>
      <c r="N617" s="6">
        <v>4.8680000000000003</v>
      </c>
      <c r="O617" s="6">
        <v>4.8680000000000003</v>
      </c>
      <c r="P617" s="6">
        <v>0</v>
      </c>
      <c r="Q617" s="4" t="s">
        <v>26</v>
      </c>
      <c r="R617" s="4">
        <v>0</v>
      </c>
      <c r="S617" s="6">
        <v>0</v>
      </c>
      <c r="T617" s="6">
        <v>32</v>
      </c>
      <c r="U617" s="6">
        <v>92</v>
      </c>
      <c r="V617" s="6">
        <f>IF(ISERROR(VLOOKUP($S$617,'TAR FIN'!$A$1:$O$113,15,0)),0,VLOOKUP($S$617,'TAR FIN'!$A$1:$O$113,15,0))</f>
        <v>0</v>
      </c>
      <c r="W617" s="6">
        <f>IF(ISERROR(VLOOKUP($T$617,'TAR FIN'!$A$1:$O$113,15,0)),0,VLOOKUP($T$617,'TAR FIN'!$A$1:$O$113,15,0))</f>
        <v>1604.46</v>
      </c>
      <c r="X617" s="6">
        <f>IF(ISERROR(VLOOKUP($U$617,'TAR FIN'!$A$1:$O$113,15,0)),0,VLOOKUP($U$617,'TAR FIN'!$A$1:$O$113,15,0))</f>
        <v>442.86</v>
      </c>
      <c r="Y617" s="6"/>
      <c r="Z617" s="6">
        <f ca="1">('TUSD BE'!$AM$29+'TUSD BF'!$AM$29+'TUSD CVA'!$AM$29)*1</f>
        <v>1888.1712570698433</v>
      </c>
      <c r="AA617" s="6">
        <f>('TE BE'!$AB$12+'TE BF'!$AB$12+'TE CVA'!$AB$12)*1</f>
        <v>486.43608405794748</v>
      </c>
      <c r="AB617" s="6">
        <f>$K$617*$V$617</f>
        <v>0</v>
      </c>
      <c r="AC617" s="6">
        <f>$M$617*$W$617</f>
        <v>7810.5112800000006</v>
      </c>
      <c r="AD617" s="6">
        <f>$O$617*$X$617</f>
        <v>2155.8424800000003</v>
      </c>
      <c r="AE617" s="6">
        <f>$K$617*$Y$617</f>
        <v>0</v>
      </c>
      <c r="AF617" s="6">
        <f ca="1">$M$617*$Z$617</f>
        <v>9191.6176794159983</v>
      </c>
      <c r="AG617" s="6">
        <f>$O$617*$AA$617</f>
        <v>2367.9708571940887</v>
      </c>
    </row>
    <row r="618" spans="1:33" ht="11.25" customHeight="1" x14ac:dyDescent="0.3">
      <c r="A618" s="4" t="s">
        <v>21</v>
      </c>
      <c r="B618" s="4" t="s">
        <v>43</v>
      </c>
      <c r="C618" s="4" t="s">
        <v>41</v>
      </c>
      <c r="D618" s="4" t="s">
        <v>42</v>
      </c>
      <c r="E618" s="4" t="s">
        <v>25</v>
      </c>
      <c r="F618" s="4" t="s">
        <v>25</v>
      </c>
      <c r="G618" s="4" t="s">
        <v>25</v>
      </c>
      <c r="H618" s="4" t="s">
        <v>34</v>
      </c>
      <c r="I618" s="5">
        <v>44531</v>
      </c>
      <c r="J618" s="6">
        <v>0</v>
      </c>
      <c r="K618" s="6">
        <v>0</v>
      </c>
      <c r="L618" s="6">
        <v>1.2549999999999999</v>
      </c>
      <c r="M618" s="6">
        <v>1.2549999999999999</v>
      </c>
      <c r="N618" s="6">
        <v>1.2549999999999999</v>
      </c>
      <c r="O618" s="6">
        <v>1.2549999999999999</v>
      </c>
      <c r="P618" s="6">
        <v>0</v>
      </c>
      <c r="Q618" s="4" t="s">
        <v>26</v>
      </c>
      <c r="R618" s="4">
        <v>0</v>
      </c>
      <c r="S618" s="6">
        <v>0</v>
      </c>
      <c r="T618" s="6">
        <v>32</v>
      </c>
      <c r="U618" s="6">
        <v>92</v>
      </c>
      <c r="V618" s="6">
        <f>IF(ISERROR(VLOOKUP($S$618,'TAR FIN'!$A$1:$O$113,15,0)),0,VLOOKUP($S$618,'TAR FIN'!$A$1:$O$113,15,0))</f>
        <v>0</v>
      </c>
      <c r="W618" s="6">
        <f>IF(ISERROR(VLOOKUP($T$618,'TAR FIN'!$A$1:$O$113,15,0)),0,VLOOKUP($T$618,'TAR FIN'!$A$1:$O$113,15,0))</f>
        <v>1604.46</v>
      </c>
      <c r="X618" s="6">
        <f>IF(ISERROR(VLOOKUP($U$618,'TAR FIN'!$A$1:$O$113,15,0)),0,VLOOKUP($U$618,'TAR FIN'!$A$1:$O$113,15,0))</f>
        <v>442.86</v>
      </c>
      <c r="Y618" s="6"/>
      <c r="Z618" s="6">
        <f ca="1">('TUSD BE'!$AM$29+'TUSD BF'!$AM$29+'TUSD CVA'!$AM$29)*1</f>
        <v>1888.1712570698433</v>
      </c>
      <c r="AA618" s="6">
        <f>('TE BE'!$AB$12+'TE BF'!$AB$12+'TE CVA'!$AB$12)*1</f>
        <v>486.43608405794748</v>
      </c>
      <c r="AB618" s="6">
        <f>$K$618*$V$618</f>
        <v>0</v>
      </c>
      <c r="AC618" s="6">
        <f>$M$618*$W$618</f>
        <v>2013.5972999999999</v>
      </c>
      <c r="AD618" s="6">
        <f>$O$618*$X$618</f>
        <v>555.78930000000003</v>
      </c>
      <c r="AE618" s="6">
        <f>$K$618*$Y$618</f>
        <v>0</v>
      </c>
      <c r="AF618" s="6">
        <f ca="1">$M$618*$Z$618</f>
        <v>2369.6549276226533</v>
      </c>
      <c r="AG618" s="6">
        <f>$O$618*$AA$618</f>
        <v>610.47728549272404</v>
      </c>
    </row>
    <row r="619" spans="1:33" ht="11.25" customHeight="1" x14ac:dyDescent="0.3">
      <c r="A619" s="4" t="s">
        <v>21</v>
      </c>
      <c r="B619" s="4" t="s">
        <v>43</v>
      </c>
      <c r="C619" s="4" t="s">
        <v>41</v>
      </c>
      <c r="D619" s="4" t="s">
        <v>42</v>
      </c>
      <c r="E619" s="4" t="s">
        <v>25</v>
      </c>
      <c r="F619" s="4" t="s">
        <v>25</v>
      </c>
      <c r="G619" s="4" t="s">
        <v>25</v>
      </c>
      <c r="H619" s="4" t="s">
        <v>34</v>
      </c>
      <c r="I619" s="5">
        <v>44562</v>
      </c>
      <c r="J619" s="6">
        <v>0</v>
      </c>
      <c r="K619" s="6">
        <v>0</v>
      </c>
      <c r="L619" s="6">
        <v>1.3480000000000001</v>
      </c>
      <c r="M619" s="6">
        <v>1.3480000000000001</v>
      </c>
      <c r="N619" s="6">
        <v>1.3480000000000001</v>
      </c>
      <c r="O619" s="6">
        <v>1.3480000000000001</v>
      </c>
      <c r="P619" s="6">
        <v>0</v>
      </c>
      <c r="Q619" s="4" t="s">
        <v>26</v>
      </c>
      <c r="R619" s="4">
        <v>0</v>
      </c>
      <c r="S619" s="6">
        <v>0</v>
      </c>
      <c r="T619" s="6">
        <v>32</v>
      </c>
      <c r="U619" s="6">
        <v>92</v>
      </c>
      <c r="V619" s="6">
        <f>IF(ISERROR(VLOOKUP($S$619,'TAR FIN'!$A$1:$O$113,15,0)),0,VLOOKUP($S$619,'TAR FIN'!$A$1:$O$113,15,0))</f>
        <v>0</v>
      </c>
      <c r="W619" s="6">
        <f>IF(ISERROR(VLOOKUP($T$619,'TAR FIN'!$A$1:$O$113,15,0)),0,VLOOKUP($T$619,'TAR FIN'!$A$1:$O$113,15,0))</f>
        <v>1604.46</v>
      </c>
      <c r="X619" s="6">
        <f>IF(ISERROR(VLOOKUP($U$619,'TAR FIN'!$A$1:$O$113,15,0)),0,VLOOKUP($U$619,'TAR FIN'!$A$1:$O$113,15,0))</f>
        <v>442.86</v>
      </c>
      <c r="Y619" s="6"/>
      <c r="Z619" s="6">
        <f ca="1">('TUSD BE'!$AM$29+'TUSD BF'!$AM$29+'TUSD CVA'!$AM$29)*1</f>
        <v>1888.1712570698433</v>
      </c>
      <c r="AA619" s="6">
        <f>('TE BE'!$AB$12+'TE BF'!$AB$12+'TE CVA'!$AB$12)*1</f>
        <v>486.43608405794748</v>
      </c>
      <c r="AB619" s="6">
        <f>$K$619*$V$619</f>
        <v>0</v>
      </c>
      <c r="AC619" s="6">
        <f>$M$619*$W$619</f>
        <v>2162.8120800000002</v>
      </c>
      <c r="AD619" s="6">
        <f>$O$619*$X$619</f>
        <v>596.97528000000011</v>
      </c>
      <c r="AE619" s="6">
        <f>$K$619*$Y$619</f>
        <v>0</v>
      </c>
      <c r="AF619" s="6">
        <f ca="1">$M$619*$Z$619</f>
        <v>2545.2548545301488</v>
      </c>
      <c r="AG619" s="6">
        <f>$O$619*$AA$619</f>
        <v>655.71584131011321</v>
      </c>
    </row>
    <row r="620" spans="1:33" ht="11.25" customHeight="1" x14ac:dyDescent="0.3">
      <c r="A620" s="4" t="s">
        <v>21</v>
      </c>
      <c r="B620" s="4" t="s">
        <v>43</v>
      </c>
      <c r="C620" s="4" t="s">
        <v>41</v>
      </c>
      <c r="D620" s="4" t="s">
        <v>42</v>
      </c>
      <c r="E620" s="4" t="s">
        <v>25</v>
      </c>
      <c r="F620" s="4" t="s">
        <v>25</v>
      </c>
      <c r="G620" s="4" t="s">
        <v>25</v>
      </c>
      <c r="H620" s="4" t="s">
        <v>34</v>
      </c>
      <c r="I620" s="5">
        <v>44593</v>
      </c>
      <c r="J620" s="6">
        <v>0</v>
      </c>
      <c r="K620" s="6">
        <v>0</v>
      </c>
      <c r="L620" s="6">
        <v>1.35</v>
      </c>
      <c r="M620" s="6">
        <v>1.35</v>
      </c>
      <c r="N620" s="6">
        <v>1.35</v>
      </c>
      <c r="O620" s="6">
        <v>1.35</v>
      </c>
      <c r="P620" s="6">
        <v>0</v>
      </c>
      <c r="Q620" s="4" t="s">
        <v>26</v>
      </c>
      <c r="R620" s="4">
        <v>0</v>
      </c>
      <c r="S620" s="6">
        <v>0</v>
      </c>
      <c r="T620" s="6">
        <v>32</v>
      </c>
      <c r="U620" s="6">
        <v>92</v>
      </c>
      <c r="V620" s="6">
        <f>IF(ISERROR(VLOOKUP($S$620,'TAR FIN'!$A$1:$O$113,15,0)),0,VLOOKUP($S$620,'TAR FIN'!$A$1:$O$113,15,0))</f>
        <v>0</v>
      </c>
      <c r="W620" s="6">
        <f>IF(ISERROR(VLOOKUP($T$620,'TAR FIN'!$A$1:$O$113,15,0)),0,VLOOKUP($T$620,'TAR FIN'!$A$1:$O$113,15,0))</f>
        <v>1604.46</v>
      </c>
      <c r="X620" s="6">
        <f>IF(ISERROR(VLOOKUP($U$620,'TAR FIN'!$A$1:$O$113,15,0)),0,VLOOKUP($U$620,'TAR FIN'!$A$1:$O$113,15,0))</f>
        <v>442.86</v>
      </c>
      <c r="Y620" s="6"/>
      <c r="Z620" s="6">
        <f ca="1">('TUSD BE'!$AM$29+'TUSD BF'!$AM$29+'TUSD CVA'!$AM$29)*1</f>
        <v>1888.1712570698433</v>
      </c>
      <c r="AA620" s="6">
        <f>('TE BE'!$AB$12+'TE BF'!$AB$12+'TE CVA'!$AB$12)*1</f>
        <v>486.43608405794748</v>
      </c>
      <c r="AB620" s="6">
        <f>$K$620*$V$620</f>
        <v>0</v>
      </c>
      <c r="AC620" s="6">
        <f>$M$620*$W$620</f>
        <v>2166.0210000000002</v>
      </c>
      <c r="AD620" s="6">
        <f>$O$620*$X$620</f>
        <v>597.8610000000001</v>
      </c>
      <c r="AE620" s="6">
        <f>$K$620*$Y$620</f>
        <v>0</v>
      </c>
      <c r="AF620" s="6">
        <f ca="1">$M$620*$Z$620</f>
        <v>2549.0311970442885</v>
      </c>
      <c r="AG620" s="6">
        <f>$O$620*$AA$620</f>
        <v>656.68871347822915</v>
      </c>
    </row>
    <row r="621" spans="1:33" ht="11.25" customHeight="1" x14ac:dyDescent="0.3">
      <c r="A621" s="4" t="s">
        <v>21</v>
      </c>
      <c r="B621" s="4" t="s">
        <v>43</v>
      </c>
      <c r="C621" s="4" t="s">
        <v>41</v>
      </c>
      <c r="D621" s="4" t="s">
        <v>42</v>
      </c>
      <c r="E621" s="4" t="s">
        <v>25</v>
      </c>
      <c r="F621" s="4" t="s">
        <v>25</v>
      </c>
      <c r="G621" s="4" t="s">
        <v>25</v>
      </c>
      <c r="H621" s="4" t="s">
        <v>34</v>
      </c>
      <c r="I621" s="5">
        <v>44621</v>
      </c>
      <c r="J621" s="6">
        <v>0</v>
      </c>
      <c r="K621" s="6">
        <v>0</v>
      </c>
      <c r="L621" s="6">
        <v>1.1910000000000001</v>
      </c>
      <c r="M621" s="6">
        <v>1.1910000000000001</v>
      </c>
      <c r="N621" s="6">
        <v>1.1910000000000001</v>
      </c>
      <c r="O621" s="6">
        <v>1.1910000000000001</v>
      </c>
      <c r="P621" s="6">
        <v>0</v>
      </c>
      <c r="Q621" s="4" t="s">
        <v>26</v>
      </c>
      <c r="R621" s="4">
        <v>0</v>
      </c>
      <c r="S621" s="6">
        <v>0</v>
      </c>
      <c r="T621" s="6">
        <v>32</v>
      </c>
      <c r="U621" s="6">
        <v>92</v>
      </c>
      <c r="V621" s="6">
        <f>IF(ISERROR(VLOOKUP($S$621,'TAR FIN'!$A$1:$O$113,15,0)),0,VLOOKUP($S$621,'TAR FIN'!$A$1:$O$113,15,0))</f>
        <v>0</v>
      </c>
      <c r="W621" s="6">
        <f>IF(ISERROR(VLOOKUP($T$621,'TAR FIN'!$A$1:$O$113,15,0)),0,VLOOKUP($T$621,'TAR FIN'!$A$1:$O$113,15,0))</f>
        <v>1604.46</v>
      </c>
      <c r="X621" s="6">
        <f>IF(ISERROR(VLOOKUP($U$621,'TAR FIN'!$A$1:$O$113,15,0)),0,VLOOKUP($U$621,'TAR FIN'!$A$1:$O$113,15,0))</f>
        <v>442.86</v>
      </c>
      <c r="Y621" s="6"/>
      <c r="Z621" s="6">
        <f ca="1">('TUSD BE'!$AM$29+'TUSD BF'!$AM$29+'TUSD CVA'!$AM$29)*1</f>
        <v>1888.1712570698433</v>
      </c>
      <c r="AA621" s="6">
        <f>('TE BE'!$AB$12+'TE BF'!$AB$12+'TE CVA'!$AB$12)*1</f>
        <v>486.43608405794748</v>
      </c>
      <c r="AB621" s="6">
        <f>$K$621*$V$621</f>
        <v>0</v>
      </c>
      <c r="AC621" s="6">
        <f>$M$621*$W$621</f>
        <v>1910.9118600000002</v>
      </c>
      <c r="AD621" s="6">
        <f>$O$621*$X$621</f>
        <v>527.44626000000005</v>
      </c>
      <c r="AE621" s="6">
        <f>$K$621*$Y$621</f>
        <v>0</v>
      </c>
      <c r="AF621" s="6">
        <f ca="1">$M$621*$Z$621</f>
        <v>2248.8119671701834</v>
      </c>
      <c r="AG621" s="6">
        <f>$O$621*$AA$621</f>
        <v>579.3453761130155</v>
      </c>
    </row>
    <row r="622" spans="1:33" ht="11.25" customHeight="1" x14ac:dyDescent="0.3">
      <c r="A622" s="4" t="s">
        <v>21</v>
      </c>
      <c r="B622" s="4" t="s">
        <v>43</v>
      </c>
      <c r="C622" s="4" t="s">
        <v>41</v>
      </c>
      <c r="D622" s="4" t="s">
        <v>42</v>
      </c>
      <c r="E622" s="4" t="s">
        <v>25</v>
      </c>
      <c r="F622" s="4" t="s">
        <v>25</v>
      </c>
      <c r="G622" s="4" t="s">
        <v>25</v>
      </c>
      <c r="H622" s="4" t="s">
        <v>34</v>
      </c>
      <c r="I622" s="5">
        <v>44652</v>
      </c>
      <c r="J622" s="6">
        <v>0</v>
      </c>
      <c r="K622" s="6">
        <v>0</v>
      </c>
      <c r="L622" s="6">
        <v>1.3779999999999999</v>
      </c>
      <c r="M622" s="6">
        <v>1.3779999999999999</v>
      </c>
      <c r="N622" s="6">
        <v>1.3779999999999999</v>
      </c>
      <c r="O622" s="6">
        <v>1.3779999999999999</v>
      </c>
      <c r="P622" s="6">
        <v>0</v>
      </c>
      <c r="Q622" s="4" t="s">
        <v>26</v>
      </c>
      <c r="R622" s="4">
        <v>0</v>
      </c>
      <c r="S622" s="6">
        <v>0</v>
      </c>
      <c r="T622" s="6">
        <v>32</v>
      </c>
      <c r="U622" s="6">
        <v>92</v>
      </c>
      <c r="V622" s="6">
        <f>IF(ISERROR(VLOOKUP($S$622,'TAR FIN'!$A$1:$O$113,15,0)),0,VLOOKUP($S$622,'TAR FIN'!$A$1:$O$113,15,0))</f>
        <v>0</v>
      </c>
      <c r="W622" s="6">
        <f>IF(ISERROR(VLOOKUP($T$622,'TAR FIN'!$A$1:$O$113,15,0)),0,VLOOKUP($T$622,'TAR FIN'!$A$1:$O$113,15,0))</f>
        <v>1604.46</v>
      </c>
      <c r="X622" s="6">
        <f>IF(ISERROR(VLOOKUP($U$622,'TAR FIN'!$A$1:$O$113,15,0)),0,VLOOKUP($U$622,'TAR FIN'!$A$1:$O$113,15,0))</f>
        <v>442.86</v>
      </c>
      <c r="Y622" s="6"/>
      <c r="Z622" s="6">
        <f ca="1">('TUSD BE'!$AM$29+'TUSD BF'!$AM$29+'TUSD CVA'!$AM$29)*1</f>
        <v>1888.1712570698433</v>
      </c>
      <c r="AA622" s="6">
        <f>('TE BE'!$AB$12+'TE BF'!$AB$12+'TE CVA'!$AB$12)*1</f>
        <v>486.43608405794748</v>
      </c>
      <c r="AB622" s="6">
        <f>$K$622*$V$622</f>
        <v>0</v>
      </c>
      <c r="AC622" s="6">
        <f>$M$622*$W$622</f>
        <v>2210.9458799999998</v>
      </c>
      <c r="AD622" s="6">
        <f>$O$622*$X$622</f>
        <v>610.26107999999999</v>
      </c>
      <c r="AE622" s="6">
        <f>$K$622*$Y$622</f>
        <v>0</v>
      </c>
      <c r="AF622" s="6">
        <f ca="1">$M$622*$Z$622</f>
        <v>2601.8999922422436</v>
      </c>
      <c r="AG622" s="6">
        <f>$O$622*$AA$622</f>
        <v>670.30892383185153</v>
      </c>
    </row>
    <row r="623" spans="1:33" ht="11.25" customHeight="1" x14ac:dyDescent="0.3">
      <c r="A623" s="4" t="s">
        <v>21</v>
      </c>
      <c r="B623" s="4" t="s">
        <v>43</v>
      </c>
      <c r="C623" s="4" t="s">
        <v>41</v>
      </c>
      <c r="D623" s="4" t="s">
        <v>42</v>
      </c>
      <c r="E623" s="4" t="s">
        <v>25</v>
      </c>
      <c r="F623" s="4" t="s">
        <v>25</v>
      </c>
      <c r="G623" s="4" t="s">
        <v>25</v>
      </c>
      <c r="H623" s="4" t="s">
        <v>34</v>
      </c>
      <c r="I623" s="5">
        <v>44682</v>
      </c>
      <c r="J623" s="6">
        <v>0</v>
      </c>
      <c r="K623" s="6">
        <v>0</v>
      </c>
      <c r="L623" s="6">
        <v>1.228</v>
      </c>
      <c r="M623" s="6">
        <v>1.228</v>
      </c>
      <c r="N623" s="6">
        <v>1.228</v>
      </c>
      <c r="O623" s="6">
        <v>1.228</v>
      </c>
      <c r="P623" s="6">
        <v>0</v>
      </c>
      <c r="Q623" s="4" t="s">
        <v>26</v>
      </c>
      <c r="R623" s="4">
        <v>0</v>
      </c>
      <c r="S623" s="6">
        <v>0</v>
      </c>
      <c r="T623" s="6">
        <v>32</v>
      </c>
      <c r="U623" s="6">
        <v>92</v>
      </c>
      <c r="V623" s="6">
        <f>IF(ISERROR(VLOOKUP($S$623,'TAR FIN'!$A$1:$O$113,15,0)),0,VLOOKUP($S$623,'TAR FIN'!$A$1:$O$113,15,0))</f>
        <v>0</v>
      </c>
      <c r="W623" s="6">
        <f>IF(ISERROR(VLOOKUP($T$623,'TAR FIN'!$A$1:$O$113,15,0)),0,VLOOKUP($T$623,'TAR FIN'!$A$1:$O$113,15,0))</f>
        <v>1604.46</v>
      </c>
      <c r="X623" s="6">
        <f>IF(ISERROR(VLOOKUP($U$623,'TAR FIN'!$A$1:$O$113,15,0)),0,VLOOKUP($U$623,'TAR FIN'!$A$1:$O$113,15,0))</f>
        <v>442.86</v>
      </c>
      <c r="Y623" s="6"/>
      <c r="Z623" s="6">
        <f ca="1">('TUSD BE'!$AM$29+'TUSD BF'!$AM$29+'TUSD CVA'!$AM$29)*1</f>
        <v>1888.1712570698433</v>
      </c>
      <c r="AA623" s="6">
        <f>('TE BE'!$AB$12+'TE BF'!$AB$12+'TE CVA'!$AB$12)*1</f>
        <v>486.43608405794748</v>
      </c>
      <c r="AB623" s="6">
        <f>$K$623*$V$623</f>
        <v>0</v>
      </c>
      <c r="AC623" s="6">
        <f>$M$623*$W$623</f>
        <v>1970.2768800000001</v>
      </c>
      <c r="AD623" s="6">
        <f>$O$623*$X$623</f>
        <v>543.83208000000002</v>
      </c>
      <c r="AE623" s="6">
        <f>$K$623*$Y$623</f>
        <v>0</v>
      </c>
      <c r="AF623" s="6">
        <f ca="1">$M$623*$Z$623</f>
        <v>2318.6743036817675</v>
      </c>
      <c r="AG623" s="6">
        <f>$O$623*$AA$623</f>
        <v>597.34351122315945</v>
      </c>
    </row>
    <row r="624" spans="1:33" ht="11.25" customHeight="1" x14ac:dyDescent="0.3">
      <c r="A624" s="4" t="s">
        <v>21</v>
      </c>
      <c r="B624" s="4" t="s">
        <v>43</v>
      </c>
      <c r="C624" s="4" t="s">
        <v>41</v>
      </c>
      <c r="D624" s="4" t="s">
        <v>42</v>
      </c>
      <c r="E624" s="4" t="s">
        <v>25</v>
      </c>
      <c r="F624" s="4" t="s">
        <v>25</v>
      </c>
      <c r="G624" s="4" t="s">
        <v>25</v>
      </c>
      <c r="H624" s="4" t="s">
        <v>34</v>
      </c>
      <c r="I624" s="5">
        <v>44713</v>
      </c>
      <c r="J624" s="6">
        <v>0</v>
      </c>
      <c r="K624" s="6">
        <v>0</v>
      </c>
      <c r="L624" s="6">
        <v>1.1259999999999999</v>
      </c>
      <c r="M624" s="6">
        <v>1.1259999999999999</v>
      </c>
      <c r="N624" s="6">
        <v>1.1259999999999999</v>
      </c>
      <c r="O624" s="6">
        <v>1.1259999999999999</v>
      </c>
      <c r="P624" s="6">
        <v>0</v>
      </c>
      <c r="Q624" s="4" t="s">
        <v>26</v>
      </c>
      <c r="R624" s="4">
        <v>0</v>
      </c>
      <c r="S624" s="6">
        <v>0</v>
      </c>
      <c r="T624" s="6">
        <v>32</v>
      </c>
      <c r="U624" s="6">
        <v>92</v>
      </c>
      <c r="V624" s="6">
        <f>IF(ISERROR(VLOOKUP($S$624,'TAR FIN'!$A$1:$O$113,15,0)),0,VLOOKUP($S$624,'TAR FIN'!$A$1:$O$113,15,0))</f>
        <v>0</v>
      </c>
      <c r="W624" s="6">
        <f>IF(ISERROR(VLOOKUP($T$624,'TAR FIN'!$A$1:$O$113,15,0)),0,VLOOKUP($T$624,'TAR FIN'!$A$1:$O$113,15,0))</f>
        <v>1604.46</v>
      </c>
      <c r="X624" s="6">
        <f>IF(ISERROR(VLOOKUP($U$624,'TAR FIN'!$A$1:$O$113,15,0)),0,VLOOKUP($U$624,'TAR FIN'!$A$1:$O$113,15,0))</f>
        <v>442.86</v>
      </c>
      <c r="Y624" s="6"/>
      <c r="Z624" s="6">
        <f ca="1">('TUSD BE'!$AM$29+'TUSD BF'!$AM$29+'TUSD CVA'!$AM$29)*1</f>
        <v>1888.1712570698433</v>
      </c>
      <c r="AA624" s="6">
        <f>('TE BE'!$AB$12+'TE BF'!$AB$12+'TE CVA'!$AB$12)*1</f>
        <v>486.43608405794748</v>
      </c>
      <c r="AB624" s="6">
        <f>$K$624*$V$624</f>
        <v>0</v>
      </c>
      <c r="AC624" s="6">
        <f>$M$624*$W$624</f>
        <v>1806.6219599999999</v>
      </c>
      <c r="AD624" s="6">
        <f>$O$624*$X$624</f>
        <v>498.66035999999997</v>
      </c>
      <c r="AE624" s="6">
        <f>$K$624*$Y$624</f>
        <v>0</v>
      </c>
      <c r="AF624" s="6">
        <f ca="1">$M$624*$Z$624</f>
        <v>2126.0808354606434</v>
      </c>
      <c r="AG624" s="6">
        <f>$O$624*$AA$624</f>
        <v>547.72703064924883</v>
      </c>
    </row>
    <row r="625" spans="1:33" ht="11.25" customHeight="1" x14ac:dyDescent="0.3">
      <c r="A625" s="4" t="s">
        <v>21</v>
      </c>
      <c r="B625" s="4" t="s">
        <v>43</v>
      </c>
      <c r="C625" s="4" t="s">
        <v>41</v>
      </c>
      <c r="D625" s="4" t="s">
        <v>42</v>
      </c>
      <c r="E625" s="4" t="s">
        <v>25</v>
      </c>
      <c r="F625" s="4" t="s">
        <v>25</v>
      </c>
      <c r="G625" s="4" t="s">
        <v>25</v>
      </c>
      <c r="H625" s="4" t="s">
        <v>34</v>
      </c>
      <c r="I625" s="5">
        <v>44743</v>
      </c>
      <c r="J625" s="6">
        <v>0</v>
      </c>
      <c r="K625" s="6">
        <v>0</v>
      </c>
      <c r="L625" s="6">
        <v>0.96099999999999997</v>
      </c>
      <c r="M625" s="6">
        <v>0.96099999999999997</v>
      </c>
      <c r="N625" s="6">
        <v>0.96099999999999997</v>
      </c>
      <c r="O625" s="6">
        <v>0.96099999999999997</v>
      </c>
      <c r="P625" s="6">
        <v>0</v>
      </c>
      <c r="Q625" s="4" t="s">
        <v>26</v>
      </c>
      <c r="R625" s="4">
        <v>0</v>
      </c>
      <c r="S625" s="6">
        <v>0</v>
      </c>
      <c r="T625" s="6">
        <v>32</v>
      </c>
      <c r="U625" s="6">
        <v>92</v>
      </c>
      <c r="V625" s="6">
        <f>IF(ISERROR(VLOOKUP($S$625,'TAR FIN'!$A$1:$O$113,15,0)),0,VLOOKUP($S$625,'TAR FIN'!$A$1:$O$113,15,0))</f>
        <v>0</v>
      </c>
      <c r="W625" s="6">
        <f>IF(ISERROR(VLOOKUP($T$625,'TAR FIN'!$A$1:$O$113,15,0)),0,VLOOKUP($T$625,'TAR FIN'!$A$1:$O$113,15,0))</f>
        <v>1604.46</v>
      </c>
      <c r="X625" s="6">
        <f>IF(ISERROR(VLOOKUP($U$625,'TAR FIN'!$A$1:$O$113,15,0)),0,VLOOKUP($U$625,'TAR FIN'!$A$1:$O$113,15,0))</f>
        <v>442.86</v>
      </c>
      <c r="Y625" s="6"/>
      <c r="Z625" s="6">
        <f ca="1">('TUSD BE'!$AM$29+'TUSD BF'!$AM$29+'TUSD CVA'!$AM$29)*1</f>
        <v>1888.1712570698433</v>
      </c>
      <c r="AA625" s="6">
        <f>('TE BE'!$AB$12+'TE BF'!$AB$12+'TE CVA'!$AB$12)*1</f>
        <v>486.43608405794748</v>
      </c>
      <c r="AB625" s="6">
        <f>$K$625*$V$625</f>
        <v>0</v>
      </c>
      <c r="AC625" s="6">
        <f>$M$625*$W$625</f>
        <v>1541.88606</v>
      </c>
      <c r="AD625" s="6">
        <f>$O$625*$X$625</f>
        <v>425.58846</v>
      </c>
      <c r="AE625" s="6">
        <f>$K$625*$Y$625</f>
        <v>0</v>
      </c>
      <c r="AF625" s="6">
        <f ca="1">$M$625*$Z$625</f>
        <v>1814.5325780441192</v>
      </c>
      <c r="AG625" s="6">
        <f>$O$625*$AA$625</f>
        <v>467.46507677968754</v>
      </c>
    </row>
    <row r="626" spans="1:33" ht="11.25" customHeight="1" x14ac:dyDescent="0.3">
      <c r="A626" s="4" t="s">
        <v>21</v>
      </c>
      <c r="B626" s="4" t="s">
        <v>43</v>
      </c>
      <c r="C626" s="4" t="s">
        <v>41</v>
      </c>
      <c r="D626" s="4" t="s">
        <v>42</v>
      </c>
      <c r="E626" s="4" t="s">
        <v>25</v>
      </c>
      <c r="F626" s="4" t="s">
        <v>25</v>
      </c>
      <c r="G626" s="4" t="s">
        <v>25</v>
      </c>
      <c r="H626" s="4" t="s">
        <v>34</v>
      </c>
      <c r="I626" s="5">
        <v>44774</v>
      </c>
      <c r="J626" s="6">
        <v>0</v>
      </c>
      <c r="K626" s="6">
        <v>0</v>
      </c>
      <c r="L626" s="6">
        <v>1.034</v>
      </c>
      <c r="M626" s="6">
        <v>1.034</v>
      </c>
      <c r="N626" s="6">
        <v>1.034</v>
      </c>
      <c r="O626" s="6">
        <v>1.034</v>
      </c>
      <c r="P626" s="6">
        <v>0</v>
      </c>
      <c r="Q626" s="4" t="s">
        <v>26</v>
      </c>
      <c r="R626" s="4">
        <v>0</v>
      </c>
      <c r="S626" s="6">
        <v>0</v>
      </c>
      <c r="T626" s="6">
        <v>32</v>
      </c>
      <c r="U626" s="6">
        <v>92</v>
      </c>
      <c r="V626" s="6">
        <f>IF(ISERROR(VLOOKUP($S$626,'TAR FIN'!$A$1:$O$113,15,0)),0,VLOOKUP($S$626,'TAR FIN'!$A$1:$O$113,15,0))</f>
        <v>0</v>
      </c>
      <c r="W626" s="6">
        <f>IF(ISERROR(VLOOKUP($T$626,'TAR FIN'!$A$1:$O$113,15,0)),0,VLOOKUP($T$626,'TAR FIN'!$A$1:$O$113,15,0))</f>
        <v>1604.46</v>
      </c>
      <c r="X626" s="6">
        <f>IF(ISERROR(VLOOKUP($U$626,'TAR FIN'!$A$1:$O$113,15,0)),0,VLOOKUP($U$626,'TAR FIN'!$A$1:$O$113,15,0))</f>
        <v>442.86</v>
      </c>
      <c r="Y626" s="6"/>
      <c r="Z626" s="6">
        <f ca="1">('TUSD BE'!$AM$29+'TUSD BF'!$AM$29+'TUSD CVA'!$AM$29)*1</f>
        <v>1888.1712570698433</v>
      </c>
      <c r="AA626" s="6">
        <f>('TE BE'!$AB$12+'TE BF'!$AB$12+'TE CVA'!$AB$12)*1</f>
        <v>486.43608405794748</v>
      </c>
      <c r="AB626" s="6">
        <f>$K$626*$V$626</f>
        <v>0</v>
      </c>
      <c r="AC626" s="6">
        <f>$M$626*$W$626</f>
        <v>1659.0116400000002</v>
      </c>
      <c r="AD626" s="6">
        <f>$O$626*$X$626</f>
        <v>457.91724000000005</v>
      </c>
      <c r="AE626" s="6">
        <f>$K$626*$Y$626</f>
        <v>0</v>
      </c>
      <c r="AF626" s="6">
        <f ca="1">$M$626*$Z$626</f>
        <v>1952.369079810218</v>
      </c>
      <c r="AG626" s="6">
        <f>$O$626*$AA$626</f>
        <v>502.97491091591769</v>
      </c>
    </row>
    <row r="627" spans="1:33" ht="11.25" customHeight="1" x14ac:dyDescent="0.3">
      <c r="A627" s="4" t="s">
        <v>21</v>
      </c>
      <c r="B627" s="4" t="s">
        <v>43</v>
      </c>
      <c r="C627" s="4" t="s">
        <v>41</v>
      </c>
      <c r="D627" s="4" t="s">
        <v>42</v>
      </c>
      <c r="E627" s="4" t="s">
        <v>25</v>
      </c>
      <c r="F627" s="4" t="s">
        <v>25</v>
      </c>
      <c r="G627" s="4" t="s">
        <v>25</v>
      </c>
      <c r="H627" s="4" t="s">
        <v>34</v>
      </c>
      <c r="I627" s="5">
        <v>44805</v>
      </c>
      <c r="J627" s="6">
        <v>0</v>
      </c>
      <c r="K627" s="6">
        <v>0</v>
      </c>
      <c r="L627" s="6">
        <v>1.216</v>
      </c>
      <c r="M627" s="6">
        <v>1.216</v>
      </c>
      <c r="N627" s="6">
        <v>1.216</v>
      </c>
      <c r="O627" s="6">
        <v>1.216</v>
      </c>
      <c r="P627" s="6">
        <v>0</v>
      </c>
      <c r="Q627" s="4" t="s">
        <v>26</v>
      </c>
      <c r="R627" s="4">
        <v>0</v>
      </c>
      <c r="S627" s="6">
        <v>0</v>
      </c>
      <c r="T627" s="6">
        <v>32</v>
      </c>
      <c r="U627" s="6">
        <v>92</v>
      </c>
      <c r="V627" s="6">
        <f>IF(ISERROR(VLOOKUP($S$627,'TAR FIN'!$A$1:$O$113,15,0)),0,VLOOKUP($S$627,'TAR FIN'!$A$1:$O$113,15,0))</f>
        <v>0</v>
      </c>
      <c r="W627" s="6">
        <f>IF(ISERROR(VLOOKUP($T$627,'TAR FIN'!$A$1:$O$113,15,0)),0,VLOOKUP($T$627,'TAR FIN'!$A$1:$O$113,15,0))</f>
        <v>1604.46</v>
      </c>
      <c r="X627" s="6">
        <f>IF(ISERROR(VLOOKUP($U$627,'TAR FIN'!$A$1:$O$113,15,0)),0,VLOOKUP($U$627,'TAR FIN'!$A$1:$O$113,15,0))</f>
        <v>442.86</v>
      </c>
      <c r="Y627" s="6"/>
      <c r="Z627" s="6">
        <f ca="1">('TUSD BE'!$AM$29+'TUSD BF'!$AM$29+'TUSD CVA'!$AM$29)*1</f>
        <v>1888.1712570698433</v>
      </c>
      <c r="AA627" s="6">
        <f>('TE BE'!$AB$12+'TE BF'!$AB$12+'TE CVA'!$AB$12)*1</f>
        <v>486.43608405794748</v>
      </c>
      <c r="AB627" s="6">
        <f>$K$627*$V$627</f>
        <v>0</v>
      </c>
      <c r="AC627" s="6">
        <f>$M$627*$W$627</f>
        <v>1951.0233599999999</v>
      </c>
      <c r="AD627" s="6">
        <f>$O$627*$X$627</f>
        <v>538.51775999999995</v>
      </c>
      <c r="AE627" s="6">
        <f>$K$627*$Y$627</f>
        <v>0</v>
      </c>
      <c r="AF627" s="6">
        <f ca="1">$M$627*$Z$627</f>
        <v>2296.0162485969295</v>
      </c>
      <c r="AG627" s="6">
        <f>$O$627*$AA$627</f>
        <v>591.50627821446415</v>
      </c>
    </row>
    <row r="628" spans="1:33" ht="11.25" customHeight="1" x14ac:dyDescent="0.3">
      <c r="A628" s="4" t="s">
        <v>53</v>
      </c>
      <c r="B628" s="4" t="s">
        <v>43</v>
      </c>
      <c r="C628" s="4" t="s">
        <v>41</v>
      </c>
      <c r="D628" s="4" t="s">
        <v>42</v>
      </c>
      <c r="E628" s="4" t="s">
        <v>25</v>
      </c>
      <c r="F628" s="4" t="s">
        <v>25</v>
      </c>
      <c r="G628" s="4" t="s">
        <v>25</v>
      </c>
      <c r="H628" s="4" t="s">
        <v>34</v>
      </c>
      <c r="I628" s="5">
        <v>44835</v>
      </c>
      <c r="J628" s="6">
        <v>0</v>
      </c>
      <c r="K628" s="6">
        <v>0</v>
      </c>
      <c r="L628" s="6">
        <v>1.216</v>
      </c>
      <c r="M628" s="6">
        <v>1.216</v>
      </c>
      <c r="N628" s="6">
        <v>1.216</v>
      </c>
      <c r="O628" s="6">
        <v>1.216</v>
      </c>
      <c r="P628" s="6">
        <v>0</v>
      </c>
      <c r="Q628" s="4" t="s">
        <v>26</v>
      </c>
      <c r="R628" s="4">
        <v>0</v>
      </c>
      <c r="S628" s="6">
        <v>0</v>
      </c>
      <c r="T628" s="6">
        <v>32</v>
      </c>
      <c r="U628" s="6">
        <v>92</v>
      </c>
      <c r="V628" s="6">
        <f>IF(ISERROR(VLOOKUP($S$628,'TAR FIN'!$A$1:$O$113,15,0)),0,VLOOKUP($S$628,'TAR FIN'!$A$1:$O$113,15,0))</f>
        <v>0</v>
      </c>
      <c r="W628" s="6">
        <f>IF(ISERROR(VLOOKUP($T$628,'TAR FIN'!$A$1:$O$113,15,0)),0,VLOOKUP($T$628,'TAR FIN'!$A$1:$O$113,15,0))</f>
        <v>1604.46</v>
      </c>
      <c r="X628" s="6">
        <f>IF(ISERROR(VLOOKUP($U$628,'TAR FIN'!$A$1:$O$113,15,0)),0,VLOOKUP($U$628,'TAR FIN'!$A$1:$O$113,15,0))</f>
        <v>442.86</v>
      </c>
      <c r="Y628" s="6"/>
      <c r="Z628" s="6">
        <f ca="1">('TUSD BE'!$AM$29+'TUSD BF'!$AM$29+'TUSD CVA'!$AM$29)*1</f>
        <v>1888.1712570698433</v>
      </c>
      <c r="AA628" s="6">
        <f>('TE BE'!$AB$12+'TE BF'!$AB$12+'TE CVA'!$AB$12)*1</f>
        <v>486.43608405794748</v>
      </c>
      <c r="AB628" s="6">
        <f>$K$628*$V$628</f>
        <v>0</v>
      </c>
      <c r="AC628" s="6">
        <f>$M$628*$W$628</f>
        <v>1951.0233599999999</v>
      </c>
      <c r="AD628" s="6">
        <f>$O$628*$X$628</f>
        <v>538.51775999999995</v>
      </c>
      <c r="AE628" s="6">
        <f>$K$628*$Y$628</f>
        <v>0</v>
      </c>
      <c r="AF628" s="6">
        <f ca="1">$M$628*$Z$628</f>
        <v>2296.0162485969295</v>
      </c>
      <c r="AG628" s="6">
        <f>$O$628*$AA$628</f>
        <v>591.50627821446415</v>
      </c>
    </row>
    <row r="629" spans="1:33" ht="11.25" customHeight="1" x14ac:dyDescent="0.3">
      <c r="A629" s="4" t="s">
        <v>21</v>
      </c>
      <c r="B629" s="4" t="s">
        <v>43</v>
      </c>
      <c r="C629" s="4" t="s">
        <v>41</v>
      </c>
      <c r="D629" s="4" t="s">
        <v>38</v>
      </c>
      <c r="E629" s="4" t="s">
        <v>25</v>
      </c>
      <c r="F629" s="4" t="s">
        <v>56</v>
      </c>
      <c r="G629" s="4" t="s">
        <v>25</v>
      </c>
      <c r="H629" s="4" t="s">
        <v>35</v>
      </c>
      <c r="I629" s="5">
        <v>44531</v>
      </c>
      <c r="J629" s="6">
        <v>0</v>
      </c>
      <c r="K629" s="6">
        <v>0</v>
      </c>
      <c r="L629" s="6">
        <v>27.018000000000001</v>
      </c>
      <c r="M629" s="6">
        <v>27.018000000000001</v>
      </c>
      <c r="N629" s="6">
        <v>0</v>
      </c>
      <c r="O629" s="6">
        <v>0</v>
      </c>
      <c r="P629" s="6">
        <v>0</v>
      </c>
      <c r="Q629" s="4" t="s">
        <v>55</v>
      </c>
      <c r="R629" s="4">
        <v>0</v>
      </c>
      <c r="S629" s="6">
        <v>0</v>
      </c>
      <c r="T629" s="6">
        <v>45</v>
      </c>
      <c r="U629" s="6">
        <v>0</v>
      </c>
      <c r="V629" s="6">
        <f>IF(ISERROR(VLOOKUP($S$629,'TAR FIN'!$A$1:$O$113,15,0)),0,VLOOKUP($S$629,'TAR FIN'!$A$1:$O$113,15,0))</f>
        <v>0</v>
      </c>
      <c r="W629" s="6">
        <f>IF(ISERROR(VLOOKUP($T$629,'TAR FIN'!$A$1:$O$113,15,0)),0,VLOOKUP($T$629,'TAR FIN'!$A$1:$O$113,15,0))</f>
        <v>105.73</v>
      </c>
      <c r="X629" s="6">
        <f>IF(ISERROR(VLOOKUP($U$629,'TAR FIN'!$A$1:$O$113,15,0)),0,VLOOKUP($U$629,'TAR FIN'!$A$1:$O$113,15,0))</f>
        <v>0</v>
      </c>
      <c r="Y629" s="6"/>
      <c r="Z629" s="6">
        <f ca="1">('TUSD BE'!$AM$30+'TUSD BF'!$AM$30+'TUSD CVA'!$AM$30)*1</f>
        <v>170.19945224700672</v>
      </c>
      <c r="AA629" s="6"/>
      <c r="AB629" s="6">
        <f>$K$629*$V$629</f>
        <v>0</v>
      </c>
      <c r="AC629" s="6">
        <f>$M$629*$W$629</f>
        <v>2856.6131400000004</v>
      </c>
      <c r="AD629" s="6">
        <f>$O$629*$X$629</f>
        <v>0</v>
      </c>
      <c r="AE629" s="6">
        <f>$K$629*$Y$629</f>
        <v>0</v>
      </c>
      <c r="AF629" s="6">
        <f ca="1">$M$629*$Z$629</f>
        <v>4598.4488008096278</v>
      </c>
      <c r="AG629" s="6">
        <f>$O$629*$AA$629</f>
        <v>0</v>
      </c>
    </row>
    <row r="630" spans="1:33" ht="11.25" customHeight="1" x14ac:dyDescent="0.3">
      <c r="A630" s="4" t="s">
        <v>21</v>
      </c>
      <c r="B630" s="4" t="s">
        <v>43</v>
      </c>
      <c r="C630" s="4" t="s">
        <v>41</v>
      </c>
      <c r="D630" s="4" t="s">
        <v>38</v>
      </c>
      <c r="E630" s="4" t="s">
        <v>25</v>
      </c>
      <c r="F630" s="4" t="s">
        <v>56</v>
      </c>
      <c r="G630" s="4" t="s">
        <v>25</v>
      </c>
      <c r="H630" s="4" t="s">
        <v>35</v>
      </c>
      <c r="I630" s="5">
        <v>44562</v>
      </c>
      <c r="J630" s="6">
        <v>0</v>
      </c>
      <c r="K630" s="6">
        <v>0</v>
      </c>
      <c r="L630" s="6">
        <v>27.103999999999999</v>
      </c>
      <c r="M630" s="6">
        <v>27.103999999999999</v>
      </c>
      <c r="N630" s="6">
        <v>0</v>
      </c>
      <c r="O630" s="6">
        <v>0</v>
      </c>
      <c r="P630" s="6">
        <v>0</v>
      </c>
      <c r="Q630" s="4" t="s">
        <v>55</v>
      </c>
      <c r="R630" s="4">
        <v>0</v>
      </c>
      <c r="S630" s="6">
        <v>0</v>
      </c>
      <c r="T630" s="6">
        <v>45</v>
      </c>
      <c r="U630" s="6">
        <v>0</v>
      </c>
      <c r="V630" s="6">
        <f>IF(ISERROR(VLOOKUP($S$630,'TAR FIN'!$A$1:$O$113,15,0)),0,VLOOKUP($S$630,'TAR FIN'!$A$1:$O$113,15,0))</f>
        <v>0</v>
      </c>
      <c r="W630" s="6">
        <f>IF(ISERROR(VLOOKUP($T$630,'TAR FIN'!$A$1:$O$113,15,0)),0,VLOOKUP($T$630,'TAR FIN'!$A$1:$O$113,15,0))</f>
        <v>105.73</v>
      </c>
      <c r="X630" s="6">
        <f>IF(ISERROR(VLOOKUP($U$630,'TAR FIN'!$A$1:$O$113,15,0)),0,VLOOKUP($U$630,'TAR FIN'!$A$1:$O$113,15,0))</f>
        <v>0</v>
      </c>
      <c r="Y630" s="6"/>
      <c r="Z630" s="6">
        <f ca="1">('TUSD BE'!$AM$30+'TUSD BF'!$AM$30+'TUSD CVA'!$AM$30)*1</f>
        <v>170.19945224700672</v>
      </c>
      <c r="AA630" s="6"/>
      <c r="AB630" s="6">
        <f>$K$630*$V$630</f>
        <v>0</v>
      </c>
      <c r="AC630" s="6">
        <f>$M$630*$W$630</f>
        <v>2865.7059199999999</v>
      </c>
      <c r="AD630" s="6">
        <f>$O$630*$X$630</f>
        <v>0</v>
      </c>
      <c r="AE630" s="6">
        <f>$K$630*$Y$630</f>
        <v>0</v>
      </c>
      <c r="AF630" s="6">
        <f ca="1">$M$630*$Z$630</f>
        <v>4613.08595370287</v>
      </c>
      <c r="AG630" s="6">
        <f>$O$630*$AA$630</f>
        <v>0</v>
      </c>
    </row>
    <row r="631" spans="1:33" ht="11.25" customHeight="1" x14ac:dyDescent="0.3">
      <c r="A631" s="4" t="s">
        <v>21</v>
      </c>
      <c r="B631" s="4" t="s">
        <v>43</v>
      </c>
      <c r="C631" s="4" t="s">
        <v>41</v>
      </c>
      <c r="D631" s="4" t="s">
        <v>38</v>
      </c>
      <c r="E631" s="4" t="s">
        <v>25</v>
      </c>
      <c r="F631" s="4" t="s">
        <v>56</v>
      </c>
      <c r="G631" s="4" t="s">
        <v>25</v>
      </c>
      <c r="H631" s="4" t="s">
        <v>35</v>
      </c>
      <c r="I631" s="5">
        <v>44593</v>
      </c>
      <c r="J631" s="6">
        <v>0</v>
      </c>
      <c r="K631" s="6">
        <v>0</v>
      </c>
      <c r="L631" s="6">
        <v>26.242000000000001</v>
      </c>
      <c r="M631" s="6">
        <v>26.242000000000001</v>
      </c>
      <c r="N631" s="6">
        <v>0</v>
      </c>
      <c r="O631" s="6">
        <v>0</v>
      </c>
      <c r="P631" s="6">
        <v>0</v>
      </c>
      <c r="Q631" s="4" t="s">
        <v>55</v>
      </c>
      <c r="R631" s="4">
        <v>0</v>
      </c>
      <c r="S631" s="6">
        <v>0</v>
      </c>
      <c r="T631" s="6">
        <v>45</v>
      </c>
      <c r="U631" s="6">
        <v>0</v>
      </c>
      <c r="V631" s="6">
        <f>IF(ISERROR(VLOOKUP($S$631,'TAR FIN'!$A$1:$O$113,15,0)),0,VLOOKUP($S$631,'TAR FIN'!$A$1:$O$113,15,0))</f>
        <v>0</v>
      </c>
      <c r="W631" s="6">
        <f>IF(ISERROR(VLOOKUP($T$631,'TAR FIN'!$A$1:$O$113,15,0)),0,VLOOKUP($T$631,'TAR FIN'!$A$1:$O$113,15,0))</f>
        <v>105.73</v>
      </c>
      <c r="X631" s="6">
        <f>IF(ISERROR(VLOOKUP($U$631,'TAR FIN'!$A$1:$O$113,15,0)),0,VLOOKUP($U$631,'TAR FIN'!$A$1:$O$113,15,0))</f>
        <v>0</v>
      </c>
      <c r="Y631" s="6"/>
      <c r="Z631" s="6">
        <f ca="1">('TUSD BE'!$AM$30+'TUSD BF'!$AM$30+'TUSD CVA'!$AM$30)*1</f>
        <v>170.19945224700672</v>
      </c>
      <c r="AA631" s="6"/>
      <c r="AB631" s="6">
        <f>$K$631*$V$631</f>
        <v>0</v>
      </c>
      <c r="AC631" s="6">
        <f>$M$631*$W$631</f>
        <v>2774.5666600000004</v>
      </c>
      <c r="AD631" s="6">
        <f>$O$631*$X$631</f>
        <v>0</v>
      </c>
      <c r="AE631" s="6">
        <f>$K$631*$Y$631</f>
        <v>0</v>
      </c>
      <c r="AF631" s="6">
        <f ca="1">$M$631*$Z$631</f>
        <v>4466.3740258659509</v>
      </c>
      <c r="AG631" s="6">
        <f>$O$631*$AA$631</f>
        <v>0</v>
      </c>
    </row>
    <row r="632" spans="1:33" ht="11.25" customHeight="1" x14ac:dyDescent="0.3">
      <c r="A632" s="4" t="s">
        <v>21</v>
      </c>
      <c r="B632" s="4" t="s">
        <v>43</v>
      </c>
      <c r="C632" s="4" t="s">
        <v>41</v>
      </c>
      <c r="D632" s="4" t="s">
        <v>38</v>
      </c>
      <c r="E632" s="4" t="s">
        <v>25</v>
      </c>
      <c r="F632" s="4" t="s">
        <v>56</v>
      </c>
      <c r="G632" s="4" t="s">
        <v>25</v>
      </c>
      <c r="H632" s="4" t="s">
        <v>35</v>
      </c>
      <c r="I632" s="5">
        <v>44621</v>
      </c>
      <c r="J632" s="6">
        <v>0</v>
      </c>
      <c r="K632" s="6">
        <v>0</v>
      </c>
      <c r="L632" s="6">
        <v>24.724</v>
      </c>
      <c r="M632" s="6">
        <v>24.724</v>
      </c>
      <c r="N632" s="6">
        <v>0</v>
      </c>
      <c r="O632" s="6">
        <v>0</v>
      </c>
      <c r="P632" s="6">
        <v>0</v>
      </c>
      <c r="Q632" s="4" t="s">
        <v>55</v>
      </c>
      <c r="R632" s="4">
        <v>0</v>
      </c>
      <c r="S632" s="6">
        <v>0</v>
      </c>
      <c r="T632" s="6">
        <v>45</v>
      </c>
      <c r="U632" s="6">
        <v>0</v>
      </c>
      <c r="V632" s="6">
        <f>IF(ISERROR(VLOOKUP($S$632,'TAR FIN'!$A$1:$O$113,15,0)),0,VLOOKUP($S$632,'TAR FIN'!$A$1:$O$113,15,0))</f>
        <v>0</v>
      </c>
      <c r="W632" s="6">
        <f>IF(ISERROR(VLOOKUP($T$632,'TAR FIN'!$A$1:$O$113,15,0)),0,VLOOKUP($T$632,'TAR FIN'!$A$1:$O$113,15,0))</f>
        <v>105.73</v>
      </c>
      <c r="X632" s="6">
        <f>IF(ISERROR(VLOOKUP($U$632,'TAR FIN'!$A$1:$O$113,15,0)),0,VLOOKUP($U$632,'TAR FIN'!$A$1:$O$113,15,0))</f>
        <v>0</v>
      </c>
      <c r="Y632" s="6"/>
      <c r="Z632" s="6">
        <f ca="1">('TUSD BE'!$AM$30+'TUSD BF'!$AM$30+'TUSD CVA'!$AM$30)*1</f>
        <v>170.19945224700672</v>
      </c>
      <c r="AA632" s="6"/>
      <c r="AB632" s="6">
        <f>$K$632*$V$632</f>
        <v>0</v>
      </c>
      <c r="AC632" s="6">
        <f>$M$632*$W$632</f>
        <v>2614.0685200000003</v>
      </c>
      <c r="AD632" s="6">
        <f>$O$632*$X$632</f>
        <v>0</v>
      </c>
      <c r="AE632" s="6">
        <f>$K$632*$Y$632</f>
        <v>0</v>
      </c>
      <c r="AF632" s="6">
        <f ca="1">$M$632*$Z$632</f>
        <v>4208.0112573549941</v>
      </c>
      <c r="AG632" s="6">
        <f>$O$632*$AA$632</f>
        <v>0</v>
      </c>
    </row>
    <row r="633" spans="1:33" ht="11.25" customHeight="1" x14ac:dyDescent="0.3">
      <c r="A633" s="4" t="s">
        <v>21</v>
      </c>
      <c r="B633" s="4" t="s">
        <v>43</v>
      </c>
      <c r="C633" s="4" t="s">
        <v>41</v>
      </c>
      <c r="D633" s="4" t="s">
        <v>38</v>
      </c>
      <c r="E633" s="4" t="s">
        <v>25</v>
      </c>
      <c r="F633" s="4" t="s">
        <v>56</v>
      </c>
      <c r="G633" s="4" t="s">
        <v>25</v>
      </c>
      <c r="H633" s="4" t="s">
        <v>35</v>
      </c>
      <c r="I633" s="5">
        <v>44652</v>
      </c>
      <c r="J633" s="6">
        <v>0</v>
      </c>
      <c r="K633" s="6">
        <v>0</v>
      </c>
      <c r="L633" s="6">
        <v>28.736000000000001</v>
      </c>
      <c r="M633" s="6">
        <v>28.736000000000001</v>
      </c>
      <c r="N633" s="6">
        <v>0</v>
      </c>
      <c r="O633" s="6">
        <v>0</v>
      </c>
      <c r="P633" s="6">
        <v>0</v>
      </c>
      <c r="Q633" s="4" t="s">
        <v>55</v>
      </c>
      <c r="R633" s="4">
        <v>0</v>
      </c>
      <c r="S633" s="6">
        <v>0</v>
      </c>
      <c r="T633" s="6">
        <v>45</v>
      </c>
      <c r="U633" s="6">
        <v>0</v>
      </c>
      <c r="V633" s="6">
        <f>IF(ISERROR(VLOOKUP($S$633,'TAR FIN'!$A$1:$O$113,15,0)),0,VLOOKUP($S$633,'TAR FIN'!$A$1:$O$113,15,0))</f>
        <v>0</v>
      </c>
      <c r="W633" s="6">
        <f>IF(ISERROR(VLOOKUP($T$633,'TAR FIN'!$A$1:$O$113,15,0)),0,VLOOKUP($T$633,'TAR FIN'!$A$1:$O$113,15,0))</f>
        <v>105.73</v>
      </c>
      <c r="X633" s="6">
        <f>IF(ISERROR(VLOOKUP($U$633,'TAR FIN'!$A$1:$O$113,15,0)),0,VLOOKUP($U$633,'TAR FIN'!$A$1:$O$113,15,0))</f>
        <v>0</v>
      </c>
      <c r="Y633" s="6"/>
      <c r="Z633" s="6">
        <f ca="1">('TUSD BE'!$AM$30+'TUSD BF'!$AM$30+'TUSD CVA'!$AM$30)*1</f>
        <v>170.19945224700672</v>
      </c>
      <c r="AA633" s="6"/>
      <c r="AB633" s="6">
        <f>$K$633*$V$633</f>
        <v>0</v>
      </c>
      <c r="AC633" s="6">
        <f>$M$633*$W$633</f>
        <v>3038.2572800000003</v>
      </c>
      <c r="AD633" s="6">
        <f>$O$633*$X$633</f>
        <v>0</v>
      </c>
      <c r="AE633" s="6">
        <f>$K$633*$Y$633</f>
        <v>0</v>
      </c>
      <c r="AF633" s="6">
        <f ca="1">$M$633*$Z$633</f>
        <v>4890.851459769985</v>
      </c>
      <c r="AG633" s="6">
        <f>$O$633*$AA$633</f>
        <v>0</v>
      </c>
    </row>
    <row r="634" spans="1:33" ht="11.25" customHeight="1" x14ac:dyDescent="0.3">
      <c r="A634" s="4" t="s">
        <v>21</v>
      </c>
      <c r="B634" s="4" t="s">
        <v>43</v>
      </c>
      <c r="C634" s="4" t="s">
        <v>41</v>
      </c>
      <c r="D634" s="4" t="s">
        <v>38</v>
      </c>
      <c r="E634" s="4" t="s">
        <v>25</v>
      </c>
      <c r="F634" s="4" t="s">
        <v>56</v>
      </c>
      <c r="G634" s="4" t="s">
        <v>25</v>
      </c>
      <c r="H634" s="4" t="s">
        <v>35</v>
      </c>
      <c r="I634" s="5">
        <v>44682</v>
      </c>
      <c r="J634" s="6">
        <v>0</v>
      </c>
      <c r="K634" s="6">
        <v>0</v>
      </c>
      <c r="L634" s="6">
        <v>25.777999999999999</v>
      </c>
      <c r="M634" s="6">
        <v>25.777999999999999</v>
      </c>
      <c r="N634" s="6">
        <v>0</v>
      </c>
      <c r="O634" s="6">
        <v>0</v>
      </c>
      <c r="P634" s="6">
        <v>0</v>
      </c>
      <c r="Q634" s="4" t="s">
        <v>55</v>
      </c>
      <c r="R634" s="4">
        <v>0</v>
      </c>
      <c r="S634" s="6">
        <v>0</v>
      </c>
      <c r="T634" s="6">
        <v>45</v>
      </c>
      <c r="U634" s="6">
        <v>0</v>
      </c>
      <c r="V634" s="6">
        <f>IF(ISERROR(VLOOKUP($S$634,'TAR FIN'!$A$1:$O$113,15,0)),0,VLOOKUP($S$634,'TAR FIN'!$A$1:$O$113,15,0))</f>
        <v>0</v>
      </c>
      <c r="W634" s="6">
        <f>IF(ISERROR(VLOOKUP($T$634,'TAR FIN'!$A$1:$O$113,15,0)),0,VLOOKUP($T$634,'TAR FIN'!$A$1:$O$113,15,0))</f>
        <v>105.73</v>
      </c>
      <c r="X634" s="6">
        <f>IF(ISERROR(VLOOKUP($U$634,'TAR FIN'!$A$1:$O$113,15,0)),0,VLOOKUP($U$634,'TAR FIN'!$A$1:$O$113,15,0))</f>
        <v>0</v>
      </c>
      <c r="Y634" s="6"/>
      <c r="Z634" s="6">
        <f ca="1">('TUSD BE'!$AM$30+'TUSD BF'!$AM$30+'TUSD CVA'!$AM$30)*1</f>
        <v>170.19945224700672</v>
      </c>
      <c r="AA634" s="6"/>
      <c r="AB634" s="6">
        <f>$K$634*$V$634</f>
        <v>0</v>
      </c>
      <c r="AC634" s="6">
        <f>$M$634*$W$634</f>
        <v>2725.50794</v>
      </c>
      <c r="AD634" s="6">
        <f>$O$634*$X$634</f>
        <v>0</v>
      </c>
      <c r="AE634" s="6">
        <f>$K$634*$Y$634</f>
        <v>0</v>
      </c>
      <c r="AF634" s="6">
        <f ca="1">$M$634*$Z$634</f>
        <v>4387.401480023339</v>
      </c>
      <c r="AG634" s="6">
        <f>$O$634*$AA$634</f>
        <v>0</v>
      </c>
    </row>
    <row r="635" spans="1:33" ht="11.25" customHeight="1" x14ac:dyDescent="0.3">
      <c r="A635" s="4" t="s">
        <v>21</v>
      </c>
      <c r="B635" s="4" t="s">
        <v>43</v>
      </c>
      <c r="C635" s="4" t="s">
        <v>41</v>
      </c>
      <c r="D635" s="4" t="s">
        <v>38</v>
      </c>
      <c r="E635" s="4" t="s">
        <v>25</v>
      </c>
      <c r="F635" s="4" t="s">
        <v>56</v>
      </c>
      <c r="G635" s="4" t="s">
        <v>25</v>
      </c>
      <c r="H635" s="4" t="s">
        <v>35</v>
      </c>
      <c r="I635" s="5">
        <v>44713</v>
      </c>
      <c r="J635" s="6">
        <v>0</v>
      </c>
      <c r="K635" s="6">
        <v>0</v>
      </c>
      <c r="L635" s="6">
        <v>18.988</v>
      </c>
      <c r="M635" s="6">
        <v>18.988</v>
      </c>
      <c r="N635" s="6">
        <v>0</v>
      </c>
      <c r="O635" s="6">
        <v>0</v>
      </c>
      <c r="P635" s="6">
        <v>0</v>
      </c>
      <c r="Q635" s="4" t="s">
        <v>55</v>
      </c>
      <c r="R635" s="4">
        <v>0</v>
      </c>
      <c r="S635" s="6">
        <v>0</v>
      </c>
      <c r="T635" s="6">
        <v>45</v>
      </c>
      <c r="U635" s="6">
        <v>0</v>
      </c>
      <c r="V635" s="6">
        <f>IF(ISERROR(VLOOKUP($S$635,'TAR FIN'!$A$1:$O$113,15,0)),0,VLOOKUP($S$635,'TAR FIN'!$A$1:$O$113,15,0))</f>
        <v>0</v>
      </c>
      <c r="W635" s="6">
        <f>IF(ISERROR(VLOOKUP($T$635,'TAR FIN'!$A$1:$O$113,15,0)),0,VLOOKUP($T$635,'TAR FIN'!$A$1:$O$113,15,0))</f>
        <v>105.73</v>
      </c>
      <c r="X635" s="6">
        <f>IF(ISERROR(VLOOKUP($U$635,'TAR FIN'!$A$1:$O$113,15,0)),0,VLOOKUP($U$635,'TAR FIN'!$A$1:$O$113,15,0))</f>
        <v>0</v>
      </c>
      <c r="Y635" s="6"/>
      <c r="Z635" s="6">
        <f ca="1">('TUSD BE'!$AM$30+'TUSD BF'!$AM$30+'TUSD CVA'!$AM$30)*1</f>
        <v>170.19945224700672</v>
      </c>
      <c r="AA635" s="6"/>
      <c r="AB635" s="6">
        <f>$K$635*$V$635</f>
        <v>0</v>
      </c>
      <c r="AC635" s="6">
        <f>$M$635*$W$635</f>
        <v>2007.60124</v>
      </c>
      <c r="AD635" s="6">
        <f>$O$635*$X$635</f>
        <v>0</v>
      </c>
      <c r="AE635" s="6">
        <f>$K$635*$Y$635</f>
        <v>0</v>
      </c>
      <c r="AF635" s="6">
        <f ca="1">$M$635*$Z$635</f>
        <v>3231.7471992661635</v>
      </c>
      <c r="AG635" s="6">
        <f>$O$635*$AA$635</f>
        <v>0</v>
      </c>
    </row>
    <row r="636" spans="1:33" ht="11.25" customHeight="1" x14ac:dyDescent="0.3">
      <c r="A636" s="4" t="s">
        <v>21</v>
      </c>
      <c r="B636" s="4" t="s">
        <v>43</v>
      </c>
      <c r="C636" s="4" t="s">
        <v>41</v>
      </c>
      <c r="D636" s="4" t="s">
        <v>38</v>
      </c>
      <c r="E636" s="4" t="s">
        <v>25</v>
      </c>
      <c r="F636" s="4" t="s">
        <v>56</v>
      </c>
      <c r="G636" s="4" t="s">
        <v>25</v>
      </c>
      <c r="H636" s="4" t="s">
        <v>35</v>
      </c>
      <c r="I636" s="5">
        <v>44743</v>
      </c>
      <c r="J636" s="6">
        <v>0</v>
      </c>
      <c r="K636" s="6">
        <v>0</v>
      </c>
      <c r="L636" s="6">
        <v>17.864999999999998</v>
      </c>
      <c r="M636" s="6">
        <v>17.864999999999998</v>
      </c>
      <c r="N636" s="6">
        <v>0</v>
      </c>
      <c r="O636" s="6">
        <v>0</v>
      </c>
      <c r="P636" s="6">
        <v>0</v>
      </c>
      <c r="Q636" s="4" t="s">
        <v>55</v>
      </c>
      <c r="R636" s="4">
        <v>0</v>
      </c>
      <c r="S636" s="6">
        <v>0</v>
      </c>
      <c r="T636" s="6">
        <v>45</v>
      </c>
      <c r="U636" s="6">
        <v>0</v>
      </c>
      <c r="V636" s="6">
        <f>IF(ISERROR(VLOOKUP($S$636,'TAR FIN'!$A$1:$O$113,15,0)),0,VLOOKUP($S$636,'TAR FIN'!$A$1:$O$113,15,0))</f>
        <v>0</v>
      </c>
      <c r="W636" s="6">
        <f>IF(ISERROR(VLOOKUP($T$636,'TAR FIN'!$A$1:$O$113,15,0)),0,VLOOKUP($T$636,'TAR FIN'!$A$1:$O$113,15,0))</f>
        <v>105.73</v>
      </c>
      <c r="X636" s="6">
        <f>IF(ISERROR(VLOOKUP($U$636,'TAR FIN'!$A$1:$O$113,15,0)),0,VLOOKUP($U$636,'TAR FIN'!$A$1:$O$113,15,0))</f>
        <v>0</v>
      </c>
      <c r="Y636" s="6"/>
      <c r="Z636" s="6">
        <f ca="1">('TUSD BE'!$AM$30+'TUSD BF'!$AM$30+'TUSD CVA'!$AM$30)*1</f>
        <v>170.19945224700672</v>
      </c>
      <c r="AA636" s="6"/>
      <c r="AB636" s="6">
        <f>$K$636*$V$636</f>
        <v>0</v>
      </c>
      <c r="AC636" s="6">
        <f>$M$636*$W$636</f>
        <v>1888.86645</v>
      </c>
      <c r="AD636" s="6">
        <f>$O$636*$X$636</f>
        <v>0</v>
      </c>
      <c r="AE636" s="6">
        <f>$K$636*$Y$636</f>
        <v>0</v>
      </c>
      <c r="AF636" s="6">
        <f ca="1">$M$636*$Z$636</f>
        <v>3040.6132143927748</v>
      </c>
      <c r="AG636" s="6">
        <f>$O$636*$AA$636</f>
        <v>0</v>
      </c>
    </row>
    <row r="637" spans="1:33" ht="11.25" customHeight="1" x14ac:dyDescent="0.3">
      <c r="A637" s="4" t="s">
        <v>21</v>
      </c>
      <c r="B637" s="4" t="s">
        <v>43</v>
      </c>
      <c r="C637" s="4" t="s">
        <v>41</v>
      </c>
      <c r="D637" s="4" t="s">
        <v>38</v>
      </c>
      <c r="E637" s="4" t="s">
        <v>25</v>
      </c>
      <c r="F637" s="4" t="s">
        <v>56</v>
      </c>
      <c r="G637" s="4" t="s">
        <v>25</v>
      </c>
      <c r="H637" s="4" t="s">
        <v>35</v>
      </c>
      <c r="I637" s="5">
        <v>44774</v>
      </c>
      <c r="J637" s="6">
        <v>0</v>
      </c>
      <c r="K637" s="6">
        <v>0</v>
      </c>
      <c r="L637" s="6">
        <v>20.734000000000002</v>
      </c>
      <c r="M637" s="6">
        <v>20.734000000000002</v>
      </c>
      <c r="N637" s="6">
        <v>0</v>
      </c>
      <c r="O637" s="6">
        <v>0</v>
      </c>
      <c r="P637" s="6">
        <v>0</v>
      </c>
      <c r="Q637" s="4" t="s">
        <v>55</v>
      </c>
      <c r="R637" s="4">
        <v>0</v>
      </c>
      <c r="S637" s="6">
        <v>0</v>
      </c>
      <c r="T637" s="6">
        <v>45</v>
      </c>
      <c r="U637" s="6">
        <v>0</v>
      </c>
      <c r="V637" s="6">
        <f>IF(ISERROR(VLOOKUP($S$637,'TAR FIN'!$A$1:$O$113,15,0)),0,VLOOKUP($S$637,'TAR FIN'!$A$1:$O$113,15,0))</f>
        <v>0</v>
      </c>
      <c r="W637" s="6">
        <f>IF(ISERROR(VLOOKUP($T$637,'TAR FIN'!$A$1:$O$113,15,0)),0,VLOOKUP($T$637,'TAR FIN'!$A$1:$O$113,15,0))</f>
        <v>105.73</v>
      </c>
      <c r="X637" s="6">
        <f>IF(ISERROR(VLOOKUP($U$637,'TAR FIN'!$A$1:$O$113,15,0)),0,VLOOKUP($U$637,'TAR FIN'!$A$1:$O$113,15,0))</f>
        <v>0</v>
      </c>
      <c r="Y637" s="6"/>
      <c r="Z637" s="6">
        <f ca="1">('TUSD BE'!$AM$30+'TUSD BF'!$AM$30+'TUSD CVA'!$AM$30)*1</f>
        <v>170.19945224700672</v>
      </c>
      <c r="AA637" s="6"/>
      <c r="AB637" s="6">
        <f>$K$637*$V$637</f>
        <v>0</v>
      </c>
      <c r="AC637" s="6">
        <f>$M$637*$W$637</f>
        <v>2192.2058200000001</v>
      </c>
      <c r="AD637" s="6">
        <f>$O$637*$X$637</f>
        <v>0</v>
      </c>
      <c r="AE637" s="6">
        <f>$K$637*$Y$637</f>
        <v>0</v>
      </c>
      <c r="AF637" s="6">
        <f ca="1">$M$637*$Z$637</f>
        <v>3528.9154428894376</v>
      </c>
      <c r="AG637" s="6">
        <f>$O$637*$AA$637</f>
        <v>0</v>
      </c>
    </row>
    <row r="638" spans="1:33" ht="11.25" customHeight="1" x14ac:dyDescent="0.3">
      <c r="A638" s="4" t="s">
        <v>21</v>
      </c>
      <c r="B638" s="4" t="s">
        <v>43</v>
      </c>
      <c r="C638" s="4" t="s">
        <v>41</v>
      </c>
      <c r="D638" s="4" t="s">
        <v>38</v>
      </c>
      <c r="E638" s="4" t="s">
        <v>25</v>
      </c>
      <c r="F638" s="4" t="s">
        <v>56</v>
      </c>
      <c r="G638" s="4" t="s">
        <v>25</v>
      </c>
      <c r="H638" s="4" t="s">
        <v>35</v>
      </c>
      <c r="I638" s="5">
        <v>44805</v>
      </c>
      <c r="J638" s="6">
        <v>0</v>
      </c>
      <c r="K638" s="6">
        <v>0</v>
      </c>
      <c r="L638" s="6">
        <v>22.969000000000001</v>
      </c>
      <c r="M638" s="6">
        <v>22.969000000000001</v>
      </c>
      <c r="N638" s="6">
        <v>0</v>
      </c>
      <c r="O638" s="6">
        <v>0</v>
      </c>
      <c r="P638" s="6">
        <v>0</v>
      </c>
      <c r="Q638" s="4" t="s">
        <v>55</v>
      </c>
      <c r="R638" s="4">
        <v>0</v>
      </c>
      <c r="S638" s="6">
        <v>0</v>
      </c>
      <c r="T638" s="6">
        <v>45</v>
      </c>
      <c r="U638" s="6">
        <v>0</v>
      </c>
      <c r="V638" s="6">
        <f>IF(ISERROR(VLOOKUP($S$638,'TAR FIN'!$A$1:$O$113,15,0)),0,VLOOKUP($S$638,'TAR FIN'!$A$1:$O$113,15,0))</f>
        <v>0</v>
      </c>
      <c r="W638" s="6">
        <f>IF(ISERROR(VLOOKUP($T$638,'TAR FIN'!$A$1:$O$113,15,0)),0,VLOOKUP($T$638,'TAR FIN'!$A$1:$O$113,15,0))</f>
        <v>105.73</v>
      </c>
      <c r="X638" s="6">
        <f>IF(ISERROR(VLOOKUP($U$638,'TAR FIN'!$A$1:$O$113,15,0)),0,VLOOKUP($U$638,'TAR FIN'!$A$1:$O$113,15,0))</f>
        <v>0</v>
      </c>
      <c r="Y638" s="6"/>
      <c r="Z638" s="6">
        <f ca="1">('TUSD BE'!$AM$30+'TUSD BF'!$AM$30+'TUSD CVA'!$AM$30)*1</f>
        <v>170.19945224700672</v>
      </c>
      <c r="AA638" s="6"/>
      <c r="AB638" s="6">
        <f>$K$638*$V$638</f>
        <v>0</v>
      </c>
      <c r="AC638" s="6">
        <f>$M$638*$W$638</f>
        <v>2428.5123700000004</v>
      </c>
      <c r="AD638" s="6">
        <f>$O$638*$X$638</f>
        <v>0</v>
      </c>
      <c r="AE638" s="6">
        <f>$K$638*$Y$638</f>
        <v>0</v>
      </c>
      <c r="AF638" s="6">
        <f ca="1">$M$638*$Z$638</f>
        <v>3909.3112186614976</v>
      </c>
      <c r="AG638" s="6">
        <f>$O$638*$AA$638</f>
        <v>0</v>
      </c>
    </row>
    <row r="639" spans="1:33" ht="11.25" customHeight="1" x14ac:dyDescent="0.3">
      <c r="A639" s="4" t="s">
        <v>53</v>
      </c>
      <c r="B639" s="4" t="s">
        <v>43</v>
      </c>
      <c r="C639" s="4" t="s">
        <v>41</v>
      </c>
      <c r="D639" s="4" t="s">
        <v>38</v>
      </c>
      <c r="E639" s="4" t="s">
        <v>25</v>
      </c>
      <c r="F639" s="4" t="s">
        <v>56</v>
      </c>
      <c r="G639" s="4" t="s">
        <v>25</v>
      </c>
      <c r="H639" s="4" t="s">
        <v>35</v>
      </c>
      <c r="I639" s="5">
        <v>44835</v>
      </c>
      <c r="J639" s="6">
        <v>0</v>
      </c>
      <c r="K639" s="6">
        <v>0</v>
      </c>
      <c r="L639" s="6">
        <v>22.969000000000001</v>
      </c>
      <c r="M639" s="6">
        <v>22.969000000000001</v>
      </c>
      <c r="N639" s="6">
        <v>0</v>
      </c>
      <c r="O639" s="6">
        <v>0</v>
      </c>
      <c r="P639" s="6">
        <v>0</v>
      </c>
      <c r="Q639" s="4" t="s">
        <v>55</v>
      </c>
      <c r="R639" s="4">
        <v>0</v>
      </c>
      <c r="S639" s="6">
        <v>0</v>
      </c>
      <c r="T639" s="6">
        <v>45</v>
      </c>
      <c r="U639" s="6">
        <v>0</v>
      </c>
      <c r="V639" s="6">
        <f>IF(ISERROR(VLOOKUP($S$639,'TAR FIN'!$A$1:$O$113,15,0)),0,VLOOKUP($S$639,'TAR FIN'!$A$1:$O$113,15,0))</f>
        <v>0</v>
      </c>
      <c r="W639" s="6">
        <f>IF(ISERROR(VLOOKUP($T$639,'TAR FIN'!$A$1:$O$113,15,0)),0,VLOOKUP($T$639,'TAR FIN'!$A$1:$O$113,15,0))</f>
        <v>105.73</v>
      </c>
      <c r="X639" s="6">
        <f>IF(ISERROR(VLOOKUP($U$639,'TAR FIN'!$A$1:$O$113,15,0)),0,VLOOKUP($U$639,'TAR FIN'!$A$1:$O$113,15,0))</f>
        <v>0</v>
      </c>
      <c r="Y639" s="6"/>
      <c r="Z639" s="6">
        <f ca="1">('TUSD BE'!$AM$30+'TUSD BF'!$AM$30+'TUSD CVA'!$AM$30)*1</f>
        <v>170.19945224700672</v>
      </c>
      <c r="AA639" s="6"/>
      <c r="AB639" s="6">
        <f>$K$639*$V$639</f>
        <v>0</v>
      </c>
      <c r="AC639" s="6">
        <f>$M$639*$W$639</f>
        <v>2428.5123700000004</v>
      </c>
      <c r="AD639" s="6">
        <f>$O$639*$X$639</f>
        <v>0</v>
      </c>
      <c r="AE639" s="6">
        <f>$K$639*$Y$639</f>
        <v>0</v>
      </c>
      <c r="AF639" s="6">
        <f ca="1">$M$639*$Z$639</f>
        <v>3909.3112186614976</v>
      </c>
      <c r="AG639" s="6">
        <f>$O$639*$AA$639</f>
        <v>0</v>
      </c>
    </row>
    <row r="640" spans="1:33" ht="11.25" customHeight="1" x14ac:dyDescent="0.3">
      <c r="A640" s="4" t="s">
        <v>21</v>
      </c>
      <c r="B640" s="4" t="s">
        <v>43</v>
      </c>
      <c r="C640" s="4" t="s">
        <v>41</v>
      </c>
      <c r="D640" s="4" t="s">
        <v>38</v>
      </c>
      <c r="E640" s="4" t="s">
        <v>25</v>
      </c>
      <c r="F640" s="4" t="s">
        <v>56</v>
      </c>
      <c r="G640" s="4" t="s">
        <v>25</v>
      </c>
      <c r="H640" s="4" t="s">
        <v>25</v>
      </c>
      <c r="I640" s="5">
        <v>44531</v>
      </c>
      <c r="J640" s="6">
        <v>101</v>
      </c>
      <c r="K640" s="6">
        <v>50.5</v>
      </c>
      <c r="L640" s="6">
        <v>0</v>
      </c>
      <c r="M640" s="6">
        <v>0</v>
      </c>
      <c r="N640" s="6">
        <v>0</v>
      </c>
      <c r="O640" s="6">
        <v>0</v>
      </c>
      <c r="P640" s="6">
        <v>1</v>
      </c>
      <c r="Q640" s="4" t="s">
        <v>55</v>
      </c>
      <c r="R640" s="4">
        <v>0</v>
      </c>
      <c r="S640" s="6">
        <v>13</v>
      </c>
      <c r="T640" s="6">
        <v>0</v>
      </c>
      <c r="U640" s="6">
        <v>0</v>
      </c>
      <c r="V640" s="6">
        <f>IF(ISERROR(VLOOKUP($S$640,'TAR FIN'!$A$1:$O$113,15,0)),0,VLOOKUP($S$640,'TAR FIN'!$A$1:$O$113,15,0))</f>
        <v>11.74</v>
      </c>
      <c r="W640" s="6">
        <f>IF(ISERROR(VLOOKUP($T$640,'TAR FIN'!$A$1:$O$113,15,0)),0,VLOOKUP($T$640,'TAR FIN'!$A$1:$O$113,15,0))</f>
        <v>0</v>
      </c>
      <c r="X640" s="6">
        <f>IF(ISERROR(VLOOKUP($U$640,'TAR FIN'!$A$1:$O$113,15,0)),0,VLOOKUP($U$640,'TAR FIN'!$A$1:$O$113,15,0))</f>
        <v>0</v>
      </c>
      <c r="Y640" s="6">
        <f ca="1">('TUSD BE'!$AM$28+'TUSD BF'!$AM$28+'TUSD CVA'!$AM$28)*1</f>
        <v>13.458223506903105</v>
      </c>
      <c r="Z640" s="6"/>
      <c r="AA640" s="6"/>
      <c r="AB640" s="6">
        <f>$K$640*$V$640</f>
        <v>592.87</v>
      </c>
      <c r="AC640" s="6">
        <f>$M$640*$W$640</f>
        <v>0</v>
      </c>
      <c r="AD640" s="6">
        <f>$O$640*$X$640</f>
        <v>0</v>
      </c>
      <c r="AE640" s="6">
        <f ca="1">$K$640*$Y$640</f>
        <v>679.64028709860679</v>
      </c>
      <c r="AF640" s="6">
        <f>$M$640*$Z$640</f>
        <v>0</v>
      </c>
      <c r="AG640" s="6">
        <f>$O$640*$AA$640</f>
        <v>0</v>
      </c>
    </row>
    <row r="641" spans="1:33" ht="11.25" customHeight="1" x14ac:dyDescent="0.3">
      <c r="A641" s="4" t="s">
        <v>21</v>
      </c>
      <c r="B641" s="4" t="s">
        <v>43</v>
      </c>
      <c r="C641" s="4" t="s">
        <v>41</v>
      </c>
      <c r="D641" s="4" t="s">
        <v>38</v>
      </c>
      <c r="E641" s="4" t="s">
        <v>25</v>
      </c>
      <c r="F641" s="4" t="s">
        <v>56</v>
      </c>
      <c r="G641" s="4" t="s">
        <v>25</v>
      </c>
      <c r="H641" s="4" t="s">
        <v>25</v>
      </c>
      <c r="I641" s="5">
        <v>44562</v>
      </c>
      <c r="J641" s="6">
        <v>101</v>
      </c>
      <c r="K641" s="6">
        <v>50.5</v>
      </c>
      <c r="L641" s="6">
        <v>0</v>
      </c>
      <c r="M641" s="6">
        <v>0</v>
      </c>
      <c r="N641" s="6">
        <v>0</v>
      </c>
      <c r="O641" s="6">
        <v>0</v>
      </c>
      <c r="P641" s="6">
        <v>1</v>
      </c>
      <c r="Q641" s="4" t="s">
        <v>55</v>
      </c>
      <c r="R641" s="4">
        <v>0</v>
      </c>
      <c r="S641" s="6">
        <v>13</v>
      </c>
      <c r="T641" s="6">
        <v>0</v>
      </c>
      <c r="U641" s="6">
        <v>0</v>
      </c>
      <c r="V641" s="6">
        <f>IF(ISERROR(VLOOKUP($S$641,'TAR FIN'!$A$1:$O$113,15,0)),0,VLOOKUP($S$641,'TAR FIN'!$A$1:$O$113,15,0))</f>
        <v>11.74</v>
      </c>
      <c r="W641" s="6">
        <f>IF(ISERROR(VLOOKUP($T$641,'TAR FIN'!$A$1:$O$113,15,0)),0,VLOOKUP($T$641,'TAR FIN'!$A$1:$O$113,15,0))</f>
        <v>0</v>
      </c>
      <c r="X641" s="6">
        <f>IF(ISERROR(VLOOKUP($U$641,'TAR FIN'!$A$1:$O$113,15,0)),0,VLOOKUP($U$641,'TAR FIN'!$A$1:$O$113,15,0))</f>
        <v>0</v>
      </c>
      <c r="Y641" s="6">
        <f ca="1">('TUSD BE'!$AM$28+'TUSD BF'!$AM$28+'TUSD CVA'!$AM$28)*1</f>
        <v>13.458223506903105</v>
      </c>
      <c r="Z641" s="6"/>
      <c r="AA641" s="6"/>
      <c r="AB641" s="6">
        <f>$K$641*$V$641</f>
        <v>592.87</v>
      </c>
      <c r="AC641" s="6">
        <f>$M$641*$W$641</f>
        <v>0</v>
      </c>
      <c r="AD641" s="6">
        <f>$O$641*$X$641</f>
        <v>0</v>
      </c>
      <c r="AE641" s="6">
        <f ca="1">$K$641*$Y$641</f>
        <v>679.64028709860679</v>
      </c>
      <c r="AF641" s="6">
        <f>$M$641*$Z$641</f>
        <v>0</v>
      </c>
      <c r="AG641" s="6">
        <f>$O$641*$AA$641</f>
        <v>0</v>
      </c>
    </row>
    <row r="642" spans="1:33" ht="11.25" customHeight="1" x14ac:dyDescent="0.3">
      <c r="A642" s="4" t="s">
        <v>21</v>
      </c>
      <c r="B642" s="4" t="s">
        <v>43</v>
      </c>
      <c r="C642" s="4" t="s">
        <v>41</v>
      </c>
      <c r="D642" s="4" t="s">
        <v>38</v>
      </c>
      <c r="E642" s="4" t="s">
        <v>25</v>
      </c>
      <c r="F642" s="4" t="s">
        <v>56</v>
      </c>
      <c r="G642" s="4" t="s">
        <v>25</v>
      </c>
      <c r="H642" s="4" t="s">
        <v>25</v>
      </c>
      <c r="I642" s="5">
        <v>44593</v>
      </c>
      <c r="J642" s="6">
        <v>101</v>
      </c>
      <c r="K642" s="6">
        <v>50.614991529999998</v>
      </c>
      <c r="L642" s="6">
        <v>0</v>
      </c>
      <c r="M642" s="6">
        <v>0</v>
      </c>
      <c r="N642" s="6">
        <v>0</v>
      </c>
      <c r="O642" s="6">
        <v>0</v>
      </c>
      <c r="P642" s="6">
        <v>1</v>
      </c>
      <c r="Q642" s="4" t="s">
        <v>55</v>
      </c>
      <c r="R642" s="4">
        <v>0</v>
      </c>
      <c r="S642" s="6">
        <v>13</v>
      </c>
      <c r="T642" s="6">
        <v>0</v>
      </c>
      <c r="U642" s="6">
        <v>0</v>
      </c>
      <c r="V642" s="6">
        <f>IF(ISERROR(VLOOKUP($S$642,'TAR FIN'!$A$1:$O$113,15,0)),0,VLOOKUP($S$642,'TAR FIN'!$A$1:$O$113,15,0))</f>
        <v>11.74</v>
      </c>
      <c r="W642" s="6">
        <f>IF(ISERROR(VLOOKUP($T$642,'TAR FIN'!$A$1:$O$113,15,0)),0,VLOOKUP($T$642,'TAR FIN'!$A$1:$O$113,15,0))</f>
        <v>0</v>
      </c>
      <c r="X642" s="6">
        <f>IF(ISERROR(VLOOKUP($U$642,'TAR FIN'!$A$1:$O$113,15,0)),0,VLOOKUP($U$642,'TAR FIN'!$A$1:$O$113,15,0))</f>
        <v>0</v>
      </c>
      <c r="Y642" s="6">
        <f ca="1">('TUSD BE'!$AM$28+'TUSD BF'!$AM$28+'TUSD CVA'!$AM$28)*1</f>
        <v>13.458223506903105</v>
      </c>
      <c r="Z642" s="6"/>
      <c r="AA642" s="6"/>
      <c r="AB642" s="6">
        <f>$K$642*$V$642</f>
        <v>594.22000056219997</v>
      </c>
      <c r="AC642" s="6">
        <f>$M$642*$W$642</f>
        <v>0</v>
      </c>
      <c r="AD642" s="6">
        <f>$O$642*$X$642</f>
        <v>0</v>
      </c>
      <c r="AE642" s="6">
        <f ca="1">$K$642*$Y$642</f>
        <v>681.18786881074755</v>
      </c>
      <c r="AF642" s="6">
        <f>$M$642*$Z$642</f>
        <v>0</v>
      </c>
      <c r="AG642" s="6">
        <f>$O$642*$AA$642</f>
        <v>0</v>
      </c>
    </row>
    <row r="643" spans="1:33" ht="11.25" customHeight="1" x14ac:dyDescent="0.3">
      <c r="A643" s="4" t="s">
        <v>21</v>
      </c>
      <c r="B643" s="4" t="s">
        <v>43</v>
      </c>
      <c r="C643" s="4" t="s">
        <v>41</v>
      </c>
      <c r="D643" s="4" t="s">
        <v>38</v>
      </c>
      <c r="E643" s="4" t="s">
        <v>25</v>
      </c>
      <c r="F643" s="4" t="s">
        <v>56</v>
      </c>
      <c r="G643" s="4" t="s">
        <v>25</v>
      </c>
      <c r="H643" s="4" t="s">
        <v>25</v>
      </c>
      <c r="I643" s="5">
        <v>44621</v>
      </c>
      <c r="J643" s="6">
        <v>101</v>
      </c>
      <c r="K643" s="6">
        <v>50.574105719999999</v>
      </c>
      <c r="L643" s="6">
        <v>0</v>
      </c>
      <c r="M643" s="6">
        <v>0</v>
      </c>
      <c r="N643" s="6">
        <v>0</v>
      </c>
      <c r="O643" s="6">
        <v>0</v>
      </c>
      <c r="P643" s="6">
        <v>1</v>
      </c>
      <c r="Q643" s="4" t="s">
        <v>55</v>
      </c>
      <c r="R643" s="4">
        <v>0</v>
      </c>
      <c r="S643" s="6">
        <v>13</v>
      </c>
      <c r="T643" s="6">
        <v>0</v>
      </c>
      <c r="U643" s="6">
        <v>0</v>
      </c>
      <c r="V643" s="6">
        <f>IF(ISERROR(VLOOKUP($S$643,'TAR FIN'!$A$1:$O$113,15,0)),0,VLOOKUP($S$643,'TAR FIN'!$A$1:$O$113,15,0))</f>
        <v>11.74</v>
      </c>
      <c r="W643" s="6">
        <f>IF(ISERROR(VLOOKUP($T$643,'TAR FIN'!$A$1:$O$113,15,0)),0,VLOOKUP($T$643,'TAR FIN'!$A$1:$O$113,15,0))</f>
        <v>0</v>
      </c>
      <c r="X643" s="6">
        <f>IF(ISERROR(VLOOKUP($U$643,'TAR FIN'!$A$1:$O$113,15,0)),0,VLOOKUP($U$643,'TAR FIN'!$A$1:$O$113,15,0))</f>
        <v>0</v>
      </c>
      <c r="Y643" s="6">
        <f ca="1">('TUSD BE'!$AM$28+'TUSD BF'!$AM$28+'TUSD CVA'!$AM$28)*1</f>
        <v>13.458223506903105</v>
      </c>
      <c r="Z643" s="6"/>
      <c r="AA643" s="6"/>
      <c r="AB643" s="6">
        <f>$K$643*$V$643</f>
        <v>593.74000115280001</v>
      </c>
      <c r="AC643" s="6">
        <f>$M$643*$W$643</f>
        <v>0</v>
      </c>
      <c r="AD643" s="6">
        <f>$O$643*$X$643</f>
        <v>0</v>
      </c>
      <c r="AE643" s="6">
        <f ca="1">$K$643*$Y$643</f>
        <v>680.63761844150679</v>
      </c>
      <c r="AF643" s="6">
        <f>$M$643*$Z$643</f>
        <v>0</v>
      </c>
      <c r="AG643" s="6">
        <f>$O$643*$AA$643</f>
        <v>0</v>
      </c>
    </row>
    <row r="644" spans="1:33" ht="11.25" customHeight="1" x14ac:dyDescent="0.3">
      <c r="A644" s="4" t="s">
        <v>21</v>
      </c>
      <c r="B644" s="4" t="s">
        <v>43</v>
      </c>
      <c r="C644" s="4" t="s">
        <v>41</v>
      </c>
      <c r="D644" s="4" t="s">
        <v>38</v>
      </c>
      <c r="E644" s="4" t="s">
        <v>25</v>
      </c>
      <c r="F644" s="4" t="s">
        <v>56</v>
      </c>
      <c r="G644" s="4" t="s">
        <v>25</v>
      </c>
      <c r="H644" s="4" t="s">
        <v>25</v>
      </c>
      <c r="I644" s="5">
        <v>44652</v>
      </c>
      <c r="J644" s="6">
        <v>101</v>
      </c>
      <c r="K644" s="6">
        <v>50.563032079999999</v>
      </c>
      <c r="L644" s="6">
        <v>0</v>
      </c>
      <c r="M644" s="6">
        <v>0</v>
      </c>
      <c r="N644" s="6">
        <v>0</v>
      </c>
      <c r="O644" s="6">
        <v>0</v>
      </c>
      <c r="P644" s="6">
        <v>1</v>
      </c>
      <c r="Q644" s="4" t="s">
        <v>55</v>
      </c>
      <c r="R644" s="4">
        <v>0</v>
      </c>
      <c r="S644" s="6">
        <v>13</v>
      </c>
      <c r="T644" s="6">
        <v>0</v>
      </c>
      <c r="U644" s="6">
        <v>0</v>
      </c>
      <c r="V644" s="6">
        <f>IF(ISERROR(VLOOKUP($S$644,'TAR FIN'!$A$1:$O$113,15,0)),0,VLOOKUP($S$644,'TAR FIN'!$A$1:$O$113,15,0))</f>
        <v>11.74</v>
      </c>
      <c r="W644" s="6">
        <f>IF(ISERROR(VLOOKUP($T$644,'TAR FIN'!$A$1:$O$113,15,0)),0,VLOOKUP($T$644,'TAR FIN'!$A$1:$O$113,15,0))</f>
        <v>0</v>
      </c>
      <c r="X644" s="6">
        <f>IF(ISERROR(VLOOKUP($U$644,'TAR FIN'!$A$1:$O$113,15,0)),0,VLOOKUP($U$644,'TAR FIN'!$A$1:$O$113,15,0))</f>
        <v>0</v>
      </c>
      <c r="Y644" s="6">
        <f ca="1">('TUSD BE'!$AM$28+'TUSD BF'!$AM$28+'TUSD CVA'!$AM$28)*1</f>
        <v>13.458223506903105</v>
      </c>
      <c r="Z644" s="6"/>
      <c r="AA644" s="6"/>
      <c r="AB644" s="6">
        <f>$K$644*$V$644</f>
        <v>593.60999661920005</v>
      </c>
      <c r="AC644" s="6">
        <f>$M$644*$W$644</f>
        <v>0</v>
      </c>
      <c r="AD644" s="6">
        <f>$O$644*$X$644</f>
        <v>0</v>
      </c>
      <c r="AE644" s="6">
        <f ca="1">$K$644*$Y$644</f>
        <v>680.48858691935175</v>
      </c>
      <c r="AF644" s="6">
        <f>$M$644*$Z$644</f>
        <v>0</v>
      </c>
      <c r="AG644" s="6">
        <f>$O$644*$AA$644</f>
        <v>0</v>
      </c>
    </row>
    <row r="645" spans="1:33" ht="11.25" customHeight="1" x14ac:dyDescent="0.3">
      <c r="A645" s="4" t="s">
        <v>21</v>
      </c>
      <c r="B645" s="4" t="s">
        <v>43</v>
      </c>
      <c r="C645" s="4" t="s">
        <v>41</v>
      </c>
      <c r="D645" s="4" t="s">
        <v>38</v>
      </c>
      <c r="E645" s="4" t="s">
        <v>25</v>
      </c>
      <c r="F645" s="4" t="s">
        <v>56</v>
      </c>
      <c r="G645" s="4" t="s">
        <v>25</v>
      </c>
      <c r="H645" s="4" t="s">
        <v>25</v>
      </c>
      <c r="I645" s="5">
        <v>44682</v>
      </c>
      <c r="J645" s="6">
        <v>101</v>
      </c>
      <c r="K645" s="6">
        <v>50.617546830000002</v>
      </c>
      <c r="L645" s="6">
        <v>0</v>
      </c>
      <c r="M645" s="6">
        <v>0</v>
      </c>
      <c r="N645" s="6">
        <v>0</v>
      </c>
      <c r="O645" s="6">
        <v>0</v>
      </c>
      <c r="P645" s="6">
        <v>1</v>
      </c>
      <c r="Q645" s="4" t="s">
        <v>55</v>
      </c>
      <c r="R645" s="4">
        <v>0</v>
      </c>
      <c r="S645" s="6">
        <v>13</v>
      </c>
      <c r="T645" s="6">
        <v>0</v>
      </c>
      <c r="U645" s="6">
        <v>0</v>
      </c>
      <c r="V645" s="6">
        <f>IF(ISERROR(VLOOKUP($S$645,'TAR FIN'!$A$1:$O$113,15,0)),0,VLOOKUP($S$645,'TAR FIN'!$A$1:$O$113,15,0))</f>
        <v>11.74</v>
      </c>
      <c r="W645" s="6">
        <f>IF(ISERROR(VLOOKUP($T$645,'TAR FIN'!$A$1:$O$113,15,0)),0,VLOOKUP($T$645,'TAR FIN'!$A$1:$O$113,15,0))</f>
        <v>0</v>
      </c>
      <c r="X645" s="6">
        <f>IF(ISERROR(VLOOKUP($U$645,'TAR FIN'!$A$1:$O$113,15,0)),0,VLOOKUP($U$645,'TAR FIN'!$A$1:$O$113,15,0))</f>
        <v>0</v>
      </c>
      <c r="Y645" s="6">
        <f ca="1">('TUSD BE'!$AM$28+'TUSD BF'!$AM$28+'TUSD CVA'!$AM$28)*1</f>
        <v>13.458223506903105</v>
      </c>
      <c r="Z645" s="6"/>
      <c r="AA645" s="6"/>
      <c r="AB645" s="6">
        <f>$K$645*$V$645</f>
        <v>594.24999978419999</v>
      </c>
      <c r="AC645" s="6">
        <f>$M$645*$W$645</f>
        <v>0</v>
      </c>
      <c r="AD645" s="6">
        <f>$O$645*$X$645</f>
        <v>0</v>
      </c>
      <c r="AE645" s="6">
        <f ca="1">$K$645*$Y$645</f>
        <v>681.22225860927472</v>
      </c>
      <c r="AF645" s="6">
        <f>$M$645*$Z$645</f>
        <v>0</v>
      </c>
      <c r="AG645" s="6">
        <f>$O$645*$AA$645</f>
        <v>0</v>
      </c>
    </row>
    <row r="646" spans="1:33" ht="11.25" customHeight="1" x14ac:dyDescent="0.3">
      <c r="A646" s="4" t="s">
        <v>21</v>
      </c>
      <c r="B646" s="4" t="s">
        <v>43</v>
      </c>
      <c r="C646" s="4" t="s">
        <v>41</v>
      </c>
      <c r="D646" s="4" t="s">
        <v>38</v>
      </c>
      <c r="E646" s="4" t="s">
        <v>25</v>
      </c>
      <c r="F646" s="4" t="s">
        <v>56</v>
      </c>
      <c r="G646" s="4" t="s">
        <v>25</v>
      </c>
      <c r="H646" s="4" t="s">
        <v>25</v>
      </c>
      <c r="I646" s="5">
        <v>44713</v>
      </c>
      <c r="J646" s="6">
        <v>101</v>
      </c>
      <c r="K646" s="6">
        <v>56.66269175</v>
      </c>
      <c r="L646" s="6">
        <v>0</v>
      </c>
      <c r="M646" s="6">
        <v>0</v>
      </c>
      <c r="N646" s="6">
        <v>0</v>
      </c>
      <c r="O646" s="6">
        <v>0</v>
      </c>
      <c r="P646" s="6">
        <v>1</v>
      </c>
      <c r="Q646" s="4" t="s">
        <v>55</v>
      </c>
      <c r="R646" s="4">
        <v>0</v>
      </c>
      <c r="S646" s="6">
        <v>13</v>
      </c>
      <c r="T646" s="6">
        <v>0</v>
      </c>
      <c r="U646" s="6">
        <v>0</v>
      </c>
      <c r="V646" s="6">
        <f>IF(ISERROR(VLOOKUP($S$646,'TAR FIN'!$A$1:$O$113,15,0)),0,VLOOKUP($S$646,'TAR FIN'!$A$1:$O$113,15,0))</f>
        <v>11.74</v>
      </c>
      <c r="W646" s="6">
        <f>IF(ISERROR(VLOOKUP($T$646,'TAR FIN'!$A$1:$O$113,15,0)),0,VLOOKUP($T$646,'TAR FIN'!$A$1:$O$113,15,0))</f>
        <v>0</v>
      </c>
      <c r="X646" s="6">
        <f>IF(ISERROR(VLOOKUP($U$646,'TAR FIN'!$A$1:$O$113,15,0)),0,VLOOKUP($U$646,'TAR FIN'!$A$1:$O$113,15,0))</f>
        <v>0</v>
      </c>
      <c r="Y646" s="6">
        <f ca="1">('TUSD BE'!$AM$28+'TUSD BF'!$AM$28+'TUSD CVA'!$AM$28)*1</f>
        <v>13.458223506903105</v>
      </c>
      <c r="Z646" s="6"/>
      <c r="AA646" s="6"/>
      <c r="AB646" s="6">
        <f>$K$646*$V$646</f>
        <v>665.22000114499997</v>
      </c>
      <c r="AC646" s="6">
        <f>$M$646*$W$646</f>
        <v>0</v>
      </c>
      <c r="AD646" s="6">
        <f>$O$646*$X$646</f>
        <v>0</v>
      </c>
      <c r="AE646" s="6">
        <f ca="1">$K$646*$Y$646</f>
        <v>762.57917007425465</v>
      </c>
      <c r="AF646" s="6">
        <f>$M$646*$Z$646</f>
        <v>0</v>
      </c>
      <c r="AG646" s="6">
        <f>$O$646*$AA$646</f>
        <v>0</v>
      </c>
    </row>
    <row r="647" spans="1:33" ht="11.25" customHeight="1" x14ac:dyDescent="0.3">
      <c r="A647" s="4" t="s">
        <v>21</v>
      </c>
      <c r="B647" s="4" t="s">
        <v>43</v>
      </c>
      <c r="C647" s="4" t="s">
        <v>41</v>
      </c>
      <c r="D647" s="4" t="s">
        <v>38</v>
      </c>
      <c r="E647" s="4" t="s">
        <v>25</v>
      </c>
      <c r="F647" s="4" t="s">
        <v>56</v>
      </c>
      <c r="G647" s="4" t="s">
        <v>25</v>
      </c>
      <c r="H647" s="4" t="s">
        <v>25</v>
      </c>
      <c r="I647" s="5">
        <v>44743</v>
      </c>
      <c r="J647" s="6">
        <v>101</v>
      </c>
      <c r="K647" s="6">
        <v>50.520443409999999</v>
      </c>
      <c r="L647" s="6">
        <v>0</v>
      </c>
      <c r="M647" s="6">
        <v>0</v>
      </c>
      <c r="N647" s="6">
        <v>0</v>
      </c>
      <c r="O647" s="6">
        <v>0</v>
      </c>
      <c r="P647" s="6">
        <v>1</v>
      </c>
      <c r="Q647" s="4" t="s">
        <v>55</v>
      </c>
      <c r="R647" s="4">
        <v>0</v>
      </c>
      <c r="S647" s="6">
        <v>13</v>
      </c>
      <c r="T647" s="6">
        <v>0</v>
      </c>
      <c r="U647" s="6">
        <v>0</v>
      </c>
      <c r="V647" s="6">
        <f>IF(ISERROR(VLOOKUP($S$647,'TAR FIN'!$A$1:$O$113,15,0)),0,VLOOKUP($S$647,'TAR FIN'!$A$1:$O$113,15,0))</f>
        <v>11.74</v>
      </c>
      <c r="W647" s="6">
        <f>IF(ISERROR(VLOOKUP($T$647,'TAR FIN'!$A$1:$O$113,15,0)),0,VLOOKUP($T$647,'TAR FIN'!$A$1:$O$113,15,0))</f>
        <v>0</v>
      </c>
      <c r="X647" s="6">
        <f>IF(ISERROR(VLOOKUP($U$647,'TAR FIN'!$A$1:$O$113,15,0)),0,VLOOKUP($U$647,'TAR FIN'!$A$1:$O$113,15,0))</f>
        <v>0</v>
      </c>
      <c r="Y647" s="6">
        <f ca="1">('TUSD BE'!$AM$28+'TUSD BF'!$AM$28+'TUSD CVA'!$AM$28)*1</f>
        <v>13.458223506903105</v>
      </c>
      <c r="Z647" s="6"/>
      <c r="AA647" s="6"/>
      <c r="AB647" s="6">
        <f>$K$647*$V$647</f>
        <v>593.11000563339996</v>
      </c>
      <c r="AC647" s="6">
        <f>$M$647*$W$647</f>
        <v>0</v>
      </c>
      <c r="AD647" s="6">
        <f>$O$647*$X$647</f>
        <v>0</v>
      </c>
      <c r="AE647" s="6">
        <f ca="1">$K$647*$Y$647</f>
        <v>679.91541907963006</v>
      </c>
      <c r="AF647" s="6">
        <f>$M$647*$Z$647</f>
        <v>0</v>
      </c>
      <c r="AG647" s="6">
        <f>$O$647*$AA$647</f>
        <v>0</v>
      </c>
    </row>
    <row r="648" spans="1:33" ht="11.25" customHeight="1" x14ac:dyDescent="0.3">
      <c r="A648" s="4" t="s">
        <v>21</v>
      </c>
      <c r="B648" s="4" t="s">
        <v>43</v>
      </c>
      <c r="C648" s="4" t="s">
        <v>41</v>
      </c>
      <c r="D648" s="4" t="s">
        <v>38</v>
      </c>
      <c r="E648" s="4" t="s">
        <v>25</v>
      </c>
      <c r="F648" s="4" t="s">
        <v>56</v>
      </c>
      <c r="G648" s="4" t="s">
        <v>25</v>
      </c>
      <c r="H648" s="4" t="s">
        <v>25</v>
      </c>
      <c r="I648" s="5">
        <v>44774</v>
      </c>
      <c r="J648" s="6">
        <v>101</v>
      </c>
      <c r="K648" s="6">
        <v>47.413117810000003</v>
      </c>
      <c r="L648" s="6">
        <v>0</v>
      </c>
      <c r="M648" s="6">
        <v>0</v>
      </c>
      <c r="N648" s="6">
        <v>0</v>
      </c>
      <c r="O648" s="6">
        <v>0</v>
      </c>
      <c r="P648" s="6">
        <v>1</v>
      </c>
      <c r="Q648" s="4" t="s">
        <v>55</v>
      </c>
      <c r="R648" s="4">
        <v>0</v>
      </c>
      <c r="S648" s="6">
        <v>13</v>
      </c>
      <c r="T648" s="6">
        <v>0</v>
      </c>
      <c r="U648" s="6">
        <v>0</v>
      </c>
      <c r="V648" s="6">
        <f>IF(ISERROR(VLOOKUP($S$648,'TAR FIN'!$A$1:$O$113,15,0)),0,VLOOKUP($S$648,'TAR FIN'!$A$1:$O$113,15,0))</f>
        <v>11.74</v>
      </c>
      <c r="W648" s="6">
        <f>IF(ISERROR(VLOOKUP($T$648,'TAR FIN'!$A$1:$O$113,15,0)),0,VLOOKUP($T$648,'TAR FIN'!$A$1:$O$113,15,0))</f>
        <v>0</v>
      </c>
      <c r="X648" s="6">
        <f>IF(ISERROR(VLOOKUP($U$648,'TAR FIN'!$A$1:$O$113,15,0)),0,VLOOKUP($U$648,'TAR FIN'!$A$1:$O$113,15,0))</f>
        <v>0</v>
      </c>
      <c r="Y648" s="6">
        <f ca="1">('TUSD BE'!$AM$28+'TUSD BF'!$AM$28+'TUSD CVA'!$AM$28)*1</f>
        <v>13.458223506903105</v>
      </c>
      <c r="Z648" s="6"/>
      <c r="AA648" s="6"/>
      <c r="AB648" s="6">
        <f>$K$648*$V$648</f>
        <v>556.63000308940002</v>
      </c>
      <c r="AC648" s="6">
        <f>$M$648*$W$648</f>
        <v>0</v>
      </c>
      <c r="AD648" s="6">
        <f>$O$648*$X$648</f>
        <v>0</v>
      </c>
      <c r="AE648" s="6">
        <f ca="1">$K$648*$Y$648</f>
        <v>638.09633664610828</v>
      </c>
      <c r="AF648" s="6">
        <f>$M$648*$Z$648</f>
        <v>0</v>
      </c>
      <c r="AG648" s="6">
        <f>$O$648*$AA$648</f>
        <v>0</v>
      </c>
    </row>
    <row r="649" spans="1:33" ht="11.25" customHeight="1" x14ac:dyDescent="0.3">
      <c r="A649" s="4" t="s">
        <v>21</v>
      </c>
      <c r="B649" s="4" t="s">
        <v>43</v>
      </c>
      <c r="C649" s="4" t="s">
        <v>41</v>
      </c>
      <c r="D649" s="4" t="s">
        <v>38</v>
      </c>
      <c r="E649" s="4" t="s">
        <v>25</v>
      </c>
      <c r="F649" s="4" t="s">
        <v>56</v>
      </c>
      <c r="G649" s="4" t="s">
        <v>25</v>
      </c>
      <c r="H649" s="4" t="s">
        <v>25</v>
      </c>
      <c r="I649" s="5">
        <v>44805</v>
      </c>
      <c r="J649" s="6">
        <v>101</v>
      </c>
      <c r="K649" s="6">
        <v>50.495740830000003</v>
      </c>
      <c r="L649" s="6">
        <v>0</v>
      </c>
      <c r="M649" s="6">
        <v>0</v>
      </c>
      <c r="N649" s="6">
        <v>0</v>
      </c>
      <c r="O649" s="6">
        <v>0</v>
      </c>
      <c r="P649" s="6">
        <v>1</v>
      </c>
      <c r="Q649" s="4" t="s">
        <v>55</v>
      </c>
      <c r="R649" s="4">
        <v>0</v>
      </c>
      <c r="S649" s="6">
        <v>13</v>
      </c>
      <c r="T649" s="6">
        <v>0</v>
      </c>
      <c r="U649" s="6">
        <v>0</v>
      </c>
      <c r="V649" s="6">
        <f>IF(ISERROR(VLOOKUP($S$649,'TAR FIN'!$A$1:$O$113,15,0)),0,VLOOKUP($S$649,'TAR FIN'!$A$1:$O$113,15,0))</f>
        <v>11.74</v>
      </c>
      <c r="W649" s="6">
        <f>IF(ISERROR(VLOOKUP($T$649,'TAR FIN'!$A$1:$O$113,15,0)),0,VLOOKUP($T$649,'TAR FIN'!$A$1:$O$113,15,0))</f>
        <v>0</v>
      </c>
      <c r="X649" s="6">
        <f>IF(ISERROR(VLOOKUP($U$649,'TAR FIN'!$A$1:$O$113,15,0)),0,VLOOKUP($U$649,'TAR FIN'!$A$1:$O$113,15,0))</f>
        <v>0</v>
      </c>
      <c r="Y649" s="6">
        <f ca="1">('TUSD BE'!$AM$28+'TUSD BF'!$AM$28+'TUSD CVA'!$AM$28)*1</f>
        <v>13.458223506903105</v>
      </c>
      <c r="Z649" s="6"/>
      <c r="AA649" s="6"/>
      <c r="AB649" s="6">
        <f>$K$649*$V$649</f>
        <v>592.81999734420003</v>
      </c>
      <c r="AC649" s="6">
        <f>$M$649*$W$649</f>
        <v>0</v>
      </c>
      <c r="AD649" s="6">
        <f>$O$649*$X$649</f>
        <v>0</v>
      </c>
      <c r="AE649" s="6">
        <f ca="1">$K$649*$Y$649</f>
        <v>679.58296623679291</v>
      </c>
      <c r="AF649" s="6">
        <f>$M$649*$Z$649</f>
        <v>0</v>
      </c>
      <c r="AG649" s="6">
        <f>$O$649*$AA$649</f>
        <v>0</v>
      </c>
    </row>
    <row r="650" spans="1:33" ht="11.25" customHeight="1" x14ac:dyDescent="0.3">
      <c r="A650" s="4" t="s">
        <v>53</v>
      </c>
      <c r="B650" s="4" t="s">
        <v>43</v>
      </c>
      <c r="C650" s="4" t="s">
        <v>41</v>
      </c>
      <c r="D650" s="4" t="s">
        <v>38</v>
      </c>
      <c r="E650" s="4" t="s">
        <v>25</v>
      </c>
      <c r="F650" s="4" t="s">
        <v>56</v>
      </c>
      <c r="G650" s="4" t="s">
        <v>25</v>
      </c>
      <c r="H650" s="4" t="s">
        <v>25</v>
      </c>
      <c r="I650" s="5">
        <v>44835</v>
      </c>
      <c r="J650" s="6">
        <v>101</v>
      </c>
      <c r="K650" s="6">
        <v>50.495740830000003</v>
      </c>
      <c r="L650" s="6">
        <v>0</v>
      </c>
      <c r="M650" s="6">
        <v>0</v>
      </c>
      <c r="N650" s="6">
        <v>0</v>
      </c>
      <c r="O650" s="6">
        <v>0</v>
      </c>
      <c r="P650" s="6">
        <v>1</v>
      </c>
      <c r="Q650" s="4" t="s">
        <v>55</v>
      </c>
      <c r="R650" s="4">
        <v>0</v>
      </c>
      <c r="S650" s="6">
        <v>13</v>
      </c>
      <c r="T650" s="6">
        <v>0</v>
      </c>
      <c r="U650" s="6">
        <v>0</v>
      </c>
      <c r="V650" s="6">
        <f>IF(ISERROR(VLOOKUP($S$650,'TAR FIN'!$A$1:$O$113,15,0)),0,VLOOKUP($S$650,'TAR FIN'!$A$1:$O$113,15,0))</f>
        <v>11.74</v>
      </c>
      <c r="W650" s="6">
        <f>IF(ISERROR(VLOOKUP($T$650,'TAR FIN'!$A$1:$O$113,15,0)),0,VLOOKUP($T$650,'TAR FIN'!$A$1:$O$113,15,0))</f>
        <v>0</v>
      </c>
      <c r="X650" s="6">
        <f>IF(ISERROR(VLOOKUP($U$650,'TAR FIN'!$A$1:$O$113,15,0)),0,VLOOKUP($U$650,'TAR FIN'!$A$1:$O$113,15,0))</f>
        <v>0</v>
      </c>
      <c r="Y650" s="6">
        <f ca="1">('TUSD BE'!$AM$28+'TUSD BF'!$AM$28+'TUSD CVA'!$AM$28)*1</f>
        <v>13.458223506903105</v>
      </c>
      <c r="Z650" s="6"/>
      <c r="AA650" s="6"/>
      <c r="AB650" s="6">
        <f>$K$650*$V$650</f>
        <v>592.81999734420003</v>
      </c>
      <c r="AC650" s="6">
        <f>$M$650*$W$650</f>
        <v>0</v>
      </c>
      <c r="AD650" s="6">
        <f>$O$650*$X$650</f>
        <v>0</v>
      </c>
      <c r="AE650" s="6">
        <f ca="1">$K$650*$Y$650</f>
        <v>679.58296623679291</v>
      </c>
      <c r="AF650" s="6">
        <f>$M$650*$Z$650</f>
        <v>0</v>
      </c>
      <c r="AG650" s="6">
        <f>$O$650*$AA$650</f>
        <v>0</v>
      </c>
    </row>
    <row r="651" spans="1:33" ht="11.25" customHeight="1" x14ac:dyDescent="0.3">
      <c r="A651" s="4" t="s">
        <v>21</v>
      </c>
      <c r="B651" s="4" t="s">
        <v>43</v>
      </c>
      <c r="C651" s="4" t="s">
        <v>41</v>
      </c>
      <c r="D651" s="4" t="s">
        <v>38</v>
      </c>
      <c r="E651" s="4" t="s">
        <v>25</v>
      </c>
      <c r="F651" s="4" t="s">
        <v>56</v>
      </c>
      <c r="G651" s="4" t="s">
        <v>25</v>
      </c>
      <c r="H651" s="4" t="s">
        <v>34</v>
      </c>
      <c r="I651" s="5">
        <v>44531</v>
      </c>
      <c r="J651" s="6">
        <v>0</v>
      </c>
      <c r="K651" s="6">
        <v>0</v>
      </c>
      <c r="L651" s="6">
        <v>3.5529999999999999</v>
      </c>
      <c r="M651" s="6">
        <v>1.8846817795299999</v>
      </c>
      <c r="N651" s="6">
        <v>0</v>
      </c>
      <c r="O651" s="6">
        <v>0</v>
      </c>
      <c r="P651" s="6">
        <v>0</v>
      </c>
      <c r="Q651" s="4" t="s">
        <v>55</v>
      </c>
      <c r="R651" s="4">
        <v>0</v>
      </c>
      <c r="S651" s="6">
        <v>0</v>
      </c>
      <c r="T651" s="6">
        <v>32</v>
      </c>
      <c r="U651" s="6">
        <v>0</v>
      </c>
      <c r="V651" s="6">
        <f>IF(ISERROR(VLOOKUP($S$651,'TAR FIN'!$A$1:$O$113,15,0)),0,VLOOKUP($S$651,'TAR FIN'!$A$1:$O$113,15,0))</f>
        <v>0</v>
      </c>
      <c r="W651" s="6">
        <f>IF(ISERROR(VLOOKUP($T$651,'TAR FIN'!$A$1:$O$113,15,0)),0,VLOOKUP($T$651,'TAR FIN'!$A$1:$O$113,15,0))</f>
        <v>1604.46</v>
      </c>
      <c r="X651" s="6">
        <f>IF(ISERROR(VLOOKUP($U$651,'TAR FIN'!$A$1:$O$113,15,0)),0,VLOOKUP($U$651,'TAR FIN'!$A$1:$O$113,15,0))</f>
        <v>0</v>
      </c>
      <c r="Y651" s="6"/>
      <c r="Z651" s="6">
        <f ca="1">('TUSD BE'!$AM$29+'TUSD BF'!$AM$29+'TUSD CVA'!$AM$29)*1</f>
        <v>1888.1712570698433</v>
      </c>
      <c r="AA651" s="6"/>
      <c r="AB651" s="6">
        <f>$K$651*$V$651</f>
        <v>0</v>
      </c>
      <c r="AC651" s="6">
        <f>$M$651*$W$651</f>
        <v>3023.8965279847039</v>
      </c>
      <c r="AD651" s="6">
        <f>$O$651*$X$651</f>
        <v>0</v>
      </c>
      <c r="AE651" s="6">
        <f>$K$651*$Y$651</f>
        <v>0</v>
      </c>
      <c r="AF651" s="6">
        <f ca="1">$M$651*$Z$651</f>
        <v>3558.6019648317892</v>
      </c>
      <c r="AG651" s="6">
        <f>$O$651*$AA$651</f>
        <v>0</v>
      </c>
    </row>
    <row r="652" spans="1:33" ht="11.25" customHeight="1" x14ac:dyDescent="0.3">
      <c r="A652" s="4" t="s">
        <v>21</v>
      </c>
      <c r="B652" s="4" t="s">
        <v>43</v>
      </c>
      <c r="C652" s="4" t="s">
        <v>41</v>
      </c>
      <c r="D652" s="4" t="s">
        <v>38</v>
      </c>
      <c r="E652" s="4" t="s">
        <v>25</v>
      </c>
      <c r="F652" s="4" t="s">
        <v>56</v>
      </c>
      <c r="G652" s="4" t="s">
        <v>25</v>
      </c>
      <c r="H652" s="4" t="s">
        <v>34</v>
      </c>
      <c r="I652" s="5">
        <v>44562</v>
      </c>
      <c r="J652" s="6">
        <v>0</v>
      </c>
      <c r="K652" s="6">
        <v>0</v>
      </c>
      <c r="L652" s="6">
        <v>4.0090000000000003</v>
      </c>
      <c r="M652" s="6">
        <v>2.13658183697</v>
      </c>
      <c r="N652" s="6">
        <v>0</v>
      </c>
      <c r="O652" s="6">
        <v>0</v>
      </c>
      <c r="P652" s="6">
        <v>0</v>
      </c>
      <c r="Q652" s="4" t="s">
        <v>55</v>
      </c>
      <c r="R652" s="4">
        <v>0</v>
      </c>
      <c r="S652" s="6">
        <v>0</v>
      </c>
      <c r="T652" s="6">
        <v>32</v>
      </c>
      <c r="U652" s="6">
        <v>0</v>
      </c>
      <c r="V652" s="6">
        <f>IF(ISERROR(VLOOKUP($S$652,'TAR FIN'!$A$1:$O$113,15,0)),0,VLOOKUP($S$652,'TAR FIN'!$A$1:$O$113,15,0))</f>
        <v>0</v>
      </c>
      <c r="W652" s="6">
        <f>IF(ISERROR(VLOOKUP($T$652,'TAR FIN'!$A$1:$O$113,15,0)),0,VLOOKUP($T$652,'TAR FIN'!$A$1:$O$113,15,0))</f>
        <v>1604.46</v>
      </c>
      <c r="X652" s="6">
        <f>IF(ISERROR(VLOOKUP($U$652,'TAR FIN'!$A$1:$O$113,15,0)),0,VLOOKUP($U$652,'TAR FIN'!$A$1:$O$113,15,0))</f>
        <v>0</v>
      </c>
      <c r="Y652" s="6"/>
      <c r="Z652" s="6">
        <f ca="1">('TUSD BE'!$AM$29+'TUSD BF'!$AM$29+'TUSD CVA'!$AM$29)*1</f>
        <v>1888.1712570698433</v>
      </c>
      <c r="AA652" s="6"/>
      <c r="AB652" s="6">
        <f>$K$652*$V$652</f>
        <v>0</v>
      </c>
      <c r="AC652" s="6">
        <f>$M$652*$W$652</f>
        <v>3428.0600941448865</v>
      </c>
      <c r="AD652" s="6">
        <f>$O$652*$X$652</f>
        <v>0</v>
      </c>
      <c r="AE652" s="6">
        <f>$K$652*$Y$652</f>
        <v>0</v>
      </c>
      <c r="AF652" s="6">
        <f ca="1">$M$652*$Z$652</f>
        <v>4034.23241294424</v>
      </c>
      <c r="AG652" s="6">
        <f>$O$652*$AA$652</f>
        <v>0</v>
      </c>
    </row>
    <row r="653" spans="1:33" ht="11.25" customHeight="1" x14ac:dyDescent="0.3">
      <c r="A653" s="4" t="s">
        <v>21</v>
      </c>
      <c r="B653" s="4" t="s">
        <v>43</v>
      </c>
      <c r="C653" s="4" t="s">
        <v>41</v>
      </c>
      <c r="D653" s="4" t="s">
        <v>38</v>
      </c>
      <c r="E653" s="4" t="s">
        <v>25</v>
      </c>
      <c r="F653" s="4" t="s">
        <v>56</v>
      </c>
      <c r="G653" s="4" t="s">
        <v>25</v>
      </c>
      <c r="H653" s="4" t="s">
        <v>34</v>
      </c>
      <c r="I653" s="5">
        <v>44593</v>
      </c>
      <c r="J653" s="6">
        <v>0</v>
      </c>
      <c r="K653" s="6">
        <v>0</v>
      </c>
      <c r="L653" s="6">
        <v>3.74</v>
      </c>
      <c r="M653" s="6">
        <v>1.997052101</v>
      </c>
      <c r="N653" s="6">
        <v>0</v>
      </c>
      <c r="O653" s="6">
        <v>0</v>
      </c>
      <c r="P653" s="6">
        <v>0</v>
      </c>
      <c r="Q653" s="4" t="s">
        <v>55</v>
      </c>
      <c r="R653" s="4">
        <v>0</v>
      </c>
      <c r="S653" s="6">
        <v>0</v>
      </c>
      <c r="T653" s="6">
        <v>32</v>
      </c>
      <c r="U653" s="6">
        <v>0</v>
      </c>
      <c r="V653" s="6">
        <f>IF(ISERROR(VLOOKUP($S$653,'TAR FIN'!$A$1:$O$113,15,0)),0,VLOOKUP($S$653,'TAR FIN'!$A$1:$O$113,15,0))</f>
        <v>0</v>
      </c>
      <c r="W653" s="6">
        <f>IF(ISERROR(VLOOKUP($T$653,'TAR FIN'!$A$1:$O$113,15,0)),0,VLOOKUP($T$653,'TAR FIN'!$A$1:$O$113,15,0))</f>
        <v>1604.46</v>
      </c>
      <c r="X653" s="6">
        <f>IF(ISERROR(VLOOKUP($U$653,'TAR FIN'!$A$1:$O$113,15,0)),0,VLOOKUP($U$653,'TAR FIN'!$A$1:$O$113,15,0))</f>
        <v>0</v>
      </c>
      <c r="Y653" s="6"/>
      <c r="Z653" s="6">
        <f ca="1">('TUSD BE'!$AM$29+'TUSD BF'!$AM$29+'TUSD CVA'!$AM$29)*1</f>
        <v>1888.1712570698433</v>
      </c>
      <c r="AA653" s="6"/>
      <c r="AB653" s="6">
        <f>$K$653*$V$653</f>
        <v>0</v>
      </c>
      <c r="AC653" s="6">
        <f>$M$653*$W$653</f>
        <v>3204.1902139704598</v>
      </c>
      <c r="AD653" s="6">
        <f>$O$653*$X$653</f>
        <v>0</v>
      </c>
      <c r="AE653" s="6">
        <f>$K$653*$Y$653</f>
        <v>0</v>
      </c>
      <c r="AF653" s="6">
        <f ca="1">$M$653*$Z$653</f>
        <v>3770.7763759791414</v>
      </c>
      <c r="AG653" s="6">
        <f>$O$653*$AA$653</f>
        <v>0</v>
      </c>
    </row>
    <row r="654" spans="1:33" ht="11.25" customHeight="1" x14ac:dyDescent="0.3">
      <c r="A654" s="4" t="s">
        <v>21</v>
      </c>
      <c r="B654" s="4" t="s">
        <v>43</v>
      </c>
      <c r="C654" s="4" t="s">
        <v>41</v>
      </c>
      <c r="D654" s="4" t="s">
        <v>38</v>
      </c>
      <c r="E654" s="4" t="s">
        <v>25</v>
      </c>
      <c r="F654" s="4" t="s">
        <v>56</v>
      </c>
      <c r="G654" s="4" t="s">
        <v>25</v>
      </c>
      <c r="H654" s="4" t="s">
        <v>34</v>
      </c>
      <c r="I654" s="5">
        <v>44621</v>
      </c>
      <c r="J654" s="6">
        <v>0</v>
      </c>
      <c r="K654" s="6">
        <v>0</v>
      </c>
      <c r="L654" s="6">
        <v>3.448</v>
      </c>
      <c r="M654" s="6">
        <v>1.84013581184</v>
      </c>
      <c r="N654" s="6">
        <v>0</v>
      </c>
      <c r="O654" s="6">
        <v>0</v>
      </c>
      <c r="P654" s="6">
        <v>0</v>
      </c>
      <c r="Q654" s="4" t="s">
        <v>55</v>
      </c>
      <c r="R654" s="4">
        <v>0</v>
      </c>
      <c r="S654" s="6">
        <v>0</v>
      </c>
      <c r="T654" s="6">
        <v>32</v>
      </c>
      <c r="U654" s="6">
        <v>0</v>
      </c>
      <c r="V654" s="6">
        <f>IF(ISERROR(VLOOKUP($S$654,'TAR FIN'!$A$1:$O$113,15,0)),0,VLOOKUP($S$654,'TAR FIN'!$A$1:$O$113,15,0))</f>
        <v>0</v>
      </c>
      <c r="W654" s="6">
        <f>IF(ISERROR(VLOOKUP($T$654,'TAR FIN'!$A$1:$O$113,15,0)),0,VLOOKUP($T$654,'TAR FIN'!$A$1:$O$113,15,0))</f>
        <v>1604.46</v>
      </c>
      <c r="X654" s="6">
        <f>IF(ISERROR(VLOOKUP($U$654,'TAR FIN'!$A$1:$O$113,15,0)),0,VLOOKUP($U$654,'TAR FIN'!$A$1:$O$113,15,0))</f>
        <v>0</v>
      </c>
      <c r="Y654" s="6"/>
      <c r="Z654" s="6">
        <f ca="1">('TUSD BE'!$AM$29+'TUSD BF'!$AM$29+'TUSD CVA'!$AM$29)*1</f>
        <v>1888.1712570698433</v>
      </c>
      <c r="AA654" s="6"/>
      <c r="AB654" s="6">
        <f>$K$654*$V$654</f>
        <v>0</v>
      </c>
      <c r="AC654" s="6">
        <f>$M$654*$W$654</f>
        <v>2952.4243046648066</v>
      </c>
      <c r="AD654" s="6">
        <f>$O$654*$X$654</f>
        <v>0</v>
      </c>
      <c r="AE654" s="6">
        <f>$K$654*$Y$654</f>
        <v>0</v>
      </c>
      <c r="AF654" s="6">
        <f ca="1">$M$654*$Z$654</f>
        <v>3474.4915490211692</v>
      </c>
      <c r="AG654" s="6">
        <f>$O$654*$AA$654</f>
        <v>0</v>
      </c>
    </row>
    <row r="655" spans="1:33" ht="11.25" customHeight="1" x14ac:dyDescent="0.3">
      <c r="A655" s="4" t="s">
        <v>21</v>
      </c>
      <c r="B655" s="4" t="s">
        <v>43</v>
      </c>
      <c r="C655" s="4" t="s">
        <v>41</v>
      </c>
      <c r="D655" s="4" t="s">
        <v>38</v>
      </c>
      <c r="E655" s="4" t="s">
        <v>25</v>
      </c>
      <c r="F655" s="4" t="s">
        <v>56</v>
      </c>
      <c r="G655" s="4" t="s">
        <v>25</v>
      </c>
      <c r="H655" s="4" t="s">
        <v>34</v>
      </c>
      <c r="I655" s="5">
        <v>44652</v>
      </c>
      <c r="J655" s="6">
        <v>0</v>
      </c>
      <c r="K655" s="6">
        <v>0</v>
      </c>
      <c r="L655" s="6">
        <v>4.17</v>
      </c>
      <c r="M655" s="6">
        <v>2.2247637216</v>
      </c>
      <c r="N655" s="6">
        <v>0</v>
      </c>
      <c r="O655" s="6">
        <v>0</v>
      </c>
      <c r="P655" s="6">
        <v>0</v>
      </c>
      <c r="Q655" s="4" t="s">
        <v>55</v>
      </c>
      <c r="R655" s="4">
        <v>0</v>
      </c>
      <c r="S655" s="6">
        <v>0</v>
      </c>
      <c r="T655" s="6">
        <v>32</v>
      </c>
      <c r="U655" s="6">
        <v>0</v>
      </c>
      <c r="V655" s="6">
        <f>IF(ISERROR(VLOOKUP($S$655,'TAR FIN'!$A$1:$O$113,15,0)),0,VLOOKUP($S$655,'TAR FIN'!$A$1:$O$113,15,0))</f>
        <v>0</v>
      </c>
      <c r="W655" s="6">
        <f>IF(ISERROR(VLOOKUP($T$655,'TAR FIN'!$A$1:$O$113,15,0)),0,VLOOKUP($T$655,'TAR FIN'!$A$1:$O$113,15,0))</f>
        <v>1604.46</v>
      </c>
      <c r="X655" s="6">
        <f>IF(ISERROR(VLOOKUP($U$655,'TAR FIN'!$A$1:$O$113,15,0)),0,VLOOKUP($U$655,'TAR FIN'!$A$1:$O$113,15,0))</f>
        <v>0</v>
      </c>
      <c r="Y655" s="6"/>
      <c r="Z655" s="6">
        <f ca="1">('TUSD BE'!$AM$29+'TUSD BF'!$AM$29+'TUSD CVA'!$AM$29)*1</f>
        <v>1888.1712570698433</v>
      </c>
      <c r="AA655" s="6"/>
      <c r="AB655" s="6">
        <f>$K$655*$V$655</f>
        <v>0</v>
      </c>
      <c r="AC655" s="6">
        <f>$M$655*$W$655</f>
        <v>3569.544400758336</v>
      </c>
      <c r="AD655" s="6">
        <f>$O$655*$X$655</f>
        <v>0</v>
      </c>
      <c r="AE655" s="6">
        <f>$K$655*$Y$655</f>
        <v>0</v>
      </c>
      <c r="AF655" s="6">
        <f ca="1">$M$655*$Z$655</f>
        <v>4200.7349128968544</v>
      </c>
      <c r="AG655" s="6">
        <f>$O$655*$AA$655</f>
        <v>0</v>
      </c>
    </row>
    <row r="656" spans="1:33" ht="11.25" customHeight="1" x14ac:dyDescent="0.3">
      <c r="A656" s="4" t="s">
        <v>21</v>
      </c>
      <c r="B656" s="4" t="s">
        <v>43</v>
      </c>
      <c r="C656" s="4" t="s">
        <v>41</v>
      </c>
      <c r="D656" s="4" t="s">
        <v>38</v>
      </c>
      <c r="E656" s="4" t="s">
        <v>25</v>
      </c>
      <c r="F656" s="4" t="s">
        <v>56</v>
      </c>
      <c r="G656" s="4" t="s">
        <v>25</v>
      </c>
      <c r="H656" s="4" t="s">
        <v>34</v>
      </c>
      <c r="I656" s="5">
        <v>44682</v>
      </c>
      <c r="J656" s="6">
        <v>0</v>
      </c>
      <c r="K656" s="6">
        <v>0</v>
      </c>
      <c r="L656" s="6">
        <v>3.2719999999999998</v>
      </c>
      <c r="M656" s="6">
        <v>1.74741762048</v>
      </c>
      <c r="N656" s="6">
        <v>0</v>
      </c>
      <c r="O656" s="6">
        <v>0</v>
      </c>
      <c r="P656" s="6">
        <v>0</v>
      </c>
      <c r="Q656" s="4" t="s">
        <v>55</v>
      </c>
      <c r="R656" s="4">
        <v>0</v>
      </c>
      <c r="S656" s="6">
        <v>0</v>
      </c>
      <c r="T656" s="6">
        <v>32</v>
      </c>
      <c r="U656" s="6">
        <v>0</v>
      </c>
      <c r="V656" s="6">
        <f>IF(ISERROR(VLOOKUP($S$656,'TAR FIN'!$A$1:$O$113,15,0)),0,VLOOKUP($S$656,'TAR FIN'!$A$1:$O$113,15,0))</f>
        <v>0</v>
      </c>
      <c r="W656" s="6">
        <f>IF(ISERROR(VLOOKUP($T$656,'TAR FIN'!$A$1:$O$113,15,0)),0,VLOOKUP($T$656,'TAR FIN'!$A$1:$O$113,15,0))</f>
        <v>1604.46</v>
      </c>
      <c r="X656" s="6">
        <f>IF(ISERROR(VLOOKUP($U$656,'TAR FIN'!$A$1:$O$113,15,0)),0,VLOOKUP($U$656,'TAR FIN'!$A$1:$O$113,15,0))</f>
        <v>0</v>
      </c>
      <c r="Y656" s="6"/>
      <c r="Z656" s="6">
        <f ca="1">('TUSD BE'!$AM$29+'TUSD BF'!$AM$29+'TUSD CVA'!$AM$29)*1</f>
        <v>1888.1712570698433</v>
      </c>
      <c r="AA656" s="6"/>
      <c r="AB656" s="6">
        <f>$K$656*$V$656</f>
        <v>0</v>
      </c>
      <c r="AC656" s="6">
        <f>$M$656*$W$656</f>
        <v>2803.6616753553408</v>
      </c>
      <c r="AD656" s="6">
        <f>$O$656*$X$656</f>
        <v>0</v>
      </c>
      <c r="AE656" s="6">
        <f>$K$656*$Y$656</f>
        <v>0</v>
      </c>
      <c r="AF656" s="6">
        <f ca="1">$M$656*$Z$656</f>
        <v>3299.4237250877159</v>
      </c>
      <c r="AG656" s="6">
        <f>$O$656*$AA$656</f>
        <v>0</v>
      </c>
    </row>
    <row r="657" spans="1:33" ht="11.25" customHeight="1" x14ac:dyDescent="0.3">
      <c r="A657" s="4" t="s">
        <v>21</v>
      </c>
      <c r="B657" s="4" t="s">
        <v>43</v>
      </c>
      <c r="C657" s="4" t="s">
        <v>41</v>
      </c>
      <c r="D657" s="4" t="s">
        <v>38</v>
      </c>
      <c r="E657" s="4" t="s">
        <v>25</v>
      </c>
      <c r="F657" s="4" t="s">
        <v>56</v>
      </c>
      <c r="G657" s="4" t="s">
        <v>25</v>
      </c>
      <c r="H657" s="4" t="s">
        <v>34</v>
      </c>
      <c r="I657" s="5">
        <v>44713</v>
      </c>
      <c r="J657" s="6">
        <v>0</v>
      </c>
      <c r="K657" s="6">
        <v>0</v>
      </c>
      <c r="L657" s="6">
        <v>2.6539999999999999</v>
      </c>
      <c r="M657" s="6">
        <v>1.6084939090799999</v>
      </c>
      <c r="N657" s="6">
        <v>0</v>
      </c>
      <c r="O657" s="6">
        <v>0</v>
      </c>
      <c r="P657" s="6">
        <v>0</v>
      </c>
      <c r="Q657" s="4" t="s">
        <v>55</v>
      </c>
      <c r="R657" s="4">
        <v>0</v>
      </c>
      <c r="S657" s="6">
        <v>0</v>
      </c>
      <c r="T657" s="6">
        <v>32</v>
      </c>
      <c r="U657" s="6">
        <v>0</v>
      </c>
      <c r="V657" s="6">
        <f>IF(ISERROR(VLOOKUP($S$657,'TAR FIN'!$A$1:$O$113,15,0)),0,VLOOKUP($S$657,'TAR FIN'!$A$1:$O$113,15,0))</f>
        <v>0</v>
      </c>
      <c r="W657" s="6">
        <f>IF(ISERROR(VLOOKUP($T$657,'TAR FIN'!$A$1:$O$113,15,0)),0,VLOOKUP($T$657,'TAR FIN'!$A$1:$O$113,15,0))</f>
        <v>1604.46</v>
      </c>
      <c r="X657" s="6">
        <f>IF(ISERROR(VLOOKUP($U$657,'TAR FIN'!$A$1:$O$113,15,0)),0,VLOOKUP($U$657,'TAR FIN'!$A$1:$O$113,15,0))</f>
        <v>0</v>
      </c>
      <c r="Y657" s="6"/>
      <c r="Z657" s="6">
        <f ca="1">('TUSD BE'!$AM$29+'TUSD BF'!$AM$29+'TUSD CVA'!$AM$29)*1</f>
        <v>1888.1712570698433</v>
      </c>
      <c r="AA657" s="6"/>
      <c r="AB657" s="6">
        <f>$K$657*$V$657</f>
        <v>0</v>
      </c>
      <c r="AC657" s="6">
        <f>$M$657*$W$657</f>
        <v>2580.7641373624965</v>
      </c>
      <c r="AD657" s="6">
        <f>$O$657*$X$657</f>
        <v>0</v>
      </c>
      <c r="AE657" s="6">
        <f>$K$657*$Y$657</f>
        <v>0</v>
      </c>
      <c r="AF657" s="6">
        <f ca="1">$M$657*$Z$657</f>
        <v>3037.1119662967694</v>
      </c>
      <c r="AG657" s="6">
        <f>$O$657*$AA$657</f>
        <v>0</v>
      </c>
    </row>
    <row r="658" spans="1:33" ht="11.25" customHeight="1" x14ac:dyDescent="0.3">
      <c r="A658" s="4" t="s">
        <v>21</v>
      </c>
      <c r="B658" s="4" t="s">
        <v>43</v>
      </c>
      <c r="C658" s="4" t="s">
        <v>41</v>
      </c>
      <c r="D658" s="4" t="s">
        <v>38</v>
      </c>
      <c r="E658" s="4" t="s">
        <v>25</v>
      </c>
      <c r="F658" s="4" t="s">
        <v>56</v>
      </c>
      <c r="G658" s="4" t="s">
        <v>25</v>
      </c>
      <c r="H658" s="4" t="s">
        <v>34</v>
      </c>
      <c r="I658" s="5">
        <v>44743</v>
      </c>
      <c r="J658" s="6">
        <v>0</v>
      </c>
      <c r="K658" s="6">
        <v>0</v>
      </c>
      <c r="L658" s="6">
        <v>2.7570000000000001</v>
      </c>
      <c r="M658" s="6">
        <v>1.4697052819500001</v>
      </c>
      <c r="N658" s="6">
        <v>0</v>
      </c>
      <c r="O658" s="6">
        <v>0</v>
      </c>
      <c r="P658" s="6">
        <v>0</v>
      </c>
      <c r="Q658" s="4" t="s">
        <v>55</v>
      </c>
      <c r="R658" s="4">
        <v>0</v>
      </c>
      <c r="S658" s="6">
        <v>0</v>
      </c>
      <c r="T658" s="6">
        <v>32</v>
      </c>
      <c r="U658" s="6">
        <v>0</v>
      </c>
      <c r="V658" s="6">
        <f>IF(ISERROR(VLOOKUP($S$658,'TAR FIN'!$A$1:$O$113,15,0)),0,VLOOKUP($S$658,'TAR FIN'!$A$1:$O$113,15,0))</f>
        <v>0</v>
      </c>
      <c r="W658" s="6">
        <f>IF(ISERROR(VLOOKUP($T$658,'TAR FIN'!$A$1:$O$113,15,0)),0,VLOOKUP($T$658,'TAR FIN'!$A$1:$O$113,15,0))</f>
        <v>1604.46</v>
      </c>
      <c r="X658" s="6">
        <f>IF(ISERROR(VLOOKUP($U$658,'TAR FIN'!$A$1:$O$113,15,0)),0,VLOOKUP($U$658,'TAR FIN'!$A$1:$O$113,15,0))</f>
        <v>0</v>
      </c>
      <c r="Y658" s="6"/>
      <c r="Z658" s="6">
        <f ca="1">('TUSD BE'!$AM$29+'TUSD BF'!$AM$29+'TUSD CVA'!$AM$29)*1</f>
        <v>1888.1712570698433</v>
      </c>
      <c r="AA658" s="6"/>
      <c r="AB658" s="6">
        <f>$K$658*$V$658</f>
        <v>0</v>
      </c>
      <c r="AC658" s="6">
        <f>$M$658*$W$658</f>
        <v>2358.0833366774973</v>
      </c>
      <c r="AD658" s="6">
        <f>$O$658*$X$658</f>
        <v>0</v>
      </c>
      <c r="AE658" s="6">
        <f>$K$658*$Y$658</f>
        <v>0</v>
      </c>
      <c r="AF658" s="6">
        <f ca="1">$M$658*$Z$658</f>
        <v>2775.0552697417202</v>
      </c>
      <c r="AG658" s="6">
        <f>$O$658*$AA$658</f>
        <v>0</v>
      </c>
    </row>
    <row r="659" spans="1:33" ht="11.25" customHeight="1" x14ac:dyDescent="0.3">
      <c r="A659" s="4" t="s">
        <v>21</v>
      </c>
      <c r="B659" s="4" t="s">
        <v>43</v>
      </c>
      <c r="C659" s="4" t="s">
        <v>41</v>
      </c>
      <c r="D659" s="4" t="s">
        <v>38</v>
      </c>
      <c r="E659" s="4" t="s">
        <v>25</v>
      </c>
      <c r="F659" s="4" t="s">
        <v>56</v>
      </c>
      <c r="G659" s="4" t="s">
        <v>25</v>
      </c>
      <c r="H659" s="4" t="s">
        <v>34</v>
      </c>
      <c r="I659" s="5">
        <v>44774</v>
      </c>
      <c r="J659" s="6">
        <v>0</v>
      </c>
      <c r="K659" s="6">
        <v>0</v>
      </c>
      <c r="L659" s="6">
        <v>2.895</v>
      </c>
      <c r="M659" s="6">
        <v>1.4671483649999999</v>
      </c>
      <c r="N659" s="6">
        <v>0</v>
      </c>
      <c r="O659" s="6">
        <v>0</v>
      </c>
      <c r="P659" s="6">
        <v>0</v>
      </c>
      <c r="Q659" s="4" t="s">
        <v>55</v>
      </c>
      <c r="R659" s="4">
        <v>0</v>
      </c>
      <c r="S659" s="6">
        <v>0</v>
      </c>
      <c r="T659" s="6">
        <v>32</v>
      </c>
      <c r="U659" s="6">
        <v>0</v>
      </c>
      <c r="V659" s="6">
        <f>IF(ISERROR(VLOOKUP($S$659,'TAR FIN'!$A$1:$O$113,15,0)),0,VLOOKUP($S$659,'TAR FIN'!$A$1:$O$113,15,0))</f>
        <v>0</v>
      </c>
      <c r="W659" s="6">
        <f>IF(ISERROR(VLOOKUP($T$659,'TAR FIN'!$A$1:$O$113,15,0)),0,VLOOKUP($T$659,'TAR FIN'!$A$1:$O$113,15,0))</f>
        <v>1604.46</v>
      </c>
      <c r="X659" s="6">
        <f>IF(ISERROR(VLOOKUP($U$659,'TAR FIN'!$A$1:$O$113,15,0)),0,VLOOKUP($U$659,'TAR FIN'!$A$1:$O$113,15,0))</f>
        <v>0</v>
      </c>
      <c r="Y659" s="6"/>
      <c r="Z659" s="6">
        <f ca="1">('TUSD BE'!$AM$29+'TUSD BF'!$AM$29+'TUSD CVA'!$AM$29)*1</f>
        <v>1888.1712570698433</v>
      </c>
      <c r="AA659" s="6"/>
      <c r="AB659" s="6">
        <f>$K$659*$V$659</f>
        <v>0</v>
      </c>
      <c r="AC659" s="6">
        <f>$M$659*$W$659</f>
        <v>2353.9808657078997</v>
      </c>
      <c r="AD659" s="6">
        <f>$O$659*$X$659</f>
        <v>0</v>
      </c>
      <c r="AE659" s="6">
        <f>$K$659*$Y$659</f>
        <v>0</v>
      </c>
      <c r="AF659" s="6">
        <f ca="1">$M$659*$Z$659</f>
        <v>2770.2273726500152</v>
      </c>
      <c r="AG659" s="6">
        <f>$O$659*$AA$659</f>
        <v>0</v>
      </c>
    </row>
    <row r="660" spans="1:33" ht="11.25" customHeight="1" x14ac:dyDescent="0.3">
      <c r="A660" s="4" t="s">
        <v>21</v>
      </c>
      <c r="B660" s="4" t="s">
        <v>43</v>
      </c>
      <c r="C660" s="4" t="s">
        <v>41</v>
      </c>
      <c r="D660" s="4" t="s">
        <v>38</v>
      </c>
      <c r="E660" s="4" t="s">
        <v>25</v>
      </c>
      <c r="F660" s="4" t="s">
        <v>56</v>
      </c>
      <c r="G660" s="4" t="s">
        <v>25</v>
      </c>
      <c r="H660" s="4" t="s">
        <v>34</v>
      </c>
      <c r="I660" s="5">
        <v>44805</v>
      </c>
      <c r="J660" s="6">
        <v>0</v>
      </c>
      <c r="K660" s="6">
        <v>0</v>
      </c>
      <c r="L660" s="6">
        <v>3.3159999999999998</v>
      </c>
      <c r="M660" s="6">
        <v>1.7672610393999999</v>
      </c>
      <c r="N660" s="6">
        <v>0</v>
      </c>
      <c r="O660" s="6">
        <v>0</v>
      </c>
      <c r="P660" s="6">
        <v>0</v>
      </c>
      <c r="Q660" s="4" t="s">
        <v>55</v>
      </c>
      <c r="R660" s="4">
        <v>0</v>
      </c>
      <c r="S660" s="6">
        <v>0</v>
      </c>
      <c r="T660" s="6">
        <v>32</v>
      </c>
      <c r="U660" s="6">
        <v>0</v>
      </c>
      <c r="V660" s="6">
        <f>IF(ISERROR(VLOOKUP($S$660,'TAR FIN'!$A$1:$O$113,15,0)),0,VLOOKUP($S$660,'TAR FIN'!$A$1:$O$113,15,0))</f>
        <v>0</v>
      </c>
      <c r="W660" s="6">
        <f>IF(ISERROR(VLOOKUP($T$660,'TAR FIN'!$A$1:$O$113,15,0)),0,VLOOKUP($T$660,'TAR FIN'!$A$1:$O$113,15,0))</f>
        <v>1604.46</v>
      </c>
      <c r="X660" s="6">
        <f>IF(ISERROR(VLOOKUP($U$660,'TAR FIN'!$A$1:$O$113,15,0)),0,VLOOKUP($U$660,'TAR FIN'!$A$1:$O$113,15,0))</f>
        <v>0</v>
      </c>
      <c r="Y660" s="6"/>
      <c r="Z660" s="6">
        <f ca="1">('TUSD BE'!$AM$29+'TUSD BF'!$AM$29+'TUSD CVA'!$AM$29)*1</f>
        <v>1888.1712570698433</v>
      </c>
      <c r="AA660" s="6"/>
      <c r="AB660" s="6">
        <f>$K$660*$V$660</f>
        <v>0</v>
      </c>
      <c r="AC660" s="6">
        <f>$M$660*$W$660</f>
        <v>2835.4996472757239</v>
      </c>
      <c r="AD660" s="6">
        <f>$O$660*$X$660</f>
        <v>0</v>
      </c>
      <c r="AE660" s="6">
        <f>$K$660*$Y$660</f>
        <v>0</v>
      </c>
      <c r="AF660" s="6">
        <f ca="1">$M$660*$Z$660</f>
        <v>3336.8914983344557</v>
      </c>
      <c r="AG660" s="6">
        <f>$O$660*$AA$660</f>
        <v>0</v>
      </c>
    </row>
    <row r="661" spans="1:33" ht="11.25" customHeight="1" x14ac:dyDescent="0.3">
      <c r="A661" s="4" t="s">
        <v>53</v>
      </c>
      <c r="B661" s="4" t="s">
        <v>43</v>
      </c>
      <c r="C661" s="4" t="s">
        <v>41</v>
      </c>
      <c r="D661" s="4" t="s">
        <v>38</v>
      </c>
      <c r="E661" s="4" t="s">
        <v>25</v>
      </c>
      <c r="F661" s="4" t="s">
        <v>56</v>
      </c>
      <c r="G661" s="4" t="s">
        <v>25</v>
      </c>
      <c r="H661" s="4" t="s">
        <v>34</v>
      </c>
      <c r="I661" s="5">
        <v>44835</v>
      </c>
      <c r="J661" s="6">
        <v>0</v>
      </c>
      <c r="K661" s="6">
        <v>0</v>
      </c>
      <c r="L661" s="6">
        <v>3.3159999999999998</v>
      </c>
      <c r="M661" s="6">
        <v>1.7672610393999999</v>
      </c>
      <c r="N661" s="6">
        <v>0</v>
      </c>
      <c r="O661" s="6">
        <v>0</v>
      </c>
      <c r="P661" s="6">
        <v>0</v>
      </c>
      <c r="Q661" s="4" t="s">
        <v>55</v>
      </c>
      <c r="R661" s="4">
        <v>0</v>
      </c>
      <c r="S661" s="6">
        <v>0</v>
      </c>
      <c r="T661" s="6">
        <v>32</v>
      </c>
      <c r="U661" s="6">
        <v>0</v>
      </c>
      <c r="V661" s="6">
        <f>IF(ISERROR(VLOOKUP($S$661,'TAR FIN'!$A$1:$O$113,15,0)),0,VLOOKUP($S$661,'TAR FIN'!$A$1:$O$113,15,0))</f>
        <v>0</v>
      </c>
      <c r="W661" s="6">
        <f>IF(ISERROR(VLOOKUP($T$661,'TAR FIN'!$A$1:$O$113,15,0)),0,VLOOKUP($T$661,'TAR FIN'!$A$1:$O$113,15,0))</f>
        <v>1604.46</v>
      </c>
      <c r="X661" s="6">
        <f>IF(ISERROR(VLOOKUP($U$661,'TAR FIN'!$A$1:$O$113,15,0)),0,VLOOKUP($U$661,'TAR FIN'!$A$1:$O$113,15,0))</f>
        <v>0</v>
      </c>
      <c r="Y661" s="6"/>
      <c r="Z661" s="6">
        <f ca="1">('TUSD BE'!$AM$29+'TUSD BF'!$AM$29+'TUSD CVA'!$AM$29)*1</f>
        <v>1888.1712570698433</v>
      </c>
      <c r="AA661" s="6"/>
      <c r="AB661" s="6">
        <f>$K$661*$V$661</f>
        <v>0</v>
      </c>
      <c r="AC661" s="6">
        <f>$M$661*$W$661</f>
        <v>2835.4996472757239</v>
      </c>
      <c r="AD661" s="6">
        <f>$O$661*$X$661</f>
        <v>0</v>
      </c>
      <c r="AE661" s="6">
        <f>$K$661*$Y$661</f>
        <v>0</v>
      </c>
      <c r="AF661" s="6">
        <f ca="1">$M$661*$Z$661</f>
        <v>3336.8914983344557</v>
      </c>
      <c r="AG661" s="6">
        <f>$O$661*$AA$661</f>
        <v>0</v>
      </c>
    </row>
    <row r="662" spans="1:33" ht="11.25" customHeight="1" x14ac:dyDescent="0.3">
      <c r="A662" s="4" t="s">
        <v>21</v>
      </c>
      <c r="B662" s="4" t="s">
        <v>22</v>
      </c>
      <c r="C662" s="4" t="s">
        <v>33</v>
      </c>
      <c r="D662" s="4" t="s">
        <v>24</v>
      </c>
      <c r="E662" s="4" t="s">
        <v>24</v>
      </c>
      <c r="F662" s="4" t="s">
        <v>25</v>
      </c>
      <c r="G662" s="4" t="s">
        <v>25</v>
      </c>
      <c r="H662" s="4" t="s">
        <v>35</v>
      </c>
      <c r="I662" s="5">
        <v>44501</v>
      </c>
      <c r="J662" s="6">
        <v>0</v>
      </c>
      <c r="K662" s="6">
        <v>0</v>
      </c>
      <c r="L662" s="6">
        <v>12.271000000000001</v>
      </c>
      <c r="M662" s="6">
        <v>12.271000000000001</v>
      </c>
      <c r="N662" s="6">
        <v>12.271000000000001</v>
      </c>
      <c r="O662" s="6">
        <v>12.271000000000001</v>
      </c>
      <c r="P662" s="6">
        <v>0</v>
      </c>
      <c r="Q662" s="4" t="s">
        <v>26</v>
      </c>
      <c r="R662" s="4">
        <v>0</v>
      </c>
      <c r="S662" s="6">
        <v>0</v>
      </c>
      <c r="T662" s="6">
        <v>57</v>
      </c>
      <c r="U662" s="6">
        <v>90</v>
      </c>
      <c r="V662" s="6">
        <f>IF(ISERROR(VLOOKUP($S$662,'TAR FIN'!$A$1:$O$113,15,0)),0,VLOOKUP($S$662,'TAR FIN'!$A$1:$O$113,15,0))</f>
        <v>0</v>
      </c>
      <c r="W662" s="6">
        <f>IF(ISERROR(VLOOKUP($T$662,'TAR FIN'!$A$1:$O$113,15,0)),0,VLOOKUP($T$662,'TAR FIN'!$A$1:$O$113,15,0))</f>
        <v>208.75</v>
      </c>
      <c r="X662" s="6">
        <f>IF(ISERROR(VLOOKUP($U$662,'TAR FIN'!$A$1:$O$113,15,0)),0,VLOOKUP($U$662,'TAR FIN'!$A$1:$O$113,15,0))</f>
        <v>278.67</v>
      </c>
      <c r="Y662" s="6"/>
      <c r="Z662" s="6">
        <f ca="1">('TUSD BE'!$AM$39+'TUSD BF'!$AM$39+'TUSD CVA'!$AM$39)*1</f>
        <v>288.32448247145129</v>
      </c>
      <c r="AA662" s="6">
        <f>('TE BE'!$AB$17+'TE BF'!$AB$17+'TE CVA'!$AB$17)*1</f>
        <v>299.18055042718134</v>
      </c>
      <c r="AB662" s="6">
        <f>$K$662*$V$662</f>
        <v>0</v>
      </c>
      <c r="AC662" s="6">
        <f>$M$662*$W$662</f>
        <v>2561.57125</v>
      </c>
      <c r="AD662" s="6">
        <f>$O$662*$X$662</f>
        <v>3419.5595700000003</v>
      </c>
      <c r="AE662" s="6">
        <f>$K$662*$Y$662</f>
        <v>0</v>
      </c>
      <c r="AF662" s="6">
        <f ca="1">$M$662*$Z$662</f>
        <v>3538.0297244071789</v>
      </c>
      <c r="AG662" s="6">
        <f>$O$662*$AA$662</f>
        <v>3671.2445342919427</v>
      </c>
    </row>
    <row r="663" spans="1:33" ht="11.25" customHeight="1" x14ac:dyDescent="0.3">
      <c r="A663" s="4" t="s">
        <v>21</v>
      </c>
      <c r="B663" s="4" t="s">
        <v>22</v>
      </c>
      <c r="C663" s="4" t="s">
        <v>33</v>
      </c>
      <c r="D663" s="4" t="s">
        <v>24</v>
      </c>
      <c r="E663" s="4" t="s">
        <v>24</v>
      </c>
      <c r="F663" s="4" t="s">
        <v>25</v>
      </c>
      <c r="G663" s="4" t="s">
        <v>25</v>
      </c>
      <c r="H663" s="4" t="s">
        <v>35</v>
      </c>
      <c r="I663" s="5">
        <v>44531</v>
      </c>
      <c r="J663" s="6">
        <v>0</v>
      </c>
      <c r="K663" s="6">
        <v>0</v>
      </c>
      <c r="L663" s="6">
        <v>12.132999999999999</v>
      </c>
      <c r="M663" s="6">
        <v>12.132999999999999</v>
      </c>
      <c r="N663" s="6">
        <v>12.132999999999999</v>
      </c>
      <c r="O663" s="6">
        <v>12.132999999999999</v>
      </c>
      <c r="P663" s="6">
        <v>0</v>
      </c>
      <c r="Q663" s="4" t="s">
        <v>26</v>
      </c>
      <c r="R663" s="4">
        <v>0</v>
      </c>
      <c r="S663" s="6">
        <v>0</v>
      </c>
      <c r="T663" s="6">
        <v>57</v>
      </c>
      <c r="U663" s="6">
        <v>90</v>
      </c>
      <c r="V663" s="6">
        <f>IF(ISERROR(VLOOKUP($S$663,'TAR FIN'!$A$1:$O$113,15,0)),0,VLOOKUP($S$663,'TAR FIN'!$A$1:$O$113,15,0))</f>
        <v>0</v>
      </c>
      <c r="W663" s="6">
        <f>IF(ISERROR(VLOOKUP($T$663,'TAR FIN'!$A$1:$O$113,15,0)),0,VLOOKUP($T$663,'TAR FIN'!$A$1:$O$113,15,0))</f>
        <v>208.75</v>
      </c>
      <c r="X663" s="6">
        <f>IF(ISERROR(VLOOKUP($U$663,'TAR FIN'!$A$1:$O$113,15,0)),0,VLOOKUP($U$663,'TAR FIN'!$A$1:$O$113,15,0))</f>
        <v>278.67</v>
      </c>
      <c r="Y663" s="6"/>
      <c r="Z663" s="6">
        <f ca="1">('TUSD BE'!$AM$39+'TUSD BF'!$AM$39+'TUSD CVA'!$AM$39)*1</f>
        <v>288.32448247145129</v>
      </c>
      <c r="AA663" s="6">
        <f>('TE BE'!$AB$17+'TE BF'!$AB$17+'TE CVA'!$AB$17)*1</f>
        <v>299.18055042718134</v>
      </c>
      <c r="AB663" s="6">
        <f>$K$663*$V$663</f>
        <v>0</v>
      </c>
      <c r="AC663" s="6">
        <f>$M$663*$W$663</f>
        <v>2532.7637499999996</v>
      </c>
      <c r="AD663" s="6">
        <f>$O$663*$X$663</f>
        <v>3381.10311</v>
      </c>
      <c r="AE663" s="6">
        <f>$K$663*$Y$663</f>
        <v>0</v>
      </c>
      <c r="AF663" s="6">
        <f ca="1">$M$663*$Z$663</f>
        <v>3498.2409458261181</v>
      </c>
      <c r="AG663" s="6">
        <f>$O$663*$AA$663</f>
        <v>3629.9576183329909</v>
      </c>
    </row>
    <row r="664" spans="1:33" ht="11.25" customHeight="1" x14ac:dyDescent="0.3">
      <c r="A664" s="4" t="s">
        <v>28</v>
      </c>
      <c r="B664" s="4" t="s">
        <v>22</v>
      </c>
      <c r="C664" s="4" t="s">
        <v>33</v>
      </c>
      <c r="D664" s="4" t="s">
        <v>24</v>
      </c>
      <c r="E664" s="4" t="s">
        <v>24</v>
      </c>
      <c r="F664" s="4" t="s">
        <v>25</v>
      </c>
      <c r="G664" s="4" t="s">
        <v>25</v>
      </c>
      <c r="H664" s="4" t="s">
        <v>35</v>
      </c>
      <c r="I664" s="5">
        <v>44531</v>
      </c>
      <c r="J664" s="6">
        <v>0</v>
      </c>
      <c r="K664" s="6">
        <v>0</v>
      </c>
      <c r="L664" s="6">
        <v>6.0999999999999999E-2</v>
      </c>
      <c r="M664" s="6">
        <v>6.0999999999999999E-2</v>
      </c>
      <c r="N664" s="6">
        <v>6.0999999999999999E-2</v>
      </c>
      <c r="O664" s="6">
        <v>6.0999999999999999E-2</v>
      </c>
      <c r="P664" s="6">
        <v>0</v>
      </c>
      <c r="Q664" s="4" t="s">
        <v>26</v>
      </c>
      <c r="R664" s="4">
        <v>0</v>
      </c>
      <c r="S664" s="6">
        <v>0</v>
      </c>
      <c r="T664" s="6">
        <v>57</v>
      </c>
      <c r="U664" s="6">
        <v>90</v>
      </c>
      <c r="V664" s="6">
        <f>IF(ISERROR(VLOOKUP($S$664,'TAR FIN'!$A$1:$O$113,15,0)),0,VLOOKUP($S$664,'TAR FIN'!$A$1:$O$113,15,0))</f>
        <v>0</v>
      </c>
      <c r="W664" s="6">
        <f>IF(ISERROR(VLOOKUP($T$664,'TAR FIN'!$A$1:$O$113,15,0)),0,VLOOKUP($T$664,'TAR FIN'!$A$1:$O$113,15,0))</f>
        <v>208.75</v>
      </c>
      <c r="X664" s="6">
        <f>IF(ISERROR(VLOOKUP($U$664,'TAR FIN'!$A$1:$O$113,15,0)),0,VLOOKUP($U$664,'TAR FIN'!$A$1:$O$113,15,0))</f>
        <v>278.67</v>
      </c>
      <c r="Y664" s="6"/>
      <c r="Z664" s="6">
        <f ca="1">('TUSD BE'!$AM$39+'TUSD BF'!$AM$39+'TUSD CVA'!$AM$39)*1</f>
        <v>288.32448247145129</v>
      </c>
      <c r="AA664" s="6">
        <f>('TE BE'!$AB$17+'TE BF'!$AB$17+'TE CVA'!$AB$17)*1</f>
        <v>299.18055042718134</v>
      </c>
      <c r="AB664" s="6">
        <f>$K$664*$V$664</f>
        <v>0</v>
      </c>
      <c r="AC664" s="6">
        <f>$M$664*$W$664</f>
        <v>12.733750000000001</v>
      </c>
      <c r="AD664" s="6">
        <f>$O$664*$X$664</f>
        <v>16.99887</v>
      </c>
      <c r="AE664" s="6">
        <f>$K$664*$Y$664</f>
        <v>0</v>
      </c>
      <c r="AF664" s="6">
        <f ca="1">$M$664*$Z$664</f>
        <v>17.587793430758527</v>
      </c>
      <c r="AG664" s="6">
        <f>$O$664*$AA$664</f>
        <v>18.250013576058063</v>
      </c>
    </row>
    <row r="665" spans="1:33" ht="11.25" customHeight="1" x14ac:dyDescent="0.3">
      <c r="A665" s="4" t="s">
        <v>21</v>
      </c>
      <c r="B665" s="4" t="s">
        <v>22</v>
      </c>
      <c r="C665" s="4" t="s">
        <v>33</v>
      </c>
      <c r="D665" s="4" t="s">
        <v>24</v>
      </c>
      <c r="E665" s="4" t="s">
        <v>24</v>
      </c>
      <c r="F665" s="4" t="s">
        <v>25</v>
      </c>
      <c r="G665" s="4" t="s">
        <v>25</v>
      </c>
      <c r="H665" s="4" t="s">
        <v>35</v>
      </c>
      <c r="I665" s="5">
        <v>44562</v>
      </c>
      <c r="J665" s="6">
        <v>0</v>
      </c>
      <c r="K665" s="6">
        <v>0</v>
      </c>
      <c r="L665" s="6">
        <v>13.625999999999999</v>
      </c>
      <c r="M665" s="6">
        <v>13.625999999999999</v>
      </c>
      <c r="N665" s="6">
        <v>13.625999999999999</v>
      </c>
      <c r="O665" s="6">
        <v>13.625999999999999</v>
      </c>
      <c r="P665" s="6">
        <v>0</v>
      </c>
      <c r="Q665" s="4" t="s">
        <v>26</v>
      </c>
      <c r="R665" s="4">
        <v>0</v>
      </c>
      <c r="S665" s="6">
        <v>0</v>
      </c>
      <c r="T665" s="6">
        <v>57</v>
      </c>
      <c r="U665" s="6">
        <v>90</v>
      </c>
      <c r="V665" s="6">
        <f>IF(ISERROR(VLOOKUP($S$665,'TAR FIN'!$A$1:$O$113,15,0)),0,VLOOKUP($S$665,'TAR FIN'!$A$1:$O$113,15,0))</f>
        <v>0</v>
      </c>
      <c r="W665" s="6">
        <f>IF(ISERROR(VLOOKUP($T$665,'TAR FIN'!$A$1:$O$113,15,0)),0,VLOOKUP($T$665,'TAR FIN'!$A$1:$O$113,15,0))</f>
        <v>208.75</v>
      </c>
      <c r="X665" s="6">
        <f>IF(ISERROR(VLOOKUP($U$665,'TAR FIN'!$A$1:$O$113,15,0)),0,VLOOKUP($U$665,'TAR FIN'!$A$1:$O$113,15,0))</f>
        <v>278.67</v>
      </c>
      <c r="Y665" s="6"/>
      <c r="Z665" s="6">
        <f ca="1">('TUSD BE'!$AM$39+'TUSD BF'!$AM$39+'TUSD CVA'!$AM$39)*1</f>
        <v>288.32448247145129</v>
      </c>
      <c r="AA665" s="6">
        <f>('TE BE'!$AB$17+'TE BF'!$AB$17+'TE CVA'!$AB$17)*1</f>
        <v>299.18055042718134</v>
      </c>
      <c r="AB665" s="6">
        <f>$K$665*$V$665</f>
        <v>0</v>
      </c>
      <c r="AC665" s="6">
        <f>$M$665*$W$665</f>
        <v>2844.4274999999998</v>
      </c>
      <c r="AD665" s="6">
        <f>$O$665*$X$665</f>
        <v>3797.15742</v>
      </c>
      <c r="AE665" s="6">
        <f>$K$665*$Y$665</f>
        <v>0</v>
      </c>
      <c r="AF665" s="6">
        <f ca="1">$M$665*$Z$665</f>
        <v>3928.7093981559951</v>
      </c>
      <c r="AG665" s="6">
        <f>$O$665*$AA$665</f>
        <v>4076.6341801207727</v>
      </c>
    </row>
    <row r="666" spans="1:33" ht="11.25" customHeight="1" x14ac:dyDescent="0.3">
      <c r="A666" s="4" t="s">
        <v>21</v>
      </c>
      <c r="B666" s="4" t="s">
        <v>22</v>
      </c>
      <c r="C666" s="4" t="s">
        <v>33</v>
      </c>
      <c r="D666" s="4" t="s">
        <v>24</v>
      </c>
      <c r="E666" s="4" t="s">
        <v>24</v>
      </c>
      <c r="F666" s="4" t="s">
        <v>25</v>
      </c>
      <c r="G666" s="4" t="s">
        <v>25</v>
      </c>
      <c r="H666" s="4" t="s">
        <v>35</v>
      </c>
      <c r="I666" s="5">
        <v>44593</v>
      </c>
      <c r="J666" s="6">
        <v>0</v>
      </c>
      <c r="K666" s="6">
        <v>0</v>
      </c>
      <c r="L666" s="6">
        <v>12.567</v>
      </c>
      <c r="M666" s="6">
        <v>12.567</v>
      </c>
      <c r="N666" s="6">
        <v>12.567</v>
      </c>
      <c r="O666" s="6">
        <v>12.567</v>
      </c>
      <c r="P666" s="6">
        <v>0</v>
      </c>
      <c r="Q666" s="4" t="s">
        <v>26</v>
      </c>
      <c r="R666" s="4">
        <v>0</v>
      </c>
      <c r="S666" s="6">
        <v>0</v>
      </c>
      <c r="T666" s="6">
        <v>57</v>
      </c>
      <c r="U666" s="6">
        <v>90</v>
      </c>
      <c r="V666" s="6">
        <f>IF(ISERROR(VLOOKUP($S$666,'TAR FIN'!$A$1:$O$113,15,0)),0,VLOOKUP($S$666,'TAR FIN'!$A$1:$O$113,15,0))</f>
        <v>0</v>
      </c>
      <c r="W666" s="6">
        <f>IF(ISERROR(VLOOKUP($T$666,'TAR FIN'!$A$1:$O$113,15,0)),0,VLOOKUP($T$666,'TAR FIN'!$A$1:$O$113,15,0))</f>
        <v>208.75</v>
      </c>
      <c r="X666" s="6">
        <f>IF(ISERROR(VLOOKUP($U$666,'TAR FIN'!$A$1:$O$113,15,0)),0,VLOOKUP($U$666,'TAR FIN'!$A$1:$O$113,15,0))</f>
        <v>278.67</v>
      </c>
      <c r="Y666" s="6"/>
      <c r="Z666" s="6">
        <f ca="1">('TUSD BE'!$AM$39+'TUSD BF'!$AM$39+'TUSD CVA'!$AM$39)*1</f>
        <v>288.32448247145129</v>
      </c>
      <c r="AA666" s="6">
        <f>('TE BE'!$AB$17+'TE BF'!$AB$17+'TE CVA'!$AB$17)*1</f>
        <v>299.18055042718134</v>
      </c>
      <c r="AB666" s="6">
        <f>$K$666*$V$666</f>
        <v>0</v>
      </c>
      <c r="AC666" s="6">
        <f>$M$666*$W$666</f>
        <v>2623.3612499999999</v>
      </c>
      <c r="AD666" s="6">
        <f>$O$666*$X$666</f>
        <v>3502.0458900000003</v>
      </c>
      <c r="AE666" s="6">
        <f>$K$666*$Y$666</f>
        <v>0</v>
      </c>
      <c r="AF666" s="6">
        <f ca="1">$M$666*$Z$666</f>
        <v>3623.3737712187285</v>
      </c>
      <c r="AG666" s="6">
        <f>$O$666*$AA$666</f>
        <v>3759.8019772183879</v>
      </c>
    </row>
    <row r="667" spans="1:33" ht="11.25" customHeight="1" x14ac:dyDescent="0.3">
      <c r="A667" s="4" t="s">
        <v>28</v>
      </c>
      <c r="B667" s="4" t="s">
        <v>22</v>
      </c>
      <c r="C667" s="4" t="s">
        <v>33</v>
      </c>
      <c r="D667" s="4" t="s">
        <v>24</v>
      </c>
      <c r="E667" s="4" t="s">
        <v>24</v>
      </c>
      <c r="F667" s="4" t="s">
        <v>25</v>
      </c>
      <c r="G667" s="4" t="s">
        <v>25</v>
      </c>
      <c r="H667" s="4" t="s">
        <v>35</v>
      </c>
      <c r="I667" s="5">
        <v>44593</v>
      </c>
      <c r="J667" s="6">
        <v>0</v>
      </c>
      <c r="K667" s="6">
        <v>0</v>
      </c>
      <c r="L667" s="6">
        <v>1.2999999999999999E-2</v>
      </c>
      <c r="M667" s="6">
        <v>1.2999999999999999E-2</v>
      </c>
      <c r="N667" s="6">
        <v>1.2999999999999999E-2</v>
      </c>
      <c r="O667" s="6">
        <v>1.2999999999999999E-2</v>
      </c>
      <c r="P667" s="6">
        <v>0</v>
      </c>
      <c r="Q667" s="4" t="s">
        <v>26</v>
      </c>
      <c r="R667" s="4">
        <v>0</v>
      </c>
      <c r="S667" s="6">
        <v>0</v>
      </c>
      <c r="T667" s="6">
        <v>57</v>
      </c>
      <c r="U667" s="6">
        <v>90</v>
      </c>
      <c r="V667" s="6">
        <f>IF(ISERROR(VLOOKUP($S$667,'TAR FIN'!$A$1:$O$113,15,0)),0,VLOOKUP($S$667,'TAR FIN'!$A$1:$O$113,15,0))</f>
        <v>0</v>
      </c>
      <c r="W667" s="6">
        <f>IF(ISERROR(VLOOKUP($T$667,'TAR FIN'!$A$1:$O$113,15,0)),0,VLOOKUP($T$667,'TAR FIN'!$A$1:$O$113,15,0))</f>
        <v>208.75</v>
      </c>
      <c r="X667" s="6">
        <f>IF(ISERROR(VLOOKUP($U$667,'TAR FIN'!$A$1:$O$113,15,0)),0,VLOOKUP($U$667,'TAR FIN'!$A$1:$O$113,15,0))</f>
        <v>278.67</v>
      </c>
      <c r="Y667" s="6"/>
      <c r="Z667" s="6">
        <f ca="1">('TUSD BE'!$AM$39+'TUSD BF'!$AM$39+'TUSD CVA'!$AM$39)*1</f>
        <v>288.32448247145129</v>
      </c>
      <c r="AA667" s="6">
        <f>('TE BE'!$AB$17+'TE BF'!$AB$17+'TE CVA'!$AB$17)*1</f>
        <v>299.18055042718134</v>
      </c>
      <c r="AB667" s="6">
        <f>$K$667*$V$667</f>
        <v>0</v>
      </c>
      <c r="AC667" s="6">
        <f>$M$667*$W$667</f>
        <v>2.7137499999999997</v>
      </c>
      <c r="AD667" s="6">
        <f>$O$667*$X$667</f>
        <v>3.6227100000000001</v>
      </c>
      <c r="AE667" s="6">
        <f>$K$667*$Y$667</f>
        <v>0</v>
      </c>
      <c r="AF667" s="6">
        <f ca="1">$M$667*$Z$667</f>
        <v>3.7482182721288666</v>
      </c>
      <c r="AG667" s="6">
        <f>$O$667*$AA$667</f>
        <v>3.8893471555533572</v>
      </c>
    </row>
    <row r="668" spans="1:33" ht="11.25" customHeight="1" x14ac:dyDescent="0.3">
      <c r="A668" s="4" t="s">
        <v>21</v>
      </c>
      <c r="B668" s="4" t="s">
        <v>22</v>
      </c>
      <c r="C668" s="4" t="s">
        <v>33</v>
      </c>
      <c r="D668" s="4" t="s">
        <v>24</v>
      </c>
      <c r="E668" s="4" t="s">
        <v>24</v>
      </c>
      <c r="F668" s="4" t="s">
        <v>25</v>
      </c>
      <c r="G668" s="4" t="s">
        <v>25</v>
      </c>
      <c r="H668" s="4" t="s">
        <v>35</v>
      </c>
      <c r="I668" s="5">
        <v>44621</v>
      </c>
      <c r="J668" s="6">
        <v>0</v>
      </c>
      <c r="K668" s="6">
        <v>0</v>
      </c>
      <c r="L668" s="6">
        <v>13.433999999999999</v>
      </c>
      <c r="M668" s="6">
        <v>13.433999999999999</v>
      </c>
      <c r="N668" s="6">
        <v>13.433999999999999</v>
      </c>
      <c r="O668" s="6">
        <v>13.433999999999999</v>
      </c>
      <c r="P668" s="6">
        <v>0</v>
      </c>
      <c r="Q668" s="4" t="s">
        <v>26</v>
      </c>
      <c r="R668" s="4">
        <v>0</v>
      </c>
      <c r="S668" s="6">
        <v>0</v>
      </c>
      <c r="T668" s="6">
        <v>57</v>
      </c>
      <c r="U668" s="6">
        <v>90</v>
      </c>
      <c r="V668" s="6">
        <f>IF(ISERROR(VLOOKUP($S$668,'TAR FIN'!$A$1:$O$113,15,0)),0,VLOOKUP($S$668,'TAR FIN'!$A$1:$O$113,15,0))</f>
        <v>0</v>
      </c>
      <c r="W668" s="6">
        <f>IF(ISERROR(VLOOKUP($T$668,'TAR FIN'!$A$1:$O$113,15,0)),0,VLOOKUP($T$668,'TAR FIN'!$A$1:$O$113,15,0))</f>
        <v>208.75</v>
      </c>
      <c r="X668" s="6">
        <f>IF(ISERROR(VLOOKUP($U$668,'TAR FIN'!$A$1:$O$113,15,0)),0,VLOOKUP($U$668,'TAR FIN'!$A$1:$O$113,15,0))</f>
        <v>278.67</v>
      </c>
      <c r="Y668" s="6"/>
      <c r="Z668" s="6">
        <f ca="1">('TUSD BE'!$AM$39+'TUSD BF'!$AM$39+'TUSD CVA'!$AM$39)*1</f>
        <v>288.32448247145129</v>
      </c>
      <c r="AA668" s="6">
        <f>('TE BE'!$AB$17+'TE BF'!$AB$17+'TE CVA'!$AB$17)*1</f>
        <v>299.18055042718134</v>
      </c>
      <c r="AB668" s="6">
        <f>$K$668*$V$668</f>
        <v>0</v>
      </c>
      <c r="AC668" s="6">
        <f>$M$668*$W$668</f>
        <v>2804.3474999999999</v>
      </c>
      <c r="AD668" s="6">
        <f>$O$668*$X$668</f>
        <v>3743.6527799999999</v>
      </c>
      <c r="AE668" s="6">
        <f>$K$668*$Y$668</f>
        <v>0</v>
      </c>
      <c r="AF668" s="6">
        <f ca="1">$M$668*$Z$668</f>
        <v>3873.3510975214763</v>
      </c>
      <c r="AG668" s="6">
        <f>$O$668*$AA$668</f>
        <v>4019.191514438754</v>
      </c>
    </row>
    <row r="669" spans="1:33" ht="11.25" customHeight="1" x14ac:dyDescent="0.3">
      <c r="A669" s="4" t="s">
        <v>21</v>
      </c>
      <c r="B669" s="4" t="s">
        <v>22</v>
      </c>
      <c r="C669" s="4" t="s">
        <v>33</v>
      </c>
      <c r="D669" s="4" t="s">
        <v>24</v>
      </c>
      <c r="E669" s="4" t="s">
        <v>24</v>
      </c>
      <c r="F669" s="4" t="s">
        <v>25</v>
      </c>
      <c r="G669" s="4" t="s">
        <v>25</v>
      </c>
      <c r="H669" s="4" t="s">
        <v>35</v>
      </c>
      <c r="I669" s="5">
        <v>44652</v>
      </c>
      <c r="J669" s="6">
        <v>0</v>
      </c>
      <c r="K669" s="6">
        <v>0</v>
      </c>
      <c r="L669" s="6">
        <v>10.221</v>
      </c>
      <c r="M669" s="6">
        <v>10.221</v>
      </c>
      <c r="N669" s="6">
        <v>10.221</v>
      </c>
      <c r="O669" s="6">
        <v>10.221</v>
      </c>
      <c r="P669" s="6">
        <v>0</v>
      </c>
      <c r="Q669" s="4" t="s">
        <v>26</v>
      </c>
      <c r="R669" s="4">
        <v>0</v>
      </c>
      <c r="S669" s="6">
        <v>0</v>
      </c>
      <c r="T669" s="6">
        <v>57</v>
      </c>
      <c r="U669" s="6">
        <v>90</v>
      </c>
      <c r="V669" s="6">
        <f>IF(ISERROR(VLOOKUP($S$669,'TAR FIN'!$A$1:$O$113,15,0)),0,VLOOKUP($S$669,'TAR FIN'!$A$1:$O$113,15,0))</f>
        <v>0</v>
      </c>
      <c r="W669" s="6">
        <f>IF(ISERROR(VLOOKUP($T$669,'TAR FIN'!$A$1:$O$113,15,0)),0,VLOOKUP($T$669,'TAR FIN'!$A$1:$O$113,15,0))</f>
        <v>208.75</v>
      </c>
      <c r="X669" s="6">
        <f>IF(ISERROR(VLOOKUP($U$669,'TAR FIN'!$A$1:$O$113,15,0)),0,VLOOKUP($U$669,'TAR FIN'!$A$1:$O$113,15,0))</f>
        <v>278.67</v>
      </c>
      <c r="Y669" s="6"/>
      <c r="Z669" s="6">
        <f ca="1">('TUSD BE'!$AM$39+'TUSD BF'!$AM$39+'TUSD CVA'!$AM$39)*1</f>
        <v>288.32448247145129</v>
      </c>
      <c r="AA669" s="6">
        <f>('TE BE'!$AB$17+'TE BF'!$AB$17+'TE CVA'!$AB$17)*1</f>
        <v>299.18055042718134</v>
      </c>
      <c r="AB669" s="6">
        <f>$K$669*$V$669</f>
        <v>0</v>
      </c>
      <c r="AC669" s="6">
        <f>$M$669*$W$669</f>
        <v>2133.63375</v>
      </c>
      <c r="AD669" s="6">
        <f>$O$669*$X$669</f>
        <v>2848.2860700000001</v>
      </c>
      <c r="AE669" s="6">
        <f>$K$669*$Y$669</f>
        <v>0</v>
      </c>
      <c r="AF669" s="6">
        <f ca="1">$M$669*$Z$669</f>
        <v>2946.9645353407036</v>
      </c>
      <c r="AG669" s="6">
        <f>$O$669*$AA$669</f>
        <v>3057.9244059162206</v>
      </c>
    </row>
    <row r="670" spans="1:33" ht="11.25" customHeight="1" x14ac:dyDescent="0.3">
      <c r="A670" s="4" t="s">
        <v>28</v>
      </c>
      <c r="B670" s="4" t="s">
        <v>22</v>
      </c>
      <c r="C670" s="4" t="s">
        <v>33</v>
      </c>
      <c r="D670" s="4" t="s">
        <v>24</v>
      </c>
      <c r="E670" s="4" t="s">
        <v>24</v>
      </c>
      <c r="F670" s="4" t="s">
        <v>25</v>
      </c>
      <c r="G670" s="4" t="s">
        <v>25</v>
      </c>
      <c r="H670" s="4" t="s">
        <v>35</v>
      </c>
      <c r="I670" s="5">
        <v>44652</v>
      </c>
      <c r="J670" s="6">
        <v>0</v>
      </c>
      <c r="K670" s="6">
        <v>0</v>
      </c>
      <c r="L670" s="6">
        <v>1.2999999999999999E-2</v>
      </c>
      <c r="M670" s="6">
        <v>1.2999999999999999E-2</v>
      </c>
      <c r="N670" s="6">
        <v>1.2999999999999999E-2</v>
      </c>
      <c r="O670" s="6">
        <v>1.2999999999999999E-2</v>
      </c>
      <c r="P670" s="6">
        <v>0</v>
      </c>
      <c r="Q670" s="4" t="s">
        <v>26</v>
      </c>
      <c r="R670" s="4">
        <v>0</v>
      </c>
      <c r="S670" s="6">
        <v>0</v>
      </c>
      <c r="T670" s="6">
        <v>57</v>
      </c>
      <c r="U670" s="6">
        <v>90</v>
      </c>
      <c r="V670" s="6">
        <f>IF(ISERROR(VLOOKUP($S$670,'TAR FIN'!$A$1:$O$113,15,0)),0,VLOOKUP($S$670,'TAR FIN'!$A$1:$O$113,15,0))</f>
        <v>0</v>
      </c>
      <c r="W670" s="6">
        <f>IF(ISERROR(VLOOKUP($T$670,'TAR FIN'!$A$1:$O$113,15,0)),0,VLOOKUP($T$670,'TAR FIN'!$A$1:$O$113,15,0))</f>
        <v>208.75</v>
      </c>
      <c r="X670" s="6">
        <f>IF(ISERROR(VLOOKUP($U$670,'TAR FIN'!$A$1:$O$113,15,0)),0,VLOOKUP($U$670,'TAR FIN'!$A$1:$O$113,15,0))</f>
        <v>278.67</v>
      </c>
      <c r="Y670" s="6"/>
      <c r="Z670" s="6">
        <f ca="1">('TUSD BE'!$AM$39+'TUSD BF'!$AM$39+'TUSD CVA'!$AM$39)*1</f>
        <v>288.32448247145129</v>
      </c>
      <c r="AA670" s="6">
        <f>('TE BE'!$AB$17+'TE BF'!$AB$17+'TE CVA'!$AB$17)*1</f>
        <v>299.18055042718134</v>
      </c>
      <c r="AB670" s="6">
        <f>$K$670*$V$670</f>
        <v>0</v>
      </c>
      <c r="AC670" s="6">
        <f>$M$670*$W$670</f>
        <v>2.7137499999999997</v>
      </c>
      <c r="AD670" s="6">
        <f>$O$670*$X$670</f>
        <v>3.6227100000000001</v>
      </c>
      <c r="AE670" s="6">
        <f>$K$670*$Y$670</f>
        <v>0</v>
      </c>
      <c r="AF670" s="6">
        <f ca="1">$M$670*$Z$670</f>
        <v>3.7482182721288666</v>
      </c>
      <c r="AG670" s="6">
        <f>$O$670*$AA$670</f>
        <v>3.8893471555533572</v>
      </c>
    </row>
    <row r="671" spans="1:33" ht="11.25" customHeight="1" x14ac:dyDescent="0.3">
      <c r="A671" s="4" t="s">
        <v>21</v>
      </c>
      <c r="B671" s="4" t="s">
        <v>22</v>
      </c>
      <c r="C671" s="4" t="s">
        <v>33</v>
      </c>
      <c r="D671" s="4" t="s">
        <v>24</v>
      </c>
      <c r="E671" s="4" t="s">
        <v>24</v>
      </c>
      <c r="F671" s="4" t="s">
        <v>25</v>
      </c>
      <c r="G671" s="4" t="s">
        <v>25</v>
      </c>
      <c r="H671" s="4" t="s">
        <v>35</v>
      </c>
      <c r="I671" s="5">
        <v>44682</v>
      </c>
      <c r="J671" s="6">
        <v>0</v>
      </c>
      <c r="K671" s="6">
        <v>0</v>
      </c>
      <c r="L671" s="6">
        <v>9.9890000000000008</v>
      </c>
      <c r="M671" s="6">
        <v>9.9890000000000008</v>
      </c>
      <c r="N671" s="6">
        <v>9.9890000000000008</v>
      </c>
      <c r="O671" s="6">
        <v>9.9890000000000008</v>
      </c>
      <c r="P671" s="6">
        <v>0</v>
      </c>
      <c r="Q671" s="4" t="s">
        <v>26</v>
      </c>
      <c r="R671" s="4">
        <v>0</v>
      </c>
      <c r="S671" s="6">
        <v>0</v>
      </c>
      <c r="T671" s="6">
        <v>57</v>
      </c>
      <c r="U671" s="6">
        <v>90</v>
      </c>
      <c r="V671" s="6">
        <f>IF(ISERROR(VLOOKUP($S$671,'TAR FIN'!$A$1:$O$113,15,0)),0,VLOOKUP($S$671,'TAR FIN'!$A$1:$O$113,15,0))</f>
        <v>0</v>
      </c>
      <c r="W671" s="6">
        <f>IF(ISERROR(VLOOKUP($T$671,'TAR FIN'!$A$1:$O$113,15,0)),0,VLOOKUP($T$671,'TAR FIN'!$A$1:$O$113,15,0))</f>
        <v>208.75</v>
      </c>
      <c r="X671" s="6">
        <f>IF(ISERROR(VLOOKUP($U$671,'TAR FIN'!$A$1:$O$113,15,0)),0,VLOOKUP($U$671,'TAR FIN'!$A$1:$O$113,15,0))</f>
        <v>278.67</v>
      </c>
      <c r="Y671" s="6"/>
      <c r="Z671" s="6">
        <f ca="1">('TUSD BE'!$AM$39+'TUSD BF'!$AM$39+'TUSD CVA'!$AM$39)*1</f>
        <v>288.32448247145129</v>
      </c>
      <c r="AA671" s="6">
        <f>('TE BE'!$AB$17+'TE BF'!$AB$17+'TE CVA'!$AB$17)*1</f>
        <v>299.18055042718134</v>
      </c>
      <c r="AB671" s="6">
        <f>$K$671*$V$671</f>
        <v>0</v>
      </c>
      <c r="AC671" s="6">
        <f>$M$671*$W$671</f>
        <v>2085.2037500000001</v>
      </c>
      <c r="AD671" s="6">
        <f>$O$671*$X$671</f>
        <v>2783.6346300000005</v>
      </c>
      <c r="AE671" s="6">
        <f>$K$671*$Y$671</f>
        <v>0</v>
      </c>
      <c r="AF671" s="6">
        <f ca="1">$M$671*$Z$671</f>
        <v>2880.073255407327</v>
      </c>
      <c r="AG671" s="6">
        <f>$O$671*$AA$671</f>
        <v>2988.5145182171145</v>
      </c>
    </row>
    <row r="672" spans="1:33" ht="11.25" customHeight="1" x14ac:dyDescent="0.3">
      <c r="A672" s="4" t="s">
        <v>28</v>
      </c>
      <c r="B672" s="4" t="s">
        <v>22</v>
      </c>
      <c r="C672" s="4" t="s">
        <v>33</v>
      </c>
      <c r="D672" s="4" t="s">
        <v>24</v>
      </c>
      <c r="E672" s="4" t="s">
        <v>24</v>
      </c>
      <c r="F672" s="4" t="s">
        <v>25</v>
      </c>
      <c r="G672" s="4" t="s">
        <v>25</v>
      </c>
      <c r="H672" s="4" t="s">
        <v>35</v>
      </c>
      <c r="I672" s="5">
        <v>44682</v>
      </c>
      <c r="J672" s="6">
        <v>0</v>
      </c>
      <c r="K672" s="6">
        <v>0</v>
      </c>
      <c r="L672" s="6">
        <v>4.5999999999999999E-2</v>
      </c>
      <c r="M672" s="6">
        <v>4.5999999999999999E-2</v>
      </c>
      <c r="N672" s="6">
        <v>4.5999999999999999E-2</v>
      </c>
      <c r="O672" s="6">
        <v>4.5999999999999999E-2</v>
      </c>
      <c r="P672" s="6">
        <v>0</v>
      </c>
      <c r="Q672" s="4" t="s">
        <v>26</v>
      </c>
      <c r="R672" s="4">
        <v>0</v>
      </c>
      <c r="S672" s="6">
        <v>0</v>
      </c>
      <c r="T672" s="6">
        <v>57</v>
      </c>
      <c r="U672" s="6">
        <v>90</v>
      </c>
      <c r="V672" s="6">
        <f>IF(ISERROR(VLOOKUP($S$672,'TAR FIN'!$A$1:$O$113,15,0)),0,VLOOKUP($S$672,'TAR FIN'!$A$1:$O$113,15,0))</f>
        <v>0</v>
      </c>
      <c r="W672" s="6">
        <f>IF(ISERROR(VLOOKUP($T$672,'TAR FIN'!$A$1:$O$113,15,0)),0,VLOOKUP($T$672,'TAR FIN'!$A$1:$O$113,15,0))</f>
        <v>208.75</v>
      </c>
      <c r="X672" s="6">
        <f>IF(ISERROR(VLOOKUP($U$672,'TAR FIN'!$A$1:$O$113,15,0)),0,VLOOKUP($U$672,'TAR FIN'!$A$1:$O$113,15,0))</f>
        <v>278.67</v>
      </c>
      <c r="Y672" s="6"/>
      <c r="Z672" s="6">
        <f ca="1">('TUSD BE'!$AM$39+'TUSD BF'!$AM$39+'TUSD CVA'!$AM$39)*1</f>
        <v>288.32448247145129</v>
      </c>
      <c r="AA672" s="6">
        <f>('TE BE'!$AB$17+'TE BF'!$AB$17+'TE CVA'!$AB$17)*1</f>
        <v>299.18055042718134</v>
      </c>
      <c r="AB672" s="6">
        <f>$K$672*$V$672</f>
        <v>0</v>
      </c>
      <c r="AC672" s="6">
        <f>$M$672*$W$672</f>
        <v>9.6024999999999991</v>
      </c>
      <c r="AD672" s="6">
        <f>$O$672*$X$672</f>
        <v>12.818820000000001</v>
      </c>
      <c r="AE672" s="6">
        <f>$K$672*$Y$672</f>
        <v>0</v>
      </c>
      <c r="AF672" s="6">
        <f ca="1">$M$672*$Z$672</f>
        <v>13.262926193686759</v>
      </c>
      <c r="AG672" s="6">
        <f>$O$672*$AA$672</f>
        <v>13.762305319650341</v>
      </c>
    </row>
    <row r="673" spans="1:33" ht="11.25" customHeight="1" x14ac:dyDescent="0.3">
      <c r="A673" s="4" t="s">
        <v>21</v>
      </c>
      <c r="B673" s="4" t="s">
        <v>22</v>
      </c>
      <c r="C673" s="4" t="s">
        <v>33</v>
      </c>
      <c r="D673" s="4" t="s">
        <v>24</v>
      </c>
      <c r="E673" s="4" t="s">
        <v>24</v>
      </c>
      <c r="F673" s="4" t="s">
        <v>25</v>
      </c>
      <c r="G673" s="4" t="s">
        <v>25</v>
      </c>
      <c r="H673" s="4" t="s">
        <v>35</v>
      </c>
      <c r="I673" s="5">
        <v>44713</v>
      </c>
      <c r="J673" s="6">
        <v>0</v>
      </c>
      <c r="K673" s="6">
        <v>0</v>
      </c>
      <c r="L673" s="6">
        <v>8.548</v>
      </c>
      <c r="M673" s="6">
        <v>8.548</v>
      </c>
      <c r="N673" s="6">
        <v>8.548</v>
      </c>
      <c r="O673" s="6">
        <v>8.548</v>
      </c>
      <c r="P673" s="6">
        <v>0</v>
      </c>
      <c r="Q673" s="4" t="s">
        <v>26</v>
      </c>
      <c r="R673" s="4">
        <v>0</v>
      </c>
      <c r="S673" s="6">
        <v>0</v>
      </c>
      <c r="T673" s="6">
        <v>57</v>
      </c>
      <c r="U673" s="6">
        <v>90</v>
      </c>
      <c r="V673" s="6">
        <f>IF(ISERROR(VLOOKUP($S$673,'TAR FIN'!$A$1:$O$113,15,0)),0,VLOOKUP($S$673,'TAR FIN'!$A$1:$O$113,15,0))</f>
        <v>0</v>
      </c>
      <c r="W673" s="6">
        <f>IF(ISERROR(VLOOKUP($T$673,'TAR FIN'!$A$1:$O$113,15,0)),0,VLOOKUP($T$673,'TAR FIN'!$A$1:$O$113,15,0))</f>
        <v>208.75</v>
      </c>
      <c r="X673" s="6">
        <f>IF(ISERROR(VLOOKUP($U$673,'TAR FIN'!$A$1:$O$113,15,0)),0,VLOOKUP($U$673,'TAR FIN'!$A$1:$O$113,15,0))</f>
        <v>278.67</v>
      </c>
      <c r="Y673" s="6"/>
      <c r="Z673" s="6">
        <f ca="1">('TUSD BE'!$AM$39+'TUSD BF'!$AM$39+'TUSD CVA'!$AM$39)*1</f>
        <v>288.32448247145129</v>
      </c>
      <c r="AA673" s="6">
        <f>('TE BE'!$AB$17+'TE BF'!$AB$17+'TE CVA'!$AB$17)*1</f>
        <v>299.18055042718134</v>
      </c>
      <c r="AB673" s="6">
        <f>$K$673*$V$673</f>
        <v>0</v>
      </c>
      <c r="AC673" s="6">
        <f>$M$673*$W$673</f>
        <v>1784.395</v>
      </c>
      <c r="AD673" s="6">
        <f>$O$673*$X$673</f>
        <v>2382.07116</v>
      </c>
      <c r="AE673" s="6">
        <f>$K$673*$Y$673</f>
        <v>0</v>
      </c>
      <c r="AF673" s="6">
        <f ca="1">$M$673*$Z$673</f>
        <v>2464.5976761659658</v>
      </c>
      <c r="AG673" s="6">
        <f>$O$673*$AA$673</f>
        <v>2557.395345051546</v>
      </c>
    </row>
    <row r="674" spans="1:33" ht="11.25" customHeight="1" x14ac:dyDescent="0.3">
      <c r="A674" s="4" t="s">
        <v>28</v>
      </c>
      <c r="B674" s="4" t="s">
        <v>22</v>
      </c>
      <c r="C674" s="4" t="s">
        <v>33</v>
      </c>
      <c r="D674" s="4" t="s">
        <v>24</v>
      </c>
      <c r="E674" s="4" t="s">
        <v>24</v>
      </c>
      <c r="F674" s="4" t="s">
        <v>25</v>
      </c>
      <c r="G674" s="4" t="s">
        <v>25</v>
      </c>
      <c r="H674" s="4" t="s">
        <v>35</v>
      </c>
      <c r="I674" s="5">
        <v>44713</v>
      </c>
      <c r="J674" s="6">
        <v>0</v>
      </c>
      <c r="K674" s="6">
        <v>0</v>
      </c>
      <c r="L674" s="6">
        <v>6.8000000000000005E-2</v>
      </c>
      <c r="M674" s="6">
        <v>6.8000000000000005E-2</v>
      </c>
      <c r="N674" s="6">
        <v>6.8000000000000005E-2</v>
      </c>
      <c r="O674" s="6">
        <v>6.8000000000000005E-2</v>
      </c>
      <c r="P674" s="6">
        <v>0</v>
      </c>
      <c r="Q674" s="4" t="s">
        <v>26</v>
      </c>
      <c r="R674" s="4">
        <v>0</v>
      </c>
      <c r="S674" s="6">
        <v>0</v>
      </c>
      <c r="T674" s="6">
        <v>57</v>
      </c>
      <c r="U674" s="6">
        <v>90</v>
      </c>
      <c r="V674" s="6">
        <f>IF(ISERROR(VLOOKUP($S$674,'TAR FIN'!$A$1:$O$113,15,0)),0,VLOOKUP($S$674,'TAR FIN'!$A$1:$O$113,15,0))</f>
        <v>0</v>
      </c>
      <c r="W674" s="6">
        <f>IF(ISERROR(VLOOKUP($T$674,'TAR FIN'!$A$1:$O$113,15,0)),0,VLOOKUP($T$674,'TAR FIN'!$A$1:$O$113,15,0))</f>
        <v>208.75</v>
      </c>
      <c r="X674" s="6">
        <f>IF(ISERROR(VLOOKUP($U$674,'TAR FIN'!$A$1:$O$113,15,0)),0,VLOOKUP($U$674,'TAR FIN'!$A$1:$O$113,15,0))</f>
        <v>278.67</v>
      </c>
      <c r="Y674" s="6"/>
      <c r="Z674" s="6">
        <f ca="1">('TUSD BE'!$AM$39+'TUSD BF'!$AM$39+'TUSD CVA'!$AM$39)*1</f>
        <v>288.32448247145129</v>
      </c>
      <c r="AA674" s="6">
        <f>('TE BE'!$AB$17+'TE BF'!$AB$17+'TE CVA'!$AB$17)*1</f>
        <v>299.18055042718134</v>
      </c>
      <c r="AB674" s="6">
        <f>$K$674*$V$674</f>
        <v>0</v>
      </c>
      <c r="AC674" s="6">
        <f>$M$674*$W$674</f>
        <v>14.195</v>
      </c>
      <c r="AD674" s="6">
        <f>$O$674*$X$674</f>
        <v>18.949560000000002</v>
      </c>
      <c r="AE674" s="6">
        <f>$K$674*$Y$674</f>
        <v>0</v>
      </c>
      <c r="AF674" s="6">
        <f ca="1">$M$674*$Z$674</f>
        <v>19.60606480805869</v>
      </c>
      <c r="AG674" s="6">
        <f>$O$674*$AA$674</f>
        <v>20.344277429048333</v>
      </c>
    </row>
    <row r="675" spans="1:33" ht="11.25" customHeight="1" x14ac:dyDescent="0.3">
      <c r="A675" s="4" t="s">
        <v>21</v>
      </c>
      <c r="B675" s="4" t="s">
        <v>22</v>
      </c>
      <c r="C675" s="4" t="s">
        <v>33</v>
      </c>
      <c r="D675" s="4" t="s">
        <v>24</v>
      </c>
      <c r="E675" s="4" t="s">
        <v>24</v>
      </c>
      <c r="F675" s="4" t="s">
        <v>25</v>
      </c>
      <c r="G675" s="4" t="s">
        <v>25</v>
      </c>
      <c r="H675" s="4" t="s">
        <v>35</v>
      </c>
      <c r="I675" s="5">
        <v>44743</v>
      </c>
      <c r="J675" s="6">
        <v>0</v>
      </c>
      <c r="K675" s="6">
        <v>0</v>
      </c>
      <c r="L675" s="6">
        <v>9.0470000000000006</v>
      </c>
      <c r="M675" s="6">
        <v>9.0470000000000006</v>
      </c>
      <c r="N675" s="6">
        <v>9.0470000000000006</v>
      </c>
      <c r="O675" s="6">
        <v>9.0470000000000006</v>
      </c>
      <c r="P675" s="6">
        <v>0</v>
      </c>
      <c r="Q675" s="4" t="s">
        <v>26</v>
      </c>
      <c r="R675" s="4">
        <v>0</v>
      </c>
      <c r="S675" s="6">
        <v>0</v>
      </c>
      <c r="T675" s="6">
        <v>57</v>
      </c>
      <c r="U675" s="6">
        <v>90</v>
      </c>
      <c r="V675" s="6">
        <f>IF(ISERROR(VLOOKUP($S$675,'TAR FIN'!$A$1:$O$113,15,0)),0,VLOOKUP($S$675,'TAR FIN'!$A$1:$O$113,15,0))</f>
        <v>0</v>
      </c>
      <c r="W675" s="6">
        <f>IF(ISERROR(VLOOKUP($T$675,'TAR FIN'!$A$1:$O$113,15,0)),0,VLOOKUP($T$675,'TAR FIN'!$A$1:$O$113,15,0))</f>
        <v>208.75</v>
      </c>
      <c r="X675" s="6">
        <f>IF(ISERROR(VLOOKUP($U$675,'TAR FIN'!$A$1:$O$113,15,0)),0,VLOOKUP($U$675,'TAR FIN'!$A$1:$O$113,15,0))</f>
        <v>278.67</v>
      </c>
      <c r="Y675" s="6"/>
      <c r="Z675" s="6">
        <f ca="1">('TUSD BE'!$AM$39+'TUSD BF'!$AM$39+'TUSD CVA'!$AM$39)*1</f>
        <v>288.32448247145129</v>
      </c>
      <c r="AA675" s="6">
        <f>('TE BE'!$AB$17+'TE BF'!$AB$17+'TE CVA'!$AB$17)*1</f>
        <v>299.18055042718134</v>
      </c>
      <c r="AB675" s="6">
        <f>$K$675*$V$675</f>
        <v>0</v>
      </c>
      <c r="AC675" s="6">
        <f>$M$675*$W$675</f>
        <v>1888.5612500000002</v>
      </c>
      <c r="AD675" s="6">
        <f>$O$675*$X$675</f>
        <v>2521.1274900000003</v>
      </c>
      <c r="AE675" s="6">
        <f>$K$675*$Y$675</f>
        <v>0</v>
      </c>
      <c r="AF675" s="6">
        <f ca="1">$M$675*$Z$675</f>
        <v>2608.4715929192198</v>
      </c>
      <c r="AG675" s="6">
        <f>$O$675*$AA$675</f>
        <v>2706.6864397147096</v>
      </c>
    </row>
    <row r="676" spans="1:33" ht="11.25" customHeight="1" x14ac:dyDescent="0.3">
      <c r="A676" s="4" t="s">
        <v>21</v>
      </c>
      <c r="B676" s="4" t="s">
        <v>22</v>
      </c>
      <c r="C676" s="4" t="s">
        <v>33</v>
      </c>
      <c r="D676" s="4" t="s">
        <v>24</v>
      </c>
      <c r="E676" s="4" t="s">
        <v>24</v>
      </c>
      <c r="F676" s="4" t="s">
        <v>25</v>
      </c>
      <c r="G676" s="4" t="s">
        <v>25</v>
      </c>
      <c r="H676" s="4" t="s">
        <v>35</v>
      </c>
      <c r="I676" s="5">
        <v>44774</v>
      </c>
      <c r="J676" s="6">
        <v>0</v>
      </c>
      <c r="K676" s="6">
        <v>0</v>
      </c>
      <c r="L676" s="6">
        <v>8.2789999999999999</v>
      </c>
      <c r="M676" s="6">
        <v>8.2789999999999999</v>
      </c>
      <c r="N676" s="6">
        <v>8.2789999999999999</v>
      </c>
      <c r="O676" s="6">
        <v>8.2789999999999999</v>
      </c>
      <c r="P676" s="6">
        <v>0</v>
      </c>
      <c r="Q676" s="4" t="s">
        <v>26</v>
      </c>
      <c r="R676" s="4">
        <v>0</v>
      </c>
      <c r="S676" s="6">
        <v>0</v>
      </c>
      <c r="T676" s="6">
        <v>57</v>
      </c>
      <c r="U676" s="6">
        <v>90</v>
      </c>
      <c r="V676" s="6">
        <f>IF(ISERROR(VLOOKUP($S$676,'TAR FIN'!$A$1:$O$113,15,0)),0,VLOOKUP($S$676,'TAR FIN'!$A$1:$O$113,15,0))</f>
        <v>0</v>
      </c>
      <c r="W676" s="6">
        <f>IF(ISERROR(VLOOKUP($T$676,'TAR FIN'!$A$1:$O$113,15,0)),0,VLOOKUP($T$676,'TAR FIN'!$A$1:$O$113,15,0))</f>
        <v>208.75</v>
      </c>
      <c r="X676" s="6">
        <f>IF(ISERROR(VLOOKUP($U$676,'TAR FIN'!$A$1:$O$113,15,0)),0,VLOOKUP($U$676,'TAR FIN'!$A$1:$O$113,15,0))</f>
        <v>278.67</v>
      </c>
      <c r="Y676" s="6"/>
      <c r="Z676" s="6">
        <f ca="1">('TUSD BE'!$AM$39+'TUSD BF'!$AM$39+'TUSD CVA'!$AM$39)*1</f>
        <v>288.32448247145129</v>
      </c>
      <c r="AA676" s="6">
        <f>('TE BE'!$AB$17+'TE BF'!$AB$17+'TE CVA'!$AB$17)*1</f>
        <v>299.18055042718134</v>
      </c>
      <c r="AB676" s="6">
        <f>$K$676*$V$676</f>
        <v>0</v>
      </c>
      <c r="AC676" s="6">
        <f>$M$676*$W$676</f>
        <v>1728.24125</v>
      </c>
      <c r="AD676" s="6">
        <f>$O$676*$X$676</f>
        <v>2307.1089300000003</v>
      </c>
      <c r="AE676" s="6">
        <f>$K$676*$Y$676</f>
        <v>0</v>
      </c>
      <c r="AF676" s="6">
        <f ca="1">$M$676*$Z$676</f>
        <v>2387.0383903811453</v>
      </c>
      <c r="AG676" s="6">
        <f>$O$676*$AA$676</f>
        <v>2476.9157769866342</v>
      </c>
    </row>
    <row r="677" spans="1:33" ht="11.25" customHeight="1" x14ac:dyDescent="0.3">
      <c r="A677" s="4" t="s">
        <v>28</v>
      </c>
      <c r="B677" s="4" t="s">
        <v>22</v>
      </c>
      <c r="C677" s="4" t="s">
        <v>33</v>
      </c>
      <c r="D677" s="4" t="s">
        <v>24</v>
      </c>
      <c r="E677" s="4" t="s">
        <v>24</v>
      </c>
      <c r="F677" s="4" t="s">
        <v>25</v>
      </c>
      <c r="G677" s="4" t="s">
        <v>25</v>
      </c>
      <c r="H677" s="4" t="s">
        <v>35</v>
      </c>
      <c r="I677" s="5">
        <v>44774</v>
      </c>
      <c r="J677" s="6">
        <v>0</v>
      </c>
      <c r="K677" s="6">
        <v>0</v>
      </c>
      <c r="L677" s="6">
        <v>7.5999999999999998E-2</v>
      </c>
      <c r="M677" s="6">
        <v>7.5999999999999998E-2</v>
      </c>
      <c r="N677" s="6">
        <v>7.5999999999999998E-2</v>
      </c>
      <c r="O677" s="6">
        <v>7.5999999999999998E-2</v>
      </c>
      <c r="P677" s="6">
        <v>0</v>
      </c>
      <c r="Q677" s="4" t="s">
        <v>26</v>
      </c>
      <c r="R677" s="4">
        <v>0</v>
      </c>
      <c r="S677" s="6">
        <v>0</v>
      </c>
      <c r="T677" s="6">
        <v>57</v>
      </c>
      <c r="U677" s="6">
        <v>90</v>
      </c>
      <c r="V677" s="6">
        <f>IF(ISERROR(VLOOKUP($S$677,'TAR FIN'!$A$1:$O$113,15,0)),0,VLOOKUP($S$677,'TAR FIN'!$A$1:$O$113,15,0))</f>
        <v>0</v>
      </c>
      <c r="W677" s="6">
        <f>IF(ISERROR(VLOOKUP($T$677,'TAR FIN'!$A$1:$O$113,15,0)),0,VLOOKUP($T$677,'TAR FIN'!$A$1:$O$113,15,0))</f>
        <v>208.75</v>
      </c>
      <c r="X677" s="6">
        <f>IF(ISERROR(VLOOKUP($U$677,'TAR FIN'!$A$1:$O$113,15,0)),0,VLOOKUP($U$677,'TAR FIN'!$A$1:$O$113,15,0))</f>
        <v>278.67</v>
      </c>
      <c r="Y677" s="6"/>
      <c r="Z677" s="6">
        <f ca="1">('TUSD BE'!$AM$39+'TUSD BF'!$AM$39+'TUSD CVA'!$AM$39)*1</f>
        <v>288.32448247145129</v>
      </c>
      <c r="AA677" s="6">
        <f>('TE BE'!$AB$17+'TE BF'!$AB$17+'TE CVA'!$AB$17)*1</f>
        <v>299.18055042718134</v>
      </c>
      <c r="AB677" s="6">
        <f>$K$677*$V$677</f>
        <v>0</v>
      </c>
      <c r="AC677" s="6">
        <f>$M$677*$W$677</f>
        <v>15.865</v>
      </c>
      <c r="AD677" s="6">
        <f>$O$677*$X$677</f>
        <v>21.178920000000002</v>
      </c>
      <c r="AE677" s="6">
        <f>$K$677*$Y$677</f>
        <v>0</v>
      </c>
      <c r="AF677" s="6">
        <f ca="1">$M$677*$Z$677</f>
        <v>21.912660667830298</v>
      </c>
      <c r="AG677" s="6">
        <f>$O$677*$AA$677</f>
        <v>22.73772183246578</v>
      </c>
    </row>
    <row r="678" spans="1:33" ht="11.25" customHeight="1" x14ac:dyDescent="0.3">
      <c r="A678" s="4" t="s">
        <v>21</v>
      </c>
      <c r="B678" s="4" t="s">
        <v>22</v>
      </c>
      <c r="C678" s="4" t="s">
        <v>33</v>
      </c>
      <c r="D678" s="4" t="s">
        <v>24</v>
      </c>
      <c r="E678" s="4" t="s">
        <v>24</v>
      </c>
      <c r="F678" s="4" t="s">
        <v>25</v>
      </c>
      <c r="G678" s="4" t="s">
        <v>25</v>
      </c>
      <c r="H678" s="4" t="s">
        <v>35</v>
      </c>
      <c r="I678" s="5">
        <v>44805</v>
      </c>
      <c r="J678" s="6">
        <v>0</v>
      </c>
      <c r="K678" s="6">
        <v>0</v>
      </c>
      <c r="L678" s="6">
        <v>8.6419999999999995</v>
      </c>
      <c r="M678" s="6">
        <v>8.6419999999999995</v>
      </c>
      <c r="N678" s="6">
        <v>8.6419999999999995</v>
      </c>
      <c r="O678" s="6">
        <v>8.6419999999999995</v>
      </c>
      <c r="P678" s="6">
        <v>0</v>
      </c>
      <c r="Q678" s="4" t="s">
        <v>26</v>
      </c>
      <c r="R678" s="4">
        <v>0</v>
      </c>
      <c r="S678" s="6">
        <v>0</v>
      </c>
      <c r="T678" s="6">
        <v>57</v>
      </c>
      <c r="U678" s="6">
        <v>90</v>
      </c>
      <c r="V678" s="6">
        <f>IF(ISERROR(VLOOKUP($S$678,'TAR FIN'!$A$1:$O$113,15,0)),0,VLOOKUP($S$678,'TAR FIN'!$A$1:$O$113,15,0))</f>
        <v>0</v>
      </c>
      <c r="W678" s="6">
        <f>IF(ISERROR(VLOOKUP($T$678,'TAR FIN'!$A$1:$O$113,15,0)),0,VLOOKUP($T$678,'TAR FIN'!$A$1:$O$113,15,0))</f>
        <v>208.75</v>
      </c>
      <c r="X678" s="6">
        <f>IF(ISERROR(VLOOKUP($U$678,'TAR FIN'!$A$1:$O$113,15,0)),0,VLOOKUP($U$678,'TAR FIN'!$A$1:$O$113,15,0))</f>
        <v>278.67</v>
      </c>
      <c r="Y678" s="6"/>
      <c r="Z678" s="6">
        <f ca="1">('TUSD BE'!$AM$39+'TUSD BF'!$AM$39+'TUSD CVA'!$AM$39)*1</f>
        <v>288.32448247145129</v>
      </c>
      <c r="AA678" s="6">
        <f>('TE BE'!$AB$17+'TE BF'!$AB$17+'TE CVA'!$AB$17)*1</f>
        <v>299.18055042718134</v>
      </c>
      <c r="AB678" s="6">
        <f>$K$678*$V$678</f>
        <v>0</v>
      </c>
      <c r="AC678" s="6">
        <f>$M$678*$W$678</f>
        <v>1804.0174999999999</v>
      </c>
      <c r="AD678" s="6">
        <f>$O$678*$X$678</f>
        <v>2408.2661400000002</v>
      </c>
      <c r="AE678" s="6">
        <f>$K$678*$Y$678</f>
        <v>0</v>
      </c>
      <c r="AF678" s="6">
        <f ca="1">$M$678*$Z$678</f>
        <v>2491.7001775182821</v>
      </c>
      <c r="AG678" s="6">
        <f>$O$678*$AA$678</f>
        <v>2585.5183167917012</v>
      </c>
    </row>
    <row r="679" spans="1:33" ht="11.25" customHeight="1" x14ac:dyDescent="0.3">
      <c r="A679" s="4" t="s">
        <v>28</v>
      </c>
      <c r="B679" s="4" t="s">
        <v>22</v>
      </c>
      <c r="C679" s="4" t="s">
        <v>33</v>
      </c>
      <c r="D679" s="4" t="s">
        <v>24</v>
      </c>
      <c r="E679" s="4" t="s">
        <v>24</v>
      </c>
      <c r="F679" s="4" t="s">
        <v>25</v>
      </c>
      <c r="G679" s="4" t="s">
        <v>25</v>
      </c>
      <c r="H679" s="4" t="s">
        <v>35</v>
      </c>
      <c r="I679" s="5">
        <v>44805</v>
      </c>
      <c r="J679" s="6">
        <v>0</v>
      </c>
      <c r="K679" s="6">
        <v>0</v>
      </c>
      <c r="L679" s="6">
        <v>4.4999999999999998E-2</v>
      </c>
      <c r="M679" s="6">
        <v>4.4999999999999998E-2</v>
      </c>
      <c r="N679" s="6">
        <v>4.4999999999999998E-2</v>
      </c>
      <c r="O679" s="6">
        <v>4.4999999999999998E-2</v>
      </c>
      <c r="P679" s="6">
        <v>0</v>
      </c>
      <c r="Q679" s="4" t="s">
        <v>26</v>
      </c>
      <c r="R679" s="4">
        <v>0</v>
      </c>
      <c r="S679" s="6">
        <v>0</v>
      </c>
      <c r="T679" s="6">
        <v>57</v>
      </c>
      <c r="U679" s="6">
        <v>90</v>
      </c>
      <c r="V679" s="6">
        <f>IF(ISERROR(VLOOKUP($S$679,'TAR FIN'!$A$1:$O$113,15,0)),0,VLOOKUP($S$679,'TAR FIN'!$A$1:$O$113,15,0))</f>
        <v>0</v>
      </c>
      <c r="W679" s="6">
        <f>IF(ISERROR(VLOOKUP($T$679,'TAR FIN'!$A$1:$O$113,15,0)),0,VLOOKUP($T$679,'TAR FIN'!$A$1:$O$113,15,0))</f>
        <v>208.75</v>
      </c>
      <c r="X679" s="6">
        <f>IF(ISERROR(VLOOKUP($U$679,'TAR FIN'!$A$1:$O$113,15,0)),0,VLOOKUP($U$679,'TAR FIN'!$A$1:$O$113,15,0))</f>
        <v>278.67</v>
      </c>
      <c r="Y679" s="6"/>
      <c r="Z679" s="6">
        <f ca="1">('TUSD BE'!$AM$39+'TUSD BF'!$AM$39+'TUSD CVA'!$AM$39)*1</f>
        <v>288.32448247145129</v>
      </c>
      <c r="AA679" s="6">
        <f>('TE BE'!$AB$17+'TE BF'!$AB$17+'TE CVA'!$AB$17)*1</f>
        <v>299.18055042718134</v>
      </c>
      <c r="AB679" s="6">
        <f>$K$679*$V$679</f>
        <v>0</v>
      </c>
      <c r="AC679" s="6">
        <f>$M$679*$W$679</f>
        <v>9.3937499999999989</v>
      </c>
      <c r="AD679" s="6">
        <f>$O$679*$X$679</f>
        <v>12.540150000000001</v>
      </c>
      <c r="AE679" s="6">
        <f>$K$679*$Y$679</f>
        <v>0</v>
      </c>
      <c r="AF679" s="6">
        <f ca="1">$M$679*$Z$679</f>
        <v>12.974601711215307</v>
      </c>
      <c r="AG679" s="6">
        <f>$O$679*$AA$679</f>
        <v>13.46312476922316</v>
      </c>
    </row>
    <row r="680" spans="1:33" ht="11.25" customHeight="1" x14ac:dyDescent="0.3">
      <c r="A680" s="4" t="s">
        <v>53</v>
      </c>
      <c r="B680" s="4" t="s">
        <v>22</v>
      </c>
      <c r="C680" s="4" t="s">
        <v>33</v>
      </c>
      <c r="D680" s="4" t="s">
        <v>24</v>
      </c>
      <c r="E680" s="4" t="s">
        <v>24</v>
      </c>
      <c r="F680" s="4" t="s">
        <v>25</v>
      </c>
      <c r="G680" s="4" t="s">
        <v>25</v>
      </c>
      <c r="H680" s="4" t="s">
        <v>35</v>
      </c>
      <c r="I680" s="5">
        <v>44835</v>
      </c>
      <c r="J680" s="6">
        <v>0</v>
      </c>
      <c r="K680" s="6">
        <v>0</v>
      </c>
      <c r="L680" s="6">
        <v>8.6419999999999995</v>
      </c>
      <c r="M680" s="6">
        <v>8.6419999999999995</v>
      </c>
      <c r="N680" s="6">
        <v>8.6419999999999995</v>
      </c>
      <c r="O680" s="6">
        <v>8.6419999999999995</v>
      </c>
      <c r="P680" s="6">
        <v>0</v>
      </c>
      <c r="Q680" s="4" t="s">
        <v>26</v>
      </c>
      <c r="R680" s="4">
        <v>0</v>
      </c>
      <c r="S680" s="6">
        <v>0</v>
      </c>
      <c r="T680" s="6">
        <v>57</v>
      </c>
      <c r="U680" s="6">
        <v>90</v>
      </c>
      <c r="V680" s="6">
        <f>IF(ISERROR(VLOOKUP($S$680,'TAR FIN'!$A$1:$O$113,15,0)),0,VLOOKUP($S$680,'TAR FIN'!$A$1:$O$113,15,0))</f>
        <v>0</v>
      </c>
      <c r="W680" s="6">
        <f>IF(ISERROR(VLOOKUP($T$680,'TAR FIN'!$A$1:$O$113,15,0)),0,VLOOKUP($T$680,'TAR FIN'!$A$1:$O$113,15,0))</f>
        <v>208.75</v>
      </c>
      <c r="X680" s="6">
        <f>IF(ISERROR(VLOOKUP($U$680,'TAR FIN'!$A$1:$O$113,15,0)),0,VLOOKUP($U$680,'TAR FIN'!$A$1:$O$113,15,0))</f>
        <v>278.67</v>
      </c>
      <c r="Y680" s="6"/>
      <c r="Z680" s="6">
        <f ca="1">('TUSD BE'!$AM$39+'TUSD BF'!$AM$39+'TUSD CVA'!$AM$39)*1</f>
        <v>288.32448247145129</v>
      </c>
      <c r="AA680" s="6">
        <f>('TE BE'!$AB$17+'TE BF'!$AB$17+'TE CVA'!$AB$17)*1</f>
        <v>299.18055042718134</v>
      </c>
      <c r="AB680" s="6">
        <f>$K$680*$V$680</f>
        <v>0</v>
      </c>
      <c r="AC680" s="6">
        <f>$M$680*$W$680</f>
        <v>1804.0174999999999</v>
      </c>
      <c r="AD680" s="6">
        <f>$O$680*$X$680</f>
        <v>2408.2661400000002</v>
      </c>
      <c r="AE680" s="6">
        <f>$K$680*$Y$680</f>
        <v>0</v>
      </c>
      <c r="AF680" s="6">
        <f ca="1">$M$680*$Z$680</f>
        <v>2491.7001775182821</v>
      </c>
      <c r="AG680" s="6">
        <f>$O$680*$AA$680</f>
        <v>2585.5183167917012</v>
      </c>
    </row>
    <row r="681" spans="1:33" ht="11.25" customHeight="1" x14ac:dyDescent="0.3">
      <c r="A681" s="4" t="s">
        <v>53</v>
      </c>
      <c r="B681" s="4" t="s">
        <v>22</v>
      </c>
      <c r="C681" s="4" t="s">
        <v>33</v>
      </c>
      <c r="D681" s="4" t="s">
        <v>24</v>
      </c>
      <c r="E681" s="4" t="s">
        <v>24</v>
      </c>
      <c r="F681" s="4" t="s">
        <v>25</v>
      </c>
      <c r="G681" s="4" t="s">
        <v>25</v>
      </c>
      <c r="H681" s="4" t="s">
        <v>35</v>
      </c>
      <c r="I681" s="5">
        <v>44835</v>
      </c>
      <c r="J681" s="6">
        <v>0</v>
      </c>
      <c r="K681" s="6">
        <v>0</v>
      </c>
      <c r="L681" s="6">
        <v>4.4999999999999998E-2</v>
      </c>
      <c r="M681" s="6">
        <v>4.4999999999999998E-2</v>
      </c>
      <c r="N681" s="6">
        <v>4.4999999999999998E-2</v>
      </c>
      <c r="O681" s="6">
        <v>4.4999999999999998E-2</v>
      </c>
      <c r="P681" s="6">
        <v>0</v>
      </c>
      <c r="Q681" s="4" t="s">
        <v>26</v>
      </c>
      <c r="R681" s="4">
        <v>0</v>
      </c>
      <c r="S681" s="6">
        <v>0</v>
      </c>
      <c r="T681" s="6">
        <v>57</v>
      </c>
      <c r="U681" s="6">
        <v>90</v>
      </c>
      <c r="V681" s="6">
        <f>IF(ISERROR(VLOOKUP($S$681,'TAR FIN'!$A$1:$O$113,15,0)),0,VLOOKUP($S$681,'TAR FIN'!$A$1:$O$113,15,0))</f>
        <v>0</v>
      </c>
      <c r="W681" s="6">
        <f>IF(ISERROR(VLOOKUP($T$681,'TAR FIN'!$A$1:$O$113,15,0)),0,VLOOKUP($T$681,'TAR FIN'!$A$1:$O$113,15,0))</f>
        <v>208.75</v>
      </c>
      <c r="X681" s="6">
        <f>IF(ISERROR(VLOOKUP($U$681,'TAR FIN'!$A$1:$O$113,15,0)),0,VLOOKUP($U$681,'TAR FIN'!$A$1:$O$113,15,0))</f>
        <v>278.67</v>
      </c>
      <c r="Y681" s="6"/>
      <c r="Z681" s="6">
        <f ca="1">('TUSD BE'!$AM$39+'TUSD BF'!$AM$39+'TUSD CVA'!$AM$39)*1</f>
        <v>288.32448247145129</v>
      </c>
      <c r="AA681" s="6">
        <f>('TE BE'!$AB$17+'TE BF'!$AB$17+'TE CVA'!$AB$17)*1</f>
        <v>299.18055042718134</v>
      </c>
      <c r="AB681" s="6">
        <f>$K$681*$V$681</f>
        <v>0</v>
      </c>
      <c r="AC681" s="6">
        <f>$M$681*$W$681</f>
        <v>9.3937499999999989</v>
      </c>
      <c r="AD681" s="6">
        <f>$O$681*$X$681</f>
        <v>12.540150000000001</v>
      </c>
      <c r="AE681" s="6">
        <f>$K$681*$Y$681</f>
        <v>0</v>
      </c>
      <c r="AF681" s="6">
        <f ca="1">$M$681*$Z$681</f>
        <v>12.974601711215307</v>
      </c>
      <c r="AG681" s="6">
        <f>$O$681*$AA$681</f>
        <v>13.46312476922316</v>
      </c>
    </row>
    <row r="682" spans="1:33" ht="11.25" customHeight="1" x14ac:dyDescent="0.3">
      <c r="A682" s="4" t="s">
        <v>21</v>
      </c>
      <c r="B682" s="4" t="s">
        <v>22</v>
      </c>
      <c r="C682" s="4" t="s">
        <v>33</v>
      </c>
      <c r="D682" s="4" t="s">
        <v>24</v>
      </c>
      <c r="E682" s="4" t="s">
        <v>24</v>
      </c>
      <c r="F682" s="4" t="s">
        <v>25</v>
      </c>
      <c r="G682" s="4" t="s">
        <v>25</v>
      </c>
      <c r="H682" s="4" t="s">
        <v>36</v>
      </c>
      <c r="I682" s="5">
        <v>44501</v>
      </c>
      <c r="J682" s="6">
        <v>0</v>
      </c>
      <c r="K682" s="6">
        <v>0</v>
      </c>
      <c r="L682" s="6">
        <v>0.72499999999999998</v>
      </c>
      <c r="M682" s="6">
        <v>0.72499999999999998</v>
      </c>
      <c r="N682" s="6">
        <v>0.72499999999999998</v>
      </c>
      <c r="O682" s="6">
        <v>0.72499999999999998</v>
      </c>
      <c r="P682" s="6">
        <v>0</v>
      </c>
      <c r="Q682" s="4" t="s">
        <v>26</v>
      </c>
      <c r="R682" s="4">
        <v>0</v>
      </c>
      <c r="S682" s="6">
        <v>0</v>
      </c>
      <c r="T682" s="6">
        <v>65</v>
      </c>
      <c r="U682" s="6">
        <v>86</v>
      </c>
      <c r="V682" s="6">
        <f>IF(ISERROR(VLOOKUP($S$682,'TAR FIN'!$A$1:$O$113,15,0)),0,VLOOKUP($S$682,'TAR FIN'!$A$1:$O$113,15,0))</f>
        <v>0</v>
      </c>
      <c r="W682" s="6">
        <f>IF(ISERROR(VLOOKUP($T$682,'TAR FIN'!$A$1:$O$113,15,0)),0,VLOOKUP($T$682,'TAR FIN'!$A$1:$O$113,15,0))</f>
        <v>415.22</v>
      </c>
      <c r="X682" s="6">
        <f>IF(ISERROR(VLOOKUP($U$682,'TAR FIN'!$A$1:$O$113,15,0)),0,VLOOKUP($U$682,'TAR FIN'!$A$1:$O$113,15,0))</f>
        <v>278.67</v>
      </c>
      <c r="Y682" s="6"/>
      <c r="Z682" s="6">
        <f ca="1">('TUSD BE'!$AM$38+'TUSD BF'!$AM$38+'TUSD CVA'!$AM$38)*1</f>
        <v>525.04270186540759</v>
      </c>
      <c r="AA682" s="6">
        <f>('TE BE'!$AB$16+'TE BF'!$AB$16+'TE CVA'!$AB$16)*1</f>
        <v>299.18055042718134</v>
      </c>
      <c r="AB682" s="6">
        <f>$K$682*$V$682</f>
        <v>0</v>
      </c>
      <c r="AC682" s="6">
        <f>$M$682*$W$682</f>
        <v>301.03450000000004</v>
      </c>
      <c r="AD682" s="6">
        <f>$O$682*$X$682</f>
        <v>202.03575000000001</v>
      </c>
      <c r="AE682" s="6">
        <f>$K$682*$Y$682</f>
        <v>0</v>
      </c>
      <c r="AF682" s="6">
        <f ca="1">$M$682*$Z$682</f>
        <v>380.6559588524205</v>
      </c>
      <c r="AG682" s="6">
        <f>$O$682*$AA$682</f>
        <v>216.90589905970646</v>
      </c>
    </row>
    <row r="683" spans="1:33" ht="11.25" customHeight="1" x14ac:dyDescent="0.3">
      <c r="A683" s="4" t="s">
        <v>21</v>
      </c>
      <c r="B683" s="4" t="s">
        <v>22</v>
      </c>
      <c r="C683" s="4" t="s">
        <v>33</v>
      </c>
      <c r="D683" s="4" t="s">
        <v>24</v>
      </c>
      <c r="E683" s="4" t="s">
        <v>24</v>
      </c>
      <c r="F683" s="4" t="s">
        <v>25</v>
      </c>
      <c r="G683" s="4" t="s">
        <v>25</v>
      </c>
      <c r="H683" s="4" t="s">
        <v>36</v>
      </c>
      <c r="I683" s="5">
        <v>44531</v>
      </c>
      <c r="J683" s="6">
        <v>0</v>
      </c>
      <c r="K683" s="6">
        <v>0</v>
      </c>
      <c r="L683" s="6">
        <v>0.78200000000000003</v>
      </c>
      <c r="M683" s="6">
        <v>0.78200000000000003</v>
      </c>
      <c r="N683" s="6">
        <v>0.78200000000000003</v>
      </c>
      <c r="O683" s="6">
        <v>0.78200000000000003</v>
      </c>
      <c r="P683" s="6">
        <v>0</v>
      </c>
      <c r="Q683" s="4" t="s">
        <v>26</v>
      </c>
      <c r="R683" s="4">
        <v>0</v>
      </c>
      <c r="S683" s="6">
        <v>0</v>
      </c>
      <c r="T683" s="6">
        <v>65</v>
      </c>
      <c r="U683" s="6">
        <v>86</v>
      </c>
      <c r="V683" s="6">
        <f>IF(ISERROR(VLOOKUP($S$683,'TAR FIN'!$A$1:$O$113,15,0)),0,VLOOKUP($S$683,'TAR FIN'!$A$1:$O$113,15,0))</f>
        <v>0</v>
      </c>
      <c r="W683" s="6">
        <f>IF(ISERROR(VLOOKUP($T$683,'TAR FIN'!$A$1:$O$113,15,0)),0,VLOOKUP($T$683,'TAR FIN'!$A$1:$O$113,15,0))</f>
        <v>415.22</v>
      </c>
      <c r="X683" s="6">
        <f>IF(ISERROR(VLOOKUP($U$683,'TAR FIN'!$A$1:$O$113,15,0)),0,VLOOKUP($U$683,'TAR FIN'!$A$1:$O$113,15,0))</f>
        <v>278.67</v>
      </c>
      <c r="Y683" s="6"/>
      <c r="Z683" s="6">
        <f ca="1">('TUSD BE'!$AM$38+'TUSD BF'!$AM$38+'TUSD CVA'!$AM$38)*1</f>
        <v>525.04270186540759</v>
      </c>
      <c r="AA683" s="6">
        <f>('TE BE'!$AB$16+'TE BF'!$AB$16+'TE CVA'!$AB$16)*1</f>
        <v>299.18055042718134</v>
      </c>
      <c r="AB683" s="6">
        <f>$K$683*$V$683</f>
        <v>0</v>
      </c>
      <c r="AC683" s="6">
        <f>$M$683*$W$683</f>
        <v>324.70204000000001</v>
      </c>
      <c r="AD683" s="6">
        <f>$O$683*$X$683</f>
        <v>217.91994000000003</v>
      </c>
      <c r="AE683" s="6">
        <f>$K$683*$Y$683</f>
        <v>0</v>
      </c>
      <c r="AF683" s="6">
        <f ca="1">$M$683*$Z$683</f>
        <v>410.58339285874877</v>
      </c>
      <c r="AG683" s="6">
        <f>$O$683*$AA$683</f>
        <v>233.95919043405581</v>
      </c>
    </row>
    <row r="684" spans="1:33" ht="11.25" customHeight="1" x14ac:dyDescent="0.3">
      <c r="A684" s="4" t="s">
        <v>21</v>
      </c>
      <c r="B684" s="4" t="s">
        <v>22</v>
      </c>
      <c r="C684" s="4" t="s">
        <v>33</v>
      </c>
      <c r="D684" s="4" t="s">
        <v>24</v>
      </c>
      <c r="E684" s="4" t="s">
        <v>24</v>
      </c>
      <c r="F684" s="4" t="s">
        <v>25</v>
      </c>
      <c r="G684" s="4" t="s">
        <v>25</v>
      </c>
      <c r="H684" s="4" t="s">
        <v>36</v>
      </c>
      <c r="I684" s="5">
        <v>44562</v>
      </c>
      <c r="J684" s="6">
        <v>0</v>
      </c>
      <c r="K684" s="6">
        <v>0</v>
      </c>
      <c r="L684" s="6">
        <v>0.89500000000000002</v>
      </c>
      <c r="M684" s="6">
        <v>0.89500000000000002</v>
      </c>
      <c r="N684" s="6">
        <v>0.89500000000000002</v>
      </c>
      <c r="O684" s="6">
        <v>0.89500000000000002</v>
      </c>
      <c r="P684" s="6">
        <v>0</v>
      </c>
      <c r="Q684" s="4" t="s">
        <v>26</v>
      </c>
      <c r="R684" s="4">
        <v>0</v>
      </c>
      <c r="S684" s="6">
        <v>0</v>
      </c>
      <c r="T684" s="6">
        <v>65</v>
      </c>
      <c r="U684" s="6">
        <v>86</v>
      </c>
      <c r="V684" s="6">
        <f>IF(ISERROR(VLOOKUP($S$684,'TAR FIN'!$A$1:$O$113,15,0)),0,VLOOKUP($S$684,'TAR FIN'!$A$1:$O$113,15,0))</f>
        <v>0</v>
      </c>
      <c r="W684" s="6">
        <f>IF(ISERROR(VLOOKUP($T$684,'TAR FIN'!$A$1:$O$113,15,0)),0,VLOOKUP($T$684,'TAR FIN'!$A$1:$O$113,15,0))</f>
        <v>415.22</v>
      </c>
      <c r="X684" s="6">
        <f>IF(ISERROR(VLOOKUP($U$684,'TAR FIN'!$A$1:$O$113,15,0)),0,VLOOKUP($U$684,'TAR FIN'!$A$1:$O$113,15,0))</f>
        <v>278.67</v>
      </c>
      <c r="Y684" s="6"/>
      <c r="Z684" s="6">
        <f ca="1">('TUSD BE'!$AM$38+'TUSD BF'!$AM$38+'TUSD CVA'!$AM$38)*1</f>
        <v>525.04270186540759</v>
      </c>
      <c r="AA684" s="6">
        <f>('TE BE'!$AB$16+'TE BF'!$AB$16+'TE CVA'!$AB$16)*1</f>
        <v>299.18055042718134</v>
      </c>
      <c r="AB684" s="6">
        <f>$K$684*$V$684</f>
        <v>0</v>
      </c>
      <c r="AC684" s="6">
        <f>$M$684*$W$684</f>
        <v>371.62190000000004</v>
      </c>
      <c r="AD684" s="6">
        <f>$O$684*$X$684</f>
        <v>249.40965000000003</v>
      </c>
      <c r="AE684" s="6">
        <f>$K$684*$Y$684</f>
        <v>0</v>
      </c>
      <c r="AF684" s="6">
        <f ca="1">$M$684*$Z$684</f>
        <v>469.91321816953979</v>
      </c>
      <c r="AG684" s="6">
        <f>$O$684*$AA$684</f>
        <v>267.76659263232733</v>
      </c>
    </row>
    <row r="685" spans="1:33" ht="11.25" customHeight="1" x14ac:dyDescent="0.3">
      <c r="A685" s="4" t="s">
        <v>28</v>
      </c>
      <c r="B685" s="4" t="s">
        <v>22</v>
      </c>
      <c r="C685" s="4" t="s">
        <v>33</v>
      </c>
      <c r="D685" s="4" t="s">
        <v>24</v>
      </c>
      <c r="E685" s="4" t="s">
        <v>24</v>
      </c>
      <c r="F685" s="4" t="s">
        <v>25</v>
      </c>
      <c r="G685" s="4" t="s">
        <v>25</v>
      </c>
      <c r="H685" s="4" t="s">
        <v>36</v>
      </c>
      <c r="I685" s="5">
        <v>44562</v>
      </c>
      <c r="J685" s="6">
        <v>0</v>
      </c>
      <c r="K685" s="6">
        <v>0</v>
      </c>
      <c r="L685" s="6">
        <v>9.1999999999999998E-2</v>
      </c>
      <c r="M685" s="6">
        <v>9.1999999999999998E-2</v>
      </c>
      <c r="N685" s="6">
        <v>9.1999999999999998E-2</v>
      </c>
      <c r="O685" s="6">
        <v>9.1999999999999998E-2</v>
      </c>
      <c r="P685" s="6">
        <v>0</v>
      </c>
      <c r="Q685" s="4" t="s">
        <v>26</v>
      </c>
      <c r="R685" s="4">
        <v>0</v>
      </c>
      <c r="S685" s="6">
        <v>0</v>
      </c>
      <c r="T685" s="6">
        <v>65</v>
      </c>
      <c r="U685" s="6">
        <v>86</v>
      </c>
      <c r="V685" s="6">
        <f>IF(ISERROR(VLOOKUP($S$685,'TAR FIN'!$A$1:$O$113,15,0)),0,VLOOKUP($S$685,'TAR FIN'!$A$1:$O$113,15,0))</f>
        <v>0</v>
      </c>
      <c r="W685" s="6">
        <f>IF(ISERROR(VLOOKUP($T$685,'TAR FIN'!$A$1:$O$113,15,0)),0,VLOOKUP($T$685,'TAR FIN'!$A$1:$O$113,15,0))</f>
        <v>415.22</v>
      </c>
      <c r="X685" s="6">
        <f>IF(ISERROR(VLOOKUP($U$685,'TAR FIN'!$A$1:$O$113,15,0)),0,VLOOKUP($U$685,'TAR FIN'!$A$1:$O$113,15,0))</f>
        <v>278.67</v>
      </c>
      <c r="Y685" s="6"/>
      <c r="Z685" s="6">
        <f ca="1">('TUSD BE'!$AM$38+'TUSD BF'!$AM$38+'TUSD CVA'!$AM$38)*1</f>
        <v>525.04270186540759</v>
      </c>
      <c r="AA685" s="6">
        <f>('TE BE'!$AB$16+'TE BF'!$AB$16+'TE CVA'!$AB$16)*1</f>
        <v>299.18055042718134</v>
      </c>
      <c r="AB685" s="6">
        <f>$K$685*$V$685</f>
        <v>0</v>
      </c>
      <c r="AC685" s="6">
        <f>$M$685*$W$685</f>
        <v>38.200240000000001</v>
      </c>
      <c r="AD685" s="6">
        <f>$O$685*$X$685</f>
        <v>25.637640000000001</v>
      </c>
      <c r="AE685" s="6">
        <f>$K$685*$Y$685</f>
        <v>0</v>
      </c>
      <c r="AF685" s="6">
        <f ca="1">$M$685*$Z$685</f>
        <v>48.303928571617497</v>
      </c>
      <c r="AG685" s="6">
        <f>$O$685*$AA$685</f>
        <v>27.524610639300683</v>
      </c>
    </row>
    <row r="686" spans="1:33" ht="11.25" customHeight="1" x14ac:dyDescent="0.3">
      <c r="A686" s="4" t="s">
        <v>21</v>
      </c>
      <c r="B686" s="4" t="s">
        <v>22</v>
      </c>
      <c r="C686" s="4" t="s">
        <v>33</v>
      </c>
      <c r="D686" s="4" t="s">
        <v>24</v>
      </c>
      <c r="E686" s="4" t="s">
        <v>24</v>
      </c>
      <c r="F686" s="4" t="s">
        <v>25</v>
      </c>
      <c r="G686" s="4" t="s">
        <v>25</v>
      </c>
      <c r="H686" s="4" t="s">
        <v>36</v>
      </c>
      <c r="I686" s="5">
        <v>44593</v>
      </c>
      <c r="J686" s="6">
        <v>0</v>
      </c>
      <c r="K686" s="6">
        <v>0</v>
      </c>
      <c r="L686" s="6">
        <v>0.84899999999999998</v>
      </c>
      <c r="M686" s="6">
        <v>0.84899999999999998</v>
      </c>
      <c r="N686" s="6">
        <v>0.84899999999999998</v>
      </c>
      <c r="O686" s="6">
        <v>0.84899999999999998</v>
      </c>
      <c r="P686" s="6">
        <v>0</v>
      </c>
      <c r="Q686" s="4" t="s">
        <v>26</v>
      </c>
      <c r="R686" s="4">
        <v>0</v>
      </c>
      <c r="S686" s="6">
        <v>0</v>
      </c>
      <c r="T686" s="6">
        <v>65</v>
      </c>
      <c r="U686" s="6">
        <v>86</v>
      </c>
      <c r="V686" s="6">
        <f>IF(ISERROR(VLOOKUP($S$686,'TAR FIN'!$A$1:$O$113,15,0)),0,VLOOKUP($S$686,'TAR FIN'!$A$1:$O$113,15,0))</f>
        <v>0</v>
      </c>
      <c r="W686" s="6">
        <f>IF(ISERROR(VLOOKUP($T$686,'TAR FIN'!$A$1:$O$113,15,0)),0,VLOOKUP($T$686,'TAR FIN'!$A$1:$O$113,15,0))</f>
        <v>415.22</v>
      </c>
      <c r="X686" s="6">
        <f>IF(ISERROR(VLOOKUP($U$686,'TAR FIN'!$A$1:$O$113,15,0)),0,VLOOKUP($U$686,'TAR FIN'!$A$1:$O$113,15,0))</f>
        <v>278.67</v>
      </c>
      <c r="Y686" s="6"/>
      <c r="Z686" s="6">
        <f ca="1">('TUSD BE'!$AM$38+'TUSD BF'!$AM$38+'TUSD CVA'!$AM$38)*1</f>
        <v>525.04270186540759</v>
      </c>
      <c r="AA686" s="6">
        <f>('TE BE'!$AB$16+'TE BF'!$AB$16+'TE CVA'!$AB$16)*1</f>
        <v>299.18055042718134</v>
      </c>
      <c r="AB686" s="6">
        <f>$K$686*$V$686</f>
        <v>0</v>
      </c>
      <c r="AC686" s="6">
        <f>$M$686*$W$686</f>
        <v>352.52178000000004</v>
      </c>
      <c r="AD686" s="6">
        <f>$O$686*$X$686</f>
        <v>236.59083000000001</v>
      </c>
      <c r="AE686" s="6">
        <f>$K$686*$Y$686</f>
        <v>0</v>
      </c>
      <c r="AF686" s="6">
        <f ca="1">$M$686*$Z$686</f>
        <v>445.76125388373106</v>
      </c>
      <c r="AG686" s="6">
        <f>$O$686*$AA$686</f>
        <v>254.00428731267695</v>
      </c>
    </row>
    <row r="687" spans="1:33" ht="11.25" customHeight="1" x14ac:dyDescent="0.3">
      <c r="A687" s="4" t="s">
        <v>28</v>
      </c>
      <c r="B687" s="4" t="s">
        <v>22</v>
      </c>
      <c r="C687" s="4" t="s">
        <v>33</v>
      </c>
      <c r="D687" s="4" t="s">
        <v>24</v>
      </c>
      <c r="E687" s="4" t="s">
        <v>24</v>
      </c>
      <c r="F687" s="4" t="s">
        <v>25</v>
      </c>
      <c r="G687" s="4" t="s">
        <v>25</v>
      </c>
      <c r="H687" s="4" t="s">
        <v>36</v>
      </c>
      <c r="I687" s="5">
        <v>44593</v>
      </c>
      <c r="J687" s="6">
        <v>0</v>
      </c>
      <c r="K687" s="6">
        <v>0</v>
      </c>
      <c r="L687" s="6">
        <v>9.6000000000000002E-2</v>
      </c>
      <c r="M687" s="6">
        <v>9.6000000000000002E-2</v>
      </c>
      <c r="N687" s="6">
        <v>9.6000000000000002E-2</v>
      </c>
      <c r="O687" s="6">
        <v>9.6000000000000002E-2</v>
      </c>
      <c r="P687" s="6">
        <v>0</v>
      </c>
      <c r="Q687" s="4" t="s">
        <v>26</v>
      </c>
      <c r="R687" s="4">
        <v>0</v>
      </c>
      <c r="S687" s="6">
        <v>0</v>
      </c>
      <c r="T687" s="6">
        <v>65</v>
      </c>
      <c r="U687" s="6">
        <v>86</v>
      </c>
      <c r="V687" s="6">
        <f>IF(ISERROR(VLOOKUP($S$687,'TAR FIN'!$A$1:$O$113,15,0)),0,VLOOKUP($S$687,'TAR FIN'!$A$1:$O$113,15,0))</f>
        <v>0</v>
      </c>
      <c r="W687" s="6">
        <f>IF(ISERROR(VLOOKUP($T$687,'TAR FIN'!$A$1:$O$113,15,0)),0,VLOOKUP($T$687,'TAR FIN'!$A$1:$O$113,15,0))</f>
        <v>415.22</v>
      </c>
      <c r="X687" s="6">
        <f>IF(ISERROR(VLOOKUP($U$687,'TAR FIN'!$A$1:$O$113,15,0)),0,VLOOKUP($U$687,'TAR FIN'!$A$1:$O$113,15,0))</f>
        <v>278.67</v>
      </c>
      <c r="Y687" s="6"/>
      <c r="Z687" s="6">
        <f ca="1">('TUSD BE'!$AM$38+'TUSD BF'!$AM$38+'TUSD CVA'!$AM$38)*1</f>
        <v>525.04270186540759</v>
      </c>
      <c r="AA687" s="6">
        <f>('TE BE'!$AB$16+'TE BF'!$AB$16+'TE CVA'!$AB$16)*1</f>
        <v>299.18055042718134</v>
      </c>
      <c r="AB687" s="6">
        <f>$K$687*$V$687</f>
        <v>0</v>
      </c>
      <c r="AC687" s="6">
        <f>$M$687*$W$687</f>
        <v>39.861120000000007</v>
      </c>
      <c r="AD687" s="6">
        <f>$O$687*$X$687</f>
        <v>26.752320000000001</v>
      </c>
      <c r="AE687" s="6">
        <f>$K$687*$Y$687</f>
        <v>0</v>
      </c>
      <c r="AF687" s="6">
        <f ca="1">$M$687*$Z$687</f>
        <v>50.404099379079128</v>
      </c>
      <c r="AG687" s="6">
        <f>$O$687*$AA$687</f>
        <v>28.72133284100941</v>
      </c>
    </row>
    <row r="688" spans="1:33" ht="11.25" customHeight="1" x14ac:dyDescent="0.3">
      <c r="A688" s="4" t="s">
        <v>21</v>
      </c>
      <c r="B688" s="4" t="s">
        <v>22</v>
      </c>
      <c r="C688" s="4" t="s">
        <v>33</v>
      </c>
      <c r="D688" s="4" t="s">
        <v>24</v>
      </c>
      <c r="E688" s="4" t="s">
        <v>24</v>
      </c>
      <c r="F688" s="4" t="s">
        <v>25</v>
      </c>
      <c r="G688" s="4" t="s">
        <v>25</v>
      </c>
      <c r="H688" s="4" t="s">
        <v>36</v>
      </c>
      <c r="I688" s="5">
        <v>44621</v>
      </c>
      <c r="J688" s="6">
        <v>0</v>
      </c>
      <c r="K688" s="6">
        <v>0</v>
      </c>
      <c r="L688" s="6">
        <v>0.84099999999999997</v>
      </c>
      <c r="M688" s="6">
        <v>0.84099999999999997</v>
      </c>
      <c r="N688" s="6">
        <v>0.84099999999999997</v>
      </c>
      <c r="O688" s="6">
        <v>0.84099999999999997</v>
      </c>
      <c r="P688" s="6">
        <v>0</v>
      </c>
      <c r="Q688" s="4" t="s">
        <v>26</v>
      </c>
      <c r="R688" s="4">
        <v>0</v>
      </c>
      <c r="S688" s="6">
        <v>0</v>
      </c>
      <c r="T688" s="6">
        <v>65</v>
      </c>
      <c r="U688" s="6">
        <v>86</v>
      </c>
      <c r="V688" s="6">
        <f>IF(ISERROR(VLOOKUP($S$688,'TAR FIN'!$A$1:$O$113,15,0)),0,VLOOKUP($S$688,'TAR FIN'!$A$1:$O$113,15,0))</f>
        <v>0</v>
      </c>
      <c r="W688" s="6">
        <f>IF(ISERROR(VLOOKUP($T$688,'TAR FIN'!$A$1:$O$113,15,0)),0,VLOOKUP($T$688,'TAR FIN'!$A$1:$O$113,15,0))</f>
        <v>415.22</v>
      </c>
      <c r="X688" s="6">
        <f>IF(ISERROR(VLOOKUP($U$688,'TAR FIN'!$A$1:$O$113,15,0)),0,VLOOKUP($U$688,'TAR FIN'!$A$1:$O$113,15,0))</f>
        <v>278.67</v>
      </c>
      <c r="Y688" s="6"/>
      <c r="Z688" s="6">
        <f ca="1">('TUSD BE'!$AM$38+'TUSD BF'!$AM$38+'TUSD CVA'!$AM$38)*1</f>
        <v>525.04270186540759</v>
      </c>
      <c r="AA688" s="6">
        <f>('TE BE'!$AB$16+'TE BF'!$AB$16+'TE CVA'!$AB$16)*1</f>
        <v>299.18055042718134</v>
      </c>
      <c r="AB688" s="6">
        <f>$K$688*$V$688</f>
        <v>0</v>
      </c>
      <c r="AC688" s="6">
        <f>$M$688*$W$688</f>
        <v>349.20001999999999</v>
      </c>
      <c r="AD688" s="6">
        <f>$O$688*$X$688</f>
        <v>234.36147</v>
      </c>
      <c r="AE688" s="6">
        <f>$K$688*$Y$688</f>
        <v>0</v>
      </c>
      <c r="AF688" s="6">
        <f ca="1">$M$688*$Z$688</f>
        <v>441.56091226880778</v>
      </c>
      <c r="AG688" s="6">
        <f>$O$688*$AA$688</f>
        <v>251.6108429092595</v>
      </c>
    </row>
    <row r="689" spans="1:33" ht="11.25" customHeight="1" x14ac:dyDescent="0.3">
      <c r="A689" s="4" t="s">
        <v>28</v>
      </c>
      <c r="B689" s="4" t="s">
        <v>22</v>
      </c>
      <c r="C689" s="4" t="s">
        <v>33</v>
      </c>
      <c r="D689" s="4" t="s">
        <v>24</v>
      </c>
      <c r="E689" s="4" t="s">
        <v>24</v>
      </c>
      <c r="F689" s="4" t="s">
        <v>25</v>
      </c>
      <c r="G689" s="4" t="s">
        <v>25</v>
      </c>
      <c r="H689" s="4" t="s">
        <v>36</v>
      </c>
      <c r="I689" s="5">
        <v>44621</v>
      </c>
      <c r="J689" s="6">
        <v>0</v>
      </c>
      <c r="K689" s="6">
        <v>0</v>
      </c>
      <c r="L689" s="6">
        <v>7.9000000000000001E-2</v>
      </c>
      <c r="M689" s="6">
        <v>7.9000000000000001E-2</v>
      </c>
      <c r="N689" s="6">
        <v>7.9000000000000001E-2</v>
      </c>
      <c r="O689" s="6">
        <v>7.9000000000000001E-2</v>
      </c>
      <c r="P689" s="6">
        <v>0</v>
      </c>
      <c r="Q689" s="4" t="s">
        <v>26</v>
      </c>
      <c r="R689" s="4">
        <v>0</v>
      </c>
      <c r="S689" s="6">
        <v>0</v>
      </c>
      <c r="T689" s="6">
        <v>65</v>
      </c>
      <c r="U689" s="6">
        <v>86</v>
      </c>
      <c r="V689" s="6">
        <f>IF(ISERROR(VLOOKUP($S$689,'TAR FIN'!$A$1:$O$113,15,0)),0,VLOOKUP($S$689,'TAR FIN'!$A$1:$O$113,15,0))</f>
        <v>0</v>
      </c>
      <c r="W689" s="6">
        <f>IF(ISERROR(VLOOKUP($T$689,'TAR FIN'!$A$1:$O$113,15,0)),0,VLOOKUP($T$689,'TAR FIN'!$A$1:$O$113,15,0))</f>
        <v>415.22</v>
      </c>
      <c r="X689" s="6">
        <f>IF(ISERROR(VLOOKUP($U$689,'TAR FIN'!$A$1:$O$113,15,0)),0,VLOOKUP($U$689,'TAR FIN'!$A$1:$O$113,15,0))</f>
        <v>278.67</v>
      </c>
      <c r="Y689" s="6"/>
      <c r="Z689" s="6">
        <f ca="1">('TUSD BE'!$AM$38+'TUSD BF'!$AM$38+'TUSD CVA'!$AM$38)*1</f>
        <v>525.04270186540759</v>
      </c>
      <c r="AA689" s="6">
        <f>('TE BE'!$AB$16+'TE BF'!$AB$16+'TE CVA'!$AB$16)*1</f>
        <v>299.18055042718134</v>
      </c>
      <c r="AB689" s="6">
        <f>$K$689*$V$689</f>
        <v>0</v>
      </c>
      <c r="AC689" s="6">
        <f>$M$689*$W$689</f>
        <v>32.802379999999999</v>
      </c>
      <c r="AD689" s="6">
        <f>$O$689*$X$689</f>
        <v>22.014930000000003</v>
      </c>
      <c r="AE689" s="6">
        <f>$K$689*$Y$689</f>
        <v>0</v>
      </c>
      <c r="AF689" s="6">
        <f ca="1">$M$689*$Z$689</f>
        <v>41.478373447367197</v>
      </c>
      <c r="AG689" s="6">
        <f>$O$689*$AA$689</f>
        <v>23.635263483747327</v>
      </c>
    </row>
    <row r="690" spans="1:33" ht="11.25" customHeight="1" x14ac:dyDescent="0.3">
      <c r="A690" s="4" t="s">
        <v>21</v>
      </c>
      <c r="B690" s="4" t="s">
        <v>22</v>
      </c>
      <c r="C690" s="4" t="s">
        <v>33</v>
      </c>
      <c r="D690" s="4" t="s">
        <v>24</v>
      </c>
      <c r="E690" s="4" t="s">
        <v>24</v>
      </c>
      <c r="F690" s="4" t="s">
        <v>25</v>
      </c>
      <c r="G690" s="4" t="s">
        <v>25</v>
      </c>
      <c r="H690" s="4" t="s">
        <v>36</v>
      </c>
      <c r="I690" s="5">
        <v>44652</v>
      </c>
      <c r="J690" s="6">
        <v>0</v>
      </c>
      <c r="K690" s="6">
        <v>0</v>
      </c>
      <c r="L690" s="6">
        <v>0.78700000000000003</v>
      </c>
      <c r="M690" s="6">
        <v>0.78700000000000003</v>
      </c>
      <c r="N690" s="6">
        <v>0.78700000000000003</v>
      </c>
      <c r="O690" s="6">
        <v>0.78700000000000003</v>
      </c>
      <c r="P690" s="6">
        <v>0</v>
      </c>
      <c r="Q690" s="4" t="s">
        <v>26</v>
      </c>
      <c r="R690" s="4">
        <v>0</v>
      </c>
      <c r="S690" s="6">
        <v>0</v>
      </c>
      <c r="T690" s="6">
        <v>65</v>
      </c>
      <c r="U690" s="6">
        <v>86</v>
      </c>
      <c r="V690" s="6">
        <f>IF(ISERROR(VLOOKUP($S$690,'TAR FIN'!$A$1:$O$113,15,0)),0,VLOOKUP($S$690,'TAR FIN'!$A$1:$O$113,15,0))</f>
        <v>0</v>
      </c>
      <c r="W690" s="6">
        <f>IF(ISERROR(VLOOKUP($T$690,'TAR FIN'!$A$1:$O$113,15,0)),0,VLOOKUP($T$690,'TAR FIN'!$A$1:$O$113,15,0))</f>
        <v>415.22</v>
      </c>
      <c r="X690" s="6">
        <f>IF(ISERROR(VLOOKUP($U$690,'TAR FIN'!$A$1:$O$113,15,0)),0,VLOOKUP($U$690,'TAR FIN'!$A$1:$O$113,15,0))</f>
        <v>278.67</v>
      </c>
      <c r="Y690" s="6"/>
      <c r="Z690" s="6">
        <f ca="1">('TUSD BE'!$AM$38+'TUSD BF'!$AM$38+'TUSD CVA'!$AM$38)*1</f>
        <v>525.04270186540759</v>
      </c>
      <c r="AA690" s="6">
        <f>('TE BE'!$AB$16+'TE BF'!$AB$16+'TE CVA'!$AB$16)*1</f>
        <v>299.18055042718134</v>
      </c>
      <c r="AB690" s="6">
        <f>$K$690*$V$690</f>
        <v>0</v>
      </c>
      <c r="AC690" s="6">
        <f>$M$690*$W$690</f>
        <v>326.77814000000001</v>
      </c>
      <c r="AD690" s="6">
        <f>$O$690*$X$690</f>
        <v>219.31329000000002</v>
      </c>
      <c r="AE690" s="6">
        <f>$K$690*$Y$690</f>
        <v>0</v>
      </c>
      <c r="AF690" s="6">
        <f ca="1">$M$690*$Z$690</f>
        <v>413.20860636807578</v>
      </c>
      <c r="AG690" s="6">
        <f>$O$690*$AA$690</f>
        <v>235.45509318619173</v>
      </c>
    </row>
    <row r="691" spans="1:33" ht="11.25" customHeight="1" x14ac:dyDescent="0.3">
      <c r="A691" s="4" t="s">
        <v>28</v>
      </c>
      <c r="B691" s="4" t="s">
        <v>22</v>
      </c>
      <c r="C691" s="4" t="s">
        <v>33</v>
      </c>
      <c r="D691" s="4" t="s">
        <v>24</v>
      </c>
      <c r="E691" s="4" t="s">
        <v>24</v>
      </c>
      <c r="F691" s="4" t="s">
        <v>25</v>
      </c>
      <c r="G691" s="4" t="s">
        <v>25</v>
      </c>
      <c r="H691" s="4" t="s">
        <v>36</v>
      </c>
      <c r="I691" s="5">
        <v>44652</v>
      </c>
      <c r="J691" s="6">
        <v>0</v>
      </c>
      <c r="K691" s="6">
        <v>0</v>
      </c>
      <c r="L691" s="6">
        <v>8.5999999999999993E-2</v>
      </c>
      <c r="M691" s="6">
        <v>8.5999999999999993E-2</v>
      </c>
      <c r="N691" s="6">
        <v>8.5999999999999993E-2</v>
      </c>
      <c r="O691" s="6">
        <v>8.5999999999999993E-2</v>
      </c>
      <c r="P691" s="6">
        <v>0</v>
      </c>
      <c r="Q691" s="4" t="s">
        <v>26</v>
      </c>
      <c r="R691" s="4">
        <v>0</v>
      </c>
      <c r="S691" s="6">
        <v>0</v>
      </c>
      <c r="T691" s="6">
        <v>65</v>
      </c>
      <c r="U691" s="6">
        <v>86</v>
      </c>
      <c r="V691" s="6">
        <f>IF(ISERROR(VLOOKUP($S$691,'TAR FIN'!$A$1:$O$113,15,0)),0,VLOOKUP($S$691,'TAR FIN'!$A$1:$O$113,15,0))</f>
        <v>0</v>
      </c>
      <c r="W691" s="6">
        <f>IF(ISERROR(VLOOKUP($T$691,'TAR FIN'!$A$1:$O$113,15,0)),0,VLOOKUP($T$691,'TAR FIN'!$A$1:$O$113,15,0))</f>
        <v>415.22</v>
      </c>
      <c r="X691" s="6">
        <f>IF(ISERROR(VLOOKUP($U$691,'TAR FIN'!$A$1:$O$113,15,0)),0,VLOOKUP($U$691,'TAR FIN'!$A$1:$O$113,15,0))</f>
        <v>278.67</v>
      </c>
      <c r="Y691" s="6"/>
      <c r="Z691" s="6">
        <f ca="1">('TUSD BE'!$AM$38+'TUSD BF'!$AM$38+'TUSD CVA'!$AM$38)*1</f>
        <v>525.04270186540759</v>
      </c>
      <c r="AA691" s="6">
        <f>('TE BE'!$AB$16+'TE BF'!$AB$16+'TE CVA'!$AB$16)*1</f>
        <v>299.18055042718134</v>
      </c>
      <c r="AB691" s="6">
        <f>$K$691*$V$691</f>
        <v>0</v>
      </c>
      <c r="AC691" s="6">
        <f>$M$691*$W$691</f>
        <v>35.708919999999999</v>
      </c>
      <c r="AD691" s="6">
        <f>$O$691*$X$691</f>
        <v>23.965619999999998</v>
      </c>
      <c r="AE691" s="6">
        <f>$K$691*$Y$691</f>
        <v>0</v>
      </c>
      <c r="AF691" s="6">
        <f ca="1">$M$691*$Z$691</f>
        <v>45.153672360425048</v>
      </c>
      <c r="AG691" s="6">
        <f>$O$691*$AA$691</f>
        <v>25.729527336737593</v>
      </c>
    </row>
    <row r="692" spans="1:33" ht="11.25" customHeight="1" x14ac:dyDescent="0.3">
      <c r="A692" s="4" t="s">
        <v>21</v>
      </c>
      <c r="B692" s="4" t="s">
        <v>22</v>
      </c>
      <c r="C692" s="4" t="s">
        <v>33</v>
      </c>
      <c r="D692" s="4" t="s">
        <v>24</v>
      </c>
      <c r="E692" s="4" t="s">
        <v>24</v>
      </c>
      <c r="F692" s="4" t="s">
        <v>25</v>
      </c>
      <c r="G692" s="4" t="s">
        <v>25</v>
      </c>
      <c r="H692" s="4" t="s">
        <v>36</v>
      </c>
      <c r="I692" s="5">
        <v>44682</v>
      </c>
      <c r="J692" s="6">
        <v>0</v>
      </c>
      <c r="K692" s="6">
        <v>0</v>
      </c>
      <c r="L692" s="6">
        <v>1.282</v>
      </c>
      <c r="M692" s="6">
        <v>1.282</v>
      </c>
      <c r="N692" s="6">
        <v>1.282</v>
      </c>
      <c r="O692" s="6">
        <v>1.282</v>
      </c>
      <c r="P692" s="6">
        <v>0</v>
      </c>
      <c r="Q692" s="4" t="s">
        <v>26</v>
      </c>
      <c r="R692" s="4">
        <v>0</v>
      </c>
      <c r="S692" s="6">
        <v>0</v>
      </c>
      <c r="T692" s="6">
        <v>65</v>
      </c>
      <c r="U692" s="6">
        <v>86</v>
      </c>
      <c r="V692" s="6">
        <f>IF(ISERROR(VLOOKUP($S$692,'TAR FIN'!$A$1:$O$113,15,0)),0,VLOOKUP($S$692,'TAR FIN'!$A$1:$O$113,15,0))</f>
        <v>0</v>
      </c>
      <c r="W692" s="6">
        <f>IF(ISERROR(VLOOKUP($T$692,'TAR FIN'!$A$1:$O$113,15,0)),0,VLOOKUP($T$692,'TAR FIN'!$A$1:$O$113,15,0))</f>
        <v>415.22</v>
      </c>
      <c r="X692" s="6">
        <f>IF(ISERROR(VLOOKUP($U$692,'TAR FIN'!$A$1:$O$113,15,0)),0,VLOOKUP($U$692,'TAR FIN'!$A$1:$O$113,15,0))</f>
        <v>278.67</v>
      </c>
      <c r="Y692" s="6"/>
      <c r="Z692" s="6">
        <f ca="1">('TUSD BE'!$AM$38+'TUSD BF'!$AM$38+'TUSD CVA'!$AM$38)*1</f>
        <v>525.04270186540759</v>
      </c>
      <c r="AA692" s="6">
        <f>('TE BE'!$AB$16+'TE BF'!$AB$16+'TE CVA'!$AB$16)*1</f>
        <v>299.18055042718134</v>
      </c>
      <c r="AB692" s="6">
        <f>$K$692*$V$692</f>
        <v>0</v>
      </c>
      <c r="AC692" s="6">
        <f>$M$692*$W$692</f>
        <v>532.31204000000002</v>
      </c>
      <c r="AD692" s="6">
        <f>$O$692*$X$692</f>
        <v>357.25494000000003</v>
      </c>
      <c r="AE692" s="6">
        <f>$K$692*$Y$692</f>
        <v>0</v>
      </c>
      <c r="AF692" s="6">
        <f ca="1">$M$692*$Z$692</f>
        <v>673.10474379145251</v>
      </c>
      <c r="AG692" s="6">
        <f>$O$692*$AA$692</f>
        <v>383.54946564764651</v>
      </c>
    </row>
    <row r="693" spans="1:33" ht="11.25" customHeight="1" x14ac:dyDescent="0.3">
      <c r="A693" s="4" t="s">
        <v>28</v>
      </c>
      <c r="B693" s="4" t="s">
        <v>22</v>
      </c>
      <c r="C693" s="4" t="s">
        <v>33</v>
      </c>
      <c r="D693" s="4" t="s">
        <v>24</v>
      </c>
      <c r="E693" s="4" t="s">
        <v>24</v>
      </c>
      <c r="F693" s="4" t="s">
        <v>25</v>
      </c>
      <c r="G693" s="4" t="s">
        <v>25</v>
      </c>
      <c r="H693" s="4" t="s">
        <v>36</v>
      </c>
      <c r="I693" s="5">
        <v>44682</v>
      </c>
      <c r="J693" s="6">
        <v>0</v>
      </c>
      <c r="K693" s="6">
        <v>0</v>
      </c>
      <c r="L693" s="6">
        <v>0.11</v>
      </c>
      <c r="M693" s="6">
        <v>0.11</v>
      </c>
      <c r="N693" s="6">
        <v>0.11</v>
      </c>
      <c r="O693" s="6">
        <v>0.11</v>
      </c>
      <c r="P693" s="6">
        <v>0</v>
      </c>
      <c r="Q693" s="4" t="s">
        <v>26</v>
      </c>
      <c r="R693" s="4">
        <v>0</v>
      </c>
      <c r="S693" s="6">
        <v>0</v>
      </c>
      <c r="T693" s="6">
        <v>65</v>
      </c>
      <c r="U693" s="6">
        <v>86</v>
      </c>
      <c r="V693" s="6">
        <f>IF(ISERROR(VLOOKUP($S$693,'TAR FIN'!$A$1:$O$113,15,0)),0,VLOOKUP($S$693,'TAR FIN'!$A$1:$O$113,15,0))</f>
        <v>0</v>
      </c>
      <c r="W693" s="6">
        <f>IF(ISERROR(VLOOKUP($T$693,'TAR FIN'!$A$1:$O$113,15,0)),0,VLOOKUP($T$693,'TAR FIN'!$A$1:$O$113,15,0))</f>
        <v>415.22</v>
      </c>
      <c r="X693" s="6">
        <f>IF(ISERROR(VLOOKUP($U$693,'TAR FIN'!$A$1:$O$113,15,0)),0,VLOOKUP($U$693,'TAR FIN'!$A$1:$O$113,15,0))</f>
        <v>278.67</v>
      </c>
      <c r="Y693" s="6"/>
      <c r="Z693" s="6">
        <f ca="1">('TUSD BE'!$AM$38+'TUSD BF'!$AM$38+'TUSD CVA'!$AM$38)*1</f>
        <v>525.04270186540759</v>
      </c>
      <c r="AA693" s="6">
        <f>('TE BE'!$AB$16+'TE BF'!$AB$16+'TE CVA'!$AB$16)*1</f>
        <v>299.18055042718134</v>
      </c>
      <c r="AB693" s="6">
        <f>$K$693*$V$693</f>
        <v>0</v>
      </c>
      <c r="AC693" s="6">
        <f>$M$693*$W$693</f>
        <v>45.674200000000006</v>
      </c>
      <c r="AD693" s="6">
        <f>$O$693*$X$693</f>
        <v>30.653700000000001</v>
      </c>
      <c r="AE693" s="6">
        <f>$K$693*$Y$693</f>
        <v>0</v>
      </c>
      <c r="AF693" s="6">
        <f ca="1">$M$693*$Z$693</f>
        <v>57.754697205194837</v>
      </c>
      <c r="AG693" s="6">
        <f>$O$693*$AA$693</f>
        <v>32.909860546989947</v>
      </c>
    </row>
    <row r="694" spans="1:33" ht="11.25" customHeight="1" x14ac:dyDescent="0.3">
      <c r="A694" s="4" t="s">
        <v>21</v>
      </c>
      <c r="B694" s="4" t="s">
        <v>22</v>
      </c>
      <c r="C694" s="4" t="s">
        <v>33</v>
      </c>
      <c r="D694" s="4" t="s">
        <v>24</v>
      </c>
      <c r="E694" s="4" t="s">
        <v>24</v>
      </c>
      <c r="F694" s="4" t="s">
        <v>25</v>
      </c>
      <c r="G694" s="4" t="s">
        <v>25</v>
      </c>
      <c r="H694" s="4" t="s">
        <v>36</v>
      </c>
      <c r="I694" s="5">
        <v>44713</v>
      </c>
      <c r="J694" s="6">
        <v>0</v>
      </c>
      <c r="K694" s="6">
        <v>0</v>
      </c>
      <c r="L694" s="6">
        <v>0.621</v>
      </c>
      <c r="M694" s="6">
        <v>0.621</v>
      </c>
      <c r="N694" s="6">
        <v>0.621</v>
      </c>
      <c r="O694" s="6">
        <v>0.621</v>
      </c>
      <c r="P694" s="6">
        <v>0</v>
      </c>
      <c r="Q694" s="4" t="s">
        <v>26</v>
      </c>
      <c r="R694" s="4">
        <v>0</v>
      </c>
      <c r="S694" s="6">
        <v>0</v>
      </c>
      <c r="T694" s="6">
        <v>65</v>
      </c>
      <c r="U694" s="6">
        <v>86</v>
      </c>
      <c r="V694" s="6">
        <f>IF(ISERROR(VLOOKUP($S$694,'TAR FIN'!$A$1:$O$113,15,0)),0,VLOOKUP($S$694,'TAR FIN'!$A$1:$O$113,15,0))</f>
        <v>0</v>
      </c>
      <c r="W694" s="6">
        <f>IF(ISERROR(VLOOKUP($T$694,'TAR FIN'!$A$1:$O$113,15,0)),0,VLOOKUP($T$694,'TAR FIN'!$A$1:$O$113,15,0))</f>
        <v>415.22</v>
      </c>
      <c r="X694" s="6">
        <f>IF(ISERROR(VLOOKUP($U$694,'TAR FIN'!$A$1:$O$113,15,0)),0,VLOOKUP($U$694,'TAR FIN'!$A$1:$O$113,15,0))</f>
        <v>278.67</v>
      </c>
      <c r="Y694" s="6"/>
      <c r="Z694" s="6">
        <f ca="1">('TUSD BE'!$AM$38+'TUSD BF'!$AM$38+'TUSD CVA'!$AM$38)*1</f>
        <v>525.04270186540759</v>
      </c>
      <c r="AA694" s="6">
        <f>('TE BE'!$AB$16+'TE BF'!$AB$16+'TE CVA'!$AB$16)*1</f>
        <v>299.18055042718134</v>
      </c>
      <c r="AB694" s="6">
        <f>$K$694*$V$694</f>
        <v>0</v>
      </c>
      <c r="AC694" s="6">
        <f>$M$694*$W$694</f>
        <v>257.85162000000003</v>
      </c>
      <c r="AD694" s="6">
        <f>$O$694*$X$694</f>
        <v>173.05407</v>
      </c>
      <c r="AE694" s="6">
        <f>$K$694*$Y$694</f>
        <v>0</v>
      </c>
      <c r="AF694" s="6">
        <f ca="1">$M$694*$Z$694</f>
        <v>326.05151785841809</v>
      </c>
      <c r="AG694" s="6">
        <f>$O$694*$AA$694</f>
        <v>185.79112181527961</v>
      </c>
    </row>
    <row r="695" spans="1:33" ht="11.25" customHeight="1" x14ac:dyDescent="0.3">
      <c r="A695" s="4" t="s">
        <v>28</v>
      </c>
      <c r="B695" s="4" t="s">
        <v>22</v>
      </c>
      <c r="C695" s="4" t="s">
        <v>33</v>
      </c>
      <c r="D695" s="4" t="s">
        <v>24</v>
      </c>
      <c r="E695" s="4" t="s">
        <v>24</v>
      </c>
      <c r="F695" s="4" t="s">
        <v>25</v>
      </c>
      <c r="G695" s="4" t="s">
        <v>25</v>
      </c>
      <c r="H695" s="4" t="s">
        <v>36</v>
      </c>
      <c r="I695" s="5">
        <v>44713</v>
      </c>
      <c r="J695" s="6">
        <v>0</v>
      </c>
      <c r="K695" s="6">
        <v>0</v>
      </c>
      <c r="L695" s="6">
        <v>0.11700000000000001</v>
      </c>
      <c r="M695" s="6">
        <v>0.11700000000000001</v>
      </c>
      <c r="N695" s="6">
        <v>0.11700000000000001</v>
      </c>
      <c r="O695" s="6">
        <v>0.11700000000000001</v>
      </c>
      <c r="P695" s="6">
        <v>0</v>
      </c>
      <c r="Q695" s="4" t="s">
        <v>26</v>
      </c>
      <c r="R695" s="4">
        <v>0</v>
      </c>
      <c r="S695" s="6">
        <v>0</v>
      </c>
      <c r="T695" s="6">
        <v>65</v>
      </c>
      <c r="U695" s="6">
        <v>86</v>
      </c>
      <c r="V695" s="6">
        <f>IF(ISERROR(VLOOKUP($S$695,'TAR FIN'!$A$1:$O$113,15,0)),0,VLOOKUP($S$695,'TAR FIN'!$A$1:$O$113,15,0))</f>
        <v>0</v>
      </c>
      <c r="W695" s="6">
        <f>IF(ISERROR(VLOOKUP($T$695,'TAR FIN'!$A$1:$O$113,15,0)),0,VLOOKUP($T$695,'TAR FIN'!$A$1:$O$113,15,0))</f>
        <v>415.22</v>
      </c>
      <c r="X695" s="6">
        <f>IF(ISERROR(VLOOKUP($U$695,'TAR FIN'!$A$1:$O$113,15,0)),0,VLOOKUP($U$695,'TAR FIN'!$A$1:$O$113,15,0))</f>
        <v>278.67</v>
      </c>
      <c r="Y695" s="6"/>
      <c r="Z695" s="6">
        <f ca="1">('TUSD BE'!$AM$38+'TUSD BF'!$AM$38+'TUSD CVA'!$AM$38)*1</f>
        <v>525.04270186540759</v>
      </c>
      <c r="AA695" s="6">
        <f>('TE BE'!$AB$16+'TE BF'!$AB$16+'TE CVA'!$AB$16)*1</f>
        <v>299.18055042718134</v>
      </c>
      <c r="AB695" s="6">
        <f>$K$695*$V$695</f>
        <v>0</v>
      </c>
      <c r="AC695" s="6">
        <f>$M$695*$W$695</f>
        <v>48.580740000000006</v>
      </c>
      <c r="AD695" s="6">
        <f>$O$695*$X$695</f>
        <v>32.604390000000002</v>
      </c>
      <c r="AE695" s="6">
        <f>$K$695*$Y$695</f>
        <v>0</v>
      </c>
      <c r="AF695" s="6">
        <f ca="1">$M$695*$Z$695</f>
        <v>61.429996118252689</v>
      </c>
      <c r="AG695" s="6">
        <f>$O$695*$AA$695</f>
        <v>35.004124399980221</v>
      </c>
    </row>
    <row r="696" spans="1:33" ht="11.25" customHeight="1" x14ac:dyDescent="0.3">
      <c r="A696" s="4" t="s">
        <v>21</v>
      </c>
      <c r="B696" s="4" t="s">
        <v>22</v>
      </c>
      <c r="C696" s="4" t="s">
        <v>33</v>
      </c>
      <c r="D696" s="4" t="s">
        <v>24</v>
      </c>
      <c r="E696" s="4" t="s">
        <v>24</v>
      </c>
      <c r="F696" s="4" t="s">
        <v>25</v>
      </c>
      <c r="G696" s="4" t="s">
        <v>25</v>
      </c>
      <c r="H696" s="4" t="s">
        <v>36</v>
      </c>
      <c r="I696" s="5">
        <v>44743</v>
      </c>
      <c r="J696" s="6">
        <v>0</v>
      </c>
      <c r="K696" s="6">
        <v>0</v>
      </c>
      <c r="L696" s="6">
        <v>1.0229999999999999</v>
      </c>
      <c r="M696" s="6">
        <v>1.0229999999999999</v>
      </c>
      <c r="N696" s="6">
        <v>1.0229999999999999</v>
      </c>
      <c r="O696" s="6">
        <v>1.0229999999999999</v>
      </c>
      <c r="P696" s="6">
        <v>0</v>
      </c>
      <c r="Q696" s="4" t="s">
        <v>26</v>
      </c>
      <c r="R696" s="4">
        <v>0</v>
      </c>
      <c r="S696" s="6">
        <v>0</v>
      </c>
      <c r="T696" s="6">
        <v>65</v>
      </c>
      <c r="U696" s="6">
        <v>86</v>
      </c>
      <c r="V696" s="6">
        <f>IF(ISERROR(VLOOKUP($S$696,'TAR FIN'!$A$1:$O$113,15,0)),0,VLOOKUP($S$696,'TAR FIN'!$A$1:$O$113,15,0))</f>
        <v>0</v>
      </c>
      <c r="W696" s="6">
        <f>IF(ISERROR(VLOOKUP($T$696,'TAR FIN'!$A$1:$O$113,15,0)),0,VLOOKUP($T$696,'TAR FIN'!$A$1:$O$113,15,0))</f>
        <v>415.22</v>
      </c>
      <c r="X696" s="6">
        <f>IF(ISERROR(VLOOKUP($U$696,'TAR FIN'!$A$1:$O$113,15,0)),0,VLOOKUP($U$696,'TAR FIN'!$A$1:$O$113,15,0))</f>
        <v>278.67</v>
      </c>
      <c r="Y696" s="6"/>
      <c r="Z696" s="6">
        <f ca="1">('TUSD BE'!$AM$38+'TUSD BF'!$AM$38+'TUSD CVA'!$AM$38)*1</f>
        <v>525.04270186540759</v>
      </c>
      <c r="AA696" s="6">
        <f>('TE BE'!$AB$16+'TE BF'!$AB$16+'TE CVA'!$AB$16)*1</f>
        <v>299.18055042718134</v>
      </c>
      <c r="AB696" s="6">
        <f>$K$696*$V$696</f>
        <v>0</v>
      </c>
      <c r="AC696" s="6">
        <f>$M$696*$W$696</f>
        <v>424.77006</v>
      </c>
      <c r="AD696" s="6">
        <f>$O$696*$X$696</f>
        <v>285.07941</v>
      </c>
      <c r="AE696" s="6">
        <f>$K$696*$Y$696</f>
        <v>0</v>
      </c>
      <c r="AF696" s="6">
        <f ca="1">$M$696*$Z$696</f>
        <v>537.1186840083119</v>
      </c>
      <c r="AG696" s="6">
        <f>$O$696*$AA$696</f>
        <v>306.06170308700649</v>
      </c>
    </row>
    <row r="697" spans="1:33" ht="11.25" customHeight="1" x14ac:dyDescent="0.3">
      <c r="A697" s="4" t="s">
        <v>21</v>
      </c>
      <c r="B697" s="4" t="s">
        <v>22</v>
      </c>
      <c r="C697" s="4" t="s">
        <v>33</v>
      </c>
      <c r="D697" s="4" t="s">
        <v>24</v>
      </c>
      <c r="E697" s="4" t="s">
        <v>24</v>
      </c>
      <c r="F697" s="4" t="s">
        <v>25</v>
      </c>
      <c r="G697" s="4" t="s">
        <v>25</v>
      </c>
      <c r="H697" s="4" t="s">
        <v>36</v>
      </c>
      <c r="I697" s="5">
        <v>44774</v>
      </c>
      <c r="J697" s="6">
        <v>0</v>
      </c>
      <c r="K697" s="6">
        <v>0</v>
      </c>
      <c r="L697" s="6">
        <v>0.70899999999999996</v>
      </c>
      <c r="M697" s="6">
        <v>0.70899999999999996</v>
      </c>
      <c r="N697" s="6">
        <v>0.70899999999999996</v>
      </c>
      <c r="O697" s="6">
        <v>0.70899999999999996</v>
      </c>
      <c r="P697" s="6">
        <v>0</v>
      </c>
      <c r="Q697" s="4" t="s">
        <v>26</v>
      </c>
      <c r="R697" s="4">
        <v>0</v>
      </c>
      <c r="S697" s="6">
        <v>0</v>
      </c>
      <c r="T697" s="6">
        <v>65</v>
      </c>
      <c r="U697" s="6">
        <v>86</v>
      </c>
      <c r="V697" s="6">
        <f>IF(ISERROR(VLOOKUP($S$697,'TAR FIN'!$A$1:$O$113,15,0)),0,VLOOKUP($S$697,'TAR FIN'!$A$1:$O$113,15,0))</f>
        <v>0</v>
      </c>
      <c r="W697" s="6">
        <f>IF(ISERROR(VLOOKUP($T$697,'TAR FIN'!$A$1:$O$113,15,0)),0,VLOOKUP($T$697,'TAR FIN'!$A$1:$O$113,15,0))</f>
        <v>415.22</v>
      </c>
      <c r="X697" s="6">
        <f>IF(ISERROR(VLOOKUP($U$697,'TAR FIN'!$A$1:$O$113,15,0)),0,VLOOKUP($U$697,'TAR FIN'!$A$1:$O$113,15,0))</f>
        <v>278.67</v>
      </c>
      <c r="Y697" s="6"/>
      <c r="Z697" s="6">
        <f ca="1">('TUSD BE'!$AM$38+'TUSD BF'!$AM$38+'TUSD CVA'!$AM$38)*1</f>
        <v>525.04270186540759</v>
      </c>
      <c r="AA697" s="6">
        <f>('TE BE'!$AB$16+'TE BF'!$AB$16+'TE CVA'!$AB$16)*1</f>
        <v>299.18055042718134</v>
      </c>
      <c r="AB697" s="6">
        <f>$K$697*$V$697</f>
        <v>0</v>
      </c>
      <c r="AC697" s="6">
        <f>$M$697*$W$697</f>
        <v>294.39098000000001</v>
      </c>
      <c r="AD697" s="6">
        <f>$O$697*$X$697</f>
        <v>197.57703000000001</v>
      </c>
      <c r="AE697" s="6">
        <f>$K$697*$Y$697</f>
        <v>0</v>
      </c>
      <c r="AF697" s="6">
        <f ca="1">$M$697*$Z$697</f>
        <v>372.25527562257395</v>
      </c>
      <c r="AG697" s="6">
        <f>$O$697*$AA$697</f>
        <v>212.11901025287156</v>
      </c>
    </row>
    <row r="698" spans="1:33" ht="11.25" customHeight="1" x14ac:dyDescent="0.3">
      <c r="A698" s="4" t="s">
        <v>28</v>
      </c>
      <c r="B698" s="4" t="s">
        <v>22</v>
      </c>
      <c r="C698" s="4" t="s">
        <v>33</v>
      </c>
      <c r="D698" s="4" t="s">
        <v>24</v>
      </c>
      <c r="E698" s="4" t="s">
        <v>24</v>
      </c>
      <c r="F698" s="4" t="s">
        <v>25</v>
      </c>
      <c r="G698" s="4" t="s">
        <v>25</v>
      </c>
      <c r="H698" s="4" t="s">
        <v>36</v>
      </c>
      <c r="I698" s="5">
        <v>44774</v>
      </c>
      <c r="J698" s="6">
        <v>0</v>
      </c>
      <c r="K698" s="6">
        <v>0</v>
      </c>
      <c r="L698" s="6">
        <v>0.09</v>
      </c>
      <c r="M698" s="6">
        <v>0.09</v>
      </c>
      <c r="N698" s="6">
        <v>0.09</v>
      </c>
      <c r="O698" s="6">
        <v>0.09</v>
      </c>
      <c r="P698" s="6">
        <v>0</v>
      </c>
      <c r="Q698" s="4" t="s">
        <v>26</v>
      </c>
      <c r="R698" s="4">
        <v>0</v>
      </c>
      <c r="S698" s="6">
        <v>0</v>
      </c>
      <c r="T698" s="6">
        <v>65</v>
      </c>
      <c r="U698" s="6">
        <v>86</v>
      </c>
      <c r="V698" s="6">
        <f>IF(ISERROR(VLOOKUP($S$698,'TAR FIN'!$A$1:$O$113,15,0)),0,VLOOKUP($S$698,'TAR FIN'!$A$1:$O$113,15,0))</f>
        <v>0</v>
      </c>
      <c r="W698" s="6">
        <f>IF(ISERROR(VLOOKUP($T$698,'TAR FIN'!$A$1:$O$113,15,0)),0,VLOOKUP($T$698,'TAR FIN'!$A$1:$O$113,15,0))</f>
        <v>415.22</v>
      </c>
      <c r="X698" s="6">
        <f>IF(ISERROR(VLOOKUP($U$698,'TAR FIN'!$A$1:$O$113,15,0)),0,VLOOKUP($U$698,'TAR FIN'!$A$1:$O$113,15,0))</f>
        <v>278.67</v>
      </c>
      <c r="Y698" s="6"/>
      <c r="Z698" s="6">
        <f ca="1">('TUSD BE'!$AM$38+'TUSD BF'!$AM$38+'TUSD CVA'!$AM$38)*1</f>
        <v>525.04270186540759</v>
      </c>
      <c r="AA698" s="6">
        <f>('TE BE'!$AB$16+'TE BF'!$AB$16+'TE CVA'!$AB$16)*1</f>
        <v>299.18055042718134</v>
      </c>
      <c r="AB698" s="6">
        <f>$K$698*$V$698</f>
        <v>0</v>
      </c>
      <c r="AC698" s="6">
        <f>$M$698*$W$698</f>
        <v>37.369799999999998</v>
      </c>
      <c r="AD698" s="6">
        <f>$O$698*$X$698</f>
        <v>25.080300000000001</v>
      </c>
      <c r="AE698" s="6">
        <f>$K$698*$Y$698</f>
        <v>0</v>
      </c>
      <c r="AF698" s="6">
        <f ca="1">$M$698*$Z$698</f>
        <v>47.253843167886679</v>
      </c>
      <c r="AG698" s="6">
        <f>$O$698*$AA$698</f>
        <v>26.926249538446321</v>
      </c>
    </row>
    <row r="699" spans="1:33" ht="11.25" customHeight="1" x14ac:dyDescent="0.3">
      <c r="A699" s="4" t="s">
        <v>21</v>
      </c>
      <c r="B699" s="4" t="s">
        <v>22</v>
      </c>
      <c r="C699" s="4" t="s">
        <v>33</v>
      </c>
      <c r="D699" s="4" t="s">
        <v>24</v>
      </c>
      <c r="E699" s="4" t="s">
        <v>24</v>
      </c>
      <c r="F699" s="4" t="s">
        <v>25</v>
      </c>
      <c r="G699" s="4" t="s">
        <v>25</v>
      </c>
      <c r="H699" s="4" t="s">
        <v>36</v>
      </c>
      <c r="I699" s="5">
        <v>44805</v>
      </c>
      <c r="J699" s="6">
        <v>0</v>
      </c>
      <c r="K699" s="6">
        <v>0</v>
      </c>
      <c r="L699" s="6">
        <v>0.747</v>
      </c>
      <c r="M699" s="6">
        <v>0.747</v>
      </c>
      <c r="N699" s="6">
        <v>0.747</v>
      </c>
      <c r="O699" s="6">
        <v>0.747</v>
      </c>
      <c r="P699" s="6">
        <v>0</v>
      </c>
      <c r="Q699" s="4" t="s">
        <v>26</v>
      </c>
      <c r="R699" s="4">
        <v>0</v>
      </c>
      <c r="S699" s="6">
        <v>0</v>
      </c>
      <c r="T699" s="6">
        <v>65</v>
      </c>
      <c r="U699" s="6">
        <v>86</v>
      </c>
      <c r="V699" s="6">
        <f>IF(ISERROR(VLOOKUP($S$699,'TAR FIN'!$A$1:$O$113,15,0)),0,VLOOKUP($S$699,'TAR FIN'!$A$1:$O$113,15,0))</f>
        <v>0</v>
      </c>
      <c r="W699" s="6">
        <f>IF(ISERROR(VLOOKUP($T$699,'TAR FIN'!$A$1:$O$113,15,0)),0,VLOOKUP($T$699,'TAR FIN'!$A$1:$O$113,15,0))</f>
        <v>415.22</v>
      </c>
      <c r="X699" s="6">
        <f>IF(ISERROR(VLOOKUP($U$699,'TAR FIN'!$A$1:$O$113,15,0)),0,VLOOKUP($U$699,'TAR FIN'!$A$1:$O$113,15,0))</f>
        <v>278.67</v>
      </c>
      <c r="Y699" s="6"/>
      <c r="Z699" s="6">
        <f ca="1">('TUSD BE'!$AM$38+'TUSD BF'!$AM$38+'TUSD CVA'!$AM$38)*1</f>
        <v>525.04270186540759</v>
      </c>
      <c r="AA699" s="6">
        <f>('TE BE'!$AB$16+'TE BF'!$AB$16+'TE CVA'!$AB$16)*1</f>
        <v>299.18055042718134</v>
      </c>
      <c r="AB699" s="6">
        <f>$K$699*$V$699</f>
        <v>0</v>
      </c>
      <c r="AC699" s="6">
        <f>$M$699*$W$699</f>
        <v>310.16934000000003</v>
      </c>
      <c r="AD699" s="6">
        <f>$O$699*$X$699</f>
        <v>208.16649000000001</v>
      </c>
      <c r="AE699" s="6">
        <f>$K$699*$Y$699</f>
        <v>0</v>
      </c>
      <c r="AF699" s="6">
        <f ca="1">$M$699*$Z$699</f>
        <v>392.20689829345946</v>
      </c>
      <c r="AG699" s="6">
        <f>$O$699*$AA$699</f>
        <v>223.48787116910447</v>
      </c>
    </row>
    <row r="700" spans="1:33" ht="11.25" customHeight="1" x14ac:dyDescent="0.3">
      <c r="A700" s="4" t="s">
        <v>28</v>
      </c>
      <c r="B700" s="4" t="s">
        <v>22</v>
      </c>
      <c r="C700" s="4" t="s">
        <v>33</v>
      </c>
      <c r="D700" s="4" t="s">
        <v>24</v>
      </c>
      <c r="E700" s="4" t="s">
        <v>24</v>
      </c>
      <c r="F700" s="4" t="s">
        <v>25</v>
      </c>
      <c r="G700" s="4" t="s">
        <v>25</v>
      </c>
      <c r="H700" s="4" t="s">
        <v>36</v>
      </c>
      <c r="I700" s="5">
        <v>44805</v>
      </c>
      <c r="J700" s="6">
        <v>0</v>
      </c>
      <c r="K700" s="6">
        <v>0</v>
      </c>
      <c r="L700" s="6">
        <v>0.111</v>
      </c>
      <c r="M700" s="6">
        <v>0.111</v>
      </c>
      <c r="N700" s="6">
        <v>0.111</v>
      </c>
      <c r="O700" s="6">
        <v>0.111</v>
      </c>
      <c r="P700" s="6">
        <v>0</v>
      </c>
      <c r="Q700" s="4" t="s">
        <v>26</v>
      </c>
      <c r="R700" s="4">
        <v>0</v>
      </c>
      <c r="S700" s="6">
        <v>0</v>
      </c>
      <c r="T700" s="6">
        <v>65</v>
      </c>
      <c r="U700" s="6">
        <v>86</v>
      </c>
      <c r="V700" s="6">
        <f>IF(ISERROR(VLOOKUP($S$700,'TAR FIN'!$A$1:$O$113,15,0)),0,VLOOKUP($S$700,'TAR FIN'!$A$1:$O$113,15,0))</f>
        <v>0</v>
      </c>
      <c r="W700" s="6">
        <f>IF(ISERROR(VLOOKUP($T$700,'TAR FIN'!$A$1:$O$113,15,0)),0,VLOOKUP($T$700,'TAR FIN'!$A$1:$O$113,15,0))</f>
        <v>415.22</v>
      </c>
      <c r="X700" s="6">
        <f>IF(ISERROR(VLOOKUP($U$700,'TAR FIN'!$A$1:$O$113,15,0)),0,VLOOKUP($U$700,'TAR FIN'!$A$1:$O$113,15,0))</f>
        <v>278.67</v>
      </c>
      <c r="Y700" s="6"/>
      <c r="Z700" s="6">
        <f ca="1">('TUSD BE'!$AM$38+'TUSD BF'!$AM$38+'TUSD CVA'!$AM$38)*1</f>
        <v>525.04270186540759</v>
      </c>
      <c r="AA700" s="6">
        <f>('TE BE'!$AB$16+'TE BF'!$AB$16+'TE CVA'!$AB$16)*1</f>
        <v>299.18055042718134</v>
      </c>
      <c r="AB700" s="6">
        <f>$K$700*$V$700</f>
        <v>0</v>
      </c>
      <c r="AC700" s="6">
        <f>$M$700*$W$700</f>
        <v>46.089420000000004</v>
      </c>
      <c r="AD700" s="6">
        <f>$O$700*$X$700</f>
        <v>30.932370000000002</v>
      </c>
      <c r="AE700" s="6">
        <f>$K$700*$Y$700</f>
        <v>0</v>
      </c>
      <c r="AF700" s="6">
        <f ca="1">$M$700*$Z$700</f>
        <v>58.279739907060247</v>
      </c>
      <c r="AG700" s="6">
        <f>$O$700*$AA$700</f>
        <v>33.209041097417128</v>
      </c>
    </row>
    <row r="701" spans="1:33" ht="11.25" customHeight="1" x14ac:dyDescent="0.3">
      <c r="A701" s="4" t="s">
        <v>53</v>
      </c>
      <c r="B701" s="4" t="s">
        <v>22</v>
      </c>
      <c r="C701" s="4" t="s">
        <v>33</v>
      </c>
      <c r="D701" s="4" t="s">
        <v>24</v>
      </c>
      <c r="E701" s="4" t="s">
        <v>24</v>
      </c>
      <c r="F701" s="4" t="s">
        <v>25</v>
      </c>
      <c r="G701" s="4" t="s">
        <v>25</v>
      </c>
      <c r="H701" s="4" t="s">
        <v>36</v>
      </c>
      <c r="I701" s="5">
        <v>44835</v>
      </c>
      <c r="J701" s="6">
        <v>0</v>
      </c>
      <c r="K701" s="6">
        <v>0</v>
      </c>
      <c r="L701" s="6">
        <v>0.747</v>
      </c>
      <c r="M701" s="6">
        <v>0.747</v>
      </c>
      <c r="N701" s="6">
        <v>0.747</v>
      </c>
      <c r="O701" s="6">
        <v>0.747</v>
      </c>
      <c r="P701" s="6">
        <v>0</v>
      </c>
      <c r="Q701" s="4" t="s">
        <v>26</v>
      </c>
      <c r="R701" s="4">
        <v>0</v>
      </c>
      <c r="S701" s="6">
        <v>0</v>
      </c>
      <c r="T701" s="6">
        <v>65</v>
      </c>
      <c r="U701" s="6">
        <v>86</v>
      </c>
      <c r="V701" s="6">
        <f>IF(ISERROR(VLOOKUP($S$701,'TAR FIN'!$A$1:$O$113,15,0)),0,VLOOKUP($S$701,'TAR FIN'!$A$1:$O$113,15,0))</f>
        <v>0</v>
      </c>
      <c r="W701" s="6">
        <f>IF(ISERROR(VLOOKUP($T$701,'TAR FIN'!$A$1:$O$113,15,0)),0,VLOOKUP($T$701,'TAR FIN'!$A$1:$O$113,15,0))</f>
        <v>415.22</v>
      </c>
      <c r="X701" s="6">
        <f>IF(ISERROR(VLOOKUP($U$701,'TAR FIN'!$A$1:$O$113,15,0)),0,VLOOKUP($U$701,'TAR FIN'!$A$1:$O$113,15,0))</f>
        <v>278.67</v>
      </c>
      <c r="Y701" s="6"/>
      <c r="Z701" s="6">
        <f ca="1">('TUSD BE'!$AM$38+'TUSD BF'!$AM$38+'TUSD CVA'!$AM$38)*1</f>
        <v>525.04270186540759</v>
      </c>
      <c r="AA701" s="6">
        <f>('TE BE'!$AB$16+'TE BF'!$AB$16+'TE CVA'!$AB$16)*1</f>
        <v>299.18055042718134</v>
      </c>
      <c r="AB701" s="6">
        <f>$K$701*$V$701</f>
        <v>0</v>
      </c>
      <c r="AC701" s="6">
        <f>$M$701*$W$701</f>
        <v>310.16934000000003</v>
      </c>
      <c r="AD701" s="6">
        <f>$O$701*$X$701</f>
        <v>208.16649000000001</v>
      </c>
      <c r="AE701" s="6">
        <f>$K$701*$Y$701</f>
        <v>0</v>
      </c>
      <c r="AF701" s="6">
        <f ca="1">$M$701*$Z$701</f>
        <v>392.20689829345946</v>
      </c>
      <c r="AG701" s="6">
        <f>$O$701*$AA$701</f>
        <v>223.48787116910447</v>
      </c>
    </row>
    <row r="702" spans="1:33" ht="11.25" customHeight="1" x14ac:dyDescent="0.3">
      <c r="A702" s="4" t="s">
        <v>53</v>
      </c>
      <c r="B702" s="4" t="s">
        <v>22</v>
      </c>
      <c r="C702" s="4" t="s">
        <v>33</v>
      </c>
      <c r="D702" s="4" t="s">
        <v>24</v>
      </c>
      <c r="E702" s="4" t="s">
        <v>24</v>
      </c>
      <c r="F702" s="4" t="s">
        <v>25</v>
      </c>
      <c r="G702" s="4" t="s">
        <v>25</v>
      </c>
      <c r="H702" s="4" t="s">
        <v>36</v>
      </c>
      <c r="I702" s="5">
        <v>44835</v>
      </c>
      <c r="J702" s="6">
        <v>0</v>
      </c>
      <c r="K702" s="6">
        <v>0</v>
      </c>
      <c r="L702" s="6">
        <v>0.111</v>
      </c>
      <c r="M702" s="6">
        <v>0.111</v>
      </c>
      <c r="N702" s="6">
        <v>0.111</v>
      </c>
      <c r="O702" s="6">
        <v>0.111</v>
      </c>
      <c r="P702" s="6">
        <v>0</v>
      </c>
      <c r="Q702" s="4" t="s">
        <v>26</v>
      </c>
      <c r="R702" s="4">
        <v>0</v>
      </c>
      <c r="S702" s="6">
        <v>0</v>
      </c>
      <c r="T702" s="6">
        <v>65</v>
      </c>
      <c r="U702" s="6">
        <v>86</v>
      </c>
      <c r="V702" s="6">
        <f>IF(ISERROR(VLOOKUP($S$702,'TAR FIN'!$A$1:$O$113,15,0)),0,VLOOKUP($S$702,'TAR FIN'!$A$1:$O$113,15,0))</f>
        <v>0</v>
      </c>
      <c r="W702" s="6">
        <f>IF(ISERROR(VLOOKUP($T$702,'TAR FIN'!$A$1:$O$113,15,0)),0,VLOOKUP($T$702,'TAR FIN'!$A$1:$O$113,15,0))</f>
        <v>415.22</v>
      </c>
      <c r="X702" s="6">
        <f>IF(ISERROR(VLOOKUP($U$702,'TAR FIN'!$A$1:$O$113,15,0)),0,VLOOKUP($U$702,'TAR FIN'!$A$1:$O$113,15,0))</f>
        <v>278.67</v>
      </c>
      <c r="Y702" s="6"/>
      <c r="Z702" s="6">
        <f ca="1">('TUSD BE'!$AM$38+'TUSD BF'!$AM$38+'TUSD CVA'!$AM$38)*1</f>
        <v>525.04270186540759</v>
      </c>
      <c r="AA702" s="6">
        <f>('TE BE'!$AB$16+'TE BF'!$AB$16+'TE CVA'!$AB$16)*1</f>
        <v>299.18055042718134</v>
      </c>
      <c r="AB702" s="6">
        <f>$K$702*$V$702</f>
        <v>0</v>
      </c>
      <c r="AC702" s="6">
        <f>$M$702*$W$702</f>
        <v>46.089420000000004</v>
      </c>
      <c r="AD702" s="6">
        <f>$O$702*$X$702</f>
        <v>30.932370000000002</v>
      </c>
      <c r="AE702" s="6">
        <f>$K$702*$Y$702</f>
        <v>0</v>
      </c>
      <c r="AF702" s="6">
        <f ca="1">$M$702*$Z$702</f>
        <v>58.279739907060247</v>
      </c>
      <c r="AG702" s="6">
        <f>$O$702*$AA$702</f>
        <v>33.209041097417128</v>
      </c>
    </row>
    <row r="703" spans="1:33" ht="11.25" customHeight="1" x14ac:dyDescent="0.3">
      <c r="A703" s="4" t="s">
        <v>21</v>
      </c>
      <c r="B703" s="4" t="s">
        <v>22</v>
      </c>
      <c r="C703" s="4" t="s">
        <v>33</v>
      </c>
      <c r="D703" s="4" t="s">
        <v>24</v>
      </c>
      <c r="E703" s="4" t="s">
        <v>24</v>
      </c>
      <c r="F703" s="4" t="s">
        <v>25</v>
      </c>
      <c r="G703" s="4" t="s">
        <v>25</v>
      </c>
      <c r="H703" s="4" t="s">
        <v>34</v>
      </c>
      <c r="I703" s="5">
        <v>44501</v>
      </c>
      <c r="J703" s="6">
        <v>0</v>
      </c>
      <c r="K703" s="6">
        <v>0</v>
      </c>
      <c r="L703" s="6">
        <v>1.581</v>
      </c>
      <c r="M703" s="6">
        <v>1.581</v>
      </c>
      <c r="N703" s="6">
        <v>1.581</v>
      </c>
      <c r="O703" s="6">
        <v>1.581</v>
      </c>
      <c r="P703" s="6">
        <v>0</v>
      </c>
      <c r="Q703" s="4" t="s">
        <v>26</v>
      </c>
      <c r="R703" s="4">
        <v>0</v>
      </c>
      <c r="S703" s="6">
        <v>0</v>
      </c>
      <c r="T703" s="6">
        <v>43</v>
      </c>
      <c r="U703" s="6">
        <v>68</v>
      </c>
      <c r="V703" s="6">
        <f>IF(ISERROR(VLOOKUP($S$703,'TAR FIN'!$A$1:$O$113,15,0)),0,VLOOKUP($S$703,'TAR FIN'!$A$1:$O$113,15,0))</f>
        <v>0</v>
      </c>
      <c r="W703" s="6">
        <f>IF(ISERROR(VLOOKUP($T$703,'TAR FIN'!$A$1:$O$113,15,0)),0,VLOOKUP($T$703,'TAR FIN'!$A$1:$O$113,15,0))</f>
        <v>621.67999999999995</v>
      </c>
      <c r="X703" s="6">
        <f>IF(ISERROR(VLOOKUP($U$703,'TAR FIN'!$A$1:$O$113,15,0)),0,VLOOKUP($U$703,'TAR FIN'!$A$1:$O$113,15,0))</f>
        <v>442.86</v>
      </c>
      <c r="Y703" s="6"/>
      <c r="Z703" s="6">
        <f ca="1">('TUSD BE'!$AM$37+'TUSD BF'!$AM$37+'TUSD CVA'!$AM$37)*1</f>
        <v>761.76092784263392</v>
      </c>
      <c r="AA703" s="6">
        <f>('TE BE'!$AB$15+'TE BF'!$AB$15+'TE CVA'!$AB$15)*1</f>
        <v>486.43608405794748</v>
      </c>
      <c r="AB703" s="6">
        <f>$K$703*$V$703</f>
        <v>0</v>
      </c>
      <c r="AC703" s="6">
        <f>$M$703*$W$703</f>
        <v>982.87607999999989</v>
      </c>
      <c r="AD703" s="6">
        <f>$O$703*$X$703</f>
        <v>700.16165999999998</v>
      </c>
      <c r="AE703" s="6">
        <f>$K$703*$Y$703</f>
        <v>0</v>
      </c>
      <c r="AF703" s="6">
        <f ca="1">$M$703*$Z$703</f>
        <v>1204.3440269192042</v>
      </c>
      <c r="AG703" s="6">
        <f>$O$703*$AA$703</f>
        <v>769.05544889561497</v>
      </c>
    </row>
    <row r="704" spans="1:33" ht="11.25" customHeight="1" x14ac:dyDescent="0.3">
      <c r="A704" s="4" t="s">
        <v>21</v>
      </c>
      <c r="B704" s="4" t="s">
        <v>22</v>
      </c>
      <c r="C704" s="4" t="s">
        <v>33</v>
      </c>
      <c r="D704" s="4" t="s">
        <v>24</v>
      </c>
      <c r="E704" s="4" t="s">
        <v>24</v>
      </c>
      <c r="F704" s="4" t="s">
        <v>25</v>
      </c>
      <c r="G704" s="4" t="s">
        <v>25</v>
      </c>
      <c r="H704" s="4" t="s">
        <v>34</v>
      </c>
      <c r="I704" s="5">
        <v>44531</v>
      </c>
      <c r="J704" s="6">
        <v>0</v>
      </c>
      <c r="K704" s="6">
        <v>0</v>
      </c>
      <c r="L704" s="6">
        <v>1.591</v>
      </c>
      <c r="M704" s="6">
        <v>1.591</v>
      </c>
      <c r="N704" s="6">
        <v>1.591</v>
      </c>
      <c r="O704" s="6">
        <v>1.591</v>
      </c>
      <c r="P704" s="6">
        <v>0</v>
      </c>
      <c r="Q704" s="4" t="s">
        <v>26</v>
      </c>
      <c r="R704" s="4">
        <v>0</v>
      </c>
      <c r="S704" s="6">
        <v>0</v>
      </c>
      <c r="T704" s="6">
        <v>43</v>
      </c>
      <c r="U704" s="6">
        <v>68</v>
      </c>
      <c r="V704" s="6">
        <f>IF(ISERROR(VLOOKUP($S$704,'TAR FIN'!$A$1:$O$113,15,0)),0,VLOOKUP($S$704,'TAR FIN'!$A$1:$O$113,15,0))</f>
        <v>0</v>
      </c>
      <c r="W704" s="6">
        <f>IF(ISERROR(VLOOKUP($T$704,'TAR FIN'!$A$1:$O$113,15,0)),0,VLOOKUP($T$704,'TAR FIN'!$A$1:$O$113,15,0))</f>
        <v>621.67999999999995</v>
      </c>
      <c r="X704" s="6">
        <f>IF(ISERROR(VLOOKUP($U$704,'TAR FIN'!$A$1:$O$113,15,0)),0,VLOOKUP($U$704,'TAR FIN'!$A$1:$O$113,15,0))</f>
        <v>442.86</v>
      </c>
      <c r="Y704" s="6"/>
      <c r="Z704" s="6">
        <f ca="1">('TUSD BE'!$AM$37+'TUSD BF'!$AM$37+'TUSD CVA'!$AM$37)*1</f>
        <v>761.76092784263392</v>
      </c>
      <c r="AA704" s="6">
        <f>('TE BE'!$AB$15+'TE BF'!$AB$15+'TE CVA'!$AB$15)*1</f>
        <v>486.43608405794748</v>
      </c>
      <c r="AB704" s="6">
        <f>$K$704*$V$704</f>
        <v>0</v>
      </c>
      <c r="AC704" s="6">
        <f>$M$704*$W$704</f>
        <v>989.09287999999992</v>
      </c>
      <c r="AD704" s="6">
        <f>$O$704*$X$704</f>
        <v>704.59026000000006</v>
      </c>
      <c r="AE704" s="6">
        <f>$K$704*$Y$704</f>
        <v>0</v>
      </c>
      <c r="AF704" s="6">
        <f ca="1">$M$704*$Z$704</f>
        <v>1211.9616361976305</v>
      </c>
      <c r="AG704" s="6">
        <f>$O$704*$AA$704</f>
        <v>773.91980973619445</v>
      </c>
    </row>
    <row r="705" spans="1:33" ht="11.25" customHeight="1" x14ac:dyDescent="0.3">
      <c r="A705" s="4" t="s">
        <v>21</v>
      </c>
      <c r="B705" s="4" t="s">
        <v>22</v>
      </c>
      <c r="C705" s="4" t="s">
        <v>33</v>
      </c>
      <c r="D705" s="4" t="s">
        <v>24</v>
      </c>
      <c r="E705" s="4" t="s">
        <v>24</v>
      </c>
      <c r="F705" s="4" t="s">
        <v>25</v>
      </c>
      <c r="G705" s="4" t="s">
        <v>25</v>
      </c>
      <c r="H705" s="4" t="s">
        <v>34</v>
      </c>
      <c r="I705" s="5">
        <v>44562</v>
      </c>
      <c r="J705" s="6">
        <v>0</v>
      </c>
      <c r="K705" s="6">
        <v>0</v>
      </c>
      <c r="L705" s="6">
        <v>1.758</v>
      </c>
      <c r="M705" s="6">
        <v>1.758</v>
      </c>
      <c r="N705" s="6">
        <v>1.758</v>
      </c>
      <c r="O705" s="6">
        <v>1.758</v>
      </c>
      <c r="P705" s="6">
        <v>0</v>
      </c>
      <c r="Q705" s="4" t="s">
        <v>26</v>
      </c>
      <c r="R705" s="4">
        <v>0</v>
      </c>
      <c r="S705" s="6">
        <v>0</v>
      </c>
      <c r="T705" s="6">
        <v>43</v>
      </c>
      <c r="U705" s="6">
        <v>68</v>
      </c>
      <c r="V705" s="6">
        <f>IF(ISERROR(VLOOKUP($S$705,'TAR FIN'!$A$1:$O$113,15,0)),0,VLOOKUP($S$705,'TAR FIN'!$A$1:$O$113,15,0))</f>
        <v>0</v>
      </c>
      <c r="W705" s="6">
        <f>IF(ISERROR(VLOOKUP($T$705,'TAR FIN'!$A$1:$O$113,15,0)),0,VLOOKUP($T$705,'TAR FIN'!$A$1:$O$113,15,0))</f>
        <v>621.67999999999995</v>
      </c>
      <c r="X705" s="6">
        <f>IF(ISERROR(VLOOKUP($U$705,'TAR FIN'!$A$1:$O$113,15,0)),0,VLOOKUP($U$705,'TAR FIN'!$A$1:$O$113,15,0))</f>
        <v>442.86</v>
      </c>
      <c r="Y705" s="6"/>
      <c r="Z705" s="6">
        <f ca="1">('TUSD BE'!$AM$37+'TUSD BF'!$AM$37+'TUSD CVA'!$AM$37)*1</f>
        <v>761.76092784263392</v>
      </c>
      <c r="AA705" s="6">
        <f>('TE BE'!$AB$15+'TE BF'!$AB$15+'TE CVA'!$AB$15)*1</f>
        <v>486.43608405794748</v>
      </c>
      <c r="AB705" s="6">
        <f>$K$705*$V$705</f>
        <v>0</v>
      </c>
      <c r="AC705" s="6">
        <f>$M$705*$W$705</f>
        <v>1092.9134399999998</v>
      </c>
      <c r="AD705" s="6">
        <f>$O$705*$X$705</f>
        <v>778.54788000000008</v>
      </c>
      <c r="AE705" s="6">
        <f>$K$705*$Y$705</f>
        <v>0</v>
      </c>
      <c r="AF705" s="6">
        <f ca="1">$M$705*$Z$705</f>
        <v>1339.1757111473505</v>
      </c>
      <c r="AG705" s="6">
        <f>$O$705*$AA$705</f>
        <v>855.15463577387163</v>
      </c>
    </row>
    <row r="706" spans="1:33" ht="11.25" customHeight="1" x14ac:dyDescent="0.3">
      <c r="A706" s="4" t="s">
        <v>21</v>
      </c>
      <c r="B706" s="4" t="s">
        <v>22</v>
      </c>
      <c r="C706" s="4" t="s">
        <v>33</v>
      </c>
      <c r="D706" s="4" t="s">
        <v>24</v>
      </c>
      <c r="E706" s="4" t="s">
        <v>24</v>
      </c>
      <c r="F706" s="4" t="s">
        <v>25</v>
      </c>
      <c r="G706" s="4" t="s">
        <v>25</v>
      </c>
      <c r="H706" s="4" t="s">
        <v>34</v>
      </c>
      <c r="I706" s="5">
        <v>44593</v>
      </c>
      <c r="J706" s="6">
        <v>0</v>
      </c>
      <c r="K706" s="6">
        <v>0</v>
      </c>
      <c r="L706" s="6">
        <v>1.68</v>
      </c>
      <c r="M706" s="6">
        <v>1.68</v>
      </c>
      <c r="N706" s="6">
        <v>1.68</v>
      </c>
      <c r="O706" s="6">
        <v>1.68</v>
      </c>
      <c r="P706" s="6">
        <v>0</v>
      </c>
      <c r="Q706" s="4" t="s">
        <v>26</v>
      </c>
      <c r="R706" s="4">
        <v>0</v>
      </c>
      <c r="S706" s="6">
        <v>0</v>
      </c>
      <c r="T706" s="6">
        <v>43</v>
      </c>
      <c r="U706" s="6">
        <v>68</v>
      </c>
      <c r="V706" s="6">
        <f>IF(ISERROR(VLOOKUP($S$706,'TAR FIN'!$A$1:$O$113,15,0)),0,VLOOKUP($S$706,'TAR FIN'!$A$1:$O$113,15,0))</f>
        <v>0</v>
      </c>
      <c r="W706" s="6">
        <f>IF(ISERROR(VLOOKUP($T$706,'TAR FIN'!$A$1:$O$113,15,0)),0,VLOOKUP($T$706,'TAR FIN'!$A$1:$O$113,15,0))</f>
        <v>621.67999999999995</v>
      </c>
      <c r="X706" s="6">
        <f>IF(ISERROR(VLOOKUP($U$706,'TAR FIN'!$A$1:$O$113,15,0)),0,VLOOKUP($U$706,'TAR FIN'!$A$1:$O$113,15,0))</f>
        <v>442.86</v>
      </c>
      <c r="Y706" s="6"/>
      <c r="Z706" s="6">
        <f ca="1">('TUSD BE'!$AM$37+'TUSD BF'!$AM$37+'TUSD CVA'!$AM$37)*1</f>
        <v>761.76092784263392</v>
      </c>
      <c r="AA706" s="6">
        <f>('TE BE'!$AB$15+'TE BF'!$AB$15+'TE CVA'!$AB$15)*1</f>
        <v>486.43608405794748</v>
      </c>
      <c r="AB706" s="6">
        <f>$K$706*$V$706</f>
        <v>0</v>
      </c>
      <c r="AC706" s="6">
        <f>$M$706*$W$706</f>
        <v>1044.4223999999999</v>
      </c>
      <c r="AD706" s="6">
        <f>$O$706*$X$706</f>
        <v>744.00480000000005</v>
      </c>
      <c r="AE706" s="6">
        <f>$K$706*$Y$706</f>
        <v>0</v>
      </c>
      <c r="AF706" s="6">
        <f ca="1">$M$706*$Z$706</f>
        <v>1279.7583587756249</v>
      </c>
      <c r="AG706" s="6">
        <f>$O$706*$AA$706</f>
        <v>817.21262121735174</v>
      </c>
    </row>
    <row r="707" spans="1:33" ht="11.25" customHeight="1" x14ac:dyDescent="0.3">
      <c r="A707" s="4" t="s">
        <v>28</v>
      </c>
      <c r="B707" s="4" t="s">
        <v>22</v>
      </c>
      <c r="C707" s="4" t="s">
        <v>33</v>
      </c>
      <c r="D707" s="4" t="s">
        <v>24</v>
      </c>
      <c r="E707" s="4" t="s">
        <v>24</v>
      </c>
      <c r="F707" s="4" t="s">
        <v>25</v>
      </c>
      <c r="G707" s="4" t="s">
        <v>25</v>
      </c>
      <c r="H707" s="4" t="s">
        <v>34</v>
      </c>
      <c r="I707" s="5">
        <v>44593</v>
      </c>
      <c r="J707" s="6">
        <v>0</v>
      </c>
      <c r="K707" s="6">
        <v>0</v>
      </c>
      <c r="L707" s="6">
        <v>4.9000000000000002E-2</v>
      </c>
      <c r="M707" s="6">
        <v>4.9000000000000002E-2</v>
      </c>
      <c r="N707" s="6">
        <v>4.9000000000000002E-2</v>
      </c>
      <c r="O707" s="6">
        <v>4.9000000000000002E-2</v>
      </c>
      <c r="P707" s="6">
        <v>0</v>
      </c>
      <c r="Q707" s="4" t="s">
        <v>26</v>
      </c>
      <c r="R707" s="4">
        <v>0</v>
      </c>
      <c r="S707" s="6">
        <v>0</v>
      </c>
      <c r="T707" s="6">
        <v>43</v>
      </c>
      <c r="U707" s="6">
        <v>68</v>
      </c>
      <c r="V707" s="6">
        <f>IF(ISERROR(VLOOKUP($S$707,'TAR FIN'!$A$1:$O$113,15,0)),0,VLOOKUP($S$707,'TAR FIN'!$A$1:$O$113,15,0))</f>
        <v>0</v>
      </c>
      <c r="W707" s="6">
        <f>IF(ISERROR(VLOOKUP($T$707,'TAR FIN'!$A$1:$O$113,15,0)),0,VLOOKUP($T$707,'TAR FIN'!$A$1:$O$113,15,0))</f>
        <v>621.67999999999995</v>
      </c>
      <c r="X707" s="6">
        <f>IF(ISERROR(VLOOKUP($U$707,'TAR FIN'!$A$1:$O$113,15,0)),0,VLOOKUP($U$707,'TAR FIN'!$A$1:$O$113,15,0))</f>
        <v>442.86</v>
      </c>
      <c r="Y707" s="6"/>
      <c r="Z707" s="6">
        <f ca="1">('TUSD BE'!$AM$37+'TUSD BF'!$AM$37+'TUSD CVA'!$AM$37)*1</f>
        <v>761.76092784263392</v>
      </c>
      <c r="AA707" s="6">
        <f>('TE BE'!$AB$15+'TE BF'!$AB$15+'TE CVA'!$AB$15)*1</f>
        <v>486.43608405794748</v>
      </c>
      <c r="AB707" s="6">
        <f>$K$707*$V$707</f>
        <v>0</v>
      </c>
      <c r="AC707" s="6">
        <f>$M$707*$W$707</f>
        <v>30.462319999999998</v>
      </c>
      <c r="AD707" s="6">
        <f>$O$707*$X$707</f>
        <v>21.700140000000001</v>
      </c>
      <c r="AE707" s="6">
        <f>$K$707*$Y$707</f>
        <v>0</v>
      </c>
      <c r="AF707" s="6">
        <f ca="1">$M$707*$Z$707</f>
        <v>37.326285464289064</v>
      </c>
      <c r="AG707" s="6">
        <f>$O$707*$AA$707</f>
        <v>23.835368118839426</v>
      </c>
    </row>
    <row r="708" spans="1:33" ht="11.25" customHeight="1" x14ac:dyDescent="0.3">
      <c r="A708" s="4" t="s">
        <v>21</v>
      </c>
      <c r="B708" s="4" t="s">
        <v>22</v>
      </c>
      <c r="C708" s="4" t="s">
        <v>33</v>
      </c>
      <c r="D708" s="4" t="s">
        <v>24</v>
      </c>
      <c r="E708" s="4" t="s">
        <v>24</v>
      </c>
      <c r="F708" s="4" t="s">
        <v>25</v>
      </c>
      <c r="G708" s="4" t="s">
        <v>25</v>
      </c>
      <c r="H708" s="4" t="s">
        <v>34</v>
      </c>
      <c r="I708" s="5">
        <v>44621</v>
      </c>
      <c r="J708" s="6">
        <v>0</v>
      </c>
      <c r="K708" s="6">
        <v>0</v>
      </c>
      <c r="L708" s="6">
        <v>1.843</v>
      </c>
      <c r="M708" s="6">
        <v>1.843</v>
      </c>
      <c r="N708" s="6">
        <v>1.843</v>
      </c>
      <c r="O708" s="6">
        <v>1.843</v>
      </c>
      <c r="P708" s="6">
        <v>0</v>
      </c>
      <c r="Q708" s="4" t="s">
        <v>26</v>
      </c>
      <c r="R708" s="4">
        <v>0</v>
      </c>
      <c r="S708" s="6">
        <v>0</v>
      </c>
      <c r="T708" s="6">
        <v>43</v>
      </c>
      <c r="U708" s="6">
        <v>68</v>
      </c>
      <c r="V708" s="6">
        <f>IF(ISERROR(VLOOKUP($S$708,'TAR FIN'!$A$1:$O$113,15,0)),0,VLOOKUP($S$708,'TAR FIN'!$A$1:$O$113,15,0))</f>
        <v>0</v>
      </c>
      <c r="W708" s="6">
        <f>IF(ISERROR(VLOOKUP($T$708,'TAR FIN'!$A$1:$O$113,15,0)),0,VLOOKUP($T$708,'TAR FIN'!$A$1:$O$113,15,0))</f>
        <v>621.67999999999995</v>
      </c>
      <c r="X708" s="6">
        <f>IF(ISERROR(VLOOKUP($U$708,'TAR FIN'!$A$1:$O$113,15,0)),0,VLOOKUP($U$708,'TAR FIN'!$A$1:$O$113,15,0))</f>
        <v>442.86</v>
      </c>
      <c r="Y708" s="6"/>
      <c r="Z708" s="6">
        <f ca="1">('TUSD BE'!$AM$37+'TUSD BF'!$AM$37+'TUSD CVA'!$AM$37)*1</f>
        <v>761.76092784263392</v>
      </c>
      <c r="AA708" s="6">
        <f>('TE BE'!$AB$15+'TE BF'!$AB$15+'TE CVA'!$AB$15)*1</f>
        <v>486.43608405794748</v>
      </c>
      <c r="AB708" s="6">
        <f>$K$708*$V$708</f>
        <v>0</v>
      </c>
      <c r="AC708" s="6">
        <f>$M$708*$W$708</f>
        <v>1145.7562399999999</v>
      </c>
      <c r="AD708" s="6">
        <f>$O$708*$X$708</f>
        <v>816.19097999999997</v>
      </c>
      <c r="AE708" s="6">
        <f>$K$708*$Y$708</f>
        <v>0</v>
      </c>
      <c r="AF708" s="6">
        <f ca="1">$M$708*$Z$708</f>
        <v>1403.9253900139743</v>
      </c>
      <c r="AG708" s="6">
        <f>$O$708*$AA$708</f>
        <v>896.50170291879715</v>
      </c>
    </row>
    <row r="709" spans="1:33" ht="11.25" customHeight="1" x14ac:dyDescent="0.3">
      <c r="A709" s="4" t="s">
        <v>28</v>
      </c>
      <c r="B709" s="4" t="s">
        <v>22</v>
      </c>
      <c r="C709" s="4" t="s">
        <v>33</v>
      </c>
      <c r="D709" s="4" t="s">
        <v>24</v>
      </c>
      <c r="E709" s="4" t="s">
        <v>24</v>
      </c>
      <c r="F709" s="4" t="s">
        <v>25</v>
      </c>
      <c r="G709" s="4" t="s">
        <v>25</v>
      </c>
      <c r="H709" s="4" t="s">
        <v>34</v>
      </c>
      <c r="I709" s="5">
        <v>44621</v>
      </c>
      <c r="J709" s="6">
        <v>0</v>
      </c>
      <c r="K709" s="6">
        <v>0</v>
      </c>
      <c r="L709" s="6">
        <v>0.05</v>
      </c>
      <c r="M709" s="6">
        <v>0.05</v>
      </c>
      <c r="N709" s="6">
        <v>0.05</v>
      </c>
      <c r="O709" s="6">
        <v>0.05</v>
      </c>
      <c r="P709" s="6">
        <v>0</v>
      </c>
      <c r="Q709" s="4" t="s">
        <v>26</v>
      </c>
      <c r="R709" s="4">
        <v>0</v>
      </c>
      <c r="S709" s="6">
        <v>0</v>
      </c>
      <c r="T709" s="6">
        <v>43</v>
      </c>
      <c r="U709" s="6">
        <v>68</v>
      </c>
      <c r="V709" s="6">
        <f>IF(ISERROR(VLOOKUP($S$709,'TAR FIN'!$A$1:$O$113,15,0)),0,VLOOKUP($S$709,'TAR FIN'!$A$1:$O$113,15,0))</f>
        <v>0</v>
      </c>
      <c r="W709" s="6">
        <f>IF(ISERROR(VLOOKUP($T$709,'TAR FIN'!$A$1:$O$113,15,0)),0,VLOOKUP($T$709,'TAR FIN'!$A$1:$O$113,15,0))</f>
        <v>621.67999999999995</v>
      </c>
      <c r="X709" s="6">
        <f>IF(ISERROR(VLOOKUP($U$709,'TAR FIN'!$A$1:$O$113,15,0)),0,VLOOKUP($U$709,'TAR FIN'!$A$1:$O$113,15,0))</f>
        <v>442.86</v>
      </c>
      <c r="Y709" s="6"/>
      <c r="Z709" s="6">
        <f ca="1">('TUSD BE'!$AM$37+'TUSD BF'!$AM$37+'TUSD CVA'!$AM$37)*1</f>
        <v>761.76092784263392</v>
      </c>
      <c r="AA709" s="6">
        <f>('TE BE'!$AB$15+'TE BF'!$AB$15+'TE CVA'!$AB$15)*1</f>
        <v>486.43608405794748</v>
      </c>
      <c r="AB709" s="6">
        <f>$K$709*$V$709</f>
        <v>0</v>
      </c>
      <c r="AC709" s="6">
        <f>$M$709*$W$709</f>
        <v>31.084</v>
      </c>
      <c r="AD709" s="6">
        <f>$O$709*$X$709</f>
        <v>22.143000000000001</v>
      </c>
      <c r="AE709" s="6">
        <f>$K$709*$Y$709</f>
        <v>0</v>
      </c>
      <c r="AF709" s="6">
        <f ca="1">$M$709*$Z$709</f>
        <v>38.088046392131695</v>
      </c>
      <c r="AG709" s="6">
        <f>$O$709*$AA$709</f>
        <v>24.321804202897376</v>
      </c>
    </row>
    <row r="710" spans="1:33" ht="11.25" customHeight="1" x14ac:dyDescent="0.3">
      <c r="A710" s="4" t="s">
        <v>21</v>
      </c>
      <c r="B710" s="4" t="s">
        <v>22</v>
      </c>
      <c r="C710" s="4" t="s">
        <v>33</v>
      </c>
      <c r="D710" s="4" t="s">
        <v>24</v>
      </c>
      <c r="E710" s="4" t="s">
        <v>24</v>
      </c>
      <c r="F710" s="4" t="s">
        <v>25</v>
      </c>
      <c r="G710" s="4" t="s">
        <v>25</v>
      </c>
      <c r="H710" s="4" t="s">
        <v>34</v>
      </c>
      <c r="I710" s="5">
        <v>44652</v>
      </c>
      <c r="J710" s="6">
        <v>0</v>
      </c>
      <c r="K710" s="6">
        <v>0</v>
      </c>
      <c r="L710" s="6">
        <v>1.212</v>
      </c>
      <c r="M710" s="6">
        <v>1.212</v>
      </c>
      <c r="N710" s="6">
        <v>1.212</v>
      </c>
      <c r="O710" s="6">
        <v>1.212</v>
      </c>
      <c r="P710" s="6">
        <v>0</v>
      </c>
      <c r="Q710" s="4" t="s">
        <v>26</v>
      </c>
      <c r="R710" s="4">
        <v>0</v>
      </c>
      <c r="S710" s="6">
        <v>0</v>
      </c>
      <c r="T710" s="6">
        <v>43</v>
      </c>
      <c r="U710" s="6">
        <v>68</v>
      </c>
      <c r="V710" s="6">
        <f>IF(ISERROR(VLOOKUP($S$710,'TAR FIN'!$A$1:$O$113,15,0)),0,VLOOKUP($S$710,'TAR FIN'!$A$1:$O$113,15,0))</f>
        <v>0</v>
      </c>
      <c r="W710" s="6">
        <f>IF(ISERROR(VLOOKUP($T$710,'TAR FIN'!$A$1:$O$113,15,0)),0,VLOOKUP($T$710,'TAR FIN'!$A$1:$O$113,15,0))</f>
        <v>621.67999999999995</v>
      </c>
      <c r="X710" s="6">
        <f>IF(ISERROR(VLOOKUP($U$710,'TAR FIN'!$A$1:$O$113,15,0)),0,VLOOKUP($U$710,'TAR FIN'!$A$1:$O$113,15,0))</f>
        <v>442.86</v>
      </c>
      <c r="Y710" s="6"/>
      <c r="Z710" s="6">
        <f ca="1">('TUSD BE'!$AM$37+'TUSD BF'!$AM$37+'TUSD CVA'!$AM$37)*1</f>
        <v>761.76092784263392</v>
      </c>
      <c r="AA710" s="6">
        <f>('TE BE'!$AB$15+'TE BF'!$AB$15+'TE CVA'!$AB$15)*1</f>
        <v>486.43608405794748</v>
      </c>
      <c r="AB710" s="6">
        <f>$K$710*$V$710</f>
        <v>0</v>
      </c>
      <c r="AC710" s="6">
        <f>$M$710*$W$710</f>
        <v>753.47615999999994</v>
      </c>
      <c r="AD710" s="6">
        <f>$O$710*$X$710</f>
        <v>536.74631999999997</v>
      </c>
      <c r="AE710" s="6">
        <f>$K$710*$Y$710</f>
        <v>0</v>
      </c>
      <c r="AF710" s="6">
        <f ca="1">$M$710*$Z$710</f>
        <v>923.25424454527229</v>
      </c>
      <c r="AG710" s="6">
        <f>$O$710*$AA$710</f>
        <v>589.56053387823238</v>
      </c>
    </row>
    <row r="711" spans="1:33" ht="11.25" customHeight="1" x14ac:dyDescent="0.3">
      <c r="A711" s="4" t="s">
        <v>28</v>
      </c>
      <c r="B711" s="4" t="s">
        <v>22</v>
      </c>
      <c r="C711" s="4" t="s">
        <v>33</v>
      </c>
      <c r="D711" s="4" t="s">
        <v>24</v>
      </c>
      <c r="E711" s="4" t="s">
        <v>24</v>
      </c>
      <c r="F711" s="4" t="s">
        <v>25</v>
      </c>
      <c r="G711" s="4" t="s">
        <v>25</v>
      </c>
      <c r="H711" s="4" t="s">
        <v>34</v>
      </c>
      <c r="I711" s="5">
        <v>44652</v>
      </c>
      <c r="J711" s="6">
        <v>0</v>
      </c>
      <c r="K711" s="6">
        <v>0</v>
      </c>
      <c r="L711" s="6">
        <v>5.0999999999999997E-2</v>
      </c>
      <c r="M711" s="6">
        <v>5.0999999999999997E-2</v>
      </c>
      <c r="N711" s="6">
        <v>5.0999999999999997E-2</v>
      </c>
      <c r="O711" s="6">
        <v>5.0999999999999997E-2</v>
      </c>
      <c r="P711" s="6">
        <v>0</v>
      </c>
      <c r="Q711" s="4" t="s">
        <v>26</v>
      </c>
      <c r="R711" s="4">
        <v>0</v>
      </c>
      <c r="S711" s="6">
        <v>0</v>
      </c>
      <c r="T711" s="6">
        <v>43</v>
      </c>
      <c r="U711" s="6">
        <v>68</v>
      </c>
      <c r="V711" s="6">
        <f>IF(ISERROR(VLOOKUP($S$711,'TAR FIN'!$A$1:$O$113,15,0)),0,VLOOKUP($S$711,'TAR FIN'!$A$1:$O$113,15,0))</f>
        <v>0</v>
      </c>
      <c r="W711" s="6">
        <f>IF(ISERROR(VLOOKUP($T$711,'TAR FIN'!$A$1:$O$113,15,0)),0,VLOOKUP($T$711,'TAR FIN'!$A$1:$O$113,15,0))</f>
        <v>621.67999999999995</v>
      </c>
      <c r="X711" s="6">
        <f>IF(ISERROR(VLOOKUP($U$711,'TAR FIN'!$A$1:$O$113,15,0)),0,VLOOKUP($U$711,'TAR FIN'!$A$1:$O$113,15,0))</f>
        <v>442.86</v>
      </c>
      <c r="Y711" s="6"/>
      <c r="Z711" s="6">
        <f ca="1">('TUSD BE'!$AM$37+'TUSD BF'!$AM$37+'TUSD CVA'!$AM$37)*1</f>
        <v>761.76092784263392</v>
      </c>
      <c r="AA711" s="6">
        <f>('TE BE'!$AB$15+'TE BF'!$AB$15+'TE CVA'!$AB$15)*1</f>
        <v>486.43608405794748</v>
      </c>
      <c r="AB711" s="6">
        <f>$K$711*$V$711</f>
        <v>0</v>
      </c>
      <c r="AC711" s="6">
        <f>$M$711*$W$711</f>
        <v>31.705679999999994</v>
      </c>
      <c r="AD711" s="6">
        <f>$O$711*$X$711</f>
        <v>22.58586</v>
      </c>
      <c r="AE711" s="6">
        <f>$K$711*$Y$711</f>
        <v>0</v>
      </c>
      <c r="AF711" s="6">
        <f ca="1">$M$711*$Z$711</f>
        <v>38.849807319974325</v>
      </c>
      <c r="AG711" s="6">
        <f>$O$711*$AA$711</f>
        <v>24.808240286955321</v>
      </c>
    </row>
    <row r="712" spans="1:33" ht="11.25" customHeight="1" x14ac:dyDescent="0.3">
      <c r="A712" s="4" t="s">
        <v>21</v>
      </c>
      <c r="B712" s="4" t="s">
        <v>22</v>
      </c>
      <c r="C712" s="4" t="s">
        <v>33</v>
      </c>
      <c r="D712" s="4" t="s">
        <v>24</v>
      </c>
      <c r="E712" s="4" t="s">
        <v>24</v>
      </c>
      <c r="F712" s="4" t="s">
        <v>25</v>
      </c>
      <c r="G712" s="4" t="s">
        <v>25</v>
      </c>
      <c r="H712" s="4" t="s">
        <v>34</v>
      </c>
      <c r="I712" s="5">
        <v>44682</v>
      </c>
      <c r="J712" s="6">
        <v>0</v>
      </c>
      <c r="K712" s="6">
        <v>0</v>
      </c>
      <c r="L712" s="6">
        <v>1.0229999999999999</v>
      </c>
      <c r="M712" s="6">
        <v>1.0229999999999999</v>
      </c>
      <c r="N712" s="6">
        <v>1.0229999999999999</v>
      </c>
      <c r="O712" s="6">
        <v>1.0229999999999999</v>
      </c>
      <c r="P712" s="6">
        <v>0</v>
      </c>
      <c r="Q712" s="4" t="s">
        <v>26</v>
      </c>
      <c r="R712" s="4">
        <v>0</v>
      </c>
      <c r="S712" s="6">
        <v>0</v>
      </c>
      <c r="T712" s="6">
        <v>43</v>
      </c>
      <c r="U712" s="6">
        <v>68</v>
      </c>
      <c r="V712" s="6">
        <f>IF(ISERROR(VLOOKUP($S$712,'TAR FIN'!$A$1:$O$113,15,0)),0,VLOOKUP($S$712,'TAR FIN'!$A$1:$O$113,15,0))</f>
        <v>0</v>
      </c>
      <c r="W712" s="6">
        <f>IF(ISERROR(VLOOKUP($T$712,'TAR FIN'!$A$1:$O$113,15,0)),0,VLOOKUP($T$712,'TAR FIN'!$A$1:$O$113,15,0))</f>
        <v>621.67999999999995</v>
      </c>
      <c r="X712" s="6">
        <f>IF(ISERROR(VLOOKUP($U$712,'TAR FIN'!$A$1:$O$113,15,0)),0,VLOOKUP($U$712,'TAR FIN'!$A$1:$O$113,15,0))</f>
        <v>442.86</v>
      </c>
      <c r="Y712" s="6"/>
      <c r="Z712" s="6">
        <f ca="1">('TUSD BE'!$AM$37+'TUSD BF'!$AM$37+'TUSD CVA'!$AM$37)*1</f>
        <v>761.76092784263392</v>
      </c>
      <c r="AA712" s="6">
        <f>('TE BE'!$AB$15+'TE BF'!$AB$15+'TE CVA'!$AB$15)*1</f>
        <v>486.43608405794748</v>
      </c>
      <c r="AB712" s="6">
        <f>$K$712*$V$712</f>
        <v>0</v>
      </c>
      <c r="AC712" s="6">
        <f>$M$712*$W$712</f>
        <v>635.97863999999993</v>
      </c>
      <c r="AD712" s="6">
        <f>$O$712*$X$712</f>
        <v>453.04577999999998</v>
      </c>
      <c r="AE712" s="6">
        <f>$K$712*$Y$712</f>
        <v>0</v>
      </c>
      <c r="AF712" s="6">
        <f ca="1">$M$712*$Z$712</f>
        <v>779.28142918301444</v>
      </c>
      <c r="AG712" s="6">
        <f>$O$712*$AA$712</f>
        <v>497.62411399128024</v>
      </c>
    </row>
    <row r="713" spans="1:33" ht="11.25" customHeight="1" x14ac:dyDescent="0.3">
      <c r="A713" s="4" t="s">
        <v>28</v>
      </c>
      <c r="B713" s="4" t="s">
        <v>22</v>
      </c>
      <c r="C713" s="4" t="s">
        <v>33</v>
      </c>
      <c r="D713" s="4" t="s">
        <v>24</v>
      </c>
      <c r="E713" s="4" t="s">
        <v>24</v>
      </c>
      <c r="F713" s="4" t="s">
        <v>25</v>
      </c>
      <c r="G713" s="4" t="s">
        <v>25</v>
      </c>
      <c r="H713" s="4" t="s">
        <v>34</v>
      </c>
      <c r="I713" s="5">
        <v>44682</v>
      </c>
      <c r="J713" s="6">
        <v>0</v>
      </c>
      <c r="K713" s="6">
        <v>0</v>
      </c>
      <c r="L713" s="6">
        <v>5.8999999999999997E-2</v>
      </c>
      <c r="M713" s="6">
        <v>5.8999999999999997E-2</v>
      </c>
      <c r="N713" s="6">
        <v>5.8999999999999997E-2</v>
      </c>
      <c r="O713" s="6">
        <v>5.8999999999999997E-2</v>
      </c>
      <c r="P713" s="6">
        <v>0</v>
      </c>
      <c r="Q713" s="4" t="s">
        <v>26</v>
      </c>
      <c r="R713" s="4">
        <v>0</v>
      </c>
      <c r="S713" s="6">
        <v>0</v>
      </c>
      <c r="T713" s="6">
        <v>43</v>
      </c>
      <c r="U713" s="6">
        <v>68</v>
      </c>
      <c r="V713" s="6">
        <f>IF(ISERROR(VLOOKUP($S$713,'TAR FIN'!$A$1:$O$113,15,0)),0,VLOOKUP($S$713,'TAR FIN'!$A$1:$O$113,15,0))</f>
        <v>0</v>
      </c>
      <c r="W713" s="6">
        <f>IF(ISERROR(VLOOKUP($T$713,'TAR FIN'!$A$1:$O$113,15,0)),0,VLOOKUP($T$713,'TAR FIN'!$A$1:$O$113,15,0))</f>
        <v>621.67999999999995</v>
      </c>
      <c r="X713" s="6">
        <f>IF(ISERROR(VLOOKUP($U$713,'TAR FIN'!$A$1:$O$113,15,0)),0,VLOOKUP($U$713,'TAR FIN'!$A$1:$O$113,15,0))</f>
        <v>442.86</v>
      </c>
      <c r="Y713" s="6"/>
      <c r="Z713" s="6">
        <f ca="1">('TUSD BE'!$AM$37+'TUSD BF'!$AM$37+'TUSD CVA'!$AM$37)*1</f>
        <v>761.76092784263392</v>
      </c>
      <c r="AA713" s="6">
        <f>('TE BE'!$AB$15+'TE BF'!$AB$15+'TE CVA'!$AB$15)*1</f>
        <v>486.43608405794748</v>
      </c>
      <c r="AB713" s="6">
        <f>$K$713*$V$713</f>
        <v>0</v>
      </c>
      <c r="AC713" s="6">
        <f>$M$713*$W$713</f>
        <v>36.679119999999998</v>
      </c>
      <c r="AD713" s="6">
        <f>$O$713*$X$713</f>
        <v>26.128740000000001</v>
      </c>
      <c r="AE713" s="6">
        <f>$K$713*$Y$713</f>
        <v>0</v>
      </c>
      <c r="AF713" s="6">
        <f ca="1">$M$713*$Z$713</f>
        <v>44.943894742715401</v>
      </c>
      <c r="AG713" s="6">
        <f>$O$713*$AA$713</f>
        <v>28.699728959418898</v>
      </c>
    </row>
    <row r="714" spans="1:33" ht="11.25" customHeight="1" x14ac:dyDescent="0.3">
      <c r="A714" s="4" t="s">
        <v>21</v>
      </c>
      <c r="B714" s="4" t="s">
        <v>22</v>
      </c>
      <c r="C714" s="4" t="s">
        <v>33</v>
      </c>
      <c r="D714" s="4" t="s">
        <v>24</v>
      </c>
      <c r="E714" s="4" t="s">
        <v>24</v>
      </c>
      <c r="F714" s="4" t="s">
        <v>25</v>
      </c>
      <c r="G714" s="4" t="s">
        <v>25</v>
      </c>
      <c r="H714" s="4" t="s">
        <v>34</v>
      </c>
      <c r="I714" s="5">
        <v>44713</v>
      </c>
      <c r="J714" s="6">
        <v>0</v>
      </c>
      <c r="K714" s="6">
        <v>0</v>
      </c>
      <c r="L714" s="6">
        <v>1.0589999999999999</v>
      </c>
      <c r="M714" s="6">
        <v>1.0589999999999999</v>
      </c>
      <c r="N714" s="6">
        <v>1.0589999999999999</v>
      </c>
      <c r="O714" s="6">
        <v>1.0589999999999999</v>
      </c>
      <c r="P714" s="6">
        <v>0</v>
      </c>
      <c r="Q714" s="4" t="s">
        <v>26</v>
      </c>
      <c r="R714" s="4">
        <v>0</v>
      </c>
      <c r="S714" s="6">
        <v>0</v>
      </c>
      <c r="T714" s="6">
        <v>43</v>
      </c>
      <c r="U714" s="6">
        <v>68</v>
      </c>
      <c r="V714" s="6">
        <f>IF(ISERROR(VLOOKUP($S$714,'TAR FIN'!$A$1:$O$113,15,0)),0,VLOOKUP($S$714,'TAR FIN'!$A$1:$O$113,15,0))</f>
        <v>0</v>
      </c>
      <c r="W714" s="6">
        <f>IF(ISERROR(VLOOKUP($T$714,'TAR FIN'!$A$1:$O$113,15,0)),0,VLOOKUP($T$714,'TAR FIN'!$A$1:$O$113,15,0))</f>
        <v>621.67999999999995</v>
      </c>
      <c r="X714" s="6">
        <f>IF(ISERROR(VLOOKUP($U$714,'TAR FIN'!$A$1:$O$113,15,0)),0,VLOOKUP($U$714,'TAR FIN'!$A$1:$O$113,15,0))</f>
        <v>442.86</v>
      </c>
      <c r="Y714" s="6"/>
      <c r="Z714" s="6">
        <f ca="1">('TUSD BE'!$AM$37+'TUSD BF'!$AM$37+'TUSD CVA'!$AM$37)*1</f>
        <v>761.76092784263392</v>
      </c>
      <c r="AA714" s="6">
        <f>('TE BE'!$AB$15+'TE BF'!$AB$15+'TE CVA'!$AB$15)*1</f>
        <v>486.43608405794748</v>
      </c>
      <c r="AB714" s="6">
        <f>$K$714*$V$714</f>
        <v>0</v>
      </c>
      <c r="AC714" s="6">
        <f>$M$714*$W$714</f>
        <v>658.35911999999996</v>
      </c>
      <c r="AD714" s="6">
        <f>$O$714*$X$714</f>
        <v>468.98874000000001</v>
      </c>
      <c r="AE714" s="6">
        <f>$K$714*$Y$714</f>
        <v>0</v>
      </c>
      <c r="AF714" s="6">
        <f ca="1">$M$714*$Z$714</f>
        <v>806.70482258534923</v>
      </c>
      <c r="AG714" s="6">
        <f>$O$714*$AA$714</f>
        <v>515.13581301736633</v>
      </c>
    </row>
    <row r="715" spans="1:33" ht="11.25" customHeight="1" x14ac:dyDescent="0.3">
      <c r="A715" s="4" t="s">
        <v>28</v>
      </c>
      <c r="B715" s="4" t="s">
        <v>22</v>
      </c>
      <c r="C715" s="4" t="s">
        <v>33</v>
      </c>
      <c r="D715" s="4" t="s">
        <v>24</v>
      </c>
      <c r="E715" s="4" t="s">
        <v>24</v>
      </c>
      <c r="F715" s="4" t="s">
        <v>25</v>
      </c>
      <c r="G715" s="4" t="s">
        <v>25</v>
      </c>
      <c r="H715" s="4" t="s">
        <v>34</v>
      </c>
      <c r="I715" s="5">
        <v>44713</v>
      </c>
      <c r="J715" s="6">
        <v>0</v>
      </c>
      <c r="K715" s="6">
        <v>0</v>
      </c>
      <c r="L715" s="6">
        <v>7.6999999999999999E-2</v>
      </c>
      <c r="M715" s="6">
        <v>7.6999999999999999E-2</v>
      </c>
      <c r="N715" s="6">
        <v>7.6999999999999999E-2</v>
      </c>
      <c r="O715" s="6">
        <v>7.6999999999999999E-2</v>
      </c>
      <c r="P715" s="6">
        <v>0</v>
      </c>
      <c r="Q715" s="4" t="s">
        <v>26</v>
      </c>
      <c r="R715" s="4">
        <v>0</v>
      </c>
      <c r="S715" s="6">
        <v>0</v>
      </c>
      <c r="T715" s="6">
        <v>43</v>
      </c>
      <c r="U715" s="6">
        <v>68</v>
      </c>
      <c r="V715" s="6">
        <f>IF(ISERROR(VLOOKUP($S$715,'TAR FIN'!$A$1:$O$113,15,0)),0,VLOOKUP($S$715,'TAR FIN'!$A$1:$O$113,15,0))</f>
        <v>0</v>
      </c>
      <c r="W715" s="6">
        <f>IF(ISERROR(VLOOKUP($T$715,'TAR FIN'!$A$1:$O$113,15,0)),0,VLOOKUP($T$715,'TAR FIN'!$A$1:$O$113,15,0))</f>
        <v>621.67999999999995</v>
      </c>
      <c r="X715" s="6">
        <f>IF(ISERROR(VLOOKUP($U$715,'TAR FIN'!$A$1:$O$113,15,0)),0,VLOOKUP($U$715,'TAR FIN'!$A$1:$O$113,15,0))</f>
        <v>442.86</v>
      </c>
      <c r="Y715" s="6"/>
      <c r="Z715" s="6">
        <f ca="1">('TUSD BE'!$AM$37+'TUSD BF'!$AM$37+'TUSD CVA'!$AM$37)*1</f>
        <v>761.76092784263392</v>
      </c>
      <c r="AA715" s="6">
        <f>('TE BE'!$AB$15+'TE BF'!$AB$15+'TE CVA'!$AB$15)*1</f>
        <v>486.43608405794748</v>
      </c>
      <c r="AB715" s="6">
        <f>$K$715*$V$715</f>
        <v>0</v>
      </c>
      <c r="AC715" s="6">
        <f>$M$715*$W$715</f>
        <v>47.869359999999993</v>
      </c>
      <c r="AD715" s="6">
        <f>$O$715*$X$715</f>
        <v>34.10022</v>
      </c>
      <c r="AE715" s="6">
        <f>$K$715*$Y$715</f>
        <v>0</v>
      </c>
      <c r="AF715" s="6">
        <f ca="1">$M$715*$Z$715</f>
        <v>58.655591443882813</v>
      </c>
      <c r="AG715" s="6">
        <f>$O$715*$AA$715</f>
        <v>37.455578472461958</v>
      </c>
    </row>
    <row r="716" spans="1:33" ht="11.25" customHeight="1" x14ac:dyDescent="0.3">
      <c r="A716" s="4" t="s">
        <v>21</v>
      </c>
      <c r="B716" s="4" t="s">
        <v>22</v>
      </c>
      <c r="C716" s="4" t="s">
        <v>33</v>
      </c>
      <c r="D716" s="4" t="s">
        <v>24</v>
      </c>
      <c r="E716" s="4" t="s">
        <v>24</v>
      </c>
      <c r="F716" s="4" t="s">
        <v>25</v>
      </c>
      <c r="G716" s="4" t="s">
        <v>25</v>
      </c>
      <c r="H716" s="4" t="s">
        <v>34</v>
      </c>
      <c r="I716" s="5">
        <v>44743</v>
      </c>
      <c r="J716" s="6">
        <v>0</v>
      </c>
      <c r="K716" s="6">
        <v>0</v>
      </c>
      <c r="L716" s="6">
        <v>1.6060000000000001</v>
      </c>
      <c r="M716" s="6">
        <v>1.6060000000000001</v>
      </c>
      <c r="N716" s="6">
        <v>1.6060000000000001</v>
      </c>
      <c r="O716" s="6">
        <v>1.6060000000000001</v>
      </c>
      <c r="P716" s="6">
        <v>0</v>
      </c>
      <c r="Q716" s="4" t="s">
        <v>26</v>
      </c>
      <c r="R716" s="4">
        <v>0</v>
      </c>
      <c r="S716" s="6">
        <v>0</v>
      </c>
      <c r="T716" s="6">
        <v>43</v>
      </c>
      <c r="U716" s="6">
        <v>68</v>
      </c>
      <c r="V716" s="6">
        <f>IF(ISERROR(VLOOKUP($S$716,'TAR FIN'!$A$1:$O$113,15,0)),0,VLOOKUP($S$716,'TAR FIN'!$A$1:$O$113,15,0))</f>
        <v>0</v>
      </c>
      <c r="W716" s="6">
        <f>IF(ISERROR(VLOOKUP($T$716,'TAR FIN'!$A$1:$O$113,15,0)),0,VLOOKUP($T$716,'TAR FIN'!$A$1:$O$113,15,0))</f>
        <v>621.67999999999995</v>
      </c>
      <c r="X716" s="6">
        <f>IF(ISERROR(VLOOKUP($U$716,'TAR FIN'!$A$1:$O$113,15,0)),0,VLOOKUP($U$716,'TAR FIN'!$A$1:$O$113,15,0))</f>
        <v>442.86</v>
      </c>
      <c r="Y716" s="6"/>
      <c r="Z716" s="6">
        <f ca="1">('TUSD BE'!$AM$37+'TUSD BF'!$AM$37+'TUSD CVA'!$AM$37)*1</f>
        <v>761.76092784263392</v>
      </c>
      <c r="AA716" s="6">
        <f>('TE BE'!$AB$15+'TE BF'!$AB$15+'TE CVA'!$AB$15)*1</f>
        <v>486.43608405794748</v>
      </c>
      <c r="AB716" s="6">
        <f>$K$716*$V$716</f>
        <v>0</v>
      </c>
      <c r="AC716" s="6">
        <f>$M$716*$W$716</f>
        <v>998.41808000000003</v>
      </c>
      <c r="AD716" s="6">
        <f>$O$716*$X$716</f>
        <v>711.23316000000011</v>
      </c>
      <c r="AE716" s="6">
        <f>$K$716*$Y$716</f>
        <v>0</v>
      </c>
      <c r="AF716" s="6">
        <f ca="1">$M$716*$Z$716</f>
        <v>1223.3880501152701</v>
      </c>
      <c r="AG716" s="6">
        <f>$O$716*$AA$716</f>
        <v>781.21635099706373</v>
      </c>
    </row>
    <row r="717" spans="1:33" ht="11.25" customHeight="1" x14ac:dyDescent="0.3">
      <c r="A717" s="4" t="s">
        <v>21</v>
      </c>
      <c r="B717" s="4" t="s">
        <v>22</v>
      </c>
      <c r="C717" s="4" t="s">
        <v>33</v>
      </c>
      <c r="D717" s="4" t="s">
        <v>24</v>
      </c>
      <c r="E717" s="4" t="s">
        <v>24</v>
      </c>
      <c r="F717" s="4" t="s">
        <v>25</v>
      </c>
      <c r="G717" s="4" t="s">
        <v>25</v>
      </c>
      <c r="H717" s="4" t="s">
        <v>34</v>
      </c>
      <c r="I717" s="5">
        <v>44774</v>
      </c>
      <c r="J717" s="6">
        <v>0</v>
      </c>
      <c r="K717" s="6">
        <v>0</v>
      </c>
      <c r="L717" s="6">
        <v>1.123</v>
      </c>
      <c r="M717" s="6">
        <v>1.123</v>
      </c>
      <c r="N717" s="6">
        <v>1.123</v>
      </c>
      <c r="O717" s="6">
        <v>1.123</v>
      </c>
      <c r="P717" s="6">
        <v>0</v>
      </c>
      <c r="Q717" s="4" t="s">
        <v>26</v>
      </c>
      <c r="R717" s="4">
        <v>0</v>
      </c>
      <c r="S717" s="6">
        <v>0</v>
      </c>
      <c r="T717" s="6">
        <v>43</v>
      </c>
      <c r="U717" s="6">
        <v>68</v>
      </c>
      <c r="V717" s="6">
        <f>IF(ISERROR(VLOOKUP($S$717,'TAR FIN'!$A$1:$O$113,15,0)),0,VLOOKUP($S$717,'TAR FIN'!$A$1:$O$113,15,0))</f>
        <v>0</v>
      </c>
      <c r="W717" s="6">
        <f>IF(ISERROR(VLOOKUP($T$717,'TAR FIN'!$A$1:$O$113,15,0)),0,VLOOKUP($T$717,'TAR FIN'!$A$1:$O$113,15,0))</f>
        <v>621.67999999999995</v>
      </c>
      <c r="X717" s="6">
        <f>IF(ISERROR(VLOOKUP($U$717,'TAR FIN'!$A$1:$O$113,15,0)),0,VLOOKUP($U$717,'TAR FIN'!$A$1:$O$113,15,0))</f>
        <v>442.86</v>
      </c>
      <c r="Y717" s="6"/>
      <c r="Z717" s="6">
        <f ca="1">('TUSD BE'!$AM$37+'TUSD BF'!$AM$37+'TUSD CVA'!$AM$37)*1</f>
        <v>761.76092784263392</v>
      </c>
      <c r="AA717" s="6">
        <f>('TE BE'!$AB$15+'TE BF'!$AB$15+'TE CVA'!$AB$15)*1</f>
        <v>486.43608405794748</v>
      </c>
      <c r="AB717" s="6">
        <f>$K$717*$V$717</f>
        <v>0</v>
      </c>
      <c r="AC717" s="6">
        <f>$M$717*$W$717</f>
        <v>698.14663999999993</v>
      </c>
      <c r="AD717" s="6">
        <f>$O$717*$X$717</f>
        <v>497.33178000000004</v>
      </c>
      <c r="AE717" s="6">
        <f>$K$717*$Y$717</f>
        <v>0</v>
      </c>
      <c r="AF717" s="6">
        <f ca="1">$M$717*$Z$717</f>
        <v>855.4575219672779</v>
      </c>
      <c r="AG717" s="6">
        <f>$O$717*$AA$717</f>
        <v>546.26772239707498</v>
      </c>
    </row>
    <row r="718" spans="1:33" ht="11.25" customHeight="1" x14ac:dyDescent="0.3">
      <c r="A718" s="4" t="s">
        <v>28</v>
      </c>
      <c r="B718" s="4" t="s">
        <v>22</v>
      </c>
      <c r="C718" s="4" t="s">
        <v>33</v>
      </c>
      <c r="D718" s="4" t="s">
        <v>24</v>
      </c>
      <c r="E718" s="4" t="s">
        <v>24</v>
      </c>
      <c r="F718" s="4" t="s">
        <v>25</v>
      </c>
      <c r="G718" s="4" t="s">
        <v>25</v>
      </c>
      <c r="H718" s="4" t="s">
        <v>34</v>
      </c>
      <c r="I718" s="5">
        <v>44774</v>
      </c>
      <c r="J718" s="6">
        <v>0</v>
      </c>
      <c r="K718" s="6">
        <v>0</v>
      </c>
      <c r="L718" s="6">
        <v>6.9000000000000006E-2</v>
      </c>
      <c r="M718" s="6">
        <v>6.9000000000000006E-2</v>
      </c>
      <c r="N718" s="6">
        <v>6.9000000000000006E-2</v>
      </c>
      <c r="O718" s="6">
        <v>6.9000000000000006E-2</v>
      </c>
      <c r="P718" s="6">
        <v>0</v>
      </c>
      <c r="Q718" s="4" t="s">
        <v>26</v>
      </c>
      <c r="R718" s="4">
        <v>0</v>
      </c>
      <c r="S718" s="6">
        <v>0</v>
      </c>
      <c r="T718" s="6">
        <v>43</v>
      </c>
      <c r="U718" s="6">
        <v>68</v>
      </c>
      <c r="V718" s="6">
        <f>IF(ISERROR(VLOOKUP($S$718,'TAR FIN'!$A$1:$O$113,15,0)),0,VLOOKUP($S$718,'TAR FIN'!$A$1:$O$113,15,0))</f>
        <v>0</v>
      </c>
      <c r="W718" s="6">
        <f>IF(ISERROR(VLOOKUP($T$718,'TAR FIN'!$A$1:$O$113,15,0)),0,VLOOKUP($T$718,'TAR FIN'!$A$1:$O$113,15,0))</f>
        <v>621.67999999999995</v>
      </c>
      <c r="X718" s="6">
        <f>IF(ISERROR(VLOOKUP($U$718,'TAR FIN'!$A$1:$O$113,15,0)),0,VLOOKUP($U$718,'TAR FIN'!$A$1:$O$113,15,0))</f>
        <v>442.86</v>
      </c>
      <c r="Y718" s="6"/>
      <c r="Z718" s="6">
        <f ca="1">('TUSD BE'!$AM$37+'TUSD BF'!$AM$37+'TUSD CVA'!$AM$37)*1</f>
        <v>761.76092784263392</v>
      </c>
      <c r="AA718" s="6">
        <f>('TE BE'!$AB$15+'TE BF'!$AB$15+'TE CVA'!$AB$15)*1</f>
        <v>486.43608405794748</v>
      </c>
      <c r="AB718" s="6">
        <f>$K$718*$V$718</f>
        <v>0</v>
      </c>
      <c r="AC718" s="6">
        <f>$M$718*$W$718</f>
        <v>42.895919999999997</v>
      </c>
      <c r="AD718" s="6">
        <f>$O$718*$X$718</f>
        <v>30.557340000000003</v>
      </c>
      <c r="AE718" s="6">
        <f>$K$718*$Y$718</f>
        <v>0</v>
      </c>
      <c r="AF718" s="6">
        <f ca="1">$M$718*$Z$718</f>
        <v>52.561504021141744</v>
      </c>
      <c r="AG718" s="6">
        <f>$O$718*$AA$718</f>
        <v>33.564089799998378</v>
      </c>
    </row>
    <row r="719" spans="1:33" ht="11.25" customHeight="1" x14ac:dyDescent="0.3">
      <c r="A719" s="4" t="s">
        <v>21</v>
      </c>
      <c r="B719" s="4" t="s">
        <v>22</v>
      </c>
      <c r="C719" s="4" t="s">
        <v>33</v>
      </c>
      <c r="D719" s="4" t="s">
        <v>24</v>
      </c>
      <c r="E719" s="4" t="s">
        <v>24</v>
      </c>
      <c r="F719" s="4" t="s">
        <v>25</v>
      </c>
      <c r="G719" s="4" t="s">
        <v>25</v>
      </c>
      <c r="H719" s="4" t="s">
        <v>34</v>
      </c>
      <c r="I719" s="5">
        <v>44805</v>
      </c>
      <c r="J719" s="6">
        <v>0</v>
      </c>
      <c r="K719" s="6">
        <v>0</v>
      </c>
      <c r="L719" s="6">
        <v>0.99399999999999999</v>
      </c>
      <c r="M719" s="6">
        <v>0.99399999999999999</v>
      </c>
      <c r="N719" s="6">
        <v>0.99399999999999999</v>
      </c>
      <c r="O719" s="6">
        <v>0.99399999999999999</v>
      </c>
      <c r="P719" s="6">
        <v>0</v>
      </c>
      <c r="Q719" s="4" t="s">
        <v>26</v>
      </c>
      <c r="R719" s="4">
        <v>0</v>
      </c>
      <c r="S719" s="6">
        <v>0</v>
      </c>
      <c r="T719" s="6">
        <v>43</v>
      </c>
      <c r="U719" s="6">
        <v>68</v>
      </c>
      <c r="V719" s="6">
        <f>IF(ISERROR(VLOOKUP($S$719,'TAR FIN'!$A$1:$O$113,15,0)),0,VLOOKUP($S$719,'TAR FIN'!$A$1:$O$113,15,0))</f>
        <v>0</v>
      </c>
      <c r="W719" s="6">
        <f>IF(ISERROR(VLOOKUP($T$719,'TAR FIN'!$A$1:$O$113,15,0)),0,VLOOKUP($T$719,'TAR FIN'!$A$1:$O$113,15,0))</f>
        <v>621.67999999999995</v>
      </c>
      <c r="X719" s="6">
        <f>IF(ISERROR(VLOOKUP($U$719,'TAR FIN'!$A$1:$O$113,15,0)),0,VLOOKUP($U$719,'TAR FIN'!$A$1:$O$113,15,0))</f>
        <v>442.86</v>
      </c>
      <c r="Y719" s="6"/>
      <c r="Z719" s="6">
        <f ca="1">('TUSD BE'!$AM$37+'TUSD BF'!$AM$37+'TUSD CVA'!$AM$37)*1</f>
        <v>761.76092784263392</v>
      </c>
      <c r="AA719" s="6">
        <f>('TE BE'!$AB$15+'TE BF'!$AB$15+'TE CVA'!$AB$15)*1</f>
        <v>486.43608405794748</v>
      </c>
      <c r="AB719" s="6">
        <f>$K$719*$V$719</f>
        <v>0</v>
      </c>
      <c r="AC719" s="6">
        <f>$M$719*$W$719</f>
        <v>617.94991999999991</v>
      </c>
      <c r="AD719" s="6">
        <f>$O$719*$X$719</f>
        <v>440.20284000000004</v>
      </c>
      <c r="AE719" s="6">
        <f>$K$719*$Y$719</f>
        <v>0</v>
      </c>
      <c r="AF719" s="6">
        <f ca="1">$M$719*$Z$719</f>
        <v>757.19036227557808</v>
      </c>
      <c r="AG719" s="6">
        <f>$O$719*$AA$719</f>
        <v>483.51746755359977</v>
      </c>
    </row>
    <row r="720" spans="1:33" ht="11.25" customHeight="1" x14ac:dyDescent="0.3">
      <c r="A720" s="4" t="s">
        <v>28</v>
      </c>
      <c r="B720" s="4" t="s">
        <v>22</v>
      </c>
      <c r="C720" s="4" t="s">
        <v>33</v>
      </c>
      <c r="D720" s="4" t="s">
        <v>24</v>
      </c>
      <c r="E720" s="4" t="s">
        <v>24</v>
      </c>
      <c r="F720" s="4" t="s">
        <v>25</v>
      </c>
      <c r="G720" s="4" t="s">
        <v>25</v>
      </c>
      <c r="H720" s="4" t="s">
        <v>34</v>
      </c>
      <c r="I720" s="5">
        <v>44805</v>
      </c>
      <c r="J720" s="6">
        <v>0</v>
      </c>
      <c r="K720" s="6">
        <v>0</v>
      </c>
      <c r="L720" s="6">
        <v>8.7999999999999995E-2</v>
      </c>
      <c r="M720" s="6">
        <v>8.7999999999999995E-2</v>
      </c>
      <c r="N720" s="6">
        <v>8.7999999999999995E-2</v>
      </c>
      <c r="O720" s="6">
        <v>8.7999999999999995E-2</v>
      </c>
      <c r="P720" s="6">
        <v>0</v>
      </c>
      <c r="Q720" s="4" t="s">
        <v>26</v>
      </c>
      <c r="R720" s="4">
        <v>0</v>
      </c>
      <c r="S720" s="6">
        <v>0</v>
      </c>
      <c r="T720" s="6">
        <v>43</v>
      </c>
      <c r="U720" s="6">
        <v>68</v>
      </c>
      <c r="V720" s="6">
        <f>IF(ISERROR(VLOOKUP($S$720,'TAR FIN'!$A$1:$O$113,15,0)),0,VLOOKUP($S$720,'TAR FIN'!$A$1:$O$113,15,0))</f>
        <v>0</v>
      </c>
      <c r="W720" s="6">
        <f>IF(ISERROR(VLOOKUP($T$720,'TAR FIN'!$A$1:$O$113,15,0)),0,VLOOKUP($T$720,'TAR FIN'!$A$1:$O$113,15,0))</f>
        <v>621.67999999999995</v>
      </c>
      <c r="X720" s="6">
        <f>IF(ISERROR(VLOOKUP($U$720,'TAR FIN'!$A$1:$O$113,15,0)),0,VLOOKUP($U$720,'TAR FIN'!$A$1:$O$113,15,0))</f>
        <v>442.86</v>
      </c>
      <c r="Y720" s="6"/>
      <c r="Z720" s="6">
        <f ca="1">('TUSD BE'!$AM$37+'TUSD BF'!$AM$37+'TUSD CVA'!$AM$37)*1</f>
        <v>761.76092784263392</v>
      </c>
      <c r="AA720" s="6">
        <f>('TE BE'!$AB$15+'TE BF'!$AB$15+'TE CVA'!$AB$15)*1</f>
        <v>486.43608405794748</v>
      </c>
      <c r="AB720" s="6">
        <f>$K$720*$V$720</f>
        <v>0</v>
      </c>
      <c r="AC720" s="6">
        <f>$M$720*$W$720</f>
        <v>54.70783999999999</v>
      </c>
      <c r="AD720" s="6">
        <f>$O$720*$X$720</f>
        <v>38.971679999999999</v>
      </c>
      <c r="AE720" s="6">
        <f>$K$720*$Y$720</f>
        <v>0</v>
      </c>
      <c r="AF720" s="6">
        <f ca="1">$M$720*$Z$720</f>
        <v>67.034961650151786</v>
      </c>
      <c r="AG720" s="6">
        <f>$O$720*$AA$720</f>
        <v>42.806375397099373</v>
      </c>
    </row>
    <row r="721" spans="1:33" ht="11.25" customHeight="1" x14ac:dyDescent="0.3">
      <c r="A721" s="4" t="s">
        <v>53</v>
      </c>
      <c r="B721" s="4" t="s">
        <v>22</v>
      </c>
      <c r="C721" s="4" t="s">
        <v>33</v>
      </c>
      <c r="D721" s="4" t="s">
        <v>24</v>
      </c>
      <c r="E721" s="4" t="s">
        <v>24</v>
      </c>
      <c r="F721" s="4" t="s">
        <v>25</v>
      </c>
      <c r="G721" s="4" t="s">
        <v>25</v>
      </c>
      <c r="H721" s="4" t="s">
        <v>34</v>
      </c>
      <c r="I721" s="5">
        <v>44835</v>
      </c>
      <c r="J721" s="6">
        <v>0</v>
      </c>
      <c r="K721" s="6">
        <v>0</v>
      </c>
      <c r="L721" s="6">
        <v>0.99399999999999999</v>
      </c>
      <c r="M721" s="6">
        <v>0.99399999999999999</v>
      </c>
      <c r="N721" s="6">
        <v>0.99399999999999999</v>
      </c>
      <c r="O721" s="6">
        <v>0.99399999999999999</v>
      </c>
      <c r="P721" s="6">
        <v>0</v>
      </c>
      <c r="Q721" s="4" t="s">
        <v>26</v>
      </c>
      <c r="R721" s="4">
        <v>0</v>
      </c>
      <c r="S721" s="6">
        <v>0</v>
      </c>
      <c r="T721" s="6">
        <v>43</v>
      </c>
      <c r="U721" s="6">
        <v>68</v>
      </c>
      <c r="V721" s="6">
        <f>IF(ISERROR(VLOOKUP($S$721,'TAR FIN'!$A$1:$O$113,15,0)),0,VLOOKUP($S$721,'TAR FIN'!$A$1:$O$113,15,0))</f>
        <v>0</v>
      </c>
      <c r="W721" s="6">
        <f>IF(ISERROR(VLOOKUP($T$721,'TAR FIN'!$A$1:$O$113,15,0)),0,VLOOKUP($T$721,'TAR FIN'!$A$1:$O$113,15,0))</f>
        <v>621.67999999999995</v>
      </c>
      <c r="X721" s="6">
        <f>IF(ISERROR(VLOOKUP($U$721,'TAR FIN'!$A$1:$O$113,15,0)),0,VLOOKUP($U$721,'TAR FIN'!$A$1:$O$113,15,0))</f>
        <v>442.86</v>
      </c>
      <c r="Y721" s="6"/>
      <c r="Z721" s="6">
        <f ca="1">('TUSD BE'!$AM$37+'TUSD BF'!$AM$37+'TUSD CVA'!$AM$37)*1</f>
        <v>761.76092784263392</v>
      </c>
      <c r="AA721" s="6">
        <f>('TE BE'!$AB$15+'TE BF'!$AB$15+'TE CVA'!$AB$15)*1</f>
        <v>486.43608405794748</v>
      </c>
      <c r="AB721" s="6">
        <f>$K$721*$V$721</f>
        <v>0</v>
      </c>
      <c r="AC721" s="6">
        <f>$M$721*$W$721</f>
        <v>617.94991999999991</v>
      </c>
      <c r="AD721" s="6">
        <f>$O$721*$X$721</f>
        <v>440.20284000000004</v>
      </c>
      <c r="AE721" s="6">
        <f>$K$721*$Y$721</f>
        <v>0</v>
      </c>
      <c r="AF721" s="6">
        <f ca="1">$M$721*$Z$721</f>
        <v>757.19036227557808</v>
      </c>
      <c r="AG721" s="6">
        <f>$O$721*$AA$721</f>
        <v>483.51746755359977</v>
      </c>
    </row>
    <row r="722" spans="1:33" ht="11.25" customHeight="1" x14ac:dyDescent="0.3">
      <c r="A722" s="4" t="s">
        <v>53</v>
      </c>
      <c r="B722" s="4" t="s">
        <v>22</v>
      </c>
      <c r="C722" s="4" t="s">
        <v>33</v>
      </c>
      <c r="D722" s="4" t="s">
        <v>24</v>
      </c>
      <c r="E722" s="4" t="s">
        <v>24</v>
      </c>
      <c r="F722" s="4" t="s">
        <v>25</v>
      </c>
      <c r="G722" s="4" t="s">
        <v>25</v>
      </c>
      <c r="H722" s="4" t="s">
        <v>34</v>
      </c>
      <c r="I722" s="5">
        <v>44835</v>
      </c>
      <c r="J722" s="6">
        <v>0</v>
      </c>
      <c r="K722" s="6">
        <v>0</v>
      </c>
      <c r="L722" s="6">
        <v>8.7999999999999995E-2</v>
      </c>
      <c r="M722" s="6">
        <v>8.7999999999999995E-2</v>
      </c>
      <c r="N722" s="6">
        <v>8.7999999999999995E-2</v>
      </c>
      <c r="O722" s="6">
        <v>8.7999999999999995E-2</v>
      </c>
      <c r="P722" s="6">
        <v>0</v>
      </c>
      <c r="Q722" s="4" t="s">
        <v>26</v>
      </c>
      <c r="R722" s="4">
        <v>0</v>
      </c>
      <c r="S722" s="6">
        <v>0</v>
      </c>
      <c r="T722" s="6">
        <v>43</v>
      </c>
      <c r="U722" s="6">
        <v>68</v>
      </c>
      <c r="V722" s="6">
        <f>IF(ISERROR(VLOOKUP($S$722,'TAR FIN'!$A$1:$O$113,15,0)),0,VLOOKUP($S$722,'TAR FIN'!$A$1:$O$113,15,0))</f>
        <v>0</v>
      </c>
      <c r="W722" s="6">
        <f>IF(ISERROR(VLOOKUP($T$722,'TAR FIN'!$A$1:$O$113,15,0)),0,VLOOKUP($T$722,'TAR FIN'!$A$1:$O$113,15,0))</f>
        <v>621.67999999999995</v>
      </c>
      <c r="X722" s="6">
        <f>IF(ISERROR(VLOOKUP($U$722,'TAR FIN'!$A$1:$O$113,15,0)),0,VLOOKUP($U$722,'TAR FIN'!$A$1:$O$113,15,0))</f>
        <v>442.86</v>
      </c>
      <c r="Y722" s="6"/>
      <c r="Z722" s="6">
        <f ca="1">('TUSD BE'!$AM$37+'TUSD BF'!$AM$37+'TUSD CVA'!$AM$37)*1</f>
        <v>761.76092784263392</v>
      </c>
      <c r="AA722" s="6">
        <f>('TE BE'!$AB$15+'TE BF'!$AB$15+'TE CVA'!$AB$15)*1</f>
        <v>486.43608405794748</v>
      </c>
      <c r="AB722" s="6">
        <f>$K$722*$V$722</f>
        <v>0</v>
      </c>
      <c r="AC722" s="6">
        <f>$M$722*$W$722</f>
        <v>54.70783999999999</v>
      </c>
      <c r="AD722" s="6">
        <f>$O$722*$X$722</f>
        <v>38.971679999999999</v>
      </c>
      <c r="AE722" s="6">
        <f>$K$722*$Y$722</f>
        <v>0</v>
      </c>
      <c r="AF722" s="6">
        <f ca="1">$M$722*$Z$722</f>
        <v>67.034961650151786</v>
      </c>
      <c r="AG722" s="6">
        <f>$O$722*$AA$722</f>
        <v>42.806375397099373</v>
      </c>
    </row>
    <row r="723" spans="1:33" ht="11.25" customHeight="1" x14ac:dyDescent="0.3">
      <c r="A723" s="4" t="s">
        <v>21</v>
      </c>
      <c r="B723" s="4" t="s">
        <v>22</v>
      </c>
      <c r="C723" s="4" t="s">
        <v>23</v>
      </c>
      <c r="D723" s="4" t="s">
        <v>24</v>
      </c>
      <c r="E723" s="4" t="s">
        <v>24</v>
      </c>
      <c r="F723" s="4" t="s">
        <v>25</v>
      </c>
      <c r="G723" s="4" t="s">
        <v>25</v>
      </c>
      <c r="H723" s="4" t="s">
        <v>25</v>
      </c>
      <c r="I723" s="5">
        <v>44501</v>
      </c>
      <c r="J723" s="6">
        <v>0</v>
      </c>
      <c r="K723" s="6">
        <v>0</v>
      </c>
      <c r="L723" s="6">
        <v>10420.1</v>
      </c>
      <c r="M723" s="6">
        <v>10420.1</v>
      </c>
      <c r="N723" s="6">
        <v>10420.1</v>
      </c>
      <c r="O723" s="6">
        <v>10420.1</v>
      </c>
      <c r="P723" s="6">
        <v>68790</v>
      </c>
      <c r="Q723" s="4" t="s">
        <v>26</v>
      </c>
      <c r="R723" s="4">
        <v>0</v>
      </c>
      <c r="S723" s="6">
        <v>0</v>
      </c>
      <c r="T723" s="6">
        <v>46</v>
      </c>
      <c r="U723" s="6">
        <v>111</v>
      </c>
      <c r="V723" s="6">
        <f>IF(ISERROR(VLOOKUP($S$723,'TAR FIN'!$A$1:$O$113,15,0)),0,VLOOKUP($S$723,'TAR FIN'!$A$1:$O$113,15,0))</f>
        <v>0</v>
      </c>
      <c r="W723" s="6">
        <f>IF(ISERROR(VLOOKUP($T$723,'TAR FIN'!$A$1:$O$113,15,0)),0,VLOOKUP($T$723,'TAR FIN'!$A$1:$O$113,15,0))</f>
        <v>300.3</v>
      </c>
      <c r="X723" s="6">
        <f>IF(ISERROR(VLOOKUP($U$723,'TAR FIN'!$A$1:$O$113,15,0)),0,VLOOKUP($U$723,'TAR FIN'!$A$1:$O$113,15,0))</f>
        <v>292.36</v>
      </c>
      <c r="Y723" s="6"/>
      <c r="Z723" s="6">
        <f ca="1">('TUSD BE'!$AM$40+'TUSD BF'!$AM$40+'TUSD CVA'!$AM$40)*1</f>
        <v>393.28439820871614</v>
      </c>
      <c r="AA723" s="6">
        <f>('TE BE'!$AB$18+'TE BF'!$AB$18+'TE CVA'!$AB$18)*1</f>
        <v>314.78517822974521</v>
      </c>
      <c r="AB723" s="6">
        <f>$K$723*$V$723</f>
        <v>0</v>
      </c>
      <c r="AC723" s="6">
        <f>$M$723*$W$723</f>
        <v>3129156.0300000003</v>
      </c>
      <c r="AD723" s="6">
        <f>$O$723*$X$723</f>
        <v>3046420.4360000002</v>
      </c>
      <c r="AE723" s="6">
        <f>$K$723*$Y$723</f>
        <v>0</v>
      </c>
      <c r="AF723" s="6">
        <f ca="1">$M$723*$Z$723</f>
        <v>4098062.7577746431</v>
      </c>
      <c r="AG723" s="6">
        <f>$O$723*$AA$723</f>
        <v>3280093.0356717682</v>
      </c>
    </row>
    <row r="724" spans="1:33" ht="11.25" customHeight="1" x14ac:dyDescent="0.3">
      <c r="A724" s="4" t="s">
        <v>27</v>
      </c>
      <c r="B724" s="4" t="s">
        <v>22</v>
      </c>
      <c r="C724" s="4" t="s">
        <v>23</v>
      </c>
      <c r="D724" s="4" t="s">
        <v>24</v>
      </c>
      <c r="E724" s="4" t="s">
        <v>24</v>
      </c>
      <c r="F724" s="4" t="s">
        <v>25</v>
      </c>
      <c r="G724" s="4" t="s">
        <v>25</v>
      </c>
      <c r="H724" s="4" t="s">
        <v>25</v>
      </c>
      <c r="I724" s="5">
        <v>44501</v>
      </c>
      <c r="J724" s="6">
        <v>0</v>
      </c>
      <c r="K724" s="6">
        <v>0</v>
      </c>
      <c r="L724" s="6">
        <v>-5.1719999999999997</v>
      </c>
      <c r="M724" s="6">
        <v>-5.1719999999999997</v>
      </c>
      <c r="N724" s="6">
        <v>-5.1719999999999997</v>
      </c>
      <c r="O724" s="6">
        <v>-5.1719999999999997</v>
      </c>
      <c r="P724" s="6">
        <v>0</v>
      </c>
      <c r="Q724" s="4" t="s">
        <v>26</v>
      </c>
      <c r="R724" s="4">
        <v>0</v>
      </c>
      <c r="S724" s="6">
        <v>0</v>
      </c>
      <c r="T724" s="6">
        <v>46</v>
      </c>
      <c r="U724" s="6">
        <v>111</v>
      </c>
      <c r="V724" s="6">
        <f>IF(ISERROR(VLOOKUP($S$724,'TAR FIN'!$A$1:$O$113,15,0)),0,VLOOKUP($S$724,'TAR FIN'!$A$1:$O$113,15,0))</f>
        <v>0</v>
      </c>
      <c r="W724" s="6">
        <f>IF(ISERROR(VLOOKUP($T$724,'TAR FIN'!$A$1:$O$113,15,0)),0,VLOOKUP($T$724,'TAR FIN'!$A$1:$O$113,15,0))</f>
        <v>300.3</v>
      </c>
      <c r="X724" s="6">
        <f>IF(ISERROR(VLOOKUP($U$724,'TAR FIN'!$A$1:$O$113,15,0)),0,VLOOKUP($U$724,'TAR FIN'!$A$1:$O$113,15,0))</f>
        <v>292.36</v>
      </c>
      <c r="Y724" s="6"/>
      <c r="Z724" s="6">
        <f ca="1">('TUSD BE'!$AM$40+'TUSD BF'!$AM$40+'TUSD CVA'!$AM$40)*1</f>
        <v>393.28439820871614</v>
      </c>
      <c r="AA724" s="6">
        <f>('TE BE'!$AB$18+'TE BF'!$AB$18+'TE CVA'!$AB$18)*1</f>
        <v>314.78517822974521</v>
      </c>
      <c r="AB724" s="6">
        <f>$K$724*$V$724</f>
        <v>0</v>
      </c>
      <c r="AC724" s="6">
        <f>$M$724*$W$724</f>
        <v>-1553.1515999999999</v>
      </c>
      <c r="AD724" s="6">
        <f>$O$724*$X$724</f>
        <v>-1512.08592</v>
      </c>
      <c r="AE724" s="6">
        <f>$K$724*$Y$724</f>
        <v>0</v>
      </c>
      <c r="AF724" s="6">
        <f ca="1">$M$724*$Z$724</f>
        <v>-2034.0669075354797</v>
      </c>
      <c r="AG724" s="6">
        <f>$O$724*$AA$724</f>
        <v>-1628.0689418042421</v>
      </c>
    </row>
    <row r="725" spans="1:33" ht="11.25" customHeight="1" x14ac:dyDescent="0.3">
      <c r="A725" s="4" t="s">
        <v>28</v>
      </c>
      <c r="B725" s="4" t="s">
        <v>22</v>
      </c>
      <c r="C725" s="4" t="s">
        <v>23</v>
      </c>
      <c r="D725" s="4" t="s">
        <v>24</v>
      </c>
      <c r="E725" s="4" t="s">
        <v>24</v>
      </c>
      <c r="F725" s="4" t="s">
        <v>25</v>
      </c>
      <c r="G725" s="4" t="s">
        <v>25</v>
      </c>
      <c r="H725" s="4" t="s">
        <v>25</v>
      </c>
      <c r="I725" s="5">
        <v>44501</v>
      </c>
      <c r="J725" s="6">
        <v>0</v>
      </c>
      <c r="K725" s="6">
        <v>0</v>
      </c>
      <c r="L725" s="6">
        <v>55.469000000000001</v>
      </c>
      <c r="M725" s="6">
        <v>55.469000000000001</v>
      </c>
      <c r="N725" s="6">
        <v>55.469000000000001</v>
      </c>
      <c r="O725" s="6">
        <v>55.469000000000001</v>
      </c>
      <c r="P725" s="6">
        <v>424</v>
      </c>
      <c r="Q725" s="4" t="s">
        <v>26</v>
      </c>
      <c r="R725" s="4">
        <v>0</v>
      </c>
      <c r="S725" s="6">
        <v>0</v>
      </c>
      <c r="T725" s="6">
        <v>46</v>
      </c>
      <c r="U725" s="6">
        <v>111</v>
      </c>
      <c r="V725" s="6">
        <f>IF(ISERROR(VLOOKUP($S$725,'TAR FIN'!$A$1:$O$113,15,0)),0,VLOOKUP($S$725,'TAR FIN'!$A$1:$O$113,15,0))</f>
        <v>0</v>
      </c>
      <c r="W725" s="6">
        <f>IF(ISERROR(VLOOKUP($T$725,'TAR FIN'!$A$1:$O$113,15,0)),0,VLOOKUP($T$725,'TAR FIN'!$A$1:$O$113,15,0))</f>
        <v>300.3</v>
      </c>
      <c r="X725" s="6">
        <f>IF(ISERROR(VLOOKUP($U$725,'TAR FIN'!$A$1:$O$113,15,0)),0,VLOOKUP($U$725,'TAR FIN'!$A$1:$O$113,15,0))</f>
        <v>292.36</v>
      </c>
      <c r="Y725" s="6"/>
      <c r="Z725" s="6">
        <f ca="1">('TUSD BE'!$AM$40+'TUSD BF'!$AM$40+'TUSD CVA'!$AM$40)*1</f>
        <v>393.28439820871614</v>
      </c>
      <c r="AA725" s="6">
        <f>('TE BE'!$AB$18+'TE BF'!$AB$18+'TE CVA'!$AB$18)*1</f>
        <v>314.78517822974521</v>
      </c>
      <c r="AB725" s="6">
        <f>$K$725*$V$725</f>
        <v>0</v>
      </c>
      <c r="AC725" s="6">
        <f>$M$725*$W$725</f>
        <v>16657.340700000001</v>
      </c>
      <c r="AD725" s="6">
        <f>$O$725*$X$725</f>
        <v>16216.916840000002</v>
      </c>
      <c r="AE725" s="6">
        <f>$K$725*$Y$725</f>
        <v>0</v>
      </c>
      <c r="AF725" s="6">
        <f ca="1">$M$725*$Z$725</f>
        <v>21815.092284239276</v>
      </c>
      <c r="AG725" s="6">
        <f>$O$725*$AA$725</f>
        <v>17460.819051225739</v>
      </c>
    </row>
    <row r="726" spans="1:33" ht="11.25" customHeight="1" x14ac:dyDescent="0.3">
      <c r="A726" s="4" t="s">
        <v>28</v>
      </c>
      <c r="B726" s="4" t="s">
        <v>22</v>
      </c>
      <c r="C726" s="4" t="s">
        <v>23</v>
      </c>
      <c r="D726" s="4" t="s">
        <v>24</v>
      </c>
      <c r="E726" s="4" t="s">
        <v>24</v>
      </c>
      <c r="F726" s="4" t="s">
        <v>25</v>
      </c>
      <c r="G726" s="4" t="s">
        <v>25</v>
      </c>
      <c r="H726" s="4" t="s">
        <v>25</v>
      </c>
      <c r="I726" s="5">
        <v>44501</v>
      </c>
      <c r="J726" s="6">
        <v>0</v>
      </c>
      <c r="K726" s="6">
        <v>0</v>
      </c>
      <c r="L726" s="6">
        <v>-4.0000000000000001E-3</v>
      </c>
      <c r="M726" s="6">
        <v>-4.0000000000000001E-3</v>
      </c>
      <c r="N726" s="6">
        <v>-4.0000000000000001E-3</v>
      </c>
      <c r="O726" s="6">
        <v>-4.0000000000000001E-3</v>
      </c>
      <c r="P726" s="6">
        <v>4</v>
      </c>
      <c r="Q726" s="4" t="s">
        <v>26</v>
      </c>
      <c r="R726" s="4">
        <v>0</v>
      </c>
      <c r="S726" s="6">
        <v>0</v>
      </c>
      <c r="T726" s="6">
        <v>46</v>
      </c>
      <c r="U726" s="6">
        <v>111</v>
      </c>
      <c r="V726" s="6">
        <f>IF(ISERROR(VLOOKUP($S$726,'TAR FIN'!$A$1:$O$113,15,0)),0,VLOOKUP($S$726,'TAR FIN'!$A$1:$O$113,15,0))</f>
        <v>0</v>
      </c>
      <c r="W726" s="6">
        <f>IF(ISERROR(VLOOKUP($T$726,'TAR FIN'!$A$1:$O$113,15,0)),0,VLOOKUP($T$726,'TAR FIN'!$A$1:$O$113,15,0))</f>
        <v>300.3</v>
      </c>
      <c r="X726" s="6">
        <f>IF(ISERROR(VLOOKUP($U$726,'TAR FIN'!$A$1:$O$113,15,0)),0,VLOOKUP($U$726,'TAR FIN'!$A$1:$O$113,15,0))</f>
        <v>292.36</v>
      </c>
      <c r="Y726" s="6"/>
      <c r="Z726" s="6">
        <f ca="1">('TUSD BE'!$AM$40+'TUSD BF'!$AM$40+'TUSD CVA'!$AM$40)*1</f>
        <v>393.28439820871614</v>
      </c>
      <c r="AA726" s="6">
        <f>('TE BE'!$AB$18+'TE BF'!$AB$18+'TE CVA'!$AB$18)*1</f>
        <v>314.78517822974521</v>
      </c>
      <c r="AB726" s="6">
        <f>$K$726*$V$726</f>
        <v>0</v>
      </c>
      <c r="AC726" s="6">
        <f>$M$726*$W$726</f>
        <v>-1.2012</v>
      </c>
      <c r="AD726" s="6">
        <f>$O$726*$X$726</f>
        <v>-1.16944</v>
      </c>
      <c r="AE726" s="6">
        <f>$K$726*$Y$726</f>
        <v>0</v>
      </c>
      <c r="AF726" s="6">
        <f ca="1">$M$726*$Z$726</f>
        <v>-1.5731375928348645</v>
      </c>
      <c r="AG726" s="6">
        <f>$O$726*$AA$726</f>
        <v>-1.2591407129189809</v>
      </c>
    </row>
    <row r="727" spans="1:33" ht="11.25" customHeight="1" x14ac:dyDescent="0.3">
      <c r="A727" s="4" t="s">
        <v>21</v>
      </c>
      <c r="B727" s="4" t="s">
        <v>22</v>
      </c>
      <c r="C727" s="4" t="s">
        <v>23</v>
      </c>
      <c r="D727" s="4" t="s">
        <v>24</v>
      </c>
      <c r="E727" s="4" t="s">
        <v>24</v>
      </c>
      <c r="F727" s="4" t="s">
        <v>25</v>
      </c>
      <c r="G727" s="4" t="s">
        <v>25</v>
      </c>
      <c r="H727" s="4" t="s">
        <v>25</v>
      </c>
      <c r="I727" s="5">
        <v>44531</v>
      </c>
      <c r="J727" s="6">
        <v>0</v>
      </c>
      <c r="K727" s="6">
        <v>0</v>
      </c>
      <c r="L727" s="6">
        <v>10009.361000000001</v>
      </c>
      <c r="M727" s="6">
        <v>10009.361000000001</v>
      </c>
      <c r="N727" s="6">
        <v>10009.361000000001</v>
      </c>
      <c r="O727" s="6">
        <v>10009.361000000001</v>
      </c>
      <c r="P727" s="6">
        <v>68502</v>
      </c>
      <c r="Q727" s="4" t="s">
        <v>26</v>
      </c>
      <c r="R727" s="4">
        <v>0</v>
      </c>
      <c r="S727" s="6">
        <v>0</v>
      </c>
      <c r="T727" s="6">
        <v>46</v>
      </c>
      <c r="U727" s="6">
        <v>111</v>
      </c>
      <c r="V727" s="6">
        <f>IF(ISERROR(VLOOKUP($S$727,'TAR FIN'!$A$1:$O$113,15,0)),0,VLOOKUP($S$727,'TAR FIN'!$A$1:$O$113,15,0))</f>
        <v>0</v>
      </c>
      <c r="W727" s="6">
        <f>IF(ISERROR(VLOOKUP($T$727,'TAR FIN'!$A$1:$O$113,15,0)),0,VLOOKUP($T$727,'TAR FIN'!$A$1:$O$113,15,0))</f>
        <v>300.3</v>
      </c>
      <c r="X727" s="6">
        <f>IF(ISERROR(VLOOKUP($U$727,'TAR FIN'!$A$1:$O$113,15,0)),0,VLOOKUP($U$727,'TAR FIN'!$A$1:$O$113,15,0))</f>
        <v>292.36</v>
      </c>
      <c r="Y727" s="6"/>
      <c r="Z727" s="6">
        <f ca="1">('TUSD BE'!$AM$40+'TUSD BF'!$AM$40+'TUSD CVA'!$AM$40)*1</f>
        <v>393.28439820871614</v>
      </c>
      <c r="AA727" s="6">
        <f>('TE BE'!$AB$18+'TE BF'!$AB$18+'TE CVA'!$AB$18)*1</f>
        <v>314.78517822974521</v>
      </c>
      <c r="AB727" s="6">
        <f>$K$727*$V$727</f>
        <v>0</v>
      </c>
      <c r="AC727" s="6">
        <f>$M$727*$W$727</f>
        <v>3005811.1083000004</v>
      </c>
      <c r="AD727" s="6">
        <f>$O$727*$X$727</f>
        <v>2926336.7819600003</v>
      </c>
      <c r="AE727" s="6">
        <f>$K$727*$Y$727</f>
        <v>0</v>
      </c>
      <c r="AF727" s="6">
        <f ca="1">$M$727*$Z$727</f>
        <v>3936525.5173387937</v>
      </c>
      <c r="AG727" s="6">
        <f>$O$727*$AA$727</f>
        <v>3150798.4863508609</v>
      </c>
    </row>
    <row r="728" spans="1:33" ht="11.25" customHeight="1" x14ac:dyDescent="0.3">
      <c r="A728" s="4" t="s">
        <v>27</v>
      </c>
      <c r="B728" s="4" t="s">
        <v>22</v>
      </c>
      <c r="C728" s="4" t="s">
        <v>23</v>
      </c>
      <c r="D728" s="4" t="s">
        <v>24</v>
      </c>
      <c r="E728" s="4" t="s">
        <v>24</v>
      </c>
      <c r="F728" s="4" t="s">
        <v>25</v>
      </c>
      <c r="G728" s="4" t="s">
        <v>25</v>
      </c>
      <c r="H728" s="4" t="s">
        <v>25</v>
      </c>
      <c r="I728" s="5">
        <v>44531</v>
      </c>
      <c r="J728" s="6">
        <v>0</v>
      </c>
      <c r="K728" s="6">
        <v>0</v>
      </c>
      <c r="L728" s="6">
        <v>-12.653</v>
      </c>
      <c r="M728" s="6">
        <v>-12.653</v>
      </c>
      <c r="N728" s="6">
        <v>-12.653</v>
      </c>
      <c r="O728" s="6">
        <v>-12.653</v>
      </c>
      <c r="P728" s="6">
        <v>0</v>
      </c>
      <c r="Q728" s="4" t="s">
        <v>26</v>
      </c>
      <c r="R728" s="4">
        <v>0</v>
      </c>
      <c r="S728" s="6">
        <v>0</v>
      </c>
      <c r="T728" s="6">
        <v>46</v>
      </c>
      <c r="U728" s="6">
        <v>111</v>
      </c>
      <c r="V728" s="6">
        <f>IF(ISERROR(VLOOKUP($S$728,'TAR FIN'!$A$1:$O$113,15,0)),0,VLOOKUP($S$728,'TAR FIN'!$A$1:$O$113,15,0))</f>
        <v>0</v>
      </c>
      <c r="W728" s="6">
        <f>IF(ISERROR(VLOOKUP($T$728,'TAR FIN'!$A$1:$O$113,15,0)),0,VLOOKUP($T$728,'TAR FIN'!$A$1:$O$113,15,0))</f>
        <v>300.3</v>
      </c>
      <c r="X728" s="6">
        <f>IF(ISERROR(VLOOKUP($U$728,'TAR FIN'!$A$1:$O$113,15,0)),0,VLOOKUP($U$728,'TAR FIN'!$A$1:$O$113,15,0))</f>
        <v>292.36</v>
      </c>
      <c r="Y728" s="6"/>
      <c r="Z728" s="6">
        <f ca="1">('TUSD BE'!$AM$40+'TUSD BF'!$AM$40+'TUSD CVA'!$AM$40)*1</f>
        <v>393.28439820871614</v>
      </c>
      <c r="AA728" s="6">
        <f>('TE BE'!$AB$18+'TE BF'!$AB$18+'TE CVA'!$AB$18)*1</f>
        <v>314.78517822974521</v>
      </c>
      <c r="AB728" s="6">
        <f>$K$728*$V$728</f>
        <v>0</v>
      </c>
      <c r="AC728" s="6">
        <f>$M$728*$W$728</f>
        <v>-3799.6959000000002</v>
      </c>
      <c r="AD728" s="6">
        <f>$O$728*$X$728</f>
        <v>-3699.2310800000005</v>
      </c>
      <c r="AE728" s="6">
        <f>$K$728*$Y$728</f>
        <v>0</v>
      </c>
      <c r="AF728" s="6">
        <f ca="1">$M$728*$Z$728</f>
        <v>-4976.2274905348859</v>
      </c>
      <c r="AG728" s="6">
        <f>$O$728*$AA$728</f>
        <v>-3982.9768601409664</v>
      </c>
    </row>
    <row r="729" spans="1:33" ht="11.25" customHeight="1" x14ac:dyDescent="0.3">
      <c r="A729" s="4" t="s">
        <v>28</v>
      </c>
      <c r="B729" s="4" t="s">
        <v>22</v>
      </c>
      <c r="C729" s="4" t="s">
        <v>23</v>
      </c>
      <c r="D729" s="4" t="s">
        <v>24</v>
      </c>
      <c r="E729" s="4" t="s">
        <v>24</v>
      </c>
      <c r="F729" s="4" t="s">
        <v>25</v>
      </c>
      <c r="G729" s="4" t="s">
        <v>25</v>
      </c>
      <c r="H729" s="4" t="s">
        <v>25</v>
      </c>
      <c r="I729" s="5">
        <v>44531</v>
      </c>
      <c r="J729" s="6">
        <v>0</v>
      </c>
      <c r="K729" s="6">
        <v>0</v>
      </c>
      <c r="L729" s="6">
        <v>54.781999999999996</v>
      </c>
      <c r="M729" s="6">
        <v>54.781999999999996</v>
      </c>
      <c r="N729" s="6">
        <v>54.781999999999996</v>
      </c>
      <c r="O729" s="6">
        <v>54.781999999999996</v>
      </c>
      <c r="P729" s="6">
        <v>468</v>
      </c>
      <c r="Q729" s="4" t="s">
        <v>26</v>
      </c>
      <c r="R729" s="4">
        <v>0</v>
      </c>
      <c r="S729" s="6">
        <v>0</v>
      </c>
      <c r="T729" s="6">
        <v>46</v>
      </c>
      <c r="U729" s="6">
        <v>111</v>
      </c>
      <c r="V729" s="6">
        <f>IF(ISERROR(VLOOKUP($S$729,'TAR FIN'!$A$1:$O$113,15,0)),0,VLOOKUP($S$729,'TAR FIN'!$A$1:$O$113,15,0))</f>
        <v>0</v>
      </c>
      <c r="W729" s="6">
        <f>IF(ISERROR(VLOOKUP($T$729,'TAR FIN'!$A$1:$O$113,15,0)),0,VLOOKUP($T$729,'TAR FIN'!$A$1:$O$113,15,0))</f>
        <v>300.3</v>
      </c>
      <c r="X729" s="6">
        <f>IF(ISERROR(VLOOKUP($U$729,'TAR FIN'!$A$1:$O$113,15,0)),0,VLOOKUP($U$729,'TAR FIN'!$A$1:$O$113,15,0))</f>
        <v>292.36</v>
      </c>
      <c r="Y729" s="6"/>
      <c r="Z729" s="6">
        <f ca="1">('TUSD BE'!$AM$40+'TUSD BF'!$AM$40+'TUSD CVA'!$AM$40)*1</f>
        <v>393.28439820871614</v>
      </c>
      <c r="AA729" s="6">
        <f>('TE BE'!$AB$18+'TE BF'!$AB$18+'TE CVA'!$AB$18)*1</f>
        <v>314.78517822974521</v>
      </c>
      <c r="AB729" s="6">
        <f>$K$729*$V$729</f>
        <v>0</v>
      </c>
      <c r="AC729" s="6">
        <f>$M$729*$W$729</f>
        <v>16451.034599999999</v>
      </c>
      <c r="AD729" s="6">
        <f>$O$729*$X$729</f>
        <v>16016.06552</v>
      </c>
      <c r="AE729" s="6">
        <f>$K$729*$Y$729</f>
        <v>0</v>
      </c>
      <c r="AF729" s="6">
        <f ca="1">$M$729*$Z$729</f>
        <v>21544.905902669885</v>
      </c>
      <c r="AG729" s="6">
        <f>$O$729*$AA$729</f>
        <v>17244.561633781901</v>
      </c>
    </row>
    <row r="730" spans="1:33" ht="11.25" customHeight="1" x14ac:dyDescent="0.3">
      <c r="A730" s="4" t="s">
        <v>21</v>
      </c>
      <c r="B730" s="4" t="s">
        <v>22</v>
      </c>
      <c r="C730" s="4" t="s">
        <v>23</v>
      </c>
      <c r="D730" s="4" t="s">
        <v>24</v>
      </c>
      <c r="E730" s="4" t="s">
        <v>24</v>
      </c>
      <c r="F730" s="4" t="s">
        <v>25</v>
      </c>
      <c r="G730" s="4" t="s">
        <v>25</v>
      </c>
      <c r="H730" s="4" t="s">
        <v>25</v>
      </c>
      <c r="I730" s="5">
        <v>44562</v>
      </c>
      <c r="J730" s="6">
        <v>0</v>
      </c>
      <c r="K730" s="6">
        <v>0</v>
      </c>
      <c r="L730" s="6">
        <v>10963.914000000001</v>
      </c>
      <c r="M730" s="6">
        <v>10963.914000000001</v>
      </c>
      <c r="N730" s="6">
        <v>10963.914000000001</v>
      </c>
      <c r="O730" s="6">
        <v>10963.914000000001</v>
      </c>
      <c r="P730" s="6">
        <v>68877</v>
      </c>
      <c r="Q730" s="4" t="s">
        <v>26</v>
      </c>
      <c r="R730" s="4">
        <v>0</v>
      </c>
      <c r="S730" s="6">
        <v>0</v>
      </c>
      <c r="T730" s="6">
        <v>46</v>
      </c>
      <c r="U730" s="6">
        <v>111</v>
      </c>
      <c r="V730" s="6">
        <f>IF(ISERROR(VLOOKUP($S$730,'TAR FIN'!$A$1:$O$113,15,0)),0,VLOOKUP($S$730,'TAR FIN'!$A$1:$O$113,15,0))</f>
        <v>0</v>
      </c>
      <c r="W730" s="6">
        <f>IF(ISERROR(VLOOKUP($T$730,'TAR FIN'!$A$1:$O$113,15,0)),0,VLOOKUP($T$730,'TAR FIN'!$A$1:$O$113,15,0))</f>
        <v>300.3</v>
      </c>
      <c r="X730" s="6">
        <f>IF(ISERROR(VLOOKUP($U$730,'TAR FIN'!$A$1:$O$113,15,0)),0,VLOOKUP($U$730,'TAR FIN'!$A$1:$O$113,15,0))</f>
        <v>292.36</v>
      </c>
      <c r="Y730" s="6"/>
      <c r="Z730" s="6">
        <f ca="1">('TUSD BE'!$AM$40+'TUSD BF'!$AM$40+'TUSD CVA'!$AM$40)*1</f>
        <v>393.28439820871614</v>
      </c>
      <c r="AA730" s="6">
        <f>('TE BE'!$AB$18+'TE BF'!$AB$18+'TE CVA'!$AB$18)*1</f>
        <v>314.78517822974521</v>
      </c>
      <c r="AB730" s="6">
        <f>$K$730*$V$730</f>
        <v>0</v>
      </c>
      <c r="AC730" s="6">
        <f>$M$730*$W$730</f>
        <v>3292463.3742000004</v>
      </c>
      <c r="AD730" s="6">
        <f>$O$730*$X$730</f>
        <v>3205409.8970400002</v>
      </c>
      <c r="AE730" s="6">
        <f>$K$730*$Y$730</f>
        <v>0</v>
      </c>
      <c r="AF730" s="6">
        <f ca="1">$M$730*$Z$730</f>
        <v>4311936.319502118</v>
      </c>
      <c r="AG730" s="6">
        <f>$O$730*$AA$730</f>
        <v>3451277.6225855988</v>
      </c>
    </row>
    <row r="731" spans="1:33" ht="11.25" customHeight="1" x14ac:dyDescent="0.3">
      <c r="A731" s="4" t="s">
        <v>27</v>
      </c>
      <c r="B731" s="4" t="s">
        <v>22</v>
      </c>
      <c r="C731" s="4" t="s">
        <v>23</v>
      </c>
      <c r="D731" s="4" t="s">
        <v>24</v>
      </c>
      <c r="E731" s="4" t="s">
        <v>24</v>
      </c>
      <c r="F731" s="4" t="s">
        <v>25</v>
      </c>
      <c r="G731" s="4" t="s">
        <v>25</v>
      </c>
      <c r="H731" s="4" t="s">
        <v>25</v>
      </c>
      <c r="I731" s="5">
        <v>44562</v>
      </c>
      <c r="J731" s="6">
        <v>0</v>
      </c>
      <c r="K731" s="6">
        <v>0</v>
      </c>
      <c r="L731" s="6">
        <v>-8.2059999999999995</v>
      </c>
      <c r="M731" s="6">
        <v>-8.2059999999999995</v>
      </c>
      <c r="N731" s="6">
        <v>-8.2059999999999995</v>
      </c>
      <c r="O731" s="6">
        <v>-8.2059999999999995</v>
      </c>
      <c r="P731" s="6">
        <v>0</v>
      </c>
      <c r="Q731" s="4" t="s">
        <v>26</v>
      </c>
      <c r="R731" s="4">
        <v>0</v>
      </c>
      <c r="S731" s="6">
        <v>0</v>
      </c>
      <c r="T731" s="6">
        <v>46</v>
      </c>
      <c r="U731" s="6">
        <v>111</v>
      </c>
      <c r="V731" s="6">
        <f>IF(ISERROR(VLOOKUP($S$731,'TAR FIN'!$A$1:$O$113,15,0)),0,VLOOKUP($S$731,'TAR FIN'!$A$1:$O$113,15,0))</f>
        <v>0</v>
      </c>
      <c r="W731" s="6">
        <f>IF(ISERROR(VLOOKUP($T$731,'TAR FIN'!$A$1:$O$113,15,0)),0,VLOOKUP($T$731,'TAR FIN'!$A$1:$O$113,15,0))</f>
        <v>300.3</v>
      </c>
      <c r="X731" s="6">
        <f>IF(ISERROR(VLOOKUP($U$731,'TAR FIN'!$A$1:$O$113,15,0)),0,VLOOKUP($U$731,'TAR FIN'!$A$1:$O$113,15,0))</f>
        <v>292.36</v>
      </c>
      <c r="Y731" s="6"/>
      <c r="Z731" s="6">
        <f ca="1">('TUSD BE'!$AM$40+'TUSD BF'!$AM$40+'TUSD CVA'!$AM$40)*1</f>
        <v>393.28439820871614</v>
      </c>
      <c r="AA731" s="6">
        <f>('TE BE'!$AB$18+'TE BF'!$AB$18+'TE CVA'!$AB$18)*1</f>
        <v>314.78517822974521</v>
      </c>
      <c r="AB731" s="6">
        <f>$K$731*$V$731</f>
        <v>0</v>
      </c>
      <c r="AC731" s="6">
        <f>$M$731*$W$731</f>
        <v>-2464.2617999999998</v>
      </c>
      <c r="AD731" s="6">
        <f>$O$731*$X$731</f>
        <v>-2399.1061599999998</v>
      </c>
      <c r="AE731" s="6">
        <f>$K$731*$Y$731</f>
        <v>0</v>
      </c>
      <c r="AF731" s="6">
        <f ca="1">$M$731*$Z$731</f>
        <v>-3227.2917717007244</v>
      </c>
      <c r="AG731" s="6">
        <f>$O$731*$AA$731</f>
        <v>-2583.1271725532893</v>
      </c>
    </row>
    <row r="732" spans="1:33" ht="11.25" customHeight="1" x14ac:dyDescent="0.3">
      <c r="A732" s="4" t="s">
        <v>28</v>
      </c>
      <c r="B732" s="4" t="s">
        <v>22</v>
      </c>
      <c r="C732" s="4" t="s">
        <v>23</v>
      </c>
      <c r="D732" s="4" t="s">
        <v>24</v>
      </c>
      <c r="E732" s="4" t="s">
        <v>24</v>
      </c>
      <c r="F732" s="4" t="s">
        <v>25</v>
      </c>
      <c r="G732" s="4" t="s">
        <v>25</v>
      </c>
      <c r="H732" s="4" t="s">
        <v>25</v>
      </c>
      <c r="I732" s="5">
        <v>44562</v>
      </c>
      <c r="J732" s="6">
        <v>0</v>
      </c>
      <c r="K732" s="6">
        <v>0</v>
      </c>
      <c r="L732" s="6">
        <v>68.164000000000001</v>
      </c>
      <c r="M732" s="6">
        <v>68.164000000000001</v>
      </c>
      <c r="N732" s="6">
        <v>68.164000000000001</v>
      </c>
      <c r="O732" s="6">
        <v>68.164000000000001</v>
      </c>
      <c r="P732" s="6">
        <v>514</v>
      </c>
      <c r="Q732" s="4" t="s">
        <v>26</v>
      </c>
      <c r="R732" s="4">
        <v>0</v>
      </c>
      <c r="S732" s="6">
        <v>0</v>
      </c>
      <c r="T732" s="6">
        <v>46</v>
      </c>
      <c r="U732" s="6">
        <v>111</v>
      </c>
      <c r="V732" s="6">
        <f>IF(ISERROR(VLOOKUP($S$732,'TAR FIN'!$A$1:$O$113,15,0)),0,VLOOKUP($S$732,'TAR FIN'!$A$1:$O$113,15,0))</f>
        <v>0</v>
      </c>
      <c r="W732" s="6">
        <f>IF(ISERROR(VLOOKUP($T$732,'TAR FIN'!$A$1:$O$113,15,0)),0,VLOOKUP($T$732,'TAR FIN'!$A$1:$O$113,15,0))</f>
        <v>300.3</v>
      </c>
      <c r="X732" s="6">
        <f>IF(ISERROR(VLOOKUP($U$732,'TAR FIN'!$A$1:$O$113,15,0)),0,VLOOKUP($U$732,'TAR FIN'!$A$1:$O$113,15,0))</f>
        <v>292.36</v>
      </c>
      <c r="Y732" s="6"/>
      <c r="Z732" s="6">
        <f ca="1">('TUSD BE'!$AM$40+'TUSD BF'!$AM$40+'TUSD CVA'!$AM$40)*1</f>
        <v>393.28439820871614</v>
      </c>
      <c r="AA732" s="6">
        <f>('TE BE'!$AB$18+'TE BF'!$AB$18+'TE CVA'!$AB$18)*1</f>
        <v>314.78517822974521</v>
      </c>
      <c r="AB732" s="6">
        <f>$K$732*$V$732</f>
        <v>0</v>
      </c>
      <c r="AC732" s="6">
        <f>$M$732*$W$732</f>
        <v>20469.6492</v>
      </c>
      <c r="AD732" s="6">
        <f>$O$732*$X$732</f>
        <v>19928.427040000002</v>
      </c>
      <c r="AE732" s="6">
        <f>$K$732*$Y$732</f>
        <v>0</v>
      </c>
      <c r="AF732" s="6">
        <f ca="1">$M$732*$Z$732</f>
        <v>26807.837719498926</v>
      </c>
      <c r="AG732" s="6">
        <f>$O$732*$AA$732</f>
        <v>21457.016888852355</v>
      </c>
    </row>
    <row r="733" spans="1:33" ht="11.25" customHeight="1" x14ac:dyDescent="0.3">
      <c r="A733" s="4" t="s">
        <v>21</v>
      </c>
      <c r="B733" s="4" t="s">
        <v>22</v>
      </c>
      <c r="C733" s="4" t="s">
        <v>23</v>
      </c>
      <c r="D733" s="4" t="s">
        <v>24</v>
      </c>
      <c r="E733" s="4" t="s">
        <v>24</v>
      </c>
      <c r="F733" s="4" t="s">
        <v>25</v>
      </c>
      <c r="G733" s="4" t="s">
        <v>25</v>
      </c>
      <c r="H733" s="4" t="s">
        <v>25</v>
      </c>
      <c r="I733" s="5">
        <v>44593</v>
      </c>
      <c r="J733" s="6">
        <v>0</v>
      </c>
      <c r="K733" s="6">
        <v>0</v>
      </c>
      <c r="L733" s="6">
        <v>10112.392</v>
      </c>
      <c r="M733" s="6">
        <v>10112.392</v>
      </c>
      <c r="N733" s="6">
        <v>10112.392</v>
      </c>
      <c r="O733" s="6">
        <v>10112.392</v>
      </c>
      <c r="P733" s="6">
        <v>68436</v>
      </c>
      <c r="Q733" s="4" t="s">
        <v>26</v>
      </c>
      <c r="R733" s="4">
        <v>0</v>
      </c>
      <c r="S733" s="6">
        <v>0</v>
      </c>
      <c r="T733" s="6">
        <v>46</v>
      </c>
      <c r="U733" s="6">
        <v>111</v>
      </c>
      <c r="V733" s="6">
        <f>IF(ISERROR(VLOOKUP($S$733,'TAR FIN'!$A$1:$O$113,15,0)),0,VLOOKUP($S$733,'TAR FIN'!$A$1:$O$113,15,0))</f>
        <v>0</v>
      </c>
      <c r="W733" s="6">
        <f>IF(ISERROR(VLOOKUP($T$733,'TAR FIN'!$A$1:$O$113,15,0)),0,VLOOKUP($T$733,'TAR FIN'!$A$1:$O$113,15,0))</f>
        <v>300.3</v>
      </c>
      <c r="X733" s="6">
        <f>IF(ISERROR(VLOOKUP($U$733,'TAR FIN'!$A$1:$O$113,15,0)),0,VLOOKUP($U$733,'TAR FIN'!$A$1:$O$113,15,0))</f>
        <v>292.36</v>
      </c>
      <c r="Y733" s="6"/>
      <c r="Z733" s="6">
        <f ca="1">('TUSD BE'!$AM$40+'TUSD BF'!$AM$40+'TUSD CVA'!$AM$40)*1</f>
        <v>393.28439820871614</v>
      </c>
      <c r="AA733" s="6">
        <f>('TE BE'!$AB$18+'TE BF'!$AB$18+'TE CVA'!$AB$18)*1</f>
        <v>314.78517822974521</v>
      </c>
      <c r="AB733" s="6">
        <f>$K$733*$V$733</f>
        <v>0</v>
      </c>
      <c r="AC733" s="6">
        <f>$M$733*$W$733</f>
        <v>3036751.3176000002</v>
      </c>
      <c r="AD733" s="6">
        <f>$O$733*$X$733</f>
        <v>2956458.9251200003</v>
      </c>
      <c r="AE733" s="6">
        <f>$K$733*$Y$733</f>
        <v>0</v>
      </c>
      <c r="AF733" s="6">
        <f ca="1">$M$733*$Z$733</f>
        <v>3977046.0021706354</v>
      </c>
      <c r="AG733" s="6">
        <f>$O$733*$AA$733</f>
        <v>3183231.1180490497</v>
      </c>
    </row>
    <row r="734" spans="1:33" ht="11.25" customHeight="1" x14ac:dyDescent="0.3">
      <c r="A734" s="4" t="s">
        <v>27</v>
      </c>
      <c r="B734" s="4" t="s">
        <v>22</v>
      </c>
      <c r="C734" s="4" t="s">
        <v>23</v>
      </c>
      <c r="D734" s="4" t="s">
        <v>24</v>
      </c>
      <c r="E734" s="4" t="s">
        <v>24</v>
      </c>
      <c r="F734" s="4" t="s">
        <v>25</v>
      </c>
      <c r="G734" s="4" t="s">
        <v>25</v>
      </c>
      <c r="H734" s="4" t="s">
        <v>25</v>
      </c>
      <c r="I734" s="5">
        <v>44593</v>
      </c>
      <c r="J734" s="6">
        <v>0</v>
      </c>
      <c r="K734" s="6">
        <v>0</v>
      </c>
      <c r="L734" s="6">
        <v>-17.277000000000001</v>
      </c>
      <c r="M734" s="6">
        <v>-17.277000000000001</v>
      </c>
      <c r="N734" s="6">
        <v>-17.277000000000001</v>
      </c>
      <c r="O734" s="6">
        <v>-17.277000000000001</v>
      </c>
      <c r="P734" s="6">
        <v>0</v>
      </c>
      <c r="Q734" s="4" t="s">
        <v>26</v>
      </c>
      <c r="R734" s="4">
        <v>0</v>
      </c>
      <c r="S734" s="6">
        <v>0</v>
      </c>
      <c r="T734" s="6">
        <v>46</v>
      </c>
      <c r="U734" s="6">
        <v>111</v>
      </c>
      <c r="V734" s="6">
        <f>IF(ISERROR(VLOOKUP($S$734,'TAR FIN'!$A$1:$O$113,15,0)),0,VLOOKUP($S$734,'TAR FIN'!$A$1:$O$113,15,0))</f>
        <v>0</v>
      </c>
      <c r="W734" s="6">
        <f>IF(ISERROR(VLOOKUP($T$734,'TAR FIN'!$A$1:$O$113,15,0)),0,VLOOKUP($T$734,'TAR FIN'!$A$1:$O$113,15,0))</f>
        <v>300.3</v>
      </c>
      <c r="X734" s="6">
        <f>IF(ISERROR(VLOOKUP($U$734,'TAR FIN'!$A$1:$O$113,15,0)),0,VLOOKUP($U$734,'TAR FIN'!$A$1:$O$113,15,0))</f>
        <v>292.36</v>
      </c>
      <c r="Y734" s="6"/>
      <c r="Z734" s="6">
        <f ca="1">('TUSD BE'!$AM$40+'TUSD BF'!$AM$40+'TUSD CVA'!$AM$40)*1</f>
        <v>393.28439820871614</v>
      </c>
      <c r="AA734" s="6">
        <f>('TE BE'!$AB$18+'TE BF'!$AB$18+'TE CVA'!$AB$18)*1</f>
        <v>314.78517822974521</v>
      </c>
      <c r="AB734" s="6">
        <f>$K$734*$V$734</f>
        <v>0</v>
      </c>
      <c r="AC734" s="6">
        <f>$M$734*$W$734</f>
        <v>-5188.2831000000006</v>
      </c>
      <c r="AD734" s="6">
        <f>$O$734*$X$734</f>
        <v>-5051.103720000001</v>
      </c>
      <c r="AE734" s="6">
        <f>$K$734*$Y$734</f>
        <v>0</v>
      </c>
      <c r="AF734" s="6">
        <f ca="1">$M$734*$Z$734</f>
        <v>-6794.7745478519892</v>
      </c>
      <c r="AG734" s="6">
        <f>$O$734*$AA$734</f>
        <v>-5438.5435242753083</v>
      </c>
    </row>
    <row r="735" spans="1:33" ht="11.25" customHeight="1" x14ac:dyDescent="0.3">
      <c r="A735" s="4" t="s">
        <v>28</v>
      </c>
      <c r="B735" s="4" t="s">
        <v>22</v>
      </c>
      <c r="C735" s="4" t="s">
        <v>23</v>
      </c>
      <c r="D735" s="4" t="s">
        <v>24</v>
      </c>
      <c r="E735" s="4" t="s">
        <v>24</v>
      </c>
      <c r="F735" s="4" t="s">
        <v>25</v>
      </c>
      <c r="G735" s="4" t="s">
        <v>25</v>
      </c>
      <c r="H735" s="4" t="s">
        <v>25</v>
      </c>
      <c r="I735" s="5">
        <v>44593</v>
      </c>
      <c r="J735" s="6">
        <v>0</v>
      </c>
      <c r="K735" s="6">
        <v>0</v>
      </c>
      <c r="L735" s="6">
        <v>68.451999999999998</v>
      </c>
      <c r="M735" s="6">
        <v>68.451999999999998</v>
      </c>
      <c r="N735" s="6">
        <v>68.451999999999998</v>
      </c>
      <c r="O735" s="6">
        <v>68.451999999999998</v>
      </c>
      <c r="P735" s="6">
        <v>547</v>
      </c>
      <c r="Q735" s="4" t="s">
        <v>26</v>
      </c>
      <c r="R735" s="4">
        <v>0</v>
      </c>
      <c r="S735" s="6">
        <v>0</v>
      </c>
      <c r="T735" s="6">
        <v>46</v>
      </c>
      <c r="U735" s="6">
        <v>111</v>
      </c>
      <c r="V735" s="6">
        <f>IF(ISERROR(VLOOKUP($S$735,'TAR FIN'!$A$1:$O$113,15,0)),0,VLOOKUP($S$735,'TAR FIN'!$A$1:$O$113,15,0))</f>
        <v>0</v>
      </c>
      <c r="W735" s="6">
        <f>IF(ISERROR(VLOOKUP($T$735,'TAR FIN'!$A$1:$O$113,15,0)),0,VLOOKUP($T$735,'TAR FIN'!$A$1:$O$113,15,0))</f>
        <v>300.3</v>
      </c>
      <c r="X735" s="6">
        <f>IF(ISERROR(VLOOKUP($U$735,'TAR FIN'!$A$1:$O$113,15,0)),0,VLOOKUP($U$735,'TAR FIN'!$A$1:$O$113,15,0))</f>
        <v>292.36</v>
      </c>
      <c r="Y735" s="6"/>
      <c r="Z735" s="6">
        <f ca="1">('TUSD BE'!$AM$40+'TUSD BF'!$AM$40+'TUSD CVA'!$AM$40)*1</f>
        <v>393.28439820871614</v>
      </c>
      <c r="AA735" s="6">
        <f>('TE BE'!$AB$18+'TE BF'!$AB$18+'TE CVA'!$AB$18)*1</f>
        <v>314.78517822974521</v>
      </c>
      <c r="AB735" s="6">
        <f>$K$735*$V$735</f>
        <v>0</v>
      </c>
      <c r="AC735" s="6">
        <f>$M$735*$W$735</f>
        <v>20556.135600000001</v>
      </c>
      <c r="AD735" s="6">
        <f>$O$735*$X$735</f>
        <v>20012.62672</v>
      </c>
      <c r="AE735" s="6">
        <f>$K$735*$Y$735</f>
        <v>0</v>
      </c>
      <c r="AF735" s="6">
        <f ca="1">$M$735*$Z$735</f>
        <v>26921.103626183038</v>
      </c>
      <c r="AG735" s="6">
        <f>$O$735*$AA$735</f>
        <v>21547.67502018252</v>
      </c>
    </row>
    <row r="736" spans="1:33" ht="11.25" customHeight="1" x14ac:dyDescent="0.3">
      <c r="A736" s="4" t="s">
        <v>21</v>
      </c>
      <c r="B736" s="4" t="s">
        <v>22</v>
      </c>
      <c r="C736" s="4" t="s">
        <v>23</v>
      </c>
      <c r="D736" s="4" t="s">
        <v>24</v>
      </c>
      <c r="E736" s="4" t="s">
        <v>24</v>
      </c>
      <c r="F736" s="4" t="s">
        <v>25</v>
      </c>
      <c r="G736" s="4" t="s">
        <v>25</v>
      </c>
      <c r="H736" s="4" t="s">
        <v>25</v>
      </c>
      <c r="I736" s="5">
        <v>44621</v>
      </c>
      <c r="J736" s="6">
        <v>0</v>
      </c>
      <c r="K736" s="6">
        <v>0</v>
      </c>
      <c r="L736" s="6">
        <v>10232.031000000001</v>
      </c>
      <c r="M736" s="6">
        <v>10232.031000000001</v>
      </c>
      <c r="N736" s="6">
        <v>10232.031000000001</v>
      </c>
      <c r="O736" s="6">
        <v>10232.031000000001</v>
      </c>
      <c r="P736" s="6">
        <v>68550</v>
      </c>
      <c r="Q736" s="4" t="s">
        <v>26</v>
      </c>
      <c r="R736" s="4">
        <v>0</v>
      </c>
      <c r="S736" s="6">
        <v>0</v>
      </c>
      <c r="T736" s="6">
        <v>46</v>
      </c>
      <c r="U736" s="6">
        <v>111</v>
      </c>
      <c r="V736" s="6">
        <f>IF(ISERROR(VLOOKUP($S$736,'TAR FIN'!$A$1:$O$113,15,0)),0,VLOOKUP($S$736,'TAR FIN'!$A$1:$O$113,15,0))</f>
        <v>0</v>
      </c>
      <c r="W736" s="6">
        <f>IF(ISERROR(VLOOKUP($T$736,'TAR FIN'!$A$1:$O$113,15,0)),0,VLOOKUP($T$736,'TAR FIN'!$A$1:$O$113,15,0))</f>
        <v>300.3</v>
      </c>
      <c r="X736" s="6">
        <f>IF(ISERROR(VLOOKUP($U$736,'TAR FIN'!$A$1:$O$113,15,0)),0,VLOOKUP($U$736,'TAR FIN'!$A$1:$O$113,15,0))</f>
        <v>292.36</v>
      </c>
      <c r="Y736" s="6"/>
      <c r="Z736" s="6">
        <f ca="1">('TUSD BE'!$AM$40+'TUSD BF'!$AM$40+'TUSD CVA'!$AM$40)*1</f>
        <v>393.28439820871614</v>
      </c>
      <c r="AA736" s="6">
        <f>('TE BE'!$AB$18+'TE BF'!$AB$18+'TE CVA'!$AB$18)*1</f>
        <v>314.78517822974521</v>
      </c>
      <c r="AB736" s="6">
        <f>$K$736*$V$736</f>
        <v>0</v>
      </c>
      <c r="AC736" s="6">
        <f>$M$736*$W$736</f>
        <v>3072678.9093000004</v>
      </c>
      <c r="AD736" s="6">
        <f>$O$736*$X$736</f>
        <v>2991436.5831600004</v>
      </c>
      <c r="AE736" s="6">
        <f>$K$736*$Y$736</f>
        <v>0</v>
      </c>
      <c r="AF736" s="6">
        <f ca="1">$M$736*$Z$736</f>
        <v>4024098.1542879282</v>
      </c>
      <c r="AG736" s="6">
        <f>$O$736*$AA$736</f>
        <v>3220891.7019872782</v>
      </c>
    </row>
    <row r="737" spans="1:33" ht="11.25" customHeight="1" x14ac:dyDescent="0.3">
      <c r="A737" s="4" t="s">
        <v>27</v>
      </c>
      <c r="B737" s="4" t="s">
        <v>22</v>
      </c>
      <c r="C737" s="4" t="s">
        <v>23</v>
      </c>
      <c r="D737" s="4" t="s">
        <v>24</v>
      </c>
      <c r="E737" s="4" t="s">
        <v>24</v>
      </c>
      <c r="F737" s="4" t="s">
        <v>25</v>
      </c>
      <c r="G737" s="4" t="s">
        <v>25</v>
      </c>
      <c r="H737" s="4" t="s">
        <v>25</v>
      </c>
      <c r="I737" s="5">
        <v>44621</v>
      </c>
      <c r="J737" s="6">
        <v>0</v>
      </c>
      <c r="K737" s="6">
        <v>0</v>
      </c>
      <c r="L737" s="6">
        <v>-10.598000000000001</v>
      </c>
      <c r="M737" s="6">
        <v>-10.598000000000001</v>
      </c>
      <c r="N737" s="6">
        <v>-10.598000000000001</v>
      </c>
      <c r="O737" s="6">
        <v>-10.598000000000001</v>
      </c>
      <c r="P737" s="6">
        <v>0</v>
      </c>
      <c r="Q737" s="4" t="s">
        <v>26</v>
      </c>
      <c r="R737" s="4">
        <v>0</v>
      </c>
      <c r="S737" s="6">
        <v>0</v>
      </c>
      <c r="T737" s="6">
        <v>46</v>
      </c>
      <c r="U737" s="6">
        <v>111</v>
      </c>
      <c r="V737" s="6">
        <f>IF(ISERROR(VLOOKUP($S$737,'TAR FIN'!$A$1:$O$113,15,0)),0,VLOOKUP($S$737,'TAR FIN'!$A$1:$O$113,15,0))</f>
        <v>0</v>
      </c>
      <c r="W737" s="6">
        <f>IF(ISERROR(VLOOKUP($T$737,'TAR FIN'!$A$1:$O$113,15,0)),0,VLOOKUP($T$737,'TAR FIN'!$A$1:$O$113,15,0))</f>
        <v>300.3</v>
      </c>
      <c r="X737" s="6">
        <f>IF(ISERROR(VLOOKUP($U$737,'TAR FIN'!$A$1:$O$113,15,0)),0,VLOOKUP($U$737,'TAR FIN'!$A$1:$O$113,15,0))</f>
        <v>292.36</v>
      </c>
      <c r="Y737" s="6"/>
      <c r="Z737" s="6">
        <f ca="1">('TUSD BE'!$AM$40+'TUSD BF'!$AM$40+'TUSD CVA'!$AM$40)*1</f>
        <v>393.28439820871614</v>
      </c>
      <c r="AA737" s="6">
        <f>('TE BE'!$AB$18+'TE BF'!$AB$18+'TE CVA'!$AB$18)*1</f>
        <v>314.78517822974521</v>
      </c>
      <c r="AB737" s="6">
        <f>$K$737*$V$737</f>
        <v>0</v>
      </c>
      <c r="AC737" s="6">
        <f>$M$737*$W$737</f>
        <v>-3182.5794000000005</v>
      </c>
      <c r="AD737" s="6">
        <f>$O$737*$X$737</f>
        <v>-3098.4312800000002</v>
      </c>
      <c r="AE737" s="6">
        <f>$K$737*$Y$737</f>
        <v>0</v>
      </c>
      <c r="AF737" s="6">
        <f ca="1">$M$737*$Z$737</f>
        <v>-4168.0280522159737</v>
      </c>
      <c r="AG737" s="6">
        <f>$O$737*$AA$737</f>
        <v>-3336.0933188788399</v>
      </c>
    </row>
    <row r="738" spans="1:33" ht="11.25" customHeight="1" x14ac:dyDescent="0.3">
      <c r="A738" s="4" t="s">
        <v>28</v>
      </c>
      <c r="B738" s="4" t="s">
        <v>22</v>
      </c>
      <c r="C738" s="4" t="s">
        <v>23</v>
      </c>
      <c r="D738" s="4" t="s">
        <v>24</v>
      </c>
      <c r="E738" s="4" t="s">
        <v>24</v>
      </c>
      <c r="F738" s="4" t="s">
        <v>25</v>
      </c>
      <c r="G738" s="4" t="s">
        <v>25</v>
      </c>
      <c r="H738" s="4" t="s">
        <v>25</v>
      </c>
      <c r="I738" s="5">
        <v>44621</v>
      </c>
      <c r="J738" s="6">
        <v>0</v>
      </c>
      <c r="K738" s="6">
        <v>0</v>
      </c>
      <c r="L738" s="6">
        <v>70.27</v>
      </c>
      <c r="M738" s="6">
        <v>70.27</v>
      </c>
      <c r="N738" s="6">
        <v>70.27</v>
      </c>
      <c r="O738" s="6">
        <v>70.27</v>
      </c>
      <c r="P738" s="6">
        <v>587</v>
      </c>
      <c r="Q738" s="4" t="s">
        <v>26</v>
      </c>
      <c r="R738" s="4">
        <v>0</v>
      </c>
      <c r="S738" s="6">
        <v>0</v>
      </c>
      <c r="T738" s="6">
        <v>46</v>
      </c>
      <c r="U738" s="6">
        <v>111</v>
      </c>
      <c r="V738" s="6">
        <f>IF(ISERROR(VLOOKUP($S$738,'TAR FIN'!$A$1:$O$113,15,0)),0,VLOOKUP($S$738,'TAR FIN'!$A$1:$O$113,15,0))</f>
        <v>0</v>
      </c>
      <c r="W738" s="6">
        <f>IF(ISERROR(VLOOKUP($T$738,'TAR FIN'!$A$1:$O$113,15,0)),0,VLOOKUP($T$738,'TAR FIN'!$A$1:$O$113,15,0))</f>
        <v>300.3</v>
      </c>
      <c r="X738" s="6">
        <f>IF(ISERROR(VLOOKUP($U$738,'TAR FIN'!$A$1:$O$113,15,0)),0,VLOOKUP($U$738,'TAR FIN'!$A$1:$O$113,15,0))</f>
        <v>292.36</v>
      </c>
      <c r="Y738" s="6"/>
      <c r="Z738" s="6">
        <f ca="1">('TUSD BE'!$AM$40+'TUSD BF'!$AM$40+'TUSD CVA'!$AM$40)*1</f>
        <v>393.28439820871614</v>
      </c>
      <c r="AA738" s="6">
        <f>('TE BE'!$AB$18+'TE BF'!$AB$18+'TE CVA'!$AB$18)*1</f>
        <v>314.78517822974521</v>
      </c>
      <c r="AB738" s="6">
        <f>$K$738*$V$738</f>
        <v>0</v>
      </c>
      <c r="AC738" s="6">
        <f>$M$738*$W$738</f>
        <v>21102.080999999998</v>
      </c>
      <c r="AD738" s="6">
        <f>$O$738*$X$738</f>
        <v>20544.137200000001</v>
      </c>
      <c r="AE738" s="6">
        <f>$K$738*$Y$738</f>
        <v>0</v>
      </c>
      <c r="AF738" s="6">
        <f ca="1">$M$738*$Z$738</f>
        <v>27636.094662126481</v>
      </c>
      <c r="AG738" s="6">
        <f>$O$738*$AA$738</f>
        <v>22119.954474204194</v>
      </c>
    </row>
    <row r="739" spans="1:33" ht="11.25" customHeight="1" x14ac:dyDescent="0.3">
      <c r="A739" s="4" t="s">
        <v>28</v>
      </c>
      <c r="B739" s="4" t="s">
        <v>22</v>
      </c>
      <c r="C739" s="4" t="s">
        <v>23</v>
      </c>
      <c r="D739" s="4" t="s">
        <v>24</v>
      </c>
      <c r="E739" s="4" t="s">
        <v>24</v>
      </c>
      <c r="F739" s="4" t="s">
        <v>25</v>
      </c>
      <c r="G739" s="4" t="s">
        <v>25</v>
      </c>
      <c r="H739" s="4" t="s">
        <v>25</v>
      </c>
      <c r="I739" s="5">
        <v>44621</v>
      </c>
      <c r="J739" s="6">
        <v>0</v>
      </c>
      <c r="K739" s="6">
        <v>0</v>
      </c>
      <c r="L739" s="6">
        <v>0.309</v>
      </c>
      <c r="M739" s="6">
        <v>0.309</v>
      </c>
      <c r="N739" s="6">
        <v>0.309</v>
      </c>
      <c r="O739" s="6">
        <v>0.309</v>
      </c>
      <c r="P739" s="6">
        <v>7</v>
      </c>
      <c r="Q739" s="4" t="s">
        <v>26</v>
      </c>
      <c r="R739" s="4">
        <v>0</v>
      </c>
      <c r="S739" s="6">
        <v>0</v>
      </c>
      <c r="T739" s="6">
        <v>46</v>
      </c>
      <c r="U739" s="6">
        <v>111</v>
      </c>
      <c r="V739" s="6">
        <f>IF(ISERROR(VLOOKUP($S$739,'TAR FIN'!$A$1:$O$113,15,0)),0,VLOOKUP($S$739,'TAR FIN'!$A$1:$O$113,15,0))</f>
        <v>0</v>
      </c>
      <c r="W739" s="6">
        <f>IF(ISERROR(VLOOKUP($T$739,'TAR FIN'!$A$1:$O$113,15,0)),0,VLOOKUP($T$739,'TAR FIN'!$A$1:$O$113,15,0))</f>
        <v>300.3</v>
      </c>
      <c r="X739" s="6">
        <f>IF(ISERROR(VLOOKUP($U$739,'TAR FIN'!$A$1:$O$113,15,0)),0,VLOOKUP($U$739,'TAR FIN'!$A$1:$O$113,15,0))</f>
        <v>292.36</v>
      </c>
      <c r="Y739" s="6"/>
      <c r="Z739" s="6">
        <f ca="1">('TUSD BE'!$AM$40+'TUSD BF'!$AM$40+'TUSD CVA'!$AM$40)*1</f>
        <v>393.28439820871614</v>
      </c>
      <c r="AA739" s="6">
        <f>('TE BE'!$AB$18+'TE BF'!$AB$18+'TE CVA'!$AB$18)*1</f>
        <v>314.78517822974521</v>
      </c>
      <c r="AB739" s="6">
        <f>$K$739*$V$739</f>
        <v>0</v>
      </c>
      <c r="AC739" s="6">
        <f>$M$739*$W$739</f>
        <v>92.792699999999996</v>
      </c>
      <c r="AD739" s="6">
        <f>$O$739*$X$739</f>
        <v>90.339240000000004</v>
      </c>
      <c r="AE739" s="6">
        <f>$K$739*$Y$739</f>
        <v>0</v>
      </c>
      <c r="AF739" s="6">
        <f ca="1">$M$739*$Z$739</f>
        <v>121.52487904649328</v>
      </c>
      <c r="AG739" s="6">
        <f>$O$739*$AA$739</f>
        <v>97.268620072991268</v>
      </c>
    </row>
    <row r="740" spans="1:33" ht="11.25" customHeight="1" x14ac:dyDescent="0.3">
      <c r="A740" s="4" t="s">
        <v>21</v>
      </c>
      <c r="B740" s="4" t="s">
        <v>22</v>
      </c>
      <c r="C740" s="4" t="s">
        <v>23</v>
      </c>
      <c r="D740" s="4" t="s">
        <v>24</v>
      </c>
      <c r="E740" s="4" t="s">
        <v>24</v>
      </c>
      <c r="F740" s="4" t="s">
        <v>25</v>
      </c>
      <c r="G740" s="4" t="s">
        <v>25</v>
      </c>
      <c r="H740" s="4" t="s">
        <v>25</v>
      </c>
      <c r="I740" s="5">
        <v>44652</v>
      </c>
      <c r="J740" s="6">
        <v>0</v>
      </c>
      <c r="K740" s="6">
        <v>0</v>
      </c>
      <c r="L740" s="6">
        <v>10453.558000000001</v>
      </c>
      <c r="M740" s="6">
        <v>10453.558000000001</v>
      </c>
      <c r="N740" s="6">
        <v>10453.558000000001</v>
      </c>
      <c r="O740" s="6">
        <v>10453.558000000001</v>
      </c>
      <c r="P740" s="6">
        <v>68685</v>
      </c>
      <c r="Q740" s="4" t="s">
        <v>26</v>
      </c>
      <c r="R740" s="4">
        <v>0</v>
      </c>
      <c r="S740" s="6">
        <v>0</v>
      </c>
      <c r="T740" s="6">
        <v>46</v>
      </c>
      <c r="U740" s="6">
        <v>111</v>
      </c>
      <c r="V740" s="6">
        <f>IF(ISERROR(VLOOKUP($S$740,'TAR FIN'!$A$1:$O$113,15,0)),0,VLOOKUP($S$740,'TAR FIN'!$A$1:$O$113,15,0))</f>
        <v>0</v>
      </c>
      <c r="W740" s="6">
        <f>IF(ISERROR(VLOOKUP($T$740,'TAR FIN'!$A$1:$O$113,15,0)),0,VLOOKUP($T$740,'TAR FIN'!$A$1:$O$113,15,0))</f>
        <v>300.3</v>
      </c>
      <c r="X740" s="6">
        <f>IF(ISERROR(VLOOKUP($U$740,'TAR FIN'!$A$1:$O$113,15,0)),0,VLOOKUP($U$740,'TAR FIN'!$A$1:$O$113,15,0))</f>
        <v>292.36</v>
      </c>
      <c r="Y740" s="6"/>
      <c r="Z740" s="6">
        <f ca="1">('TUSD BE'!$AM$40+'TUSD BF'!$AM$40+'TUSD CVA'!$AM$40)*1</f>
        <v>393.28439820871614</v>
      </c>
      <c r="AA740" s="6">
        <f>('TE BE'!$AB$18+'TE BF'!$AB$18+'TE CVA'!$AB$18)*1</f>
        <v>314.78517822974521</v>
      </c>
      <c r="AB740" s="6">
        <f>$K$740*$V$740</f>
        <v>0</v>
      </c>
      <c r="AC740" s="6">
        <f>$M$740*$W$740</f>
        <v>3139203.4674000004</v>
      </c>
      <c r="AD740" s="6">
        <f>$O$740*$X$740</f>
        <v>3056202.2168800002</v>
      </c>
      <c r="AE740" s="6">
        <f>$K$740*$Y$740</f>
        <v>0</v>
      </c>
      <c r="AF740" s="6">
        <f ca="1">$M$740*$Z$740</f>
        <v>4111221.2671699105</v>
      </c>
      <c r="AG740" s="6">
        <f>$O$740*$AA$740</f>
        <v>3290625.1181649794</v>
      </c>
    </row>
    <row r="741" spans="1:33" ht="11.25" customHeight="1" x14ac:dyDescent="0.3">
      <c r="A741" s="4" t="s">
        <v>27</v>
      </c>
      <c r="B741" s="4" t="s">
        <v>22</v>
      </c>
      <c r="C741" s="4" t="s">
        <v>23</v>
      </c>
      <c r="D741" s="4" t="s">
        <v>24</v>
      </c>
      <c r="E741" s="4" t="s">
        <v>24</v>
      </c>
      <c r="F741" s="4" t="s">
        <v>25</v>
      </c>
      <c r="G741" s="4" t="s">
        <v>25</v>
      </c>
      <c r="H741" s="4" t="s">
        <v>25</v>
      </c>
      <c r="I741" s="5">
        <v>44652</v>
      </c>
      <c r="J741" s="6">
        <v>0</v>
      </c>
      <c r="K741" s="6">
        <v>0</v>
      </c>
      <c r="L741" s="6">
        <v>-8.4649999999999999</v>
      </c>
      <c r="M741" s="6">
        <v>-8.4649999999999999</v>
      </c>
      <c r="N741" s="6">
        <v>-8.4649999999999999</v>
      </c>
      <c r="O741" s="6">
        <v>-8.4649999999999999</v>
      </c>
      <c r="P741" s="6">
        <v>0</v>
      </c>
      <c r="Q741" s="4" t="s">
        <v>26</v>
      </c>
      <c r="R741" s="4">
        <v>0</v>
      </c>
      <c r="S741" s="6">
        <v>0</v>
      </c>
      <c r="T741" s="6">
        <v>46</v>
      </c>
      <c r="U741" s="6">
        <v>111</v>
      </c>
      <c r="V741" s="6">
        <f>IF(ISERROR(VLOOKUP($S$741,'TAR FIN'!$A$1:$O$113,15,0)),0,VLOOKUP($S$741,'TAR FIN'!$A$1:$O$113,15,0))</f>
        <v>0</v>
      </c>
      <c r="W741" s="6">
        <f>IF(ISERROR(VLOOKUP($T$741,'TAR FIN'!$A$1:$O$113,15,0)),0,VLOOKUP($T$741,'TAR FIN'!$A$1:$O$113,15,0))</f>
        <v>300.3</v>
      </c>
      <c r="X741" s="6">
        <f>IF(ISERROR(VLOOKUP($U$741,'TAR FIN'!$A$1:$O$113,15,0)),0,VLOOKUP($U$741,'TAR FIN'!$A$1:$O$113,15,0))</f>
        <v>292.36</v>
      </c>
      <c r="Y741" s="6"/>
      <c r="Z741" s="6">
        <f ca="1">('TUSD BE'!$AM$40+'TUSD BF'!$AM$40+'TUSD CVA'!$AM$40)*1</f>
        <v>393.28439820871614</v>
      </c>
      <c r="AA741" s="6">
        <f>('TE BE'!$AB$18+'TE BF'!$AB$18+'TE CVA'!$AB$18)*1</f>
        <v>314.78517822974521</v>
      </c>
      <c r="AB741" s="6">
        <f>$K$741*$V$741</f>
        <v>0</v>
      </c>
      <c r="AC741" s="6">
        <f>$M$741*$W$741</f>
        <v>-2542.0394999999999</v>
      </c>
      <c r="AD741" s="6">
        <f>$O$741*$X$741</f>
        <v>-2474.8274000000001</v>
      </c>
      <c r="AE741" s="6">
        <f>$K$741*$Y$741</f>
        <v>0</v>
      </c>
      <c r="AF741" s="6">
        <f ca="1">$M$741*$Z$741</f>
        <v>-3329.1524308367821</v>
      </c>
      <c r="AG741" s="6">
        <f>$O$741*$AA$741</f>
        <v>-2664.6565337147931</v>
      </c>
    </row>
    <row r="742" spans="1:33" ht="11.25" customHeight="1" x14ac:dyDescent="0.3">
      <c r="A742" s="4" t="s">
        <v>28</v>
      </c>
      <c r="B742" s="4" t="s">
        <v>22</v>
      </c>
      <c r="C742" s="4" t="s">
        <v>23</v>
      </c>
      <c r="D742" s="4" t="s">
        <v>24</v>
      </c>
      <c r="E742" s="4" t="s">
        <v>24</v>
      </c>
      <c r="F742" s="4" t="s">
        <v>25</v>
      </c>
      <c r="G742" s="4" t="s">
        <v>25</v>
      </c>
      <c r="H742" s="4" t="s">
        <v>25</v>
      </c>
      <c r="I742" s="5">
        <v>44652</v>
      </c>
      <c r="J742" s="6">
        <v>0</v>
      </c>
      <c r="K742" s="6">
        <v>0</v>
      </c>
      <c r="L742" s="6">
        <v>82.573999999999998</v>
      </c>
      <c r="M742" s="6">
        <v>82.573999999999998</v>
      </c>
      <c r="N742" s="6">
        <v>82.573999999999998</v>
      </c>
      <c r="O742" s="6">
        <v>82.573999999999998</v>
      </c>
      <c r="P742" s="6">
        <v>632</v>
      </c>
      <c r="Q742" s="4" t="s">
        <v>26</v>
      </c>
      <c r="R742" s="4">
        <v>0</v>
      </c>
      <c r="S742" s="6">
        <v>0</v>
      </c>
      <c r="T742" s="6">
        <v>46</v>
      </c>
      <c r="U742" s="6">
        <v>111</v>
      </c>
      <c r="V742" s="6">
        <f>IF(ISERROR(VLOOKUP($S$742,'TAR FIN'!$A$1:$O$113,15,0)),0,VLOOKUP($S$742,'TAR FIN'!$A$1:$O$113,15,0))</f>
        <v>0</v>
      </c>
      <c r="W742" s="6">
        <f>IF(ISERROR(VLOOKUP($T$742,'TAR FIN'!$A$1:$O$113,15,0)),0,VLOOKUP($T$742,'TAR FIN'!$A$1:$O$113,15,0))</f>
        <v>300.3</v>
      </c>
      <c r="X742" s="6">
        <f>IF(ISERROR(VLOOKUP($U$742,'TAR FIN'!$A$1:$O$113,15,0)),0,VLOOKUP($U$742,'TAR FIN'!$A$1:$O$113,15,0))</f>
        <v>292.36</v>
      </c>
      <c r="Y742" s="6"/>
      <c r="Z742" s="6">
        <f ca="1">('TUSD BE'!$AM$40+'TUSD BF'!$AM$40+'TUSD CVA'!$AM$40)*1</f>
        <v>393.28439820871614</v>
      </c>
      <c r="AA742" s="6">
        <f>('TE BE'!$AB$18+'TE BF'!$AB$18+'TE CVA'!$AB$18)*1</f>
        <v>314.78517822974521</v>
      </c>
      <c r="AB742" s="6">
        <f>$K$742*$V$742</f>
        <v>0</v>
      </c>
      <c r="AC742" s="6">
        <f>$M$742*$W$742</f>
        <v>24796.9722</v>
      </c>
      <c r="AD742" s="6">
        <f>$O$742*$X$742</f>
        <v>24141.334640000001</v>
      </c>
      <c r="AE742" s="6">
        <f>$K$742*$Y$742</f>
        <v>0</v>
      </c>
      <c r="AF742" s="6">
        <f ca="1">$M$742*$Z$742</f>
        <v>32475.065897686527</v>
      </c>
      <c r="AG742" s="6">
        <f>$O$742*$AA$742</f>
        <v>25993.071307142982</v>
      </c>
    </row>
    <row r="743" spans="1:33" ht="11.25" customHeight="1" x14ac:dyDescent="0.3">
      <c r="A743" s="4" t="s">
        <v>21</v>
      </c>
      <c r="B743" s="4" t="s">
        <v>22</v>
      </c>
      <c r="C743" s="4" t="s">
        <v>23</v>
      </c>
      <c r="D743" s="4" t="s">
        <v>24</v>
      </c>
      <c r="E743" s="4" t="s">
        <v>24</v>
      </c>
      <c r="F743" s="4" t="s">
        <v>25</v>
      </c>
      <c r="G743" s="4" t="s">
        <v>25</v>
      </c>
      <c r="H743" s="4" t="s">
        <v>25</v>
      </c>
      <c r="I743" s="5">
        <v>44682</v>
      </c>
      <c r="J743" s="6">
        <v>0</v>
      </c>
      <c r="K743" s="6">
        <v>0</v>
      </c>
      <c r="L743" s="6">
        <v>10255.894</v>
      </c>
      <c r="M743" s="6">
        <v>10255.894</v>
      </c>
      <c r="N743" s="6">
        <v>10255.894</v>
      </c>
      <c r="O743" s="6">
        <v>10255.894</v>
      </c>
      <c r="P743" s="6">
        <v>68699</v>
      </c>
      <c r="Q743" s="4" t="s">
        <v>26</v>
      </c>
      <c r="R743" s="4">
        <v>0</v>
      </c>
      <c r="S743" s="6">
        <v>0</v>
      </c>
      <c r="T743" s="6">
        <v>46</v>
      </c>
      <c r="U743" s="6">
        <v>111</v>
      </c>
      <c r="V743" s="6">
        <f>IF(ISERROR(VLOOKUP($S$743,'TAR FIN'!$A$1:$O$113,15,0)),0,VLOOKUP($S$743,'TAR FIN'!$A$1:$O$113,15,0))</f>
        <v>0</v>
      </c>
      <c r="W743" s="6">
        <f>IF(ISERROR(VLOOKUP($T$743,'TAR FIN'!$A$1:$O$113,15,0)),0,VLOOKUP($T$743,'TAR FIN'!$A$1:$O$113,15,0))</f>
        <v>300.3</v>
      </c>
      <c r="X743" s="6">
        <f>IF(ISERROR(VLOOKUP($U$743,'TAR FIN'!$A$1:$O$113,15,0)),0,VLOOKUP($U$743,'TAR FIN'!$A$1:$O$113,15,0))</f>
        <v>292.36</v>
      </c>
      <c r="Y743" s="6"/>
      <c r="Z743" s="6">
        <f ca="1">('TUSD BE'!$AM$40+'TUSD BF'!$AM$40+'TUSD CVA'!$AM$40)*1</f>
        <v>393.28439820871614</v>
      </c>
      <c r="AA743" s="6">
        <f>('TE BE'!$AB$18+'TE BF'!$AB$18+'TE CVA'!$AB$18)*1</f>
        <v>314.78517822974521</v>
      </c>
      <c r="AB743" s="6">
        <f>$K$743*$V$743</f>
        <v>0</v>
      </c>
      <c r="AC743" s="6">
        <f>$M$743*$W$743</f>
        <v>3079844.9682</v>
      </c>
      <c r="AD743" s="6">
        <f>$O$743*$X$743</f>
        <v>2998413.1698400001</v>
      </c>
      <c r="AE743" s="6">
        <f>$K$743*$Y$743</f>
        <v>0</v>
      </c>
      <c r="AF743" s="6">
        <f ca="1">$M$743*$Z$743</f>
        <v>4033483.0998823829</v>
      </c>
      <c r="AG743" s="6">
        <f>$O$743*$AA$743</f>
        <v>3228403.4206953747</v>
      </c>
    </row>
    <row r="744" spans="1:33" ht="11.25" customHeight="1" x14ac:dyDescent="0.3">
      <c r="A744" s="4" t="s">
        <v>27</v>
      </c>
      <c r="B744" s="4" t="s">
        <v>22</v>
      </c>
      <c r="C744" s="4" t="s">
        <v>23</v>
      </c>
      <c r="D744" s="4" t="s">
        <v>24</v>
      </c>
      <c r="E744" s="4" t="s">
        <v>24</v>
      </c>
      <c r="F744" s="4" t="s">
        <v>25</v>
      </c>
      <c r="G744" s="4" t="s">
        <v>25</v>
      </c>
      <c r="H744" s="4" t="s">
        <v>25</v>
      </c>
      <c r="I744" s="5">
        <v>44682</v>
      </c>
      <c r="J744" s="6">
        <v>0</v>
      </c>
      <c r="K744" s="6">
        <v>0</v>
      </c>
      <c r="L744" s="6">
        <v>-19.370999999999999</v>
      </c>
      <c r="M744" s="6">
        <v>-19.370999999999999</v>
      </c>
      <c r="N744" s="6">
        <v>-19.370999999999999</v>
      </c>
      <c r="O744" s="6">
        <v>-19.370999999999999</v>
      </c>
      <c r="P744" s="6">
        <v>0</v>
      </c>
      <c r="Q744" s="4" t="s">
        <v>26</v>
      </c>
      <c r="R744" s="4">
        <v>0</v>
      </c>
      <c r="S744" s="6">
        <v>0</v>
      </c>
      <c r="T744" s="6">
        <v>46</v>
      </c>
      <c r="U744" s="6">
        <v>111</v>
      </c>
      <c r="V744" s="6">
        <f>IF(ISERROR(VLOOKUP($S$744,'TAR FIN'!$A$1:$O$113,15,0)),0,VLOOKUP($S$744,'TAR FIN'!$A$1:$O$113,15,0))</f>
        <v>0</v>
      </c>
      <c r="W744" s="6">
        <f>IF(ISERROR(VLOOKUP($T$744,'TAR FIN'!$A$1:$O$113,15,0)),0,VLOOKUP($T$744,'TAR FIN'!$A$1:$O$113,15,0))</f>
        <v>300.3</v>
      </c>
      <c r="X744" s="6">
        <f>IF(ISERROR(VLOOKUP($U$744,'TAR FIN'!$A$1:$O$113,15,0)),0,VLOOKUP($U$744,'TAR FIN'!$A$1:$O$113,15,0))</f>
        <v>292.36</v>
      </c>
      <c r="Y744" s="6"/>
      <c r="Z744" s="6">
        <f ca="1">('TUSD BE'!$AM$40+'TUSD BF'!$AM$40+'TUSD CVA'!$AM$40)*1</f>
        <v>393.28439820871614</v>
      </c>
      <c r="AA744" s="6">
        <f>('TE BE'!$AB$18+'TE BF'!$AB$18+'TE CVA'!$AB$18)*1</f>
        <v>314.78517822974521</v>
      </c>
      <c r="AB744" s="6">
        <f>$K$744*$V$744</f>
        <v>0</v>
      </c>
      <c r="AC744" s="6">
        <f>$M$744*$W$744</f>
        <v>-5817.1112999999996</v>
      </c>
      <c r="AD744" s="6">
        <f>$O$744*$X$744</f>
        <v>-5663.3055599999998</v>
      </c>
      <c r="AE744" s="6">
        <f>$K$744*$Y$744</f>
        <v>0</v>
      </c>
      <c r="AF744" s="6">
        <f ca="1">$M$744*$Z$744</f>
        <v>-7618.3120777010399</v>
      </c>
      <c r="AG744" s="6">
        <f>$O$744*$AA$744</f>
        <v>-6097.7036874883943</v>
      </c>
    </row>
    <row r="745" spans="1:33" ht="11.25" customHeight="1" x14ac:dyDescent="0.3">
      <c r="A745" s="4" t="s">
        <v>28</v>
      </c>
      <c r="B745" s="4" t="s">
        <v>22</v>
      </c>
      <c r="C745" s="4" t="s">
        <v>23</v>
      </c>
      <c r="D745" s="4" t="s">
        <v>24</v>
      </c>
      <c r="E745" s="4" t="s">
        <v>24</v>
      </c>
      <c r="F745" s="4" t="s">
        <v>25</v>
      </c>
      <c r="G745" s="4" t="s">
        <v>25</v>
      </c>
      <c r="H745" s="4" t="s">
        <v>25</v>
      </c>
      <c r="I745" s="5">
        <v>44682</v>
      </c>
      <c r="J745" s="6">
        <v>0</v>
      </c>
      <c r="K745" s="6">
        <v>0</v>
      </c>
      <c r="L745" s="6">
        <v>85.396000000000001</v>
      </c>
      <c r="M745" s="6">
        <v>85.396000000000001</v>
      </c>
      <c r="N745" s="6">
        <v>85.396000000000001</v>
      </c>
      <c r="O745" s="6">
        <v>85.396000000000001</v>
      </c>
      <c r="P745" s="6">
        <v>664</v>
      </c>
      <c r="Q745" s="4" t="s">
        <v>26</v>
      </c>
      <c r="R745" s="4">
        <v>0</v>
      </c>
      <c r="S745" s="6">
        <v>0</v>
      </c>
      <c r="T745" s="6">
        <v>46</v>
      </c>
      <c r="U745" s="6">
        <v>111</v>
      </c>
      <c r="V745" s="6">
        <f>IF(ISERROR(VLOOKUP($S$745,'TAR FIN'!$A$1:$O$113,15,0)),0,VLOOKUP($S$745,'TAR FIN'!$A$1:$O$113,15,0))</f>
        <v>0</v>
      </c>
      <c r="W745" s="6">
        <f>IF(ISERROR(VLOOKUP($T$745,'TAR FIN'!$A$1:$O$113,15,0)),0,VLOOKUP($T$745,'TAR FIN'!$A$1:$O$113,15,0))</f>
        <v>300.3</v>
      </c>
      <c r="X745" s="6">
        <f>IF(ISERROR(VLOOKUP($U$745,'TAR FIN'!$A$1:$O$113,15,0)),0,VLOOKUP($U$745,'TAR FIN'!$A$1:$O$113,15,0))</f>
        <v>292.36</v>
      </c>
      <c r="Y745" s="6"/>
      <c r="Z745" s="6">
        <f ca="1">('TUSD BE'!$AM$40+'TUSD BF'!$AM$40+'TUSD CVA'!$AM$40)*1</f>
        <v>393.28439820871614</v>
      </c>
      <c r="AA745" s="6">
        <f>('TE BE'!$AB$18+'TE BF'!$AB$18+'TE CVA'!$AB$18)*1</f>
        <v>314.78517822974521</v>
      </c>
      <c r="AB745" s="6">
        <f>$K$745*$V$745</f>
        <v>0</v>
      </c>
      <c r="AC745" s="6">
        <f>$M$745*$W$745</f>
        <v>25644.418799999999</v>
      </c>
      <c r="AD745" s="6">
        <f>$O$745*$X$745</f>
        <v>24966.37456</v>
      </c>
      <c r="AE745" s="6">
        <f>$K$745*$Y$745</f>
        <v>0</v>
      </c>
      <c r="AF745" s="6">
        <f ca="1">$M$745*$Z$745</f>
        <v>33584.914469431526</v>
      </c>
      <c r="AG745" s="6">
        <f>$O$745*$AA$745</f>
        <v>26881.395080107322</v>
      </c>
    </row>
    <row r="746" spans="1:33" ht="11.25" customHeight="1" x14ac:dyDescent="0.3">
      <c r="A746" s="4" t="s">
        <v>28</v>
      </c>
      <c r="B746" s="4" t="s">
        <v>22</v>
      </c>
      <c r="C746" s="4" t="s">
        <v>23</v>
      </c>
      <c r="D746" s="4" t="s">
        <v>24</v>
      </c>
      <c r="E746" s="4" t="s">
        <v>24</v>
      </c>
      <c r="F746" s="4" t="s">
        <v>25</v>
      </c>
      <c r="G746" s="4" t="s">
        <v>25</v>
      </c>
      <c r="H746" s="4" t="s">
        <v>25</v>
      </c>
      <c r="I746" s="5">
        <v>44682</v>
      </c>
      <c r="J746" s="6">
        <v>0</v>
      </c>
      <c r="K746" s="6">
        <v>0</v>
      </c>
      <c r="L746" s="6">
        <v>0.05</v>
      </c>
      <c r="M746" s="6">
        <v>0.05</v>
      </c>
      <c r="N746" s="6">
        <v>0.05</v>
      </c>
      <c r="O746" s="6">
        <v>0.05</v>
      </c>
      <c r="P746" s="6">
        <v>1</v>
      </c>
      <c r="Q746" s="4" t="s">
        <v>26</v>
      </c>
      <c r="R746" s="4">
        <v>0</v>
      </c>
      <c r="S746" s="6">
        <v>0</v>
      </c>
      <c r="T746" s="6">
        <v>46</v>
      </c>
      <c r="U746" s="6">
        <v>111</v>
      </c>
      <c r="V746" s="6">
        <f>IF(ISERROR(VLOOKUP($S$746,'TAR FIN'!$A$1:$O$113,15,0)),0,VLOOKUP($S$746,'TAR FIN'!$A$1:$O$113,15,0))</f>
        <v>0</v>
      </c>
      <c r="W746" s="6">
        <f>IF(ISERROR(VLOOKUP($T$746,'TAR FIN'!$A$1:$O$113,15,0)),0,VLOOKUP($T$746,'TAR FIN'!$A$1:$O$113,15,0))</f>
        <v>300.3</v>
      </c>
      <c r="X746" s="6">
        <f>IF(ISERROR(VLOOKUP($U$746,'TAR FIN'!$A$1:$O$113,15,0)),0,VLOOKUP($U$746,'TAR FIN'!$A$1:$O$113,15,0))</f>
        <v>292.36</v>
      </c>
      <c r="Y746" s="6"/>
      <c r="Z746" s="6">
        <f ca="1">('TUSD BE'!$AM$40+'TUSD BF'!$AM$40+'TUSD CVA'!$AM$40)*1</f>
        <v>393.28439820871614</v>
      </c>
      <c r="AA746" s="6">
        <f>('TE BE'!$AB$18+'TE BF'!$AB$18+'TE CVA'!$AB$18)*1</f>
        <v>314.78517822974521</v>
      </c>
      <c r="AB746" s="6">
        <f>$K$746*$V$746</f>
        <v>0</v>
      </c>
      <c r="AC746" s="6">
        <f>$M$746*$W$746</f>
        <v>15.015000000000001</v>
      </c>
      <c r="AD746" s="6">
        <f>$O$746*$X$746</f>
        <v>14.618000000000002</v>
      </c>
      <c r="AE746" s="6">
        <f>$K$746*$Y$746</f>
        <v>0</v>
      </c>
      <c r="AF746" s="6">
        <f ca="1">$M$746*$Z$746</f>
        <v>19.664219910435808</v>
      </c>
      <c r="AG746" s="6">
        <f>$O$746*$AA$746</f>
        <v>15.739258911487262</v>
      </c>
    </row>
    <row r="747" spans="1:33" ht="11.25" customHeight="1" x14ac:dyDescent="0.3">
      <c r="A747" s="4" t="s">
        <v>21</v>
      </c>
      <c r="B747" s="4" t="s">
        <v>22</v>
      </c>
      <c r="C747" s="4" t="s">
        <v>23</v>
      </c>
      <c r="D747" s="4" t="s">
        <v>24</v>
      </c>
      <c r="E747" s="4" t="s">
        <v>24</v>
      </c>
      <c r="F747" s="4" t="s">
        <v>25</v>
      </c>
      <c r="G747" s="4" t="s">
        <v>25</v>
      </c>
      <c r="H747" s="4" t="s">
        <v>25</v>
      </c>
      <c r="I747" s="5">
        <v>44713</v>
      </c>
      <c r="J747" s="6">
        <v>0</v>
      </c>
      <c r="K747" s="6">
        <v>0</v>
      </c>
      <c r="L747" s="6">
        <v>10322.447</v>
      </c>
      <c r="M747" s="6">
        <v>10322.447</v>
      </c>
      <c r="N747" s="6">
        <v>10322.447</v>
      </c>
      <c r="O747" s="6">
        <v>10322.447</v>
      </c>
      <c r="P747" s="6">
        <v>68914</v>
      </c>
      <c r="Q747" s="4" t="s">
        <v>26</v>
      </c>
      <c r="R747" s="4">
        <v>0</v>
      </c>
      <c r="S747" s="6">
        <v>0</v>
      </c>
      <c r="T747" s="6">
        <v>46</v>
      </c>
      <c r="U747" s="6">
        <v>111</v>
      </c>
      <c r="V747" s="6">
        <f>IF(ISERROR(VLOOKUP($S$747,'TAR FIN'!$A$1:$O$113,15,0)),0,VLOOKUP($S$747,'TAR FIN'!$A$1:$O$113,15,0))</f>
        <v>0</v>
      </c>
      <c r="W747" s="6">
        <f>IF(ISERROR(VLOOKUP($T$747,'TAR FIN'!$A$1:$O$113,15,0)),0,VLOOKUP($T$747,'TAR FIN'!$A$1:$O$113,15,0))</f>
        <v>300.3</v>
      </c>
      <c r="X747" s="6">
        <f>IF(ISERROR(VLOOKUP($U$747,'TAR FIN'!$A$1:$O$113,15,0)),0,VLOOKUP($U$747,'TAR FIN'!$A$1:$O$113,15,0))</f>
        <v>292.36</v>
      </c>
      <c r="Y747" s="6"/>
      <c r="Z747" s="6">
        <f ca="1">('TUSD BE'!$AM$40+'TUSD BF'!$AM$40+'TUSD CVA'!$AM$40)*1</f>
        <v>393.28439820871614</v>
      </c>
      <c r="AA747" s="6">
        <f>('TE BE'!$AB$18+'TE BF'!$AB$18+'TE CVA'!$AB$18)*1</f>
        <v>314.78517822974521</v>
      </c>
      <c r="AB747" s="6">
        <f>$K$747*$V$747</f>
        <v>0</v>
      </c>
      <c r="AC747" s="6">
        <f>$M$747*$W$747</f>
        <v>3099830.8341000001</v>
      </c>
      <c r="AD747" s="6">
        <f>$O$747*$X$747</f>
        <v>3017870.6049200003</v>
      </c>
      <c r="AE747" s="6">
        <f>$K$747*$Y$747</f>
        <v>0</v>
      </c>
      <c r="AF747" s="6">
        <f ca="1">$M$747*$Z$747</f>
        <v>4059657.3564363671</v>
      </c>
      <c r="AG747" s="6">
        <f>$O$747*$AA$747</f>
        <v>3249353.3186620986</v>
      </c>
    </row>
    <row r="748" spans="1:33" ht="11.25" customHeight="1" x14ac:dyDescent="0.3">
      <c r="A748" s="4" t="s">
        <v>27</v>
      </c>
      <c r="B748" s="4" t="s">
        <v>22</v>
      </c>
      <c r="C748" s="4" t="s">
        <v>23</v>
      </c>
      <c r="D748" s="4" t="s">
        <v>24</v>
      </c>
      <c r="E748" s="4" t="s">
        <v>24</v>
      </c>
      <c r="F748" s="4" t="s">
        <v>25</v>
      </c>
      <c r="G748" s="4" t="s">
        <v>25</v>
      </c>
      <c r="H748" s="4" t="s">
        <v>25</v>
      </c>
      <c r="I748" s="5">
        <v>44713</v>
      </c>
      <c r="J748" s="6">
        <v>0</v>
      </c>
      <c r="K748" s="6">
        <v>0</v>
      </c>
      <c r="L748" s="6">
        <v>-6.7450000000000001</v>
      </c>
      <c r="M748" s="6">
        <v>-6.7450000000000001</v>
      </c>
      <c r="N748" s="6">
        <v>-6.7450000000000001</v>
      </c>
      <c r="O748" s="6">
        <v>-6.7450000000000001</v>
      </c>
      <c r="P748" s="6">
        <v>0</v>
      </c>
      <c r="Q748" s="4" t="s">
        <v>26</v>
      </c>
      <c r="R748" s="4">
        <v>0</v>
      </c>
      <c r="S748" s="6">
        <v>0</v>
      </c>
      <c r="T748" s="6">
        <v>46</v>
      </c>
      <c r="U748" s="6">
        <v>111</v>
      </c>
      <c r="V748" s="6">
        <f>IF(ISERROR(VLOOKUP($S$748,'TAR FIN'!$A$1:$O$113,15,0)),0,VLOOKUP($S$748,'TAR FIN'!$A$1:$O$113,15,0))</f>
        <v>0</v>
      </c>
      <c r="W748" s="6">
        <f>IF(ISERROR(VLOOKUP($T$748,'TAR FIN'!$A$1:$O$113,15,0)),0,VLOOKUP($T$748,'TAR FIN'!$A$1:$O$113,15,0))</f>
        <v>300.3</v>
      </c>
      <c r="X748" s="6">
        <f>IF(ISERROR(VLOOKUP($U$748,'TAR FIN'!$A$1:$O$113,15,0)),0,VLOOKUP($U$748,'TAR FIN'!$A$1:$O$113,15,0))</f>
        <v>292.36</v>
      </c>
      <c r="Y748" s="6"/>
      <c r="Z748" s="6">
        <f ca="1">('TUSD BE'!$AM$40+'TUSD BF'!$AM$40+'TUSD CVA'!$AM$40)*1</f>
        <v>393.28439820871614</v>
      </c>
      <c r="AA748" s="6">
        <f>('TE BE'!$AB$18+'TE BF'!$AB$18+'TE CVA'!$AB$18)*1</f>
        <v>314.78517822974521</v>
      </c>
      <c r="AB748" s="6">
        <f>$K$748*$V$748</f>
        <v>0</v>
      </c>
      <c r="AC748" s="6">
        <f>$M$748*$W$748</f>
        <v>-2025.5235</v>
      </c>
      <c r="AD748" s="6">
        <f>$O$748*$X$748</f>
        <v>-1971.9682</v>
      </c>
      <c r="AE748" s="6">
        <f>$K$748*$Y$748</f>
        <v>0</v>
      </c>
      <c r="AF748" s="6">
        <f ca="1">$M$748*$Z$748</f>
        <v>-2652.7032659177903</v>
      </c>
      <c r="AG748" s="6">
        <f>$O$748*$AA$748</f>
        <v>-2123.2260271596315</v>
      </c>
    </row>
    <row r="749" spans="1:33" ht="11.25" customHeight="1" x14ac:dyDescent="0.3">
      <c r="A749" s="4" t="s">
        <v>28</v>
      </c>
      <c r="B749" s="4" t="s">
        <v>22</v>
      </c>
      <c r="C749" s="4" t="s">
        <v>23</v>
      </c>
      <c r="D749" s="4" t="s">
        <v>24</v>
      </c>
      <c r="E749" s="4" t="s">
        <v>24</v>
      </c>
      <c r="F749" s="4" t="s">
        <v>25</v>
      </c>
      <c r="G749" s="4" t="s">
        <v>25</v>
      </c>
      <c r="H749" s="4" t="s">
        <v>25</v>
      </c>
      <c r="I749" s="5">
        <v>44713</v>
      </c>
      <c r="J749" s="6">
        <v>0</v>
      </c>
      <c r="K749" s="6">
        <v>0</v>
      </c>
      <c r="L749" s="6">
        <v>111.227</v>
      </c>
      <c r="M749" s="6">
        <v>111.227</v>
      </c>
      <c r="N749" s="6">
        <v>111.227</v>
      </c>
      <c r="O749" s="6">
        <v>111.227</v>
      </c>
      <c r="P749" s="6">
        <v>717</v>
      </c>
      <c r="Q749" s="4" t="s">
        <v>26</v>
      </c>
      <c r="R749" s="4">
        <v>0</v>
      </c>
      <c r="S749" s="6">
        <v>0</v>
      </c>
      <c r="T749" s="6">
        <v>46</v>
      </c>
      <c r="U749" s="6">
        <v>111</v>
      </c>
      <c r="V749" s="6">
        <f>IF(ISERROR(VLOOKUP($S$749,'TAR FIN'!$A$1:$O$113,15,0)),0,VLOOKUP($S$749,'TAR FIN'!$A$1:$O$113,15,0))</f>
        <v>0</v>
      </c>
      <c r="W749" s="6">
        <f>IF(ISERROR(VLOOKUP($T$749,'TAR FIN'!$A$1:$O$113,15,0)),0,VLOOKUP($T$749,'TAR FIN'!$A$1:$O$113,15,0))</f>
        <v>300.3</v>
      </c>
      <c r="X749" s="6">
        <f>IF(ISERROR(VLOOKUP($U$749,'TAR FIN'!$A$1:$O$113,15,0)),0,VLOOKUP($U$749,'TAR FIN'!$A$1:$O$113,15,0))</f>
        <v>292.36</v>
      </c>
      <c r="Y749" s="6"/>
      <c r="Z749" s="6">
        <f ca="1">('TUSD BE'!$AM$40+'TUSD BF'!$AM$40+'TUSD CVA'!$AM$40)*1</f>
        <v>393.28439820871614</v>
      </c>
      <c r="AA749" s="6">
        <f>('TE BE'!$AB$18+'TE BF'!$AB$18+'TE CVA'!$AB$18)*1</f>
        <v>314.78517822974521</v>
      </c>
      <c r="AB749" s="6">
        <f>$K$749*$V$749</f>
        <v>0</v>
      </c>
      <c r="AC749" s="6">
        <f>$M$749*$W$749</f>
        <v>33401.468100000006</v>
      </c>
      <c r="AD749" s="6">
        <f>$O$749*$X$749</f>
        <v>32518.325720000004</v>
      </c>
      <c r="AE749" s="6">
        <f>$K$749*$Y$749</f>
        <v>0</v>
      </c>
      <c r="AF749" s="6">
        <f ca="1">$M$749*$Z$749</f>
        <v>43743.84375956087</v>
      </c>
      <c r="AG749" s="6">
        <f>$O$749*$AA$749</f>
        <v>35012.611018959869</v>
      </c>
    </row>
    <row r="750" spans="1:33" ht="11.25" customHeight="1" x14ac:dyDescent="0.3">
      <c r="A750" s="4" t="s">
        <v>28</v>
      </c>
      <c r="B750" s="4" t="s">
        <v>22</v>
      </c>
      <c r="C750" s="4" t="s">
        <v>23</v>
      </c>
      <c r="D750" s="4" t="s">
        <v>24</v>
      </c>
      <c r="E750" s="4" t="s">
        <v>24</v>
      </c>
      <c r="F750" s="4" t="s">
        <v>25</v>
      </c>
      <c r="G750" s="4" t="s">
        <v>25</v>
      </c>
      <c r="H750" s="4" t="s">
        <v>25</v>
      </c>
      <c r="I750" s="5">
        <v>44713</v>
      </c>
      <c r="J750" s="6">
        <v>0</v>
      </c>
      <c r="K750" s="6">
        <v>0</v>
      </c>
      <c r="L750" s="6">
        <v>0.17799999999999999</v>
      </c>
      <c r="M750" s="6">
        <v>0.17799999999999999</v>
      </c>
      <c r="N750" s="6">
        <v>0.17799999999999999</v>
      </c>
      <c r="O750" s="6">
        <v>0.17799999999999999</v>
      </c>
      <c r="P750" s="6">
        <v>1</v>
      </c>
      <c r="Q750" s="4" t="s">
        <v>26</v>
      </c>
      <c r="R750" s="4">
        <v>0</v>
      </c>
      <c r="S750" s="6">
        <v>0</v>
      </c>
      <c r="T750" s="6">
        <v>46</v>
      </c>
      <c r="U750" s="6">
        <v>111</v>
      </c>
      <c r="V750" s="6">
        <f>IF(ISERROR(VLOOKUP($S$750,'TAR FIN'!$A$1:$O$113,15,0)),0,VLOOKUP($S$750,'TAR FIN'!$A$1:$O$113,15,0))</f>
        <v>0</v>
      </c>
      <c r="W750" s="6">
        <f>IF(ISERROR(VLOOKUP($T$750,'TAR FIN'!$A$1:$O$113,15,0)),0,VLOOKUP($T$750,'TAR FIN'!$A$1:$O$113,15,0))</f>
        <v>300.3</v>
      </c>
      <c r="X750" s="6">
        <f>IF(ISERROR(VLOOKUP($U$750,'TAR FIN'!$A$1:$O$113,15,0)),0,VLOOKUP($U$750,'TAR FIN'!$A$1:$O$113,15,0))</f>
        <v>292.36</v>
      </c>
      <c r="Y750" s="6"/>
      <c r="Z750" s="6">
        <f ca="1">('TUSD BE'!$AM$40+'TUSD BF'!$AM$40+'TUSD CVA'!$AM$40)*1</f>
        <v>393.28439820871614</v>
      </c>
      <c r="AA750" s="6">
        <f>('TE BE'!$AB$18+'TE BF'!$AB$18+'TE CVA'!$AB$18)*1</f>
        <v>314.78517822974521</v>
      </c>
      <c r="AB750" s="6">
        <f>$K$750*$V$750</f>
        <v>0</v>
      </c>
      <c r="AC750" s="6">
        <f>$M$750*$W$750</f>
        <v>53.453400000000002</v>
      </c>
      <c r="AD750" s="6">
        <f>$O$750*$X$750</f>
        <v>52.040080000000003</v>
      </c>
      <c r="AE750" s="6">
        <f>$K$750*$Y$750</f>
        <v>0</v>
      </c>
      <c r="AF750" s="6">
        <f ca="1">$M$750*$Z$750</f>
        <v>70.004622881151477</v>
      </c>
      <c r="AG750" s="6">
        <f>$O$750*$AA$750</f>
        <v>56.031761724894643</v>
      </c>
    </row>
    <row r="751" spans="1:33" ht="11.25" customHeight="1" x14ac:dyDescent="0.3">
      <c r="A751" s="4" t="s">
        <v>21</v>
      </c>
      <c r="B751" s="4" t="s">
        <v>22</v>
      </c>
      <c r="C751" s="4" t="s">
        <v>23</v>
      </c>
      <c r="D751" s="4" t="s">
        <v>24</v>
      </c>
      <c r="E751" s="4" t="s">
        <v>24</v>
      </c>
      <c r="F751" s="4" t="s">
        <v>25</v>
      </c>
      <c r="G751" s="4" t="s">
        <v>25</v>
      </c>
      <c r="H751" s="4" t="s">
        <v>25</v>
      </c>
      <c r="I751" s="5">
        <v>44743</v>
      </c>
      <c r="J751" s="6">
        <v>0</v>
      </c>
      <c r="K751" s="6">
        <v>0</v>
      </c>
      <c r="L751" s="6">
        <v>10725.651</v>
      </c>
      <c r="M751" s="6">
        <v>10725.651</v>
      </c>
      <c r="N751" s="6">
        <v>10725.651</v>
      </c>
      <c r="O751" s="6">
        <v>10725.651</v>
      </c>
      <c r="P751" s="6">
        <v>69330</v>
      </c>
      <c r="Q751" s="4" t="s">
        <v>26</v>
      </c>
      <c r="R751" s="4">
        <v>0</v>
      </c>
      <c r="S751" s="6">
        <v>0</v>
      </c>
      <c r="T751" s="6">
        <v>46</v>
      </c>
      <c r="U751" s="6">
        <v>111</v>
      </c>
      <c r="V751" s="6">
        <f>IF(ISERROR(VLOOKUP($S$751,'TAR FIN'!$A$1:$O$113,15,0)),0,VLOOKUP($S$751,'TAR FIN'!$A$1:$O$113,15,0))</f>
        <v>0</v>
      </c>
      <c r="W751" s="6">
        <f>IF(ISERROR(VLOOKUP($T$751,'TAR FIN'!$A$1:$O$113,15,0)),0,VLOOKUP($T$751,'TAR FIN'!$A$1:$O$113,15,0))</f>
        <v>300.3</v>
      </c>
      <c r="X751" s="6">
        <f>IF(ISERROR(VLOOKUP($U$751,'TAR FIN'!$A$1:$O$113,15,0)),0,VLOOKUP($U$751,'TAR FIN'!$A$1:$O$113,15,0))</f>
        <v>292.36</v>
      </c>
      <c r="Y751" s="6"/>
      <c r="Z751" s="6">
        <f ca="1">('TUSD BE'!$AM$40+'TUSD BF'!$AM$40+'TUSD CVA'!$AM$40)*1</f>
        <v>393.28439820871614</v>
      </c>
      <c r="AA751" s="6">
        <f>('TE BE'!$AB$18+'TE BF'!$AB$18+'TE CVA'!$AB$18)*1</f>
        <v>314.78517822974521</v>
      </c>
      <c r="AB751" s="6">
        <f>$K$751*$V$751</f>
        <v>0</v>
      </c>
      <c r="AC751" s="6">
        <f>$M$751*$W$751</f>
        <v>3220912.9953000001</v>
      </c>
      <c r="AD751" s="6">
        <f>$O$751*$X$751</f>
        <v>3135751.3263600003</v>
      </c>
      <c r="AE751" s="6">
        <f>$K$751*$Y$751</f>
        <v>0</v>
      </c>
      <c r="AF751" s="6">
        <f ca="1">$M$751*$Z$751</f>
        <v>4218231.1989317145</v>
      </c>
      <c r="AG751" s="6">
        <f>$O$751*$AA$751</f>
        <v>3376275.961665045</v>
      </c>
    </row>
    <row r="752" spans="1:33" ht="11.25" customHeight="1" x14ac:dyDescent="0.3">
      <c r="A752" s="4" t="s">
        <v>21</v>
      </c>
      <c r="B752" s="4" t="s">
        <v>22</v>
      </c>
      <c r="C752" s="4" t="s">
        <v>23</v>
      </c>
      <c r="D752" s="4" t="s">
        <v>24</v>
      </c>
      <c r="E752" s="4" t="s">
        <v>24</v>
      </c>
      <c r="F752" s="4" t="s">
        <v>25</v>
      </c>
      <c r="G752" s="4" t="s">
        <v>25</v>
      </c>
      <c r="H752" s="4" t="s">
        <v>25</v>
      </c>
      <c r="I752" s="5">
        <v>44774</v>
      </c>
      <c r="J752" s="6">
        <v>0</v>
      </c>
      <c r="K752" s="6">
        <v>0</v>
      </c>
      <c r="L752" s="6">
        <v>10090.436</v>
      </c>
      <c r="M752" s="6">
        <v>10090.436</v>
      </c>
      <c r="N752" s="6">
        <v>10090.436</v>
      </c>
      <c r="O752" s="6">
        <v>10090.436</v>
      </c>
      <c r="P752" s="6">
        <v>69121</v>
      </c>
      <c r="Q752" s="4" t="s">
        <v>26</v>
      </c>
      <c r="R752" s="4">
        <v>0</v>
      </c>
      <c r="S752" s="6">
        <v>0</v>
      </c>
      <c r="T752" s="6">
        <v>46</v>
      </c>
      <c r="U752" s="6">
        <v>111</v>
      </c>
      <c r="V752" s="6">
        <f>IF(ISERROR(VLOOKUP($S$752,'TAR FIN'!$A$1:$O$113,15,0)),0,VLOOKUP($S$752,'TAR FIN'!$A$1:$O$113,15,0))</f>
        <v>0</v>
      </c>
      <c r="W752" s="6">
        <f>IF(ISERROR(VLOOKUP($T$752,'TAR FIN'!$A$1:$O$113,15,0)),0,VLOOKUP($T$752,'TAR FIN'!$A$1:$O$113,15,0))</f>
        <v>300.3</v>
      </c>
      <c r="X752" s="6">
        <f>IF(ISERROR(VLOOKUP($U$752,'TAR FIN'!$A$1:$O$113,15,0)),0,VLOOKUP($U$752,'TAR FIN'!$A$1:$O$113,15,0))</f>
        <v>292.36</v>
      </c>
      <c r="Y752" s="6"/>
      <c r="Z752" s="6">
        <f ca="1">('TUSD BE'!$AM$40+'TUSD BF'!$AM$40+'TUSD CVA'!$AM$40)*1</f>
        <v>393.28439820871614</v>
      </c>
      <c r="AA752" s="6">
        <f>('TE BE'!$AB$18+'TE BF'!$AB$18+'TE CVA'!$AB$18)*1</f>
        <v>314.78517822974521</v>
      </c>
      <c r="AB752" s="6">
        <f>$K$752*$V$752</f>
        <v>0</v>
      </c>
      <c r="AC752" s="6">
        <f>$M$752*$W$752</f>
        <v>3030157.9308000002</v>
      </c>
      <c r="AD752" s="6">
        <f>$O$752*$X$752</f>
        <v>2950039.8689600001</v>
      </c>
      <c r="AE752" s="6">
        <f>$K$752*$Y$752</f>
        <v>0</v>
      </c>
      <c r="AF752" s="6">
        <f ca="1">$M$752*$Z$752</f>
        <v>3968411.0499235648</v>
      </c>
      <c r="AG752" s="6">
        <f>$O$752*$AA$752</f>
        <v>3176319.6946758372</v>
      </c>
    </row>
    <row r="753" spans="1:33" ht="11.25" customHeight="1" x14ac:dyDescent="0.3">
      <c r="A753" s="4" t="s">
        <v>27</v>
      </c>
      <c r="B753" s="4" t="s">
        <v>22</v>
      </c>
      <c r="C753" s="4" t="s">
        <v>23</v>
      </c>
      <c r="D753" s="4" t="s">
        <v>24</v>
      </c>
      <c r="E753" s="4" t="s">
        <v>24</v>
      </c>
      <c r="F753" s="4" t="s">
        <v>25</v>
      </c>
      <c r="G753" s="4" t="s">
        <v>25</v>
      </c>
      <c r="H753" s="4" t="s">
        <v>25</v>
      </c>
      <c r="I753" s="5">
        <v>44774</v>
      </c>
      <c r="J753" s="6">
        <v>0</v>
      </c>
      <c r="K753" s="6">
        <v>0</v>
      </c>
      <c r="L753" s="6">
        <v>-6.5289999999999999</v>
      </c>
      <c r="M753" s="6">
        <v>-6.5289999999999999</v>
      </c>
      <c r="N753" s="6">
        <v>-6.5289999999999999</v>
      </c>
      <c r="O753" s="6">
        <v>-6.5289999999999999</v>
      </c>
      <c r="P753" s="6">
        <v>0</v>
      </c>
      <c r="Q753" s="4" t="s">
        <v>26</v>
      </c>
      <c r="R753" s="4">
        <v>0</v>
      </c>
      <c r="S753" s="6">
        <v>0</v>
      </c>
      <c r="T753" s="6">
        <v>46</v>
      </c>
      <c r="U753" s="6">
        <v>111</v>
      </c>
      <c r="V753" s="6">
        <f>IF(ISERROR(VLOOKUP($S$753,'TAR FIN'!$A$1:$O$113,15,0)),0,VLOOKUP($S$753,'TAR FIN'!$A$1:$O$113,15,0))</f>
        <v>0</v>
      </c>
      <c r="W753" s="6">
        <f>IF(ISERROR(VLOOKUP($T$753,'TAR FIN'!$A$1:$O$113,15,0)),0,VLOOKUP($T$753,'TAR FIN'!$A$1:$O$113,15,0))</f>
        <v>300.3</v>
      </c>
      <c r="X753" s="6">
        <f>IF(ISERROR(VLOOKUP($U$753,'TAR FIN'!$A$1:$O$113,15,0)),0,VLOOKUP($U$753,'TAR FIN'!$A$1:$O$113,15,0))</f>
        <v>292.36</v>
      </c>
      <c r="Y753" s="6"/>
      <c r="Z753" s="6">
        <f ca="1">('TUSD BE'!$AM$40+'TUSD BF'!$AM$40+'TUSD CVA'!$AM$40)*1</f>
        <v>393.28439820871614</v>
      </c>
      <c r="AA753" s="6">
        <f>('TE BE'!$AB$18+'TE BF'!$AB$18+'TE CVA'!$AB$18)*1</f>
        <v>314.78517822974521</v>
      </c>
      <c r="AB753" s="6">
        <f>$K$753*$V$753</f>
        <v>0</v>
      </c>
      <c r="AC753" s="6">
        <f>$M$753*$W$753</f>
        <v>-1960.6587</v>
      </c>
      <c r="AD753" s="6">
        <f>$O$753*$X$753</f>
        <v>-1908.81844</v>
      </c>
      <c r="AE753" s="6">
        <f>$K$753*$Y$753</f>
        <v>0</v>
      </c>
      <c r="AF753" s="6">
        <f ca="1">$M$753*$Z$753</f>
        <v>-2567.7538359047076</v>
      </c>
      <c r="AG753" s="6">
        <f>$O$753*$AA$753</f>
        <v>-2055.2324286620064</v>
      </c>
    </row>
    <row r="754" spans="1:33" ht="11.25" customHeight="1" x14ac:dyDescent="0.3">
      <c r="A754" s="4" t="s">
        <v>28</v>
      </c>
      <c r="B754" s="4" t="s">
        <v>22</v>
      </c>
      <c r="C754" s="4" t="s">
        <v>23</v>
      </c>
      <c r="D754" s="4" t="s">
        <v>24</v>
      </c>
      <c r="E754" s="4" t="s">
        <v>24</v>
      </c>
      <c r="F754" s="4" t="s">
        <v>25</v>
      </c>
      <c r="G754" s="4" t="s">
        <v>25</v>
      </c>
      <c r="H754" s="4" t="s">
        <v>25</v>
      </c>
      <c r="I754" s="5">
        <v>44774</v>
      </c>
      <c r="J754" s="6">
        <v>0</v>
      </c>
      <c r="K754" s="6">
        <v>0</v>
      </c>
      <c r="L754" s="6">
        <v>102.729</v>
      </c>
      <c r="M754" s="6">
        <v>102.729</v>
      </c>
      <c r="N754" s="6">
        <v>102.729</v>
      </c>
      <c r="O754" s="6">
        <v>102.729</v>
      </c>
      <c r="P754" s="6">
        <v>809</v>
      </c>
      <c r="Q754" s="4" t="s">
        <v>26</v>
      </c>
      <c r="R754" s="4">
        <v>0</v>
      </c>
      <c r="S754" s="6">
        <v>0</v>
      </c>
      <c r="T754" s="6">
        <v>46</v>
      </c>
      <c r="U754" s="6">
        <v>111</v>
      </c>
      <c r="V754" s="6">
        <f>IF(ISERROR(VLOOKUP($S$754,'TAR FIN'!$A$1:$O$113,15,0)),0,VLOOKUP($S$754,'TAR FIN'!$A$1:$O$113,15,0))</f>
        <v>0</v>
      </c>
      <c r="W754" s="6">
        <f>IF(ISERROR(VLOOKUP($T$754,'TAR FIN'!$A$1:$O$113,15,0)),0,VLOOKUP($T$754,'TAR FIN'!$A$1:$O$113,15,0))</f>
        <v>300.3</v>
      </c>
      <c r="X754" s="6">
        <f>IF(ISERROR(VLOOKUP($U$754,'TAR FIN'!$A$1:$O$113,15,0)),0,VLOOKUP($U$754,'TAR FIN'!$A$1:$O$113,15,0))</f>
        <v>292.36</v>
      </c>
      <c r="Y754" s="6"/>
      <c r="Z754" s="6">
        <f ca="1">('TUSD BE'!$AM$40+'TUSD BF'!$AM$40+'TUSD CVA'!$AM$40)*1</f>
        <v>393.28439820871614</v>
      </c>
      <c r="AA754" s="6">
        <f>('TE BE'!$AB$18+'TE BF'!$AB$18+'TE CVA'!$AB$18)*1</f>
        <v>314.78517822974521</v>
      </c>
      <c r="AB754" s="6">
        <f>$K$754*$V$754</f>
        <v>0</v>
      </c>
      <c r="AC754" s="6">
        <f>$M$754*$W$754</f>
        <v>30849.518700000001</v>
      </c>
      <c r="AD754" s="6">
        <f>$O$754*$X$754</f>
        <v>30033.850440000002</v>
      </c>
      <c r="AE754" s="6">
        <f>$K$754*$Y$754</f>
        <v>0</v>
      </c>
      <c r="AF754" s="6">
        <f ca="1">$M$754*$Z$754</f>
        <v>40401.712943583203</v>
      </c>
      <c r="AG754" s="6">
        <f>$O$754*$AA$754</f>
        <v>32337.566574363496</v>
      </c>
    </row>
    <row r="755" spans="1:33" ht="11.25" customHeight="1" x14ac:dyDescent="0.3">
      <c r="A755" s="4" t="s">
        <v>28</v>
      </c>
      <c r="B755" s="4" t="s">
        <v>22</v>
      </c>
      <c r="C755" s="4" t="s">
        <v>23</v>
      </c>
      <c r="D755" s="4" t="s">
        <v>24</v>
      </c>
      <c r="E755" s="4" t="s">
        <v>24</v>
      </c>
      <c r="F755" s="4" t="s">
        <v>25</v>
      </c>
      <c r="G755" s="4" t="s">
        <v>25</v>
      </c>
      <c r="H755" s="4" t="s">
        <v>25</v>
      </c>
      <c r="I755" s="5">
        <v>44774</v>
      </c>
      <c r="J755" s="6">
        <v>0</v>
      </c>
      <c r="K755" s="6">
        <v>0</v>
      </c>
      <c r="L755" s="6">
        <v>-9.1999999999999998E-2</v>
      </c>
      <c r="M755" s="6">
        <v>-9.1999999999999998E-2</v>
      </c>
      <c r="N755" s="6">
        <v>-9.1999999999999998E-2</v>
      </c>
      <c r="O755" s="6">
        <v>-9.1999999999999998E-2</v>
      </c>
      <c r="P755" s="6">
        <v>4</v>
      </c>
      <c r="Q755" s="4" t="s">
        <v>26</v>
      </c>
      <c r="R755" s="4">
        <v>0</v>
      </c>
      <c r="S755" s="6">
        <v>0</v>
      </c>
      <c r="T755" s="6">
        <v>46</v>
      </c>
      <c r="U755" s="6">
        <v>111</v>
      </c>
      <c r="V755" s="6">
        <f>IF(ISERROR(VLOOKUP($S$755,'TAR FIN'!$A$1:$O$113,15,0)),0,VLOOKUP($S$755,'TAR FIN'!$A$1:$O$113,15,0))</f>
        <v>0</v>
      </c>
      <c r="W755" s="6">
        <f>IF(ISERROR(VLOOKUP($T$755,'TAR FIN'!$A$1:$O$113,15,0)),0,VLOOKUP($T$755,'TAR FIN'!$A$1:$O$113,15,0))</f>
        <v>300.3</v>
      </c>
      <c r="X755" s="6">
        <f>IF(ISERROR(VLOOKUP($U$755,'TAR FIN'!$A$1:$O$113,15,0)),0,VLOOKUP($U$755,'TAR FIN'!$A$1:$O$113,15,0))</f>
        <v>292.36</v>
      </c>
      <c r="Y755" s="6"/>
      <c r="Z755" s="6">
        <f ca="1">('TUSD BE'!$AM$40+'TUSD BF'!$AM$40+'TUSD CVA'!$AM$40)*1</f>
        <v>393.28439820871614</v>
      </c>
      <c r="AA755" s="6">
        <f>('TE BE'!$AB$18+'TE BF'!$AB$18+'TE CVA'!$AB$18)*1</f>
        <v>314.78517822974521</v>
      </c>
      <c r="AB755" s="6">
        <f>$K$755*$V$755</f>
        <v>0</v>
      </c>
      <c r="AC755" s="6">
        <f>$M$755*$W$755</f>
        <v>-27.627600000000001</v>
      </c>
      <c r="AD755" s="6">
        <f>$O$755*$X$755</f>
        <v>-26.897120000000001</v>
      </c>
      <c r="AE755" s="6">
        <f>$K$755*$Y$755</f>
        <v>0</v>
      </c>
      <c r="AF755" s="6">
        <f ca="1">$M$755*$Z$755</f>
        <v>-36.182164635201886</v>
      </c>
      <c r="AG755" s="6">
        <f>$O$755*$AA$755</f>
        <v>-28.960236397136558</v>
      </c>
    </row>
    <row r="756" spans="1:33" ht="11.25" customHeight="1" x14ac:dyDescent="0.3">
      <c r="A756" s="4" t="s">
        <v>21</v>
      </c>
      <c r="B756" s="4" t="s">
        <v>22</v>
      </c>
      <c r="C756" s="4" t="s">
        <v>23</v>
      </c>
      <c r="D756" s="4" t="s">
        <v>24</v>
      </c>
      <c r="E756" s="4" t="s">
        <v>24</v>
      </c>
      <c r="F756" s="4" t="s">
        <v>25</v>
      </c>
      <c r="G756" s="4" t="s">
        <v>25</v>
      </c>
      <c r="H756" s="4" t="s">
        <v>25</v>
      </c>
      <c r="I756" s="5">
        <v>44805</v>
      </c>
      <c r="J756" s="6">
        <v>0</v>
      </c>
      <c r="K756" s="6">
        <v>0</v>
      </c>
      <c r="L756" s="6">
        <v>11077.602999999999</v>
      </c>
      <c r="M756" s="6">
        <v>11077.602999999999</v>
      </c>
      <c r="N756" s="6">
        <v>11077.602999999999</v>
      </c>
      <c r="O756" s="6">
        <v>11077.602999999999</v>
      </c>
      <c r="P756" s="6">
        <v>69259</v>
      </c>
      <c r="Q756" s="4" t="s">
        <v>26</v>
      </c>
      <c r="R756" s="4">
        <v>0</v>
      </c>
      <c r="S756" s="6">
        <v>0</v>
      </c>
      <c r="T756" s="6">
        <v>46</v>
      </c>
      <c r="U756" s="6">
        <v>111</v>
      </c>
      <c r="V756" s="6">
        <f>IF(ISERROR(VLOOKUP($S$756,'TAR FIN'!$A$1:$O$113,15,0)),0,VLOOKUP($S$756,'TAR FIN'!$A$1:$O$113,15,0))</f>
        <v>0</v>
      </c>
      <c r="W756" s="6">
        <f>IF(ISERROR(VLOOKUP($T$756,'TAR FIN'!$A$1:$O$113,15,0)),0,VLOOKUP($T$756,'TAR FIN'!$A$1:$O$113,15,0))</f>
        <v>300.3</v>
      </c>
      <c r="X756" s="6">
        <f>IF(ISERROR(VLOOKUP($U$756,'TAR FIN'!$A$1:$O$113,15,0)),0,VLOOKUP($U$756,'TAR FIN'!$A$1:$O$113,15,0))</f>
        <v>292.36</v>
      </c>
      <c r="Y756" s="6"/>
      <c r="Z756" s="6">
        <f ca="1">('TUSD BE'!$AM$40+'TUSD BF'!$AM$40+'TUSD CVA'!$AM$40)*1</f>
        <v>393.28439820871614</v>
      </c>
      <c r="AA756" s="6">
        <f>('TE BE'!$AB$18+'TE BF'!$AB$18+'TE CVA'!$AB$18)*1</f>
        <v>314.78517822974521</v>
      </c>
      <c r="AB756" s="6">
        <f>$K$756*$V$756</f>
        <v>0</v>
      </c>
      <c r="AC756" s="6">
        <f>$M$756*$W$756</f>
        <v>3326604.1809</v>
      </c>
      <c r="AD756" s="6">
        <f>$O$756*$X$756</f>
        <v>3238648.0130799999</v>
      </c>
      <c r="AE756" s="6">
        <f>$K$756*$Y$756</f>
        <v>0</v>
      </c>
      <c r="AF756" s="6">
        <f ca="1">$M$756*$Z$756</f>
        <v>4356648.4294500686</v>
      </c>
      <c r="AG756" s="6">
        <f>$O$756*$AA$756</f>
        <v>3487065.2347133602</v>
      </c>
    </row>
    <row r="757" spans="1:33" ht="11.25" customHeight="1" x14ac:dyDescent="0.3">
      <c r="A757" s="4" t="s">
        <v>27</v>
      </c>
      <c r="B757" s="4" t="s">
        <v>22</v>
      </c>
      <c r="C757" s="4" t="s">
        <v>23</v>
      </c>
      <c r="D757" s="4" t="s">
        <v>24</v>
      </c>
      <c r="E757" s="4" t="s">
        <v>24</v>
      </c>
      <c r="F757" s="4" t="s">
        <v>25</v>
      </c>
      <c r="G757" s="4" t="s">
        <v>25</v>
      </c>
      <c r="H757" s="4" t="s">
        <v>25</v>
      </c>
      <c r="I757" s="5">
        <v>44805</v>
      </c>
      <c r="J757" s="6">
        <v>0</v>
      </c>
      <c r="K757" s="6">
        <v>0</v>
      </c>
      <c r="L757" s="6">
        <v>-10.504</v>
      </c>
      <c r="M757" s="6">
        <v>-10.504</v>
      </c>
      <c r="N757" s="6">
        <v>-10.504</v>
      </c>
      <c r="O757" s="6">
        <v>-10.504</v>
      </c>
      <c r="P757" s="6">
        <v>0</v>
      </c>
      <c r="Q757" s="4" t="s">
        <v>26</v>
      </c>
      <c r="R757" s="4">
        <v>0</v>
      </c>
      <c r="S757" s="6">
        <v>0</v>
      </c>
      <c r="T757" s="6">
        <v>46</v>
      </c>
      <c r="U757" s="6">
        <v>111</v>
      </c>
      <c r="V757" s="6">
        <f>IF(ISERROR(VLOOKUP($S$757,'TAR FIN'!$A$1:$O$113,15,0)),0,VLOOKUP($S$757,'TAR FIN'!$A$1:$O$113,15,0))</f>
        <v>0</v>
      </c>
      <c r="W757" s="6">
        <f>IF(ISERROR(VLOOKUP($T$757,'TAR FIN'!$A$1:$O$113,15,0)),0,VLOOKUP($T$757,'TAR FIN'!$A$1:$O$113,15,0))</f>
        <v>300.3</v>
      </c>
      <c r="X757" s="6">
        <f>IF(ISERROR(VLOOKUP($U$757,'TAR FIN'!$A$1:$O$113,15,0)),0,VLOOKUP($U$757,'TAR FIN'!$A$1:$O$113,15,0))</f>
        <v>292.36</v>
      </c>
      <c r="Y757" s="6"/>
      <c r="Z757" s="6">
        <f ca="1">('TUSD BE'!$AM$40+'TUSD BF'!$AM$40+'TUSD CVA'!$AM$40)*1</f>
        <v>393.28439820871614</v>
      </c>
      <c r="AA757" s="6">
        <f>('TE BE'!$AB$18+'TE BF'!$AB$18+'TE CVA'!$AB$18)*1</f>
        <v>314.78517822974521</v>
      </c>
      <c r="AB757" s="6">
        <f>$K$757*$V$757</f>
        <v>0</v>
      </c>
      <c r="AC757" s="6">
        <f>$M$757*$W$757</f>
        <v>-3154.3512000000001</v>
      </c>
      <c r="AD757" s="6">
        <f>$O$757*$X$757</f>
        <v>-3070.9494399999999</v>
      </c>
      <c r="AE757" s="6">
        <f>$K$757*$Y$757</f>
        <v>0</v>
      </c>
      <c r="AF757" s="6">
        <f ca="1">$M$757*$Z$757</f>
        <v>-4131.0593187843542</v>
      </c>
      <c r="AG757" s="6">
        <f>$O$757*$AA$757</f>
        <v>-3306.5035121252436</v>
      </c>
    </row>
    <row r="758" spans="1:33" ht="11.25" customHeight="1" x14ac:dyDescent="0.3">
      <c r="A758" s="4" t="s">
        <v>28</v>
      </c>
      <c r="B758" s="4" t="s">
        <v>22</v>
      </c>
      <c r="C758" s="4" t="s">
        <v>23</v>
      </c>
      <c r="D758" s="4" t="s">
        <v>24</v>
      </c>
      <c r="E758" s="4" t="s">
        <v>24</v>
      </c>
      <c r="F758" s="4" t="s">
        <v>25</v>
      </c>
      <c r="G758" s="4" t="s">
        <v>25</v>
      </c>
      <c r="H758" s="4" t="s">
        <v>25</v>
      </c>
      <c r="I758" s="5">
        <v>44805</v>
      </c>
      <c r="J758" s="6">
        <v>0</v>
      </c>
      <c r="K758" s="6">
        <v>0</v>
      </c>
      <c r="L758" s="6">
        <v>115.226</v>
      </c>
      <c r="M758" s="6">
        <v>115.226</v>
      </c>
      <c r="N758" s="6">
        <v>115.226</v>
      </c>
      <c r="O758" s="6">
        <v>115.226</v>
      </c>
      <c r="P758" s="6">
        <v>873</v>
      </c>
      <c r="Q758" s="4" t="s">
        <v>26</v>
      </c>
      <c r="R758" s="4">
        <v>0</v>
      </c>
      <c r="S758" s="6">
        <v>0</v>
      </c>
      <c r="T758" s="6">
        <v>46</v>
      </c>
      <c r="U758" s="6">
        <v>111</v>
      </c>
      <c r="V758" s="6">
        <f>IF(ISERROR(VLOOKUP($S$758,'TAR FIN'!$A$1:$O$113,15,0)),0,VLOOKUP($S$758,'TAR FIN'!$A$1:$O$113,15,0))</f>
        <v>0</v>
      </c>
      <c r="W758" s="6">
        <f>IF(ISERROR(VLOOKUP($T$758,'TAR FIN'!$A$1:$O$113,15,0)),0,VLOOKUP($T$758,'TAR FIN'!$A$1:$O$113,15,0))</f>
        <v>300.3</v>
      </c>
      <c r="X758" s="6">
        <f>IF(ISERROR(VLOOKUP($U$758,'TAR FIN'!$A$1:$O$113,15,0)),0,VLOOKUP($U$758,'TAR FIN'!$A$1:$O$113,15,0))</f>
        <v>292.36</v>
      </c>
      <c r="Y758" s="6"/>
      <c r="Z758" s="6">
        <f ca="1">('TUSD BE'!$AM$40+'TUSD BF'!$AM$40+'TUSD CVA'!$AM$40)*1</f>
        <v>393.28439820871614</v>
      </c>
      <c r="AA758" s="6">
        <f>('TE BE'!$AB$18+'TE BF'!$AB$18+'TE CVA'!$AB$18)*1</f>
        <v>314.78517822974521</v>
      </c>
      <c r="AB758" s="6">
        <f>$K$758*$V$758</f>
        <v>0</v>
      </c>
      <c r="AC758" s="6">
        <f>$M$758*$W$758</f>
        <v>34602.3678</v>
      </c>
      <c r="AD758" s="6">
        <f>$O$758*$X$758</f>
        <v>33687.473360000004</v>
      </c>
      <c r="AE758" s="6">
        <f>$K$758*$Y$758</f>
        <v>0</v>
      </c>
      <c r="AF758" s="6">
        <f ca="1">$M$758*$Z$758</f>
        <v>45316.588067997523</v>
      </c>
      <c r="AG758" s="6">
        <f>$O$758*$AA$758</f>
        <v>36271.436946700618</v>
      </c>
    </row>
    <row r="759" spans="1:33" ht="11.25" customHeight="1" x14ac:dyDescent="0.3">
      <c r="A759" s="4" t="s">
        <v>53</v>
      </c>
      <c r="B759" s="4" t="s">
        <v>22</v>
      </c>
      <c r="C759" s="4" t="s">
        <v>23</v>
      </c>
      <c r="D759" s="4" t="s">
        <v>24</v>
      </c>
      <c r="E759" s="4" t="s">
        <v>24</v>
      </c>
      <c r="F759" s="4" t="s">
        <v>25</v>
      </c>
      <c r="G759" s="4" t="s">
        <v>25</v>
      </c>
      <c r="H759" s="4" t="s">
        <v>25</v>
      </c>
      <c r="I759" s="5">
        <v>44835</v>
      </c>
      <c r="J759" s="6">
        <v>0</v>
      </c>
      <c r="K759" s="6">
        <v>0</v>
      </c>
      <c r="L759" s="6">
        <v>11077.602999999999</v>
      </c>
      <c r="M759" s="6">
        <v>11077.602999999999</v>
      </c>
      <c r="N759" s="6">
        <v>11077.602999999999</v>
      </c>
      <c r="O759" s="6">
        <v>11077.602999999999</v>
      </c>
      <c r="P759" s="6">
        <v>69259</v>
      </c>
      <c r="Q759" s="4" t="s">
        <v>26</v>
      </c>
      <c r="R759" s="4">
        <v>0</v>
      </c>
      <c r="S759" s="6">
        <v>0</v>
      </c>
      <c r="T759" s="6">
        <v>46</v>
      </c>
      <c r="U759" s="6">
        <v>111</v>
      </c>
      <c r="V759" s="6">
        <f>IF(ISERROR(VLOOKUP($S$759,'TAR FIN'!$A$1:$O$113,15,0)),0,VLOOKUP($S$759,'TAR FIN'!$A$1:$O$113,15,0))</f>
        <v>0</v>
      </c>
      <c r="W759" s="6">
        <f>IF(ISERROR(VLOOKUP($T$759,'TAR FIN'!$A$1:$O$113,15,0)),0,VLOOKUP($T$759,'TAR FIN'!$A$1:$O$113,15,0))</f>
        <v>300.3</v>
      </c>
      <c r="X759" s="6">
        <f>IF(ISERROR(VLOOKUP($U$759,'TAR FIN'!$A$1:$O$113,15,0)),0,VLOOKUP($U$759,'TAR FIN'!$A$1:$O$113,15,0))</f>
        <v>292.36</v>
      </c>
      <c r="Y759" s="6"/>
      <c r="Z759" s="6">
        <f ca="1">('TUSD BE'!$AM$40+'TUSD BF'!$AM$40+'TUSD CVA'!$AM$40)*1</f>
        <v>393.28439820871614</v>
      </c>
      <c r="AA759" s="6">
        <f>('TE BE'!$AB$18+'TE BF'!$AB$18+'TE CVA'!$AB$18)*1</f>
        <v>314.78517822974521</v>
      </c>
      <c r="AB759" s="6">
        <f>$K$759*$V$759</f>
        <v>0</v>
      </c>
      <c r="AC759" s="6">
        <f>$M$759*$W$759</f>
        <v>3326604.1809</v>
      </c>
      <c r="AD759" s="6">
        <f>$O$759*$X$759</f>
        <v>3238648.0130799999</v>
      </c>
      <c r="AE759" s="6">
        <f>$K$759*$Y$759</f>
        <v>0</v>
      </c>
      <c r="AF759" s="6">
        <f ca="1">$M$759*$Z$759</f>
        <v>4356648.4294500686</v>
      </c>
      <c r="AG759" s="6">
        <f>$O$759*$AA$759</f>
        <v>3487065.2347133602</v>
      </c>
    </row>
    <row r="760" spans="1:33" ht="11.25" customHeight="1" x14ac:dyDescent="0.3">
      <c r="A760" s="4" t="s">
        <v>53</v>
      </c>
      <c r="B760" s="4" t="s">
        <v>22</v>
      </c>
      <c r="C760" s="4" t="s">
        <v>23</v>
      </c>
      <c r="D760" s="4" t="s">
        <v>24</v>
      </c>
      <c r="E760" s="4" t="s">
        <v>24</v>
      </c>
      <c r="F760" s="4" t="s">
        <v>25</v>
      </c>
      <c r="G760" s="4" t="s">
        <v>25</v>
      </c>
      <c r="H760" s="4" t="s">
        <v>25</v>
      </c>
      <c r="I760" s="5">
        <v>44835</v>
      </c>
      <c r="J760" s="6">
        <v>0</v>
      </c>
      <c r="K760" s="6">
        <v>0</v>
      </c>
      <c r="L760" s="6">
        <v>-10.504</v>
      </c>
      <c r="M760" s="6">
        <v>-10.504</v>
      </c>
      <c r="N760" s="6">
        <v>-10.504</v>
      </c>
      <c r="O760" s="6">
        <v>-10.504</v>
      </c>
      <c r="P760" s="6">
        <v>0</v>
      </c>
      <c r="Q760" s="4" t="s">
        <v>26</v>
      </c>
      <c r="R760" s="4">
        <v>0</v>
      </c>
      <c r="S760" s="6">
        <v>0</v>
      </c>
      <c r="T760" s="6">
        <v>46</v>
      </c>
      <c r="U760" s="6">
        <v>111</v>
      </c>
      <c r="V760" s="6">
        <f>IF(ISERROR(VLOOKUP($S$760,'TAR FIN'!$A$1:$O$113,15,0)),0,VLOOKUP($S$760,'TAR FIN'!$A$1:$O$113,15,0))</f>
        <v>0</v>
      </c>
      <c r="W760" s="6">
        <f>IF(ISERROR(VLOOKUP($T$760,'TAR FIN'!$A$1:$O$113,15,0)),0,VLOOKUP($T$760,'TAR FIN'!$A$1:$O$113,15,0))</f>
        <v>300.3</v>
      </c>
      <c r="X760" s="6">
        <f>IF(ISERROR(VLOOKUP($U$760,'TAR FIN'!$A$1:$O$113,15,0)),0,VLOOKUP($U$760,'TAR FIN'!$A$1:$O$113,15,0))</f>
        <v>292.36</v>
      </c>
      <c r="Y760" s="6"/>
      <c r="Z760" s="6">
        <f ca="1">('TUSD BE'!$AM$40+'TUSD BF'!$AM$40+'TUSD CVA'!$AM$40)*1</f>
        <v>393.28439820871614</v>
      </c>
      <c r="AA760" s="6">
        <f>('TE BE'!$AB$18+'TE BF'!$AB$18+'TE CVA'!$AB$18)*1</f>
        <v>314.78517822974521</v>
      </c>
      <c r="AB760" s="6">
        <f>$K$760*$V$760</f>
        <v>0</v>
      </c>
      <c r="AC760" s="6">
        <f>$M$760*$W$760</f>
        <v>-3154.3512000000001</v>
      </c>
      <c r="AD760" s="6">
        <f>$O$760*$X$760</f>
        <v>-3070.9494399999999</v>
      </c>
      <c r="AE760" s="6">
        <f>$K$760*$Y$760</f>
        <v>0</v>
      </c>
      <c r="AF760" s="6">
        <f ca="1">$M$760*$Z$760</f>
        <v>-4131.0593187843542</v>
      </c>
      <c r="AG760" s="6">
        <f>$O$760*$AA$760</f>
        <v>-3306.5035121252436</v>
      </c>
    </row>
    <row r="761" spans="1:33" ht="11.25" customHeight="1" x14ac:dyDescent="0.3">
      <c r="A761" s="4" t="s">
        <v>53</v>
      </c>
      <c r="B761" s="4" t="s">
        <v>22</v>
      </c>
      <c r="C761" s="4" t="s">
        <v>23</v>
      </c>
      <c r="D761" s="4" t="s">
        <v>24</v>
      </c>
      <c r="E761" s="4" t="s">
        <v>24</v>
      </c>
      <c r="F761" s="4" t="s">
        <v>25</v>
      </c>
      <c r="G761" s="4" t="s">
        <v>25</v>
      </c>
      <c r="H761" s="4" t="s">
        <v>25</v>
      </c>
      <c r="I761" s="5">
        <v>44835</v>
      </c>
      <c r="J761" s="6">
        <v>0</v>
      </c>
      <c r="K761" s="6">
        <v>0</v>
      </c>
      <c r="L761" s="6">
        <v>115.226</v>
      </c>
      <c r="M761" s="6">
        <v>115.226</v>
      </c>
      <c r="N761" s="6">
        <v>115.226</v>
      </c>
      <c r="O761" s="6">
        <v>115.226</v>
      </c>
      <c r="P761" s="6">
        <v>873</v>
      </c>
      <c r="Q761" s="4" t="s">
        <v>26</v>
      </c>
      <c r="R761" s="4">
        <v>0</v>
      </c>
      <c r="S761" s="6">
        <v>0</v>
      </c>
      <c r="T761" s="6">
        <v>46</v>
      </c>
      <c r="U761" s="6">
        <v>111</v>
      </c>
      <c r="V761" s="6">
        <f>IF(ISERROR(VLOOKUP($S$761,'TAR FIN'!$A$1:$O$113,15,0)),0,VLOOKUP($S$761,'TAR FIN'!$A$1:$O$113,15,0))</f>
        <v>0</v>
      </c>
      <c r="W761" s="6">
        <f>IF(ISERROR(VLOOKUP($T$761,'TAR FIN'!$A$1:$O$113,15,0)),0,VLOOKUP($T$761,'TAR FIN'!$A$1:$O$113,15,0))</f>
        <v>300.3</v>
      </c>
      <c r="X761" s="6">
        <f>IF(ISERROR(VLOOKUP($U$761,'TAR FIN'!$A$1:$O$113,15,0)),0,VLOOKUP($U$761,'TAR FIN'!$A$1:$O$113,15,0))</f>
        <v>292.36</v>
      </c>
      <c r="Y761" s="6"/>
      <c r="Z761" s="6">
        <f ca="1">('TUSD BE'!$AM$40+'TUSD BF'!$AM$40+'TUSD CVA'!$AM$40)*1</f>
        <v>393.28439820871614</v>
      </c>
      <c r="AA761" s="6">
        <f>('TE BE'!$AB$18+'TE BF'!$AB$18+'TE CVA'!$AB$18)*1</f>
        <v>314.78517822974521</v>
      </c>
      <c r="AB761" s="6">
        <f>$K$761*$V$761</f>
        <v>0</v>
      </c>
      <c r="AC761" s="6">
        <f>$M$761*$W$761</f>
        <v>34602.3678</v>
      </c>
      <c r="AD761" s="6">
        <f>$O$761*$X$761</f>
        <v>33687.473360000004</v>
      </c>
      <c r="AE761" s="6">
        <f>$K$761*$Y$761</f>
        <v>0</v>
      </c>
      <c r="AF761" s="6">
        <f ca="1">$M$761*$Z$761</f>
        <v>45316.588067997523</v>
      </c>
      <c r="AG761" s="6">
        <f>$O$761*$AA$761</f>
        <v>36271.436946700618</v>
      </c>
    </row>
    <row r="762" spans="1:33" ht="11.25" customHeight="1" x14ac:dyDescent="0.3">
      <c r="A762" s="4" t="s">
        <v>21</v>
      </c>
      <c r="B762" s="4" t="s">
        <v>22</v>
      </c>
      <c r="C762" s="4" t="s">
        <v>23</v>
      </c>
      <c r="D762" s="4" t="s">
        <v>24</v>
      </c>
      <c r="E762" s="4" t="s">
        <v>29</v>
      </c>
      <c r="F762" s="4" t="s">
        <v>25</v>
      </c>
      <c r="G762" s="4" t="s">
        <v>25</v>
      </c>
      <c r="H762" s="4" t="s">
        <v>25</v>
      </c>
      <c r="I762" s="5">
        <v>44501</v>
      </c>
      <c r="J762" s="6">
        <v>0</v>
      </c>
      <c r="K762" s="6">
        <v>0</v>
      </c>
      <c r="L762" s="6">
        <v>161.34700000000001</v>
      </c>
      <c r="M762" s="6">
        <v>161.34700000000001</v>
      </c>
      <c r="N762" s="6">
        <v>161.34700000000001</v>
      </c>
      <c r="O762" s="6">
        <v>161.34700000000001</v>
      </c>
      <c r="P762" s="6">
        <v>141</v>
      </c>
      <c r="Q762" s="4" t="s">
        <v>26</v>
      </c>
      <c r="R762" s="4">
        <v>0</v>
      </c>
      <c r="S762" s="6">
        <v>0</v>
      </c>
      <c r="T762" s="6">
        <v>39</v>
      </c>
      <c r="U762" s="6">
        <v>98</v>
      </c>
      <c r="V762" s="6">
        <f>IF(ISERROR(VLOOKUP($S$762,'TAR FIN'!$A$1:$O$113,15,0)),0,VLOOKUP($S$762,'TAR FIN'!$A$1:$O$113,15,0))</f>
        <v>0</v>
      </c>
      <c r="W762" s="6">
        <f>IF(ISERROR(VLOOKUP($T$762,'TAR FIN'!$A$1:$O$113,15,0)),0,VLOOKUP($T$762,'TAR FIN'!$A$1:$O$113,15,0))</f>
        <v>79.06</v>
      </c>
      <c r="X762" s="6">
        <f>IF(ISERROR(VLOOKUP($U$762,'TAR FIN'!$A$1:$O$113,15,0)),0,VLOOKUP($U$762,'TAR FIN'!$A$1:$O$113,15,0))</f>
        <v>102.32</v>
      </c>
      <c r="Y762" s="6"/>
      <c r="Z762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762" s="6">
        <f>('TE BE'!$AB$19+'TE BF'!$AB$19+'TE CVA'!$AB$19)*(1-CUSTOS!$M$34)</f>
        <v>110.17481238041081</v>
      </c>
      <c r="AB762" s="6">
        <f>$K$762*$V$762</f>
        <v>0</v>
      </c>
      <c r="AC762" s="6">
        <f>$M$762*$W$762</f>
        <v>12756.093820000002</v>
      </c>
      <c r="AD762" s="6">
        <f>$O$762*$X$762</f>
        <v>16509.02504</v>
      </c>
      <c r="AE762" s="6">
        <f>$K$762*$Y$762</f>
        <v>0</v>
      </c>
      <c r="AF762" s="6">
        <f ca="1">$M$762*$Z$762</f>
        <v>14679.93981246512</v>
      </c>
      <c r="AG762" s="6">
        <f>$O$762*$AA$762</f>
        <v>17776.375453142144</v>
      </c>
    </row>
    <row r="763" spans="1:33" ht="11.25" customHeight="1" x14ac:dyDescent="0.3">
      <c r="A763" s="4" t="s">
        <v>27</v>
      </c>
      <c r="B763" s="4" t="s">
        <v>22</v>
      </c>
      <c r="C763" s="4" t="s">
        <v>23</v>
      </c>
      <c r="D763" s="4" t="s">
        <v>24</v>
      </c>
      <c r="E763" s="4" t="s">
        <v>29</v>
      </c>
      <c r="F763" s="4" t="s">
        <v>25</v>
      </c>
      <c r="G763" s="4" t="s">
        <v>25</v>
      </c>
      <c r="H763" s="4" t="s">
        <v>25</v>
      </c>
      <c r="I763" s="5">
        <v>44501</v>
      </c>
      <c r="J763" s="6">
        <v>0</v>
      </c>
      <c r="K763" s="6">
        <v>0</v>
      </c>
      <c r="L763" s="6">
        <v>-0.03</v>
      </c>
      <c r="M763" s="6">
        <v>-0.03</v>
      </c>
      <c r="N763" s="6">
        <v>-0.03</v>
      </c>
      <c r="O763" s="6">
        <v>-0.03</v>
      </c>
      <c r="P763" s="6">
        <v>0</v>
      </c>
      <c r="Q763" s="4" t="s">
        <v>26</v>
      </c>
      <c r="R763" s="4">
        <v>0</v>
      </c>
      <c r="S763" s="6">
        <v>0</v>
      </c>
      <c r="T763" s="6">
        <v>39</v>
      </c>
      <c r="U763" s="6">
        <v>98</v>
      </c>
      <c r="V763" s="6">
        <f>IF(ISERROR(VLOOKUP($S$763,'TAR FIN'!$A$1:$O$113,15,0)),0,VLOOKUP($S$763,'TAR FIN'!$A$1:$O$113,15,0))</f>
        <v>0</v>
      </c>
      <c r="W763" s="6">
        <f>IF(ISERROR(VLOOKUP($T$763,'TAR FIN'!$A$1:$O$113,15,0)),0,VLOOKUP($T$763,'TAR FIN'!$A$1:$O$113,15,0))</f>
        <v>79.06</v>
      </c>
      <c r="X763" s="6">
        <f>IF(ISERROR(VLOOKUP($U$763,'TAR FIN'!$A$1:$O$113,15,0)),0,VLOOKUP($U$763,'TAR FIN'!$A$1:$O$113,15,0))</f>
        <v>102.32</v>
      </c>
      <c r="Y763" s="6"/>
      <c r="Z763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763" s="6">
        <f>('TE BE'!$AB$19+'TE BF'!$AB$19+'TE CVA'!$AB$19)*(1-CUSTOS!$M$34)</f>
        <v>110.17481238041081</v>
      </c>
      <c r="AB763" s="6">
        <f>$K$763*$V$763</f>
        <v>0</v>
      </c>
      <c r="AC763" s="6">
        <f>$M$763*$W$763</f>
        <v>-2.3717999999999999</v>
      </c>
      <c r="AD763" s="6">
        <f>$O$763*$X$763</f>
        <v>-3.0695999999999999</v>
      </c>
      <c r="AE763" s="6">
        <f>$K$763*$Y$763</f>
        <v>0</v>
      </c>
      <c r="AF763" s="6">
        <f ca="1">$M$763*$Z$763</f>
        <v>-2.7295096554255958</v>
      </c>
      <c r="AG763" s="6">
        <f>$O$763*$AA$763</f>
        <v>-3.3052443714123241</v>
      </c>
    </row>
    <row r="764" spans="1:33" ht="11.25" customHeight="1" x14ac:dyDescent="0.3">
      <c r="A764" s="4" t="s">
        <v>28</v>
      </c>
      <c r="B764" s="4" t="s">
        <v>22</v>
      </c>
      <c r="C764" s="4" t="s">
        <v>23</v>
      </c>
      <c r="D764" s="4" t="s">
        <v>24</v>
      </c>
      <c r="E764" s="4" t="s">
        <v>29</v>
      </c>
      <c r="F764" s="4" t="s">
        <v>25</v>
      </c>
      <c r="G764" s="4" t="s">
        <v>25</v>
      </c>
      <c r="H764" s="4" t="s">
        <v>25</v>
      </c>
      <c r="I764" s="5">
        <v>44501</v>
      </c>
      <c r="J764" s="6">
        <v>0</v>
      </c>
      <c r="K764" s="6">
        <v>0</v>
      </c>
      <c r="L764" s="6">
        <v>0.06</v>
      </c>
      <c r="M764" s="6">
        <v>-1.7999999999999999E-2</v>
      </c>
      <c r="N764" s="6">
        <v>0.06</v>
      </c>
      <c r="O764" s="6">
        <v>-1.7999999999999999E-2</v>
      </c>
      <c r="P764" s="6">
        <v>0</v>
      </c>
      <c r="Q764" s="4" t="s">
        <v>26</v>
      </c>
      <c r="R764" s="4">
        <v>0</v>
      </c>
      <c r="S764" s="6">
        <v>0</v>
      </c>
      <c r="T764" s="6">
        <v>39</v>
      </c>
      <c r="U764" s="6">
        <v>98</v>
      </c>
      <c r="V764" s="6">
        <f>IF(ISERROR(VLOOKUP($S$764,'TAR FIN'!$A$1:$O$113,15,0)),0,VLOOKUP($S$764,'TAR FIN'!$A$1:$O$113,15,0))</f>
        <v>0</v>
      </c>
      <c r="W764" s="6">
        <f>IF(ISERROR(VLOOKUP($T$764,'TAR FIN'!$A$1:$O$113,15,0)),0,VLOOKUP($T$764,'TAR FIN'!$A$1:$O$113,15,0))</f>
        <v>79.06</v>
      </c>
      <c r="X764" s="6">
        <f>IF(ISERROR(VLOOKUP($U$764,'TAR FIN'!$A$1:$O$113,15,0)),0,VLOOKUP($U$764,'TAR FIN'!$A$1:$O$113,15,0))</f>
        <v>102.32</v>
      </c>
      <c r="Y764" s="6"/>
      <c r="Z764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764" s="6">
        <f>('TE BE'!$AB$19+'TE BF'!$AB$19+'TE CVA'!$AB$19)*(1-CUSTOS!$M$34)</f>
        <v>110.17481238041081</v>
      </c>
      <c r="AB764" s="6">
        <f>$K$764*$V$764</f>
        <v>0</v>
      </c>
      <c r="AC764" s="6">
        <f>$M$764*$W$764</f>
        <v>-1.4230799999999999</v>
      </c>
      <c r="AD764" s="6">
        <f>$O$764*$X$764</f>
        <v>-1.8417599999999998</v>
      </c>
      <c r="AE764" s="6">
        <f>$K$764*$Y$764</f>
        <v>0</v>
      </c>
      <c r="AF764" s="6">
        <f ca="1">$M$764*$Z$764</f>
        <v>-1.6377057932553574</v>
      </c>
      <c r="AG764" s="6">
        <f>$O$764*$AA$764</f>
        <v>-1.9831466228473944</v>
      </c>
    </row>
    <row r="765" spans="1:33" ht="11.25" customHeight="1" x14ac:dyDescent="0.3">
      <c r="A765" s="4" t="s">
        <v>21</v>
      </c>
      <c r="B765" s="4" t="s">
        <v>22</v>
      </c>
      <c r="C765" s="4" t="s">
        <v>23</v>
      </c>
      <c r="D765" s="4" t="s">
        <v>24</v>
      </c>
      <c r="E765" s="4" t="s">
        <v>29</v>
      </c>
      <c r="F765" s="4" t="s">
        <v>25</v>
      </c>
      <c r="G765" s="4" t="s">
        <v>25</v>
      </c>
      <c r="H765" s="4" t="s">
        <v>25</v>
      </c>
      <c r="I765" s="5">
        <v>44531</v>
      </c>
      <c r="J765" s="6">
        <v>0</v>
      </c>
      <c r="K765" s="6">
        <v>0</v>
      </c>
      <c r="L765" s="6">
        <v>169.458</v>
      </c>
      <c r="M765" s="6">
        <v>169.458</v>
      </c>
      <c r="N765" s="6">
        <v>169.458</v>
      </c>
      <c r="O765" s="6">
        <v>169.458</v>
      </c>
      <c r="P765" s="6">
        <v>165</v>
      </c>
      <c r="Q765" s="4" t="s">
        <v>26</v>
      </c>
      <c r="R765" s="4">
        <v>0</v>
      </c>
      <c r="S765" s="6">
        <v>0</v>
      </c>
      <c r="T765" s="6">
        <v>39</v>
      </c>
      <c r="U765" s="6">
        <v>98</v>
      </c>
      <c r="V765" s="6">
        <f>IF(ISERROR(VLOOKUP($S$765,'TAR FIN'!$A$1:$O$113,15,0)),0,VLOOKUP($S$765,'TAR FIN'!$A$1:$O$113,15,0))</f>
        <v>0</v>
      </c>
      <c r="W765" s="6">
        <f>IF(ISERROR(VLOOKUP($T$765,'TAR FIN'!$A$1:$O$113,15,0)),0,VLOOKUP($T$765,'TAR FIN'!$A$1:$O$113,15,0))</f>
        <v>79.06</v>
      </c>
      <c r="X765" s="6">
        <f>IF(ISERROR(VLOOKUP($U$765,'TAR FIN'!$A$1:$O$113,15,0)),0,VLOOKUP($U$765,'TAR FIN'!$A$1:$O$113,15,0))</f>
        <v>102.32</v>
      </c>
      <c r="Y765" s="6"/>
      <c r="Z765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765" s="6">
        <f>('TE BE'!$AB$19+'TE BF'!$AB$19+'TE CVA'!$AB$19)*(1-CUSTOS!$M$34)</f>
        <v>110.17481238041081</v>
      </c>
      <c r="AB765" s="6">
        <f>$K$765*$V$765</f>
        <v>0</v>
      </c>
      <c r="AC765" s="6">
        <f>$M$765*$W$765</f>
        <v>13397.349480000001</v>
      </c>
      <c r="AD765" s="6">
        <f>$O$765*$X$765</f>
        <v>17338.94256</v>
      </c>
      <c r="AE765" s="6">
        <f>$K$765*$Y$765</f>
        <v>0</v>
      </c>
      <c r="AF765" s="6">
        <f ca="1">$M$765*$Z$765</f>
        <v>15417.90823963702</v>
      </c>
      <c r="AG765" s="6">
        <f>$O$765*$AA$765</f>
        <v>18670.003356359655</v>
      </c>
    </row>
    <row r="766" spans="1:33" ht="11.25" customHeight="1" x14ac:dyDescent="0.3">
      <c r="A766" s="4" t="s">
        <v>27</v>
      </c>
      <c r="B766" s="4" t="s">
        <v>22</v>
      </c>
      <c r="C766" s="4" t="s">
        <v>23</v>
      </c>
      <c r="D766" s="4" t="s">
        <v>24</v>
      </c>
      <c r="E766" s="4" t="s">
        <v>29</v>
      </c>
      <c r="F766" s="4" t="s">
        <v>25</v>
      </c>
      <c r="G766" s="4" t="s">
        <v>25</v>
      </c>
      <c r="H766" s="4" t="s">
        <v>25</v>
      </c>
      <c r="I766" s="5">
        <v>44531</v>
      </c>
      <c r="J766" s="6">
        <v>0</v>
      </c>
      <c r="K766" s="6">
        <v>0</v>
      </c>
      <c r="L766" s="6">
        <v>0.15</v>
      </c>
      <c r="M766" s="6">
        <v>0.15</v>
      </c>
      <c r="N766" s="6">
        <v>0.15</v>
      </c>
      <c r="O766" s="6">
        <v>0.15</v>
      </c>
      <c r="P766" s="6">
        <v>0</v>
      </c>
      <c r="Q766" s="4" t="s">
        <v>26</v>
      </c>
      <c r="R766" s="4">
        <v>0</v>
      </c>
      <c r="S766" s="6">
        <v>0</v>
      </c>
      <c r="T766" s="6">
        <v>39</v>
      </c>
      <c r="U766" s="6">
        <v>98</v>
      </c>
      <c r="V766" s="6">
        <f>IF(ISERROR(VLOOKUP($S$766,'TAR FIN'!$A$1:$O$113,15,0)),0,VLOOKUP($S$766,'TAR FIN'!$A$1:$O$113,15,0))</f>
        <v>0</v>
      </c>
      <c r="W766" s="6">
        <f>IF(ISERROR(VLOOKUP($T$766,'TAR FIN'!$A$1:$O$113,15,0)),0,VLOOKUP($T$766,'TAR FIN'!$A$1:$O$113,15,0))</f>
        <v>79.06</v>
      </c>
      <c r="X766" s="6">
        <f>IF(ISERROR(VLOOKUP($U$766,'TAR FIN'!$A$1:$O$113,15,0)),0,VLOOKUP($U$766,'TAR FIN'!$A$1:$O$113,15,0))</f>
        <v>102.32</v>
      </c>
      <c r="Y766" s="6"/>
      <c r="Z766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766" s="6">
        <f>('TE BE'!$AB$19+'TE BF'!$AB$19+'TE CVA'!$AB$19)*(1-CUSTOS!$M$34)</f>
        <v>110.17481238041081</v>
      </c>
      <c r="AB766" s="6">
        <f>$K$766*$V$766</f>
        <v>0</v>
      </c>
      <c r="AC766" s="6">
        <f>$M$766*$W$766</f>
        <v>11.859</v>
      </c>
      <c r="AD766" s="6">
        <f>$O$766*$X$766</f>
        <v>15.347999999999999</v>
      </c>
      <c r="AE766" s="6">
        <f>$K$766*$Y$766</f>
        <v>0</v>
      </c>
      <c r="AF766" s="6">
        <f ca="1">$M$766*$Z$766</f>
        <v>13.647548277127978</v>
      </c>
      <c r="AG766" s="6">
        <f>$O$766*$AA$766</f>
        <v>16.526221857061621</v>
      </c>
    </row>
    <row r="767" spans="1:33" ht="11.25" customHeight="1" x14ac:dyDescent="0.3">
      <c r="A767" s="4" t="s">
        <v>28</v>
      </c>
      <c r="B767" s="4" t="s">
        <v>22</v>
      </c>
      <c r="C767" s="4" t="s">
        <v>23</v>
      </c>
      <c r="D767" s="4" t="s">
        <v>24</v>
      </c>
      <c r="E767" s="4" t="s">
        <v>29</v>
      </c>
      <c r="F767" s="4" t="s">
        <v>25</v>
      </c>
      <c r="G767" s="4" t="s">
        <v>25</v>
      </c>
      <c r="H767" s="4" t="s">
        <v>25</v>
      </c>
      <c r="I767" s="5">
        <v>44531</v>
      </c>
      <c r="J767" s="6">
        <v>0</v>
      </c>
      <c r="K767" s="6">
        <v>0</v>
      </c>
      <c r="L767" s="6">
        <v>0.06</v>
      </c>
      <c r="M767" s="6">
        <v>-1.7999999999999999E-2</v>
      </c>
      <c r="N767" s="6">
        <v>0.06</v>
      </c>
      <c r="O767" s="6">
        <v>-1.7999999999999999E-2</v>
      </c>
      <c r="P767" s="6">
        <v>0</v>
      </c>
      <c r="Q767" s="4" t="s">
        <v>26</v>
      </c>
      <c r="R767" s="4">
        <v>0</v>
      </c>
      <c r="S767" s="6">
        <v>0</v>
      </c>
      <c r="T767" s="6">
        <v>39</v>
      </c>
      <c r="U767" s="6">
        <v>98</v>
      </c>
      <c r="V767" s="6">
        <f>IF(ISERROR(VLOOKUP($S$767,'TAR FIN'!$A$1:$O$113,15,0)),0,VLOOKUP($S$767,'TAR FIN'!$A$1:$O$113,15,0))</f>
        <v>0</v>
      </c>
      <c r="W767" s="6">
        <f>IF(ISERROR(VLOOKUP($T$767,'TAR FIN'!$A$1:$O$113,15,0)),0,VLOOKUP($T$767,'TAR FIN'!$A$1:$O$113,15,0))</f>
        <v>79.06</v>
      </c>
      <c r="X767" s="6">
        <f>IF(ISERROR(VLOOKUP($U$767,'TAR FIN'!$A$1:$O$113,15,0)),0,VLOOKUP($U$767,'TAR FIN'!$A$1:$O$113,15,0))</f>
        <v>102.32</v>
      </c>
      <c r="Y767" s="6"/>
      <c r="Z767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767" s="6">
        <f>('TE BE'!$AB$19+'TE BF'!$AB$19+'TE CVA'!$AB$19)*(1-CUSTOS!$M$34)</f>
        <v>110.17481238041081</v>
      </c>
      <c r="AB767" s="6">
        <f>$K$767*$V$767</f>
        <v>0</v>
      </c>
      <c r="AC767" s="6">
        <f>$M$767*$W$767</f>
        <v>-1.4230799999999999</v>
      </c>
      <c r="AD767" s="6">
        <f>$O$767*$X$767</f>
        <v>-1.8417599999999998</v>
      </c>
      <c r="AE767" s="6">
        <f>$K$767*$Y$767</f>
        <v>0</v>
      </c>
      <c r="AF767" s="6">
        <f ca="1">$M$767*$Z$767</f>
        <v>-1.6377057932553574</v>
      </c>
      <c r="AG767" s="6">
        <f>$O$767*$AA$767</f>
        <v>-1.9831466228473944</v>
      </c>
    </row>
    <row r="768" spans="1:33" ht="11.25" customHeight="1" x14ac:dyDescent="0.3">
      <c r="A768" s="4" t="s">
        <v>21</v>
      </c>
      <c r="B768" s="4" t="s">
        <v>22</v>
      </c>
      <c r="C768" s="4" t="s">
        <v>23</v>
      </c>
      <c r="D768" s="4" t="s">
        <v>24</v>
      </c>
      <c r="E768" s="4" t="s">
        <v>29</v>
      </c>
      <c r="F768" s="4" t="s">
        <v>25</v>
      </c>
      <c r="G768" s="4" t="s">
        <v>25</v>
      </c>
      <c r="H768" s="4" t="s">
        <v>25</v>
      </c>
      <c r="I768" s="5">
        <v>44562</v>
      </c>
      <c r="J768" s="6">
        <v>0</v>
      </c>
      <c r="K768" s="6">
        <v>0</v>
      </c>
      <c r="L768" s="6">
        <v>163.94200000000001</v>
      </c>
      <c r="M768" s="6">
        <v>163.94200000000001</v>
      </c>
      <c r="N768" s="6">
        <v>163.94200000000001</v>
      </c>
      <c r="O768" s="6">
        <v>163.94200000000001</v>
      </c>
      <c r="P768" s="6">
        <v>144</v>
      </c>
      <c r="Q768" s="4" t="s">
        <v>26</v>
      </c>
      <c r="R768" s="4">
        <v>0</v>
      </c>
      <c r="S768" s="6">
        <v>0</v>
      </c>
      <c r="T768" s="6">
        <v>39</v>
      </c>
      <c r="U768" s="6">
        <v>98</v>
      </c>
      <c r="V768" s="6">
        <f>IF(ISERROR(VLOOKUP($S$768,'TAR FIN'!$A$1:$O$113,15,0)),0,VLOOKUP($S$768,'TAR FIN'!$A$1:$O$113,15,0))</f>
        <v>0</v>
      </c>
      <c r="W768" s="6">
        <f>IF(ISERROR(VLOOKUP($T$768,'TAR FIN'!$A$1:$O$113,15,0)),0,VLOOKUP($T$768,'TAR FIN'!$A$1:$O$113,15,0))</f>
        <v>79.06</v>
      </c>
      <c r="X768" s="6">
        <f>IF(ISERROR(VLOOKUP($U$768,'TAR FIN'!$A$1:$O$113,15,0)),0,VLOOKUP($U$768,'TAR FIN'!$A$1:$O$113,15,0))</f>
        <v>102.32</v>
      </c>
      <c r="Y768" s="6"/>
      <c r="Z768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768" s="6">
        <f>('TE BE'!$AB$19+'TE BF'!$AB$19+'TE CVA'!$AB$19)*(1-CUSTOS!$M$34)</f>
        <v>110.17481238041081</v>
      </c>
      <c r="AB768" s="6">
        <f>$K$768*$V$768</f>
        <v>0</v>
      </c>
      <c r="AC768" s="6">
        <f>$M$768*$W$768</f>
        <v>12961.25452</v>
      </c>
      <c r="AD768" s="6">
        <f>$O$768*$X$768</f>
        <v>16774.545439999998</v>
      </c>
      <c r="AE768" s="6">
        <f>$K$768*$Y$768</f>
        <v>0</v>
      </c>
      <c r="AF768" s="6">
        <f ca="1">$M$768*$Z$768</f>
        <v>14916.042397659434</v>
      </c>
      <c r="AG768" s="6">
        <f>$O$768*$AA$768</f>
        <v>18062.279091269309</v>
      </c>
    </row>
    <row r="769" spans="1:33" ht="11.25" customHeight="1" x14ac:dyDescent="0.3">
      <c r="A769" s="4" t="s">
        <v>28</v>
      </c>
      <c r="B769" s="4" t="s">
        <v>22</v>
      </c>
      <c r="C769" s="4" t="s">
        <v>23</v>
      </c>
      <c r="D769" s="4" t="s">
        <v>24</v>
      </c>
      <c r="E769" s="4" t="s">
        <v>29</v>
      </c>
      <c r="F769" s="4" t="s">
        <v>25</v>
      </c>
      <c r="G769" s="4" t="s">
        <v>25</v>
      </c>
      <c r="H769" s="4" t="s">
        <v>25</v>
      </c>
      <c r="I769" s="5">
        <v>44562</v>
      </c>
      <c r="J769" s="6">
        <v>0</v>
      </c>
      <c r="K769" s="6">
        <v>0</v>
      </c>
      <c r="L769" s="6">
        <v>0.06</v>
      </c>
      <c r="M769" s="6">
        <v>-1.7999999999999999E-2</v>
      </c>
      <c r="N769" s="6">
        <v>0.06</v>
      </c>
      <c r="O769" s="6">
        <v>-1.7999999999999999E-2</v>
      </c>
      <c r="P769" s="6">
        <v>0</v>
      </c>
      <c r="Q769" s="4" t="s">
        <v>26</v>
      </c>
      <c r="R769" s="4">
        <v>0</v>
      </c>
      <c r="S769" s="6">
        <v>0</v>
      </c>
      <c r="T769" s="6">
        <v>39</v>
      </c>
      <c r="U769" s="6">
        <v>98</v>
      </c>
      <c r="V769" s="6">
        <f>IF(ISERROR(VLOOKUP($S$769,'TAR FIN'!$A$1:$O$113,15,0)),0,VLOOKUP($S$769,'TAR FIN'!$A$1:$O$113,15,0))</f>
        <v>0</v>
      </c>
      <c r="W769" s="6">
        <f>IF(ISERROR(VLOOKUP($T$769,'TAR FIN'!$A$1:$O$113,15,0)),0,VLOOKUP($T$769,'TAR FIN'!$A$1:$O$113,15,0))</f>
        <v>79.06</v>
      </c>
      <c r="X769" s="6">
        <f>IF(ISERROR(VLOOKUP($U$769,'TAR FIN'!$A$1:$O$113,15,0)),0,VLOOKUP($U$769,'TAR FIN'!$A$1:$O$113,15,0))</f>
        <v>102.32</v>
      </c>
      <c r="Y769" s="6"/>
      <c r="Z769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769" s="6">
        <f>('TE BE'!$AB$19+'TE BF'!$AB$19+'TE CVA'!$AB$19)*(1-CUSTOS!$M$34)</f>
        <v>110.17481238041081</v>
      </c>
      <c r="AB769" s="6">
        <f>$K$769*$V$769</f>
        <v>0</v>
      </c>
      <c r="AC769" s="6">
        <f>$M$769*$W$769</f>
        <v>-1.4230799999999999</v>
      </c>
      <c r="AD769" s="6">
        <f>$O$769*$X$769</f>
        <v>-1.8417599999999998</v>
      </c>
      <c r="AE769" s="6">
        <f>$K$769*$Y$769</f>
        <v>0</v>
      </c>
      <c r="AF769" s="6">
        <f ca="1">$M$769*$Z$769</f>
        <v>-1.6377057932553574</v>
      </c>
      <c r="AG769" s="6">
        <f>$O$769*$AA$769</f>
        <v>-1.9831466228473944</v>
      </c>
    </row>
    <row r="770" spans="1:33" ht="11.25" customHeight="1" x14ac:dyDescent="0.3">
      <c r="A770" s="4" t="s">
        <v>21</v>
      </c>
      <c r="B770" s="4" t="s">
        <v>22</v>
      </c>
      <c r="C770" s="4" t="s">
        <v>23</v>
      </c>
      <c r="D770" s="4" t="s">
        <v>24</v>
      </c>
      <c r="E770" s="4" t="s">
        <v>29</v>
      </c>
      <c r="F770" s="4" t="s">
        <v>25</v>
      </c>
      <c r="G770" s="4" t="s">
        <v>25</v>
      </c>
      <c r="H770" s="4" t="s">
        <v>25</v>
      </c>
      <c r="I770" s="5">
        <v>44593</v>
      </c>
      <c r="J770" s="6">
        <v>0</v>
      </c>
      <c r="K770" s="6">
        <v>0</v>
      </c>
      <c r="L770" s="6">
        <v>182.23699999999999</v>
      </c>
      <c r="M770" s="6">
        <v>182.23699999999999</v>
      </c>
      <c r="N770" s="6">
        <v>182.23699999999999</v>
      </c>
      <c r="O770" s="6">
        <v>182.23699999999999</v>
      </c>
      <c r="P770" s="6">
        <v>196</v>
      </c>
      <c r="Q770" s="4" t="s">
        <v>26</v>
      </c>
      <c r="R770" s="4">
        <v>0</v>
      </c>
      <c r="S770" s="6">
        <v>0</v>
      </c>
      <c r="T770" s="6">
        <v>39</v>
      </c>
      <c r="U770" s="6">
        <v>98</v>
      </c>
      <c r="V770" s="6">
        <f>IF(ISERROR(VLOOKUP($S$770,'TAR FIN'!$A$1:$O$113,15,0)),0,VLOOKUP($S$770,'TAR FIN'!$A$1:$O$113,15,0))</f>
        <v>0</v>
      </c>
      <c r="W770" s="6">
        <f>IF(ISERROR(VLOOKUP($T$770,'TAR FIN'!$A$1:$O$113,15,0)),0,VLOOKUP($T$770,'TAR FIN'!$A$1:$O$113,15,0))</f>
        <v>79.06</v>
      </c>
      <c r="X770" s="6">
        <f>IF(ISERROR(VLOOKUP($U$770,'TAR FIN'!$A$1:$O$113,15,0)),0,VLOOKUP($U$770,'TAR FIN'!$A$1:$O$113,15,0))</f>
        <v>102.32</v>
      </c>
      <c r="Y770" s="6"/>
      <c r="Z770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770" s="6">
        <f>('TE BE'!$AB$19+'TE BF'!$AB$19+'TE CVA'!$AB$19)*(1-CUSTOS!$M$34)</f>
        <v>110.17481238041081</v>
      </c>
      <c r="AB770" s="6">
        <f>$K$770*$V$770</f>
        <v>0</v>
      </c>
      <c r="AC770" s="6">
        <f>$M$770*$W$770</f>
        <v>14407.657219999999</v>
      </c>
      <c r="AD770" s="6">
        <f>$O$770*$X$770</f>
        <v>18646.489839999998</v>
      </c>
      <c r="AE770" s="6">
        <f>$K$770*$Y$770</f>
        <v>0</v>
      </c>
      <c r="AF770" s="6">
        <f ca="1">$M$770*$Z$770</f>
        <v>16580.588369193141</v>
      </c>
      <c r="AG770" s="6">
        <f>$O$770*$AA$770</f>
        <v>20077.927283768924</v>
      </c>
    </row>
    <row r="771" spans="1:33" ht="11.25" customHeight="1" x14ac:dyDescent="0.3">
      <c r="A771" s="4" t="s">
        <v>28</v>
      </c>
      <c r="B771" s="4" t="s">
        <v>22</v>
      </c>
      <c r="C771" s="4" t="s">
        <v>23</v>
      </c>
      <c r="D771" s="4" t="s">
        <v>24</v>
      </c>
      <c r="E771" s="4" t="s">
        <v>29</v>
      </c>
      <c r="F771" s="4" t="s">
        <v>25</v>
      </c>
      <c r="G771" s="4" t="s">
        <v>25</v>
      </c>
      <c r="H771" s="4" t="s">
        <v>25</v>
      </c>
      <c r="I771" s="5">
        <v>44593</v>
      </c>
      <c r="J771" s="6">
        <v>0</v>
      </c>
      <c r="K771" s="6">
        <v>0</v>
      </c>
      <c r="L771" s="6">
        <v>0.06</v>
      </c>
      <c r="M771" s="6">
        <v>-1.7999999999999999E-2</v>
      </c>
      <c r="N771" s="6">
        <v>0.06</v>
      </c>
      <c r="O771" s="6">
        <v>-1.7999999999999999E-2</v>
      </c>
      <c r="P771" s="6">
        <v>0</v>
      </c>
      <c r="Q771" s="4" t="s">
        <v>26</v>
      </c>
      <c r="R771" s="4">
        <v>0</v>
      </c>
      <c r="S771" s="6">
        <v>0</v>
      </c>
      <c r="T771" s="6">
        <v>39</v>
      </c>
      <c r="U771" s="6">
        <v>98</v>
      </c>
      <c r="V771" s="6">
        <f>IF(ISERROR(VLOOKUP($S$771,'TAR FIN'!$A$1:$O$113,15,0)),0,VLOOKUP($S$771,'TAR FIN'!$A$1:$O$113,15,0))</f>
        <v>0</v>
      </c>
      <c r="W771" s="6">
        <f>IF(ISERROR(VLOOKUP($T$771,'TAR FIN'!$A$1:$O$113,15,0)),0,VLOOKUP($T$771,'TAR FIN'!$A$1:$O$113,15,0))</f>
        <v>79.06</v>
      </c>
      <c r="X771" s="6">
        <f>IF(ISERROR(VLOOKUP($U$771,'TAR FIN'!$A$1:$O$113,15,0)),0,VLOOKUP($U$771,'TAR FIN'!$A$1:$O$113,15,0))</f>
        <v>102.32</v>
      </c>
      <c r="Y771" s="6"/>
      <c r="Z771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771" s="6">
        <f>('TE BE'!$AB$19+'TE BF'!$AB$19+'TE CVA'!$AB$19)*(1-CUSTOS!$M$34)</f>
        <v>110.17481238041081</v>
      </c>
      <c r="AB771" s="6">
        <f>$K$771*$V$771</f>
        <v>0</v>
      </c>
      <c r="AC771" s="6">
        <f>$M$771*$W$771</f>
        <v>-1.4230799999999999</v>
      </c>
      <c r="AD771" s="6">
        <f>$O$771*$X$771</f>
        <v>-1.8417599999999998</v>
      </c>
      <c r="AE771" s="6">
        <f>$K$771*$Y$771</f>
        <v>0</v>
      </c>
      <c r="AF771" s="6">
        <f ca="1">$M$771*$Z$771</f>
        <v>-1.6377057932553574</v>
      </c>
      <c r="AG771" s="6">
        <f>$O$771*$AA$771</f>
        <v>-1.9831466228473944</v>
      </c>
    </row>
    <row r="772" spans="1:33" ht="11.25" customHeight="1" x14ac:dyDescent="0.3">
      <c r="A772" s="4" t="s">
        <v>21</v>
      </c>
      <c r="B772" s="4" t="s">
        <v>22</v>
      </c>
      <c r="C772" s="4" t="s">
        <v>23</v>
      </c>
      <c r="D772" s="4" t="s">
        <v>24</v>
      </c>
      <c r="E772" s="4" t="s">
        <v>29</v>
      </c>
      <c r="F772" s="4" t="s">
        <v>25</v>
      </c>
      <c r="G772" s="4" t="s">
        <v>25</v>
      </c>
      <c r="H772" s="4" t="s">
        <v>25</v>
      </c>
      <c r="I772" s="5">
        <v>44621</v>
      </c>
      <c r="J772" s="6">
        <v>0</v>
      </c>
      <c r="K772" s="6">
        <v>0</v>
      </c>
      <c r="L772" s="6">
        <v>188.01499999999999</v>
      </c>
      <c r="M772" s="6">
        <v>188.01499999999999</v>
      </c>
      <c r="N772" s="6">
        <v>188.01499999999999</v>
      </c>
      <c r="O772" s="6">
        <v>188.01499999999999</v>
      </c>
      <c r="P772" s="6">
        <v>182</v>
      </c>
      <c r="Q772" s="4" t="s">
        <v>26</v>
      </c>
      <c r="R772" s="4">
        <v>0</v>
      </c>
      <c r="S772" s="6">
        <v>0</v>
      </c>
      <c r="T772" s="6">
        <v>39</v>
      </c>
      <c r="U772" s="6">
        <v>98</v>
      </c>
      <c r="V772" s="6">
        <f>IF(ISERROR(VLOOKUP($S$772,'TAR FIN'!$A$1:$O$113,15,0)),0,VLOOKUP($S$772,'TAR FIN'!$A$1:$O$113,15,0))</f>
        <v>0</v>
      </c>
      <c r="W772" s="6">
        <f>IF(ISERROR(VLOOKUP($T$772,'TAR FIN'!$A$1:$O$113,15,0)),0,VLOOKUP($T$772,'TAR FIN'!$A$1:$O$113,15,0))</f>
        <v>79.06</v>
      </c>
      <c r="X772" s="6">
        <f>IF(ISERROR(VLOOKUP($U$772,'TAR FIN'!$A$1:$O$113,15,0)),0,VLOOKUP($U$772,'TAR FIN'!$A$1:$O$113,15,0))</f>
        <v>102.32</v>
      </c>
      <c r="Y772" s="6"/>
      <c r="Z772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772" s="6">
        <f>('TE BE'!$AB$19+'TE BF'!$AB$19+'TE CVA'!$AB$19)*(1-CUSTOS!$M$34)</f>
        <v>110.17481238041081</v>
      </c>
      <c r="AB772" s="6">
        <f>$K$772*$V$772</f>
        <v>0</v>
      </c>
      <c r="AC772" s="6">
        <f>$M$772*$W$772</f>
        <v>14864.465899999999</v>
      </c>
      <c r="AD772" s="6">
        <f>$O$772*$X$772</f>
        <v>19237.694799999997</v>
      </c>
      <c r="AE772" s="6">
        <f>$K$772*$Y$772</f>
        <v>0</v>
      </c>
      <c r="AF772" s="6">
        <f ca="1">$M$772*$Z$772</f>
        <v>17106.291928828112</v>
      </c>
      <c r="AG772" s="6">
        <f>$O$772*$AA$772</f>
        <v>20714.517349702939</v>
      </c>
    </row>
    <row r="773" spans="1:33" ht="11.25" customHeight="1" x14ac:dyDescent="0.3">
      <c r="A773" s="4" t="s">
        <v>28</v>
      </c>
      <c r="B773" s="4" t="s">
        <v>22</v>
      </c>
      <c r="C773" s="4" t="s">
        <v>23</v>
      </c>
      <c r="D773" s="4" t="s">
        <v>24</v>
      </c>
      <c r="E773" s="4" t="s">
        <v>29</v>
      </c>
      <c r="F773" s="4" t="s">
        <v>25</v>
      </c>
      <c r="G773" s="4" t="s">
        <v>25</v>
      </c>
      <c r="H773" s="4" t="s">
        <v>25</v>
      </c>
      <c r="I773" s="5">
        <v>44621</v>
      </c>
      <c r="J773" s="6">
        <v>0</v>
      </c>
      <c r="K773" s="6">
        <v>0</v>
      </c>
      <c r="L773" s="6">
        <v>0.06</v>
      </c>
      <c r="M773" s="6">
        <v>-1.7999999999999999E-2</v>
      </c>
      <c r="N773" s="6">
        <v>0.06</v>
      </c>
      <c r="O773" s="6">
        <v>-1.7999999999999999E-2</v>
      </c>
      <c r="P773" s="6">
        <v>0</v>
      </c>
      <c r="Q773" s="4" t="s">
        <v>26</v>
      </c>
      <c r="R773" s="4">
        <v>0</v>
      </c>
      <c r="S773" s="6">
        <v>0</v>
      </c>
      <c r="T773" s="6">
        <v>39</v>
      </c>
      <c r="U773" s="6">
        <v>98</v>
      </c>
      <c r="V773" s="6">
        <f>IF(ISERROR(VLOOKUP($S$773,'TAR FIN'!$A$1:$O$113,15,0)),0,VLOOKUP($S$773,'TAR FIN'!$A$1:$O$113,15,0))</f>
        <v>0</v>
      </c>
      <c r="W773" s="6">
        <f>IF(ISERROR(VLOOKUP($T$773,'TAR FIN'!$A$1:$O$113,15,0)),0,VLOOKUP($T$773,'TAR FIN'!$A$1:$O$113,15,0))</f>
        <v>79.06</v>
      </c>
      <c r="X773" s="6">
        <f>IF(ISERROR(VLOOKUP($U$773,'TAR FIN'!$A$1:$O$113,15,0)),0,VLOOKUP($U$773,'TAR FIN'!$A$1:$O$113,15,0))</f>
        <v>102.32</v>
      </c>
      <c r="Y773" s="6"/>
      <c r="Z773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773" s="6">
        <f>('TE BE'!$AB$19+'TE BF'!$AB$19+'TE CVA'!$AB$19)*(1-CUSTOS!$M$34)</f>
        <v>110.17481238041081</v>
      </c>
      <c r="AB773" s="6">
        <f>$K$773*$V$773</f>
        <v>0</v>
      </c>
      <c r="AC773" s="6">
        <f>$M$773*$W$773</f>
        <v>-1.4230799999999999</v>
      </c>
      <c r="AD773" s="6">
        <f>$O$773*$X$773</f>
        <v>-1.8417599999999998</v>
      </c>
      <c r="AE773" s="6">
        <f>$K$773*$Y$773</f>
        <v>0</v>
      </c>
      <c r="AF773" s="6">
        <f ca="1">$M$773*$Z$773</f>
        <v>-1.6377057932553574</v>
      </c>
      <c r="AG773" s="6">
        <f>$O$773*$AA$773</f>
        <v>-1.9831466228473944</v>
      </c>
    </row>
    <row r="774" spans="1:33" ht="11.25" customHeight="1" x14ac:dyDescent="0.3">
      <c r="A774" s="4" t="s">
        <v>21</v>
      </c>
      <c r="B774" s="4" t="s">
        <v>22</v>
      </c>
      <c r="C774" s="4" t="s">
        <v>23</v>
      </c>
      <c r="D774" s="4" t="s">
        <v>24</v>
      </c>
      <c r="E774" s="4" t="s">
        <v>29</v>
      </c>
      <c r="F774" s="4" t="s">
        <v>25</v>
      </c>
      <c r="G774" s="4" t="s">
        <v>25</v>
      </c>
      <c r="H774" s="4" t="s">
        <v>25</v>
      </c>
      <c r="I774" s="5">
        <v>44652</v>
      </c>
      <c r="J774" s="6">
        <v>0</v>
      </c>
      <c r="K774" s="6">
        <v>0</v>
      </c>
      <c r="L774" s="6">
        <v>189.18700000000001</v>
      </c>
      <c r="M774" s="6">
        <v>189.18700000000001</v>
      </c>
      <c r="N774" s="6">
        <v>189.18700000000001</v>
      </c>
      <c r="O774" s="6">
        <v>189.18700000000001</v>
      </c>
      <c r="P774" s="6">
        <v>195</v>
      </c>
      <c r="Q774" s="4" t="s">
        <v>26</v>
      </c>
      <c r="R774" s="4">
        <v>0</v>
      </c>
      <c r="S774" s="6">
        <v>0</v>
      </c>
      <c r="T774" s="6">
        <v>39</v>
      </c>
      <c r="U774" s="6">
        <v>98</v>
      </c>
      <c r="V774" s="6">
        <f>IF(ISERROR(VLOOKUP($S$774,'TAR FIN'!$A$1:$O$113,15,0)),0,VLOOKUP($S$774,'TAR FIN'!$A$1:$O$113,15,0))</f>
        <v>0</v>
      </c>
      <c r="W774" s="6">
        <f>IF(ISERROR(VLOOKUP($T$774,'TAR FIN'!$A$1:$O$113,15,0)),0,VLOOKUP($T$774,'TAR FIN'!$A$1:$O$113,15,0))</f>
        <v>79.06</v>
      </c>
      <c r="X774" s="6">
        <f>IF(ISERROR(VLOOKUP($U$774,'TAR FIN'!$A$1:$O$113,15,0)),0,VLOOKUP($U$774,'TAR FIN'!$A$1:$O$113,15,0))</f>
        <v>102.32</v>
      </c>
      <c r="Y774" s="6"/>
      <c r="Z774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774" s="6">
        <f>('TE BE'!$AB$19+'TE BF'!$AB$19+'TE CVA'!$AB$19)*(1-CUSTOS!$M$34)</f>
        <v>110.17481238041081</v>
      </c>
      <c r="AB774" s="6">
        <f>$K$774*$V$774</f>
        <v>0</v>
      </c>
      <c r="AC774" s="6">
        <f>$M$774*$W$774</f>
        <v>14957.124220000002</v>
      </c>
      <c r="AD774" s="6">
        <f>$O$774*$X$774</f>
        <v>19357.613839999998</v>
      </c>
      <c r="AE774" s="6">
        <f>$K$774*$Y$774</f>
        <v>0</v>
      </c>
      <c r="AF774" s="6">
        <f ca="1">$M$774*$Z$774</f>
        <v>17212.924772700073</v>
      </c>
      <c r="AG774" s="6">
        <f>$O$774*$AA$774</f>
        <v>20843.642229812784</v>
      </c>
    </row>
    <row r="775" spans="1:33" ht="11.25" customHeight="1" x14ac:dyDescent="0.3">
      <c r="A775" s="4" t="s">
        <v>27</v>
      </c>
      <c r="B775" s="4" t="s">
        <v>22</v>
      </c>
      <c r="C775" s="4" t="s">
        <v>23</v>
      </c>
      <c r="D775" s="4" t="s">
        <v>24</v>
      </c>
      <c r="E775" s="4" t="s">
        <v>29</v>
      </c>
      <c r="F775" s="4" t="s">
        <v>25</v>
      </c>
      <c r="G775" s="4" t="s">
        <v>25</v>
      </c>
      <c r="H775" s="4" t="s">
        <v>25</v>
      </c>
      <c r="I775" s="5">
        <v>44652</v>
      </c>
      <c r="J775" s="6">
        <v>0</v>
      </c>
      <c r="K775" s="6">
        <v>0</v>
      </c>
      <c r="L775" s="6">
        <v>0.09</v>
      </c>
      <c r="M775" s="6">
        <v>0.09</v>
      </c>
      <c r="N775" s="6">
        <v>0.09</v>
      </c>
      <c r="O775" s="6">
        <v>0.09</v>
      </c>
      <c r="P775" s="6">
        <v>0</v>
      </c>
      <c r="Q775" s="4" t="s">
        <v>26</v>
      </c>
      <c r="R775" s="4">
        <v>0</v>
      </c>
      <c r="S775" s="6">
        <v>0</v>
      </c>
      <c r="T775" s="6">
        <v>39</v>
      </c>
      <c r="U775" s="6">
        <v>98</v>
      </c>
      <c r="V775" s="6">
        <f>IF(ISERROR(VLOOKUP($S$775,'TAR FIN'!$A$1:$O$113,15,0)),0,VLOOKUP($S$775,'TAR FIN'!$A$1:$O$113,15,0))</f>
        <v>0</v>
      </c>
      <c r="W775" s="6">
        <f>IF(ISERROR(VLOOKUP($T$775,'TAR FIN'!$A$1:$O$113,15,0)),0,VLOOKUP($T$775,'TAR FIN'!$A$1:$O$113,15,0))</f>
        <v>79.06</v>
      </c>
      <c r="X775" s="6">
        <f>IF(ISERROR(VLOOKUP($U$775,'TAR FIN'!$A$1:$O$113,15,0)),0,VLOOKUP($U$775,'TAR FIN'!$A$1:$O$113,15,0))</f>
        <v>102.32</v>
      </c>
      <c r="Y775" s="6"/>
      <c r="Z775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775" s="6">
        <f>('TE BE'!$AB$19+'TE BF'!$AB$19+'TE CVA'!$AB$19)*(1-CUSTOS!$M$34)</f>
        <v>110.17481238041081</v>
      </c>
      <c r="AB775" s="6">
        <f>$K$775*$V$775</f>
        <v>0</v>
      </c>
      <c r="AC775" s="6">
        <f>$M$775*$W$775</f>
        <v>7.1154000000000002</v>
      </c>
      <c r="AD775" s="6">
        <f>$O$775*$X$775</f>
        <v>9.2087999999999983</v>
      </c>
      <c r="AE775" s="6">
        <f>$K$775*$Y$775</f>
        <v>0</v>
      </c>
      <c r="AF775" s="6">
        <f ca="1">$M$775*$Z$775</f>
        <v>8.1885289662767864</v>
      </c>
      <c r="AG775" s="6">
        <f>$O$775*$AA$775</f>
        <v>9.9157331142369731</v>
      </c>
    </row>
    <row r="776" spans="1:33" ht="11.25" customHeight="1" x14ac:dyDescent="0.3">
      <c r="A776" s="4" t="s">
        <v>28</v>
      </c>
      <c r="B776" s="4" t="s">
        <v>22</v>
      </c>
      <c r="C776" s="4" t="s">
        <v>23</v>
      </c>
      <c r="D776" s="4" t="s">
        <v>24</v>
      </c>
      <c r="E776" s="4" t="s">
        <v>29</v>
      </c>
      <c r="F776" s="4" t="s">
        <v>25</v>
      </c>
      <c r="G776" s="4" t="s">
        <v>25</v>
      </c>
      <c r="H776" s="4" t="s">
        <v>25</v>
      </c>
      <c r="I776" s="5">
        <v>44652</v>
      </c>
      <c r="J776" s="6">
        <v>0</v>
      </c>
      <c r="K776" s="6">
        <v>0</v>
      </c>
      <c r="L776" s="6">
        <v>0.03</v>
      </c>
      <c r="M776" s="6">
        <v>-8.9999999999999993E-3</v>
      </c>
      <c r="N776" s="6">
        <v>0.03</v>
      </c>
      <c r="O776" s="6">
        <v>-8.9999999999999993E-3</v>
      </c>
      <c r="P776" s="6">
        <v>0</v>
      </c>
      <c r="Q776" s="4" t="s">
        <v>26</v>
      </c>
      <c r="R776" s="4">
        <v>0</v>
      </c>
      <c r="S776" s="6">
        <v>0</v>
      </c>
      <c r="T776" s="6">
        <v>39</v>
      </c>
      <c r="U776" s="6">
        <v>98</v>
      </c>
      <c r="V776" s="6">
        <f>IF(ISERROR(VLOOKUP($S$776,'TAR FIN'!$A$1:$O$113,15,0)),0,VLOOKUP($S$776,'TAR FIN'!$A$1:$O$113,15,0))</f>
        <v>0</v>
      </c>
      <c r="W776" s="6">
        <f>IF(ISERROR(VLOOKUP($T$776,'TAR FIN'!$A$1:$O$113,15,0)),0,VLOOKUP($T$776,'TAR FIN'!$A$1:$O$113,15,0))</f>
        <v>79.06</v>
      </c>
      <c r="X776" s="6">
        <f>IF(ISERROR(VLOOKUP($U$776,'TAR FIN'!$A$1:$O$113,15,0)),0,VLOOKUP($U$776,'TAR FIN'!$A$1:$O$113,15,0))</f>
        <v>102.32</v>
      </c>
      <c r="Y776" s="6"/>
      <c r="Z776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776" s="6">
        <f>('TE BE'!$AB$19+'TE BF'!$AB$19+'TE CVA'!$AB$19)*(1-CUSTOS!$M$34)</f>
        <v>110.17481238041081</v>
      </c>
      <c r="AB776" s="6">
        <f>$K$776*$V$776</f>
        <v>0</v>
      </c>
      <c r="AC776" s="6">
        <f>$M$776*$W$776</f>
        <v>-0.71153999999999995</v>
      </c>
      <c r="AD776" s="6">
        <f>$O$776*$X$776</f>
        <v>-0.92087999999999992</v>
      </c>
      <c r="AE776" s="6">
        <f>$K$776*$Y$776</f>
        <v>0</v>
      </c>
      <c r="AF776" s="6">
        <f ca="1">$M$776*$Z$776</f>
        <v>-0.81885289662767868</v>
      </c>
      <c r="AG776" s="6">
        <f>$O$776*$AA$776</f>
        <v>-0.9915733114236972</v>
      </c>
    </row>
    <row r="777" spans="1:33" ht="11.25" customHeight="1" x14ac:dyDescent="0.3">
      <c r="A777" s="4" t="s">
        <v>21</v>
      </c>
      <c r="B777" s="4" t="s">
        <v>22</v>
      </c>
      <c r="C777" s="4" t="s">
        <v>23</v>
      </c>
      <c r="D777" s="4" t="s">
        <v>24</v>
      </c>
      <c r="E777" s="4" t="s">
        <v>29</v>
      </c>
      <c r="F777" s="4" t="s">
        <v>25</v>
      </c>
      <c r="G777" s="4" t="s">
        <v>25</v>
      </c>
      <c r="H777" s="4" t="s">
        <v>25</v>
      </c>
      <c r="I777" s="5">
        <v>44682</v>
      </c>
      <c r="J777" s="6">
        <v>0</v>
      </c>
      <c r="K777" s="6">
        <v>0</v>
      </c>
      <c r="L777" s="6">
        <v>193.66300000000001</v>
      </c>
      <c r="M777" s="6">
        <v>193.66300000000001</v>
      </c>
      <c r="N777" s="6">
        <v>193.66300000000001</v>
      </c>
      <c r="O777" s="6">
        <v>193.66300000000001</v>
      </c>
      <c r="P777" s="6">
        <v>213</v>
      </c>
      <c r="Q777" s="4" t="s">
        <v>26</v>
      </c>
      <c r="R777" s="4">
        <v>0</v>
      </c>
      <c r="S777" s="6">
        <v>0</v>
      </c>
      <c r="T777" s="6">
        <v>39</v>
      </c>
      <c r="U777" s="6">
        <v>98</v>
      </c>
      <c r="V777" s="6">
        <f>IF(ISERROR(VLOOKUP($S$777,'TAR FIN'!$A$1:$O$113,15,0)),0,VLOOKUP($S$777,'TAR FIN'!$A$1:$O$113,15,0))</f>
        <v>0</v>
      </c>
      <c r="W777" s="6">
        <f>IF(ISERROR(VLOOKUP($T$777,'TAR FIN'!$A$1:$O$113,15,0)),0,VLOOKUP($T$777,'TAR FIN'!$A$1:$O$113,15,0))</f>
        <v>79.06</v>
      </c>
      <c r="X777" s="6">
        <f>IF(ISERROR(VLOOKUP($U$777,'TAR FIN'!$A$1:$O$113,15,0)),0,VLOOKUP($U$777,'TAR FIN'!$A$1:$O$113,15,0))</f>
        <v>102.32</v>
      </c>
      <c r="Y777" s="6"/>
      <c r="Z777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777" s="6">
        <f>('TE BE'!$AB$19+'TE BF'!$AB$19+'TE CVA'!$AB$19)*(1-CUSTOS!$M$34)</f>
        <v>110.17481238041081</v>
      </c>
      <c r="AB777" s="6">
        <f>$K$777*$V$777</f>
        <v>0</v>
      </c>
      <c r="AC777" s="6">
        <f>$M$777*$W$777</f>
        <v>15310.996780000001</v>
      </c>
      <c r="AD777" s="6">
        <f>$O$777*$X$777</f>
        <v>19815.598160000001</v>
      </c>
      <c r="AE777" s="6">
        <f>$K$777*$Y$777</f>
        <v>0</v>
      </c>
      <c r="AF777" s="6">
        <f ca="1">$M$777*$Z$777</f>
        <v>17620.167613289574</v>
      </c>
      <c r="AG777" s="6">
        <f>$O$777*$AA$777</f>
        <v>21336.7846900275</v>
      </c>
    </row>
    <row r="778" spans="1:33" ht="11.25" customHeight="1" x14ac:dyDescent="0.3">
      <c r="A778" s="4" t="s">
        <v>28</v>
      </c>
      <c r="B778" s="4" t="s">
        <v>22</v>
      </c>
      <c r="C778" s="4" t="s">
        <v>23</v>
      </c>
      <c r="D778" s="4" t="s">
        <v>24</v>
      </c>
      <c r="E778" s="4" t="s">
        <v>29</v>
      </c>
      <c r="F778" s="4" t="s">
        <v>25</v>
      </c>
      <c r="G778" s="4" t="s">
        <v>25</v>
      </c>
      <c r="H778" s="4" t="s">
        <v>25</v>
      </c>
      <c r="I778" s="5">
        <v>44682</v>
      </c>
      <c r="J778" s="6">
        <v>0</v>
      </c>
      <c r="K778" s="6">
        <v>0</v>
      </c>
      <c r="L778" s="6">
        <v>5.0999999999999997E-2</v>
      </c>
      <c r="M778" s="6">
        <v>-1.5299999999999999E-2</v>
      </c>
      <c r="N778" s="6">
        <v>5.0999999999999997E-2</v>
      </c>
      <c r="O778" s="6">
        <v>-1.5299999999999999E-2</v>
      </c>
      <c r="P778" s="6">
        <v>0</v>
      </c>
      <c r="Q778" s="4" t="s">
        <v>26</v>
      </c>
      <c r="R778" s="4">
        <v>0</v>
      </c>
      <c r="S778" s="6">
        <v>0</v>
      </c>
      <c r="T778" s="6">
        <v>39</v>
      </c>
      <c r="U778" s="6">
        <v>98</v>
      </c>
      <c r="V778" s="6">
        <f>IF(ISERROR(VLOOKUP($S$778,'TAR FIN'!$A$1:$O$113,15,0)),0,VLOOKUP($S$778,'TAR FIN'!$A$1:$O$113,15,0))</f>
        <v>0</v>
      </c>
      <c r="W778" s="6">
        <f>IF(ISERROR(VLOOKUP($T$778,'TAR FIN'!$A$1:$O$113,15,0)),0,VLOOKUP($T$778,'TAR FIN'!$A$1:$O$113,15,0))</f>
        <v>79.06</v>
      </c>
      <c r="X778" s="6">
        <f>IF(ISERROR(VLOOKUP($U$778,'TAR FIN'!$A$1:$O$113,15,0)),0,VLOOKUP($U$778,'TAR FIN'!$A$1:$O$113,15,0))</f>
        <v>102.32</v>
      </c>
      <c r="Y778" s="6"/>
      <c r="Z778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778" s="6">
        <f>('TE BE'!$AB$19+'TE BF'!$AB$19+'TE CVA'!$AB$19)*(1-CUSTOS!$M$34)</f>
        <v>110.17481238041081</v>
      </c>
      <c r="AB778" s="6">
        <f>$K$778*$V$778</f>
        <v>0</v>
      </c>
      <c r="AC778" s="6">
        <f>$M$778*$W$778</f>
        <v>-1.2096180000000001</v>
      </c>
      <c r="AD778" s="6">
        <f>$O$778*$X$778</f>
        <v>-1.5654959999999998</v>
      </c>
      <c r="AE778" s="6">
        <f>$K$778*$Y$778</f>
        <v>0</v>
      </c>
      <c r="AF778" s="6">
        <f ca="1">$M$778*$Z$778</f>
        <v>-1.3920499242670537</v>
      </c>
      <c r="AG778" s="6">
        <f>$O$778*$AA$778</f>
        <v>-1.6856746294202853</v>
      </c>
    </row>
    <row r="779" spans="1:33" ht="11.25" customHeight="1" x14ac:dyDescent="0.3">
      <c r="A779" s="4" t="s">
        <v>21</v>
      </c>
      <c r="B779" s="4" t="s">
        <v>22</v>
      </c>
      <c r="C779" s="4" t="s">
        <v>23</v>
      </c>
      <c r="D779" s="4" t="s">
        <v>24</v>
      </c>
      <c r="E779" s="4" t="s">
        <v>29</v>
      </c>
      <c r="F779" s="4" t="s">
        <v>25</v>
      </c>
      <c r="G779" s="4" t="s">
        <v>25</v>
      </c>
      <c r="H779" s="4" t="s">
        <v>25</v>
      </c>
      <c r="I779" s="5">
        <v>44713</v>
      </c>
      <c r="J779" s="6">
        <v>0</v>
      </c>
      <c r="K779" s="6">
        <v>0</v>
      </c>
      <c r="L779" s="6">
        <v>187.27</v>
      </c>
      <c r="M779" s="6">
        <v>187.27</v>
      </c>
      <c r="N779" s="6">
        <v>187.27</v>
      </c>
      <c r="O779" s="6">
        <v>187.27</v>
      </c>
      <c r="P779" s="6">
        <v>228</v>
      </c>
      <c r="Q779" s="4" t="s">
        <v>26</v>
      </c>
      <c r="R779" s="4">
        <v>0</v>
      </c>
      <c r="S779" s="6">
        <v>0</v>
      </c>
      <c r="T779" s="6">
        <v>39</v>
      </c>
      <c r="U779" s="6">
        <v>98</v>
      </c>
      <c r="V779" s="6">
        <f>IF(ISERROR(VLOOKUP($S$779,'TAR FIN'!$A$1:$O$113,15,0)),0,VLOOKUP($S$779,'TAR FIN'!$A$1:$O$113,15,0))</f>
        <v>0</v>
      </c>
      <c r="W779" s="6">
        <f>IF(ISERROR(VLOOKUP($T$779,'TAR FIN'!$A$1:$O$113,15,0)),0,VLOOKUP($T$779,'TAR FIN'!$A$1:$O$113,15,0))</f>
        <v>79.06</v>
      </c>
      <c r="X779" s="6">
        <f>IF(ISERROR(VLOOKUP($U$779,'TAR FIN'!$A$1:$O$113,15,0)),0,VLOOKUP($U$779,'TAR FIN'!$A$1:$O$113,15,0))</f>
        <v>102.32</v>
      </c>
      <c r="Y779" s="6"/>
      <c r="Z779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779" s="6">
        <f>('TE BE'!$AB$19+'TE BF'!$AB$19+'TE CVA'!$AB$19)*(1-CUSTOS!$M$34)</f>
        <v>110.17481238041081</v>
      </c>
      <c r="AB779" s="6">
        <f>$K$779*$V$779</f>
        <v>0</v>
      </c>
      <c r="AC779" s="6">
        <f>$M$779*$W$779</f>
        <v>14805.566200000001</v>
      </c>
      <c r="AD779" s="6">
        <f>$O$779*$X$779</f>
        <v>19161.466400000001</v>
      </c>
      <c r="AE779" s="6">
        <f>$K$779*$Y$779</f>
        <v>0</v>
      </c>
      <c r="AF779" s="6">
        <f ca="1">$M$779*$Z$779</f>
        <v>17038.509105718378</v>
      </c>
      <c r="AG779" s="6">
        <f>$O$779*$AA$779</f>
        <v>20632.437114479533</v>
      </c>
    </row>
    <row r="780" spans="1:33" ht="11.25" customHeight="1" x14ac:dyDescent="0.3">
      <c r="A780" s="4" t="s">
        <v>28</v>
      </c>
      <c r="B780" s="4" t="s">
        <v>22</v>
      </c>
      <c r="C780" s="4" t="s">
        <v>23</v>
      </c>
      <c r="D780" s="4" t="s">
        <v>24</v>
      </c>
      <c r="E780" s="4" t="s">
        <v>29</v>
      </c>
      <c r="F780" s="4" t="s">
        <v>25</v>
      </c>
      <c r="G780" s="4" t="s">
        <v>25</v>
      </c>
      <c r="H780" s="4" t="s">
        <v>25</v>
      </c>
      <c r="I780" s="5">
        <v>44713</v>
      </c>
      <c r="J780" s="6">
        <v>0</v>
      </c>
      <c r="K780" s="6">
        <v>0</v>
      </c>
      <c r="L780" s="6">
        <v>2.5999999999999999E-2</v>
      </c>
      <c r="M780" s="6">
        <v>-7.7999999999999996E-3</v>
      </c>
      <c r="N780" s="6">
        <v>2.5999999999999999E-2</v>
      </c>
      <c r="O780" s="6">
        <v>-7.7999999999999996E-3</v>
      </c>
      <c r="P780" s="6">
        <v>0</v>
      </c>
      <c r="Q780" s="4" t="s">
        <v>26</v>
      </c>
      <c r="R780" s="4">
        <v>0</v>
      </c>
      <c r="S780" s="6">
        <v>0</v>
      </c>
      <c r="T780" s="6">
        <v>39</v>
      </c>
      <c r="U780" s="6">
        <v>98</v>
      </c>
      <c r="V780" s="6">
        <f>IF(ISERROR(VLOOKUP($S$780,'TAR FIN'!$A$1:$O$113,15,0)),0,VLOOKUP($S$780,'TAR FIN'!$A$1:$O$113,15,0))</f>
        <v>0</v>
      </c>
      <c r="W780" s="6">
        <f>IF(ISERROR(VLOOKUP($T$780,'TAR FIN'!$A$1:$O$113,15,0)),0,VLOOKUP($T$780,'TAR FIN'!$A$1:$O$113,15,0))</f>
        <v>79.06</v>
      </c>
      <c r="X780" s="6">
        <f>IF(ISERROR(VLOOKUP($U$780,'TAR FIN'!$A$1:$O$113,15,0)),0,VLOOKUP($U$780,'TAR FIN'!$A$1:$O$113,15,0))</f>
        <v>102.32</v>
      </c>
      <c r="Y780" s="6"/>
      <c r="Z780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780" s="6">
        <f>('TE BE'!$AB$19+'TE BF'!$AB$19+'TE CVA'!$AB$19)*(1-CUSTOS!$M$34)</f>
        <v>110.17481238041081</v>
      </c>
      <c r="AB780" s="6">
        <f>$K$780*$V$780</f>
        <v>0</v>
      </c>
      <c r="AC780" s="6">
        <f>$M$780*$W$780</f>
        <v>-0.61666799999999999</v>
      </c>
      <c r="AD780" s="6">
        <f>$O$780*$X$780</f>
        <v>-0.79809599999999992</v>
      </c>
      <c r="AE780" s="6">
        <f>$K$780*$Y$780</f>
        <v>0</v>
      </c>
      <c r="AF780" s="6">
        <f ca="1">$M$780*$Z$780</f>
        <v>-0.70967251041065482</v>
      </c>
      <c r="AG780" s="6">
        <f>$O$780*$AA$780</f>
        <v>-0.85936353656720432</v>
      </c>
    </row>
    <row r="781" spans="1:33" ht="11.25" customHeight="1" x14ac:dyDescent="0.3">
      <c r="A781" s="4" t="s">
        <v>21</v>
      </c>
      <c r="B781" s="4" t="s">
        <v>22</v>
      </c>
      <c r="C781" s="4" t="s">
        <v>23</v>
      </c>
      <c r="D781" s="4" t="s">
        <v>24</v>
      </c>
      <c r="E781" s="4" t="s">
        <v>29</v>
      </c>
      <c r="F781" s="4" t="s">
        <v>25</v>
      </c>
      <c r="G781" s="4" t="s">
        <v>25</v>
      </c>
      <c r="H781" s="4" t="s">
        <v>25</v>
      </c>
      <c r="I781" s="5">
        <v>44743</v>
      </c>
      <c r="J781" s="6">
        <v>0</v>
      </c>
      <c r="K781" s="6">
        <v>0</v>
      </c>
      <c r="L781" s="6">
        <v>177.684</v>
      </c>
      <c r="M781" s="6">
        <v>177.684</v>
      </c>
      <c r="N781" s="6">
        <v>177.684</v>
      </c>
      <c r="O781" s="6">
        <v>177.684</v>
      </c>
      <c r="P781" s="6">
        <v>231</v>
      </c>
      <c r="Q781" s="4" t="s">
        <v>26</v>
      </c>
      <c r="R781" s="4">
        <v>0</v>
      </c>
      <c r="S781" s="6">
        <v>0</v>
      </c>
      <c r="T781" s="6">
        <v>39</v>
      </c>
      <c r="U781" s="6">
        <v>98</v>
      </c>
      <c r="V781" s="6">
        <f>IF(ISERROR(VLOOKUP($S$781,'TAR FIN'!$A$1:$O$113,15,0)),0,VLOOKUP($S$781,'TAR FIN'!$A$1:$O$113,15,0))</f>
        <v>0</v>
      </c>
      <c r="W781" s="6">
        <f>IF(ISERROR(VLOOKUP($T$781,'TAR FIN'!$A$1:$O$113,15,0)),0,VLOOKUP($T$781,'TAR FIN'!$A$1:$O$113,15,0))</f>
        <v>79.06</v>
      </c>
      <c r="X781" s="6">
        <f>IF(ISERROR(VLOOKUP($U$781,'TAR FIN'!$A$1:$O$113,15,0)),0,VLOOKUP($U$781,'TAR FIN'!$A$1:$O$113,15,0))</f>
        <v>102.32</v>
      </c>
      <c r="Y781" s="6"/>
      <c r="Z781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781" s="6">
        <f>('TE BE'!$AB$19+'TE BF'!$AB$19+'TE CVA'!$AB$19)*(1-CUSTOS!$M$34)</f>
        <v>110.17481238041081</v>
      </c>
      <c r="AB781" s="6">
        <f>$K$781*$V$781</f>
        <v>0</v>
      </c>
      <c r="AC781" s="6">
        <f>$M$781*$W$781</f>
        <v>14047.697040000001</v>
      </c>
      <c r="AD781" s="6">
        <f>$O$781*$X$781</f>
        <v>18180.62688</v>
      </c>
      <c r="AE781" s="6">
        <f>$K$781*$Y$781</f>
        <v>0</v>
      </c>
      <c r="AF781" s="6">
        <f ca="1">$M$781*$Z$781</f>
        <v>16166.339787154719</v>
      </c>
      <c r="AG781" s="6">
        <f>$O$781*$AA$781</f>
        <v>19576.301363000915</v>
      </c>
    </row>
    <row r="782" spans="1:33" ht="11.25" customHeight="1" x14ac:dyDescent="0.3">
      <c r="A782" s="4" t="s">
        <v>21</v>
      </c>
      <c r="B782" s="4" t="s">
        <v>22</v>
      </c>
      <c r="C782" s="4" t="s">
        <v>23</v>
      </c>
      <c r="D782" s="4" t="s">
        <v>24</v>
      </c>
      <c r="E782" s="4" t="s">
        <v>29</v>
      </c>
      <c r="F782" s="4" t="s">
        <v>25</v>
      </c>
      <c r="G782" s="4" t="s">
        <v>25</v>
      </c>
      <c r="H782" s="4" t="s">
        <v>25</v>
      </c>
      <c r="I782" s="5">
        <v>44774</v>
      </c>
      <c r="J782" s="6">
        <v>0</v>
      </c>
      <c r="K782" s="6">
        <v>0</v>
      </c>
      <c r="L782" s="6">
        <v>183.559</v>
      </c>
      <c r="M782" s="6">
        <v>183.559</v>
      </c>
      <c r="N782" s="6">
        <v>183.559</v>
      </c>
      <c r="O782" s="6">
        <v>183.559</v>
      </c>
      <c r="P782" s="6">
        <v>233</v>
      </c>
      <c r="Q782" s="4" t="s">
        <v>26</v>
      </c>
      <c r="R782" s="4">
        <v>0</v>
      </c>
      <c r="S782" s="6">
        <v>0</v>
      </c>
      <c r="T782" s="6">
        <v>39</v>
      </c>
      <c r="U782" s="6">
        <v>98</v>
      </c>
      <c r="V782" s="6">
        <f>IF(ISERROR(VLOOKUP($S$782,'TAR FIN'!$A$1:$O$113,15,0)),0,VLOOKUP($S$782,'TAR FIN'!$A$1:$O$113,15,0))</f>
        <v>0</v>
      </c>
      <c r="W782" s="6">
        <f>IF(ISERROR(VLOOKUP($T$782,'TAR FIN'!$A$1:$O$113,15,0)),0,VLOOKUP($T$782,'TAR FIN'!$A$1:$O$113,15,0))</f>
        <v>79.06</v>
      </c>
      <c r="X782" s="6">
        <f>IF(ISERROR(VLOOKUP($U$782,'TAR FIN'!$A$1:$O$113,15,0)),0,VLOOKUP($U$782,'TAR FIN'!$A$1:$O$113,15,0))</f>
        <v>102.32</v>
      </c>
      <c r="Y782" s="6"/>
      <c r="Z782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782" s="6">
        <f>('TE BE'!$AB$19+'TE BF'!$AB$19+'TE CVA'!$AB$19)*(1-CUSTOS!$M$34)</f>
        <v>110.17481238041081</v>
      </c>
      <c r="AB782" s="6">
        <f>$K$782*$V$782</f>
        <v>0</v>
      </c>
      <c r="AC782" s="6">
        <f>$M$782*$W$782</f>
        <v>14512.17454</v>
      </c>
      <c r="AD782" s="6">
        <f>$O$782*$X$782</f>
        <v>18781.756879999997</v>
      </c>
      <c r="AE782" s="6">
        <f>$K$782*$Y$782</f>
        <v>0</v>
      </c>
      <c r="AF782" s="6">
        <f ca="1">$M$782*$Z$782</f>
        <v>16700.86876134223</v>
      </c>
      <c r="AG782" s="6">
        <f>$O$782*$AA$782</f>
        <v>20223.578385735829</v>
      </c>
    </row>
    <row r="783" spans="1:33" ht="11.25" customHeight="1" x14ac:dyDescent="0.3">
      <c r="A783" s="4" t="s">
        <v>27</v>
      </c>
      <c r="B783" s="4" t="s">
        <v>22</v>
      </c>
      <c r="C783" s="4" t="s">
        <v>23</v>
      </c>
      <c r="D783" s="4" t="s">
        <v>24</v>
      </c>
      <c r="E783" s="4" t="s">
        <v>29</v>
      </c>
      <c r="F783" s="4" t="s">
        <v>25</v>
      </c>
      <c r="G783" s="4" t="s">
        <v>25</v>
      </c>
      <c r="H783" s="4" t="s">
        <v>25</v>
      </c>
      <c r="I783" s="5">
        <v>44774</v>
      </c>
      <c r="J783" s="6">
        <v>0</v>
      </c>
      <c r="K783" s="6">
        <v>0</v>
      </c>
      <c r="L783" s="6">
        <v>-0.03</v>
      </c>
      <c r="M783" s="6">
        <v>-0.03</v>
      </c>
      <c r="N783" s="6">
        <v>-0.03</v>
      </c>
      <c r="O783" s="6">
        <v>-0.03</v>
      </c>
      <c r="P783" s="6">
        <v>0</v>
      </c>
      <c r="Q783" s="4" t="s">
        <v>26</v>
      </c>
      <c r="R783" s="4">
        <v>0</v>
      </c>
      <c r="S783" s="6">
        <v>0</v>
      </c>
      <c r="T783" s="6">
        <v>39</v>
      </c>
      <c r="U783" s="6">
        <v>98</v>
      </c>
      <c r="V783" s="6">
        <f>IF(ISERROR(VLOOKUP($S$783,'TAR FIN'!$A$1:$O$113,15,0)),0,VLOOKUP($S$783,'TAR FIN'!$A$1:$O$113,15,0))</f>
        <v>0</v>
      </c>
      <c r="W783" s="6">
        <f>IF(ISERROR(VLOOKUP($T$783,'TAR FIN'!$A$1:$O$113,15,0)),0,VLOOKUP($T$783,'TAR FIN'!$A$1:$O$113,15,0))</f>
        <v>79.06</v>
      </c>
      <c r="X783" s="6">
        <f>IF(ISERROR(VLOOKUP($U$783,'TAR FIN'!$A$1:$O$113,15,0)),0,VLOOKUP($U$783,'TAR FIN'!$A$1:$O$113,15,0))</f>
        <v>102.32</v>
      </c>
      <c r="Y783" s="6"/>
      <c r="Z783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783" s="6">
        <f>('TE BE'!$AB$19+'TE BF'!$AB$19+'TE CVA'!$AB$19)*(1-CUSTOS!$M$34)</f>
        <v>110.17481238041081</v>
      </c>
      <c r="AB783" s="6">
        <f>$K$783*$V$783</f>
        <v>0</v>
      </c>
      <c r="AC783" s="6">
        <f>$M$783*$W$783</f>
        <v>-2.3717999999999999</v>
      </c>
      <c r="AD783" s="6">
        <f>$O$783*$X$783</f>
        <v>-3.0695999999999999</v>
      </c>
      <c r="AE783" s="6">
        <f>$K$783*$Y$783</f>
        <v>0</v>
      </c>
      <c r="AF783" s="6">
        <f ca="1">$M$783*$Z$783</f>
        <v>-2.7295096554255958</v>
      </c>
      <c r="AG783" s="6">
        <f>$O$783*$AA$783</f>
        <v>-3.3052443714123241</v>
      </c>
    </row>
    <row r="784" spans="1:33" ht="11.25" customHeight="1" x14ac:dyDescent="0.3">
      <c r="A784" s="4" t="s">
        <v>28</v>
      </c>
      <c r="B784" s="4" t="s">
        <v>22</v>
      </c>
      <c r="C784" s="4" t="s">
        <v>23</v>
      </c>
      <c r="D784" s="4" t="s">
        <v>24</v>
      </c>
      <c r="E784" s="4" t="s">
        <v>29</v>
      </c>
      <c r="F784" s="4" t="s">
        <v>25</v>
      </c>
      <c r="G784" s="4" t="s">
        <v>25</v>
      </c>
      <c r="H784" s="4" t="s">
        <v>25</v>
      </c>
      <c r="I784" s="5">
        <v>44774</v>
      </c>
      <c r="J784" s="6">
        <v>0</v>
      </c>
      <c r="K784" s="6">
        <v>0</v>
      </c>
      <c r="L784" s="6">
        <v>1.7000000000000001E-2</v>
      </c>
      <c r="M784" s="6">
        <v>5.9500000000000004E-3</v>
      </c>
      <c r="N784" s="6">
        <v>1.7000000000000001E-2</v>
      </c>
      <c r="O784" s="6">
        <v>5.9500000000000004E-3</v>
      </c>
      <c r="P784" s="6">
        <v>0</v>
      </c>
      <c r="Q784" s="4" t="s">
        <v>26</v>
      </c>
      <c r="R784" s="4">
        <v>0</v>
      </c>
      <c r="S784" s="6">
        <v>0</v>
      </c>
      <c r="T784" s="6">
        <v>39</v>
      </c>
      <c r="U784" s="6">
        <v>98</v>
      </c>
      <c r="V784" s="6">
        <f>IF(ISERROR(VLOOKUP($S$784,'TAR FIN'!$A$1:$O$113,15,0)),0,VLOOKUP($S$784,'TAR FIN'!$A$1:$O$113,15,0))</f>
        <v>0</v>
      </c>
      <c r="W784" s="6">
        <f>IF(ISERROR(VLOOKUP($T$784,'TAR FIN'!$A$1:$O$113,15,0)),0,VLOOKUP($T$784,'TAR FIN'!$A$1:$O$113,15,0))</f>
        <v>79.06</v>
      </c>
      <c r="X784" s="6">
        <f>IF(ISERROR(VLOOKUP($U$784,'TAR FIN'!$A$1:$O$113,15,0)),0,VLOOKUP($U$784,'TAR FIN'!$A$1:$O$113,15,0))</f>
        <v>102.32</v>
      </c>
      <c r="Y784" s="6"/>
      <c r="Z784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784" s="6">
        <f>('TE BE'!$AB$19+'TE BF'!$AB$19+'TE CVA'!$AB$19)*(1-CUSTOS!$M$34)</f>
        <v>110.17481238041081</v>
      </c>
      <c r="AB784" s="6">
        <f>$K$784*$V$784</f>
        <v>0</v>
      </c>
      <c r="AC784" s="6">
        <f>$M$784*$W$784</f>
        <v>0.47040700000000002</v>
      </c>
      <c r="AD784" s="6">
        <f>$O$784*$X$784</f>
        <v>0.60880400000000001</v>
      </c>
      <c r="AE784" s="6">
        <f>$K$784*$Y$784</f>
        <v>0</v>
      </c>
      <c r="AF784" s="6">
        <f ca="1">$M$784*$Z$784</f>
        <v>0.54135274832607649</v>
      </c>
      <c r="AG784" s="6">
        <f>$O$784*$AA$784</f>
        <v>0.65554013366344444</v>
      </c>
    </row>
    <row r="785" spans="1:33" ht="11.25" customHeight="1" x14ac:dyDescent="0.3">
      <c r="A785" s="4" t="s">
        <v>21</v>
      </c>
      <c r="B785" s="4" t="s">
        <v>22</v>
      </c>
      <c r="C785" s="4" t="s">
        <v>23</v>
      </c>
      <c r="D785" s="4" t="s">
        <v>24</v>
      </c>
      <c r="E785" s="4" t="s">
        <v>29</v>
      </c>
      <c r="F785" s="4" t="s">
        <v>25</v>
      </c>
      <c r="G785" s="4" t="s">
        <v>25</v>
      </c>
      <c r="H785" s="4" t="s">
        <v>25</v>
      </c>
      <c r="I785" s="5">
        <v>44805</v>
      </c>
      <c r="J785" s="6">
        <v>0</v>
      </c>
      <c r="K785" s="6">
        <v>0</v>
      </c>
      <c r="L785" s="6">
        <v>183.197</v>
      </c>
      <c r="M785" s="6">
        <v>183.197</v>
      </c>
      <c r="N785" s="6">
        <v>183.197</v>
      </c>
      <c r="O785" s="6">
        <v>183.197</v>
      </c>
      <c r="P785" s="6">
        <v>202</v>
      </c>
      <c r="Q785" s="4" t="s">
        <v>26</v>
      </c>
      <c r="R785" s="4">
        <v>0</v>
      </c>
      <c r="S785" s="6">
        <v>0</v>
      </c>
      <c r="T785" s="6">
        <v>39</v>
      </c>
      <c r="U785" s="6">
        <v>98</v>
      </c>
      <c r="V785" s="6">
        <f>IF(ISERROR(VLOOKUP($S$785,'TAR FIN'!$A$1:$O$113,15,0)),0,VLOOKUP($S$785,'TAR FIN'!$A$1:$O$113,15,0))</f>
        <v>0</v>
      </c>
      <c r="W785" s="6">
        <f>IF(ISERROR(VLOOKUP($T$785,'TAR FIN'!$A$1:$O$113,15,0)),0,VLOOKUP($T$785,'TAR FIN'!$A$1:$O$113,15,0))</f>
        <v>79.06</v>
      </c>
      <c r="X785" s="6">
        <f>IF(ISERROR(VLOOKUP($U$785,'TAR FIN'!$A$1:$O$113,15,0)),0,VLOOKUP($U$785,'TAR FIN'!$A$1:$O$113,15,0))</f>
        <v>102.32</v>
      </c>
      <c r="Y785" s="6"/>
      <c r="Z785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785" s="6">
        <f>('TE BE'!$AB$19+'TE BF'!$AB$19+'TE CVA'!$AB$19)*(1-CUSTOS!$M$34)</f>
        <v>110.17481238041081</v>
      </c>
      <c r="AB785" s="6">
        <f>$K$785*$V$785</f>
        <v>0</v>
      </c>
      <c r="AC785" s="6">
        <f>$M$785*$W$785</f>
        <v>14483.554820000001</v>
      </c>
      <c r="AD785" s="6">
        <f>$O$785*$X$785</f>
        <v>18744.71704</v>
      </c>
      <c r="AE785" s="6">
        <f>$K$785*$Y$785</f>
        <v>0</v>
      </c>
      <c r="AF785" s="6">
        <f ca="1">$M$785*$Z$785</f>
        <v>16667.932678166762</v>
      </c>
      <c r="AG785" s="6">
        <f>$O$785*$AA$785</f>
        <v>20183.695103654121</v>
      </c>
    </row>
    <row r="786" spans="1:33" ht="11.25" customHeight="1" x14ac:dyDescent="0.3">
      <c r="A786" s="4" t="s">
        <v>27</v>
      </c>
      <c r="B786" s="4" t="s">
        <v>22</v>
      </c>
      <c r="C786" s="4" t="s">
        <v>23</v>
      </c>
      <c r="D786" s="4" t="s">
        <v>24</v>
      </c>
      <c r="E786" s="4" t="s">
        <v>29</v>
      </c>
      <c r="F786" s="4" t="s">
        <v>25</v>
      </c>
      <c r="G786" s="4" t="s">
        <v>25</v>
      </c>
      <c r="H786" s="4" t="s">
        <v>25</v>
      </c>
      <c r="I786" s="5">
        <v>44805</v>
      </c>
      <c r="J786" s="6">
        <v>0</v>
      </c>
      <c r="K786" s="6">
        <v>0</v>
      </c>
      <c r="L786" s="6">
        <v>-0.06</v>
      </c>
      <c r="M786" s="6">
        <v>-0.06</v>
      </c>
      <c r="N786" s="6">
        <v>-0.06</v>
      </c>
      <c r="O786" s="6">
        <v>-0.06</v>
      </c>
      <c r="P786" s="6">
        <v>0</v>
      </c>
      <c r="Q786" s="4" t="s">
        <v>26</v>
      </c>
      <c r="R786" s="4">
        <v>0</v>
      </c>
      <c r="S786" s="6">
        <v>0</v>
      </c>
      <c r="T786" s="6">
        <v>39</v>
      </c>
      <c r="U786" s="6">
        <v>98</v>
      </c>
      <c r="V786" s="6">
        <f>IF(ISERROR(VLOOKUP($S$786,'TAR FIN'!$A$1:$O$113,15,0)),0,VLOOKUP($S$786,'TAR FIN'!$A$1:$O$113,15,0))</f>
        <v>0</v>
      </c>
      <c r="W786" s="6">
        <f>IF(ISERROR(VLOOKUP($T$786,'TAR FIN'!$A$1:$O$113,15,0)),0,VLOOKUP($T$786,'TAR FIN'!$A$1:$O$113,15,0))</f>
        <v>79.06</v>
      </c>
      <c r="X786" s="6">
        <f>IF(ISERROR(VLOOKUP($U$786,'TAR FIN'!$A$1:$O$113,15,0)),0,VLOOKUP($U$786,'TAR FIN'!$A$1:$O$113,15,0))</f>
        <v>102.32</v>
      </c>
      <c r="Y786" s="6"/>
      <c r="Z786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786" s="6">
        <f>('TE BE'!$AB$19+'TE BF'!$AB$19+'TE CVA'!$AB$19)*(1-CUSTOS!$M$34)</f>
        <v>110.17481238041081</v>
      </c>
      <c r="AB786" s="6">
        <f>$K$786*$V$786</f>
        <v>0</v>
      </c>
      <c r="AC786" s="6">
        <f>$M$786*$W$786</f>
        <v>-4.7435999999999998</v>
      </c>
      <c r="AD786" s="6">
        <f>$O$786*$X$786</f>
        <v>-6.1391999999999998</v>
      </c>
      <c r="AE786" s="6">
        <f>$K$786*$Y$786</f>
        <v>0</v>
      </c>
      <c r="AF786" s="6">
        <f ca="1">$M$786*$Z$786</f>
        <v>-5.4590193108511915</v>
      </c>
      <c r="AG786" s="6">
        <f>$O$786*$AA$786</f>
        <v>-6.6104887428246482</v>
      </c>
    </row>
    <row r="787" spans="1:33" ht="11.25" customHeight="1" x14ac:dyDescent="0.3">
      <c r="A787" s="4" t="s">
        <v>28</v>
      </c>
      <c r="B787" s="4" t="s">
        <v>22</v>
      </c>
      <c r="C787" s="4" t="s">
        <v>23</v>
      </c>
      <c r="D787" s="4" t="s">
        <v>24</v>
      </c>
      <c r="E787" s="4" t="s">
        <v>29</v>
      </c>
      <c r="F787" s="4" t="s">
        <v>25</v>
      </c>
      <c r="G787" s="4" t="s">
        <v>25</v>
      </c>
      <c r="H787" s="4" t="s">
        <v>25</v>
      </c>
      <c r="I787" s="5">
        <v>44805</v>
      </c>
      <c r="J787" s="6">
        <v>0</v>
      </c>
      <c r="K787" s="6">
        <v>0</v>
      </c>
      <c r="L787" s="6">
        <v>3.5000000000000003E-2</v>
      </c>
      <c r="M787" s="6">
        <v>1.225E-2</v>
      </c>
      <c r="N787" s="6">
        <v>3.5000000000000003E-2</v>
      </c>
      <c r="O787" s="6">
        <v>1.225E-2</v>
      </c>
      <c r="P787" s="6">
        <v>0</v>
      </c>
      <c r="Q787" s="4" t="s">
        <v>26</v>
      </c>
      <c r="R787" s="4">
        <v>0</v>
      </c>
      <c r="S787" s="6">
        <v>0</v>
      </c>
      <c r="T787" s="6">
        <v>39</v>
      </c>
      <c r="U787" s="6">
        <v>98</v>
      </c>
      <c r="V787" s="6">
        <f>IF(ISERROR(VLOOKUP($S$787,'TAR FIN'!$A$1:$O$113,15,0)),0,VLOOKUP($S$787,'TAR FIN'!$A$1:$O$113,15,0))</f>
        <v>0</v>
      </c>
      <c r="W787" s="6">
        <f>IF(ISERROR(VLOOKUP($T$787,'TAR FIN'!$A$1:$O$113,15,0)),0,VLOOKUP($T$787,'TAR FIN'!$A$1:$O$113,15,0))</f>
        <v>79.06</v>
      </c>
      <c r="X787" s="6">
        <f>IF(ISERROR(VLOOKUP($U$787,'TAR FIN'!$A$1:$O$113,15,0)),0,VLOOKUP($U$787,'TAR FIN'!$A$1:$O$113,15,0))</f>
        <v>102.32</v>
      </c>
      <c r="Y787" s="6"/>
      <c r="Z787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787" s="6">
        <f>('TE BE'!$AB$19+'TE BF'!$AB$19+'TE CVA'!$AB$19)*(1-CUSTOS!$M$34)</f>
        <v>110.17481238041081</v>
      </c>
      <c r="AB787" s="6">
        <f>$K$787*$V$787</f>
        <v>0</v>
      </c>
      <c r="AC787" s="6">
        <f>$M$787*$W$787</f>
        <v>0.96848500000000004</v>
      </c>
      <c r="AD787" s="6">
        <f>$O$787*$X$787</f>
        <v>1.25342</v>
      </c>
      <c r="AE787" s="6">
        <f>$K$787*$Y$787</f>
        <v>0</v>
      </c>
      <c r="AF787" s="6">
        <f ca="1">$M$787*$Z$787</f>
        <v>1.1145497759654517</v>
      </c>
      <c r="AG787" s="6">
        <f>$O$787*$AA$787</f>
        <v>1.3496414516600326</v>
      </c>
    </row>
    <row r="788" spans="1:33" ht="11.25" customHeight="1" x14ac:dyDescent="0.3">
      <c r="A788" s="4" t="s">
        <v>53</v>
      </c>
      <c r="B788" s="4" t="s">
        <v>22</v>
      </c>
      <c r="C788" s="4" t="s">
        <v>23</v>
      </c>
      <c r="D788" s="4" t="s">
        <v>24</v>
      </c>
      <c r="E788" s="4" t="s">
        <v>29</v>
      </c>
      <c r="F788" s="4" t="s">
        <v>25</v>
      </c>
      <c r="G788" s="4" t="s">
        <v>25</v>
      </c>
      <c r="H788" s="4" t="s">
        <v>25</v>
      </c>
      <c r="I788" s="5">
        <v>44835</v>
      </c>
      <c r="J788" s="6">
        <v>0</v>
      </c>
      <c r="K788" s="6">
        <v>0</v>
      </c>
      <c r="L788" s="6">
        <v>183.197</v>
      </c>
      <c r="M788" s="6">
        <v>183.197</v>
      </c>
      <c r="N788" s="6">
        <v>183.197</v>
      </c>
      <c r="O788" s="6">
        <v>183.197</v>
      </c>
      <c r="P788" s="6">
        <v>202</v>
      </c>
      <c r="Q788" s="4" t="s">
        <v>26</v>
      </c>
      <c r="R788" s="4">
        <v>0</v>
      </c>
      <c r="S788" s="6">
        <v>0</v>
      </c>
      <c r="T788" s="6">
        <v>39</v>
      </c>
      <c r="U788" s="6">
        <v>98</v>
      </c>
      <c r="V788" s="6">
        <f>IF(ISERROR(VLOOKUP($S$788,'TAR FIN'!$A$1:$O$113,15,0)),0,VLOOKUP($S$788,'TAR FIN'!$A$1:$O$113,15,0))</f>
        <v>0</v>
      </c>
      <c r="W788" s="6">
        <f>IF(ISERROR(VLOOKUP($T$788,'TAR FIN'!$A$1:$O$113,15,0)),0,VLOOKUP($T$788,'TAR FIN'!$A$1:$O$113,15,0))</f>
        <v>79.06</v>
      </c>
      <c r="X788" s="6">
        <f>IF(ISERROR(VLOOKUP($U$788,'TAR FIN'!$A$1:$O$113,15,0)),0,VLOOKUP($U$788,'TAR FIN'!$A$1:$O$113,15,0))</f>
        <v>102.32</v>
      </c>
      <c r="Y788" s="6"/>
      <c r="Z788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788" s="6">
        <f>('TE BE'!$AB$19+'TE BF'!$AB$19+'TE CVA'!$AB$19)*(1-CUSTOS!$M$34)</f>
        <v>110.17481238041081</v>
      </c>
      <c r="AB788" s="6">
        <f>$K$788*$V$788</f>
        <v>0</v>
      </c>
      <c r="AC788" s="6">
        <f>$M$788*$W$788</f>
        <v>14483.554820000001</v>
      </c>
      <c r="AD788" s="6">
        <f>$O$788*$X$788</f>
        <v>18744.71704</v>
      </c>
      <c r="AE788" s="6">
        <f>$K$788*$Y$788</f>
        <v>0</v>
      </c>
      <c r="AF788" s="6">
        <f ca="1">$M$788*$Z$788</f>
        <v>16667.932678166762</v>
      </c>
      <c r="AG788" s="6">
        <f>$O$788*$AA$788</f>
        <v>20183.695103654121</v>
      </c>
    </row>
    <row r="789" spans="1:33" ht="11.25" customHeight="1" x14ac:dyDescent="0.3">
      <c r="A789" s="4" t="s">
        <v>53</v>
      </c>
      <c r="B789" s="4" t="s">
        <v>22</v>
      </c>
      <c r="C789" s="4" t="s">
        <v>23</v>
      </c>
      <c r="D789" s="4" t="s">
        <v>24</v>
      </c>
      <c r="E789" s="4" t="s">
        <v>29</v>
      </c>
      <c r="F789" s="4" t="s">
        <v>25</v>
      </c>
      <c r="G789" s="4" t="s">
        <v>25</v>
      </c>
      <c r="H789" s="4" t="s">
        <v>25</v>
      </c>
      <c r="I789" s="5">
        <v>44835</v>
      </c>
      <c r="J789" s="6">
        <v>0</v>
      </c>
      <c r="K789" s="6">
        <v>0</v>
      </c>
      <c r="L789" s="6">
        <v>-0.06</v>
      </c>
      <c r="M789" s="6">
        <v>-0.06</v>
      </c>
      <c r="N789" s="6">
        <v>-0.06</v>
      </c>
      <c r="O789" s="6">
        <v>-0.06</v>
      </c>
      <c r="P789" s="6">
        <v>0</v>
      </c>
      <c r="Q789" s="4" t="s">
        <v>26</v>
      </c>
      <c r="R789" s="4">
        <v>0</v>
      </c>
      <c r="S789" s="6">
        <v>0</v>
      </c>
      <c r="T789" s="6">
        <v>39</v>
      </c>
      <c r="U789" s="6">
        <v>98</v>
      </c>
      <c r="V789" s="6">
        <f>IF(ISERROR(VLOOKUP($S$789,'TAR FIN'!$A$1:$O$113,15,0)),0,VLOOKUP($S$789,'TAR FIN'!$A$1:$O$113,15,0))</f>
        <v>0</v>
      </c>
      <c r="W789" s="6">
        <f>IF(ISERROR(VLOOKUP($T$789,'TAR FIN'!$A$1:$O$113,15,0)),0,VLOOKUP($T$789,'TAR FIN'!$A$1:$O$113,15,0))</f>
        <v>79.06</v>
      </c>
      <c r="X789" s="6">
        <f>IF(ISERROR(VLOOKUP($U$789,'TAR FIN'!$A$1:$O$113,15,0)),0,VLOOKUP($U$789,'TAR FIN'!$A$1:$O$113,15,0))</f>
        <v>102.32</v>
      </c>
      <c r="Y789" s="6"/>
      <c r="Z789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789" s="6">
        <f>('TE BE'!$AB$19+'TE BF'!$AB$19+'TE CVA'!$AB$19)*(1-CUSTOS!$M$34)</f>
        <v>110.17481238041081</v>
      </c>
      <c r="AB789" s="6">
        <f>$K$789*$V$789</f>
        <v>0</v>
      </c>
      <c r="AC789" s="6">
        <f>$M$789*$W$789</f>
        <v>-4.7435999999999998</v>
      </c>
      <c r="AD789" s="6">
        <f>$O$789*$X$789</f>
        <v>-6.1391999999999998</v>
      </c>
      <c r="AE789" s="6">
        <f>$K$789*$Y$789</f>
        <v>0</v>
      </c>
      <c r="AF789" s="6">
        <f ca="1">$M$789*$Z$789</f>
        <v>-5.4590193108511915</v>
      </c>
      <c r="AG789" s="6">
        <f>$O$789*$AA$789</f>
        <v>-6.6104887428246482</v>
      </c>
    </row>
    <row r="790" spans="1:33" ht="11.25" customHeight="1" x14ac:dyDescent="0.3">
      <c r="A790" s="4" t="s">
        <v>53</v>
      </c>
      <c r="B790" s="4" t="s">
        <v>22</v>
      </c>
      <c r="C790" s="4" t="s">
        <v>23</v>
      </c>
      <c r="D790" s="4" t="s">
        <v>24</v>
      </c>
      <c r="E790" s="4" t="s">
        <v>29</v>
      </c>
      <c r="F790" s="4" t="s">
        <v>25</v>
      </c>
      <c r="G790" s="4" t="s">
        <v>25</v>
      </c>
      <c r="H790" s="4" t="s">
        <v>25</v>
      </c>
      <c r="I790" s="5">
        <v>44835</v>
      </c>
      <c r="J790" s="6">
        <v>0</v>
      </c>
      <c r="K790" s="6">
        <v>0</v>
      </c>
      <c r="L790" s="6">
        <v>3.5000000000000003E-2</v>
      </c>
      <c r="M790" s="6">
        <v>1.225E-2</v>
      </c>
      <c r="N790" s="6">
        <v>3.5000000000000003E-2</v>
      </c>
      <c r="O790" s="6">
        <v>1.225E-2</v>
      </c>
      <c r="P790" s="6">
        <v>0</v>
      </c>
      <c r="Q790" s="4" t="s">
        <v>26</v>
      </c>
      <c r="R790" s="4">
        <v>0</v>
      </c>
      <c r="S790" s="6">
        <v>0</v>
      </c>
      <c r="T790" s="6">
        <v>39</v>
      </c>
      <c r="U790" s="6">
        <v>98</v>
      </c>
      <c r="V790" s="6">
        <f>IF(ISERROR(VLOOKUP($S$790,'TAR FIN'!$A$1:$O$113,15,0)),0,VLOOKUP($S$790,'TAR FIN'!$A$1:$O$113,15,0))</f>
        <v>0</v>
      </c>
      <c r="W790" s="6">
        <f>IF(ISERROR(VLOOKUP($T$790,'TAR FIN'!$A$1:$O$113,15,0)),0,VLOOKUP($T$790,'TAR FIN'!$A$1:$O$113,15,0))</f>
        <v>79.06</v>
      </c>
      <c r="X790" s="6">
        <f>IF(ISERROR(VLOOKUP($U$790,'TAR FIN'!$A$1:$O$113,15,0)),0,VLOOKUP($U$790,'TAR FIN'!$A$1:$O$113,15,0))</f>
        <v>102.32</v>
      </c>
      <c r="Y790" s="6"/>
      <c r="Z790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790" s="6">
        <f>('TE BE'!$AB$19+'TE BF'!$AB$19+'TE CVA'!$AB$19)*(1-CUSTOS!$M$34)</f>
        <v>110.17481238041081</v>
      </c>
      <c r="AB790" s="6">
        <f>$K$790*$V$790</f>
        <v>0</v>
      </c>
      <c r="AC790" s="6">
        <f>$M$790*$W$790</f>
        <v>0.96848500000000004</v>
      </c>
      <c r="AD790" s="6">
        <f>$O$790*$X$790</f>
        <v>1.25342</v>
      </c>
      <c r="AE790" s="6">
        <f>$K$790*$Y$790</f>
        <v>0</v>
      </c>
      <c r="AF790" s="6">
        <f ca="1">$M$790*$Z$790</f>
        <v>1.1145497759654517</v>
      </c>
      <c r="AG790" s="6">
        <f>$O$790*$AA$790</f>
        <v>1.3496414516600326</v>
      </c>
    </row>
    <row r="791" spans="1:33" ht="11.25" customHeight="1" x14ac:dyDescent="0.3">
      <c r="A791" s="4" t="s">
        <v>21</v>
      </c>
      <c r="B791" s="4" t="s">
        <v>22</v>
      </c>
      <c r="C791" s="4" t="s">
        <v>23</v>
      </c>
      <c r="D791" s="4" t="s">
        <v>24</v>
      </c>
      <c r="E791" s="4" t="s">
        <v>30</v>
      </c>
      <c r="F791" s="4" t="s">
        <v>25</v>
      </c>
      <c r="G791" s="4" t="s">
        <v>25</v>
      </c>
      <c r="H791" s="4" t="s">
        <v>25</v>
      </c>
      <c r="I791" s="5">
        <v>44501</v>
      </c>
      <c r="J791" s="6">
        <v>0</v>
      </c>
      <c r="K791" s="6">
        <v>0</v>
      </c>
      <c r="L791" s="6">
        <v>327.26100000000002</v>
      </c>
      <c r="M791" s="6">
        <v>327.26100000000002</v>
      </c>
      <c r="N791" s="6">
        <v>327.26100000000002</v>
      </c>
      <c r="O791" s="6">
        <v>327.26100000000002</v>
      </c>
      <c r="P791" s="6">
        <v>1478</v>
      </c>
      <c r="Q791" s="4" t="s">
        <v>26</v>
      </c>
      <c r="R791" s="4">
        <v>0</v>
      </c>
      <c r="S791" s="6">
        <v>0</v>
      </c>
      <c r="T791" s="6">
        <v>34</v>
      </c>
      <c r="U791" s="6">
        <v>75</v>
      </c>
      <c r="V791" s="6">
        <f>IF(ISERROR(VLOOKUP($S$791,'TAR FIN'!$A$1:$O$113,15,0)),0,VLOOKUP($S$791,'TAR FIN'!$A$1:$O$113,15,0))</f>
        <v>0</v>
      </c>
      <c r="W791" s="6">
        <f>IF(ISERROR(VLOOKUP($T$791,'TAR FIN'!$A$1:$O$113,15,0)),0,VLOOKUP($T$791,'TAR FIN'!$A$1:$O$113,15,0))</f>
        <v>135.52000000000001</v>
      </c>
      <c r="X791" s="6">
        <f>IF(ISERROR(VLOOKUP($U$791,'TAR FIN'!$A$1:$O$113,15,0)),0,VLOOKUP($U$791,'TAR FIN'!$A$1:$O$113,15,0))</f>
        <v>175.41</v>
      </c>
      <c r="Y791" s="6"/>
      <c r="Z791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791" s="6">
        <f>('TE BE'!$AB$20+'TE BF'!$AB$20+'TE CVA'!$AB$20)*(1-CUSTOS!$M$35)</f>
        <v>188.87110693784712</v>
      </c>
      <c r="AB791" s="6">
        <f>$K$791*$V$791</f>
        <v>0</v>
      </c>
      <c r="AC791" s="6">
        <f>$M$791*$W$791</f>
        <v>44350.410720000007</v>
      </c>
      <c r="AD791" s="6">
        <f>$O$791*$X$791</f>
        <v>57404.852010000002</v>
      </c>
      <c r="AE791" s="6">
        <f>$K$791*$Y$791</f>
        <v>0</v>
      </c>
      <c r="AF791" s="6">
        <f ca="1">$M$791*$Z$791</f>
        <v>51043.546248242055</v>
      </c>
      <c r="AG791" s="6">
        <f>$O$791*$AA$791</f>
        <v>61810.14732758679</v>
      </c>
    </row>
    <row r="792" spans="1:33" ht="11.25" customHeight="1" x14ac:dyDescent="0.3">
      <c r="A792" s="4" t="s">
        <v>27</v>
      </c>
      <c r="B792" s="4" t="s">
        <v>22</v>
      </c>
      <c r="C792" s="4" t="s">
        <v>23</v>
      </c>
      <c r="D792" s="4" t="s">
        <v>24</v>
      </c>
      <c r="E792" s="4" t="s">
        <v>30</v>
      </c>
      <c r="F792" s="4" t="s">
        <v>25</v>
      </c>
      <c r="G792" s="4" t="s">
        <v>25</v>
      </c>
      <c r="H792" s="4" t="s">
        <v>25</v>
      </c>
      <c r="I792" s="5">
        <v>44501</v>
      </c>
      <c r="J792" s="6">
        <v>0</v>
      </c>
      <c r="K792" s="6">
        <v>0</v>
      </c>
      <c r="L792" s="6">
        <v>-0.11600000000000001</v>
      </c>
      <c r="M792" s="6">
        <v>-0.11600000000000001</v>
      </c>
      <c r="N792" s="6">
        <v>-0.11600000000000001</v>
      </c>
      <c r="O792" s="6">
        <v>-0.11600000000000001</v>
      </c>
      <c r="P792" s="6">
        <v>0</v>
      </c>
      <c r="Q792" s="4" t="s">
        <v>26</v>
      </c>
      <c r="R792" s="4">
        <v>0</v>
      </c>
      <c r="S792" s="6">
        <v>0</v>
      </c>
      <c r="T792" s="6">
        <v>34</v>
      </c>
      <c r="U792" s="6">
        <v>75</v>
      </c>
      <c r="V792" s="6">
        <f>IF(ISERROR(VLOOKUP($S$792,'TAR FIN'!$A$1:$O$113,15,0)),0,VLOOKUP($S$792,'TAR FIN'!$A$1:$O$113,15,0))</f>
        <v>0</v>
      </c>
      <c r="W792" s="6">
        <f>IF(ISERROR(VLOOKUP($T$792,'TAR FIN'!$A$1:$O$113,15,0)),0,VLOOKUP($T$792,'TAR FIN'!$A$1:$O$113,15,0))</f>
        <v>135.52000000000001</v>
      </c>
      <c r="X792" s="6">
        <f>IF(ISERROR(VLOOKUP($U$792,'TAR FIN'!$A$1:$O$113,15,0)),0,VLOOKUP($U$792,'TAR FIN'!$A$1:$O$113,15,0))</f>
        <v>175.41</v>
      </c>
      <c r="Y792" s="6"/>
      <c r="Z792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792" s="6">
        <f>('TE BE'!$AB$20+'TE BF'!$AB$20+'TE CVA'!$AB$20)*(1-CUSTOS!$M$35)</f>
        <v>188.87110693784712</v>
      </c>
      <c r="AB792" s="6">
        <f>$K$792*$V$792</f>
        <v>0</v>
      </c>
      <c r="AC792" s="6">
        <f>$M$792*$W$792</f>
        <v>-15.720320000000003</v>
      </c>
      <c r="AD792" s="6">
        <f>$O$792*$X$792</f>
        <v>-20.347560000000001</v>
      </c>
      <c r="AE792" s="6">
        <f>$K$792*$Y$792</f>
        <v>0</v>
      </c>
      <c r="AF792" s="6">
        <f ca="1">$M$792*$Z$792</f>
        <v>-18.092749715963951</v>
      </c>
      <c r="AG792" s="6">
        <f>$O$792*$AA$792</f>
        <v>-21.909048404790266</v>
      </c>
    </row>
    <row r="793" spans="1:33" ht="11.25" customHeight="1" x14ac:dyDescent="0.3">
      <c r="A793" s="4" t="s">
        <v>28</v>
      </c>
      <c r="B793" s="4" t="s">
        <v>22</v>
      </c>
      <c r="C793" s="4" t="s">
        <v>23</v>
      </c>
      <c r="D793" s="4" t="s">
        <v>24</v>
      </c>
      <c r="E793" s="4" t="s">
        <v>30</v>
      </c>
      <c r="F793" s="4" t="s">
        <v>25</v>
      </c>
      <c r="G793" s="4" t="s">
        <v>25</v>
      </c>
      <c r="H793" s="4" t="s">
        <v>25</v>
      </c>
      <c r="I793" s="5">
        <v>44501</v>
      </c>
      <c r="J793" s="6">
        <v>0</v>
      </c>
      <c r="K793" s="6">
        <v>0</v>
      </c>
      <c r="L793" s="6">
        <v>0.1</v>
      </c>
      <c r="M793" s="6">
        <v>0.02</v>
      </c>
      <c r="N793" s="6">
        <v>0.1</v>
      </c>
      <c r="O793" s="6">
        <v>0.02</v>
      </c>
      <c r="P793" s="6">
        <v>1</v>
      </c>
      <c r="Q793" s="4" t="s">
        <v>26</v>
      </c>
      <c r="R793" s="4">
        <v>0</v>
      </c>
      <c r="S793" s="6">
        <v>0</v>
      </c>
      <c r="T793" s="6">
        <v>34</v>
      </c>
      <c r="U793" s="6">
        <v>75</v>
      </c>
      <c r="V793" s="6">
        <f>IF(ISERROR(VLOOKUP($S$793,'TAR FIN'!$A$1:$O$113,15,0)),0,VLOOKUP($S$793,'TAR FIN'!$A$1:$O$113,15,0))</f>
        <v>0</v>
      </c>
      <c r="W793" s="6">
        <f>IF(ISERROR(VLOOKUP($T$793,'TAR FIN'!$A$1:$O$113,15,0)),0,VLOOKUP($T$793,'TAR FIN'!$A$1:$O$113,15,0))</f>
        <v>135.52000000000001</v>
      </c>
      <c r="X793" s="6">
        <f>IF(ISERROR(VLOOKUP($U$793,'TAR FIN'!$A$1:$O$113,15,0)),0,VLOOKUP($U$793,'TAR FIN'!$A$1:$O$113,15,0))</f>
        <v>175.41</v>
      </c>
      <c r="Y793" s="6"/>
      <c r="Z793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793" s="6">
        <f>('TE BE'!$AB$20+'TE BF'!$AB$20+'TE CVA'!$AB$20)*(1-CUSTOS!$M$35)</f>
        <v>188.87110693784712</v>
      </c>
      <c r="AB793" s="6">
        <f>$K$793*$V$793</f>
        <v>0</v>
      </c>
      <c r="AC793" s="6">
        <f>$M$793*$W$793</f>
        <v>2.7104000000000004</v>
      </c>
      <c r="AD793" s="6">
        <f>$O$793*$X$793</f>
        <v>3.5082</v>
      </c>
      <c r="AE793" s="6">
        <f>$K$793*$Y$793</f>
        <v>0</v>
      </c>
      <c r="AF793" s="6">
        <f ca="1">$M$793*$Z$793</f>
        <v>3.1194396062006811</v>
      </c>
      <c r="AG793" s="6">
        <f>$O$793*$AA$793</f>
        <v>3.7774221387569424</v>
      </c>
    </row>
    <row r="794" spans="1:33" ht="11.25" customHeight="1" x14ac:dyDescent="0.3">
      <c r="A794" s="4" t="s">
        <v>21</v>
      </c>
      <c r="B794" s="4" t="s">
        <v>22</v>
      </c>
      <c r="C794" s="4" t="s">
        <v>23</v>
      </c>
      <c r="D794" s="4" t="s">
        <v>24</v>
      </c>
      <c r="E794" s="4" t="s">
        <v>30</v>
      </c>
      <c r="F794" s="4" t="s">
        <v>25</v>
      </c>
      <c r="G794" s="4" t="s">
        <v>25</v>
      </c>
      <c r="H794" s="4" t="s">
        <v>25</v>
      </c>
      <c r="I794" s="5">
        <v>44531</v>
      </c>
      <c r="J794" s="6">
        <v>0</v>
      </c>
      <c r="K794" s="6">
        <v>0</v>
      </c>
      <c r="L794" s="6">
        <v>339.59699999999998</v>
      </c>
      <c r="M794" s="6">
        <v>339.59699999999998</v>
      </c>
      <c r="N794" s="6">
        <v>339.59699999999998</v>
      </c>
      <c r="O794" s="6">
        <v>339.59699999999998</v>
      </c>
      <c r="P794" s="6">
        <v>1674</v>
      </c>
      <c r="Q794" s="4" t="s">
        <v>26</v>
      </c>
      <c r="R794" s="4">
        <v>0</v>
      </c>
      <c r="S794" s="6">
        <v>0</v>
      </c>
      <c r="T794" s="6">
        <v>34</v>
      </c>
      <c r="U794" s="6">
        <v>75</v>
      </c>
      <c r="V794" s="6">
        <f>IF(ISERROR(VLOOKUP($S$794,'TAR FIN'!$A$1:$O$113,15,0)),0,VLOOKUP($S$794,'TAR FIN'!$A$1:$O$113,15,0))</f>
        <v>0</v>
      </c>
      <c r="W794" s="6">
        <f>IF(ISERROR(VLOOKUP($T$794,'TAR FIN'!$A$1:$O$113,15,0)),0,VLOOKUP($T$794,'TAR FIN'!$A$1:$O$113,15,0))</f>
        <v>135.52000000000001</v>
      </c>
      <c r="X794" s="6">
        <f>IF(ISERROR(VLOOKUP($U$794,'TAR FIN'!$A$1:$O$113,15,0)),0,VLOOKUP($U$794,'TAR FIN'!$A$1:$O$113,15,0))</f>
        <v>175.41</v>
      </c>
      <c r="Y794" s="6"/>
      <c r="Z794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794" s="6">
        <f>('TE BE'!$AB$20+'TE BF'!$AB$20+'TE CVA'!$AB$20)*(1-CUSTOS!$M$35)</f>
        <v>188.87110693784712</v>
      </c>
      <c r="AB794" s="6">
        <f>$K$794*$V$794</f>
        <v>0</v>
      </c>
      <c r="AC794" s="6">
        <f>$M$794*$W$794</f>
        <v>46022.185440000001</v>
      </c>
      <c r="AD794" s="6">
        <f>$O$794*$X$794</f>
        <v>59568.709769999994</v>
      </c>
      <c r="AE794" s="6">
        <f>$K$794*$Y$794</f>
        <v>0</v>
      </c>
      <c r="AF794" s="6">
        <f ca="1">$M$794*$Z$794</f>
        <v>52967.616597346627</v>
      </c>
      <c r="AG794" s="6">
        <f>$O$794*$AA$794</f>
        <v>64140.061302772061</v>
      </c>
    </row>
    <row r="795" spans="1:33" ht="11.25" customHeight="1" x14ac:dyDescent="0.3">
      <c r="A795" s="4" t="s">
        <v>27</v>
      </c>
      <c r="B795" s="4" t="s">
        <v>22</v>
      </c>
      <c r="C795" s="4" t="s">
        <v>23</v>
      </c>
      <c r="D795" s="4" t="s">
        <v>24</v>
      </c>
      <c r="E795" s="4" t="s">
        <v>30</v>
      </c>
      <c r="F795" s="4" t="s">
        <v>25</v>
      </c>
      <c r="G795" s="4" t="s">
        <v>25</v>
      </c>
      <c r="H795" s="4" t="s">
        <v>25</v>
      </c>
      <c r="I795" s="5">
        <v>44531</v>
      </c>
      <c r="J795" s="6">
        <v>0</v>
      </c>
      <c r="K795" s="6">
        <v>0</v>
      </c>
      <c r="L795" s="6">
        <v>0.35</v>
      </c>
      <c r="M795" s="6">
        <v>0.35</v>
      </c>
      <c r="N795" s="6">
        <v>0.35</v>
      </c>
      <c r="O795" s="6">
        <v>0.35</v>
      </c>
      <c r="P795" s="6">
        <v>0</v>
      </c>
      <c r="Q795" s="4" t="s">
        <v>26</v>
      </c>
      <c r="R795" s="4">
        <v>0</v>
      </c>
      <c r="S795" s="6">
        <v>0</v>
      </c>
      <c r="T795" s="6">
        <v>34</v>
      </c>
      <c r="U795" s="6">
        <v>75</v>
      </c>
      <c r="V795" s="6">
        <f>IF(ISERROR(VLOOKUP($S$795,'TAR FIN'!$A$1:$O$113,15,0)),0,VLOOKUP($S$795,'TAR FIN'!$A$1:$O$113,15,0))</f>
        <v>0</v>
      </c>
      <c r="W795" s="6">
        <f>IF(ISERROR(VLOOKUP($T$795,'TAR FIN'!$A$1:$O$113,15,0)),0,VLOOKUP($T$795,'TAR FIN'!$A$1:$O$113,15,0))</f>
        <v>135.52000000000001</v>
      </c>
      <c r="X795" s="6">
        <f>IF(ISERROR(VLOOKUP($U$795,'TAR FIN'!$A$1:$O$113,15,0)),0,VLOOKUP($U$795,'TAR FIN'!$A$1:$O$113,15,0))</f>
        <v>175.41</v>
      </c>
      <c r="Y795" s="6"/>
      <c r="Z795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795" s="6">
        <f>('TE BE'!$AB$20+'TE BF'!$AB$20+'TE CVA'!$AB$20)*(1-CUSTOS!$M$35)</f>
        <v>188.87110693784712</v>
      </c>
      <c r="AB795" s="6">
        <f>$K$795*$V$795</f>
        <v>0</v>
      </c>
      <c r="AC795" s="6">
        <f>$M$795*$W$795</f>
        <v>47.432000000000002</v>
      </c>
      <c r="AD795" s="6">
        <f>$O$795*$X$795</f>
        <v>61.393499999999996</v>
      </c>
      <c r="AE795" s="6">
        <f>$K$795*$Y$795</f>
        <v>0</v>
      </c>
      <c r="AF795" s="6">
        <f ca="1">$M$795*$Z$795</f>
        <v>54.590193108511912</v>
      </c>
      <c r="AG795" s="6">
        <f>$O$795*$AA$795</f>
        <v>66.104887428246485</v>
      </c>
    </row>
    <row r="796" spans="1:33" ht="11.25" customHeight="1" x14ac:dyDescent="0.3">
      <c r="A796" s="4" t="s">
        <v>28</v>
      </c>
      <c r="B796" s="4" t="s">
        <v>22</v>
      </c>
      <c r="C796" s="4" t="s">
        <v>23</v>
      </c>
      <c r="D796" s="4" t="s">
        <v>24</v>
      </c>
      <c r="E796" s="4" t="s">
        <v>30</v>
      </c>
      <c r="F796" s="4" t="s">
        <v>25</v>
      </c>
      <c r="G796" s="4" t="s">
        <v>25</v>
      </c>
      <c r="H796" s="4" t="s">
        <v>25</v>
      </c>
      <c r="I796" s="5">
        <v>44531</v>
      </c>
      <c r="J796" s="6">
        <v>0</v>
      </c>
      <c r="K796" s="6">
        <v>0</v>
      </c>
      <c r="L796" s="6">
        <v>0.11600000000000001</v>
      </c>
      <c r="M796" s="6">
        <v>2.3199999999999998E-2</v>
      </c>
      <c r="N796" s="6">
        <v>0.11600000000000001</v>
      </c>
      <c r="O796" s="6">
        <v>2.3199999999999998E-2</v>
      </c>
      <c r="P796" s="6">
        <v>1</v>
      </c>
      <c r="Q796" s="4" t="s">
        <v>26</v>
      </c>
      <c r="R796" s="4">
        <v>0</v>
      </c>
      <c r="S796" s="6">
        <v>0</v>
      </c>
      <c r="T796" s="6">
        <v>34</v>
      </c>
      <c r="U796" s="6">
        <v>75</v>
      </c>
      <c r="V796" s="6">
        <f>IF(ISERROR(VLOOKUP($S$796,'TAR FIN'!$A$1:$O$113,15,0)),0,VLOOKUP($S$796,'TAR FIN'!$A$1:$O$113,15,0))</f>
        <v>0</v>
      </c>
      <c r="W796" s="6">
        <f>IF(ISERROR(VLOOKUP($T$796,'TAR FIN'!$A$1:$O$113,15,0)),0,VLOOKUP($T$796,'TAR FIN'!$A$1:$O$113,15,0))</f>
        <v>135.52000000000001</v>
      </c>
      <c r="X796" s="6">
        <f>IF(ISERROR(VLOOKUP($U$796,'TAR FIN'!$A$1:$O$113,15,0)),0,VLOOKUP($U$796,'TAR FIN'!$A$1:$O$113,15,0))</f>
        <v>175.41</v>
      </c>
      <c r="Y796" s="6"/>
      <c r="Z796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796" s="6">
        <f>('TE BE'!$AB$20+'TE BF'!$AB$20+'TE CVA'!$AB$20)*(1-CUSTOS!$M$35)</f>
        <v>188.87110693784712</v>
      </c>
      <c r="AB796" s="6">
        <f>$K$796*$V$796</f>
        <v>0</v>
      </c>
      <c r="AC796" s="6">
        <f>$M$796*$W$796</f>
        <v>3.1440640000000002</v>
      </c>
      <c r="AD796" s="6">
        <f>$O$796*$X$796</f>
        <v>4.0695119999999996</v>
      </c>
      <c r="AE796" s="6">
        <f>$K$796*$Y$796</f>
        <v>0</v>
      </c>
      <c r="AF796" s="6">
        <f ca="1">$M$796*$Z$796</f>
        <v>3.6185499431927894</v>
      </c>
      <c r="AG796" s="6">
        <f>$O$796*$AA$796</f>
        <v>4.3818096809580531</v>
      </c>
    </row>
    <row r="797" spans="1:33" ht="11.25" customHeight="1" x14ac:dyDescent="0.3">
      <c r="A797" s="4" t="s">
        <v>21</v>
      </c>
      <c r="B797" s="4" t="s">
        <v>22</v>
      </c>
      <c r="C797" s="4" t="s">
        <v>23</v>
      </c>
      <c r="D797" s="4" t="s">
        <v>24</v>
      </c>
      <c r="E797" s="4" t="s">
        <v>30</v>
      </c>
      <c r="F797" s="4" t="s">
        <v>25</v>
      </c>
      <c r="G797" s="4" t="s">
        <v>25</v>
      </c>
      <c r="H797" s="4" t="s">
        <v>25</v>
      </c>
      <c r="I797" s="5">
        <v>44562</v>
      </c>
      <c r="J797" s="6">
        <v>0</v>
      </c>
      <c r="K797" s="6">
        <v>0</v>
      </c>
      <c r="L797" s="6">
        <v>336.00400000000002</v>
      </c>
      <c r="M797" s="6">
        <v>336.00400000000002</v>
      </c>
      <c r="N797" s="6">
        <v>336.00400000000002</v>
      </c>
      <c r="O797" s="6">
        <v>336.00400000000002</v>
      </c>
      <c r="P797" s="6">
        <v>1365</v>
      </c>
      <c r="Q797" s="4" t="s">
        <v>26</v>
      </c>
      <c r="R797" s="4">
        <v>0</v>
      </c>
      <c r="S797" s="6">
        <v>0</v>
      </c>
      <c r="T797" s="6">
        <v>34</v>
      </c>
      <c r="U797" s="6">
        <v>75</v>
      </c>
      <c r="V797" s="6">
        <f>IF(ISERROR(VLOOKUP($S$797,'TAR FIN'!$A$1:$O$113,15,0)),0,VLOOKUP($S$797,'TAR FIN'!$A$1:$O$113,15,0))</f>
        <v>0</v>
      </c>
      <c r="W797" s="6">
        <f>IF(ISERROR(VLOOKUP($T$797,'TAR FIN'!$A$1:$O$113,15,0)),0,VLOOKUP($T$797,'TAR FIN'!$A$1:$O$113,15,0))</f>
        <v>135.52000000000001</v>
      </c>
      <c r="X797" s="6">
        <f>IF(ISERROR(VLOOKUP($U$797,'TAR FIN'!$A$1:$O$113,15,0)),0,VLOOKUP($U$797,'TAR FIN'!$A$1:$O$113,15,0))</f>
        <v>175.41</v>
      </c>
      <c r="Y797" s="6"/>
      <c r="Z797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797" s="6">
        <f>('TE BE'!$AB$20+'TE BF'!$AB$20+'TE CVA'!$AB$20)*(1-CUSTOS!$M$35)</f>
        <v>188.87110693784712</v>
      </c>
      <c r="AB797" s="6">
        <f>$K$797*$V$797</f>
        <v>0</v>
      </c>
      <c r="AC797" s="6">
        <f>$M$797*$W$797</f>
        <v>45535.262080000008</v>
      </c>
      <c r="AD797" s="6">
        <f>$O$797*$X$797</f>
        <v>58938.461640000001</v>
      </c>
      <c r="AE797" s="6">
        <f>$K$797*$Y$797</f>
        <v>0</v>
      </c>
      <c r="AF797" s="6">
        <f ca="1">$M$797*$Z$797</f>
        <v>52407.209272092681</v>
      </c>
      <c r="AG797" s="6">
        <f>$O$797*$AA$797</f>
        <v>63461.44741554439</v>
      </c>
    </row>
    <row r="798" spans="1:33" ht="11.25" customHeight="1" x14ac:dyDescent="0.3">
      <c r="A798" s="4" t="s">
        <v>27</v>
      </c>
      <c r="B798" s="4" t="s">
        <v>22</v>
      </c>
      <c r="C798" s="4" t="s">
        <v>23</v>
      </c>
      <c r="D798" s="4" t="s">
        <v>24</v>
      </c>
      <c r="E798" s="4" t="s">
        <v>30</v>
      </c>
      <c r="F798" s="4" t="s">
        <v>25</v>
      </c>
      <c r="G798" s="4" t="s">
        <v>25</v>
      </c>
      <c r="H798" s="4" t="s">
        <v>25</v>
      </c>
      <c r="I798" s="5">
        <v>44562</v>
      </c>
      <c r="J798" s="6">
        <v>0</v>
      </c>
      <c r="K798" s="6">
        <v>0</v>
      </c>
      <c r="L798" s="6">
        <v>-0.107</v>
      </c>
      <c r="M798" s="6">
        <v>-0.107</v>
      </c>
      <c r="N798" s="6">
        <v>-0.107</v>
      </c>
      <c r="O798" s="6">
        <v>-0.107</v>
      </c>
      <c r="P798" s="6">
        <v>0</v>
      </c>
      <c r="Q798" s="4" t="s">
        <v>26</v>
      </c>
      <c r="R798" s="4">
        <v>0</v>
      </c>
      <c r="S798" s="6">
        <v>0</v>
      </c>
      <c r="T798" s="6">
        <v>34</v>
      </c>
      <c r="U798" s="6">
        <v>75</v>
      </c>
      <c r="V798" s="6">
        <f>IF(ISERROR(VLOOKUP($S$798,'TAR FIN'!$A$1:$O$113,15,0)),0,VLOOKUP($S$798,'TAR FIN'!$A$1:$O$113,15,0))</f>
        <v>0</v>
      </c>
      <c r="W798" s="6">
        <f>IF(ISERROR(VLOOKUP($T$798,'TAR FIN'!$A$1:$O$113,15,0)),0,VLOOKUP($T$798,'TAR FIN'!$A$1:$O$113,15,0))</f>
        <v>135.52000000000001</v>
      </c>
      <c r="X798" s="6">
        <f>IF(ISERROR(VLOOKUP($U$798,'TAR FIN'!$A$1:$O$113,15,0)),0,VLOOKUP($U$798,'TAR FIN'!$A$1:$O$113,15,0))</f>
        <v>175.41</v>
      </c>
      <c r="Y798" s="6"/>
      <c r="Z798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798" s="6">
        <f>('TE BE'!$AB$20+'TE BF'!$AB$20+'TE CVA'!$AB$20)*(1-CUSTOS!$M$35)</f>
        <v>188.87110693784712</v>
      </c>
      <c r="AB798" s="6">
        <f>$K$798*$V$798</f>
        <v>0</v>
      </c>
      <c r="AC798" s="6">
        <f>$M$798*$W$798</f>
        <v>-14.500640000000001</v>
      </c>
      <c r="AD798" s="6">
        <f>$O$798*$X$798</f>
        <v>-18.76887</v>
      </c>
      <c r="AE798" s="6">
        <f>$K$798*$Y$798</f>
        <v>0</v>
      </c>
      <c r="AF798" s="6">
        <f ca="1">$M$798*$Z$798</f>
        <v>-16.689001893173643</v>
      </c>
      <c r="AG798" s="6">
        <f>$O$798*$AA$798</f>
        <v>-20.209208442349642</v>
      </c>
    </row>
    <row r="799" spans="1:33" ht="11.25" customHeight="1" x14ac:dyDescent="0.3">
      <c r="A799" s="4" t="s">
        <v>28</v>
      </c>
      <c r="B799" s="4" t="s">
        <v>22</v>
      </c>
      <c r="C799" s="4" t="s">
        <v>23</v>
      </c>
      <c r="D799" s="4" t="s">
        <v>24</v>
      </c>
      <c r="E799" s="4" t="s">
        <v>30</v>
      </c>
      <c r="F799" s="4" t="s">
        <v>25</v>
      </c>
      <c r="G799" s="4" t="s">
        <v>25</v>
      </c>
      <c r="H799" s="4" t="s">
        <v>25</v>
      </c>
      <c r="I799" s="5">
        <v>44562</v>
      </c>
      <c r="J799" s="6">
        <v>0</v>
      </c>
      <c r="K799" s="6">
        <v>0</v>
      </c>
      <c r="L799" s="6">
        <v>8.6999999999999994E-2</v>
      </c>
      <c r="M799" s="6">
        <v>1.7399999999999999E-2</v>
      </c>
      <c r="N799" s="6">
        <v>8.6999999999999994E-2</v>
      </c>
      <c r="O799" s="6">
        <v>1.7399999999999999E-2</v>
      </c>
      <c r="P799" s="6">
        <v>1</v>
      </c>
      <c r="Q799" s="4" t="s">
        <v>26</v>
      </c>
      <c r="R799" s="4">
        <v>0</v>
      </c>
      <c r="S799" s="6">
        <v>0</v>
      </c>
      <c r="T799" s="6">
        <v>34</v>
      </c>
      <c r="U799" s="6">
        <v>75</v>
      </c>
      <c r="V799" s="6">
        <f>IF(ISERROR(VLOOKUP($S$799,'TAR FIN'!$A$1:$O$113,15,0)),0,VLOOKUP($S$799,'TAR FIN'!$A$1:$O$113,15,0))</f>
        <v>0</v>
      </c>
      <c r="W799" s="6">
        <f>IF(ISERROR(VLOOKUP($T$799,'TAR FIN'!$A$1:$O$113,15,0)),0,VLOOKUP($T$799,'TAR FIN'!$A$1:$O$113,15,0))</f>
        <v>135.52000000000001</v>
      </c>
      <c r="X799" s="6">
        <f>IF(ISERROR(VLOOKUP($U$799,'TAR FIN'!$A$1:$O$113,15,0)),0,VLOOKUP($U$799,'TAR FIN'!$A$1:$O$113,15,0))</f>
        <v>175.41</v>
      </c>
      <c r="Y799" s="6"/>
      <c r="Z799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799" s="6">
        <f>('TE BE'!$AB$20+'TE BF'!$AB$20+'TE CVA'!$AB$20)*(1-CUSTOS!$M$35)</f>
        <v>188.87110693784712</v>
      </c>
      <c r="AB799" s="6">
        <f>$K$799*$V$799</f>
        <v>0</v>
      </c>
      <c r="AC799" s="6">
        <f>$M$799*$W$799</f>
        <v>2.3580480000000001</v>
      </c>
      <c r="AD799" s="6">
        <f>$O$799*$X$799</f>
        <v>3.0521339999999997</v>
      </c>
      <c r="AE799" s="6">
        <f>$K$799*$Y$799</f>
        <v>0</v>
      </c>
      <c r="AF799" s="6">
        <f ca="1">$M$799*$Z$799</f>
        <v>2.7139124573945921</v>
      </c>
      <c r="AG799" s="6">
        <f>$O$799*$AA$799</f>
        <v>3.2863572607185394</v>
      </c>
    </row>
    <row r="800" spans="1:33" ht="11.25" customHeight="1" x14ac:dyDescent="0.3">
      <c r="A800" s="4" t="s">
        <v>21</v>
      </c>
      <c r="B800" s="4" t="s">
        <v>22</v>
      </c>
      <c r="C800" s="4" t="s">
        <v>23</v>
      </c>
      <c r="D800" s="4" t="s">
        <v>24</v>
      </c>
      <c r="E800" s="4" t="s">
        <v>30</v>
      </c>
      <c r="F800" s="4" t="s">
        <v>25</v>
      </c>
      <c r="G800" s="4" t="s">
        <v>25</v>
      </c>
      <c r="H800" s="4" t="s">
        <v>25</v>
      </c>
      <c r="I800" s="5">
        <v>44593</v>
      </c>
      <c r="J800" s="6">
        <v>0</v>
      </c>
      <c r="K800" s="6">
        <v>0</v>
      </c>
      <c r="L800" s="6">
        <v>363.202</v>
      </c>
      <c r="M800" s="6">
        <v>363.202</v>
      </c>
      <c r="N800" s="6">
        <v>363.202</v>
      </c>
      <c r="O800" s="6">
        <v>363.202</v>
      </c>
      <c r="P800" s="6">
        <v>1779</v>
      </c>
      <c r="Q800" s="4" t="s">
        <v>26</v>
      </c>
      <c r="R800" s="4">
        <v>0</v>
      </c>
      <c r="S800" s="6">
        <v>0</v>
      </c>
      <c r="T800" s="6">
        <v>34</v>
      </c>
      <c r="U800" s="6">
        <v>75</v>
      </c>
      <c r="V800" s="6">
        <f>IF(ISERROR(VLOOKUP($S$800,'TAR FIN'!$A$1:$O$113,15,0)),0,VLOOKUP($S$800,'TAR FIN'!$A$1:$O$113,15,0))</f>
        <v>0</v>
      </c>
      <c r="W800" s="6">
        <f>IF(ISERROR(VLOOKUP($T$800,'TAR FIN'!$A$1:$O$113,15,0)),0,VLOOKUP($T$800,'TAR FIN'!$A$1:$O$113,15,0))</f>
        <v>135.52000000000001</v>
      </c>
      <c r="X800" s="6">
        <f>IF(ISERROR(VLOOKUP($U$800,'TAR FIN'!$A$1:$O$113,15,0)),0,VLOOKUP($U$800,'TAR FIN'!$A$1:$O$113,15,0))</f>
        <v>175.41</v>
      </c>
      <c r="Y800" s="6"/>
      <c r="Z800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800" s="6">
        <f>('TE BE'!$AB$20+'TE BF'!$AB$20+'TE CVA'!$AB$20)*(1-CUSTOS!$M$35)</f>
        <v>188.87110693784712</v>
      </c>
      <c r="AB800" s="6">
        <f>$K$800*$V$800</f>
        <v>0</v>
      </c>
      <c r="AC800" s="6">
        <f>$M$800*$W$800</f>
        <v>49221.135040000001</v>
      </c>
      <c r="AD800" s="6">
        <f>$O$800*$X$800</f>
        <v>63709.262819999996</v>
      </c>
      <c r="AE800" s="6">
        <f>$K$800*$Y$800</f>
        <v>0</v>
      </c>
      <c r="AF800" s="6">
        <f ca="1">$M$800*$Z$800</f>
        <v>56649.335192564984</v>
      </c>
      <c r="AG800" s="6">
        <f>$O$800*$AA$800</f>
        <v>68598.363782039945</v>
      </c>
    </row>
    <row r="801" spans="1:33" ht="11.25" customHeight="1" x14ac:dyDescent="0.3">
      <c r="A801" s="4" t="s">
        <v>27</v>
      </c>
      <c r="B801" s="4" t="s">
        <v>22</v>
      </c>
      <c r="C801" s="4" t="s">
        <v>23</v>
      </c>
      <c r="D801" s="4" t="s">
        <v>24</v>
      </c>
      <c r="E801" s="4" t="s">
        <v>30</v>
      </c>
      <c r="F801" s="4" t="s">
        <v>25</v>
      </c>
      <c r="G801" s="4" t="s">
        <v>25</v>
      </c>
      <c r="H801" s="4" t="s">
        <v>25</v>
      </c>
      <c r="I801" s="5">
        <v>44593</v>
      </c>
      <c r="J801" s="6">
        <v>0</v>
      </c>
      <c r="K801" s="6">
        <v>0</v>
      </c>
      <c r="L801" s="6">
        <v>1.6E-2</v>
      </c>
      <c r="M801" s="6">
        <v>1.6E-2</v>
      </c>
      <c r="N801" s="6">
        <v>1.6E-2</v>
      </c>
      <c r="O801" s="6">
        <v>1.6E-2</v>
      </c>
      <c r="P801" s="6">
        <v>0</v>
      </c>
      <c r="Q801" s="4" t="s">
        <v>26</v>
      </c>
      <c r="R801" s="4">
        <v>0</v>
      </c>
      <c r="S801" s="6">
        <v>0</v>
      </c>
      <c r="T801" s="6">
        <v>34</v>
      </c>
      <c r="U801" s="6">
        <v>75</v>
      </c>
      <c r="V801" s="6">
        <f>IF(ISERROR(VLOOKUP($S$801,'TAR FIN'!$A$1:$O$113,15,0)),0,VLOOKUP($S$801,'TAR FIN'!$A$1:$O$113,15,0))</f>
        <v>0</v>
      </c>
      <c r="W801" s="6">
        <f>IF(ISERROR(VLOOKUP($T$801,'TAR FIN'!$A$1:$O$113,15,0)),0,VLOOKUP($T$801,'TAR FIN'!$A$1:$O$113,15,0))</f>
        <v>135.52000000000001</v>
      </c>
      <c r="X801" s="6">
        <f>IF(ISERROR(VLOOKUP($U$801,'TAR FIN'!$A$1:$O$113,15,0)),0,VLOOKUP($U$801,'TAR FIN'!$A$1:$O$113,15,0))</f>
        <v>175.41</v>
      </c>
      <c r="Y801" s="6"/>
      <c r="Z801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801" s="6">
        <f>('TE BE'!$AB$20+'TE BF'!$AB$20+'TE CVA'!$AB$20)*(1-CUSTOS!$M$35)</f>
        <v>188.87110693784712</v>
      </c>
      <c r="AB801" s="6">
        <f>$K$801*$V$801</f>
        <v>0</v>
      </c>
      <c r="AC801" s="6">
        <f>$M$801*$W$801</f>
        <v>2.16832</v>
      </c>
      <c r="AD801" s="6">
        <f>$O$801*$X$801</f>
        <v>2.8065600000000002</v>
      </c>
      <c r="AE801" s="6">
        <f>$K$801*$Y$801</f>
        <v>0</v>
      </c>
      <c r="AF801" s="6">
        <f ca="1">$M$801*$Z$801</f>
        <v>2.4955516849605446</v>
      </c>
      <c r="AG801" s="6">
        <f>$O$801*$AA$801</f>
        <v>3.0219377110055539</v>
      </c>
    </row>
    <row r="802" spans="1:33" ht="11.25" customHeight="1" x14ac:dyDescent="0.3">
      <c r="A802" s="4" t="s">
        <v>28</v>
      </c>
      <c r="B802" s="4" t="s">
        <v>22</v>
      </c>
      <c r="C802" s="4" t="s">
        <v>23</v>
      </c>
      <c r="D802" s="4" t="s">
        <v>24</v>
      </c>
      <c r="E802" s="4" t="s">
        <v>30</v>
      </c>
      <c r="F802" s="4" t="s">
        <v>25</v>
      </c>
      <c r="G802" s="4" t="s">
        <v>25</v>
      </c>
      <c r="H802" s="4" t="s">
        <v>25</v>
      </c>
      <c r="I802" s="5">
        <v>44593</v>
      </c>
      <c r="J802" s="6">
        <v>0</v>
      </c>
      <c r="K802" s="6">
        <v>0</v>
      </c>
      <c r="L802" s="6">
        <v>9.9000000000000005E-2</v>
      </c>
      <c r="M802" s="6">
        <v>1.9800000000000002E-2</v>
      </c>
      <c r="N802" s="6">
        <v>9.9000000000000005E-2</v>
      </c>
      <c r="O802" s="6">
        <v>1.9800000000000002E-2</v>
      </c>
      <c r="P802" s="6">
        <v>1</v>
      </c>
      <c r="Q802" s="4" t="s">
        <v>26</v>
      </c>
      <c r="R802" s="4">
        <v>0</v>
      </c>
      <c r="S802" s="6">
        <v>0</v>
      </c>
      <c r="T802" s="6">
        <v>34</v>
      </c>
      <c r="U802" s="6">
        <v>75</v>
      </c>
      <c r="V802" s="6">
        <f>IF(ISERROR(VLOOKUP($S$802,'TAR FIN'!$A$1:$O$113,15,0)),0,VLOOKUP($S$802,'TAR FIN'!$A$1:$O$113,15,0))</f>
        <v>0</v>
      </c>
      <c r="W802" s="6">
        <f>IF(ISERROR(VLOOKUP($T$802,'TAR FIN'!$A$1:$O$113,15,0)),0,VLOOKUP($T$802,'TAR FIN'!$A$1:$O$113,15,0))</f>
        <v>135.52000000000001</v>
      </c>
      <c r="X802" s="6">
        <f>IF(ISERROR(VLOOKUP($U$802,'TAR FIN'!$A$1:$O$113,15,0)),0,VLOOKUP($U$802,'TAR FIN'!$A$1:$O$113,15,0))</f>
        <v>175.41</v>
      </c>
      <c r="Y802" s="6"/>
      <c r="Z802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802" s="6">
        <f>('TE BE'!$AB$20+'TE BF'!$AB$20+'TE CVA'!$AB$20)*(1-CUSTOS!$M$35)</f>
        <v>188.87110693784712</v>
      </c>
      <c r="AB802" s="6">
        <f>$K$802*$V$802</f>
        <v>0</v>
      </c>
      <c r="AC802" s="6">
        <f>$M$802*$W$802</f>
        <v>2.6832960000000003</v>
      </c>
      <c r="AD802" s="6">
        <f>$O$802*$X$802</f>
        <v>3.4731180000000004</v>
      </c>
      <c r="AE802" s="6">
        <f>$K$802*$Y$802</f>
        <v>0</v>
      </c>
      <c r="AF802" s="6">
        <f ca="1">$M$802*$Z$802</f>
        <v>3.0882452101386741</v>
      </c>
      <c r="AG802" s="6">
        <f>$O$802*$AA$802</f>
        <v>3.7396479173693731</v>
      </c>
    </row>
    <row r="803" spans="1:33" ht="11.25" customHeight="1" x14ac:dyDescent="0.3">
      <c r="A803" s="4" t="s">
        <v>21</v>
      </c>
      <c r="B803" s="4" t="s">
        <v>22</v>
      </c>
      <c r="C803" s="4" t="s">
        <v>23</v>
      </c>
      <c r="D803" s="4" t="s">
        <v>24</v>
      </c>
      <c r="E803" s="4" t="s">
        <v>30</v>
      </c>
      <c r="F803" s="4" t="s">
        <v>25</v>
      </c>
      <c r="G803" s="4" t="s">
        <v>25</v>
      </c>
      <c r="H803" s="4" t="s">
        <v>25</v>
      </c>
      <c r="I803" s="5">
        <v>44621</v>
      </c>
      <c r="J803" s="6">
        <v>0</v>
      </c>
      <c r="K803" s="6">
        <v>0</v>
      </c>
      <c r="L803" s="6">
        <v>380.16800000000001</v>
      </c>
      <c r="M803" s="6">
        <v>380.16800000000001</v>
      </c>
      <c r="N803" s="6">
        <v>380.16800000000001</v>
      </c>
      <c r="O803" s="6">
        <v>380.16800000000001</v>
      </c>
      <c r="P803" s="6">
        <v>1716</v>
      </c>
      <c r="Q803" s="4" t="s">
        <v>26</v>
      </c>
      <c r="R803" s="4">
        <v>0</v>
      </c>
      <c r="S803" s="6">
        <v>0</v>
      </c>
      <c r="T803" s="6">
        <v>34</v>
      </c>
      <c r="U803" s="6">
        <v>75</v>
      </c>
      <c r="V803" s="6">
        <f>IF(ISERROR(VLOOKUP($S$803,'TAR FIN'!$A$1:$O$113,15,0)),0,VLOOKUP($S$803,'TAR FIN'!$A$1:$O$113,15,0))</f>
        <v>0</v>
      </c>
      <c r="W803" s="6">
        <f>IF(ISERROR(VLOOKUP($T$803,'TAR FIN'!$A$1:$O$113,15,0)),0,VLOOKUP($T$803,'TAR FIN'!$A$1:$O$113,15,0))</f>
        <v>135.52000000000001</v>
      </c>
      <c r="X803" s="6">
        <f>IF(ISERROR(VLOOKUP($U$803,'TAR FIN'!$A$1:$O$113,15,0)),0,VLOOKUP($U$803,'TAR FIN'!$A$1:$O$113,15,0))</f>
        <v>175.41</v>
      </c>
      <c r="Y803" s="6"/>
      <c r="Z803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803" s="6">
        <f>('TE BE'!$AB$20+'TE BF'!$AB$20+'TE CVA'!$AB$20)*(1-CUSTOS!$M$35)</f>
        <v>188.87110693784712</v>
      </c>
      <c r="AB803" s="6">
        <f>$K$803*$V$803</f>
        <v>0</v>
      </c>
      <c r="AC803" s="6">
        <f>$M$803*$W$803</f>
        <v>51520.367360000004</v>
      </c>
      <c r="AD803" s="6">
        <f>$O$803*$X$803</f>
        <v>66685.268880000003</v>
      </c>
      <c r="AE803" s="6">
        <f>$K$803*$Y$803</f>
        <v>0</v>
      </c>
      <c r="AF803" s="6">
        <f ca="1">$M$803*$Z$803</f>
        <v>59295.555810505022</v>
      </c>
      <c r="AG803" s="6">
        <f>$O$803*$AA$803</f>
        <v>71802.750982347468</v>
      </c>
    </row>
    <row r="804" spans="1:33" ht="11.25" customHeight="1" x14ac:dyDescent="0.3">
      <c r="A804" s="4" t="s">
        <v>27</v>
      </c>
      <c r="B804" s="4" t="s">
        <v>22</v>
      </c>
      <c r="C804" s="4" t="s">
        <v>23</v>
      </c>
      <c r="D804" s="4" t="s">
        <v>24</v>
      </c>
      <c r="E804" s="4" t="s">
        <v>30</v>
      </c>
      <c r="F804" s="4" t="s">
        <v>25</v>
      </c>
      <c r="G804" s="4" t="s">
        <v>25</v>
      </c>
      <c r="H804" s="4" t="s">
        <v>25</v>
      </c>
      <c r="I804" s="5">
        <v>44621</v>
      </c>
      <c r="J804" s="6">
        <v>0</v>
      </c>
      <c r="K804" s="6">
        <v>0</v>
      </c>
      <c r="L804" s="6">
        <v>-6.0999999999999999E-2</v>
      </c>
      <c r="M804" s="6">
        <v>-6.0999999999999999E-2</v>
      </c>
      <c r="N804" s="6">
        <v>-6.0999999999999999E-2</v>
      </c>
      <c r="O804" s="6">
        <v>-6.0999999999999999E-2</v>
      </c>
      <c r="P804" s="6">
        <v>0</v>
      </c>
      <c r="Q804" s="4" t="s">
        <v>26</v>
      </c>
      <c r="R804" s="4">
        <v>0</v>
      </c>
      <c r="S804" s="6">
        <v>0</v>
      </c>
      <c r="T804" s="6">
        <v>34</v>
      </c>
      <c r="U804" s="6">
        <v>75</v>
      </c>
      <c r="V804" s="6">
        <f>IF(ISERROR(VLOOKUP($S$804,'TAR FIN'!$A$1:$O$113,15,0)),0,VLOOKUP($S$804,'TAR FIN'!$A$1:$O$113,15,0))</f>
        <v>0</v>
      </c>
      <c r="W804" s="6">
        <f>IF(ISERROR(VLOOKUP($T$804,'TAR FIN'!$A$1:$O$113,15,0)),0,VLOOKUP($T$804,'TAR FIN'!$A$1:$O$113,15,0))</f>
        <v>135.52000000000001</v>
      </c>
      <c r="X804" s="6">
        <f>IF(ISERROR(VLOOKUP($U$804,'TAR FIN'!$A$1:$O$113,15,0)),0,VLOOKUP($U$804,'TAR FIN'!$A$1:$O$113,15,0))</f>
        <v>175.41</v>
      </c>
      <c r="Y804" s="6"/>
      <c r="Z804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804" s="6">
        <f>('TE BE'!$AB$20+'TE BF'!$AB$20+'TE CVA'!$AB$20)*(1-CUSTOS!$M$35)</f>
        <v>188.87110693784712</v>
      </c>
      <c r="AB804" s="6">
        <f>$K$804*$V$804</f>
        <v>0</v>
      </c>
      <c r="AC804" s="6">
        <f>$M$804*$W$804</f>
        <v>-8.2667200000000012</v>
      </c>
      <c r="AD804" s="6">
        <f>$O$804*$X$804</f>
        <v>-10.700009999999999</v>
      </c>
      <c r="AE804" s="6">
        <f>$K$804*$Y$804</f>
        <v>0</v>
      </c>
      <c r="AF804" s="6">
        <f ca="1">$M$804*$Z$804</f>
        <v>-9.5142907989120769</v>
      </c>
      <c r="AG804" s="6">
        <f>$O$804*$AA$804</f>
        <v>-11.521137523208674</v>
      </c>
    </row>
    <row r="805" spans="1:33" ht="11.25" customHeight="1" x14ac:dyDescent="0.3">
      <c r="A805" s="4" t="s">
        <v>28</v>
      </c>
      <c r="B805" s="4" t="s">
        <v>22</v>
      </c>
      <c r="C805" s="4" t="s">
        <v>23</v>
      </c>
      <c r="D805" s="4" t="s">
        <v>24</v>
      </c>
      <c r="E805" s="4" t="s">
        <v>30</v>
      </c>
      <c r="F805" s="4" t="s">
        <v>25</v>
      </c>
      <c r="G805" s="4" t="s">
        <v>25</v>
      </c>
      <c r="H805" s="4" t="s">
        <v>25</v>
      </c>
      <c r="I805" s="5">
        <v>44621</v>
      </c>
      <c r="J805" s="6">
        <v>0</v>
      </c>
      <c r="K805" s="6">
        <v>0</v>
      </c>
      <c r="L805" s="6">
        <v>9.8000000000000004E-2</v>
      </c>
      <c r="M805" s="6">
        <v>1.9599999999999999E-2</v>
      </c>
      <c r="N805" s="6">
        <v>9.8000000000000004E-2</v>
      </c>
      <c r="O805" s="6">
        <v>1.9599999999999999E-2</v>
      </c>
      <c r="P805" s="6">
        <v>1</v>
      </c>
      <c r="Q805" s="4" t="s">
        <v>26</v>
      </c>
      <c r="R805" s="4">
        <v>0</v>
      </c>
      <c r="S805" s="6">
        <v>0</v>
      </c>
      <c r="T805" s="6">
        <v>34</v>
      </c>
      <c r="U805" s="6">
        <v>75</v>
      </c>
      <c r="V805" s="6">
        <f>IF(ISERROR(VLOOKUP($S$805,'TAR FIN'!$A$1:$O$113,15,0)),0,VLOOKUP($S$805,'TAR FIN'!$A$1:$O$113,15,0))</f>
        <v>0</v>
      </c>
      <c r="W805" s="6">
        <f>IF(ISERROR(VLOOKUP($T$805,'TAR FIN'!$A$1:$O$113,15,0)),0,VLOOKUP($T$805,'TAR FIN'!$A$1:$O$113,15,0))</f>
        <v>135.52000000000001</v>
      </c>
      <c r="X805" s="6">
        <f>IF(ISERROR(VLOOKUP($U$805,'TAR FIN'!$A$1:$O$113,15,0)),0,VLOOKUP($U$805,'TAR FIN'!$A$1:$O$113,15,0))</f>
        <v>175.41</v>
      </c>
      <c r="Y805" s="6"/>
      <c r="Z805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805" s="6">
        <f>('TE BE'!$AB$20+'TE BF'!$AB$20+'TE CVA'!$AB$20)*(1-CUSTOS!$M$35)</f>
        <v>188.87110693784712</v>
      </c>
      <c r="AB805" s="6">
        <f>$K$805*$V$805</f>
        <v>0</v>
      </c>
      <c r="AC805" s="6">
        <f>$M$805*$W$805</f>
        <v>2.6561920000000003</v>
      </c>
      <c r="AD805" s="6">
        <f>$O$805*$X$805</f>
        <v>3.4380359999999999</v>
      </c>
      <c r="AE805" s="6">
        <f>$K$805*$Y$805</f>
        <v>0</v>
      </c>
      <c r="AF805" s="6">
        <f ca="1">$M$805*$Z$805</f>
        <v>3.0570508140766672</v>
      </c>
      <c r="AG805" s="6">
        <f>$O$805*$AA$805</f>
        <v>3.7018736959818033</v>
      </c>
    </row>
    <row r="806" spans="1:33" ht="11.25" customHeight="1" x14ac:dyDescent="0.3">
      <c r="A806" s="4" t="s">
        <v>21</v>
      </c>
      <c r="B806" s="4" t="s">
        <v>22</v>
      </c>
      <c r="C806" s="4" t="s">
        <v>23</v>
      </c>
      <c r="D806" s="4" t="s">
        <v>24</v>
      </c>
      <c r="E806" s="4" t="s">
        <v>30</v>
      </c>
      <c r="F806" s="4" t="s">
        <v>25</v>
      </c>
      <c r="G806" s="4" t="s">
        <v>25</v>
      </c>
      <c r="H806" s="4" t="s">
        <v>25</v>
      </c>
      <c r="I806" s="5">
        <v>44652</v>
      </c>
      <c r="J806" s="6">
        <v>0</v>
      </c>
      <c r="K806" s="6">
        <v>0</v>
      </c>
      <c r="L806" s="6">
        <v>379.97199999999998</v>
      </c>
      <c r="M806" s="6">
        <v>379.97199999999998</v>
      </c>
      <c r="N806" s="6">
        <v>379.97199999999998</v>
      </c>
      <c r="O806" s="6">
        <v>379.97199999999998</v>
      </c>
      <c r="P806" s="6">
        <v>1776</v>
      </c>
      <c r="Q806" s="4" t="s">
        <v>26</v>
      </c>
      <c r="R806" s="4">
        <v>0</v>
      </c>
      <c r="S806" s="6">
        <v>0</v>
      </c>
      <c r="T806" s="6">
        <v>34</v>
      </c>
      <c r="U806" s="6">
        <v>75</v>
      </c>
      <c r="V806" s="6">
        <f>IF(ISERROR(VLOOKUP($S$806,'TAR FIN'!$A$1:$O$113,15,0)),0,VLOOKUP($S$806,'TAR FIN'!$A$1:$O$113,15,0))</f>
        <v>0</v>
      </c>
      <c r="W806" s="6">
        <f>IF(ISERROR(VLOOKUP($T$806,'TAR FIN'!$A$1:$O$113,15,0)),0,VLOOKUP($T$806,'TAR FIN'!$A$1:$O$113,15,0))</f>
        <v>135.52000000000001</v>
      </c>
      <c r="X806" s="6">
        <f>IF(ISERROR(VLOOKUP($U$806,'TAR FIN'!$A$1:$O$113,15,0)),0,VLOOKUP($U$806,'TAR FIN'!$A$1:$O$113,15,0))</f>
        <v>175.41</v>
      </c>
      <c r="Y806" s="6"/>
      <c r="Z806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806" s="6">
        <f>('TE BE'!$AB$20+'TE BF'!$AB$20+'TE CVA'!$AB$20)*(1-CUSTOS!$M$35)</f>
        <v>188.87110693784712</v>
      </c>
      <c r="AB806" s="6">
        <f>$K$806*$V$806</f>
        <v>0</v>
      </c>
      <c r="AC806" s="6">
        <f>$M$806*$W$806</f>
        <v>51493.805440000004</v>
      </c>
      <c r="AD806" s="6">
        <f>$O$806*$X$806</f>
        <v>66650.888519999993</v>
      </c>
      <c r="AE806" s="6">
        <f>$K$806*$Y$806</f>
        <v>0</v>
      </c>
      <c r="AF806" s="6">
        <f ca="1">$M$806*$Z$806</f>
        <v>59264.98530236425</v>
      </c>
      <c r="AG806" s="6">
        <f>$O$806*$AA$806</f>
        <v>71765.73224538764</v>
      </c>
    </row>
    <row r="807" spans="1:33" ht="11.25" customHeight="1" x14ac:dyDescent="0.3">
      <c r="A807" s="4" t="s">
        <v>27</v>
      </c>
      <c r="B807" s="4" t="s">
        <v>22</v>
      </c>
      <c r="C807" s="4" t="s">
        <v>23</v>
      </c>
      <c r="D807" s="4" t="s">
        <v>24</v>
      </c>
      <c r="E807" s="4" t="s">
        <v>30</v>
      </c>
      <c r="F807" s="4" t="s">
        <v>25</v>
      </c>
      <c r="G807" s="4" t="s">
        <v>25</v>
      </c>
      <c r="H807" s="4" t="s">
        <v>25</v>
      </c>
      <c r="I807" s="5">
        <v>44652</v>
      </c>
      <c r="J807" s="6">
        <v>0</v>
      </c>
      <c r="K807" s="6">
        <v>0</v>
      </c>
      <c r="L807" s="6">
        <v>0.11</v>
      </c>
      <c r="M807" s="6">
        <v>0.11</v>
      </c>
      <c r="N807" s="6">
        <v>0.11</v>
      </c>
      <c r="O807" s="6">
        <v>0.11</v>
      </c>
      <c r="P807" s="6">
        <v>0</v>
      </c>
      <c r="Q807" s="4" t="s">
        <v>26</v>
      </c>
      <c r="R807" s="4">
        <v>0</v>
      </c>
      <c r="S807" s="6">
        <v>0</v>
      </c>
      <c r="T807" s="6">
        <v>34</v>
      </c>
      <c r="U807" s="6">
        <v>75</v>
      </c>
      <c r="V807" s="6">
        <f>IF(ISERROR(VLOOKUP($S$807,'TAR FIN'!$A$1:$O$113,15,0)),0,VLOOKUP($S$807,'TAR FIN'!$A$1:$O$113,15,0))</f>
        <v>0</v>
      </c>
      <c r="W807" s="6">
        <f>IF(ISERROR(VLOOKUP($T$807,'TAR FIN'!$A$1:$O$113,15,0)),0,VLOOKUP($T$807,'TAR FIN'!$A$1:$O$113,15,0))</f>
        <v>135.52000000000001</v>
      </c>
      <c r="X807" s="6">
        <f>IF(ISERROR(VLOOKUP($U$807,'TAR FIN'!$A$1:$O$113,15,0)),0,VLOOKUP($U$807,'TAR FIN'!$A$1:$O$113,15,0))</f>
        <v>175.41</v>
      </c>
      <c r="Y807" s="6"/>
      <c r="Z807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807" s="6">
        <f>('TE BE'!$AB$20+'TE BF'!$AB$20+'TE CVA'!$AB$20)*(1-CUSTOS!$M$35)</f>
        <v>188.87110693784712</v>
      </c>
      <c r="AB807" s="6">
        <f>$K$807*$V$807</f>
        <v>0</v>
      </c>
      <c r="AC807" s="6">
        <f>$M$807*$W$807</f>
        <v>14.907200000000001</v>
      </c>
      <c r="AD807" s="6">
        <f>$O$807*$X$807</f>
        <v>19.295100000000001</v>
      </c>
      <c r="AE807" s="6">
        <f>$K$807*$Y$807</f>
        <v>0</v>
      </c>
      <c r="AF807" s="6">
        <f ca="1">$M$807*$Z$807</f>
        <v>17.156917834103744</v>
      </c>
      <c r="AG807" s="6">
        <f>$O$807*$AA$807</f>
        <v>20.775821763163183</v>
      </c>
    </row>
    <row r="808" spans="1:33" ht="11.25" customHeight="1" x14ac:dyDescent="0.3">
      <c r="A808" s="4" t="s">
        <v>28</v>
      </c>
      <c r="B808" s="4" t="s">
        <v>22</v>
      </c>
      <c r="C808" s="4" t="s">
        <v>23</v>
      </c>
      <c r="D808" s="4" t="s">
        <v>24</v>
      </c>
      <c r="E808" s="4" t="s">
        <v>30</v>
      </c>
      <c r="F808" s="4" t="s">
        <v>25</v>
      </c>
      <c r="G808" s="4" t="s">
        <v>25</v>
      </c>
      <c r="H808" s="4" t="s">
        <v>25</v>
      </c>
      <c r="I808" s="5">
        <v>44652</v>
      </c>
      <c r="J808" s="6">
        <v>0</v>
      </c>
      <c r="K808" s="6">
        <v>0</v>
      </c>
      <c r="L808" s="6">
        <v>6.2E-2</v>
      </c>
      <c r="M808" s="6">
        <v>1.24E-2</v>
      </c>
      <c r="N808" s="6">
        <v>6.2E-2</v>
      </c>
      <c r="O808" s="6">
        <v>1.24E-2</v>
      </c>
      <c r="P808" s="6">
        <v>0</v>
      </c>
      <c r="Q808" s="4" t="s">
        <v>26</v>
      </c>
      <c r="R808" s="4">
        <v>0</v>
      </c>
      <c r="S808" s="6">
        <v>0</v>
      </c>
      <c r="T808" s="6">
        <v>34</v>
      </c>
      <c r="U808" s="6">
        <v>75</v>
      </c>
      <c r="V808" s="6">
        <f>IF(ISERROR(VLOOKUP($S$808,'TAR FIN'!$A$1:$O$113,15,0)),0,VLOOKUP($S$808,'TAR FIN'!$A$1:$O$113,15,0))</f>
        <v>0</v>
      </c>
      <c r="W808" s="6">
        <f>IF(ISERROR(VLOOKUP($T$808,'TAR FIN'!$A$1:$O$113,15,0)),0,VLOOKUP($T$808,'TAR FIN'!$A$1:$O$113,15,0))</f>
        <v>135.52000000000001</v>
      </c>
      <c r="X808" s="6">
        <f>IF(ISERROR(VLOOKUP($U$808,'TAR FIN'!$A$1:$O$113,15,0)),0,VLOOKUP($U$808,'TAR FIN'!$A$1:$O$113,15,0))</f>
        <v>175.41</v>
      </c>
      <c r="Y808" s="6"/>
      <c r="Z808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808" s="6">
        <f>('TE BE'!$AB$20+'TE BF'!$AB$20+'TE CVA'!$AB$20)*(1-CUSTOS!$M$35)</f>
        <v>188.87110693784712</v>
      </c>
      <c r="AB808" s="6">
        <f>$K$808*$V$808</f>
        <v>0</v>
      </c>
      <c r="AC808" s="6">
        <f>$M$808*$W$808</f>
        <v>1.6804480000000002</v>
      </c>
      <c r="AD808" s="6">
        <f>$O$808*$X$808</f>
        <v>2.175084</v>
      </c>
      <c r="AE808" s="6">
        <f>$K$808*$Y$808</f>
        <v>0</v>
      </c>
      <c r="AF808" s="6">
        <f ca="1">$M$808*$Z$808</f>
        <v>1.9340525558444221</v>
      </c>
      <c r="AG808" s="6">
        <f>$O$808*$AA$808</f>
        <v>2.342001726029304</v>
      </c>
    </row>
    <row r="809" spans="1:33" ht="11.25" customHeight="1" x14ac:dyDescent="0.3">
      <c r="A809" s="4" t="s">
        <v>21</v>
      </c>
      <c r="B809" s="4" t="s">
        <v>22</v>
      </c>
      <c r="C809" s="4" t="s">
        <v>23</v>
      </c>
      <c r="D809" s="4" t="s">
        <v>24</v>
      </c>
      <c r="E809" s="4" t="s">
        <v>30</v>
      </c>
      <c r="F809" s="4" t="s">
        <v>25</v>
      </c>
      <c r="G809" s="4" t="s">
        <v>25</v>
      </c>
      <c r="H809" s="4" t="s">
        <v>25</v>
      </c>
      <c r="I809" s="5">
        <v>44682</v>
      </c>
      <c r="J809" s="6">
        <v>0</v>
      </c>
      <c r="K809" s="6">
        <v>0</v>
      </c>
      <c r="L809" s="6">
        <v>388.15800000000002</v>
      </c>
      <c r="M809" s="6">
        <v>388.15800000000002</v>
      </c>
      <c r="N809" s="6">
        <v>388.15800000000002</v>
      </c>
      <c r="O809" s="6">
        <v>388.15800000000002</v>
      </c>
      <c r="P809" s="6">
        <v>1811</v>
      </c>
      <c r="Q809" s="4" t="s">
        <v>26</v>
      </c>
      <c r="R809" s="4">
        <v>0</v>
      </c>
      <c r="S809" s="6">
        <v>0</v>
      </c>
      <c r="T809" s="6">
        <v>34</v>
      </c>
      <c r="U809" s="6">
        <v>75</v>
      </c>
      <c r="V809" s="6">
        <f>IF(ISERROR(VLOOKUP($S$809,'TAR FIN'!$A$1:$O$113,15,0)),0,VLOOKUP($S$809,'TAR FIN'!$A$1:$O$113,15,0))</f>
        <v>0</v>
      </c>
      <c r="W809" s="6">
        <f>IF(ISERROR(VLOOKUP($T$809,'TAR FIN'!$A$1:$O$113,15,0)),0,VLOOKUP($T$809,'TAR FIN'!$A$1:$O$113,15,0))</f>
        <v>135.52000000000001</v>
      </c>
      <c r="X809" s="6">
        <f>IF(ISERROR(VLOOKUP($U$809,'TAR FIN'!$A$1:$O$113,15,0)),0,VLOOKUP($U$809,'TAR FIN'!$A$1:$O$113,15,0))</f>
        <v>175.41</v>
      </c>
      <c r="Y809" s="6"/>
      <c r="Z809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809" s="6">
        <f>('TE BE'!$AB$20+'TE BF'!$AB$20+'TE CVA'!$AB$20)*(1-CUSTOS!$M$35)</f>
        <v>188.87110693784712</v>
      </c>
      <c r="AB809" s="6">
        <f>$K$809*$V$809</f>
        <v>0</v>
      </c>
      <c r="AC809" s="6">
        <f>$M$809*$W$809</f>
        <v>52603.172160000009</v>
      </c>
      <c r="AD809" s="6">
        <f>$O$809*$X$809</f>
        <v>68086.794779999997</v>
      </c>
      <c r="AE809" s="6">
        <f>$K$809*$Y$809</f>
        <v>0</v>
      </c>
      <c r="AF809" s="6">
        <f ca="1">$M$809*$Z$809</f>
        <v>60541.771933182194</v>
      </c>
      <c r="AG809" s="6">
        <f>$O$809*$AA$809</f>
        <v>73311.83112678086</v>
      </c>
    </row>
    <row r="810" spans="1:33" ht="11.25" customHeight="1" x14ac:dyDescent="0.3">
      <c r="A810" s="4" t="s">
        <v>28</v>
      </c>
      <c r="B810" s="4" t="s">
        <v>22</v>
      </c>
      <c r="C810" s="4" t="s">
        <v>23</v>
      </c>
      <c r="D810" s="4" t="s">
        <v>24</v>
      </c>
      <c r="E810" s="4" t="s">
        <v>30</v>
      </c>
      <c r="F810" s="4" t="s">
        <v>25</v>
      </c>
      <c r="G810" s="4" t="s">
        <v>25</v>
      </c>
      <c r="H810" s="4" t="s">
        <v>25</v>
      </c>
      <c r="I810" s="5">
        <v>44682</v>
      </c>
      <c r="J810" s="6">
        <v>0</v>
      </c>
      <c r="K810" s="6">
        <v>0</v>
      </c>
      <c r="L810" s="6">
        <v>2E-3</v>
      </c>
      <c r="M810" s="6">
        <v>4.0000000000000002E-4</v>
      </c>
      <c r="N810" s="6">
        <v>2E-3</v>
      </c>
      <c r="O810" s="6">
        <v>4.0000000000000002E-4</v>
      </c>
      <c r="P810" s="6">
        <v>1</v>
      </c>
      <c r="Q810" s="4" t="s">
        <v>26</v>
      </c>
      <c r="R810" s="4">
        <v>0</v>
      </c>
      <c r="S810" s="6">
        <v>0</v>
      </c>
      <c r="T810" s="6">
        <v>34</v>
      </c>
      <c r="U810" s="6">
        <v>75</v>
      </c>
      <c r="V810" s="6">
        <f>IF(ISERROR(VLOOKUP($S$810,'TAR FIN'!$A$1:$O$113,15,0)),0,VLOOKUP($S$810,'TAR FIN'!$A$1:$O$113,15,0))</f>
        <v>0</v>
      </c>
      <c r="W810" s="6">
        <f>IF(ISERROR(VLOOKUP($T$810,'TAR FIN'!$A$1:$O$113,15,0)),0,VLOOKUP($T$810,'TAR FIN'!$A$1:$O$113,15,0))</f>
        <v>135.52000000000001</v>
      </c>
      <c r="X810" s="6">
        <f>IF(ISERROR(VLOOKUP($U$810,'TAR FIN'!$A$1:$O$113,15,0)),0,VLOOKUP($U$810,'TAR FIN'!$A$1:$O$113,15,0))</f>
        <v>175.41</v>
      </c>
      <c r="Y810" s="6"/>
      <c r="Z810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810" s="6">
        <f>('TE BE'!$AB$20+'TE BF'!$AB$20+'TE CVA'!$AB$20)*(1-CUSTOS!$M$35)</f>
        <v>188.87110693784712</v>
      </c>
      <c r="AB810" s="6">
        <f>$K$810*$V$810</f>
        <v>0</v>
      </c>
      <c r="AC810" s="6">
        <f>$M$810*$W$810</f>
        <v>5.4208000000000006E-2</v>
      </c>
      <c r="AD810" s="6">
        <f>$O$810*$X$810</f>
        <v>7.0164000000000004E-2</v>
      </c>
      <c r="AE810" s="6">
        <f>$K$810*$Y$810</f>
        <v>0</v>
      </c>
      <c r="AF810" s="6">
        <f ca="1">$M$810*$Z$810</f>
        <v>6.2388792124013617E-2</v>
      </c>
      <c r="AG810" s="6">
        <f>$O$810*$AA$810</f>
        <v>7.5548442775138849E-2</v>
      </c>
    </row>
    <row r="811" spans="1:33" ht="11.25" customHeight="1" x14ac:dyDescent="0.3">
      <c r="A811" s="4" t="s">
        <v>21</v>
      </c>
      <c r="B811" s="4" t="s">
        <v>22</v>
      </c>
      <c r="C811" s="4" t="s">
        <v>23</v>
      </c>
      <c r="D811" s="4" t="s">
        <v>24</v>
      </c>
      <c r="E811" s="4" t="s">
        <v>30</v>
      </c>
      <c r="F811" s="4" t="s">
        <v>25</v>
      </c>
      <c r="G811" s="4" t="s">
        <v>25</v>
      </c>
      <c r="H811" s="4" t="s">
        <v>25</v>
      </c>
      <c r="I811" s="5">
        <v>44713</v>
      </c>
      <c r="J811" s="6">
        <v>0</v>
      </c>
      <c r="K811" s="6">
        <v>0</v>
      </c>
      <c r="L811" s="6">
        <v>367.43200000000002</v>
      </c>
      <c r="M811" s="6">
        <v>367.43200000000002</v>
      </c>
      <c r="N811" s="6">
        <v>367.43200000000002</v>
      </c>
      <c r="O811" s="6">
        <v>367.43200000000002</v>
      </c>
      <c r="P811" s="6">
        <v>1917</v>
      </c>
      <c r="Q811" s="4" t="s">
        <v>26</v>
      </c>
      <c r="R811" s="4">
        <v>0</v>
      </c>
      <c r="S811" s="6">
        <v>0</v>
      </c>
      <c r="T811" s="6">
        <v>34</v>
      </c>
      <c r="U811" s="6">
        <v>75</v>
      </c>
      <c r="V811" s="6">
        <f>IF(ISERROR(VLOOKUP($S$811,'TAR FIN'!$A$1:$O$113,15,0)),0,VLOOKUP($S$811,'TAR FIN'!$A$1:$O$113,15,0))</f>
        <v>0</v>
      </c>
      <c r="W811" s="6">
        <f>IF(ISERROR(VLOOKUP($T$811,'TAR FIN'!$A$1:$O$113,15,0)),0,VLOOKUP($T$811,'TAR FIN'!$A$1:$O$113,15,0))</f>
        <v>135.52000000000001</v>
      </c>
      <c r="X811" s="6">
        <f>IF(ISERROR(VLOOKUP($U$811,'TAR FIN'!$A$1:$O$113,15,0)),0,VLOOKUP($U$811,'TAR FIN'!$A$1:$O$113,15,0))</f>
        <v>175.41</v>
      </c>
      <c r="Y811" s="6"/>
      <c r="Z811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811" s="6">
        <f>('TE BE'!$AB$20+'TE BF'!$AB$20+'TE CVA'!$AB$20)*(1-CUSTOS!$M$35)</f>
        <v>188.87110693784712</v>
      </c>
      <c r="AB811" s="6">
        <f>$K$811*$V$811</f>
        <v>0</v>
      </c>
      <c r="AC811" s="6">
        <f>$M$811*$W$811</f>
        <v>49794.384640000004</v>
      </c>
      <c r="AD811" s="6">
        <f>$O$811*$X$811</f>
        <v>64451.24712</v>
      </c>
      <c r="AE811" s="6">
        <f>$K$811*$Y$811</f>
        <v>0</v>
      </c>
      <c r="AF811" s="6">
        <f ca="1">$M$811*$Z$811</f>
        <v>57309.096669276427</v>
      </c>
      <c r="AG811" s="6">
        <f>$O$811*$AA$811</f>
        <v>69397.28856438704</v>
      </c>
    </row>
    <row r="812" spans="1:33" ht="11.25" customHeight="1" x14ac:dyDescent="0.3">
      <c r="A812" s="4" t="s">
        <v>27</v>
      </c>
      <c r="B812" s="4" t="s">
        <v>22</v>
      </c>
      <c r="C812" s="4" t="s">
        <v>23</v>
      </c>
      <c r="D812" s="4" t="s">
        <v>24</v>
      </c>
      <c r="E812" s="4" t="s">
        <v>30</v>
      </c>
      <c r="F812" s="4" t="s">
        <v>25</v>
      </c>
      <c r="G812" s="4" t="s">
        <v>25</v>
      </c>
      <c r="H812" s="4" t="s">
        <v>25</v>
      </c>
      <c r="I812" s="5">
        <v>44713</v>
      </c>
      <c r="J812" s="6">
        <v>0</v>
      </c>
      <c r="K812" s="6">
        <v>0</v>
      </c>
      <c r="L812" s="6">
        <v>-5.0000000000000001E-3</v>
      </c>
      <c r="M812" s="6">
        <v>-5.0000000000000001E-3</v>
      </c>
      <c r="N812" s="6">
        <v>-5.0000000000000001E-3</v>
      </c>
      <c r="O812" s="6">
        <v>-5.0000000000000001E-3</v>
      </c>
      <c r="P812" s="6">
        <v>0</v>
      </c>
      <c r="Q812" s="4" t="s">
        <v>26</v>
      </c>
      <c r="R812" s="4">
        <v>0</v>
      </c>
      <c r="S812" s="6">
        <v>0</v>
      </c>
      <c r="T812" s="6">
        <v>34</v>
      </c>
      <c r="U812" s="6">
        <v>75</v>
      </c>
      <c r="V812" s="6">
        <f>IF(ISERROR(VLOOKUP($S$812,'TAR FIN'!$A$1:$O$113,15,0)),0,VLOOKUP($S$812,'TAR FIN'!$A$1:$O$113,15,0))</f>
        <v>0</v>
      </c>
      <c r="W812" s="6">
        <f>IF(ISERROR(VLOOKUP($T$812,'TAR FIN'!$A$1:$O$113,15,0)),0,VLOOKUP($T$812,'TAR FIN'!$A$1:$O$113,15,0))</f>
        <v>135.52000000000001</v>
      </c>
      <c r="X812" s="6">
        <f>IF(ISERROR(VLOOKUP($U$812,'TAR FIN'!$A$1:$O$113,15,0)),0,VLOOKUP($U$812,'TAR FIN'!$A$1:$O$113,15,0))</f>
        <v>175.41</v>
      </c>
      <c r="Y812" s="6"/>
      <c r="Z812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812" s="6">
        <f>('TE BE'!$AB$20+'TE BF'!$AB$20+'TE CVA'!$AB$20)*(1-CUSTOS!$M$35)</f>
        <v>188.87110693784712</v>
      </c>
      <c r="AB812" s="6">
        <f>$K$812*$V$812</f>
        <v>0</v>
      </c>
      <c r="AC812" s="6">
        <f>$M$812*$W$812</f>
        <v>-0.67760000000000009</v>
      </c>
      <c r="AD812" s="6">
        <f>$O$812*$X$812</f>
        <v>-0.87705</v>
      </c>
      <c r="AE812" s="6">
        <f>$K$812*$Y$812</f>
        <v>0</v>
      </c>
      <c r="AF812" s="6">
        <f ca="1">$M$812*$Z$812</f>
        <v>-0.77985990155017026</v>
      </c>
      <c r="AG812" s="6">
        <f>$O$812*$AA$812</f>
        <v>-0.94435553468923561</v>
      </c>
    </row>
    <row r="813" spans="1:33" ht="11.25" customHeight="1" x14ac:dyDescent="0.3">
      <c r="A813" s="4" t="s">
        <v>21</v>
      </c>
      <c r="B813" s="4" t="s">
        <v>22</v>
      </c>
      <c r="C813" s="4" t="s">
        <v>23</v>
      </c>
      <c r="D813" s="4" t="s">
        <v>24</v>
      </c>
      <c r="E813" s="4" t="s">
        <v>30</v>
      </c>
      <c r="F813" s="4" t="s">
        <v>25</v>
      </c>
      <c r="G813" s="4" t="s">
        <v>25</v>
      </c>
      <c r="H813" s="4" t="s">
        <v>25</v>
      </c>
      <c r="I813" s="5">
        <v>44743</v>
      </c>
      <c r="J813" s="6">
        <v>0</v>
      </c>
      <c r="K813" s="6">
        <v>0</v>
      </c>
      <c r="L813" s="6">
        <v>347.49299999999999</v>
      </c>
      <c r="M813" s="6">
        <v>347.49299999999999</v>
      </c>
      <c r="N813" s="6">
        <v>347.49299999999999</v>
      </c>
      <c r="O813" s="6">
        <v>347.49299999999999</v>
      </c>
      <c r="P813" s="6">
        <v>1797</v>
      </c>
      <c r="Q813" s="4" t="s">
        <v>26</v>
      </c>
      <c r="R813" s="4">
        <v>0</v>
      </c>
      <c r="S813" s="6">
        <v>0</v>
      </c>
      <c r="T813" s="6">
        <v>34</v>
      </c>
      <c r="U813" s="6">
        <v>75</v>
      </c>
      <c r="V813" s="6">
        <f>IF(ISERROR(VLOOKUP($S$813,'TAR FIN'!$A$1:$O$113,15,0)),0,VLOOKUP($S$813,'TAR FIN'!$A$1:$O$113,15,0))</f>
        <v>0</v>
      </c>
      <c r="W813" s="6">
        <f>IF(ISERROR(VLOOKUP($T$813,'TAR FIN'!$A$1:$O$113,15,0)),0,VLOOKUP($T$813,'TAR FIN'!$A$1:$O$113,15,0))</f>
        <v>135.52000000000001</v>
      </c>
      <c r="X813" s="6">
        <f>IF(ISERROR(VLOOKUP($U$813,'TAR FIN'!$A$1:$O$113,15,0)),0,VLOOKUP($U$813,'TAR FIN'!$A$1:$O$113,15,0))</f>
        <v>175.41</v>
      </c>
      <c r="Y813" s="6"/>
      <c r="Z813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813" s="6">
        <f>('TE BE'!$AB$20+'TE BF'!$AB$20+'TE CVA'!$AB$20)*(1-CUSTOS!$M$35)</f>
        <v>188.87110693784712</v>
      </c>
      <c r="AB813" s="6">
        <f>$K$813*$V$813</f>
        <v>0</v>
      </c>
      <c r="AC813" s="6">
        <f>$M$813*$W$813</f>
        <v>47092.251360000002</v>
      </c>
      <c r="AD813" s="6">
        <f>$O$813*$X$813</f>
        <v>60953.747129999996</v>
      </c>
      <c r="AE813" s="6">
        <f>$K$813*$Y$813</f>
        <v>0</v>
      </c>
      <c r="AF813" s="6">
        <f ca="1">$M$813*$Z$813</f>
        <v>54199.171353874655</v>
      </c>
      <c r="AG813" s="6">
        <f>$O$813*$AA$813</f>
        <v>65631.387563153301</v>
      </c>
    </row>
    <row r="814" spans="1:33" ht="11.25" customHeight="1" x14ac:dyDescent="0.3">
      <c r="A814" s="4" t="s">
        <v>21</v>
      </c>
      <c r="B814" s="4" t="s">
        <v>22</v>
      </c>
      <c r="C814" s="4" t="s">
        <v>23</v>
      </c>
      <c r="D814" s="4" t="s">
        <v>24</v>
      </c>
      <c r="E814" s="4" t="s">
        <v>30</v>
      </c>
      <c r="F814" s="4" t="s">
        <v>25</v>
      </c>
      <c r="G814" s="4" t="s">
        <v>25</v>
      </c>
      <c r="H814" s="4" t="s">
        <v>25</v>
      </c>
      <c r="I814" s="5">
        <v>44774</v>
      </c>
      <c r="J814" s="6">
        <v>0</v>
      </c>
      <c r="K814" s="6">
        <v>0</v>
      </c>
      <c r="L814" s="6">
        <v>358.733</v>
      </c>
      <c r="M814" s="6">
        <v>358.733</v>
      </c>
      <c r="N814" s="6">
        <v>358.733</v>
      </c>
      <c r="O814" s="6">
        <v>358.733</v>
      </c>
      <c r="P814" s="6">
        <v>1872</v>
      </c>
      <c r="Q814" s="4" t="s">
        <v>26</v>
      </c>
      <c r="R814" s="4">
        <v>0</v>
      </c>
      <c r="S814" s="6">
        <v>0</v>
      </c>
      <c r="T814" s="6">
        <v>34</v>
      </c>
      <c r="U814" s="6">
        <v>75</v>
      </c>
      <c r="V814" s="6">
        <f>IF(ISERROR(VLOOKUP($S$814,'TAR FIN'!$A$1:$O$113,15,0)),0,VLOOKUP($S$814,'TAR FIN'!$A$1:$O$113,15,0))</f>
        <v>0</v>
      </c>
      <c r="W814" s="6">
        <f>IF(ISERROR(VLOOKUP($T$814,'TAR FIN'!$A$1:$O$113,15,0)),0,VLOOKUP($T$814,'TAR FIN'!$A$1:$O$113,15,0))</f>
        <v>135.52000000000001</v>
      </c>
      <c r="X814" s="6">
        <f>IF(ISERROR(VLOOKUP($U$814,'TAR FIN'!$A$1:$O$113,15,0)),0,VLOOKUP($U$814,'TAR FIN'!$A$1:$O$113,15,0))</f>
        <v>175.41</v>
      </c>
      <c r="Y814" s="6"/>
      <c r="Z814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814" s="6">
        <f>('TE BE'!$AB$20+'TE BF'!$AB$20+'TE CVA'!$AB$20)*(1-CUSTOS!$M$35)</f>
        <v>188.87110693784712</v>
      </c>
      <c r="AB814" s="6">
        <f>$K$814*$V$814</f>
        <v>0</v>
      </c>
      <c r="AC814" s="6">
        <f>$M$814*$W$814</f>
        <v>48615.496160000002</v>
      </c>
      <c r="AD814" s="6">
        <f>$O$814*$X$814</f>
        <v>62925.355530000001</v>
      </c>
      <c r="AE814" s="6">
        <f>$K$814*$Y$814</f>
        <v>0</v>
      </c>
      <c r="AF814" s="6">
        <f ca="1">$M$814*$Z$814</f>
        <v>55952.296412559444</v>
      </c>
      <c r="AG814" s="6">
        <f>$O$814*$AA$814</f>
        <v>67754.298805134706</v>
      </c>
    </row>
    <row r="815" spans="1:33" ht="11.25" customHeight="1" x14ac:dyDescent="0.3">
      <c r="A815" s="4" t="s">
        <v>27</v>
      </c>
      <c r="B815" s="4" t="s">
        <v>22</v>
      </c>
      <c r="C815" s="4" t="s">
        <v>23</v>
      </c>
      <c r="D815" s="4" t="s">
        <v>24</v>
      </c>
      <c r="E815" s="4" t="s">
        <v>30</v>
      </c>
      <c r="F815" s="4" t="s">
        <v>25</v>
      </c>
      <c r="G815" s="4" t="s">
        <v>25</v>
      </c>
      <c r="H815" s="4" t="s">
        <v>25</v>
      </c>
      <c r="I815" s="5">
        <v>44774</v>
      </c>
      <c r="J815" s="6">
        <v>0</v>
      </c>
      <c r="K815" s="6">
        <v>0</v>
      </c>
      <c r="L815" s="6">
        <v>-1.0999999999999999E-2</v>
      </c>
      <c r="M815" s="6">
        <v>-1.0999999999999999E-2</v>
      </c>
      <c r="N815" s="6">
        <v>-1.0999999999999999E-2</v>
      </c>
      <c r="O815" s="6">
        <v>-1.0999999999999999E-2</v>
      </c>
      <c r="P815" s="6">
        <v>0</v>
      </c>
      <c r="Q815" s="4" t="s">
        <v>26</v>
      </c>
      <c r="R815" s="4">
        <v>0</v>
      </c>
      <c r="S815" s="6">
        <v>0</v>
      </c>
      <c r="T815" s="6">
        <v>34</v>
      </c>
      <c r="U815" s="6">
        <v>75</v>
      </c>
      <c r="V815" s="6">
        <f>IF(ISERROR(VLOOKUP($S$815,'TAR FIN'!$A$1:$O$113,15,0)),0,VLOOKUP($S$815,'TAR FIN'!$A$1:$O$113,15,0))</f>
        <v>0</v>
      </c>
      <c r="W815" s="6">
        <f>IF(ISERROR(VLOOKUP($T$815,'TAR FIN'!$A$1:$O$113,15,0)),0,VLOOKUP($T$815,'TAR FIN'!$A$1:$O$113,15,0))</f>
        <v>135.52000000000001</v>
      </c>
      <c r="X815" s="6">
        <f>IF(ISERROR(VLOOKUP($U$815,'TAR FIN'!$A$1:$O$113,15,0)),0,VLOOKUP($U$815,'TAR FIN'!$A$1:$O$113,15,0))</f>
        <v>175.41</v>
      </c>
      <c r="Y815" s="6"/>
      <c r="Z815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815" s="6">
        <f>('TE BE'!$AB$20+'TE BF'!$AB$20+'TE CVA'!$AB$20)*(1-CUSTOS!$M$35)</f>
        <v>188.87110693784712</v>
      </c>
      <c r="AB815" s="6">
        <f>$K$815*$V$815</f>
        <v>0</v>
      </c>
      <c r="AC815" s="6">
        <f>$M$815*$W$815</f>
        <v>-1.49072</v>
      </c>
      <c r="AD815" s="6">
        <f>$O$815*$X$815</f>
        <v>-1.9295099999999998</v>
      </c>
      <c r="AE815" s="6">
        <f>$K$815*$Y$815</f>
        <v>0</v>
      </c>
      <c r="AF815" s="6">
        <f ca="1">$M$815*$Z$815</f>
        <v>-1.7156917834103744</v>
      </c>
      <c r="AG815" s="6">
        <f>$O$815*$AA$815</f>
        <v>-2.077582176316318</v>
      </c>
    </row>
    <row r="816" spans="1:33" ht="11.25" customHeight="1" x14ac:dyDescent="0.3">
      <c r="A816" s="4" t="s">
        <v>21</v>
      </c>
      <c r="B816" s="4" t="s">
        <v>22</v>
      </c>
      <c r="C816" s="4" t="s">
        <v>23</v>
      </c>
      <c r="D816" s="4" t="s">
        <v>24</v>
      </c>
      <c r="E816" s="4" t="s">
        <v>30</v>
      </c>
      <c r="F816" s="4" t="s">
        <v>25</v>
      </c>
      <c r="G816" s="4" t="s">
        <v>25</v>
      </c>
      <c r="H816" s="4" t="s">
        <v>25</v>
      </c>
      <c r="I816" s="5">
        <v>44805</v>
      </c>
      <c r="J816" s="6">
        <v>0</v>
      </c>
      <c r="K816" s="6">
        <v>0</v>
      </c>
      <c r="L816" s="6">
        <v>370.30599999999998</v>
      </c>
      <c r="M816" s="6">
        <v>370.30599999999998</v>
      </c>
      <c r="N816" s="6">
        <v>370.30599999999998</v>
      </c>
      <c r="O816" s="6">
        <v>370.30599999999998</v>
      </c>
      <c r="P816" s="6">
        <v>1559</v>
      </c>
      <c r="Q816" s="4" t="s">
        <v>26</v>
      </c>
      <c r="R816" s="4">
        <v>0</v>
      </c>
      <c r="S816" s="6">
        <v>0</v>
      </c>
      <c r="T816" s="6">
        <v>34</v>
      </c>
      <c r="U816" s="6">
        <v>75</v>
      </c>
      <c r="V816" s="6">
        <f>IF(ISERROR(VLOOKUP($S$816,'TAR FIN'!$A$1:$O$113,15,0)),0,VLOOKUP($S$816,'TAR FIN'!$A$1:$O$113,15,0))</f>
        <v>0</v>
      </c>
      <c r="W816" s="6">
        <f>IF(ISERROR(VLOOKUP($T$816,'TAR FIN'!$A$1:$O$113,15,0)),0,VLOOKUP($T$816,'TAR FIN'!$A$1:$O$113,15,0))</f>
        <v>135.52000000000001</v>
      </c>
      <c r="X816" s="6">
        <f>IF(ISERROR(VLOOKUP($U$816,'TAR FIN'!$A$1:$O$113,15,0)),0,VLOOKUP($U$816,'TAR FIN'!$A$1:$O$113,15,0))</f>
        <v>175.41</v>
      </c>
      <c r="Y816" s="6"/>
      <c r="Z816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816" s="6">
        <f>('TE BE'!$AB$20+'TE BF'!$AB$20+'TE CVA'!$AB$20)*(1-CUSTOS!$M$35)</f>
        <v>188.87110693784712</v>
      </c>
      <c r="AB816" s="6">
        <f>$K$816*$V$816</f>
        <v>0</v>
      </c>
      <c r="AC816" s="6">
        <f>$M$816*$W$816</f>
        <v>50183.869120000003</v>
      </c>
      <c r="AD816" s="6">
        <f>$O$816*$X$816</f>
        <v>64955.375459999996</v>
      </c>
      <c r="AE816" s="6">
        <f>$K$816*$Y$816</f>
        <v>0</v>
      </c>
      <c r="AF816" s="6">
        <f ca="1">$M$816*$Z$816</f>
        <v>57757.360140687466</v>
      </c>
      <c r="AG816" s="6">
        <f>$O$816*$AA$816</f>
        <v>69940.104125726415</v>
      </c>
    </row>
    <row r="817" spans="1:33" ht="11.25" customHeight="1" x14ac:dyDescent="0.3">
      <c r="A817" s="4" t="s">
        <v>27</v>
      </c>
      <c r="B817" s="4" t="s">
        <v>22</v>
      </c>
      <c r="C817" s="4" t="s">
        <v>23</v>
      </c>
      <c r="D817" s="4" t="s">
        <v>24</v>
      </c>
      <c r="E817" s="4" t="s">
        <v>30</v>
      </c>
      <c r="F817" s="4" t="s">
        <v>25</v>
      </c>
      <c r="G817" s="4" t="s">
        <v>25</v>
      </c>
      <c r="H817" s="4" t="s">
        <v>25</v>
      </c>
      <c r="I817" s="5">
        <v>44805</v>
      </c>
      <c r="J817" s="6">
        <v>0</v>
      </c>
      <c r="K817" s="6">
        <v>0</v>
      </c>
      <c r="L817" s="6">
        <v>-0.13500000000000001</v>
      </c>
      <c r="M817" s="6">
        <v>-0.13500000000000001</v>
      </c>
      <c r="N817" s="6">
        <v>-0.13500000000000001</v>
      </c>
      <c r="O817" s="6">
        <v>-0.13500000000000001</v>
      </c>
      <c r="P817" s="6">
        <v>0</v>
      </c>
      <c r="Q817" s="4" t="s">
        <v>26</v>
      </c>
      <c r="R817" s="4">
        <v>0</v>
      </c>
      <c r="S817" s="6">
        <v>0</v>
      </c>
      <c r="T817" s="6">
        <v>34</v>
      </c>
      <c r="U817" s="6">
        <v>75</v>
      </c>
      <c r="V817" s="6">
        <f>IF(ISERROR(VLOOKUP($S$817,'TAR FIN'!$A$1:$O$113,15,0)),0,VLOOKUP($S$817,'TAR FIN'!$A$1:$O$113,15,0))</f>
        <v>0</v>
      </c>
      <c r="W817" s="6">
        <f>IF(ISERROR(VLOOKUP($T$817,'TAR FIN'!$A$1:$O$113,15,0)),0,VLOOKUP($T$817,'TAR FIN'!$A$1:$O$113,15,0))</f>
        <v>135.52000000000001</v>
      </c>
      <c r="X817" s="6">
        <f>IF(ISERROR(VLOOKUP($U$817,'TAR FIN'!$A$1:$O$113,15,0)),0,VLOOKUP($U$817,'TAR FIN'!$A$1:$O$113,15,0))</f>
        <v>175.41</v>
      </c>
      <c r="Y817" s="6"/>
      <c r="Z817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817" s="6">
        <f>('TE BE'!$AB$20+'TE BF'!$AB$20+'TE CVA'!$AB$20)*(1-CUSTOS!$M$35)</f>
        <v>188.87110693784712</v>
      </c>
      <c r="AB817" s="6">
        <f>$K$817*$V$817</f>
        <v>0</v>
      </c>
      <c r="AC817" s="6">
        <f>$M$817*$W$817</f>
        <v>-18.295200000000001</v>
      </c>
      <c r="AD817" s="6">
        <f>$O$817*$X$817</f>
        <v>-23.680350000000001</v>
      </c>
      <c r="AE817" s="6">
        <f>$K$817*$Y$817</f>
        <v>0</v>
      </c>
      <c r="AF817" s="6">
        <f ca="1">$M$817*$Z$817</f>
        <v>-21.056217341854598</v>
      </c>
      <c r="AG817" s="6">
        <f>$O$817*$AA$817</f>
        <v>-25.497599436609363</v>
      </c>
    </row>
    <row r="818" spans="1:33" ht="11.25" customHeight="1" x14ac:dyDescent="0.3">
      <c r="A818" s="4" t="s">
        <v>28</v>
      </c>
      <c r="B818" s="4" t="s">
        <v>22</v>
      </c>
      <c r="C818" s="4" t="s">
        <v>23</v>
      </c>
      <c r="D818" s="4" t="s">
        <v>24</v>
      </c>
      <c r="E818" s="4" t="s">
        <v>30</v>
      </c>
      <c r="F818" s="4" t="s">
        <v>25</v>
      </c>
      <c r="G818" s="4" t="s">
        <v>25</v>
      </c>
      <c r="H818" s="4" t="s">
        <v>25</v>
      </c>
      <c r="I818" s="5">
        <v>44805</v>
      </c>
      <c r="J818" s="6">
        <v>0</v>
      </c>
      <c r="K818" s="6">
        <v>0</v>
      </c>
      <c r="L818" s="6">
        <v>7.0000000000000007E-2</v>
      </c>
      <c r="M818" s="6">
        <v>4.2000000000000003E-2</v>
      </c>
      <c r="N818" s="6">
        <v>7.0000000000000007E-2</v>
      </c>
      <c r="O818" s="6">
        <v>4.2000000000000003E-2</v>
      </c>
      <c r="P818" s="6">
        <v>1</v>
      </c>
      <c r="Q818" s="4" t="s">
        <v>26</v>
      </c>
      <c r="R818" s="4">
        <v>0</v>
      </c>
      <c r="S818" s="6">
        <v>0</v>
      </c>
      <c r="T818" s="6">
        <v>34</v>
      </c>
      <c r="U818" s="6">
        <v>75</v>
      </c>
      <c r="V818" s="6">
        <f>IF(ISERROR(VLOOKUP($S$818,'TAR FIN'!$A$1:$O$113,15,0)),0,VLOOKUP($S$818,'TAR FIN'!$A$1:$O$113,15,0))</f>
        <v>0</v>
      </c>
      <c r="W818" s="6">
        <f>IF(ISERROR(VLOOKUP($T$818,'TAR FIN'!$A$1:$O$113,15,0)),0,VLOOKUP($T$818,'TAR FIN'!$A$1:$O$113,15,0))</f>
        <v>135.52000000000001</v>
      </c>
      <c r="X818" s="6">
        <f>IF(ISERROR(VLOOKUP($U$818,'TAR FIN'!$A$1:$O$113,15,0)),0,VLOOKUP($U$818,'TAR FIN'!$A$1:$O$113,15,0))</f>
        <v>175.41</v>
      </c>
      <c r="Y818" s="6"/>
      <c r="Z818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818" s="6">
        <f>('TE BE'!$AB$20+'TE BF'!$AB$20+'TE CVA'!$AB$20)*(1-CUSTOS!$M$35)</f>
        <v>188.87110693784712</v>
      </c>
      <c r="AB818" s="6">
        <f>$K$818*$V$818</f>
        <v>0</v>
      </c>
      <c r="AC818" s="6">
        <f>$M$818*$W$818</f>
        <v>5.6918400000000009</v>
      </c>
      <c r="AD818" s="6">
        <f>$O$818*$X$818</f>
        <v>7.3672200000000005</v>
      </c>
      <c r="AE818" s="6">
        <f>$K$818*$Y$818</f>
        <v>0</v>
      </c>
      <c r="AF818" s="6">
        <f ca="1">$M$818*$Z$818</f>
        <v>6.5508231730214304</v>
      </c>
      <c r="AG818" s="6">
        <f>$O$818*$AA$818</f>
        <v>7.9325864913895794</v>
      </c>
    </row>
    <row r="819" spans="1:33" ht="11.25" customHeight="1" x14ac:dyDescent="0.3">
      <c r="A819" s="4" t="s">
        <v>53</v>
      </c>
      <c r="B819" s="4" t="s">
        <v>22</v>
      </c>
      <c r="C819" s="4" t="s">
        <v>23</v>
      </c>
      <c r="D819" s="4" t="s">
        <v>24</v>
      </c>
      <c r="E819" s="4" t="s">
        <v>30</v>
      </c>
      <c r="F819" s="4" t="s">
        <v>25</v>
      </c>
      <c r="G819" s="4" t="s">
        <v>25</v>
      </c>
      <c r="H819" s="4" t="s">
        <v>25</v>
      </c>
      <c r="I819" s="5">
        <v>44835</v>
      </c>
      <c r="J819" s="6">
        <v>0</v>
      </c>
      <c r="K819" s="6">
        <v>0</v>
      </c>
      <c r="L819" s="6">
        <v>370.30599999999998</v>
      </c>
      <c r="M819" s="6">
        <v>370.30599999999998</v>
      </c>
      <c r="N819" s="6">
        <v>370.30599999999998</v>
      </c>
      <c r="O819" s="6">
        <v>370.30599999999998</v>
      </c>
      <c r="P819" s="6">
        <v>1559</v>
      </c>
      <c r="Q819" s="4" t="s">
        <v>26</v>
      </c>
      <c r="R819" s="4">
        <v>0</v>
      </c>
      <c r="S819" s="6">
        <v>0</v>
      </c>
      <c r="T819" s="6">
        <v>34</v>
      </c>
      <c r="U819" s="6">
        <v>75</v>
      </c>
      <c r="V819" s="6">
        <f>IF(ISERROR(VLOOKUP($S$819,'TAR FIN'!$A$1:$O$113,15,0)),0,VLOOKUP($S$819,'TAR FIN'!$A$1:$O$113,15,0))</f>
        <v>0</v>
      </c>
      <c r="W819" s="6">
        <f>IF(ISERROR(VLOOKUP($T$819,'TAR FIN'!$A$1:$O$113,15,0)),0,VLOOKUP($T$819,'TAR FIN'!$A$1:$O$113,15,0))</f>
        <v>135.52000000000001</v>
      </c>
      <c r="X819" s="6">
        <f>IF(ISERROR(VLOOKUP($U$819,'TAR FIN'!$A$1:$O$113,15,0)),0,VLOOKUP($U$819,'TAR FIN'!$A$1:$O$113,15,0))</f>
        <v>175.41</v>
      </c>
      <c r="Y819" s="6"/>
      <c r="Z819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819" s="6">
        <f>('TE BE'!$AB$20+'TE BF'!$AB$20+'TE CVA'!$AB$20)*(1-CUSTOS!$M$35)</f>
        <v>188.87110693784712</v>
      </c>
      <c r="AB819" s="6">
        <f>$K$819*$V$819</f>
        <v>0</v>
      </c>
      <c r="AC819" s="6">
        <f>$M$819*$W$819</f>
        <v>50183.869120000003</v>
      </c>
      <c r="AD819" s="6">
        <f>$O$819*$X$819</f>
        <v>64955.375459999996</v>
      </c>
      <c r="AE819" s="6">
        <f>$K$819*$Y$819</f>
        <v>0</v>
      </c>
      <c r="AF819" s="6">
        <f ca="1">$M$819*$Z$819</f>
        <v>57757.360140687466</v>
      </c>
      <c r="AG819" s="6">
        <f>$O$819*$AA$819</f>
        <v>69940.104125726415</v>
      </c>
    </row>
    <row r="820" spans="1:33" ht="11.25" customHeight="1" x14ac:dyDescent="0.3">
      <c r="A820" s="4" t="s">
        <v>53</v>
      </c>
      <c r="B820" s="4" t="s">
        <v>22</v>
      </c>
      <c r="C820" s="4" t="s">
        <v>23</v>
      </c>
      <c r="D820" s="4" t="s">
        <v>24</v>
      </c>
      <c r="E820" s="4" t="s">
        <v>30</v>
      </c>
      <c r="F820" s="4" t="s">
        <v>25</v>
      </c>
      <c r="G820" s="4" t="s">
        <v>25</v>
      </c>
      <c r="H820" s="4" t="s">
        <v>25</v>
      </c>
      <c r="I820" s="5">
        <v>44835</v>
      </c>
      <c r="J820" s="6">
        <v>0</v>
      </c>
      <c r="K820" s="6">
        <v>0</v>
      </c>
      <c r="L820" s="6">
        <v>-0.13500000000000001</v>
      </c>
      <c r="M820" s="6">
        <v>-0.13500000000000001</v>
      </c>
      <c r="N820" s="6">
        <v>-0.13500000000000001</v>
      </c>
      <c r="O820" s="6">
        <v>-0.13500000000000001</v>
      </c>
      <c r="P820" s="6">
        <v>0</v>
      </c>
      <c r="Q820" s="4" t="s">
        <v>26</v>
      </c>
      <c r="R820" s="4">
        <v>0</v>
      </c>
      <c r="S820" s="6">
        <v>0</v>
      </c>
      <c r="T820" s="6">
        <v>34</v>
      </c>
      <c r="U820" s="6">
        <v>75</v>
      </c>
      <c r="V820" s="6">
        <f>IF(ISERROR(VLOOKUP($S$820,'TAR FIN'!$A$1:$O$113,15,0)),0,VLOOKUP($S$820,'TAR FIN'!$A$1:$O$113,15,0))</f>
        <v>0</v>
      </c>
      <c r="W820" s="6">
        <f>IF(ISERROR(VLOOKUP($T$820,'TAR FIN'!$A$1:$O$113,15,0)),0,VLOOKUP($T$820,'TAR FIN'!$A$1:$O$113,15,0))</f>
        <v>135.52000000000001</v>
      </c>
      <c r="X820" s="6">
        <f>IF(ISERROR(VLOOKUP($U$820,'TAR FIN'!$A$1:$O$113,15,0)),0,VLOOKUP($U$820,'TAR FIN'!$A$1:$O$113,15,0))</f>
        <v>175.41</v>
      </c>
      <c r="Y820" s="6"/>
      <c r="Z820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820" s="6">
        <f>('TE BE'!$AB$20+'TE BF'!$AB$20+'TE CVA'!$AB$20)*(1-CUSTOS!$M$35)</f>
        <v>188.87110693784712</v>
      </c>
      <c r="AB820" s="6">
        <f>$K$820*$V$820</f>
        <v>0</v>
      </c>
      <c r="AC820" s="6">
        <f>$M$820*$W$820</f>
        <v>-18.295200000000001</v>
      </c>
      <c r="AD820" s="6">
        <f>$O$820*$X$820</f>
        <v>-23.680350000000001</v>
      </c>
      <c r="AE820" s="6">
        <f>$K$820*$Y$820</f>
        <v>0</v>
      </c>
      <c r="AF820" s="6">
        <f ca="1">$M$820*$Z$820</f>
        <v>-21.056217341854598</v>
      </c>
      <c r="AG820" s="6">
        <f>$O$820*$AA$820</f>
        <v>-25.497599436609363</v>
      </c>
    </row>
    <row r="821" spans="1:33" ht="11.25" customHeight="1" x14ac:dyDescent="0.3">
      <c r="A821" s="4" t="s">
        <v>53</v>
      </c>
      <c r="B821" s="4" t="s">
        <v>22</v>
      </c>
      <c r="C821" s="4" t="s">
        <v>23</v>
      </c>
      <c r="D821" s="4" t="s">
        <v>24</v>
      </c>
      <c r="E821" s="4" t="s">
        <v>30</v>
      </c>
      <c r="F821" s="4" t="s">
        <v>25</v>
      </c>
      <c r="G821" s="4" t="s">
        <v>25</v>
      </c>
      <c r="H821" s="4" t="s">
        <v>25</v>
      </c>
      <c r="I821" s="5">
        <v>44835</v>
      </c>
      <c r="J821" s="6">
        <v>0</v>
      </c>
      <c r="K821" s="6">
        <v>0</v>
      </c>
      <c r="L821" s="6">
        <v>7.0000000000000007E-2</v>
      </c>
      <c r="M821" s="6">
        <v>4.2000000000000003E-2</v>
      </c>
      <c r="N821" s="6">
        <v>7.0000000000000007E-2</v>
      </c>
      <c r="O821" s="6">
        <v>4.2000000000000003E-2</v>
      </c>
      <c r="P821" s="6">
        <v>1</v>
      </c>
      <c r="Q821" s="4" t="s">
        <v>26</v>
      </c>
      <c r="R821" s="4">
        <v>0</v>
      </c>
      <c r="S821" s="6">
        <v>0</v>
      </c>
      <c r="T821" s="6">
        <v>34</v>
      </c>
      <c r="U821" s="6">
        <v>75</v>
      </c>
      <c r="V821" s="6">
        <f>IF(ISERROR(VLOOKUP($S$821,'TAR FIN'!$A$1:$O$113,15,0)),0,VLOOKUP($S$821,'TAR FIN'!$A$1:$O$113,15,0))</f>
        <v>0</v>
      </c>
      <c r="W821" s="6">
        <f>IF(ISERROR(VLOOKUP($T$821,'TAR FIN'!$A$1:$O$113,15,0)),0,VLOOKUP($T$821,'TAR FIN'!$A$1:$O$113,15,0))</f>
        <v>135.52000000000001</v>
      </c>
      <c r="X821" s="6">
        <f>IF(ISERROR(VLOOKUP($U$821,'TAR FIN'!$A$1:$O$113,15,0)),0,VLOOKUP($U$821,'TAR FIN'!$A$1:$O$113,15,0))</f>
        <v>175.41</v>
      </c>
      <c r="Y821" s="6"/>
      <c r="Z821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821" s="6">
        <f>('TE BE'!$AB$20+'TE BF'!$AB$20+'TE CVA'!$AB$20)*(1-CUSTOS!$M$35)</f>
        <v>188.87110693784712</v>
      </c>
      <c r="AB821" s="6">
        <f>$K$821*$V$821</f>
        <v>0</v>
      </c>
      <c r="AC821" s="6">
        <f>$M$821*$W$821</f>
        <v>5.6918400000000009</v>
      </c>
      <c r="AD821" s="6">
        <f>$O$821*$X$821</f>
        <v>7.3672200000000005</v>
      </c>
      <c r="AE821" s="6">
        <f>$K$821*$Y$821</f>
        <v>0</v>
      </c>
      <c r="AF821" s="6">
        <f ca="1">$M$821*$Z$821</f>
        <v>6.5508231730214304</v>
      </c>
      <c r="AG821" s="6">
        <f>$O$821*$AA$821</f>
        <v>7.9325864913895794</v>
      </c>
    </row>
    <row r="822" spans="1:33" ht="11.25" customHeight="1" x14ac:dyDescent="0.3">
      <c r="A822" s="4" t="s">
        <v>21</v>
      </c>
      <c r="B822" s="4" t="s">
        <v>22</v>
      </c>
      <c r="C822" s="4" t="s">
        <v>23</v>
      </c>
      <c r="D822" s="4" t="s">
        <v>24</v>
      </c>
      <c r="E822" s="4" t="s">
        <v>31</v>
      </c>
      <c r="F822" s="4" t="s">
        <v>25</v>
      </c>
      <c r="G822" s="4" t="s">
        <v>25</v>
      </c>
      <c r="H822" s="4" t="s">
        <v>25</v>
      </c>
      <c r="I822" s="5">
        <v>44501</v>
      </c>
      <c r="J822" s="6">
        <v>0</v>
      </c>
      <c r="K822" s="6">
        <v>0</v>
      </c>
      <c r="L822" s="6">
        <v>240.071</v>
      </c>
      <c r="M822" s="6">
        <v>240.071</v>
      </c>
      <c r="N822" s="6">
        <v>240.071</v>
      </c>
      <c r="O822" s="6">
        <v>240.071</v>
      </c>
      <c r="P822" s="6">
        <v>3045</v>
      </c>
      <c r="Q822" s="4" t="s">
        <v>26</v>
      </c>
      <c r="R822" s="4">
        <v>0</v>
      </c>
      <c r="S822" s="6">
        <v>0</v>
      </c>
      <c r="T822" s="6">
        <v>41</v>
      </c>
      <c r="U822" s="6">
        <v>78</v>
      </c>
      <c r="V822" s="6">
        <f>IF(ISERROR(VLOOKUP($S$822,'TAR FIN'!$A$1:$O$113,15,0)),0,VLOOKUP($S$822,'TAR FIN'!$A$1:$O$113,15,0))</f>
        <v>0</v>
      </c>
      <c r="W822" s="6">
        <f>IF(ISERROR(VLOOKUP($T$822,'TAR FIN'!$A$1:$O$113,15,0)),0,VLOOKUP($T$822,'TAR FIN'!$A$1:$O$113,15,0))</f>
        <v>203.29</v>
      </c>
      <c r="X822" s="6">
        <f>IF(ISERROR(VLOOKUP($U$822,'TAR FIN'!$A$1:$O$113,15,0)),0,VLOOKUP($U$822,'TAR FIN'!$A$1:$O$113,15,0))</f>
        <v>263.12</v>
      </c>
      <c r="Y822" s="6"/>
      <c r="Z822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822" s="6">
        <f>('TE BE'!$AB$21+'TE BF'!$AB$21+'TE CVA'!$AB$21)*(1-CUSTOS!$M$36)</f>
        <v>283.30666040677067</v>
      </c>
      <c r="AB822" s="6">
        <f>$K$822*$V$822</f>
        <v>0</v>
      </c>
      <c r="AC822" s="6">
        <f>$M$822*$W$822</f>
        <v>48804.033589999999</v>
      </c>
      <c r="AD822" s="6">
        <f>$O$822*$X$822</f>
        <v>63167.481520000001</v>
      </c>
      <c r="AE822" s="6">
        <f>$K$822*$Y$822</f>
        <v>0</v>
      </c>
      <c r="AF822" s="6">
        <f ca="1">$M$822*$Z$822</f>
        <v>56166.523927515271</v>
      </c>
      <c r="AG822" s="6">
        <f>$O$822*$AA$822</f>
        <v>68013.713270513836</v>
      </c>
    </row>
    <row r="823" spans="1:33" ht="11.25" customHeight="1" x14ac:dyDescent="0.3">
      <c r="A823" s="4" t="s">
        <v>27</v>
      </c>
      <c r="B823" s="4" t="s">
        <v>22</v>
      </c>
      <c r="C823" s="4" t="s">
        <v>23</v>
      </c>
      <c r="D823" s="4" t="s">
        <v>24</v>
      </c>
      <c r="E823" s="4" t="s">
        <v>31</v>
      </c>
      <c r="F823" s="4" t="s">
        <v>25</v>
      </c>
      <c r="G823" s="4" t="s">
        <v>25</v>
      </c>
      <c r="H823" s="4" t="s">
        <v>25</v>
      </c>
      <c r="I823" s="5">
        <v>44501</v>
      </c>
      <c r="J823" s="6">
        <v>0</v>
      </c>
      <c r="K823" s="6">
        <v>0</v>
      </c>
      <c r="L823" s="6">
        <v>-1.7000000000000001E-2</v>
      </c>
      <c r="M823" s="6">
        <v>-1.7000000000000001E-2</v>
      </c>
      <c r="N823" s="6">
        <v>-1.7000000000000001E-2</v>
      </c>
      <c r="O823" s="6">
        <v>-1.7000000000000001E-2</v>
      </c>
      <c r="P823" s="6">
        <v>0</v>
      </c>
      <c r="Q823" s="4" t="s">
        <v>26</v>
      </c>
      <c r="R823" s="4">
        <v>0</v>
      </c>
      <c r="S823" s="6">
        <v>0</v>
      </c>
      <c r="T823" s="6">
        <v>41</v>
      </c>
      <c r="U823" s="6">
        <v>78</v>
      </c>
      <c r="V823" s="6">
        <f>IF(ISERROR(VLOOKUP($S$823,'TAR FIN'!$A$1:$O$113,15,0)),0,VLOOKUP($S$823,'TAR FIN'!$A$1:$O$113,15,0))</f>
        <v>0</v>
      </c>
      <c r="W823" s="6">
        <f>IF(ISERROR(VLOOKUP($T$823,'TAR FIN'!$A$1:$O$113,15,0)),0,VLOOKUP($T$823,'TAR FIN'!$A$1:$O$113,15,0))</f>
        <v>203.29</v>
      </c>
      <c r="X823" s="6">
        <f>IF(ISERROR(VLOOKUP($U$823,'TAR FIN'!$A$1:$O$113,15,0)),0,VLOOKUP($U$823,'TAR FIN'!$A$1:$O$113,15,0))</f>
        <v>263.12</v>
      </c>
      <c r="Y823" s="6"/>
      <c r="Z823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823" s="6">
        <f>('TE BE'!$AB$21+'TE BF'!$AB$21+'TE CVA'!$AB$21)*(1-CUSTOS!$M$36)</f>
        <v>283.30666040677067</v>
      </c>
      <c r="AB823" s="6">
        <f>$K$823*$V$823</f>
        <v>0</v>
      </c>
      <c r="AC823" s="6">
        <f>$M$823*$W$823</f>
        <v>-3.4559299999999999</v>
      </c>
      <c r="AD823" s="6">
        <f>$O$823*$X$823</f>
        <v>-4.4730400000000001</v>
      </c>
      <c r="AE823" s="6">
        <f>$K$823*$Y$823</f>
        <v>0</v>
      </c>
      <c r="AF823" s="6">
        <f ca="1">$M$823*$Z$823</f>
        <v>-3.9772854979058683</v>
      </c>
      <c r="AG823" s="6">
        <f>$O$823*$AA$823</f>
        <v>-4.8162132269151021</v>
      </c>
    </row>
    <row r="824" spans="1:33" ht="11.25" customHeight="1" x14ac:dyDescent="0.3">
      <c r="A824" s="4" t="s">
        <v>21</v>
      </c>
      <c r="B824" s="4" t="s">
        <v>22</v>
      </c>
      <c r="C824" s="4" t="s">
        <v>23</v>
      </c>
      <c r="D824" s="4" t="s">
        <v>24</v>
      </c>
      <c r="E824" s="4" t="s">
        <v>31</v>
      </c>
      <c r="F824" s="4" t="s">
        <v>25</v>
      </c>
      <c r="G824" s="4" t="s">
        <v>25</v>
      </c>
      <c r="H824" s="4" t="s">
        <v>25</v>
      </c>
      <c r="I824" s="5">
        <v>44531</v>
      </c>
      <c r="J824" s="6">
        <v>0</v>
      </c>
      <c r="K824" s="6">
        <v>0</v>
      </c>
      <c r="L824" s="6">
        <v>231.04</v>
      </c>
      <c r="M824" s="6">
        <v>231.04</v>
      </c>
      <c r="N824" s="6">
        <v>231.04</v>
      </c>
      <c r="O824" s="6">
        <v>231.04</v>
      </c>
      <c r="P824" s="6">
        <v>3203</v>
      </c>
      <c r="Q824" s="4" t="s">
        <v>26</v>
      </c>
      <c r="R824" s="4">
        <v>0</v>
      </c>
      <c r="S824" s="6">
        <v>0</v>
      </c>
      <c r="T824" s="6">
        <v>41</v>
      </c>
      <c r="U824" s="6">
        <v>78</v>
      </c>
      <c r="V824" s="6">
        <f>IF(ISERROR(VLOOKUP($S$824,'TAR FIN'!$A$1:$O$113,15,0)),0,VLOOKUP($S$824,'TAR FIN'!$A$1:$O$113,15,0))</f>
        <v>0</v>
      </c>
      <c r="W824" s="6">
        <f>IF(ISERROR(VLOOKUP($T$824,'TAR FIN'!$A$1:$O$113,15,0)),0,VLOOKUP($T$824,'TAR FIN'!$A$1:$O$113,15,0))</f>
        <v>203.29</v>
      </c>
      <c r="X824" s="6">
        <f>IF(ISERROR(VLOOKUP($U$824,'TAR FIN'!$A$1:$O$113,15,0)),0,VLOOKUP($U$824,'TAR FIN'!$A$1:$O$113,15,0))</f>
        <v>263.12</v>
      </c>
      <c r="Y824" s="6"/>
      <c r="Z824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824" s="6">
        <f>('TE BE'!$AB$21+'TE BF'!$AB$21+'TE CVA'!$AB$21)*(1-CUSTOS!$M$36)</f>
        <v>283.30666040677067</v>
      </c>
      <c r="AB824" s="6">
        <f>$K$824*$V$824</f>
        <v>0</v>
      </c>
      <c r="AC824" s="6">
        <f>$M$824*$W$824</f>
        <v>46968.121599999999</v>
      </c>
      <c r="AD824" s="6">
        <f>$O$824*$X$824</f>
        <v>60791.2448</v>
      </c>
      <c r="AE824" s="6">
        <f>$K$824*$Y$824</f>
        <v>0</v>
      </c>
      <c r="AF824" s="6">
        <f ca="1">$M$824*$Z$824</f>
        <v>54053.649496245394</v>
      </c>
      <c r="AG824" s="6">
        <f>$O$824*$AA$824</f>
        <v>65455.170820380292</v>
      </c>
    </row>
    <row r="825" spans="1:33" ht="11.25" customHeight="1" x14ac:dyDescent="0.3">
      <c r="A825" s="4" t="s">
        <v>27</v>
      </c>
      <c r="B825" s="4" t="s">
        <v>22</v>
      </c>
      <c r="C825" s="4" t="s">
        <v>23</v>
      </c>
      <c r="D825" s="4" t="s">
        <v>24</v>
      </c>
      <c r="E825" s="4" t="s">
        <v>31</v>
      </c>
      <c r="F825" s="4" t="s">
        <v>25</v>
      </c>
      <c r="G825" s="4" t="s">
        <v>25</v>
      </c>
      <c r="H825" s="4" t="s">
        <v>25</v>
      </c>
      <c r="I825" s="5">
        <v>44531</v>
      </c>
      <c r="J825" s="6">
        <v>0</v>
      </c>
      <c r="K825" s="6">
        <v>0</v>
      </c>
      <c r="L825" s="6">
        <v>6.3E-2</v>
      </c>
      <c r="M825" s="6">
        <v>6.3E-2</v>
      </c>
      <c r="N825" s="6">
        <v>6.3E-2</v>
      </c>
      <c r="O825" s="6">
        <v>6.3E-2</v>
      </c>
      <c r="P825" s="6">
        <v>0</v>
      </c>
      <c r="Q825" s="4" t="s">
        <v>26</v>
      </c>
      <c r="R825" s="4">
        <v>0</v>
      </c>
      <c r="S825" s="6">
        <v>0</v>
      </c>
      <c r="T825" s="6">
        <v>41</v>
      </c>
      <c r="U825" s="6">
        <v>78</v>
      </c>
      <c r="V825" s="6">
        <f>IF(ISERROR(VLOOKUP($S$825,'TAR FIN'!$A$1:$O$113,15,0)),0,VLOOKUP($S$825,'TAR FIN'!$A$1:$O$113,15,0))</f>
        <v>0</v>
      </c>
      <c r="W825" s="6">
        <f>IF(ISERROR(VLOOKUP($T$825,'TAR FIN'!$A$1:$O$113,15,0)),0,VLOOKUP($T$825,'TAR FIN'!$A$1:$O$113,15,0))</f>
        <v>203.29</v>
      </c>
      <c r="X825" s="6">
        <f>IF(ISERROR(VLOOKUP($U$825,'TAR FIN'!$A$1:$O$113,15,0)),0,VLOOKUP($U$825,'TAR FIN'!$A$1:$O$113,15,0))</f>
        <v>263.12</v>
      </c>
      <c r="Y825" s="6"/>
      <c r="Z825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825" s="6">
        <f>('TE BE'!$AB$21+'TE BF'!$AB$21+'TE CVA'!$AB$21)*(1-CUSTOS!$M$36)</f>
        <v>283.30666040677067</v>
      </c>
      <c r="AB825" s="6">
        <f>$K$825*$V$825</f>
        <v>0</v>
      </c>
      <c r="AC825" s="6">
        <f>$M$825*$W$825</f>
        <v>12.807269999999999</v>
      </c>
      <c r="AD825" s="6">
        <f>$O$825*$X$825</f>
        <v>16.576560000000001</v>
      </c>
      <c r="AE825" s="6">
        <f>$K$825*$Y$825</f>
        <v>0</v>
      </c>
      <c r="AF825" s="6">
        <f ca="1">$M$825*$Z$825</f>
        <v>14.739352139298218</v>
      </c>
      <c r="AG825" s="6">
        <f>$O$825*$AA$825</f>
        <v>17.848319605626553</v>
      </c>
    </row>
    <row r="826" spans="1:33" ht="11.25" customHeight="1" x14ac:dyDescent="0.3">
      <c r="A826" s="4" t="s">
        <v>28</v>
      </c>
      <c r="B826" s="4" t="s">
        <v>22</v>
      </c>
      <c r="C826" s="4" t="s">
        <v>23</v>
      </c>
      <c r="D826" s="4" t="s">
        <v>24</v>
      </c>
      <c r="E826" s="4" t="s">
        <v>31</v>
      </c>
      <c r="F826" s="4" t="s">
        <v>25</v>
      </c>
      <c r="G826" s="4" t="s">
        <v>25</v>
      </c>
      <c r="H826" s="4" t="s">
        <v>25</v>
      </c>
      <c r="I826" s="5">
        <v>44531</v>
      </c>
      <c r="J826" s="6">
        <v>0</v>
      </c>
      <c r="K826" s="6">
        <v>0</v>
      </c>
      <c r="L826" s="6">
        <v>2.5000000000000001E-2</v>
      </c>
      <c r="M826" s="6">
        <v>2.2499999999999999E-2</v>
      </c>
      <c r="N826" s="6">
        <v>2.5000000000000001E-2</v>
      </c>
      <c r="O826" s="6">
        <v>2.2499999999999999E-2</v>
      </c>
      <c r="P826" s="6">
        <v>1</v>
      </c>
      <c r="Q826" s="4" t="s">
        <v>26</v>
      </c>
      <c r="R826" s="4">
        <v>0</v>
      </c>
      <c r="S826" s="6">
        <v>0</v>
      </c>
      <c r="T826" s="6">
        <v>41</v>
      </c>
      <c r="U826" s="6">
        <v>78</v>
      </c>
      <c r="V826" s="6">
        <f>IF(ISERROR(VLOOKUP($S$826,'TAR FIN'!$A$1:$O$113,15,0)),0,VLOOKUP($S$826,'TAR FIN'!$A$1:$O$113,15,0))</f>
        <v>0</v>
      </c>
      <c r="W826" s="6">
        <f>IF(ISERROR(VLOOKUP($T$826,'TAR FIN'!$A$1:$O$113,15,0)),0,VLOOKUP($T$826,'TAR FIN'!$A$1:$O$113,15,0))</f>
        <v>203.29</v>
      </c>
      <c r="X826" s="6">
        <f>IF(ISERROR(VLOOKUP($U$826,'TAR FIN'!$A$1:$O$113,15,0)),0,VLOOKUP($U$826,'TAR FIN'!$A$1:$O$113,15,0))</f>
        <v>263.12</v>
      </c>
      <c r="Y826" s="6"/>
      <c r="Z826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826" s="6">
        <f>('TE BE'!$AB$21+'TE BF'!$AB$21+'TE CVA'!$AB$21)*(1-CUSTOS!$M$36)</f>
        <v>283.30666040677067</v>
      </c>
      <c r="AB826" s="6">
        <f>$K$826*$V$826</f>
        <v>0</v>
      </c>
      <c r="AC826" s="6">
        <f>$M$826*$W$826</f>
        <v>4.5740249999999998</v>
      </c>
      <c r="AD826" s="6">
        <f>$O$826*$X$826</f>
        <v>5.9201999999999995</v>
      </c>
      <c r="AE826" s="6">
        <f>$K$826*$Y$826</f>
        <v>0</v>
      </c>
      <c r="AF826" s="6">
        <f ca="1">$M$826*$Z$826</f>
        <v>5.2640543354636486</v>
      </c>
      <c r="AG826" s="6">
        <f>$O$826*$AA$826</f>
        <v>6.3743998591523399</v>
      </c>
    </row>
    <row r="827" spans="1:33" ht="11.25" customHeight="1" x14ac:dyDescent="0.3">
      <c r="A827" s="4" t="s">
        <v>21</v>
      </c>
      <c r="B827" s="4" t="s">
        <v>22</v>
      </c>
      <c r="C827" s="4" t="s">
        <v>23</v>
      </c>
      <c r="D827" s="4" t="s">
        <v>24</v>
      </c>
      <c r="E827" s="4" t="s">
        <v>31</v>
      </c>
      <c r="F827" s="4" t="s">
        <v>25</v>
      </c>
      <c r="G827" s="4" t="s">
        <v>25</v>
      </c>
      <c r="H827" s="4" t="s">
        <v>25</v>
      </c>
      <c r="I827" s="5">
        <v>44562</v>
      </c>
      <c r="J827" s="6">
        <v>0</v>
      </c>
      <c r="K827" s="6">
        <v>0</v>
      </c>
      <c r="L827" s="6">
        <v>264.75400000000002</v>
      </c>
      <c r="M827" s="6">
        <v>264.75400000000002</v>
      </c>
      <c r="N827" s="6">
        <v>264.75400000000002</v>
      </c>
      <c r="O827" s="6">
        <v>264.75400000000002</v>
      </c>
      <c r="P827" s="6">
        <v>3105</v>
      </c>
      <c r="Q827" s="4" t="s">
        <v>26</v>
      </c>
      <c r="R827" s="4">
        <v>0</v>
      </c>
      <c r="S827" s="6">
        <v>0</v>
      </c>
      <c r="T827" s="6">
        <v>41</v>
      </c>
      <c r="U827" s="6">
        <v>78</v>
      </c>
      <c r="V827" s="6">
        <f>IF(ISERROR(VLOOKUP($S$827,'TAR FIN'!$A$1:$O$113,15,0)),0,VLOOKUP($S$827,'TAR FIN'!$A$1:$O$113,15,0))</f>
        <v>0</v>
      </c>
      <c r="W827" s="6">
        <f>IF(ISERROR(VLOOKUP($T$827,'TAR FIN'!$A$1:$O$113,15,0)),0,VLOOKUP($T$827,'TAR FIN'!$A$1:$O$113,15,0))</f>
        <v>203.29</v>
      </c>
      <c r="X827" s="6">
        <f>IF(ISERROR(VLOOKUP($U$827,'TAR FIN'!$A$1:$O$113,15,0)),0,VLOOKUP($U$827,'TAR FIN'!$A$1:$O$113,15,0))</f>
        <v>263.12</v>
      </c>
      <c r="Y827" s="6"/>
      <c r="Z827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827" s="6">
        <f>('TE BE'!$AB$21+'TE BF'!$AB$21+'TE CVA'!$AB$21)*(1-CUSTOS!$M$36)</f>
        <v>283.30666040677067</v>
      </c>
      <c r="AB827" s="6">
        <f>$K$827*$V$827</f>
        <v>0</v>
      </c>
      <c r="AC827" s="6">
        <f>$M$827*$W$827</f>
        <v>53821.840660000002</v>
      </c>
      <c r="AD827" s="6">
        <f>$O$827*$X$827</f>
        <v>69662.072480000003</v>
      </c>
      <c r="AE827" s="6">
        <f>$K$827*$Y$827</f>
        <v>0</v>
      </c>
      <c r="AF827" s="6">
        <f ca="1">$M$827*$Z$827</f>
        <v>61941.308512504133</v>
      </c>
      <c r="AG827" s="6">
        <f>$O$827*$AA$827</f>
        <v>75006.571569334163</v>
      </c>
    </row>
    <row r="828" spans="1:33" ht="11.25" customHeight="1" x14ac:dyDescent="0.3">
      <c r="A828" s="4" t="s">
        <v>27</v>
      </c>
      <c r="B828" s="4" t="s">
        <v>22</v>
      </c>
      <c r="C828" s="4" t="s">
        <v>23</v>
      </c>
      <c r="D828" s="4" t="s">
        <v>24</v>
      </c>
      <c r="E828" s="4" t="s">
        <v>31</v>
      </c>
      <c r="F828" s="4" t="s">
        <v>25</v>
      </c>
      <c r="G828" s="4" t="s">
        <v>25</v>
      </c>
      <c r="H828" s="4" t="s">
        <v>25</v>
      </c>
      <c r="I828" s="5">
        <v>44562</v>
      </c>
      <c r="J828" s="6">
        <v>0</v>
      </c>
      <c r="K828" s="6">
        <v>0</v>
      </c>
      <c r="L828" s="6">
        <v>-5.5E-2</v>
      </c>
      <c r="M828" s="6">
        <v>-5.5E-2</v>
      </c>
      <c r="N828" s="6">
        <v>-5.5E-2</v>
      </c>
      <c r="O828" s="6">
        <v>-5.5E-2</v>
      </c>
      <c r="P828" s="6">
        <v>0</v>
      </c>
      <c r="Q828" s="4" t="s">
        <v>26</v>
      </c>
      <c r="R828" s="4">
        <v>0</v>
      </c>
      <c r="S828" s="6">
        <v>0</v>
      </c>
      <c r="T828" s="6">
        <v>41</v>
      </c>
      <c r="U828" s="6">
        <v>78</v>
      </c>
      <c r="V828" s="6">
        <f>IF(ISERROR(VLOOKUP($S$828,'TAR FIN'!$A$1:$O$113,15,0)),0,VLOOKUP($S$828,'TAR FIN'!$A$1:$O$113,15,0))</f>
        <v>0</v>
      </c>
      <c r="W828" s="6">
        <f>IF(ISERROR(VLOOKUP($T$828,'TAR FIN'!$A$1:$O$113,15,0)),0,VLOOKUP($T$828,'TAR FIN'!$A$1:$O$113,15,0))</f>
        <v>203.29</v>
      </c>
      <c r="X828" s="6">
        <f>IF(ISERROR(VLOOKUP($U$828,'TAR FIN'!$A$1:$O$113,15,0)),0,VLOOKUP($U$828,'TAR FIN'!$A$1:$O$113,15,0))</f>
        <v>263.12</v>
      </c>
      <c r="Y828" s="6"/>
      <c r="Z828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828" s="6">
        <f>('TE BE'!$AB$21+'TE BF'!$AB$21+'TE CVA'!$AB$21)*(1-CUSTOS!$M$36)</f>
        <v>283.30666040677067</v>
      </c>
      <c r="AB828" s="6">
        <f>$K$828*$V$828</f>
        <v>0</v>
      </c>
      <c r="AC828" s="6">
        <f>$M$828*$W$828</f>
        <v>-11.180949999999999</v>
      </c>
      <c r="AD828" s="6">
        <f>$O$828*$X$828</f>
        <v>-14.4716</v>
      </c>
      <c r="AE828" s="6">
        <f>$K$828*$Y$828</f>
        <v>0</v>
      </c>
      <c r="AF828" s="6">
        <f ca="1">$M$828*$Z$828</f>
        <v>-12.867688375577808</v>
      </c>
      <c r="AG828" s="6">
        <f>$O$828*$AA$828</f>
        <v>-15.581866322372386</v>
      </c>
    </row>
    <row r="829" spans="1:33" ht="11.25" customHeight="1" x14ac:dyDescent="0.3">
      <c r="A829" s="4" t="s">
        <v>28</v>
      </c>
      <c r="B829" s="4" t="s">
        <v>22</v>
      </c>
      <c r="C829" s="4" t="s">
        <v>23</v>
      </c>
      <c r="D829" s="4" t="s">
        <v>24</v>
      </c>
      <c r="E829" s="4" t="s">
        <v>31</v>
      </c>
      <c r="F829" s="4" t="s">
        <v>25</v>
      </c>
      <c r="G829" s="4" t="s">
        <v>25</v>
      </c>
      <c r="H829" s="4" t="s">
        <v>25</v>
      </c>
      <c r="I829" s="5">
        <v>44562</v>
      </c>
      <c r="J829" s="6">
        <v>0</v>
      </c>
      <c r="K829" s="6">
        <v>0</v>
      </c>
      <c r="L829" s="6">
        <v>4.4999999999999998E-2</v>
      </c>
      <c r="M829" s="6">
        <v>4.0500000000000001E-2</v>
      </c>
      <c r="N829" s="6">
        <v>4.4999999999999998E-2</v>
      </c>
      <c r="O829" s="6">
        <v>4.0500000000000001E-2</v>
      </c>
      <c r="P829" s="6">
        <v>1</v>
      </c>
      <c r="Q829" s="4" t="s">
        <v>26</v>
      </c>
      <c r="R829" s="4">
        <v>0</v>
      </c>
      <c r="S829" s="6">
        <v>0</v>
      </c>
      <c r="T829" s="6">
        <v>41</v>
      </c>
      <c r="U829" s="6">
        <v>78</v>
      </c>
      <c r="V829" s="6">
        <f>IF(ISERROR(VLOOKUP($S$829,'TAR FIN'!$A$1:$O$113,15,0)),0,VLOOKUP($S$829,'TAR FIN'!$A$1:$O$113,15,0))</f>
        <v>0</v>
      </c>
      <c r="W829" s="6">
        <f>IF(ISERROR(VLOOKUP($T$829,'TAR FIN'!$A$1:$O$113,15,0)),0,VLOOKUP($T$829,'TAR FIN'!$A$1:$O$113,15,0))</f>
        <v>203.29</v>
      </c>
      <c r="X829" s="6">
        <f>IF(ISERROR(VLOOKUP($U$829,'TAR FIN'!$A$1:$O$113,15,0)),0,VLOOKUP($U$829,'TAR FIN'!$A$1:$O$113,15,0))</f>
        <v>263.12</v>
      </c>
      <c r="Y829" s="6"/>
      <c r="Z829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829" s="6">
        <f>('TE BE'!$AB$21+'TE BF'!$AB$21+'TE CVA'!$AB$21)*(1-CUSTOS!$M$36)</f>
        <v>283.30666040677067</v>
      </c>
      <c r="AB829" s="6">
        <f>$K$829*$V$829</f>
        <v>0</v>
      </c>
      <c r="AC829" s="6">
        <f>$M$829*$W$829</f>
        <v>8.2332450000000001</v>
      </c>
      <c r="AD829" s="6">
        <f>$O$829*$X$829</f>
        <v>10.656360000000001</v>
      </c>
      <c r="AE829" s="6">
        <f>$K$829*$Y$829</f>
        <v>0</v>
      </c>
      <c r="AF829" s="6">
        <f ca="1">$M$829*$Z$829</f>
        <v>9.4752978038345681</v>
      </c>
      <c r="AG829" s="6">
        <f>$O$829*$AA$829</f>
        <v>11.473919746474213</v>
      </c>
    </row>
    <row r="830" spans="1:33" ht="11.25" customHeight="1" x14ac:dyDescent="0.3">
      <c r="A830" s="4" t="s">
        <v>21</v>
      </c>
      <c r="B830" s="4" t="s">
        <v>22</v>
      </c>
      <c r="C830" s="4" t="s">
        <v>23</v>
      </c>
      <c r="D830" s="4" t="s">
        <v>24</v>
      </c>
      <c r="E830" s="4" t="s">
        <v>31</v>
      </c>
      <c r="F830" s="4" t="s">
        <v>25</v>
      </c>
      <c r="G830" s="4" t="s">
        <v>25</v>
      </c>
      <c r="H830" s="4" t="s">
        <v>25</v>
      </c>
      <c r="I830" s="5">
        <v>44593</v>
      </c>
      <c r="J830" s="6">
        <v>0</v>
      </c>
      <c r="K830" s="6">
        <v>0</v>
      </c>
      <c r="L830" s="6">
        <v>250.215</v>
      </c>
      <c r="M830" s="6">
        <v>250.215</v>
      </c>
      <c r="N830" s="6">
        <v>250.215</v>
      </c>
      <c r="O830" s="6">
        <v>250.215</v>
      </c>
      <c r="P830" s="6">
        <v>3403</v>
      </c>
      <c r="Q830" s="4" t="s">
        <v>26</v>
      </c>
      <c r="R830" s="4">
        <v>0</v>
      </c>
      <c r="S830" s="6">
        <v>0</v>
      </c>
      <c r="T830" s="6">
        <v>41</v>
      </c>
      <c r="U830" s="6">
        <v>78</v>
      </c>
      <c r="V830" s="6">
        <f>IF(ISERROR(VLOOKUP($S$830,'TAR FIN'!$A$1:$O$113,15,0)),0,VLOOKUP($S$830,'TAR FIN'!$A$1:$O$113,15,0))</f>
        <v>0</v>
      </c>
      <c r="W830" s="6">
        <f>IF(ISERROR(VLOOKUP($T$830,'TAR FIN'!$A$1:$O$113,15,0)),0,VLOOKUP($T$830,'TAR FIN'!$A$1:$O$113,15,0))</f>
        <v>203.29</v>
      </c>
      <c r="X830" s="6">
        <f>IF(ISERROR(VLOOKUP($U$830,'TAR FIN'!$A$1:$O$113,15,0)),0,VLOOKUP($U$830,'TAR FIN'!$A$1:$O$113,15,0))</f>
        <v>263.12</v>
      </c>
      <c r="Y830" s="6"/>
      <c r="Z830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830" s="6">
        <f>('TE BE'!$AB$21+'TE BF'!$AB$21+'TE CVA'!$AB$21)*(1-CUSTOS!$M$36)</f>
        <v>283.30666040677067</v>
      </c>
      <c r="AB830" s="6">
        <f>$K$830*$V$830</f>
        <v>0</v>
      </c>
      <c r="AC830" s="6">
        <f>$M$830*$W$830</f>
        <v>50866.207349999997</v>
      </c>
      <c r="AD830" s="6">
        <f>$O$830*$X$830</f>
        <v>65836.570800000001</v>
      </c>
      <c r="AE830" s="6">
        <f>$K$830*$Y$830</f>
        <v>0</v>
      </c>
      <c r="AF830" s="6">
        <f ca="1">$M$830*$Z$830</f>
        <v>58539.793579912752</v>
      </c>
      <c r="AG830" s="6">
        <f>$O$830*$AA$830</f>
        <v>70887.576033680132</v>
      </c>
    </row>
    <row r="831" spans="1:33" ht="11.25" customHeight="1" x14ac:dyDescent="0.3">
      <c r="A831" s="4" t="s">
        <v>27</v>
      </c>
      <c r="B831" s="4" t="s">
        <v>22</v>
      </c>
      <c r="C831" s="4" t="s">
        <v>23</v>
      </c>
      <c r="D831" s="4" t="s">
        <v>24</v>
      </c>
      <c r="E831" s="4" t="s">
        <v>31</v>
      </c>
      <c r="F831" s="4" t="s">
        <v>25</v>
      </c>
      <c r="G831" s="4" t="s">
        <v>25</v>
      </c>
      <c r="H831" s="4" t="s">
        <v>25</v>
      </c>
      <c r="I831" s="5">
        <v>44593</v>
      </c>
      <c r="J831" s="6">
        <v>0</v>
      </c>
      <c r="K831" s="6">
        <v>0</v>
      </c>
      <c r="L831" s="6">
        <v>-4.4999999999999998E-2</v>
      </c>
      <c r="M831" s="6">
        <v>-4.4999999999999998E-2</v>
      </c>
      <c r="N831" s="6">
        <v>-4.4999999999999998E-2</v>
      </c>
      <c r="O831" s="6">
        <v>-4.4999999999999998E-2</v>
      </c>
      <c r="P831" s="6">
        <v>0</v>
      </c>
      <c r="Q831" s="4" t="s">
        <v>26</v>
      </c>
      <c r="R831" s="4">
        <v>0</v>
      </c>
      <c r="S831" s="6">
        <v>0</v>
      </c>
      <c r="T831" s="6">
        <v>41</v>
      </c>
      <c r="U831" s="6">
        <v>78</v>
      </c>
      <c r="V831" s="6">
        <f>IF(ISERROR(VLOOKUP($S$831,'TAR FIN'!$A$1:$O$113,15,0)),0,VLOOKUP($S$831,'TAR FIN'!$A$1:$O$113,15,0))</f>
        <v>0</v>
      </c>
      <c r="W831" s="6">
        <f>IF(ISERROR(VLOOKUP($T$831,'TAR FIN'!$A$1:$O$113,15,0)),0,VLOOKUP($T$831,'TAR FIN'!$A$1:$O$113,15,0))</f>
        <v>203.29</v>
      </c>
      <c r="X831" s="6">
        <f>IF(ISERROR(VLOOKUP($U$831,'TAR FIN'!$A$1:$O$113,15,0)),0,VLOOKUP($U$831,'TAR FIN'!$A$1:$O$113,15,0))</f>
        <v>263.12</v>
      </c>
      <c r="Y831" s="6"/>
      <c r="Z831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831" s="6">
        <f>('TE BE'!$AB$21+'TE BF'!$AB$21+'TE CVA'!$AB$21)*(1-CUSTOS!$M$36)</f>
        <v>283.30666040677067</v>
      </c>
      <c r="AB831" s="6">
        <f>$K$831*$V$831</f>
        <v>0</v>
      </c>
      <c r="AC831" s="6">
        <f>$M$831*$W$831</f>
        <v>-9.1480499999999996</v>
      </c>
      <c r="AD831" s="6">
        <f>$O$831*$X$831</f>
        <v>-11.840399999999999</v>
      </c>
      <c r="AE831" s="6">
        <f>$K$831*$Y$831</f>
        <v>0</v>
      </c>
      <c r="AF831" s="6">
        <f ca="1">$M$831*$Z$831</f>
        <v>-10.528108670927297</v>
      </c>
      <c r="AG831" s="6">
        <f>$O$831*$AA$831</f>
        <v>-12.74879971830468</v>
      </c>
    </row>
    <row r="832" spans="1:33" ht="11.25" customHeight="1" x14ac:dyDescent="0.3">
      <c r="A832" s="4" t="s">
        <v>28</v>
      </c>
      <c r="B832" s="4" t="s">
        <v>22</v>
      </c>
      <c r="C832" s="4" t="s">
        <v>23</v>
      </c>
      <c r="D832" s="4" t="s">
        <v>24</v>
      </c>
      <c r="E832" s="4" t="s">
        <v>31</v>
      </c>
      <c r="F832" s="4" t="s">
        <v>25</v>
      </c>
      <c r="G832" s="4" t="s">
        <v>25</v>
      </c>
      <c r="H832" s="4" t="s">
        <v>25</v>
      </c>
      <c r="I832" s="5">
        <v>44593</v>
      </c>
      <c r="J832" s="6">
        <v>0</v>
      </c>
      <c r="K832" s="6">
        <v>0</v>
      </c>
      <c r="L832" s="6">
        <v>9.0999999999999998E-2</v>
      </c>
      <c r="M832" s="6">
        <v>8.1900000000000001E-2</v>
      </c>
      <c r="N832" s="6">
        <v>9.0999999999999998E-2</v>
      </c>
      <c r="O832" s="6">
        <v>8.1900000000000001E-2</v>
      </c>
      <c r="P832" s="6">
        <v>1</v>
      </c>
      <c r="Q832" s="4" t="s">
        <v>26</v>
      </c>
      <c r="R832" s="4">
        <v>0</v>
      </c>
      <c r="S832" s="6">
        <v>0</v>
      </c>
      <c r="T832" s="6">
        <v>41</v>
      </c>
      <c r="U832" s="6">
        <v>78</v>
      </c>
      <c r="V832" s="6">
        <f>IF(ISERROR(VLOOKUP($S$832,'TAR FIN'!$A$1:$O$113,15,0)),0,VLOOKUP($S$832,'TAR FIN'!$A$1:$O$113,15,0))</f>
        <v>0</v>
      </c>
      <c r="W832" s="6">
        <f>IF(ISERROR(VLOOKUP($T$832,'TAR FIN'!$A$1:$O$113,15,0)),0,VLOOKUP($T$832,'TAR FIN'!$A$1:$O$113,15,0))</f>
        <v>203.29</v>
      </c>
      <c r="X832" s="6">
        <f>IF(ISERROR(VLOOKUP($U$832,'TAR FIN'!$A$1:$O$113,15,0)),0,VLOOKUP($U$832,'TAR FIN'!$A$1:$O$113,15,0))</f>
        <v>263.12</v>
      </c>
      <c r="Y832" s="6"/>
      <c r="Z832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832" s="6">
        <f>('TE BE'!$AB$21+'TE BF'!$AB$21+'TE CVA'!$AB$21)*(1-CUSTOS!$M$36)</f>
        <v>283.30666040677067</v>
      </c>
      <c r="AB832" s="6">
        <f>$K$832*$V$832</f>
        <v>0</v>
      </c>
      <c r="AC832" s="6">
        <f>$M$832*$W$832</f>
        <v>16.649450999999999</v>
      </c>
      <c r="AD832" s="6">
        <f>$O$832*$X$832</f>
        <v>21.549528000000002</v>
      </c>
      <c r="AE832" s="6">
        <f>$K$832*$Y$832</f>
        <v>0</v>
      </c>
      <c r="AF832" s="6">
        <f ca="1">$M$832*$Z$832</f>
        <v>19.161157781087681</v>
      </c>
      <c r="AG832" s="6">
        <f>$O$832*$AA$832</f>
        <v>23.202815487314517</v>
      </c>
    </row>
    <row r="833" spans="1:33" ht="11.25" customHeight="1" x14ac:dyDescent="0.3">
      <c r="A833" s="4" t="s">
        <v>21</v>
      </c>
      <c r="B833" s="4" t="s">
        <v>22</v>
      </c>
      <c r="C833" s="4" t="s">
        <v>23</v>
      </c>
      <c r="D833" s="4" t="s">
        <v>24</v>
      </c>
      <c r="E833" s="4" t="s">
        <v>31</v>
      </c>
      <c r="F833" s="4" t="s">
        <v>25</v>
      </c>
      <c r="G833" s="4" t="s">
        <v>25</v>
      </c>
      <c r="H833" s="4" t="s">
        <v>25</v>
      </c>
      <c r="I833" s="5">
        <v>44621</v>
      </c>
      <c r="J833" s="6">
        <v>0</v>
      </c>
      <c r="K833" s="6">
        <v>0</v>
      </c>
      <c r="L833" s="6">
        <v>274.15199999999999</v>
      </c>
      <c r="M833" s="6">
        <v>274.15199999999999</v>
      </c>
      <c r="N833" s="6">
        <v>274.15199999999999</v>
      </c>
      <c r="O833" s="6">
        <v>274.15199999999999</v>
      </c>
      <c r="P833" s="6">
        <v>3552</v>
      </c>
      <c r="Q833" s="4" t="s">
        <v>26</v>
      </c>
      <c r="R833" s="4">
        <v>0</v>
      </c>
      <c r="S833" s="6">
        <v>0</v>
      </c>
      <c r="T833" s="6">
        <v>41</v>
      </c>
      <c r="U833" s="6">
        <v>78</v>
      </c>
      <c r="V833" s="6">
        <f>IF(ISERROR(VLOOKUP($S$833,'TAR FIN'!$A$1:$O$113,15,0)),0,VLOOKUP($S$833,'TAR FIN'!$A$1:$O$113,15,0))</f>
        <v>0</v>
      </c>
      <c r="W833" s="6">
        <f>IF(ISERROR(VLOOKUP($T$833,'TAR FIN'!$A$1:$O$113,15,0)),0,VLOOKUP($T$833,'TAR FIN'!$A$1:$O$113,15,0))</f>
        <v>203.29</v>
      </c>
      <c r="X833" s="6">
        <f>IF(ISERROR(VLOOKUP($U$833,'TAR FIN'!$A$1:$O$113,15,0)),0,VLOOKUP($U$833,'TAR FIN'!$A$1:$O$113,15,0))</f>
        <v>263.12</v>
      </c>
      <c r="Y833" s="6"/>
      <c r="Z833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833" s="6">
        <f>('TE BE'!$AB$21+'TE BF'!$AB$21+'TE CVA'!$AB$21)*(1-CUSTOS!$M$36)</f>
        <v>283.30666040677067</v>
      </c>
      <c r="AB833" s="6">
        <f>$K$833*$V$833</f>
        <v>0</v>
      </c>
      <c r="AC833" s="6">
        <f>$M$833*$W$833</f>
        <v>55732.360079999999</v>
      </c>
      <c r="AD833" s="6">
        <f>$O$833*$X$833</f>
        <v>72134.874240000005</v>
      </c>
      <c r="AE833" s="6">
        <f>$K$833*$Y$833</f>
        <v>0</v>
      </c>
      <c r="AF833" s="6">
        <f ca="1">$M$833*$Z$833</f>
        <v>64140.045518934676</v>
      </c>
      <c r="AG833" s="6">
        <f>$O$833*$AA$833</f>
        <v>77669.087563836991</v>
      </c>
    </row>
    <row r="834" spans="1:33" ht="11.25" customHeight="1" x14ac:dyDescent="0.3">
      <c r="A834" s="4" t="s">
        <v>27</v>
      </c>
      <c r="B834" s="4" t="s">
        <v>22</v>
      </c>
      <c r="C834" s="4" t="s">
        <v>23</v>
      </c>
      <c r="D834" s="4" t="s">
        <v>24</v>
      </c>
      <c r="E834" s="4" t="s">
        <v>31</v>
      </c>
      <c r="F834" s="4" t="s">
        <v>25</v>
      </c>
      <c r="G834" s="4" t="s">
        <v>25</v>
      </c>
      <c r="H834" s="4" t="s">
        <v>25</v>
      </c>
      <c r="I834" s="5">
        <v>44621</v>
      </c>
      <c r="J834" s="6">
        <v>0</v>
      </c>
      <c r="K834" s="6">
        <v>0</v>
      </c>
      <c r="L834" s="6">
        <v>-0.13</v>
      </c>
      <c r="M834" s="6">
        <v>-0.13</v>
      </c>
      <c r="N834" s="6">
        <v>-0.13</v>
      </c>
      <c r="O834" s="6">
        <v>-0.13</v>
      </c>
      <c r="P834" s="6">
        <v>0</v>
      </c>
      <c r="Q834" s="4" t="s">
        <v>26</v>
      </c>
      <c r="R834" s="4">
        <v>0</v>
      </c>
      <c r="S834" s="6">
        <v>0</v>
      </c>
      <c r="T834" s="6">
        <v>41</v>
      </c>
      <c r="U834" s="6">
        <v>78</v>
      </c>
      <c r="V834" s="6">
        <f>IF(ISERROR(VLOOKUP($S$834,'TAR FIN'!$A$1:$O$113,15,0)),0,VLOOKUP($S$834,'TAR FIN'!$A$1:$O$113,15,0))</f>
        <v>0</v>
      </c>
      <c r="W834" s="6">
        <f>IF(ISERROR(VLOOKUP($T$834,'TAR FIN'!$A$1:$O$113,15,0)),0,VLOOKUP($T$834,'TAR FIN'!$A$1:$O$113,15,0))</f>
        <v>203.29</v>
      </c>
      <c r="X834" s="6">
        <f>IF(ISERROR(VLOOKUP($U$834,'TAR FIN'!$A$1:$O$113,15,0)),0,VLOOKUP($U$834,'TAR FIN'!$A$1:$O$113,15,0))</f>
        <v>263.12</v>
      </c>
      <c r="Y834" s="6"/>
      <c r="Z834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834" s="6">
        <f>('TE BE'!$AB$21+'TE BF'!$AB$21+'TE CVA'!$AB$21)*(1-CUSTOS!$M$36)</f>
        <v>283.30666040677067</v>
      </c>
      <c r="AB834" s="6">
        <f>$K$834*$V$834</f>
        <v>0</v>
      </c>
      <c r="AC834" s="6">
        <f>$M$834*$W$834</f>
        <v>-26.427700000000002</v>
      </c>
      <c r="AD834" s="6">
        <f>$O$834*$X$834</f>
        <v>-34.205600000000004</v>
      </c>
      <c r="AE834" s="6">
        <f>$K$834*$Y$834</f>
        <v>0</v>
      </c>
      <c r="AF834" s="6">
        <f ca="1">$M$834*$Z$834</f>
        <v>-30.414536160456638</v>
      </c>
      <c r="AG834" s="6">
        <f>$O$834*$AA$834</f>
        <v>-36.829865852880189</v>
      </c>
    </row>
    <row r="835" spans="1:33" ht="11.25" customHeight="1" x14ac:dyDescent="0.3">
      <c r="A835" s="4" t="s">
        <v>28</v>
      </c>
      <c r="B835" s="4" t="s">
        <v>22</v>
      </c>
      <c r="C835" s="4" t="s">
        <v>23</v>
      </c>
      <c r="D835" s="4" t="s">
        <v>24</v>
      </c>
      <c r="E835" s="4" t="s">
        <v>31</v>
      </c>
      <c r="F835" s="4" t="s">
        <v>25</v>
      </c>
      <c r="G835" s="4" t="s">
        <v>25</v>
      </c>
      <c r="H835" s="4" t="s">
        <v>25</v>
      </c>
      <c r="I835" s="5">
        <v>44621</v>
      </c>
      <c r="J835" s="6">
        <v>0</v>
      </c>
      <c r="K835" s="6">
        <v>0</v>
      </c>
      <c r="L835" s="6">
        <v>6.0999999999999999E-2</v>
      </c>
      <c r="M835" s="6">
        <v>5.4899999999999997E-2</v>
      </c>
      <c r="N835" s="6">
        <v>6.0999999999999999E-2</v>
      </c>
      <c r="O835" s="6">
        <v>5.4899999999999997E-2</v>
      </c>
      <c r="P835" s="6">
        <v>1</v>
      </c>
      <c r="Q835" s="4" t="s">
        <v>26</v>
      </c>
      <c r="R835" s="4">
        <v>0</v>
      </c>
      <c r="S835" s="6">
        <v>0</v>
      </c>
      <c r="T835" s="6">
        <v>41</v>
      </c>
      <c r="U835" s="6">
        <v>78</v>
      </c>
      <c r="V835" s="6">
        <f>IF(ISERROR(VLOOKUP($S$835,'TAR FIN'!$A$1:$O$113,15,0)),0,VLOOKUP($S$835,'TAR FIN'!$A$1:$O$113,15,0))</f>
        <v>0</v>
      </c>
      <c r="W835" s="6">
        <f>IF(ISERROR(VLOOKUP($T$835,'TAR FIN'!$A$1:$O$113,15,0)),0,VLOOKUP($T$835,'TAR FIN'!$A$1:$O$113,15,0))</f>
        <v>203.29</v>
      </c>
      <c r="X835" s="6">
        <f>IF(ISERROR(VLOOKUP($U$835,'TAR FIN'!$A$1:$O$113,15,0)),0,VLOOKUP($U$835,'TAR FIN'!$A$1:$O$113,15,0))</f>
        <v>263.12</v>
      </c>
      <c r="Y835" s="6"/>
      <c r="Z835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835" s="6">
        <f>('TE BE'!$AB$21+'TE BF'!$AB$21+'TE CVA'!$AB$21)*(1-CUSTOS!$M$36)</f>
        <v>283.30666040677067</v>
      </c>
      <c r="AB835" s="6">
        <f>$K$835*$V$835</f>
        <v>0</v>
      </c>
      <c r="AC835" s="6">
        <f>$M$835*$W$835</f>
        <v>11.160620999999999</v>
      </c>
      <c r="AD835" s="6">
        <f>$O$835*$X$835</f>
        <v>14.445288</v>
      </c>
      <c r="AE835" s="6">
        <f>$K$835*$Y$835</f>
        <v>0</v>
      </c>
      <c r="AF835" s="6">
        <f ca="1">$M$835*$Z$835</f>
        <v>12.844292578531302</v>
      </c>
      <c r="AG835" s="6">
        <f>$O$835*$AA$835</f>
        <v>15.553535656331709</v>
      </c>
    </row>
    <row r="836" spans="1:33" ht="11.25" customHeight="1" x14ac:dyDescent="0.3">
      <c r="A836" s="4" t="s">
        <v>21</v>
      </c>
      <c r="B836" s="4" t="s">
        <v>22</v>
      </c>
      <c r="C836" s="4" t="s">
        <v>23</v>
      </c>
      <c r="D836" s="4" t="s">
        <v>24</v>
      </c>
      <c r="E836" s="4" t="s">
        <v>31</v>
      </c>
      <c r="F836" s="4" t="s">
        <v>25</v>
      </c>
      <c r="G836" s="4" t="s">
        <v>25</v>
      </c>
      <c r="H836" s="4" t="s">
        <v>25</v>
      </c>
      <c r="I836" s="5">
        <v>44652</v>
      </c>
      <c r="J836" s="6">
        <v>0</v>
      </c>
      <c r="K836" s="6">
        <v>0</v>
      </c>
      <c r="L836" s="6">
        <v>274.327</v>
      </c>
      <c r="M836" s="6">
        <v>274.327</v>
      </c>
      <c r="N836" s="6">
        <v>274.327</v>
      </c>
      <c r="O836" s="6">
        <v>274.327</v>
      </c>
      <c r="P836" s="6">
        <v>3519</v>
      </c>
      <c r="Q836" s="4" t="s">
        <v>26</v>
      </c>
      <c r="R836" s="4">
        <v>0</v>
      </c>
      <c r="S836" s="6">
        <v>0</v>
      </c>
      <c r="T836" s="6">
        <v>41</v>
      </c>
      <c r="U836" s="6">
        <v>78</v>
      </c>
      <c r="V836" s="6">
        <f>IF(ISERROR(VLOOKUP($S$836,'TAR FIN'!$A$1:$O$113,15,0)),0,VLOOKUP($S$836,'TAR FIN'!$A$1:$O$113,15,0))</f>
        <v>0</v>
      </c>
      <c r="W836" s="6">
        <f>IF(ISERROR(VLOOKUP($T$836,'TAR FIN'!$A$1:$O$113,15,0)),0,VLOOKUP($T$836,'TAR FIN'!$A$1:$O$113,15,0))</f>
        <v>203.29</v>
      </c>
      <c r="X836" s="6">
        <f>IF(ISERROR(VLOOKUP($U$836,'TAR FIN'!$A$1:$O$113,15,0)),0,VLOOKUP($U$836,'TAR FIN'!$A$1:$O$113,15,0))</f>
        <v>263.12</v>
      </c>
      <c r="Y836" s="6"/>
      <c r="Z836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836" s="6">
        <f>('TE BE'!$AB$21+'TE BF'!$AB$21+'TE CVA'!$AB$21)*(1-CUSTOS!$M$36)</f>
        <v>283.30666040677067</v>
      </c>
      <c r="AB836" s="6">
        <f>$K$836*$V$836</f>
        <v>0</v>
      </c>
      <c r="AC836" s="6">
        <f>$M$836*$W$836</f>
        <v>55767.935829999995</v>
      </c>
      <c r="AD836" s="6">
        <f>$O$836*$X$836</f>
        <v>72180.920240000007</v>
      </c>
      <c r="AE836" s="6">
        <f>$K$836*$Y$836</f>
        <v>0</v>
      </c>
      <c r="AF836" s="6">
        <f ca="1">$M$836*$Z$836</f>
        <v>64180.988163766066</v>
      </c>
      <c r="AG836" s="6">
        <f>$O$836*$AA$836</f>
        <v>77718.666229408176</v>
      </c>
    </row>
    <row r="837" spans="1:33" ht="11.25" customHeight="1" x14ac:dyDescent="0.3">
      <c r="A837" s="4" t="s">
        <v>27</v>
      </c>
      <c r="B837" s="4" t="s">
        <v>22</v>
      </c>
      <c r="C837" s="4" t="s">
        <v>23</v>
      </c>
      <c r="D837" s="4" t="s">
        <v>24</v>
      </c>
      <c r="E837" s="4" t="s">
        <v>31</v>
      </c>
      <c r="F837" s="4" t="s">
        <v>25</v>
      </c>
      <c r="G837" s="4" t="s">
        <v>25</v>
      </c>
      <c r="H837" s="4" t="s">
        <v>25</v>
      </c>
      <c r="I837" s="5">
        <v>44652</v>
      </c>
      <c r="J837" s="6">
        <v>0</v>
      </c>
      <c r="K837" s="6">
        <v>0</v>
      </c>
      <c r="L837" s="6">
        <v>0.21099999999999999</v>
      </c>
      <c r="M837" s="6">
        <v>0.21099999999999999</v>
      </c>
      <c r="N837" s="6">
        <v>0.21099999999999999</v>
      </c>
      <c r="O837" s="6">
        <v>0.21099999999999999</v>
      </c>
      <c r="P837" s="6">
        <v>0</v>
      </c>
      <c r="Q837" s="4" t="s">
        <v>26</v>
      </c>
      <c r="R837" s="4">
        <v>0</v>
      </c>
      <c r="S837" s="6">
        <v>0</v>
      </c>
      <c r="T837" s="6">
        <v>41</v>
      </c>
      <c r="U837" s="6">
        <v>78</v>
      </c>
      <c r="V837" s="6">
        <f>IF(ISERROR(VLOOKUP($S$837,'TAR FIN'!$A$1:$O$113,15,0)),0,VLOOKUP($S$837,'TAR FIN'!$A$1:$O$113,15,0))</f>
        <v>0</v>
      </c>
      <c r="W837" s="6">
        <f>IF(ISERROR(VLOOKUP($T$837,'TAR FIN'!$A$1:$O$113,15,0)),0,VLOOKUP($T$837,'TAR FIN'!$A$1:$O$113,15,0))</f>
        <v>203.29</v>
      </c>
      <c r="X837" s="6">
        <f>IF(ISERROR(VLOOKUP($U$837,'TAR FIN'!$A$1:$O$113,15,0)),0,VLOOKUP($U$837,'TAR FIN'!$A$1:$O$113,15,0))</f>
        <v>263.12</v>
      </c>
      <c r="Y837" s="6"/>
      <c r="Z837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837" s="6">
        <f>('TE BE'!$AB$21+'TE BF'!$AB$21+'TE CVA'!$AB$21)*(1-CUSTOS!$M$36)</f>
        <v>283.30666040677067</v>
      </c>
      <c r="AB837" s="6">
        <f>$K$837*$V$837</f>
        <v>0</v>
      </c>
      <c r="AC837" s="6">
        <f>$M$837*$W$837</f>
        <v>42.894189999999995</v>
      </c>
      <c r="AD837" s="6">
        <f>$O$837*$X$837</f>
        <v>55.518319999999996</v>
      </c>
      <c r="AE837" s="6">
        <f>$K$837*$Y$837</f>
        <v>0</v>
      </c>
      <c r="AF837" s="6">
        <f ca="1">$M$837*$Z$837</f>
        <v>49.365131768125771</v>
      </c>
      <c r="AG837" s="6">
        <f>$O$837*$AA$837</f>
        <v>59.777705345828608</v>
      </c>
    </row>
    <row r="838" spans="1:33" ht="11.25" customHeight="1" x14ac:dyDescent="0.3">
      <c r="A838" s="4" t="s">
        <v>21</v>
      </c>
      <c r="B838" s="4" t="s">
        <v>22</v>
      </c>
      <c r="C838" s="4" t="s">
        <v>23</v>
      </c>
      <c r="D838" s="4" t="s">
        <v>24</v>
      </c>
      <c r="E838" s="4" t="s">
        <v>31</v>
      </c>
      <c r="F838" s="4" t="s">
        <v>25</v>
      </c>
      <c r="G838" s="4" t="s">
        <v>25</v>
      </c>
      <c r="H838" s="4" t="s">
        <v>25</v>
      </c>
      <c r="I838" s="5">
        <v>44682</v>
      </c>
      <c r="J838" s="6">
        <v>0</v>
      </c>
      <c r="K838" s="6">
        <v>0</v>
      </c>
      <c r="L838" s="6">
        <v>287.44</v>
      </c>
      <c r="M838" s="6">
        <v>287.44</v>
      </c>
      <c r="N838" s="6">
        <v>287.44</v>
      </c>
      <c r="O838" s="6">
        <v>287.44</v>
      </c>
      <c r="P838" s="6">
        <v>3527</v>
      </c>
      <c r="Q838" s="4" t="s">
        <v>26</v>
      </c>
      <c r="R838" s="4">
        <v>0</v>
      </c>
      <c r="S838" s="6">
        <v>0</v>
      </c>
      <c r="T838" s="6">
        <v>41</v>
      </c>
      <c r="U838" s="6">
        <v>78</v>
      </c>
      <c r="V838" s="6">
        <f>IF(ISERROR(VLOOKUP($S$838,'TAR FIN'!$A$1:$O$113,15,0)),0,VLOOKUP($S$838,'TAR FIN'!$A$1:$O$113,15,0))</f>
        <v>0</v>
      </c>
      <c r="W838" s="6">
        <f>IF(ISERROR(VLOOKUP($T$838,'TAR FIN'!$A$1:$O$113,15,0)),0,VLOOKUP($T$838,'TAR FIN'!$A$1:$O$113,15,0))</f>
        <v>203.29</v>
      </c>
      <c r="X838" s="6">
        <f>IF(ISERROR(VLOOKUP($U$838,'TAR FIN'!$A$1:$O$113,15,0)),0,VLOOKUP($U$838,'TAR FIN'!$A$1:$O$113,15,0))</f>
        <v>263.12</v>
      </c>
      <c r="Y838" s="6"/>
      <c r="Z838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838" s="6">
        <f>('TE BE'!$AB$21+'TE BF'!$AB$21+'TE CVA'!$AB$21)*(1-CUSTOS!$M$36)</f>
        <v>283.30666040677067</v>
      </c>
      <c r="AB838" s="6">
        <f>$K$838*$V$838</f>
        <v>0</v>
      </c>
      <c r="AC838" s="6">
        <f>$M$838*$W$838</f>
        <v>58433.677599999995</v>
      </c>
      <c r="AD838" s="6">
        <f>$O$838*$X$838</f>
        <v>75631.212799999994</v>
      </c>
      <c r="AE838" s="6">
        <f>$K$838*$Y$838</f>
        <v>0</v>
      </c>
      <c r="AF838" s="6">
        <f ca="1">$M$838*$Z$838</f>
        <v>67248.879030474272</v>
      </c>
      <c r="AG838" s="6">
        <f>$O$838*$AA$838</f>
        <v>81433.666467322168</v>
      </c>
    </row>
    <row r="839" spans="1:33" ht="11.25" customHeight="1" x14ac:dyDescent="0.3">
      <c r="A839" s="4" t="s">
        <v>27</v>
      </c>
      <c r="B839" s="4" t="s">
        <v>22</v>
      </c>
      <c r="C839" s="4" t="s">
        <v>23</v>
      </c>
      <c r="D839" s="4" t="s">
        <v>24</v>
      </c>
      <c r="E839" s="4" t="s">
        <v>31</v>
      </c>
      <c r="F839" s="4" t="s">
        <v>25</v>
      </c>
      <c r="G839" s="4" t="s">
        <v>25</v>
      </c>
      <c r="H839" s="4" t="s">
        <v>25</v>
      </c>
      <c r="I839" s="5">
        <v>44682</v>
      </c>
      <c r="J839" s="6">
        <v>0</v>
      </c>
      <c r="K839" s="6">
        <v>0</v>
      </c>
      <c r="L839" s="6">
        <v>-0.114</v>
      </c>
      <c r="M839" s="6">
        <v>-0.114</v>
      </c>
      <c r="N839" s="6">
        <v>-0.114</v>
      </c>
      <c r="O839" s="6">
        <v>-0.114</v>
      </c>
      <c r="P839" s="6">
        <v>0</v>
      </c>
      <c r="Q839" s="4" t="s">
        <v>26</v>
      </c>
      <c r="R839" s="4">
        <v>0</v>
      </c>
      <c r="S839" s="6">
        <v>0</v>
      </c>
      <c r="T839" s="6">
        <v>41</v>
      </c>
      <c r="U839" s="6">
        <v>78</v>
      </c>
      <c r="V839" s="6">
        <f>IF(ISERROR(VLOOKUP($S$839,'TAR FIN'!$A$1:$O$113,15,0)),0,VLOOKUP($S$839,'TAR FIN'!$A$1:$O$113,15,0))</f>
        <v>0</v>
      </c>
      <c r="W839" s="6">
        <f>IF(ISERROR(VLOOKUP($T$839,'TAR FIN'!$A$1:$O$113,15,0)),0,VLOOKUP($T$839,'TAR FIN'!$A$1:$O$113,15,0))</f>
        <v>203.29</v>
      </c>
      <c r="X839" s="6">
        <f>IF(ISERROR(VLOOKUP($U$839,'TAR FIN'!$A$1:$O$113,15,0)),0,VLOOKUP($U$839,'TAR FIN'!$A$1:$O$113,15,0))</f>
        <v>263.12</v>
      </c>
      <c r="Y839" s="6"/>
      <c r="Z839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839" s="6">
        <f>('TE BE'!$AB$21+'TE BF'!$AB$21+'TE CVA'!$AB$21)*(1-CUSTOS!$M$36)</f>
        <v>283.30666040677067</v>
      </c>
      <c r="AB839" s="6">
        <f>$K$839*$V$839</f>
        <v>0</v>
      </c>
      <c r="AC839" s="6">
        <f>$M$839*$W$839</f>
        <v>-23.175059999999998</v>
      </c>
      <c r="AD839" s="6">
        <f>$O$839*$X$839</f>
        <v>-29.99568</v>
      </c>
      <c r="AE839" s="6">
        <f>$K$839*$Y$839</f>
        <v>0</v>
      </c>
      <c r="AF839" s="6">
        <f ca="1">$M$839*$Z$839</f>
        <v>-26.671208633015823</v>
      </c>
      <c r="AG839" s="6">
        <f>$O$839*$AA$839</f>
        <v>-32.296959286371859</v>
      </c>
    </row>
    <row r="840" spans="1:33" ht="11.25" customHeight="1" x14ac:dyDescent="0.3">
      <c r="A840" s="4" t="s">
        <v>21</v>
      </c>
      <c r="B840" s="4" t="s">
        <v>22</v>
      </c>
      <c r="C840" s="4" t="s">
        <v>23</v>
      </c>
      <c r="D840" s="4" t="s">
        <v>24</v>
      </c>
      <c r="E840" s="4" t="s">
        <v>31</v>
      </c>
      <c r="F840" s="4" t="s">
        <v>25</v>
      </c>
      <c r="G840" s="4" t="s">
        <v>25</v>
      </c>
      <c r="H840" s="4" t="s">
        <v>25</v>
      </c>
      <c r="I840" s="5">
        <v>44713</v>
      </c>
      <c r="J840" s="6">
        <v>0</v>
      </c>
      <c r="K840" s="6">
        <v>0</v>
      </c>
      <c r="L840" s="6">
        <v>268.04700000000003</v>
      </c>
      <c r="M840" s="6">
        <v>268.04700000000003</v>
      </c>
      <c r="N840" s="6">
        <v>268.04700000000003</v>
      </c>
      <c r="O840" s="6">
        <v>268.04700000000003</v>
      </c>
      <c r="P840" s="6">
        <v>3259</v>
      </c>
      <c r="Q840" s="4" t="s">
        <v>26</v>
      </c>
      <c r="R840" s="4">
        <v>0</v>
      </c>
      <c r="S840" s="6">
        <v>0</v>
      </c>
      <c r="T840" s="6">
        <v>41</v>
      </c>
      <c r="U840" s="6">
        <v>78</v>
      </c>
      <c r="V840" s="6">
        <f>IF(ISERROR(VLOOKUP($S$840,'TAR FIN'!$A$1:$O$113,15,0)),0,VLOOKUP($S$840,'TAR FIN'!$A$1:$O$113,15,0))</f>
        <v>0</v>
      </c>
      <c r="W840" s="6">
        <f>IF(ISERROR(VLOOKUP($T$840,'TAR FIN'!$A$1:$O$113,15,0)),0,VLOOKUP($T$840,'TAR FIN'!$A$1:$O$113,15,0))</f>
        <v>203.29</v>
      </c>
      <c r="X840" s="6">
        <f>IF(ISERROR(VLOOKUP($U$840,'TAR FIN'!$A$1:$O$113,15,0)),0,VLOOKUP($U$840,'TAR FIN'!$A$1:$O$113,15,0))</f>
        <v>263.12</v>
      </c>
      <c r="Y840" s="6"/>
      <c r="Z840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840" s="6">
        <f>('TE BE'!$AB$21+'TE BF'!$AB$21+'TE CVA'!$AB$21)*(1-CUSTOS!$M$36)</f>
        <v>283.30666040677067</v>
      </c>
      <c r="AB840" s="6">
        <f>$K$840*$V$840</f>
        <v>0</v>
      </c>
      <c r="AC840" s="6">
        <f>$M$840*$W$840</f>
        <v>54491.27463</v>
      </c>
      <c r="AD840" s="6">
        <f>$O$840*$X$840</f>
        <v>70528.526640000011</v>
      </c>
      <c r="AE840" s="6">
        <f>$K$840*$Y$840</f>
        <v>0</v>
      </c>
      <c r="AF840" s="6">
        <f ca="1">$M$840*$Z$840</f>
        <v>62711.732109245546</v>
      </c>
      <c r="AG840" s="6">
        <f>$O$840*$AA$840</f>
        <v>75939.500402053673</v>
      </c>
    </row>
    <row r="841" spans="1:33" ht="11.25" customHeight="1" x14ac:dyDescent="0.3">
      <c r="A841" s="4" t="s">
        <v>27</v>
      </c>
      <c r="B841" s="4" t="s">
        <v>22</v>
      </c>
      <c r="C841" s="4" t="s">
        <v>23</v>
      </c>
      <c r="D841" s="4" t="s">
        <v>24</v>
      </c>
      <c r="E841" s="4" t="s">
        <v>31</v>
      </c>
      <c r="F841" s="4" t="s">
        <v>25</v>
      </c>
      <c r="G841" s="4" t="s">
        <v>25</v>
      </c>
      <c r="H841" s="4" t="s">
        <v>25</v>
      </c>
      <c r="I841" s="5">
        <v>44713</v>
      </c>
      <c r="J841" s="6">
        <v>0</v>
      </c>
      <c r="K841" s="6">
        <v>0</v>
      </c>
      <c r="L841" s="6">
        <v>-3.5999999999999997E-2</v>
      </c>
      <c r="M841" s="6">
        <v>-3.5999999999999997E-2</v>
      </c>
      <c r="N841" s="6">
        <v>-3.5999999999999997E-2</v>
      </c>
      <c r="O841" s="6">
        <v>-3.5999999999999997E-2</v>
      </c>
      <c r="P841" s="6">
        <v>0</v>
      </c>
      <c r="Q841" s="4" t="s">
        <v>26</v>
      </c>
      <c r="R841" s="4">
        <v>0</v>
      </c>
      <c r="S841" s="6">
        <v>0</v>
      </c>
      <c r="T841" s="6">
        <v>41</v>
      </c>
      <c r="U841" s="6">
        <v>78</v>
      </c>
      <c r="V841" s="6">
        <f>IF(ISERROR(VLOOKUP($S$841,'TAR FIN'!$A$1:$O$113,15,0)),0,VLOOKUP($S$841,'TAR FIN'!$A$1:$O$113,15,0))</f>
        <v>0</v>
      </c>
      <c r="W841" s="6">
        <f>IF(ISERROR(VLOOKUP($T$841,'TAR FIN'!$A$1:$O$113,15,0)),0,VLOOKUP($T$841,'TAR FIN'!$A$1:$O$113,15,0))</f>
        <v>203.29</v>
      </c>
      <c r="X841" s="6">
        <f>IF(ISERROR(VLOOKUP($U$841,'TAR FIN'!$A$1:$O$113,15,0)),0,VLOOKUP($U$841,'TAR FIN'!$A$1:$O$113,15,0))</f>
        <v>263.12</v>
      </c>
      <c r="Y841" s="6"/>
      <c r="Z841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841" s="6">
        <f>('TE BE'!$AB$21+'TE BF'!$AB$21+'TE CVA'!$AB$21)*(1-CUSTOS!$M$36)</f>
        <v>283.30666040677067</v>
      </c>
      <c r="AB841" s="6">
        <f>$K$841*$V$841</f>
        <v>0</v>
      </c>
      <c r="AC841" s="6">
        <f>$M$841*$W$841</f>
        <v>-7.3184399999999989</v>
      </c>
      <c r="AD841" s="6">
        <f>$O$841*$X$841</f>
        <v>-9.4723199999999999</v>
      </c>
      <c r="AE841" s="6">
        <f>$K$841*$Y$841</f>
        <v>0</v>
      </c>
      <c r="AF841" s="6">
        <f ca="1">$M$841*$Z$841</f>
        <v>-8.4224869367418371</v>
      </c>
      <c r="AG841" s="6">
        <f>$O$841*$AA$841</f>
        <v>-10.199039774643744</v>
      </c>
    </row>
    <row r="842" spans="1:33" ht="11.25" customHeight="1" x14ac:dyDescent="0.3">
      <c r="A842" s="4" t="s">
        <v>21</v>
      </c>
      <c r="B842" s="4" t="s">
        <v>22</v>
      </c>
      <c r="C842" s="4" t="s">
        <v>23</v>
      </c>
      <c r="D842" s="4" t="s">
        <v>24</v>
      </c>
      <c r="E842" s="4" t="s">
        <v>31</v>
      </c>
      <c r="F842" s="4" t="s">
        <v>25</v>
      </c>
      <c r="G842" s="4" t="s">
        <v>25</v>
      </c>
      <c r="H842" s="4" t="s">
        <v>25</v>
      </c>
      <c r="I842" s="5">
        <v>44743</v>
      </c>
      <c r="J842" s="6">
        <v>0</v>
      </c>
      <c r="K842" s="6">
        <v>0</v>
      </c>
      <c r="L842" s="6">
        <v>266.54399999999998</v>
      </c>
      <c r="M842" s="6">
        <v>266.54399999999998</v>
      </c>
      <c r="N842" s="6">
        <v>266.54399999999998</v>
      </c>
      <c r="O842" s="6">
        <v>266.54399999999998</v>
      </c>
      <c r="P842" s="6">
        <v>2982</v>
      </c>
      <c r="Q842" s="4" t="s">
        <v>26</v>
      </c>
      <c r="R842" s="4">
        <v>0</v>
      </c>
      <c r="S842" s="6">
        <v>0</v>
      </c>
      <c r="T842" s="6">
        <v>41</v>
      </c>
      <c r="U842" s="6">
        <v>78</v>
      </c>
      <c r="V842" s="6">
        <f>IF(ISERROR(VLOOKUP($S$842,'TAR FIN'!$A$1:$O$113,15,0)),0,VLOOKUP($S$842,'TAR FIN'!$A$1:$O$113,15,0))</f>
        <v>0</v>
      </c>
      <c r="W842" s="6">
        <f>IF(ISERROR(VLOOKUP($T$842,'TAR FIN'!$A$1:$O$113,15,0)),0,VLOOKUP($T$842,'TAR FIN'!$A$1:$O$113,15,0))</f>
        <v>203.29</v>
      </c>
      <c r="X842" s="6">
        <f>IF(ISERROR(VLOOKUP($U$842,'TAR FIN'!$A$1:$O$113,15,0)),0,VLOOKUP($U$842,'TAR FIN'!$A$1:$O$113,15,0))</f>
        <v>263.12</v>
      </c>
      <c r="Y842" s="6"/>
      <c r="Z842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842" s="6">
        <f>('TE BE'!$AB$21+'TE BF'!$AB$21+'TE CVA'!$AB$21)*(1-CUSTOS!$M$36)</f>
        <v>283.30666040677067</v>
      </c>
      <c r="AB842" s="6">
        <f>$K$842*$V$842</f>
        <v>0</v>
      </c>
      <c r="AC842" s="6">
        <f>$M$842*$W$842</f>
        <v>54185.729759999995</v>
      </c>
      <c r="AD842" s="6">
        <f>$O$842*$X$842</f>
        <v>70133.057279999994</v>
      </c>
      <c r="AE842" s="6">
        <f>$K$842*$Y$842</f>
        <v>0</v>
      </c>
      <c r="AF842" s="6">
        <f ca="1">$M$842*$Z$842</f>
        <v>62360.093279636567</v>
      </c>
      <c r="AG842" s="6">
        <f>$O$842*$AA$842</f>
        <v>75513.690491462272</v>
      </c>
    </row>
    <row r="843" spans="1:33" ht="11.25" customHeight="1" x14ac:dyDescent="0.3">
      <c r="A843" s="4" t="s">
        <v>21</v>
      </c>
      <c r="B843" s="4" t="s">
        <v>22</v>
      </c>
      <c r="C843" s="4" t="s">
        <v>23</v>
      </c>
      <c r="D843" s="4" t="s">
        <v>24</v>
      </c>
      <c r="E843" s="4" t="s">
        <v>31</v>
      </c>
      <c r="F843" s="4" t="s">
        <v>25</v>
      </c>
      <c r="G843" s="4" t="s">
        <v>25</v>
      </c>
      <c r="H843" s="4" t="s">
        <v>25</v>
      </c>
      <c r="I843" s="5">
        <v>44774</v>
      </c>
      <c r="J843" s="6">
        <v>0</v>
      </c>
      <c r="K843" s="6">
        <v>0</v>
      </c>
      <c r="L843" s="6">
        <v>265.86900000000003</v>
      </c>
      <c r="M843" s="6">
        <v>265.86900000000003</v>
      </c>
      <c r="N843" s="6">
        <v>265.86900000000003</v>
      </c>
      <c r="O843" s="6">
        <v>265.86900000000003</v>
      </c>
      <c r="P843" s="6">
        <v>3152</v>
      </c>
      <c r="Q843" s="4" t="s">
        <v>26</v>
      </c>
      <c r="R843" s="4">
        <v>0</v>
      </c>
      <c r="S843" s="6">
        <v>0</v>
      </c>
      <c r="T843" s="6">
        <v>41</v>
      </c>
      <c r="U843" s="6">
        <v>78</v>
      </c>
      <c r="V843" s="6">
        <f>IF(ISERROR(VLOOKUP($S$843,'TAR FIN'!$A$1:$O$113,15,0)),0,VLOOKUP($S$843,'TAR FIN'!$A$1:$O$113,15,0))</f>
        <v>0</v>
      </c>
      <c r="W843" s="6">
        <f>IF(ISERROR(VLOOKUP($T$843,'TAR FIN'!$A$1:$O$113,15,0)),0,VLOOKUP($T$843,'TAR FIN'!$A$1:$O$113,15,0))</f>
        <v>203.29</v>
      </c>
      <c r="X843" s="6">
        <f>IF(ISERROR(VLOOKUP($U$843,'TAR FIN'!$A$1:$O$113,15,0)),0,VLOOKUP($U$843,'TAR FIN'!$A$1:$O$113,15,0))</f>
        <v>263.12</v>
      </c>
      <c r="Y843" s="6"/>
      <c r="Z843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843" s="6">
        <f>('TE BE'!$AB$21+'TE BF'!$AB$21+'TE CVA'!$AB$21)*(1-CUSTOS!$M$36)</f>
        <v>283.30666040677067</v>
      </c>
      <c r="AB843" s="6">
        <f>$K$843*$V$843</f>
        <v>0</v>
      </c>
      <c r="AC843" s="6">
        <f>$M$843*$W$843</f>
        <v>54048.509010000002</v>
      </c>
      <c r="AD843" s="6">
        <f>$O$843*$X$843</f>
        <v>69955.451280000008</v>
      </c>
      <c r="AE843" s="6">
        <f>$K$843*$Y$843</f>
        <v>0</v>
      </c>
      <c r="AF843" s="6">
        <f ca="1">$M$843*$Z$843</f>
        <v>62202.171649572665</v>
      </c>
      <c r="AG843" s="6">
        <f>$O$843*$AA$843</f>
        <v>75322.458495687722</v>
      </c>
    </row>
    <row r="844" spans="1:33" ht="11.25" customHeight="1" x14ac:dyDescent="0.3">
      <c r="A844" s="4" t="s">
        <v>27</v>
      </c>
      <c r="B844" s="4" t="s">
        <v>22</v>
      </c>
      <c r="C844" s="4" t="s">
        <v>23</v>
      </c>
      <c r="D844" s="4" t="s">
        <v>24</v>
      </c>
      <c r="E844" s="4" t="s">
        <v>31</v>
      </c>
      <c r="F844" s="4" t="s">
        <v>25</v>
      </c>
      <c r="G844" s="4" t="s">
        <v>25</v>
      </c>
      <c r="H844" s="4" t="s">
        <v>25</v>
      </c>
      <c r="I844" s="5">
        <v>44774</v>
      </c>
      <c r="J844" s="6">
        <v>0</v>
      </c>
      <c r="K844" s="6">
        <v>0</v>
      </c>
      <c r="L844" s="6">
        <v>-5.0999999999999997E-2</v>
      </c>
      <c r="M844" s="6">
        <v>-5.0999999999999997E-2</v>
      </c>
      <c r="N844" s="6">
        <v>-5.0999999999999997E-2</v>
      </c>
      <c r="O844" s="6">
        <v>-5.0999999999999997E-2</v>
      </c>
      <c r="P844" s="6">
        <v>0</v>
      </c>
      <c r="Q844" s="4" t="s">
        <v>26</v>
      </c>
      <c r="R844" s="4">
        <v>0</v>
      </c>
      <c r="S844" s="6">
        <v>0</v>
      </c>
      <c r="T844" s="6">
        <v>41</v>
      </c>
      <c r="U844" s="6">
        <v>78</v>
      </c>
      <c r="V844" s="6">
        <f>IF(ISERROR(VLOOKUP($S$844,'TAR FIN'!$A$1:$O$113,15,0)),0,VLOOKUP($S$844,'TAR FIN'!$A$1:$O$113,15,0))</f>
        <v>0</v>
      </c>
      <c r="W844" s="6">
        <f>IF(ISERROR(VLOOKUP($T$844,'TAR FIN'!$A$1:$O$113,15,0)),0,VLOOKUP($T$844,'TAR FIN'!$A$1:$O$113,15,0))</f>
        <v>203.29</v>
      </c>
      <c r="X844" s="6">
        <f>IF(ISERROR(VLOOKUP($U$844,'TAR FIN'!$A$1:$O$113,15,0)),0,VLOOKUP($U$844,'TAR FIN'!$A$1:$O$113,15,0))</f>
        <v>263.12</v>
      </c>
      <c r="Y844" s="6"/>
      <c r="Z844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844" s="6">
        <f>('TE BE'!$AB$21+'TE BF'!$AB$21+'TE CVA'!$AB$21)*(1-CUSTOS!$M$36)</f>
        <v>283.30666040677067</v>
      </c>
      <c r="AB844" s="6">
        <f>$K$844*$V$844</f>
        <v>0</v>
      </c>
      <c r="AC844" s="6">
        <f>$M$844*$W$844</f>
        <v>-10.367789999999999</v>
      </c>
      <c r="AD844" s="6">
        <f>$O$844*$X$844</f>
        <v>-13.419119999999999</v>
      </c>
      <c r="AE844" s="6">
        <f>$K$844*$Y$844</f>
        <v>0</v>
      </c>
      <c r="AF844" s="6">
        <f ca="1">$M$844*$Z$844</f>
        <v>-11.931856493717603</v>
      </c>
      <c r="AG844" s="6">
        <f>$O$844*$AA$844</f>
        <v>-14.448639680745304</v>
      </c>
    </row>
    <row r="845" spans="1:33" ht="11.25" customHeight="1" x14ac:dyDescent="0.3">
      <c r="A845" s="4" t="s">
        <v>21</v>
      </c>
      <c r="B845" s="4" t="s">
        <v>22</v>
      </c>
      <c r="C845" s="4" t="s">
        <v>23</v>
      </c>
      <c r="D845" s="4" t="s">
        <v>24</v>
      </c>
      <c r="E845" s="4" t="s">
        <v>31</v>
      </c>
      <c r="F845" s="4" t="s">
        <v>25</v>
      </c>
      <c r="G845" s="4" t="s">
        <v>25</v>
      </c>
      <c r="H845" s="4" t="s">
        <v>25</v>
      </c>
      <c r="I845" s="5">
        <v>44805</v>
      </c>
      <c r="J845" s="6">
        <v>0</v>
      </c>
      <c r="K845" s="6">
        <v>0</v>
      </c>
      <c r="L845" s="6">
        <v>307.63299999999998</v>
      </c>
      <c r="M845" s="6">
        <v>307.63299999999998</v>
      </c>
      <c r="N845" s="6">
        <v>307.63299999999998</v>
      </c>
      <c r="O845" s="6">
        <v>307.63299999999998</v>
      </c>
      <c r="P845" s="6">
        <v>3223</v>
      </c>
      <c r="Q845" s="4" t="s">
        <v>26</v>
      </c>
      <c r="R845" s="4">
        <v>0</v>
      </c>
      <c r="S845" s="6">
        <v>0</v>
      </c>
      <c r="T845" s="6">
        <v>41</v>
      </c>
      <c r="U845" s="6">
        <v>78</v>
      </c>
      <c r="V845" s="6">
        <f>IF(ISERROR(VLOOKUP($S$845,'TAR FIN'!$A$1:$O$113,15,0)),0,VLOOKUP($S$845,'TAR FIN'!$A$1:$O$113,15,0))</f>
        <v>0</v>
      </c>
      <c r="W845" s="6">
        <f>IF(ISERROR(VLOOKUP($T$845,'TAR FIN'!$A$1:$O$113,15,0)),0,VLOOKUP($T$845,'TAR FIN'!$A$1:$O$113,15,0))</f>
        <v>203.29</v>
      </c>
      <c r="X845" s="6">
        <f>IF(ISERROR(VLOOKUP($U$845,'TAR FIN'!$A$1:$O$113,15,0)),0,VLOOKUP($U$845,'TAR FIN'!$A$1:$O$113,15,0))</f>
        <v>263.12</v>
      </c>
      <c r="Y845" s="6"/>
      <c r="Z845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845" s="6">
        <f>('TE BE'!$AB$21+'TE BF'!$AB$21+'TE CVA'!$AB$21)*(1-CUSTOS!$M$36)</f>
        <v>283.30666040677067</v>
      </c>
      <c r="AB845" s="6">
        <f>$K$845*$V$845</f>
        <v>0</v>
      </c>
      <c r="AC845" s="6">
        <f>$M$845*$W$845</f>
        <v>62538.712569999996</v>
      </c>
      <c r="AD845" s="6">
        <f>$O$845*$X$845</f>
        <v>80944.394959999991</v>
      </c>
      <c r="AE845" s="6">
        <f>$K$845*$Y$845</f>
        <v>0</v>
      </c>
      <c r="AF845" s="6">
        <f ca="1">$M$845*$Z$845</f>
        <v>71973.192328075049</v>
      </c>
      <c r="AG845" s="6">
        <f>$O$845*$AA$845</f>
        <v>87154.477860916071</v>
      </c>
    </row>
    <row r="846" spans="1:33" ht="11.25" customHeight="1" x14ac:dyDescent="0.3">
      <c r="A846" s="4" t="s">
        <v>27</v>
      </c>
      <c r="B846" s="4" t="s">
        <v>22</v>
      </c>
      <c r="C846" s="4" t="s">
        <v>23</v>
      </c>
      <c r="D846" s="4" t="s">
        <v>24</v>
      </c>
      <c r="E846" s="4" t="s">
        <v>31</v>
      </c>
      <c r="F846" s="4" t="s">
        <v>25</v>
      </c>
      <c r="G846" s="4" t="s">
        <v>25</v>
      </c>
      <c r="H846" s="4" t="s">
        <v>25</v>
      </c>
      <c r="I846" s="5">
        <v>44805</v>
      </c>
      <c r="J846" s="6">
        <v>0</v>
      </c>
      <c r="K846" s="6">
        <v>0</v>
      </c>
      <c r="L846" s="6">
        <v>-7.4999999999999997E-2</v>
      </c>
      <c r="M846" s="6">
        <v>-7.4999999999999997E-2</v>
      </c>
      <c r="N846" s="6">
        <v>-7.4999999999999997E-2</v>
      </c>
      <c r="O846" s="6">
        <v>-7.4999999999999997E-2</v>
      </c>
      <c r="P846" s="6">
        <v>0</v>
      </c>
      <c r="Q846" s="4" t="s">
        <v>26</v>
      </c>
      <c r="R846" s="4">
        <v>0</v>
      </c>
      <c r="S846" s="6">
        <v>0</v>
      </c>
      <c r="T846" s="6">
        <v>41</v>
      </c>
      <c r="U846" s="6">
        <v>78</v>
      </c>
      <c r="V846" s="6">
        <f>IF(ISERROR(VLOOKUP($S$846,'TAR FIN'!$A$1:$O$113,15,0)),0,VLOOKUP($S$846,'TAR FIN'!$A$1:$O$113,15,0))</f>
        <v>0</v>
      </c>
      <c r="W846" s="6">
        <f>IF(ISERROR(VLOOKUP($T$846,'TAR FIN'!$A$1:$O$113,15,0)),0,VLOOKUP($T$846,'TAR FIN'!$A$1:$O$113,15,0))</f>
        <v>203.29</v>
      </c>
      <c r="X846" s="6">
        <f>IF(ISERROR(VLOOKUP($U$846,'TAR FIN'!$A$1:$O$113,15,0)),0,VLOOKUP($U$846,'TAR FIN'!$A$1:$O$113,15,0))</f>
        <v>263.12</v>
      </c>
      <c r="Y846" s="6"/>
      <c r="Z846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846" s="6">
        <f>('TE BE'!$AB$21+'TE BF'!$AB$21+'TE CVA'!$AB$21)*(1-CUSTOS!$M$36)</f>
        <v>283.30666040677067</v>
      </c>
      <c r="AB846" s="6">
        <f>$K$846*$V$846</f>
        <v>0</v>
      </c>
      <c r="AC846" s="6">
        <f>$M$846*$W$846</f>
        <v>-15.246749999999999</v>
      </c>
      <c r="AD846" s="6">
        <f>$O$846*$X$846</f>
        <v>-19.733999999999998</v>
      </c>
      <c r="AE846" s="6">
        <f>$K$846*$Y$846</f>
        <v>0</v>
      </c>
      <c r="AF846" s="6">
        <f ca="1">$M$846*$Z$846</f>
        <v>-17.546847784878828</v>
      </c>
      <c r="AG846" s="6">
        <f>$O$846*$AA$846</f>
        <v>-21.247999530507801</v>
      </c>
    </row>
    <row r="847" spans="1:33" ht="11.25" customHeight="1" x14ac:dyDescent="0.3">
      <c r="A847" s="4" t="s">
        <v>28</v>
      </c>
      <c r="B847" s="4" t="s">
        <v>22</v>
      </c>
      <c r="C847" s="4" t="s">
        <v>23</v>
      </c>
      <c r="D847" s="4" t="s">
        <v>24</v>
      </c>
      <c r="E847" s="4" t="s">
        <v>31</v>
      </c>
      <c r="F847" s="4" t="s">
        <v>25</v>
      </c>
      <c r="G847" s="4" t="s">
        <v>25</v>
      </c>
      <c r="H847" s="4" t="s">
        <v>25</v>
      </c>
      <c r="I847" s="5">
        <v>44805</v>
      </c>
      <c r="J847" s="6">
        <v>0</v>
      </c>
      <c r="K847" s="6">
        <v>0</v>
      </c>
      <c r="L847" s="6">
        <v>0.114</v>
      </c>
      <c r="M847" s="6">
        <v>0.1026</v>
      </c>
      <c r="N847" s="6">
        <v>0.114</v>
      </c>
      <c r="O847" s="6">
        <v>0.1026</v>
      </c>
      <c r="P847" s="6">
        <v>1</v>
      </c>
      <c r="Q847" s="4" t="s">
        <v>26</v>
      </c>
      <c r="R847" s="4">
        <v>0</v>
      </c>
      <c r="S847" s="6">
        <v>0</v>
      </c>
      <c r="T847" s="6">
        <v>41</v>
      </c>
      <c r="U847" s="6">
        <v>78</v>
      </c>
      <c r="V847" s="6">
        <f>IF(ISERROR(VLOOKUP($S$847,'TAR FIN'!$A$1:$O$113,15,0)),0,VLOOKUP($S$847,'TAR FIN'!$A$1:$O$113,15,0))</f>
        <v>0</v>
      </c>
      <c r="W847" s="6">
        <f>IF(ISERROR(VLOOKUP($T$847,'TAR FIN'!$A$1:$O$113,15,0)),0,VLOOKUP($T$847,'TAR FIN'!$A$1:$O$113,15,0))</f>
        <v>203.29</v>
      </c>
      <c r="X847" s="6">
        <f>IF(ISERROR(VLOOKUP($U$847,'TAR FIN'!$A$1:$O$113,15,0)),0,VLOOKUP($U$847,'TAR FIN'!$A$1:$O$113,15,0))</f>
        <v>263.12</v>
      </c>
      <c r="Y847" s="6"/>
      <c r="Z847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847" s="6">
        <f>('TE BE'!$AB$21+'TE BF'!$AB$21+'TE CVA'!$AB$21)*(1-CUSTOS!$M$36)</f>
        <v>283.30666040677067</v>
      </c>
      <c r="AB847" s="6">
        <f>$K$847*$V$847</f>
        <v>0</v>
      </c>
      <c r="AC847" s="6">
        <f>$M$847*$W$847</f>
        <v>20.857553999999997</v>
      </c>
      <c r="AD847" s="6">
        <f>$O$847*$X$847</f>
        <v>26.996112</v>
      </c>
      <c r="AE847" s="6">
        <f>$K$847*$Y$847</f>
        <v>0</v>
      </c>
      <c r="AF847" s="6">
        <f ca="1">$M$847*$Z$847</f>
        <v>24.004087769714239</v>
      </c>
      <c r="AG847" s="6">
        <f>$O$847*$AA$847</f>
        <v>29.067263357734671</v>
      </c>
    </row>
    <row r="848" spans="1:33" ht="11.25" customHeight="1" x14ac:dyDescent="0.3">
      <c r="A848" s="4" t="s">
        <v>53</v>
      </c>
      <c r="B848" s="4" t="s">
        <v>22</v>
      </c>
      <c r="C848" s="4" t="s">
        <v>23</v>
      </c>
      <c r="D848" s="4" t="s">
        <v>24</v>
      </c>
      <c r="E848" s="4" t="s">
        <v>31</v>
      </c>
      <c r="F848" s="4" t="s">
        <v>25</v>
      </c>
      <c r="G848" s="4" t="s">
        <v>25</v>
      </c>
      <c r="H848" s="4" t="s">
        <v>25</v>
      </c>
      <c r="I848" s="5">
        <v>44835</v>
      </c>
      <c r="J848" s="6">
        <v>0</v>
      </c>
      <c r="K848" s="6">
        <v>0</v>
      </c>
      <c r="L848" s="6">
        <v>307.63299999999998</v>
      </c>
      <c r="M848" s="6">
        <v>307.63299999999998</v>
      </c>
      <c r="N848" s="6">
        <v>307.63299999999998</v>
      </c>
      <c r="O848" s="6">
        <v>307.63299999999998</v>
      </c>
      <c r="P848" s="6">
        <v>3223</v>
      </c>
      <c r="Q848" s="4" t="s">
        <v>26</v>
      </c>
      <c r="R848" s="4">
        <v>0</v>
      </c>
      <c r="S848" s="6">
        <v>0</v>
      </c>
      <c r="T848" s="6">
        <v>41</v>
      </c>
      <c r="U848" s="6">
        <v>78</v>
      </c>
      <c r="V848" s="6">
        <f>IF(ISERROR(VLOOKUP($S$848,'TAR FIN'!$A$1:$O$113,15,0)),0,VLOOKUP($S$848,'TAR FIN'!$A$1:$O$113,15,0))</f>
        <v>0</v>
      </c>
      <c r="W848" s="6">
        <f>IF(ISERROR(VLOOKUP($T$848,'TAR FIN'!$A$1:$O$113,15,0)),0,VLOOKUP($T$848,'TAR FIN'!$A$1:$O$113,15,0))</f>
        <v>203.29</v>
      </c>
      <c r="X848" s="6">
        <f>IF(ISERROR(VLOOKUP($U$848,'TAR FIN'!$A$1:$O$113,15,0)),0,VLOOKUP($U$848,'TAR FIN'!$A$1:$O$113,15,0))</f>
        <v>263.12</v>
      </c>
      <c r="Y848" s="6"/>
      <c r="Z848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848" s="6">
        <f>('TE BE'!$AB$21+'TE BF'!$AB$21+'TE CVA'!$AB$21)*(1-CUSTOS!$M$36)</f>
        <v>283.30666040677067</v>
      </c>
      <c r="AB848" s="6">
        <f>$K$848*$V$848</f>
        <v>0</v>
      </c>
      <c r="AC848" s="6">
        <f>$M$848*$W$848</f>
        <v>62538.712569999996</v>
      </c>
      <c r="AD848" s="6">
        <f>$O$848*$X$848</f>
        <v>80944.394959999991</v>
      </c>
      <c r="AE848" s="6">
        <f>$K$848*$Y$848</f>
        <v>0</v>
      </c>
      <c r="AF848" s="6">
        <f ca="1">$M$848*$Z$848</f>
        <v>71973.192328075049</v>
      </c>
      <c r="AG848" s="6">
        <f>$O$848*$AA$848</f>
        <v>87154.477860916071</v>
      </c>
    </row>
    <row r="849" spans="1:33" ht="11.25" customHeight="1" x14ac:dyDescent="0.3">
      <c r="A849" s="4" t="s">
        <v>53</v>
      </c>
      <c r="B849" s="4" t="s">
        <v>22</v>
      </c>
      <c r="C849" s="4" t="s">
        <v>23</v>
      </c>
      <c r="D849" s="4" t="s">
        <v>24</v>
      </c>
      <c r="E849" s="4" t="s">
        <v>31</v>
      </c>
      <c r="F849" s="4" t="s">
        <v>25</v>
      </c>
      <c r="G849" s="4" t="s">
        <v>25</v>
      </c>
      <c r="H849" s="4" t="s">
        <v>25</v>
      </c>
      <c r="I849" s="5">
        <v>44835</v>
      </c>
      <c r="J849" s="6">
        <v>0</v>
      </c>
      <c r="K849" s="6">
        <v>0</v>
      </c>
      <c r="L849" s="6">
        <v>-7.4999999999999997E-2</v>
      </c>
      <c r="M849" s="6">
        <v>-7.4999999999999997E-2</v>
      </c>
      <c r="N849" s="6">
        <v>-7.4999999999999997E-2</v>
      </c>
      <c r="O849" s="6">
        <v>-7.4999999999999997E-2</v>
      </c>
      <c r="P849" s="6">
        <v>0</v>
      </c>
      <c r="Q849" s="4" t="s">
        <v>26</v>
      </c>
      <c r="R849" s="4">
        <v>0</v>
      </c>
      <c r="S849" s="6">
        <v>0</v>
      </c>
      <c r="T849" s="6">
        <v>41</v>
      </c>
      <c r="U849" s="6">
        <v>78</v>
      </c>
      <c r="V849" s="6">
        <f>IF(ISERROR(VLOOKUP($S$849,'TAR FIN'!$A$1:$O$113,15,0)),0,VLOOKUP($S$849,'TAR FIN'!$A$1:$O$113,15,0))</f>
        <v>0</v>
      </c>
      <c r="W849" s="6">
        <f>IF(ISERROR(VLOOKUP($T$849,'TAR FIN'!$A$1:$O$113,15,0)),0,VLOOKUP($T$849,'TAR FIN'!$A$1:$O$113,15,0))</f>
        <v>203.29</v>
      </c>
      <c r="X849" s="6">
        <f>IF(ISERROR(VLOOKUP($U$849,'TAR FIN'!$A$1:$O$113,15,0)),0,VLOOKUP($U$849,'TAR FIN'!$A$1:$O$113,15,0))</f>
        <v>263.12</v>
      </c>
      <c r="Y849" s="6"/>
      <c r="Z849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849" s="6">
        <f>('TE BE'!$AB$21+'TE BF'!$AB$21+'TE CVA'!$AB$21)*(1-CUSTOS!$M$36)</f>
        <v>283.30666040677067</v>
      </c>
      <c r="AB849" s="6">
        <f>$K$849*$V$849</f>
        <v>0</v>
      </c>
      <c r="AC849" s="6">
        <f>$M$849*$W$849</f>
        <v>-15.246749999999999</v>
      </c>
      <c r="AD849" s="6">
        <f>$O$849*$X$849</f>
        <v>-19.733999999999998</v>
      </c>
      <c r="AE849" s="6">
        <f>$K$849*$Y$849</f>
        <v>0</v>
      </c>
      <c r="AF849" s="6">
        <f ca="1">$M$849*$Z$849</f>
        <v>-17.546847784878828</v>
      </c>
      <c r="AG849" s="6">
        <f>$O$849*$AA$849</f>
        <v>-21.247999530507801</v>
      </c>
    </row>
    <row r="850" spans="1:33" ht="11.25" customHeight="1" x14ac:dyDescent="0.3">
      <c r="A850" s="4" t="s">
        <v>53</v>
      </c>
      <c r="B850" s="4" t="s">
        <v>22</v>
      </c>
      <c r="C850" s="4" t="s">
        <v>23</v>
      </c>
      <c r="D850" s="4" t="s">
        <v>24</v>
      </c>
      <c r="E850" s="4" t="s">
        <v>31</v>
      </c>
      <c r="F850" s="4" t="s">
        <v>25</v>
      </c>
      <c r="G850" s="4" t="s">
        <v>25</v>
      </c>
      <c r="H850" s="4" t="s">
        <v>25</v>
      </c>
      <c r="I850" s="5">
        <v>44835</v>
      </c>
      <c r="J850" s="6">
        <v>0</v>
      </c>
      <c r="K850" s="6">
        <v>0</v>
      </c>
      <c r="L850" s="6">
        <v>0.114</v>
      </c>
      <c r="M850" s="6">
        <v>0.1026</v>
      </c>
      <c r="N850" s="6">
        <v>0.114</v>
      </c>
      <c r="O850" s="6">
        <v>0.1026</v>
      </c>
      <c r="P850" s="6">
        <v>1</v>
      </c>
      <c r="Q850" s="4" t="s">
        <v>26</v>
      </c>
      <c r="R850" s="4">
        <v>0</v>
      </c>
      <c r="S850" s="6">
        <v>0</v>
      </c>
      <c r="T850" s="6">
        <v>41</v>
      </c>
      <c r="U850" s="6">
        <v>78</v>
      </c>
      <c r="V850" s="6">
        <f>IF(ISERROR(VLOOKUP($S$850,'TAR FIN'!$A$1:$O$113,15,0)),0,VLOOKUP($S$850,'TAR FIN'!$A$1:$O$113,15,0))</f>
        <v>0</v>
      </c>
      <c r="W850" s="6">
        <f>IF(ISERROR(VLOOKUP($T$850,'TAR FIN'!$A$1:$O$113,15,0)),0,VLOOKUP($T$850,'TAR FIN'!$A$1:$O$113,15,0))</f>
        <v>203.29</v>
      </c>
      <c r="X850" s="6">
        <f>IF(ISERROR(VLOOKUP($U$850,'TAR FIN'!$A$1:$O$113,15,0)),0,VLOOKUP($U$850,'TAR FIN'!$A$1:$O$113,15,0))</f>
        <v>263.12</v>
      </c>
      <c r="Y850" s="6"/>
      <c r="Z850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850" s="6">
        <f>('TE BE'!$AB$21+'TE BF'!$AB$21+'TE CVA'!$AB$21)*(1-CUSTOS!$M$36)</f>
        <v>283.30666040677067</v>
      </c>
      <c r="AB850" s="6">
        <f>$K$850*$V$850</f>
        <v>0</v>
      </c>
      <c r="AC850" s="6">
        <f>$M$850*$W$850</f>
        <v>20.857553999999997</v>
      </c>
      <c r="AD850" s="6">
        <f>$O$850*$X$850</f>
        <v>26.996112</v>
      </c>
      <c r="AE850" s="6">
        <f>$K$850*$Y$850</f>
        <v>0</v>
      </c>
      <c r="AF850" s="6">
        <f ca="1">$M$850*$Z$850</f>
        <v>24.004087769714239</v>
      </c>
      <c r="AG850" s="6">
        <f>$O$850*$AA$850</f>
        <v>29.067263357734671</v>
      </c>
    </row>
    <row r="851" spans="1:33" ht="11.25" customHeight="1" x14ac:dyDescent="0.3">
      <c r="A851" s="4" t="s">
        <v>21</v>
      </c>
      <c r="B851" s="4" t="s">
        <v>22</v>
      </c>
      <c r="C851" s="4" t="s">
        <v>23</v>
      </c>
      <c r="D851" s="4" t="s">
        <v>24</v>
      </c>
      <c r="E851" s="4" t="s">
        <v>32</v>
      </c>
      <c r="F851" s="4" t="s">
        <v>25</v>
      </c>
      <c r="G851" s="4" t="s">
        <v>25</v>
      </c>
      <c r="H851" s="4" t="s">
        <v>25</v>
      </c>
      <c r="I851" s="5">
        <v>44501</v>
      </c>
      <c r="J851" s="6">
        <v>0</v>
      </c>
      <c r="K851" s="6">
        <v>0</v>
      </c>
      <c r="L851" s="6">
        <v>40.136000000000003</v>
      </c>
      <c r="M851" s="6">
        <v>40.136000000000003</v>
      </c>
      <c r="N851" s="6">
        <v>40.136000000000003</v>
      </c>
      <c r="O851" s="6">
        <v>40.136000000000003</v>
      </c>
      <c r="P851" s="6">
        <v>707</v>
      </c>
      <c r="Q851" s="4" t="s">
        <v>26</v>
      </c>
      <c r="R851" s="4">
        <v>0</v>
      </c>
      <c r="S851" s="6">
        <v>0</v>
      </c>
      <c r="T851" s="6">
        <v>49</v>
      </c>
      <c r="U851" s="6">
        <v>55</v>
      </c>
      <c r="V851" s="6">
        <f>IF(ISERROR(VLOOKUP($S$851,'TAR FIN'!$A$1:$O$113,15,0)),0,VLOOKUP($S$851,'TAR FIN'!$A$1:$O$113,15,0))</f>
        <v>0</v>
      </c>
      <c r="W851" s="6">
        <f>IF(ISERROR(VLOOKUP($T$851,'TAR FIN'!$A$1:$O$113,15,0)),0,VLOOKUP($T$851,'TAR FIN'!$A$1:$O$113,15,0))</f>
        <v>225.87</v>
      </c>
      <c r="X851" s="6">
        <f>IF(ISERROR(VLOOKUP($U$851,'TAR FIN'!$A$1:$O$113,15,0)),0,VLOOKUP($U$851,'TAR FIN'!$A$1:$O$113,15,0))</f>
        <v>292.36</v>
      </c>
      <c r="Y851" s="6"/>
      <c r="Z851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851" s="6">
        <f>('TE BE'!$AB$22+'TE BF'!$AB$22+'TE CVA'!$AB$22)*(1-CUSTOS!$M$37)</f>
        <v>314.78517822974521</v>
      </c>
      <c r="AB851" s="6">
        <f>$K$851*$V$851</f>
        <v>0</v>
      </c>
      <c r="AC851" s="6">
        <f>$M$851*$W$851</f>
        <v>9065.518320000001</v>
      </c>
      <c r="AD851" s="6">
        <f>$O$851*$X$851</f>
        <v>11734.160960000001</v>
      </c>
      <c r="AE851" s="6">
        <f>$K$851*$Y$851</f>
        <v>0</v>
      </c>
      <c r="AF851" s="6">
        <f ca="1">$M$851*$Z$851</f>
        <v>10433.485669539212</v>
      </c>
      <c r="AG851" s="6">
        <f>$O$851*$AA$851</f>
        <v>12634.217913429055</v>
      </c>
    </row>
    <row r="852" spans="1:33" ht="11.25" customHeight="1" x14ac:dyDescent="0.3">
      <c r="A852" s="4" t="s">
        <v>27</v>
      </c>
      <c r="B852" s="4" t="s">
        <v>22</v>
      </c>
      <c r="C852" s="4" t="s">
        <v>23</v>
      </c>
      <c r="D852" s="4" t="s">
        <v>24</v>
      </c>
      <c r="E852" s="4" t="s">
        <v>32</v>
      </c>
      <c r="F852" s="4" t="s">
        <v>25</v>
      </c>
      <c r="G852" s="4" t="s">
        <v>25</v>
      </c>
      <c r="H852" s="4" t="s">
        <v>25</v>
      </c>
      <c r="I852" s="5">
        <v>44501</v>
      </c>
      <c r="J852" s="6">
        <v>0</v>
      </c>
      <c r="K852" s="6">
        <v>0</v>
      </c>
      <c r="L852" s="6">
        <v>-0.185</v>
      </c>
      <c r="M852" s="6">
        <v>-0.185</v>
      </c>
      <c r="N852" s="6">
        <v>-0.185</v>
      </c>
      <c r="O852" s="6">
        <v>-0.185</v>
      </c>
      <c r="P852" s="6">
        <v>0</v>
      </c>
      <c r="Q852" s="4" t="s">
        <v>26</v>
      </c>
      <c r="R852" s="4">
        <v>0</v>
      </c>
      <c r="S852" s="6">
        <v>0</v>
      </c>
      <c r="T852" s="6">
        <v>49</v>
      </c>
      <c r="U852" s="6">
        <v>55</v>
      </c>
      <c r="V852" s="6">
        <f>IF(ISERROR(VLOOKUP($S$852,'TAR FIN'!$A$1:$O$113,15,0)),0,VLOOKUP($S$852,'TAR FIN'!$A$1:$O$113,15,0))</f>
        <v>0</v>
      </c>
      <c r="W852" s="6">
        <f>IF(ISERROR(VLOOKUP($T$852,'TAR FIN'!$A$1:$O$113,15,0)),0,VLOOKUP($T$852,'TAR FIN'!$A$1:$O$113,15,0))</f>
        <v>225.87</v>
      </c>
      <c r="X852" s="6">
        <f>IF(ISERROR(VLOOKUP($U$852,'TAR FIN'!$A$1:$O$113,15,0)),0,VLOOKUP($U$852,'TAR FIN'!$A$1:$O$113,15,0))</f>
        <v>292.36</v>
      </c>
      <c r="Y852" s="6"/>
      <c r="Z852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852" s="6">
        <f>('TE BE'!$AB$22+'TE BF'!$AB$22+'TE CVA'!$AB$22)*(1-CUSTOS!$M$37)</f>
        <v>314.78517822974521</v>
      </c>
      <c r="AB852" s="6">
        <f>$K$852*$V$852</f>
        <v>0</v>
      </c>
      <c r="AC852" s="6">
        <f>$M$852*$W$852</f>
        <v>-41.78595</v>
      </c>
      <c r="AD852" s="6">
        <f>$O$852*$X$852</f>
        <v>-54.086600000000004</v>
      </c>
      <c r="AE852" s="6">
        <f>$K$852*$Y$852</f>
        <v>0</v>
      </c>
      <c r="AF852" s="6">
        <f ca="1">$M$852*$Z$852</f>
        <v>-48.091360595593827</v>
      </c>
      <c r="AG852" s="6">
        <f>$O$852*$AA$852</f>
        <v>-58.235257972502865</v>
      </c>
    </row>
    <row r="853" spans="1:33" ht="11.25" customHeight="1" x14ac:dyDescent="0.3">
      <c r="A853" s="4" t="s">
        <v>21</v>
      </c>
      <c r="B853" s="4" t="s">
        <v>22</v>
      </c>
      <c r="C853" s="4" t="s">
        <v>23</v>
      </c>
      <c r="D853" s="4" t="s">
        <v>24</v>
      </c>
      <c r="E853" s="4" t="s">
        <v>32</v>
      </c>
      <c r="F853" s="4" t="s">
        <v>25</v>
      </c>
      <c r="G853" s="4" t="s">
        <v>25</v>
      </c>
      <c r="H853" s="4" t="s">
        <v>25</v>
      </c>
      <c r="I853" s="5">
        <v>44531</v>
      </c>
      <c r="J853" s="6">
        <v>0</v>
      </c>
      <c r="K853" s="6">
        <v>0</v>
      </c>
      <c r="L853" s="6">
        <v>35.610999999999997</v>
      </c>
      <c r="M853" s="6">
        <v>35.610999999999997</v>
      </c>
      <c r="N853" s="6">
        <v>35.610999999999997</v>
      </c>
      <c r="O853" s="6">
        <v>35.610999999999997</v>
      </c>
      <c r="P853" s="6">
        <v>603</v>
      </c>
      <c r="Q853" s="4" t="s">
        <v>26</v>
      </c>
      <c r="R853" s="4">
        <v>0</v>
      </c>
      <c r="S853" s="6">
        <v>0</v>
      </c>
      <c r="T853" s="6">
        <v>49</v>
      </c>
      <c r="U853" s="6">
        <v>55</v>
      </c>
      <c r="V853" s="6">
        <f>IF(ISERROR(VLOOKUP($S$853,'TAR FIN'!$A$1:$O$113,15,0)),0,VLOOKUP($S$853,'TAR FIN'!$A$1:$O$113,15,0))</f>
        <v>0</v>
      </c>
      <c r="W853" s="6">
        <f>IF(ISERROR(VLOOKUP($T$853,'TAR FIN'!$A$1:$O$113,15,0)),0,VLOOKUP($T$853,'TAR FIN'!$A$1:$O$113,15,0))</f>
        <v>225.87</v>
      </c>
      <c r="X853" s="6">
        <f>IF(ISERROR(VLOOKUP($U$853,'TAR FIN'!$A$1:$O$113,15,0)),0,VLOOKUP($U$853,'TAR FIN'!$A$1:$O$113,15,0))</f>
        <v>292.36</v>
      </c>
      <c r="Y853" s="6"/>
      <c r="Z853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853" s="6">
        <f>('TE BE'!$AB$22+'TE BF'!$AB$22+'TE CVA'!$AB$22)*(1-CUSTOS!$M$37)</f>
        <v>314.78517822974521</v>
      </c>
      <c r="AB853" s="6">
        <f>$K$853*$V$853</f>
        <v>0</v>
      </c>
      <c r="AC853" s="6">
        <f>$M$853*$W$853</f>
        <v>8043.4565699999994</v>
      </c>
      <c r="AD853" s="6">
        <f>$O$853*$X$853</f>
        <v>10411.231959999999</v>
      </c>
      <c r="AE853" s="6">
        <f>$K$853*$Y$853</f>
        <v>0</v>
      </c>
      <c r="AF853" s="6">
        <f ca="1">$M$853*$Z$853</f>
        <v>9257.1969847010369</v>
      </c>
      <c r="AG853" s="6">
        <f>$O$853*$AA$853</f>
        <v>11209.814981939457</v>
      </c>
    </row>
    <row r="854" spans="1:33" ht="11.25" customHeight="1" x14ac:dyDescent="0.3">
      <c r="A854" s="4" t="s">
        <v>27</v>
      </c>
      <c r="B854" s="4" t="s">
        <v>22</v>
      </c>
      <c r="C854" s="4" t="s">
        <v>23</v>
      </c>
      <c r="D854" s="4" t="s">
        <v>24</v>
      </c>
      <c r="E854" s="4" t="s">
        <v>32</v>
      </c>
      <c r="F854" s="4" t="s">
        <v>25</v>
      </c>
      <c r="G854" s="4" t="s">
        <v>25</v>
      </c>
      <c r="H854" s="4" t="s">
        <v>25</v>
      </c>
      <c r="I854" s="5">
        <v>44531</v>
      </c>
      <c r="J854" s="6">
        <v>0</v>
      </c>
      <c r="K854" s="6">
        <v>0</v>
      </c>
      <c r="L854" s="6">
        <v>-3.6999999999999998E-2</v>
      </c>
      <c r="M854" s="6">
        <v>-3.6999999999999998E-2</v>
      </c>
      <c r="N854" s="6">
        <v>-3.6999999999999998E-2</v>
      </c>
      <c r="O854" s="6">
        <v>-3.6999999999999998E-2</v>
      </c>
      <c r="P854" s="6">
        <v>0</v>
      </c>
      <c r="Q854" s="4" t="s">
        <v>26</v>
      </c>
      <c r="R854" s="4">
        <v>0</v>
      </c>
      <c r="S854" s="6">
        <v>0</v>
      </c>
      <c r="T854" s="6">
        <v>49</v>
      </c>
      <c r="U854" s="6">
        <v>55</v>
      </c>
      <c r="V854" s="6">
        <f>IF(ISERROR(VLOOKUP($S$854,'TAR FIN'!$A$1:$O$113,15,0)),0,VLOOKUP($S$854,'TAR FIN'!$A$1:$O$113,15,0))</f>
        <v>0</v>
      </c>
      <c r="W854" s="6">
        <f>IF(ISERROR(VLOOKUP($T$854,'TAR FIN'!$A$1:$O$113,15,0)),0,VLOOKUP($T$854,'TAR FIN'!$A$1:$O$113,15,0))</f>
        <v>225.87</v>
      </c>
      <c r="X854" s="6">
        <f>IF(ISERROR(VLOOKUP($U$854,'TAR FIN'!$A$1:$O$113,15,0)),0,VLOOKUP($U$854,'TAR FIN'!$A$1:$O$113,15,0))</f>
        <v>292.36</v>
      </c>
      <c r="Y854" s="6"/>
      <c r="Z854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854" s="6">
        <f>('TE BE'!$AB$22+'TE BF'!$AB$22+'TE CVA'!$AB$22)*(1-CUSTOS!$M$37)</f>
        <v>314.78517822974521</v>
      </c>
      <c r="AB854" s="6">
        <f>$K$854*$V$854</f>
        <v>0</v>
      </c>
      <c r="AC854" s="6">
        <f>$M$854*$W$854</f>
        <v>-8.3571899999999992</v>
      </c>
      <c r="AD854" s="6">
        <f>$O$854*$X$854</f>
        <v>-10.81732</v>
      </c>
      <c r="AE854" s="6">
        <f>$K$854*$Y$854</f>
        <v>0</v>
      </c>
      <c r="AF854" s="6">
        <f ca="1">$M$854*$Z$854</f>
        <v>-9.6182721191187657</v>
      </c>
      <c r="AG854" s="6">
        <f>$O$854*$AA$854</f>
        <v>-11.647051594500573</v>
      </c>
    </row>
    <row r="855" spans="1:33" ht="11.25" customHeight="1" x14ac:dyDescent="0.3">
      <c r="A855" s="4" t="s">
        <v>21</v>
      </c>
      <c r="B855" s="4" t="s">
        <v>22</v>
      </c>
      <c r="C855" s="4" t="s">
        <v>23</v>
      </c>
      <c r="D855" s="4" t="s">
        <v>24</v>
      </c>
      <c r="E855" s="4" t="s">
        <v>32</v>
      </c>
      <c r="F855" s="4" t="s">
        <v>25</v>
      </c>
      <c r="G855" s="4" t="s">
        <v>25</v>
      </c>
      <c r="H855" s="4" t="s">
        <v>25</v>
      </c>
      <c r="I855" s="5">
        <v>44562</v>
      </c>
      <c r="J855" s="6">
        <v>0</v>
      </c>
      <c r="K855" s="6">
        <v>0</v>
      </c>
      <c r="L855" s="6">
        <v>54.076999999999998</v>
      </c>
      <c r="M855" s="6">
        <v>54.076999999999998</v>
      </c>
      <c r="N855" s="6">
        <v>54.076999999999998</v>
      </c>
      <c r="O855" s="6">
        <v>54.076999999999998</v>
      </c>
      <c r="P855" s="6">
        <v>842</v>
      </c>
      <c r="Q855" s="4" t="s">
        <v>26</v>
      </c>
      <c r="R855" s="4">
        <v>0</v>
      </c>
      <c r="S855" s="6">
        <v>0</v>
      </c>
      <c r="T855" s="6">
        <v>49</v>
      </c>
      <c r="U855" s="6">
        <v>55</v>
      </c>
      <c r="V855" s="6">
        <f>IF(ISERROR(VLOOKUP($S$855,'TAR FIN'!$A$1:$O$113,15,0)),0,VLOOKUP($S$855,'TAR FIN'!$A$1:$O$113,15,0))</f>
        <v>0</v>
      </c>
      <c r="W855" s="6">
        <f>IF(ISERROR(VLOOKUP($T$855,'TAR FIN'!$A$1:$O$113,15,0)),0,VLOOKUP($T$855,'TAR FIN'!$A$1:$O$113,15,0))</f>
        <v>225.87</v>
      </c>
      <c r="X855" s="6">
        <f>IF(ISERROR(VLOOKUP($U$855,'TAR FIN'!$A$1:$O$113,15,0)),0,VLOOKUP($U$855,'TAR FIN'!$A$1:$O$113,15,0))</f>
        <v>292.36</v>
      </c>
      <c r="Y855" s="6"/>
      <c r="Z855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855" s="6">
        <f>('TE BE'!$AB$22+'TE BF'!$AB$22+'TE CVA'!$AB$22)*(1-CUSTOS!$M$37)</f>
        <v>314.78517822974521</v>
      </c>
      <c r="AB855" s="6">
        <f>$K$855*$V$855</f>
        <v>0</v>
      </c>
      <c r="AC855" s="6">
        <f>$M$855*$W$855</f>
        <v>12214.37199</v>
      </c>
      <c r="AD855" s="6">
        <f>$O$855*$X$855</f>
        <v>15809.951720000001</v>
      </c>
      <c r="AE855" s="6">
        <f>$K$855*$Y$855</f>
        <v>0</v>
      </c>
      <c r="AF855" s="6">
        <f ca="1">$M$855*$Z$855</f>
        <v>14057.494632042852</v>
      </c>
      <c r="AG855" s="6">
        <f>$O$855*$AA$855</f>
        <v>17022.638083129932</v>
      </c>
    </row>
    <row r="856" spans="1:33" ht="11.25" customHeight="1" x14ac:dyDescent="0.3">
      <c r="A856" s="4" t="s">
        <v>27</v>
      </c>
      <c r="B856" s="4" t="s">
        <v>22</v>
      </c>
      <c r="C856" s="4" t="s">
        <v>23</v>
      </c>
      <c r="D856" s="4" t="s">
        <v>24</v>
      </c>
      <c r="E856" s="4" t="s">
        <v>32</v>
      </c>
      <c r="F856" s="4" t="s">
        <v>25</v>
      </c>
      <c r="G856" s="4" t="s">
        <v>25</v>
      </c>
      <c r="H856" s="4" t="s">
        <v>25</v>
      </c>
      <c r="I856" s="5">
        <v>44562</v>
      </c>
      <c r="J856" s="6">
        <v>0</v>
      </c>
      <c r="K856" s="6">
        <v>0</v>
      </c>
      <c r="L856" s="6">
        <v>-0.54900000000000004</v>
      </c>
      <c r="M856" s="6">
        <v>-0.54900000000000004</v>
      </c>
      <c r="N856" s="6">
        <v>-0.54900000000000004</v>
      </c>
      <c r="O856" s="6">
        <v>-0.54900000000000004</v>
      </c>
      <c r="P856" s="6">
        <v>0</v>
      </c>
      <c r="Q856" s="4" t="s">
        <v>26</v>
      </c>
      <c r="R856" s="4">
        <v>0</v>
      </c>
      <c r="S856" s="6">
        <v>0</v>
      </c>
      <c r="T856" s="6">
        <v>49</v>
      </c>
      <c r="U856" s="6">
        <v>55</v>
      </c>
      <c r="V856" s="6">
        <f>IF(ISERROR(VLOOKUP($S$856,'TAR FIN'!$A$1:$O$113,15,0)),0,VLOOKUP($S$856,'TAR FIN'!$A$1:$O$113,15,0))</f>
        <v>0</v>
      </c>
      <c r="W856" s="6">
        <f>IF(ISERROR(VLOOKUP($T$856,'TAR FIN'!$A$1:$O$113,15,0)),0,VLOOKUP($T$856,'TAR FIN'!$A$1:$O$113,15,0))</f>
        <v>225.87</v>
      </c>
      <c r="X856" s="6">
        <f>IF(ISERROR(VLOOKUP($U$856,'TAR FIN'!$A$1:$O$113,15,0)),0,VLOOKUP($U$856,'TAR FIN'!$A$1:$O$113,15,0))</f>
        <v>292.36</v>
      </c>
      <c r="Y856" s="6"/>
      <c r="Z856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856" s="6">
        <f>('TE BE'!$AB$22+'TE BF'!$AB$22+'TE CVA'!$AB$22)*(1-CUSTOS!$M$37)</f>
        <v>314.78517822974521</v>
      </c>
      <c r="AB856" s="6">
        <f>$K$856*$V$856</f>
        <v>0</v>
      </c>
      <c r="AC856" s="6">
        <f>$M$856*$W$856</f>
        <v>-124.00263000000001</v>
      </c>
      <c r="AD856" s="6">
        <f>$O$856*$X$856</f>
        <v>-160.50564000000003</v>
      </c>
      <c r="AE856" s="6">
        <f>$K$856*$Y$856</f>
        <v>0</v>
      </c>
      <c r="AF856" s="6">
        <f ca="1">$M$856*$Z$856</f>
        <v>-142.71436198368116</v>
      </c>
      <c r="AG856" s="6">
        <f>$O$856*$AA$856</f>
        <v>-172.81706284813015</v>
      </c>
    </row>
    <row r="857" spans="1:33" ht="11.25" customHeight="1" x14ac:dyDescent="0.3">
      <c r="A857" s="4" t="s">
        <v>21</v>
      </c>
      <c r="B857" s="4" t="s">
        <v>22</v>
      </c>
      <c r="C857" s="4" t="s">
        <v>23</v>
      </c>
      <c r="D857" s="4" t="s">
        <v>24</v>
      </c>
      <c r="E857" s="4" t="s">
        <v>32</v>
      </c>
      <c r="F857" s="4" t="s">
        <v>25</v>
      </c>
      <c r="G857" s="4" t="s">
        <v>25</v>
      </c>
      <c r="H857" s="4" t="s">
        <v>25</v>
      </c>
      <c r="I857" s="5">
        <v>44593</v>
      </c>
      <c r="J857" s="6">
        <v>0</v>
      </c>
      <c r="K857" s="6">
        <v>0</v>
      </c>
      <c r="L857" s="6">
        <v>41.75</v>
      </c>
      <c r="M857" s="6">
        <v>41.75</v>
      </c>
      <c r="N857" s="6">
        <v>41.75</v>
      </c>
      <c r="O857" s="6">
        <v>41.75</v>
      </c>
      <c r="P857" s="6">
        <v>685</v>
      </c>
      <c r="Q857" s="4" t="s">
        <v>26</v>
      </c>
      <c r="R857" s="4">
        <v>0</v>
      </c>
      <c r="S857" s="6">
        <v>0</v>
      </c>
      <c r="T857" s="6">
        <v>49</v>
      </c>
      <c r="U857" s="6">
        <v>55</v>
      </c>
      <c r="V857" s="6">
        <f>IF(ISERROR(VLOOKUP($S$857,'TAR FIN'!$A$1:$O$113,15,0)),0,VLOOKUP($S$857,'TAR FIN'!$A$1:$O$113,15,0))</f>
        <v>0</v>
      </c>
      <c r="W857" s="6">
        <f>IF(ISERROR(VLOOKUP($T$857,'TAR FIN'!$A$1:$O$113,15,0)),0,VLOOKUP($T$857,'TAR FIN'!$A$1:$O$113,15,0))</f>
        <v>225.87</v>
      </c>
      <c r="X857" s="6">
        <f>IF(ISERROR(VLOOKUP($U$857,'TAR FIN'!$A$1:$O$113,15,0)),0,VLOOKUP($U$857,'TAR FIN'!$A$1:$O$113,15,0))</f>
        <v>292.36</v>
      </c>
      <c r="Y857" s="6"/>
      <c r="Z857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857" s="6">
        <f>('TE BE'!$AB$22+'TE BF'!$AB$22+'TE CVA'!$AB$22)*(1-CUSTOS!$M$37)</f>
        <v>314.78517822974521</v>
      </c>
      <c r="AB857" s="6">
        <f>$K$857*$V$857</f>
        <v>0</v>
      </c>
      <c r="AC857" s="6">
        <f>$M$857*$W$857</f>
        <v>9430.0725000000002</v>
      </c>
      <c r="AD857" s="6">
        <f>$O$857*$X$857</f>
        <v>12206.03</v>
      </c>
      <c r="AE857" s="6">
        <f>$K$857*$Y$857</f>
        <v>0</v>
      </c>
      <c r="AF857" s="6">
        <f ca="1">$M$857*$Z$857</f>
        <v>10853.050296573201</v>
      </c>
      <c r="AG857" s="6">
        <f>$O$857*$AA$857</f>
        <v>13142.281191091863</v>
      </c>
    </row>
    <row r="858" spans="1:33" ht="11.25" customHeight="1" x14ac:dyDescent="0.3">
      <c r="A858" s="4" t="s">
        <v>21</v>
      </c>
      <c r="B858" s="4" t="s">
        <v>22</v>
      </c>
      <c r="C858" s="4" t="s">
        <v>23</v>
      </c>
      <c r="D858" s="4" t="s">
        <v>24</v>
      </c>
      <c r="E858" s="4" t="s">
        <v>32</v>
      </c>
      <c r="F858" s="4" t="s">
        <v>25</v>
      </c>
      <c r="G858" s="4" t="s">
        <v>25</v>
      </c>
      <c r="H858" s="4" t="s">
        <v>25</v>
      </c>
      <c r="I858" s="5">
        <v>44621</v>
      </c>
      <c r="J858" s="6">
        <v>0</v>
      </c>
      <c r="K858" s="6">
        <v>0</v>
      </c>
      <c r="L858" s="6">
        <v>48.390999999999998</v>
      </c>
      <c r="M858" s="6">
        <v>48.390999999999998</v>
      </c>
      <c r="N858" s="6">
        <v>48.390999999999998</v>
      </c>
      <c r="O858" s="6">
        <v>48.390999999999998</v>
      </c>
      <c r="P858" s="6">
        <v>805</v>
      </c>
      <c r="Q858" s="4" t="s">
        <v>26</v>
      </c>
      <c r="R858" s="4">
        <v>0</v>
      </c>
      <c r="S858" s="6">
        <v>0</v>
      </c>
      <c r="T858" s="6">
        <v>49</v>
      </c>
      <c r="U858" s="6">
        <v>55</v>
      </c>
      <c r="V858" s="6">
        <f>IF(ISERROR(VLOOKUP($S$858,'TAR FIN'!$A$1:$O$113,15,0)),0,VLOOKUP($S$858,'TAR FIN'!$A$1:$O$113,15,0))</f>
        <v>0</v>
      </c>
      <c r="W858" s="6">
        <f>IF(ISERROR(VLOOKUP($T$858,'TAR FIN'!$A$1:$O$113,15,0)),0,VLOOKUP($T$858,'TAR FIN'!$A$1:$O$113,15,0))</f>
        <v>225.87</v>
      </c>
      <c r="X858" s="6">
        <f>IF(ISERROR(VLOOKUP($U$858,'TAR FIN'!$A$1:$O$113,15,0)),0,VLOOKUP($U$858,'TAR FIN'!$A$1:$O$113,15,0))</f>
        <v>292.36</v>
      </c>
      <c r="Y858" s="6"/>
      <c r="Z858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858" s="6">
        <f>('TE BE'!$AB$22+'TE BF'!$AB$22+'TE CVA'!$AB$22)*(1-CUSTOS!$M$37)</f>
        <v>314.78517822974521</v>
      </c>
      <c r="AB858" s="6">
        <f>$K$858*$V$858</f>
        <v>0</v>
      </c>
      <c r="AC858" s="6">
        <f>$M$858*$W$858</f>
        <v>10930.07517</v>
      </c>
      <c r="AD858" s="6">
        <f>$O$858*$X$858</f>
        <v>14147.59276</v>
      </c>
      <c r="AE858" s="6">
        <f>$K$858*$Y$858</f>
        <v>0</v>
      </c>
      <c r="AF858" s="6">
        <f ca="1">$M$858*$Z$858</f>
        <v>12579.400165304762</v>
      </c>
      <c r="AG858" s="6">
        <f>$O$858*$AA$858</f>
        <v>15232.7695597156</v>
      </c>
    </row>
    <row r="859" spans="1:33" ht="11.25" customHeight="1" x14ac:dyDescent="0.3">
      <c r="A859" s="4" t="s">
        <v>21</v>
      </c>
      <c r="B859" s="4" t="s">
        <v>22</v>
      </c>
      <c r="C859" s="4" t="s">
        <v>23</v>
      </c>
      <c r="D859" s="4" t="s">
        <v>24</v>
      </c>
      <c r="E859" s="4" t="s">
        <v>32</v>
      </c>
      <c r="F859" s="4" t="s">
        <v>25</v>
      </c>
      <c r="G859" s="4" t="s">
        <v>25</v>
      </c>
      <c r="H859" s="4" t="s">
        <v>25</v>
      </c>
      <c r="I859" s="5">
        <v>44652</v>
      </c>
      <c r="J859" s="6">
        <v>0</v>
      </c>
      <c r="K859" s="6">
        <v>0</v>
      </c>
      <c r="L859" s="6">
        <v>49.868000000000002</v>
      </c>
      <c r="M859" s="6">
        <v>49.868000000000002</v>
      </c>
      <c r="N859" s="6">
        <v>49.868000000000002</v>
      </c>
      <c r="O859" s="6">
        <v>49.868000000000002</v>
      </c>
      <c r="P859" s="6">
        <v>805</v>
      </c>
      <c r="Q859" s="4" t="s">
        <v>26</v>
      </c>
      <c r="R859" s="4">
        <v>0</v>
      </c>
      <c r="S859" s="6">
        <v>0</v>
      </c>
      <c r="T859" s="6">
        <v>49</v>
      </c>
      <c r="U859" s="6">
        <v>55</v>
      </c>
      <c r="V859" s="6">
        <f>IF(ISERROR(VLOOKUP($S$859,'TAR FIN'!$A$1:$O$113,15,0)),0,VLOOKUP($S$859,'TAR FIN'!$A$1:$O$113,15,0))</f>
        <v>0</v>
      </c>
      <c r="W859" s="6">
        <f>IF(ISERROR(VLOOKUP($T$859,'TAR FIN'!$A$1:$O$113,15,0)),0,VLOOKUP($T$859,'TAR FIN'!$A$1:$O$113,15,0))</f>
        <v>225.87</v>
      </c>
      <c r="X859" s="6">
        <f>IF(ISERROR(VLOOKUP($U$859,'TAR FIN'!$A$1:$O$113,15,0)),0,VLOOKUP($U$859,'TAR FIN'!$A$1:$O$113,15,0))</f>
        <v>292.36</v>
      </c>
      <c r="Y859" s="6"/>
      <c r="Z859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859" s="6">
        <f>('TE BE'!$AB$22+'TE BF'!$AB$22+'TE CVA'!$AB$22)*(1-CUSTOS!$M$37)</f>
        <v>314.78517822974521</v>
      </c>
      <c r="AB859" s="6">
        <f>$K$859*$V$859</f>
        <v>0</v>
      </c>
      <c r="AC859" s="6">
        <f>$M$859*$W$859</f>
        <v>11263.685160000001</v>
      </c>
      <c r="AD859" s="6">
        <f>$O$859*$X$859</f>
        <v>14579.408480000002</v>
      </c>
      <c r="AE859" s="6">
        <f>$K$859*$Y$859</f>
        <v>0</v>
      </c>
      <c r="AF859" s="6">
        <f ca="1">$M$859*$Z$859</f>
        <v>12963.351190167963</v>
      </c>
      <c r="AG859" s="6">
        <f>$O$859*$AA$859</f>
        <v>15697.707267960935</v>
      </c>
    </row>
    <row r="860" spans="1:33" ht="11.25" customHeight="1" x14ac:dyDescent="0.3">
      <c r="A860" s="4" t="s">
        <v>27</v>
      </c>
      <c r="B860" s="4" t="s">
        <v>22</v>
      </c>
      <c r="C860" s="4" t="s">
        <v>23</v>
      </c>
      <c r="D860" s="4" t="s">
        <v>24</v>
      </c>
      <c r="E860" s="4" t="s">
        <v>32</v>
      </c>
      <c r="F860" s="4" t="s">
        <v>25</v>
      </c>
      <c r="G860" s="4" t="s">
        <v>25</v>
      </c>
      <c r="H860" s="4" t="s">
        <v>25</v>
      </c>
      <c r="I860" s="5">
        <v>44652</v>
      </c>
      <c r="J860" s="6">
        <v>0</v>
      </c>
      <c r="K860" s="6">
        <v>0</v>
      </c>
      <c r="L860" s="6">
        <v>0.316</v>
      </c>
      <c r="M860" s="6">
        <v>0.316</v>
      </c>
      <c r="N860" s="6">
        <v>0.316</v>
      </c>
      <c r="O860" s="6">
        <v>0.316</v>
      </c>
      <c r="P860" s="6">
        <v>0</v>
      </c>
      <c r="Q860" s="4" t="s">
        <v>26</v>
      </c>
      <c r="R860" s="4">
        <v>0</v>
      </c>
      <c r="S860" s="6">
        <v>0</v>
      </c>
      <c r="T860" s="6">
        <v>49</v>
      </c>
      <c r="U860" s="6">
        <v>55</v>
      </c>
      <c r="V860" s="6">
        <f>IF(ISERROR(VLOOKUP($S$860,'TAR FIN'!$A$1:$O$113,15,0)),0,VLOOKUP($S$860,'TAR FIN'!$A$1:$O$113,15,0))</f>
        <v>0</v>
      </c>
      <c r="W860" s="6">
        <f>IF(ISERROR(VLOOKUP($T$860,'TAR FIN'!$A$1:$O$113,15,0)),0,VLOOKUP($T$860,'TAR FIN'!$A$1:$O$113,15,0))</f>
        <v>225.87</v>
      </c>
      <c r="X860" s="6">
        <f>IF(ISERROR(VLOOKUP($U$860,'TAR FIN'!$A$1:$O$113,15,0)),0,VLOOKUP($U$860,'TAR FIN'!$A$1:$O$113,15,0))</f>
        <v>292.36</v>
      </c>
      <c r="Y860" s="6"/>
      <c r="Z860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860" s="6">
        <f>('TE BE'!$AB$22+'TE BF'!$AB$22+'TE CVA'!$AB$22)*(1-CUSTOS!$M$37)</f>
        <v>314.78517822974521</v>
      </c>
      <c r="AB860" s="6">
        <f>$K$860*$V$860</f>
        <v>0</v>
      </c>
      <c r="AC860" s="6">
        <f>$M$860*$W$860</f>
        <v>71.374920000000003</v>
      </c>
      <c r="AD860" s="6">
        <f>$O$860*$X$860</f>
        <v>92.385760000000005</v>
      </c>
      <c r="AE860" s="6">
        <f>$K$860*$Y$860</f>
        <v>0</v>
      </c>
      <c r="AF860" s="6">
        <f ca="1">$M$860*$Z$860</f>
        <v>82.145242963284602</v>
      </c>
      <c r="AG860" s="6">
        <f>$O$860*$AA$860</f>
        <v>99.472116320599483</v>
      </c>
    </row>
    <row r="861" spans="1:33" ht="11.25" customHeight="1" x14ac:dyDescent="0.3">
      <c r="A861" s="4" t="s">
        <v>21</v>
      </c>
      <c r="B861" s="4" t="s">
        <v>22</v>
      </c>
      <c r="C861" s="4" t="s">
        <v>23</v>
      </c>
      <c r="D861" s="4" t="s">
        <v>24</v>
      </c>
      <c r="E861" s="4" t="s">
        <v>32</v>
      </c>
      <c r="F861" s="4" t="s">
        <v>25</v>
      </c>
      <c r="G861" s="4" t="s">
        <v>25</v>
      </c>
      <c r="H861" s="4" t="s">
        <v>25</v>
      </c>
      <c r="I861" s="5">
        <v>44682</v>
      </c>
      <c r="J861" s="6">
        <v>0</v>
      </c>
      <c r="K861" s="6">
        <v>0</v>
      </c>
      <c r="L861" s="6">
        <v>54.363999999999997</v>
      </c>
      <c r="M861" s="6">
        <v>54.363999999999997</v>
      </c>
      <c r="N861" s="6">
        <v>54.363999999999997</v>
      </c>
      <c r="O861" s="6">
        <v>54.363999999999997</v>
      </c>
      <c r="P861" s="6">
        <v>895</v>
      </c>
      <c r="Q861" s="4" t="s">
        <v>26</v>
      </c>
      <c r="R861" s="4">
        <v>0</v>
      </c>
      <c r="S861" s="6">
        <v>0</v>
      </c>
      <c r="T861" s="6">
        <v>49</v>
      </c>
      <c r="U861" s="6">
        <v>55</v>
      </c>
      <c r="V861" s="6">
        <f>IF(ISERROR(VLOOKUP($S$861,'TAR FIN'!$A$1:$O$113,15,0)),0,VLOOKUP($S$861,'TAR FIN'!$A$1:$O$113,15,0))</f>
        <v>0</v>
      </c>
      <c r="W861" s="6">
        <f>IF(ISERROR(VLOOKUP($T$861,'TAR FIN'!$A$1:$O$113,15,0)),0,VLOOKUP($T$861,'TAR FIN'!$A$1:$O$113,15,0))</f>
        <v>225.87</v>
      </c>
      <c r="X861" s="6">
        <f>IF(ISERROR(VLOOKUP($U$861,'TAR FIN'!$A$1:$O$113,15,0)),0,VLOOKUP($U$861,'TAR FIN'!$A$1:$O$113,15,0))</f>
        <v>292.36</v>
      </c>
      <c r="Y861" s="6"/>
      <c r="Z861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861" s="6">
        <f>('TE BE'!$AB$22+'TE BF'!$AB$22+'TE CVA'!$AB$22)*(1-CUSTOS!$M$37)</f>
        <v>314.78517822974521</v>
      </c>
      <c r="AB861" s="6">
        <f>$K$861*$V$861</f>
        <v>0</v>
      </c>
      <c r="AC861" s="6">
        <f>$M$861*$W$861</f>
        <v>12279.196679999999</v>
      </c>
      <c r="AD861" s="6">
        <f>$O$861*$X$861</f>
        <v>15893.859039999999</v>
      </c>
      <c r="AE861" s="6">
        <f>$K$861*$Y$861</f>
        <v>0</v>
      </c>
      <c r="AF861" s="6">
        <f ca="1">$M$861*$Z$861</f>
        <v>14132.101229291151</v>
      </c>
      <c r="AG861" s="6">
        <f>$O$861*$AA$861</f>
        <v>17112.981429281866</v>
      </c>
    </row>
    <row r="862" spans="1:33" ht="11.25" customHeight="1" x14ac:dyDescent="0.3">
      <c r="A862" s="4" t="s">
        <v>27</v>
      </c>
      <c r="B862" s="4" t="s">
        <v>22</v>
      </c>
      <c r="C862" s="4" t="s">
        <v>23</v>
      </c>
      <c r="D862" s="4" t="s">
        <v>24</v>
      </c>
      <c r="E862" s="4" t="s">
        <v>32</v>
      </c>
      <c r="F862" s="4" t="s">
        <v>25</v>
      </c>
      <c r="G862" s="4" t="s">
        <v>25</v>
      </c>
      <c r="H862" s="4" t="s">
        <v>25</v>
      </c>
      <c r="I862" s="5">
        <v>44682</v>
      </c>
      <c r="J862" s="6">
        <v>0</v>
      </c>
      <c r="K862" s="6">
        <v>0</v>
      </c>
      <c r="L862" s="6">
        <v>-0.17899999999999999</v>
      </c>
      <c r="M862" s="6">
        <v>-0.17899999999999999</v>
      </c>
      <c r="N862" s="6">
        <v>-0.17899999999999999</v>
      </c>
      <c r="O862" s="6">
        <v>-0.17899999999999999</v>
      </c>
      <c r="P862" s="6">
        <v>0</v>
      </c>
      <c r="Q862" s="4" t="s">
        <v>26</v>
      </c>
      <c r="R862" s="4">
        <v>0</v>
      </c>
      <c r="S862" s="6">
        <v>0</v>
      </c>
      <c r="T862" s="6">
        <v>49</v>
      </c>
      <c r="U862" s="6">
        <v>55</v>
      </c>
      <c r="V862" s="6">
        <f>IF(ISERROR(VLOOKUP($S$862,'TAR FIN'!$A$1:$O$113,15,0)),0,VLOOKUP($S$862,'TAR FIN'!$A$1:$O$113,15,0))</f>
        <v>0</v>
      </c>
      <c r="W862" s="6">
        <f>IF(ISERROR(VLOOKUP($T$862,'TAR FIN'!$A$1:$O$113,15,0)),0,VLOOKUP($T$862,'TAR FIN'!$A$1:$O$113,15,0))</f>
        <v>225.87</v>
      </c>
      <c r="X862" s="6">
        <f>IF(ISERROR(VLOOKUP($U$862,'TAR FIN'!$A$1:$O$113,15,0)),0,VLOOKUP($U$862,'TAR FIN'!$A$1:$O$113,15,0))</f>
        <v>292.36</v>
      </c>
      <c r="Y862" s="6"/>
      <c r="Z862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862" s="6">
        <f>('TE BE'!$AB$22+'TE BF'!$AB$22+'TE CVA'!$AB$22)*(1-CUSTOS!$M$37)</f>
        <v>314.78517822974521</v>
      </c>
      <c r="AB862" s="6">
        <f>$K$862*$V$862</f>
        <v>0</v>
      </c>
      <c r="AC862" s="6">
        <f>$M$862*$W$862</f>
        <v>-40.430729999999997</v>
      </c>
      <c r="AD862" s="6">
        <f>$O$862*$X$862</f>
        <v>-52.332439999999998</v>
      </c>
      <c r="AE862" s="6">
        <f>$K$862*$Y$862</f>
        <v>0</v>
      </c>
      <c r="AF862" s="6">
        <f ca="1">$M$862*$Z$862</f>
        <v>-46.531640792493484</v>
      </c>
      <c r="AG862" s="6">
        <f>$O$862*$AA$862</f>
        <v>-56.346546903124391</v>
      </c>
    </row>
    <row r="863" spans="1:33" ht="11.25" customHeight="1" x14ac:dyDescent="0.3">
      <c r="A863" s="4" t="s">
        <v>21</v>
      </c>
      <c r="B863" s="4" t="s">
        <v>22</v>
      </c>
      <c r="C863" s="4" t="s">
        <v>23</v>
      </c>
      <c r="D863" s="4" t="s">
        <v>24</v>
      </c>
      <c r="E863" s="4" t="s">
        <v>32</v>
      </c>
      <c r="F863" s="4" t="s">
        <v>25</v>
      </c>
      <c r="G863" s="4" t="s">
        <v>25</v>
      </c>
      <c r="H863" s="4" t="s">
        <v>25</v>
      </c>
      <c r="I863" s="5">
        <v>44713</v>
      </c>
      <c r="J863" s="6">
        <v>0</v>
      </c>
      <c r="K863" s="6">
        <v>0</v>
      </c>
      <c r="L863" s="6">
        <v>53.680999999999997</v>
      </c>
      <c r="M863" s="6">
        <v>53.680999999999997</v>
      </c>
      <c r="N863" s="6">
        <v>53.680999999999997</v>
      </c>
      <c r="O863" s="6">
        <v>53.680999999999997</v>
      </c>
      <c r="P863" s="6">
        <v>833</v>
      </c>
      <c r="Q863" s="4" t="s">
        <v>26</v>
      </c>
      <c r="R863" s="4">
        <v>0</v>
      </c>
      <c r="S863" s="6">
        <v>0</v>
      </c>
      <c r="T863" s="6">
        <v>49</v>
      </c>
      <c r="U863" s="6">
        <v>55</v>
      </c>
      <c r="V863" s="6">
        <f>IF(ISERROR(VLOOKUP($S$863,'TAR FIN'!$A$1:$O$113,15,0)),0,VLOOKUP($S$863,'TAR FIN'!$A$1:$O$113,15,0))</f>
        <v>0</v>
      </c>
      <c r="W863" s="6">
        <f>IF(ISERROR(VLOOKUP($T$863,'TAR FIN'!$A$1:$O$113,15,0)),0,VLOOKUP($T$863,'TAR FIN'!$A$1:$O$113,15,0))</f>
        <v>225.87</v>
      </c>
      <c r="X863" s="6">
        <f>IF(ISERROR(VLOOKUP($U$863,'TAR FIN'!$A$1:$O$113,15,0)),0,VLOOKUP($U$863,'TAR FIN'!$A$1:$O$113,15,0))</f>
        <v>292.36</v>
      </c>
      <c r="Y863" s="6"/>
      <c r="Z863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863" s="6">
        <f>('TE BE'!$AB$22+'TE BF'!$AB$22+'TE CVA'!$AB$22)*(1-CUSTOS!$M$37)</f>
        <v>314.78517822974521</v>
      </c>
      <c r="AB863" s="6">
        <f>$K$863*$V$863</f>
        <v>0</v>
      </c>
      <c r="AC863" s="6">
        <f>$M$863*$W$863</f>
        <v>12124.927470000001</v>
      </c>
      <c r="AD863" s="6">
        <f>$O$863*$X$863</f>
        <v>15694.177159999999</v>
      </c>
      <c r="AE863" s="6">
        <f>$K$863*$Y$863</f>
        <v>0</v>
      </c>
      <c r="AF863" s="6">
        <f ca="1">$M$863*$Z$863</f>
        <v>13954.553125038228</v>
      </c>
      <c r="AG863" s="6">
        <f>$O$863*$AA$863</f>
        <v>16897.983152550951</v>
      </c>
    </row>
    <row r="864" spans="1:33" ht="11.25" customHeight="1" x14ac:dyDescent="0.3">
      <c r="A864" s="4" t="s">
        <v>21</v>
      </c>
      <c r="B864" s="4" t="s">
        <v>22</v>
      </c>
      <c r="C864" s="4" t="s">
        <v>23</v>
      </c>
      <c r="D864" s="4" t="s">
        <v>24</v>
      </c>
      <c r="E864" s="4" t="s">
        <v>32</v>
      </c>
      <c r="F864" s="4" t="s">
        <v>25</v>
      </c>
      <c r="G864" s="4" t="s">
        <v>25</v>
      </c>
      <c r="H864" s="4" t="s">
        <v>25</v>
      </c>
      <c r="I864" s="5">
        <v>44743</v>
      </c>
      <c r="J864" s="6">
        <v>0</v>
      </c>
      <c r="K864" s="6">
        <v>0</v>
      </c>
      <c r="L864" s="6">
        <v>59.723999999999997</v>
      </c>
      <c r="M864" s="6">
        <v>59.723999999999997</v>
      </c>
      <c r="N864" s="6">
        <v>59.723999999999997</v>
      </c>
      <c r="O864" s="6">
        <v>59.723999999999997</v>
      </c>
      <c r="P864" s="6">
        <v>905</v>
      </c>
      <c r="Q864" s="4" t="s">
        <v>26</v>
      </c>
      <c r="R864" s="4">
        <v>0</v>
      </c>
      <c r="S864" s="6">
        <v>0</v>
      </c>
      <c r="T864" s="6">
        <v>49</v>
      </c>
      <c r="U864" s="6">
        <v>55</v>
      </c>
      <c r="V864" s="6">
        <f>IF(ISERROR(VLOOKUP($S$864,'TAR FIN'!$A$1:$O$113,15,0)),0,VLOOKUP($S$864,'TAR FIN'!$A$1:$O$113,15,0))</f>
        <v>0</v>
      </c>
      <c r="W864" s="6">
        <f>IF(ISERROR(VLOOKUP($T$864,'TAR FIN'!$A$1:$O$113,15,0)),0,VLOOKUP($T$864,'TAR FIN'!$A$1:$O$113,15,0))</f>
        <v>225.87</v>
      </c>
      <c r="X864" s="6">
        <f>IF(ISERROR(VLOOKUP($U$864,'TAR FIN'!$A$1:$O$113,15,0)),0,VLOOKUP($U$864,'TAR FIN'!$A$1:$O$113,15,0))</f>
        <v>292.36</v>
      </c>
      <c r="Y864" s="6"/>
      <c r="Z864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864" s="6">
        <f>('TE BE'!$AB$22+'TE BF'!$AB$22+'TE CVA'!$AB$22)*(1-CUSTOS!$M$37)</f>
        <v>314.78517822974521</v>
      </c>
      <c r="AB864" s="6">
        <f>$K$864*$V$864</f>
        <v>0</v>
      </c>
      <c r="AC864" s="6">
        <f>$M$864*$W$864</f>
        <v>13489.85988</v>
      </c>
      <c r="AD864" s="6">
        <f>$O$864*$X$864</f>
        <v>17460.908640000001</v>
      </c>
      <c r="AE864" s="6">
        <f>$K$864*$Y$864</f>
        <v>0</v>
      </c>
      <c r="AF864" s="6">
        <f ca="1">$M$864*$Z$864</f>
        <v>15525.450920060788</v>
      </c>
      <c r="AG864" s="6">
        <f>$O$864*$AA$864</f>
        <v>18800.229984593301</v>
      </c>
    </row>
    <row r="865" spans="1:33" ht="11.25" customHeight="1" x14ac:dyDescent="0.3">
      <c r="A865" s="4" t="s">
        <v>21</v>
      </c>
      <c r="B865" s="4" t="s">
        <v>22</v>
      </c>
      <c r="C865" s="4" t="s">
        <v>23</v>
      </c>
      <c r="D865" s="4" t="s">
        <v>24</v>
      </c>
      <c r="E865" s="4" t="s">
        <v>32</v>
      </c>
      <c r="F865" s="4" t="s">
        <v>25</v>
      </c>
      <c r="G865" s="4" t="s">
        <v>25</v>
      </c>
      <c r="H865" s="4" t="s">
        <v>25</v>
      </c>
      <c r="I865" s="5">
        <v>44774</v>
      </c>
      <c r="J865" s="6">
        <v>0</v>
      </c>
      <c r="K865" s="6">
        <v>0</v>
      </c>
      <c r="L865" s="6">
        <v>51.945999999999998</v>
      </c>
      <c r="M865" s="6">
        <v>51.945999999999998</v>
      </c>
      <c r="N865" s="6">
        <v>51.945999999999998</v>
      </c>
      <c r="O865" s="6">
        <v>51.945999999999998</v>
      </c>
      <c r="P865" s="6">
        <v>847</v>
      </c>
      <c r="Q865" s="4" t="s">
        <v>26</v>
      </c>
      <c r="R865" s="4">
        <v>0</v>
      </c>
      <c r="S865" s="6">
        <v>0</v>
      </c>
      <c r="T865" s="6">
        <v>49</v>
      </c>
      <c r="U865" s="6">
        <v>55</v>
      </c>
      <c r="V865" s="6">
        <f>IF(ISERROR(VLOOKUP($S$865,'TAR FIN'!$A$1:$O$113,15,0)),0,VLOOKUP($S$865,'TAR FIN'!$A$1:$O$113,15,0))</f>
        <v>0</v>
      </c>
      <c r="W865" s="6">
        <f>IF(ISERROR(VLOOKUP($T$865,'TAR FIN'!$A$1:$O$113,15,0)),0,VLOOKUP($T$865,'TAR FIN'!$A$1:$O$113,15,0))</f>
        <v>225.87</v>
      </c>
      <c r="X865" s="6">
        <f>IF(ISERROR(VLOOKUP($U$865,'TAR FIN'!$A$1:$O$113,15,0)),0,VLOOKUP($U$865,'TAR FIN'!$A$1:$O$113,15,0))</f>
        <v>292.36</v>
      </c>
      <c r="Y865" s="6"/>
      <c r="Z865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865" s="6">
        <f>('TE BE'!$AB$22+'TE BF'!$AB$22+'TE CVA'!$AB$22)*(1-CUSTOS!$M$37)</f>
        <v>314.78517822974521</v>
      </c>
      <c r="AB865" s="6">
        <f>$K$865*$V$865</f>
        <v>0</v>
      </c>
      <c r="AC865" s="6">
        <f>$M$865*$W$865</f>
        <v>11733.043019999999</v>
      </c>
      <c r="AD865" s="6">
        <f>$O$865*$X$865</f>
        <v>15186.932559999999</v>
      </c>
      <c r="AE865" s="6">
        <f>$K$865*$Y$865</f>
        <v>0</v>
      </c>
      <c r="AF865" s="6">
        <f ca="1">$M$865*$Z$865</f>
        <v>13503.534148641713</v>
      </c>
      <c r="AG865" s="6">
        <f>$O$865*$AA$865</f>
        <v>16351.830868322344</v>
      </c>
    </row>
    <row r="866" spans="1:33" ht="11.25" customHeight="1" x14ac:dyDescent="0.3">
      <c r="A866" s="4" t="s">
        <v>27</v>
      </c>
      <c r="B866" s="4" t="s">
        <v>22</v>
      </c>
      <c r="C866" s="4" t="s">
        <v>23</v>
      </c>
      <c r="D866" s="4" t="s">
        <v>24</v>
      </c>
      <c r="E866" s="4" t="s">
        <v>32</v>
      </c>
      <c r="F866" s="4" t="s">
        <v>25</v>
      </c>
      <c r="G866" s="4" t="s">
        <v>25</v>
      </c>
      <c r="H866" s="4" t="s">
        <v>25</v>
      </c>
      <c r="I866" s="5">
        <v>44774</v>
      </c>
      <c r="J866" s="6">
        <v>0</v>
      </c>
      <c r="K866" s="6">
        <v>0</v>
      </c>
      <c r="L866" s="6">
        <v>-0.115</v>
      </c>
      <c r="M866" s="6">
        <v>-0.115</v>
      </c>
      <c r="N866" s="6">
        <v>-0.115</v>
      </c>
      <c r="O866" s="6">
        <v>-0.115</v>
      </c>
      <c r="P866" s="6">
        <v>0</v>
      </c>
      <c r="Q866" s="4" t="s">
        <v>26</v>
      </c>
      <c r="R866" s="4">
        <v>0</v>
      </c>
      <c r="S866" s="6">
        <v>0</v>
      </c>
      <c r="T866" s="6">
        <v>49</v>
      </c>
      <c r="U866" s="6">
        <v>55</v>
      </c>
      <c r="V866" s="6">
        <f>IF(ISERROR(VLOOKUP($S$866,'TAR FIN'!$A$1:$O$113,15,0)),0,VLOOKUP($S$866,'TAR FIN'!$A$1:$O$113,15,0))</f>
        <v>0</v>
      </c>
      <c r="W866" s="6">
        <f>IF(ISERROR(VLOOKUP($T$866,'TAR FIN'!$A$1:$O$113,15,0)),0,VLOOKUP($T$866,'TAR FIN'!$A$1:$O$113,15,0))</f>
        <v>225.87</v>
      </c>
      <c r="X866" s="6">
        <f>IF(ISERROR(VLOOKUP($U$866,'TAR FIN'!$A$1:$O$113,15,0)),0,VLOOKUP($U$866,'TAR FIN'!$A$1:$O$113,15,0))</f>
        <v>292.36</v>
      </c>
      <c r="Y866" s="6"/>
      <c r="Z866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866" s="6">
        <f>('TE BE'!$AB$22+'TE BF'!$AB$22+'TE CVA'!$AB$22)*(1-CUSTOS!$M$37)</f>
        <v>314.78517822974521</v>
      </c>
      <c r="AB866" s="6">
        <f>$K$866*$V$866</f>
        <v>0</v>
      </c>
      <c r="AC866" s="6">
        <f>$M$866*$W$866</f>
        <v>-25.975050000000003</v>
      </c>
      <c r="AD866" s="6">
        <f>$O$866*$X$866</f>
        <v>-33.621400000000001</v>
      </c>
      <c r="AE866" s="6">
        <f>$K$866*$Y$866</f>
        <v>0</v>
      </c>
      <c r="AF866" s="6">
        <f ca="1">$M$866*$Z$866</f>
        <v>-29.894629559423194</v>
      </c>
      <c r="AG866" s="6">
        <f>$O$866*$AA$866</f>
        <v>-36.200295496420701</v>
      </c>
    </row>
    <row r="867" spans="1:33" ht="11.25" customHeight="1" x14ac:dyDescent="0.3">
      <c r="A867" s="4" t="s">
        <v>21</v>
      </c>
      <c r="B867" s="4" t="s">
        <v>22</v>
      </c>
      <c r="C867" s="4" t="s">
        <v>23</v>
      </c>
      <c r="D867" s="4" t="s">
        <v>24</v>
      </c>
      <c r="E867" s="4" t="s">
        <v>32</v>
      </c>
      <c r="F867" s="4" t="s">
        <v>25</v>
      </c>
      <c r="G867" s="4" t="s">
        <v>25</v>
      </c>
      <c r="H867" s="4" t="s">
        <v>25</v>
      </c>
      <c r="I867" s="5">
        <v>44805</v>
      </c>
      <c r="J867" s="6">
        <v>0</v>
      </c>
      <c r="K867" s="6">
        <v>0</v>
      </c>
      <c r="L867" s="6">
        <v>72.566999999999993</v>
      </c>
      <c r="M867" s="6">
        <v>72.566999999999993</v>
      </c>
      <c r="N867" s="6">
        <v>72.566999999999993</v>
      </c>
      <c r="O867" s="6">
        <v>72.566999999999993</v>
      </c>
      <c r="P867" s="6">
        <v>1110</v>
      </c>
      <c r="Q867" s="4" t="s">
        <v>26</v>
      </c>
      <c r="R867" s="4">
        <v>0</v>
      </c>
      <c r="S867" s="6">
        <v>0</v>
      </c>
      <c r="T867" s="6">
        <v>49</v>
      </c>
      <c r="U867" s="6">
        <v>55</v>
      </c>
      <c r="V867" s="6">
        <f>IF(ISERROR(VLOOKUP($S$867,'TAR FIN'!$A$1:$O$113,15,0)),0,VLOOKUP($S$867,'TAR FIN'!$A$1:$O$113,15,0))</f>
        <v>0</v>
      </c>
      <c r="W867" s="6">
        <f>IF(ISERROR(VLOOKUP($T$867,'TAR FIN'!$A$1:$O$113,15,0)),0,VLOOKUP($T$867,'TAR FIN'!$A$1:$O$113,15,0))</f>
        <v>225.87</v>
      </c>
      <c r="X867" s="6">
        <f>IF(ISERROR(VLOOKUP($U$867,'TAR FIN'!$A$1:$O$113,15,0)),0,VLOOKUP($U$867,'TAR FIN'!$A$1:$O$113,15,0))</f>
        <v>292.36</v>
      </c>
      <c r="Y867" s="6"/>
      <c r="Z867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867" s="6">
        <f>('TE BE'!$AB$22+'TE BF'!$AB$22+'TE CVA'!$AB$22)*(1-CUSTOS!$M$37)</f>
        <v>314.78517822974521</v>
      </c>
      <c r="AB867" s="6">
        <f>$K$867*$V$867</f>
        <v>0</v>
      </c>
      <c r="AC867" s="6">
        <f>$M$867*$W$867</f>
        <v>16390.708289999999</v>
      </c>
      <c r="AD867" s="6">
        <f>$O$867*$X$867</f>
        <v>21215.688119999999</v>
      </c>
      <c r="AE867" s="6">
        <f>$K$867*$Y$867</f>
        <v>0</v>
      </c>
      <c r="AF867" s="6">
        <f ca="1">$M$867*$Z$867</f>
        <v>18864.031158597067</v>
      </c>
      <c r="AG867" s="6">
        <f>$O$867*$AA$867</f>
        <v>22843.016028597918</v>
      </c>
    </row>
    <row r="868" spans="1:33" ht="11.25" customHeight="1" x14ac:dyDescent="0.3">
      <c r="A868" s="4" t="s">
        <v>53</v>
      </c>
      <c r="B868" s="4" t="s">
        <v>22</v>
      </c>
      <c r="C868" s="4" t="s">
        <v>23</v>
      </c>
      <c r="D868" s="4" t="s">
        <v>24</v>
      </c>
      <c r="E868" s="4" t="s">
        <v>32</v>
      </c>
      <c r="F868" s="4" t="s">
        <v>25</v>
      </c>
      <c r="G868" s="4" t="s">
        <v>25</v>
      </c>
      <c r="H868" s="4" t="s">
        <v>25</v>
      </c>
      <c r="I868" s="5">
        <v>44835</v>
      </c>
      <c r="J868" s="6">
        <v>0</v>
      </c>
      <c r="K868" s="6">
        <v>0</v>
      </c>
      <c r="L868" s="6">
        <v>72.566999999999993</v>
      </c>
      <c r="M868" s="6">
        <v>72.566999999999993</v>
      </c>
      <c r="N868" s="6">
        <v>72.566999999999993</v>
      </c>
      <c r="O868" s="6">
        <v>72.566999999999993</v>
      </c>
      <c r="P868" s="6">
        <v>1110</v>
      </c>
      <c r="Q868" s="4" t="s">
        <v>26</v>
      </c>
      <c r="R868" s="4">
        <v>0</v>
      </c>
      <c r="S868" s="6">
        <v>0</v>
      </c>
      <c r="T868" s="6">
        <v>49</v>
      </c>
      <c r="U868" s="6">
        <v>55</v>
      </c>
      <c r="V868" s="6">
        <f>IF(ISERROR(VLOOKUP($S$868,'TAR FIN'!$A$1:$O$113,15,0)),0,VLOOKUP($S$868,'TAR FIN'!$A$1:$O$113,15,0))</f>
        <v>0</v>
      </c>
      <c r="W868" s="6">
        <f>IF(ISERROR(VLOOKUP($T$868,'TAR FIN'!$A$1:$O$113,15,0)),0,VLOOKUP($T$868,'TAR FIN'!$A$1:$O$113,15,0))</f>
        <v>225.87</v>
      </c>
      <c r="X868" s="6">
        <f>IF(ISERROR(VLOOKUP($U$868,'TAR FIN'!$A$1:$O$113,15,0)),0,VLOOKUP($U$868,'TAR FIN'!$A$1:$O$113,15,0))</f>
        <v>292.36</v>
      </c>
      <c r="Y868" s="6"/>
      <c r="Z868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868" s="6">
        <f>('TE BE'!$AB$22+'TE BF'!$AB$22+'TE CVA'!$AB$22)*(1-CUSTOS!$M$37)</f>
        <v>314.78517822974521</v>
      </c>
      <c r="AB868" s="6">
        <f>$K$868*$V$868</f>
        <v>0</v>
      </c>
      <c r="AC868" s="6">
        <f>$M$868*$W$868</f>
        <v>16390.708289999999</v>
      </c>
      <c r="AD868" s="6">
        <f>$O$868*$X$868</f>
        <v>21215.688119999999</v>
      </c>
      <c r="AE868" s="6">
        <f>$K$868*$Y$868</f>
        <v>0</v>
      </c>
      <c r="AF868" s="6">
        <f ca="1">$M$868*$Z$868</f>
        <v>18864.031158597067</v>
      </c>
      <c r="AG868" s="6">
        <f>$O$868*$AA$868</f>
        <v>22843.016028597918</v>
      </c>
    </row>
    <row r="869" spans="1:33" ht="11.25" customHeight="1" x14ac:dyDescent="0.3">
      <c r="A869" s="4" t="s">
        <v>21</v>
      </c>
      <c r="B869" s="4" t="s">
        <v>44</v>
      </c>
      <c r="C869" s="4" t="s">
        <v>23</v>
      </c>
      <c r="D869" s="4" t="s">
        <v>45</v>
      </c>
      <c r="E869" s="4" t="s">
        <v>25</v>
      </c>
      <c r="F869" s="4" t="s">
        <v>25</v>
      </c>
      <c r="G869" s="4" t="s">
        <v>25</v>
      </c>
      <c r="H869" s="4" t="s">
        <v>25</v>
      </c>
      <c r="I869" s="5">
        <v>44501</v>
      </c>
      <c r="J869" s="6">
        <v>0</v>
      </c>
      <c r="K869" s="6">
        <v>0</v>
      </c>
      <c r="L869" s="6">
        <v>300.41300000000001</v>
      </c>
      <c r="M869" s="6">
        <v>300.41300000000001</v>
      </c>
      <c r="N869" s="6">
        <v>300.41300000000001</v>
      </c>
      <c r="O869" s="6">
        <v>300.41300000000001</v>
      </c>
      <c r="P869" s="6">
        <v>449</v>
      </c>
      <c r="Q869" s="4" t="s">
        <v>26</v>
      </c>
      <c r="R869" s="4">
        <v>0</v>
      </c>
      <c r="S869" s="6">
        <v>0</v>
      </c>
      <c r="T869" s="6">
        <v>47</v>
      </c>
      <c r="U869" s="6">
        <v>109</v>
      </c>
      <c r="V869" s="6">
        <f>IF(ISERROR(VLOOKUP($S$869,'TAR FIN'!$A$1:$O$113,15,0)),0,VLOOKUP($S$869,'TAR FIN'!$A$1:$O$113,15,0))</f>
        <v>0</v>
      </c>
      <c r="W869" s="6">
        <f>IF(ISERROR(VLOOKUP($T$869,'TAR FIN'!$A$1:$O$113,15,0)),0,VLOOKUP($T$869,'TAR FIN'!$A$1:$O$113,15,0))</f>
        <v>264.26</v>
      </c>
      <c r="X869" s="6">
        <f>IF(ISERROR(VLOOKUP($U$869,'TAR FIN'!$A$1:$O$113,15,0)),0,VLOOKUP($U$869,'TAR FIN'!$A$1:$O$113,15,0))</f>
        <v>257.27</v>
      </c>
      <c r="Y869" s="6"/>
      <c r="Z869" s="6">
        <f ca="1">('TUSD BE'!$AM$53+'TUSD BF'!$AM$53+'TUSD CVA'!$AM$53)*(1-CUSTOS!$M$38)</f>
        <v>369.68733431619313</v>
      </c>
      <c r="AA869" s="6">
        <f>('TE BE'!$AB$31+'TE BF'!$AB$31+'TE CVA'!$AB$31)*(1-CUSTOS!$M$38)</f>
        <v>295.89806753596048</v>
      </c>
      <c r="AB869" s="6">
        <f>$K$869*$V$869</f>
        <v>0</v>
      </c>
      <c r="AC869" s="6">
        <f>$M$869*$W$869</f>
        <v>79387.139379999993</v>
      </c>
      <c r="AD869" s="6">
        <f>$O$869*$X$869</f>
        <v>77287.252509999991</v>
      </c>
      <c r="AE869" s="6">
        <f>$K$869*$Y$869</f>
        <v>0</v>
      </c>
      <c r="AF869" s="6">
        <f ca="1">$M$869*$Z$869</f>
        <v>111058.88116393053</v>
      </c>
      <c r="AG869" s="6">
        <f>$O$869*$AA$869</f>
        <v>88891.626162680492</v>
      </c>
    </row>
    <row r="870" spans="1:33" ht="11.25" customHeight="1" x14ac:dyDescent="0.3">
      <c r="A870" s="4" t="s">
        <v>27</v>
      </c>
      <c r="B870" s="4" t="s">
        <v>44</v>
      </c>
      <c r="C870" s="4" t="s">
        <v>23</v>
      </c>
      <c r="D870" s="4" t="s">
        <v>45</v>
      </c>
      <c r="E870" s="4" t="s">
        <v>25</v>
      </c>
      <c r="F870" s="4" t="s">
        <v>25</v>
      </c>
      <c r="G870" s="4" t="s">
        <v>25</v>
      </c>
      <c r="H870" s="4" t="s">
        <v>25</v>
      </c>
      <c r="I870" s="5">
        <v>44501</v>
      </c>
      <c r="J870" s="6">
        <v>0</v>
      </c>
      <c r="K870" s="6">
        <v>0</v>
      </c>
      <c r="L870" s="6">
        <v>-2.4</v>
      </c>
      <c r="M870" s="6">
        <v>-2.4</v>
      </c>
      <c r="N870" s="6">
        <v>-2.4</v>
      </c>
      <c r="O870" s="6">
        <v>-2.4</v>
      </c>
      <c r="P870" s="6">
        <v>0</v>
      </c>
      <c r="Q870" s="4" t="s">
        <v>26</v>
      </c>
      <c r="R870" s="4">
        <v>0</v>
      </c>
      <c r="S870" s="6">
        <v>0</v>
      </c>
      <c r="T870" s="6">
        <v>47</v>
      </c>
      <c r="U870" s="6">
        <v>109</v>
      </c>
      <c r="V870" s="6">
        <f>IF(ISERROR(VLOOKUP($S$870,'TAR FIN'!$A$1:$O$113,15,0)),0,VLOOKUP($S$870,'TAR FIN'!$A$1:$O$113,15,0))</f>
        <v>0</v>
      </c>
      <c r="W870" s="6">
        <f>IF(ISERROR(VLOOKUP($T$870,'TAR FIN'!$A$1:$O$113,15,0)),0,VLOOKUP($T$870,'TAR FIN'!$A$1:$O$113,15,0))</f>
        <v>264.26</v>
      </c>
      <c r="X870" s="6">
        <f>IF(ISERROR(VLOOKUP($U$870,'TAR FIN'!$A$1:$O$113,15,0)),0,VLOOKUP($U$870,'TAR FIN'!$A$1:$O$113,15,0))</f>
        <v>257.27</v>
      </c>
      <c r="Y870" s="6"/>
      <c r="Z870" s="6">
        <f ca="1">('TUSD BE'!$AM$53+'TUSD BF'!$AM$53+'TUSD CVA'!$AM$53)*(1-CUSTOS!$M$38)</f>
        <v>369.68733431619313</v>
      </c>
      <c r="AA870" s="6">
        <f>('TE BE'!$AB$31+'TE BF'!$AB$31+'TE CVA'!$AB$31)*(1-CUSTOS!$M$38)</f>
        <v>295.89806753596048</v>
      </c>
      <c r="AB870" s="6">
        <f>$K$870*$V$870</f>
        <v>0</v>
      </c>
      <c r="AC870" s="6">
        <f>$M$870*$W$870</f>
        <v>-634.22399999999993</v>
      </c>
      <c r="AD870" s="6">
        <f>$O$870*$X$870</f>
        <v>-617.44799999999998</v>
      </c>
      <c r="AE870" s="6">
        <f>$K$870*$Y$870</f>
        <v>0</v>
      </c>
      <c r="AF870" s="6">
        <f ca="1">$M$870*$Z$870</f>
        <v>-887.24960235886351</v>
      </c>
      <c r="AG870" s="6">
        <f>$O$870*$AA$870</f>
        <v>-710.1553620863051</v>
      </c>
    </row>
    <row r="871" spans="1:33" ht="11.25" customHeight="1" x14ac:dyDescent="0.3">
      <c r="A871" s="4" t="s">
        <v>28</v>
      </c>
      <c r="B871" s="4" t="s">
        <v>44</v>
      </c>
      <c r="C871" s="4" t="s">
        <v>23</v>
      </c>
      <c r="D871" s="4" t="s">
        <v>45</v>
      </c>
      <c r="E871" s="4" t="s">
        <v>25</v>
      </c>
      <c r="F871" s="4" t="s">
        <v>25</v>
      </c>
      <c r="G871" s="4" t="s">
        <v>25</v>
      </c>
      <c r="H871" s="4" t="s">
        <v>25</v>
      </c>
      <c r="I871" s="5">
        <v>44501</v>
      </c>
      <c r="J871" s="6">
        <v>0</v>
      </c>
      <c r="K871" s="6">
        <v>0</v>
      </c>
      <c r="L871" s="6">
        <v>6.0369999999999999</v>
      </c>
      <c r="M871" s="6">
        <v>6.0369999999999999</v>
      </c>
      <c r="N871" s="6">
        <v>6.0369999999999999</v>
      </c>
      <c r="O871" s="6">
        <v>6.0369999999999999</v>
      </c>
      <c r="P871" s="6">
        <v>25</v>
      </c>
      <c r="Q871" s="4" t="s">
        <v>26</v>
      </c>
      <c r="R871" s="4">
        <v>0</v>
      </c>
      <c r="S871" s="6">
        <v>0</v>
      </c>
      <c r="T871" s="6">
        <v>47</v>
      </c>
      <c r="U871" s="6">
        <v>109</v>
      </c>
      <c r="V871" s="6">
        <f>IF(ISERROR(VLOOKUP($S$871,'TAR FIN'!$A$1:$O$113,15,0)),0,VLOOKUP($S$871,'TAR FIN'!$A$1:$O$113,15,0))</f>
        <v>0</v>
      </c>
      <c r="W871" s="6">
        <f>IF(ISERROR(VLOOKUP($T$871,'TAR FIN'!$A$1:$O$113,15,0)),0,VLOOKUP($T$871,'TAR FIN'!$A$1:$O$113,15,0))</f>
        <v>264.26</v>
      </c>
      <c r="X871" s="6">
        <f>IF(ISERROR(VLOOKUP($U$871,'TAR FIN'!$A$1:$O$113,15,0)),0,VLOOKUP($U$871,'TAR FIN'!$A$1:$O$113,15,0))</f>
        <v>257.27</v>
      </c>
      <c r="Y871" s="6"/>
      <c r="Z871" s="6">
        <f ca="1">('TUSD BE'!$AM$53+'TUSD BF'!$AM$53+'TUSD CVA'!$AM$53)*(1-CUSTOS!$M$38)</f>
        <v>369.68733431619313</v>
      </c>
      <c r="AA871" s="6">
        <f>('TE BE'!$AB$31+'TE BF'!$AB$31+'TE CVA'!$AB$31)*(1-CUSTOS!$M$38)</f>
        <v>295.89806753596048</v>
      </c>
      <c r="AB871" s="6">
        <f>$K$871*$V$871</f>
        <v>0</v>
      </c>
      <c r="AC871" s="6">
        <f>$M$871*$W$871</f>
        <v>1595.33762</v>
      </c>
      <c r="AD871" s="6">
        <f>$O$871*$X$871</f>
        <v>1553.1389899999999</v>
      </c>
      <c r="AE871" s="6">
        <f>$K$871*$Y$871</f>
        <v>0</v>
      </c>
      <c r="AF871" s="6">
        <f ca="1">$M$871*$Z$871</f>
        <v>2231.8024372668579</v>
      </c>
      <c r="AG871" s="6">
        <f>$O$871*$AA$871</f>
        <v>1786.3366337145933</v>
      </c>
    </row>
    <row r="872" spans="1:33" ht="11.25" customHeight="1" x14ac:dyDescent="0.3">
      <c r="A872" s="4" t="s">
        <v>28</v>
      </c>
      <c r="B872" s="4" t="s">
        <v>44</v>
      </c>
      <c r="C872" s="4" t="s">
        <v>23</v>
      </c>
      <c r="D872" s="4" t="s">
        <v>45</v>
      </c>
      <c r="E872" s="4" t="s">
        <v>25</v>
      </c>
      <c r="F872" s="4" t="s">
        <v>25</v>
      </c>
      <c r="G872" s="4" t="s">
        <v>25</v>
      </c>
      <c r="H872" s="4" t="s">
        <v>25</v>
      </c>
      <c r="I872" s="5">
        <v>44501</v>
      </c>
      <c r="J872" s="6">
        <v>0</v>
      </c>
      <c r="K872" s="6">
        <v>0</v>
      </c>
      <c r="L872" s="6">
        <v>1.08</v>
      </c>
      <c r="M872" s="6">
        <v>1.08</v>
      </c>
      <c r="N872" s="6">
        <v>1.08</v>
      </c>
      <c r="O872" s="6">
        <v>1.08</v>
      </c>
      <c r="P872" s="6">
        <v>1</v>
      </c>
      <c r="Q872" s="4" t="s">
        <v>26</v>
      </c>
      <c r="R872" s="4">
        <v>0</v>
      </c>
      <c r="S872" s="6">
        <v>0</v>
      </c>
      <c r="T872" s="6">
        <v>47</v>
      </c>
      <c r="U872" s="6">
        <v>109</v>
      </c>
      <c r="V872" s="6">
        <f>IF(ISERROR(VLOOKUP($S$872,'TAR FIN'!$A$1:$O$113,15,0)),0,VLOOKUP($S$872,'TAR FIN'!$A$1:$O$113,15,0))</f>
        <v>0</v>
      </c>
      <c r="W872" s="6">
        <f>IF(ISERROR(VLOOKUP($T$872,'TAR FIN'!$A$1:$O$113,15,0)),0,VLOOKUP($T$872,'TAR FIN'!$A$1:$O$113,15,0))</f>
        <v>264.26</v>
      </c>
      <c r="X872" s="6">
        <f>IF(ISERROR(VLOOKUP($U$872,'TAR FIN'!$A$1:$O$113,15,0)),0,VLOOKUP($U$872,'TAR FIN'!$A$1:$O$113,15,0))</f>
        <v>257.27</v>
      </c>
      <c r="Y872" s="6"/>
      <c r="Z872" s="6">
        <f ca="1">('TUSD BE'!$AM$53+'TUSD BF'!$AM$53+'TUSD CVA'!$AM$53)*(1-CUSTOS!$M$38)</f>
        <v>369.68733431619313</v>
      </c>
      <c r="AA872" s="6">
        <f>('TE BE'!$AB$31+'TE BF'!$AB$31+'TE CVA'!$AB$31)*(1-CUSTOS!$M$38)</f>
        <v>295.89806753596048</v>
      </c>
      <c r="AB872" s="6">
        <f>$K$872*$V$872</f>
        <v>0</v>
      </c>
      <c r="AC872" s="6">
        <f>$M$872*$W$872</f>
        <v>285.4008</v>
      </c>
      <c r="AD872" s="6">
        <f>$O$872*$X$872</f>
        <v>277.85160000000002</v>
      </c>
      <c r="AE872" s="6">
        <f>$K$872*$Y$872</f>
        <v>0</v>
      </c>
      <c r="AF872" s="6">
        <f ca="1">$M$872*$Z$872</f>
        <v>399.26232106148859</v>
      </c>
      <c r="AG872" s="6">
        <f>$O$872*$AA$872</f>
        <v>319.56991293883732</v>
      </c>
    </row>
    <row r="873" spans="1:33" ht="11.25" customHeight="1" x14ac:dyDescent="0.3">
      <c r="A873" s="4" t="s">
        <v>21</v>
      </c>
      <c r="B873" s="4" t="s">
        <v>44</v>
      </c>
      <c r="C873" s="4" t="s">
        <v>23</v>
      </c>
      <c r="D873" s="4" t="s">
        <v>45</v>
      </c>
      <c r="E873" s="4" t="s">
        <v>25</v>
      </c>
      <c r="F873" s="4" t="s">
        <v>25</v>
      </c>
      <c r="G873" s="4" t="s">
        <v>25</v>
      </c>
      <c r="H873" s="4" t="s">
        <v>25</v>
      </c>
      <c r="I873" s="5">
        <v>44531</v>
      </c>
      <c r="J873" s="6">
        <v>0</v>
      </c>
      <c r="K873" s="6">
        <v>0</v>
      </c>
      <c r="L873" s="6">
        <v>289.67899999999997</v>
      </c>
      <c r="M873" s="6">
        <v>289.67899999999997</v>
      </c>
      <c r="N873" s="6">
        <v>289.67899999999997</v>
      </c>
      <c r="O873" s="6">
        <v>289.67899999999997</v>
      </c>
      <c r="P873" s="6">
        <v>448</v>
      </c>
      <c r="Q873" s="4" t="s">
        <v>26</v>
      </c>
      <c r="R873" s="4">
        <v>0</v>
      </c>
      <c r="S873" s="6">
        <v>0</v>
      </c>
      <c r="T873" s="6">
        <v>47</v>
      </c>
      <c r="U873" s="6">
        <v>109</v>
      </c>
      <c r="V873" s="6">
        <f>IF(ISERROR(VLOOKUP($S$873,'TAR FIN'!$A$1:$O$113,15,0)),0,VLOOKUP($S$873,'TAR FIN'!$A$1:$O$113,15,0))</f>
        <v>0</v>
      </c>
      <c r="W873" s="6">
        <f>IF(ISERROR(VLOOKUP($T$873,'TAR FIN'!$A$1:$O$113,15,0)),0,VLOOKUP($T$873,'TAR FIN'!$A$1:$O$113,15,0))</f>
        <v>264.26</v>
      </c>
      <c r="X873" s="6">
        <f>IF(ISERROR(VLOOKUP($U$873,'TAR FIN'!$A$1:$O$113,15,0)),0,VLOOKUP($U$873,'TAR FIN'!$A$1:$O$113,15,0))</f>
        <v>257.27</v>
      </c>
      <c r="Y873" s="6"/>
      <c r="Z873" s="6">
        <f ca="1">('TUSD BE'!$AM$53+'TUSD BF'!$AM$53+'TUSD CVA'!$AM$53)*(1-CUSTOS!$M$38)</f>
        <v>369.68733431619313</v>
      </c>
      <c r="AA873" s="6">
        <f>('TE BE'!$AB$31+'TE BF'!$AB$31+'TE CVA'!$AB$31)*(1-CUSTOS!$M$38)</f>
        <v>295.89806753596048</v>
      </c>
      <c r="AB873" s="6">
        <f>$K$873*$V$873</f>
        <v>0</v>
      </c>
      <c r="AC873" s="6">
        <f>$M$873*$W$873</f>
        <v>76550.572539999994</v>
      </c>
      <c r="AD873" s="6">
        <f>$O$873*$X$873</f>
        <v>74525.716329999981</v>
      </c>
      <c r="AE873" s="6">
        <f>$K$873*$Y$873</f>
        <v>0</v>
      </c>
      <c r="AF873" s="6">
        <f ca="1">$M$873*$Z$873</f>
        <v>107090.65731738049</v>
      </c>
      <c r="AG873" s="6">
        <f>$O$873*$AA$873</f>
        <v>85715.456305749482</v>
      </c>
    </row>
    <row r="874" spans="1:33" ht="11.25" customHeight="1" x14ac:dyDescent="0.3">
      <c r="A874" s="4" t="s">
        <v>27</v>
      </c>
      <c r="B874" s="4" t="s">
        <v>44</v>
      </c>
      <c r="C874" s="4" t="s">
        <v>23</v>
      </c>
      <c r="D874" s="4" t="s">
        <v>45</v>
      </c>
      <c r="E874" s="4" t="s">
        <v>25</v>
      </c>
      <c r="F874" s="4" t="s">
        <v>25</v>
      </c>
      <c r="G874" s="4" t="s">
        <v>25</v>
      </c>
      <c r="H874" s="4" t="s">
        <v>25</v>
      </c>
      <c r="I874" s="5">
        <v>44531</v>
      </c>
      <c r="J874" s="6">
        <v>0</v>
      </c>
      <c r="K874" s="6">
        <v>0</v>
      </c>
      <c r="L874" s="6">
        <v>-0.74</v>
      </c>
      <c r="M874" s="6">
        <v>-0.74</v>
      </c>
      <c r="N874" s="6">
        <v>-0.74</v>
      </c>
      <c r="O874" s="6">
        <v>-0.74</v>
      </c>
      <c r="P874" s="6">
        <v>0</v>
      </c>
      <c r="Q874" s="4" t="s">
        <v>26</v>
      </c>
      <c r="R874" s="4">
        <v>0</v>
      </c>
      <c r="S874" s="6">
        <v>0</v>
      </c>
      <c r="T874" s="6">
        <v>47</v>
      </c>
      <c r="U874" s="6">
        <v>109</v>
      </c>
      <c r="V874" s="6">
        <f>IF(ISERROR(VLOOKUP($S$874,'TAR FIN'!$A$1:$O$113,15,0)),0,VLOOKUP($S$874,'TAR FIN'!$A$1:$O$113,15,0))</f>
        <v>0</v>
      </c>
      <c r="W874" s="6">
        <f>IF(ISERROR(VLOOKUP($T$874,'TAR FIN'!$A$1:$O$113,15,0)),0,VLOOKUP($T$874,'TAR FIN'!$A$1:$O$113,15,0))</f>
        <v>264.26</v>
      </c>
      <c r="X874" s="6">
        <f>IF(ISERROR(VLOOKUP($U$874,'TAR FIN'!$A$1:$O$113,15,0)),0,VLOOKUP($U$874,'TAR FIN'!$A$1:$O$113,15,0))</f>
        <v>257.27</v>
      </c>
      <c r="Y874" s="6"/>
      <c r="Z874" s="6">
        <f ca="1">('TUSD BE'!$AM$53+'TUSD BF'!$AM$53+'TUSD CVA'!$AM$53)*(1-CUSTOS!$M$38)</f>
        <v>369.68733431619313</v>
      </c>
      <c r="AA874" s="6">
        <f>('TE BE'!$AB$31+'TE BF'!$AB$31+'TE CVA'!$AB$31)*(1-CUSTOS!$M$38)</f>
        <v>295.89806753596048</v>
      </c>
      <c r="AB874" s="6">
        <f>$K$874*$V$874</f>
        <v>0</v>
      </c>
      <c r="AC874" s="6">
        <f>$M$874*$W$874</f>
        <v>-195.55239999999998</v>
      </c>
      <c r="AD874" s="6">
        <f>$O$874*$X$874</f>
        <v>-190.37979999999999</v>
      </c>
      <c r="AE874" s="6">
        <f>$K$874*$Y$874</f>
        <v>0</v>
      </c>
      <c r="AF874" s="6">
        <f ca="1">$M$874*$Z$874</f>
        <v>-273.56862739398292</v>
      </c>
      <c r="AG874" s="6">
        <f>$O$874*$AA$874</f>
        <v>-218.96456997661076</v>
      </c>
    </row>
    <row r="875" spans="1:33" ht="11.25" customHeight="1" x14ac:dyDescent="0.3">
      <c r="A875" s="4" t="s">
        <v>28</v>
      </c>
      <c r="B875" s="4" t="s">
        <v>44</v>
      </c>
      <c r="C875" s="4" t="s">
        <v>23</v>
      </c>
      <c r="D875" s="4" t="s">
        <v>45</v>
      </c>
      <c r="E875" s="4" t="s">
        <v>25</v>
      </c>
      <c r="F875" s="4" t="s">
        <v>25</v>
      </c>
      <c r="G875" s="4" t="s">
        <v>25</v>
      </c>
      <c r="H875" s="4" t="s">
        <v>25</v>
      </c>
      <c r="I875" s="5">
        <v>44531</v>
      </c>
      <c r="J875" s="6">
        <v>0</v>
      </c>
      <c r="K875" s="6">
        <v>0</v>
      </c>
      <c r="L875" s="6">
        <v>6.6429999999999998</v>
      </c>
      <c r="M875" s="6">
        <v>6.6429999999999998</v>
      </c>
      <c r="N875" s="6">
        <v>6.6429999999999998</v>
      </c>
      <c r="O875" s="6">
        <v>6.6429999999999998</v>
      </c>
      <c r="P875" s="6">
        <v>26</v>
      </c>
      <c r="Q875" s="4" t="s">
        <v>26</v>
      </c>
      <c r="R875" s="4">
        <v>0</v>
      </c>
      <c r="S875" s="6">
        <v>0</v>
      </c>
      <c r="T875" s="6">
        <v>47</v>
      </c>
      <c r="U875" s="6">
        <v>109</v>
      </c>
      <c r="V875" s="6">
        <f>IF(ISERROR(VLOOKUP($S$875,'TAR FIN'!$A$1:$O$113,15,0)),0,VLOOKUP($S$875,'TAR FIN'!$A$1:$O$113,15,0))</f>
        <v>0</v>
      </c>
      <c r="W875" s="6">
        <f>IF(ISERROR(VLOOKUP($T$875,'TAR FIN'!$A$1:$O$113,15,0)),0,VLOOKUP($T$875,'TAR FIN'!$A$1:$O$113,15,0))</f>
        <v>264.26</v>
      </c>
      <c r="X875" s="6">
        <f>IF(ISERROR(VLOOKUP($U$875,'TAR FIN'!$A$1:$O$113,15,0)),0,VLOOKUP($U$875,'TAR FIN'!$A$1:$O$113,15,0))</f>
        <v>257.27</v>
      </c>
      <c r="Y875" s="6"/>
      <c r="Z875" s="6">
        <f ca="1">('TUSD BE'!$AM$53+'TUSD BF'!$AM$53+'TUSD CVA'!$AM$53)*(1-CUSTOS!$M$38)</f>
        <v>369.68733431619313</v>
      </c>
      <c r="AA875" s="6">
        <f>('TE BE'!$AB$31+'TE BF'!$AB$31+'TE CVA'!$AB$31)*(1-CUSTOS!$M$38)</f>
        <v>295.89806753596048</v>
      </c>
      <c r="AB875" s="6">
        <f>$K$875*$V$875</f>
        <v>0</v>
      </c>
      <c r="AC875" s="6">
        <f>$M$875*$W$875</f>
        <v>1755.4791799999998</v>
      </c>
      <c r="AD875" s="6">
        <f>$O$875*$X$875</f>
        <v>1709.0446099999999</v>
      </c>
      <c r="AE875" s="6">
        <f>$K$875*$Y$875</f>
        <v>0</v>
      </c>
      <c r="AF875" s="6">
        <f ca="1">$M$875*$Z$875</f>
        <v>2455.8329618624707</v>
      </c>
      <c r="AG875" s="6">
        <f>$O$875*$AA$875</f>
        <v>1965.6508626413854</v>
      </c>
    </row>
    <row r="876" spans="1:33" ht="11.25" customHeight="1" x14ac:dyDescent="0.3">
      <c r="A876" s="4" t="s">
        <v>28</v>
      </c>
      <c r="B876" s="4" t="s">
        <v>44</v>
      </c>
      <c r="C876" s="4" t="s">
        <v>23</v>
      </c>
      <c r="D876" s="4" t="s">
        <v>45</v>
      </c>
      <c r="E876" s="4" t="s">
        <v>25</v>
      </c>
      <c r="F876" s="4" t="s">
        <v>25</v>
      </c>
      <c r="G876" s="4" t="s">
        <v>25</v>
      </c>
      <c r="H876" s="4" t="s">
        <v>25</v>
      </c>
      <c r="I876" s="5">
        <v>44531</v>
      </c>
      <c r="J876" s="6">
        <v>0</v>
      </c>
      <c r="K876" s="6">
        <v>0</v>
      </c>
      <c r="L876" s="6">
        <v>0.05</v>
      </c>
      <c r="M876" s="6">
        <v>0.05</v>
      </c>
      <c r="N876" s="6">
        <v>0.05</v>
      </c>
      <c r="O876" s="6">
        <v>0.05</v>
      </c>
      <c r="P876" s="6">
        <v>1</v>
      </c>
      <c r="Q876" s="4" t="s">
        <v>26</v>
      </c>
      <c r="R876" s="4">
        <v>0</v>
      </c>
      <c r="S876" s="6">
        <v>0</v>
      </c>
      <c r="T876" s="6">
        <v>47</v>
      </c>
      <c r="U876" s="6">
        <v>109</v>
      </c>
      <c r="V876" s="6">
        <f>IF(ISERROR(VLOOKUP($S$876,'TAR FIN'!$A$1:$O$113,15,0)),0,VLOOKUP($S$876,'TAR FIN'!$A$1:$O$113,15,0))</f>
        <v>0</v>
      </c>
      <c r="W876" s="6">
        <f>IF(ISERROR(VLOOKUP($T$876,'TAR FIN'!$A$1:$O$113,15,0)),0,VLOOKUP($T$876,'TAR FIN'!$A$1:$O$113,15,0))</f>
        <v>264.26</v>
      </c>
      <c r="X876" s="6">
        <f>IF(ISERROR(VLOOKUP($U$876,'TAR FIN'!$A$1:$O$113,15,0)),0,VLOOKUP($U$876,'TAR FIN'!$A$1:$O$113,15,0))</f>
        <v>257.27</v>
      </c>
      <c r="Y876" s="6"/>
      <c r="Z876" s="6">
        <f ca="1">('TUSD BE'!$AM$53+'TUSD BF'!$AM$53+'TUSD CVA'!$AM$53)*(1-CUSTOS!$M$38)</f>
        <v>369.68733431619313</v>
      </c>
      <c r="AA876" s="6">
        <f>('TE BE'!$AB$31+'TE BF'!$AB$31+'TE CVA'!$AB$31)*(1-CUSTOS!$M$38)</f>
        <v>295.89806753596048</v>
      </c>
      <c r="AB876" s="6">
        <f>$K$876*$V$876</f>
        <v>0</v>
      </c>
      <c r="AC876" s="6">
        <f>$M$876*$W$876</f>
        <v>13.213000000000001</v>
      </c>
      <c r="AD876" s="6">
        <f>$O$876*$X$876</f>
        <v>12.8635</v>
      </c>
      <c r="AE876" s="6">
        <f>$K$876*$Y$876</f>
        <v>0</v>
      </c>
      <c r="AF876" s="6">
        <f ca="1">$M$876*$Z$876</f>
        <v>18.484366715809657</v>
      </c>
      <c r="AG876" s="6">
        <f>$O$876*$AA$876</f>
        <v>14.794903376798025</v>
      </c>
    </row>
    <row r="877" spans="1:33" ht="11.25" customHeight="1" x14ac:dyDescent="0.3">
      <c r="A877" s="4" t="s">
        <v>21</v>
      </c>
      <c r="B877" s="4" t="s">
        <v>44</v>
      </c>
      <c r="C877" s="4" t="s">
        <v>23</v>
      </c>
      <c r="D877" s="4" t="s">
        <v>45</v>
      </c>
      <c r="E877" s="4" t="s">
        <v>25</v>
      </c>
      <c r="F877" s="4" t="s">
        <v>25</v>
      </c>
      <c r="G877" s="4" t="s">
        <v>25</v>
      </c>
      <c r="H877" s="4" t="s">
        <v>25</v>
      </c>
      <c r="I877" s="5">
        <v>44562</v>
      </c>
      <c r="J877" s="6">
        <v>0</v>
      </c>
      <c r="K877" s="6">
        <v>0</v>
      </c>
      <c r="L877" s="6">
        <v>317.97500000000002</v>
      </c>
      <c r="M877" s="6">
        <v>317.97500000000002</v>
      </c>
      <c r="N877" s="6">
        <v>317.97500000000002</v>
      </c>
      <c r="O877" s="6">
        <v>317.97500000000002</v>
      </c>
      <c r="P877" s="6">
        <v>444</v>
      </c>
      <c r="Q877" s="4" t="s">
        <v>26</v>
      </c>
      <c r="R877" s="4">
        <v>0</v>
      </c>
      <c r="S877" s="6">
        <v>0</v>
      </c>
      <c r="T877" s="6">
        <v>47</v>
      </c>
      <c r="U877" s="6">
        <v>109</v>
      </c>
      <c r="V877" s="6">
        <f>IF(ISERROR(VLOOKUP($S$877,'TAR FIN'!$A$1:$O$113,15,0)),0,VLOOKUP($S$877,'TAR FIN'!$A$1:$O$113,15,0))</f>
        <v>0</v>
      </c>
      <c r="W877" s="6">
        <f>IF(ISERROR(VLOOKUP($T$877,'TAR FIN'!$A$1:$O$113,15,0)),0,VLOOKUP($T$877,'TAR FIN'!$A$1:$O$113,15,0))</f>
        <v>264.26</v>
      </c>
      <c r="X877" s="6">
        <f>IF(ISERROR(VLOOKUP($U$877,'TAR FIN'!$A$1:$O$113,15,0)),0,VLOOKUP($U$877,'TAR FIN'!$A$1:$O$113,15,0))</f>
        <v>257.27</v>
      </c>
      <c r="Y877" s="6"/>
      <c r="Z877" s="6">
        <f ca="1">('TUSD BE'!$AM$53+'TUSD BF'!$AM$53+'TUSD CVA'!$AM$53)*(1-CUSTOS!$M$38)</f>
        <v>369.68733431619313</v>
      </c>
      <c r="AA877" s="6">
        <f>('TE BE'!$AB$31+'TE BF'!$AB$31+'TE CVA'!$AB$31)*(1-CUSTOS!$M$38)</f>
        <v>295.89806753596048</v>
      </c>
      <c r="AB877" s="6">
        <f>$K$877*$V$877</f>
        <v>0</v>
      </c>
      <c r="AC877" s="6">
        <f>$M$877*$W$877</f>
        <v>84028.073499999999</v>
      </c>
      <c r="AD877" s="6">
        <f>$O$877*$X$877</f>
        <v>81805.428249999997</v>
      </c>
      <c r="AE877" s="6">
        <f>$K$877*$Y$877</f>
        <v>0</v>
      </c>
      <c r="AF877" s="6">
        <f ca="1">$M$877*$Z$877</f>
        <v>117551.33012919151</v>
      </c>
      <c r="AG877" s="6">
        <f>$O$877*$AA$877</f>
        <v>94088.18802474704</v>
      </c>
    </row>
    <row r="878" spans="1:33" ht="11.25" customHeight="1" x14ac:dyDescent="0.3">
      <c r="A878" s="4" t="s">
        <v>27</v>
      </c>
      <c r="B878" s="4" t="s">
        <v>44</v>
      </c>
      <c r="C878" s="4" t="s">
        <v>23</v>
      </c>
      <c r="D878" s="4" t="s">
        <v>45</v>
      </c>
      <c r="E878" s="4" t="s">
        <v>25</v>
      </c>
      <c r="F878" s="4" t="s">
        <v>25</v>
      </c>
      <c r="G878" s="4" t="s">
        <v>25</v>
      </c>
      <c r="H878" s="4" t="s">
        <v>25</v>
      </c>
      <c r="I878" s="5">
        <v>44562</v>
      </c>
      <c r="J878" s="6">
        <v>0</v>
      </c>
      <c r="K878" s="6">
        <v>0</v>
      </c>
      <c r="L878" s="6">
        <v>-0.99299999999999999</v>
      </c>
      <c r="M878" s="6">
        <v>-0.99299999999999999</v>
      </c>
      <c r="N878" s="6">
        <v>-0.99299999999999999</v>
      </c>
      <c r="O878" s="6">
        <v>-0.99299999999999999</v>
      </c>
      <c r="P878" s="6">
        <v>0</v>
      </c>
      <c r="Q878" s="4" t="s">
        <v>26</v>
      </c>
      <c r="R878" s="4">
        <v>0</v>
      </c>
      <c r="S878" s="6">
        <v>0</v>
      </c>
      <c r="T878" s="6">
        <v>47</v>
      </c>
      <c r="U878" s="6">
        <v>109</v>
      </c>
      <c r="V878" s="6">
        <f>IF(ISERROR(VLOOKUP($S$878,'TAR FIN'!$A$1:$O$113,15,0)),0,VLOOKUP($S$878,'TAR FIN'!$A$1:$O$113,15,0))</f>
        <v>0</v>
      </c>
      <c r="W878" s="6">
        <f>IF(ISERROR(VLOOKUP($T$878,'TAR FIN'!$A$1:$O$113,15,0)),0,VLOOKUP($T$878,'TAR FIN'!$A$1:$O$113,15,0))</f>
        <v>264.26</v>
      </c>
      <c r="X878" s="6">
        <f>IF(ISERROR(VLOOKUP($U$878,'TAR FIN'!$A$1:$O$113,15,0)),0,VLOOKUP($U$878,'TAR FIN'!$A$1:$O$113,15,0))</f>
        <v>257.27</v>
      </c>
      <c r="Y878" s="6"/>
      <c r="Z878" s="6">
        <f ca="1">('TUSD BE'!$AM$53+'TUSD BF'!$AM$53+'TUSD CVA'!$AM$53)*(1-CUSTOS!$M$38)</f>
        <v>369.68733431619313</v>
      </c>
      <c r="AA878" s="6">
        <f>('TE BE'!$AB$31+'TE BF'!$AB$31+'TE CVA'!$AB$31)*(1-CUSTOS!$M$38)</f>
        <v>295.89806753596048</v>
      </c>
      <c r="AB878" s="6">
        <f>$K$878*$V$878</f>
        <v>0</v>
      </c>
      <c r="AC878" s="6">
        <f>$M$878*$W$878</f>
        <v>-262.41017999999997</v>
      </c>
      <c r="AD878" s="6">
        <f>$O$878*$X$878</f>
        <v>-255.46910999999997</v>
      </c>
      <c r="AE878" s="6">
        <f>$K$878*$Y$878</f>
        <v>0</v>
      </c>
      <c r="AF878" s="6">
        <f ca="1">$M$878*$Z$878</f>
        <v>-367.09952297597977</v>
      </c>
      <c r="AG878" s="6">
        <f>$O$878*$AA$878</f>
        <v>-293.82678106320873</v>
      </c>
    </row>
    <row r="879" spans="1:33" ht="11.25" customHeight="1" x14ac:dyDescent="0.3">
      <c r="A879" s="4" t="s">
        <v>28</v>
      </c>
      <c r="B879" s="4" t="s">
        <v>44</v>
      </c>
      <c r="C879" s="4" t="s">
        <v>23</v>
      </c>
      <c r="D879" s="4" t="s">
        <v>45</v>
      </c>
      <c r="E879" s="4" t="s">
        <v>25</v>
      </c>
      <c r="F879" s="4" t="s">
        <v>25</v>
      </c>
      <c r="G879" s="4" t="s">
        <v>25</v>
      </c>
      <c r="H879" s="4" t="s">
        <v>25</v>
      </c>
      <c r="I879" s="5">
        <v>44562</v>
      </c>
      <c r="J879" s="6">
        <v>0</v>
      </c>
      <c r="K879" s="6">
        <v>0</v>
      </c>
      <c r="L879" s="6">
        <v>8.84</v>
      </c>
      <c r="M879" s="6">
        <v>8.84</v>
      </c>
      <c r="N879" s="6">
        <v>8.84</v>
      </c>
      <c r="O879" s="6">
        <v>8.84</v>
      </c>
      <c r="P879" s="6">
        <v>31</v>
      </c>
      <c r="Q879" s="4" t="s">
        <v>26</v>
      </c>
      <c r="R879" s="4">
        <v>0</v>
      </c>
      <c r="S879" s="6">
        <v>0</v>
      </c>
      <c r="T879" s="6">
        <v>47</v>
      </c>
      <c r="U879" s="6">
        <v>109</v>
      </c>
      <c r="V879" s="6">
        <f>IF(ISERROR(VLOOKUP($S$879,'TAR FIN'!$A$1:$O$113,15,0)),0,VLOOKUP($S$879,'TAR FIN'!$A$1:$O$113,15,0))</f>
        <v>0</v>
      </c>
      <c r="W879" s="6">
        <f>IF(ISERROR(VLOOKUP($T$879,'TAR FIN'!$A$1:$O$113,15,0)),0,VLOOKUP($T$879,'TAR FIN'!$A$1:$O$113,15,0))</f>
        <v>264.26</v>
      </c>
      <c r="X879" s="6">
        <f>IF(ISERROR(VLOOKUP($U$879,'TAR FIN'!$A$1:$O$113,15,0)),0,VLOOKUP($U$879,'TAR FIN'!$A$1:$O$113,15,0))</f>
        <v>257.27</v>
      </c>
      <c r="Y879" s="6"/>
      <c r="Z879" s="6">
        <f ca="1">('TUSD BE'!$AM$53+'TUSD BF'!$AM$53+'TUSD CVA'!$AM$53)*(1-CUSTOS!$M$38)</f>
        <v>369.68733431619313</v>
      </c>
      <c r="AA879" s="6">
        <f>('TE BE'!$AB$31+'TE BF'!$AB$31+'TE CVA'!$AB$31)*(1-CUSTOS!$M$38)</f>
        <v>295.89806753596048</v>
      </c>
      <c r="AB879" s="6">
        <f>$K$879*$V$879</f>
        <v>0</v>
      </c>
      <c r="AC879" s="6">
        <f>$M$879*$W$879</f>
        <v>2336.0583999999999</v>
      </c>
      <c r="AD879" s="6">
        <f>$O$879*$X$879</f>
        <v>2274.2667999999999</v>
      </c>
      <c r="AE879" s="6">
        <f>$K$879*$Y$879</f>
        <v>0</v>
      </c>
      <c r="AF879" s="6">
        <f ca="1">$M$879*$Z$879</f>
        <v>3268.0360353551473</v>
      </c>
      <c r="AG879" s="6">
        <f>$O$879*$AA$879</f>
        <v>2615.7389170178908</v>
      </c>
    </row>
    <row r="880" spans="1:33" ht="11.25" customHeight="1" x14ac:dyDescent="0.3">
      <c r="A880" s="4" t="s">
        <v>21</v>
      </c>
      <c r="B880" s="4" t="s">
        <v>44</v>
      </c>
      <c r="C880" s="4" t="s">
        <v>23</v>
      </c>
      <c r="D880" s="4" t="s">
        <v>45</v>
      </c>
      <c r="E880" s="4" t="s">
        <v>25</v>
      </c>
      <c r="F880" s="4" t="s">
        <v>25</v>
      </c>
      <c r="G880" s="4" t="s">
        <v>25</v>
      </c>
      <c r="H880" s="4" t="s">
        <v>25</v>
      </c>
      <c r="I880" s="5">
        <v>44593</v>
      </c>
      <c r="J880" s="6">
        <v>0</v>
      </c>
      <c r="K880" s="6">
        <v>0</v>
      </c>
      <c r="L880" s="6">
        <v>277.06900000000002</v>
      </c>
      <c r="M880" s="6">
        <v>277.06900000000002</v>
      </c>
      <c r="N880" s="6">
        <v>277.06900000000002</v>
      </c>
      <c r="O880" s="6">
        <v>277.06900000000002</v>
      </c>
      <c r="P880" s="6">
        <v>440</v>
      </c>
      <c r="Q880" s="4" t="s">
        <v>26</v>
      </c>
      <c r="R880" s="4">
        <v>0</v>
      </c>
      <c r="S880" s="6">
        <v>0</v>
      </c>
      <c r="T880" s="6">
        <v>47</v>
      </c>
      <c r="U880" s="6">
        <v>109</v>
      </c>
      <c r="V880" s="6">
        <f>IF(ISERROR(VLOOKUP($S$880,'TAR FIN'!$A$1:$O$113,15,0)),0,VLOOKUP($S$880,'TAR FIN'!$A$1:$O$113,15,0))</f>
        <v>0</v>
      </c>
      <c r="W880" s="6">
        <f>IF(ISERROR(VLOOKUP($T$880,'TAR FIN'!$A$1:$O$113,15,0)),0,VLOOKUP($T$880,'TAR FIN'!$A$1:$O$113,15,0))</f>
        <v>264.26</v>
      </c>
      <c r="X880" s="6">
        <f>IF(ISERROR(VLOOKUP($U$880,'TAR FIN'!$A$1:$O$113,15,0)),0,VLOOKUP($U$880,'TAR FIN'!$A$1:$O$113,15,0))</f>
        <v>257.27</v>
      </c>
      <c r="Y880" s="6"/>
      <c r="Z880" s="6">
        <f ca="1">('TUSD BE'!$AM$53+'TUSD BF'!$AM$53+'TUSD CVA'!$AM$53)*(1-CUSTOS!$M$38)</f>
        <v>369.68733431619313</v>
      </c>
      <c r="AA880" s="6">
        <f>('TE BE'!$AB$31+'TE BF'!$AB$31+'TE CVA'!$AB$31)*(1-CUSTOS!$M$38)</f>
        <v>295.89806753596048</v>
      </c>
      <c r="AB880" s="6">
        <f>$K$880*$V$880</f>
        <v>0</v>
      </c>
      <c r="AC880" s="6">
        <f>$M$880*$W$880</f>
        <v>73218.253939999995</v>
      </c>
      <c r="AD880" s="6">
        <f>$O$880*$X$880</f>
        <v>71281.541629999992</v>
      </c>
      <c r="AE880" s="6">
        <f>$K$880*$Y$880</f>
        <v>0</v>
      </c>
      <c r="AF880" s="6">
        <f ca="1">$M$880*$Z$880</f>
        <v>102428.90003165332</v>
      </c>
      <c r="AG880" s="6">
        <f>$O$880*$AA$880</f>
        <v>81984.181674121035</v>
      </c>
    </row>
    <row r="881" spans="1:33" ht="11.25" customHeight="1" x14ac:dyDescent="0.3">
      <c r="A881" s="4" t="s">
        <v>27</v>
      </c>
      <c r="B881" s="4" t="s">
        <v>44</v>
      </c>
      <c r="C881" s="4" t="s">
        <v>23</v>
      </c>
      <c r="D881" s="4" t="s">
        <v>45</v>
      </c>
      <c r="E881" s="4" t="s">
        <v>25</v>
      </c>
      <c r="F881" s="4" t="s">
        <v>25</v>
      </c>
      <c r="G881" s="4" t="s">
        <v>25</v>
      </c>
      <c r="H881" s="4" t="s">
        <v>25</v>
      </c>
      <c r="I881" s="5">
        <v>44593</v>
      </c>
      <c r="J881" s="6">
        <v>0</v>
      </c>
      <c r="K881" s="6">
        <v>0</v>
      </c>
      <c r="L881" s="6">
        <v>-0.38600000000000001</v>
      </c>
      <c r="M881" s="6">
        <v>-0.38600000000000001</v>
      </c>
      <c r="N881" s="6">
        <v>-0.38600000000000001</v>
      </c>
      <c r="O881" s="6">
        <v>-0.38600000000000001</v>
      </c>
      <c r="P881" s="6">
        <v>0</v>
      </c>
      <c r="Q881" s="4" t="s">
        <v>26</v>
      </c>
      <c r="R881" s="4">
        <v>0</v>
      </c>
      <c r="S881" s="6">
        <v>0</v>
      </c>
      <c r="T881" s="6">
        <v>47</v>
      </c>
      <c r="U881" s="6">
        <v>109</v>
      </c>
      <c r="V881" s="6">
        <f>IF(ISERROR(VLOOKUP($S$881,'TAR FIN'!$A$1:$O$113,15,0)),0,VLOOKUP($S$881,'TAR FIN'!$A$1:$O$113,15,0))</f>
        <v>0</v>
      </c>
      <c r="W881" s="6">
        <f>IF(ISERROR(VLOOKUP($T$881,'TAR FIN'!$A$1:$O$113,15,0)),0,VLOOKUP($T$881,'TAR FIN'!$A$1:$O$113,15,0))</f>
        <v>264.26</v>
      </c>
      <c r="X881" s="6">
        <f>IF(ISERROR(VLOOKUP($U$881,'TAR FIN'!$A$1:$O$113,15,0)),0,VLOOKUP($U$881,'TAR FIN'!$A$1:$O$113,15,0))</f>
        <v>257.27</v>
      </c>
      <c r="Y881" s="6"/>
      <c r="Z881" s="6">
        <f ca="1">('TUSD BE'!$AM$53+'TUSD BF'!$AM$53+'TUSD CVA'!$AM$53)*(1-CUSTOS!$M$38)</f>
        <v>369.68733431619313</v>
      </c>
      <c r="AA881" s="6">
        <f>('TE BE'!$AB$31+'TE BF'!$AB$31+'TE CVA'!$AB$31)*(1-CUSTOS!$M$38)</f>
        <v>295.89806753596048</v>
      </c>
      <c r="AB881" s="6">
        <f>$K$881*$V$881</f>
        <v>0</v>
      </c>
      <c r="AC881" s="6">
        <f>$M$881*$W$881</f>
        <v>-102.00436000000001</v>
      </c>
      <c r="AD881" s="6">
        <f>$O$881*$X$881</f>
        <v>-99.306219999999996</v>
      </c>
      <c r="AE881" s="6">
        <f>$K$881*$Y$881</f>
        <v>0</v>
      </c>
      <c r="AF881" s="6">
        <f ca="1">$M$881*$Z$881</f>
        <v>-142.69931104605055</v>
      </c>
      <c r="AG881" s="6">
        <f>$O$881*$AA$881</f>
        <v>-114.21665406888074</v>
      </c>
    </row>
    <row r="882" spans="1:33" ht="11.25" customHeight="1" x14ac:dyDescent="0.3">
      <c r="A882" s="4" t="s">
        <v>28</v>
      </c>
      <c r="B882" s="4" t="s">
        <v>44</v>
      </c>
      <c r="C882" s="4" t="s">
        <v>23</v>
      </c>
      <c r="D882" s="4" t="s">
        <v>45</v>
      </c>
      <c r="E882" s="4" t="s">
        <v>25</v>
      </c>
      <c r="F882" s="4" t="s">
        <v>25</v>
      </c>
      <c r="G882" s="4" t="s">
        <v>25</v>
      </c>
      <c r="H882" s="4" t="s">
        <v>25</v>
      </c>
      <c r="I882" s="5">
        <v>44593</v>
      </c>
      <c r="J882" s="6">
        <v>0</v>
      </c>
      <c r="K882" s="6">
        <v>0</v>
      </c>
      <c r="L882" s="6">
        <v>7.6260000000000003</v>
      </c>
      <c r="M882" s="6">
        <v>7.6260000000000003</v>
      </c>
      <c r="N882" s="6">
        <v>7.6260000000000003</v>
      </c>
      <c r="O882" s="6">
        <v>7.6260000000000003</v>
      </c>
      <c r="P882" s="6">
        <v>34</v>
      </c>
      <c r="Q882" s="4" t="s">
        <v>26</v>
      </c>
      <c r="R882" s="4">
        <v>0</v>
      </c>
      <c r="S882" s="6">
        <v>0</v>
      </c>
      <c r="T882" s="6">
        <v>47</v>
      </c>
      <c r="U882" s="6">
        <v>109</v>
      </c>
      <c r="V882" s="6">
        <f>IF(ISERROR(VLOOKUP($S$882,'TAR FIN'!$A$1:$O$113,15,0)),0,VLOOKUP($S$882,'TAR FIN'!$A$1:$O$113,15,0))</f>
        <v>0</v>
      </c>
      <c r="W882" s="6">
        <f>IF(ISERROR(VLOOKUP($T$882,'TAR FIN'!$A$1:$O$113,15,0)),0,VLOOKUP($T$882,'TAR FIN'!$A$1:$O$113,15,0))</f>
        <v>264.26</v>
      </c>
      <c r="X882" s="6">
        <f>IF(ISERROR(VLOOKUP($U$882,'TAR FIN'!$A$1:$O$113,15,0)),0,VLOOKUP($U$882,'TAR FIN'!$A$1:$O$113,15,0))</f>
        <v>257.27</v>
      </c>
      <c r="Y882" s="6"/>
      <c r="Z882" s="6">
        <f ca="1">('TUSD BE'!$AM$53+'TUSD BF'!$AM$53+'TUSD CVA'!$AM$53)*(1-CUSTOS!$M$38)</f>
        <v>369.68733431619313</v>
      </c>
      <c r="AA882" s="6">
        <f>('TE BE'!$AB$31+'TE BF'!$AB$31+'TE CVA'!$AB$31)*(1-CUSTOS!$M$38)</f>
        <v>295.89806753596048</v>
      </c>
      <c r="AB882" s="6">
        <f>$K$882*$V$882</f>
        <v>0</v>
      </c>
      <c r="AC882" s="6">
        <f>$M$882*$W$882</f>
        <v>2015.24676</v>
      </c>
      <c r="AD882" s="6">
        <f>$O$882*$X$882</f>
        <v>1961.94102</v>
      </c>
      <c r="AE882" s="6">
        <f>$K$882*$Y$882</f>
        <v>0</v>
      </c>
      <c r="AF882" s="6">
        <f ca="1">$M$882*$Z$882</f>
        <v>2819.235611495289</v>
      </c>
      <c r="AG882" s="6">
        <f>$O$882*$AA$882</f>
        <v>2256.5186630292346</v>
      </c>
    </row>
    <row r="883" spans="1:33" ht="11.25" customHeight="1" x14ac:dyDescent="0.3">
      <c r="A883" s="4" t="s">
        <v>28</v>
      </c>
      <c r="B883" s="4" t="s">
        <v>44</v>
      </c>
      <c r="C883" s="4" t="s">
        <v>23</v>
      </c>
      <c r="D883" s="4" t="s">
        <v>45</v>
      </c>
      <c r="E883" s="4" t="s">
        <v>25</v>
      </c>
      <c r="F883" s="4" t="s">
        <v>25</v>
      </c>
      <c r="G883" s="4" t="s">
        <v>25</v>
      </c>
      <c r="H883" s="4" t="s">
        <v>25</v>
      </c>
      <c r="I883" s="5">
        <v>44593</v>
      </c>
      <c r="J883" s="6">
        <v>0</v>
      </c>
      <c r="K883" s="6">
        <v>0</v>
      </c>
      <c r="L883" s="6">
        <v>0.1</v>
      </c>
      <c r="M883" s="6">
        <v>0.1</v>
      </c>
      <c r="N883" s="6">
        <v>0.1</v>
      </c>
      <c r="O883" s="6">
        <v>0.1</v>
      </c>
      <c r="P883" s="6">
        <v>1</v>
      </c>
      <c r="Q883" s="4" t="s">
        <v>26</v>
      </c>
      <c r="R883" s="4">
        <v>0</v>
      </c>
      <c r="S883" s="6">
        <v>0</v>
      </c>
      <c r="T883" s="6">
        <v>47</v>
      </c>
      <c r="U883" s="6">
        <v>109</v>
      </c>
      <c r="V883" s="6">
        <f>IF(ISERROR(VLOOKUP($S$883,'TAR FIN'!$A$1:$O$113,15,0)),0,VLOOKUP($S$883,'TAR FIN'!$A$1:$O$113,15,0))</f>
        <v>0</v>
      </c>
      <c r="W883" s="6">
        <f>IF(ISERROR(VLOOKUP($T$883,'TAR FIN'!$A$1:$O$113,15,0)),0,VLOOKUP($T$883,'TAR FIN'!$A$1:$O$113,15,0))</f>
        <v>264.26</v>
      </c>
      <c r="X883" s="6">
        <f>IF(ISERROR(VLOOKUP($U$883,'TAR FIN'!$A$1:$O$113,15,0)),0,VLOOKUP($U$883,'TAR FIN'!$A$1:$O$113,15,0))</f>
        <v>257.27</v>
      </c>
      <c r="Y883" s="6"/>
      <c r="Z883" s="6">
        <f ca="1">('TUSD BE'!$AM$53+'TUSD BF'!$AM$53+'TUSD CVA'!$AM$53)*(1-CUSTOS!$M$38)</f>
        <v>369.68733431619313</v>
      </c>
      <c r="AA883" s="6">
        <f>('TE BE'!$AB$31+'TE BF'!$AB$31+'TE CVA'!$AB$31)*(1-CUSTOS!$M$38)</f>
        <v>295.89806753596048</v>
      </c>
      <c r="AB883" s="6">
        <f>$K$883*$V$883</f>
        <v>0</v>
      </c>
      <c r="AC883" s="6">
        <f>$M$883*$W$883</f>
        <v>26.426000000000002</v>
      </c>
      <c r="AD883" s="6">
        <f>$O$883*$X$883</f>
        <v>25.727</v>
      </c>
      <c r="AE883" s="6">
        <f>$K$883*$Y$883</f>
        <v>0</v>
      </c>
      <c r="AF883" s="6">
        <f ca="1">$M$883*$Z$883</f>
        <v>36.968733431619313</v>
      </c>
      <c r="AG883" s="6">
        <f>$O$883*$AA$883</f>
        <v>29.589806753596051</v>
      </c>
    </row>
    <row r="884" spans="1:33" ht="11.25" customHeight="1" x14ac:dyDescent="0.3">
      <c r="A884" s="4" t="s">
        <v>21</v>
      </c>
      <c r="B884" s="4" t="s">
        <v>44</v>
      </c>
      <c r="C884" s="4" t="s">
        <v>23</v>
      </c>
      <c r="D884" s="4" t="s">
        <v>45</v>
      </c>
      <c r="E884" s="4" t="s">
        <v>25</v>
      </c>
      <c r="F884" s="4" t="s">
        <v>25</v>
      </c>
      <c r="G884" s="4" t="s">
        <v>25</v>
      </c>
      <c r="H884" s="4" t="s">
        <v>25</v>
      </c>
      <c r="I884" s="5">
        <v>44621</v>
      </c>
      <c r="J884" s="6">
        <v>0</v>
      </c>
      <c r="K884" s="6">
        <v>0</v>
      </c>
      <c r="L884" s="6">
        <v>287.67899999999997</v>
      </c>
      <c r="M884" s="6">
        <v>287.67899999999997</v>
      </c>
      <c r="N884" s="6">
        <v>287.67899999999997</v>
      </c>
      <c r="O884" s="6">
        <v>287.67899999999997</v>
      </c>
      <c r="P884" s="6">
        <v>437</v>
      </c>
      <c r="Q884" s="4" t="s">
        <v>26</v>
      </c>
      <c r="R884" s="4">
        <v>0</v>
      </c>
      <c r="S884" s="6">
        <v>0</v>
      </c>
      <c r="T884" s="6">
        <v>47</v>
      </c>
      <c r="U884" s="6">
        <v>109</v>
      </c>
      <c r="V884" s="6">
        <f>IF(ISERROR(VLOOKUP($S$884,'TAR FIN'!$A$1:$O$113,15,0)),0,VLOOKUP($S$884,'TAR FIN'!$A$1:$O$113,15,0))</f>
        <v>0</v>
      </c>
      <c r="W884" s="6">
        <f>IF(ISERROR(VLOOKUP($T$884,'TAR FIN'!$A$1:$O$113,15,0)),0,VLOOKUP($T$884,'TAR FIN'!$A$1:$O$113,15,0))</f>
        <v>264.26</v>
      </c>
      <c r="X884" s="6">
        <f>IF(ISERROR(VLOOKUP($U$884,'TAR FIN'!$A$1:$O$113,15,0)),0,VLOOKUP($U$884,'TAR FIN'!$A$1:$O$113,15,0))</f>
        <v>257.27</v>
      </c>
      <c r="Y884" s="6"/>
      <c r="Z884" s="6">
        <f ca="1">('TUSD BE'!$AM$53+'TUSD BF'!$AM$53+'TUSD CVA'!$AM$53)*(1-CUSTOS!$M$38)</f>
        <v>369.68733431619313</v>
      </c>
      <c r="AA884" s="6">
        <f>('TE BE'!$AB$31+'TE BF'!$AB$31+'TE CVA'!$AB$31)*(1-CUSTOS!$M$38)</f>
        <v>295.89806753596048</v>
      </c>
      <c r="AB884" s="6">
        <f>$K$884*$V$884</f>
        <v>0</v>
      </c>
      <c r="AC884" s="6">
        <f>$M$884*$W$884</f>
        <v>76022.05253999999</v>
      </c>
      <c r="AD884" s="6">
        <f>$O$884*$X$884</f>
        <v>74011.176329999988</v>
      </c>
      <c r="AE884" s="6">
        <f>$K$884*$Y$884</f>
        <v>0</v>
      </c>
      <c r="AF884" s="6">
        <f ca="1">$M$884*$Z$884</f>
        <v>106351.28264874811</v>
      </c>
      <c r="AG884" s="6">
        <f>$O$884*$AA$884</f>
        <v>85123.660170677569</v>
      </c>
    </row>
    <row r="885" spans="1:33" ht="11.25" customHeight="1" x14ac:dyDescent="0.3">
      <c r="A885" s="4" t="s">
        <v>27</v>
      </c>
      <c r="B885" s="4" t="s">
        <v>44</v>
      </c>
      <c r="C885" s="4" t="s">
        <v>23</v>
      </c>
      <c r="D885" s="4" t="s">
        <v>45</v>
      </c>
      <c r="E885" s="4" t="s">
        <v>25</v>
      </c>
      <c r="F885" s="4" t="s">
        <v>25</v>
      </c>
      <c r="G885" s="4" t="s">
        <v>25</v>
      </c>
      <c r="H885" s="4" t="s">
        <v>25</v>
      </c>
      <c r="I885" s="5">
        <v>44621</v>
      </c>
      <c r="J885" s="6">
        <v>0</v>
      </c>
      <c r="K885" s="6">
        <v>0</v>
      </c>
      <c r="L885" s="6">
        <v>-1.06</v>
      </c>
      <c r="M885" s="6">
        <v>-1.06</v>
      </c>
      <c r="N885" s="6">
        <v>-1.06</v>
      </c>
      <c r="O885" s="6">
        <v>-1.06</v>
      </c>
      <c r="P885" s="6">
        <v>0</v>
      </c>
      <c r="Q885" s="4" t="s">
        <v>26</v>
      </c>
      <c r="R885" s="4">
        <v>0</v>
      </c>
      <c r="S885" s="6">
        <v>0</v>
      </c>
      <c r="T885" s="6">
        <v>47</v>
      </c>
      <c r="U885" s="6">
        <v>109</v>
      </c>
      <c r="V885" s="6">
        <f>IF(ISERROR(VLOOKUP($S$885,'TAR FIN'!$A$1:$O$113,15,0)),0,VLOOKUP($S$885,'TAR FIN'!$A$1:$O$113,15,0))</f>
        <v>0</v>
      </c>
      <c r="W885" s="6">
        <f>IF(ISERROR(VLOOKUP($T$885,'TAR FIN'!$A$1:$O$113,15,0)),0,VLOOKUP($T$885,'TAR FIN'!$A$1:$O$113,15,0))</f>
        <v>264.26</v>
      </c>
      <c r="X885" s="6">
        <f>IF(ISERROR(VLOOKUP($U$885,'TAR FIN'!$A$1:$O$113,15,0)),0,VLOOKUP($U$885,'TAR FIN'!$A$1:$O$113,15,0))</f>
        <v>257.27</v>
      </c>
      <c r="Y885" s="6"/>
      <c r="Z885" s="6">
        <f ca="1">('TUSD BE'!$AM$53+'TUSD BF'!$AM$53+'TUSD CVA'!$AM$53)*(1-CUSTOS!$M$38)</f>
        <v>369.68733431619313</v>
      </c>
      <c r="AA885" s="6">
        <f>('TE BE'!$AB$31+'TE BF'!$AB$31+'TE CVA'!$AB$31)*(1-CUSTOS!$M$38)</f>
        <v>295.89806753596048</v>
      </c>
      <c r="AB885" s="6">
        <f>$K$885*$V$885</f>
        <v>0</v>
      </c>
      <c r="AC885" s="6">
        <f>$M$885*$W$885</f>
        <v>-280.11560000000003</v>
      </c>
      <c r="AD885" s="6">
        <f>$O$885*$X$885</f>
        <v>-272.70619999999997</v>
      </c>
      <c r="AE885" s="6">
        <f>$K$885*$Y$885</f>
        <v>0</v>
      </c>
      <c r="AF885" s="6">
        <f ca="1">$M$885*$Z$885</f>
        <v>-391.86857437516471</v>
      </c>
      <c r="AG885" s="6">
        <f>$O$885*$AA$885</f>
        <v>-313.6519515881181</v>
      </c>
    </row>
    <row r="886" spans="1:33" ht="11.25" customHeight="1" x14ac:dyDescent="0.3">
      <c r="A886" s="4" t="s">
        <v>28</v>
      </c>
      <c r="B886" s="4" t="s">
        <v>44</v>
      </c>
      <c r="C886" s="4" t="s">
        <v>23</v>
      </c>
      <c r="D886" s="4" t="s">
        <v>45</v>
      </c>
      <c r="E886" s="4" t="s">
        <v>25</v>
      </c>
      <c r="F886" s="4" t="s">
        <v>25</v>
      </c>
      <c r="G886" s="4" t="s">
        <v>25</v>
      </c>
      <c r="H886" s="4" t="s">
        <v>25</v>
      </c>
      <c r="I886" s="5">
        <v>44621</v>
      </c>
      <c r="J886" s="6">
        <v>0</v>
      </c>
      <c r="K886" s="6">
        <v>0</v>
      </c>
      <c r="L886" s="6">
        <v>8.6259999999999994</v>
      </c>
      <c r="M886" s="6">
        <v>8.6259999999999994</v>
      </c>
      <c r="N886" s="6">
        <v>8.6259999999999994</v>
      </c>
      <c r="O886" s="6">
        <v>8.6259999999999994</v>
      </c>
      <c r="P886" s="6">
        <v>36</v>
      </c>
      <c r="Q886" s="4" t="s">
        <v>26</v>
      </c>
      <c r="R886" s="4">
        <v>0</v>
      </c>
      <c r="S886" s="6">
        <v>0</v>
      </c>
      <c r="T886" s="6">
        <v>47</v>
      </c>
      <c r="U886" s="6">
        <v>109</v>
      </c>
      <c r="V886" s="6">
        <f>IF(ISERROR(VLOOKUP($S$886,'TAR FIN'!$A$1:$O$113,15,0)),0,VLOOKUP($S$886,'TAR FIN'!$A$1:$O$113,15,0))</f>
        <v>0</v>
      </c>
      <c r="W886" s="6">
        <f>IF(ISERROR(VLOOKUP($T$886,'TAR FIN'!$A$1:$O$113,15,0)),0,VLOOKUP($T$886,'TAR FIN'!$A$1:$O$113,15,0))</f>
        <v>264.26</v>
      </c>
      <c r="X886" s="6">
        <f>IF(ISERROR(VLOOKUP($U$886,'TAR FIN'!$A$1:$O$113,15,0)),0,VLOOKUP($U$886,'TAR FIN'!$A$1:$O$113,15,0))</f>
        <v>257.27</v>
      </c>
      <c r="Y886" s="6"/>
      <c r="Z886" s="6">
        <f ca="1">('TUSD BE'!$AM$53+'TUSD BF'!$AM$53+'TUSD CVA'!$AM$53)*(1-CUSTOS!$M$38)</f>
        <v>369.68733431619313</v>
      </c>
      <c r="AA886" s="6">
        <f>('TE BE'!$AB$31+'TE BF'!$AB$31+'TE CVA'!$AB$31)*(1-CUSTOS!$M$38)</f>
        <v>295.89806753596048</v>
      </c>
      <c r="AB886" s="6">
        <f>$K$886*$V$886</f>
        <v>0</v>
      </c>
      <c r="AC886" s="6">
        <f>$M$886*$W$886</f>
        <v>2279.5067599999998</v>
      </c>
      <c r="AD886" s="6">
        <f>$O$886*$X$886</f>
        <v>2219.2110199999997</v>
      </c>
      <c r="AE886" s="6">
        <f>$K$886*$Y$886</f>
        <v>0</v>
      </c>
      <c r="AF886" s="6">
        <f ca="1">$M$886*$Z$886</f>
        <v>3188.9229458114819</v>
      </c>
      <c r="AG886" s="6">
        <f>$O$886*$AA$886</f>
        <v>2552.4167305651949</v>
      </c>
    </row>
    <row r="887" spans="1:33" ht="11.25" customHeight="1" x14ac:dyDescent="0.3">
      <c r="A887" s="4" t="s">
        <v>21</v>
      </c>
      <c r="B887" s="4" t="s">
        <v>44</v>
      </c>
      <c r="C887" s="4" t="s">
        <v>23</v>
      </c>
      <c r="D887" s="4" t="s">
        <v>45</v>
      </c>
      <c r="E887" s="4" t="s">
        <v>25</v>
      </c>
      <c r="F887" s="4" t="s">
        <v>25</v>
      </c>
      <c r="G887" s="4" t="s">
        <v>25</v>
      </c>
      <c r="H887" s="4" t="s">
        <v>25</v>
      </c>
      <c r="I887" s="5">
        <v>44652</v>
      </c>
      <c r="J887" s="6">
        <v>0</v>
      </c>
      <c r="K887" s="6">
        <v>0</v>
      </c>
      <c r="L887" s="6">
        <v>277.33300000000003</v>
      </c>
      <c r="M887" s="6">
        <v>277.33300000000003</v>
      </c>
      <c r="N887" s="6">
        <v>277.33300000000003</v>
      </c>
      <c r="O887" s="6">
        <v>277.33300000000003</v>
      </c>
      <c r="P887" s="6">
        <v>435</v>
      </c>
      <c r="Q887" s="4" t="s">
        <v>26</v>
      </c>
      <c r="R887" s="4">
        <v>0</v>
      </c>
      <c r="S887" s="6">
        <v>0</v>
      </c>
      <c r="T887" s="6">
        <v>47</v>
      </c>
      <c r="U887" s="6">
        <v>109</v>
      </c>
      <c r="V887" s="6">
        <f>IF(ISERROR(VLOOKUP($S$887,'TAR FIN'!$A$1:$O$113,15,0)),0,VLOOKUP($S$887,'TAR FIN'!$A$1:$O$113,15,0))</f>
        <v>0</v>
      </c>
      <c r="W887" s="6">
        <f>IF(ISERROR(VLOOKUP($T$887,'TAR FIN'!$A$1:$O$113,15,0)),0,VLOOKUP($T$887,'TAR FIN'!$A$1:$O$113,15,0))</f>
        <v>264.26</v>
      </c>
      <c r="X887" s="6">
        <f>IF(ISERROR(VLOOKUP($U$887,'TAR FIN'!$A$1:$O$113,15,0)),0,VLOOKUP($U$887,'TAR FIN'!$A$1:$O$113,15,0))</f>
        <v>257.27</v>
      </c>
      <c r="Y887" s="6"/>
      <c r="Z887" s="6">
        <f ca="1">('TUSD BE'!$AM$53+'TUSD BF'!$AM$53+'TUSD CVA'!$AM$53)*(1-CUSTOS!$M$38)</f>
        <v>369.68733431619313</v>
      </c>
      <c r="AA887" s="6">
        <f>('TE BE'!$AB$31+'TE BF'!$AB$31+'TE CVA'!$AB$31)*(1-CUSTOS!$M$38)</f>
        <v>295.89806753596048</v>
      </c>
      <c r="AB887" s="6">
        <f>$K$887*$V$887</f>
        <v>0</v>
      </c>
      <c r="AC887" s="6">
        <f>$M$887*$W$887</f>
        <v>73288.018580000004</v>
      </c>
      <c r="AD887" s="6">
        <f>$O$887*$X$887</f>
        <v>71349.460910000009</v>
      </c>
      <c r="AE887" s="6">
        <f>$K$887*$Y$887</f>
        <v>0</v>
      </c>
      <c r="AF887" s="6">
        <f ca="1">$M$887*$Z$887</f>
        <v>102526.4974879128</v>
      </c>
      <c r="AG887" s="6">
        <f>$O$887*$AA$887</f>
        <v>82062.29876395053</v>
      </c>
    </row>
    <row r="888" spans="1:33" ht="11.25" customHeight="1" x14ac:dyDescent="0.3">
      <c r="A888" s="4" t="s">
        <v>28</v>
      </c>
      <c r="B888" s="4" t="s">
        <v>44</v>
      </c>
      <c r="C888" s="4" t="s">
        <v>23</v>
      </c>
      <c r="D888" s="4" t="s">
        <v>45</v>
      </c>
      <c r="E888" s="4" t="s">
        <v>25</v>
      </c>
      <c r="F888" s="4" t="s">
        <v>25</v>
      </c>
      <c r="G888" s="4" t="s">
        <v>25</v>
      </c>
      <c r="H888" s="4" t="s">
        <v>25</v>
      </c>
      <c r="I888" s="5">
        <v>44652</v>
      </c>
      <c r="J888" s="6">
        <v>0</v>
      </c>
      <c r="K888" s="6">
        <v>0</v>
      </c>
      <c r="L888" s="6">
        <v>7.6239999999999997</v>
      </c>
      <c r="M888" s="6">
        <v>7.6239999999999997</v>
      </c>
      <c r="N888" s="6">
        <v>7.6239999999999997</v>
      </c>
      <c r="O888" s="6">
        <v>7.6239999999999997</v>
      </c>
      <c r="P888" s="6">
        <v>37</v>
      </c>
      <c r="Q888" s="4" t="s">
        <v>26</v>
      </c>
      <c r="R888" s="4">
        <v>0</v>
      </c>
      <c r="S888" s="6">
        <v>0</v>
      </c>
      <c r="T888" s="6">
        <v>47</v>
      </c>
      <c r="U888" s="6">
        <v>109</v>
      </c>
      <c r="V888" s="6">
        <f>IF(ISERROR(VLOOKUP($S$888,'TAR FIN'!$A$1:$O$113,15,0)),0,VLOOKUP($S$888,'TAR FIN'!$A$1:$O$113,15,0))</f>
        <v>0</v>
      </c>
      <c r="W888" s="6">
        <f>IF(ISERROR(VLOOKUP($T$888,'TAR FIN'!$A$1:$O$113,15,0)),0,VLOOKUP($T$888,'TAR FIN'!$A$1:$O$113,15,0))</f>
        <v>264.26</v>
      </c>
      <c r="X888" s="6">
        <f>IF(ISERROR(VLOOKUP($U$888,'TAR FIN'!$A$1:$O$113,15,0)),0,VLOOKUP($U$888,'TAR FIN'!$A$1:$O$113,15,0))</f>
        <v>257.27</v>
      </c>
      <c r="Y888" s="6"/>
      <c r="Z888" s="6">
        <f ca="1">('TUSD BE'!$AM$53+'TUSD BF'!$AM$53+'TUSD CVA'!$AM$53)*(1-CUSTOS!$M$38)</f>
        <v>369.68733431619313</v>
      </c>
      <c r="AA888" s="6">
        <f>('TE BE'!$AB$31+'TE BF'!$AB$31+'TE CVA'!$AB$31)*(1-CUSTOS!$M$38)</f>
        <v>295.89806753596048</v>
      </c>
      <c r="AB888" s="6">
        <f>$K$888*$V$888</f>
        <v>0</v>
      </c>
      <c r="AC888" s="6">
        <f>$M$888*$W$888</f>
        <v>2014.7182399999999</v>
      </c>
      <c r="AD888" s="6">
        <f>$O$888*$X$888</f>
        <v>1961.4264799999999</v>
      </c>
      <c r="AE888" s="6">
        <f>$K$888*$Y$888</f>
        <v>0</v>
      </c>
      <c r="AF888" s="6">
        <f ca="1">$M$888*$Z$888</f>
        <v>2818.4962368266565</v>
      </c>
      <c r="AG888" s="6">
        <f>$O$888*$AA$888</f>
        <v>2255.9268668941627</v>
      </c>
    </row>
    <row r="889" spans="1:33" ht="11.25" customHeight="1" x14ac:dyDescent="0.3">
      <c r="A889" s="4" t="s">
        <v>21</v>
      </c>
      <c r="B889" s="4" t="s">
        <v>44</v>
      </c>
      <c r="C889" s="4" t="s">
        <v>23</v>
      </c>
      <c r="D889" s="4" t="s">
        <v>45</v>
      </c>
      <c r="E889" s="4" t="s">
        <v>25</v>
      </c>
      <c r="F889" s="4" t="s">
        <v>25</v>
      </c>
      <c r="G889" s="4" t="s">
        <v>25</v>
      </c>
      <c r="H889" s="4" t="s">
        <v>25</v>
      </c>
      <c r="I889" s="5">
        <v>44682</v>
      </c>
      <c r="J889" s="6">
        <v>0</v>
      </c>
      <c r="K889" s="6">
        <v>0</v>
      </c>
      <c r="L889" s="6">
        <v>296.34100000000001</v>
      </c>
      <c r="M889" s="6">
        <v>296.34100000000001</v>
      </c>
      <c r="N889" s="6">
        <v>296.34100000000001</v>
      </c>
      <c r="O889" s="6">
        <v>296.34100000000001</v>
      </c>
      <c r="P889" s="6">
        <v>435</v>
      </c>
      <c r="Q889" s="4" t="s">
        <v>26</v>
      </c>
      <c r="R889" s="4">
        <v>0</v>
      </c>
      <c r="S889" s="6">
        <v>0</v>
      </c>
      <c r="T889" s="6">
        <v>47</v>
      </c>
      <c r="U889" s="6">
        <v>109</v>
      </c>
      <c r="V889" s="6">
        <f>IF(ISERROR(VLOOKUP($S$889,'TAR FIN'!$A$1:$O$113,15,0)),0,VLOOKUP($S$889,'TAR FIN'!$A$1:$O$113,15,0))</f>
        <v>0</v>
      </c>
      <c r="W889" s="6">
        <f>IF(ISERROR(VLOOKUP($T$889,'TAR FIN'!$A$1:$O$113,15,0)),0,VLOOKUP($T$889,'TAR FIN'!$A$1:$O$113,15,0))</f>
        <v>264.26</v>
      </c>
      <c r="X889" s="6">
        <f>IF(ISERROR(VLOOKUP($U$889,'TAR FIN'!$A$1:$O$113,15,0)),0,VLOOKUP($U$889,'TAR FIN'!$A$1:$O$113,15,0))</f>
        <v>257.27</v>
      </c>
      <c r="Y889" s="6"/>
      <c r="Z889" s="6">
        <f ca="1">('TUSD BE'!$AM$53+'TUSD BF'!$AM$53+'TUSD CVA'!$AM$53)*(1-CUSTOS!$M$38)</f>
        <v>369.68733431619313</v>
      </c>
      <c r="AA889" s="6">
        <f>('TE BE'!$AB$31+'TE BF'!$AB$31+'TE CVA'!$AB$31)*(1-CUSTOS!$M$38)</f>
        <v>295.89806753596048</v>
      </c>
      <c r="AB889" s="6">
        <f>$K$889*$V$889</f>
        <v>0</v>
      </c>
      <c r="AC889" s="6">
        <f>$M$889*$W$889</f>
        <v>78311.072660000005</v>
      </c>
      <c r="AD889" s="6">
        <f>$O$889*$X$889</f>
        <v>76239.649069999999</v>
      </c>
      <c r="AE889" s="6">
        <f>$K$889*$Y$889</f>
        <v>0</v>
      </c>
      <c r="AF889" s="6">
        <f ca="1">$M$889*$Z$889</f>
        <v>109553.51433859499</v>
      </c>
      <c r="AG889" s="6">
        <f>$O$889*$AA$889</f>
        <v>87686.729231674064</v>
      </c>
    </row>
    <row r="890" spans="1:33" ht="11.25" customHeight="1" x14ac:dyDescent="0.3">
      <c r="A890" s="4" t="s">
        <v>27</v>
      </c>
      <c r="B890" s="4" t="s">
        <v>44</v>
      </c>
      <c r="C890" s="4" t="s">
        <v>23</v>
      </c>
      <c r="D890" s="4" t="s">
        <v>45</v>
      </c>
      <c r="E890" s="4" t="s">
        <v>25</v>
      </c>
      <c r="F890" s="4" t="s">
        <v>25</v>
      </c>
      <c r="G890" s="4" t="s">
        <v>25</v>
      </c>
      <c r="H890" s="4" t="s">
        <v>25</v>
      </c>
      <c r="I890" s="5">
        <v>44682</v>
      </c>
      <c r="J890" s="6">
        <v>0</v>
      </c>
      <c r="K890" s="6">
        <v>0</v>
      </c>
      <c r="L890" s="6">
        <v>-0.35899999999999999</v>
      </c>
      <c r="M890" s="6">
        <v>-0.35899999999999999</v>
      </c>
      <c r="N890" s="6">
        <v>-0.35899999999999999</v>
      </c>
      <c r="O890" s="6">
        <v>-0.35899999999999999</v>
      </c>
      <c r="P890" s="6">
        <v>0</v>
      </c>
      <c r="Q890" s="4" t="s">
        <v>26</v>
      </c>
      <c r="R890" s="4">
        <v>0</v>
      </c>
      <c r="S890" s="6">
        <v>0</v>
      </c>
      <c r="T890" s="6">
        <v>47</v>
      </c>
      <c r="U890" s="6">
        <v>109</v>
      </c>
      <c r="V890" s="6">
        <f>IF(ISERROR(VLOOKUP($S$890,'TAR FIN'!$A$1:$O$113,15,0)),0,VLOOKUP($S$890,'TAR FIN'!$A$1:$O$113,15,0))</f>
        <v>0</v>
      </c>
      <c r="W890" s="6">
        <f>IF(ISERROR(VLOOKUP($T$890,'TAR FIN'!$A$1:$O$113,15,0)),0,VLOOKUP($T$890,'TAR FIN'!$A$1:$O$113,15,0))</f>
        <v>264.26</v>
      </c>
      <c r="X890" s="6">
        <f>IF(ISERROR(VLOOKUP($U$890,'TAR FIN'!$A$1:$O$113,15,0)),0,VLOOKUP($U$890,'TAR FIN'!$A$1:$O$113,15,0))</f>
        <v>257.27</v>
      </c>
      <c r="Y890" s="6"/>
      <c r="Z890" s="6">
        <f ca="1">('TUSD BE'!$AM$53+'TUSD BF'!$AM$53+'TUSD CVA'!$AM$53)*(1-CUSTOS!$M$38)</f>
        <v>369.68733431619313</v>
      </c>
      <c r="AA890" s="6">
        <f>('TE BE'!$AB$31+'TE BF'!$AB$31+'TE CVA'!$AB$31)*(1-CUSTOS!$M$38)</f>
        <v>295.89806753596048</v>
      </c>
      <c r="AB890" s="6">
        <f>$K$890*$V$890</f>
        <v>0</v>
      </c>
      <c r="AC890" s="6">
        <f>$M$890*$W$890</f>
        <v>-94.869339999999994</v>
      </c>
      <c r="AD890" s="6">
        <f>$O$890*$X$890</f>
        <v>-92.359929999999991</v>
      </c>
      <c r="AE890" s="6">
        <f>$K$890*$Y$890</f>
        <v>0</v>
      </c>
      <c r="AF890" s="6">
        <f ca="1">$M$890*$Z$890</f>
        <v>-132.71775301951334</v>
      </c>
      <c r="AG890" s="6">
        <f>$O$890*$AA$890</f>
        <v>-106.22740624540981</v>
      </c>
    </row>
    <row r="891" spans="1:33" ht="11.25" customHeight="1" x14ac:dyDescent="0.3">
      <c r="A891" s="4" t="s">
        <v>28</v>
      </c>
      <c r="B891" s="4" t="s">
        <v>44</v>
      </c>
      <c r="C891" s="4" t="s">
        <v>23</v>
      </c>
      <c r="D891" s="4" t="s">
        <v>45</v>
      </c>
      <c r="E891" s="4" t="s">
        <v>25</v>
      </c>
      <c r="F891" s="4" t="s">
        <v>25</v>
      </c>
      <c r="G891" s="4" t="s">
        <v>25</v>
      </c>
      <c r="H891" s="4" t="s">
        <v>25</v>
      </c>
      <c r="I891" s="5">
        <v>44682</v>
      </c>
      <c r="J891" s="6">
        <v>0</v>
      </c>
      <c r="K891" s="6">
        <v>0</v>
      </c>
      <c r="L891" s="6">
        <v>7.7039999999999997</v>
      </c>
      <c r="M891" s="6">
        <v>7.7039999999999997</v>
      </c>
      <c r="N891" s="6">
        <v>7.7039999999999997</v>
      </c>
      <c r="O891" s="6">
        <v>7.7039999999999997</v>
      </c>
      <c r="P891" s="6">
        <v>37</v>
      </c>
      <c r="Q891" s="4" t="s">
        <v>26</v>
      </c>
      <c r="R891" s="4">
        <v>0</v>
      </c>
      <c r="S891" s="6">
        <v>0</v>
      </c>
      <c r="T891" s="6">
        <v>47</v>
      </c>
      <c r="U891" s="6">
        <v>109</v>
      </c>
      <c r="V891" s="6">
        <f>IF(ISERROR(VLOOKUP($S$891,'TAR FIN'!$A$1:$O$113,15,0)),0,VLOOKUP($S$891,'TAR FIN'!$A$1:$O$113,15,0))</f>
        <v>0</v>
      </c>
      <c r="W891" s="6">
        <f>IF(ISERROR(VLOOKUP($T$891,'TAR FIN'!$A$1:$O$113,15,0)),0,VLOOKUP($T$891,'TAR FIN'!$A$1:$O$113,15,0))</f>
        <v>264.26</v>
      </c>
      <c r="X891" s="6">
        <f>IF(ISERROR(VLOOKUP($U$891,'TAR FIN'!$A$1:$O$113,15,0)),0,VLOOKUP($U$891,'TAR FIN'!$A$1:$O$113,15,0))</f>
        <v>257.27</v>
      </c>
      <c r="Y891" s="6"/>
      <c r="Z891" s="6">
        <f ca="1">('TUSD BE'!$AM$53+'TUSD BF'!$AM$53+'TUSD CVA'!$AM$53)*(1-CUSTOS!$M$38)</f>
        <v>369.68733431619313</v>
      </c>
      <c r="AA891" s="6">
        <f>('TE BE'!$AB$31+'TE BF'!$AB$31+'TE CVA'!$AB$31)*(1-CUSTOS!$M$38)</f>
        <v>295.89806753596048</v>
      </c>
      <c r="AB891" s="6">
        <f>$K$891*$V$891</f>
        <v>0</v>
      </c>
      <c r="AC891" s="6">
        <f>$M$891*$W$891</f>
        <v>2035.8590399999998</v>
      </c>
      <c r="AD891" s="6">
        <f>$O$891*$X$891</f>
        <v>1982.0080799999998</v>
      </c>
      <c r="AE891" s="6">
        <f>$K$891*$Y$891</f>
        <v>0</v>
      </c>
      <c r="AF891" s="6">
        <f ca="1">$M$891*$Z$891</f>
        <v>2848.0712235719516</v>
      </c>
      <c r="AG891" s="6">
        <f>$O$891*$AA$891</f>
        <v>2279.5987122970396</v>
      </c>
    </row>
    <row r="892" spans="1:33" ht="11.25" customHeight="1" x14ac:dyDescent="0.3">
      <c r="A892" s="4" t="s">
        <v>28</v>
      </c>
      <c r="B892" s="4" t="s">
        <v>44</v>
      </c>
      <c r="C892" s="4" t="s">
        <v>23</v>
      </c>
      <c r="D892" s="4" t="s">
        <v>45</v>
      </c>
      <c r="E892" s="4" t="s">
        <v>25</v>
      </c>
      <c r="F892" s="4" t="s">
        <v>25</v>
      </c>
      <c r="G892" s="4" t="s">
        <v>25</v>
      </c>
      <c r="H892" s="4" t="s">
        <v>25</v>
      </c>
      <c r="I892" s="5">
        <v>44682</v>
      </c>
      <c r="J892" s="6">
        <v>0</v>
      </c>
      <c r="K892" s="6">
        <v>0</v>
      </c>
      <c r="L892" s="6">
        <v>0.13600000000000001</v>
      </c>
      <c r="M892" s="6">
        <v>0.13600000000000001</v>
      </c>
      <c r="N892" s="6">
        <v>0.13600000000000001</v>
      </c>
      <c r="O892" s="6">
        <v>0.13600000000000001</v>
      </c>
      <c r="P892" s="6">
        <v>1</v>
      </c>
      <c r="Q892" s="4" t="s">
        <v>26</v>
      </c>
      <c r="R892" s="4">
        <v>0</v>
      </c>
      <c r="S892" s="6">
        <v>0</v>
      </c>
      <c r="T892" s="6">
        <v>47</v>
      </c>
      <c r="U892" s="6">
        <v>109</v>
      </c>
      <c r="V892" s="6">
        <f>IF(ISERROR(VLOOKUP($S$892,'TAR FIN'!$A$1:$O$113,15,0)),0,VLOOKUP($S$892,'TAR FIN'!$A$1:$O$113,15,0))</f>
        <v>0</v>
      </c>
      <c r="W892" s="6">
        <f>IF(ISERROR(VLOOKUP($T$892,'TAR FIN'!$A$1:$O$113,15,0)),0,VLOOKUP($T$892,'TAR FIN'!$A$1:$O$113,15,0))</f>
        <v>264.26</v>
      </c>
      <c r="X892" s="6">
        <f>IF(ISERROR(VLOOKUP($U$892,'TAR FIN'!$A$1:$O$113,15,0)),0,VLOOKUP($U$892,'TAR FIN'!$A$1:$O$113,15,0))</f>
        <v>257.27</v>
      </c>
      <c r="Y892" s="6"/>
      <c r="Z892" s="6">
        <f ca="1">('TUSD BE'!$AM$53+'TUSD BF'!$AM$53+'TUSD CVA'!$AM$53)*(1-CUSTOS!$M$38)</f>
        <v>369.68733431619313</v>
      </c>
      <c r="AA892" s="6">
        <f>('TE BE'!$AB$31+'TE BF'!$AB$31+'TE CVA'!$AB$31)*(1-CUSTOS!$M$38)</f>
        <v>295.89806753596048</v>
      </c>
      <c r="AB892" s="6">
        <f>$K$892*$V$892</f>
        <v>0</v>
      </c>
      <c r="AC892" s="6">
        <f>$M$892*$W$892</f>
        <v>35.939360000000001</v>
      </c>
      <c r="AD892" s="6">
        <f>$O$892*$X$892</f>
        <v>34.988720000000001</v>
      </c>
      <c r="AE892" s="6">
        <f>$K$892*$Y$892</f>
        <v>0</v>
      </c>
      <c r="AF892" s="6">
        <f ca="1">$M$892*$Z$892</f>
        <v>50.277477467002271</v>
      </c>
      <c r="AG892" s="6">
        <f>$O$892*$AA$892</f>
        <v>40.24213718489063</v>
      </c>
    </row>
    <row r="893" spans="1:33" ht="11.25" customHeight="1" x14ac:dyDescent="0.3">
      <c r="A893" s="4" t="s">
        <v>21</v>
      </c>
      <c r="B893" s="4" t="s">
        <v>44</v>
      </c>
      <c r="C893" s="4" t="s">
        <v>23</v>
      </c>
      <c r="D893" s="4" t="s">
        <v>45</v>
      </c>
      <c r="E893" s="4" t="s">
        <v>25</v>
      </c>
      <c r="F893" s="4" t="s">
        <v>25</v>
      </c>
      <c r="G893" s="4" t="s">
        <v>25</v>
      </c>
      <c r="H893" s="4" t="s">
        <v>25</v>
      </c>
      <c r="I893" s="5">
        <v>44713</v>
      </c>
      <c r="J893" s="6">
        <v>0</v>
      </c>
      <c r="K893" s="6">
        <v>0</v>
      </c>
      <c r="L893" s="6">
        <v>313.52600000000001</v>
      </c>
      <c r="M893" s="6">
        <v>313.52600000000001</v>
      </c>
      <c r="N893" s="6">
        <v>313.52600000000001</v>
      </c>
      <c r="O893" s="6">
        <v>313.52600000000001</v>
      </c>
      <c r="P893" s="6">
        <v>430</v>
      </c>
      <c r="Q893" s="4" t="s">
        <v>26</v>
      </c>
      <c r="R893" s="4">
        <v>0</v>
      </c>
      <c r="S893" s="6">
        <v>0</v>
      </c>
      <c r="T893" s="6">
        <v>47</v>
      </c>
      <c r="U893" s="6">
        <v>109</v>
      </c>
      <c r="V893" s="6">
        <f>IF(ISERROR(VLOOKUP($S$893,'TAR FIN'!$A$1:$O$113,15,0)),0,VLOOKUP($S$893,'TAR FIN'!$A$1:$O$113,15,0))</f>
        <v>0</v>
      </c>
      <c r="W893" s="6">
        <f>IF(ISERROR(VLOOKUP($T$893,'TAR FIN'!$A$1:$O$113,15,0)),0,VLOOKUP($T$893,'TAR FIN'!$A$1:$O$113,15,0))</f>
        <v>264.26</v>
      </c>
      <c r="X893" s="6">
        <f>IF(ISERROR(VLOOKUP($U$893,'TAR FIN'!$A$1:$O$113,15,0)),0,VLOOKUP($U$893,'TAR FIN'!$A$1:$O$113,15,0))</f>
        <v>257.27</v>
      </c>
      <c r="Y893" s="6"/>
      <c r="Z893" s="6">
        <f ca="1">('TUSD BE'!$AM$53+'TUSD BF'!$AM$53+'TUSD CVA'!$AM$53)*(1-CUSTOS!$M$38)</f>
        <v>369.68733431619313</v>
      </c>
      <c r="AA893" s="6">
        <f>('TE BE'!$AB$31+'TE BF'!$AB$31+'TE CVA'!$AB$31)*(1-CUSTOS!$M$38)</f>
        <v>295.89806753596048</v>
      </c>
      <c r="AB893" s="6">
        <f>$K$893*$V$893</f>
        <v>0</v>
      </c>
      <c r="AC893" s="6">
        <f>$M$893*$W$893</f>
        <v>82852.38076</v>
      </c>
      <c r="AD893" s="6">
        <f>$O$893*$X$893</f>
        <v>80660.834019999995</v>
      </c>
      <c r="AE893" s="6">
        <f>$K$893*$Y$893</f>
        <v>0</v>
      </c>
      <c r="AF893" s="6">
        <f ca="1">$M$893*$Z$893</f>
        <v>115906.59117881877</v>
      </c>
      <c r="AG893" s="6">
        <f>$O$893*$AA$893</f>
        <v>92771.737522279553</v>
      </c>
    </row>
    <row r="894" spans="1:33" ht="11.25" customHeight="1" x14ac:dyDescent="0.3">
      <c r="A894" s="4" t="s">
        <v>28</v>
      </c>
      <c r="B894" s="4" t="s">
        <v>44</v>
      </c>
      <c r="C894" s="4" t="s">
        <v>23</v>
      </c>
      <c r="D894" s="4" t="s">
        <v>45</v>
      </c>
      <c r="E894" s="4" t="s">
        <v>25</v>
      </c>
      <c r="F894" s="4" t="s">
        <v>25</v>
      </c>
      <c r="G894" s="4" t="s">
        <v>25</v>
      </c>
      <c r="H894" s="4" t="s">
        <v>25</v>
      </c>
      <c r="I894" s="5">
        <v>44713</v>
      </c>
      <c r="J894" s="6">
        <v>0</v>
      </c>
      <c r="K894" s="6">
        <v>0</v>
      </c>
      <c r="L894" s="6">
        <v>9.5090000000000003</v>
      </c>
      <c r="M894" s="6">
        <v>9.5090000000000003</v>
      </c>
      <c r="N894" s="6">
        <v>9.5090000000000003</v>
      </c>
      <c r="O894" s="6">
        <v>9.5090000000000003</v>
      </c>
      <c r="P894" s="6">
        <v>41</v>
      </c>
      <c r="Q894" s="4" t="s">
        <v>26</v>
      </c>
      <c r="R894" s="4">
        <v>0</v>
      </c>
      <c r="S894" s="6">
        <v>0</v>
      </c>
      <c r="T894" s="6">
        <v>47</v>
      </c>
      <c r="U894" s="6">
        <v>109</v>
      </c>
      <c r="V894" s="6">
        <f>IF(ISERROR(VLOOKUP($S$894,'TAR FIN'!$A$1:$O$113,15,0)),0,VLOOKUP($S$894,'TAR FIN'!$A$1:$O$113,15,0))</f>
        <v>0</v>
      </c>
      <c r="W894" s="6">
        <f>IF(ISERROR(VLOOKUP($T$894,'TAR FIN'!$A$1:$O$113,15,0)),0,VLOOKUP($T$894,'TAR FIN'!$A$1:$O$113,15,0))</f>
        <v>264.26</v>
      </c>
      <c r="X894" s="6">
        <f>IF(ISERROR(VLOOKUP($U$894,'TAR FIN'!$A$1:$O$113,15,0)),0,VLOOKUP($U$894,'TAR FIN'!$A$1:$O$113,15,0))</f>
        <v>257.27</v>
      </c>
      <c r="Y894" s="6"/>
      <c r="Z894" s="6">
        <f ca="1">('TUSD BE'!$AM$53+'TUSD BF'!$AM$53+'TUSD CVA'!$AM$53)*(1-CUSTOS!$M$38)</f>
        <v>369.68733431619313</v>
      </c>
      <c r="AA894" s="6">
        <f>('TE BE'!$AB$31+'TE BF'!$AB$31+'TE CVA'!$AB$31)*(1-CUSTOS!$M$38)</f>
        <v>295.89806753596048</v>
      </c>
      <c r="AB894" s="6">
        <f>$K$894*$V$894</f>
        <v>0</v>
      </c>
      <c r="AC894" s="6">
        <f>$M$894*$W$894</f>
        <v>2512.84834</v>
      </c>
      <c r="AD894" s="6">
        <f>$O$894*$X$894</f>
        <v>2446.3804299999997</v>
      </c>
      <c r="AE894" s="6">
        <f>$K$894*$Y$894</f>
        <v>0</v>
      </c>
      <c r="AF894" s="6">
        <f ca="1">$M$894*$Z$894</f>
        <v>3515.3568620126807</v>
      </c>
      <c r="AG894" s="6">
        <f>$O$894*$AA$894</f>
        <v>2813.6947241994485</v>
      </c>
    </row>
    <row r="895" spans="1:33" ht="11.25" customHeight="1" x14ac:dyDescent="0.3">
      <c r="A895" s="4" t="s">
        <v>21</v>
      </c>
      <c r="B895" s="4" t="s">
        <v>44</v>
      </c>
      <c r="C895" s="4" t="s">
        <v>23</v>
      </c>
      <c r="D895" s="4" t="s">
        <v>45</v>
      </c>
      <c r="E895" s="4" t="s">
        <v>25</v>
      </c>
      <c r="F895" s="4" t="s">
        <v>25</v>
      </c>
      <c r="G895" s="4" t="s">
        <v>25</v>
      </c>
      <c r="H895" s="4" t="s">
        <v>25</v>
      </c>
      <c r="I895" s="5">
        <v>44743</v>
      </c>
      <c r="J895" s="6">
        <v>0</v>
      </c>
      <c r="K895" s="6">
        <v>0</v>
      </c>
      <c r="L895" s="6">
        <v>338.08600000000001</v>
      </c>
      <c r="M895" s="6">
        <v>338.08600000000001</v>
      </c>
      <c r="N895" s="6">
        <v>338.08600000000001</v>
      </c>
      <c r="O895" s="6">
        <v>338.08600000000001</v>
      </c>
      <c r="P895" s="6">
        <v>435</v>
      </c>
      <c r="Q895" s="4" t="s">
        <v>26</v>
      </c>
      <c r="R895" s="4">
        <v>0</v>
      </c>
      <c r="S895" s="6">
        <v>0</v>
      </c>
      <c r="T895" s="6">
        <v>47</v>
      </c>
      <c r="U895" s="6">
        <v>109</v>
      </c>
      <c r="V895" s="6">
        <f>IF(ISERROR(VLOOKUP($S$895,'TAR FIN'!$A$1:$O$113,15,0)),0,VLOOKUP($S$895,'TAR FIN'!$A$1:$O$113,15,0))</f>
        <v>0</v>
      </c>
      <c r="W895" s="6">
        <f>IF(ISERROR(VLOOKUP($T$895,'TAR FIN'!$A$1:$O$113,15,0)),0,VLOOKUP($T$895,'TAR FIN'!$A$1:$O$113,15,0))</f>
        <v>264.26</v>
      </c>
      <c r="X895" s="6">
        <f>IF(ISERROR(VLOOKUP($U$895,'TAR FIN'!$A$1:$O$113,15,0)),0,VLOOKUP($U$895,'TAR FIN'!$A$1:$O$113,15,0))</f>
        <v>257.27</v>
      </c>
      <c r="Y895" s="6"/>
      <c r="Z895" s="6">
        <f ca="1">('TUSD BE'!$AM$53+'TUSD BF'!$AM$53+'TUSD CVA'!$AM$53)*(1-CUSTOS!$M$38)</f>
        <v>369.68733431619313</v>
      </c>
      <c r="AA895" s="6">
        <f>('TE BE'!$AB$31+'TE BF'!$AB$31+'TE CVA'!$AB$31)*(1-CUSTOS!$M$38)</f>
        <v>295.89806753596048</v>
      </c>
      <c r="AB895" s="6">
        <f>$K$895*$V$895</f>
        <v>0</v>
      </c>
      <c r="AC895" s="6">
        <f>$M$895*$W$895</f>
        <v>89342.606360000005</v>
      </c>
      <c r="AD895" s="6">
        <f>$O$895*$X$895</f>
        <v>86979.385219999996</v>
      </c>
      <c r="AE895" s="6">
        <f>$K$895*$Y$895</f>
        <v>0</v>
      </c>
      <c r="AF895" s="6">
        <f ca="1">$M$895*$Z$895</f>
        <v>124986.11210962448</v>
      </c>
      <c r="AG895" s="6">
        <f>$O$895*$AA$895</f>
        <v>100038.99406096274</v>
      </c>
    </row>
    <row r="896" spans="1:33" ht="11.25" customHeight="1" x14ac:dyDescent="0.3">
      <c r="A896" s="4" t="s">
        <v>21</v>
      </c>
      <c r="B896" s="4" t="s">
        <v>44</v>
      </c>
      <c r="C896" s="4" t="s">
        <v>23</v>
      </c>
      <c r="D896" s="4" t="s">
        <v>45</v>
      </c>
      <c r="E896" s="4" t="s">
        <v>25</v>
      </c>
      <c r="F896" s="4" t="s">
        <v>25</v>
      </c>
      <c r="G896" s="4" t="s">
        <v>25</v>
      </c>
      <c r="H896" s="4" t="s">
        <v>25</v>
      </c>
      <c r="I896" s="5">
        <v>44774</v>
      </c>
      <c r="J896" s="6">
        <v>0</v>
      </c>
      <c r="K896" s="6">
        <v>0</v>
      </c>
      <c r="L896" s="6">
        <v>336.291</v>
      </c>
      <c r="M896" s="6">
        <v>336.291</v>
      </c>
      <c r="N896" s="6">
        <v>336.291</v>
      </c>
      <c r="O896" s="6">
        <v>336.291</v>
      </c>
      <c r="P896" s="6">
        <v>433</v>
      </c>
      <c r="Q896" s="4" t="s">
        <v>26</v>
      </c>
      <c r="R896" s="4">
        <v>0</v>
      </c>
      <c r="S896" s="6">
        <v>0</v>
      </c>
      <c r="T896" s="6">
        <v>47</v>
      </c>
      <c r="U896" s="6">
        <v>109</v>
      </c>
      <c r="V896" s="6">
        <f>IF(ISERROR(VLOOKUP($S$896,'TAR FIN'!$A$1:$O$113,15,0)),0,VLOOKUP($S$896,'TAR FIN'!$A$1:$O$113,15,0))</f>
        <v>0</v>
      </c>
      <c r="W896" s="6">
        <f>IF(ISERROR(VLOOKUP($T$896,'TAR FIN'!$A$1:$O$113,15,0)),0,VLOOKUP($T$896,'TAR FIN'!$A$1:$O$113,15,0))</f>
        <v>264.26</v>
      </c>
      <c r="X896" s="6">
        <f>IF(ISERROR(VLOOKUP($U$896,'TAR FIN'!$A$1:$O$113,15,0)),0,VLOOKUP($U$896,'TAR FIN'!$A$1:$O$113,15,0))</f>
        <v>257.27</v>
      </c>
      <c r="Y896" s="6"/>
      <c r="Z896" s="6">
        <f ca="1">('TUSD BE'!$AM$53+'TUSD BF'!$AM$53+'TUSD CVA'!$AM$53)*(1-CUSTOS!$M$38)</f>
        <v>369.68733431619313</v>
      </c>
      <c r="AA896" s="6">
        <f>('TE BE'!$AB$31+'TE BF'!$AB$31+'TE CVA'!$AB$31)*(1-CUSTOS!$M$38)</f>
        <v>295.89806753596048</v>
      </c>
      <c r="AB896" s="6">
        <f>$K$896*$V$896</f>
        <v>0</v>
      </c>
      <c r="AC896" s="6">
        <f>$M$896*$W$896</f>
        <v>88868.259659999996</v>
      </c>
      <c r="AD896" s="6">
        <f>$O$896*$X$896</f>
        <v>86517.585569999996</v>
      </c>
      <c r="AE896" s="6">
        <f>$K$896*$Y$896</f>
        <v>0</v>
      </c>
      <c r="AF896" s="6">
        <f ca="1">$M$896*$Z$896</f>
        <v>124322.5233445269</v>
      </c>
      <c r="AG896" s="6">
        <f>$O$896*$AA$896</f>
        <v>99507.857029735678</v>
      </c>
    </row>
    <row r="897" spans="1:33" ht="11.25" customHeight="1" x14ac:dyDescent="0.3">
      <c r="A897" s="4" t="s">
        <v>27</v>
      </c>
      <c r="B897" s="4" t="s">
        <v>44</v>
      </c>
      <c r="C897" s="4" t="s">
        <v>23</v>
      </c>
      <c r="D897" s="4" t="s">
        <v>45</v>
      </c>
      <c r="E897" s="4" t="s">
        <v>25</v>
      </c>
      <c r="F897" s="4" t="s">
        <v>25</v>
      </c>
      <c r="G897" s="4" t="s">
        <v>25</v>
      </c>
      <c r="H897" s="4" t="s">
        <v>25</v>
      </c>
      <c r="I897" s="5">
        <v>44774</v>
      </c>
      <c r="J897" s="6">
        <v>0</v>
      </c>
      <c r="K897" s="6">
        <v>0</v>
      </c>
      <c r="L897" s="6">
        <v>-2.8610000000000002</v>
      </c>
      <c r="M897" s="6">
        <v>-2.8610000000000002</v>
      </c>
      <c r="N897" s="6">
        <v>-2.8610000000000002</v>
      </c>
      <c r="O897" s="6">
        <v>-2.8610000000000002</v>
      </c>
      <c r="P897" s="6">
        <v>0</v>
      </c>
      <c r="Q897" s="4" t="s">
        <v>26</v>
      </c>
      <c r="R897" s="4">
        <v>0</v>
      </c>
      <c r="S897" s="6">
        <v>0</v>
      </c>
      <c r="T897" s="6">
        <v>47</v>
      </c>
      <c r="U897" s="6">
        <v>109</v>
      </c>
      <c r="V897" s="6">
        <f>IF(ISERROR(VLOOKUP($S$897,'TAR FIN'!$A$1:$O$113,15,0)),0,VLOOKUP($S$897,'TAR FIN'!$A$1:$O$113,15,0))</f>
        <v>0</v>
      </c>
      <c r="W897" s="6">
        <f>IF(ISERROR(VLOOKUP($T$897,'TAR FIN'!$A$1:$O$113,15,0)),0,VLOOKUP($T$897,'TAR FIN'!$A$1:$O$113,15,0))</f>
        <v>264.26</v>
      </c>
      <c r="X897" s="6">
        <f>IF(ISERROR(VLOOKUP($U$897,'TAR FIN'!$A$1:$O$113,15,0)),0,VLOOKUP($U$897,'TAR FIN'!$A$1:$O$113,15,0))</f>
        <v>257.27</v>
      </c>
      <c r="Y897" s="6"/>
      <c r="Z897" s="6">
        <f ca="1">('TUSD BE'!$AM$53+'TUSD BF'!$AM$53+'TUSD CVA'!$AM$53)*(1-CUSTOS!$M$38)</f>
        <v>369.68733431619313</v>
      </c>
      <c r="AA897" s="6">
        <f>('TE BE'!$AB$31+'TE BF'!$AB$31+'TE CVA'!$AB$31)*(1-CUSTOS!$M$38)</f>
        <v>295.89806753596048</v>
      </c>
      <c r="AB897" s="6">
        <f>$K$897*$V$897</f>
        <v>0</v>
      </c>
      <c r="AC897" s="6">
        <f>$M$897*$W$897</f>
        <v>-756.04786000000001</v>
      </c>
      <c r="AD897" s="6">
        <f>$O$897*$X$897</f>
        <v>-736.04947000000004</v>
      </c>
      <c r="AE897" s="6">
        <f>$K$897*$Y$897</f>
        <v>0</v>
      </c>
      <c r="AF897" s="6">
        <f ca="1">$M$897*$Z$897</f>
        <v>-1057.6754634786287</v>
      </c>
      <c r="AG897" s="6">
        <f>$O$897*$AA$897</f>
        <v>-846.56437122038301</v>
      </c>
    </row>
    <row r="898" spans="1:33" ht="11.25" customHeight="1" x14ac:dyDescent="0.3">
      <c r="A898" s="4" t="s">
        <v>28</v>
      </c>
      <c r="B898" s="4" t="s">
        <v>44</v>
      </c>
      <c r="C898" s="4" t="s">
        <v>23</v>
      </c>
      <c r="D898" s="4" t="s">
        <v>45</v>
      </c>
      <c r="E898" s="4" t="s">
        <v>25</v>
      </c>
      <c r="F898" s="4" t="s">
        <v>25</v>
      </c>
      <c r="G898" s="4" t="s">
        <v>25</v>
      </c>
      <c r="H898" s="4" t="s">
        <v>25</v>
      </c>
      <c r="I898" s="5">
        <v>44774</v>
      </c>
      <c r="J898" s="6">
        <v>0</v>
      </c>
      <c r="K898" s="6">
        <v>0</v>
      </c>
      <c r="L898" s="6">
        <v>9.6790000000000003</v>
      </c>
      <c r="M898" s="6">
        <v>9.6790000000000003</v>
      </c>
      <c r="N898" s="6">
        <v>9.6790000000000003</v>
      </c>
      <c r="O898" s="6">
        <v>9.6790000000000003</v>
      </c>
      <c r="P898" s="6">
        <v>41</v>
      </c>
      <c r="Q898" s="4" t="s">
        <v>26</v>
      </c>
      <c r="R898" s="4">
        <v>0</v>
      </c>
      <c r="S898" s="6">
        <v>0</v>
      </c>
      <c r="T898" s="6">
        <v>47</v>
      </c>
      <c r="U898" s="6">
        <v>109</v>
      </c>
      <c r="V898" s="6">
        <f>IF(ISERROR(VLOOKUP($S$898,'TAR FIN'!$A$1:$O$113,15,0)),0,VLOOKUP($S$898,'TAR FIN'!$A$1:$O$113,15,0))</f>
        <v>0</v>
      </c>
      <c r="W898" s="6">
        <f>IF(ISERROR(VLOOKUP($T$898,'TAR FIN'!$A$1:$O$113,15,0)),0,VLOOKUP($T$898,'TAR FIN'!$A$1:$O$113,15,0))</f>
        <v>264.26</v>
      </c>
      <c r="X898" s="6">
        <f>IF(ISERROR(VLOOKUP($U$898,'TAR FIN'!$A$1:$O$113,15,0)),0,VLOOKUP($U$898,'TAR FIN'!$A$1:$O$113,15,0))</f>
        <v>257.27</v>
      </c>
      <c r="Y898" s="6"/>
      <c r="Z898" s="6">
        <f ca="1">('TUSD BE'!$AM$53+'TUSD BF'!$AM$53+'TUSD CVA'!$AM$53)*(1-CUSTOS!$M$38)</f>
        <v>369.68733431619313</v>
      </c>
      <c r="AA898" s="6">
        <f>('TE BE'!$AB$31+'TE BF'!$AB$31+'TE CVA'!$AB$31)*(1-CUSTOS!$M$38)</f>
        <v>295.89806753596048</v>
      </c>
      <c r="AB898" s="6">
        <f>$K$898*$V$898</f>
        <v>0</v>
      </c>
      <c r="AC898" s="6">
        <f>$M$898*$W$898</f>
        <v>2557.7725399999999</v>
      </c>
      <c r="AD898" s="6">
        <f>$O$898*$X$898</f>
        <v>2490.1163299999998</v>
      </c>
      <c r="AE898" s="6">
        <f>$K$898*$Y$898</f>
        <v>0</v>
      </c>
      <c r="AF898" s="6">
        <f ca="1">$M$898*$Z$898</f>
        <v>3578.2037088464335</v>
      </c>
      <c r="AG898" s="6">
        <f>$O$898*$AA$898</f>
        <v>2863.9973956805616</v>
      </c>
    </row>
    <row r="899" spans="1:33" ht="11.25" customHeight="1" x14ac:dyDescent="0.3">
      <c r="A899" s="4" t="s">
        <v>21</v>
      </c>
      <c r="B899" s="4" t="s">
        <v>44</v>
      </c>
      <c r="C899" s="4" t="s">
        <v>23</v>
      </c>
      <c r="D899" s="4" t="s">
        <v>45</v>
      </c>
      <c r="E899" s="4" t="s">
        <v>25</v>
      </c>
      <c r="F899" s="4" t="s">
        <v>25</v>
      </c>
      <c r="G899" s="4" t="s">
        <v>25</v>
      </c>
      <c r="H899" s="4" t="s">
        <v>25</v>
      </c>
      <c r="I899" s="5">
        <v>44805</v>
      </c>
      <c r="J899" s="6">
        <v>0</v>
      </c>
      <c r="K899" s="6">
        <v>0</v>
      </c>
      <c r="L899" s="6">
        <v>330.00200000000001</v>
      </c>
      <c r="M899" s="6">
        <v>330.00200000000001</v>
      </c>
      <c r="N899" s="6">
        <v>330.00200000000001</v>
      </c>
      <c r="O899" s="6">
        <v>330.00200000000001</v>
      </c>
      <c r="P899" s="6">
        <v>433</v>
      </c>
      <c r="Q899" s="4" t="s">
        <v>26</v>
      </c>
      <c r="R899" s="4">
        <v>0</v>
      </c>
      <c r="S899" s="6">
        <v>0</v>
      </c>
      <c r="T899" s="6">
        <v>47</v>
      </c>
      <c r="U899" s="6">
        <v>109</v>
      </c>
      <c r="V899" s="6">
        <f>IF(ISERROR(VLOOKUP($S$899,'TAR FIN'!$A$1:$O$113,15,0)),0,VLOOKUP($S$899,'TAR FIN'!$A$1:$O$113,15,0))</f>
        <v>0</v>
      </c>
      <c r="W899" s="6">
        <f>IF(ISERROR(VLOOKUP($T$899,'TAR FIN'!$A$1:$O$113,15,0)),0,VLOOKUP($T$899,'TAR FIN'!$A$1:$O$113,15,0))</f>
        <v>264.26</v>
      </c>
      <c r="X899" s="6">
        <f>IF(ISERROR(VLOOKUP($U$899,'TAR FIN'!$A$1:$O$113,15,0)),0,VLOOKUP($U$899,'TAR FIN'!$A$1:$O$113,15,0))</f>
        <v>257.27</v>
      </c>
      <c r="Y899" s="6"/>
      <c r="Z899" s="6">
        <f ca="1">('TUSD BE'!$AM$53+'TUSD BF'!$AM$53+'TUSD CVA'!$AM$53)*(1-CUSTOS!$M$38)</f>
        <v>369.68733431619313</v>
      </c>
      <c r="AA899" s="6">
        <f>('TE BE'!$AB$31+'TE BF'!$AB$31+'TE CVA'!$AB$31)*(1-CUSTOS!$M$38)</f>
        <v>295.89806753596048</v>
      </c>
      <c r="AB899" s="6">
        <f>$K$899*$V$899</f>
        <v>0</v>
      </c>
      <c r="AC899" s="6">
        <f>$M$899*$W$899</f>
        <v>87206.328519999995</v>
      </c>
      <c r="AD899" s="6">
        <f>$O$899*$X$899</f>
        <v>84899.614539999995</v>
      </c>
      <c r="AE899" s="6">
        <f>$K$899*$Y$899</f>
        <v>0</v>
      </c>
      <c r="AF899" s="6">
        <f ca="1">$M$899*$Z$899</f>
        <v>121997.55969901237</v>
      </c>
      <c r="AG899" s="6">
        <f>$O$899*$AA$899</f>
        <v>97646.954083002027</v>
      </c>
    </row>
    <row r="900" spans="1:33" ht="11.25" customHeight="1" x14ac:dyDescent="0.3">
      <c r="A900" s="4" t="s">
        <v>27</v>
      </c>
      <c r="B900" s="4" t="s">
        <v>44</v>
      </c>
      <c r="C900" s="4" t="s">
        <v>23</v>
      </c>
      <c r="D900" s="4" t="s">
        <v>45</v>
      </c>
      <c r="E900" s="4" t="s">
        <v>25</v>
      </c>
      <c r="F900" s="4" t="s">
        <v>25</v>
      </c>
      <c r="G900" s="4" t="s">
        <v>25</v>
      </c>
      <c r="H900" s="4" t="s">
        <v>25</v>
      </c>
      <c r="I900" s="5">
        <v>44805</v>
      </c>
      <c r="J900" s="6">
        <v>0</v>
      </c>
      <c r="K900" s="6">
        <v>0</v>
      </c>
      <c r="L900" s="6">
        <v>-1.2410000000000001</v>
      </c>
      <c r="M900" s="6">
        <v>-1.2410000000000001</v>
      </c>
      <c r="N900" s="6">
        <v>-1.2410000000000001</v>
      </c>
      <c r="O900" s="6">
        <v>-1.2410000000000001</v>
      </c>
      <c r="P900" s="6">
        <v>0</v>
      </c>
      <c r="Q900" s="4" t="s">
        <v>26</v>
      </c>
      <c r="R900" s="4">
        <v>0</v>
      </c>
      <c r="S900" s="6">
        <v>0</v>
      </c>
      <c r="T900" s="6">
        <v>47</v>
      </c>
      <c r="U900" s="6">
        <v>109</v>
      </c>
      <c r="V900" s="6">
        <f>IF(ISERROR(VLOOKUP($S$900,'TAR FIN'!$A$1:$O$113,15,0)),0,VLOOKUP($S$900,'TAR FIN'!$A$1:$O$113,15,0))</f>
        <v>0</v>
      </c>
      <c r="W900" s="6">
        <f>IF(ISERROR(VLOOKUP($T$900,'TAR FIN'!$A$1:$O$113,15,0)),0,VLOOKUP($T$900,'TAR FIN'!$A$1:$O$113,15,0))</f>
        <v>264.26</v>
      </c>
      <c r="X900" s="6">
        <f>IF(ISERROR(VLOOKUP($U$900,'TAR FIN'!$A$1:$O$113,15,0)),0,VLOOKUP($U$900,'TAR FIN'!$A$1:$O$113,15,0))</f>
        <v>257.27</v>
      </c>
      <c r="Y900" s="6"/>
      <c r="Z900" s="6">
        <f ca="1">('TUSD BE'!$AM$53+'TUSD BF'!$AM$53+'TUSD CVA'!$AM$53)*(1-CUSTOS!$M$38)</f>
        <v>369.68733431619313</v>
      </c>
      <c r="AA900" s="6">
        <f>('TE BE'!$AB$31+'TE BF'!$AB$31+'TE CVA'!$AB$31)*(1-CUSTOS!$M$38)</f>
        <v>295.89806753596048</v>
      </c>
      <c r="AB900" s="6">
        <f>$K$900*$V$900</f>
        <v>0</v>
      </c>
      <c r="AC900" s="6">
        <f>$M$900*$W$900</f>
        <v>-327.94666000000001</v>
      </c>
      <c r="AD900" s="6">
        <f>$O$900*$X$900</f>
        <v>-319.27206999999999</v>
      </c>
      <c r="AE900" s="6">
        <f>$K$900*$Y$900</f>
        <v>0</v>
      </c>
      <c r="AF900" s="6">
        <f ca="1">$M$900*$Z$900</f>
        <v>-458.78198188639573</v>
      </c>
      <c r="AG900" s="6">
        <f>$O$900*$AA$900</f>
        <v>-367.20950181212697</v>
      </c>
    </row>
    <row r="901" spans="1:33" ht="11.25" customHeight="1" x14ac:dyDescent="0.3">
      <c r="A901" s="4" t="s">
        <v>28</v>
      </c>
      <c r="B901" s="4" t="s">
        <v>44</v>
      </c>
      <c r="C901" s="4" t="s">
        <v>23</v>
      </c>
      <c r="D901" s="4" t="s">
        <v>45</v>
      </c>
      <c r="E901" s="4" t="s">
        <v>25</v>
      </c>
      <c r="F901" s="4" t="s">
        <v>25</v>
      </c>
      <c r="G901" s="4" t="s">
        <v>25</v>
      </c>
      <c r="H901" s="4" t="s">
        <v>25</v>
      </c>
      <c r="I901" s="5">
        <v>44805</v>
      </c>
      <c r="J901" s="6">
        <v>0</v>
      </c>
      <c r="K901" s="6">
        <v>0</v>
      </c>
      <c r="L901" s="6">
        <v>8.4589999999999996</v>
      </c>
      <c r="M901" s="6">
        <v>8.4589999999999996</v>
      </c>
      <c r="N901" s="6">
        <v>8.4589999999999996</v>
      </c>
      <c r="O901" s="6">
        <v>8.4589999999999996</v>
      </c>
      <c r="P901" s="6">
        <v>40</v>
      </c>
      <c r="Q901" s="4" t="s">
        <v>26</v>
      </c>
      <c r="R901" s="4">
        <v>0</v>
      </c>
      <c r="S901" s="6">
        <v>0</v>
      </c>
      <c r="T901" s="6">
        <v>47</v>
      </c>
      <c r="U901" s="6">
        <v>109</v>
      </c>
      <c r="V901" s="6">
        <f>IF(ISERROR(VLOOKUP($S$901,'TAR FIN'!$A$1:$O$113,15,0)),0,VLOOKUP($S$901,'TAR FIN'!$A$1:$O$113,15,0))</f>
        <v>0</v>
      </c>
      <c r="W901" s="6">
        <f>IF(ISERROR(VLOOKUP($T$901,'TAR FIN'!$A$1:$O$113,15,0)),0,VLOOKUP($T$901,'TAR FIN'!$A$1:$O$113,15,0))</f>
        <v>264.26</v>
      </c>
      <c r="X901" s="6">
        <f>IF(ISERROR(VLOOKUP($U$901,'TAR FIN'!$A$1:$O$113,15,0)),0,VLOOKUP($U$901,'TAR FIN'!$A$1:$O$113,15,0))</f>
        <v>257.27</v>
      </c>
      <c r="Y901" s="6"/>
      <c r="Z901" s="6">
        <f ca="1">('TUSD BE'!$AM$53+'TUSD BF'!$AM$53+'TUSD CVA'!$AM$53)*(1-CUSTOS!$M$38)</f>
        <v>369.68733431619313</v>
      </c>
      <c r="AA901" s="6">
        <f>('TE BE'!$AB$31+'TE BF'!$AB$31+'TE CVA'!$AB$31)*(1-CUSTOS!$M$38)</f>
        <v>295.89806753596048</v>
      </c>
      <c r="AB901" s="6">
        <f>$K$901*$V$901</f>
        <v>0</v>
      </c>
      <c r="AC901" s="6">
        <f>$M$901*$W$901</f>
        <v>2235.3753400000001</v>
      </c>
      <c r="AD901" s="6">
        <f>$O$901*$X$901</f>
        <v>2176.2469299999998</v>
      </c>
      <c r="AE901" s="6">
        <f>$K$901*$Y$901</f>
        <v>0</v>
      </c>
      <c r="AF901" s="6">
        <f ca="1">$M$901*$Z$901</f>
        <v>3127.1851609806777</v>
      </c>
      <c r="AG901" s="6">
        <f>$O$901*$AA$901</f>
        <v>2503.0017532866896</v>
      </c>
    </row>
    <row r="902" spans="1:33" ht="11.25" customHeight="1" x14ac:dyDescent="0.3">
      <c r="A902" s="4" t="s">
        <v>53</v>
      </c>
      <c r="B902" s="4" t="s">
        <v>44</v>
      </c>
      <c r="C902" s="4" t="s">
        <v>23</v>
      </c>
      <c r="D902" s="4" t="s">
        <v>45</v>
      </c>
      <c r="E902" s="4" t="s">
        <v>25</v>
      </c>
      <c r="F902" s="4" t="s">
        <v>25</v>
      </c>
      <c r="G902" s="4" t="s">
        <v>25</v>
      </c>
      <c r="H902" s="4" t="s">
        <v>25</v>
      </c>
      <c r="I902" s="5">
        <v>44835</v>
      </c>
      <c r="J902" s="6">
        <v>0</v>
      </c>
      <c r="K902" s="6">
        <v>0</v>
      </c>
      <c r="L902" s="6">
        <v>330.00200000000001</v>
      </c>
      <c r="M902" s="6">
        <v>330.00200000000001</v>
      </c>
      <c r="N902" s="6">
        <v>330.00200000000001</v>
      </c>
      <c r="O902" s="6">
        <v>330.00200000000001</v>
      </c>
      <c r="P902" s="6">
        <v>433</v>
      </c>
      <c r="Q902" s="4" t="s">
        <v>26</v>
      </c>
      <c r="R902" s="4">
        <v>0</v>
      </c>
      <c r="S902" s="6">
        <v>0</v>
      </c>
      <c r="T902" s="6">
        <v>47</v>
      </c>
      <c r="U902" s="6">
        <v>109</v>
      </c>
      <c r="V902" s="6">
        <f>IF(ISERROR(VLOOKUP($S$902,'TAR FIN'!$A$1:$O$113,15,0)),0,VLOOKUP($S$902,'TAR FIN'!$A$1:$O$113,15,0))</f>
        <v>0</v>
      </c>
      <c r="W902" s="6">
        <f>IF(ISERROR(VLOOKUP($T$902,'TAR FIN'!$A$1:$O$113,15,0)),0,VLOOKUP($T$902,'TAR FIN'!$A$1:$O$113,15,0))</f>
        <v>264.26</v>
      </c>
      <c r="X902" s="6">
        <f>IF(ISERROR(VLOOKUP($U$902,'TAR FIN'!$A$1:$O$113,15,0)),0,VLOOKUP($U$902,'TAR FIN'!$A$1:$O$113,15,0))</f>
        <v>257.27</v>
      </c>
      <c r="Y902" s="6"/>
      <c r="Z902" s="6">
        <f ca="1">('TUSD BE'!$AM$53+'TUSD BF'!$AM$53+'TUSD CVA'!$AM$53)*(1-CUSTOS!$M$38)</f>
        <v>369.68733431619313</v>
      </c>
      <c r="AA902" s="6">
        <f>('TE BE'!$AB$31+'TE BF'!$AB$31+'TE CVA'!$AB$31)*(1-CUSTOS!$M$38)</f>
        <v>295.89806753596048</v>
      </c>
      <c r="AB902" s="6">
        <f>$K$902*$V$902</f>
        <v>0</v>
      </c>
      <c r="AC902" s="6">
        <f>$M$902*$W$902</f>
        <v>87206.328519999995</v>
      </c>
      <c r="AD902" s="6">
        <f>$O$902*$X$902</f>
        <v>84899.614539999995</v>
      </c>
      <c r="AE902" s="6">
        <f>$K$902*$Y$902</f>
        <v>0</v>
      </c>
      <c r="AF902" s="6">
        <f ca="1">$M$902*$Z$902</f>
        <v>121997.55969901237</v>
      </c>
      <c r="AG902" s="6">
        <f>$O$902*$AA$902</f>
        <v>97646.954083002027</v>
      </c>
    </row>
    <row r="903" spans="1:33" ht="11.25" customHeight="1" x14ac:dyDescent="0.3">
      <c r="A903" s="4" t="s">
        <v>53</v>
      </c>
      <c r="B903" s="4" t="s">
        <v>44</v>
      </c>
      <c r="C903" s="4" t="s">
        <v>23</v>
      </c>
      <c r="D903" s="4" t="s">
        <v>45</v>
      </c>
      <c r="E903" s="4" t="s">
        <v>25</v>
      </c>
      <c r="F903" s="4" t="s">
        <v>25</v>
      </c>
      <c r="G903" s="4" t="s">
        <v>25</v>
      </c>
      <c r="H903" s="4" t="s">
        <v>25</v>
      </c>
      <c r="I903" s="5">
        <v>44835</v>
      </c>
      <c r="J903" s="6">
        <v>0</v>
      </c>
      <c r="K903" s="6">
        <v>0</v>
      </c>
      <c r="L903" s="6">
        <v>-1.2410000000000001</v>
      </c>
      <c r="M903" s="6">
        <v>-1.2410000000000001</v>
      </c>
      <c r="N903" s="6">
        <v>-1.2410000000000001</v>
      </c>
      <c r="O903" s="6">
        <v>-1.2410000000000001</v>
      </c>
      <c r="P903" s="6">
        <v>0</v>
      </c>
      <c r="Q903" s="4" t="s">
        <v>26</v>
      </c>
      <c r="R903" s="4">
        <v>0</v>
      </c>
      <c r="S903" s="6">
        <v>0</v>
      </c>
      <c r="T903" s="6">
        <v>47</v>
      </c>
      <c r="U903" s="6">
        <v>109</v>
      </c>
      <c r="V903" s="6">
        <f>IF(ISERROR(VLOOKUP($S$903,'TAR FIN'!$A$1:$O$113,15,0)),0,VLOOKUP($S$903,'TAR FIN'!$A$1:$O$113,15,0))</f>
        <v>0</v>
      </c>
      <c r="W903" s="6">
        <f>IF(ISERROR(VLOOKUP($T$903,'TAR FIN'!$A$1:$O$113,15,0)),0,VLOOKUP($T$903,'TAR FIN'!$A$1:$O$113,15,0))</f>
        <v>264.26</v>
      </c>
      <c r="X903" s="6">
        <f>IF(ISERROR(VLOOKUP($U$903,'TAR FIN'!$A$1:$O$113,15,0)),0,VLOOKUP($U$903,'TAR FIN'!$A$1:$O$113,15,0))</f>
        <v>257.27</v>
      </c>
      <c r="Y903" s="6"/>
      <c r="Z903" s="6">
        <f ca="1">('TUSD BE'!$AM$53+'TUSD BF'!$AM$53+'TUSD CVA'!$AM$53)*(1-CUSTOS!$M$38)</f>
        <v>369.68733431619313</v>
      </c>
      <c r="AA903" s="6">
        <f>('TE BE'!$AB$31+'TE BF'!$AB$31+'TE CVA'!$AB$31)*(1-CUSTOS!$M$38)</f>
        <v>295.89806753596048</v>
      </c>
      <c r="AB903" s="6">
        <f>$K$903*$V$903</f>
        <v>0</v>
      </c>
      <c r="AC903" s="6">
        <f>$M$903*$W$903</f>
        <v>-327.94666000000001</v>
      </c>
      <c r="AD903" s="6">
        <f>$O$903*$X$903</f>
        <v>-319.27206999999999</v>
      </c>
      <c r="AE903" s="6">
        <f>$K$903*$Y$903</f>
        <v>0</v>
      </c>
      <c r="AF903" s="6">
        <f ca="1">$M$903*$Z$903</f>
        <v>-458.78198188639573</v>
      </c>
      <c r="AG903" s="6">
        <f>$O$903*$AA$903</f>
        <v>-367.20950181212697</v>
      </c>
    </row>
    <row r="904" spans="1:33" ht="11.25" customHeight="1" x14ac:dyDescent="0.3">
      <c r="A904" s="4" t="s">
        <v>53</v>
      </c>
      <c r="B904" s="4" t="s">
        <v>44</v>
      </c>
      <c r="C904" s="4" t="s">
        <v>23</v>
      </c>
      <c r="D904" s="4" t="s">
        <v>45</v>
      </c>
      <c r="E904" s="4" t="s">
        <v>25</v>
      </c>
      <c r="F904" s="4" t="s">
        <v>25</v>
      </c>
      <c r="G904" s="4" t="s">
        <v>25</v>
      </c>
      <c r="H904" s="4" t="s">
        <v>25</v>
      </c>
      <c r="I904" s="5">
        <v>44835</v>
      </c>
      <c r="J904" s="6">
        <v>0</v>
      </c>
      <c r="K904" s="6">
        <v>0</v>
      </c>
      <c r="L904" s="6">
        <v>8.4589999999999996</v>
      </c>
      <c r="M904" s="6">
        <v>8.4589999999999996</v>
      </c>
      <c r="N904" s="6">
        <v>8.4589999999999996</v>
      </c>
      <c r="O904" s="6">
        <v>8.4589999999999996</v>
      </c>
      <c r="P904" s="6">
        <v>40</v>
      </c>
      <c r="Q904" s="4" t="s">
        <v>26</v>
      </c>
      <c r="R904" s="4">
        <v>0</v>
      </c>
      <c r="S904" s="6">
        <v>0</v>
      </c>
      <c r="T904" s="6">
        <v>47</v>
      </c>
      <c r="U904" s="6">
        <v>109</v>
      </c>
      <c r="V904" s="6">
        <f>IF(ISERROR(VLOOKUP($S$904,'TAR FIN'!$A$1:$O$113,15,0)),0,VLOOKUP($S$904,'TAR FIN'!$A$1:$O$113,15,0))</f>
        <v>0</v>
      </c>
      <c r="W904" s="6">
        <f>IF(ISERROR(VLOOKUP($T$904,'TAR FIN'!$A$1:$O$113,15,0)),0,VLOOKUP($T$904,'TAR FIN'!$A$1:$O$113,15,0))</f>
        <v>264.26</v>
      </c>
      <c r="X904" s="6">
        <f>IF(ISERROR(VLOOKUP($U$904,'TAR FIN'!$A$1:$O$113,15,0)),0,VLOOKUP($U$904,'TAR FIN'!$A$1:$O$113,15,0))</f>
        <v>257.27</v>
      </c>
      <c r="Y904" s="6"/>
      <c r="Z904" s="6">
        <f ca="1">('TUSD BE'!$AM$53+'TUSD BF'!$AM$53+'TUSD CVA'!$AM$53)*(1-CUSTOS!$M$38)</f>
        <v>369.68733431619313</v>
      </c>
      <c r="AA904" s="6">
        <f>('TE BE'!$AB$31+'TE BF'!$AB$31+'TE CVA'!$AB$31)*(1-CUSTOS!$M$38)</f>
        <v>295.89806753596048</v>
      </c>
      <c r="AB904" s="6">
        <f>$K$904*$V$904</f>
        <v>0</v>
      </c>
      <c r="AC904" s="6">
        <f>$M$904*$W$904</f>
        <v>2235.3753400000001</v>
      </c>
      <c r="AD904" s="6">
        <f>$O$904*$X$904</f>
        <v>2176.2469299999998</v>
      </c>
      <c r="AE904" s="6">
        <f>$K$904*$Y$904</f>
        <v>0</v>
      </c>
      <c r="AF904" s="6">
        <f ca="1">$M$904*$Z$904</f>
        <v>3127.1851609806777</v>
      </c>
      <c r="AG904" s="6">
        <f>$O$904*$AA$904</f>
        <v>2503.0017532866896</v>
      </c>
    </row>
    <row r="905" spans="1:33" ht="11.25" customHeight="1" x14ac:dyDescent="0.3">
      <c r="A905" s="4" t="s">
        <v>21</v>
      </c>
      <c r="B905" s="4" t="s">
        <v>37</v>
      </c>
      <c r="C905" s="4" t="s">
        <v>33</v>
      </c>
      <c r="D905" s="4" t="s">
        <v>42</v>
      </c>
      <c r="E905" s="4" t="s">
        <v>25</v>
      </c>
      <c r="F905" s="4" t="s">
        <v>25</v>
      </c>
      <c r="G905" s="4" t="s">
        <v>25</v>
      </c>
      <c r="H905" s="4" t="s">
        <v>35</v>
      </c>
      <c r="I905" s="5">
        <v>44501</v>
      </c>
      <c r="J905" s="6">
        <v>0</v>
      </c>
      <c r="K905" s="6">
        <v>0</v>
      </c>
      <c r="L905" s="6">
        <v>23.803999999999998</v>
      </c>
      <c r="M905" s="6">
        <v>23.803999999999998</v>
      </c>
      <c r="N905" s="6">
        <v>23.803999999999998</v>
      </c>
      <c r="O905" s="6">
        <v>23.803999999999998</v>
      </c>
      <c r="P905" s="6">
        <v>0</v>
      </c>
      <c r="Q905" s="4" t="s">
        <v>26</v>
      </c>
      <c r="R905" s="4">
        <v>0</v>
      </c>
      <c r="S905" s="6">
        <v>0</v>
      </c>
      <c r="T905" s="6">
        <v>69</v>
      </c>
      <c r="U905" s="6">
        <v>105</v>
      </c>
      <c r="V905" s="6">
        <f>IF(ISERROR(VLOOKUP($S$905,'TAR FIN'!$A$1:$O$113,15,0)),0,VLOOKUP($S$905,'TAR FIN'!$A$1:$O$113,15,0))</f>
        <v>0</v>
      </c>
      <c r="W905" s="6">
        <f>IF(ISERROR(VLOOKUP($T$905,'TAR FIN'!$A$1:$O$113,15,0)),0,VLOOKUP($T$905,'TAR FIN'!$A$1:$O$113,15,0))</f>
        <v>234.07</v>
      </c>
      <c r="X905" s="6">
        <f>IF(ISERROR(VLOOKUP($U$905,'TAR FIN'!$A$1:$O$113,15,0)),0,VLOOKUP($U$905,'TAR FIN'!$A$1:$O$113,15,0))</f>
        <v>278.67</v>
      </c>
      <c r="Y905" s="6"/>
      <c r="Z905" s="6">
        <f ca="1">('TUSD BE'!$AM$67+'TUSD BF'!$AM$67+'TUSD CVA'!$AM$67)*1</f>
        <v>317.35598308036384</v>
      </c>
      <c r="AA905" s="6">
        <f>('TE BE'!$AB$45+'TE BF'!$AB$45+'TE CVA'!$AB$45)*1</f>
        <v>299.18055042718134</v>
      </c>
      <c r="AB905" s="6">
        <f>$K$905*$V$905</f>
        <v>0</v>
      </c>
      <c r="AC905" s="6">
        <f>$M$905*$W$905</f>
        <v>5571.8022799999999</v>
      </c>
      <c r="AD905" s="6">
        <f>$O$905*$X$905</f>
        <v>6633.4606800000001</v>
      </c>
      <c r="AE905" s="6">
        <f>$K$905*$Y$905</f>
        <v>0</v>
      </c>
      <c r="AF905" s="6">
        <f ca="1">$M$905*$Z$905</f>
        <v>7554.3418212449806</v>
      </c>
      <c r="AG905" s="6">
        <f>$O$905*$AA$905</f>
        <v>7121.6938223686238</v>
      </c>
    </row>
    <row r="906" spans="1:33" ht="11.25" customHeight="1" x14ac:dyDescent="0.3">
      <c r="A906" s="4" t="s">
        <v>28</v>
      </c>
      <c r="B906" s="4" t="s">
        <v>37</v>
      </c>
      <c r="C906" s="4" t="s">
        <v>33</v>
      </c>
      <c r="D906" s="4" t="s">
        <v>42</v>
      </c>
      <c r="E906" s="4" t="s">
        <v>25</v>
      </c>
      <c r="F906" s="4" t="s">
        <v>25</v>
      </c>
      <c r="G906" s="4" t="s">
        <v>25</v>
      </c>
      <c r="H906" s="4" t="s">
        <v>35</v>
      </c>
      <c r="I906" s="5">
        <v>44501</v>
      </c>
      <c r="J906" s="6">
        <v>0</v>
      </c>
      <c r="K906" s="6">
        <v>0</v>
      </c>
      <c r="L906" s="6">
        <v>7.1970000000000001</v>
      </c>
      <c r="M906" s="6">
        <v>7.1970000000000001</v>
      </c>
      <c r="N906" s="6">
        <v>7.1970000000000001</v>
      </c>
      <c r="O906" s="6">
        <v>7.1970000000000001</v>
      </c>
      <c r="P906" s="6">
        <v>0</v>
      </c>
      <c r="Q906" s="4" t="s">
        <v>26</v>
      </c>
      <c r="R906" s="4">
        <v>0</v>
      </c>
      <c r="S906" s="6">
        <v>0</v>
      </c>
      <c r="T906" s="6">
        <v>69</v>
      </c>
      <c r="U906" s="6">
        <v>105</v>
      </c>
      <c r="V906" s="6">
        <f>IF(ISERROR(VLOOKUP($S$906,'TAR FIN'!$A$1:$O$113,15,0)),0,VLOOKUP($S$906,'TAR FIN'!$A$1:$O$113,15,0))</f>
        <v>0</v>
      </c>
      <c r="W906" s="6">
        <f>IF(ISERROR(VLOOKUP($T$906,'TAR FIN'!$A$1:$O$113,15,0)),0,VLOOKUP($T$906,'TAR FIN'!$A$1:$O$113,15,0))</f>
        <v>234.07</v>
      </c>
      <c r="X906" s="6">
        <f>IF(ISERROR(VLOOKUP($U$906,'TAR FIN'!$A$1:$O$113,15,0)),0,VLOOKUP($U$906,'TAR FIN'!$A$1:$O$113,15,0))</f>
        <v>278.67</v>
      </c>
      <c r="Y906" s="6"/>
      <c r="Z906" s="6">
        <f ca="1">('TUSD BE'!$AM$67+'TUSD BF'!$AM$67+'TUSD CVA'!$AM$67)*1</f>
        <v>317.35598308036384</v>
      </c>
      <c r="AA906" s="6">
        <f>('TE BE'!$AB$45+'TE BF'!$AB$45+'TE CVA'!$AB$45)*1</f>
        <v>299.18055042718134</v>
      </c>
      <c r="AB906" s="6">
        <f>$K$906*$V$906</f>
        <v>0</v>
      </c>
      <c r="AC906" s="6">
        <f>$M$906*$W$906</f>
        <v>1684.6017899999999</v>
      </c>
      <c r="AD906" s="6">
        <f>$O$906*$X$906</f>
        <v>2005.5879900000002</v>
      </c>
      <c r="AE906" s="6">
        <f>$K$906*$Y$906</f>
        <v>0</v>
      </c>
      <c r="AF906" s="6">
        <f ca="1">$M$906*$Z$906</f>
        <v>2284.0110102293784</v>
      </c>
      <c r="AG906" s="6">
        <f>$O$906*$AA$906</f>
        <v>2153.2024214244243</v>
      </c>
    </row>
    <row r="907" spans="1:33" ht="11.25" customHeight="1" x14ac:dyDescent="0.3">
      <c r="A907" s="4" t="s">
        <v>21</v>
      </c>
      <c r="B907" s="4" t="s">
        <v>37</v>
      </c>
      <c r="C907" s="4" t="s">
        <v>33</v>
      </c>
      <c r="D907" s="4" t="s">
        <v>42</v>
      </c>
      <c r="E907" s="4" t="s">
        <v>25</v>
      </c>
      <c r="F907" s="4" t="s">
        <v>25</v>
      </c>
      <c r="G907" s="4" t="s">
        <v>25</v>
      </c>
      <c r="H907" s="4" t="s">
        <v>35</v>
      </c>
      <c r="I907" s="5">
        <v>44531</v>
      </c>
      <c r="J907" s="6">
        <v>0</v>
      </c>
      <c r="K907" s="6">
        <v>0</v>
      </c>
      <c r="L907" s="6">
        <v>23.663</v>
      </c>
      <c r="M907" s="6">
        <v>23.663</v>
      </c>
      <c r="N907" s="6">
        <v>23.663</v>
      </c>
      <c r="O907" s="6">
        <v>23.663</v>
      </c>
      <c r="P907" s="6">
        <v>0</v>
      </c>
      <c r="Q907" s="4" t="s">
        <v>26</v>
      </c>
      <c r="R907" s="4">
        <v>0</v>
      </c>
      <c r="S907" s="6">
        <v>0</v>
      </c>
      <c r="T907" s="6">
        <v>69</v>
      </c>
      <c r="U907" s="6">
        <v>105</v>
      </c>
      <c r="V907" s="6">
        <f>IF(ISERROR(VLOOKUP($S$907,'TAR FIN'!$A$1:$O$113,15,0)),0,VLOOKUP($S$907,'TAR FIN'!$A$1:$O$113,15,0))</f>
        <v>0</v>
      </c>
      <c r="W907" s="6">
        <f>IF(ISERROR(VLOOKUP($T$907,'TAR FIN'!$A$1:$O$113,15,0)),0,VLOOKUP($T$907,'TAR FIN'!$A$1:$O$113,15,0))</f>
        <v>234.07</v>
      </c>
      <c r="X907" s="6">
        <f>IF(ISERROR(VLOOKUP($U$907,'TAR FIN'!$A$1:$O$113,15,0)),0,VLOOKUP($U$907,'TAR FIN'!$A$1:$O$113,15,0))</f>
        <v>278.67</v>
      </c>
      <c r="Y907" s="6"/>
      <c r="Z907" s="6">
        <f ca="1">('TUSD BE'!$AM$67+'TUSD BF'!$AM$67+'TUSD CVA'!$AM$67)*1</f>
        <v>317.35598308036384</v>
      </c>
      <c r="AA907" s="6">
        <f>('TE BE'!$AB$45+'TE BF'!$AB$45+'TE CVA'!$AB$45)*1</f>
        <v>299.18055042718134</v>
      </c>
      <c r="AB907" s="6">
        <f>$K$907*$V$907</f>
        <v>0</v>
      </c>
      <c r="AC907" s="6">
        <f>$M$907*$W$907</f>
        <v>5538.7984100000003</v>
      </c>
      <c r="AD907" s="6">
        <f>$O$907*$X$907</f>
        <v>6594.1682100000007</v>
      </c>
      <c r="AE907" s="6">
        <f>$K$907*$Y$907</f>
        <v>0</v>
      </c>
      <c r="AF907" s="6">
        <f ca="1">$M$907*$Z$907</f>
        <v>7509.5946276306495</v>
      </c>
      <c r="AG907" s="6">
        <f>$O$907*$AA$907</f>
        <v>7079.5093647583926</v>
      </c>
    </row>
    <row r="908" spans="1:33" ht="11.25" customHeight="1" x14ac:dyDescent="0.3">
      <c r="A908" s="4" t="s">
        <v>28</v>
      </c>
      <c r="B908" s="4" t="s">
        <v>37</v>
      </c>
      <c r="C908" s="4" t="s">
        <v>33</v>
      </c>
      <c r="D908" s="4" t="s">
        <v>42</v>
      </c>
      <c r="E908" s="4" t="s">
        <v>25</v>
      </c>
      <c r="F908" s="4" t="s">
        <v>25</v>
      </c>
      <c r="G908" s="4" t="s">
        <v>25</v>
      </c>
      <c r="H908" s="4" t="s">
        <v>35</v>
      </c>
      <c r="I908" s="5">
        <v>44531</v>
      </c>
      <c r="J908" s="6">
        <v>0</v>
      </c>
      <c r="K908" s="6">
        <v>0</v>
      </c>
      <c r="L908" s="6">
        <v>6.6520000000000001</v>
      </c>
      <c r="M908" s="6">
        <v>6.6520000000000001</v>
      </c>
      <c r="N908" s="6">
        <v>6.6520000000000001</v>
      </c>
      <c r="O908" s="6">
        <v>6.6520000000000001</v>
      </c>
      <c r="P908" s="6">
        <v>0</v>
      </c>
      <c r="Q908" s="4" t="s">
        <v>26</v>
      </c>
      <c r="R908" s="4">
        <v>0</v>
      </c>
      <c r="S908" s="6">
        <v>0</v>
      </c>
      <c r="T908" s="6">
        <v>69</v>
      </c>
      <c r="U908" s="6">
        <v>105</v>
      </c>
      <c r="V908" s="6">
        <f>IF(ISERROR(VLOOKUP($S$908,'TAR FIN'!$A$1:$O$113,15,0)),0,VLOOKUP($S$908,'TAR FIN'!$A$1:$O$113,15,0))</f>
        <v>0</v>
      </c>
      <c r="W908" s="6">
        <f>IF(ISERROR(VLOOKUP($T$908,'TAR FIN'!$A$1:$O$113,15,0)),0,VLOOKUP($T$908,'TAR FIN'!$A$1:$O$113,15,0))</f>
        <v>234.07</v>
      </c>
      <c r="X908" s="6">
        <f>IF(ISERROR(VLOOKUP($U$908,'TAR FIN'!$A$1:$O$113,15,0)),0,VLOOKUP($U$908,'TAR FIN'!$A$1:$O$113,15,0))</f>
        <v>278.67</v>
      </c>
      <c r="Y908" s="6"/>
      <c r="Z908" s="6">
        <f ca="1">('TUSD BE'!$AM$67+'TUSD BF'!$AM$67+'TUSD CVA'!$AM$67)*1</f>
        <v>317.35598308036384</v>
      </c>
      <c r="AA908" s="6">
        <f>('TE BE'!$AB$45+'TE BF'!$AB$45+'TE CVA'!$AB$45)*1</f>
        <v>299.18055042718134</v>
      </c>
      <c r="AB908" s="6">
        <f>$K$908*$V$908</f>
        <v>0</v>
      </c>
      <c r="AC908" s="6">
        <f>$M$908*$W$908</f>
        <v>1557.0336399999999</v>
      </c>
      <c r="AD908" s="6">
        <f>$O$908*$X$908</f>
        <v>1853.7128400000001</v>
      </c>
      <c r="AE908" s="6">
        <f>$K$908*$Y$908</f>
        <v>0</v>
      </c>
      <c r="AF908" s="6">
        <f ca="1">$M$908*$Z$908</f>
        <v>2111.0519994505803</v>
      </c>
      <c r="AG908" s="6">
        <f>$O$908*$AA$908</f>
        <v>1990.1490214416103</v>
      </c>
    </row>
    <row r="909" spans="1:33" ht="11.25" customHeight="1" x14ac:dyDescent="0.3">
      <c r="A909" s="4" t="s">
        <v>21</v>
      </c>
      <c r="B909" s="4" t="s">
        <v>37</v>
      </c>
      <c r="C909" s="4" t="s">
        <v>33</v>
      </c>
      <c r="D909" s="4" t="s">
        <v>42</v>
      </c>
      <c r="E909" s="4" t="s">
        <v>25</v>
      </c>
      <c r="F909" s="4" t="s">
        <v>25</v>
      </c>
      <c r="G909" s="4" t="s">
        <v>25</v>
      </c>
      <c r="H909" s="4" t="s">
        <v>35</v>
      </c>
      <c r="I909" s="5">
        <v>44562</v>
      </c>
      <c r="J909" s="6">
        <v>0</v>
      </c>
      <c r="K909" s="6">
        <v>0</v>
      </c>
      <c r="L909" s="6">
        <v>23.891999999999999</v>
      </c>
      <c r="M909" s="6">
        <v>23.891999999999999</v>
      </c>
      <c r="N909" s="6">
        <v>23.891999999999999</v>
      </c>
      <c r="O909" s="6">
        <v>23.891999999999999</v>
      </c>
      <c r="P909" s="6">
        <v>0</v>
      </c>
      <c r="Q909" s="4" t="s">
        <v>26</v>
      </c>
      <c r="R909" s="4">
        <v>0</v>
      </c>
      <c r="S909" s="6">
        <v>0</v>
      </c>
      <c r="T909" s="6">
        <v>69</v>
      </c>
      <c r="U909" s="6">
        <v>105</v>
      </c>
      <c r="V909" s="6">
        <f>IF(ISERROR(VLOOKUP($S$909,'TAR FIN'!$A$1:$O$113,15,0)),0,VLOOKUP($S$909,'TAR FIN'!$A$1:$O$113,15,0))</f>
        <v>0</v>
      </c>
      <c r="W909" s="6">
        <f>IF(ISERROR(VLOOKUP($T$909,'TAR FIN'!$A$1:$O$113,15,0)),0,VLOOKUP($T$909,'TAR FIN'!$A$1:$O$113,15,0))</f>
        <v>234.07</v>
      </c>
      <c r="X909" s="6">
        <f>IF(ISERROR(VLOOKUP($U$909,'TAR FIN'!$A$1:$O$113,15,0)),0,VLOOKUP($U$909,'TAR FIN'!$A$1:$O$113,15,0))</f>
        <v>278.67</v>
      </c>
      <c r="Y909" s="6"/>
      <c r="Z909" s="6">
        <f ca="1">('TUSD BE'!$AM$67+'TUSD BF'!$AM$67+'TUSD CVA'!$AM$67)*1</f>
        <v>317.35598308036384</v>
      </c>
      <c r="AA909" s="6">
        <f>('TE BE'!$AB$45+'TE BF'!$AB$45+'TE CVA'!$AB$45)*1</f>
        <v>299.18055042718134</v>
      </c>
      <c r="AB909" s="6">
        <f>$K$909*$V$909</f>
        <v>0</v>
      </c>
      <c r="AC909" s="6">
        <f>$M$909*$W$909</f>
        <v>5592.4004399999994</v>
      </c>
      <c r="AD909" s="6">
        <f>$O$909*$X$909</f>
        <v>6657.9836400000004</v>
      </c>
      <c r="AE909" s="6">
        <f>$K$909*$Y$909</f>
        <v>0</v>
      </c>
      <c r="AF909" s="6">
        <f ca="1">$M$909*$Z$909</f>
        <v>7582.2691477560529</v>
      </c>
      <c r="AG909" s="6">
        <f>$O$909*$AA$909</f>
        <v>7148.0217108062161</v>
      </c>
    </row>
    <row r="910" spans="1:33" ht="11.25" customHeight="1" x14ac:dyDescent="0.3">
      <c r="A910" s="4" t="s">
        <v>28</v>
      </c>
      <c r="B910" s="4" t="s">
        <v>37</v>
      </c>
      <c r="C910" s="4" t="s">
        <v>33</v>
      </c>
      <c r="D910" s="4" t="s">
        <v>42</v>
      </c>
      <c r="E910" s="4" t="s">
        <v>25</v>
      </c>
      <c r="F910" s="4" t="s">
        <v>25</v>
      </c>
      <c r="G910" s="4" t="s">
        <v>25</v>
      </c>
      <c r="H910" s="4" t="s">
        <v>35</v>
      </c>
      <c r="I910" s="5">
        <v>44562</v>
      </c>
      <c r="J910" s="6">
        <v>0</v>
      </c>
      <c r="K910" s="6">
        <v>0</v>
      </c>
      <c r="L910" s="6">
        <v>8.4640000000000004</v>
      </c>
      <c r="M910" s="6">
        <v>8.4640000000000004</v>
      </c>
      <c r="N910" s="6">
        <v>8.4640000000000004</v>
      </c>
      <c r="O910" s="6">
        <v>8.4640000000000004</v>
      </c>
      <c r="P910" s="6">
        <v>0</v>
      </c>
      <c r="Q910" s="4" t="s">
        <v>26</v>
      </c>
      <c r="R910" s="4">
        <v>0</v>
      </c>
      <c r="S910" s="6">
        <v>0</v>
      </c>
      <c r="T910" s="6">
        <v>69</v>
      </c>
      <c r="U910" s="6">
        <v>105</v>
      </c>
      <c r="V910" s="6">
        <f>IF(ISERROR(VLOOKUP($S$910,'TAR FIN'!$A$1:$O$113,15,0)),0,VLOOKUP($S$910,'TAR FIN'!$A$1:$O$113,15,0))</f>
        <v>0</v>
      </c>
      <c r="W910" s="6">
        <f>IF(ISERROR(VLOOKUP($T$910,'TAR FIN'!$A$1:$O$113,15,0)),0,VLOOKUP($T$910,'TAR FIN'!$A$1:$O$113,15,0))</f>
        <v>234.07</v>
      </c>
      <c r="X910" s="6">
        <f>IF(ISERROR(VLOOKUP($U$910,'TAR FIN'!$A$1:$O$113,15,0)),0,VLOOKUP($U$910,'TAR FIN'!$A$1:$O$113,15,0))</f>
        <v>278.67</v>
      </c>
      <c r="Y910" s="6"/>
      <c r="Z910" s="6">
        <f ca="1">('TUSD BE'!$AM$67+'TUSD BF'!$AM$67+'TUSD CVA'!$AM$67)*1</f>
        <v>317.35598308036384</v>
      </c>
      <c r="AA910" s="6">
        <f>('TE BE'!$AB$45+'TE BF'!$AB$45+'TE CVA'!$AB$45)*1</f>
        <v>299.18055042718134</v>
      </c>
      <c r="AB910" s="6">
        <f>$K$910*$V$910</f>
        <v>0</v>
      </c>
      <c r="AC910" s="6">
        <f>$M$910*$W$910</f>
        <v>1981.16848</v>
      </c>
      <c r="AD910" s="6">
        <f>$O$910*$X$910</f>
        <v>2358.6628800000003</v>
      </c>
      <c r="AE910" s="6">
        <f>$K$910*$Y$910</f>
        <v>0</v>
      </c>
      <c r="AF910" s="6">
        <f ca="1">$M$910*$Z$910</f>
        <v>2686.1010407921999</v>
      </c>
      <c r="AG910" s="6">
        <f>$O$910*$AA$910</f>
        <v>2532.2641788156629</v>
      </c>
    </row>
    <row r="911" spans="1:33" ht="11.25" customHeight="1" x14ac:dyDescent="0.3">
      <c r="A911" s="4" t="s">
        <v>21</v>
      </c>
      <c r="B911" s="4" t="s">
        <v>37</v>
      </c>
      <c r="C911" s="4" t="s">
        <v>33</v>
      </c>
      <c r="D911" s="4" t="s">
        <v>42</v>
      </c>
      <c r="E911" s="4" t="s">
        <v>25</v>
      </c>
      <c r="F911" s="4" t="s">
        <v>25</v>
      </c>
      <c r="G911" s="4" t="s">
        <v>25</v>
      </c>
      <c r="H911" s="4" t="s">
        <v>35</v>
      </c>
      <c r="I911" s="5">
        <v>44593</v>
      </c>
      <c r="J911" s="6">
        <v>0</v>
      </c>
      <c r="K911" s="6">
        <v>0</v>
      </c>
      <c r="L911" s="6">
        <v>29.81</v>
      </c>
      <c r="M911" s="6">
        <v>29.81</v>
      </c>
      <c r="N911" s="6">
        <v>29.81</v>
      </c>
      <c r="O911" s="6">
        <v>29.81</v>
      </c>
      <c r="P911" s="6">
        <v>0</v>
      </c>
      <c r="Q911" s="4" t="s">
        <v>26</v>
      </c>
      <c r="R911" s="4">
        <v>0</v>
      </c>
      <c r="S911" s="6">
        <v>0</v>
      </c>
      <c r="T911" s="6">
        <v>69</v>
      </c>
      <c r="U911" s="6">
        <v>105</v>
      </c>
      <c r="V911" s="6">
        <f>IF(ISERROR(VLOOKUP($S$911,'TAR FIN'!$A$1:$O$113,15,0)),0,VLOOKUP($S$911,'TAR FIN'!$A$1:$O$113,15,0))</f>
        <v>0</v>
      </c>
      <c r="W911" s="6">
        <f>IF(ISERROR(VLOOKUP($T$911,'TAR FIN'!$A$1:$O$113,15,0)),0,VLOOKUP($T$911,'TAR FIN'!$A$1:$O$113,15,0))</f>
        <v>234.07</v>
      </c>
      <c r="X911" s="6">
        <f>IF(ISERROR(VLOOKUP($U$911,'TAR FIN'!$A$1:$O$113,15,0)),0,VLOOKUP($U$911,'TAR FIN'!$A$1:$O$113,15,0))</f>
        <v>278.67</v>
      </c>
      <c r="Y911" s="6"/>
      <c r="Z911" s="6">
        <f ca="1">('TUSD BE'!$AM$67+'TUSD BF'!$AM$67+'TUSD CVA'!$AM$67)*1</f>
        <v>317.35598308036384</v>
      </c>
      <c r="AA911" s="6">
        <f>('TE BE'!$AB$45+'TE BF'!$AB$45+'TE CVA'!$AB$45)*1</f>
        <v>299.18055042718134</v>
      </c>
      <c r="AB911" s="6">
        <f>$K$911*$V$911</f>
        <v>0</v>
      </c>
      <c r="AC911" s="6">
        <f>$M$911*$W$911</f>
        <v>6977.6266999999998</v>
      </c>
      <c r="AD911" s="6">
        <f>$O$911*$X$911</f>
        <v>8307.1527000000006</v>
      </c>
      <c r="AE911" s="6">
        <f>$K$911*$Y$911</f>
        <v>0</v>
      </c>
      <c r="AF911" s="6">
        <f ca="1">$M$911*$Z$911</f>
        <v>9460.3818556256465</v>
      </c>
      <c r="AG911" s="6">
        <f>$O$911*$AA$911</f>
        <v>8918.5722082342763</v>
      </c>
    </row>
    <row r="912" spans="1:33" ht="11.25" customHeight="1" x14ac:dyDescent="0.3">
      <c r="A912" s="4" t="s">
        <v>28</v>
      </c>
      <c r="B912" s="4" t="s">
        <v>37</v>
      </c>
      <c r="C912" s="4" t="s">
        <v>33</v>
      </c>
      <c r="D912" s="4" t="s">
        <v>42</v>
      </c>
      <c r="E912" s="4" t="s">
        <v>25</v>
      </c>
      <c r="F912" s="4" t="s">
        <v>25</v>
      </c>
      <c r="G912" s="4" t="s">
        <v>25</v>
      </c>
      <c r="H912" s="4" t="s">
        <v>35</v>
      </c>
      <c r="I912" s="5">
        <v>44593</v>
      </c>
      <c r="J912" s="6">
        <v>0</v>
      </c>
      <c r="K912" s="6">
        <v>0</v>
      </c>
      <c r="L912" s="6">
        <v>5.8000000000000003E-2</v>
      </c>
      <c r="M912" s="6">
        <v>5.8000000000000003E-2</v>
      </c>
      <c r="N912" s="6">
        <v>5.8000000000000003E-2</v>
      </c>
      <c r="O912" s="6">
        <v>5.8000000000000003E-2</v>
      </c>
      <c r="P912" s="6">
        <v>0</v>
      </c>
      <c r="Q912" s="4" t="s">
        <v>26</v>
      </c>
      <c r="R912" s="4">
        <v>0</v>
      </c>
      <c r="S912" s="6">
        <v>0</v>
      </c>
      <c r="T912" s="6">
        <v>69</v>
      </c>
      <c r="U912" s="6">
        <v>105</v>
      </c>
      <c r="V912" s="6">
        <f>IF(ISERROR(VLOOKUP($S$912,'TAR FIN'!$A$1:$O$113,15,0)),0,VLOOKUP($S$912,'TAR FIN'!$A$1:$O$113,15,0))</f>
        <v>0</v>
      </c>
      <c r="W912" s="6">
        <f>IF(ISERROR(VLOOKUP($T$912,'TAR FIN'!$A$1:$O$113,15,0)),0,VLOOKUP($T$912,'TAR FIN'!$A$1:$O$113,15,0))</f>
        <v>234.07</v>
      </c>
      <c r="X912" s="6">
        <f>IF(ISERROR(VLOOKUP($U$912,'TAR FIN'!$A$1:$O$113,15,0)),0,VLOOKUP($U$912,'TAR FIN'!$A$1:$O$113,15,0))</f>
        <v>278.67</v>
      </c>
      <c r="Y912" s="6"/>
      <c r="Z912" s="6">
        <f ca="1">('TUSD BE'!$AM$67+'TUSD BF'!$AM$67+'TUSD CVA'!$AM$67)*1</f>
        <v>317.35598308036384</v>
      </c>
      <c r="AA912" s="6">
        <f>('TE BE'!$AB$45+'TE BF'!$AB$45+'TE CVA'!$AB$45)*1</f>
        <v>299.18055042718134</v>
      </c>
      <c r="AB912" s="6">
        <f>$K$912*$V$912</f>
        <v>0</v>
      </c>
      <c r="AC912" s="6">
        <f>$M$912*$W$912</f>
        <v>13.57606</v>
      </c>
      <c r="AD912" s="6">
        <f>$O$912*$X$912</f>
        <v>16.162860000000002</v>
      </c>
      <c r="AE912" s="6">
        <f>$K$912*$Y$912</f>
        <v>0</v>
      </c>
      <c r="AF912" s="6">
        <f ca="1">$M$912*$Z$912</f>
        <v>18.406647018661104</v>
      </c>
      <c r="AG912" s="6">
        <f>$O$912*$AA$912</f>
        <v>17.35247192477652</v>
      </c>
    </row>
    <row r="913" spans="1:33" ht="11.25" customHeight="1" x14ac:dyDescent="0.3">
      <c r="A913" s="4" t="s">
        <v>21</v>
      </c>
      <c r="B913" s="4" t="s">
        <v>37</v>
      </c>
      <c r="C913" s="4" t="s">
        <v>33</v>
      </c>
      <c r="D913" s="4" t="s">
        <v>42</v>
      </c>
      <c r="E913" s="4" t="s">
        <v>25</v>
      </c>
      <c r="F913" s="4" t="s">
        <v>25</v>
      </c>
      <c r="G913" s="4" t="s">
        <v>25</v>
      </c>
      <c r="H913" s="4" t="s">
        <v>35</v>
      </c>
      <c r="I913" s="5">
        <v>44621</v>
      </c>
      <c r="J913" s="6">
        <v>0</v>
      </c>
      <c r="K913" s="6">
        <v>0</v>
      </c>
      <c r="L913" s="6">
        <v>24.454000000000001</v>
      </c>
      <c r="M913" s="6">
        <v>24.454000000000001</v>
      </c>
      <c r="N913" s="6">
        <v>24.454000000000001</v>
      </c>
      <c r="O913" s="6">
        <v>24.454000000000001</v>
      </c>
      <c r="P913" s="6">
        <v>0</v>
      </c>
      <c r="Q913" s="4" t="s">
        <v>26</v>
      </c>
      <c r="R913" s="4">
        <v>0</v>
      </c>
      <c r="S913" s="6">
        <v>0</v>
      </c>
      <c r="T913" s="6">
        <v>69</v>
      </c>
      <c r="U913" s="6">
        <v>105</v>
      </c>
      <c r="V913" s="6">
        <f>IF(ISERROR(VLOOKUP($S$913,'TAR FIN'!$A$1:$O$113,15,0)),0,VLOOKUP($S$913,'TAR FIN'!$A$1:$O$113,15,0))</f>
        <v>0</v>
      </c>
      <c r="W913" s="6">
        <f>IF(ISERROR(VLOOKUP($T$913,'TAR FIN'!$A$1:$O$113,15,0)),0,VLOOKUP($T$913,'TAR FIN'!$A$1:$O$113,15,0))</f>
        <v>234.07</v>
      </c>
      <c r="X913" s="6">
        <f>IF(ISERROR(VLOOKUP($U$913,'TAR FIN'!$A$1:$O$113,15,0)),0,VLOOKUP($U$913,'TAR FIN'!$A$1:$O$113,15,0))</f>
        <v>278.67</v>
      </c>
      <c r="Y913" s="6"/>
      <c r="Z913" s="6">
        <f ca="1">('TUSD BE'!$AM$67+'TUSD BF'!$AM$67+'TUSD CVA'!$AM$67)*1</f>
        <v>317.35598308036384</v>
      </c>
      <c r="AA913" s="6">
        <f>('TE BE'!$AB$45+'TE BF'!$AB$45+'TE CVA'!$AB$45)*1</f>
        <v>299.18055042718134</v>
      </c>
      <c r="AB913" s="6">
        <f>$K$913*$V$913</f>
        <v>0</v>
      </c>
      <c r="AC913" s="6">
        <f>$M$913*$W$913</f>
        <v>5723.9477800000004</v>
      </c>
      <c r="AD913" s="6">
        <f>$O$913*$X$913</f>
        <v>6814.5961800000005</v>
      </c>
      <c r="AE913" s="6">
        <f>$K$913*$Y$913</f>
        <v>0</v>
      </c>
      <c r="AF913" s="6">
        <f ca="1">$M$913*$Z$913</f>
        <v>7760.6232102472177</v>
      </c>
      <c r="AG913" s="6">
        <f>$O$913*$AA$913</f>
        <v>7316.1611801462932</v>
      </c>
    </row>
    <row r="914" spans="1:33" ht="11.25" customHeight="1" x14ac:dyDescent="0.3">
      <c r="A914" s="4" t="s">
        <v>28</v>
      </c>
      <c r="B914" s="4" t="s">
        <v>37</v>
      </c>
      <c r="C914" s="4" t="s">
        <v>33</v>
      </c>
      <c r="D914" s="4" t="s">
        <v>42</v>
      </c>
      <c r="E914" s="4" t="s">
        <v>25</v>
      </c>
      <c r="F914" s="4" t="s">
        <v>25</v>
      </c>
      <c r="G914" s="4" t="s">
        <v>25</v>
      </c>
      <c r="H914" s="4" t="s">
        <v>35</v>
      </c>
      <c r="I914" s="5">
        <v>44621</v>
      </c>
      <c r="J914" s="6">
        <v>0</v>
      </c>
      <c r="K914" s="6">
        <v>0</v>
      </c>
      <c r="L914" s="6">
        <v>6.7770000000000001</v>
      </c>
      <c r="M914" s="6">
        <v>6.7770000000000001</v>
      </c>
      <c r="N914" s="6">
        <v>6.7770000000000001</v>
      </c>
      <c r="O914" s="6">
        <v>6.7770000000000001</v>
      </c>
      <c r="P914" s="6">
        <v>0</v>
      </c>
      <c r="Q914" s="4" t="s">
        <v>26</v>
      </c>
      <c r="R914" s="4">
        <v>0</v>
      </c>
      <c r="S914" s="6">
        <v>0</v>
      </c>
      <c r="T914" s="6">
        <v>69</v>
      </c>
      <c r="U914" s="6">
        <v>105</v>
      </c>
      <c r="V914" s="6">
        <f>IF(ISERROR(VLOOKUP($S$914,'TAR FIN'!$A$1:$O$113,15,0)),0,VLOOKUP($S$914,'TAR FIN'!$A$1:$O$113,15,0))</f>
        <v>0</v>
      </c>
      <c r="W914" s="6">
        <f>IF(ISERROR(VLOOKUP($T$914,'TAR FIN'!$A$1:$O$113,15,0)),0,VLOOKUP($T$914,'TAR FIN'!$A$1:$O$113,15,0))</f>
        <v>234.07</v>
      </c>
      <c r="X914" s="6">
        <f>IF(ISERROR(VLOOKUP($U$914,'TAR FIN'!$A$1:$O$113,15,0)),0,VLOOKUP($U$914,'TAR FIN'!$A$1:$O$113,15,0))</f>
        <v>278.67</v>
      </c>
      <c r="Y914" s="6"/>
      <c r="Z914" s="6">
        <f ca="1">('TUSD BE'!$AM$67+'TUSD BF'!$AM$67+'TUSD CVA'!$AM$67)*1</f>
        <v>317.35598308036384</v>
      </c>
      <c r="AA914" s="6">
        <f>('TE BE'!$AB$45+'TE BF'!$AB$45+'TE CVA'!$AB$45)*1</f>
        <v>299.18055042718134</v>
      </c>
      <c r="AB914" s="6">
        <f>$K$914*$V$914</f>
        <v>0</v>
      </c>
      <c r="AC914" s="6">
        <f>$M$914*$W$914</f>
        <v>1586.2923900000001</v>
      </c>
      <c r="AD914" s="6">
        <f>$O$914*$X$914</f>
        <v>1888.5465900000002</v>
      </c>
      <c r="AE914" s="6">
        <f>$K$914*$Y$914</f>
        <v>0</v>
      </c>
      <c r="AF914" s="6">
        <f ca="1">$M$914*$Z$914</f>
        <v>2150.7214973356258</v>
      </c>
      <c r="AG914" s="6">
        <f>$O$914*$AA$914</f>
        <v>2027.546590245008</v>
      </c>
    </row>
    <row r="915" spans="1:33" ht="11.25" customHeight="1" x14ac:dyDescent="0.3">
      <c r="A915" s="4" t="s">
        <v>21</v>
      </c>
      <c r="B915" s="4" t="s">
        <v>37</v>
      </c>
      <c r="C915" s="4" t="s">
        <v>33</v>
      </c>
      <c r="D915" s="4" t="s">
        <v>42</v>
      </c>
      <c r="E915" s="4" t="s">
        <v>25</v>
      </c>
      <c r="F915" s="4" t="s">
        <v>25</v>
      </c>
      <c r="G915" s="4" t="s">
        <v>25</v>
      </c>
      <c r="H915" s="4" t="s">
        <v>35</v>
      </c>
      <c r="I915" s="5">
        <v>44652</v>
      </c>
      <c r="J915" s="6">
        <v>0</v>
      </c>
      <c r="K915" s="6">
        <v>0</v>
      </c>
      <c r="L915" s="6">
        <v>36.942999999999998</v>
      </c>
      <c r="M915" s="6">
        <v>36.942999999999998</v>
      </c>
      <c r="N915" s="6">
        <v>36.942999999999998</v>
      </c>
      <c r="O915" s="6">
        <v>36.942999999999998</v>
      </c>
      <c r="P915" s="6">
        <v>0</v>
      </c>
      <c r="Q915" s="4" t="s">
        <v>26</v>
      </c>
      <c r="R915" s="4">
        <v>0</v>
      </c>
      <c r="S915" s="6">
        <v>0</v>
      </c>
      <c r="T915" s="6">
        <v>69</v>
      </c>
      <c r="U915" s="6">
        <v>105</v>
      </c>
      <c r="V915" s="6">
        <f>IF(ISERROR(VLOOKUP($S$915,'TAR FIN'!$A$1:$O$113,15,0)),0,VLOOKUP($S$915,'TAR FIN'!$A$1:$O$113,15,0))</f>
        <v>0</v>
      </c>
      <c r="W915" s="6">
        <f>IF(ISERROR(VLOOKUP($T$915,'TAR FIN'!$A$1:$O$113,15,0)),0,VLOOKUP($T$915,'TAR FIN'!$A$1:$O$113,15,0))</f>
        <v>234.07</v>
      </c>
      <c r="X915" s="6">
        <f>IF(ISERROR(VLOOKUP($U$915,'TAR FIN'!$A$1:$O$113,15,0)),0,VLOOKUP($U$915,'TAR FIN'!$A$1:$O$113,15,0))</f>
        <v>278.67</v>
      </c>
      <c r="Y915" s="6"/>
      <c r="Z915" s="6">
        <f ca="1">('TUSD BE'!$AM$67+'TUSD BF'!$AM$67+'TUSD CVA'!$AM$67)*1</f>
        <v>317.35598308036384</v>
      </c>
      <c r="AA915" s="6">
        <f>('TE BE'!$AB$45+'TE BF'!$AB$45+'TE CVA'!$AB$45)*1</f>
        <v>299.18055042718134</v>
      </c>
      <c r="AB915" s="6">
        <f>$K$915*$V$915</f>
        <v>0</v>
      </c>
      <c r="AC915" s="6">
        <f>$M$915*$W$915</f>
        <v>8647.2480099999993</v>
      </c>
      <c r="AD915" s="6">
        <f>$O$915*$X$915</f>
        <v>10294.90581</v>
      </c>
      <c r="AE915" s="6">
        <f>$K$915*$Y$915</f>
        <v>0</v>
      </c>
      <c r="AF915" s="6">
        <f ca="1">$M$915*$Z$915</f>
        <v>11724.082082937881</v>
      </c>
      <c r="AG915" s="6">
        <f>$O$915*$AA$915</f>
        <v>11052.627074431361</v>
      </c>
    </row>
    <row r="916" spans="1:33" ht="11.25" customHeight="1" x14ac:dyDescent="0.3">
      <c r="A916" s="4" t="s">
        <v>21</v>
      </c>
      <c r="B916" s="4" t="s">
        <v>37</v>
      </c>
      <c r="C916" s="4" t="s">
        <v>33</v>
      </c>
      <c r="D916" s="4" t="s">
        <v>42</v>
      </c>
      <c r="E916" s="4" t="s">
        <v>25</v>
      </c>
      <c r="F916" s="4" t="s">
        <v>25</v>
      </c>
      <c r="G916" s="4" t="s">
        <v>25</v>
      </c>
      <c r="H916" s="4" t="s">
        <v>35</v>
      </c>
      <c r="I916" s="5">
        <v>44682</v>
      </c>
      <c r="J916" s="6">
        <v>0</v>
      </c>
      <c r="K916" s="6">
        <v>0</v>
      </c>
      <c r="L916" s="6">
        <v>25.99</v>
      </c>
      <c r="M916" s="6">
        <v>25.99</v>
      </c>
      <c r="N916" s="6">
        <v>25.99</v>
      </c>
      <c r="O916" s="6">
        <v>25.99</v>
      </c>
      <c r="P916" s="6">
        <v>0</v>
      </c>
      <c r="Q916" s="4" t="s">
        <v>26</v>
      </c>
      <c r="R916" s="4">
        <v>0</v>
      </c>
      <c r="S916" s="6">
        <v>0</v>
      </c>
      <c r="T916" s="6">
        <v>69</v>
      </c>
      <c r="U916" s="6">
        <v>105</v>
      </c>
      <c r="V916" s="6">
        <f>IF(ISERROR(VLOOKUP($S$916,'TAR FIN'!$A$1:$O$113,15,0)),0,VLOOKUP($S$916,'TAR FIN'!$A$1:$O$113,15,0))</f>
        <v>0</v>
      </c>
      <c r="W916" s="6">
        <f>IF(ISERROR(VLOOKUP($T$916,'TAR FIN'!$A$1:$O$113,15,0)),0,VLOOKUP($T$916,'TAR FIN'!$A$1:$O$113,15,0))</f>
        <v>234.07</v>
      </c>
      <c r="X916" s="6">
        <f>IF(ISERROR(VLOOKUP($U$916,'TAR FIN'!$A$1:$O$113,15,0)),0,VLOOKUP($U$916,'TAR FIN'!$A$1:$O$113,15,0))</f>
        <v>278.67</v>
      </c>
      <c r="Y916" s="6"/>
      <c r="Z916" s="6">
        <f ca="1">('TUSD BE'!$AM$67+'TUSD BF'!$AM$67+'TUSD CVA'!$AM$67)*1</f>
        <v>317.35598308036384</v>
      </c>
      <c r="AA916" s="6">
        <f>('TE BE'!$AB$45+'TE BF'!$AB$45+'TE CVA'!$AB$45)*1</f>
        <v>299.18055042718134</v>
      </c>
      <c r="AB916" s="6">
        <f>$K$916*$V$916</f>
        <v>0</v>
      </c>
      <c r="AC916" s="6">
        <f>$M$916*$W$916</f>
        <v>6083.4792999999991</v>
      </c>
      <c r="AD916" s="6">
        <f>$O$916*$X$916</f>
        <v>7242.6333000000004</v>
      </c>
      <c r="AE916" s="6">
        <f>$K$916*$Y$916</f>
        <v>0</v>
      </c>
      <c r="AF916" s="6">
        <f ca="1">$M$916*$Z$916</f>
        <v>8248.0820002586552</v>
      </c>
      <c r="AG916" s="6">
        <f>$O$916*$AA$916</f>
        <v>7775.7025056024431</v>
      </c>
    </row>
    <row r="917" spans="1:33" ht="11.25" customHeight="1" x14ac:dyDescent="0.3">
      <c r="A917" s="4" t="s">
        <v>28</v>
      </c>
      <c r="B917" s="4" t="s">
        <v>37</v>
      </c>
      <c r="C917" s="4" t="s">
        <v>33</v>
      </c>
      <c r="D917" s="4" t="s">
        <v>42</v>
      </c>
      <c r="E917" s="4" t="s">
        <v>25</v>
      </c>
      <c r="F917" s="4" t="s">
        <v>25</v>
      </c>
      <c r="G917" s="4" t="s">
        <v>25</v>
      </c>
      <c r="H917" s="4" t="s">
        <v>35</v>
      </c>
      <c r="I917" s="5">
        <v>44682</v>
      </c>
      <c r="J917" s="6">
        <v>0</v>
      </c>
      <c r="K917" s="6">
        <v>0</v>
      </c>
      <c r="L917" s="6">
        <v>6.4850000000000003</v>
      </c>
      <c r="M917" s="6">
        <v>6.4850000000000003</v>
      </c>
      <c r="N917" s="6">
        <v>6.4850000000000003</v>
      </c>
      <c r="O917" s="6">
        <v>6.4850000000000003</v>
      </c>
      <c r="P917" s="6">
        <v>0</v>
      </c>
      <c r="Q917" s="4" t="s">
        <v>26</v>
      </c>
      <c r="R917" s="4">
        <v>0</v>
      </c>
      <c r="S917" s="6">
        <v>0</v>
      </c>
      <c r="T917" s="6">
        <v>69</v>
      </c>
      <c r="U917" s="6">
        <v>105</v>
      </c>
      <c r="V917" s="6">
        <f>IF(ISERROR(VLOOKUP($S$917,'TAR FIN'!$A$1:$O$113,15,0)),0,VLOOKUP($S$917,'TAR FIN'!$A$1:$O$113,15,0))</f>
        <v>0</v>
      </c>
      <c r="W917" s="6">
        <f>IF(ISERROR(VLOOKUP($T$917,'TAR FIN'!$A$1:$O$113,15,0)),0,VLOOKUP($T$917,'TAR FIN'!$A$1:$O$113,15,0))</f>
        <v>234.07</v>
      </c>
      <c r="X917" s="6">
        <f>IF(ISERROR(VLOOKUP($U$917,'TAR FIN'!$A$1:$O$113,15,0)),0,VLOOKUP($U$917,'TAR FIN'!$A$1:$O$113,15,0))</f>
        <v>278.67</v>
      </c>
      <c r="Y917" s="6"/>
      <c r="Z917" s="6">
        <f ca="1">('TUSD BE'!$AM$67+'TUSD BF'!$AM$67+'TUSD CVA'!$AM$67)*1</f>
        <v>317.35598308036384</v>
      </c>
      <c r="AA917" s="6">
        <f>('TE BE'!$AB$45+'TE BF'!$AB$45+'TE CVA'!$AB$45)*1</f>
        <v>299.18055042718134</v>
      </c>
      <c r="AB917" s="6">
        <f>$K$917*$V$917</f>
        <v>0</v>
      </c>
      <c r="AC917" s="6">
        <f>$M$917*$W$917</f>
        <v>1517.9439500000001</v>
      </c>
      <c r="AD917" s="6">
        <f>$O$917*$X$917</f>
        <v>1807.1749500000001</v>
      </c>
      <c r="AE917" s="6">
        <f>$K$917*$Y$917</f>
        <v>0</v>
      </c>
      <c r="AF917" s="6">
        <f ca="1">$M$917*$Z$917</f>
        <v>2058.0535502761595</v>
      </c>
      <c r="AG917" s="6">
        <f>$O$917*$AA$917</f>
        <v>1940.1858695202711</v>
      </c>
    </row>
    <row r="918" spans="1:33" ht="11.25" customHeight="1" x14ac:dyDescent="0.3">
      <c r="A918" s="4" t="s">
        <v>21</v>
      </c>
      <c r="B918" s="4" t="s">
        <v>37</v>
      </c>
      <c r="C918" s="4" t="s">
        <v>33</v>
      </c>
      <c r="D918" s="4" t="s">
        <v>42</v>
      </c>
      <c r="E918" s="4" t="s">
        <v>25</v>
      </c>
      <c r="F918" s="4" t="s">
        <v>25</v>
      </c>
      <c r="G918" s="4" t="s">
        <v>25</v>
      </c>
      <c r="H918" s="4" t="s">
        <v>35</v>
      </c>
      <c r="I918" s="5">
        <v>44713</v>
      </c>
      <c r="J918" s="6">
        <v>0</v>
      </c>
      <c r="K918" s="6">
        <v>0</v>
      </c>
      <c r="L918" s="6">
        <v>24.417000000000002</v>
      </c>
      <c r="M918" s="6">
        <v>24.417000000000002</v>
      </c>
      <c r="N918" s="6">
        <v>24.417000000000002</v>
      </c>
      <c r="O918" s="6">
        <v>24.417000000000002</v>
      </c>
      <c r="P918" s="6">
        <v>0</v>
      </c>
      <c r="Q918" s="4" t="s">
        <v>26</v>
      </c>
      <c r="R918" s="4">
        <v>0</v>
      </c>
      <c r="S918" s="6">
        <v>0</v>
      </c>
      <c r="T918" s="6">
        <v>69</v>
      </c>
      <c r="U918" s="6">
        <v>105</v>
      </c>
      <c r="V918" s="6">
        <f>IF(ISERROR(VLOOKUP($S$918,'TAR FIN'!$A$1:$O$113,15,0)),0,VLOOKUP($S$918,'TAR FIN'!$A$1:$O$113,15,0))</f>
        <v>0</v>
      </c>
      <c r="W918" s="6">
        <f>IF(ISERROR(VLOOKUP($T$918,'TAR FIN'!$A$1:$O$113,15,0)),0,VLOOKUP($T$918,'TAR FIN'!$A$1:$O$113,15,0))</f>
        <v>234.07</v>
      </c>
      <c r="X918" s="6">
        <f>IF(ISERROR(VLOOKUP($U$918,'TAR FIN'!$A$1:$O$113,15,0)),0,VLOOKUP($U$918,'TAR FIN'!$A$1:$O$113,15,0))</f>
        <v>278.67</v>
      </c>
      <c r="Y918" s="6"/>
      <c r="Z918" s="6">
        <f ca="1">('TUSD BE'!$AM$67+'TUSD BF'!$AM$67+'TUSD CVA'!$AM$67)*1</f>
        <v>317.35598308036384</v>
      </c>
      <c r="AA918" s="6">
        <f>('TE BE'!$AB$45+'TE BF'!$AB$45+'TE CVA'!$AB$45)*1</f>
        <v>299.18055042718134</v>
      </c>
      <c r="AB918" s="6">
        <f>$K$918*$V$918</f>
        <v>0</v>
      </c>
      <c r="AC918" s="6">
        <f>$M$918*$W$918</f>
        <v>5715.28719</v>
      </c>
      <c r="AD918" s="6">
        <f>$O$918*$X$918</f>
        <v>6804.2853900000009</v>
      </c>
      <c r="AE918" s="6">
        <f>$K$918*$Y$918</f>
        <v>0</v>
      </c>
      <c r="AF918" s="6">
        <f ca="1">$M$918*$Z$918</f>
        <v>7748.8810388732445</v>
      </c>
      <c r="AG918" s="6">
        <f>$O$918*$AA$918</f>
        <v>7305.0914997804875</v>
      </c>
    </row>
    <row r="919" spans="1:33" ht="11.25" customHeight="1" x14ac:dyDescent="0.3">
      <c r="A919" s="4" t="s">
        <v>28</v>
      </c>
      <c r="B919" s="4" t="s">
        <v>37</v>
      </c>
      <c r="C919" s="4" t="s">
        <v>33</v>
      </c>
      <c r="D919" s="4" t="s">
        <v>42</v>
      </c>
      <c r="E919" s="4" t="s">
        <v>25</v>
      </c>
      <c r="F919" s="4" t="s">
        <v>25</v>
      </c>
      <c r="G919" s="4" t="s">
        <v>25</v>
      </c>
      <c r="H919" s="4" t="s">
        <v>35</v>
      </c>
      <c r="I919" s="5">
        <v>44713</v>
      </c>
      <c r="J919" s="6">
        <v>0</v>
      </c>
      <c r="K919" s="6">
        <v>0</v>
      </c>
      <c r="L919" s="6">
        <v>6.0650000000000004</v>
      </c>
      <c r="M919" s="6">
        <v>6.0650000000000004</v>
      </c>
      <c r="N919" s="6">
        <v>6.0650000000000004</v>
      </c>
      <c r="O919" s="6">
        <v>6.0650000000000004</v>
      </c>
      <c r="P919" s="6">
        <v>0</v>
      </c>
      <c r="Q919" s="4" t="s">
        <v>26</v>
      </c>
      <c r="R919" s="4">
        <v>0</v>
      </c>
      <c r="S919" s="6">
        <v>0</v>
      </c>
      <c r="T919" s="6">
        <v>69</v>
      </c>
      <c r="U919" s="6">
        <v>105</v>
      </c>
      <c r="V919" s="6">
        <f>IF(ISERROR(VLOOKUP($S$919,'TAR FIN'!$A$1:$O$113,15,0)),0,VLOOKUP($S$919,'TAR FIN'!$A$1:$O$113,15,0))</f>
        <v>0</v>
      </c>
      <c r="W919" s="6">
        <f>IF(ISERROR(VLOOKUP($T$919,'TAR FIN'!$A$1:$O$113,15,0)),0,VLOOKUP($T$919,'TAR FIN'!$A$1:$O$113,15,0))</f>
        <v>234.07</v>
      </c>
      <c r="X919" s="6">
        <f>IF(ISERROR(VLOOKUP($U$919,'TAR FIN'!$A$1:$O$113,15,0)),0,VLOOKUP($U$919,'TAR FIN'!$A$1:$O$113,15,0))</f>
        <v>278.67</v>
      </c>
      <c r="Y919" s="6"/>
      <c r="Z919" s="6">
        <f ca="1">('TUSD BE'!$AM$67+'TUSD BF'!$AM$67+'TUSD CVA'!$AM$67)*1</f>
        <v>317.35598308036384</v>
      </c>
      <c r="AA919" s="6">
        <f>('TE BE'!$AB$45+'TE BF'!$AB$45+'TE CVA'!$AB$45)*1</f>
        <v>299.18055042718134</v>
      </c>
      <c r="AB919" s="6">
        <f>$K$919*$V$919</f>
        <v>0</v>
      </c>
      <c r="AC919" s="6">
        <f>$M$919*$W$919</f>
        <v>1419.63455</v>
      </c>
      <c r="AD919" s="6">
        <f>$O$919*$X$919</f>
        <v>1690.1335500000002</v>
      </c>
      <c r="AE919" s="6">
        <f>$K$919*$Y$919</f>
        <v>0</v>
      </c>
      <c r="AF919" s="6">
        <f ca="1">$M$919*$Z$919</f>
        <v>1924.7640373824067</v>
      </c>
      <c r="AG919" s="6">
        <f>$O$919*$AA$919</f>
        <v>1814.5300383408551</v>
      </c>
    </row>
    <row r="920" spans="1:33" ht="11.25" customHeight="1" x14ac:dyDescent="0.3">
      <c r="A920" s="4" t="s">
        <v>21</v>
      </c>
      <c r="B920" s="4" t="s">
        <v>37</v>
      </c>
      <c r="C920" s="4" t="s">
        <v>33</v>
      </c>
      <c r="D920" s="4" t="s">
        <v>42</v>
      </c>
      <c r="E920" s="4" t="s">
        <v>25</v>
      </c>
      <c r="F920" s="4" t="s">
        <v>25</v>
      </c>
      <c r="G920" s="4" t="s">
        <v>25</v>
      </c>
      <c r="H920" s="4" t="s">
        <v>35</v>
      </c>
      <c r="I920" s="5">
        <v>44743</v>
      </c>
      <c r="J920" s="6">
        <v>0</v>
      </c>
      <c r="K920" s="6">
        <v>0</v>
      </c>
      <c r="L920" s="6">
        <v>32.880000000000003</v>
      </c>
      <c r="M920" s="6">
        <v>32.880000000000003</v>
      </c>
      <c r="N920" s="6">
        <v>32.880000000000003</v>
      </c>
      <c r="O920" s="6">
        <v>32.880000000000003</v>
      </c>
      <c r="P920" s="6">
        <v>0</v>
      </c>
      <c r="Q920" s="4" t="s">
        <v>26</v>
      </c>
      <c r="R920" s="4">
        <v>0</v>
      </c>
      <c r="S920" s="6">
        <v>0</v>
      </c>
      <c r="T920" s="6">
        <v>69</v>
      </c>
      <c r="U920" s="6">
        <v>105</v>
      </c>
      <c r="V920" s="6">
        <f>IF(ISERROR(VLOOKUP($S$920,'TAR FIN'!$A$1:$O$113,15,0)),0,VLOOKUP($S$920,'TAR FIN'!$A$1:$O$113,15,0))</f>
        <v>0</v>
      </c>
      <c r="W920" s="6">
        <f>IF(ISERROR(VLOOKUP($T$920,'TAR FIN'!$A$1:$O$113,15,0)),0,VLOOKUP($T$920,'TAR FIN'!$A$1:$O$113,15,0))</f>
        <v>234.07</v>
      </c>
      <c r="X920" s="6">
        <f>IF(ISERROR(VLOOKUP($U$920,'TAR FIN'!$A$1:$O$113,15,0)),0,VLOOKUP($U$920,'TAR FIN'!$A$1:$O$113,15,0))</f>
        <v>278.67</v>
      </c>
      <c r="Y920" s="6"/>
      <c r="Z920" s="6">
        <f ca="1">('TUSD BE'!$AM$67+'TUSD BF'!$AM$67+'TUSD CVA'!$AM$67)*1</f>
        <v>317.35598308036384</v>
      </c>
      <c r="AA920" s="6">
        <f>('TE BE'!$AB$45+'TE BF'!$AB$45+'TE CVA'!$AB$45)*1</f>
        <v>299.18055042718134</v>
      </c>
      <c r="AB920" s="6">
        <f>$K$920*$V$920</f>
        <v>0</v>
      </c>
      <c r="AC920" s="6">
        <f>$M$920*$W$920</f>
        <v>7696.2216000000008</v>
      </c>
      <c r="AD920" s="6">
        <f>$O$920*$X$920</f>
        <v>9162.6696000000011</v>
      </c>
      <c r="AE920" s="6">
        <f>$K$920*$Y$920</f>
        <v>0</v>
      </c>
      <c r="AF920" s="6">
        <f ca="1">$M$920*$Z$920</f>
        <v>10434.664723682365</v>
      </c>
      <c r="AG920" s="6">
        <f>$O$920*$AA$920</f>
        <v>9837.0564980457239</v>
      </c>
    </row>
    <row r="921" spans="1:33" ht="11.25" customHeight="1" x14ac:dyDescent="0.3">
      <c r="A921" s="4" t="s">
        <v>21</v>
      </c>
      <c r="B921" s="4" t="s">
        <v>37</v>
      </c>
      <c r="C921" s="4" t="s">
        <v>33</v>
      </c>
      <c r="D921" s="4" t="s">
        <v>42</v>
      </c>
      <c r="E921" s="4" t="s">
        <v>25</v>
      </c>
      <c r="F921" s="4" t="s">
        <v>25</v>
      </c>
      <c r="G921" s="4" t="s">
        <v>25</v>
      </c>
      <c r="H921" s="4" t="s">
        <v>35</v>
      </c>
      <c r="I921" s="5">
        <v>44774</v>
      </c>
      <c r="J921" s="6">
        <v>0</v>
      </c>
      <c r="K921" s="6">
        <v>0</v>
      </c>
      <c r="L921" s="6">
        <v>25.122</v>
      </c>
      <c r="M921" s="6">
        <v>25.122</v>
      </c>
      <c r="N921" s="6">
        <v>25.122</v>
      </c>
      <c r="O921" s="6">
        <v>25.122</v>
      </c>
      <c r="P921" s="6">
        <v>0</v>
      </c>
      <c r="Q921" s="4" t="s">
        <v>26</v>
      </c>
      <c r="R921" s="4">
        <v>0</v>
      </c>
      <c r="S921" s="6">
        <v>0</v>
      </c>
      <c r="T921" s="6">
        <v>69</v>
      </c>
      <c r="U921" s="6">
        <v>105</v>
      </c>
      <c r="V921" s="6">
        <f>IF(ISERROR(VLOOKUP($S$921,'TAR FIN'!$A$1:$O$113,15,0)),0,VLOOKUP($S$921,'TAR FIN'!$A$1:$O$113,15,0))</f>
        <v>0</v>
      </c>
      <c r="W921" s="6">
        <f>IF(ISERROR(VLOOKUP($T$921,'TAR FIN'!$A$1:$O$113,15,0)),0,VLOOKUP($T$921,'TAR FIN'!$A$1:$O$113,15,0))</f>
        <v>234.07</v>
      </c>
      <c r="X921" s="6">
        <f>IF(ISERROR(VLOOKUP($U$921,'TAR FIN'!$A$1:$O$113,15,0)),0,VLOOKUP($U$921,'TAR FIN'!$A$1:$O$113,15,0))</f>
        <v>278.67</v>
      </c>
      <c r="Y921" s="6"/>
      <c r="Z921" s="6">
        <f ca="1">('TUSD BE'!$AM$67+'TUSD BF'!$AM$67+'TUSD CVA'!$AM$67)*1</f>
        <v>317.35598308036384</v>
      </c>
      <c r="AA921" s="6">
        <f>('TE BE'!$AB$45+'TE BF'!$AB$45+'TE CVA'!$AB$45)*1</f>
        <v>299.18055042718134</v>
      </c>
      <c r="AB921" s="6">
        <f>$K$921*$V$921</f>
        <v>0</v>
      </c>
      <c r="AC921" s="6">
        <f>$M$921*$W$921</f>
        <v>5880.3065399999996</v>
      </c>
      <c r="AD921" s="6">
        <f>$O$921*$X$921</f>
        <v>7000.7477400000007</v>
      </c>
      <c r="AE921" s="6">
        <f>$K$921*$Y$921</f>
        <v>0</v>
      </c>
      <c r="AF921" s="6">
        <f ca="1">$M$921*$Z$921</f>
        <v>7972.6170069449008</v>
      </c>
      <c r="AG921" s="6">
        <f>$O$921*$AA$921</f>
        <v>7516.01378783165</v>
      </c>
    </row>
    <row r="922" spans="1:33" ht="11.25" customHeight="1" x14ac:dyDescent="0.3">
      <c r="A922" s="4" t="s">
        <v>28</v>
      </c>
      <c r="B922" s="4" t="s">
        <v>37</v>
      </c>
      <c r="C922" s="4" t="s">
        <v>33</v>
      </c>
      <c r="D922" s="4" t="s">
        <v>42</v>
      </c>
      <c r="E922" s="4" t="s">
        <v>25</v>
      </c>
      <c r="F922" s="4" t="s">
        <v>25</v>
      </c>
      <c r="G922" s="4" t="s">
        <v>25</v>
      </c>
      <c r="H922" s="4" t="s">
        <v>35</v>
      </c>
      <c r="I922" s="5">
        <v>44774</v>
      </c>
      <c r="J922" s="6">
        <v>0</v>
      </c>
      <c r="K922" s="6">
        <v>0</v>
      </c>
      <c r="L922" s="6">
        <v>6.2770000000000001</v>
      </c>
      <c r="M922" s="6">
        <v>6.2770000000000001</v>
      </c>
      <c r="N922" s="6">
        <v>6.2770000000000001</v>
      </c>
      <c r="O922" s="6">
        <v>6.2770000000000001</v>
      </c>
      <c r="P922" s="6">
        <v>0</v>
      </c>
      <c r="Q922" s="4" t="s">
        <v>26</v>
      </c>
      <c r="R922" s="4">
        <v>0</v>
      </c>
      <c r="S922" s="6">
        <v>0</v>
      </c>
      <c r="T922" s="6">
        <v>69</v>
      </c>
      <c r="U922" s="6">
        <v>105</v>
      </c>
      <c r="V922" s="6">
        <f>IF(ISERROR(VLOOKUP($S$922,'TAR FIN'!$A$1:$O$113,15,0)),0,VLOOKUP($S$922,'TAR FIN'!$A$1:$O$113,15,0))</f>
        <v>0</v>
      </c>
      <c r="W922" s="6">
        <f>IF(ISERROR(VLOOKUP($T$922,'TAR FIN'!$A$1:$O$113,15,0)),0,VLOOKUP($T$922,'TAR FIN'!$A$1:$O$113,15,0))</f>
        <v>234.07</v>
      </c>
      <c r="X922" s="6">
        <f>IF(ISERROR(VLOOKUP($U$922,'TAR FIN'!$A$1:$O$113,15,0)),0,VLOOKUP($U$922,'TAR FIN'!$A$1:$O$113,15,0))</f>
        <v>278.67</v>
      </c>
      <c r="Y922" s="6"/>
      <c r="Z922" s="6">
        <f ca="1">('TUSD BE'!$AM$67+'TUSD BF'!$AM$67+'TUSD CVA'!$AM$67)*1</f>
        <v>317.35598308036384</v>
      </c>
      <c r="AA922" s="6">
        <f>('TE BE'!$AB$45+'TE BF'!$AB$45+'TE CVA'!$AB$45)*1</f>
        <v>299.18055042718134</v>
      </c>
      <c r="AB922" s="6">
        <f>$K$922*$V$922</f>
        <v>0</v>
      </c>
      <c r="AC922" s="6">
        <f>$M$922*$W$922</f>
        <v>1469.25739</v>
      </c>
      <c r="AD922" s="6">
        <f>$O$922*$X$922</f>
        <v>1749.2115900000001</v>
      </c>
      <c r="AE922" s="6">
        <f>$K$922*$Y$922</f>
        <v>0</v>
      </c>
      <c r="AF922" s="6">
        <f ca="1">$M$922*$Z$922</f>
        <v>1992.0435057954439</v>
      </c>
      <c r="AG922" s="6">
        <f>$O$922*$AA$922</f>
        <v>1877.9563150314173</v>
      </c>
    </row>
    <row r="923" spans="1:33" ht="11.25" customHeight="1" x14ac:dyDescent="0.3">
      <c r="A923" s="4" t="s">
        <v>21</v>
      </c>
      <c r="B923" s="4" t="s">
        <v>37</v>
      </c>
      <c r="C923" s="4" t="s">
        <v>33</v>
      </c>
      <c r="D923" s="4" t="s">
        <v>42</v>
      </c>
      <c r="E923" s="4" t="s">
        <v>25</v>
      </c>
      <c r="F923" s="4" t="s">
        <v>25</v>
      </c>
      <c r="G923" s="4" t="s">
        <v>25</v>
      </c>
      <c r="H923" s="4" t="s">
        <v>35</v>
      </c>
      <c r="I923" s="5">
        <v>44805</v>
      </c>
      <c r="J923" s="6">
        <v>0</v>
      </c>
      <c r="K923" s="6">
        <v>0</v>
      </c>
      <c r="L923" s="6">
        <v>24.431999999999999</v>
      </c>
      <c r="M923" s="6">
        <v>24.431999999999999</v>
      </c>
      <c r="N923" s="6">
        <v>24.431999999999999</v>
      </c>
      <c r="O923" s="6">
        <v>24.431999999999999</v>
      </c>
      <c r="P923" s="6">
        <v>0</v>
      </c>
      <c r="Q923" s="4" t="s">
        <v>26</v>
      </c>
      <c r="R923" s="4">
        <v>0</v>
      </c>
      <c r="S923" s="6">
        <v>0</v>
      </c>
      <c r="T923" s="6">
        <v>69</v>
      </c>
      <c r="U923" s="6">
        <v>105</v>
      </c>
      <c r="V923" s="6">
        <f>IF(ISERROR(VLOOKUP($S$923,'TAR FIN'!$A$1:$O$113,15,0)),0,VLOOKUP($S$923,'TAR FIN'!$A$1:$O$113,15,0))</f>
        <v>0</v>
      </c>
      <c r="W923" s="6">
        <f>IF(ISERROR(VLOOKUP($T$923,'TAR FIN'!$A$1:$O$113,15,0)),0,VLOOKUP($T$923,'TAR FIN'!$A$1:$O$113,15,0))</f>
        <v>234.07</v>
      </c>
      <c r="X923" s="6">
        <f>IF(ISERROR(VLOOKUP($U$923,'TAR FIN'!$A$1:$O$113,15,0)),0,VLOOKUP($U$923,'TAR FIN'!$A$1:$O$113,15,0))</f>
        <v>278.67</v>
      </c>
      <c r="Y923" s="6"/>
      <c r="Z923" s="6">
        <f ca="1">('TUSD BE'!$AM$67+'TUSD BF'!$AM$67+'TUSD CVA'!$AM$67)*1</f>
        <v>317.35598308036384</v>
      </c>
      <c r="AA923" s="6">
        <f>('TE BE'!$AB$45+'TE BF'!$AB$45+'TE CVA'!$AB$45)*1</f>
        <v>299.18055042718134</v>
      </c>
      <c r="AB923" s="6">
        <f>$K$923*$V$923</f>
        <v>0</v>
      </c>
      <c r="AC923" s="6">
        <f>$M$923*$W$923</f>
        <v>5718.7982399999992</v>
      </c>
      <c r="AD923" s="6">
        <f>$O$923*$X$923</f>
        <v>6808.4654399999999</v>
      </c>
      <c r="AE923" s="6">
        <f>$K$923*$Y$923</f>
        <v>0</v>
      </c>
      <c r="AF923" s="6">
        <f ca="1">$M$923*$Z$923</f>
        <v>7753.6413786194489</v>
      </c>
      <c r="AG923" s="6">
        <f>$O$923*$AA$923</f>
        <v>7309.5792080368938</v>
      </c>
    </row>
    <row r="924" spans="1:33" ht="11.25" customHeight="1" x14ac:dyDescent="0.3">
      <c r="A924" s="4" t="s">
        <v>28</v>
      </c>
      <c r="B924" s="4" t="s">
        <v>37</v>
      </c>
      <c r="C924" s="4" t="s">
        <v>33</v>
      </c>
      <c r="D924" s="4" t="s">
        <v>42</v>
      </c>
      <c r="E924" s="4" t="s">
        <v>25</v>
      </c>
      <c r="F924" s="4" t="s">
        <v>25</v>
      </c>
      <c r="G924" s="4" t="s">
        <v>25</v>
      </c>
      <c r="H924" s="4" t="s">
        <v>35</v>
      </c>
      <c r="I924" s="5">
        <v>44805</v>
      </c>
      <c r="J924" s="6">
        <v>0</v>
      </c>
      <c r="K924" s="6">
        <v>0</v>
      </c>
      <c r="L924" s="6">
        <v>3.9849999999999999</v>
      </c>
      <c r="M924" s="6">
        <v>3.9849999999999999</v>
      </c>
      <c r="N924" s="6">
        <v>3.9849999999999999</v>
      </c>
      <c r="O924" s="6">
        <v>3.9849999999999999</v>
      </c>
      <c r="P924" s="6">
        <v>0</v>
      </c>
      <c r="Q924" s="4" t="s">
        <v>26</v>
      </c>
      <c r="R924" s="4">
        <v>0</v>
      </c>
      <c r="S924" s="6">
        <v>0</v>
      </c>
      <c r="T924" s="6">
        <v>69</v>
      </c>
      <c r="U924" s="6">
        <v>105</v>
      </c>
      <c r="V924" s="6">
        <f>IF(ISERROR(VLOOKUP($S$924,'TAR FIN'!$A$1:$O$113,15,0)),0,VLOOKUP($S$924,'TAR FIN'!$A$1:$O$113,15,0))</f>
        <v>0</v>
      </c>
      <c r="W924" s="6">
        <f>IF(ISERROR(VLOOKUP($T$924,'TAR FIN'!$A$1:$O$113,15,0)),0,VLOOKUP($T$924,'TAR FIN'!$A$1:$O$113,15,0))</f>
        <v>234.07</v>
      </c>
      <c r="X924" s="6">
        <f>IF(ISERROR(VLOOKUP($U$924,'TAR FIN'!$A$1:$O$113,15,0)),0,VLOOKUP($U$924,'TAR FIN'!$A$1:$O$113,15,0))</f>
        <v>278.67</v>
      </c>
      <c r="Y924" s="6"/>
      <c r="Z924" s="6">
        <f ca="1">('TUSD BE'!$AM$67+'TUSD BF'!$AM$67+'TUSD CVA'!$AM$67)*1</f>
        <v>317.35598308036384</v>
      </c>
      <c r="AA924" s="6">
        <f>('TE BE'!$AB$45+'TE BF'!$AB$45+'TE CVA'!$AB$45)*1</f>
        <v>299.18055042718134</v>
      </c>
      <c r="AB924" s="6">
        <f>$K$924*$V$924</f>
        <v>0</v>
      </c>
      <c r="AC924" s="6">
        <f>$M$924*$W$924</f>
        <v>932.7689499999999</v>
      </c>
      <c r="AD924" s="6">
        <f>$O$924*$X$924</f>
        <v>1110.4999500000001</v>
      </c>
      <c r="AE924" s="6">
        <f>$K$924*$Y$924</f>
        <v>0</v>
      </c>
      <c r="AF924" s="6">
        <f ca="1">$M$924*$Z$924</f>
        <v>1264.6635925752498</v>
      </c>
      <c r="AG924" s="6">
        <f>$O$924*$AA$924</f>
        <v>1192.2344934523176</v>
      </c>
    </row>
    <row r="925" spans="1:33" ht="11.25" customHeight="1" x14ac:dyDescent="0.3">
      <c r="A925" s="4" t="s">
        <v>53</v>
      </c>
      <c r="B925" s="4" t="s">
        <v>37</v>
      </c>
      <c r="C925" s="4" t="s">
        <v>33</v>
      </c>
      <c r="D925" s="4" t="s">
        <v>42</v>
      </c>
      <c r="E925" s="4" t="s">
        <v>25</v>
      </c>
      <c r="F925" s="4" t="s">
        <v>25</v>
      </c>
      <c r="G925" s="4" t="s">
        <v>25</v>
      </c>
      <c r="H925" s="4" t="s">
        <v>35</v>
      </c>
      <c r="I925" s="5">
        <v>44835</v>
      </c>
      <c r="J925" s="6">
        <v>0</v>
      </c>
      <c r="K925" s="6">
        <v>0</v>
      </c>
      <c r="L925" s="6">
        <v>24.431999999999999</v>
      </c>
      <c r="M925" s="6">
        <v>24.431999999999999</v>
      </c>
      <c r="N925" s="6">
        <v>24.431999999999999</v>
      </c>
      <c r="O925" s="6">
        <v>24.431999999999999</v>
      </c>
      <c r="P925" s="6">
        <v>0</v>
      </c>
      <c r="Q925" s="4" t="s">
        <v>26</v>
      </c>
      <c r="R925" s="4">
        <v>0</v>
      </c>
      <c r="S925" s="6">
        <v>0</v>
      </c>
      <c r="T925" s="6">
        <v>69</v>
      </c>
      <c r="U925" s="6">
        <v>105</v>
      </c>
      <c r="V925" s="6">
        <f>IF(ISERROR(VLOOKUP($S$925,'TAR FIN'!$A$1:$O$113,15,0)),0,VLOOKUP($S$925,'TAR FIN'!$A$1:$O$113,15,0))</f>
        <v>0</v>
      </c>
      <c r="W925" s="6">
        <f>IF(ISERROR(VLOOKUP($T$925,'TAR FIN'!$A$1:$O$113,15,0)),0,VLOOKUP($T$925,'TAR FIN'!$A$1:$O$113,15,0))</f>
        <v>234.07</v>
      </c>
      <c r="X925" s="6">
        <f>IF(ISERROR(VLOOKUP($U$925,'TAR FIN'!$A$1:$O$113,15,0)),0,VLOOKUP($U$925,'TAR FIN'!$A$1:$O$113,15,0))</f>
        <v>278.67</v>
      </c>
      <c r="Y925" s="6"/>
      <c r="Z925" s="6">
        <f ca="1">('TUSD BE'!$AM$67+'TUSD BF'!$AM$67+'TUSD CVA'!$AM$67)*1</f>
        <v>317.35598308036384</v>
      </c>
      <c r="AA925" s="6">
        <f>('TE BE'!$AB$45+'TE BF'!$AB$45+'TE CVA'!$AB$45)*1</f>
        <v>299.18055042718134</v>
      </c>
      <c r="AB925" s="6">
        <f>$K$925*$V$925</f>
        <v>0</v>
      </c>
      <c r="AC925" s="6">
        <f>$M$925*$W$925</f>
        <v>5718.7982399999992</v>
      </c>
      <c r="AD925" s="6">
        <f>$O$925*$X$925</f>
        <v>6808.4654399999999</v>
      </c>
      <c r="AE925" s="6">
        <f>$K$925*$Y$925</f>
        <v>0</v>
      </c>
      <c r="AF925" s="6">
        <f ca="1">$M$925*$Z$925</f>
        <v>7753.6413786194489</v>
      </c>
      <c r="AG925" s="6">
        <f>$O$925*$AA$925</f>
        <v>7309.5792080368938</v>
      </c>
    </row>
    <row r="926" spans="1:33" ht="11.25" customHeight="1" x14ac:dyDescent="0.3">
      <c r="A926" s="4" t="s">
        <v>53</v>
      </c>
      <c r="B926" s="4" t="s">
        <v>37</v>
      </c>
      <c r="C926" s="4" t="s">
        <v>33</v>
      </c>
      <c r="D926" s="4" t="s">
        <v>42</v>
      </c>
      <c r="E926" s="4" t="s">
        <v>25</v>
      </c>
      <c r="F926" s="4" t="s">
        <v>25</v>
      </c>
      <c r="G926" s="4" t="s">
        <v>25</v>
      </c>
      <c r="H926" s="4" t="s">
        <v>35</v>
      </c>
      <c r="I926" s="5">
        <v>44835</v>
      </c>
      <c r="J926" s="6">
        <v>0</v>
      </c>
      <c r="K926" s="6">
        <v>0</v>
      </c>
      <c r="L926" s="6">
        <v>3.9849999999999999</v>
      </c>
      <c r="M926" s="6">
        <v>3.9849999999999999</v>
      </c>
      <c r="N926" s="6">
        <v>3.9849999999999999</v>
      </c>
      <c r="O926" s="6">
        <v>3.9849999999999999</v>
      </c>
      <c r="P926" s="6">
        <v>0</v>
      </c>
      <c r="Q926" s="4" t="s">
        <v>26</v>
      </c>
      <c r="R926" s="4">
        <v>0</v>
      </c>
      <c r="S926" s="6">
        <v>0</v>
      </c>
      <c r="T926" s="6">
        <v>69</v>
      </c>
      <c r="U926" s="6">
        <v>105</v>
      </c>
      <c r="V926" s="6">
        <f>IF(ISERROR(VLOOKUP($S$926,'TAR FIN'!$A$1:$O$113,15,0)),0,VLOOKUP($S$926,'TAR FIN'!$A$1:$O$113,15,0))</f>
        <v>0</v>
      </c>
      <c r="W926" s="6">
        <f>IF(ISERROR(VLOOKUP($T$926,'TAR FIN'!$A$1:$O$113,15,0)),0,VLOOKUP($T$926,'TAR FIN'!$A$1:$O$113,15,0))</f>
        <v>234.07</v>
      </c>
      <c r="X926" s="6">
        <f>IF(ISERROR(VLOOKUP($U$926,'TAR FIN'!$A$1:$O$113,15,0)),0,VLOOKUP($U$926,'TAR FIN'!$A$1:$O$113,15,0))</f>
        <v>278.67</v>
      </c>
      <c r="Y926" s="6"/>
      <c r="Z926" s="6">
        <f ca="1">('TUSD BE'!$AM$67+'TUSD BF'!$AM$67+'TUSD CVA'!$AM$67)*1</f>
        <v>317.35598308036384</v>
      </c>
      <c r="AA926" s="6">
        <f>('TE BE'!$AB$45+'TE BF'!$AB$45+'TE CVA'!$AB$45)*1</f>
        <v>299.18055042718134</v>
      </c>
      <c r="AB926" s="6">
        <f>$K$926*$V$926</f>
        <v>0</v>
      </c>
      <c r="AC926" s="6">
        <f>$M$926*$W$926</f>
        <v>932.7689499999999</v>
      </c>
      <c r="AD926" s="6">
        <f>$O$926*$X$926</f>
        <v>1110.4999500000001</v>
      </c>
      <c r="AE926" s="6">
        <f>$K$926*$Y$926</f>
        <v>0</v>
      </c>
      <c r="AF926" s="6">
        <f ca="1">$M$926*$Z$926</f>
        <v>1264.6635925752498</v>
      </c>
      <c r="AG926" s="6">
        <f>$O$926*$AA$926</f>
        <v>1192.2344934523176</v>
      </c>
    </row>
    <row r="927" spans="1:33" ht="11.25" customHeight="1" x14ac:dyDescent="0.3">
      <c r="A927" s="4" t="s">
        <v>21</v>
      </c>
      <c r="B927" s="4" t="s">
        <v>37</v>
      </c>
      <c r="C927" s="4" t="s">
        <v>33</v>
      </c>
      <c r="D927" s="4" t="s">
        <v>42</v>
      </c>
      <c r="E927" s="4" t="s">
        <v>25</v>
      </c>
      <c r="F927" s="4" t="s">
        <v>25</v>
      </c>
      <c r="G927" s="4" t="s">
        <v>25</v>
      </c>
      <c r="H927" s="4" t="s">
        <v>36</v>
      </c>
      <c r="I927" s="5">
        <v>44501</v>
      </c>
      <c r="J927" s="6">
        <v>0</v>
      </c>
      <c r="K927" s="6">
        <v>0</v>
      </c>
      <c r="L927" s="6">
        <v>1.2170000000000001</v>
      </c>
      <c r="M927" s="6">
        <v>1.2170000000000001</v>
      </c>
      <c r="N927" s="6">
        <v>1.2170000000000001</v>
      </c>
      <c r="O927" s="6">
        <v>1.2170000000000001</v>
      </c>
      <c r="P927" s="6">
        <v>0</v>
      </c>
      <c r="Q927" s="4" t="s">
        <v>26</v>
      </c>
      <c r="R927" s="4">
        <v>0</v>
      </c>
      <c r="S927" s="6">
        <v>0</v>
      </c>
      <c r="T927" s="6">
        <v>82</v>
      </c>
      <c r="U927" s="6">
        <v>110</v>
      </c>
      <c r="V927" s="6">
        <f>IF(ISERROR(VLOOKUP($S$927,'TAR FIN'!$A$1:$O$113,15,0)),0,VLOOKUP($S$927,'TAR FIN'!$A$1:$O$113,15,0))</f>
        <v>0</v>
      </c>
      <c r="W927" s="6">
        <f>IF(ISERROR(VLOOKUP($T$927,'TAR FIN'!$A$1:$O$113,15,0)),0,VLOOKUP($T$927,'TAR FIN'!$A$1:$O$113,15,0))</f>
        <v>491.18</v>
      </c>
      <c r="X927" s="6">
        <f>IF(ISERROR(VLOOKUP($U$927,'TAR FIN'!$A$1:$O$113,15,0)),0,VLOOKUP($U$927,'TAR FIN'!$A$1:$O$113,15,0))</f>
        <v>278.67</v>
      </c>
      <c r="Y927" s="6"/>
      <c r="Z927" s="6">
        <f ca="1">('TUSD BE'!$AM$66+'TUSD BF'!$AM$66+'TUSD CVA'!$AM$66)*1</f>
        <v>612.13700429564483</v>
      </c>
      <c r="AA927" s="6">
        <f>('TE BE'!$AB$44+'TE BF'!$AB$44+'TE CVA'!$AB$44)*1</f>
        <v>299.18055042718134</v>
      </c>
      <c r="AB927" s="6">
        <f>$K$927*$V$927</f>
        <v>0</v>
      </c>
      <c r="AC927" s="6">
        <f>$M$927*$W$927</f>
        <v>597.76606000000004</v>
      </c>
      <c r="AD927" s="6">
        <f>$O$927*$X$927</f>
        <v>339.14139000000006</v>
      </c>
      <c r="AE927" s="6">
        <f>$K$927*$Y$927</f>
        <v>0</v>
      </c>
      <c r="AF927" s="6">
        <f ca="1">$M$927*$Z$927</f>
        <v>744.97073422779977</v>
      </c>
      <c r="AG927" s="6">
        <f>$O$927*$AA$927</f>
        <v>364.10272986987974</v>
      </c>
    </row>
    <row r="928" spans="1:33" ht="11.25" customHeight="1" x14ac:dyDescent="0.3">
      <c r="A928" s="4" t="s">
        <v>28</v>
      </c>
      <c r="B928" s="4" t="s">
        <v>37</v>
      </c>
      <c r="C928" s="4" t="s">
        <v>33</v>
      </c>
      <c r="D928" s="4" t="s">
        <v>42</v>
      </c>
      <c r="E928" s="4" t="s">
        <v>25</v>
      </c>
      <c r="F928" s="4" t="s">
        <v>25</v>
      </c>
      <c r="G928" s="4" t="s">
        <v>25</v>
      </c>
      <c r="H928" s="4" t="s">
        <v>36</v>
      </c>
      <c r="I928" s="5">
        <v>44501</v>
      </c>
      <c r="J928" s="6">
        <v>0</v>
      </c>
      <c r="K928" s="6">
        <v>0</v>
      </c>
      <c r="L928" s="6">
        <v>0.54700000000000004</v>
      </c>
      <c r="M928" s="6">
        <v>0.54700000000000004</v>
      </c>
      <c r="N928" s="6">
        <v>0.54700000000000004</v>
      </c>
      <c r="O928" s="6">
        <v>0.54700000000000004</v>
      </c>
      <c r="P928" s="6">
        <v>0</v>
      </c>
      <c r="Q928" s="4" t="s">
        <v>26</v>
      </c>
      <c r="R928" s="4">
        <v>0</v>
      </c>
      <c r="S928" s="6">
        <v>0</v>
      </c>
      <c r="T928" s="6">
        <v>82</v>
      </c>
      <c r="U928" s="6">
        <v>110</v>
      </c>
      <c r="V928" s="6">
        <f>IF(ISERROR(VLOOKUP($S$928,'TAR FIN'!$A$1:$O$113,15,0)),0,VLOOKUP($S$928,'TAR FIN'!$A$1:$O$113,15,0))</f>
        <v>0</v>
      </c>
      <c r="W928" s="6">
        <f>IF(ISERROR(VLOOKUP($T$928,'TAR FIN'!$A$1:$O$113,15,0)),0,VLOOKUP($T$928,'TAR FIN'!$A$1:$O$113,15,0))</f>
        <v>491.18</v>
      </c>
      <c r="X928" s="6">
        <f>IF(ISERROR(VLOOKUP($U$928,'TAR FIN'!$A$1:$O$113,15,0)),0,VLOOKUP($U$928,'TAR FIN'!$A$1:$O$113,15,0))</f>
        <v>278.67</v>
      </c>
      <c r="Y928" s="6"/>
      <c r="Z928" s="6">
        <f ca="1">('TUSD BE'!$AM$66+'TUSD BF'!$AM$66+'TUSD CVA'!$AM$66)*1</f>
        <v>612.13700429564483</v>
      </c>
      <c r="AA928" s="6">
        <f>('TE BE'!$AB$44+'TE BF'!$AB$44+'TE CVA'!$AB$44)*1</f>
        <v>299.18055042718134</v>
      </c>
      <c r="AB928" s="6">
        <f>$K$928*$V$928</f>
        <v>0</v>
      </c>
      <c r="AC928" s="6">
        <f>$M$928*$W$928</f>
        <v>268.67546000000004</v>
      </c>
      <c r="AD928" s="6">
        <f>$O$928*$X$928</f>
        <v>152.43249000000003</v>
      </c>
      <c r="AE928" s="6">
        <f>$K$928*$Y$928</f>
        <v>0</v>
      </c>
      <c r="AF928" s="6">
        <f ca="1">$M$928*$Z$928</f>
        <v>334.83894134971774</v>
      </c>
      <c r="AG928" s="6">
        <f>$O$928*$AA$928</f>
        <v>163.65176108366822</v>
      </c>
    </row>
    <row r="929" spans="1:33" ht="11.25" customHeight="1" x14ac:dyDescent="0.3">
      <c r="A929" s="4" t="s">
        <v>21</v>
      </c>
      <c r="B929" s="4" t="s">
        <v>37</v>
      </c>
      <c r="C929" s="4" t="s">
        <v>33</v>
      </c>
      <c r="D929" s="4" t="s">
        <v>42</v>
      </c>
      <c r="E929" s="4" t="s">
        <v>25</v>
      </c>
      <c r="F929" s="4" t="s">
        <v>25</v>
      </c>
      <c r="G929" s="4" t="s">
        <v>25</v>
      </c>
      <c r="H929" s="4" t="s">
        <v>36</v>
      </c>
      <c r="I929" s="5">
        <v>44531</v>
      </c>
      <c r="J929" s="6">
        <v>0</v>
      </c>
      <c r="K929" s="6">
        <v>0</v>
      </c>
      <c r="L929" s="6">
        <v>1.2889999999999999</v>
      </c>
      <c r="M929" s="6">
        <v>1.2889999999999999</v>
      </c>
      <c r="N929" s="6">
        <v>1.2889999999999999</v>
      </c>
      <c r="O929" s="6">
        <v>1.2889999999999999</v>
      </c>
      <c r="P929" s="6">
        <v>0</v>
      </c>
      <c r="Q929" s="4" t="s">
        <v>26</v>
      </c>
      <c r="R929" s="4">
        <v>0</v>
      </c>
      <c r="S929" s="6">
        <v>0</v>
      </c>
      <c r="T929" s="6">
        <v>82</v>
      </c>
      <c r="U929" s="6">
        <v>110</v>
      </c>
      <c r="V929" s="6">
        <f>IF(ISERROR(VLOOKUP($S$929,'TAR FIN'!$A$1:$O$113,15,0)),0,VLOOKUP($S$929,'TAR FIN'!$A$1:$O$113,15,0))</f>
        <v>0</v>
      </c>
      <c r="W929" s="6">
        <f>IF(ISERROR(VLOOKUP($T$929,'TAR FIN'!$A$1:$O$113,15,0)),0,VLOOKUP($T$929,'TAR FIN'!$A$1:$O$113,15,0))</f>
        <v>491.18</v>
      </c>
      <c r="X929" s="6">
        <f>IF(ISERROR(VLOOKUP($U$929,'TAR FIN'!$A$1:$O$113,15,0)),0,VLOOKUP($U$929,'TAR FIN'!$A$1:$O$113,15,0))</f>
        <v>278.67</v>
      </c>
      <c r="Y929" s="6"/>
      <c r="Z929" s="6">
        <f ca="1">('TUSD BE'!$AM$66+'TUSD BF'!$AM$66+'TUSD CVA'!$AM$66)*1</f>
        <v>612.13700429564483</v>
      </c>
      <c r="AA929" s="6">
        <f>('TE BE'!$AB$44+'TE BF'!$AB$44+'TE CVA'!$AB$44)*1</f>
        <v>299.18055042718134</v>
      </c>
      <c r="AB929" s="6">
        <f>$K$929*$V$929</f>
        <v>0</v>
      </c>
      <c r="AC929" s="6">
        <f>$M$929*$W$929</f>
        <v>633.13101999999992</v>
      </c>
      <c r="AD929" s="6">
        <f>$O$929*$X$929</f>
        <v>359.20562999999999</v>
      </c>
      <c r="AE929" s="6">
        <f>$K$929*$Y$929</f>
        <v>0</v>
      </c>
      <c r="AF929" s="6">
        <f ca="1">$M$929*$Z$929</f>
        <v>789.04459853708613</v>
      </c>
      <c r="AG929" s="6">
        <f>$O$929*$AA$929</f>
        <v>385.64372950063671</v>
      </c>
    </row>
    <row r="930" spans="1:33" ht="11.25" customHeight="1" x14ac:dyDescent="0.3">
      <c r="A930" s="4" t="s">
        <v>28</v>
      </c>
      <c r="B930" s="4" t="s">
        <v>37</v>
      </c>
      <c r="C930" s="4" t="s">
        <v>33</v>
      </c>
      <c r="D930" s="4" t="s">
        <v>42</v>
      </c>
      <c r="E930" s="4" t="s">
        <v>25</v>
      </c>
      <c r="F930" s="4" t="s">
        <v>25</v>
      </c>
      <c r="G930" s="4" t="s">
        <v>25</v>
      </c>
      <c r="H930" s="4" t="s">
        <v>36</v>
      </c>
      <c r="I930" s="5">
        <v>44531</v>
      </c>
      <c r="J930" s="6">
        <v>0</v>
      </c>
      <c r="K930" s="6">
        <v>0</v>
      </c>
      <c r="L930" s="6">
        <v>0.53300000000000003</v>
      </c>
      <c r="M930" s="6">
        <v>0.53300000000000003</v>
      </c>
      <c r="N930" s="6">
        <v>0.53300000000000003</v>
      </c>
      <c r="O930" s="6">
        <v>0.53300000000000003</v>
      </c>
      <c r="P930" s="6">
        <v>0</v>
      </c>
      <c r="Q930" s="4" t="s">
        <v>26</v>
      </c>
      <c r="R930" s="4">
        <v>0</v>
      </c>
      <c r="S930" s="6">
        <v>0</v>
      </c>
      <c r="T930" s="6">
        <v>82</v>
      </c>
      <c r="U930" s="6">
        <v>110</v>
      </c>
      <c r="V930" s="6">
        <f>IF(ISERROR(VLOOKUP($S$930,'TAR FIN'!$A$1:$O$113,15,0)),0,VLOOKUP($S$930,'TAR FIN'!$A$1:$O$113,15,0))</f>
        <v>0</v>
      </c>
      <c r="W930" s="6">
        <f>IF(ISERROR(VLOOKUP($T$930,'TAR FIN'!$A$1:$O$113,15,0)),0,VLOOKUP($T$930,'TAR FIN'!$A$1:$O$113,15,0))</f>
        <v>491.18</v>
      </c>
      <c r="X930" s="6">
        <f>IF(ISERROR(VLOOKUP($U$930,'TAR FIN'!$A$1:$O$113,15,0)),0,VLOOKUP($U$930,'TAR FIN'!$A$1:$O$113,15,0))</f>
        <v>278.67</v>
      </c>
      <c r="Y930" s="6"/>
      <c r="Z930" s="6">
        <f ca="1">('TUSD BE'!$AM$66+'TUSD BF'!$AM$66+'TUSD CVA'!$AM$66)*1</f>
        <v>612.13700429564483</v>
      </c>
      <c r="AA930" s="6">
        <f>('TE BE'!$AB$44+'TE BF'!$AB$44+'TE CVA'!$AB$44)*1</f>
        <v>299.18055042718134</v>
      </c>
      <c r="AB930" s="6">
        <f>$K$930*$V$930</f>
        <v>0</v>
      </c>
      <c r="AC930" s="6">
        <f>$M$930*$W$930</f>
        <v>261.79894000000002</v>
      </c>
      <c r="AD930" s="6">
        <f>$O$930*$X$930</f>
        <v>148.53111000000001</v>
      </c>
      <c r="AE930" s="6">
        <f>$K$930*$Y$930</f>
        <v>0</v>
      </c>
      <c r="AF930" s="6">
        <f ca="1">$M$930*$Z$930</f>
        <v>326.26902328957868</v>
      </c>
      <c r="AG930" s="6">
        <f>$O$930*$AA$930</f>
        <v>159.46323337768766</v>
      </c>
    </row>
    <row r="931" spans="1:33" ht="11.25" customHeight="1" x14ac:dyDescent="0.3">
      <c r="A931" s="4" t="s">
        <v>21</v>
      </c>
      <c r="B931" s="4" t="s">
        <v>37</v>
      </c>
      <c r="C931" s="4" t="s">
        <v>33</v>
      </c>
      <c r="D931" s="4" t="s">
        <v>42</v>
      </c>
      <c r="E931" s="4" t="s">
        <v>25</v>
      </c>
      <c r="F931" s="4" t="s">
        <v>25</v>
      </c>
      <c r="G931" s="4" t="s">
        <v>25</v>
      </c>
      <c r="H931" s="4" t="s">
        <v>36</v>
      </c>
      <c r="I931" s="5">
        <v>44562</v>
      </c>
      <c r="J931" s="6">
        <v>0</v>
      </c>
      <c r="K931" s="6">
        <v>0</v>
      </c>
      <c r="L931" s="6">
        <v>1.244</v>
      </c>
      <c r="M931" s="6">
        <v>1.244</v>
      </c>
      <c r="N931" s="6">
        <v>1.244</v>
      </c>
      <c r="O931" s="6">
        <v>1.244</v>
      </c>
      <c r="P931" s="6">
        <v>0</v>
      </c>
      <c r="Q931" s="4" t="s">
        <v>26</v>
      </c>
      <c r="R931" s="4">
        <v>0</v>
      </c>
      <c r="S931" s="6">
        <v>0</v>
      </c>
      <c r="T931" s="6">
        <v>82</v>
      </c>
      <c r="U931" s="6">
        <v>110</v>
      </c>
      <c r="V931" s="6">
        <f>IF(ISERROR(VLOOKUP($S$931,'TAR FIN'!$A$1:$O$113,15,0)),0,VLOOKUP($S$931,'TAR FIN'!$A$1:$O$113,15,0))</f>
        <v>0</v>
      </c>
      <c r="W931" s="6">
        <f>IF(ISERROR(VLOOKUP($T$931,'TAR FIN'!$A$1:$O$113,15,0)),0,VLOOKUP($T$931,'TAR FIN'!$A$1:$O$113,15,0))</f>
        <v>491.18</v>
      </c>
      <c r="X931" s="6">
        <f>IF(ISERROR(VLOOKUP($U$931,'TAR FIN'!$A$1:$O$113,15,0)),0,VLOOKUP($U$931,'TAR FIN'!$A$1:$O$113,15,0))</f>
        <v>278.67</v>
      </c>
      <c r="Y931" s="6"/>
      <c r="Z931" s="6">
        <f ca="1">('TUSD BE'!$AM$66+'TUSD BF'!$AM$66+'TUSD CVA'!$AM$66)*1</f>
        <v>612.13700429564483</v>
      </c>
      <c r="AA931" s="6">
        <f>('TE BE'!$AB$44+'TE BF'!$AB$44+'TE CVA'!$AB$44)*1</f>
        <v>299.18055042718134</v>
      </c>
      <c r="AB931" s="6">
        <f>$K$931*$V$931</f>
        <v>0</v>
      </c>
      <c r="AC931" s="6">
        <f>$M$931*$W$931</f>
        <v>611.02791999999999</v>
      </c>
      <c r="AD931" s="6">
        <f>$O$931*$X$931</f>
        <v>346.66548</v>
      </c>
      <c r="AE931" s="6">
        <f>$K$931*$Y$931</f>
        <v>0</v>
      </c>
      <c r="AF931" s="6">
        <f ca="1">$M$931*$Z$931</f>
        <v>761.49843334378215</v>
      </c>
      <c r="AG931" s="6">
        <f>$O$931*$AA$931</f>
        <v>372.18060473141361</v>
      </c>
    </row>
    <row r="932" spans="1:33" ht="11.25" customHeight="1" x14ac:dyDescent="0.3">
      <c r="A932" s="4" t="s">
        <v>28</v>
      </c>
      <c r="B932" s="4" t="s">
        <v>37</v>
      </c>
      <c r="C932" s="4" t="s">
        <v>33</v>
      </c>
      <c r="D932" s="4" t="s">
        <v>42</v>
      </c>
      <c r="E932" s="4" t="s">
        <v>25</v>
      </c>
      <c r="F932" s="4" t="s">
        <v>25</v>
      </c>
      <c r="G932" s="4" t="s">
        <v>25</v>
      </c>
      <c r="H932" s="4" t="s">
        <v>36</v>
      </c>
      <c r="I932" s="5">
        <v>44562</v>
      </c>
      <c r="J932" s="6">
        <v>0</v>
      </c>
      <c r="K932" s="6">
        <v>0</v>
      </c>
      <c r="L932" s="6">
        <v>0.61</v>
      </c>
      <c r="M932" s="6">
        <v>0.61</v>
      </c>
      <c r="N932" s="6">
        <v>0.61</v>
      </c>
      <c r="O932" s="6">
        <v>0.61</v>
      </c>
      <c r="P932" s="6">
        <v>0</v>
      </c>
      <c r="Q932" s="4" t="s">
        <v>26</v>
      </c>
      <c r="R932" s="4">
        <v>0</v>
      </c>
      <c r="S932" s="6">
        <v>0</v>
      </c>
      <c r="T932" s="6">
        <v>82</v>
      </c>
      <c r="U932" s="6">
        <v>110</v>
      </c>
      <c r="V932" s="6">
        <f>IF(ISERROR(VLOOKUP($S$932,'TAR FIN'!$A$1:$O$113,15,0)),0,VLOOKUP($S$932,'TAR FIN'!$A$1:$O$113,15,0))</f>
        <v>0</v>
      </c>
      <c r="W932" s="6">
        <f>IF(ISERROR(VLOOKUP($T$932,'TAR FIN'!$A$1:$O$113,15,0)),0,VLOOKUP($T$932,'TAR FIN'!$A$1:$O$113,15,0))</f>
        <v>491.18</v>
      </c>
      <c r="X932" s="6">
        <f>IF(ISERROR(VLOOKUP($U$932,'TAR FIN'!$A$1:$O$113,15,0)),0,VLOOKUP($U$932,'TAR FIN'!$A$1:$O$113,15,0))</f>
        <v>278.67</v>
      </c>
      <c r="Y932" s="6"/>
      <c r="Z932" s="6">
        <f ca="1">('TUSD BE'!$AM$66+'TUSD BF'!$AM$66+'TUSD CVA'!$AM$66)*1</f>
        <v>612.13700429564483</v>
      </c>
      <c r="AA932" s="6">
        <f>('TE BE'!$AB$44+'TE BF'!$AB$44+'TE CVA'!$AB$44)*1</f>
        <v>299.18055042718134</v>
      </c>
      <c r="AB932" s="6">
        <f>$K$932*$V$932</f>
        <v>0</v>
      </c>
      <c r="AC932" s="6">
        <f>$M$932*$W$932</f>
        <v>299.6198</v>
      </c>
      <c r="AD932" s="6">
        <f>$O$932*$X$932</f>
        <v>169.98869999999999</v>
      </c>
      <c r="AE932" s="6">
        <f>$K$932*$Y$932</f>
        <v>0</v>
      </c>
      <c r="AF932" s="6">
        <f ca="1">$M$932*$Z$932</f>
        <v>373.40357262034331</v>
      </c>
      <c r="AG932" s="6">
        <f>$O$932*$AA$932</f>
        <v>182.5001357605806</v>
      </c>
    </row>
    <row r="933" spans="1:33" ht="11.25" customHeight="1" x14ac:dyDescent="0.3">
      <c r="A933" s="4" t="s">
        <v>21</v>
      </c>
      <c r="B933" s="4" t="s">
        <v>37</v>
      </c>
      <c r="C933" s="4" t="s">
        <v>33</v>
      </c>
      <c r="D933" s="4" t="s">
        <v>42</v>
      </c>
      <c r="E933" s="4" t="s">
        <v>25</v>
      </c>
      <c r="F933" s="4" t="s">
        <v>25</v>
      </c>
      <c r="G933" s="4" t="s">
        <v>25</v>
      </c>
      <c r="H933" s="4" t="s">
        <v>36</v>
      </c>
      <c r="I933" s="5">
        <v>44593</v>
      </c>
      <c r="J933" s="6">
        <v>0</v>
      </c>
      <c r="K933" s="6">
        <v>0</v>
      </c>
      <c r="L933" s="6">
        <v>1.968</v>
      </c>
      <c r="M933" s="6">
        <v>1.968</v>
      </c>
      <c r="N933" s="6">
        <v>1.968</v>
      </c>
      <c r="O933" s="6">
        <v>1.968</v>
      </c>
      <c r="P933" s="6">
        <v>0</v>
      </c>
      <c r="Q933" s="4" t="s">
        <v>26</v>
      </c>
      <c r="R933" s="4">
        <v>0</v>
      </c>
      <c r="S933" s="6">
        <v>0</v>
      </c>
      <c r="T933" s="6">
        <v>82</v>
      </c>
      <c r="U933" s="6">
        <v>110</v>
      </c>
      <c r="V933" s="6">
        <f>IF(ISERROR(VLOOKUP($S$933,'TAR FIN'!$A$1:$O$113,15,0)),0,VLOOKUP($S$933,'TAR FIN'!$A$1:$O$113,15,0))</f>
        <v>0</v>
      </c>
      <c r="W933" s="6">
        <f>IF(ISERROR(VLOOKUP($T$933,'TAR FIN'!$A$1:$O$113,15,0)),0,VLOOKUP($T$933,'TAR FIN'!$A$1:$O$113,15,0))</f>
        <v>491.18</v>
      </c>
      <c r="X933" s="6">
        <f>IF(ISERROR(VLOOKUP($U$933,'TAR FIN'!$A$1:$O$113,15,0)),0,VLOOKUP($U$933,'TAR FIN'!$A$1:$O$113,15,0))</f>
        <v>278.67</v>
      </c>
      <c r="Y933" s="6"/>
      <c r="Z933" s="6">
        <f ca="1">('TUSD BE'!$AM$66+'TUSD BF'!$AM$66+'TUSD CVA'!$AM$66)*1</f>
        <v>612.13700429564483</v>
      </c>
      <c r="AA933" s="6">
        <f>('TE BE'!$AB$44+'TE BF'!$AB$44+'TE CVA'!$AB$44)*1</f>
        <v>299.18055042718134</v>
      </c>
      <c r="AB933" s="6">
        <f>$K$933*$V$933</f>
        <v>0</v>
      </c>
      <c r="AC933" s="6">
        <f>$M$933*$W$933</f>
        <v>966.64224000000002</v>
      </c>
      <c r="AD933" s="6">
        <f>$O$933*$X$933</f>
        <v>548.42255999999998</v>
      </c>
      <c r="AE933" s="6">
        <f>$K$933*$Y$933</f>
        <v>0</v>
      </c>
      <c r="AF933" s="6">
        <f ca="1">$M$933*$Z$933</f>
        <v>1204.685624453829</v>
      </c>
      <c r="AG933" s="6">
        <f>$O$933*$AA$933</f>
        <v>588.7873232406929</v>
      </c>
    </row>
    <row r="934" spans="1:33" ht="11.25" customHeight="1" x14ac:dyDescent="0.3">
      <c r="A934" s="4" t="s">
        <v>21</v>
      </c>
      <c r="B934" s="4" t="s">
        <v>37</v>
      </c>
      <c r="C934" s="4" t="s">
        <v>33</v>
      </c>
      <c r="D934" s="4" t="s">
        <v>42</v>
      </c>
      <c r="E934" s="4" t="s">
        <v>25</v>
      </c>
      <c r="F934" s="4" t="s">
        <v>25</v>
      </c>
      <c r="G934" s="4" t="s">
        <v>25</v>
      </c>
      <c r="H934" s="4" t="s">
        <v>36</v>
      </c>
      <c r="I934" s="5">
        <v>44621</v>
      </c>
      <c r="J934" s="6">
        <v>0</v>
      </c>
      <c r="K934" s="6">
        <v>0</v>
      </c>
      <c r="L934" s="6">
        <v>1.3009999999999999</v>
      </c>
      <c r="M934" s="6">
        <v>1.3009999999999999</v>
      </c>
      <c r="N934" s="6">
        <v>1.3009999999999999</v>
      </c>
      <c r="O934" s="6">
        <v>1.3009999999999999</v>
      </c>
      <c r="P934" s="6">
        <v>0</v>
      </c>
      <c r="Q934" s="4" t="s">
        <v>26</v>
      </c>
      <c r="R934" s="4">
        <v>0</v>
      </c>
      <c r="S934" s="6">
        <v>0</v>
      </c>
      <c r="T934" s="6">
        <v>82</v>
      </c>
      <c r="U934" s="6">
        <v>110</v>
      </c>
      <c r="V934" s="6">
        <f>IF(ISERROR(VLOOKUP($S$934,'TAR FIN'!$A$1:$O$113,15,0)),0,VLOOKUP($S$934,'TAR FIN'!$A$1:$O$113,15,0))</f>
        <v>0</v>
      </c>
      <c r="W934" s="6">
        <f>IF(ISERROR(VLOOKUP($T$934,'TAR FIN'!$A$1:$O$113,15,0)),0,VLOOKUP($T$934,'TAR FIN'!$A$1:$O$113,15,0))</f>
        <v>491.18</v>
      </c>
      <c r="X934" s="6">
        <f>IF(ISERROR(VLOOKUP($U$934,'TAR FIN'!$A$1:$O$113,15,0)),0,VLOOKUP($U$934,'TAR FIN'!$A$1:$O$113,15,0))</f>
        <v>278.67</v>
      </c>
      <c r="Y934" s="6"/>
      <c r="Z934" s="6">
        <f ca="1">('TUSD BE'!$AM$66+'TUSD BF'!$AM$66+'TUSD CVA'!$AM$66)*1</f>
        <v>612.13700429564483</v>
      </c>
      <c r="AA934" s="6">
        <f>('TE BE'!$AB$44+'TE BF'!$AB$44+'TE CVA'!$AB$44)*1</f>
        <v>299.18055042718134</v>
      </c>
      <c r="AB934" s="6">
        <f>$K$934*$V$934</f>
        <v>0</v>
      </c>
      <c r="AC934" s="6">
        <f>$M$934*$W$934</f>
        <v>639.02517999999998</v>
      </c>
      <c r="AD934" s="6">
        <f>$O$934*$X$934</f>
        <v>362.54966999999999</v>
      </c>
      <c r="AE934" s="6">
        <f>$K$934*$Y$934</f>
        <v>0</v>
      </c>
      <c r="AF934" s="6">
        <f ca="1">$M$934*$Z$934</f>
        <v>796.3902425886339</v>
      </c>
      <c r="AG934" s="6">
        <f>$O$934*$AA$934</f>
        <v>389.23389610576294</v>
      </c>
    </row>
    <row r="935" spans="1:33" ht="11.25" customHeight="1" x14ac:dyDescent="0.3">
      <c r="A935" s="4" t="s">
        <v>28</v>
      </c>
      <c r="B935" s="4" t="s">
        <v>37</v>
      </c>
      <c r="C935" s="4" t="s">
        <v>33</v>
      </c>
      <c r="D935" s="4" t="s">
        <v>42</v>
      </c>
      <c r="E935" s="4" t="s">
        <v>25</v>
      </c>
      <c r="F935" s="4" t="s">
        <v>25</v>
      </c>
      <c r="G935" s="4" t="s">
        <v>25</v>
      </c>
      <c r="H935" s="4" t="s">
        <v>36</v>
      </c>
      <c r="I935" s="5">
        <v>44621</v>
      </c>
      <c r="J935" s="6">
        <v>0</v>
      </c>
      <c r="K935" s="6">
        <v>0</v>
      </c>
      <c r="L935" s="6">
        <v>0.59099999999999997</v>
      </c>
      <c r="M935" s="6">
        <v>0.59099999999999997</v>
      </c>
      <c r="N935" s="6">
        <v>0.59099999999999997</v>
      </c>
      <c r="O935" s="6">
        <v>0.59099999999999997</v>
      </c>
      <c r="P935" s="6">
        <v>0</v>
      </c>
      <c r="Q935" s="4" t="s">
        <v>26</v>
      </c>
      <c r="R935" s="4">
        <v>0</v>
      </c>
      <c r="S935" s="6">
        <v>0</v>
      </c>
      <c r="T935" s="6">
        <v>82</v>
      </c>
      <c r="U935" s="6">
        <v>110</v>
      </c>
      <c r="V935" s="6">
        <f>IF(ISERROR(VLOOKUP($S$935,'TAR FIN'!$A$1:$O$113,15,0)),0,VLOOKUP($S$935,'TAR FIN'!$A$1:$O$113,15,0))</f>
        <v>0</v>
      </c>
      <c r="W935" s="6">
        <f>IF(ISERROR(VLOOKUP($T$935,'TAR FIN'!$A$1:$O$113,15,0)),0,VLOOKUP($T$935,'TAR FIN'!$A$1:$O$113,15,0))</f>
        <v>491.18</v>
      </c>
      <c r="X935" s="6">
        <f>IF(ISERROR(VLOOKUP($U$935,'TAR FIN'!$A$1:$O$113,15,0)),0,VLOOKUP($U$935,'TAR FIN'!$A$1:$O$113,15,0))</f>
        <v>278.67</v>
      </c>
      <c r="Y935" s="6"/>
      <c r="Z935" s="6">
        <f ca="1">('TUSD BE'!$AM$66+'TUSD BF'!$AM$66+'TUSD CVA'!$AM$66)*1</f>
        <v>612.13700429564483</v>
      </c>
      <c r="AA935" s="6">
        <f>('TE BE'!$AB$44+'TE BF'!$AB$44+'TE CVA'!$AB$44)*1</f>
        <v>299.18055042718134</v>
      </c>
      <c r="AB935" s="6">
        <f>$K$935*$V$935</f>
        <v>0</v>
      </c>
      <c r="AC935" s="6">
        <f>$M$935*$W$935</f>
        <v>290.28737999999998</v>
      </c>
      <c r="AD935" s="6">
        <f>$O$935*$X$935</f>
        <v>164.69397000000001</v>
      </c>
      <c r="AE935" s="6">
        <f>$K$935*$Y$935</f>
        <v>0</v>
      </c>
      <c r="AF935" s="6">
        <f ca="1">$M$935*$Z$935</f>
        <v>361.7729695387261</v>
      </c>
      <c r="AG935" s="6">
        <f>$O$935*$AA$935</f>
        <v>176.81570530246415</v>
      </c>
    </row>
    <row r="936" spans="1:33" ht="11.25" customHeight="1" x14ac:dyDescent="0.3">
      <c r="A936" s="4" t="s">
        <v>21</v>
      </c>
      <c r="B936" s="4" t="s">
        <v>37</v>
      </c>
      <c r="C936" s="4" t="s">
        <v>33</v>
      </c>
      <c r="D936" s="4" t="s">
        <v>42</v>
      </c>
      <c r="E936" s="4" t="s">
        <v>25</v>
      </c>
      <c r="F936" s="4" t="s">
        <v>25</v>
      </c>
      <c r="G936" s="4" t="s">
        <v>25</v>
      </c>
      <c r="H936" s="4" t="s">
        <v>36</v>
      </c>
      <c r="I936" s="5">
        <v>44652</v>
      </c>
      <c r="J936" s="6">
        <v>0</v>
      </c>
      <c r="K936" s="6">
        <v>0</v>
      </c>
      <c r="L936" s="6">
        <v>1.915</v>
      </c>
      <c r="M936" s="6">
        <v>1.915</v>
      </c>
      <c r="N936" s="6">
        <v>1.915</v>
      </c>
      <c r="O936" s="6">
        <v>1.915</v>
      </c>
      <c r="P936" s="6">
        <v>0</v>
      </c>
      <c r="Q936" s="4" t="s">
        <v>26</v>
      </c>
      <c r="R936" s="4">
        <v>0</v>
      </c>
      <c r="S936" s="6">
        <v>0</v>
      </c>
      <c r="T936" s="6">
        <v>82</v>
      </c>
      <c r="U936" s="6">
        <v>110</v>
      </c>
      <c r="V936" s="6">
        <f>IF(ISERROR(VLOOKUP($S$936,'TAR FIN'!$A$1:$O$113,15,0)),0,VLOOKUP($S$936,'TAR FIN'!$A$1:$O$113,15,0))</f>
        <v>0</v>
      </c>
      <c r="W936" s="6">
        <f>IF(ISERROR(VLOOKUP($T$936,'TAR FIN'!$A$1:$O$113,15,0)),0,VLOOKUP($T$936,'TAR FIN'!$A$1:$O$113,15,0))</f>
        <v>491.18</v>
      </c>
      <c r="X936" s="6">
        <f>IF(ISERROR(VLOOKUP($U$936,'TAR FIN'!$A$1:$O$113,15,0)),0,VLOOKUP($U$936,'TAR FIN'!$A$1:$O$113,15,0))</f>
        <v>278.67</v>
      </c>
      <c r="Y936" s="6"/>
      <c r="Z936" s="6">
        <f ca="1">('TUSD BE'!$AM$66+'TUSD BF'!$AM$66+'TUSD CVA'!$AM$66)*1</f>
        <v>612.13700429564483</v>
      </c>
      <c r="AA936" s="6">
        <f>('TE BE'!$AB$44+'TE BF'!$AB$44+'TE CVA'!$AB$44)*1</f>
        <v>299.18055042718134</v>
      </c>
      <c r="AB936" s="6">
        <f>$K$936*$V$936</f>
        <v>0</v>
      </c>
      <c r="AC936" s="6">
        <f>$M$936*$W$936</f>
        <v>940.60969999999998</v>
      </c>
      <c r="AD936" s="6">
        <f>$O$936*$X$936</f>
        <v>533.65305000000001</v>
      </c>
      <c r="AE936" s="6">
        <f>$K$936*$Y$936</f>
        <v>0</v>
      </c>
      <c r="AF936" s="6">
        <f ca="1">$M$936*$Z$936</f>
        <v>1172.2423632261598</v>
      </c>
      <c r="AG936" s="6">
        <f>$O$936*$AA$936</f>
        <v>572.93075406805224</v>
      </c>
    </row>
    <row r="937" spans="1:33" ht="11.25" customHeight="1" x14ac:dyDescent="0.3">
      <c r="A937" s="4" t="s">
        <v>21</v>
      </c>
      <c r="B937" s="4" t="s">
        <v>37</v>
      </c>
      <c r="C937" s="4" t="s">
        <v>33</v>
      </c>
      <c r="D937" s="4" t="s">
        <v>42</v>
      </c>
      <c r="E937" s="4" t="s">
        <v>25</v>
      </c>
      <c r="F937" s="4" t="s">
        <v>25</v>
      </c>
      <c r="G937" s="4" t="s">
        <v>25</v>
      </c>
      <c r="H937" s="4" t="s">
        <v>36</v>
      </c>
      <c r="I937" s="5">
        <v>44682</v>
      </c>
      <c r="J937" s="6">
        <v>0</v>
      </c>
      <c r="K937" s="6">
        <v>0</v>
      </c>
      <c r="L937" s="6">
        <v>1.349</v>
      </c>
      <c r="M937" s="6">
        <v>1.349</v>
      </c>
      <c r="N937" s="6">
        <v>1.349</v>
      </c>
      <c r="O937" s="6">
        <v>1.349</v>
      </c>
      <c r="P937" s="6">
        <v>0</v>
      </c>
      <c r="Q937" s="4" t="s">
        <v>26</v>
      </c>
      <c r="R937" s="4">
        <v>0</v>
      </c>
      <c r="S937" s="6">
        <v>0</v>
      </c>
      <c r="T937" s="6">
        <v>82</v>
      </c>
      <c r="U937" s="6">
        <v>110</v>
      </c>
      <c r="V937" s="6">
        <f>IF(ISERROR(VLOOKUP($S$937,'TAR FIN'!$A$1:$O$113,15,0)),0,VLOOKUP($S$937,'TAR FIN'!$A$1:$O$113,15,0))</f>
        <v>0</v>
      </c>
      <c r="W937" s="6">
        <f>IF(ISERROR(VLOOKUP($T$937,'TAR FIN'!$A$1:$O$113,15,0)),0,VLOOKUP($T$937,'TAR FIN'!$A$1:$O$113,15,0))</f>
        <v>491.18</v>
      </c>
      <c r="X937" s="6">
        <f>IF(ISERROR(VLOOKUP($U$937,'TAR FIN'!$A$1:$O$113,15,0)),0,VLOOKUP($U$937,'TAR FIN'!$A$1:$O$113,15,0))</f>
        <v>278.67</v>
      </c>
      <c r="Y937" s="6"/>
      <c r="Z937" s="6">
        <f ca="1">('TUSD BE'!$AM$66+'TUSD BF'!$AM$66+'TUSD CVA'!$AM$66)*1</f>
        <v>612.13700429564483</v>
      </c>
      <c r="AA937" s="6">
        <f>('TE BE'!$AB$44+'TE BF'!$AB$44+'TE CVA'!$AB$44)*1</f>
        <v>299.18055042718134</v>
      </c>
      <c r="AB937" s="6">
        <f>$K$937*$V$937</f>
        <v>0</v>
      </c>
      <c r="AC937" s="6">
        <f>$M$937*$W$937</f>
        <v>662.60181999999998</v>
      </c>
      <c r="AD937" s="6">
        <f>$O$937*$X$937</f>
        <v>375.92583000000002</v>
      </c>
      <c r="AE937" s="6">
        <f>$K$937*$Y$937</f>
        <v>0</v>
      </c>
      <c r="AF937" s="6">
        <f ca="1">$M$937*$Z$937</f>
        <v>825.77281879482484</v>
      </c>
      <c r="AG937" s="6">
        <f>$O$937*$AA$937</f>
        <v>403.59456252626762</v>
      </c>
    </row>
    <row r="938" spans="1:33" ht="11.25" customHeight="1" x14ac:dyDescent="0.3">
      <c r="A938" s="4" t="s">
        <v>28</v>
      </c>
      <c r="B938" s="4" t="s">
        <v>37</v>
      </c>
      <c r="C938" s="4" t="s">
        <v>33</v>
      </c>
      <c r="D938" s="4" t="s">
        <v>42</v>
      </c>
      <c r="E938" s="4" t="s">
        <v>25</v>
      </c>
      <c r="F938" s="4" t="s">
        <v>25</v>
      </c>
      <c r="G938" s="4" t="s">
        <v>25</v>
      </c>
      <c r="H938" s="4" t="s">
        <v>36</v>
      </c>
      <c r="I938" s="5">
        <v>44682</v>
      </c>
      <c r="J938" s="6">
        <v>0</v>
      </c>
      <c r="K938" s="6">
        <v>0</v>
      </c>
      <c r="L938" s="6">
        <v>0.56299999999999994</v>
      </c>
      <c r="M938" s="6">
        <v>0.56299999999999994</v>
      </c>
      <c r="N938" s="6">
        <v>0.56299999999999994</v>
      </c>
      <c r="O938" s="6">
        <v>0.56299999999999994</v>
      </c>
      <c r="P938" s="6">
        <v>0</v>
      </c>
      <c r="Q938" s="4" t="s">
        <v>26</v>
      </c>
      <c r="R938" s="4">
        <v>0</v>
      </c>
      <c r="S938" s="6">
        <v>0</v>
      </c>
      <c r="T938" s="6">
        <v>82</v>
      </c>
      <c r="U938" s="6">
        <v>110</v>
      </c>
      <c r="V938" s="6">
        <f>IF(ISERROR(VLOOKUP($S$938,'TAR FIN'!$A$1:$O$113,15,0)),0,VLOOKUP($S$938,'TAR FIN'!$A$1:$O$113,15,0))</f>
        <v>0</v>
      </c>
      <c r="W938" s="6">
        <f>IF(ISERROR(VLOOKUP($T$938,'TAR FIN'!$A$1:$O$113,15,0)),0,VLOOKUP($T$938,'TAR FIN'!$A$1:$O$113,15,0))</f>
        <v>491.18</v>
      </c>
      <c r="X938" s="6">
        <f>IF(ISERROR(VLOOKUP($U$938,'TAR FIN'!$A$1:$O$113,15,0)),0,VLOOKUP($U$938,'TAR FIN'!$A$1:$O$113,15,0))</f>
        <v>278.67</v>
      </c>
      <c r="Y938" s="6"/>
      <c r="Z938" s="6">
        <f ca="1">('TUSD BE'!$AM$66+'TUSD BF'!$AM$66+'TUSD CVA'!$AM$66)*1</f>
        <v>612.13700429564483</v>
      </c>
      <c r="AA938" s="6">
        <f>('TE BE'!$AB$44+'TE BF'!$AB$44+'TE CVA'!$AB$44)*1</f>
        <v>299.18055042718134</v>
      </c>
      <c r="AB938" s="6">
        <f>$K$938*$V$938</f>
        <v>0</v>
      </c>
      <c r="AC938" s="6">
        <f>$M$938*$W$938</f>
        <v>276.53433999999999</v>
      </c>
      <c r="AD938" s="6">
        <f>$O$938*$X$938</f>
        <v>156.89121</v>
      </c>
      <c r="AE938" s="6">
        <f>$K$938*$Y$938</f>
        <v>0</v>
      </c>
      <c r="AF938" s="6">
        <f ca="1">$M$938*$Z$938</f>
        <v>344.63313341844798</v>
      </c>
      <c r="AG938" s="6">
        <f>$O$938*$AA$938</f>
        <v>168.43864989050309</v>
      </c>
    </row>
    <row r="939" spans="1:33" ht="11.25" customHeight="1" x14ac:dyDescent="0.3">
      <c r="A939" s="4" t="s">
        <v>21</v>
      </c>
      <c r="B939" s="4" t="s">
        <v>37</v>
      </c>
      <c r="C939" s="4" t="s">
        <v>33</v>
      </c>
      <c r="D939" s="4" t="s">
        <v>42</v>
      </c>
      <c r="E939" s="4" t="s">
        <v>25</v>
      </c>
      <c r="F939" s="4" t="s">
        <v>25</v>
      </c>
      <c r="G939" s="4" t="s">
        <v>25</v>
      </c>
      <c r="H939" s="4" t="s">
        <v>36</v>
      </c>
      <c r="I939" s="5">
        <v>44713</v>
      </c>
      <c r="J939" s="6">
        <v>0</v>
      </c>
      <c r="K939" s="6">
        <v>0</v>
      </c>
      <c r="L939" s="6">
        <v>0.67200000000000004</v>
      </c>
      <c r="M939" s="6">
        <v>0.67200000000000004</v>
      </c>
      <c r="N939" s="6">
        <v>0.67200000000000004</v>
      </c>
      <c r="O939" s="6">
        <v>0.67200000000000004</v>
      </c>
      <c r="P939" s="6">
        <v>0</v>
      </c>
      <c r="Q939" s="4" t="s">
        <v>26</v>
      </c>
      <c r="R939" s="4">
        <v>0</v>
      </c>
      <c r="S939" s="6">
        <v>0</v>
      </c>
      <c r="T939" s="6">
        <v>82</v>
      </c>
      <c r="U939" s="6">
        <v>110</v>
      </c>
      <c r="V939" s="6">
        <f>IF(ISERROR(VLOOKUP($S$939,'TAR FIN'!$A$1:$O$113,15,0)),0,VLOOKUP($S$939,'TAR FIN'!$A$1:$O$113,15,0))</f>
        <v>0</v>
      </c>
      <c r="W939" s="6">
        <f>IF(ISERROR(VLOOKUP($T$939,'TAR FIN'!$A$1:$O$113,15,0)),0,VLOOKUP($T$939,'TAR FIN'!$A$1:$O$113,15,0))</f>
        <v>491.18</v>
      </c>
      <c r="X939" s="6">
        <f>IF(ISERROR(VLOOKUP($U$939,'TAR FIN'!$A$1:$O$113,15,0)),0,VLOOKUP($U$939,'TAR FIN'!$A$1:$O$113,15,0))</f>
        <v>278.67</v>
      </c>
      <c r="Y939" s="6"/>
      <c r="Z939" s="6">
        <f ca="1">('TUSD BE'!$AM$66+'TUSD BF'!$AM$66+'TUSD CVA'!$AM$66)*1</f>
        <v>612.13700429564483</v>
      </c>
      <c r="AA939" s="6">
        <f>('TE BE'!$AB$44+'TE BF'!$AB$44+'TE CVA'!$AB$44)*1</f>
        <v>299.18055042718134</v>
      </c>
      <c r="AB939" s="6">
        <f>$K$939*$V$939</f>
        <v>0</v>
      </c>
      <c r="AC939" s="6">
        <f>$M$939*$W$939</f>
        <v>330.07296000000002</v>
      </c>
      <c r="AD939" s="6">
        <f>$O$939*$X$939</f>
        <v>187.26624000000001</v>
      </c>
      <c r="AE939" s="6">
        <f>$K$939*$Y$939</f>
        <v>0</v>
      </c>
      <c r="AF939" s="6">
        <f ca="1">$M$939*$Z$939</f>
        <v>411.35606688667337</v>
      </c>
      <c r="AG939" s="6">
        <f>$O$939*$AA$939</f>
        <v>201.04932988706588</v>
      </c>
    </row>
    <row r="940" spans="1:33" ht="11.25" customHeight="1" x14ac:dyDescent="0.3">
      <c r="A940" s="4" t="s">
        <v>28</v>
      </c>
      <c r="B940" s="4" t="s">
        <v>37</v>
      </c>
      <c r="C940" s="4" t="s">
        <v>33</v>
      </c>
      <c r="D940" s="4" t="s">
        <v>42</v>
      </c>
      <c r="E940" s="4" t="s">
        <v>25</v>
      </c>
      <c r="F940" s="4" t="s">
        <v>25</v>
      </c>
      <c r="G940" s="4" t="s">
        <v>25</v>
      </c>
      <c r="H940" s="4" t="s">
        <v>36</v>
      </c>
      <c r="I940" s="5">
        <v>44713</v>
      </c>
      <c r="J940" s="6">
        <v>0</v>
      </c>
      <c r="K940" s="6">
        <v>0</v>
      </c>
      <c r="L940" s="6">
        <v>0.55300000000000005</v>
      </c>
      <c r="M940" s="6">
        <v>0.55300000000000005</v>
      </c>
      <c r="N940" s="6">
        <v>0.55300000000000005</v>
      </c>
      <c r="O940" s="6">
        <v>0.55300000000000005</v>
      </c>
      <c r="P940" s="6">
        <v>0</v>
      </c>
      <c r="Q940" s="4" t="s">
        <v>26</v>
      </c>
      <c r="R940" s="4">
        <v>0</v>
      </c>
      <c r="S940" s="6">
        <v>0</v>
      </c>
      <c r="T940" s="6">
        <v>82</v>
      </c>
      <c r="U940" s="6">
        <v>110</v>
      </c>
      <c r="V940" s="6">
        <f>IF(ISERROR(VLOOKUP($S$940,'TAR FIN'!$A$1:$O$113,15,0)),0,VLOOKUP($S$940,'TAR FIN'!$A$1:$O$113,15,0))</f>
        <v>0</v>
      </c>
      <c r="W940" s="6">
        <f>IF(ISERROR(VLOOKUP($T$940,'TAR FIN'!$A$1:$O$113,15,0)),0,VLOOKUP($T$940,'TAR FIN'!$A$1:$O$113,15,0))</f>
        <v>491.18</v>
      </c>
      <c r="X940" s="6">
        <f>IF(ISERROR(VLOOKUP($U$940,'TAR FIN'!$A$1:$O$113,15,0)),0,VLOOKUP($U$940,'TAR FIN'!$A$1:$O$113,15,0))</f>
        <v>278.67</v>
      </c>
      <c r="Y940" s="6"/>
      <c r="Z940" s="6">
        <f ca="1">('TUSD BE'!$AM$66+'TUSD BF'!$AM$66+'TUSD CVA'!$AM$66)*1</f>
        <v>612.13700429564483</v>
      </c>
      <c r="AA940" s="6">
        <f>('TE BE'!$AB$44+'TE BF'!$AB$44+'TE CVA'!$AB$44)*1</f>
        <v>299.18055042718134</v>
      </c>
      <c r="AB940" s="6">
        <f>$K$940*$V$940</f>
        <v>0</v>
      </c>
      <c r="AC940" s="6">
        <f>$M$940*$W$940</f>
        <v>271.62254000000001</v>
      </c>
      <c r="AD940" s="6">
        <f>$O$940*$X$940</f>
        <v>154.10451000000003</v>
      </c>
      <c r="AE940" s="6">
        <f>$K$940*$Y$940</f>
        <v>0</v>
      </c>
      <c r="AF940" s="6">
        <f ca="1">$M$940*$Z$940</f>
        <v>338.51176337549163</v>
      </c>
      <c r="AG940" s="6">
        <f>$O$940*$AA$940</f>
        <v>165.44684438623131</v>
      </c>
    </row>
    <row r="941" spans="1:33" ht="11.25" customHeight="1" x14ac:dyDescent="0.3">
      <c r="A941" s="4" t="s">
        <v>21</v>
      </c>
      <c r="B941" s="4" t="s">
        <v>37</v>
      </c>
      <c r="C941" s="4" t="s">
        <v>33</v>
      </c>
      <c r="D941" s="4" t="s">
        <v>42</v>
      </c>
      <c r="E941" s="4" t="s">
        <v>25</v>
      </c>
      <c r="F941" s="4" t="s">
        <v>25</v>
      </c>
      <c r="G941" s="4" t="s">
        <v>25</v>
      </c>
      <c r="H941" s="4" t="s">
        <v>36</v>
      </c>
      <c r="I941" s="5">
        <v>44743</v>
      </c>
      <c r="J941" s="6">
        <v>0</v>
      </c>
      <c r="K941" s="6">
        <v>0</v>
      </c>
      <c r="L941" s="6">
        <v>2.024</v>
      </c>
      <c r="M941" s="6">
        <v>2.024</v>
      </c>
      <c r="N941" s="6">
        <v>2.024</v>
      </c>
      <c r="O941" s="6">
        <v>2.024</v>
      </c>
      <c r="P941" s="6">
        <v>0</v>
      </c>
      <c r="Q941" s="4" t="s">
        <v>26</v>
      </c>
      <c r="R941" s="4">
        <v>0</v>
      </c>
      <c r="S941" s="6">
        <v>0</v>
      </c>
      <c r="T941" s="6">
        <v>82</v>
      </c>
      <c r="U941" s="6">
        <v>110</v>
      </c>
      <c r="V941" s="6">
        <f>IF(ISERROR(VLOOKUP($S$941,'TAR FIN'!$A$1:$O$113,15,0)),0,VLOOKUP($S$941,'TAR FIN'!$A$1:$O$113,15,0))</f>
        <v>0</v>
      </c>
      <c r="W941" s="6">
        <f>IF(ISERROR(VLOOKUP($T$941,'TAR FIN'!$A$1:$O$113,15,0)),0,VLOOKUP($T$941,'TAR FIN'!$A$1:$O$113,15,0))</f>
        <v>491.18</v>
      </c>
      <c r="X941" s="6">
        <f>IF(ISERROR(VLOOKUP($U$941,'TAR FIN'!$A$1:$O$113,15,0)),0,VLOOKUP($U$941,'TAR FIN'!$A$1:$O$113,15,0))</f>
        <v>278.67</v>
      </c>
      <c r="Y941" s="6"/>
      <c r="Z941" s="6">
        <f ca="1">('TUSD BE'!$AM$66+'TUSD BF'!$AM$66+'TUSD CVA'!$AM$66)*1</f>
        <v>612.13700429564483</v>
      </c>
      <c r="AA941" s="6">
        <f>('TE BE'!$AB$44+'TE BF'!$AB$44+'TE CVA'!$AB$44)*1</f>
        <v>299.18055042718134</v>
      </c>
      <c r="AB941" s="6">
        <f>$K$941*$V$941</f>
        <v>0</v>
      </c>
      <c r="AC941" s="6">
        <f>$M$941*$W$941</f>
        <v>994.14832000000001</v>
      </c>
      <c r="AD941" s="6">
        <f>$O$941*$X$941</f>
        <v>564.02808000000005</v>
      </c>
      <c r="AE941" s="6">
        <f>$K$941*$Y$941</f>
        <v>0</v>
      </c>
      <c r="AF941" s="6">
        <f ca="1">$M$941*$Z$941</f>
        <v>1238.9652966943852</v>
      </c>
      <c r="AG941" s="6">
        <f>$O$941*$AA$941</f>
        <v>605.54143406461503</v>
      </c>
    </row>
    <row r="942" spans="1:33" ht="11.25" customHeight="1" x14ac:dyDescent="0.3">
      <c r="A942" s="4" t="s">
        <v>21</v>
      </c>
      <c r="B942" s="4" t="s">
        <v>37</v>
      </c>
      <c r="C942" s="4" t="s">
        <v>33</v>
      </c>
      <c r="D942" s="4" t="s">
        <v>42</v>
      </c>
      <c r="E942" s="4" t="s">
        <v>25</v>
      </c>
      <c r="F942" s="4" t="s">
        <v>25</v>
      </c>
      <c r="G942" s="4" t="s">
        <v>25</v>
      </c>
      <c r="H942" s="4" t="s">
        <v>36</v>
      </c>
      <c r="I942" s="5">
        <v>44774</v>
      </c>
      <c r="J942" s="6">
        <v>0</v>
      </c>
      <c r="K942" s="6">
        <v>0</v>
      </c>
      <c r="L942" s="6">
        <v>1.1299999999999999</v>
      </c>
      <c r="M942" s="6">
        <v>1.1299999999999999</v>
      </c>
      <c r="N942" s="6">
        <v>1.1299999999999999</v>
      </c>
      <c r="O942" s="6">
        <v>1.1299999999999999</v>
      </c>
      <c r="P942" s="6">
        <v>0</v>
      </c>
      <c r="Q942" s="4" t="s">
        <v>26</v>
      </c>
      <c r="R942" s="4">
        <v>0</v>
      </c>
      <c r="S942" s="6">
        <v>0</v>
      </c>
      <c r="T942" s="6">
        <v>82</v>
      </c>
      <c r="U942" s="6">
        <v>110</v>
      </c>
      <c r="V942" s="6">
        <f>IF(ISERROR(VLOOKUP($S$942,'TAR FIN'!$A$1:$O$113,15,0)),0,VLOOKUP($S$942,'TAR FIN'!$A$1:$O$113,15,0))</f>
        <v>0</v>
      </c>
      <c r="W942" s="6">
        <f>IF(ISERROR(VLOOKUP($T$942,'TAR FIN'!$A$1:$O$113,15,0)),0,VLOOKUP($T$942,'TAR FIN'!$A$1:$O$113,15,0))</f>
        <v>491.18</v>
      </c>
      <c r="X942" s="6">
        <f>IF(ISERROR(VLOOKUP($U$942,'TAR FIN'!$A$1:$O$113,15,0)),0,VLOOKUP($U$942,'TAR FIN'!$A$1:$O$113,15,0))</f>
        <v>278.67</v>
      </c>
      <c r="Y942" s="6"/>
      <c r="Z942" s="6">
        <f ca="1">('TUSD BE'!$AM$66+'TUSD BF'!$AM$66+'TUSD CVA'!$AM$66)*1</f>
        <v>612.13700429564483</v>
      </c>
      <c r="AA942" s="6">
        <f>('TE BE'!$AB$44+'TE BF'!$AB$44+'TE CVA'!$AB$44)*1</f>
        <v>299.18055042718134</v>
      </c>
      <c r="AB942" s="6">
        <f>$K$942*$V$942</f>
        <v>0</v>
      </c>
      <c r="AC942" s="6">
        <f>$M$942*$W$942</f>
        <v>555.03339999999992</v>
      </c>
      <c r="AD942" s="6">
        <f>$O$942*$X$942</f>
        <v>314.89709999999997</v>
      </c>
      <c r="AE942" s="6">
        <f>$K$942*$Y$942</f>
        <v>0</v>
      </c>
      <c r="AF942" s="6">
        <f ca="1">$M$942*$Z$942</f>
        <v>691.71481485407855</v>
      </c>
      <c r="AG942" s="6">
        <f>$O$942*$AA$942</f>
        <v>338.0740219827149</v>
      </c>
    </row>
    <row r="943" spans="1:33" ht="11.25" customHeight="1" x14ac:dyDescent="0.3">
      <c r="A943" s="4" t="s">
        <v>28</v>
      </c>
      <c r="B943" s="4" t="s">
        <v>37</v>
      </c>
      <c r="C943" s="4" t="s">
        <v>33</v>
      </c>
      <c r="D943" s="4" t="s">
        <v>42</v>
      </c>
      <c r="E943" s="4" t="s">
        <v>25</v>
      </c>
      <c r="F943" s="4" t="s">
        <v>25</v>
      </c>
      <c r="G943" s="4" t="s">
        <v>25</v>
      </c>
      <c r="H943" s="4" t="s">
        <v>36</v>
      </c>
      <c r="I943" s="5">
        <v>44774</v>
      </c>
      <c r="J943" s="6">
        <v>0</v>
      </c>
      <c r="K943" s="6">
        <v>0</v>
      </c>
      <c r="L943" s="6">
        <v>0.498</v>
      </c>
      <c r="M943" s="6">
        <v>0.498</v>
      </c>
      <c r="N943" s="6">
        <v>0.498</v>
      </c>
      <c r="O943" s="6">
        <v>0.498</v>
      </c>
      <c r="P943" s="6">
        <v>0</v>
      </c>
      <c r="Q943" s="4" t="s">
        <v>26</v>
      </c>
      <c r="R943" s="4">
        <v>0</v>
      </c>
      <c r="S943" s="6">
        <v>0</v>
      </c>
      <c r="T943" s="6">
        <v>82</v>
      </c>
      <c r="U943" s="6">
        <v>110</v>
      </c>
      <c r="V943" s="6">
        <f>IF(ISERROR(VLOOKUP($S$943,'TAR FIN'!$A$1:$O$113,15,0)),0,VLOOKUP($S$943,'TAR FIN'!$A$1:$O$113,15,0))</f>
        <v>0</v>
      </c>
      <c r="W943" s="6">
        <f>IF(ISERROR(VLOOKUP($T$943,'TAR FIN'!$A$1:$O$113,15,0)),0,VLOOKUP($T$943,'TAR FIN'!$A$1:$O$113,15,0))</f>
        <v>491.18</v>
      </c>
      <c r="X943" s="6">
        <f>IF(ISERROR(VLOOKUP($U$943,'TAR FIN'!$A$1:$O$113,15,0)),0,VLOOKUP($U$943,'TAR FIN'!$A$1:$O$113,15,0))</f>
        <v>278.67</v>
      </c>
      <c r="Y943" s="6"/>
      <c r="Z943" s="6">
        <f ca="1">('TUSD BE'!$AM$66+'TUSD BF'!$AM$66+'TUSD CVA'!$AM$66)*1</f>
        <v>612.13700429564483</v>
      </c>
      <c r="AA943" s="6">
        <f>('TE BE'!$AB$44+'TE BF'!$AB$44+'TE CVA'!$AB$44)*1</f>
        <v>299.18055042718134</v>
      </c>
      <c r="AB943" s="6">
        <f>$K$943*$V$943</f>
        <v>0</v>
      </c>
      <c r="AC943" s="6">
        <f>$M$943*$W$943</f>
        <v>244.60764</v>
      </c>
      <c r="AD943" s="6">
        <f>$O$943*$X$943</f>
        <v>138.77766</v>
      </c>
      <c r="AE943" s="6">
        <f>$K$943*$Y$943</f>
        <v>0</v>
      </c>
      <c r="AF943" s="6">
        <f ca="1">$M$943*$Z$943</f>
        <v>304.84422813923112</v>
      </c>
      <c r="AG943" s="6">
        <f>$O$943*$AA$943</f>
        <v>148.99191411273631</v>
      </c>
    </row>
    <row r="944" spans="1:33" ht="11.25" customHeight="1" x14ac:dyDescent="0.3">
      <c r="A944" s="4" t="s">
        <v>21</v>
      </c>
      <c r="B944" s="4" t="s">
        <v>37</v>
      </c>
      <c r="C944" s="4" t="s">
        <v>33</v>
      </c>
      <c r="D944" s="4" t="s">
        <v>42</v>
      </c>
      <c r="E944" s="4" t="s">
        <v>25</v>
      </c>
      <c r="F944" s="4" t="s">
        <v>25</v>
      </c>
      <c r="G944" s="4" t="s">
        <v>25</v>
      </c>
      <c r="H944" s="4" t="s">
        <v>36</v>
      </c>
      <c r="I944" s="5">
        <v>44805</v>
      </c>
      <c r="J944" s="6">
        <v>0</v>
      </c>
      <c r="K944" s="6">
        <v>0</v>
      </c>
      <c r="L944" s="6">
        <v>1.181</v>
      </c>
      <c r="M944" s="6">
        <v>1.181</v>
      </c>
      <c r="N944" s="6">
        <v>1.181</v>
      </c>
      <c r="O944" s="6">
        <v>1.181</v>
      </c>
      <c r="P944" s="6">
        <v>0</v>
      </c>
      <c r="Q944" s="4" t="s">
        <v>26</v>
      </c>
      <c r="R944" s="4">
        <v>0</v>
      </c>
      <c r="S944" s="6">
        <v>0</v>
      </c>
      <c r="T944" s="6">
        <v>82</v>
      </c>
      <c r="U944" s="6">
        <v>110</v>
      </c>
      <c r="V944" s="6">
        <f>IF(ISERROR(VLOOKUP($S$944,'TAR FIN'!$A$1:$O$113,15,0)),0,VLOOKUP($S$944,'TAR FIN'!$A$1:$O$113,15,0))</f>
        <v>0</v>
      </c>
      <c r="W944" s="6">
        <f>IF(ISERROR(VLOOKUP($T$944,'TAR FIN'!$A$1:$O$113,15,0)),0,VLOOKUP($T$944,'TAR FIN'!$A$1:$O$113,15,0))</f>
        <v>491.18</v>
      </c>
      <c r="X944" s="6">
        <f>IF(ISERROR(VLOOKUP($U$944,'TAR FIN'!$A$1:$O$113,15,0)),0,VLOOKUP($U$944,'TAR FIN'!$A$1:$O$113,15,0))</f>
        <v>278.67</v>
      </c>
      <c r="Y944" s="6"/>
      <c r="Z944" s="6">
        <f ca="1">('TUSD BE'!$AM$66+'TUSD BF'!$AM$66+'TUSD CVA'!$AM$66)*1</f>
        <v>612.13700429564483</v>
      </c>
      <c r="AA944" s="6">
        <f>('TE BE'!$AB$44+'TE BF'!$AB$44+'TE CVA'!$AB$44)*1</f>
        <v>299.18055042718134</v>
      </c>
      <c r="AB944" s="6">
        <f>$K$944*$V$944</f>
        <v>0</v>
      </c>
      <c r="AC944" s="6">
        <f>$M$944*$W$944</f>
        <v>580.08357999999998</v>
      </c>
      <c r="AD944" s="6">
        <f>$O$944*$X$944</f>
        <v>329.10927000000004</v>
      </c>
      <c r="AE944" s="6">
        <f>$K$944*$Y$944</f>
        <v>0</v>
      </c>
      <c r="AF944" s="6">
        <f ca="1">$M$944*$Z$944</f>
        <v>722.93380207315658</v>
      </c>
      <c r="AG944" s="6">
        <f>$O$944*$AA$944</f>
        <v>353.33223005450117</v>
      </c>
    </row>
    <row r="945" spans="1:33" ht="11.25" customHeight="1" x14ac:dyDescent="0.3">
      <c r="A945" s="4" t="s">
        <v>28</v>
      </c>
      <c r="B945" s="4" t="s">
        <v>37</v>
      </c>
      <c r="C945" s="4" t="s">
        <v>33</v>
      </c>
      <c r="D945" s="4" t="s">
        <v>42</v>
      </c>
      <c r="E945" s="4" t="s">
        <v>25</v>
      </c>
      <c r="F945" s="4" t="s">
        <v>25</v>
      </c>
      <c r="G945" s="4" t="s">
        <v>25</v>
      </c>
      <c r="H945" s="4" t="s">
        <v>36</v>
      </c>
      <c r="I945" s="5">
        <v>44805</v>
      </c>
      <c r="J945" s="6">
        <v>0</v>
      </c>
      <c r="K945" s="6">
        <v>0</v>
      </c>
      <c r="L945" s="6">
        <v>0.48499999999999999</v>
      </c>
      <c r="M945" s="6">
        <v>0.48499999999999999</v>
      </c>
      <c r="N945" s="6">
        <v>0.48499999999999999</v>
      </c>
      <c r="O945" s="6">
        <v>0.48499999999999999</v>
      </c>
      <c r="P945" s="6">
        <v>0</v>
      </c>
      <c r="Q945" s="4" t="s">
        <v>26</v>
      </c>
      <c r="R945" s="4">
        <v>0</v>
      </c>
      <c r="S945" s="6">
        <v>0</v>
      </c>
      <c r="T945" s="6">
        <v>82</v>
      </c>
      <c r="U945" s="6">
        <v>110</v>
      </c>
      <c r="V945" s="6">
        <f>IF(ISERROR(VLOOKUP($S$945,'TAR FIN'!$A$1:$O$113,15,0)),0,VLOOKUP($S$945,'TAR FIN'!$A$1:$O$113,15,0))</f>
        <v>0</v>
      </c>
      <c r="W945" s="6">
        <f>IF(ISERROR(VLOOKUP($T$945,'TAR FIN'!$A$1:$O$113,15,0)),0,VLOOKUP($T$945,'TAR FIN'!$A$1:$O$113,15,0))</f>
        <v>491.18</v>
      </c>
      <c r="X945" s="6">
        <f>IF(ISERROR(VLOOKUP($U$945,'TAR FIN'!$A$1:$O$113,15,0)),0,VLOOKUP($U$945,'TAR FIN'!$A$1:$O$113,15,0))</f>
        <v>278.67</v>
      </c>
      <c r="Y945" s="6"/>
      <c r="Z945" s="6">
        <f ca="1">('TUSD BE'!$AM$66+'TUSD BF'!$AM$66+'TUSD CVA'!$AM$66)*1</f>
        <v>612.13700429564483</v>
      </c>
      <c r="AA945" s="6">
        <f>('TE BE'!$AB$44+'TE BF'!$AB$44+'TE CVA'!$AB$44)*1</f>
        <v>299.18055042718134</v>
      </c>
      <c r="AB945" s="6">
        <f>$K$945*$V$945</f>
        <v>0</v>
      </c>
      <c r="AC945" s="6">
        <f>$M$945*$W$945</f>
        <v>238.22229999999999</v>
      </c>
      <c r="AD945" s="6">
        <f>$O$945*$X$945</f>
        <v>135.15495000000001</v>
      </c>
      <c r="AE945" s="6">
        <f>$K$945*$Y$945</f>
        <v>0</v>
      </c>
      <c r="AF945" s="6">
        <f ca="1">$M$945*$Z$945</f>
        <v>296.88644708338774</v>
      </c>
      <c r="AG945" s="6">
        <f>$O$945*$AA$945</f>
        <v>145.10256695718294</v>
      </c>
    </row>
    <row r="946" spans="1:33" ht="11.25" customHeight="1" x14ac:dyDescent="0.3">
      <c r="A946" s="4" t="s">
        <v>53</v>
      </c>
      <c r="B946" s="4" t="s">
        <v>37</v>
      </c>
      <c r="C946" s="4" t="s">
        <v>33</v>
      </c>
      <c r="D946" s="4" t="s">
        <v>42</v>
      </c>
      <c r="E946" s="4" t="s">
        <v>25</v>
      </c>
      <c r="F946" s="4" t="s">
        <v>25</v>
      </c>
      <c r="G946" s="4" t="s">
        <v>25</v>
      </c>
      <c r="H946" s="4" t="s">
        <v>36</v>
      </c>
      <c r="I946" s="5">
        <v>44835</v>
      </c>
      <c r="J946" s="6">
        <v>0</v>
      </c>
      <c r="K946" s="6">
        <v>0</v>
      </c>
      <c r="L946" s="6">
        <v>1.181</v>
      </c>
      <c r="M946" s="6">
        <v>1.181</v>
      </c>
      <c r="N946" s="6">
        <v>1.181</v>
      </c>
      <c r="O946" s="6">
        <v>1.181</v>
      </c>
      <c r="P946" s="6">
        <v>0</v>
      </c>
      <c r="Q946" s="4" t="s">
        <v>26</v>
      </c>
      <c r="R946" s="4">
        <v>0</v>
      </c>
      <c r="S946" s="6">
        <v>0</v>
      </c>
      <c r="T946" s="6">
        <v>82</v>
      </c>
      <c r="U946" s="6">
        <v>110</v>
      </c>
      <c r="V946" s="6">
        <f>IF(ISERROR(VLOOKUP($S$946,'TAR FIN'!$A$1:$O$113,15,0)),0,VLOOKUP($S$946,'TAR FIN'!$A$1:$O$113,15,0))</f>
        <v>0</v>
      </c>
      <c r="W946" s="6">
        <f>IF(ISERROR(VLOOKUP($T$946,'TAR FIN'!$A$1:$O$113,15,0)),0,VLOOKUP($T$946,'TAR FIN'!$A$1:$O$113,15,0))</f>
        <v>491.18</v>
      </c>
      <c r="X946" s="6">
        <f>IF(ISERROR(VLOOKUP($U$946,'TAR FIN'!$A$1:$O$113,15,0)),0,VLOOKUP($U$946,'TAR FIN'!$A$1:$O$113,15,0))</f>
        <v>278.67</v>
      </c>
      <c r="Y946" s="6"/>
      <c r="Z946" s="6">
        <f ca="1">('TUSD BE'!$AM$66+'TUSD BF'!$AM$66+'TUSD CVA'!$AM$66)*1</f>
        <v>612.13700429564483</v>
      </c>
      <c r="AA946" s="6">
        <f>('TE BE'!$AB$44+'TE BF'!$AB$44+'TE CVA'!$AB$44)*1</f>
        <v>299.18055042718134</v>
      </c>
      <c r="AB946" s="6">
        <f>$K$946*$V$946</f>
        <v>0</v>
      </c>
      <c r="AC946" s="6">
        <f>$M$946*$W$946</f>
        <v>580.08357999999998</v>
      </c>
      <c r="AD946" s="6">
        <f>$O$946*$X$946</f>
        <v>329.10927000000004</v>
      </c>
      <c r="AE946" s="6">
        <f>$K$946*$Y$946</f>
        <v>0</v>
      </c>
      <c r="AF946" s="6">
        <f ca="1">$M$946*$Z$946</f>
        <v>722.93380207315658</v>
      </c>
      <c r="AG946" s="6">
        <f>$O$946*$AA$946</f>
        <v>353.33223005450117</v>
      </c>
    </row>
    <row r="947" spans="1:33" ht="11.25" customHeight="1" x14ac:dyDescent="0.3">
      <c r="A947" s="4" t="s">
        <v>53</v>
      </c>
      <c r="B947" s="4" t="s">
        <v>37</v>
      </c>
      <c r="C947" s="4" t="s">
        <v>33</v>
      </c>
      <c r="D947" s="4" t="s">
        <v>42</v>
      </c>
      <c r="E947" s="4" t="s">
        <v>25</v>
      </c>
      <c r="F947" s="4" t="s">
        <v>25</v>
      </c>
      <c r="G947" s="4" t="s">
        <v>25</v>
      </c>
      <c r="H947" s="4" t="s">
        <v>36</v>
      </c>
      <c r="I947" s="5">
        <v>44835</v>
      </c>
      <c r="J947" s="6">
        <v>0</v>
      </c>
      <c r="K947" s="6">
        <v>0</v>
      </c>
      <c r="L947" s="6">
        <v>0.48499999999999999</v>
      </c>
      <c r="M947" s="6">
        <v>0.48499999999999999</v>
      </c>
      <c r="N947" s="6">
        <v>0.48499999999999999</v>
      </c>
      <c r="O947" s="6">
        <v>0.48499999999999999</v>
      </c>
      <c r="P947" s="6">
        <v>0</v>
      </c>
      <c r="Q947" s="4" t="s">
        <v>26</v>
      </c>
      <c r="R947" s="4">
        <v>0</v>
      </c>
      <c r="S947" s="6">
        <v>0</v>
      </c>
      <c r="T947" s="6">
        <v>82</v>
      </c>
      <c r="U947" s="6">
        <v>110</v>
      </c>
      <c r="V947" s="6">
        <f>IF(ISERROR(VLOOKUP($S$947,'TAR FIN'!$A$1:$O$113,15,0)),0,VLOOKUP($S$947,'TAR FIN'!$A$1:$O$113,15,0))</f>
        <v>0</v>
      </c>
      <c r="W947" s="6">
        <f>IF(ISERROR(VLOOKUP($T$947,'TAR FIN'!$A$1:$O$113,15,0)),0,VLOOKUP($T$947,'TAR FIN'!$A$1:$O$113,15,0))</f>
        <v>491.18</v>
      </c>
      <c r="X947" s="6">
        <f>IF(ISERROR(VLOOKUP($U$947,'TAR FIN'!$A$1:$O$113,15,0)),0,VLOOKUP($U$947,'TAR FIN'!$A$1:$O$113,15,0))</f>
        <v>278.67</v>
      </c>
      <c r="Y947" s="6"/>
      <c r="Z947" s="6">
        <f ca="1">('TUSD BE'!$AM$66+'TUSD BF'!$AM$66+'TUSD CVA'!$AM$66)*1</f>
        <v>612.13700429564483</v>
      </c>
      <c r="AA947" s="6">
        <f>('TE BE'!$AB$44+'TE BF'!$AB$44+'TE CVA'!$AB$44)*1</f>
        <v>299.18055042718134</v>
      </c>
      <c r="AB947" s="6">
        <f>$K$947*$V$947</f>
        <v>0</v>
      </c>
      <c r="AC947" s="6">
        <f>$M$947*$W$947</f>
        <v>238.22229999999999</v>
      </c>
      <c r="AD947" s="6">
        <f>$O$947*$X$947</f>
        <v>135.15495000000001</v>
      </c>
      <c r="AE947" s="6">
        <f>$K$947*$Y$947</f>
        <v>0</v>
      </c>
      <c r="AF947" s="6">
        <f ca="1">$M$947*$Z$947</f>
        <v>296.88644708338774</v>
      </c>
      <c r="AG947" s="6">
        <f>$O$947*$AA$947</f>
        <v>145.10256695718294</v>
      </c>
    </row>
    <row r="948" spans="1:33" ht="11.25" customHeight="1" x14ac:dyDescent="0.3">
      <c r="A948" s="4" t="s">
        <v>21</v>
      </c>
      <c r="B948" s="4" t="s">
        <v>37</v>
      </c>
      <c r="C948" s="4" t="s">
        <v>33</v>
      </c>
      <c r="D948" s="4" t="s">
        <v>42</v>
      </c>
      <c r="E948" s="4" t="s">
        <v>25</v>
      </c>
      <c r="F948" s="4" t="s">
        <v>25</v>
      </c>
      <c r="G948" s="4" t="s">
        <v>25</v>
      </c>
      <c r="H948" s="4" t="s">
        <v>34</v>
      </c>
      <c r="I948" s="5">
        <v>44501</v>
      </c>
      <c r="J948" s="6">
        <v>0</v>
      </c>
      <c r="K948" s="6">
        <v>0</v>
      </c>
      <c r="L948" s="6">
        <v>1.625</v>
      </c>
      <c r="M948" s="6">
        <v>1.625</v>
      </c>
      <c r="N948" s="6">
        <v>1.625</v>
      </c>
      <c r="O948" s="6">
        <v>1.625</v>
      </c>
      <c r="P948" s="6">
        <v>0</v>
      </c>
      <c r="Q948" s="4" t="s">
        <v>26</v>
      </c>
      <c r="R948" s="4">
        <v>0</v>
      </c>
      <c r="S948" s="6">
        <v>0</v>
      </c>
      <c r="T948" s="6">
        <v>83</v>
      </c>
      <c r="U948" s="6">
        <v>106</v>
      </c>
      <c r="V948" s="6">
        <f>IF(ISERROR(VLOOKUP($S$948,'TAR FIN'!$A$1:$O$113,15,0)),0,VLOOKUP($S$948,'TAR FIN'!$A$1:$O$113,15,0))</f>
        <v>0</v>
      </c>
      <c r="W948" s="6">
        <f>IF(ISERROR(VLOOKUP($T$948,'TAR FIN'!$A$1:$O$113,15,0)),0,VLOOKUP($T$948,'TAR FIN'!$A$1:$O$113,15,0))</f>
        <v>748.29</v>
      </c>
      <c r="X948" s="6">
        <f>IF(ISERROR(VLOOKUP($U$948,'TAR FIN'!$A$1:$O$113,15,0)),0,VLOOKUP($U$948,'TAR FIN'!$A$1:$O$113,15,0))</f>
        <v>442.86</v>
      </c>
      <c r="Y948" s="6"/>
      <c r="Z948" s="6">
        <f ca="1">('TUSD BE'!$AM$65+'TUSD BF'!$AM$65+'TUSD CVA'!$AM$65)*1</f>
        <v>906.91831020354402</v>
      </c>
      <c r="AA948" s="6">
        <f>('TE BE'!$AB$43+'TE BF'!$AB$43+'TE CVA'!$AB$43)*1</f>
        <v>486.43608405794748</v>
      </c>
      <c r="AB948" s="6">
        <f>$K$948*$V$948</f>
        <v>0</v>
      </c>
      <c r="AC948" s="6">
        <f>$M$948*$W$948</f>
        <v>1215.9712500000001</v>
      </c>
      <c r="AD948" s="6">
        <f>$O$948*$X$948</f>
        <v>719.64750000000004</v>
      </c>
      <c r="AE948" s="6">
        <f>$K$948*$Y$948</f>
        <v>0</v>
      </c>
      <c r="AF948" s="6">
        <f ca="1">$M$948*$Z$948</f>
        <v>1473.742254080759</v>
      </c>
      <c r="AG948" s="6">
        <f>$O$948*$AA$948</f>
        <v>790.45863659416466</v>
      </c>
    </row>
    <row r="949" spans="1:33" ht="11.25" customHeight="1" x14ac:dyDescent="0.3">
      <c r="A949" s="4" t="s">
        <v>28</v>
      </c>
      <c r="B949" s="4" t="s">
        <v>37</v>
      </c>
      <c r="C949" s="4" t="s">
        <v>33</v>
      </c>
      <c r="D949" s="4" t="s">
        <v>42</v>
      </c>
      <c r="E949" s="4" t="s">
        <v>25</v>
      </c>
      <c r="F949" s="4" t="s">
        <v>25</v>
      </c>
      <c r="G949" s="4" t="s">
        <v>25</v>
      </c>
      <c r="H949" s="4" t="s">
        <v>34</v>
      </c>
      <c r="I949" s="5">
        <v>44501</v>
      </c>
      <c r="J949" s="6">
        <v>0</v>
      </c>
      <c r="K949" s="6">
        <v>0</v>
      </c>
      <c r="L949" s="6">
        <v>0.23400000000000001</v>
      </c>
      <c r="M949" s="6">
        <v>0.23400000000000001</v>
      </c>
      <c r="N949" s="6">
        <v>0.23400000000000001</v>
      </c>
      <c r="O949" s="6">
        <v>0.23400000000000001</v>
      </c>
      <c r="P949" s="6">
        <v>0</v>
      </c>
      <c r="Q949" s="4" t="s">
        <v>26</v>
      </c>
      <c r="R949" s="4">
        <v>0</v>
      </c>
      <c r="S949" s="6">
        <v>0</v>
      </c>
      <c r="T949" s="6">
        <v>83</v>
      </c>
      <c r="U949" s="6">
        <v>106</v>
      </c>
      <c r="V949" s="6">
        <f>IF(ISERROR(VLOOKUP($S$949,'TAR FIN'!$A$1:$O$113,15,0)),0,VLOOKUP($S$949,'TAR FIN'!$A$1:$O$113,15,0))</f>
        <v>0</v>
      </c>
      <c r="W949" s="6">
        <f>IF(ISERROR(VLOOKUP($T$949,'TAR FIN'!$A$1:$O$113,15,0)),0,VLOOKUP($T$949,'TAR FIN'!$A$1:$O$113,15,0))</f>
        <v>748.29</v>
      </c>
      <c r="X949" s="6">
        <f>IF(ISERROR(VLOOKUP($U$949,'TAR FIN'!$A$1:$O$113,15,0)),0,VLOOKUP($U$949,'TAR FIN'!$A$1:$O$113,15,0))</f>
        <v>442.86</v>
      </c>
      <c r="Y949" s="6"/>
      <c r="Z949" s="6">
        <f ca="1">('TUSD BE'!$AM$65+'TUSD BF'!$AM$65+'TUSD CVA'!$AM$65)*1</f>
        <v>906.91831020354402</v>
      </c>
      <c r="AA949" s="6">
        <f>('TE BE'!$AB$43+'TE BF'!$AB$43+'TE CVA'!$AB$43)*1</f>
        <v>486.43608405794748</v>
      </c>
      <c r="AB949" s="6">
        <f>$K$949*$V$949</f>
        <v>0</v>
      </c>
      <c r="AC949" s="6">
        <f>$M$949*$W$949</f>
        <v>175.09986000000001</v>
      </c>
      <c r="AD949" s="6">
        <f>$O$949*$X$949</f>
        <v>103.62924000000001</v>
      </c>
      <c r="AE949" s="6">
        <f>$K$949*$Y$949</f>
        <v>0</v>
      </c>
      <c r="AF949" s="6">
        <f ca="1">$M$949*$Z$949</f>
        <v>212.2188845876293</v>
      </c>
      <c r="AG949" s="6">
        <f>$O$949*$AA$949</f>
        <v>113.82604366955972</v>
      </c>
    </row>
    <row r="950" spans="1:33" ht="11.25" customHeight="1" x14ac:dyDescent="0.3">
      <c r="A950" s="4" t="s">
        <v>21</v>
      </c>
      <c r="B950" s="4" t="s">
        <v>37</v>
      </c>
      <c r="C950" s="4" t="s">
        <v>33</v>
      </c>
      <c r="D950" s="4" t="s">
        <v>42</v>
      </c>
      <c r="E950" s="4" t="s">
        <v>25</v>
      </c>
      <c r="F950" s="4" t="s">
        <v>25</v>
      </c>
      <c r="G950" s="4" t="s">
        <v>25</v>
      </c>
      <c r="H950" s="4" t="s">
        <v>34</v>
      </c>
      <c r="I950" s="5">
        <v>44531</v>
      </c>
      <c r="J950" s="6">
        <v>0</v>
      </c>
      <c r="K950" s="6">
        <v>0</v>
      </c>
      <c r="L950" s="6">
        <v>1.3879999999999999</v>
      </c>
      <c r="M950" s="6">
        <v>1.3879999999999999</v>
      </c>
      <c r="N950" s="6">
        <v>1.3879999999999999</v>
      </c>
      <c r="O950" s="6">
        <v>1.3879999999999999</v>
      </c>
      <c r="P950" s="6">
        <v>0</v>
      </c>
      <c r="Q950" s="4" t="s">
        <v>26</v>
      </c>
      <c r="R950" s="4">
        <v>0</v>
      </c>
      <c r="S950" s="6">
        <v>0</v>
      </c>
      <c r="T950" s="6">
        <v>83</v>
      </c>
      <c r="U950" s="6">
        <v>106</v>
      </c>
      <c r="V950" s="6">
        <f>IF(ISERROR(VLOOKUP($S$950,'TAR FIN'!$A$1:$O$113,15,0)),0,VLOOKUP($S$950,'TAR FIN'!$A$1:$O$113,15,0))</f>
        <v>0</v>
      </c>
      <c r="W950" s="6">
        <f>IF(ISERROR(VLOOKUP($T$950,'TAR FIN'!$A$1:$O$113,15,0)),0,VLOOKUP($T$950,'TAR FIN'!$A$1:$O$113,15,0))</f>
        <v>748.29</v>
      </c>
      <c r="X950" s="6">
        <f>IF(ISERROR(VLOOKUP($U$950,'TAR FIN'!$A$1:$O$113,15,0)),0,VLOOKUP($U$950,'TAR FIN'!$A$1:$O$113,15,0))</f>
        <v>442.86</v>
      </c>
      <c r="Y950" s="6"/>
      <c r="Z950" s="6">
        <f ca="1">('TUSD BE'!$AM$65+'TUSD BF'!$AM$65+'TUSD CVA'!$AM$65)*1</f>
        <v>906.91831020354402</v>
      </c>
      <c r="AA950" s="6">
        <f>('TE BE'!$AB$43+'TE BF'!$AB$43+'TE CVA'!$AB$43)*1</f>
        <v>486.43608405794748</v>
      </c>
      <c r="AB950" s="6">
        <f>$K$950*$V$950</f>
        <v>0</v>
      </c>
      <c r="AC950" s="6">
        <f>$M$950*$W$950</f>
        <v>1038.6265199999998</v>
      </c>
      <c r="AD950" s="6">
        <f>$O$950*$X$950</f>
        <v>614.68967999999995</v>
      </c>
      <c r="AE950" s="6">
        <f>$K$950*$Y$950</f>
        <v>0</v>
      </c>
      <c r="AF950" s="6">
        <f ca="1">$M$950*$Z$950</f>
        <v>1258.802614562519</v>
      </c>
      <c r="AG950" s="6">
        <f>$O$950*$AA$950</f>
        <v>675.17328467243101</v>
      </c>
    </row>
    <row r="951" spans="1:33" ht="11.25" customHeight="1" x14ac:dyDescent="0.3">
      <c r="A951" s="4" t="s">
        <v>28</v>
      </c>
      <c r="B951" s="4" t="s">
        <v>37</v>
      </c>
      <c r="C951" s="4" t="s">
        <v>33</v>
      </c>
      <c r="D951" s="4" t="s">
        <v>42</v>
      </c>
      <c r="E951" s="4" t="s">
        <v>25</v>
      </c>
      <c r="F951" s="4" t="s">
        <v>25</v>
      </c>
      <c r="G951" s="4" t="s">
        <v>25</v>
      </c>
      <c r="H951" s="4" t="s">
        <v>34</v>
      </c>
      <c r="I951" s="5">
        <v>44531</v>
      </c>
      <c r="J951" s="6">
        <v>0</v>
      </c>
      <c r="K951" s="6">
        <v>0</v>
      </c>
      <c r="L951" s="6">
        <v>0.14899999999999999</v>
      </c>
      <c r="M951" s="6">
        <v>0.14899999999999999</v>
      </c>
      <c r="N951" s="6">
        <v>0.14899999999999999</v>
      </c>
      <c r="O951" s="6">
        <v>0.14899999999999999</v>
      </c>
      <c r="P951" s="6">
        <v>0</v>
      </c>
      <c r="Q951" s="4" t="s">
        <v>26</v>
      </c>
      <c r="R951" s="4">
        <v>0</v>
      </c>
      <c r="S951" s="6">
        <v>0</v>
      </c>
      <c r="T951" s="6">
        <v>83</v>
      </c>
      <c r="U951" s="6">
        <v>106</v>
      </c>
      <c r="V951" s="6">
        <f>IF(ISERROR(VLOOKUP($S$951,'TAR FIN'!$A$1:$O$113,15,0)),0,VLOOKUP($S$951,'TAR FIN'!$A$1:$O$113,15,0))</f>
        <v>0</v>
      </c>
      <c r="W951" s="6">
        <f>IF(ISERROR(VLOOKUP($T$951,'TAR FIN'!$A$1:$O$113,15,0)),0,VLOOKUP($T$951,'TAR FIN'!$A$1:$O$113,15,0))</f>
        <v>748.29</v>
      </c>
      <c r="X951" s="6">
        <f>IF(ISERROR(VLOOKUP($U$951,'TAR FIN'!$A$1:$O$113,15,0)),0,VLOOKUP($U$951,'TAR FIN'!$A$1:$O$113,15,0))</f>
        <v>442.86</v>
      </c>
      <c r="Y951" s="6"/>
      <c r="Z951" s="6">
        <f ca="1">('TUSD BE'!$AM$65+'TUSD BF'!$AM$65+'TUSD CVA'!$AM$65)*1</f>
        <v>906.91831020354402</v>
      </c>
      <c r="AA951" s="6">
        <f>('TE BE'!$AB$43+'TE BF'!$AB$43+'TE CVA'!$AB$43)*1</f>
        <v>486.43608405794748</v>
      </c>
      <c r="AB951" s="6">
        <f>$K$951*$V$951</f>
        <v>0</v>
      </c>
      <c r="AC951" s="6">
        <f>$M$951*$W$951</f>
        <v>111.49520999999999</v>
      </c>
      <c r="AD951" s="6">
        <f>$O$951*$X$951</f>
        <v>65.986140000000006</v>
      </c>
      <c r="AE951" s="6">
        <f>$K$951*$Y$951</f>
        <v>0</v>
      </c>
      <c r="AF951" s="6">
        <f ca="1">$M$951*$Z$951</f>
        <v>135.13082822032806</v>
      </c>
      <c r="AG951" s="6">
        <f>$O$951*$AA$951</f>
        <v>72.478976524634177</v>
      </c>
    </row>
    <row r="952" spans="1:33" ht="11.25" customHeight="1" x14ac:dyDescent="0.3">
      <c r="A952" s="4" t="s">
        <v>21</v>
      </c>
      <c r="B952" s="4" t="s">
        <v>37</v>
      </c>
      <c r="C952" s="4" t="s">
        <v>33</v>
      </c>
      <c r="D952" s="4" t="s">
        <v>42</v>
      </c>
      <c r="E952" s="4" t="s">
        <v>25</v>
      </c>
      <c r="F952" s="4" t="s">
        <v>25</v>
      </c>
      <c r="G952" s="4" t="s">
        <v>25</v>
      </c>
      <c r="H952" s="4" t="s">
        <v>34</v>
      </c>
      <c r="I952" s="5">
        <v>44562</v>
      </c>
      <c r="J952" s="6">
        <v>0</v>
      </c>
      <c r="K952" s="6">
        <v>0</v>
      </c>
      <c r="L952" s="6">
        <v>1.387</v>
      </c>
      <c r="M952" s="6">
        <v>1.387</v>
      </c>
      <c r="N952" s="6">
        <v>1.387</v>
      </c>
      <c r="O952" s="6">
        <v>1.387</v>
      </c>
      <c r="P952" s="6">
        <v>0</v>
      </c>
      <c r="Q952" s="4" t="s">
        <v>26</v>
      </c>
      <c r="R952" s="4">
        <v>0</v>
      </c>
      <c r="S952" s="6">
        <v>0</v>
      </c>
      <c r="T952" s="6">
        <v>83</v>
      </c>
      <c r="U952" s="6">
        <v>106</v>
      </c>
      <c r="V952" s="6">
        <f>IF(ISERROR(VLOOKUP($S$952,'TAR FIN'!$A$1:$O$113,15,0)),0,VLOOKUP($S$952,'TAR FIN'!$A$1:$O$113,15,0))</f>
        <v>0</v>
      </c>
      <c r="W952" s="6">
        <f>IF(ISERROR(VLOOKUP($T$952,'TAR FIN'!$A$1:$O$113,15,0)),0,VLOOKUP($T$952,'TAR FIN'!$A$1:$O$113,15,0))</f>
        <v>748.29</v>
      </c>
      <c r="X952" s="6">
        <f>IF(ISERROR(VLOOKUP($U$952,'TAR FIN'!$A$1:$O$113,15,0)),0,VLOOKUP($U$952,'TAR FIN'!$A$1:$O$113,15,0))</f>
        <v>442.86</v>
      </c>
      <c r="Y952" s="6"/>
      <c r="Z952" s="6">
        <f ca="1">('TUSD BE'!$AM$65+'TUSD BF'!$AM$65+'TUSD CVA'!$AM$65)*1</f>
        <v>906.91831020354402</v>
      </c>
      <c r="AA952" s="6">
        <f>('TE BE'!$AB$43+'TE BF'!$AB$43+'TE CVA'!$AB$43)*1</f>
        <v>486.43608405794748</v>
      </c>
      <c r="AB952" s="6">
        <f>$K$952*$V$952</f>
        <v>0</v>
      </c>
      <c r="AC952" s="6">
        <f>$M$952*$W$952</f>
        <v>1037.87823</v>
      </c>
      <c r="AD952" s="6">
        <f>$O$952*$X$952</f>
        <v>614.24682000000007</v>
      </c>
      <c r="AE952" s="6">
        <f>$K$952*$Y$952</f>
        <v>0</v>
      </c>
      <c r="AF952" s="6">
        <f ca="1">$M$952*$Z$952</f>
        <v>1257.8956962523155</v>
      </c>
      <c r="AG952" s="6">
        <f>$O$952*$AA$952</f>
        <v>674.68684858837321</v>
      </c>
    </row>
    <row r="953" spans="1:33" ht="11.25" customHeight="1" x14ac:dyDescent="0.3">
      <c r="A953" s="4" t="s">
        <v>28</v>
      </c>
      <c r="B953" s="4" t="s">
        <v>37</v>
      </c>
      <c r="C953" s="4" t="s">
        <v>33</v>
      </c>
      <c r="D953" s="4" t="s">
        <v>42</v>
      </c>
      <c r="E953" s="4" t="s">
        <v>25</v>
      </c>
      <c r="F953" s="4" t="s">
        <v>25</v>
      </c>
      <c r="G953" s="4" t="s">
        <v>25</v>
      </c>
      <c r="H953" s="4" t="s">
        <v>34</v>
      </c>
      <c r="I953" s="5">
        <v>44562</v>
      </c>
      <c r="J953" s="6">
        <v>0</v>
      </c>
      <c r="K953" s="6">
        <v>0</v>
      </c>
      <c r="L953" s="6">
        <v>0.28499999999999998</v>
      </c>
      <c r="M953" s="6">
        <v>0.28499999999999998</v>
      </c>
      <c r="N953" s="6">
        <v>0.28499999999999998</v>
      </c>
      <c r="O953" s="6">
        <v>0.28499999999999998</v>
      </c>
      <c r="P953" s="6">
        <v>0</v>
      </c>
      <c r="Q953" s="4" t="s">
        <v>26</v>
      </c>
      <c r="R953" s="4">
        <v>0</v>
      </c>
      <c r="S953" s="6">
        <v>0</v>
      </c>
      <c r="T953" s="6">
        <v>83</v>
      </c>
      <c r="U953" s="6">
        <v>106</v>
      </c>
      <c r="V953" s="6">
        <f>IF(ISERROR(VLOOKUP($S$953,'TAR FIN'!$A$1:$O$113,15,0)),0,VLOOKUP($S$953,'TAR FIN'!$A$1:$O$113,15,0))</f>
        <v>0</v>
      </c>
      <c r="W953" s="6">
        <f>IF(ISERROR(VLOOKUP($T$953,'TAR FIN'!$A$1:$O$113,15,0)),0,VLOOKUP($T$953,'TAR FIN'!$A$1:$O$113,15,0))</f>
        <v>748.29</v>
      </c>
      <c r="X953" s="6">
        <f>IF(ISERROR(VLOOKUP($U$953,'TAR FIN'!$A$1:$O$113,15,0)),0,VLOOKUP($U$953,'TAR FIN'!$A$1:$O$113,15,0))</f>
        <v>442.86</v>
      </c>
      <c r="Y953" s="6"/>
      <c r="Z953" s="6">
        <f ca="1">('TUSD BE'!$AM$65+'TUSD BF'!$AM$65+'TUSD CVA'!$AM$65)*1</f>
        <v>906.91831020354402</v>
      </c>
      <c r="AA953" s="6">
        <f>('TE BE'!$AB$43+'TE BF'!$AB$43+'TE CVA'!$AB$43)*1</f>
        <v>486.43608405794748</v>
      </c>
      <c r="AB953" s="6">
        <f>$K$953*$V$953</f>
        <v>0</v>
      </c>
      <c r="AC953" s="6">
        <f>$M$953*$W$953</f>
        <v>213.26264999999998</v>
      </c>
      <c r="AD953" s="6">
        <f>$O$953*$X$953</f>
        <v>126.21509999999999</v>
      </c>
      <c r="AE953" s="6">
        <f>$K$953*$Y$953</f>
        <v>0</v>
      </c>
      <c r="AF953" s="6">
        <f ca="1">$M$953*$Z$953</f>
        <v>258.47171840801002</v>
      </c>
      <c r="AG953" s="6">
        <f>$O$953*$AA$953</f>
        <v>138.63428395651502</v>
      </c>
    </row>
    <row r="954" spans="1:33" ht="11.25" customHeight="1" x14ac:dyDescent="0.3">
      <c r="A954" s="4" t="s">
        <v>21</v>
      </c>
      <c r="B954" s="4" t="s">
        <v>37</v>
      </c>
      <c r="C954" s="4" t="s">
        <v>33</v>
      </c>
      <c r="D954" s="4" t="s">
        <v>42</v>
      </c>
      <c r="E954" s="4" t="s">
        <v>25</v>
      </c>
      <c r="F954" s="4" t="s">
        <v>25</v>
      </c>
      <c r="G954" s="4" t="s">
        <v>25</v>
      </c>
      <c r="H954" s="4" t="s">
        <v>34</v>
      </c>
      <c r="I954" s="5">
        <v>44593</v>
      </c>
      <c r="J954" s="6">
        <v>0</v>
      </c>
      <c r="K954" s="6">
        <v>0</v>
      </c>
      <c r="L954" s="6">
        <v>1.5649999999999999</v>
      </c>
      <c r="M954" s="6">
        <v>1.5649999999999999</v>
      </c>
      <c r="N954" s="6">
        <v>1.5649999999999999</v>
      </c>
      <c r="O954" s="6">
        <v>1.5649999999999999</v>
      </c>
      <c r="P954" s="6">
        <v>0</v>
      </c>
      <c r="Q954" s="4" t="s">
        <v>26</v>
      </c>
      <c r="R954" s="4">
        <v>0</v>
      </c>
      <c r="S954" s="6">
        <v>0</v>
      </c>
      <c r="T954" s="6">
        <v>83</v>
      </c>
      <c r="U954" s="6">
        <v>106</v>
      </c>
      <c r="V954" s="6">
        <f>IF(ISERROR(VLOOKUP($S$954,'TAR FIN'!$A$1:$O$113,15,0)),0,VLOOKUP($S$954,'TAR FIN'!$A$1:$O$113,15,0))</f>
        <v>0</v>
      </c>
      <c r="W954" s="6">
        <f>IF(ISERROR(VLOOKUP($T$954,'TAR FIN'!$A$1:$O$113,15,0)),0,VLOOKUP($T$954,'TAR FIN'!$A$1:$O$113,15,0))</f>
        <v>748.29</v>
      </c>
      <c r="X954" s="6">
        <f>IF(ISERROR(VLOOKUP($U$954,'TAR FIN'!$A$1:$O$113,15,0)),0,VLOOKUP($U$954,'TAR FIN'!$A$1:$O$113,15,0))</f>
        <v>442.86</v>
      </c>
      <c r="Y954" s="6"/>
      <c r="Z954" s="6">
        <f ca="1">('TUSD BE'!$AM$65+'TUSD BF'!$AM$65+'TUSD CVA'!$AM$65)*1</f>
        <v>906.91831020354402</v>
      </c>
      <c r="AA954" s="6">
        <f>('TE BE'!$AB$43+'TE BF'!$AB$43+'TE CVA'!$AB$43)*1</f>
        <v>486.43608405794748</v>
      </c>
      <c r="AB954" s="6">
        <f>$K$954*$V$954</f>
        <v>0</v>
      </c>
      <c r="AC954" s="6">
        <f>$M$954*$W$954</f>
        <v>1171.07385</v>
      </c>
      <c r="AD954" s="6">
        <f>$O$954*$X$954</f>
        <v>693.07590000000005</v>
      </c>
      <c r="AE954" s="6">
        <f>$K$954*$Y$954</f>
        <v>0</v>
      </c>
      <c r="AF954" s="6">
        <f ca="1">$M$954*$Z$954</f>
        <v>1419.3271554685464</v>
      </c>
      <c r="AG954" s="6">
        <f>$O$954*$AA$954</f>
        <v>761.27247155068778</v>
      </c>
    </row>
    <row r="955" spans="1:33" ht="11.25" customHeight="1" x14ac:dyDescent="0.3">
      <c r="A955" s="4" t="s">
        <v>21</v>
      </c>
      <c r="B955" s="4" t="s">
        <v>37</v>
      </c>
      <c r="C955" s="4" t="s">
        <v>33</v>
      </c>
      <c r="D955" s="4" t="s">
        <v>42</v>
      </c>
      <c r="E955" s="4" t="s">
        <v>25</v>
      </c>
      <c r="F955" s="4" t="s">
        <v>25</v>
      </c>
      <c r="G955" s="4" t="s">
        <v>25</v>
      </c>
      <c r="H955" s="4" t="s">
        <v>34</v>
      </c>
      <c r="I955" s="5">
        <v>44621</v>
      </c>
      <c r="J955" s="6">
        <v>0</v>
      </c>
      <c r="K955" s="6">
        <v>0</v>
      </c>
      <c r="L955" s="6">
        <v>1.391</v>
      </c>
      <c r="M955" s="6">
        <v>1.391</v>
      </c>
      <c r="N955" s="6">
        <v>1.391</v>
      </c>
      <c r="O955" s="6">
        <v>1.391</v>
      </c>
      <c r="P955" s="6">
        <v>0</v>
      </c>
      <c r="Q955" s="4" t="s">
        <v>26</v>
      </c>
      <c r="R955" s="4">
        <v>0</v>
      </c>
      <c r="S955" s="6">
        <v>0</v>
      </c>
      <c r="T955" s="6">
        <v>83</v>
      </c>
      <c r="U955" s="6">
        <v>106</v>
      </c>
      <c r="V955" s="6">
        <f>IF(ISERROR(VLOOKUP($S$955,'TAR FIN'!$A$1:$O$113,15,0)),0,VLOOKUP($S$955,'TAR FIN'!$A$1:$O$113,15,0))</f>
        <v>0</v>
      </c>
      <c r="W955" s="6">
        <f>IF(ISERROR(VLOOKUP($T$955,'TAR FIN'!$A$1:$O$113,15,0)),0,VLOOKUP($T$955,'TAR FIN'!$A$1:$O$113,15,0))</f>
        <v>748.29</v>
      </c>
      <c r="X955" s="6">
        <f>IF(ISERROR(VLOOKUP($U$955,'TAR FIN'!$A$1:$O$113,15,0)),0,VLOOKUP($U$955,'TAR FIN'!$A$1:$O$113,15,0))</f>
        <v>442.86</v>
      </c>
      <c r="Y955" s="6"/>
      <c r="Z955" s="6">
        <f ca="1">('TUSD BE'!$AM$65+'TUSD BF'!$AM$65+'TUSD CVA'!$AM$65)*1</f>
        <v>906.91831020354402</v>
      </c>
      <c r="AA955" s="6">
        <f>('TE BE'!$AB$43+'TE BF'!$AB$43+'TE CVA'!$AB$43)*1</f>
        <v>486.43608405794748</v>
      </c>
      <c r="AB955" s="6">
        <f>$K$955*$V$955</f>
        <v>0</v>
      </c>
      <c r="AC955" s="6">
        <f>$M$955*$W$955</f>
        <v>1040.87139</v>
      </c>
      <c r="AD955" s="6">
        <f>$O$955*$X$955</f>
        <v>616.01826000000005</v>
      </c>
      <c r="AE955" s="6">
        <f>$K$955*$Y$955</f>
        <v>0</v>
      </c>
      <c r="AF955" s="6">
        <f ca="1">$M$955*$Z$955</f>
        <v>1261.5233694931298</v>
      </c>
      <c r="AG955" s="6">
        <f>$O$955*$AA$955</f>
        <v>676.63259292460498</v>
      </c>
    </row>
    <row r="956" spans="1:33" ht="11.25" customHeight="1" x14ac:dyDescent="0.3">
      <c r="A956" s="4" t="s">
        <v>28</v>
      </c>
      <c r="B956" s="4" t="s">
        <v>37</v>
      </c>
      <c r="C956" s="4" t="s">
        <v>33</v>
      </c>
      <c r="D956" s="4" t="s">
        <v>42</v>
      </c>
      <c r="E956" s="4" t="s">
        <v>25</v>
      </c>
      <c r="F956" s="4" t="s">
        <v>25</v>
      </c>
      <c r="G956" s="4" t="s">
        <v>25</v>
      </c>
      <c r="H956" s="4" t="s">
        <v>34</v>
      </c>
      <c r="I956" s="5">
        <v>44621</v>
      </c>
      <c r="J956" s="6">
        <v>0</v>
      </c>
      <c r="K956" s="6">
        <v>0</v>
      </c>
      <c r="L956" s="6">
        <v>0.115</v>
      </c>
      <c r="M956" s="6">
        <v>0.115</v>
      </c>
      <c r="N956" s="6">
        <v>0.115</v>
      </c>
      <c r="O956" s="6">
        <v>0.115</v>
      </c>
      <c r="P956" s="6">
        <v>0</v>
      </c>
      <c r="Q956" s="4" t="s">
        <v>26</v>
      </c>
      <c r="R956" s="4">
        <v>0</v>
      </c>
      <c r="S956" s="6">
        <v>0</v>
      </c>
      <c r="T956" s="6">
        <v>83</v>
      </c>
      <c r="U956" s="6">
        <v>106</v>
      </c>
      <c r="V956" s="6">
        <f>IF(ISERROR(VLOOKUP($S$956,'TAR FIN'!$A$1:$O$113,15,0)),0,VLOOKUP($S$956,'TAR FIN'!$A$1:$O$113,15,0))</f>
        <v>0</v>
      </c>
      <c r="W956" s="6">
        <f>IF(ISERROR(VLOOKUP($T$956,'TAR FIN'!$A$1:$O$113,15,0)),0,VLOOKUP($T$956,'TAR FIN'!$A$1:$O$113,15,0))</f>
        <v>748.29</v>
      </c>
      <c r="X956" s="6">
        <f>IF(ISERROR(VLOOKUP($U$956,'TAR FIN'!$A$1:$O$113,15,0)),0,VLOOKUP($U$956,'TAR FIN'!$A$1:$O$113,15,0))</f>
        <v>442.86</v>
      </c>
      <c r="Y956" s="6"/>
      <c r="Z956" s="6">
        <f ca="1">('TUSD BE'!$AM$65+'TUSD BF'!$AM$65+'TUSD CVA'!$AM$65)*1</f>
        <v>906.91831020354402</v>
      </c>
      <c r="AA956" s="6">
        <f>('TE BE'!$AB$43+'TE BF'!$AB$43+'TE CVA'!$AB$43)*1</f>
        <v>486.43608405794748</v>
      </c>
      <c r="AB956" s="6">
        <f>$K$956*$V$956</f>
        <v>0</v>
      </c>
      <c r="AC956" s="6">
        <f>$M$956*$W$956</f>
        <v>86.053349999999995</v>
      </c>
      <c r="AD956" s="6">
        <f>$O$956*$X$956</f>
        <v>50.928900000000006</v>
      </c>
      <c r="AE956" s="6">
        <f>$K$956*$Y$956</f>
        <v>0</v>
      </c>
      <c r="AF956" s="6">
        <f ca="1">$M$956*$Z$956</f>
        <v>104.29560567340756</v>
      </c>
      <c r="AG956" s="6">
        <f>$O$956*$AA$956</f>
        <v>55.940149666663963</v>
      </c>
    </row>
    <row r="957" spans="1:33" ht="11.25" customHeight="1" x14ac:dyDescent="0.3">
      <c r="A957" s="4" t="s">
        <v>21</v>
      </c>
      <c r="B957" s="4" t="s">
        <v>37</v>
      </c>
      <c r="C957" s="4" t="s">
        <v>33</v>
      </c>
      <c r="D957" s="4" t="s">
        <v>42</v>
      </c>
      <c r="E957" s="4" t="s">
        <v>25</v>
      </c>
      <c r="F957" s="4" t="s">
        <v>25</v>
      </c>
      <c r="G957" s="4" t="s">
        <v>25</v>
      </c>
      <c r="H957" s="4" t="s">
        <v>34</v>
      </c>
      <c r="I957" s="5">
        <v>44652</v>
      </c>
      <c r="J957" s="6">
        <v>0</v>
      </c>
      <c r="K957" s="6">
        <v>0</v>
      </c>
      <c r="L957" s="6">
        <v>1.4039999999999999</v>
      </c>
      <c r="M957" s="6">
        <v>1.4039999999999999</v>
      </c>
      <c r="N957" s="6">
        <v>1.4039999999999999</v>
      </c>
      <c r="O957" s="6">
        <v>1.4039999999999999</v>
      </c>
      <c r="P957" s="6">
        <v>0</v>
      </c>
      <c r="Q957" s="4" t="s">
        <v>26</v>
      </c>
      <c r="R957" s="4">
        <v>0</v>
      </c>
      <c r="S957" s="6">
        <v>0</v>
      </c>
      <c r="T957" s="6">
        <v>83</v>
      </c>
      <c r="U957" s="6">
        <v>106</v>
      </c>
      <c r="V957" s="6">
        <f>IF(ISERROR(VLOOKUP($S$957,'TAR FIN'!$A$1:$O$113,15,0)),0,VLOOKUP($S$957,'TAR FIN'!$A$1:$O$113,15,0))</f>
        <v>0</v>
      </c>
      <c r="W957" s="6">
        <f>IF(ISERROR(VLOOKUP($T$957,'TAR FIN'!$A$1:$O$113,15,0)),0,VLOOKUP($T$957,'TAR FIN'!$A$1:$O$113,15,0))</f>
        <v>748.29</v>
      </c>
      <c r="X957" s="6">
        <f>IF(ISERROR(VLOOKUP($U$957,'TAR FIN'!$A$1:$O$113,15,0)),0,VLOOKUP($U$957,'TAR FIN'!$A$1:$O$113,15,0))</f>
        <v>442.86</v>
      </c>
      <c r="Y957" s="6"/>
      <c r="Z957" s="6">
        <f ca="1">('TUSD BE'!$AM$65+'TUSD BF'!$AM$65+'TUSD CVA'!$AM$65)*1</f>
        <v>906.91831020354402</v>
      </c>
      <c r="AA957" s="6">
        <f>('TE BE'!$AB$43+'TE BF'!$AB$43+'TE CVA'!$AB$43)*1</f>
        <v>486.43608405794748</v>
      </c>
      <c r="AB957" s="6">
        <f>$K$957*$V$957</f>
        <v>0</v>
      </c>
      <c r="AC957" s="6">
        <f>$M$957*$W$957</f>
        <v>1050.59916</v>
      </c>
      <c r="AD957" s="6">
        <f>$O$957*$X$957</f>
        <v>621.77544</v>
      </c>
      <c r="AE957" s="6">
        <f>$K$957*$Y$957</f>
        <v>0</v>
      </c>
      <c r="AF957" s="6">
        <f ca="1">$M$957*$Z$957</f>
        <v>1273.3133075257758</v>
      </c>
      <c r="AG957" s="6">
        <f>$O$957*$AA$957</f>
        <v>682.9562620173582</v>
      </c>
    </row>
    <row r="958" spans="1:33" ht="11.25" customHeight="1" x14ac:dyDescent="0.3">
      <c r="A958" s="4" t="s">
        <v>21</v>
      </c>
      <c r="B958" s="4" t="s">
        <v>37</v>
      </c>
      <c r="C958" s="4" t="s">
        <v>33</v>
      </c>
      <c r="D958" s="4" t="s">
        <v>42</v>
      </c>
      <c r="E958" s="4" t="s">
        <v>25</v>
      </c>
      <c r="F958" s="4" t="s">
        <v>25</v>
      </c>
      <c r="G958" s="4" t="s">
        <v>25</v>
      </c>
      <c r="H958" s="4" t="s">
        <v>34</v>
      </c>
      <c r="I958" s="5">
        <v>44682</v>
      </c>
      <c r="J958" s="6">
        <v>0</v>
      </c>
      <c r="K958" s="6">
        <v>0</v>
      </c>
      <c r="L958" s="6">
        <v>1.667</v>
      </c>
      <c r="M958" s="6">
        <v>1.667</v>
      </c>
      <c r="N958" s="6">
        <v>1.667</v>
      </c>
      <c r="O958" s="6">
        <v>1.667</v>
      </c>
      <c r="P958" s="6">
        <v>0</v>
      </c>
      <c r="Q958" s="4" t="s">
        <v>26</v>
      </c>
      <c r="R958" s="4">
        <v>0</v>
      </c>
      <c r="S958" s="6">
        <v>0</v>
      </c>
      <c r="T958" s="6">
        <v>83</v>
      </c>
      <c r="U958" s="6">
        <v>106</v>
      </c>
      <c r="V958" s="6">
        <f>IF(ISERROR(VLOOKUP($S$958,'TAR FIN'!$A$1:$O$113,15,0)),0,VLOOKUP($S$958,'TAR FIN'!$A$1:$O$113,15,0))</f>
        <v>0</v>
      </c>
      <c r="W958" s="6">
        <f>IF(ISERROR(VLOOKUP($T$958,'TAR FIN'!$A$1:$O$113,15,0)),0,VLOOKUP($T$958,'TAR FIN'!$A$1:$O$113,15,0))</f>
        <v>748.29</v>
      </c>
      <c r="X958" s="6">
        <f>IF(ISERROR(VLOOKUP($U$958,'TAR FIN'!$A$1:$O$113,15,0)),0,VLOOKUP($U$958,'TAR FIN'!$A$1:$O$113,15,0))</f>
        <v>442.86</v>
      </c>
      <c r="Y958" s="6"/>
      <c r="Z958" s="6">
        <f ca="1">('TUSD BE'!$AM$65+'TUSD BF'!$AM$65+'TUSD CVA'!$AM$65)*1</f>
        <v>906.91831020354402</v>
      </c>
      <c r="AA958" s="6">
        <f>('TE BE'!$AB$43+'TE BF'!$AB$43+'TE CVA'!$AB$43)*1</f>
        <v>486.43608405794748</v>
      </c>
      <c r="AB958" s="6">
        <f>$K$958*$V$958</f>
        <v>0</v>
      </c>
      <c r="AC958" s="6">
        <f>$M$958*$W$958</f>
        <v>1247.3994299999999</v>
      </c>
      <c r="AD958" s="6">
        <f>$O$958*$X$958</f>
        <v>738.24761999999998</v>
      </c>
      <c r="AE958" s="6">
        <f>$K$958*$Y$958</f>
        <v>0</v>
      </c>
      <c r="AF958" s="6">
        <f ca="1">$M$958*$Z$958</f>
        <v>1511.8328231093078</v>
      </c>
      <c r="AG958" s="6">
        <f>$O$958*$AA$958</f>
        <v>810.88895212459852</v>
      </c>
    </row>
    <row r="959" spans="1:33" ht="11.25" customHeight="1" x14ac:dyDescent="0.3">
      <c r="A959" s="4" t="s">
        <v>28</v>
      </c>
      <c r="B959" s="4" t="s">
        <v>37</v>
      </c>
      <c r="C959" s="4" t="s">
        <v>33</v>
      </c>
      <c r="D959" s="4" t="s">
        <v>42</v>
      </c>
      <c r="E959" s="4" t="s">
        <v>25</v>
      </c>
      <c r="F959" s="4" t="s">
        <v>25</v>
      </c>
      <c r="G959" s="4" t="s">
        <v>25</v>
      </c>
      <c r="H959" s="4" t="s">
        <v>34</v>
      </c>
      <c r="I959" s="5">
        <v>44682</v>
      </c>
      <c r="J959" s="6">
        <v>0</v>
      </c>
      <c r="K959" s="6">
        <v>0</v>
      </c>
      <c r="L959" s="6">
        <v>0.10100000000000001</v>
      </c>
      <c r="M959" s="6">
        <v>0.10100000000000001</v>
      </c>
      <c r="N959" s="6">
        <v>0.10100000000000001</v>
      </c>
      <c r="O959" s="6">
        <v>0.10100000000000001</v>
      </c>
      <c r="P959" s="6">
        <v>0</v>
      </c>
      <c r="Q959" s="4" t="s">
        <v>26</v>
      </c>
      <c r="R959" s="4">
        <v>0</v>
      </c>
      <c r="S959" s="6">
        <v>0</v>
      </c>
      <c r="T959" s="6">
        <v>83</v>
      </c>
      <c r="U959" s="6">
        <v>106</v>
      </c>
      <c r="V959" s="6">
        <f>IF(ISERROR(VLOOKUP($S$959,'TAR FIN'!$A$1:$O$113,15,0)),0,VLOOKUP($S$959,'TAR FIN'!$A$1:$O$113,15,0))</f>
        <v>0</v>
      </c>
      <c r="W959" s="6">
        <f>IF(ISERROR(VLOOKUP($T$959,'TAR FIN'!$A$1:$O$113,15,0)),0,VLOOKUP($T$959,'TAR FIN'!$A$1:$O$113,15,0))</f>
        <v>748.29</v>
      </c>
      <c r="X959" s="6">
        <f>IF(ISERROR(VLOOKUP($U$959,'TAR FIN'!$A$1:$O$113,15,0)),0,VLOOKUP($U$959,'TAR FIN'!$A$1:$O$113,15,0))</f>
        <v>442.86</v>
      </c>
      <c r="Y959" s="6"/>
      <c r="Z959" s="6">
        <f ca="1">('TUSD BE'!$AM$65+'TUSD BF'!$AM$65+'TUSD CVA'!$AM$65)*1</f>
        <v>906.91831020354402</v>
      </c>
      <c r="AA959" s="6">
        <f>('TE BE'!$AB$43+'TE BF'!$AB$43+'TE CVA'!$AB$43)*1</f>
        <v>486.43608405794748</v>
      </c>
      <c r="AB959" s="6">
        <f>$K$959*$V$959</f>
        <v>0</v>
      </c>
      <c r="AC959" s="6">
        <f>$M$959*$W$959</f>
        <v>75.577290000000005</v>
      </c>
      <c r="AD959" s="6">
        <f>$O$959*$X$959</f>
        <v>44.728860000000005</v>
      </c>
      <c r="AE959" s="6">
        <f>$K$959*$Y$959</f>
        <v>0</v>
      </c>
      <c r="AF959" s="6">
        <f ca="1">$M$959*$Z$959</f>
        <v>91.598749330557951</v>
      </c>
      <c r="AG959" s="6">
        <f>$O$959*$AA$959</f>
        <v>49.1300444898527</v>
      </c>
    </row>
    <row r="960" spans="1:33" ht="11.25" customHeight="1" x14ac:dyDescent="0.3">
      <c r="A960" s="4" t="s">
        <v>21</v>
      </c>
      <c r="B960" s="4" t="s">
        <v>37</v>
      </c>
      <c r="C960" s="4" t="s">
        <v>33</v>
      </c>
      <c r="D960" s="4" t="s">
        <v>42</v>
      </c>
      <c r="E960" s="4" t="s">
        <v>25</v>
      </c>
      <c r="F960" s="4" t="s">
        <v>25</v>
      </c>
      <c r="G960" s="4" t="s">
        <v>25</v>
      </c>
      <c r="H960" s="4" t="s">
        <v>34</v>
      </c>
      <c r="I960" s="5">
        <v>44713</v>
      </c>
      <c r="J960" s="6">
        <v>0</v>
      </c>
      <c r="K960" s="6">
        <v>0</v>
      </c>
      <c r="L960" s="6">
        <v>1.145</v>
      </c>
      <c r="M960" s="6">
        <v>1.145</v>
      </c>
      <c r="N960" s="6">
        <v>1.145</v>
      </c>
      <c r="O960" s="6">
        <v>1.145</v>
      </c>
      <c r="P960" s="6">
        <v>0</v>
      </c>
      <c r="Q960" s="4" t="s">
        <v>26</v>
      </c>
      <c r="R960" s="4">
        <v>0</v>
      </c>
      <c r="S960" s="6">
        <v>0</v>
      </c>
      <c r="T960" s="6">
        <v>83</v>
      </c>
      <c r="U960" s="6">
        <v>106</v>
      </c>
      <c r="V960" s="6">
        <f>IF(ISERROR(VLOOKUP($S$960,'TAR FIN'!$A$1:$O$113,15,0)),0,VLOOKUP($S$960,'TAR FIN'!$A$1:$O$113,15,0))</f>
        <v>0</v>
      </c>
      <c r="W960" s="6">
        <f>IF(ISERROR(VLOOKUP($T$960,'TAR FIN'!$A$1:$O$113,15,0)),0,VLOOKUP($T$960,'TAR FIN'!$A$1:$O$113,15,0))</f>
        <v>748.29</v>
      </c>
      <c r="X960" s="6">
        <f>IF(ISERROR(VLOOKUP($U$960,'TAR FIN'!$A$1:$O$113,15,0)),0,VLOOKUP($U$960,'TAR FIN'!$A$1:$O$113,15,0))</f>
        <v>442.86</v>
      </c>
      <c r="Y960" s="6"/>
      <c r="Z960" s="6">
        <f ca="1">('TUSD BE'!$AM$65+'TUSD BF'!$AM$65+'TUSD CVA'!$AM$65)*1</f>
        <v>906.91831020354402</v>
      </c>
      <c r="AA960" s="6">
        <f>('TE BE'!$AB$43+'TE BF'!$AB$43+'TE CVA'!$AB$43)*1</f>
        <v>486.43608405794748</v>
      </c>
      <c r="AB960" s="6">
        <f>$K$960*$V$960</f>
        <v>0</v>
      </c>
      <c r="AC960" s="6">
        <f>$M$960*$W$960</f>
        <v>856.79205000000002</v>
      </c>
      <c r="AD960" s="6">
        <f>$O$960*$X$960</f>
        <v>507.07470000000001</v>
      </c>
      <c r="AE960" s="6">
        <f>$K$960*$Y$960</f>
        <v>0</v>
      </c>
      <c r="AF960" s="6">
        <f ca="1">$M$960*$Z$960</f>
        <v>1038.421465183058</v>
      </c>
      <c r="AG960" s="6">
        <f>$O$960*$AA$960</f>
        <v>556.96931624634988</v>
      </c>
    </row>
    <row r="961" spans="1:33" ht="11.25" customHeight="1" x14ac:dyDescent="0.3">
      <c r="A961" s="4" t="s">
        <v>28</v>
      </c>
      <c r="B961" s="4" t="s">
        <v>37</v>
      </c>
      <c r="C961" s="4" t="s">
        <v>33</v>
      </c>
      <c r="D961" s="4" t="s">
        <v>42</v>
      </c>
      <c r="E961" s="4" t="s">
        <v>25</v>
      </c>
      <c r="F961" s="4" t="s">
        <v>25</v>
      </c>
      <c r="G961" s="4" t="s">
        <v>25</v>
      </c>
      <c r="H961" s="4" t="s">
        <v>34</v>
      </c>
      <c r="I961" s="5">
        <v>44713</v>
      </c>
      <c r="J961" s="6">
        <v>0</v>
      </c>
      <c r="K961" s="6">
        <v>0</v>
      </c>
      <c r="L961" s="6">
        <v>9.2999999999999999E-2</v>
      </c>
      <c r="M961" s="6">
        <v>9.2999999999999999E-2</v>
      </c>
      <c r="N961" s="6">
        <v>9.2999999999999999E-2</v>
      </c>
      <c r="O961" s="6">
        <v>9.2999999999999999E-2</v>
      </c>
      <c r="P961" s="6">
        <v>0</v>
      </c>
      <c r="Q961" s="4" t="s">
        <v>26</v>
      </c>
      <c r="R961" s="4">
        <v>0</v>
      </c>
      <c r="S961" s="6">
        <v>0</v>
      </c>
      <c r="T961" s="6">
        <v>83</v>
      </c>
      <c r="U961" s="6">
        <v>106</v>
      </c>
      <c r="V961" s="6">
        <f>IF(ISERROR(VLOOKUP($S$961,'TAR FIN'!$A$1:$O$113,15,0)),0,VLOOKUP($S$961,'TAR FIN'!$A$1:$O$113,15,0))</f>
        <v>0</v>
      </c>
      <c r="W961" s="6">
        <f>IF(ISERROR(VLOOKUP($T$961,'TAR FIN'!$A$1:$O$113,15,0)),0,VLOOKUP($T$961,'TAR FIN'!$A$1:$O$113,15,0))</f>
        <v>748.29</v>
      </c>
      <c r="X961" s="6">
        <f>IF(ISERROR(VLOOKUP($U$961,'TAR FIN'!$A$1:$O$113,15,0)),0,VLOOKUP($U$961,'TAR FIN'!$A$1:$O$113,15,0))</f>
        <v>442.86</v>
      </c>
      <c r="Y961" s="6"/>
      <c r="Z961" s="6">
        <f ca="1">('TUSD BE'!$AM$65+'TUSD BF'!$AM$65+'TUSD CVA'!$AM$65)*1</f>
        <v>906.91831020354402</v>
      </c>
      <c r="AA961" s="6">
        <f>('TE BE'!$AB$43+'TE BF'!$AB$43+'TE CVA'!$AB$43)*1</f>
        <v>486.43608405794748</v>
      </c>
      <c r="AB961" s="6">
        <f>$K$961*$V$961</f>
        <v>0</v>
      </c>
      <c r="AC961" s="6">
        <f>$M$961*$W$961</f>
        <v>69.590969999999999</v>
      </c>
      <c r="AD961" s="6">
        <f>$O$961*$X$961</f>
        <v>41.185980000000001</v>
      </c>
      <c r="AE961" s="6">
        <f>$K$961*$Y$961</f>
        <v>0</v>
      </c>
      <c r="AF961" s="6">
        <f ca="1">$M$961*$Z$961</f>
        <v>84.3434028489296</v>
      </c>
      <c r="AG961" s="6">
        <f>$O$961*$AA$961</f>
        <v>45.238555817389113</v>
      </c>
    </row>
    <row r="962" spans="1:33" ht="11.25" customHeight="1" x14ac:dyDescent="0.3">
      <c r="A962" s="4" t="s">
        <v>21</v>
      </c>
      <c r="B962" s="4" t="s">
        <v>37</v>
      </c>
      <c r="C962" s="4" t="s">
        <v>33</v>
      </c>
      <c r="D962" s="4" t="s">
        <v>42</v>
      </c>
      <c r="E962" s="4" t="s">
        <v>25</v>
      </c>
      <c r="F962" s="4" t="s">
        <v>25</v>
      </c>
      <c r="G962" s="4" t="s">
        <v>25</v>
      </c>
      <c r="H962" s="4" t="s">
        <v>34</v>
      </c>
      <c r="I962" s="5">
        <v>44743</v>
      </c>
      <c r="J962" s="6">
        <v>0</v>
      </c>
      <c r="K962" s="6">
        <v>0</v>
      </c>
      <c r="L962" s="6">
        <v>1.9890000000000001</v>
      </c>
      <c r="M962" s="6">
        <v>1.9890000000000001</v>
      </c>
      <c r="N962" s="6">
        <v>1.9890000000000001</v>
      </c>
      <c r="O962" s="6">
        <v>1.9890000000000001</v>
      </c>
      <c r="P962" s="6">
        <v>0</v>
      </c>
      <c r="Q962" s="4" t="s">
        <v>26</v>
      </c>
      <c r="R962" s="4">
        <v>0</v>
      </c>
      <c r="S962" s="6">
        <v>0</v>
      </c>
      <c r="T962" s="6">
        <v>83</v>
      </c>
      <c r="U962" s="6">
        <v>106</v>
      </c>
      <c r="V962" s="6">
        <f>IF(ISERROR(VLOOKUP($S$962,'TAR FIN'!$A$1:$O$113,15,0)),0,VLOOKUP($S$962,'TAR FIN'!$A$1:$O$113,15,0))</f>
        <v>0</v>
      </c>
      <c r="W962" s="6">
        <f>IF(ISERROR(VLOOKUP($T$962,'TAR FIN'!$A$1:$O$113,15,0)),0,VLOOKUP($T$962,'TAR FIN'!$A$1:$O$113,15,0))</f>
        <v>748.29</v>
      </c>
      <c r="X962" s="6">
        <f>IF(ISERROR(VLOOKUP($U$962,'TAR FIN'!$A$1:$O$113,15,0)),0,VLOOKUP($U$962,'TAR FIN'!$A$1:$O$113,15,0))</f>
        <v>442.86</v>
      </c>
      <c r="Y962" s="6"/>
      <c r="Z962" s="6">
        <f ca="1">('TUSD BE'!$AM$65+'TUSD BF'!$AM$65+'TUSD CVA'!$AM$65)*1</f>
        <v>906.91831020354402</v>
      </c>
      <c r="AA962" s="6">
        <f>('TE BE'!$AB$43+'TE BF'!$AB$43+'TE CVA'!$AB$43)*1</f>
        <v>486.43608405794748</v>
      </c>
      <c r="AB962" s="6">
        <f>$K$962*$V$962</f>
        <v>0</v>
      </c>
      <c r="AC962" s="6">
        <f>$M$962*$W$962</f>
        <v>1488.34881</v>
      </c>
      <c r="AD962" s="6">
        <f>$O$962*$X$962</f>
        <v>880.84854000000007</v>
      </c>
      <c r="AE962" s="6">
        <f>$K$962*$Y$962</f>
        <v>0</v>
      </c>
      <c r="AF962" s="6">
        <f ca="1">$M$962*$Z$962</f>
        <v>1803.8605189948491</v>
      </c>
      <c r="AG962" s="6">
        <f>$O$962*$AA$962</f>
        <v>967.52137119125757</v>
      </c>
    </row>
    <row r="963" spans="1:33" ht="11.25" customHeight="1" x14ac:dyDescent="0.3">
      <c r="A963" s="4" t="s">
        <v>21</v>
      </c>
      <c r="B963" s="4" t="s">
        <v>37</v>
      </c>
      <c r="C963" s="4" t="s">
        <v>33</v>
      </c>
      <c r="D963" s="4" t="s">
        <v>42</v>
      </c>
      <c r="E963" s="4" t="s">
        <v>25</v>
      </c>
      <c r="F963" s="4" t="s">
        <v>25</v>
      </c>
      <c r="G963" s="4" t="s">
        <v>25</v>
      </c>
      <c r="H963" s="4" t="s">
        <v>34</v>
      </c>
      <c r="I963" s="5">
        <v>44774</v>
      </c>
      <c r="J963" s="6">
        <v>0</v>
      </c>
      <c r="K963" s="6">
        <v>0</v>
      </c>
      <c r="L963" s="6">
        <v>1.6950000000000001</v>
      </c>
      <c r="M963" s="6">
        <v>1.6950000000000001</v>
      </c>
      <c r="N963" s="6">
        <v>1.6950000000000001</v>
      </c>
      <c r="O963" s="6">
        <v>1.6950000000000001</v>
      </c>
      <c r="P963" s="6">
        <v>0</v>
      </c>
      <c r="Q963" s="4" t="s">
        <v>26</v>
      </c>
      <c r="R963" s="4">
        <v>0</v>
      </c>
      <c r="S963" s="6">
        <v>0</v>
      </c>
      <c r="T963" s="6">
        <v>83</v>
      </c>
      <c r="U963" s="6">
        <v>106</v>
      </c>
      <c r="V963" s="6">
        <f>IF(ISERROR(VLOOKUP($S$963,'TAR FIN'!$A$1:$O$113,15,0)),0,VLOOKUP($S$963,'TAR FIN'!$A$1:$O$113,15,0))</f>
        <v>0</v>
      </c>
      <c r="W963" s="6">
        <f>IF(ISERROR(VLOOKUP($T$963,'TAR FIN'!$A$1:$O$113,15,0)),0,VLOOKUP($T$963,'TAR FIN'!$A$1:$O$113,15,0))</f>
        <v>748.29</v>
      </c>
      <c r="X963" s="6">
        <f>IF(ISERROR(VLOOKUP($U$963,'TAR FIN'!$A$1:$O$113,15,0)),0,VLOOKUP($U$963,'TAR FIN'!$A$1:$O$113,15,0))</f>
        <v>442.86</v>
      </c>
      <c r="Y963" s="6"/>
      <c r="Z963" s="6">
        <f ca="1">('TUSD BE'!$AM$65+'TUSD BF'!$AM$65+'TUSD CVA'!$AM$65)*1</f>
        <v>906.91831020354402</v>
      </c>
      <c r="AA963" s="6">
        <f>('TE BE'!$AB$43+'TE BF'!$AB$43+'TE CVA'!$AB$43)*1</f>
        <v>486.43608405794748</v>
      </c>
      <c r="AB963" s="6">
        <f>$K$963*$V$963</f>
        <v>0</v>
      </c>
      <c r="AC963" s="6">
        <f>$M$963*$W$963</f>
        <v>1268.3515500000001</v>
      </c>
      <c r="AD963" s="6">
        <f>$O$963*$X$963</f>
        <v>750.6477000000001</v>
      </c>
      <c r="AE963" s="6">
        <f>$K$963*$Y$963</f>
        <v>0</v>
      </c>
      <c r="AF963" s="6">
        <f ca="1">$M$963*$Z$963</f>
        <v>1537.2265357950071</v>
      </c>
      <c r="AG963" s="6">
        <f>$O$963*$AA$963</f>
        <v>824.50916247822101</v>
      </c>
    </row>
    <row r="964" spans="1:33" ht="11.25" customHeight="1" x14ac:dyDescent="0.3">
      <c r="A964" s="4" t="s">
        <v>28</v>
      </c>
      <c r="B964" s="4" t="s">
        <v>37</v>
      </c>
      <c r="C964" s="4" t="s">
        <v>33</v>
      </c>
      <c r="D964" s="4" t="s">
        <v>42</v>
      </c>
      <c r="E964" s="4" t="s">
        <v>25</v>
      </c>
      <c r="F964" s="4" t="s">
        <v>25</v>
      </c>
      <c r="G964" s="4" t="s">
        <v>25</v>
      </c>
      <c r="H964" s="4" t="s">
        <v>34</v>
      </c>
      <c r="I964" s="5">
        <v>44774</v>
      </c>
      <c r="J964" s="6">
        <v>0</v>
      </c>
      <c r="K964" s="6">
        <v>0</v>
      </c>
      <c r="L964" s="6">
        <v>0.14199999999999999</v>
      </c>
      <c r="M964" s="6">
        <v>0.14199999999999999</v>
      </c>
      <c r="N964" s="6">
        <v>0.14199999999999999</v>
      </c>
      <c r="O964" s="6">
        <v>0.14199999999999999</v>
      </c>
      <c r="P964" s="6">
        <v>0</v>
      </c>
      <c r="Q964" s="4" t="s">
        <v>26</v>
      </c>
      <c r="R964" s="4">
        <v>0</v>
      </c>
      <c r="S964" s="6">
        <v>0</v>
      </c>
      <c r="T964" s="6">
        <v>83</v>
      </c>
      <c r="U964" s="6">
        <v>106</v>
      </c>
      <c r="V964" s="6">
        <f>IF(ISERROR(VLOOKUP($S$964,'TAR FIN'!$A$1:$O$113,15,0)),0,VLOOKUP($S$964,'TAR FIN'!$A$1:$O$113,15,0))</f>
        <v>0</v>
      </c>
      <c r="W964" s="6">
        <f>IF(ISERROR(VLOOKUP($T$964,'TAR FIN'!$A$1:$O$113,15,0)),0,VLOOKUP($T$964,'TAR FIN'!$A$1:$O$113,15,0))</f>
        <v>748.29</v>
      </c>
      <c r="X964" s="6">
        <f>IF(ISERROR(VLOOKUP($U$964,'TAR FIN'!$A$1:$O$113,15,0)),0,VLOOKUP($U$964,'TAR FIN'!$A$1:$O$113,15,0))</f>
        <v>442.86</v>
      </c>
      <c r="Y964" s="6"/>
      <c r="Z964" s="6">
        <f ca="1">('TUSD BE'!$AM$65+'TUSD BF'!$AM$65+'TUSD CVA'!$AM$65)*1</f>
        <v>906.91831020354402</v>
      </c>
      <c r="AA964" s="6">
        <f>('TE BE'!$AB$43+'TE BF'!$AB$43+'TE CVA'!$AB$43)*1</f>
        <v>486.43608405794748</v>
      </c>
      <c r="AB964" s="6">
        <f>$K$964*$V$964</f>
        <v>0</v>
      </c>
      <c r="AC964" s="6">
        <f>$M$964*$W$964</f>
        <v>106.25717999999999</v>
      </c>
      <c r="AD964" s="6">
        <f>$O$964*$X$964</f>
        <v>62.886119999999998</v>
      </c>
      <c r="AE964" s="6">
        <f>$K$964*$Y$964</f>
        <v>0</v>
      </c>
      <c r="AF964" s="6">
        <f ca="1">$M$964*$Z$964</f>
        <v>128.78240004890324</v>
      </c>
      <c r="AG964" s="6">
        <f>$O$964*$AA$964</f>
        <v>69.073923936228539</v>
      </c>
    </row>
    <row r="965" spans="1:33" ht="11.25" customHeight="1" x14ac:dyDescent="0.3">
      <c r="A965" s="4" t="s">
        <v>21</v>
      </c>
      <c r="B965" s="4" t="s">
        <v>37</v>
      </c>
      <c r="C965" s="4" t="s">
        <v>33</v>
      </c>
      <c r="D965" s="4" t="s">
        <v>42</v>
      </c>
      <c r="E965" s="4" t="s">
        <v>25</v>
      </c>
      <c r="F965" s="4" t="s">
        <v>25</v>
      </c>
      <c r="G965" s="4" t="s">
        <v>25</v>
      </c>
      <c r="H965" s="4" t="s">
        <v>34</v>
      </c>
      <c r="I965" s="5">
        <v>44805</v>
      </c>
      <c r="J965" s="6">
        <v>0</v>
      </c>
      <c r="K965" s="6">
        <v>0</v>
      </c>
      <c r="L965" s="6">
        <v>1.5189999999999999</v>
      </c>
      <c r="M965" s="6">
        <v>1.5189999999999999</v>
      </c>
      <c r="N965" s="6">
        <v>1.5189999999999999</v>
      </c>
      <c r="O965" s="6">
        <v>1.5189999999999999</v>
      </c>
      <c r="P965" s="6">
        <v>0</v>
      </c>
      <c r="Q965" s="4" t="s">
        <v>26</v>
      </c>
      <c r="R965" s="4">
        <v>0</v>
      </c>
      <c r="S965" s="6">
        <v>0</v>
      </c>
      <c r="T965" s="6">
        <v>83</v>
      </c>
      <c r="U965" s="6">
        <v>106</v>
      </c>
      <c r="V965" s="6">
        <f>IF(ISERROR(VLOOKUP($S$965,'TAR FIN'!$A$1:$O$113,15,0)),0,VLOOKUP($S$965,'TAR FIN'!$A$1:$O$113,15,0))</f>
        <v>0</v>
      </c>
      <c r="W965" s="6">
        <f>IF(ISERROR(VLOOKUP($T$965,'TAR FIN'!$A$1:$O$113,15,0)),0,VLOOKUP($T$965,'TAR FIN'!$A$1:$O$113,15,0))</f>
        <v>748.29</v>
      </c>
      <c r="X965" s="6">
        <f>IF(ISERROR(VLOOKUP($U$965,'TAR FIN'!$A$1:$O$113,15,0)),0,VLOOKUP($U$965,'TAR FIN'!$A$1:$O$113,15,0))</f>
        <v>442.86</v>
      </c>
      <c r="Y965" s="6"/>
      <c r="Z965" s="6">
        <f ca="1">('TUSD BE'!$AM$65+'TUSD BF'!$AM$65+'TUSD CVA'!$AM$65)*1</f>
        <v>906.91831020354402</v>
      </c>
      <c r="AA965" s="6">
        <f>('TE BE'!$AB$43+'TE BF'!$AB$43+'TE CVA'!$AB$43)*1</f>
        <v>486.43608405794748</v>
      </c>
      <c r="AB965" s="6">
        <f>$K$965*$V$965</f>
        <v>0</v>
      </c>
      <c r="AC965" s="6">
        <f>$M$965*$W$965</f>
        <v>1136.6525099999999</v>
      </c>
      <c r="AD965" s="6">
        <f>$O$965*$X$965</f>
        <v>672.70434</v>
      </c>
      <c r="AE965" s="6">
        <f>$K$965*$Y$965</f>
        <v>0</v>
      </c>
      <c r="AF965" s="6">
        <f ca="1">$M$965*$Z$965</f>
        <v>1377.6089131991832</v>
      </c>
      <c r="AG965" s="6">
        <f>$O$965*$AA$965</f>
        <v>738.89641168402215</v>
      </c>
    </row>
    <row r="966" spans="1:33" ht="11.25" customHeight="1" x14ac:dyDescent="0.3">
      <c r="A966" s="4" t="s">
        <v>28</v>
      </c>
      <c r="B966" s="4" t="s">
        <v>37</v>
      </c>
      <c r="C966" s="4" t="s">
        <v>33</v>
      </c>
      <c r="D966" s="4" t="s">
        <v>42</v>
      </c>
      <c r="E966" s="4" t="s">
        <v>25</v>
      </c>
      <c r="F966" s="4" t="s">
        <v>25</v>
      </c>
      <c r="G966" s="4" t="s">
        <v>25</v>
      </c>
      <c r="H966" s="4" t="s">
        <v>34</v>
      </c>
      <c r="I966" s="5">
        <v>44805</v>
      </c>
      <c r="J966" s="6">
        <v>0</v>
      </c>
      <c r="K966" s="6">
        <v>0</v>
      </c>
      <c r="L966" s="6">
        <v>0.156</v>
      </c>
      <c r="M966" s="6">
        <v>0.156</v>
      </c>
      <c r="N966" s="6">
        <v>0.156</v>
      </c>
      <c r="O966" s="6">
        <v>0.156</v>
      </c>
      <c r="P966" s="6">
        <v>0</v>
      </c>
      <c r="Q966" s="4" t="s">
        <v>26</v>
      </c>
      <c r="R966" s="4">
        <v>0</v>
      </c>
      <c r="S966" s="6">
        <v>0</v>
      </c>
      <c r="T966" s="6">
        <v>83</v>
      </c>
      <c r="U966" s="6">
        <v>106</v>
      </c>
      <c r="V966" s="6">
        <f>IF(ISERROR(VLOOKUP($S$966,'TAR FIN'!$A$1:$O$113,15,0)),0,VLOOKUP($S$966,'TAR FIN'!$A$1:$O$113,15,0))</f>
        <v>0</v>
      </c>
      <c r="W966" s="6">
        <f>IF(ISERROR(VLOOKUP($T$966,'TAR FIN'!$A$1:$O$113,15,0)),0,VLOOKUP($T$966,'TAR FIN'!$A$1:$O$113,15,0))</f>
        <v>748.29</v>
      </c>
      <c r="X966" s="6">
        <f>IF(ISERROR(VLOOKUP($U$966,'TAR FIN'!$A$1:$O$113,15,0)),0,VLOOKUP($U$966,'TAR FIN'!$A$1:$O$113,15,0))</f>
        <v>442.86</v>
      </c>
      <c r="Y966" s="6"/>
      <c r="Z966" s="6">
        <f ca="1">('TUSD BE'!$AM$65+'TUSD BF'!$AM$65+'TUSD CVA'!$AM$65)*1</f>
        <v>906.91831020354402</v>
      </c>
      <c r="AA966" s="6">
        <f>('TE BE'!$AB$43+'TE BF'!$AB$43+'TE CVA'!$AB$43)*1</f>
        <v>486.43608405794748</v>
      </c>
      <c r="AB966" s="6">
        <f>$K$966*$V$966</f>
        <v>0</v>
      </c>
      <c r="AC966" s="6">
        <f>$M$966*$W$966</f>
        <v>116.73324</v>
      </c>
      <c r="AD966" s="6">
        <f>$O$966*$X$966</f>
        <v>69.086160000000007</v>
      </c>
      <c r="AE966" s="6">
        <f>$K$966*$Y$966</f>
        <v>0</v>
      </c>
      <c r="AF966" s="6">
        <f ca="1">$M$966*$Z$966</f>
        <v>141.47925639175287</v>
      </c>
      <c r="AG966" s="6">
        <f>$O$966*$AA$966</f>
        <v>75.884029113039801</v>
      </c>
    </row>
    <row r="967" spans="1:33" ht="11.25" customHeight="1" x14ac:dyDescent="0.3">
      <c r="A967" s="4" t="s">
        <v>53</v>
      </c>
      <c r="B967" s="4" t="s">
        <v>37</v>
      </c>
      <c r="C967" s="4" t="s">
        <v>33</v>
      </c>
      <c r="D967" s="4" t="s">
        <v>42</v>
      </c>
      <c r="E967" s="4" t="s">
        <v>25</v>
      </c>
      <c r="F967" s="4" t="s">
        <v>25</v>
      </c>
      <c r="G967" s="4" t="s">
        <v>25</v>
      </c>
      <c r="H967" s="4" t="s">
        <v>34</v>
      </c>
      <c r="I967" s="5">
        <v>44835</v>
      </c>
      <c r="J967" s="6">
        <v>0</v>
      </c>
      <c r="K967" s="6">
        <v>0</v>
      </c>
      <c r="L967" s="6">
        <v>1.5189999999999999</v>
      </c>
      <c r="M967" s="6">
        <v>1.5189999999999999</v>
      </c>
      <c r="N967" s="6">
        <v>1.5189999999999999</v>
      </c>
      <c r="O967" s="6">
        <v>1.5189999999999999</v>
      </c>
      <c r="P967" s="6">
        <v>0</v>
      </c>
      <c r="Q967" s="4" t="s">
        <v>26</v>
      </c>
      <c r="R967" s="4">
        <v>0</v>
      </c>
      <c r="S967" s="6">
        <v>0</v>
      </c>
      <c r="T967" s="6">
        <v>83</v>
      </c>
      <c r="U967" s="6">
        <v>106</v>
      </c>
      <c r="V967" s="6">
        <f>IF(ISERROR(VLOOKUP($S$967,'TAR FIN'!$A$1:$O$113,15,0)),0,VLOOKUP($S$967,'TAR FIN'!$A$1:$O$113,15,0))</f>
        <v>0</v>
      </c>
      <c r="W967" s="6">
        <f>IF(ISERROR(VLOOKUP($T$967,'TAR FIN'!$A$1:$O$113,15,0)),0,VLOOKUP($T$967,'TAR FIN'!$A$1:$O$113,15,0))</f>
        <v>748.29</v>
      </c>
      <c r="X967" s="6">
        <f>IF(ISERROR(VLOOKUP($U$967,'TAR FIN'!$A$1:$O$113,15,0)),0,VLOOKUP($U$967,'TAR FIN'!$A$1:$O$113,15,0))</f>
        <v>442.86</v>
      </c>
      <c r="Y967" s="6"/>
      <c r="Z967" s="6">
        <f ca="1">('TUSD BE'!$AM$65+'TUSD BF'!$AM$65+'TUSD CVA'!$AM$65)*1</f>
        <v>906.91831020354402</v>
      </c>
      <c r="AA967" s="6">
        <f>('TE BE'!$AB$43+'TE BF'!$AB$43+'TE CVA'!$AB$43)*1</f>
        <v>486.43608405794748</v>
      </c>
      <c r="AB967" s="6">
        <f>$K$967*$V$967</f>
        <v>0</v>
      </c>
      <c r="AC967" s="6">
        <f>$M$967*$W$967</f>
        <v>1136.6525099999999</v>
      </c>
      <c r="AD967" s="6">
        <f>$O$967*$X$967</f>
        <v>672.70434</v>
      </c>
      <c r="AE967" s="6">
        <f>$K$967*$Y$967</f>
        <v>0</v>
      </c>
      <c r="AF967" s="6">
        <f ca="1">$M$967*$Z$967</f>
        <v>1377.6089131991832</v>
      </c>
      <c r="AG967" s="6">
        <f>$O$967*$AA$967</f>
        <v>738.89641168402215</v>
      </c>
    </row>
    <row r="968" spans="1:33" ht="11.25" customHeight="1" x14ac:dyDescent="0.3">
      <c r="A968" s="4" t="s">
        <v>53</v>
      </c>
      <c r="B968" s="4" t="s">
        <v>37</v>
      </c>
      <c r="C968" s="4" t="s">
        <v>33</v>
      </c>
      <c r="D968" s="4" t="s">
        <v>42</v>
      </c>
      <c r="E968" s="4" t="s">
        <v>25</v>
      </c>
      <c r="F968" s="4" t="s">
        <v>25</v>
      </c>
      <c r="G968" s="4" t="s">
        <v>25</v>
      </c>
      <c r="H968" s="4" t="s">
        <v>34</v>
      </c>
      <c r="I968" s="5">
        <v>44835</v>
      </c>
      <c r="J968" s="6">
        <v>0</v>
      </c>
      <c r="K968" s="6">
        <v>0</v>
      </c>
      <c r="L968" s="6">
        <v>0.156</v>
      </c>
      <c r="M968" s="6">
        <v>0.156</v>
      </c>
      <c r="N968" s="6">
        <v>0.156</v>
      </c>
      <c r="O968" s="6">
        <v>0.156</v>
      </c>
      <c r="P968" s="6">
        <v>0</v>
      </c>
      <c r="Q968" s="4" t="s">
        <v>26</v>
      </c>
      <c r="R968" s="4">
        <v>0</v>
      </c>
      <c r="S968" s="6">
        <v>0</v>
      </c>
      <c r="T968" s="6">
        <v>83</v>
      </c>
      <c r="U968" s="6">
        <v>106</v>
      </c>
      <c r="V968" s="6">
        <f>IF(ISERROR(VLOOKUP($S$968,'TAR FIN'!$A$1:$O$113,15,0)),0,VLOOKUP($S$968,'TAR FIN'!$A$1:$O$113,15,0))</f>
        <v>0</v>
      </c>
      <c r="W968" s="6">
        <f>IF(ISERROR(VLOOKUP($T$968,'TAR FIN'!$A$1:$O$113,15,0)),0,VLOOKUP($T$968,'TAR FIN'!$A$1:$O$113,15,0))</f>
        <v>748.29</v>
      </c>
      <c r="X968" s="6">
        <f>IF(ISERROR(VLOOKUP($U$968,'TAR FIN'!$A$1:$O$113,15,0)),0,VLOOKUP($U$968,'TAR FIN'!$A$1:$O$113,15,0))</f>
        <v>442.86</v>
      </c>
      <c r="Y968" s="6"/>
      <c r="Z968" s="6">
        <f ca="1">('TUSD BE'!$AM$65+'TUSD BF'!$AM$65+'TUSD CVA'!$AM$65)*1</f>
        <v>906.91831020354402</v>
      </c>
      <c r="AA968" s="6">
        <f>('TE BE'!$AB$43+'TE BF'!$AB$43+'TE CVA'!$AB$43)*1</f>
        <v>486.43608405794748</v>
      </c>
      <c r="AB968" s="6">
        <f>$K$968*$V$968</f>
        <v>0</v>
      </c>
      <c r="AC968" s="6">
        <f>$M$968*$W$968</f>
        <v>116.73324</v>
      </c>
      <c r="AD968" s="6">
        <f>$O$968*$X$968</f>
        <v>69.086160000000007</v>
      </c>
      <c r="AE968" s="6">
        <f>$K$968*$Y$968</f>
        <v>0</v>
      </c>
      <c r="AF968" s="6">
        <f ca="1">$M$968*$Z$968</f>
        <v>141.47925639175287</v>
      </c>
      <c r="AG968" s="6">
        <f>$O$968*$AA$968</f>
        <v>75.884029113039801</v>
      </c>
    </row>
    <row r="969" spans="1:33" ht="11.25" customHeight="1" x14ac:dyDescent="0.3">
      <c r="A969" s="4" t="s">
        <v>21</v>
      </c>
      <c r="B969" s="4" t="s">
        <v>37</v>
      </c>
      <c r="C969" s="4" t="s">
        <v>33</v>
      </c>
      <c r="D969" s="4" t="s">
        <v>38</v>
      </c>
      <c r="E969" s="4" t="s">
        <v>25</v>
      </c>
      <c r="F969" s="4" t="s">
        <v>25</v>
      </c>
      <c r="G969" s="4" t="s">
        <v>25</v>
      </c>
      <c r="H969" s="4" t="s">
        <v>35</v>
      </c>
      <c r="I969" s="5">
        <v>44501</v>
      </c>
      <c r="J969" s="6">
        <v>0</v>
      </c>
      <c r="K969" s="6">
        <v>0</v>
      </c>
      <c r="L969" s="6">
        <v>6.65</v>
      </c>
      <c r="M969" s="6">
        <v>6.65</v>
      </c>
      <c r="N969" s="6">
        <v>6.65</v>
      </c>
      <c r="O969" s="6">
        <v>6.65</v>
      </c>
      <c r="P969" s="6">
        <v>0</v>
      </c>
      <c r="Q969" s="4" t="s">
        <v>26</v>
      </c>
      <c r="R969" s="4">
        <v>0</v>
      </c>
      <c r="S969" s="6">
        <v>0</v>
      </c>
      <c r="T969" s="6">
        <v>69</v>
      </c>
      <c r="U969" s="6">
        <v>105</v>
      </c>
      <c r="V969" s="6">
        <f>IF(ISERROR(VLOOKUP($S$969,'TAR FIN'!$A$1:$O$113,15,0)),0,VLOOKUP($S$969,'TAR FIN'!$A$1:$O$113,15,0))</f>
        <v>0</v>
      </c>
      <c r="W969" s="6">
        <f>IF(ISERROR(VLOOKUP($T$969,'TAR FIN'!$A$1:$O$113,15,0)),0,VLOOKUP($T$969,'TAR FIN'!$A$1:$O$113,15,0))</f>
        <v>234.07</v>
      </c>
      <c r="X969" s="6">
        <f>IF(ISERROR(VLOOKUP($U$969,'TAR FIN'!$A$1:$O$113,15,0)),0,VLOOKUP($U$969,'TAR FIN'!$A$1:$O$113,15,0))</f>
        <v>278.67</v>
      </c>
      <c r="Y969" s="6"/>
      <c r="Z969" s="6">
        <f ca="1">('TUSD BE'!$AM$67+'TUSD BF'!$AM$67+'TUSD CVA'!$AM$67)*1</f>
        <v>317.35598308036384</v>
      </c>
      <c r="AA969" s="6">
        <f>('TE BE'!$AB$45+'TE BF'!$AB$45+'TE CVA'!$AB$45)*1</f>
        <v>299.18055042718134</v>
      </c>
      <c r="AB969" s="6">
        <f>$K$969*$V$969</f>
        <v>0</v>
      </c>
      <c r="AC969" s="6">
        <f>$M$969*$W$969</f>
        <v>1556.5654999999999</v>
      </c>
      <c r="AD969" s="6">
        <f>$O$969*$X$969</f>
        <v>1853.1555000000003</v>
      </c>
      <c r="AE969" s="6">
        <f>$K$969*$Y$969</f>
        <v>0</v>
      </c>
      <c r="AF969" s="6">
        <f ca="1">$M$969*$Z$969</f>
        <v>2110.4172874844198</v>
      </c>
      <c r="AG969" s="6">
        <f>$O$969*$AA$969</f>
        <v>1989.5506603407559</v>
      </c>
    </row>
    <row r="970" spans="1:33" ht="11.25" customHeight="1" x14ac:dyDescent="0.3">
      <c r="A970" s="4" t="s">
        <v>28</v>
      </c>
      <c r="B970" s="4" t="s">
        <v>37</v>
      </c>
      <c r="C970" s="4" t="s">
        <v>33</v>
      </c>
      <c r="D970" s="4" t="s">
        <v>38</v>
      </c>
      <c r="E970" s="4" t="s">
        <v>25</v>
      </c>
      <c r="F970" s="4" t="s">
        <v>25</v>
      </c>
      <c r="G970" s="4" t="s">
        <v>25</v>
      </c>
      <c r="H970" s="4" t="s">
        <v>35</v>
      </c>
      <c r="I970" s="5">
        <v>44501</v>
      </c>
      <c r="J970" s="6">
        <v>0</v>
      </c>
      <c r="K970" s="6">
        <v>0</v>
      </c>
      <c r="L970" s="6">
        <v>1.0999999999999999E-2</v>
      </c>
      <c r="M970" s="6">
        <v>1.0999999999999999E-2</v>
      </c>
      <c r="N970" s="6">
        <v>1.0999999999999999E-2</v>
      </c>
      <c r="O970" s="6">
        <v>1.0999999999999999E-2</v>
      </c>
      <c r="P970" s="6">
        <v>0</v>
      </c>
      <c r="Q970" s="4" t="s">
        <v>26</v>
      </c>
      <c r="R970" s="4">
        <v>0</v>
      </c>
      <c r="S970" s="6">
        <v>0</v>
      </c>
      <c r="T970" s="6">
        <v>69</v>
      </c>
      <c r="U970" s="6">
        <v>105</v>
      </c>
      <c r="V970" s="6">
        <f>IF(ISERROR(VLOOKUP($S$970,'TAR FIN'!$A$1:$O$113,15,0)),0,VLOOKUP($S$970,'TAR FIN'!$A$1:$O$113,15,0))</f>
        <v>0</v>
      </c>
      <c r="W970" s="6">
        <f>IF(ISERROR(VLOOKUP($T$970,'TAR FIN'!$A$1:$O$113,15,0)),0,VLOOKUP($T$970,'TAR FIN'!$A$1:$O$113,15,0))</f>
        <v>234.07</v>
      </c>
      <c r="X970" s="6">
        <f>IF(ISERROR(VLOOKUP($U$970,'TAR FIN'!$A$1:$O$113,15,0)),0,VLOOKUP($U$970,'TAR FIN'!$A$1:$O$113,15,0))</f>
        <v>278.67</v>
      </c>
      <c r="Y970" s="6"/>
      <c r="Z970" s="6">
        <f ca="1">('TUSD BE'!$AM$67+'TUSD BF'!$AM$67+'TUSD CVA'!$AM$67)*1</f>
        <v>317.35598308036384</v>
      </c>
      <c r="AA970" s="6">
        <f>('TE BE'!$AB$45+'TE BF'!$AB$45+'TE CVA'!$AB$45)*1</f>
        <v>299.18055042718134</v>
      </c>
      <c r="AB970" s="6">
        <f>$K$970*$V$970</f>
        <v>0</v>
      </c>
      <c r="AC970" s="6">
        <f>$M$970*$W$970</f>
        <v>2.5747699999999996</v>
      </c>
      <c r="AD970" s="6">
        <f>$O$970*$X$970</f>
        <v>3.0653700000000002</v>
      </c>
      <c r="AE970" s="6">
        <f>$K$970*$Y$970</f>
        <v>0</v>
      </c>
      <c r="AF970" s="6">
        <f ca="1">$M$970*$Z$970</f>
        <v>3.4909158138840022</v>
      </c>
      <c r="AG970" s="6">
        <f>$O$970*$AA$970</f>
        <v>3.2909860546989944</v>
      </c>
    </row>
    <row r="971" spans="1:33" ht="11.25" customHeight="1" x14ac:dyDescent="0.3">
      <c r="A971" s="4" t="s">
        <v>21</v>
      </c>
      <c r="B971" s="4" t="s">
        <v>37</v>
      </c>
      <c r="C971" s="4" t="s">
        <v>33</v>
      </c>
      <c r="D971" s="4" t="s">
        <v>38</v>
      </c>
      <c r="E971" s="4" t="s">
        <v>25</v>
      </c>
      <c r="F971" s="4" t="s">
        <v>25</v>
      </c>
      <c r="G971" s="4" t="s">
        <v>25</v>
      </c>
      <c r="H971" s="4" t="s">
        <v>35</v>
      </c>
      <c r="I971" s="5">
        <v>44531</v>
      </c>
      <c r="J971" s="6">
        <v>0</v>
      </c>
      <c r="K971" s="6">
        <v>0</v>
      </c>
      <c r="L971" s="6">
        <v>7.35</v>
      </c>
      <c r="M971" s="6">
        <v>7.35</v>
      </c>
      <c r="N971" s="6">
        <v>7.35</v>
      </c>
      <c r="O971" s="6">
        <v>7.35</v>
      </c>
      <c r="P971" s="6">
        <v>0</v>
      </c>
      <c r="Q971" s="4" t="s">
        <v>26</v>
      </c>
      <c r="R971" s="4">
        <v>0</v>
      </c>
      <c r="S971" s="6">
        <v>0</v>
      </c>
      <c r="T971" s="6">
        <v>69</v>
      </c>
      <c r="U971" s="6">
        <v>105</v>
      </c>
      <c r="V971" s="6">
        <f>IF(ISERROR(VLOOKUP($S$971,'TAR FIN'!$A$1:$O$113,15,0)),0,VLOOKUP($S$971,'TAR FIN'!$A$1:$O$113,15,0))</f>
        <v>0</v>
      </c>
      <c r="W971" s="6">
        <f>IF(ISERROR(VLOOKUP($T$971,'TAR FIN'!$A$1:$O$113,15,0)),0,VLOOKUP($T$971,'TAR FIN'!$A$1:$O$113,15,0))</f>
        <v>234.07</v>
      </c>
      <c r="X971" s="6">
        <f>IF(ISERROR(VLOOKUP($U$971,'TAR FIN'!$A$1:$O$113,15,0)),0,VLOOKUP($U$971,'TAR FIN'!$A$1:$O$113,15,0))</f>
        <v>278.67</v>
      </c>
      <c r="Y971" s="6"/>
      <c r="Z971" s="6">
        <f ca="1">('TUSD BE'!$AM$67+'TUSD BF'!$AM$67+'TUSD CVA'!$AM$67)*1</f>
        <v>317.35598308036384</v>
      </c>
      <c r="AA971" s="6">
        <f>('TE BE'!$AB$45+'TE BF'!$AB$45+'TE CVA'!$AB$45)*1</f>
        <v>299.18055042718134</v>
      </c>
      <c r="AB971" s="6">
        <f>$K$971*$V$971</f>
        <v>0</v>
      </c>
      <c r="AC971" s="6">
        <f>$M$971*$W$971</f>
        <v>1720.4144999999999</v>
      </c>
      <c r="AD971" s="6">
        <f>$O$971*$X$971</f>
        <v>2048.2244999999998</v>
      </c>
      <c r="AE971" s="6">
        <f>$K$971*$Y$971</f>
        <v>0</v>
      </c>
      <c r="AF971" s="6">
        <f ca="1">$M$971*$Z$971</f>
        <v>2332.5664756406741</v>
      </c>
      <c r="AG971" s="6">
        <f>$O$971*$AA$971</f>
        <v>2198.9770456397828</v>
      </c>
    </row>
    <row r="972" spans="1:33" ht="11.25" customHeight="1" x14ac:dyDescent="0.3">
      <c r="A972" s="4" t="s">
        <v>28</v>
      </c>
      <c r="B972" s="4" t="s">
        <v>37</v>
      </c>
      <c r="C972" s="4" t="s">
        <v>33</v>
      </c>
      <c r="D972" s="4" t="s">
        <v>38</v>
      </c>
      <c r="E972" s="4" t="s">
        <v>25</v>
      </c>
      <c r="F972" s="4" t="s">
        <v>25</v>
      </c>
      <c r="G972" s="4" t="s">
        <v>25</v>
      </c>
      <c r="H972" s="4" t="s">
        <v>35</v>
      </c>
      <c r="I972" s="5">
        <v>44531</v>
      </c>
      <c r="J972" s="6">
        <v>0</v>
      </c>
      <c r="K972" s="6">
        <v>0</v>
      </c>
      <c r="L972" s="6">
        <v>7.3999999999999996E-2</v>
      </c>
      <c r="M972" s="6">
        <v>7.3999999999999996E-2</v>
      </c>
      <c r="N972" s="6">
        <v>7.3999999999999996E-2</v>
      </c>
      <c r="O972" s="6">
        <v>7.3999999999999996E-2</v>
      </c>
      <c r="P972" s="6">
        <v>0</v>
      </c>
      <c r="Q972" s="4" t="s">
        <v>26</v>
      </c>
      <c r="R972" s="4">
        <v>0</v>
      </c>
      <c r="S972" s="6">
        <v>0</v>
      </c>
      <c r="T972" s="6">
        <v>69</v>
      </c>
      <c r="U972" s="6">
        <v>105</v>
      </c>
      <c r="V972" s="6">
        <f>IF(ISERROR(VLOOKUP($S$972,'TAR FIN'!$A$1:$O$113,15,0)),0,VLOOKUP($S$972,'TAR FIN'!$A$1:$O$113,15,0))</f>
        <v>0</v>
      </c>
      <c r="W972" s="6">
        <f>IF(ISERROR(VLOOKUP($T$972,'TAR FIN'!$A$1:$O$113,15,0)),0,VLOOKUP($T$972,'TAR FIN'!$A$1:$O$113,15,0))</f>
        <v>234.07</v>
      </c>
      <c r="X972" s="6">
        <f>IF(ISERROR(VLOOKUP($U$972,'TAR FIN'!$A$1:$O$113,15,0)),0,VLOOKUP($U$972,'TAR FIN'!$A$1:$O$113,15,0))</f>
        <v>278.67</v>
      </c>
      <c r="Y972" s="6"/>
      <c r="Z972" s="6">
        <f ca="1">('TUSD BE'!$AM$67+'TUSD BF'!$AM$67+'TUSD CVA'!$AM$67)*1</f>
        <v>317.35598308036384</v>
      </c>
      <c r="AA972" s="6">
        <f>('TE BE'!$AB$45+'TE BF'!$AB$45+'TE CVA'!$AB$45)*1</f>
        <v>299.18055042718134</v>
      </c>
      <c r="AB972" s="6">
        <f>$K$972*$V$972</f>
        <v>0</v>
      </c>
      <c r="AC972" s="6">
        <f>$M$972*$W$972</f>
        <v>17.321179999999998</v>
      </c>
      <c r="AD972" s="6">
        <f>$O$972*$X$972</f>
        <v>20.621580000000002</v>
      </c>
      <c r="AE972" s="6">
        <f>$K$972*$Y$972</f>
        <v>0</v>
      </c>
      <c r="AF972" s="6">
        <f ca="1">$M$972*$Z$972</f>
        <v>23.484342747946922</v>
      </c>
      <c r="AG972" s="6">
        <f>$O$972*$AA$972</f>
        <v>22.139360731611418</v>
      </c>
    </row>
    <row r="973" spans="1:33" ht="11.25" customHeight="1" x14ac:dyDescent="0.3">
      <c r="A973" s="4" t="s">
        <v>21</v>
      </c>
      <c r="B973" s="4" t="s">
        <v>37</v>
      </c>
      <c r="C973" s="4" t="s">
        <v>33</v>
      </c>
      <c r="D973" s="4" t="s">
        <v>38</v>
      </c>
      <c r="E973" s="4" t="s">
        <v>25</v>
      </c>
      <c r="F973" s="4" t="s">
        <v>25</v>
      </c>
      <c r="G973" s="4" t="s">
        <v>25</v>
      </c>
      <c r="H973" s="4" t="s">
        <v>35</v>
      </c>
      <c r="I973" s="5">
        <v>44562</v>
      </c>
      <c r="J973" s="6">
        <v>0</v>
      </c>
      <c r="K973" s="6">
        <v>0</v>
      </c>
      <c r="L973" s="6">
        <v>7.4</v>
      </c>
      <c r="M973" s="6">
        <v>7.4</v>
      </c>
      <c r="N973" s="6">
        <v>7.4</v>
      </c>
      <c r="O973" s="6">
        <v>7.4</v>
      </c>
      <c r="P973" s="6">
        <v>0</v>
      </c>
      <c r="Q973" s="4" t="s">
        <v>26</v>
      </c>
      <c r="R973" s="4">
        <v>0</v>
      </c>
      <c r="S973" s="6">
        <v>0</v>
      </c>
      <c r="T973" s="6">
        <v>69</v>
      </c>
      <c r="U973" s="6">
        <v>105</v>
      </c>
      <c r="V973" s="6">
        <f>IF(ISERROR(VLOOKUP($S$973,'TAR FIN'!$A$1:$O$113,15,0)),0,VLOOKUP($S$973,'TAR FIN'!$A$1:$O$113,15,0))</f>
        <v>0</v>
      </c>
      <c r="W973" s="6">
        <f>IF(ISERROR(VLOOKUP($T$973,'TAR FIN'!$A$1:$O$113,15,0)),0,VLOOKUP($T$973,'TAR FIN'!$A$1:$O$113,15,0))</f>
        <v>234.07</v>
      </c>
      <c r="X973" s="6">
        <f>IF(ISERROR(VLOOKUP($U$973,'TAR FIN'!$A$1:$O$113,15,0)),0,VLOOKUP($U$973,'TAR FIN'!$A$1:$O$113,15,0))</f>
        <v>278.67</v>
      </c>
      <c r="Y973" s="6"/>
      <c r="Z973" s="6">
        <f ca="1">('TUSD BE'!$AM$67+'TUSD BF'!$AM$67+'TUSD CVA'!$AM$67)*1</f>
        <v>317.35598308036384</v>
      </c>
      <c r="AA973" s="6">
        <f>('TE BE'!$AB$45+'TE BF'!$AB$45+'TE CVA'!$AB$45)*1</f>
        <v>299.18055042718134</v>
      </c>
      <c r="AB973" s="6">
        <f>$K$973*$V$973</f>
        <v>0</v>
      </c>
      <c r="AC973" s="6">
        <f>$M$973*$W$973</f>
        <v>1732.1179999999999</v>
      </c>
      <c r="AD973" s="6">
        <f>$O$973*$X$973</f>
        <v>2062.1580000000004</v>
      </c>
      <c r="AE973" s="6">
        <f>$K$973*$Y$973</f>
        <v>0</v>
      </c>
      <c r="AF973" s="6">
        <f ca="1">$M$973*$Z$973</f>
        <v>2348.4342747946926</v>
      </c>
      <c r="AG973" s="6">
        <f>$O$973*$AA$973</f>
        <v>2213.9360731611418</v>
      </c>
    </row>
    <row r="974" spans="1:33" ht="11.25" customHeight="1" x14ac:dyDescent="0.3">
      <c r="A974" s="4" t="s">
        <v>28</v>
      </c>
      <c r="B974" s="4" t="s">
        <v>37</v>
      </c>
      <c r="C974" s="4" t="s">
        <v>33</v>
      </c>
      <c r="D974" s="4" t="s">
        <v>38</v>
      </c>
      <c r="E974" s="4" t="s">
        <v>25</v>
      </c>
      <c r="F974" s="4" t="s">
        <v>25</v>
      </c>
      <c r="G974" s="4" t="s">
        <v>25</v>
      </c>
      <c r="H974" s="4" t="s">
        <v>35</v>
      </c>
      <c r="I974" s="5">
        <v>44562</v>
      </c>
      <c r="J974" s="6">
        <v>0</v>
      </c>
      <c r="K974" s="6">
        <v>0</v>
      </c>
      <c r="L974" s="6">
        <v>0.22</v>
      </c>
      <c r="M974" s="6">
        <v>0.22</v>
      </c>
      <c r="N974" s="6">
        <v>0.22</v>
      </c>
      <c r="O974" s="6">
        <v>0.22</v>
      </c>
      <c r="P974" s="6">
        <v>0</v>
      </c>
      <c r="Q974" s="4" t="s">
        <v>26</v>
      </c>
      <c r="R974" s="4">
        <v>0</v>
      </c>
      <c r="S974" s="6">
        <v>0</v>
      </c>
      <c r="T974" s="6">
        <v>69</v>
      </c>
      <c r="U974" s="6">
        <v>105</v>
      </c>
      <c r="V974" s="6">
        <f>IF(ISERROR(VLOOKUP($S$974,'TAR FIN'!$A$1:$O$113,15,0)),0,VLOOKUP($S$974,'TAR FIN'!$A$1:$O$113,15,0))</f>
        <v>0</v>
      </c>
      <c r="W974" s="6">
        <f>IF(ISERROR(VLOOKUP($T$974,'TAR FIN'!$A$1:$O$113,15,0)),0,VLOOKUP($T$974,'TAR FIN'!$A$1:$O$113,15,0))</f>
        <v>234.07</v>
      </c>
      <c r="X974" s="6">
        <f>IF(ISERROR(VLOOKUP($U$974,'TAR FIN'!$A$1:$O$113,15,0)),0,VLOOKUP($U$974,'TAR FIN'!$A$1:$O$113,15,0))</f>
        <v>278.67</v>
      </c>
      <c r="Y974" s="6"/>
      <c r="Z974" s="6">
        <f ca="1">('TUSD BE'!$AM$67+'TUSD BF'!$AM$67+'TUSD CVA'!$AM$67)*1</f>
        <v>317.35598308036384</v>
      </c>
      <c r="AA974" s="6">
        <f>('TE BE'!$AB$45+'TE BF'!$AB$45+'TE CVA'!$AB$45)*1</f>
        <v>299.18055042718134</v>
      </c>
      <c r="AB974" s="6">
        <f>$K$974*$V$974</f>
        <v>0</v>
      </c>
      <c r="AC974" s="6">
        <f>$M$974*$W$974</f>
        <v>51.495399999999997</v>
      </c>
      <c r="AD974" s="6">
        <f>$O$974*$X$974</f>
        <v>61.307400000000001</v>
      </c>
      <c r="AE974" s="6">
        <f>$K$974*$Y$974</f>
        <v>0</v>
      </c>
      <c r="AF974" s="6">
        <f ca="1">$M$974*$Z$974</f>
        <v>69.81831627768004</v>
      </c>
      <c r="AG974" s="6">
        <f>$O$974*$AA$974</f>
        <v>65.819721093979894</v>
      </c>
    </row>
    <row r="975" spans="1:33" ht="11.25" customHeight="1" x14ac:dyDescent="0.3">
      <c r="A975" s="4" t="s">
        <v>21</v>
      </c>
      <c r="B975" s="4" t="s">
        <v>37</v>
      </c>
      <c r="C975" s="4" t="s">
        <v>33</v>
      </c>
      <c r="D975" s="4" t="s">
        <v>38</v>
      </c>
      <c r="E975" s="4" t="s">
        <v>25</v>
      </c>
      <c r="F975" s="4" t="s">
        <v>25</v>
      </c>
      <c r="G975" s="4" t="s">
        <v>25</v>
      </c>
      <c r="H975" s="4" t="s">
        <v>35</v>
      </c>
      <c r="I975" s="5">
        <v>44593</v>
      </c>
      <c r="J975" s="6">
        <v>0</v>
      </c>
      <c r="K975" s="6">
        <v>0</v>
      </c>
      <c r="L975" s="6">
        <v>8.0500000000000007</v>
      </c>
      <c r="M975" s="6">
        <v>8.0500000000000007</v>
      </c>
      <c r="N975" s="6">
        <v>8.0500000000000007</v>
      </c>
      <c r="O975" s="6">
        <v>8.0500000000000007</v>
      </c>
      <c r="P975" s="6">
        <v>0</v>
      </c>
      <c r="Q975" s="4" t="s">
        <v>26</v>
      </c>
      <c r="R975" s="4">
        <v>0</v>
      </c>
      <c r="S975" s="6">
        <v>0</v>
      </c>
      <c r="T975" s="6">
        <v>69</v>
      </c>
      <c r="U975" s="6">
        <v>105</v>
      </c>
      <c r="V975" s="6">
        <f>IF(ISERROR(VLOOKUP($S$975,'TAR FIN'!$A$1:$O$113,15,0)),0,VLOOKUP($S$975,'TAR FIN'!$A$1:$O$113,15,0))</f>
        <v>0</v>
      </c>
      <c r="W975" s="6">
        <f>IF(ISERROR(VLOOKUP($T$975,'TAR FIN'!$A$1:$O$113,15,0)),0,VLOOKUP($T$975,'TAR FIN'!$A$1:$O$113,15,0))</f>
        <v>234.07</v>
      </c>
      <c r="X975" s="6">
        <f>IF(ISERROR(VLOOKUP($U$975,'TAR FIN'!$A$1:$O$113,15,0)),0,VLOOKUP($U$975,'TAR FIN'!$A$1:$O$113,15,0))</f>
        <v>278.67</v>
      </c>
      <c r="Y975" s="6"/>
      <c r="Z975" s="6">
        <f ca="1">('TUSD BE'!$AM$67+'TUSD BF'!$AM$67+'TUSD CVA'!$AM$67)*1</f>
        <v>317.35598308036384</v>
      </c>
      <c r="AA975" s="6">
        <f>('TE BE'!$AB$45+'TE BF'!$AB$45+'TE CVA'!$AB$45)*1</f>
        <v>299.18055042718134</v>
      </c>
      <c r="AB975" s="6">
        <f>$K$975*$V$975</f>
        <v>0</v>
      </c>
      <c r="AC975" s="6">
        <f>$M$975*$W$975</f>
        <v>1884.2635</v>
      </c>
      <c r="AD975" s="6">
        <f>$O$975*$X$975</f>
        <v>2243.2935000000002</v>
      </c>
      <c r="AE975" s="6">
        <f>$K$975*$Y$975</f>
        <v>0</v>
      </c>
      <c r="AF975" s="6">
        <f ca="1">$M$975*$Z$975</f>
        <v>2554.7156637969292</v>
      </c>
      <c r="AG975" s="6">
        <f>$O$975*$AA$975</f>
        <v>2408.4034309388098</v>
      </c>
    </row>
    <row r="976" spans="1:33" ht="11.25" customHeight="1" x14ac:dyDescent="0.3">
      <c r="A976" s="4" t="s">
        <v>28</v>
      </c>
      <c r="B976" s="4" t="s">
        <v>37</v>
      </c>
      <c r="C976" s="4" t="s">
        <v>33</v>
      </c>
      <c r="D976" s="4" t="s">
        <v>38</v>
      </c>
      <c r="E976" s="4" t="s">
        <v>25</v>
      </c>
      <c r="F976" s="4" t="s">
        <v>25</v>
      </c>
      <c r="G976" s="4" t="s">
        <v>25</v>
      </c>
      <c r="H976" s="4" t="s">
        <v>35</v>
      </c>
      <c r="I976" s="5">
        <v>44593</v>
      </c>
      <c r="J976" s="6">
        <v>0</v>
      </c>
      <c r="K976" s="6">
        <v>0</v>
      </c>
      <c r="L976" s="6">
        <v>0.214</v>
      </c>
      <c r="M976" s="6">
        <v>0.214</v>
      </c>
      <c r="N976" s="6">
        <v>0.214</v>
      </c>
      <c r="O976" s="6">
        <v>0.214</v>
      </c>
      <c r="P976" s="6">
        <v>0</v>
      </c>
      <c r="Q976" s="4" t="s">
        <v>26</v>
      </c>
      <c r="R976" s="4">
        <v>0</v>
      </c>
      <c r="S976" s="6">
        <v>0</v>
      </c>
      <c r="T976" s="6">
        <v>69</v>
      </c>
      <c r="U976" s="6">
        <v>105</v>
      </c>
      <c r="V976" s="6">
        <f>IF(ISERROR(VLOOKUP($S$976,'TAR FIN'!$A$1:$O$113,15,0)),0,VLOOKUP($S$976,'TAR FIN'!$A$1:$O$113,15,0))</f>
        <v>0</v>
      </c>
      <c r="W976" s="6">
        <f>IF(ISERROR(VLOOKUP($T$976,'TAR FIN'!$A$1:$O$113,15,0)),0,VLOOKUP($T$976,'TAR FIN'!$A$1:$O$113,15,0))</f>
        <v>234.07</v>
      </c>
      <c r="X976" s="6">
        <f>IF(ISERROR(VLOOKUP($U$976,'TAR FIN'!$A$1:$O$113,15,0)),0,VLOOKUP($U$976,'TAR FIN'!$A$1:$O$113,15,0))</f>
        <v>278.67</v>
      </c>
      <c r="Y976" s="6"/>
      <c r="Z976" s="6">
        <f ca="1">('TUSD BE'!$AM$67+'TUSD BF'!$AM$67+'TUSD CVA'!$AM$67)*1</f>
        <v>317.35598308036384</v>
      </c>
      <c r="AA976" s="6">
        <f>('TE BE'!$AB$45+'TE BF'!$AB$45+'TE CVA'!$AB$45)*1</f>
        <v>299.18055042718134</v>
      </c>
      <c r="AB976" s="6">
        <f>$K$976*$V$976</f>
        <v>0</v>
      </c>
      <c r="AC976" s="6">
        <f>$M$976*$W$976</f>
        <v>50.090979999999995</v>
      </c>
      <c r="AD976" s="6">
        <f>$O$976*$X$976</f>
        <v>59.635380000000005</v>
      </c>
      <c r="AE976" s="6">
        <f>$K$976*$Y$976</f>
        <v>0</v>
      </c>
      <c r="AF976" s="6">
        <f ca="1">$M$976*$Z$976</f>
        <v>67.914180379197859</v>
      </c>
      <c r="AG976" s="6">
        <f>$O$976*$AA$976</f>
        <v>64.024637791416808</v>
      </c>
    </row>
    <row r="977" spans="1:33" ht="11.25" customHeight="1" x14ac:dyDescent="0.3">
      <c r="A977" s="4" t="s">
        <v>21</v>
      </c>
      <c r="B977" s="4" t="s">
        <v>37</v>
      </c>
      <c r="C977" s="4" t="s">
        <v>33</v>
      </c>
      <c r="D977" s="4" t="s">
        <v>38</v>
      </c>
      <c r="E977" s="4" t="s">
        <v>25</v>
      </c>
      <c r="F977" s="4" t="s">
        <v>25</v>
      </c>
      <c r="G977" s="4" t="s">
        <v>25</v>
      </c>
      <c r="H977" s="4" t="s">
        <v>35</v>
      </c>
      <c r="I977" s="5">
        <v>44621</v>
      </c>
      <c r="J977" s="6">
        <v>0</v>
      </c>
      <c r="K977" s="6">
        <v>0</v>
      </c>
      <c r="L977" s="6">
        <v>6.8</v>
      </c>
      <c r="M977" s="6">
        <v>6.8</v>
      </c>
      <c r="N977" s="6">
        <v>6.8</v>
      </c>
      <c r="O977" s="6">
        <v>6.8</v>
      </c>
      <c r="P977" s="6">
        <v>0</v>
      </c>
      <c r="Q977" s="4" t="s">
        <v>26</v>
      </c>
      <c r="R977" s="4">
        <v>0</v>
      </c>
      <c r="S977" s="6">
        <v>0</v>
      </c>
      <c r="T977" s="6">
        <v>69</v>
      </c>
      <c r="U977" s="6">
        <v>105</v>
      </c>
      <c r="V977" s="6">
        <f>IF(ISERROR(VLOOKUP($S$977,'TAR FIN'!$A$1:$O$113,15,0)),0,VLOOKUP($S$977,'TAR FIN'!$A$1:$O$113,15,0))</f>
        <v>0</v>
      </c>
      <c r="W977" s="6">
        <f>IF(ISERROR(VLOOKUP($T$977,'TAR FIN'!$A$1:$O$113,15,0)),0,VLOOKUP($T$977,'TAR FIN'!$A$1:$O$113,15,0))</f>
        <v>234.07</v>
      </c>
      <c r="X977" s="6">
        <f>IF(ISERROR(VLOOKUP($U$977,'TAR FIN'!$A$1:$O$113,15,0)),0,VLOOKUP($U$977,'TAR FIN'!$A$1:$O$113,15,0))</f>
        <v>278.67</v>
      </c>
      <c r="Y977" s="6"/>
      <c r="Z977" s="6">
        <f ca="1">('TUSD BE'!$AM$67+'TUSD BF'!$AM$67+'TUSD CVA'!$AM$67)*1</f>
        <v>317.35598308036384</v>
      </c>
      <c r="AA977" s="6">
        <f>('TE BE'!$AB$45+'TE BF'!$AB$45+'TE CVA'!$AB$45)*1</f>
        <v>299.18055042718134</v>
      </c>
      <c r="AB977" s="6">
        <f>$K$977*$V$977</f>
        <v>0</v>
      </c>
      <c r="AC977" s="6">
        <f>$M$977*$W$977</f>
        <v>1591.6759999999999</v>
      </c>
      <c r="AD977" s="6">
        <f>$O$977*$X$977</f>
        <v>1894.9560000000001</v>
      </c>
      <c r="AE977" s="6">
        <f>$K$977*$Y$977</f>
        <v>0</v>
      </c>
      <c r="AF977" s="6">
        <f ca="1">$M$977*$Z$977</f>
        <v>2158.0206849464739</v>
      </c>
      <c r="AG977" s="6">
        <f>$O$977*$AA$977</f>
        <v>2034.4277429048332</v>
      </c>
    </row>
    <row r="978" spans="1:33" ht="11.25" customHeight="1" x14ac:dyDescent="0.3">
      <c r="A978" s="4" t="s">
        <v>28</v>
      </c>
      <c r="B978" s="4" t="s">
        <v>37</v>
      </c>
      <c r="C978" s="4" t="s">
        <v>33</v>
      </c>
      <c r="D978" s="4" t="s">
        <v>38</v>
      </c>
      <c r="E978" s="4" t="s">
        <v>25</v>
      </c>
      <c r="F978" s="4" t="s">
        <v>25</v>
      </c>
      <c r="G978" s="4" t="s">
        <v>25</v>
      </c>
      <c r="H978" s="4" t="s">
        <v>35</v>
      </c>
      <c r="I978" s="5">
        <v>44621</v>
      </c>
      <c r="J978" s="6">
        <v>0</v>
      </c>
      <c r="K978" s="6">
        <v>0</v>
      </c>
      <c r="L978" s="6">
        <v>0.17899999999999999</v>
      </c>
      <c r="M978" s="6">
        <v>0.17899999999999999</v>
      </c>
      <c r="N978" s="6">
        <v>0.17899999999999999</v>
      </c>
      <c r="O978" s="6">
        <v>0.17899999999999999</v>
      </c>
      <c r="P978" s="6">
        <v>0</v>
      </c>
      <c r="Q978" s="4" t="s">
        <v>26</v>
      </c>
      <c r="R978" s="4">
        <v>0</v>
      </c>
      <c r="S978" s="6">
        <v>0</v>
      </c>
      <c r="T978" s="6">
        <v>69</v>
      </c>
      <c r="U978" s="6">
        <v>105</v>
      </c>
      <c r="V978" s="6">
        <f>IF(ISERROR(VLOOKUP($S$978,'TAR FIN'!$A$1:$O$113,15,0)),0,VLOOKUP($S$978,'TAR FIN'!$A$1:$O$113,15,0))</f>
        <v>0</v>
      </c>
      <c r="W978" s="6">
        <f>IF(ISERROR(VLOOKUP($T$978,'TAR FIN'!$A$1:$O$113,15,0)),0,VLOOKUP($T$978,'TAR FIN'!$A$1:$O$113,15,0))</f>
        <v>234.07</v>
      </c>
      <c r="X978" s="6">
        <f>IF(ISERROR(VLOOKUP($U$978,'TAR FIN'!$A$1:$O$113,15,0)),0,VLOOKUP($U$978,'TAR FIN'!$A$1:$O$113,15,0))</f>
        <v>278.67</v>
      </c>
      <c r="Y978" s="6"/>
      <c r="Z978" s="6">
        <f ca="1">('TUSD BE'!$AM$67+'TUSD BF'!$AM$67+'TUSD CVA'!$AM$67)*1</f>
        <v>317.35598308036384</v>
      </c>
      <c r="AA978" s="6">
        <f>('TE BE'!$AB$45+'TE BF'!$AB$45+'TE CVA'!$AB$45)*1</f>
        <v>299.18055042718134</v>
      </c>
      <c r="AB978" s="6">
        <f>$K$978*$V$978</f>
        <v>0</v>
      </c>
      <c r="AC978" s="6">
        <f>$M$978*$W$978</f>
        <v>41.898529999999994</v>
      </c>
      <c r="AD978" s="6">
        <f>$O$978*$X$978</f>
        <v>49.881930000000004</v>
      </c>
      <c r="AE978" s="6">
        <f>$K$978*$Y$978</f>
        <v>0</v>
      </c>
      <c r="AF978" s="6">
        <f ca="1">$M$978*$Z$978</f>
        <v>56.806720971385126</v>
      </c>
      <c r="AG978" s="6">
        <f>$O$978*$AA$978</f>
        <v>53.553318526465461</v>
      </c>
    </row>
    <row r="979" spans="1:33" ht="11.25" customHeight="1" x14ac:dyDescent="0.3">
      <c r="A979" s="4" t="s">
        <v>28</v>
      </c>
      <c r="B979" s="4" t="s">
        <v>37</v>
      </c>
      <c r="C979" s="4" t="s">
        <v>33</v>
      </c>
      <c r="D979" s="4" t="s">
        <v>38</v>
      </c>
      <c r="E979" s="4" t="s">
        <v>25</v>
      </c>
      <c r="F979" s="4" t="s">
        <v>25</v>
      </c>
      <c r="G979" s="4" t="s">
        <v>25</v>
      </c>
      <c r="H979" s="4" t="s">
        <v>35</v>
      </c>
      <c r="I979" s="5">
        <v>44652</v>
      </c>
      <c r="J979" s="6">
        <v>0</v>
      </c>
      <c r="K979" s="6">
        <v>0</v>
      </c>
      <c r="L979" s="6">
        <v>0.16700000000000001</v>
      </c>
      <c r="M979" s="6">
        <v>0.16700000000000001</v>
      </c>
      <c r="N979" s="6">
        <v>0.16700000000000001</v>
      </c>
      <c r="O979" s="6">
        <v>0.16700000000000001</v>
      </c>
      <c r="P979" s="6">
        <v>0</v>
      </c>
      <c r="Q979" s="4" t="s">
        <v>26</v>
      </c>
      <c r="R979" s="4">
        <v>0</v>
      </c>
      <c r="S979" s="6">
        <v>0</v>
      </c>
      <c r="T979" s="6">
        <v>69</v>
      </c>
      <c r="U979" s="6">
        <v>105</v>
      </c>
      <c r="V979" s="6">
        <f>IF(ISERROR(VLOOKUP($S$979,'TAR FIN'!$A$1:$O$113,15,0)),0,VLOOKUP($S$979,'TAR FIN'!$A$1:$O$113,15,0))</f>
        <v>0</v>
      </c>
      <c r="W979" s="6">
        <f>IF(ISERROR(VLOOKUP($T$979,'TAR FIN'!$A$1:$O$113,15,0)),0,VLOOKUP($T$979,'TAR FIN'!$A$1:$O$113,15,0))</f>
        <v>234.07</v>
      </c>
      <c r="X979" s="6">
        <f>IF(ISERROR(VLOOKUP($U$979,'TAR FIN'!$A$1:$O$113,15,0)),0,VLOOKUP($U$979,'TAR FIN'!$A$1:$O$113,15,0))</f>
        <v>278.67</v>
      </c>
      <c r="Y979" s="6"/>
      <c r="Z979" s="6">
        <f ca="1">('TUSD BE'!$AM$67+'TUSD BF'!$AM$67+'TUSD CVA'!$AM$67)*1</f>
        <v>317.35598308036384</v>
      </c>
      <c r="AA979" s="6">
        <f>('TE BE'!$AB$45+'TE BF'!$AB$45+'TE CVA'!$AB$45)*1</f>
        <v>299.18055042718134</v>
      </c>
      <c r="AB979" s="6">
        <f>$K$979*$V$979</f>
        <v>0</v>
      </c>
      <c r="AC979" s="6">
        <f>$M$979*$W$979</f>
        <v>39.089690000000004</v>
      </c>
      <c r="AD979" s="6">
        <f>$O$979*$X$979</f>
        <v>46.537890000000004</v>
      </c>
      <c r="AE979" s="6">
        <f>$K$979*$Y$979</f>
        <v>0</v>
      </c>
      <c r="AF979" s="6">
        <f ca="1">$M$979*$Z$979</f>
        <v>52.998449174420763</v>
      </c>
      <c r="AG979" s="6">
        <f>$O$979*$AA$979</f>
        <v>49.963151921339289</v>
      </c>
    </row>
    <row r="980" spans="1:33" ht="11.25" customHeight="1" x14ac:dyDescent="0.3">
      <c r="A980" s="4" t="s">
        <v>28</v>
      </c>
      <c r="B980" s="4" t="s">
        <v>37</v>
      </c>
      <c r="C980" s="4" t="s">
        <v>33</v>
      </c>
      <c r="D980" s="4" t="s">
        <v>38</v>
      </c>
      <c r="E980" s="4" t="s">
        <v>25</v>
      </c>
      <c r="F980" s="4" t="s">
        <v>25</v>
      </c>
      <c r="G980" s="4" t="s">
        <v>25</v>
      </c>
      <c r="H980" s="4" t="s">
        <v>35</v>
      </c>
      <c r="I980" s="5">
        <v>44682</v>
      </c>
      <c r="J980" s="6">
        <v>0</v>
      </c>
      <c r="K980" s="6">
        <v>0</v>
      </c>
      <c r="L980" s="6">
        <v>0.156</v>
      </c>
      <c r="M980" s="6">
        <v>0.156</v>
      </c>
      <c r="N980" s="6">
        <v>0.156</v>
      </c>
      <c r="O980" s="6">
        <v>0.156</v>
      </c>
      <c r="P980" s="6">
        <v>0</v>
      </c>
      <c r="Q980" s="4" t="s">
        <v>26</v>
      </c>
      <c r="R980" s="4">
        <v>0</v>
      </c>
      <c r="S980" s="6">
        <v>0</v>
      </c>
      <c r="T980" s="6">
        <v>69</v>
      </c>
      <c r="U980" s="6">
        <v>105</v>
      </c>
      <c r="V980" s="6">
        <f>IF(ISERROR(VLOOKUP($S$980,'TAR FIN'!$A$1:$O$113,15,0)),0,VLOOKUP($S$980,'TAR FIN'!$A$1:$O$113,15,0))</f>
        <v>0</v>
      </c>
      <c r="W980" s="6">
        <f>IF(ISERROR(VLOOKUP($T$980,'TAR FIN'!$A$1:$O$113,15,0)),0,VLOOKUP($T$980,'TAR FIN'!$A$1:$O$113,15,0))</f>
        <v>234.07</v>
      </c>
      <c r="X980" s="6">
        <f>IF(ISERROR(VLOOKUP($U$980,'TAR FIN'!$A$1:$O$113,15,0)),0,VLOOKUP($U$980,'TAR FIN'!$A$1:$O$113,15,0))</f>
        <v>278.67</v>
      </c>
      <c r="Y980" s="6"/>
      <c r="Z980" s="6">
        <f ca="1">('TUSD BE'!$AM$67+'TUSD BF'!$AM$67+'TUSD CVA'!$AM$67)*1</f>
        <v>317.35598308036384</v>
      </c>
      <c r="AA980" s="6">
        <f>('TE BE'!$AB$45+'TE BF'!$AB$45+'TE CVA'!$AB$45)*1</f>
        <v>299.18055042718134</v>
      </c>
      <c r="AB980" s="6">
        <f>$K$980*$V$980</f>
        <v>0</v>
      </c>
      <c r="AC980" s="6">
        <f>$M$980*$W$980</f>
        <v>36.514919999999996</v>
      </c>
      <c r="AD980" s="6">
        <f>$O$980*$X$980</f>
        <v>43.472520000000003</v>
      </c>
      <c r="AE980" s="6">
        <f>$K$980*$Y$980</f>
        <v>0</v>
      </c>
      <c r="AF980" s="6">
        <f ca="1">$M$980*$Z$980</f>
        <v>49.507533360536762</v>
      </c>
      <c r="AG980" s="6">
        <f>$O$980*$AA$980</f>
        <v>46.672165866640292</v>
      </c>
    </row>
    <row r="981" spans="1:33" ht="11.25" customHeight="1" x14ac:dyDescent="0.3">
      <c r="A981" s="4" t="s">
        <v>28</v>
      </c>
      <c r="B981" s="4" t="s">
        <v>37</v>
      </c>
      <c r="C981" s="4" t="s">
        <v>33</v>
      </c>
      <c r="D981" s="4" t="s">
        <v>38</v>
      </c>
      <c r="E981" s="4" t="s">
        <v>25</v>
      </c>
      <c r="F981" s="4" t="s">
        <v>25</v>
      </c>
      <c r="G981" s="4" t="s">
        <v>25</v>
      </c>
      <c r="H981" s="4" t="s">
        <v>35</v>
      </c>
      <c r="I981" s="5">
        <v>44713</v>
      </c>
      <c r="J981" s="6">
        <v>0</v>
      </c>
      <c r="K981" s="6">
        <v>0</v>
      </c>
      <c r="L981" s="6">
        <v>0.14399999999999999</v>
      </c>
      <c r="M981" s="6">
        <v>0.14399999999999999</v>
      </c>
      <c r="N981" s="6">
        <v>0.14399999999999999</v>
      </c>
      <c r="O981" s="6">
        <v>0.14399999999999999</v>
      </c>
      <c r="P981" s="6">
        <v>0</v>
      </c>
      <c r="Q981" s="4" t="s">
        <v>26</v>
      </c>
      <c r="R981" s="4">
        <v>0</v>
      </c>
      <c r="S981" s="6">
        <v>0</v>
      </c>
      <c r="T981" s="6">
        <v>69</v>
      </c>
      <c r="U981" s="6">
        <v>105</v>
      </c>
      <c r="V981" s="6">
        <f>IF(ISERROR(VLOOKUP($S$981,'TAR FIN'!$A$1:$O$113,15,0)),0,VLOOKUP($S$981,'TAR FIN'!$A$1:$O$113,15,0))</f>
        <v>0</v>
      </c>
      <c r="W981" s="6">
        <f>IF(ISERROR(VLOOKUP($T$981,'TAR FIN'!$A$1:$O$113,15,0)),0,VLOOKUP($T$981,'TAR FIN'!$A$1:$O$113,15,0))</f>
        <v>234.07</v>
      </c>
      <c r="X981" s="6">
        <f>IF(ISERROR(VLOOKUP($U$981,'TAR FIN'!$A$1:$O$113,15,0)),0,VLOOKUP($U$981,'TAR FIN'!$A$1:$O$113,15,0))</f>
        <v>278.67</v>
      </c>
      <c r="Y981" s="6"/>
      <c r="Z981" s="6">
        <f ca="1">('TUSD BE'!$AM$67+'TUSD BF'!$AM$67+'TUSD CVA'!$AM$67)*1</f>
        <v>317.35598308036384</v>
      </c>
      <c r="AA981" s="6">
        <f>('TE BE'!$AB$45+'TE BF'!$AB$45+'TE CVA'!$AB$45)*1</f>
        <v>299.18055042718134</v>
      </c>
      <c r="AB981" s="6">
        <f>$K$981*$V$981</f>
        <v>0</v>
      </c>
      <c r="AC981" s="6">
        <f>$M$981*$W$981</f>
        <v>33.706079999999993</v>
      </c>
      <c r="AD981" s="6">
        <f>$O$981*$X$981</f>
        <v>40.128479999999996</v>
      </c>
      <c r="AE981" s="6">
        <f>$K$981*$Y$981</f>
        <v>0</v>
      </c>
      <c r="AF981" s="6">
        <f ca="1">$M$981*$Z$981</f>
        <v>45.699261563572392</v>
      </c>
      <c r="AG981" s="6">
        <f>$O$981*$AA$981</f>
        <v>43.081999261514113</v>
      </c>
    </row>
    <row r="982" spans="1:33" ht="11.25" customHeight="1" x14ac:dyDescent="0.3">
      <c r="A982" s="4" t="s">
        <v>28</v>
      </c>
      <c r="B982" s="4" t="s">
        <v>37</v>
      </c>
      <c r="C982" s="4" t="s">
        <v>33</v>
      </c>
      <c r="D982" s="4" t="s">
        <v>38</v>
      </c>
      <c r="E982" s="4" t="s">
        <v>25</v>
      </c>
      <c r="F982" s="4" t="s">
        <v>25</v>
      </c>
      <c r="G982" s="4" t="s">
        <v>25</v>
      </c>
      <c r="H982" s="4" t="s">
        <v>35</v>
      </c>
      <c r="I982" s="5">
        <v>44774</v>
      </c>
      <c r="J982" s="6">
        <v>0</v>
      </c>
      <c r="K982" s="6">
        <v>0</v>
      </c>
      <c r="L982" s="6">
        <v>0.23699999999999999</v>
      </c>
      <c r="M982" s="6">
        <v>0.23699999999999999</v>
      </c>
      <c r="N982" s="6">
        <v>0.23699999999999999</v>
      </c>
      <c r="O982" s="6">
        <v>0.23699999999999999</v>
      </c>
      <c r="P982" s="6">
        <v>0</v>
      </c>
      <c r="Q982" s="4" t="s">
        <v>26</v>
      </c>
      <c r="R982" s="4">
        <v>0</v>
      </c>
      <c r="S982" s="6">
        <v>0</v>
      </c>
      <c r="T982" s="6">
        <v>69</v>
      </c>
      <c r="U982" s="6">
        <v>105</v>
      </c>
      <c r="V982" s="6">
        <f>IF(ISERROR(VLOOKUP($S$982,'TAR FIN'!$A$1:$O$113,15,0)),0,VLOOKUP($S$982,'TAR FIN'!$A$1:$O$113,15,0))</f>
        <v>0</v>
      </c>
      <c r="W982" s="6">
        <f>IF(ISERROR(VLOOKUP($T$982,'TAR FIN'!$A$1:$O$113,15,0)),0,VLOOKUP($T$982,'TAR FIN'!$A$1:$O$113,15,0))</f>
        <v>234.07</v>
      </c>
      <c r="X982" s="6">
        <f>IF(ISERROR(VLOOKUP($U$982,'TAR FIN'!$A$1:$O$113,15,0)),0,VLOOKUP($U$982,'TAR FIN'!$A$1:$O$113,15,0))</f>
        <v>278.67</v>
      </c>
      <c r="Y982" s="6"/>
      <c r="Z982" s="6">
        <f ca="1">('TUSD BE'!$AM$67+'TUSD BF'!$AM$67+'TUSD CVA'!$AM$67)*1</f>
        <v>317.35598308036384</v>
      </c>
      <c r="AA982" s="6">
        <f>('TE BE'!$AB$45+'TE BF'!$AB$45+'TE CVA'!$AB$45)*1</f>
        <v>299.18055042718134</v>
      </c>
      <c r="AB982" s="6">
        <f>$K$982*$V$982</f>
        <v>0</v>
      </c>
      <c r="AC982" s="6">
        <f>$M$982*$W$982</f>
        <v>55.474589999999999</v>
      </c>
      <c r="AD982" s="6">
        <f>$O$982*$X$982</f>
        <v>66.044790000000006</v>
      </c>
      <c r="AE982" s="6">
        <f>$K$982*$Y$982</f>
        <v>0</v>
      </c>
      <c r="AF982" s="6">
        <f ca="1">$M$982*$Z$982</f>
        <v>75.213367990046223</v>
      </c>
      <c r="AG982" s="6">
        <f>$O$982*$AA$982</f>
        <v>70.90579045124197</v>
      </c>
    </row>
    <row r="983" spans="1:33" ht="11.25" customHeight="1" x14ac:dyDescent="0.3">
      <c r="A983" s="4" t="s">
        <v>28</v>
      </c>
      <c r="B983" s="4" t="s">
        <v>37</v>
      </c>
      <c r="C983" s="4" t="s">
        <v>33</v>
      </c>
      <c r="D983" s="4" t="s">
        <v>38</v>
      </c>
      <c r="E983" s="4" t="s">
        <v>25</v>
      </c>
      <c r="F983" s="4" t="s">
        <v>25</v>
      </c>
      <c r="G983" s="4" t="s">
        <v>25</v>
      </c>
      <c r="H983" s="4" t="s">
        <v>35</v>
      </c>
      <c r="I983" s="5">
        <v>44805</v>
      </c>
      <c r="J983" s="6">
        <v>0</v>
      </c>
      <c r="K983" s="6">
        <v>0</v>
      </c>
      <c r="L983" s="6">
        <v>0.318</v>
      </c>
      <c r="M983" s="6">
        <v>0.318</v>
      </c>
      <c r="N983" s="6">
        <v>0.318</v>
      </c>
      <c r="O983" s="6">
        <v>0.318</v>
      </c>
      <c r="P983" s="6">
        <v>0</v>
      </c>
      <c r="Q983" s="4" t="s">
        <v>26</v>
      </c>
      <c r="R983" s="4">
        <v>0</v>
      </c>
      <c r="S983" s="6">
        <v>0</v>
      </c>
      <c r="T983" s="6">
        <v>69</v>
      </c>
      <c r="U983" s="6">
        <v>105</v>
      </c>
      <c r="V983" s="6">
        <f>IF(ISERROR(VLOOKUP($S$983,'TAR FIN'!$A$1:$O$113,15,0)),0,VLOOKUP($S$983,'TAR FIN'!$A$1:$O$113,15,0))</f>
        <v>0</v>
      </c>
      <c r="W983" s="6">
        <f>IF(ISERROR(VLOOKUP($T$983,'TAR FIN'!$A$1:$O$113,15,0)),0,VLOOKUP($T$983,'TAR FIN'!$A$1:$O$113,15,0))</f>
        <v>234.07</v>
      </c>
      <c r="X983" s="6">
        <f>IF(ISERROR(VLOOKUP($U$983,'TAR FIN'!$A$1:$O$113,15,0)),0,VLOOKUP($U$983,'TAR FIN'!$A$1:$O$113,15,0))</f>
        <v>278.67</v>
      </c>
      <c r="Y983" s="6"/>
      <c r="Z983" s="6">
        <f ca="1">('TUSD BE'!$AM$67+'TUSD BF'!$AM$67+'TUSD CVA'!$AM$67)*1</f>
        <v>317.35598308036384</v>
      </c>
      <c r="AA983" s="6">
        <f>('TE BE'!$AB$45+'TE BF'!$AB$45+'TE CVA'!$AB$45)*1</f>
        <v>299.18055042718134</v>
      </c>
      <c r="AB983" s="6">
        <f>$K$983*$V$983</f>
        <v>0</v>
      </c>
      <c r="AC983" s="6">
        <f>$M$983*$W$983</f>
        <v>74.434259999999995</v>
      </c>
      <c r="AD983" s="6">
        <f>$O$983*$X$983</f>
        <v>88.617060000000009</v>
      </c>
      <c r="AE983" s="6">
        <f>$K$983*$Y$983</f>
        <v>0</v>
      </c>
      <c r="AF983" s="6">
        <f ca="1">$M$983*$Z$983</f>
        <v>100.9192026195557</v>
      </c>
      <c r="AG983" s="6">
        <f>$O$983*$AA$983</f>
        <v>95.139415035843669</v>
      </c>
    </row>
    <row r="984" spans="1:33" ht="11.25" customHeight="1" x14ac:dyDescent="0.3">
      <c r="A984" s="4" t="s">
        <v>53</v>
      </c>
      <c r="B984" s="4" t="s">
        <v>37</v>
      </c>
      <c r="C984" s="4" t="s">
        <v>33</v>
      </c>
      <c r="D984" s="4" t="s">
        <v>38</v>
      </c>
      <c r="E984" s="4" t="s">
        <v>25</v>
      </c>
      <c r="F984" s="4" t="s">
        <v>25</v>
      </c>
      <c r="G984" s="4" t="s">
        <v>25</v>
      </c>
      <c r="H984" s="4" t="s">
        <v>35</v>
      </c>
      <c r="I984" s="5">
        <v>44835</v>
      </c>
      <c r="J984" s="6">
        <v>0</v>
      </c>
      <c r="K984" s="6">
        <v>0</v>
      </c>
      <c r="L984" s="6">
        <v>0.318</v>
      </c>
      <c r="M984" s="6">
        <v>0.318</v>
      </c>
      <c r="N984" s="6">
        <v>0.318</v>
      </c>
      <c r="O984" s="6">
        <v>0.318</v>
      </c>
      <c r="P984" s="6">
        <v>0</v>
      </c>
      <c r="Q984" s="4" t="s">
        <v>26</v>
      </c>
      <c r="R984" s="4">
        <v>0</v>
      </c>
      <c r="S984" s="6">
        <v>0</v>
      </c>
      <c r="T984" s="6">
        <v>69</v>
      </c>
      <c r="U984" s="6">
        <v>105</v>
      </c>
      <c r="V984" s="6">
        <f>IF(ISERROR(VLOOKUP($S$984,'TAR FIN'!$A$1:$O$113,15,0)),0,VLOOKUP($S$984,'TAR FIN'!$A$1:$O$113,15,0))</f>
        <v>0</v>
      </c>
      <c r="W984" s="6">
        <f>IF(ISERROR(VLOOKUP($T$984,'TAR FIN'!$A$1:$O$113,15,0)),0,VLOOKUP($T$984,'TAR FIN'!$A$1:$O$113,15,0))</f>
        <v>234.07</v>
      </c>
      <c r="X984" s="6">
        <f>IF(ISERROR(VLOOKUP($U$984,'TAR FIN'!$A$1:$O$113,15,0)),0,VLOOKUP($U$984,'TAR FIN'!$A$1:$O$113,15,0))</f>
        <v>278.67</v>
      </c>
      <c r="Y984" s="6"/>
      <c r="Z984" s="6">
        <f ca="1">('TUSD BE'!$AM$67+'TUSD BF'!$AM$67+'TUSD CVA'!$AM$67)*1</f>
        <v>317.35598308036384</v>
      </c>
      <c r="AA984" s="6">
        <f>('TE BE'!$AB$45+'TE BF'!$AB$45+'TE CVA'!$AB$45)*1</f>
        <v>299.18055042718134</v>
      </c>
      <c r="AB984" s="6">
        <f>$K$984*$V$984</f>
        <v>0</v>
      </c>
      <c r="AC984" s="6">
        <f>$M$984*$W$984</f>
        <v>74.434259999999995</v>
      </c>
      <c r="AD984" s="6">
        <f>$O$984*$X$984</f>
        <v>88.617060000000009</v>
      </c>
      <c r="AE984" s="6">
        <f>$K$984*$Y$984</f>
        <v>0</v>
      </c>
      <c r="AF984" s="6">
        <f ca="1">$M$984*$Z$984</f>
        <v>100.9192026195557</v>
      </c>
      <c r="AG984" s="6">
        <f>$O$984*$AA$984</f>
        <v>95.139415035843669</v>
      </c>
    </row>
    <row r="985" spans="1:33" ht="11.25" customHeight="1" x14ac:dyDescent="0.3">
      <c r="A985" s="4" t="s">
        <v>21</v>
      </c>
      <c r="B985" s="4" t="s">
        <v>37</v>
      </c>
      <c r="C985" s="4" t="s">
        <v>33</v>
      </c>
      <c r="D985" s="4" t="s">
        <v>38</v>
      </c>
      <c r="E985" s="4" t="s">
        <v>25</v>
      </c>
      <c r="F985" s="4" t="s">
        <v>25</v>
      </c>
      <c r="G985" s="4" t="s">
        <v>25</v>
      </c>
      <c r="H985" s="4" t="s">
        <v>36</v>
      </c>
      <c r="I985" s="5">
        <v>44501</v>
      </c>
      <c r="J985" s="6">
        <v>0</v>
      </c>
      <c r="K985" s="6">
        <v>0</v>
      </c>
      <c r="L985" s="6">
        <v>0.4</v>
      </c>
      <c r="M985" s="6">
        <v>0.4</v>
      </c>
      <c r="N985" s="6">
        <v>0.4</v>
      </c>
      <c r="O985" s="6">
        <v>0.4</v>
      </c>
      <c r="P985" s="6">
        <v>0</v>
      </c>
      <c r="Q985" s="4" t="s">
        <v>26</v>
      </c>
      <c r="R985" s="4">
        <v>0</v>
      </c>
      <c r="S985" s="6">
        <v>0</v>
      </c>
      <c r="T985" s="6">
        <v>82</v>
      </c>
      <c r="U985" s="6">
        <v>110</v>
      </c>
      <c r="V985" s="6">
        <f>IF(ISERROR(VLOOKUP($S$985,'TAR FIN'!$A$1:$O$113,15,0)),0,VLOOKUP($S$985,'TAR FIN'!$A$1:$O$113,15,0))</f>
        <v>0</v>
      </c>
      <c r="W985" s="6">
        <f>IF(ISERROR(VLOOKUP($T$985,'TAR FIN'!$A$1:$O$113,15,0)),0,VLOOKUP($T$985,'TAR FIN'!$A$1:$O$113,15,0))</f>
        <v>491.18</v>
      </c>
      <c r="X985" s="6">
        <f>IF(ISERROR(VLOOKUP($U$985,'TAR FIN'!$A$1:$O$113,15,0)),0,VLOOKUP($U$985,'TAR FIN'!$A$1:$O$113,15,0))</f>
        <v>278.67</v>
      </c>
      <c r="Y985" s="6"/>
      <c r="Z985" s="6">
        <f ca="1">('TUSD BE'!$AM$66+'TUSD BF'!$AM$66+'TUSD CVA'!$AM$66)*1</f>
        <v>612.13700429564483</v>
      </c>
      <c r="AA985" s="6">
        <f>('TE BE'!$AB$44+'TE BF'!$AB$44+'TE CVA'!$AB$44)*1</f>
        <v>299.18055042718134</v>
      </c>
      <c r="AB985" s="6">
        <f>$K$985*$V$985</f>
        <v>0</v>
      </c>
      <c r="AC985" s="6">
        <f>$M$985*$W$985</f>
        <v>196.47200000000001</v>
      </c>
      <c r="AD985" s="6">
        <f>$O$985*$X$985</f>
        <v>111.46800000000002</v>
      </c>
      <c r="AE985" s="6">
        <f>$K$985*$Y$985</f>
        <v>0</v>
      </c>
      <c r="AF985" s="6">
        <f ca="1">$M$985*$Z$985</f>
        <v>244.85480171825793</v>
      </c>
      <c r="AG985" s="6">
        <f>$O$985*$AA$985</f>
        <v>119.67222017087255</v>
      </c>
    </row>
    <row r="986" spans="1:33" ht="11.25" customHeight="1" x14ac:dyDescent="0.3">
      <c r="A986" s="4" t="s">
        <v>28</v>
      </c>
      <c r="B986" s="4" t="s">
        <v>37</v>
      </c>
      <c r="C986" s="4" t="s">
        <v>33</v>
      </c>
      <c r="D986" s="4" t="s">
        <v>38</v>
      </c>
      <c r="E986" s="4" t="s">
        <v>25</v>
      </c>
      <c r="F986" s="4" t="s">
        <v>25</v>
      </c>
      <c r="G986" s="4" t="s">
        <v>25</v>
      </c>
      <c r="H986" s="4" t="s">
        <v>36</v>
      </c>
      <c r="I986" s="5">
        <v>44501</v>
      </c>
      <c r="J986" s="6">
        <v>0</v>
      </c>
      <c r="K986" s="6">
        <v>0</v>
      </c>
      <c r="L986" s="6">
        <v>4.2999999999999997E-2</v>
      </c>
      <c r="M986" s="6">
        <v>4.2999999999999997E-2</v>
      </c>
      <c r="N986" s="6">
        <v>4.2999999999999997E-2</v>
      </c>
      <c r="O986" s="6">
        <v>4.2999999999999997E-2</v>
      </c>
      <c r="P986" s="6">
        <v>0</v>
      </c>
      <c r="Q986" s="4" t="s">
        <v>26</v>
      </c>
      <c r="R986" s="4">
        <v>0</v>
      </c>
      <c r="S986" s="6">
        <v>0</v>
      </c>
      <c r="T986" s="6">
        <v>82</v>
      </c>
      <c r="U986" s="6">
        <v>110</v>
      </c>
      <c r="V986" s="6">
        <f>IF(ISERROR(VLOOKUP($S$986,'TAR FIN'!$A$1:$O$113,15,0)),0,VLOOKUP($S$986,'TAR FIN'!$A$1:$O$113,15,0))</f>
        <v>0</v>
      </c>
      <c r="W986" s="6">
        <f>IF(ISERROR(VLOOKUP($T$986,'TAR FIN'!$A$1:$O$113,15,0)),0,VLOOKUP($T$986,'TAR FIN'!$A$1:$O$113,15,0))</f>
        <v>491.18</v>
      </c>
      <c r="X986" s="6">
        <f>IF(ISERROR(VLOOKUP($U$986,'TAR FIN'!$A$1:$O$113,15,0)),0,VLOOKUP($U$986,'TAR FIN'!$A$1:$O$113,15,0))</f>
        <v>278.67</v>
      </c>
      <c r="Y986" s="6"/>
      <c r="Z986" s="6">
        <f ca="1">('TUSD BE'!$AM$66+'TUSD BF'!$AM$66+'TUSD CVA'!$AM$66)*1</f>
        <v>612.13700429564483</v>
      </c>
      <c r="AA986" s="6">
        <f>('TE BE'!$AB$44+'TE BF'!$AB$44+'TE CVA'!$AB$44)*1</f>
        <v>299.18055042718134</v>
      </c>
      <c r="AB986" s="6">
        <f>$K$986*$V$986</f>
        <v>0</v>
      </c>
      <c r="AC986" s="6">
        <f>$M$986*$W$986</f>
        <v>21.120739999999998</v>
      </c>
      <c r="AD986" s="6">
        <f>$O$986*$X$986</f>
        <v>11.982809999999999</v>
      </c>
      <c r="AE986" s="6">
        <f>$K$986*$Y$986</f>
        <v>0</v>
      </c>
      <c r="AF986" s="6">
        <f ca="1">$M$986*$Z$986</f>
        <v>26.321891184712726</v>
      </c>
      <c r="AG986" s="6">
        <f>$O$986*$AA$986</f>
        <v>12.864763668368797</v>
      </c>
    </row>
    <row r="987" spans="1:33" ht="11.25" customHeight="1" x14ac:dyDescent="0.3">
      <c r="A987" s="4" t="s">
        <v>21</v>
      </c>
      <c r="B987" s="4" t="s">
        <v>37</v>
      </c>
      <c r="C987" s="4" t="s">
        <v>33</v>
      </c>
      <c r="D987" s="4" t="s">
        <v>38</v>
      </c>
      <c r="E987" s="4" t="s">
        <v>25</v>
      </c>
      <c r="F987" s="4" t="s">
        <v>25</v>
      </c>
      <c r="G987" s="4" t="s">
        <v>25</v>
      </c>
      <c r="H987" s="4" t="s">
        <v>36</v>
      </c>
      <c r="I987" s="5">
        <v>44531</v>
      </c>
      <c r="J987" s="6">
        <v>0</v>
      </c>
      <c r="K987" s="6">
        <v>0</v>
      </c>
      <c r="L987" s="6">
        <v>0.5</v>
      </c>
      <c r="M987" s="6">
        <v>0.5</v>
      </c>
      <c r="N987" s="6">
        <v>0.5</v>
      </c>
      <c r="O987" s="6">
        <v>0.5</v>
      </c>
      <c r="P987" s="6">
        <v>0</v>
      </c>
      <c r="Q987" s="4" t="s">
        <v>26</v>
      </c>
      <c r="R987" s="4">
        <v>0</v>
      </c>
      <c r="S987" s="6">
        <v>0</v>
      </c>
      <c r="T987" s="6">
        <v>82</v>
      </c>
      <c r="U987" s="6">
        <v>110</v>
      </c>
      <c r="V987" s="6">
        <f>IF(ISERROR(VLOOKUP($S$987,'TAR FIN'!$A$1:$O$113,15,0)),0,VLOOKUP($S$987,'TAR FIN'!$A$1:$O$113,15,0))</f>
        <v>0</v>
      </c>
      <c r="W987" s="6">
        <f>IF(ISERROR(VLOOKUP($T$987,'TAR FIN'!$A$1:$O$113,15,0)),0,VLOOKUP($T$987,'TAR FIN'!$A$1:$O$113,15,0))</f>
        <v>491.18</v>
      </c>
      <c r="X987" s="6">
        <f>IF(ISERROR(VLOOKUP($U$987,'TAR FIN'!$A$1:$O$113,15,0)),0,VLOOKUP($U$987,'TAR FIN'!$A$1:$O$113,15,0))</f>
        <v>278.67</v>
      </c>
      <c r="Y987" s="6"/>
      <c r="Z987" s="6">
        <f ca="1">('TUSD BE'!$AM$66+'TUSD BF'!$AM$66+'TUSD CVA'!$AM$66)*1</f>
        <v>612.13700429564483</v>
      </c>
      <c r="AA987" s="6">
        <f>('TE BE'!$AB$44+'TE BF'!$AB$44+'TE CVA'!$AB$44)*1</f>
        <v>299.18055042718134</v>
      </c>
      <c r="AB987" s="6">
        <f>$K$987*$V$987</f>
        <v>0</v>
      </c>
      <c r="AC987" s="6">
        <f>$M$987*$W$987</f>
        <v>245.59</v>
      </c>
      <c r="AD987" s="6">
        <f>$O$987*$X$987</f>
        <v>139.33500000000001</v>
      </c>
      <c r="AE987" s="6">
        <f>$K$987*$Y$987</f>
        <v>0</v>
      </c>
      <c r="AF987" s="6">
        <f ca="1">$M$987*$Z$987</f>
        <v>306.06850214782241</v>
      </c>
      <c r="AG987" s="6">
        <f>$O$987*$AA$987</f>
        <v>149.59027521359067</v>
      </c>
    </row>
    <row r="988" spans="1:33" ht="11.25" customHeight="1" x14ac:dyDescent="0.3">
      <c r="A988" s="4" t="s">
        <v>28</v>
      </c>
      <c r="B988" s="4" t="s">
        <v>37</v>
      </c>
      <c r="C988" s="4" t="s">
        <v>33</v>
      </c>
      <c r="D988" s="4" t="s">
        <v>38</v>
      </c>
      <c r="E988" s="4" t="s">
        <v>25</v>
      </c>
      <c r="F988" s="4" t="s">
        <v>25</v>
      </c>
      <c r="G988" s="4" t="s">
        <v>25</v>
      </c>
      <c r="H988" s="4" t="s">
        <v>36</v>
      </c>
      <c r="I988" s="5">
        <v>44531</v>
      </c>
      <c r="J988" s="6">
        <v>0</v>
      </c>
      <c r="K988" s="6">
        <v>0</v>
      </c>
      <c r="L988" s="6">
        <v>4.9000000000000002E-2</v>
      </c>
      <c r="M988" s="6">
        <v>4.9000000000000002E-2</v>
      </c>
      <c r="N988" s="6">
        <v>4.9000000000000002E-2</v>
      </c>
      <c r="O988" s="6">
        <v>4.9000000000000002E-2</v>
      </c>
      <c r="P988" s="6">
        <v>0</v>
      </c>
      <c r="Q988" s="4" t="s">
        <v>26</v>
      </c>
      <c r="R988" s="4">
        <v>0</v>
      </c>
      <c r="S988" s="6">
        <v>0</v>
      </c>
      <c r="T988" s="6">
        <v>82</v>
      </c>
      <c r="U988" s="6">
        <v>110</v>
      </c>
      <c r="V988" s="6">
        <f>IF(ISERROR(VLOOKUP($S$988,'TAR FIN'!$A$1:$O$113,15,0)),0,VLOOKUP($S$988,'TAR FIN'!$A$1:$O$113,15,0))</f>
        <v>0</v>
      </c>
      <c r="W988" s="6">
        <f>IF(ISERROR(VLOOKUP($T$988,'TAR FIN'!$A$1:$O$113,15,0)),0,VLOOKUP($T$988,'TAR FIN'!$A$1:$O$113,15,0))</f>
        <v>491.18</v>
      </c>
      <c r="X988" s="6">
        <f>IF(ISERROR(VLOOKUP($U$988,'TAR FIN'!$A$1:$O$113,15,0)),0,VLOOKUP($U$988,'TAR FIN'!$A$1:$O$113,15,0))</f>
        <v>278.67</v>
      </c>
      <c r="Y988" s="6"/>
      <c r="Z988" s="6">
        <f ca="1">('TUSD BE'!$AM$66+'TUSD BF'!$AM$66+'TUSD CVA'!$AM$66)*1</f>
        <v>612.13700429564483</v>
      </c>
      <c r="AA988" s="6">
        <f>('TE BE'!$AB$44+'TE BF'!$AB$44+'TE CVA'!$AB$44)*1</f>
        <v>299.18055042718134</v>
      </c>
      <c r="AB988" s="6">
        <f>$K$988*$V$988</f>
        <v>0</v>
      </c>
      <c r="AC988" s="6">
        <f>$M$988*$W$988</f>
        <v>24.067820000000001</v>
      </c>
      <c r="AD988" s="6">
        <f>$O$988*$X$988</f>
        <v>13.65483</v>
      </c>
      <c r="AE988" s="6">
        <f>$K$988*$Y$988</f>
        <v>0</v>
      </c>
      <c r="AF988" s="6">
        <f ca="1">$M$988*$Z$988</f>
        <v>29.994713210486598</v>
      </c>
      <c r="AG988" s="6">
        <f>$O$988*$AA$988</f>
        <v>14.659846970931886</v>
      </c>
    </row>
    <row r="989" spans="1:33" ht="11.25" customHeight="1" x14ac:dyDescent="0.3">
      <c r="A989" s="4" t="s">
        <v>21</v>
      </c>
      <c r="B989" s="4" t="s">
        <v>37</v>
      </c>
      <c r="C989" s="4" t="s">
        <v>33</v>
      </c>
      <c r="D989" s="4" t="s">
        <v>38</v>
      </c>
      <c r="E989" s="4" t="s">
        <v>25</v>
      </c>
      <c r="F989" s="4" t="s">
        <v>25</v>
      </c>
      <c r="G989" s="4" t="s">
        <v>25</v>
      </c>
      <c r="H989" s="4" t="s">
        <v>36</v>
      </c>
      <c r="I989" s="5">
        <v>44562</v>
      </c>
      <c r="J989" s="6">
        <v>0</v>
      </c>
      <c r="K989" s="6">
        <v>0</v>
      </c>
      <c r="L989" s="6">
        <v>0.4</v>
      </c>
      <c r="M989" s="6">
        <v>0.4</v>
      </c>
      <c r="N989" s="6">
        <v>0.4</v>
      </c>
      <c r="O989" s="6">
        <v>0.4</v>
      </c>
      <c r="P989" s="6">
        <v>0</v>
      </c>
      <c r="Q989" s="4" t="s">
        <v>26</v>
      </c>
      <c r="R989" s="4">
        <v>0</v>
      </c>
      <c r="S989" s="6">
        <v>0</v>
      </c>
      <c r="T989" s="6">
        <v>82</v>
      </c>
      <c r="U989" s="6">
        <v>110</v>
      </c>
      <c r="V989" s="6">
        <f>IF(ISERROR(VLOOKUP($S$989,'TAR FIN'!$A$1:$O$113,15,0)),0,VLOOKUP($S$989,'TAR FIN'!$A$1:$O$113,15,0))</f>
        <v>0</v>
      </c>
      <c r="W989" s="6">
        <f>IF(ISERROR(VLOOKUP($T$989,'TAR FIN'!$A$1:$O$113,15,0)),0,VLOOKUP($T$989,'TAR FIN'!$A$1:$O$113,15,0))</f>
        <v>491.18</v>
      </c>
      <c r="X989" s="6">
        <f>IF(ISERROR(VLOOKUP($U$989,'TAR FIN'!$A$1:$O$113,15,0)),0,VLOOKUP($U$989,'TAR FIN'!$A$1:$O$113,15,0))</f>
        <v>278.67</v>
      </c>
      <c r="Y989" s="6"/>
      <c r="Z989" s="6">
        <f ca="1">('TUSD BE'!$AM$66+'TUSD BF'!$AM$66+'TUSD CVA'!$AM$66)*1</f>
        <v>612.13700429564483</v>
      </c>
      <c r="AA989" s="6">
        <f>('TE BE'!$AB$44+'TE BF'!$AB$44+'TE CVA'!$AB$44)*1</f>
        <v>299.18055042718134</v>
      </c>
      <c r="AB989" s="6">
        <f>$K$989*$V$989</f>
        <v>0</v>
      </c>
      <c r="AC989" s="6">
        <f>$M$989*$W$989</f>
        <v>196.47200000000001</v>
      </c>
      <c r="AD989" s="6">
        <f>$O$989*$X$989</f>
        <v>111.46800000000002</v>
      </c>
      <c r="AE989" s="6">
        <f>$K$989*$Y$989</f>
        <v>0</v>
      </c>
      <c r="AF989" s="6">
        <f ca="1">$M$989*$Z$989</f>
        <v>244.85480171825793</v>
      </c>
      <c r="AG989" s="6">
        <f>$O$989*$AA$989</f>
        <v>119.67222017087255</v>
      </c>
    </row>
    <row r="990" spans="1:33" ht="11.25" customHeight="1" x14ac:dyDescent="0.3">
      <c r="A990" s="4" t="s">
        <v>28</v>
      </c>
      <c r="B990" s="4" t="s">
        <v>37</v>
      </c>
      <c r="C990" s="4" t="s">
        <v>33</v>
      </c>
      <c r="D990" s="4" t="s">
        <v>38</v>
      </c>
      <c r="E990" s="4" t="s">
        <v>25</v>
      </c>
      <c r="F990" s="4" t="s">
        <v>25</v>
      </c>
      <c r="G990" s="4" t="s">
        <v>25</v>
      </c>
      <c r="H990" s="4" t="s">
        <v>36</v>
      </c>
      <c r="I990" s="5">
        <v>44562</v>
      </c>
      <c r="J990" s="6">
        <v>0</v>
      </c>
      <c r="K990" s="6">
        <v>0</v>
      </c>
      <c r="L990" s="6">
        <v>5.3999999999999999E-2</v>
      </c>
      <c r="M990" s="6">
        <v>5.3999999999999999E-2</v>
      </c>
      <c r="N990" s="6">
        <v>5.3999999999999999E-2</v>
      </c>
      <c r="O990" s="6">
        <v>5.3999999999999999E-2</v>
      </c>
      <c r="P990" s="6">
        <v>0</v>
      </c>
      <c r="Q990" s="4" t="s">
        <v>26</v>
      </c>
      <c r="R990" s="4">
        <v>0</v>
      </c>
      <c r="S990" s="6">
        <v>0</v>
      </c>
      <c r="T990" s="6">
        <v>82</v>
      </c>
      <c r="U990" s="6">
        <v>110</v>
      </c>
      <c r="V990" s="6">
        <f>IF(ISERROR(VLOOKUP($S$990,'TAR FIN'!$A$1:$O$113,15,0)),0,VLOOKUP($S$990,'TAR FIN'!$A$1:$O$113,15,0))</f>
        <v>0</v>
      </c>
      <c r="W990" s="6">
        <f>IF(ISERROR(VLOOKUP($T$990,'TAR FIN'!$A$1:$O$113,15,0)),0,VLOOKUP($T$990,'TAR FIN'!$A$1:$O$113,15,0))</f>
        <v>491.18</v>
      </c>
      <c r="X990" s="6">
        <f>IF(ISERROR(VLOOKUP($U$990,'TAR FIN'!$A$1:$O$113,15,0)),0,VLOOKUP($U$990,'TAR FIN'!$A$1:$O$113,15,0))</f>
        <v>278.67</v>
      </c>
      <c r="Y990" s="6"/>
      <c r="Z990" s="6">
        <f ca="1">('TUSD BE'!$AM$66+'TUSD BF'!$AM$66+'TUSD CVA'!$AM$66)*1</f>
        <v>612.13700429564483</v>
      </c>
      <c r="AA990" s="6">
        <f>('TE BE'!$AB$44+'TE BF'!$AB$44+'TE CVA'!$AB$44)*1</f>
        <v>299.18055042718134</v>
      </c>
      <c r="AB990" s="6">
        <f>$K$990*$V$990</f>
        <v>0</v>
      </c>
      <c r="AC990" s="6">
        <f>$M$990*$W$990</f>
        <v>26.523720000000001</v>
      </c>
      <c r="AD990" s="6">
        <f>$O$990*$X$990</f>
        <v>15.04818</v>
      </c>
      <c r="AE990" s="6">
        <f>$K$990*$Y$990</f>
        <v>0</v>
      </c>
      <c r="AF990" s="6">
        <f ca="1">$M$990*$Z$990</f>
        <v>33.055398231964823</v>
      </c>
      <c r="AG990" s="6">
        <f>$O$990*$AA$990</f>
        <v>16.155749723067792</v>
      </c>
    </row>
    <row r="991" spans="1:33" ht="11.25" customHeight="1" x14ac:dyDescent="0.3">
      <c r="A991" s="4" t="s">
        <v>21</v>
      </c>
      <c r="B991" s="4" t="s">
        <v>37</v>
      </c>
      <c r="C991" s="4" t="s">
        <v>33</v>
      </c>
      <c r="D991" s="4" t="s">
        <v>38</v>
      </c>
      <c r="E991" s="4" t="s">
        <v>25</v>
      </c>
      <c r="F991" s="4" t="s">
        <v>25</v>
      </c>
      <c r="G991" s="4" t="s">
        <v>25</v>
      </c>
      <c r="H991" s="4" t="s">
        <v>36</v>
      </c>
      <c r="I991" s="5">
        <v>44593</v>
      </c>
      <c r="J991" s="6">
        <v>0</v>
      </c>
      <c r="K991" s="6">
        <v>0</v>
      </c>
      <c r="L991" s="6">
        <v>0.45</v>
      </c>
      <c r="M991" s="6">
        <v>0.45</v>
      </c>
      <c r="N991" s="6">
        <v>0.45</v>
      </c>
      <c r="O991" s="6">
        <v>0.45</v>
      </c>
      <c r="P991" s="6">
        <v>0</v>
      </c>
      <c r="Q991" s="4" t="s">
        <v>26</v>
      </c>
      <c r="R991" s="4">
        <v>0</v>
      </c>
      <c r="S991" s="6">
        <v>0</v>
      </c>
      <c r="T991" s="6">
        <v>82</v>
      </c>
      <c r="U991" s="6">
        <v>110</v>
      </c>
      <c r="V991" s="6">
        <f>IF(ISERROR(VLOOKUP($S$991,'TAR FIN'!$A$1:$O$113,15,0)),0,VLOOKUP($S$991,'TAR FIN'!$A$1:$O$113,15,0))</f>
        <v>0</v>
      </c>
      <c r="W991" s="6">
        <f>IF(ISERROR(VLOOKUP($T$991,'TAR FIN'!$A$1:$O$113,15,0)),0,VLOOKUP($T$991,'TAR FIN'!$A$1:$O$113,15,0))</f>
        <v>491.18</v>
      </c>
      <c r="X991" s="6">
        <f>IF(ISERROR(VLOOKUP($U$991,'TAR FIN'!$A$1:$O$113,15,0)),0,VLOOKUP($U$991,'TAR FIN'!$A$1:$O$113,15,0))</f>
        <v>278.67</v>
      </c>
      <c r="Y991" s="6"/>
      <c r="Z991" s="6">
        <f ca="1">('TUSD BE'!$AM$66+'TUSD BF'!$AM$66+'TUSD CVA'!$AM$66)*1</f>
        <v>612.13700429564483</v>
      </c>
      <c r="AA991" s="6">
        <f>('TE BE'!$AB$44+'TE BF'!$AB$44+'TE CVA'!$AB$44)*1</f>
        <v>299.18055042718134</v>
      </c>
      <c r="AB991" s="6">
        <f>$K$991*$V$991</f>
        <v>0</v>
      </c>
      <c r="AC991" s="6">
        <f>$M$991*$W$991</f>
        <v>221.03100000000001</v>
      </c>
      <c r="AD991" s="6">
        <f>$O$991*$X$991</f>
        <v>125.40150000000001</v>
      </c>
      <c r="AE991" s="6">
        <f>$K$991*$Y$991</f>
        <v>0</v>
      </c>
      <c r="AF991" s="6">
        <f ca="1">$M$991*$Z$991</f>
        <v>275.46165193304017</v>
      </c>
      <c r="AG991" s="6">
        <f>$O$991*$AA$991</f>
        <v>134.6312476922316</v>
      </c>
    </row>
    <row r="992" spans="1:33" ht="11.25" customHeight="1" x14ac:dyDescent="0.3">
      <c r="A992" s="4" t="s">
        <v>28</v>
      </c>
      <c r="B992" s="4" t="s">
        <v>37</v>
      </c>
      <c r="C992" s="4" t="s">
        <v>33</v>
      </c>
      <c r="D992" s="4" t="s">
        <v>38</v>
      </c>
      <c r="E992" s="4" t="s">
        <v>25</v>
      </c>
      <c r="F992" s="4" t="s">
        <v>25</v>
      </c>
      <c r="G992" s="4" t="s">
        <v>25</v>
      </c>
      <c r="H992" s="4" t="s">
        <v>36</v>
      </c>
      <c r="I992" s="5">
        <v>44593</v>
      </c>
      <c r="J992" s="6">
        <v>0</v>
      </c>
      <c r="K992" s="6">
        <v>0</v>
      </c>
      <c r="L992" s="6">
        <v>4.2000000000000003E-2</v>
      </c>
      <c r="M992" s="6">
        <v>4.2000000000000003E-2</v>
      </c>
      <c r="N992" s="6">
        <v>4.2000000000000003E-2</v>
      </c>
      <c r="O992" s="6">
        <v>4.2000000000000003E-2</v>
      </c>
      <c r="P992" s="6">
        <v>0</v>
      </c>
      <c r="Q992" s="4" t="s">
        <v>26</v>
      </c>
      <c r="R992" s="4">
        <v>0</v>
      </c>
      <c r="S992" s="6">
        <v>0</v>
      </c>
      <c r="T992" s="6">
        <v>82</v>
      </c>
      <c r="U992" s="6">
        <v>110</v>
      </c>
      <c r="V992" s="6">
        <f>IF(ISERROR(VLOOKUP($S$992,'TAR FIN'!$A$1:$O$113,15,0)),0,VLOOKUP($S$992,'TAR FIN'!$A$1:$O$113,15,0))</f>
        <v>0</v>
      </c>
      <c r="W992" s="6">
        <f>IF(ISERROR(VLOOKUP($T$992,'TAR FIN'!$A$1:$O$113,15,0)),0,VLOOKUP($T$992,'TAR FIN'!$A$1:$O$113,15,0))</f>
        <v>491.18</v>
      </c>
      <c r="X992" s="6">
        <f>IF(ISERROR(VLOOKUP($U$992,'TAR FIN'!$A$1:$O$113,15,0)),0,VLOOKUP($U$992,'TAR FIN'!$A$1:$O$113,15,0))</f>
        <v>278.67</v>
      </c>
      <c r="Y992" s="6"/>
      <c r="Z992" s="6">
        <f ca="1">('TUSD BE'!$AM$66+'TUSD BF'!$AM$66+'TUSD CVA'!$AM$66)*1</f>
        <v>612.13700429564483</v>
      </c>
      <c r="AA992" s="6">
        <f>('TE BE'!$AB$44+'TE BF'!$AB$44+'TE CVA'!$AB$44)*1</f>
        <v>299.18055042718134</v>
      </c>
      <c r="AB992" s="6">
        <f>$K$992*$V$992</f>
        <v>0</v>
      </c>
      <c r="AC992" s="6">
        <f>$M$992*$W$992</f>
        <v>20.629560000000001</v>
      </c>
      <c r="AD992" s="6">
        <f>$O$992*$X$992</f>
        <v>11.704140000000001</v>
      </c>
      <c r="AE992" s="6">
        <f>$K$992*$Y$992</f>
        <v>0</v>
      </c>
      <c r="AF992" s="6">
        <f ca="1">$M$992*$Z$992</f>
        <v>25.709754180417086</v>
      </c>
      <c r="AG992" s="6">
        <f>$O$992*$AA$992</f>
        <v>12.565583117941618</v>
      </c>
    </row>
    <row r="993" spans="1:33" ht="11.25" customHeight="1" x14ac:dyDescent="0.3">
      <c r="A993" s="4" t="s">
        <v>21</v>
      </c>
      <c r="B993" s="4" t="s">
        <v>37</v>
      </c>
      <c r="C993" s="4" t="s">
        <v>33</v>
      </c>
      <c r="D993" s="4" t="s">
        <v>38</v>
      </c>
      <c r="E993" s="4" t="s">
        <v>25</v>
      </c>
      <c r="F993" s="4" t="s">
        <v>25</v>
      </c>
      <c r="G993" s="4" t="s">
        <v>25</v>
      </c>
      <c r="H993" s="4" t="s">
        <v>36</v>
      </c>
      <c r="I993" s="5">
        <v>44621</v>
      </c>
      <c r="J993" s="6">
        <v>0</v>
      </c>
      <c r="K993" s="6">
        <v>0</v>
      </c>
      <c r="L993" s="6">
        <v>0.45</v>
      </c>
      <c r="M993" s="6">
        <v>0.45</v>
      </c>
      <c r="N993" s="6">
        <v>0.45</v>
      </c>
      <c r="O993" s="6">
        <v>0.45</v>
      </c>
      <c r="P993" s="6">
        <v>0</v>
      </c>
      <c r="Q993" s="4" t="s">
        <v>26</v>
      </c>
      <c r="R993" s="4">
        <v>0</v>
      </c>
      <c r="S993" s="6">
        <v>0</v>
      </c>
      <c r="T993" s="6">
        <v>82</v>
      </c>
      <c r="U993" s="6">
        <v>110</v>
      </c>
      <c r="V993" s="6">
        <f>IF(ISERROR(VLOOKUP($S$993,'TAR FIN'!$A$1:$O$113,15,0)),0,VLOOKUP($S$993,'TAR FIN'!$A$1:$O$113,15,0))</f>
        <v>0</v>
      </c>
      <c r="W993" s="6">
        <f>IF(ISERROR(VLOOKUP($T$993,'TAR FIN'!$A$1:$O$113,15,0)),0,VLOOKUP($T$993,'TAR FIN'!$A$1:$O$113,15,0))</f>
        <v>491.18</v>
      </c>
      <c r="X993" s="6">
        <f>IF(ISERROR(VLOOKUP($U$993,'TAR FIN'!$A$1:$O$113,15,0)),0,VLOOKUP($U$993,'TAR FIN'!$A$1:$O$113,15,0))</f>
        <v>278.67</v>
      </c>
      <c r="Y993" s="6"/>
      <c r="Z993" s="6">
        <f ca="1">('TUSD BE'!$AM$66+'TUSD BF'!$AM$66+'TUSD CVA'!$AM$66)*1</f>
        <v>612.13700429564483</v>
      </c>
      <c r="AA993" s="6">
        <f>('TE BE'!$AB$44+'TE BF'!$AB$44+'TE CVA'!$AB$44)*1</f>
        <v>299.18055042718134</v>
      </c>
      <c r="AB993" s="6">
        <f>$K$993*$V$993</f>
        <v>0</v>
      </c>
      <c r="AC993" s="6">
        <f>$M$993*$W$993</f>
        <v>221.03100000000001</v>
      </c>
      <c r="AD993" s="6">
        <f>$O$993*$X$993</f>
        <v>125.40150000000001</v>
      </c>
      <c r="AE993" s="6">
        <f>$K$993*$Y$993</f>
        <v>0</v>
      </c>
      <c r="AF993" s="6">
        <f ca="1">$M$993*$Z$993</f>
        <v>275.46165193304017</v>
      </c>
      <c r="AG993" s="6">
        <f>$O$993*$AA$993</f>
        <v>134.6312476922316</v>
      </c>
    </row>
    <row r="994" spans="1:33" ht="11.25" customHeight="1" x14ac:dyDescent="0.3">
      <c r="A994" s="4" t="s">
        <v>28</v>
      </c>
      <c r="B994" s="4" t="s">
        <v>37</v>
      </c>
      <c r="C994" s="4" t="s">
        <v>33</v>
      </c>
      <c r="D994" s="4" t="s">
        <v>38</v>
      </c>
      <c r="E994" s="4" t="s">
        <v>25</v>
      </c>
      <c r="F994" s="4" t="s">
        <v>25</v>
      </c>
      <c r="G994" s="4" t="s">
        <v>25</v>
      </c>
      <c r="H994" s="4" t="s">
        <v>36</v>
      </c>
      <c r="I994" s="5">
        <v>44621</v>
      </c>
      <c r="J994" s="6">
        <v>0</v>
      </c>
      <c r="K994" s="6">
        <v>0</v>
      </c>
      <c r="L994" s="6">
        <v>5.1999999999999998E-2</v>
      </c>
      <c r="M994" s="6">
        <v>5.1999999999999998E-2</v>
      </c>
      <c r="N994" s="6">
        <v>5.1999999999999998E-2</v>
      </c>
      <c r="O994" s="6">
        <v>5.1999999999999998E-2</v>
      </c>
      <c r="P994" s="6">
        <v>0</v>
      </c>
      <c r="Q994" s="4" t="s">
        <v>26</v>
      </c>
      <c r="R994" s="4">
        <v>0</v>
      </c>
      <c r="S994" s="6">
        <v>0</v>
      </c>
      <c r="T994" s="6">
        <v>82</v>
      </c>
      <c r="U994" s="6">
        <v>110</v>
      </c>
      <c r="V994" s="6">
        <f>IF(ISERROR(VLOOKUP($S$994,'TAR FIN'!$A$1:$O$113,15,0)),0,VLOOKUP($S$994,'TAR FIN'!$A$1:$O$113,15,0))</f>
        <v>0</v>
      </c>
      <c r="W994" s="6">
        <f>IF(ISERROR(VLOOKUP($T$994,'TAR FIN'!$A$1:$O$113,15,0)),0,VLOOKUP($T$994,'TAR FIN'!$A$1:$O$113,15,0))</f>
        <v>491.18</v>
      </c>
      <c r="X994" s="6">
        <f>IF(ISERROR(VLOOKUP($U$994,'TAR FIN'!$A$1:$O$113,15,0)),0,VLOOKUP($U$994,'TAR FIN'!$A$1:$O$113,15,0))</f>
        <v>278.67</v>
      </c>
      <c r="Y994" s="6"/>
      <c r="Z994" s="6">
        <f ca="1">('TUSD BE'!$AM$66+'TUSD BF'!$AM$66+'TUSD CVA'!$AM$66)*1</f>
        <v>612.13700429564483</v>
      </c>
      <c r="AA994" s="6">
        <f>('TE BE'!$AB$44+'TE BF'!$AB$44+'TE CVA'!$AB$44)*1</f>
        <v>299.18055042718134</v>
      </c>
      <c r="AB994" s="6">
        <f>$K$994*$V$994</f>
        <v>0</v>
      </c>
      <c r="AC994" s="6">
        <f>$M$994*$W$994</f>
        <v>25.541360000000001</v>
      </c>
      <c r="AD994" s="6">
        <f>$O$994*$X$994</f>
        <v>14.49084</v>
      </c>
      <c r="AE994" s="6">
        <f>$K$994*$Y$994</f>
        <v>0</v>
      </c>
      <c r="AF994" s="6">
        <f ca="1">$M$994*$Z$994</f>
        <v>31.831124223373529</v>
      </c>
      <c r="AG994" s="6">
        <f>$O$994*$AA$994</f>
        <v>15.557388622213429</v>
      </c>
    </row>
    <row r="995" spans="1:33" ht="11.25" customHeight="1" x14ac:dyDescent="0.3">
      <c r="A995" s="4" t="s">
        <v>28</v>
      </c>
      <c r="B995" s="4" t="s">
        <v>37</v>
      </c>
      <c r="C995" s="4" t="s">
        <v>33</v>
      </c>
      <c r="D995" s="4" t="s">
        <v>38</v>
      </c>
      <c r="E995" s="4" t="s">
        <v>25</v>
      </c>
      <c r="F995" s="4" t="s">
        <v>25</v>
      </c>
      <c r="G995" s="4" t="s">
        <v>25</v>
      </c>
      <c r="H995" s="4" t="s">
        <v>36</v>
      </c>
      <c r="I995" s="5">
        <v>44652</v>
      </c>
      <c r="J995" s="6">
        <v>0</v>
      </c>
      <c r="K995" s="6">
        <v>0</v>
      </c>
      <c r="L995" s="6">
        <v>5.0999999999999997E-2</v>
      </c>
      <c r="M995" s="6">
        <v>5.0999999999999997E-2</v>
      </c>
      <c r="N995" s="6">
        <v>5.0999999999999997E-2</v>
      </c>
      <c r="O995" s="6">
        <v>5.0999999999999997E-2</v>
      </c>
      <c r="P995" s="6">
        <v>0</v>
      </c>
      <c r="Q995" s="4" t="s">
        <v>26</v>
      </c>
      <c r="R995" s="4">
        <v>0</v>
      </c>
      <c r="S995" s="6">
        <v>0</v>
      </c>
      <c r="T995" s="6">
        <v>82</v>
      </c>
      <c r="U995" s="6">
        <v>110</v>
      </c>
      <c r="V995" s="6">
        <f>IF(ISERROR(VLOOKUP($S$995,'TAR FIN'!$A$1:$O$113,15,0)),0,VLOOKUP($S$995,'TAR FIN'!$A$1:$O$113,15,0))</f>
        <v>0</v>
      </c>
      <c r="W995" s="6">
        <f>IF(ISERROR(VLOOKUP($T$995,'TAR FIN'!$A$1:$O$113,15,0)),0,VLOOKUP($T$995,'TAR FIN'!$A$1:$O$113,15,0))</f>
        <v>491.18</v>
      </c>
      <c r="X995" s="6">
        <f>IF(ISERROR(VLOOKUP($U$995,'TAR FIN'!$A$1:$O$113,15,0)),0,VLOOKUP($U$995,'TAR FIN'!$A$1:$O$113,15,0))</f>
        <v>278.67</v>
      </c>
      <c r="Y995" s="6"/>
      <c r="Z995" s="6">
        <f ca="1">('TUSD BE'!$AM$66+'TUSD BF'!$AM$66+'TUSD CVA'!$AM$66)*1</f>
        <v>612.13700429564483</v>
      </c>
      <c r="AA995" s="6">
        <f>('TE BE'!$AB$44+'TE BF'!$AB$44+'TE CVA'!$AB$44)*1</f>
        <v>299.18055042718134</v>
      </c>
      <c r="AB995" s="6">
        <f>$K$995*$V$995</f>
        <v>0</v>
      </c>
      <c r="AC995" s="6">
        <f>$M$995*$W$995</f>
        <v>25.050179999999997</v>
      </c>
      <c r="AD995" s="6">
        <f>$O$995*$X$995</f>
        <v>14.21217</v>
      </c>
      <c r="AE995" s="6">
        <f>$K$995*$Y$995</f>
        <v>0</v>
      </c>
      <c r="AF995" s="6">
        <f ca="1">$M$995*$Z$995</f>
        <v>31.218987219077885</v>
      </c>
      <c r="AG995" s="6">
        <f>$O$995*$AA$995</f>
        <v>15.258208071786248</v>
      </c>
    </row>
    <row r="996" spans="1:33" ht="11.25" customHeight="1" x14ac:dyDescent="0.3">
      <c r="A996" s="4" t="s">
        <v>28</v>
      </c>
      <c r="B996" s="4" t="s">
        <v>37</v>
      </c>
      <c r="C996" s="4" t="s">
        <v>33</v>
      </c>
      <c r="D996" s="4" t="s">
        <v>38</v>
      </c>
      <c r="E996" s="4" t="s">
        <v>25</v>
      </c>
      <c r="F996" s="4" t="s">
        <v>25</v>
      </c>
      <c r="G996" s="4" t="s">
        <v>25</v>
      </c>
      <c r="H996" s="4" t="s">
        <v>36</v>
      </c>
      <c r="I996" s="5">
        <v>44682</v>
      </c>
      <c r="J996" s="6">
        <v>0</v>
      </c>
      <c r="K996" s="6">
        <v>0</v>
      </c>
      <c r="L996" s="6">
        <v>5.7000000000000002E-2</v>
      </c>
      <c r="M996" s="6">
        <v>5.7000000000000002E-2</v>
      </c>
      <c r="N996" s="6">
        <v>5.7000000000000002E-2</v>
      </c>
      <c r="O996" s="6">
        <v>5.7000000000000002E-2</v>
      </c>
      <c r="P996" s="6">
        <v>0</v>
      </c>
      <c r="Q996" s="4" t="s">
        <v>26</v>
      </c>
      <c r="R996" s="4">
        <v>0</v>
      </c>
      <c r="S996" s="6">
        <v>0</v>
      </c>
      <c r="T996" s="6">
        <v>82</v>
      </c>
      <c r="U996" s="6">
        <v>110</v>
      </c>
      <c r="V996" s="6">
        <f>IF(ISERROR(VLOOKUP($S$996,'TAR FIN'!$A$1:$O$113,15,0)),0,VLOOKUP($S$996,'TAR FIN'!$A$1:$O$113,15,0))</f>
        <v>0</v>
      </c>
      <c r="W996" s="6">
        <f>IF(ISERROR(VLOOKUP($T$996,'TAR FIN'!$A$1:$O$113,15,0)),0,VLOOKUP($T$996,'TAR FIN'!$A$1:$O$113,15,0))</f>
        <v>491.18</v>
      </c>
      <c r="X996" s="6">
        <f>IF(ISERROR(VLOOKUP($U$996,'TAR FIN'!$A$1:$O$113,15,0)),0,VLOOKUP($U$996,'TAR FIN'!$A$1:$O$113,15,0))</f>
        <v>278.67</v>
      </c>
      <c r="Y996" s="6"/>
      <c r="Z996" s="6">
        <f ca="1">('TUSD BE'!$AM$66+'TUSD BF'!$AM$66+'TUSD CVA'!$AM$66)*1</f>
        <v>612.13700429564483</v>
      </c>
      <c r="AA996" s="6">
        <f>('TE BE'!$AB$44+'TE BF'!$AB$44+'TE CVA'!$AB$44)*1</f>
        <v>299.18055042718134</v>
      </c>
      <c r="AB996" s="6">
        <f>$K$996*$V$996</f>
        <v>0</v>
      </c>
      <c r="AC996" s="6">
        <f>$M$996*$W$996</f>
        <v>27.997260000000001</v>
      </c>
      <c r="AD996" s="6">
        <f>$O$996*$X$996</f>
        <v>15.884190000000002</v>
      </c>
      <c r="AE996" s="6">
        <f>$K$996*$Y$996</f>
        <v>0</v>
      </c>
      <c r="AF996" s="6">
        <f ca="1">$M$996*$Z$996</f>
        <v>34.891809244851757</v>
      </c>
      <c r="AG996" s="6">
        <f>$O$996*$AA$996</f>
        <v>17.053291374349339</v>
      </c>
    </row>
    <row r="997" spans="1:33" ht="11.25" customHeight="1" x14ac:dyDescent="0.3">
      <c r="A997" s="4" t="s">
        <v>28</v>
      </c>
      <c r="B997" s="4" t="s">
        <v>37</v>
      </c>
      <c r="C997" s="4" t="s">
        <v>33</v>
      </c>
      <c r="D997" s="4" t="s">
        <v>38</v>
      </c>
      <c r="E997" s="4" t="s">
        <v>25</v>
      </c>
      <c r="F997" s="4" t="s">
        <v>25</v>
      </c>
      <c r="G997" s="4" t="s">
        <v>25</v>
      </c>
      <c r="H997" s="4" t="s">
        <v>36</v>
      </c>
      <c r="I997" s="5">
        <v>44713</v>
      </c>
      <c r="J997" s="6">
        <v>0</v>
      </c>
      <c r="K997" s="6">
        <v>0</v>
      </c>
      <c r="L997" s="6">
        <v>0.06</v>
      </c>
      <c r="M997" s="6">
        <v>0.06</v>
      </c>
      <c r="N997" s="6">
        <v>0.06</v>
      </c>
      <c r="O997" s="6">
        <v>0.06</v>
      </c>
      <c r="P997" s="6">
        <v>0</v>
      </c>
      <c r="Q997" s="4" t="s">
        <v>26</v>
      </c>
      <c r="R997" s="4">
        <v>0</v>
      </c>
      <c r="S997" s="6">
        <v>0</v>
      </c>
      <c r="T997" s="6">
        <v>82</v>
      </c>
      <c r="U997" s="6">
        <v>110</v>
      </c>
      <c r="V997" s="6">
        <f>IF(ISERROR(VLOOKUP($S$997,'TAR FIN'!$A$1:$O$113,15,0)),0,VLOOKUP($S$997,'TAR FIN'!$A$1:$O$113,15,0))</f>
        <v>0</v>
      </c>
      <c r="W997" s="6">
        <f>IF(ISERROR(VLOOKUP($T$997,'TAR FIN'!$A$1:$O$113,15,0)),0,VLOOKUP($T$997,'TAR FIN'!$A$1:$O$113,15,0))</f>
        <v>491.18</v>
      </c>
      <c r="X997" s="6">
        <f>IF(ISERROR(VLOOKUP($U$997,'TAR FIN'!$A$1:$O$113,15,0)),0,VLOOKUP($U$997,'TAR FIN'!$A$1:$O$113,15,0))</f>
        <v>278.67</v>
      </c>
      <c r="Y997" s="6"/>
      <c r="Z997" s="6">
        <f ca="1">('TUSD BE'!$AM$66+'TUSD BF'!$AM$66+'TUSD CVA'!$AM$66)*1</f>
        <v>612.13700429564483</v>
      </c>
      <c r="AA997" s="6">
        <f>('TE BE'!$AB$44+'TE BF'!$AB$44+'TE CVA'!$AB$44)*1</f>
        <v>299.18055042718134</v>
      </c>
      <c r="AB997" s="6">
        <f>$K$997*$V$997</f>
        <v>0</v>
      </c>
      <c r="AC997" s="6">
        <f>$M$997*$W$997</f>
        <v>29.470800000000001</v>
      </c>
      <c r="AD997" s="6">
        <f>$O$997*$X$997</f>
        <v>16.720200000000002</v>
      </c>
      <c r="AE997" s="6">
        <f>$K$997*$Y$997</f>
        <v>0</v>
      </c>
      <c r="AF997" s="6">
        <f ca="1">$M$997*$Z$997</f>
        <v>36.728220257738691</v>
      </c>
      <c r="AG997" s="6">
        <f>$O$997*$AA$997</f>
        <v>17.950833025630882</v>
      </c>
    </row>
    <row r="998" spans="1:33" ht="11.25" customHeight="1" x14ac:dyDescent="0.3">
      <c r="A998" s="4" t="s">
        <v>28</v>
      </c>
      <c r="B998" s="4" t="s">
        <v>37</v>
      </c>
      <c r="C998" s="4" t="s">
        <v>33</v>
      </c>
      <c r="D998" s="4" t="s">
        <v>38</v>
      </c>
      <c r="E998" s="4" t="s">
        <v>25</v>
      </c>
      <c r="F998" s="4" t="s">
        <v>25</v>
      </c>
      <c r="G998" s="4" t="s">
        <v>25</v>
      </c>
      <c r="H998" s="4" t="s">
        <v>36</v>
      </c>
      <c r="I998" s="5">
        <v>44774</v>
      </c>
      <c r="J998" s="6">
        <v>0</v>
      </c>
      <c r="K998" s="6">
        <v>0</v>
      </c>
      <c r="L998" s="6">
        <v>6.2E-2</v>
      </c>
      <c r="M998" s="6">
        <v>6.2E-2</v>
      </c>
      <c r="N998" s="6">
        <v>6.2E-2</v>
      </c>
      <c r="O998" s="6">
        <v>6.2E-2</v>
      </c>
      <c r="P998" s="6">
        <v>0</v>
      </c>
      <c r="Q998" s="4" t="s">
        <v>26</v>
      </c>
      <c r="R998" s="4">
        <v>0</v>
      </c>
      <c r="S998" s="6">
        <v>0</v>
      </c>
      <c r="T998" s="6">
        <v>82</v>
      </c>
      <c r="U998" s="6">
        <v>110</v>
      </c>
      <c r="V998" s="6">
        <f>IF(ISERROR(VLOOKUP($S$998,'TAR FIN'!$A$1:$O$113,15,0)),0,VLOOKUP($S$998,'TAR FIN'!$A$1:$O$113,15,0))</f>
        <v>0</v>
      </c>
      <c r="W998" s="6">
        <f>IF(ISERROR(VLOOKUP($T$998,'TAR FIN'!$A$1:$O$113,15,0)),0,VLOOKUP($T$998,'TAR FIN'!$A$1:$O$113,15,0))</f>
        <v>491.18</v>
      </c>
      <c r="X998" s="6">
        <f>IF(ISERROR(VLOOKUP($U$998,'TAR FIN'!$A$1:$O$113,15,0)),0,VLOOKUP($U$998,'TAR FIN'!$A$1:$O$113,15,0))</f>
        <v>278.67</v>
      </c>
      <c r="Y998" s="6"/>
      <c r="Z998" s="6">
        <f ca="1">('TUSD BE'!$AM$66+'TUSD BF'!$AM$66+'TUSD CVA'!$AM$66)*1</f>
        <v>612.13700429564483</v>
      </c>
      <c r="AA998" s="6">
        <f>('TE BE'!$AB$44+'TE BF'!$AB$44+'TE CVA'!$AB$44)*1</f>
        <v>299.18055042718134</v>
      </c>
      <c r="AB998" s="6">
        <f>$K$998*$V$998</f>
        <v>0</v>
      </c>
      <c r="AC998" s="6">
        <f>$M$998*$W$998</f>
        <v>30.45316</v>
      </c>
      <c r="AD998" s="6">
        <f>$O$998*$X$998</f>
        <v>17.277540000000002</v>
      </c>
      <c r="AE998" s="6">
        <f>$K$998*$Y$998</f>
        <v>0</v>
      </c>
      <c r="AF998" s="6">
        <f ca="1">$M$998*$Z$998</f>
        <v>37.952494266329978</v>
      </c>
      <c r="AG998" s="6">
        <f>$O$998*$AA$998</f>
        <v>18.549194126485244</v>
      </c>
    </row>
    <row r="999" spans="1:33" ht="11.25" customHeight="1" x14ac:dyDescent="0.3">
      <c r="A999" s="4" t="s">
        <v>28</v>
      </c>
      <c r="B999" s="4" t="s">
        <v>37</v>
      </c>
      <c r="C999" s="4" t="s">
        <v>33</v>
      </c>
      <c r="D999" s="4" t="s">
        <v>38</v>
      </c>
      <c r="E999" s="4" t="s">
        <v>25</v>
      </c>
      <c r="F999" s="4" t="s">
        <v>25</v>
      </c>
      <c r="G999" s="4" t="s">
        <v>25</v>
      </c>
      <c r="H999" s="4" t="s">
        <v>36</v>
      </c>
      <c r="I999" s="5">
        <v>44805</v>
      </c>
      <c r="J999" s="6">
        <v>0</v>
      </c>
      <c r="K999" s="6">
        <v>0</v>
      </c>
      <c r="L999" s="6">
        <v>6.5000000000000002E-2</v>
      </c>
      <c r="M999" s="6">
        <v>6.5000000000000002E-2</v>
      </c>
      <c r="N999" s="6">
        <v>6.5000000000000002E-2</v>
      </c>
      <c r="O999" s="6">
        <v>6.5000000000000002E-2</v>
      </c>
      <c r="P999" s="6">
        <v>0</v>
      </c>
      <c r="Q999" s="4" t="s">
        <v>26</v>
      </c>
      <c r="R999" s="4">
        <v>0</v>
      </c>
      <c r="S999" s="6">
        <v>0</v>
      </c>
      <c r="T999" s="6">
        <v>82</v>
      </c>
      <c r="U999" s="6">
        <v>110</v>
      </c>
      <c r="V999" s="6">
        <f>IF(ISERROR(VLOOKUP($S$999,'TAR FIN'!$A$1:$O$113,15,0)),0,VLOOKUP($S$999,'TAR FIN'!$A$1:$O$113,15,0))</f>
        <v>0</v>
      </c>
      <c r="W999" s="6">
        <f>IF(ISERROR(VLOOKUP($T$999,'TAR FIN'!$A$1:$O$113,15,0)),0,VLOOKUP($T$999,'TAR FIN'!$A$1:$O$113,15,0))</f>
        <v>491.18</v>
      </c>
      <c r="X999" s="6">
        <f>IF(ISERROR(VLOOKUP($U$999,'TAR FIN'!$A$1:$O$113,15,0)),0,VLOOKUP($U$999,'TAR FIN'!$A$1:$O$113,15,0))</f>
        <v>278.67</v>
      </c>
      <c r="Y999" s="6"/>
      <c r="Z999" s="6">
        <f ca="1">('TUSD BE'!$AM$66+'TUSD BF'!$AM$66+'TUSD CVA'!$AM$66)*1</f>
        <v>612.13700429564483</v>
      </c>
      <c r="AA999" s="6">
        <f>('TE BE'!$AB$44+'TE BF'!$AB$44+'TE CVA'!$AB$44)*1</f>
        <v>299.18055042718134</v>
      </c>
      <c r="AB999" s="6">
        <f>$K$999*$V$999</f>
        <v>0</v>
      </c>
      <c r="AC999" s="6">
        <f>$M$999*$W$999</f>
        <v>31.9267</v>
      </c>
      <c r="AD999" s="6">
        <f>$O$999*$X$999</f>
        <v>18.11355</v>
      </c>
      <c r="AE999" s="6">
        <f>$K$999*$Y$999</f>
        <v>0</v>
      </c>
      <c r="AF999" s="6">
        <f ca="1">$M$999*$Z$999</f>
        <v>39.788905279216912</v>
      </c>
      <c r="AG999" s="6">
        <f>$O$999*$AA$999</f>
        <v>19.446735777766786</v>
      </c>
    </row>
    <row r="1000" spans="1:33" ht="11.25" customHeight="1" x14ac:dyDescent="0.3">
      <c r="A1000" s="4" t="s">
        <v>53</v>
      </c>
      <c r="B1000" s="4" t="s">
        <v>37</v>
      </c>
      <c r="C1000" s="4" t="s">
        <v>33</v>
      </c>
      <c r="D1000" s="4" t="s">
        <v>38</v>
      </c>
      <c r="E1000" s="4" t="s">
        <v>25</v>
      </c>
      <c r="F1000" s="4" t="s">
        <v>25</v>
      </c>
      <c r="G1000" s="4" t="s">
        <v>25</v>
      </c>
      <c r="H1000" s="4" t="s">
        <v>36</v>
      </c>
      <c r="I1000" s="5">
        <v>44835</v>
      </c>
      <c r="J1000" s="6">
        <v>0</v>
      </c>
      <c r="K1000" s="6">
        <v>0</v>
      </c>
      <c r="L1000" s="6">
        <v>6.5000000000000002E-2</v>
      </c>
      <c r="M1000" s="6">
        <v>6.5000000000000002E-2</v>
      </c>
      <c r="N1000" s="6">
        <v>6.5000000000000002E-2</v>
      </c>
      <c r="O1000" s="6">
        <v>6.5000000000000002E-2</v>
      </c>
      <c r="P1000" s="6">
        <v>0</v>
      </c>
      <c r="Q1000" s="4" t="s">
        <v>26</v>
      </c>
      <c r="R1000" s="4">
        <v>0</v>
      </c>
      <c r="S1000" s="6">
        <v>0</v>
      </c>
      <c r="T1000" s="6">
        <v>82</v>
      </c>
      <c r="U1000" s="6">
        <v>110</v>
      </c>
      <c r="V1000" s="6">
        <f>IF(ISERROR(VLOOKUP($S$1000,'TAR FIN'!$A$1:$O$113,15,0)),0,VLOOKUP($S$1000,'TAR FIN'!$A$1:$O$113,15,0))</f>
        <v>0</v>
      </c>
      <c r="W1000" s="6">
        <f>IF(ISERROR(VLOOKUP($T$1000,'TAR FIN'!$A$1:$O$113,15,0)),0,VLOOKUP($T$1000,'TAR FIN'!$A$1:$O$113,15,0))</f>
        <v>491.18</v>
      </c>
      <c r="X1000" s="6">
        <f>IF(ISERROR(VLOOKUP($U$1000,'TAR FIN'!$A$1:$O$113,15,0)),0,VLOOKUP($U$1000,'TAR FIN'!$A$1:$O$113,15,0))</f>
        <v>278.67</v>
      </c>
      <c r="Y1000" s="6"/>
      <c r="Z1000" s="6">
        <f ca="1">('TUSD BE'!$AM$66+'TUSD BF'!$AM$66+'TUSD CVA'!$AM$66)*1</f>
        <v>612.13700429564483</v>
      </c>
      <c r="AA1000" s="6">
        <f>('TE BE'!$AB$44+'TE BF'!$AB$44+'TE CVA'!$AB$44)*1</f>
        <v>299.18055042718134</v>
      </c>
      <c r="AB1000" s="6">
        <f>$K$1000*$V$1000</f>
        <v>0</v>
      </c>
      <c r="AC1000" s="6">
        <f>$M$1000*$W$1000</f>
        <v>31.9267</v>
      </c>
      <c r="AD1000" s="6">
        <f>$O$1000*$X$1000</f>
        <v>18.11355</v>
      </c>
      <c r="AE1000" s="6">
        <f>$K$1000*$Y$1000</f>
        <v>0</v>
      </c>
      <c r="AF1000" s="6">
        <f ca="1">$M$1000*$Z$1000</f>
        <v>39.788905279216912</v>
      </c>
      <c r="AG1000" s="6">
        <f>$O$1000*$AA$1000</f>
        <v>19.446735777766786</v>
      </c>
    </row>
    <row r="1001" spans="1:33" ht="11.25" customHeight="1" x14ac:dyDescent="0.3">
      <c r="A1001" s="4" t="s">
        <v>21</v>
      </c>
      <c r="B1001" s="4" t="s">
        <v>37</v>
      </c>
      <c r="C1001" s="4" t="s">
        <v>33</v>
      </c>
      <c r="D1001" s="4" t="s">
        <v>38</v>
      </c>
      <c r="E1001" s="4" t="s">
        <v>25</v>
      </c>
      <c r="F1001" s="4" t="s">
        <v>25</v>
      </c>
      <c r="G1001" s="4" t="s">
        <v>25</v>
      </c>
      <c r="H1001" s="4" t="s">
        <v>34</v>
      </c>
      <c r="I1001" s="5">
        <v>44501</v>
      </c>
      <c r="J1001" s="6">
        <v>0</v>
      </c>
      <c r="K1001" s="6">
        <v>0</v>
      </c>
      <c r="L1001" s="6">
        <v>0.25</v>
      </c>
      <c r="M1001" s="6">
        <v>0.25</v>
      </c>
      <c r="N1001" s="6">
        <v>0.25</v>
      </c>
      <c r="O1001" s="6">
        <v>0.25</v>
      </c>
      <c r="P1001" s="6">
        <v>0</v>
      </c>
      <c r="Q1001" s="4" t="s">
        <v>26</v>
      </c>
      <c r="R1001" s="4">
        <v>0</v>
      </c>
      <c r="S1001" s="6">
        <v>0</v>
      </c>
      <c r="T1001" s="6">
        <v>83</v>
      </c>
      <c r="U1001" s="6">
        <v>106</v>
      </c>
      <c r="V1001" s="6">
        <f>IF(ISERROR(VLOOKUP($S$1001,'TAR FIN'!$A$1:$O$113,15,0)),0,VLOOKUP($S$1001,'TAR FIN'!$A$1:$O$113,15,0))</f>
        <v>0</v>
      </c>
      <c r="W1001" s="6">
        <f>IF(ISERROR(VLOOKUP($T$1001,'TAR FIN'!$A$1:$O$113,15,0)),0,VLOOKUP($T$1001,'TAR FIN'!$A$1:$O$113,15,0))</f>
        <v>748.29</v>
      </c>
      <c r="X1001" s="6">
        <f>IF(ISERROR(VLOOKUP($U$1001,'TAR FIN'!$A$1:$O$113,15,0)),0,VLOOKUP($U$1001,'TAR FIN'!$A$1:$O$113,15,0))</f>
        <v>442.86</v>
      </c>
      <c r="Y1001" s="6"/>
      <c r="Z1001" s="6">
        <f ca="1">('TUSD BE'!$AM$65+'TUSD BF'!$AM$65+'TUSD CVA'!$AM$65)*1</f>
        <v>906.91831020354402</v>
      </c>
      <c r="AA1001" s="6">
        <f>('TE BE'!$AB$43+'TE BF'!$AB$43+'TE CVA'!$AB$43)*1</f>
        <v>486.43608405794748</v>
      </c>
      <c r="AB1001" s="6">
        <f>$K$1001*$V$1001</f>
        <v>0</v>
      </c>
      <c r="AC1001" s="6">
        <f>$M$1001*$W$1001</f>
        <v>187.07249999999999</v>
      </c>
      <c r="AD1001" s="6">
        <f>$O$1001*$X$1001</f>
        <v>110.715</v>
      </c>
      <c r="AE1001" s="6">
        <f>$K$1001*$Y$1001</f>
        <v>0</v>
      </c>
      <c r="AF1001" s="6">
        <f ca="1">$M$1001*$Z$1001</f>
        <v>226.72957755088601</v>
      </c>
      <c r="AG1001" s="6">
        <f>$O$1001*$AA$1001</f>
        <v>121.60902101448687</v>
      </c>
    </row>
    <row r="1002" spans="1:33" ht="11.25" customHeight="1" x14ac:dyDescent="0.3">
      <c r="A1002" s="4" t="s">
        <v>28</v>
      </c>
      <c r="B1002" s="4" t="s">
        <v>37</v>
      </c>
      <c r="C1002" s="4" t="s">
        <v>33</v>
      </c>
      <c r="D1002" s="4" t="s">
        <v>38</v>
      </c>
      <c r="E1002" s="4" t="s">
        <v>25</v>
      </c>
      <c r="F1002" s="4" t="s">
        <v>25</v>
      </c>
      <c r="G1002" s="4" t="s">
        <v>25</v>
      </c>
      <c r="H1002" s="4" t="s">
        <v>34</v>
      </c>
      <c r="I1002" s="5">
        <v>44501</v>
      </c>
      <c r="J1002" s="6">
        <v>0</v>
      </c>
      <c r="K1002" s="6">
        <v>0</v>
      </c>
      <c r="L1002" s="6">
        <v>8.2000000000000003E-2</v>
      </c>
      <c r="M1002" s="6">
        <v>8.2000000000000003E-2</v>
      </c>
      <c r="N1002" s="6">
        <v>8.2000000000000003E-2</v>
      </c>
      <c r="O1002" s="6">
        <v>8.2000000000000003E-2</v>
      </c>
      <c r="P1002" s="6">
        <v>0</v>
      </c>
      <c r="Q1002" s="4" t="s">
        <v>26</v>
      </c>
      <c r="R1002" s="4">
        <v>0</v>
      </c>
      <c r="S1002" s="6">
        <v>0</v>
      </c>
      <c r="T1002" s="6">
        <v>83</v>
      </c>
      <c r="U1002" s="6">
        <v>106</v>
      </c>
      <c r="V1002" s="6">
        <f>IF(ISERROR(VLOOKUP($S$1002,'TAR FIN'!$A$1:$O$113,15,0)),0,VLOOKUP($S$1002,'TAR FIN'!$A$1:$O$113,15,0))</f>
        <v>0</v>
      </c>
      <c r="W1002" s="6">
        <f>IF(ISERROR(VLOOKUP($T$1002,'TAR FIN'!$A$1:$O$113,15,0)),0,VLOOKUP($T$1002,'TAR FIN'!$A$1:$O$113,15,0))</f>
        <v>748.29</v>
      </c>
      <c r="X1002" s="6">
        <f>IF(ISERROR(VLOOKUP($U$1002,'TAR FIN'!$A$1:$O$113,15,0)),0,VLOOKUP($U$1002,'TAR FIN'!$A$1:$O$113,15,0))</f>
        <v>442.86</v>
      </c>
      <c r="Y1002" s="6"/>
      <c r="Z1002" s="6">
        <f ca="1">('TUSD BE'!$AM$65+'TUSD BF'!$AM$65+'TUSD CVA'!$AM$65)*1</f>
        <v>906.91831020354402</v>
      </c>
      <c r="AA1002" s="6">
        <f>('TE BE'!$AB$43+'TE BF'!$AB$43+'TE CVA'!$AB$43)*1</f>
        <v>486.43608405794748</v>
      </c>
      <c r="AB1002" s="6">
        <f>$K$1002*$V$1002</f>
        <v>0</v>
      </c>
      <c r="AC1002" s="6">
        <f>$M$1002*$W$1002</f>
        <v>61.359780000000001</v>
      </c>
      <c r="AD1002" s="6">
        <f>$O$1002*$X$1002</f>
        <v>36.314520000000002</v>
      </c>
      <c r="AE1002" s="6">
        <f>$K$1002*$Y$1002</f>
        <v>0</v>
      </c>
      <c r="AF1002" s="6">
        <f ca="1">$M$1002*$Z$1002</f>
        <v>74.36730143669061</v>
      </c>
      <c r="AG1002" s="6">
        <f>$O$1002*$AA$1002</f>
        <v>39.887758892751698</v>
      </c>
    </row>
    <row r="1003" spans="1:33" ht="11.25" customHeight="1" x14ac:dyDescent="0.3">
      <c r="A1003" s="4" t="s">
        <v>21</v>
      </c>
      <c r="B1003" s="4" t="s">
        <v>37</v>
      </c>
      <c r="C1003" s="4" t="s">
        <v>33</v>
      </c>
      <c r="D1003" s="4" t="s">
        <v>38</v>
      </c>
      <c r="E1003" s="4" t="s">
        <v>25</v>
      </c>
      <c r="F1003" s="4" t="s">
        <v>25</v>
      </c>
      <c r="G1003" s="4" t="s">
        <v>25</v>
      </c>
      <c r="H1003" s="4" t="s">
        <v>34</v>
      </c>
      <c r="I1003" s="5">
        <v>44531</v>
      </c>
      <c r="J1003" s="6">
        <v>0</v>
      </c>
      <c r="K1003" s="6">
        <v>0</v>
      </c>
      <c r="L1003" s="6">
        <v>0.3</v>
      </c>
      <c r="M1003" s="6">
        <v>0.3</v>
      </c>
      <c r="N1003" s="6">
        <v>0.3</v>
      </c>
      <c r="O1003" s="6">
        <v>0.3</v>
      </c>
      <c r="P1003" s="6">
        <v>0</v>
      </c>
      <c r="Q1003" s="4" t="s">
        <v>26</v>
      </c>
      <c r="R1003" s="4">
        <v>0</v>
      </c>
      <c r="S1003" s="6">
        <v>0</v>
      </c>
      <c r="T1003" s="6">
        <v>83</v>
      </c>
      <c r="U1003" s="6">
        <v>106</v>
      </c>
      <c r="V1003" s="6">
        <f>IF(ISERROR(VLOOKUP($S$1003,'TAR FIN'!$A$1:$O$113,15,0)),0,VLOOKUP($S$1003,'TAR FIN'!$A$1:$O$113,15,0))</f>
        <v>0</v>
      </c>
      <c r="W1003" s="6">
        <f>IF(ISERROR(VLOOKUP($T$1003,'TAR FIN'!$A$1:$O$113,15,0)),0,VLOOKUP($T$1003,'TAR FIN'!$A$1:$O$113,15,0))</f>
        <v>748.29</v>
      </c>
      <c r="X1003" s="6">
        <f>IF(ISERROR(VLOOKUP($U$1003,'TAR FIN'!$A$1:$O$113,15,0)),0,VLOOKUP($U$1003,'TAR FIN'!$A$1:$O$113,15,0))</f>
        <v>442.86</v>
      </c>
      <c r="Y1003" s="6"/>
      <c r="Z1003" s="6">
        <f ca="1">('TUSD BE'!$AM$65+'TUSD BF'!$AM$65+'TUSD CVA'!$AM$65)*1</f>
        <v>906.91831020354402</v>
      </c>
      <c r="AA1003" s="6">
        <f>('TE BE'!$AB$43+'TE BF'!$AB$43+'TE CVA'!$AB$43)*1</f>
        <v>486.43608405794748</v>
      </c>
      <c r="AB1003" s="6">
        <f>$K$1003*$V$1003</f>
        <v>0</v>
      </c>
      <c r="AC1003" s="6">
        <f>$M$1003*$W$1003</f>
        <v>224.48699999999999</v>
      </c>
      <c r="AD1003" s="6">
        <f>$O$1003*$X$1003</f>
        <v>132.858</v>
      </c>
      <c r="AE1003" s="6">
        <f>$K$1003*$Y$1003</f>
        <v>0</v>
      </c>
      <c r="AF1003" s="6">
        <f ca="1">$M$1003*$Z$1003</f>
        <v>272.07549306106318</v>
      </c>
      <c r="AG1003" s="6">
        <f>$O$1003*$AA$1003</f>
        <v>145.93082521738424</v>
      </c>
    </row>
    <row r="1004" spans="1:33" ht="11.25" customHeight="1" x14ac:dyDescent="0.3">
      <c r="A1004" s="4" t="s">
        <v>28</v>
      </c>
      <c r="B1004" s="4" t="s">
        <v>37</v>
      </c>
      <c r="C1004" s="4" t="s">
        <v>33</v>
      </c>
      <c r="D1004" s="4" t="s">
        <v>38</v>
      </c>
      <c r="E1004" s="4" t="s">
        <v>25</v>
      </c>
      <c r="F1004" s="4" t="s">
        <v>25</v>
      </c>
      <c r="G1004" s="4" t="s">
        <v>25</v>
      </c>
      <c r="H1004" s="4" t="s">
        <v>34</v>
      </c>
      <c r="I1004" s="5">
        <v>44531</v>
      </c>
      <c r="J1004" s="6">
        <v>0</v>
      </c>
      <c r="K1004" s="6">
        <v>0</v>
      </c>
      <c r="L1004" s="6">
        <v>9.8000000000000004E-2</v>
      </c>
      <c r="M1004" s="6">
        <v>9.8000000000000004E-2</v>
      </c>
      <c r="N1004" s="6">
        <v>9.8000000000000004E-2</v>
      </c>
      <c r="O1004" s="6">
        <v>9.8000000000000004E-2</v>
      </c>
      <c r="P1004" s="6">
        <v>0</v>
      </c>
      <c r="Q1004" s="4" t="s">
        <v>26</v>
      </c>
      <c r="R1004" s="4">
        <v>0</v>
      </c>
      <c r="S1004" s="6">
        <v>0</v>
      </c>
      <c r="T1004" s="6">
        <v>83</v>
      </c>
      <c r="U1004" s="6">
        <v>106</v>
      </c>
      <c r="V1004" s="6">
        <f>IF(ISERROR(VLOOKUP($S$1004,'TAR FIN'!$A$1:$O$113,15,0)),0,VLOOKUP($S$1004,'TAR FIN'!$A$1:$O$113,15,0))</f>
        <v>0</v>
      </c>
      <c r="W1004" s="6">
        <f>IF(ISERROR(VLOOKUP($T$1004,'TAR FIN'!$A$1:$O$113,15,0)),0,VLOOKUP($T$1004,'TAR FIN'!$A$1:$O$113,15,0))</f>
        <v>748.29</v>
      </c>
      <c r="X1004" s="6">
        <f>IF(ISERROR(VLOOKUP($U$1004,'TAR FIN'!$A$1:$O$113,15,0)),0,VLOOKUP($U$1004,'TAR FIN'!$A$1:$O$113,15,0))</f>
        <v>442.86</v>
      </c>
      <c r="Y1004" s="6"/>
      <c r="Z1004" s="6">
        <f ca="1">('TUSD BE'!$AM$65+'TUSD BF'!$AM$65+'TUSD CVA'!$AM$65)*1</f>
        <v>906.91831020354402</v>
      </c>
      <c r="AA1004" s="6">
        <f>('TE BE'!$AB$43+'TE BF'!$AB$43+'TE CVA'!$AB$43)*1</f>
        <v>486.43608405794748</v>
      </c>
      <c r="AB1004" s="6">
        <f>$K$1004*$V$1004</f>
        <v>0</v>
      </c>
      <c r="AC1004" s="6">
        <f>$M$1004*$W$1004</f>
        <v>73.332419999999999</v>
      </c>
      <c r="AD1004" s="6">
        <f>$O$1004*$X$1004</f>
        <v>43.400280000000002</v>
      </c>
      <c r="AE1004" s="6">
        <f>$K$1004*$Y$1004</f>
        <v>0</v>
      </c>
      <c r="AF1004" s="6">
        <f ca="1">$M$1004*$Z$1004</f>
        <v>88.877994399947312</v>
      </c>
      <c r="AG1004" s="6">
        <f>$O$1004*$AA$1004</f>
        <v>47.670736237678852</v>
      </c>
    </row>
    <row r="1005" spans="1:33" ht="11.25" customHeight="1" x14ac:dyDescent="0.3">
      <c r="A1005" s="4" t="s">
        <v>21</v>
      </c>
      <c r="B1005" s="4" t="s">
        <v>37</v>
      </c>
      <c r="C1005" s="4" t="s">
        <v>33</v>
      </c>
      <c r="D1005" s="4" t="s">
        <v>38</v>
      </c>
      <c r="E1005" s="4" t="s">
        <v>25</v>
      </c>
      <c r="F1005" s="4" t="s">
        <v>25</v>
      </c>
      <c r="G1005" s="4" t="s">
        <v>25</v>
      </c>
      <c r="H1005" s="4" t="s">
        <v>34</v>
      </c>
      <c r="I1005" s="5">
        <v>44562</v>
      </c>
      <c r="J1005" s="6">
        <v>0</v>
      </c>
      <c r="K1005" s="6">
        <v>0</v>
      </c>
      <c r="L1005" s="6">
        <v>0.2</v>
      </c>
      <c r="M1005" s="6">
        <v>0.2</v>
      </c>
      <c r="N1005" s="6">
        <v>0.2</v>
      </c>
      <c r="O1005" s="6">
        <v>0.2</v>
      </c>
      <c r="P1005" s="6">
        <v>0</v>
      </c>
      <c r="Q1005" s="4" t="s">
        <v>26</v>
      </c>
      <c r="R1005" s="4">
        <v>0</v>
      </c>
      <c r="S1005" s="6">
        <v>0</v>
      </c>
      <c r="T1005" s="6">
        <v>83</v>
      </c>
      <c r="U1005" s="6">
        <v>106</v>
      </c>
      <c r="V1005" s="6">
        <f>IF(ISERROR(VLOOKUP($S$1005,'TAR FIN'!$A$1:$O$113,15,0)),0,VLOOKUP($S$1005,'TAR FIN'!$A$1:$O$113,15,0))</f>
        <v>0</v>
      </c>
      <c r="W1005" s="6">
        <f>IF(ISERROR(VLOOKUP($T$1005,'TAR FIN'!$A$1:$O$113,15,0)),0,VLOOKUP($T$1005,'TAR FIN'!$A$1:$O$113,15,0))</f>
        <v>748.29</v>
      </c>
      <c r="X1005" s="6">
        <f>IF(ISERROR(VLOOKUP($U$1005,'TAR FIN'!$A$1:$O$113,15,0)),0,VLOOKUP($U$1005,'TAR FIN'!$A$1:$O$113,15,0))</f>
        <v>442.86</v>
      </c>
      <c r="Y1005" s="6"/>
      <c r="Z1005" s="6">
        <f ca="1">('TUSD BE'!$AM$65+'TUSD BF'!$AM$65+'TUSD CVA'!$AM$65)*1</f>
        <v>906.91831020354402</v>
      </c>
      <c r="AA1005" s="6">
        <f>('TE BE'!$AB$43+'TE BF'!$AB$43+'TE CVA'!$AB$43)*1</f>
        <v>486.43608405794748</v>
      </c>
      <c r="AB1005" s="6">
        <f>$K$1005*$V$1005</f>
        <v>0</v>
      </c>
      <c r="AC1005" s="6">
        <f>$M$1005*$W$1005</f>
        <v>149.65799999999999</v>
      </c>
      <c r="AD1005" s="6">
        <f>$O$1005*$X$1005</f>
        <v>88.572000000000003</v>
      </c>
      <c r="AE1005" s="6">
        <f>$K$1005*$Y$1005</f>
        <v>0</v>
      </c>
      <c r="AF1005" s="6">
        <f ca="1">$M$1005*$Z$1005</f>
        <v>181.38366204070883</v>
      </c>
      <c r="AG1005" s="6">
        <f>$O$1005*$AA$1005</f>
        <v>97.287216811589502</v>
      </c>
    </row>
    <row r="1006" spans="1:33" ht="11.25" customHeight="1" x14ac:dyDescent="0.3">
      <c r="A1006" s="4" t="s">
        <v>28</v>
      </c>
      <c r="B1006" s="4" t="s">
        <v>37</v>
      </c>
      <c r="C1006" s="4" t="s">
        <v>33</v>
      </c>
      <c r="D1006" s="4" t="s">
        <v>38</v>
      </c>
      <c r="E1006" s="4" t="s">
        <v>25</v>
      </c>
      <c r="F1006" s="4" t="s">
        <v>25</v>
      </c>
      <c r="G1006" s="4" t="s">
        <v>25</v>
      </c>
      <c r="H1006" s="4" t="s">
        <v>34</v>
      </c>
      <c r="I1006" s="5">
        <v>44562</v>
      </c>
      <c r="J1006" s="6">
        <v>0</v>
      </c>
      <c r="K1006" s="6">
        <v>0</v>
      </c>
      <c r="L1006" s="6">
        <v>0.10100000000000001</v>
      </c>
      <c r="M1006" s="6">
        <v>0.10100000000000001</v>
      </c>
      <c r="N1006" s="6">
        <v>0.10100000000000001</v>
      </c>
      <c r="O1006" s="6">
        <v>0.10100000000000001</v>
      </c>
      <c r="P1006" s="6">
        <v>0</v>
      </c>
      <c r="Q1006" s="4" t="s">
        <v>26</v>
      </c>
      <c r="R1006" s="4">
        <v>0</v>
      </c>
      <c r="S1006" s="6">
        <v>0</v>
      </c>
      <c r="T1006" s="6">
        <v>83</v>
      </c>
      <c r="U1006" s="6">
        <v>106</v>
      </c>
      <c r="V1006" s="6">
        <f>IF(ISERROR(VLOOKUP($S$1006,'TAR FIN'!$A$1:$O$113,15,0)),0,VLOOKUP($S$1006,'TAR FIN'!$A$1:$O$113,15,0))</f>
        <v>0</v>
      </c>
      <c r="W1006" s="6">
        <f>IF(ISERROR(VLOOKUP($T$1006,'TAR FIN'!$A$1:$O$113,15,0)),0,VLOOKUP($T$1006,'TAR FIN'!$A$1:$O$113,15,0))</f>
        <v>748.29</v>
      </c>
      <c r="X1006" s="6">
        <f>IF(ISERROR(VLOOKUP($U$1006,'TAR FIN'!$A$1:$O$113,15,0)),0,VLOOKUP($U$1006,'TAR FIN'!$A$1:$O$113,15,0))</f>
        <v>442.86</v>
      </c>
      <c r="Y1006" s="6"/>
      <c r="Z1006" s="6">
        <f ca="1">('TUSD BE'!$AM$65+'TUSD BF'!$AM$65+'TUSD CVA'!$AM$65)*1</f>
        <v>906.91831020354402</v>
      </c>
      <c r="AA1006" s="6">
        <f>('TE BE'!$AB$43+'TE BF'!$AB$43+'TE CVA'!$AB$43)*1</f>
        <v>486.43608405794748</v>
      </c>
      <c r="AB1006" s="6">
        <f>$K$1006*$V$1006</f>
        <v>0</v>
      </c>
      <c r="AC1006" s="6">
        <f>$M$1006*$W$1006</f>
        <v>75.577290000000005</v>
      </c>
      <c r="AD1006" s="6">
        <f>$O$1006*$X$1006</f>
        <v>44.728860000000005</v>
      </c>
      <c r="AE1006" s="6">
        <f>$K$1006*$Y$1006</f>
        <v>0</v>
      </c>
      <c r="AF1006" s="6">
        <f ca="1">$M$1006*$Z$1006</f>
        <v>91.598749330557951</v>
      </c>
      <c r="AG1006" s="6">
        <f>$O$1006*$AA$1006</f>
        <v>49.1300444898527</v>
      </c>
    </row>
    <row r="1007" spans="1:33" ht="11.25" customHeight="1" x14ac:dyDescent="0.3">
      <c r="A1007" s="4" t="s">
        <v>21</v>
      </c>
      <c r="B1007" s="4" t="s">
        <v>37</v>
      </c>
      <c r="C1007" s="4" t="s">
        <v>33</v>
      </c>
      <c r="D1007" s="4" t="s">
        <v>38</v>
      </c>
      <c r="E1007" s="4" t="s">
        <v>25</v>
      </c>
      <c r="F1007" s="4" t="s">
        <v>25</v>
      </c>
      <c r="G1007" s="4" t="s">
        <v>25</v>
      </c>
      <c r="H1007" s="4" t="s">
        <v>34</v>
      </c>
      <c r="I1007" s="5">
        <v>44593</v>
      </c>
      <c r="J1007" s="6">
        <v>0</v>
      </c>
      <c r="K1007" s="6">
        <v>0</v>
      </c>
      <c r="L1007" s="6">
        <v>0.1</v>
      </c>
      <c r="M1007" s="6">
        <v>0.1</v>
      </c>
      <c r="N1007" s="6">
        <v>0.1</v>
      </c>
      <c r="O1007" s="6">
        <v>0.1</v>
      </c>
      <c r="P1007" s="6">
        <v>0</v>
      </c>
      <c r="Q1007" s="4" t="s">
        <v>26</v>
      </c>
      <c r="R1007" s="4">
        <v>0</v>
      </c>
      <c r="S1007" s="6">
        <v>0</v>
      </c>
      <c r="T1007" s="6">
        <v>83</v>
      </c>
      <c r="U1007" s="6">
        <v>106</v>
      </c>
      <c r="V1007" s="6">
        <f>IF(ISERROR(VLOOKUP($S$1007,'TAR FIN'!$A$1:$O$113,15,0)),0,VLOOKUP($S$1007,'TAR FIN'!$A$1:$O$113,15,0))</f>
        <v>0</v>
      </c>
      <c r="W1007" s="6">
        <f>IF(ISERROR(VLOOKUP($T$1007,'TAR FIN'!$A$1:$O$113,15,0)),0,VLOOKUP($T$1007,'TAR FIN'!$A$1:$O$113,15,0))</f>
        <v>748.29</v>
      </c>
      <c r="X1007" s="6">
        <f>IF(ISERROR(VLOOKUP($U$1007,'TAR FIN'!$A$1:$O$113,15,0)),0,VLOOKUP($U$1007,'TAR FIN'!$A$1:$O$113,15,0))</f>
        <v>442.86</v>
      </c>
      <c r="Y1007" s="6"/>
      <c r="Z1007" s="6">
        <f ca="1">('TUSD BE'!$AM$65+'TUSD BF'!$AM$65+'TUSD CVA'!$AM$65)*1</f>
        <v>906.91831020354402</v>
      </c>
      <c r="AA1007" s="6">
        <f>('TE BE'!$AB$43+'TE BF'!$AB$43+'TE CVA'!$AB$43)*1</f>
        <v>486.43608405794748</v>
      </c>
      <c r="AB1007" s="6">
        <f>$K$1007*$V$1007</f>
        <v>0</v>
      </c>
      <c r="AC1007" s="6">
        <f>$M$1007*$W$1007</f>
        <v>74.828999999999994</v>
      </c>
      <c r="AD1007" s="6">
        <f>$O$1007*$X$1007</f>
        <v>44.286000000000001</v>
      </c>
      <c r="AE1007" s="6">
        <f>$K$1007*$Y$1007</f>
        <v>0</v>
      </c>
      <c r="AF1007" s="6">
        <f ca="1">$M$1007*$Z$1007</f>
        <v>90.691831020354414</v>
      </c>
      <c r="AG1007" s="6">
        <f>$O$1007*$AA$1007</f>
        <v>48.643608405794751</v>
      </c>
    </row>
    <row r="1008" spans="1:33" ht="11.25" customHeight="1" x14ac:dyDescent="0.3">
      <c r="A1008" s="4" t="s">
        <v>28</v>
      </c>
      <c r="B1008" s="4" t="s">
        <v>37</v>
      </c>
      <c r="C1008" s="4" t="s">
        <v>33</v>
      </c>
      <c r="D1008" s="4" t="s">
        <v>38</v>
      </c>
      <c r="E1008" s="4" t="s">
        <v>25</v>
      </c>
      <c r="F1008" s="4" t="s">
        <v>25</v>
      </c>
      <c r="G1008" s="4" t="s">
        <v>25</v>
      </c>
      <c r="H1008" s="4" t="s">
        <v>34</v>
      </c>
      <c r="I1008" s="5">
        <v>44593</v>
      </c>
      <c r="J1008" s="6">
        <v>0</v>
      </c>
      <c r="K1008" s="6">
        <v>0</v>
      </c>
      <c r="L1008" s="6">
        <v>8.6999999999999994E-2</v>
      </c>
      <c r="M1008" s="6">
        <v>8.6999999999999994E-2</v>
      </c>
      <c r="N1008" s="6">
        <v>8.6999999999999994E-2</v>
      </c>
      <c r="O1008" s="6">
        <v>8.6999999999999994E-2</v>
      </c>
      <c r="P1008" s="6">
        <v>0</v>
      </c>
      <c r="Q1008" s="4" t="s">
        <v>26</v>
      </c>
      <c r="R1008" s="4">
        <v>0</v>
      </c>
      <c r="S1008" s="6">
        <v>0</v>
      </c>
      <c r="T1008" s="6">
        <v>83</v>
      </c>
      <c r="U1008" s="6">
        <v>106</v>
      </c>
      <c r="V1008" s="6">
        <f>IF(ISERROR(VLOOKUP($S$1008,'TAR FIN'!$A$1:$O$113,15,0)),0,VLOOKUP($S$1008,'TAR FIN'!$A$1:$O$113,15,0))</f>
        <v>0</v>
      </c>
      <c r="W1008" s="6">
        <f>IF(ISERROR(VLOOKUP($T$1008,'TAR FIN'!$A$1:$O$113,15,0)),0,VLOOKUP($T$1008,'TAR FIN'!$A$1:$O$113,15,0))</f>
        <v>748.29</v>
      </c>
      <c r="X1008" s="6">
        <f>IF(ISERROR(VLOOKUP($U$1008,'TAR FIN'!$A$1:$O$113,15,0)),0,VLOOKUP($U$1008,'TAR FIN'!$A$1:$O$113,15,0))</f>
        <v>442.86</v>
      </c>
      <c r="Y1008" s="6"/>
      <c r="Z1008" s="6">
        <f ca="1">('TUSD BE'!$AM$65+'TUSD BF'!$AM$65+'TUSD CVA'!$AM$65)*1</f>
        <v>906.91831020354402</v>
      </c>
      <c r="AA1008" s="6">
        <f>('TE BE'!$AB$43+'TE BF'!$AB$43+'TE CVA'!$AB$43)*1</f>
        <v>486.43608405794748</v>
      </c>
      <c r="AB1008" s="6">
        <f>$K$1008*$V$1008</f>
        <v>0</v>
      </c>
      <c r="AC1008" s="6">
        <f>$M$1008*$W$1008</f>
        <v>65.101229999999987</v>
      </c>
      <c r="AD1008" s="6">
        <f>$O$1008*$X$1008</f>
        <v>38.528819999999996</v>
      </c>
      <c r="AE1008" s="6">
        <f>$K$1008*$Y$1008</f>
        <v>0</v>
      </c>
      <c r="AF1008" s="6">
        <f ca="1">$M$1008*$Z$1008</f>
        <v>78.901892987708322</v>
      </c>
      <c r="AG1008" s="6">
        <f>$O$1008*$AA$1008</f>
        <v>42.319939313041431</v>
      </c>
    </row>
    <row r="1009" spans="1:33" ht="11.25" customHeight="1" x14ac:dyDescent="0.3">
      <c r="A1009" s="4" t="s">
        <v>21</v>
      </c>
      <c r="B1009" s="4" t="s">
        <v>37</v>
      </c>
      <c r="C1009" s="4" t="s">
        <v>33</v>
      </c>
      <c r="D1009" s="4" t="s">
        <v>38</v>
      </c>
      <c r="E1009" s="4" t="s">
        <v>25</v>
      </c>
      <c r="F1009" s="4" t="s">
        <v>25</v>
      </c>
      <c r="G1009" s="4" t="s">
        <v>25</v>
      </c>
      <c r="H1009" s="4" t="s">
        <v>34</v>
      </c>
      <c r="I1009" s="5">
        <v>44621</v>
      </c>
      <c r="J1009" s="6">
        <v>0</v>
      </c>
      <c r="K1009" s="6">
        <v>0</v>
      </c>
      <c r="L1009" s="6">
        <v>0.15</v>
      </c>
      <c r="M1009" s="6">
        <v>0.15</v>
      </c>
      <c r="N1009" s="6">
        <v>0.15</v>
      </c>
      <c r="O1009" s="6">
        <v>0.15</v>
      </c>
      <c r="P1009" s="6">
        <v>0</v>
      </c>
      <c r="Q1009" s="4" t="s">
        <v>26</v>
      </c>
      <c r="R1009" s="4">
        <v>0</v>
      </c>
      <c r="S1009" s="6">
        <v>0</v>
      </c>
      <c r="T1009" s="6">
        <v>83</v>
      </c>
      <c r="U1009" s="6">
        <v>106</v>
      </c>
      <c r="V1009" s="6">
        <f>IF(ISERROR(VLOOKUP($S$1009,'TAR FIN'!$A$1:$O$113,15,0)),0,VLOOKUP($S$1009,'TAR FIN'!$A$1:$O$113,15,0))</f>
        <v>0</v>
      </c>
      <c r="W1009" s="6">
        <f>IF(ISERROR(VLOOKUP($T$1009,'TAR FIN'!$A$1:$O$113,15,0)),0,VLOOKUP($T$1009,'TAR FIN'!$A$1:$O$113,15,0))</f>
        <v>748.29</v>
      </c>
      <c r="X1009" s="6">
        <f>IF(ISERROR(VLOOKUP($U$1009,'TAR FIN'!$A$1:$O$113,15,0)),0,VLOOKUP($U$1009,'TAR FIN'!$A$1:$O$113,15,0))</f>
        <v>442.86</v>
      </c>
      <c r="Y1009" s="6"/>
      <c r="Z1009" s="6">
        <f ca="1">('TUSD BE'!$AM$65+'TUSD BF'!$AM$65+'TUSD CVA'!$AM$65)*1</f>
        <v>906.91831020354402</v>
      </c>
      <c r="AA1009" s="6">
        <f>('TE BE'!$AB$43+'TE BF'!$AB$43+'TE CVA'!$AB$43)*1</f>
        <v>486.43608405794748</v>
      </c>
      <c r="AB1009" s="6">
        <f>$K$1009*$V$1009</f>
        <v>0</v>
      </c>
      <c r="AC1009" s="6">
        <f>$M$1009*$W$1009</f>
        <v>112.2435</v>
      </c>
      <c r="AD1009" s="6">
        <f>$O$1009*$X$1009</f>
        <v>66.429000000000002</v>
      </c>
      <c r="AE1009" s="6">
        <f>$K$1009*$Y$1009</f>
        <v>0</v>
      </c>
      <c r="AF1009" s="6">
        <f ca="1">$M$1009*$Z$1009</f>
        <v>136.03774653053159</v>
      </c>
      <c r="AG1009" s="6">
        <f>$O$1009*$AA$1009</f>
        <v>72.96541260869212</v>
      </c>
    </row>
    <row r="1010" spans="1:33" ht="11.25" customHeight="1" x14ac:dyDescent="0.3">
      <c r="A1010" s="4" t="s">
        <v>28</v>
      </c>
      <c r="B1010" s="4" t="s">
        <v>37</v>
      </c>
      <c r="C1010" s="4" t="s">
        <v>33</v>
      </c>
      <c r="D1010" s="4" t="s">
        <v>38</v>
      </c>
      <c r="E1010" s="4" t="s">
        <v>25</v>
      </c>
      <c r="F1010" s="4" t="s">
        <v>25</v>
      </c>
      <c r="G1010" s="4" t="s">
        <v>25</v>
      </c>
      <c r="H1010" s="4" t="s">
        <v>34</v>
      </c>
      <c r="I1010" s="5">
        <v>44621</v>
      </c>
      <c r="J1010" s="6">
        <v>0</v>
      </c>
      <c r="K1010" s="6">
        <v>0</v>
      </c>
      <c r="L1010" s="6">
        <v>0.107</v>
      </c>
      <c r="M1010" s="6">
        <v>0.107</v>
      </c>
      <c r="N1010" s="6">
        <v>0.107</v>
      </c>
      <c r="O1010" s="6">
        <v>0.107</v>
      </c>
      <c r="P1010" s="6">
        <v>0</v>
      </c>
      <c r="Q1010" s="4" t="s">
        <v>26</v>
      </c>
      <c r="R1010" s="4">
        <v>0</v>
      </c>
      <c r="S1010" s="6">
        <v>0</v>
      </c>
      <c r="T1010" s="6">
        <v>83</v>
      </c>
      <c r="U1010" s="6">
        <v>106</v>
      </c>
      <c r="V1010" s="6">
        <f>IF(ISERROR(VLOOKUP($S$1010,'TAR FIN'!$A$1:$O$113,15,0)),0,VLOOKUP($S$1010,'TAR FIN'!$A$1:$O$113,15,0))</f>
        <v>0</v>
      </c>
      <c r="W1010" s="6">
        <f>IF(ISERROR(VLOOKUP($T$1010,'TAR FIN'!$A$1:$O$113,15,0)),0,VLOOKUP($T$1010,'TAR FIN'!$A$1:$O$113,15,0))</f>
        <v>748.29</v>
      </c>
      <c r="X1010" s="6">
        <f>IF(ISERROR(VLOOKUP($U$1010,'TAR FIN'!$A$1:$O$113,15,0)),0,VLOOKUP($U$1010,'TAR FIN'!$A$1:$O$113,15,0))</f>
        <v>442.86</v>
      </c>
      <c r="Y1010" s="6"/>
      <c r="Z1010" s="6">
        <f ca="1">('TUSD BE'!$AM$65+'TUSD BF'!$AM$65+'TUSD CVA'!$AM$65)*1</f>
        <v>906.91831020354402</v>
      </c>
      <c r="AA1010" s="6">
        <f>('TE BE'!$AB$43+'TE BF'!$AB$43+'TE CVA'!$AB$43)*1</f>
        <v>486.43608405794748</v>
      </c>
      <c r="AB1010" s="6">
        <f>$K$1010*$V$1010</f>
        <v>0</v>
      </c>
      <c r="AC1010" s="6">
        <f>$M$1010*$W$1010</f>
        <v>80.067029999999988</v>
      </c>
      <c r="AD1010" s="6">
        <f>$O$1010*$X$1010</f>
        <v>47.386020000000002</v>
      </c>
      <c r="AE1010" s="6">
        <f>$K$1010*$Y$1010</f>
        <v>0</v>
      </c>
      <c r="AF1010" s="6">
        <f ca="1">$M$1010*$Z$1010</f>
        <v>97.040259191779214</v>
      </c>
      <c r="AG1010" s="6">
        <f>$O$1010*$AA$1010</f>
        <v>52.048660994200382</v>
      </c>
    </row>
    <row r="1011" spans="1:33" ht="11.25" customHeight="1" x14ac:dyDescent="0.3">
      <c r="A1011" s="4" t="s">
        <v>28</v>
      </c>
      <c r="B1011" s="4" t="s">
        <v>37</v>
      </c>
      <c r="C1011" s="4" t="s">
        <v>33</v>
      </c>
      <c r="D1011" s="4" t="s">
        <v>38</v>
      </c>
      <c r="E1011" s="4" t="s">
        <v>25</v>
      </c>
      <c r="F1011" s="4" t="s">
        <v>25</v>
      </c>
      <c r="G1011" s="4" t="s">
        <v>25</v>
      </c>
      <c r="H1011" s="4" t="s">
        <v>34</v>
      </c>
      <c r="I1011" s="5">
        <v>44652</v>
      </c>
      <c r="J1011" s="6">
        <v>0</v>
      </c>
      <c r="K1011" s="6">
        <v>0</v>
      </c>
      <c r="L1011" s="6">
        <v>9.9000000000000005E-2</v>
      </c>
      <c r="M1011" s="6">
        <v>9.9000000000000005E-2</v>
      </c>
      <c r="N1011" s="6">
        <v>9.9000000000000005E-2</v>
      </c>
      <c r="O1011" s="6">
        <v>9.9000000000000005E-2</v>
      </c>
      <c r="P1011" s="6">
        <v>0</v>
      </c>
      <c r="Q1011" s="4" t="s">
        <v>26</v>
      </c>
      <c r="R1011" s="4">
        <v>0</v>
      </c>
      <c r="S1011" s="6">
        <v>0</v>
      </c>
      <c r="T1011" s="6">
        <v>83</v>
      </c>
      <c r="U1011" s="6">
        <v>106</v>
      </c>
      <c r="V1011" s="6">
        <f>IF(ISERROR(VLOOKUP($S$1011,'TAR FIN'!$A$1:$O$113,15,0)),0,VLOOKUP($S$1011,'TAR FIN'!$A$1:$O$113,15,0))</f>
        <v>0</v>
      </c>
      <c r="W1011" s="6">
        <f>IF(ISERROR(VLOOKUP($T$1011,'TAR FIN'!$A$1:$O$113,15,0)),0,VLOOKUP($T$1011,'TAR FIN'!$A$1:$O$113,15,0))</f>
        <v>748.29</v>
      </c>
      <c r="X1011" s="6">
        <f>IF(ISERROR(VLOOKUP($U$1011,'TAR FIN'!$A$1:$O$113,15,0)),0,VLOOKUP($U$1011,'TAR FIN'!$A$1:$O$113,15,0))</f>
        <v>442.86</v>
      </c>
      <c r="Y1011" s="6"/>
      <c r="Z1011" s="6">
        <f ca="1">('TUSD BE'!$AM$65+'TUSD BF'!$AM$65+'TUSD CVA'!$AM$65)*1</f>
        <v>906.91831020354402</v>
      </c>
      <c r="AA1011" s="6">
        <f>('TE BE'!$AB$43+'TE BF'!$AB$43+'TE CVA'!$AB$43)*1</f>
        <v>486.43608405794748</v>
      </c>
      <c r="AB1011" s="6">
        <f>$K$1011*$V$1011</f>
        <v>0</v>
      </c>
      <c r="AC1011" s="6">
        <f>$M$1011*$W$1011</f>
        <v>74.080709999999996</v>
      </c>
      <c r="AD1011" s="6">
        <f>$O$1011*$X$1011</f>
        <v>43.843140000000005</v>
      </c>
      <c r="AE1011" s="6">
        <f>$K$1011*$Y$1011</f>
        <v>0</v>
      </c>
      <c r="AF1011" s="6">
        <f ca="1">$M$1011*$Z$1011</f>
        <v>89.784912710150863</v>
      </c>
      <c r="AG1011" s="6">
        <f>$O$1011*$AA$1011</f>
        <v>48.157172321736802</v>
      </c>
    </row>
    <row r="1012" spans="1:33" ht="11.25" customHeight="1" x14ac:dyDescent="0.3">
      <c r="A1012" s="4" t="s">
        <v>28</v>
      </c>
      <c r="B1012" s="4" t="s">
        <v>37</v>
      </c>
      <c r="C1012" s="4" t="s">
        <v>33</v>
      </c>
      <c r="D1012" s="4" t="s">
        <v>38</v>
      </c>
      <c r="E1012" s="4" t="s">
        <v>25</v>
      </c>
      <c r="F1012" s="4" t="s">
        <v>25</v>
      </c>
      <c r="G1012" s="4" t="s">
        <v>25</v>
      </c>
      <c r="H1012" s="4" t="s">
        <v>34</v>
      </c>
      <c r="I1012" s="5">
        <v>44682</v>
      </c>
      <c r="J1012" s="6">
        <v>0</v>
      </c>
      <c r="K1012" s="6">
        <v>0</v>
      </c>
      <c r="L1012" s="6">
        <v>9.7000000000000003E-2</v>
      </c>
      <c r="M1012" s="6">
        <v>9.7000000000000003E-2</v>
      </c>
      <c r="N1012" s="6">
        <v>9.7000000000000003E-2</v>
      </c>
      <c r="O1012" s="6">
        <v>9.7000000000000003E-2</v>
      </c>
      <c r="P1012" s="6">
        <v>0</v>
      </c>
      <c r="Q1012" s="4" t="s">
        <v>26</v>
      </c>
      <c r="R1012" s="4">
        <v>0</v>
      </c>
      <c r="S1012" s="6">
        <v>0</v>
      </c>
      <c r="T1012" s="6">
        <v>83</v>
      </c>
      <c r="U1012" s="6">
        <v>106</v>
      </c>
      <c r="V1012" s="6">
        <f>IF(ISERROR(VLOOKUP($S$1012,'TAR FIN'!$A$1:$O$113,15,0)),0,VLOOKUP($S$1012,'TAR FIN'!$A$1:$O$113,15,0))</f>
        <v>0</v>
      </c>
      <c r="W1012" s="6">
        <f>IF(ISERROR(VLOOKUP($T$1012,'TAR FIN'!$A$1:$O$113,15,0)),0,VLOOKUP($T$1012,'TAR FIN'!$A$1:$O$113,15,0))</f>
        <v>748.29</v>
      </c>
      <c r="X1012" s="6">
        <f>IF(ISERROR(VLOOKUP($U$1012,'TAR FIN'!$A$1:$O$113,15,0)),0,VLOOKUP($U$1012,'TAR FIN'!$A$1:$O$113,15,0))</f>
        <v>442.86</v>
      </c>
      <c r="Y1012" s="6"/>
      <c r="Z1012" s="6">
        <f ca="1">('TUSD BE'!$AM$65+'TUSD BF'!$AM$65+'TUSD CVA'!$AM$65)*1</f>
        <v>906.91831020354402</v>
      </c>
      <c r="AA1012" s="6">
        <f>('TE BE'!$AB$43+'TE BF'!$AB$43+'TE CVA'!$AB$43)*1</f>
        <v>486.43608405794748</v>
      </c>
      <c r="AB1012" s="6">
        <f>$K$1012*$V$1012</f>
        <v>0</v>
      </c>
      <c r="AC1012" s="6">
        <f>$M$1012*$W$1012</f>
        <v>72.584130000000002</v>
      </c>
      <c r="AD1012" s="6">
        <f>$O$1012*$X$1012</f>
        <v>42.957419999999999</v>
      </c>
      <c r="AE1012" s="6">
        <f>$K$1012*$Y$1012</f>
        <v>0</v>
      </c>
      <c r="AF1012" s="6">
        <f ca="1">$M$1012*$Z$1012</f>
        <v>87.971076089743775</v>
      </c>
      <c r="AG1012" s="6">
        <f>$O$1012*$AA$1012</f>
        <v>47.18430015362091</v>
      </c>
    </row>
    <row r="1013" spans="1:33" ht="11.25" customHeight="1" x14ac:dyDescent="0.3">
      <c r="A1013" s="4" t="s">
        <v>28</v>
      </c>
      <c r="B1013" s="4" t="s">
        <v>37</v>
      </c>
      <c r="C1013" s="4" t="s">
        <v>33</v>
      </c>
      <c r="D1013" s="4" t="s">
        <v>38</v>
      </c>
      <c r="E1013" s="4" t="s">
        <v>25</v>
      </c>
      <c r="F1013" s="4" t="s">
        <v>25</v>
      </c>
      <c r="G1013" s="4" t="s">
        <v>25</v>
      </c>
      <c r="H1013" s="4" t="s">
        <v>34</v>
      </c>
      <c r="I1013" s="5">
        <v>44713</v>
      </c>
      <c r="J1013" s="6">
        <v>0</v>
      </c>
      <c r="K1013" s="6">
        <v>0</v>
      </c>
      <c r="L1013" s="6">
        <v>0.09</v>
      </c>
      <c r="M1013" s="6">
        <v>0.09</v>
      </c>
      <c r="N1013" s="6">
        <v>0.09</v>
      </c>
      <c r="O1013" s="6">
        <v>0.09</v>
      </c>
      <c r="P1013" s="6">
        <v>0</v>
      </c>
      <c r="Q1013" s="4" t="s">
        <v>26</v>
      </c>
      <c r="R1013" s="4">
        <v>0</v>
      </c>
      <c r="S1013" s="6">
        <v>0</v>
      </c>
      <c r="T1013" s="6">
        <v>83</v>
      </c>
      <c r="U1013" s="6">
        <v>106</v>
      </c>
      <c r="V1013" s="6">
        <f>IF(ISERROR(VLOOKUP($S$1013,'TAR FIN'!$A$1:$O$113,15,0)),0,VLOOKUP($S$1013,'TAR FIN'!$A$1:$O$113,15,0))</f>
        <v>0</v>
      </c>
      <c r="W1013" s="6">
        <f>IF(ISERROR(VLOOKUP($T$1013,'TAR FIN'!$A$1:$O$113,15,0)),0,VLOOKUP($T$1013,'TAR FIN'!$A$1:$O$113,15,0))</f>
        <v>748.29</v>
      </c>
      <c r="X1013" s="6">
        <f>IF(ISERROR(VLOOKUP($U$1013,'TAR FIN'!$A$1:$O$113,15,0)),0,VLOOKUP($U$1013,'TAR FIN'!$A$1:$O$113,15,0))</f>
        <v>442.86</v>
      </c>
      <c r="Y1013" s="6"/>
      <c r="Z1013" s="6">
        <f ca="1">('TUSD BE'!$AM$65+'TUSD BF'!$AM$65+'TUSD CVA'!$AM$65)*1</f>
        <v>906.91831020354402</v>
      </c>
      <c r="AA1013" s="6">
        <f>('TE BE'!$AB$43+'TE BF'!$AB$43+'TE CVA'!$AB$43)*1</f>
        <v>486.43608405794748</v>
      </c>
      <c r="AB1013" s="6">
        <f>$K$1013*$V$1013</f>
        <v>0</v>
      </c>
      <c r="AC1013" s="6">
        <f>$M$1013*$W$1013</f>
        <v>67.346099999999993</v>
      </c>
      <c r="AD1013" s="6">
        <f>$O$1013*$X$1013</f>
        <v>39.857399999999998</v>
      </c>
      <c r="AE1013" s="6">
        <f>$K$1013*$Y$1013</f>
        <v>0</v>
      </c>
      <c r="AF1013" s="6">
        <f ca="1">$M$1013*$Z$1013</f>
        <v>81.622647918318961</v>
      </c>
      <c r="AG1013" s="6">
        <f>$O$1013*$AA$1013</f>
        <v>43.779247565215272</v>
      </c>
    </row>
    <row r="1014" spans="1:33" ht="11.25" customHeight="1" x14ac:dyDescent="0.3">
      <c r="A1014" s="4" t="s">
        <v>28</v>
      </c>
      <c r="B1014" s="4" t="s">
        <v>37</v>
      </c>
      <c r="C1014" s="4" t="s">
        <v>33</v>
      </c>
      <c r="D1014" s="4" t="s">
        <v>38</v>
      </c>
      <c r="E1014" s="4" t="s">
        <v>25</v>
      </c>
      <c r="F1014" s="4" t="s">
        <v>25</v>
      </c>
      <c r="G1014" s="4" t="s">
        <v>25</v>
      </c>
      <c r="H1014" s="4" t="s">
        <v>34</v>
      </c>
      <c r="I1014" s="5">
        <v>44774</v>
      </c>
      <c r="J1014" s="6">
        <v>0</v>
      </c>
      <c r="K1014" s="6">
        <v>0</v>
      </c>
      <c r="L1014" s="6">
        <v>0.10299999999999999</v>
      </c>
      <c r="M1014" s="6">
        <v>0.10299999999999999</v>
      </c>
      <c r="N1014" s="6">
        <v>0.10299999999999999</v>
      </c>
      <c r="O1014" s="6">
        <v>0.10299999999999999</v>
      </c>
      <c r="P1014" s="6">
        <v>0</v>
      </c>
      <c r="Q1014" s="4" t="s">
        <v>26</v>
      </c>
      <c r="R1014" s="4">
        <v>0</v>
      </c>
      <c r="S1014" s="6">
        <v>0</v>
      </c>
      <c r="T1014" s="6">
        <v>83</v>
      </c>
      <c r="U1014" s="6">
        <v>106</v>
      </c>
      <c r="V1014" s="6">
        <f>IF(ISERROR(VLOOKUP($S$1014,'TAR FIN'!$A$1:$O$113,15,0)),0,VLOOKUP($S$1014,'TAR FIN'!$A$1:$O$113,15,0))</f>
        <v>0</v>
      </c>
      <c r="W1014" s="6">
        <f>IF(ISERROR(VLOOKUP($T$1014,'TAR FIN'!$A$1:$O$113,15,0)),0,VLOOKUP($T$1014,'TAR FIN'!$A$1:$O$113,15,0))</f>
        <v>748.29</v>
      </c>
      <c r="X1014" s="6">
        <f>IF(ISERROR(VLOOKUP($U$1014,'TAR FIN'!$A$1:$O$113,15,0)),0,VLOOKUP($U$1014,'TAR FIN'!$A$1:$O$113,15,0))</f>
        <v>442.86</v>
      </c>
      <c r="Y1014" s="6"/>
      <c r="Z1014" s="6">
        <f ca="1">('TUSD BE'!$AM$65+'TUSD BF'!$AM$65+'TUSD CVA'!$AM$65)*1</f>
        <v>906.91831020354402</v>
      </c>
      <c r="AA1014" s="6">
        <f>('TE BE'!$AB$43+'TE BF'!$AB$43+'TE CVA'!$AB$43)*1</f>
        <v>486.43608405794748</v>
      </c>
      <c r="AB1014" s="6">
        <f>$K$1014*$V$1014</f>
        <v>0</v>
      </c>
      <c r="AC1014" s="6">
        <f>$M$1014*$W$1014</f>
        <v>77.073869999999985</v>
      </c>
      <c r="AD1014" s="6">
        <f>$O$1014*$X$1014</f>
        <v>45.614579999999997</v>
      </c>
      <c r="AE1014" s="6">
        <f>$K$1014*$Y$1014</f>
        <v>0</v>
      </c>
      <c r="AF1014" s="6">
        <f ca="1">$M$1014*$Z$1014</f>
        <v>93.412585950965024</v>
      </c>
      <c r="AG1014" s="6">
        <f>$O$1014*$AA$1014</f>
        <v>50.102916657968585</v>
      </c>
    </row>
    <row r="1015" spans="1:33" ht="11.25" customHeight="1" x14ac:dyDescent="0.3">
      <c r="A1015" s="4" t="s">
        <v>28</v>
      </c>
      <c r="B1015" s="4" t="s">
        <v>37</v>
      </c>
      <c r="C1015" s="4" t="s">
        <v>33</v>
      </c>
      <c r="D1015" s="4" t="s">
        <v>38</v>
      </c>
      <c r="E1015" s="4" t="s">
        <v>25</v>
      </c>
      <c r="F1015" s="4" t="s">
        <v>25</v>
      </c>
      <c r="G1015" s="4" t="s">
        <v>25</v>
      </c>
      <c r="H1015" s="4" t="s">
        <v>34</v>
      </c>
      <c r="I1015" s="5">
        <v>44805</v>
      </c>
      <c r="J1015" s="6">
        <v>0</v>
      </c>
      <c r="K1015" s="6">
        <v>0</v>
      </c>
      <c r="L1015" s="6">
        <v>0.112</v>
      </c>
      <c r="M1015" s="6">
        <v>0.112</v>
      </c>
      <c r="N1015" s="6">
        <v>0.112</v>
      </c>
      <c r="O1015" s="6">
        <v>0.112</v>
      </c>
      <c r="P1015" s="6">
        <v>0</v>
      </c>
      <c r="Q1015" s="4" t="s">
        <v>26</v>
      </c>
      <c r="R1015" s="4">
        <v>0</v>
      </c>
      <c r="S1015" s="6">
        <v>0</v>
      </c>
      <c r="T1015" s="6">
        <v>83</v>
      </c>
      <c r="U1015" s="6">
        <v>106</v>
      </c>
      <c r="V1015" s="6">
        <f>IF(ISERROR(VLOOKUP($S$1015,'TAR FIN'!$A$1:$O$113,15,0)),0,VLOOKUP($S$1015,'TAR FIN'!$A$1:$O$113,15,0))</f>
        <v>0</v>
      </c>
      <c r="W1015" s="6">
        <f>IF(ISERROR(VLOOKUP($T$1015,'TAR FIN'!$A$1:$O$113,15,0)),0,VLOOKUP($T$1015,'TAR FIN'!$A$1:$O$113,15,0))</f>
        <v>748.29</v>
      </c>
      <c r="X1015" s="6">
        <f>IF(ISERROR(VLOOKUP($U$1015,'TAR FIN'!$A$1:$O$113,15,0)),0,VLOOKUP($U$1015,'TAR FIN'!$A$1:$O$113,15,0))</f>
        <v>442.86</v>
      </c>
      <c r="Y1015" s="6"/>
      <c r="Z1015" s="6">
        <f ca="1">('TUSD BE'!$AM$65+'TUSD BF'!$AM$65+'TUSD CVA'!$AM$65)*1</f>
        <v>906.91831020354402</v>
      </c>
      <c r="AA1015" s="6">
        <f>('TE BE'!$AB$43+'TE BF'!$AB$43+'TE CVA'!$AB$43)*1</f>
        <v>486.43608405794748</v>
      </c>
      <c r="AB1015" s="6">
        <f>$K$1015*$V$1015</f>
        <v>0</v>
      </c>
      <c r="AC1015" s="6">
        <f>$M$1015*$W$1015</f>
        <v>83.808480000000003</v>
      </c>
      <c r="AD1015" s="6">
        <f>$O$1015*$X$1015</f>
        <v>49.600320000000004</v>
      </c>
      <c r="AE1015" s="6">
        <f>$K$1015*$Y$1015</f>
        <v>0</v>
      </c>
      <c r="AF1015" s="6">
        <f ca="1">$M$1015*$Z$1015</f>
        <v>101.57485074279693</v>
      </c>
      <c r="AG1015" s="6">
        <f>$O$1015*$AA$1015</f>
        <v>54.480841414490122</v>
      </c>
    </row>
    <row r="1016" spans="1:33" ht="11.25" customHeight="1" x14ac:dyDescent="0.3">
      <c r="A1016" s="4" t="s">
        <v>53</v>
      </c>
      <c r="B1016" s="4" t="s">
        <v>37</v>
      </c>
      <c r="C1016" s="4" t="s">
        <v>33</v>
      </c>
      <c r="D1016" s="4" t="s">
        <v>38</v>
      </c>
      <c r="E1016" s="4" t="s">
        <v>25</v>
      </c>
      <c r="F1016" s="4" t="s">
        <v>25</v>
      </c>
      <c r="G1016" s="4" t="s">
        <v>25</v>
      </c>
      <c r="H1016" s="4" t="s">
        <v>34</v>
      </c>
      <c r="I1016" s="5">
        <v>44835</v>
      </c>
      <c r="J1016" s="6">
        <v>0</v>
      </c>
      <c r="K1016" s="6">
        <v>0</v>
      </c>
      <c r="L1016" s="6">
        <v>0.112</v>
      </c>
      <c r="M1016" s="6">
        <v>0.112</v>
      </c>
      <c r="N1016" s="6">
        <v>0.112</v>
      </c>
      <c r="O1016" s="6">
        <v>0.112</v>
      </c>
      <c r="P1016" s="6">
        <v>0</v>
      </c>
      <c r="Q1016" s="4" t="s">
        <v>26</v>
      </c>
      <c r="R1016" s="4">
        <v>0</v>
      </c>
      <c r="S1016" s="6">
        <v>0</v>
      </c>
      <c r="T1016" s="6">
        <v>83</v>
      </c>
      <c r="U1016" s="6">
        <v>106</v>
      </c>
      <c r="V1016" s="6">
        <f>IF(ISERROR(VLOOKUP($S$1016,'TAR FIN'!$A$1:$O$113,15,0)),0,VLOOKUP($S$1016,'TAR FIN'!$A$1:$O$113,15,0))</f>
        <v>0</v>
      </c>
      <c r="W1016" s="6">
        <f>IF(ISERROR(VLOOKUP($T$1016,'TAR FIN'!$A$1:$O$113,15,0)),0,VLOOKUP($T$1016,'TAR FIN'!$A$1:$O$113,15,0))</f>
        <v>748.29</v>
      </c>
      <c r="X1016" s="6">
        <f>IF(ISERROR(VLOOKUP($U$1016,'TAR FIN'!$A$1:$O$113,15,0)),0,VLOOKUP($U$1016,'TAR FIN'!$A$1:$O$113,15,0))</f>
        <v>442.86</v>
      </c>
      <c r="Y1016" s="6"/>
      <c r="Z1016" s="6">
        <f ca="1">('TUSD BE'!$AM$65+'TUSD BF'!$AM$65+'TUSD CVA'!$AM$65)*1</f>
        <v>906.91831020354402</v>
      </c>
      <c r="AA1016" s="6">
        <f>('TE BE'!$AB$43+'TE BF'!$AB$43+'TE CVA'!$AB$43)*1</f>
        <v>486.43608405794748</v>
      </c>
      <c r="AB1016" s="6">
        <f>$K$1016*$V$1016</f>
        <v>0</v>
      </c>
      <c r="AC1016" s="6">
        <f>$M$1016*$W$1016</f>
        <v>83.808480000000003</v>
      </c>
      <c r="AD1016" s="6">
        <f>$O$1016*$X$1016</f>
        <v>49.600320000000004</v>
      </c>
      <c r="AE1016" s="6">
        <f>$K$1016*$Y$1016</f>
        <v>0</v>
      </c>
      <c r="AF1016" s="6">
        <f ca="1">$M$1016*$Z$1016</f>
        <v>101.57485074279693</v>
      </c>
      <c r="AG1016" s="6">
        <f>$O$1016*$AA$1016</f>
        <v>54.480841414490122</v>
      </c>
    </row>
    <row r="1017" spans="1:33" ht="11.25" customHeight="1" x14ac:dyDescent="0.3">
      <c r="A1017" s="4" t="s">
        <v>21</v>
      </c>
      <c r="B1017" s="4" t="s">
        <v>37</v>
      </c>
      <c r="C1017" s="4" t="s">
        <v>33</v>
      </c>
      <c r="D1017" s="4" t="s">
        <v>50</v>
      </c>
      <c r="E1017" s="4" t="s">
        <v>51</v>
      </c>
      <c r="F1017" s="4" t="s">
        <v>25</v>
      </c>
      <c r="G1017" s="4" t="s">
        <v>25</v>
      </c>
      <c r="H1017" s="4" t="s">
        <v>35</v>
      </c>
      <c r="I1017" s="5">
        <v>44682</v>
      </c>
      <c r="J1017" s="6">
        <v>0</v>
      </c>
      <c r="K1017" s="53">
        <v>0</v>
      </c>
      <c r="L1017" s="6">
        <v>10.817</v>
      </c>
      <c r="M1017" s="53">
        <v>10.817</v>
      </c>
      <c r="N1017" s="6">
        <v>10.817</v>
      </c>
      <c r="O1017" s="53">
        <v>10.817</v>
      </c>
      <c r="P1017" s="6">
        <v>0</v>
      </c>
      <c r="Q1017" s="4" t="s">
        <v>26</v>
      </c>
      <c r="R1017" s="4">
        <v>0</v>
      </c>
      <c r="S1017" s="6">
        <v>0</v>
      </c>
      <c r="T1017" s="6">
        <v>69</v>
      </c>
      <c r="U1017" s="6">
        <v>105</v>
      </c>
      <c r="V1017" s="53">
        <f>IF(ISERROR(VLOOKUP($S$1017,'TAR FIN'!$A$1:$O$113,15,0)),0,VLOOKUP($S$1017,'TAR FIN'!$A$1:$O$113,15,0))</f>
        <v>0</v>
      </c>
      <c r="W1017" s="53">
        <f>IF(ISERROR(VLOOKUP($T$1017,'TAR FIN'!$A$1:$O$113,15,0)),0,VLOOKUP($T$1017,'TAR FIN'!$A$1:$O$113,15,0))*(1-0.06)</f>
        <v>220.02579999999998</v>
      </c>
      <c r="X1017" s="53">
        <f>IF(ISERROR(VLOOKUP($U$1017,'TAR FIN'!$A$1:$O$113,15,0)),0,VLOOKUP($U$1017,'TAR FIN'!$A$1:$O$113,15,0))*(1-0.06)</f>
        <v>261.94979999999998</v>
      </c>
      <c r="Y1017" s="53"/>
      <c r="Z1017" s="53">
        <f ca="1">('TUSD BE'!$AM$67+'TUSD BF'!$AM$67+'TUSD CVA'!$AM$67)*1*(1-0.03)</f>
        <v>307.83530358795292</v>
      </c>
      <c r="AA1017" s="53">
        <f>('TE BE'!$AB$45+'TE BF'!$AB$45+'TE CVA'!$AB$45)*1*(1-0.03)</f>
        <v>290.20513391436589</v>
      </c>
      <c r="AB1017" s="6">
        <f>$K$1017*$V$1017</f>
        <v>0</v>
      </c>
      <c r="AC1017" s="6">
        <f>$M$1017*$W$1017</f>
        <v>2380.0190785999998</v>
      </c>
      <c r="AD1017" s="6">
        <f>$O$1017*$X$1017</f>
        <v>2833.5109865999998</v>
      </c>
      <c r="AE1017" s="6">
        <f>$K$1017*$Y$1017</f>
        <v>0</v>
      </c>
      <c r="AF1017" s="6">
        <f ca="1">$M$1017*$Z$1017</f>
        <v>3329.8544789108869</v>
      </c>
      <c r="AG1017" s="6">
        <f>$O$1017*$AA$1017</f>
        <v>3139.1489335516958</v>
      </c>
    </row>
    <row r="1018" spans="1:33" ht="11.25" customHeight="1" x14ac:dyDescent="0.3">
      <c r="A1018" s="4" t="s">
        <v>21</v>
      </c>
      <c r="B1018" s="4" t="s">
        <v>37</v>
      </c>
      <c r="C1018" s="4" t="s">
        <v>33</v>
      </c>
      <c r="D1018" s="4" t="s">
        <v>50</v>
      </c>
      <c r="E1018" s="4" t="s">
        <v>51</v>
      </c>
      <c r="F1018" s="4" t="s">
        <v>25</v>
      </c>
      <c r="G1018" s="4" t="s">
        <v>25</v>
      </c>
      <c r="H1018" s="4" t="s">
        <v>35</v>
      </c>
      <c r="I1018" s="5">
        <v>44713</v>
      </c>
      <c r="J1018" s="6">
        <v>0</v>
      </c>
      <c r="K1018" s="53">
        <v>0</v>
      </c>
      <c r="L1018" s="6">
        <v>7.1449999999999996</v>
      </c>
      <c r="M1018" s="53">
        <v>7.1449999999999996</v>
      </c>
      <c r="N1018" s="6">
        <v>7.1449999999999996</v>
      </c>
      <c r="O1018" s="53">
        <v>7.1449999999999996</v>
      </c>
      <c r="P1018" s="6">
        <v>0</v>
      </c>
      <c r="Q1018" s="4" t="s">
        <v>26</v>
      </c>
      <c r="R1018" s="4">
        <v>0</v>
      </c>
      <c r="S1018" s="6">
        <v>0</v>
      </c>
      <c r="T1018" s="6">
        <v>69</v>
      </c>
      <c r="U1018" s="6">
        <v>105</v>
      </c>
      <c r="V1018" s="53">
        <f>IF(ISERROR(VLOOKUP($S$1018,'TAR FIN'!$A$1:$O$113,15,0)),0,VLOOKUP($S$1018,'TAR FIN'!$A$1:$O$113,15,0))</f>
        <v>0</v>
      </c>
      <c r="W1018" s="53">
        <f>IF(ISERROR(VLOOKUP($T$1018,'TAR FIN'!$A$1:$O$113,15,0)),0,VLOOKUP($T$1018,'TAR FIN'!$A$1:$O$113,15,0))*(1-0.06)</f>
        <v>220.02579999999998</v>
      </c>
      <c r="X1018" s="53">
        <f>IF(ISERROR(VLOOKUP($U$1018,'TAR FIN'!$A$1:$O$113,15,0)),0,VLOOKUP($U$1018,'TAR FIN'!$A$1:$O$113,15,0))*(1-0.06)</f>
        <v>261.94979999999998</v>
      </c>
      <c r="Y1018" s="53"/>
      <c r="Z1018" s="53">
        <f ca="1">('TUSD BE'!$AM$67+'TUSD BF'!$AM$67+'TUSD CVA'!$AM$67)*1*(1-0.03)</f>
        <v>307.83530358795292</v>
      </c>
      <c r="AA1018" s="53">
        <f>('TE BE'!$AB$45+'TE BF'!$AB$45+'TE CVA'!$AB$45)*1*(1-0.03)</f>
        <v>290.20513391436589</v>
      </c>
      <c r="AB1018" s="6">
        <f>$K$1018*$V$1018</f>
        <v>0</v>
      </c>
      <c r="AC1018" s="6">
        <f>$M$1018*$W$1018</f>
        <v>1572.0843409999998</v>
      </c>
      <c r="AD1018" s="6">
        <f>$O$1018*$X$1018</f>
        <v>1871.6313209999998</v>
      </c>
      <c r="AE1018" s="6">
        <f>$K$1018*$Y$1018</f>
        <v>0</v>
      </c>
      <c r="AF1018" s="6">
        <f ca="1">$M$1018*$Z$1018</f>
        <v>2199.4832441359235</v>
      </c>
      <c r="AG1018" s="6">
        <f>$O$1018*$AA$1018</f>
        <v>2073.515681818144</v>
      </c>
    </row>
    <row r="1019" spans="1:33" ht="11.25" customHeight="1" x14ac:dyDescent="0.3">
      <c r="A1019" s="4" t="s">
        <v>21</v>
      </c>
      <c r="B1019" s="4" t="s">
        <v>37</v>
      </c>
      <c r="C1019" s="4" t="s">
        <v>33</v>
      </c>
      <c r="D1019" s="4" t="s">
        <v>50</v>
      </c>
      <c r="E1019" s="4" t="s">
        <v>51</v>
      </c>
      <c r="F1019" s="4" t="s">
        <v>25</v>
      </c>
      <c r="G1019" s="4" t="s">
        <v>25</v>
      </c>
      <c r="H1019" s="4" t="s">
        <v>35</v>
      </c>
      <c r="I1019" s="5">
        <v>44743</v>
      </c>
      <c r="J1019" s="6">
        <v>0</v>
      </c>
      <c r="K1019" s="53">
        <v>0</v>
      </c>
      <c r="L1019" s="6">
        <v>7.2779999999999996</v>
      </c>
      <c r="M1019" s="53">
        <v>7.2779999999999996</v>
      </c>
      <c r="N1019" s="6">
        <v>7.2779999999999996</v>
      </c>
      <c r="O1019" s="53">
        <v>7.2779999999999996</v>
      </c>
      <c r="P1019" s="6">
        <v>0</v>
      </c>
      <c r="Q1019" s="4" t="s">
        <v>26</v>
      </c>
      <c r="R1019" s="4">
        <v>0</v>
      </c>
      <c r="S1019" s="6">
        <v>0</v>
      </c>
      <c r="T1019" s="6">
        <v>69</v>
      </c>
      <c r="U1019" s="6">
        <v>105</v>
      </c>
      <c r="V1019" s="53">
        <f>IF(ISERROR(VLOOKUP($S$1019,'TAR FIN'!$A$1:$O$113,15,0)),0,VLOOKUP($S$1019,'TAR FIN'!$A$1:$O$113,15,0))</f>
        <v>0</v>
      </c>
      <c r="W1019" s="53">
        <f>IF(ISERROR(VLOOKUP($T$1019,'TAR FIN'!$A$1:$O$113,15,0)),0,VLOOKUP($T$1019,'TAR FIN'!$A$1:$O$113,15,0))*(1-0.06)</f>
        <v>220.02579999999998</v>
      </c>
      <c r="X1019" s="53">
        <f>IF(ISERROR(VLOOKUP($U$1019,'TAR FIN'!$A$1:$O$113,15,0)),0,VLOOKUP($U$1019,'TAR FIN'!$A$1:$O$113,15,0))*(1-0.06)</f>
        <v>261.94979999999998</v>
      </c>
      <c r="Y1019" s="53"/>
      <c r="Z1019" s="53">
        <f ca="1">('TUSD BE'!$AM$67+'TUSD BF'!$AM$67+'TUSD CVA'!$AM$67)*1*(1-0.03)</f>
        <v>307.83530358795292</v>
      </c>
      <c r="AA1019" s="53">
        <f>('TE BE'!$AB$45+'TE BF'!$AB$45+'TE CVA'!$AB$45)*1*(1-0.03)</f>
        <v>290.20513391436589</v>
      </c>
      <c r="AB1019" s="6">
        <f>$K$1019*$V$1019</f>
        <v>0</v>
      </c>
      <c r="AC1019" s="6">
        <f>$M$1019*$W$1019</f>
        <v>1601.3477723999997</v>
      </c>
      <c r="AD1019" s="6">
        <f>$O$1019*$X$1019</f>
        <v>1906.4706443999999</v>
      </c>
      <c r="AE1019" s="6">
        <f>$K$1019*$Y$1019</f>
        <v>0</v>
      </c>
      <c r="AF1019" s="6">
        <f ca="1">$M$1019*$Z$1019</f>
        <v>2240.4253395131213</v>
      </c>
      <c r="AG1019" s="6">
        <f>$O$1019*$AA$1019</f>
        <v>2112.112964628755</v>
      </c>
    </row>
    <row r="1020" spans="1:33" ht="11.25" customHeight="1" x14ac:dyDescent="0.3">
      <c r="A1020" s="4" t="s">
        <v>21</v>
      </c>
      <c r="B1020" s="4" t="s">
        <v>37</v>
      </c>
      <c r="C1020" s="4" t="s">
        <v>33</v>
      </c>
      <c r="D1020" s="4" t="s">
        <v>50</v>
      </c>
      <c r="E1020" s="4" t="s">
        <v>51</v>
      </c>
      <c r="F1020" s="4" t="s">
        <v>25</v>
      </c>
      <c r="G1020" s="4" t="s">
        <v>25</v>
      </c>
      <c r="H1020" s="4" t="s">
        <v>35</v>
      </c>
      <c r="I1020" s="5">
        <v>44774</v>
      </c>
      <c r="J1020" s="6">
        <v>0</v>
      </c>
      <c r="K1020" s="53">
        <v>0</v>
      </c>
      <c r="L1020" s="6">
        <v>8.3040000000000003</v>
      </c>
      <c r="M1020" s="53">
        <v>8.3040000000000003</v>
      </c>
      <c r="N1020" s="6">
        <v>8.3040000000000003</v>
      </c>
      <c r="O1020" s="53">
        <v>8.3040000000000003</v>
      </c>
      <c r="P1020" s="6">
        <v>0</v>
      </c>
      <c r="Q1020" s="4" t="s">
        <v>26</v>
      </c>
      <c r="R1020" s="4">
        <v>0</v>
      </c>
      <c r="S1020" s="6">
        <v>0</v>
      </c>
      <c r="T1020" s="6">
        <v>69</v>
      </c>
      <c r="U1020" s="6">
        <v>105</v>
      </c>
      <c r="V1020" s="53">
        <f>IF(ISERROR(VLOOKUP($S$1020,'TAR FIN'!$A$1:$O$113,15,0)),0,VLOOKUP($S$1020,'TAR FIN'!$A$1:$O$113,15,0))</f>
        <v>0</v>
      </c>
      <c r="W1020" s="53">
        <f>IF(ISERROR(VLOOKUP($T$1020,'TAR FIN'!$A$1:$O$113,15,0)),0,VLOOKUP($T$1020,'TAR FIN'!$A$1:$O$113,15,0))*(1-0.06)</f>
        <v>220.02579999999998</v>
      </c>
      <c r="X1020" s="53">
        <f>IF(ISERROR(VLOOKUP($U$1020,'TAR FIN'!$A$1:$O$113,15,0)),0,VLOOKUP($U$1020,'TAR FIN'!$A$1:$O$113,15,0))*(1-0.06)</f>
        <v>261.94979999999998</v>
      </c>
      <c r="Y1020" s="53"/>
      <c r="Z1020" s="53">
        <f ca="1">('TUSD BE'!$AM$67+'TUSD BF'!$AM$67+'TUSD CVA'!$AM$67)*1*(1-0.03)</f>
        <v>307.83530358795292</v>
      </c>
      <c r="AA1020" s="53">
        <f>('TE BE'!$AB$45+'TE BF'!$AB$45+'TE CVA'!$AB$45)*1*(1-0.03)</f>
        <v>290.20513391436589</v>
      </c>
      <c r="AB1020" s="6">
        <f>$K$1020*$V$1020</f>
        <v>0</v>
      </c>
      <c r="AC1020" s="6">
        <f>$M$1020*$W$1020</f>
        <v>1827.0942431999999</v>
      </c>
      <c r="AD1020" s="6">
        <f>$O$1020*$X$1020</f>
        <v>2175.2311392000001</v>
      </c>
      <c r="AE1020" s="6">
        <f>$K$1020*$Y$1020</f>
        <v>0</v>
      </c>
      <c r="AF1020" s="6">
        <f ca="1">$M$1020*$Z$1020</f>
        <v>2556.2643609943611</v>
      </c>
      <c r="AG1020" s="6">
        <f>$O$1020*$AA$1020</f>
        <v>2409.8634320248943</v>
      </c>
    </row>
    <row r="1021" spans="1:33" ht="11.25" customHeight="1" x14ac:dyDescent="0.3">
      <c r="A1021" s="4" t="s">
        <v>21</v>
      </c>
      <c r="B1021" s="4" t="s">
        <v>37</v>
      </c>
      <c r="C1021" s="4" t="s">
        <v>33</v>
      </c>
      <c r="D1021" s="4" t="s">
        <v>50</v>
      </c>
      <c r="E1021" s="4" t="s">
        <v>51</v>
      </c>
      <c r="F1021" s="4" t="s">
        <v>25</v>
      </c>
      <c r="G1021" s="4" t="s">
        <v>25</v>
      </c>
      <c r="H1021" s="4" t="s">
        <v>35</v>
      </c>
      <c r="I1021" s="5">
        <v>44805</v>
      </c>
      <c r="J1021" s="6">
        <v>0</v>
      </c>
      <c r="K1021" s="53">
        <v>0</v>
      </c>
      <c r="L1021" s="6">
        <v>8.2780000000000005</v>
      </c>
      <c r="M1021" s="53">
        <v>8.2780000000000005</v>
      </c>
      <c r="N1021" s="6">
        <v>8.2780000000000005</v>
      </c>
      <c r="O1021" s="53">
        <v>8.2780000000000005</v>
      </c>
      <c r="P1021" s="6">
        <v>0</v>
      </c>
      <c r="Q1021" s="4" t="s">
        <v>26</v>
      </c>
      <c r="R1021" s="4">
        <v>0</v>
      </c>
      <c r="S1021" s="6">
        <v>0</v>
      </c>
      <c r="T1021" s="6">
        <v>69</v>
      </c>
      <c r="U1021" s="6">
        <v>105</v>
      </c>
      <c r="V1021" s="53">
        <f>IF(ISERROR(VLOOKUP($S$1021,'TAR FIN'!$A$1:$O$113,15,0)),0,VLOOKUP($S$1021,'TAR FIN'!$A$1:$O$113,15,0))</f>
        <v>0</v>
      </c>
      <c r="W1021" s="53">
        <f>IF(ISERROR(VLOOKUP($T$1021,'TAR FIN'!$A$1:$O$113,15,0)),0,VLOOKUP($T$1021,'TAR FIN'!$A$1:$O$113,15,0))*(1-0.06)</f>
        <v>220.02579999999998</v>
      </c>
      <c r="X1021" s="53">
        <f>IF(ISERROR(VLOOKUP($U$1021,'TAR FIN'!$A$1:$O$113,15,0)),0,VLOOKUP($U$1021,'TAR FIN'!$A$1:$O$113,15,0))*(1-0.06)</f>
        <v>261.94979999999998</v>
      </c>
      <c r="Y1021" s="53"/>
      <c r="Z1021" s="53">
        <f ca="1">('TUSD BE'!$AM$67+'TUSD BF'!$AM$67+'TUSD CVA'!$AM$67)*1*(1-0.03)</f>
        <v>307.83530358795292</v>
      </c>
      <c r="AA1021" s="53">
        <f>('TE BE'!$AB$45+'TE BF'!$AB$45+'TE CVA'!$AB$45)*1*(1-0.03)</f>
        <v>290.20513391436589</v>
      </c>
      <c r="AB1021" s="6">
        <f>$K$1021*$V$1021</f>
        <v>0</v>
      </c>
      <c r="AC1021" s="6">
        <f>$M$1021*$W$1021</f>
        <v>1821.3735723999998</v>
      </c>
      <c r="AD1021" s="6">
        <f>$O$1021*$X$1021</f>
        <v>2168.4204444000002</v>
      </c>
      <c r="AE1021" s="6">
        <f>$K$1021*$Y$1021</f>
        <v>0</v>
      </c>
      <c r="AF1021" s="6">
        <f ca="1">$M$1021*$Z$1021</f>
        <v>2548.2606431010745</v>
      </c>
      <c r="AG1021" s="6">
        <f>$O$1021*$AA$1021</f>
        <v>2402.3180985431209</v>
      </c>
    </row>
    <row r="1022" spans="1:33" ht="11.25" customHeight="1" x14ac:dyDescent="0.3">
      <c r="A1022" s="4" t="s">
        <v>53</v>
      </c>
      <c r="B1022" s="4" t="s">
        <v>37</v>
      </c>
      <c r="C1022" s="4" t="s">
        <v>33</v>
      </c>
      <c r="D1022" s="4" t="s">
        <v>50</v>
      </c>
      <c r="E1022" s="4" t="s">
        <v>51</v>
      </c>
      <c r="F1022" s="4" t="s">
        <v>25</v>
      </c>
      <c r="G1022" s="4" t="s">
        <v>25</v>
      </c>
      <c r="H1022" s="4" t="s">
        <v>35</v>
      </c>
      <c r="I1022" s="5">
        <v>44835</v>
      </c>
      <c r="J1022" s="6">
        <v>0</v>
      </c>
      <c r="K1022" s="53">
        <v>0</v>
      </c>
      <c r="L1022" s="6">
        <v>8.2780000000000005</v>
      </c>
      <c r="M1022" s="53">
        <v>8.2780000000000005</v>
      </c>
      <c r="N1022" s="6">
        <v>8.2780000000000005</v>
      </c>
      <c r="O1022" s="53">
        <v>8.2780000000000005</v>
      </c>
      <c r="P1022" s="6">
        <v>0</v>
      </c>
      <c r="Q1022" s="4" t="s">
        <v>26</v>
      </c>
      <c r="R1022" s="4">
        <v>0</v>
      </c>
      <c r="S1022" s="6">
        <v>0</v>
      </c>
      <c r="T1022" s="6">
        <v>69</v>
      </c>
      <c r="U1022" s="6">
        <v>105</v>
      </c>
      <c r="V1022" s="53">
        <f>IF(ISERROR(VLOOKUP($S$1022,'TAR FIN'!$A$1:$O$113,15,0)),0,VLOOKUP($S$1022,'TAR FIN'!$A$1:$O$113,15,0))</f>
        <v>0</v>
      </c>
      <c r="W1022" s="53">
        <f>IF(ISERROR(VLOOKUP($T$1022,'TAR FIN'!$A$1:$O$113,15,0)),0,VLOOKUP($T$1022,'TAR FIN'!$A$1:$O$113,15,0))*(1-0.06)</f>
        <v>220.02579999999998</v>
      </c>
      <c r="X1022" s="53">
        <f>IF(ISERROR(VLOOKUP($U$1022,'TAR FIN'!$A$1:$O$113,15,0)),0,VLOOKUP($U$1022,'TAR FIN'!$A$1:$O$113,15,0))*(1-0.06)</f>
        <v>261.94979999999998</v>
      </c>
      <c r="Y1022" s="53"/>
      <c r="Z1022" s="53">
        <f ca="1">('TUSD BE'!$AM$67+'TUSD BF'!$AM$67+'TUSD CVA'!$AM$67)*1*(1-0.03)</f>
        <v>307.83530358795292</v>
      </c>
      <c r="AA1022" s="53">
        <f>('TE BE'!$AB$45+'TE BF'!$AB$45+'TE CVA'!$AB$45)*1*(1-0.03)</f>
        <v>290.20513391436589</v>
      </c>
      <c r="AB1022" s="6">
        <f>$K$1022*$V$1022</f>
        <v>0</v>
      </c>
      <c r="AC1022" s="6">
        <f>$M$1022*$W$1022</f>
        <v>1821.3735723999998</v>
      </c>
      <c r="AD1022" s="6">
        <f>$O$1022*$X$1022</f>
        <v>2168.4204444000002</v>
      </c>
      <c r="AE1022" s="6">
        <f>$K$1022*$Y$1022</f>
        <v>0</v>
      </c>
      <c r="AF1022" s="6">
        <f ca="1">$M$1022*$Z$1022</f>
        <v>2548.2606431010745</v>
      </c>
      <c r="AG1022" s="6">
        <f>$O$1022*$AA$1022</f>
        <v>2402.3180985431209</v>
      </c>
    </row>
    <row r="1023" spans="1:33" ht="11.25" customHeight="1" x14ac:dyDescent="0.3">
      <c r="A1023" s="4" t="s">
        <v>21</v>
      </c>
      <c r="B1023" s="4" t="s">
        <v>37</v>
      </c>
      <c r="C1023" s="4" t="s">
        <v>33</v>
      </c>
      <c r="D1023" s="4" t="s">
        <v>50</v>
      </c>
      <c r="E1023" s="4" t="s">
        <v>51</v>
      </c>
      <c r="F1023" s="4" t="s">
        <v>25</v>
      </c>
      <c r="G1023" s="4" t="s">
        <v>25</v>
      </c>
      <c r="H1023" s="4" t="s">
        <v>36</v>
      </c>
      <c r="I1023" s="5">
        <v>44682</v>
      </c>
      <c r="J1023" s="6">
        <v>0</v>
      </c>
      <c r="K1023" s="53">
        <v>0</v>
      </c>
      <c r="L1023" s="6">
        <v>0.219</v>
      </c>
      <c r="M1023" s="53">
        <v>0.219</v>
      </c>
      <c r="N1023" s="6">
        <v>0.219</v>
      </c>
      <c r="O1023" s="53">
        <v>0.219</v>
      </c>
      <c r="P1023" s="6">
        <v>0</v>
      </c>
      <c r="Q1023" s="4" t="s">
        <v>26</v>
      </c>
      <c r="R1023" s="4">
        <v>0</v>
      </c>
      <c r="S1023" s="6">
        <v>0</v>
      </c>
      <c r="T1023" s="6">
        <v>82</v>
      </c>
      <c r="U1023" s="6">
        <v>110</v>
      </c>
      <c r="V1023" s="53">
        <f>IF(ISERROR(VLOOKUP($S$1023,'TAR FIN'!$A$1:$O$113,15,0)),0,VLOOKUP($S$1023,'TAR FIN'!$A$1:$O$113,15,0))</f>
        <v>0</v>
      </c>
      <c r="W1023" s="53">
        <f>IF(ISERROR(VLOOKUP($T$1023,'TAR FIN'!$A$1:$O$113,15,0)),0,VLOOKUP($T$1023,'TAR FIN'!$A$1:$O$113,15,0))*(1-0.06)</f>
        <v>461.70919999999995</v>
      </c>
      <c r="X1023" s="53">
        <f>IF(ISERROR(VLOOKUP($U$1023,'TAR FIN'!$A$1:$O$113,15,0)),0,VLOOKUP($U$1023,'TAR FIN'!$A$1:$O$113,15,0))*(1-0.06)</f>
        <v>261.94979999999998</v>
      </c>
      <c r="Y1023" s="53"/>
      <c r="Z1023" s="53">
        <f ca="1">('TUSD BE'!$AM$66+'TUSD BF'!$AM$66+'TUSD CVA'!$AM$66)*1*(1-0.03)</f>
        <v>593.77289416677547</v>
      </c>
      <c r="AA1023" s="53">
        <f>('TE BE'!$AB$44+'TE BF'!$AB$44+'TE CVA'!$AB$44)*1*(1-0.03)</f>
        <v>290.20513391436589</v>
      </c>
      <c r="AB1023" s="6">
        <f>$K$1023*$V$1023</f>
        <v>0</v>
      </c>
      <c r="AC1023" s="6">
        <f>$M$1023*$W$1023</f>
        <v>101.11431479999999</v>
      </c>
      <c r="AD1023" s="6">
        <f>$O$1023*$X$1023</f>
        <v>57.367006199999999</v>
      </c>
      <c r="AE1023" s="6">
        <f>$K$1023*$Y$1023</f>
        <v>0</v>
      </c>
      <c r="AF1023" s="6">
        <f ca="1">$M$1023*$Z$1023</f>
        <v>130.03626382252384</v>
      </c>
      <c r="AG1023" s="6">
        <f>$O$1023*$AA$1023</f>
        <v>63.554924327246127</v>
      </c>
    </row>
    <row r="1024" spans="1:33" ht="11.25" customHeight="1" x14ac:dyDescent="0.3">
      <c r="A1024" s="4" t="s">
        <v>21</v>
      </c>
      <c r="B1024" s="4" t="s">
        <v>37</v>
      </c>
      <c r="C1024" s="4" t="s">
        <v>33</v>
      </c>
      <c r="D1024" s="4" t="s">
        <v>50</v>
      </c>
      <c r="E1024" s="4" t="s">
        <v>51</v>
      </c>
      <c r="F1024" s="4" t="s">
        <v>25</v>
      </c>
      <c r="G1024" s="4" t="s">
        <v>25</v>
      </c>
      <c r="H1024" s="4" t="s">
        <v>36</v>
      </c>
      <c r="I1024" s="5">
        <v>44713</v>
      </c>
      <c r="J1024" s="6">
        <v>0</v>
      </c>
      <c r="K1024" s="53">
        <v>0</v>
      </c>
      <c r="L1024" s="6">
        <v>5.2999999999999999E-2</v>
      </c>
      <c r="M1024" s="53">
        <v>5.2999999999999999E-2</v>
      </c>
      <c r="N1024" s="6">
        <v>5.2999999999999999E-2</v>
      </c>
      <c r="O1024" s="53">
        <v>5.2999999999999999E-2</v>
      </c>
      <c r="P1024" s="6">
        <v>0</v>
      </c>
      <c r="Q1024" s="4" t="s">
        <v>26</v>
      </c>
      <c r="R1024" s="4">
        <v>0</v>
      </c>
      <c r="S1024" s="6">
        <v>0</v>
      </c>
      <c r="T1024" s="6">
        <v>82</v>
      </c>
      <c r="U1024" s="6">
        <v>110</v>
      </c>
      <c r="V1024" s="53">
        <f>IF(ISERROR(VLOOKUP($S$1024,'TAR FIN'!$A$1:$O$113,15,0)),0,VLOOKUP($S$1024,'TAR FIN'!$A$1:$O$113,15,0))</f>
        <v>0</v>
      </c>
      <c r="W1024" s="53">
        <f>IF(ISERROR(VLOOKUP($T$1024,'TAR FIN'!$A$1:$O$113,15,0)),0,VLOOKUP($T$1024,'TAR FIN'!$A$1:$O$113,15,0))*(1-0.06)</f>
        <v>461.70919999999995</v>
      </c>
      <c r="X1024" s="53">
        <f>IF(ISERROR(VLOOKUP($U$1024,'TAR FIN'!$A$1:$O$113,15,0)),0,VLOOKUP($U$1024,'TAR FIN'!$A$1:$O$113,15,0))*(1-0.06)</f>
        <v>261.94979999999998</v>
      </c>
      <c r="Y1024" s="53"/>
      <c r="Z1024" s="53">
        <f ca="1">('TUSD BE'!$AM$66+'TUSD BF'!$AM$66+'TUSD CVA'!$AM$66)*1*(1-0.03)</f>
        <v>593.77289416677547</v>
      </c>
      <c r="AA1024" s="53">
        <f>('TE BE'!$AB$44+'TE BF'!$AB$44+'TE CVA'!$AB$44)*1*(1-0.03)</f>
        <v>290.20513391436589</v>
      </c>
      <c r="AB1024" s="6">
        <f>$K$1024*$V$1024</f>
        <v>0</v>
      </c>
      <c r="AC1024" s="6">
        <f>$M$1024*$W$1024</f>
        <v>24.470587599999998</v>
      </c>
      <c r="AD1024" s="6">
        <f>$O$1024*$X$1024</f>
        <v>13.883339399999999</v>
      </c>
      <c r="AE1024" s="6">
        <f>$K$1024*$Y$1024</f>
        <v>0</v>
      </c>
      <c r="AF1024" s="6">
        <f ca="1">$M$1024*$Z$1024</f>
        <v>31.469963390839098</v>
      </c>
      <c r="AG1024" s="6">
        <f>$O$1024*$AA$1024</f>
        <v>15.380872097461392</v>
      </c>
    </row>
    <row r="1025" spans="1:33" ht="11.25" customHeight="1" x14ac:dyDescent="0.3">
      <c r="A1025" s="4" t="s">
        <v>21</v>
      </c>
      <c r="B1025" s="4" t="s">
        <v>37</v>
      </c>
      <c r="C1025" s="4" t="s">
        <v>33</v>
      </c>
      <c r="D1025" s="4" t="s">
        <v>50</v>
      </c>
      <c r="E1025" s="4" t="s">
        <v>51</v>
      </c>
      <c r="F1025" s="4" t="s">
        <v>25</v>
      </c>
      <c r="G1025" s="4" t="s">
        <v>25</v>
      </c>
      <c r="H1025" s="4" t="s">
        <v>36</v>
      </c>
      <c r="I1025" s="5">
        <v>44743</v>
      </c>
      <c r="J1025" s="6">
        <v>0</v>
      </c>
      <c r="K1025" s="53">
        <v>0</v>
      </c>
      <c r="L1025" s="6">
        <v>1.7000000000000001E-2</v>
      </c>
      <c r="M1025" s="53">
        <v>1.7000000000000001E-2</v>
      </c>
      <c r="N1025" s="6">
        <v>1.7000000000000001E-2</v>
      </c>
      <c r="O1025" s="53">
        <v>1.7000000000000001E-2</v>
      </c>
      <c r="P1025" s="6">
        <v>0</v>
      </c>
      <c r="Q1025" s="4" t="s">
        <v>26</v>
      </c>
      <c r="R1025" s="4">
        <v>0</v>
      </c>
      <c r="S1025" s="6">
        <v>0</v>
      </c>
      <c r="T1025" s="6">
        <v>82</v>
      </c>
      <c r="U1025" s="6">
        <v>110</v>
      </c>
      <c r="V1025" s="53">
        <f>IF(ISERROR(VLOOKUP($S$1025,'TAR FIN'!$A$1:$O$113,15,0)),0,VLOOKUP($S$1025,'TAR FIN'!$A$1:$O$113,15,0))</f>
        <v>0</v>
      </c>
      <c r="W1025" s="53">
        <f>IF(ISERROR(VLOOKUP($T$1025,'TAR FIN'!$A$1:$O$113,15,0)),0,VLOOKUP($T$1025,'TAR FIN'!$A$1:$O$113,15,0))*(1-0.06)</f>
        <v>461.70919999999995</v>
      </c>
      <c r="X1025" s="53">
        <f>IF(ISERROR(VLOOKUP($U$1025,'TAR FIN'!$A$1:$O$113,15,0)),0,VLOOKUP($U$1025,'TAR FIN'!$A$1:$O$113,15,0))*(1-0.06)</f>
        <v>261.94979999999998</v>
      </c>
      <c r="Y1025" s="53"/>
      <c r="Z1025" s="53">
        <f ca="1">('TUSD BE'!$AM$66+'TUSD BF'!$AM$66+'TUSD CVA'!$AM$66)*1*(1-0.03)</f>
        <v>593.77289416677547</v>
      </c>
      <c r="AA1025" s="53">
        <f>('TE BE'!$AB$44+'TE BF'!$AB$44+'TE CVA'!$AB$44)*1*(1-0.03)</f>
        <v>290.20513391436589</v>
      </c>
      <c r="AB1025" s="6">
        <f>$K$1025*$V$1025</f>
        <v>0</v>
      </c>
      <c r="AC1025" s="6">
        <f>$M$1025*$W$1025</f>
        <v>7.8490563999999994</v>
      </c>
      <c r="AD1025" s="6">
        <f>$O$1025*$X$1025</f>
        <v>4.4531466000000002</v>
      </c>
      <c r="AE1025" s="6">
        <f>$K$1025*$Y$1025</f>
        <v>0</v>
      </c>
      <c r="AF1025" s="6">
        <f ca="1">$M$1025*$Z$1025</f>
        <v>10.094139200835183</v>
      </c>
      <c r="AG1025" s="6">
        <f>$O$1025*$AA$1025</f>
        <v>4.9334872765442208</v>
      </c>
    </row>
    <row r="1026" spans="1:33" ht="11.25" customHeight="1" x14ac:dyDescent="0.3">
      <c r="A1026" s="4" t="s">
        <v>21</v>
      </c>
      <c r="B1026" s="4" t="s">
        <v>37</v>
      </c>
      <c r="C1026" s="4" t="s">
        <v>33</v>
      </c>
      <c r="D1026" s="4" t="s">
        <v>50</v>
      </c>
      <c r="E1026" s="4" t="s">
        <v>51</v>
      </c>
      <c r="F1026" s="4" t="s">
        <v>25</v>
      </c>
      <c r="G1026" s="4" t="s">
        <v>25</v>
      </c>
      <c r="H1026" s="4" t="s">
        <v>36</v>
      </c>
      <c r="I1026" s="5">
        <v>44774</v>
      </c>
      <c r="J1026" s="6">
        <v>0</v>
      </c>
      <c r="K1026" s="53">
        <v>0</v>
      </c>
      <c r="L1026" s="6">
        <v>0.02</v>
      </c>
      <c r="M1026" s="53">
        <v>0.02</v>
      </c>
      <c r="N1026" s="6">
        <v>0.02</v>
      </c>
      <c r="O1026" s="53">
        <v>0.02</v>
      </c>
      <c r="P1026" s="6">
        <v>0</v>
      </c>
      <c r="Q1026" s="4" t="s">
        <v>26</v>
      </c>
      <c r="R1026" s="4">
        <v>0</v>
      </c>
      <c r="S1026" s="6">
        <v>0</v>
      </c>
      <c r="T1026" s="6">
        <v>82</v>
      </c>
      <c r="U1026" s="6">
        <v>110</v>
      </c>
      <c r="V1026" s="53">
        <f>IF(ISERROR(VLOOKUP($S$1026,'TAR FIN'!$A$1:$O$113,15,0)),0,VLOOKUP($S$1026,'TAR FIN'!$A$1:$O$113,15,0))</f>
        <v>0</v>
      </c>
      <c r="W1026" s="53">
        <f>IF(ISERROR(VLOOKUP($T$1026,'TAR FIN'!$A$1:$O$113,15,0)),0,VLOOKUP($T$1026,'TAR FIN'!$A$1:$O$113,15,0))*(1-0.06)</f>
        <v>461.70919999999995</v>
      </c>
      <c r="X1026" s="53">
        <f>IF(ISERROR(VLOOKUP($U$1026,'TAR FIN'!$A$1:$O$113,15,0)),0,VLOOKUP($U$1026,'TAR FIN'!$A$1:$O$113,15,0))*(1-0.06)</f>
        <v>261.94979999999998</v>
      </c>
      <c r="Y1026" s="53"/>
      <c r="Z1026" s="53">
        <f ca="1">('TUSD BE'!$AM$66+'TUSD BF'!$AM$66+'TUSD CVA'!$AM$66)*1*(1-0.03)</f>
        <v>593.77289416677547</v>
      </c>
      <c r="AA1026" s="53">
        <f>('TE BE'!$AB$44+'TE BF'!$AB$44+'TE CVA'!$AB$44)*1*(1-0.03)</f>
        <v>290.20513391436589</v>
      </c>
      <c r="AB1026" s="6">
        <f>$K$1026*$V$1026</f>
        <v>0</v>
      </c>
      <c r="AC1026" s="6">
        <f>$M$1026*$W$1026</f>
        <v>9.2341839999999991</v>
      </c>
      <c r="AD1026" s="6">
        <f>$O$1026*$X$1026</f>
        <v>5.2389959999999993</v>
      </c>
      <c r="AE1026" s="6">
        <f>$K$1026*$Y$1026</f>
        <v>0</v>
      </c>
      <c r="AF1026" s="6">
        <f ca="1">$M$1026*$Z$1026</f>
        <v>11.87545788333551</v>
      </c>
      <c r="AG1026" s="6">
        <f>$O$1026*$AA$1026</f>
        <v>5.8041026782873182</v>
      </c>
    </row>
    <row r="1027" spans="1:33" ht="11.25" customHeight="1" x14ac:dyDescent="0.3">
      <c r="A1027" s="4" t="s">
        <v>21</v>
      </c>
      <c r="B1027" s="4" t="s">
        <v>37</v>
      </c>
      <c r="C1027" s="4" t="s">
        <v>33</v>
      </c>
      <c r="D1027" s="4" t="s">
        <v>50</v>
      </c>
      <c r="E1027" s="4" t="s">
        <v>51</v>
      </c>
      <c r="F1027" s="4" t="s">
        <v>25</v>
      </c>
      <c r="G1027" s="4" t="s">
        <v>25</v>
      </c>
      <c r="H1027" s="4" t="s">
        <v>36</v>
      </c>
      <c r="I1027" s="5">
        <v>44805</v>
      </c>
      <c r="J1027" s="6">
        <v>0</v>
      </c>
      <c r="K1027" s="53">
        <v>0</v>
      </c>
      <c r="L1027" s="6">
        <v>2.1999999999999999E-2</v>
      </c>
      <c r="M1027" s="53">
        <v>2.1999999999999999E-2</v>
      </c>
      <c r="N1027" s="6">
        <v>2.1999999999999999E-2</v>
      </c>
      <c r="O1027" s="53">
        <v>2.1999999999999999E-2</v>
      </c>
      <c r="P1027" s="6">
        <v>0</v>
      </c>
      <c r="Q1027" s="4" t="s">
        <v>26</v>
      </c>
      <c r="R1027" s="4">
        <v>0</v>
      </c>
      <c r="S1027" s="6">
        <v>0</v>
      </c>
      <c r="T1027" s="6">
        <v>82</v>
      </c>
      <c r="U1027" s="6">
        <v>110</v>
      </c>
      <c r="V1027" s="53">
        <f>IF(ISERROR(VLOOKUP($S$1027,'TAR FIN'!$A$1:$O$113,15,0)),0,VLOOKUP($S$1027,'TAR FIN'!$A$1:$O$113,15,0))</f>
        <v>0</v>
      </c>
      <c r="W1027" s="53">
        <f>IF(ISERROR(VLOOKUP($T$1027,'TAR FIN'!$A$1:$O$113,15,0)),0,VLOOKUP($T$1027,'TAR FIN'!$A$1:$O$113,15,0))*(1-0.06)</f>
        <v>461.70919999999995</v>
      </c>
      <c r="X1027" s="53">
        <f>IF(ISERROR(VLOOKUP($U$1027,'TAR FIN'!$A$1:$O$113,15,0)),0,VLOOKUP($U$1027,'TAR FIN'!$A$1:$O$113,15,0))*(1-0.06)</f>
        <v>261.94979999999998</v>
      </c>
      <c r="Y1027" s="53"/>
      <c r="Z1027" s="53">
        <f ca="1">('TUSD BE'!$AM$66+'TUSD BF'!$AM$66+'TUSD CVA'!$AM$66)*1*(1-0.03)</f>
        <v>593.77289416677547</v>
      </c>
      <c r="AA1027" s="53">
        <f>('TE BE'!$AB$44+'TE BF'!$AB$44+'TE CVA'!$AB$44)*1*(1-0.03)</f>
        <v>290.20513391436589</v>
      </c>
      <c r="AB1027" s="6">
        <f>$K$1027*$V$1027</f>
        <v>0</v>
      </c>
      <c r="AC1027" s="6">
        <f>$M$1027*$W$1027</f>
        <v>10.157602399999998</v>
      </c>
      <c r="AD1027" s="6">
        <f>$O$1027*$X$1027</f>
        <v>5.7628955999999993</v>
      </c>
      <c r="AE1027" s="6">
        <f>$K$1027*$Y$1027</f>
        <v>0</v>
      </c>
      <c r="AF1027" s="6">
        <f ca="1">$M$1027*$Z$1027</f>
        <v>13.06300367166906</v>
      </c>
      <c r="AG1027" s="6">
        <f>$O$1027*$AA$1027</f>
        <v>6.3845129461160495</v>
      </c>
    </row>
    <row r="1028" spans="1:33" ht="11.25" customHeight="1" x14ac:dyDescent="0.3">
      <c r="A1028" s="4" t="s">
        <v>53</v>
      </c>
      <c r="B1028" s="4" t="s">
        <v>37</v>
      </c>
      <c r="C1028" s="4" t="s">
        <v>33</v>
      </c>
      <c r="D1028" s="4" t="s">
        <v>50</v>
      </c>
      <c r="E1028" s="4" t="s">
        <v>51</v>
      </c>
      <c r="F1028" s="4" t="s">
        <v>25</v>
      </c>
      <c r="G1028" s="4" t="s">
        <v>25</v>
      </c>
      <c r="H1028" s="4" t="s">
        <v>36</v>
      </c>
      <c r="I1028" s="5">
        <v>44835</v>
      </c>
      <c r="J1028" s="6">
        <v>0</v>
      </c>
      <c r="K1028" s="53">
        <v>0</v>
      </c>
      <c r="L1028" s="6">
        <v>2.1999999999999999E-2</v>
      </c>
      <c r="M1028" s="53">
        <v>2.1999999999999999E-2</v>
      </c>
      <c r="N1028" s="6">
        <v>2.1999999999999999E-2</v>
      </c>
      <c r="O1028" s="53">
        <v>2.1999999999999999E-2</v>
      </c>
      <c r="P1028" s="6">
        <v>0</v>
      </c>
      <c r="Q1028" s="4" t="s">
        <v>26</v>
      </c>
      <c r="R1028" s="4">
        <v>0</v>
      </c>
      <c r="S1028" s="6">
        <v>0</v>
      </c>
      <c r="T1028" s="6">
        <v>82</v>
      </c>
      <c r="U1028" s="6">
        <v>110</v>
      </c>
      <c r="V1028" s="53">
        <f>IF(ISERROR(VLOOKUP($S$1028,'TAR FIN'!$A$1:$O$113,15,0)),0,VLOOKUP($S$1028,'TAR FIN'!$A$1:$O$113,15,0))</f>
        <v>0</v>
      </c>
      <c r="W1028" s="53">
        <f>IF(ISERROR(VLOOKUP($T$1028,'TAR FIN'!$A$1:$O$113,15,0)),0,VLOOKUP($T$1028,'TAR FIN'!$A$1:$O$113,15,0))*(1-0.06)</f>
        <v>461.70919999999995</v>
      </c>
      <c r="X1028" s="53">
        <f>IF(ISERROR(VLOOKUP($U$1028,'TAR FIN'!$A$1:$O$113,15,0)),0,VLOOKUP($U$1028,'TAR FIN'!$A$1:$O$113,15,0))*(1-0.06)</f>
        <v>261.94979999999998</v>
      </c>
      <c r="Y1028" s="53"/>
      <c r="Z1028" s="53">
        <f ca="1">('TUSD BE'!$AM$66+'TUSD BF'!$AM$66+'TUSD CVA'!$AM$66)*1*(1-0.03)</f>
        <v>593.77289416677547</v>
      </c>
      <c r="AA1028" s="53">
        <f>('TE BE'!$AB$44+'TE BF'!$AB$44+'TE CVA'!$AB$44)*1*(1-0.03)</f>
        <v>290.20513391436589</v>
      </c>
      <c r="AB1028" s="6">
        <f>$K$1028*$V$1028</f>
        <v>0</v>
      </c>
      <c r="AC1028" s="6">
        <f>$M$1028*$W$1028</f>
        <v>10.157602399999998</v>
      </c>
      <c r="AD1028" s="6">
        <f>$O$1028*$X$1028</f>
        <v>5.7628955999999993</v>
      </c>
      <c r="AE1028" s="6">
        <f>$K$1028*$Y$1028</f>
        <v>0</v>
      </c>
      <c r="AF1028" s="6">
        <f ca="1">$M$1028*$Z$1028</f>
        <v>13.06300367166906</v>
      </c>
      <c r="AG1028" s="6">
        <f>$O$1028*$AA$1028</f>
        <v>6.3845129461160495</v>
      </c>
    </row>
    <row r="1029" spans="1:33" ht="11.25" customHeight="1" x14ac:dyDescent="0.3">
      <c r="A1029" s="4" t="s">
        <v>21</v>
      </c>
      <c r="B1029" s="4" t="s">
        <v>37</v>
      </c>
      <c r="C1029" s="4" t="s">
        <v>33</v>
      </c>
      <c r="D1029" s="4" t="s">
        <v>50</v>
      </c>
      <c r="E1029" s="4" t="s">
        <v>51</v>
      </c>
      <c r="F1029" s="4" t="s">
        <v>25</v>
      </c>
      <c r="G1029" s="4" t="s">
        <v>25</v>
      </c>
      <c r="H1029" s="4" t="s">
        <v>34</v>
      </c>
      <c r="I1029" s="5">
        <v>44682</v>
      </c>
      <c r="J1029" s="6">
        <v>0</v>
      </c>
      <c r="K1029" s="53">
        <v>0</v>
      </c>
      <c r="L1029" s="6">
        <v>0.35699999999999998</v>
      </c>
      <c r="M1029" s="53">
        <v>0.35699999999999998</v>
      </c>
      <c r="N1029" s="6">
        <v>0.35699999999999998</v>
      </c>
      <c r="O1029" s="53">
        <v>0.35699999999999998</v>
      </c>
      <c r="P1029" s="6">
        <v>0</v>
      </c>
      <c r="Q1029" s="4" t="s">
        <v>26</v>
      </c>
      <c r="R1029" s="4">
        <v>0</v>
      </c>
      <c r="S1029" s="6">
        <v>0</v>
      </c>
      <c r="T1029" s="6">
        <v>83</v>
      </c>
      <c r="U1029" s="6">
        <v>106</v>
      </c>
      <c r="V1029" s="53">
        <f>IF(ISERROR(VLOOKUP($S$1029,'TAR FIN'!$A$1:$O$113,15,0)),0,VLOOKUP($S$1029,'TAR FIN'!$A$1:$O$113,15,0))</f>
        <v>0</v>
      </c>
      <c r="W1029" s="53">
        <f>IF(ISERROR(VLOOKUP($T$1029,'TAR FIN'!$A$1:$O$113,15,0)),0,VLOOKUP($T$1029,'TAR FIN'!$A$1:$O$113,15,0))*(1-0.06)</f>
        <v>703.3925999999999</v>
      </c>
      <c r="X1029" s="53">
        <f>IF(ISERROR(VLOOKUP($U$1029,'TAR FIN'!$A$1:$O$113,15,0)),0,VLOOKUP($U$1029,'TAR FIN'!$A$1:$O$113,15,0))*(1-0.06)</f>
        <v>416.28839999999997</v>
      </c>
      <c r="Y1029" s="53"/>
      <c r="Z1029" s="53">
        <f ca="1">('TUSD BE'!$AM$65+'TUSD BF'!$AM$65+'TUSD CVA'!$AM$65)*1*(1-0.03)</f>
        <v>879.71076089743769</v>
      </c>
      <c r="AA1029" s="53">
        <f>('TE BE'!$AB$43+'TE BF'!$AB$43+'TE CVA'!$AB$43)*1*(1-0.03)</f>
        <v>471.84300153620904</v>
      </c>
      <c r="AB1029" s="6">
        <f>$K$1029*$V$1029</f>
        <v>0</v>
      </c>
      <c r="AC1029" s="6">
        <f>$M$1029*$W$1029</f>
        <v>251.11115819999995</v>
      </c>
      <c r="AD1029" s="6">
        <f>$O$1029*$X$1029</f>
        <v>148.61495879999998</v>
      </c>
      <c r="AE1029" s="6">
        <f>$K$1029*$Y$1029</f>
        <v>0</v>
      </c>
      <c r="AF1029" s="6">
        <f ca="1">$M$1029*$Z$1029</f>
        <v>314.05674164038527</v>
      </c>
      <c r="AG1029" s="6">
        <f>$O$1029*$AA$1029</f>
        <v>168.44795154842663</v>
      </c>
    </row>
    <row r="1030" spans="1:33" ht="11.25" customHeight="1" x14ac:dyDescent="0.3">
      <c r="A1030" s="4" t="s">
        <v>21</v>
      </c>
      <c r="B1030" s="4" t="s">
        <v>37</v>
      </c>
      <c r="C1030" s="4" t="s">
        <v>33</v>
      </c>
      <c r="D1030" s="4" t="s">
        <v>50</v>
      </c>
      <c r="E1030" s="4" t="s">
        <v>51</v>
      </c>
      <c r="F1030" s="4" t="s">
        <v>25</v>
      </c>
      <c r="G1030" s="4" t="s">
        <v>25</v>
      </c>
      <c r="H1030" s="4" t="s">
        <v>34</v>
      </c>
      <c r="I1030" s="5">
        <v>44713</v>
      </c>
      <c r="J1030" s="6">
        <v>0</v>
      </c>
      <c r="K1030" s="53">
        <v>0</v>
      </c>
      <c r="L1030" s="6">
        <v>1.7000000000000001E-2</v>
      </c>
      <c r="M1030" s="53">
        <v>1.7000000000000001E-2</v>
      </c>
      <c r="N1030" s="6">
        <v>1.7000000000000001E-2</v>
      </c>
      <c r="O1030" s="53">
        <v>1.7000000000000001E-2</v>
      </c>
      <c r="P1030" s="6">
        <v>0</v>
      </c>
      <c r="Q1030" s="4" t="s">
        <v>26</v>
      </c>
      <c r="R1030" s="4">
        <v>0</v>
      </c>
      <c r="S1030" s="6">
        <v>0</v>
      </c>
      <c r="T1030" s="6">
        <v>83</v>
      </c>
      <c r="U1030" s="6">
        <v>106</v>
      </c>
      <c r="V1030" s="53">
        <f>IF(ISERROR(VLOOKUP($S$1030,'TAR FIN'!$A$1:$O$113,15,0)),0,VLOOKUP($S$1030,'TAR FIN'!$A$1:$O$113,15,0))</f>
        <v>0</v>
      </c>
      <c r="W1030" s="53">
        <f>IF(ISERROR(VLOOKUP($T$1030,'TAR FIN'!$A$1:$O$113,15,0)),0,VLOOKUP($T$1030,'TAR FIN'!$A$1:$O$113,15,0))*(1-0.06)</f>
        <v>703.3925999999999</v>
      </c>
      <c r="X1030" s="53">
        <f>IF(ISERROR(VLOOKUP($U$1030,'TAR FIN'!$A$1:$O$113,15,0)),0,VLOOKUP($U$1030,'TAR FIN'!$A$1:$O$113,15,0))*(1-0.06)</f>
        <v>416.28839999999997</v>
      </c>
      <c r="Y1030" s="53"/>
      <c r="Z1030" s="53">
        <f ca="1">('TUSD BE'!$AM$65+'TUSD BF'!$AM$65+'TUSD CVA'!$AM$65)*1*(1-0.03)</f>
        <v>879.71076089743769</v>
      </c>
      <c r="AA1030" s="53">
        <f>('TE BE'!$AB$43+'TE BF'!$AB$43+'TE CVA'!$AB$43)*1*(1-0.03)</f>
        <v>471.84300153620904</v>
      </c>
      <c r="AB1030" s="6">
        <f>$K$1030*$V$1030</f>
        <v>0</v>
      </c>
      <c r="AC1030" s="6">
        <f>$M$1030*$W$1030</f>
        <v>11.9576742</v>
      </c>
      <c r="AD1030" s="6">
        <f>$O$1030*$X$1030</f>
        <v>7.0769028</v>
      </c>
      <c r="AE1030" s="6">
        <f>$K$1030*$Y$1030</f>
        <v>0</v>
      </c>
      <c r="AF1030" s="6">
        <f ca="1">$M$1030*$Z$1030</f>
        <v>14.955082935256442</v>
      </c>
      <c r="AG1030" s="6">
        <f>$O$1030*$AA$1030</f>
        <v>8.0213310261155542</v>
      </c>
    </row>
    <row r="1031" spans="1:33" ht="11.25" customHeight="1" x14ac:dyDescent="0.3">
      <c r="A1031" s="4" t="s">
        <v>21</v>
      </c>
      <c r="B1031" s="4" t="s">
        <v>37</v>
      </c>
      <c r="C1031" s="4" t="s">
        <v>33</v>
      </c>
      <c r="D1031" s="4" t="s">
        <v>50</v>
      </c>
      <c r="E1031" s="4" t="s">
        <v>51</v>
      </c>
      <c r="F1031" s="4" t="s">
        <v>25</v>
      </c>
      <c r="G1031" s="4" t="s">
        <v>25</v>
      </c>
      <c r="H1031" s="4" t="s">
        <v>34</v>
      </c>
      <c r="I1031" s="5">
        <v>44743</v>
      </c>
      <c r="J1031" s="6">
        <v>0</v>
      </c>
      <c r="K1031" s="53">
        <v>0</v>
      </c>
      <c r="L1031" s="6">
        <v>0.03</v>
      </c>
      <c r="M1031" s="53">
        <v>0.03</v>
      </c>
      <c r="N1031" s="6">
        <v>0.03</v>
      </c>
      <c r="O1031" s="53">
        <v>0.03</v>
      </c>
      <c r="P1031" s="6">
        <v>0</v>
      </c>
      <c r="Q1031" s="4" t="s">
        <v>26</v>
      </c>
      <c r="R1031" s="4">
        <v>0</v>
      </c>
      <c r="S1031" s="6">
        <v>0</v>
      </c>
      <c r="T1031" s="6">
        <v>83</v>
      </c>
      <c r="U1031" s="6">
        <v>106</v>
      </c>
      <c r="V1031" s="53">
        <f>IF(ISERROR(VLOOKUP($S$1031,'TAR FIN'!$A$1:$O$113,15,0)),0,VLOOKUP($S$1031,'TAR FIN'!$A$1:$O$113,15,0))</f>
        <v>0</v>
      </c>
      <c r="W1031" s="53">
        <f>IF(ISERROR(VLOOKUP($T$1031,'TAR FIN'!$A$1:$O$113,15,0)),0,VLOOKUP($T$1031,'TAR FIN'!$A$1:$O$113,15,0))*(1-0.06)</f>
        <v>703.3925999999999</v>
      </c>
      <c r="X1031" s="53">
        <f>IF(ISERROR(VLOOKUP($U$1031,'TAR FIN'!$A$1:$O$113,15,0)),0,VLOOKUP($U$1031,'TAR FIN'!$A$1:$O$113,15,0))*(1-0.06)</f>
        <v>416.28839999999997</v>
      </c>
      <c r="Y1031" s="53"/>
      <c r="Z1031" s="53">
        <f ca="1">('TUSD BE'!$AM$65+'TUSD BF'!$AM$65+'TUSD CVA'!$AM$65)*1*(1-0.03)</f>
        <v>879.71076089743769</v>
      </c>
      <c r="AA1031" s="53">
        <f>('TE BE'!$AB$43+'TE BF'!$AB$43+'TE CVA'!$AB$43)*1*(1-0.03)</f>
        <v>471.84300153620904</v>
      </c>
      <c r="AB1031" s="6">
        <f>$K$1031*$V$1031</f>
        <v>0</v>
      </c>
      <c r="AC1031" s="6">
        <f>$M$1031*$W$1031</f>
        <v>21.101777999999996</v>
      </c>
      <c r="AD1031" s="6">
        <f>$O$1031*$X$1031</f>
        <v>12.488651999999998</v>
      </c>
      <c r="AE1031" s="6">
        <f>$K$1031*$Y$1031</f>
        <v>0</v>
      </c>
      <c r="AF1031" s="6">
        <f ca="1">$M$1031*$Z$1031</f>
        <v>26.39132282692313</v>
      </c>
      <c r="AG1031" s="6">
        <f>$O$1031*$AA$1031</f>
        <v>14.155290046086272</v>
      </c>
    </row>
    <row r="1032" spans="1:33" ht="11.25" customHeight="1" x14ac:dyDescent="0.3">
      <c r="A1032" s="4" t="s">
        <v>21</v>
      </c>
      <c r="B1032" s="4" t="s">
        <v>37</v>
      </c>
      <c r="C1032" s="4" t="s">
        <v>33</v>
      </c>
      <c r="D1032" s="4" t="s">
        <v>50</v>
      </c>
      <c r="E1032" s="4" t="s">
        <v>51</v>
      </c>
      <c r="F1032" s="4" t="s">
        <v>25</v>
      </c>
      <c r="G1032" s="4" t="s">
        <v>25</v>
      </c>
      <c r="H1032" s="4" t="s">
        <v>34</v>
      </c>
      <c r="I1032" s="5">
        <v>44774</v>
      </c>
      <c r="J1032" s="6">
        <v>0</v>
      </c>
      <c r="K1032" s="53">
        <v>0</v>
      </c>
      <c r="L1032" s="6">
        <v>1.6E-2</v>
      </c>
      <c r="M1032" s="53">
        <v>1.6E-2</v>
      </c>
      <c r="N1032" s="6">
        <v>1.6E-2</v>
      </c>
      <c r="O1032" s="53">
        <v>1.6E-2</v>
      </c>
      <c r="P1032" s="6">
        <v>0</v>
      </c>
      <c r="Q1032" s="4" t="s">
        <v>26</v>
      </c>
      <c r="R1032" s="4">
        <v>0</v>
      </c>
      <c r="S1032" s="6">
        <v>0</v>
      </c>
      <c r="T1032" s="6">
        <v>83</v>
      </c>
      <c r="U1032" s="6">
        <v>106</v>
      </c>
      <c r="V1032" s="53">
        <f>IF(ISERROR(VLOOKUP($S$1032,'TAR FIN'!$A$1:$O$113,15,0)),0,VLOOKUP($S$1032,'TAR FIN'!$A$1:$O$113,15,0))</f>
        <v>0</v>
      </c>
      <c r="W1032" s="53">
        <f>IF(ISERROR(VLOOKUP($T$1032,'TAR FIN'!$A$1:$O$113,15,0)),0,VLOOKUP($T$1032,'TAR FIN'!$A$1:$O$113,15,0))*(1-0.06)</f>
        <v>703.3925999999999</v>
      </c>
      <c r="X1032" s="53">
        <f>IF(ISERROR(VLOOKUP($U$1032,'TAR FIN'!$A$1:$O$113,15,0)),0,VLOOKUP($U$1032,'TAR FIN'!$A$1:$O$113,15,0))*(1-0.06)</f>
        <v>416.28839999999997</v>
      </c>
      <c r="Y1032" s="53"/>
      <c r="Z1032" s="53">
        <f ca="1">('TUSD BE'!$AM$65+'TUSD BF'!$AM$65+'TUSD CVA'!$AM$65)*1*(1-0.03)</f>
        <v>879.71076089743769</v>
      </c>
      <c r="AA1032" s="53">
        <f>('TE BE'!$AB$43+'TE BF'!$AB$43+'TE CVA'!$AB$43)*1*(1-0.03)</f>
        <v>471.84300153620904</v>
      </c>
      <c r="AB1032" s="6">
        <f>$K$1032*$V$1032</f>
        <v>0</v>
      </c>
      <c r="AC1032" s="6">
        <f>$M$1032*$W$1032</f>
        <v>11.254281599999999</v>
      </c>
      <c r="AD1032" s="6">
        <f>$O$1032*$X$1032</f>
        <v>6.6606144</v>
      </c>
      <c r="AE1032" s="6">
        <f>$K$1032*$Y$1032</f>
        <v>0</v>
      </c>
      <c r="AF1032" s="6">
        <f ca="1">$M$1032*$Z$1032</f>
        <v>14.075372174359003</v>
      </c>
      <c r="AG1032" s="6">
        <f>$O$1032*$AA$1032</f>
        <v>7.549488024579345</v>
      </c>
    </row>
    <row r="1033" spans="1:33" ht="11.25" customHeight="1" x14ac:dyDescent="0.3">
      <c r="A1033" s="4" t="s">
        <v>21</v>
      </c>
      <c r="B1033" s="4" t="s">
        <v>37</v>
      </c>
      <c r="C1033" s="4" t="s">
        <v>33</v>
      </c>
      <c r="D1033" s="4" t="s">
        <v>50</v>
      </c>
      <c r="E1033" s="4" t="s">
        <v>51</v>
      </c>
      <c r="F1033" s="4" t="s">
        <v>25</v>
      </c>
      <c r="G1033" s="4" t="s">
        <v>25</v>
      </c>
      <c r="H1033" s="4" t="s">
        <v>34</v>
      </c>
      <c r="I1033" s="5">
        <v>44805</v>
      </c>
      <c r="J1033" s="6">
        <v>0</v>
      </c>
      <c r="K1033" s="53">
        <v>0</v>
      </c>
      <c r="L1033" s="6">
        <v>3.4000000000000002E-2</v>
      </c>
      <c r="M1033" s="53">
        <v>3.4000000000000002E-2</v>
      </c>
      <c r="N1033" s="6">
        <v>3.4000000000000002E-2</v>
      </c>
      <c r="O1033" s="53">
        <v>3.4000000000000002E-2</v>
      </c>
      <c r="P1033" s="6">
        <v>0</v>
      </c>
      <c r="Q1033" s="4" t="s">
        <v>26</v>
      </c>
      <c r="R1033" s="4">
        <v>0</v>
      </c>
      <c r="S1033" s="6">
        <v>0</v>
      </c>
      <c r="T1033" s="6">
        <v>83</v>
      </c>
      <c r="U1033" s="6">
        <v>106</v>
      </c>
      <c r="V1033" s="53">
        <f>IF(ISERROR(VLOOKUP($S$1033,'TAR FIN'!$A$1:$O$113,15,0)),0,VLOOKUP($S$1033,'TAR FIN'!$A$1:$O$113,15,0))</f>
        <v>0</v>
      </c>
      <c r="W1033" s="53">
        <f>IF(ISERROR(VLOOKUP($T$1033,'TAR FIN'!$A$1:$O$113,15,0)),0,VLOOKUP($T$1033,'TAR FIN'!$A$1:$O$113,15,0))*(1-0.06)</f>
        <v>703.3925999999999</v>
      </c>
      <c r="X1033" s="53">
        <f>IF(ISERROR(VLOOKUP($U$1033,'TAR FIN'!$A$1:$O$113,15,0)),0,VLOOKUP($U$1033,'TAR FIN'!$A$1:$O$113,15,0))*(1-0.06)</f>
        <v>416.28839999999997</v>
      </c>
      <c r="Y1033" s="53"/>
      <c r="Z1033" s="53">
        <f ca="1">('TUSD BE'!$AM$65+'TUSD BF'!$AM$65+'TUSD CVA'!$AM$65)*1*(1-0.03)</f>
        <v>879.71076089743769</v>
      </c>
      <c r="AA1033" s="53">
        <f>('TE BE'!$AB$43+'TE BF'!$AB$43+'TE CVA'!$AB$43)*1*(1-0.03)</f>
        <v>471.84300153620904</v>
      </c>
      <c r="AB1033" s="6">
        <f>$K$1033*$V$1033</f>
        <v>0</v>
      </c>
      <c r="AC1033" s="6">
        <f>$M$1033*$W$1033</f>
        <v>23.915348399999999</v>
      </c>
      <c r="AD1033" s="6">
        <f>$O$1033*$X$1033</f>
        <v>14.1538056</v>
      </c>
      <c r="AE1033" s="6">
        <f>$K$1033*$Y$1033</f>
        <v>0</v>
      </c>
      <c r="AF1033" s="6">
        <f ca="1">$M$1033*$Z$1033</f>
        <v>29.910165870512884</v>
      </c>
      <c r="AG1033" s="6">
        <f>$O$1033*$AA$1033</f>
        <v>16.042662052231108</v>
      </c>
    </row>
    <row r="1034" spans="1:33" ht="11.25" customHeight="1" x14ac:dyDescent="0.3">
      <c r="A1034" s="4" t="s">
        <v>53</v>
      </c>
      <c r="B1034" s="4" t="s">
        <v>37</v>
      </c>
      <c r="C1034" s="4" t="s">
        <v>33</v>
      </c>
      <c r="D1034" s="4" t="s">
        <v>50</v>
      </c>
      <c r="E1034" s="4" t="s">
        <v>51</v>
      </c>
      <c r="F1034" s="4" t="s">
        <v>25</v>
      </c>
      <c r="G1034" s="4" t="s">
        <v>25</v>
      </c>
      <c r="H1034" s="4" t="s">
        <v>34</v>
      </c>
      <c r="I1034" s="5">
        <v>44835</v>
      </c>
      <c r="J1034" s="6">
        <v>0</v>
      </c>
      <c r="K1034" s="53">
        <v>0</v>
      </c>
      <c r="L1034" s="6">
        <v>3.4000000000000002E-2</v>
      </c>
      <c r="M1034" s="53">
        <v>3.4000000000000002E-2</v>
      </c>
      <c r="N1034" s="6">
        <v>3.4000000000000002E-2</v>
      </c>
      <c r="O1034" s="53">
        <v>3.4000000000000002E-2</v>
      </c>
      <c r="P1034" s="6">
        <v>0</v>
      </c>
      <c r="Q1034" s="4" t="s">
        <v>26</v>
      </c>
      <c r="R1034" s="4">
        <v>0</v>
      </c>
      <c r="S1034" s="6">
        <v>0</v>
      </c>
      <c r="T1034" s="6">
        <v>83</v>
      </c>
      <c r="U1034" s="6">
        <v>106</v>
      </c>
      <c r="V1034" s="53">
        <f>IF(ISERROR(VLOOKUP($S$1034,'TAR FIN'!$A$1:$O$113,15,0)),0,VLOOKUP($S$1034,'TAR FIN'!$A$1:$O$113,15,0))</f>
        <v>0</v>
      </c>
      <c r="W1034" s="53">
        <f>IF(ISERROR(VLOOKUP($T$1034,'TAR FIN'!$A$1:$O$113,15,0)),0,VLOOKUP($T$1034,'TAR FIN'!$A$1:$O$113,15,0))*(1-0.06)</f>
        <v>703.3925999999999</v>
      </c>
      <c r="X1034" s="53">
        <f>IF(ISERROR(VLOOKUP($U$1034,'TAR FIN'!$A$1:$O$113,15,0)),0,VLOOKUP($U$1034,'TAR FIN'!$A$1:$O$113,15,0))*(1-0.06)</f>
        <v>416.28839999999997</v>
      </c>
      <c r="Y1034" s="53"/>
      <c r="Z1034" s="53">
        <f ca="1">('TUSD BE'!$AM$65+'TUSD BF'!$AM$65+'TUSD CVA'!$AM$65)*1*(1-0.03)</f>
        <v>879.71076089743769</v>
      </c>
      <c r="AA1034" s="53">
        <f>('TE BE'!$AB$43+'TE BF'!$AB$43+'TE CVA'!$AB$43)*1*(1-0.03)</f>
        <v>471.84300153620904</v>
      </c>
      <c r="AB1034" s="6">
        <f>$K$1034*$V$1034</f>
        <v>0</v>
      </c>
      <c r="AC1034" s="6">
        <f>$M$1034*$W$1034</f>
        <v>23.915348399999999</v>
      </c>
      <c r="AD1034" s="6">
        <f>$O$1034*$X$1034</f>
        <v>14.1538056</v>
      </c>
      <c r="AE1034" s="6">
        <f>$K$1034*$Y$1034</f>
        <v>0</v>
      </c>
      <c r="AF1034" s="6">
        <f ca="1">$M$1034*$Z$1034</f>
        <v>29.910165870512884</v>
      </c>
      <c r="AG1034" s="6">
        <f>$O$1034*$AA$1034</f>
        <v>16.042662052231108</v>
      </c>
    </row>
    <row r="1035" spans="1:33" ht="11.25" customHeight="1" x14ac:dyDescent="0.3">
      <c r="A1035" s="4" t="s">
        <v>21</v>
      </c>
      <c r="B1035" s="4" t="s">
        <v>37</v>
      </c>
      <c r="C1035" s="4" t="s">
        <v>23</v>
      </c>
      <c r="D1035" s="4" t="s">
        <v>42</v>
      </c>
      <c r="E1035" s="4" t="s">
        <v>25</v>
      </c>
      <c r="F1035" s="4" t="s">
        <v>25</v>
      </c>
      <c r="G1035" s="4" t="s">
        <v>25</v>
      </c>
      <c r="H1035" s="4" t="s">
        <v>25</v>
      </c>
      <c r="I1035" s="5">
        <v>44501</v>
      </c>
      <c r="J1035" s="6">
        <v>0</v>
      </c>
      <c r="K1035" s="6">
        <v>0</v>
      </c>
      <c r="L1035" s="6">
        <v>3209.95</v>
      </c>
      <c r="M1035" s="6">
        <v>3209.95</v>
      </c>
      <c r="N1035" s="6">
        <v>3209.95</v>
      </c>
      <c r="O1035" s="6">
        <v>3209.95</v>
      </c>
      <c r="P1035" s="6">
        <v>5359</v>
      </c>
      <c r="Q1035" s="4" t="s">
        <v>26</v>
      </c>
      <c r="R1035" s="4">
        <v>0</v>
      </c>
      <c r="S1035" s="6">
        <v>0</v>
      </c>
      <c r="T1035" s="6">
        <v>63</v>
      </c>
      <c r="U1035" s="6">
        <v>91</v>
      </c>
      <c r="V1035" s="6">
        <f>IF(ISERROR(VLOOKUP($S$1035,'TAR FIN'!$A$1:$O$113,15,0)),0,VLOOKUP($S$1035,'TAR FIN'!$A$1:$O$113,15,0))</f>
        <v>0</v>
      </c>
      <c r="W1035" s="6">
        <f>IF(ISERROR(VLOOKUP($T$1035,'TAR FIN'!$A$1:$O$113,15,0)),0,VLOOKUP($T$1035,'TAR FIN'!$A$1:$O$113,15,0))</f>
        <v>300.3</v>
      </c>
      <c r="X1035" s="6">
        <f>IF(ISERROR(VLOOKUP($U$1035,'TAR FIN'!$A$1:$O$113,15,0)),0,VLOOKUP($U$1035,'TAR FIN'!$A$1:$O$113,15,0))</f>
        <v>292.36</v>
      </c>
      <c r="Y1035" s="6"/>
      <c r="Z1035" s="6">
        <f ca="1">('TUSD BE'!$AM$68+'TUSD BF'!$AM$68+'TUSD CVA'!$AM$68)*1</f>
        <v>393.28439820871614</v>
      </c>
      <c r="AA1035" s="6">
        <f>('TE BE'!$AB$46+'TE BF'!$AB$46+'TE CVA'!$AB$46)*1</f>
        <v>314.78517822974521</v>
      </c>
      <c r="AB1035" s="6">
        <f>$K$1035*$V$1035</f>
        <v>0</v>
      </c>
      <c r="AC1035" s="6">
        <f>$M$1035*$W$1035</f>
        <v>963947.98499999999</v>
      </c>
      <c r="AD1035" s="6">
        <f>$O$1035*$X$1035</f>
        <v>938460.98199999996</v>
      </c>
      <c r="AE1035" s="6">
        <f>$K$1035*$Y$1035</f>
        <v>0</v>
      </c>
      <c r="AF1035" s="6">
        <f ca="1">$M$1035*$Z$1035</f>
        <v>1262423.2540300684</v>
      </c>
      <c r="AG1035" s="6">
        <f>$O$1035*$AA$1035</f>
        <v>1010444.6828585706</v>
      </c>
    </row>
    <row r="1036" spans="1:33" ht="11.25" customHeight="1" x14ac:dyDescent="0.3">
      <c r="A1036" s="4" t="s">
        <v>27</v>
      </c>
      <c r="B1036" s="4" t="s">
        <v>37</v>
      </c>
      <c r="C1036" s="4" t="s">
        <v>23</v>
      </c>
      <c r="D1036" s="4" t="s">
        <v>42</v>
      </c>
      <c r="E1036" s="4" t="s">
        <v>25</v>
      </c>
      <c r="F1036" s="4" t="s">
        <v>25</v>
      </c>
      <c r="G1036" s="4" t="s">
        <v>25</v>
      </c>
      <c r="H1036" s="4" t="s">
        <v>25</v>
      </c>
      <c r="I1036" s="5">
        <v>44501</v>
      </c>
      <c r="J1036" s="6">
        <v>0</v>
      </c>
      <c r="K1036" s="6">
        <v>0</v>
      </c>
      <c r="L1036" s="6">
        <v>-9.7579999999999991</v>
      </c>
      <c r="M1036" s="6">
        <v>-9.7579999999999991</v>
      </c>
      <c r="N1036" s="6">
        <v>-9.7579999999999991</v>
      </c>
      <c r="O1036" s="6">
        <v>-9.7579999999999991</v>
      </c>
      <c r="P1036" s="6">
        <v>0</v>
      </c>
      <c r="Q1036" s="4" t="s">
        <v>26</v>
      </c>
      <c r="R1036" s="4">
        <v>0</v>
      </c>
      <c r="S1036" s="6">
        <v>0</v>
      </c>
      <c r="T1036" s="6">
        <v>63</v>
      </c>
      <c r="U1036" s="6">
        <v>91</v>
      </c>
      <c r="V1036" s="6">
        <f>IF(ISERROR(VLOOKUP($S$1036,'TAR FIN'!$A$1:$O$113,15,0)),0,VLOOKUP($S$1036,'TAR FIN'!$A$1:$O$113,15,0))</f>
        <v>0</v>
      </c>
      <c r="W1036" s="6">
        <f>IF(ISERROR(VLOOKUP($T$1036,'TAR FIN'!$A$1:$O$113,15,0)),0,VLOOKUP($T$1036,'TAR FIN'!$A$1:$O$113,15,0))</f>
        <v>300.3</v>
      </c>
      <c r="X1036" s="6">
        <f>IF(ISERROR(VLOOKUP($U$1036,'TAR FIN'!$A$1:$O$113,15,0)),0,VLOOKUP($U$1036,'TAR FIN'!$A$1:$O$113,15,0))</f>
        <v>292.36</v>
      </c>
      <c r="Y1036" s="6"/>
      <c r="Z1036" s="6">
        <f ca="1">('TUSD BE'!$AM$68+'TUSD BF'!$AM$68+'TUSD CVA'!$AM$68)*1</f>
        <v>393.28439820871614</v>
      </c>
      <c r="AA1036" s="6">
        <f>('TE BE'!$AB$46+'TE BF'!$AB$46+'TE CVA'!$AB$46)*1</f>
        <v>314.78517822974521</v>
      </c>
      <c r="AB1036" s="6">
        <f>$K$1036*$V$1036</f>
        <v>0</v>
      </c>
      <c r="AC1036" s="6">
        <f>$M$1036*$W$1036</f>
        <v>-2930.3273999999997</v>
      </c>
      <c r="AD1036" s="6">
        <f>$O$1036*$X$1036</f>
        <v>-2852.84888</v>
      </c>
      <c r="AE1036" s="6">
        <f>$K$1036*$Y$1036</f>
        <v>0</v>
      </c>
      <c r="AF1036" s="6">
        <f ca="1">$M$1036*$Z$1036</f>
        <v>-3837.6691577206516</v>
      </c>
      <c r="AG1036" s="6">
        <f>$O$1036*$AA$1036</f>
        <v>-3071.6737691658536</v>
      </c>
    </row>
    <row r="1037" spans="1:33" ht="11.25" customHeight="1" x14ac:dyDescent="0.3">
      <c r="A1037" s="4" t="s">
        <v>28</v>
      </c>
      <c r="B1037" s="4" t="s">
        <v>37</v>
      </c>
      <c r="C1037" s="4" t="s">
        <v>23</v>
      </c>
      <c r="D1037" s="4" t="s">
        <v>42</v>
      </c>
      <c r="E1037" s="4" t="s">
        <v>25</v>
      </c>
      <c r="F1037" s="4" t="s">
        <v>25</v>
      </c>
      <c r="G1037" s="4" t="s">
        <v>25</v>
      </c>
      <c r="H1037" s="4" t="s">
        <v>25</v>
      </c>
      <c r="I1037" s="5">
        <v>44501</v>
      </c>
      <c r="J1037" s="6">
        <v>0</v>
      </c>
      <c r="K1037" s="6">
        <v>0</v>
      </c>
      <c r="L1037" s="6">
        <v>47.304000000000002</v>
      </c>
      <c r="M1037" s="6">
        <v>47.304000000000002</v>
      </c>
      <c r="N1037" s="6">
        <v>47.304000000000002</v>
      </c>
      <c r="O1037" s="6">
        <v>47.304000000000002</v>
      </c>
      <c r="P1037" s="6">
        <v>93</v>
      </c>
      <c r="Q1037" s="4" t="s">
        <v>26</v>
      </c>
      <c r="R1037" s="4">
        <v>0</v>
      </c>
      <c r="S1037" s="6">
        <v>0</v>
      </c>
      <c r="T1037" s="6">
        <v>63</v>
      </c>
      <c r="U1037" s="6">
        <v>91</v>
      </c>
      <c r="V1037" s="6">
        <f>IF(ISERROR(VLOOKUP($S$1037,'TAR FIN'!$A$1:$O$113,15,0)),0,VLOOKUP($S$1037,'TAR FIN'!$A$1:$O$113,15,0))</f>
        <v>0</v>
      </c>
      <c r="W1037" s="6">
        <f>IF(ISERROR(VLOOKUP($T$1037,'TAR FIN'!$A$1:$O$113,15,0)),0,VLOOKUP($T$1037,'TAR FIN'!$A$1:$O$113,15,0))</f>
        <v>300.3</v>
      </c>
      <c r="X1037" s="6">
        <f>IF(ISERROR(VLOOKUP($U$1037,'TAR FIN'!$A$1:$O$113,15,0)),0,VLOOKUP($U$1037,'TAR FIN'!$A$1:$O$113,15,0))</f>
        <v>292.36</v>
      </c>
      <c r="Y1037" s="6"/>
      <c r="Z1037" s="6">
        <f ca="1">('TUSD BE'!$AM$68+'TUSD BF'!$AM$68+'TUSD CVA'!$AM$68)*1</f>
        <v>393.28439820871614</v>
      </c>
      <c r="AA1037" s="6">
        <f>('TE BE'!$AB$46+'TE BF'!$AB$46+'TE CVA'!$AB$46)*1</f>
        <v>314.78517822974521</v>
      </c>
      <c r="AB1037" s="6">
        <f>$K$1037*$V$1037</f>
        <v>0</v>
      </c>
      <c r="AC1037" s="6">
        <f>$M$1037*$W$1037</f>
        <v>14205.391200000002</v>
      </c>
      <c r="AD1037" s="6">
        <f>$O$1037*$X$1037</f>
        <v>13829.797440000002</v>
      </c>
      <c r="AE1037" s="6">
        <f>$K$1037*$Y$1037</f>
        <v>0</v>
      </c>
      <c r="AF1037" s="6">
        <f ca="1">$M$1037*$Z$1037</f>
        <v>18603.925172865111</v>
      </c>
      <c r="AG1037" s="6">
        <f>$O$1037*$AA$1037</f>
        <v>14890.598070979868</v>
      </c>
    </row>
    <row r="1038" spans="1:33" ht="11.25" customHeight="1" x14ac:dyDescent="0.3">
      <c r="A1038" s="4" t="s">
        <v>21</v>
      </c>
      <c r="B1038" s="4" t="s">
        <v>37</v>
      </c>
      <c r="C1038" s="4" t="s">
        <v>23</v>
      </c>
      <c r="D1038" s="4" t="s">
        <v>42</v>
      </c>
      <c r="E1038" s="4" t="s">
        <v>25</v>
      </c>
      <c r="F1038" s="4" t="s">
        <v>25</v>
      </c>
      <c r="G1038" s="4" t="s">
        <v>25</v>
      </c>
      <c r="H1038" s="4" t="s">
        <v>25</v>
      </c>
      <c r="I1038" s="5">
        <v>44531</v>
      </c>
      <c r="J1038" s="6">
        <v>0</v>
      </c>
      <c r="K1038" s="6">
        <v>0</v>
      </c>
      <c r="L1038" s="6">
        <v>3233.7910000000002</v>
      </c>
      <c r="M1038" s="6">
        <v>3233.7910000000002</v>
      </c>
      <c r="N1038" s="6">
        <v>3233.7910000000002</v>
      </c>
      <c r="O1038" s="6">
        <v>3233.7910000000002</v>
      </c>
      <c r="P1038" s="6">
        <v>5378</v>
      </c>
      <c r="Q1038" s="4" t="s">
        <v>26</v>
      </c>
      <c r="R1038" s="4">
        <v>0</v>
      </c>
      <c r="S1038" s="6">
        <v>0</v>
      </c>
      <c r="T1038" s="6">
        <v>63</v>
      </c>
      <c r="U1038" s="6">
        <v>91</v>
      </c>
      <c r="V1038" s="6">
        <f>IF(ISERROR(VLOOKUP($S$1038,'TAR FIN'!$A$1:$O$113,15,0)),0,VLOOKUP($S$1038,'TAR FIN'!$A$1:$O$113,15,0))</f>
        <v>0</v>
      </c>
      <c r="W1038" s="6">
        <f>IF(ISERROR(VLOOKUP($T$1038,'TAR FIN'!$A$1:$O$113,15,0)),0,VLOOKUP($T$1038,'TAR FIN'!$A$1:$O$113,15,0))</f>
        <v>300.3</v>
      </c>
      <c r="X1038" s="6">
        <f>IF(ISERROR(VLOOKUP($U$1038,'TAR FIN'!$A$1:$O$113,15,0)),0,VLOOKUP($U$1038,'TAR FIN'!$A$1:$O$113,15,0))</f>
        <v>292.36</v>
      </c>
      <c r="Y1038" s="6"/>
      <c r="Z1038" s="6">
        <f ca="1">('TUSD BE'!$AM$68+'TUSD BF'!$AM$68+'TUSD CVA'!$AM$68)*1</f>
        <v>393.28439820871614</v>
      </c>
      <c r="AA1038" s="6">
        <f>('TE BE'!$AB$46+'TE BF'!$AB$46+'TE CVA'!$AB$46)*1</f>
        <v>314.78517822974521</v>
      </c>
      <c r="AB1038" s="6">
        <f>$K$1038*$V$1038</f>
        <v>0</v>
      </c>
      <c r="AC1038" s="6">
        <f>$M$1038*$W$1038</f>
        <v>971107.43730000011</v>
      </c>
      <c r="AD1038" s="6">
        <f>$O$1038*$X$1038</f>
        <v>945431.13676000014</v>
      </c>
      <c r="AE1038" s="6">
        <f>$K$1038*$Y$1038</f>
        <v>0</v>
      </c>
      <c r="AF1038" s="6">
        <f ca="1">$M$1038*$Z$1038</f>
        <v>1271799.5473677625</v>
      </c>
      <c r="AG1038" s="6">
        <f>$O$1038*$AA$1038</f>
        <v>1017949.476292746</v>
      </c>
    </row>
    <row r="1039" spans="1:33" ht="11.25" customHeight="1" x14ac:dyDescent="0.3">
      <c r="A1039" s="4" t="s">
        <v>27</v>
      </c>
      <c r="B1039" s="4" t="s">
        <v>37</v>
      </c>
      <c r="C1039" s="4" t="s">
        <v>23</v>
      </c>
      <c r="D1039" s="4" t="s">
        <v>42</v>
      </c>
      <c r="E1039" s="4" t="s">
        <v>25</v>
      </c>
      <c r="F1039" s="4" t="s">
        <v>25</v>
      </c>
      <c r="G1039" s="4" t="s">
        <v>25</v>
      </c>
      <c r="H1039" s="4" t="s">
        <v>25</v>
      </c>
      <c r="I1039" s="5">
        <v>44531</v>
      </c>
      <c r="J1039" s="6">
        <v>0</v>
      </c>
      <c r="K1039" s="6">
        <v>0</v>
      </c>
      <c r="L1039" s="6">
        <v>-0.88800000000000001</v>
      </c>
      <c r="M1039" s="6">
        <v>-0.88800000000000001</v>
      </c>
      <c r="N1039" s="6">
        <v>-0.88800000000000001</v>
      </c>
      <c r="O1039" s="6">
        <v>-0.88800000000000001</v>
      </c>
      <c r="P1039" s="6">
        <v>0</v>
      </c>
      <c r="Q1039" s="4" t="s">
        <v>26</v>
      </c>
      <c r="R1039" s="4">
        <v>0</v>
      </c>
      <c r="S1039" s="6">
        <v>0</v>
      </c>
      <c r="T1039" s="6">
        <v>63</v>
      </c>
      <c r="U1039" s="6">
        <v>91</v>
      </c>
      <c r="V1039" s="6">
        <f>IF(ISERROR(VLOOKUP($S$1039,'TAR FIN'!$A$1:$O$113,15,0)),0,VLOOKUP($S$1039,'TAR FIN'!$A$1:$O$113,15,0))</f>
        <v>0</v>
      </c>
      <c r="W1039" s="6">
        <f>IF(ISERROR(VLOOKUP($T$1039,'TAR FIN'!$A$1:$O$113,15,0)),0,VLOOKUP($T$1039,'TAR FIN'!$A$1:$O$113,15,0))</f>
        <v>300.3</v>
      </c>
      <c r="X1039" s="6">
        <f>IF(ISERROR(VLOOKUP($U$1039,'TAR FIN'!$A$1:$O$113,15,0)),0,VLOOKUP($U$1039,'TAR FIN'!$A$1:$O$113,15,0))</f>
        <v>292.36</v>
      </c>
      <c r="Y1039" s="6"/>
      <c r="Z1039" s="6">
        <f ca="1">('TUSD BE'!$AM$68+'TUSD BF'!$AM$68+'TUSD CVA'!$AM$68)*1</f>
        <v>393.28439820871614</v>
      </c>
      <c r="AA1039" s="6">
        <f>('TE BE'!$AB$46+'TE BF'!$AB$46+'TE CVA'!$AB$46)*1</f>
        <v>314.78517822974521</v>
      </c>
      <c r="AB1039" s="6">
        <f>$K$1039*$V$1039</f>
        <v>0</v>
      </c>
      <c r="AC1039" s="6">
        <f>$M$1039*$W$1039</f>
        <v>-266.66640000000001</v>
      </c>
      <c r="AD1039" s="6">
        <f>$O$1039*$X$1039</f>
        <v>-259.61568</v>
      </c>
      <c r="AE1039" s="6">
        <f>$K$1039*$Y$1039</f>
        <v>0</v>
      </c>
      <c r="AF1039" s="6">
        <f ca="1">$M$1039*$Z$1039</f>
        <v>-349.23654560933994</v>
      </c>
      <c r="AG1039" s="6">
        <f>$O$1039*$AA$1039</f>
        <v>-279.52923826801373</v>
      </c>
    </row>
    <row r="1040" spans="1:33" ht="11.25" customHeight="1" x14ac:dyDescent="0.3">
      <c r="A1040" s="4" t="s">
        <v>28</v>
      </c>
      <c r="B1040" s="4" t="s">
        <v>37</v>
      </c>
      <c r="C1040" s="4" t="s">
        <v>23</v>
      </c>
      <c r="D1040" s="4" t="s">
        <v>42</v>
      </c>
      <c r="E1040" s="4" t="s">
        <v>25</v>
      </c>
      <c r="F1040" s="4" t="s">
        <v>25</v>
      </c>
      <c r="G1040" s="4" t="s">
        <v>25</v>
      </c>
      <c r="H1040" s="4" t="s">
        <v>25</v>
      </c>
      <c r="I1040" s="5">
        <v>44531</v>
      </c>
      <c r="J1040" s="6">
        <v>0</v>
      </c>
      <c r="K1040" s="6">
        <v>0</v>
      </c>
      <c r="L1040" s="6">
        <v>54.84</v>
      </c>
      <c r="M1040" s="6">
        <v>54.84</v>
      </c>
      <c r="N1040" s="6">
        <v>54.84</v>
      </c>
      <c r="O1040" s="6">
        <v>54.84</v>
      </c>
      <c r="P1040" s="6">
        <v>108</v>
      </c>
      <c r="Q1040" s="4" t="s">
        <v>26</v>
      </c>
      <c r="R1040" s="4">
        <v>0</v>
      </c>
      <c r="S1040" s="6">
        <v>0</v>
      </c>
      <c r="T1040" s="6">
        <v>63</v>
      </c>
      <c r="U1040" s="6">
        <v>91</v>
      </c>
      <c r="V1040" s="6">
        <f>IF(ISERROR(VLOOKUP($S$1040,'TAR FIN'!$A$1:$O$113,15,0)),0,VLOOKUP($S$1040,'TAR FIN'!$A$1:$O$113,15,0))</f>
        <v>0</v>
      </c>
      <c r="W1040" s="6">
        <f>IF(ISERROR(VLOOKUP($T$1040,'TAR FIN'!$A$1:$O$113,15,0)),0,VLOOKUP($T$1040,'TAR FIN'!$A$1:$O$113,15,0))</f>
        <v>300.3</v>
      </c>
      <c r="X1040" s="6">
        <f>IF(ISERROR(VLOOKUP($U$1040,'TAR FIN'!$A$1:$O$113,15,0)),0,VLOOKUP($U$1040,'TAR FIN'!$A$1:$O$113,15,0))</f>
        <v>292.36</v>
      </c>
      <c r="Y1040" s="6"/>
      <c r="Z1040" s="6">
        <f ca="1">('TUSD BE'!$AM$68+'TUSD BF'!$AM$68+'TUSD CVA'!$AM$68)*1</f>
        <v>393.28439820871614</v>
      </c>
      <c r="AA1040" s="6">
        <f>('TE BE'!$AB$46+'TE BF'!$AB$46+'TE CVA'!$AB$46)*1</f>
        <v>314.78517822974521</v>
      </c>
      <c r="AB1040" s="6">
        <f>$K$1040*$V$1040</f>
        <v>0</v>
      </c>
      <c r="AC1040" s="6">
        <f>$M$1040*$W$1040</f>
        <v>16468.452000000001</v>
      </c>
      <c r="AD1040" s="6">
        <f>$O$1040*$X$1040</f>
        <v>16033.022400000002</v>
      </c>
      <c r="AE1040" s="6">
        <f>$K$1040*$Y$1040</f>
        <v>0</v>
      </c>
      <c r="AF1040" s="6">
        <f ca="1">$M$1040*$Z$1040</f>
        <v>21567.716397765995</v>
      </c>
      <c r="AG1040" s="6">
        <f>$O$1040*$AA$1040</f>
        <v>17262.819174119228</v>
      </c>
    </row>
    <row r="1041" spans="1:33" ht="11.25" customHeight="1" x14ac:dyDescent="0.3">
      <c r="A1041" s="4" t="s">
        <v>21</v>
      </c>
      <c r="B1041" s="4" t="s">
        <v>37</v>
      </c>
      <c r="C1041" s="4" t="s">
        <v>23</v>
      </c>
      <c r="D1041" s="4" t="s">
        <v>42</v>
      </c>
      <c r="E1041" s="4" t="s">
        <v>25</v>
      </c>
      <c r="F1041" s="4" t="s">
        <v>25</v>
      </c>
      <c r="G1041" s="4" t="s">
        <v>25</v>
      </c>
      <c r="H1041" s="4" t="s">
        <v>25</v>
      </c>
      <c r="I1041" s="5">
        <v>44562</v>
      </c>
      <c r="J1041" s="6">
        <v>0</v>
      </c>
      <c r="K1041" s="6">
        <v>0</v>
      </c>
      <c r="L1041" s="6">
        <v>3520.7020000000002</v>
      </c>
      <c r="M1041" s="6">
        <v>3520.7020000000002</v>
      </c>
      <c r="N1041" s="6">
        <v>3520.7020000000002</v>
      </c>
      <c r="O1041" s="6">
        <v>3520.7020000000002</v>
      </c>
      <c r="P1041" s="6">
        <v>5428</v>
      </c>
      <c r="Q1041" s="4" t="s">
        <v>26</v>
      </c>
      <c r="R1041" s="4">
        <v>0</v>
      </c>
      <c r="S1041" s="6">
        <v>0</v>
      </c>
      <c r="T1041" s="6">
        <v>63</v>
      </c>
      <c r="U1041" s="6">
        <v>91</v>
      </c>
      <c r="V1041" s="6">
        <f>IF(ISERROR(VLOOKUP($S$1041,'TAR FIN'!$A$1:$O$113,15,0)),0,VLOOKUP($S$1041,'TAR FIN'!$A$1:$O$113,15,0))</f>
        <v>0</v>
      </c>
      <c r="W1041" s="6">
        <f>IF(ISERROR(VLOOKUP($T$1041,'TAR FIN'!$A$1:$O$113,15,0)),0,VLOOKUP($T$1041,'TAR FIN'!$A$1:$O$113,15,0))</f>
        <v>300.3</v>
      </c>
      <c r="X1041" s="6">
        <f>IF(ISERROR(VLOOKUP($U$1041,'TAR FIN'!$A$1:$O$113,15,0)),0,VLOOKUP($U$1041,'TAR FIN'!$A$1:$O$113,15,0))</f>
        <v>292.36</v>
      </c>
      <c r="Y1041" s="6"/>
      <c r="Z1041" s="6">
        <f ca="1">('TUSD BE'!$AM$68+'TUSD BF'!$AM$68+'TUSD CVA'!$AM$68)*1</f>
        <v>393.28439820871614</v>
      </c>
      <c r="AA1041" s="6">
        <f>('TE BE'!$AB$46+'TE BF'!$AB$46+'TE CVA'!$AB$46)*1</f>
        <v>314.78517822974521</v>
      </c>
      <c r="AB1041" s="6">
        <f>$K$1041*$V$1041</f>
        <v>0</v>
      </c>
      <c r="AC1041" s="6">
        <f>$M$1041*$W$1041</f>
        <v>1057266.8106000002</v>
      </c>
      <c r="AD1041" s="6">
        <f>$O$1041*$X$1041</f>
        <v>1029312.4367200001</v>
      </c>
      <c r="AE1041" s="6">
        <f>$K$1041*$Y$1041</f>
        <v>0</v>
      </c>
      <c r="AF1041" s="6">
        <f ca="1">$M$1041*$Z$1041</f>
        <v>1384637.1673422235</v>
      </c>
      <c r="AG1041" s="6">
        <f>$O$1041*$AA$1041</f>
        <v>1108264.8065638205</v>
      </c>
    </row>
    <row r="1042" spans="1:33" ht="11.25" customHeight="1" x14ac:dyDescent="0.3">
      <c r="A1042" s="4" t="s">
        <v>27</v>
      </c>
      <c r="B1042" s="4" t="s">
        <v>37</v>
      </c>
      <c r="C1042" s="4" t="s">
        <v>23</v>
      </c>
      <c r="D1042" s="4" t="s">
        <v>42</v>
      </c>
      <c r="E1042" s="4" t="s">
        <v>25</v>
      </c>
      <c r="F1042" s="4" t="s">
        <v>25</v>
      </c>
      <c r="G1042" s="4" t="s">
        <v>25</v>
      </c>
      <c r="H1042" s="4" t="s">
        <v>25</v>
      </c>
      <c r="I1042" s="5">
        <v>44562</v>
      </c>
      <c r="J1042" s="6">
        <v>0</v>
      </c>
      <c r="K1042" s="6">
        <v>0</v>
      </c>
      <c r="L1042" s="6">
        <v>-3.2090000000000001</v>
      </c>
      <c r="M1042" s="6">
        <v>-3.2090000000000001</v>
      </c>
      <c r="N1042" s="6">
        <v>-3.2090000000000001</v>
      </c>
      <c r="O1042" s="6">
        <v>-3.2090000000000001</v>
      </c>
      <c r="P1042" s="6">
        <v>0</v>
      </c>
      <c r="Q1042" s="4" t="s">
        <v>26</v>
      </c>
      <c r="R1042" s="4">
        <v>0</v>
      </c>
      <c r="S1042" s="6">
        <v>0</v>
      </c>
      <c r="T1042" s="6">
        <v>63</v>
      </c>
      <c r="U1042" s="6">
        <v>91</v>
      </c>
      <c r="V1042" s="6">
        <f>IF(ISERROR(VLOOKUP($S$1042,'TAR FIN'!$A$1:$O$113,15,0)),0,VLOOKUP($S$1042,'TAR FIN'!$A$1:$O$113,15,0))</f>
        <v>0</v>
      </c>
      <c r="W1042" s="6">
        <f>IF(ISERROR(VLOOKUP($T$1042,'TAR FIN'!$A$1:$O$113,15,0)),0,VLOOKUP($T$1042,'TAR FIN'!$A$1:$O$113,15,0))</f>
        <v>300.3</v>
      </c>
      <c r="X1042" s="6">
        <f>IF(ISERROR(VLOOKUP($U$1042,'TAR FIN'!$A$1:$O$113,15,0)),0,VLOOKUP($U$1042,'TAR FIN'!$A$1:$O$113,15,0))</f>
        <v>292.36</v>
      </c>
      <c r="Y1042" s="6"/>
      <c r="Z1042" s="6">
        <f ca="1">('TUSD BE'!$AM$68+'TUSD BF'!$AM$68+'TUSD CVA'!$AM$68)*1</f>
        <v>393.28439820871614</v>
      </c>
      <c r="AA1042" s="6">
        <f>('TE BE'!$AB$46+'TE BF'!$AB$46+'TE CVA'!$AB$46)*1</f>
        <v>314.78517822974521</v>
      </c>
      <c r="AB1042" s="6">
        <f>$K$1042*$V$1042</f>
        <v>0</v>
      </c>
      <c r="AC1042" s="6">
        <f>$M$1042*$W$1042</f>
        <v>-963.66270000000009</v>
      </c>
      <c r="AD1042" s="6">
        <f>$O$1042*$X$1042</f>
        <v>-938.18324000000007</v>
      </c>
      <c r="AE1042" s="6">
        <f>$K$1042*$Y$1042</f>
        <v>0</v>
      </c>
      <c r="AF1042" s="6">
        <f ca="1">$M$1042*$Z$1042</f>
        <v>-1262.0496338517701</v>
      </c>
      <c r="AG1042" s="6">
        <f>$O$1042*$AA$1042</f>
        <v>-1010.1456369392524</v>
      </c>
    </row>
    <row r="1043" spans="1:33" ht="11.25" customHeight="1" x14ac:dyDescent="0.3">
      <c r="A1043" s="4" t="s">
        <v>28</v>
      </c>
      <c r="B1043" s="4" t="s">
        <v>37</v>
      </c>
      <c r="C1043" s="4" t="s">
        <v>23</v>
      </c>
      <c r="D1043" s="4" t="s">
        <v>42</v>
      </c>
      <c r="E1043" s="4" t="s">
        <v>25</v>
      </c>
      <c r="F1043" s="4" t="s">
        <v>25</v>
      </c>
      <c r="G1043" s="4" t="s">
        <v>25</v>
      </c>
      <c r="H1043" s="4" t="s">
        <v>25</v>
      </c>
      <c r="I1043" s="5">
        <v>44562</v>
      </c>
      <c r="J1043" s="6">
        <v>0</v>
      </c>
      <c r="K1043" s="6">
        <v>0</v>
      </c>
      <c r="L1043" s="6">
        <v>74.566000000000003</v>
      </c>
      <c r="M1043" s="6">
        <v>74.566000000000003</v>
      </c>
      <c r="N1043" s="6">
        <v>74.566000000000003</v>
      </c>
      <c r="O1043" s="6">
        <v>74.566000000000003</v>
      </c>
      <c r="P1043" s="6">
        <v>120</v>
      </c>
      <c r="Q1043" s="4" t="s">
        <v>26</v>
      </c>
      <c r="R1043" s="4">
        <v>0</v>
      </c>
      <c r="S1043" s="6">
        <v>0</v>
      </c>
      <c r="T1043" s="6">
        <v>63</v>
      </c>
      <c r="U1043" s="6">
        <v>91</v>
      </c>
      <c r="V1043" s="6">
        <f>IF(ISERROR(VLOOKUP($S$1043,'TAR FIN'!$A$1:$O$113,15,0)),0,VLOOKUP($S$1043,'TAR FIN'!$A$1:$O$113,15,0))</f>
        <v>0</v>
      </c>
      <c r="W1043" s="6">
        <f>IF(ISERROR(VLOOKUP($T$1043,'TAR FIN'!$A$1:$O$113,15,0)),0,VLOOKUP($T$1043,'TAR FIN'!$A$1:$O$113,15,0))</f>
        <v>300.3</v>
      </c>
      <c r="X1043" s="6">
        <f>IF(ISERROR(VLOOKUP($U$1043,'TAR FIN'!$A$1:$O$113,15,0)),0,VLOOKUP($U$1043,'TAR FIN'!$A$1:$O$113,15,0))</f>
        <v>292.36</v>
      </c>
      <c r="Y1043" s="6"/>
      <c r="Z1043" s="6">
        <f ca="1">('TUSD BE'!$AM$68+'TUSD BF'!$AM$68+'TUSD CVA'!$AM$68)*1</f>
        <v>393.28439820871614</v>
      </c>
      <c r="AA1043" s="6">
        <f>('TE BE'!$AB$46+'TE BF'!$AB$46+'TE CVA'!$AB$46)*1</f>
        <v>314.78517822974521</v>
      </c>
      <c r="AB1043" s="6">
        <f>$K$1043*$V$1043</f>
        <v>0</v>
      </c>
      <c r="AC1043" s="6">
        <f>$M$1043*$W$1043</f>
        <v>22392.169800000003</v>
      </c>
      <c r="AD1043" s="6">
        <f>$O$1043*$X$1043</f>
        <v>21800.115760000001</v>
      </c>
      <c r="AE1043" s="6">
        <f>$K$1043*$Y$1043</f>
        <v>0</v>
      </c>
      <c r="AF1043" s="6">
        <f ca="1">$M$1043*$Z$1043</f>
        <v>29325.644436831128</v>
      </c>
      <c r="AG1043" s="6">
        <f>$O$1043*$AA$1043</f>
        <v>23472.271599879183</v>
      </c>
    </row>
    <row r="1044" spans="1:33" ht="11.25" customHeight="1" x14ac:dyDescent="0.3">
      <c r="A1044" s="4" t="s">
        <v>21</v>
      </c>
      <c r="B1044" s="4" t="s">
        <v>37</v>
      </c>
      <c r="C1044" s="4" t="s">
        <v>23</v>
      </c>
      <c r="D1044" s="4" t="s">
        <v>42</v>
      </c>
      <c r="E1044" s="4" t="s">
        <v>25</v>
      </c>
      <c r="F1044" s="4" t="s">
        <v>25</v>
      </c>
      <c r="G1044" s="4" t="s">
        <v>25</v>
      </c>
      <c r="H1044" s="4" t="s">
        <v>25</v>
      </c>
      <c r="I1044" s="5">
        <v>44593</v>
      </c>
      <c r="J1044" s="6">
        <v>0</v>
      </c>
      <c r="K1044" s="6">
        <v>0</v>
      </c>
      <c r="L1044" s="6">
        <v>3260.5369999999998</v>
      </c>
      <c r="M1044" s="6">
        <v>3260.5369999999998</v>
      </c>
      <c r="N1044" s="6">
        <v>3260.5369999999998</v>
      </c>
      <c r="O1044" s="6">
        <v>3260.5369999999998</v>
      </c>
      <c r="P1044" s="6">
        <v>5449</v>
      </c>
      <c r="Q1044" s="4" t="s">
        <v>26</v>
      </c>
      <c r="R1044" s="4">
        <v>0</v>
      </c>
      <c r="S1044" s="6">
        <v>0</v>
      </c>
      <c r="T1044" s="6">
        <v>63</v>
      </c>
      <c r="U1044" s="6">
        <v>91</v>
      </c>
      <c r="V1044" s="6">
        <f>IF(ISERROR(VLOOKUP($S$1044,'TAR FIN'!$A$1:$O$113,15,0)),0,VLOOKUP($S$1044,'TAR FIN'!$A$1:$O$113,15,0))</f>
        <v>0</v>
      </c>
      <c r="W1044" s="6">
        <f>IF(ISERROR(VLOOKUP($T$1044,'TAR FIN'!$A$1:$O$113,15,0)),0,VLOOKUP($T$1044,'TAR FIN'!$A$1:$O$113,15,0))</f>
        <v>300.3</v>
      </c>
      <c r="X1044" s="6">
        <f>IF(ISERROR(VLOOKUP($U$1044,'TAR FIN'!$A$1:$O$113,15,0)),0,VLOOKUP($U$1044,'TAR FIN'!$A$1:$O$113,15,0))</f>
        <v>292.36</v>
      </c>
      <c r="Y1044" s="6"/>
      <c r="Z1044" s="6">
        <f ca="1">('TUSD BE'!$AM$68+'TUSD BF'!$AM$68+'TUSD CVA'!$AM$68)*1</f>
        <v>393.28439820871614</v>
      </c>
      <c r="AA1044" s="6">
        <f>('TE BE'!$AB$46+'TE BF'!$AB$46+'TE CVA'!$AB$46)*1</f>
        <v>314.78517822974521</v>
      </c>
      <c r="AB1044" s="6">
        <f>$K$1044*$V$1044</f>
        <v>0</v>
      </c>
      <c r="AC1044" s="6">
        <f>$M$1044*$W$1044</f>
        <v>979139.2611</v>
      </c>
      <c r="AD1044" s="6">
        <f>$O$1044*$X$1044</f>
        <v>953250.59731999994</v>
      </c>
      <c r="AE1044" s="6">
        <f>$K$1044*$Y$1044</f>
        <v>0</v>
      </c>
      <c r="AF1044" s="6">
        <f ca="1">$M$1044*$Z$1044</f>
        <v>1282318.3318822526</v>
      </c>
      <c r="AG1044" s="6">
        <f>$O$1044*$AA$1044</f>
        <v>1026368.7206696788</v>
      </c>
    </row>
    <row r="1045" spans="1:33" ht="11.25" customHeight="1" x14ac:dyDescent="0.3">
      <c r="A1045" s="4" t="s">
        <v>27</v>
      </c>
      <c r="B1045" s="4" t="s">
        <v>37</v>
      </c>
      <c r="C1045" s="4" t="s">
        <v>23</v>
      </c>
      <c r="D1045" s="4" t="s">
        <v>42</v>
      </c>
      <c r="E1045" s="4" t="s">
        <v>25</v>
      </c>
      <c r="F1045" s="4" t="s">
        <v>25</v>
      </c>
      <c r="G1045" s="4" t="s">
        <v>25</v>
      </c>
      <c r="H1045" s="4" t="s">
        <v>25</v>
      </c>
      <c r="I1045" s="5">
        <v>44593</v>
      </c>
      <c r="J1045" s="6">
        <v>0</v>
      </c>
      <c r="K1045" s="6">
        <v>0</v>
      </c>
      <c r="L1045" s="6">
        <v>-1.1140000000000001</v>
      </c>
      <c r="M1045" s="6">
        <v>-1.1140000000000001</v>
      </c>
      <c r="N1045" s="6">
        <v>-1.1140000000000001</v>
      </c>
      <c r="O1045" s="6">
        <v>-1.1140000000000001</v>
      </c>
      <c r="P1045" s="6">
        <v>0</v>
      </c>
      <c r="Q1045" s="4" t="s">
        <v>26</v>
      </c>
      <c r="R1045" s="4">
        <v>0</v>
      </c>
      <c r="S1045" s="6">
        <v>0</v>
      </c>
      <c r="T1045" s="6">
        <v>63</v>
      </c>
      <c r="U1045" s="6">
        <v>91</v>
      </c>
      <c r="V1045" s="6">
        <f>IF(ISERROR(VLOOKUP($S$1045,'TAR FIN'!$A$1:$O$113,15,0)),0,VLOOKUP($S$1045,'TAR FIN'!$A$1:$O$113,15,0))</f>
        <v>0</v>
      </c>
      <c r="W1045" s="6">
        <f>IF(ISERROR(VLOOKUP($T$1045,'TAR FIN'!$A$1:$O$113,15,0)),0,VLOOKUP($T$1045,'TAR FIN'!$A$1:$O$113,15,0))</f>
        <v>300.3</v>
      </c>
      <c r="X1045" s="6">
        <f>IF(ISERROR(VLOOKUP($U$1045,'TAR FIN'!$A$1:$O$113,15,0)),0,VLOOKUP($U$1045,'TAR FIN'!$A$1:$O$113,15,0))</f>
        <v>292.36</v>
      </c>
      <c r="Y1045" s="6"/>
      <c r="Z1045" s="6">
        <f ca="1">('TUSD BE'!$AM$68+'TUSD BF'!$AM$68+'TUSD CVA'!$AM$68)*1</f>
        <v>393.28439820871614</v>
      </c>
      <c r="AA1045" s="6">
        <f>('TE BE'!$AB$46+'TE BF'!$AB$46+'TE CVA'!$AB$46)*1</f>
        <v>314.78517822974521</v>
      </c>
      <c r="AB1045" s="6">
        <f>$K$1045*$V$1045</f>
        <v>0</v>
      </c>
      <c r="AC1045" s="6">
        <f>$M$1045*$W$1045</f>
        <v>-334.53420000000006</v>
      </c>
      <c r="AD1045" s="6">
        <f>$O$1045*$X$1045</f>
        <v>-325.68904000000003</v>
      </c>
      <c r="AE1045" s="6">
        <f>$K$1045*$Y$1045</f>
        <v>0</v>
      </c>
      <c r="AF1045" s="6">
        <f ca="1">$M$1045*$Z$1045</f>
        <v>-438.11881960450984</v>
      </c>
      <c r="AG1045" s="6">
        <f>$O$1045*$AA$1045</f>
        <v>-350.67068854793621</v>
      </c>
    </row>
    <row r="1046" spans="1:33" ht="11.25" customHeight="1" x14ac:dyDescent="0.3">
      <c r="A1046" s="4" t="s">
        <v>28</v>
      </c>
      <c r="B1046" s="4" t="s">
        <v>37</v>
      </c>
      <c r="C1046" s="4" t="s">
        <v>23</v>
      </c>
      <c r="D1046" s="4" t="s">
        <v>42</v>
      </c>
      <c r="E1046" s="4" t="s">
        <v>25</v>
      </c>
      <c r="F1046" s="4" t="s">
        <v>25</v>
      </c>
      <c r="G1046" s="4" t="s">
        <v>25</v>
      </c>
      <c r="H1046" s="4" t="s">
        <v>25</v>
      </c>
      <c r="I1046" s="5">
        <v>44593</v>
      </c>
      <c r="J1046" s="6">
        <v>0</v>
      </c>
      <c r="K1046" s="6">
        <v>0</v>
      </c>
      <c r="L1046" s="6">
        <v>62.720999999999997</v>
      </c>
      <c r="M1046" s="6">
        <v>62.720999999999997</v>
      </c>
      <c r="N1046" s="6">
        <v>62.720999999999997</v>
      </c>
      <c r="O1046" s="6">
        <v>62.720999999999997</v>
      </c>
      <c r="P1046" s="6">
        <v>122</v>
      </c>
      <c r="Q1046" s="4" t="s">
        <v>26</v>
      </c>
      <c r="R1046" s="4">
        <v>0</v>
      </c>
      <c r="S1046" s="6">
        <v>0</v>
      </c>
      <c r="T1046" s="6">
        <v>63</v>
      </c>
      <c r="U1046" s="6">
        <v>91</v>
      </c>
      <c r="V1046" s="6">
        <f>IF(ISERROR(VLOOKUP($S$1046,'TAR FIN'!$A$1:$O$113,15,0)),0,VLOOKUP($S$1046,'TAR FIN'!$A$1:$O$113,15,0))</f>
        <v>0</v>
      </c>
      <c r="W1046" s="6">
        <f>IF(ISERROR(VLOOKUP($T$1046,'TAR FIN'!$A$1:$O$113,15,0)),0,VLOOKUP($T$1046,'TAR FIN'!$A$1:$O$113,15,0))</f>
        <v>300.3</v>
      </c>
      <c r="X1046" s="6">
        <f>IF(ISERROR(VLOOKUP($U$1046,'TAR FIN'!$A$1:$O$113,15,0)),0,VLOOKUP($U$1046,'TAR FIN'!$A$1:$O$113,15,0))</f>
        <v>292.36</v>
      </c>
      <c r="Y1046" s="6"/>
      <c r="Z1046" s="6">
        <f ca="1">('TUSD BE'!$AM$68+'TUSD BF'!$AM$68+'TUSD CVA'!$AM$68)*1</f>
        <v>393.28439820871614</v>
      </c>
      <c r="AA1046" s="6">
        <f>('TE BE'!$AB$46+'TE BF'!$AB$46+'TE CVA'!$AB$46)*1</f>
        <v>314.78517822974521</v>
      </c>
      <c r="AB1046" s="6">
        <f>$K$1046*$V$1046</f>
        <v>0</v>
      </c>
      <c r="AC1046" s="6">
        <f>$M$1046*$W$1046</f>
        <v>18835.116299999998</v>
      </c>
      <c r="AD1046" s="6">
        <f>$O$1046*$X$1046</f>
        <v>18337.111560000001</v>
      </c>
      <c r="AE1046" s="6">
        <f>$K$1046*$Y$1046</f>
        <v>0</v>
      </c>
      <c r="AF1046" s="6">
        <f ca="1">$M$1046*$Z$1046</f>
        <v>24667.190740048885</v>
      </c>
      <c r="AG1046" s="6">
        <f>$O$1046*$AA$1046</f>
        <v>19743.641163747849</v>
      </c>
    </row>
    <row r="1047" spans="1:33" ht="11.25" customHeight="1" x14ac:dyDescent="0.3">
      <c r="A1047" s="4" t="s">
        <v>21</v>
      </c>
      <c r="B1047" s="4" t="s">
        <v>37</v>
      </c>
      <c r="C1047" s="4" t="s">
        <v>23</v>
      </c>
      <c r="D1047" s="4" t="s">
        <v>42</v>
      </c>
      <c r="E1047" s="4" t="s">
        <v>25</v>
      </c>
      <c r="F1047" s="4" t="s">
        <v>25</v>
      </c>
      <c r="G1047" s="4" t="s">
        <v>25</v>
      </c>
      <c r="H1047" s="4" t="s">
        <v>25</v>
      </c>
      <c r="I1047" s="5">
        <v>44621</v>
      </c>
      <c r="J1047" s="6">
        <v>0</v>
      </c>
      <c r="K1047" s="6">
        <v>0</v>
      </c>
      <c r="L1047" s="6">
        <v>3354.5030000000002</v>
      </c>
      <c r="M1047" s="6">
        <v>3354.5030000000002</v>
      </c>
      <c r="N1047" s="6">
        <v>3354.5030000000002</v>
      </c>
      <c r="O1047" s="6">
        <v>3354.5030000000002</v>
      </c>
      <c r="P1047" s="6">
        <v>5471</v>
      </c>
      <c r="Q1047" s="4" t="s">
        <v>26</v>
      </c>
      <c r="R1047" s="4">
        <v>0</v>
      </c>
      <c r="S1047" s="6">
        <v>0</v>
      </c>
      <c r="T1047" s="6">
        <v>63</v>
      </c>
      <c r="U1047" s="6">
        <v>91</v>
      </c>
      <c r="V1047" s="6">
        <f>IF(ISERROR(VLOOKUP($S$1047,'TAR FIN'!$A$1:$O$113,15,0)),0,VLOOKUP($S$1047,'TAR FIN'!$A$1:$O$113,15,0))</f>
        <v>0</v>
      </c>
      <c r="W1047" s="6">
        <f>IF(ISERROR(VLOOKUP($T$1047,'TAR FIN'!$A$1:$O$113,15,0)),0,VLOOKUP($T$1047,'TAR FIN'!$A$1:$O$113,15,0))</f>
        <v>300.3</v>
      </c>
      <c r="X1047" s="6">
        <f>IF(ISERROR(VLOOKUP($U$1047,'TAR FIN'!$A$1:$O$113,15,0)),0,VLOOKUP($U$1047,'TAR FIN'!$A$1:$O$113,15,0))</f>
        <v>292.36</v>
      </c>
      <c r="Y1047" s="6"/>
      <c r="Z1047" s="6">
        <f ca="1">('TUSD BE'!$AM$68+'TUSD BF'!$AM$68+'TUSD CVA'!$AM$68)*1</f>
        <v>393.28439820871614</v>
      </c>
      <c r="AA1047" s="6">
        <f>('TE BE'!$AB$46+'TE BF'!$AB$46+'TE CVA'!$AB$46)*1</f>
        <v>314.78517822974521</v>
      </c>
      <c r="AB1047" s="6">
        <f>$K$1047*$V$1047</f>
        <v>0</v>
      </c>
      <c r="AC1047" s="6">
        <f>$M$1047*$W$1047</f>
        <v>1007357.2509000001</v>
      </c>
      <c r="AD1047" s="6">
        <f>$O$1047*$X$1047</f>
        <v>980722.49708000012</v>
      </c>
      <c r="AE1047" s="6">
        <f>$K$1047*$Y$1047</f>
        <v>0</v>
      </c>
      <c r="AF1047" s="6">
        <f ca="1">$M$1047*$Z$1047</f>
        <v>1319273.6936443329</v>
      </c>
      <c r="AG1047" s="6">
        <f>$O$1047*$AA$1047</f>
        <v>1055947.8247272151</v>
      </c>
    </row>
    <row r="1048" spans="1:33" ht="11.25" customHeight="1" x14ac:dyDescent="0.3">
      <c r="A1048" s="4" t="s">
        <v>27</v>
      </c>
      <c r="B1048" s="4" t="s">
        <v>37</v>
      </c>
      <c r="C1048" s="4" t="s">
        <v>23</v>
      </c>
      <c r="D1048" s="4" t="s">
        <v>42</v>
      </c>
      <c r="E1048" s="4" t="s">
        <v>25</v>
      </c>
      <c r="F1048" s="4" t="s">
        <v>25</v>
      </c>
      <c r="G1048" s="4" t="s">
        <v>25</v>
      </c>
      <c r="H1048" s="4" t="s">
        <v>25</v>
      </c>
      <c r="I1048" s="5">
        <v>44621</v>
      </c>
      <c r="J1048" s="6">
        <v>0</v>
      </c>
      <c r="K1048" s="6">
        <v>0</v>
      </c>
      <c r="L1048" s="6">
        <v>6.8000000000000005E-2</v>
      </c>
      <c r="M1048" s="6">
        <v>6.8000000000000005E-2</v>
      </c>
      <c r="N1048" s="6">
        <v>6.8000000000000005E-2</v>
      </c>
      <c r="O1048" s="6">
        <v>6.8000000000000005E-2</v>
      </c>
      <c r="P1048" s="6">
        <v>0</v>
      </c>
      <c r="Q1048" s="4" t="s">
        <v>26</v>
      </c>
      <c r="R1048" s="4">
        <v>0</v>
      </c>
      <c r="S1048" s="6">
        <v>0</v>
      </c>
      <c r="T1048" s="6">
        <v>63</v>
      </c>
      <c r="U1048" s="6">
        <v>91</v>
      </c>
      <c r="V1048" s="6">
        <f>IF(ISERROR(VLOOKUP($S$1048,'TAR FIN'!$A$1:$O$113,15,0)),0,VLOOKUP($S$1048,'TAR FIN'!$A$1:$O$113,15,0))</f>
        <v>0</v>
      </c>
      <c r="W1048" s="6">
        <f>IF(ISERROR(VLOOKUP($T$1048,'TAR FIN'!$A$1:$O$113,15,0)),0,VLOOKUP($T$1048,'TAR FIN'!$A$1:$O$113,15,0))</f>
        <v>300.3</v>
      </c>
      <c r="X1048" s="6">
        <f>IF(ISERROR(VLOOKUP($U$1048,'TAR FIN'!$A$1:$O$113,15,0)),0,VLOOKUP($U$1048,'TAR FIN'!$A$1:$O$113,15,0))</f>
        <v>292.36</v>
      </c>
      <c r="Y1048" s="6"/>
      <c r="Z1048" s="6">
        <f ca="1">('TUSD BE'!$AM$68+'TUSD BF'!$AM$68+'TUSD CVA'!$AM$68)*1</f>
        <v>393.28439820871614</v>
      </c>
      <c r="AA1048" s="6">
        <f>('TE BE'!$AB$46+'TE BF'!$AB$46+'TE CVA'!$AB$46)*1</f>
        <v>314.78517822974521</v>
      </c>
      <c r="AB1048" s="6">
        <f>$K$1048*$V$1048</f>
        <v>0</v>
      </c>
      <c r="AC1048" s="6">
        <f>$M$1048*$W$1048</f>
        <v>20.420400000000001</v>
      </c>
      <c r="AD1048" s="6">
        <f>$O$1048*$X$1048</f>
        <v>19.880480000000002</v>
      </c>
      <c r="AE1048" s="6">
        <f>$K$1048*$Y$1048</f>
        <v>0</v>
      </c>
      <c r="AF1048" s="6">
        <f ca="1">$M$1048*$Z$1048</f>
        <v>26.743339078192701</v>
      </c>
      <c r="AG1048" s="6">
        <f>$O$1048*$AA$1048</f>
        <v>21.405392119622675</v>
      </c>
    </row>
    <row r="1049" spans="1:33" ht="11.25" customHeight="1" x14ac:dyDescent="0.3">
      <c r="A1049" s="4" t="s">
        <v>28</v>
      </c>
      <c r="B1049" s="4" t="s">
        <v>37</v>
      </c>
      <c r="C1049" s="4" t="s">
        <v>23</v>
      </c>
      <c r="D1049" s="4" t="s">
        <v>42</v>
      </c>
      <c r="E1049" s="4" t="s">
        <v>25</v>
      </c>
      <c r="F1049" s="4" t="s">
        <v>25</v>
      </c>
      <c r="G1049" s="4" t="s">
        <v>25</v>
      </c>
      <c r="H1049" s="4" t="s">
        <v>25</v>
      </c>
      <c r="I1049" s="5">
        <v>44621</v>
      </c>
      <c r="J1049" s="6">
        <v>0</v>
      </c>
      <c r="K1049" s="6">
        <v>0</v>
      </c>
      <c r="L1049" s="6">
        <v>60.561999999999998</v>
      </c>
      <c r="M1049" s="6">
        <v>60.561999999999998</v>
      </c>
      <c r="N1049" s="6">
        <v>60.561999999999998</v>
      </c>
      <c r="O1049" s="6">
        <v>60.561999999999998</v>
      </c>
      <c r="P1049" s="6">
        <v>125</v>
      </c>
      <c r="Q1049" s="4" t="s">
        <v>26</v>
      </c>
      <c r="R1049" s="4">
        <v>0</v>
      </c>
      <c r="S1049" s="6">
        <v>0</v>
      </c>
      <c r="T1049" s="6">
        <v>63</v>
      </c>
      <c r="U1049" s="6">
        <v>91</v>
      </c>
      <c r="V1049" s="6">
        <f>IF(ISERROR(VLOOKUP($S$1049,'TAR FIN'!$A$1:$O$113,15,0)),0,VLOOKUP($S$1049,'TAR FIN'!$A$1:$O$113,15,0))</f>
        <v>0</v>
      </c>
      <c r="W1049" s="6">
        <f>IF(ISERROR(VLOOKUP($T$1049,'TAR FIN'!$A$1:$O$113,15,0)),0,VLOOKUP($T$1049,'TAR FIN'!$A$1:$O$113,15,0))</f>
        <v>300.3</v>
      </c>
      <c r="X1049" s="6">
        <f>IF(ISERROR(VLOOKUP($U$1049,'TAR FIN'!$A$1:$O$113,15,0)),0,VLOOKUP($U$1049,'TAR FIN'!$A$1:$O$113,15,0))</f>
        <v>292.36</v>
      </c>
      <c r="Y1049" s="6"/>
      <c r="Z1049" s="6">
        <f ca="1">('TUSD BE'!$AM$68+'TUSD BF'!$AM$68+'TUSD CVA'!$AM$68)*1</f>
        <v>393.28439820871614</v>
      </c>
      <c r="AA1049" s="6">
        <f>('TE BE'!$AB$46+'TE BF'!$AB$46+'TE CVA'!$AB$46)*1</f>
        <v>314.78517822974521</v>
      </c>
      <c r="AB1049" s="6">
        <f>$K$1049*$V$1049</f>
        <v>0</v>
      </c>
      <c r="AC1049" s="6">
        <f>$M$1049*$W$1049</f>
        <v>18186.768599999999</v>
      </c>
      <c r="AD1049" s="6">
        <f>$O$1049*$X$1049</f>
        <v>17705.906320000002</v>
      </c>
      <c r="AE1049" s="6">
        <f>$K$1049*$Y$1049</f>
        <v>0</v>
      </c>
      <c r="AF1049" s="6">
        <f ca="1">$M$1049*$Z$1049</f>
        <v>23818.089724316265</v>
      </c>
      <c r="AG1049" s="6">
        <f>$O$1049*$AA$1049</f>
        <v>19064.019963949828</v>
      </c>
    </row>
    <row r="1050" spans="1:33" ht="11.25" customHeight="1" x14ac:dyDescent="0.3">
      <c r="A1050" s="4" t="s">
        <v>21</v>
      </c>
      <c r="B1050" s="4" t="s">
        <v>37</v>
      </c>
      <c r="C1050" s="4" t="s">
        <v>23</v>
      </c>
      <c r="D1050" s="4" t="s">
        <v>42</v>
      </c>
      <c r="E1050" s="4" t="s">
        <v>25</v>
      </c>
      <c r="F1050" s="4" t="s">
        <v>25</v>
      </c>
      <c r="G1050" s="4" t="s">
        <v>25</v>
      </c>
      <c r="H1050" s="4" t="s">
        <v>25</v>
      </c>
      <c r="I1050" s="5">
        <v>44652</v>
      </c>
      <c r="J1050" s="6">
        <v>0</v>
      </c>
      <c r="K1050" s="6">
        <v>0</v>
      </c>
      <c r="L1050" s="6">
        <v>3565.6779999999999</v>
      </c>
      <c r="M1050" s="6">
        <v>3565.6779999999999</v>
      </c>
      <c r="N1050" s="6">
        <v>3565.6779999999999</v>
      </c>
      <c r="O1050" s="6">
        <v>3565.6779999999999</v>
      </c>
      <c r="P1050" s="6">
        <v>5498</v>
      </c>
      <c r="Q1050" s="4" t="s">
        <v>26</v>
      </c>
      <c r="R1050" s="4">
        <v>0</v>
      </c>
      <c r="S1050" s="6">
        <v>0</v>
      </c>
      <c r="T1050" s="6">
        <v>63</v>
      </c>
      <c r="U1050" s="6">
        <v>91</v>
      </c>
      <c r="V1050" s="6">
        <f>IF(ISERROR(VLOOKUP($S$1050,'TAR FIN'!$A$1:$O$113,15,0)),0,VLOOKUP($S$1050,'TAR FIN'!$A$1:$O$113,15,0))</f>
        <v>0</v>
      </c>
      <c r="W1050" s="6">
        <f>IF(ISERROR(VLOOKUP($T$1050,'TAR FIN'!$A$1:$O$113,15,0)),0,VLOOKUP($T$1050,'TAR FIN'!$A$1:$O$113,15,0))</f>
        <v>300.3</v>
      </c>
      <c r="X1050" s="6">
        <f>IF(ISERROR(VLOOKUP($U$1050,'TAR FIN'!$A$1:$O$113,15,0)),0,VLOOKUP($U$1050,'TAR FIN'!$A$1:$O$113,15,0))</f>
        <v>292.36</v>
      </c>
      <c r="Y1050" s="6"/>
      <c r="Z1050" s="6">
        <f ca="1">('TUSD BE'!$AM$68+'TUSD BF'!$AM$68+'TUSD CVA'!$AM$68)*1</f>
        <v>393.28439820871614</v>
      </c>
      <c r="AA1050" s="6">
        <f>('TE BE'!$AB$46+'TE BF'!$AB$46+'TE CVA'!$AB$46)*1</f>
        <v>314.78517822974521</v>
      </c>
      <c r="AB1050" s="6">
        <f>$K$1050*$V$1050</f>
        <v>0</v>
      </c>
      <c r="AC1050" s="6">
        <f>$M$1050*$W$1050</f>
        <v>1070773.1033999999</v>
      </c>
      <c r="AD1050" s="6">
        <f>$O$1050*$X$1050</f>
        <v>1042461.62008</v>
      </c>
      <c r="AE1050" s="6">
        <f>$K$1050*$Y$1050</f>
        <v>0</v>
      </c>
      <c r="AF1050" s="6">
        <f ca="1">$M$1050*$Z$1050</f>
        <v>1402325.5264360586</v>
      </c>
      <c r="AG1050" s="6">
        <f>$O$1050*$AA$1050</f>
        <v>1122422.5847398813</v>
      </c>
    </row>
    <row r="1051" spans="1:33" ht="11.25" customHeight="1" x14ac:dyDescent="0.3">
      <c r="A1051" s="4" t="s">
        <v>27</v>
      </c>
      <c r="B1051" s="4" t="s">
        <v>37</v>
      </c>
      <c r="C1051" s="4" t="s">
        <v>23</v>
      </c>
      <c r="D1051" s="4" t="s">
        <v>42</v>
      </c>
      <c r="E1051" s="4" t="s">
        <v>25</v>
      </c>
      <c r="F1051" s="4" t="s">
        <v>25</v>
      </c>
      <c r="G1051" s="4" t="s">
        <v>25</v>
      </c>
      <c r="H1051" s="4" t="s">
        <v>25</v>
      </c>
      <c r="I1051" s="5">
        <v>44652</v>
      </c>
      <c r="J1051" s="6">
        <v>0</v>
      </c>
      <c r="K1051" s="6">
        <v>0</v>
      </c>
      <c r="L1051" s="6">
        <v>4.891</v>
      </c>
      <c r="M1051" s="6">
        <v>4.891</v>
      </c>
      <c r="N1051" s="6">
        <v>4.891</v>
      </c>
      <c r="O1051" s="6">
        <v>4.891</v>
      </c>
      <c r="P1051" s="6">
        <v>0</v>
      </c>
      <c r="Q1051" s="4" t="s">
        <v>26</v>
      </c>
      <c r="R1051" s="4">
        <v>0</v>
      </c>
      <c r="S1051" s="6">
        <v>0</v>
      </c>
      <c r="T1051" s="6">
        <v>63</v>
      </c>
      <c r="U1051" s="6">
        <v>91</v>
      </c>
      <c r="V1051" s="6">
        <f>IF(ISERROR(VLOOKUP($S$1051,'TAR FIN'!$A$1:$O$113,15,0)),0,VLOOKUP($S$1051,'TAR FIN'!$A$1:$O$113,15,0))</f>
        <v>0</v>
      </c>
      <c r="W1051" s="6">
        <f>IF(ISERROR(VLOOKUP($T$1051,'TAR FIN'!$A$1:$O$113,15,0)),0,VLOOKUP($T$1051,'TAR FIN'!$A$1:$O$113,15,0))</f>
        <v>300.3</v>
      </c>
      <c r="X1051" s="6">
        <f>IF(ISERROR(VLOOKUP($U$1051,'TAR FIN'!$A$1:$O$113,15,0)),0,VLOOKUP($U$1051,'TAR FIN'!$A$1:$O$113,15,0))</f>
        <v>292.36</v>
      </c>
      <c r="Y1051" s="6"/>
      <c r="Z1051" s="6">
        <f ca="1">('TUSD BE'!$AM$68+'TUSD BF'!$AM$68+'TUSD CVA'!$AM$68)*1</f>
        <v>393.28439820871614</v>
      </c>
      <c r="AA1051" s="6">
        <f>('TE BE'!$AB$46+'TE BF'!$AB$46+'TE CVA'!$AB$46)*1</f>
        <v>314.78517822974521</v>
      </c>
      <c r="AB1051" s="6">
        <f>$K$1051*$V$1051</f>
        <v>0</v>
      </c>
      <c r="AC1051" s="6">
        <f>$M$1051*$W$1051</f>
        <v>1468.7673</v>
      </c>
      <c r="AD1051" s="6">
        <f>$O$1051*$X$1051</f>
        <v>1429.9327600000001</v>
      </c>
      <c r="AE1051" s="6">
        <f>$K$1051*$Y$1051</f>
        <v>0</v>
      </c>
      <c r="AF1051" s="6">
        <f ca="1">$M$1051*$Z$1051</f>
        <v>1923.5539916388307</v>
      </c>
      <c r="AG1051" s="6">
        <f>$O$1051*$AA$1051</f>
        <v>1539.6143067216838</v>
      </c>
    </row>
    <row r="1052" spans="1:33" ht="11.25" customHeight="1" x14ac:dyDescent="0.3">
      <c r="A1052" s="4" t="s">
        <v>28</v>
      </c>
      <c r="B1052" s="4" t="s">
        <v>37</v>
      </c>
      <c r="C1052" s="4" t="s">
        <v>23</v>
      </c>
      <c r="D1052" s="4" t="s">
        <v>42</v>
      </c>
      <c r="E1052" s="4" t="s">
        <v>25</v>
      </c>
      <c r="F1052" s="4" t="s">
        <v>25</v>
      </c>
      <c r="G1052" s="4" t="s">
        <v>25</v>
      </c>
      <c r="H1052" s="4" t="s">
        <v>25</v>
      </c>
      <c r="I1052" s="5">
        <v>44652</v>
      </c>
      <c r="J1052" s="6">
        <v>0</v>
      </c>
      <c r="K1052" s="6">
        <v>0</v>
      </c>
      <c r="L1052" s="6">
        <v>77.751999999999995</v>
      </c>
      <c r="M1052" s="6">
        <v>77.751999999999995</v>
      </c>
      <c r="N1052" s="6">
        <v>77.751999999999995</v>
      </c>
      <c r="O1052" s="6">
        <v>77.751999999999995</v>
      </c>
      <c r="P1052" s="6">
        <v>137</v>
      </c>
      <c r="Q1052" s="4" t="s">
        <v>26</v>
      </c>
      <c r="R1052" s="4">
        <v>0</v>
      </c>
      <c r="S1052" s="6">
        <v>0</v>
      </c>
      <c r="T1052" s="6">
        <v>63</v>
      </c>
      <c r="U1052" s="6">
        <v>91</v>
      </c>
      <c r="V1052" s="6">
        <f>IF(ISERROR(VLOOKUP($S$1052,'TAR FIN'!$A$1:$O$113,15,0)),0,VLOOKUP($S$1052,'TAR FIN'!$A$1:$O$113,15,0))</f>
        <v>0</v>
      </c>
      <c r="W1052" s="6">
        <f>IF(ISERROR(VLOOKUP($T$1052,'TAR FIN'!$A$1:$O$113,15,0)),0,VLOOKUP($T$1052,'TAR FIN'!$A$1:$O$113,15,0))</f>
        <v>300.3</v>
      </c>
      <c r="X1052" s="6">
        <f>IF(ISERROR(VLOOKUP($U$1052,'TAR FIN'!$A$1:$O$113,15,0)),0,VLOOKUP($U$1052,'TAR FIN'!$A$1:$O$113,15,0))</f>
        <v>292.36</v>
      </c>
      <c r="Y1052" s="6"/>
      <c r="Z1052" s="6">
        <f ca="1">('TUSD BE'!$AM$68+'TUSD BF'!$AM$68+'TUSD CVA'!$AM$68)*1</f>
        <v>393.28439820871614</v>
      </c>
      <c r="AA1052" s="6">
        <f>('TE BE'!$AB$46+'TE BF'!$AB$46+'TE CVA'!$AB$46)*1</f>
        <v>314.78517822974521</v>
      </c>
      <c r="AB1052" s="6">
        <f>$K$1052*$V$1052</f>
        <v>0</v>
      </c>
      <c r="AC1052" s="6">
        <f>$M$1052*$W$1052</f>
        <v>23348.925599999999</v>
      </c>
      <c r="AD1052" s="6">
        <f>$O$1052*$X$1052</f>
        <v>22731.574720000001</v>
      </c>
      <c r="AE1052" s="6">
        <f>$K$1052*$Y$1052</f>
        <v>0</v>
      </c>
      <c r="AF1052" s="6">
        <f ca="1">$M$1052*$Z$1052</f>
        <v>30578.648529524096</v>
      </c>
      <c r="AG1052" s="6">
        <f>$O$1052*$AA$1052</f>
        <v>24475.17717771915</v>
      </c>
    </row>
    <row r="1053" spans="1:33" ht="11.25" customHeight="1" x14ac:dyDescent="0.3">
      <c r="A1053" s="4" t="s">
        <v>21</v>
      </c>
      <c r="B1053" s="4" t="s">
        <v>37</v>
      </c>
      <c r="C1053" s="4" t="s">
        <v>23</v>
      </c>
      <c r="D1053" s="4" t="s">
        <v>42</v>
      </c>
      <c r="E1053" s="4" t="s">
        <v>25</v>
      </c>
      <c r="F1053" s="4" t="s">
        <v>25</v>
      </c>
      <c r="G1053" s="4" t="s">
        <v>25</v>
      </c>
      <c r="H1053" s="4" t="s">
        <v>25</v>
      </c>
      <c r="I1053" s="5">
        <v>44682</v>
      </c>
      <c r="J1053" s="6">
        <v>0</v>
      </c>
      <c r="K1053" s="6">
        <v>0</v>
      </c>
      <c r="L1053" s="6">
        <v>3249.4789999999998</v>
      </c>
      <c r="M1053" s="6">
        <v>3249.4789999999998</v>
      </c>
      <c r="N1053" s="6">
        <v>3249.4789999999998</v>
      </c>
      <c r="O1053" s="6">
        <v>3249.4789999999998</v>
      </c>
      <c r="P1053" s="6">
        <v>5515</v>
      </c>
      <c r="Q1053" s="4" t="s">
        <v>26</v>
      </c>
      <c r="R1053" s="4">
        <v>0</v>
      </c>
      <c r="S1053" s="6">
        <v>0</v>
      </c>
      <c r="T1053" s="6">
        <v>63</v>
      </c>
      <c r="U1053" s="6">
        <v>91</v>
      </c>
      <c r="V1053" s="6">
        <f>IF(ISERROR(VLOOKUP($S$1053,'TAR FIN'!$A$1:$O$113,15,0)),0,VLOOKUP($S$1053,'TAR FIN'!$A$1:$O$113,15,0))</f>
        <v>0</v>
      </c>
      <c r="W1053" s="6">
        <f>IF(ISERROR(VLOOKUP($T$1053,'TAR FIN'!$A$1:$O$113,15,0)),0,VLOOKUP($T$1053,'TAR FIN'!$A$1:$O$113,15,0))</f>
        <v>300.3</v>
      </c>
      <c r="X1053" s="6">
        <f>IF(ISERROR(VLOOKUP($U$1053,'TAR FIN'!$A$1:$O$113,15,0)),0,VLOOKUP($U$1053,'TAR FIN'!$A$1:$O$113,15,0))</f>
        <v>292.36</v>
      </c>
      <c r="Y1053" s="6"/>
      <c r="Z1053" s="6">
        <f ca="1">('TUSD BE'!$AM$68+'TUSD BF'!$AM$68+'TUSD CVA'!$AM$68)*1</f>
        <v>393.28439820871614</v>
      </c>
      <c r="AA1053" s="6">
        <f>('TE BE'!$AB$46+'TE BF'!$AB$46+'TE CVA'!$AB$46)*1</f>
        <v>314.78517822974521</v>
      </c>
      <c r="AB1053" s="6">
        <f>$K$1053*$V$1053</f>
        <v>0</v>
      </c>
      <c r="AC1053" s="6">
        <f>$M$1053*$W$1053</f>
        <v>975818.54370000004</v>
      </c>
      <c r="AD1053" s="6">
        <f>$O$1053*$X$1053</f>
        <v>950017.68044000003</v>
      </c>
      <c r="AE1053" s="6">
        <f>$K$1053*$Y$1053</f>
        <v>0</v>
      </c>
      <c r="AF1053" s="6">
        <f ca="1">$M$1053*$Z$1053</f>
        <v>1277969.3930068607</v>
      </c>
      <c r="AG1053" s="6">
        <f>$O$1053*$AA$1053</f>
        <v>1022887.8261688142</v>
      </c>
    </row>
    <row r="1054" spans="1:33" ht="11.25" customHeight="1" x14ac:dyDescent="0.3">
      <c r="A1054" s="4" t="s">
        <v>27</v>
      </c>
      <c r="B1054" s="4" t="s">
        <v>37</v>
      </c>
      <c r="C1054" s="4" t="s">
        <v>23</v>
      </c>
      <c r="D1054" s="4" t="s">
        <v>42</v>
      </c>
      <c r="E1054" s="4" t="s">
        <v>25</v>
      </c>
      <c r="F1054" s="4" t="s">
        <v>25</v>
      </c>
      <c r="G1054" s="4" t="s">
        <v>25</v>
      </c>
      <c r="H1054" s="4" t="s">
        <v>25</v>
      </c>
      <c r="I1054" s="5">
        <v>44682</v>
      </c>
      <c r="J1054" s="6">
        <v>0</v>
      </c>
      <c r="K1054" s="6">
        <v>0</v>
      </c>
      <c r="L1054" s="6">
        <v>-10.763999999999999</v>
      </c>
      <c r="M1054" s="6">
        <v>-10.763999999999999</v>
      </c>
      <c r="N1054" s="6">
        <v>-10.763999999999999</v>
      </c>
      <c r="O1054" s="6">
        <v>-10.763999999999999</v>
      </c>
      <c r="P1054" s="6">
        <v>0</v>
      </c>
      <c r="Q1054" s="4" t="s">
        <v>26</v>
      </c>
      <c r="R1054" s="4">
        <v>0</v>
      </c>
      <c r="S1054" s="6">
        <v>0</v>
      </c>
      <c r="T1054" s="6">
        <v>63</v>
      </c>
      <c r="U1054" s="6">
        <v>91</v>
      </c>
      <c r="V1054" s="6">
        <f>IF(ISERROR(VLOOKUP($S$1054,'TAR FIN'!$A$1:$O$113,15,0)),0,VLOOKUP($S$1054,'TAR FIN'!$A$1:$O$113,15,0))</f>
        <v>0</v>
      </c>
      <c r="W1054" s="6">
        <f>IF(ISERROR(VLOOKUP($T$1054,'TAR FIN'!$A$1:$O$113,15,0)),0,VLOOKUP($T$1054,'TAR FIN'!$A$1:$O$113,15,0))</f>
        <v>300.3</v>
      </c>
      <c r="X1054" s="6">
        <f>IF(ISERROR(VLOOKUP($U$1054,'TAR FIN'!$A$1:$O$113,15,0)),0,VLOOKUP($U$1054,'TAR FIN'!$A$1:$O$113,15,0))</f>
        <v>292.36</v>
      </c>
      <c r="Y1054" s="6"/>
      <c r="Z1054" s="6">
        <f ca="1">('TUSD BE'!$AM$68+'TUSD BF'!$AM$68+'TUSD CVA'!$AM$68)*1</f>
        <v>393.28439820871614</v>
      </c>
      <c r="AA1054" s="6">
        <f>('TE BE'!$AB$46+'TE BF'!$AB$46+'TE CVA'!$AB$46)*1</f>
        <v>314.78517822974521</v>
      </c>
      <c r="AB1054" s="6">
        <f>$K$1054*$V$1054</f>
        <v>0</v>
      </c>
      <c r="AC1054" s="6">
        <f>$M$1054*$W$1054</f>
        <v>-3232.4292</v>
      </c>
      <c r="AD1054" s="6">
        <f>$O$1054*$X$1054</f>
        <v>-3146.9630400000001</v>
      </c>
      <c r="AE1054" s="6">
        <f>$K$1054*$Y$1054</f>
        <v>0</v>
      </c>
      <c r="AF1054" s="6">
        <f ca="1">$M$1054*$Z$1054</f>
        <v>-4233.3132623186202</v>
      </c>
      <c r="AG1054" s="6">
        <f>$O$1054*$AA$1054</f>
        <v>-3388.3476584649775</v>
      </c>
    </row>
    <row r="1055" spans="1:33" ht="11.25" customHeight="1" x14ac:dyDescent="0.3">
      <c r="A1055" s="4" t="s">
        <v>28</v>
      </c>
      <c r="B1055" s="4" t="s">
        <v>37</v>
      </c>
      <c r="C1055" s="4" t="s">
        <v>23</v>
      </c>
      <c r="D1055" s="4" t="s">
        <v>42</v>
      </c>
      <c r="E1055" s="4" t="s">
        <v>25</v>
      </c>
      <c r="F1055" s="4" t="s">
        <v>25</v>
      </c>
      <c r="G1055" s="4" t="s">
        <v>25</v>
      </c>
      <c r="H1055" s="4" t="s">
        <v>25</v>
      </c>
      <c r="I1055" s="5">
        <v>44682</v>
      </c>
      <c r="J1055" s="6">
        <v>0</v>
      </c>
      <c r="K1055" s="6">
        <v>0</v>
      </c>
      <c r="L1055" s="6">
        <v>71.489999999999995</v>
      </c>
      <c r="M1055" s="6">
        <v>71.489999999999995</v>
      </c>
      <c r="N1055" s="6">
        <v>71.489999999999995</v>
      </c>
      <c r="O1055" s="6">
        <v>71.489999999999995</v>
      </c>
      <c r="P1055" s="6">
        <v>148</v>
      </c>
      <c r="Q1055" s="4" t="s">
        <v>26</v>
      </c>
      <c r="R1055" s="4">
        <v>0</v>
      </c>
      <c r="S1055" s="6">
        <v>0</v>
      </c>
      <c r="T1055" s="6">
        <v>63</v>
      </c>
      <c r="U1055" s="6">
        <v>91</v>
      </c>
      <c r="V1055" s="6">
        <f>IF(ISERROR(VLOOKUP($S$1055,'TAR FIN'!$A$1:$O$113,15,0)),0,VLOOKUP($S$1055,'TAR FIN'!$A$1:$O$113,15,0))</f>
        <v>0</v>
      </c>
      <c r="W1055" s="6">
        <f>IF(ISERROR(VLOOKUP($T$1055,'TAR FIN'!$A$1:$O$113,15,0)),0,VLOOKUP($T$1055,'TAR FIN'!$A$1:$O$113,15,0))</f>
        <v>300.3</v>
      </c>
      <c r="X1055" s="6">
        <f>IF(ISERROR(VLOOKUP($U$1055,'TAR FIN'!$A$1:$O$113,15,0)),0,VLOOKUP($U$1055,'TAR FIN'!$A$1:$O$113,15,0))</f>
        <v>292.36</v>
      </c>
      <c r="Y1055" s="6"/>
      <c r="Z1055" s="6">
        <f ca="1">('TUSD BE'!$AM$68+'TUSD BF'!$AM$68+'TUSD CVA'!$AM$68)*1</f>
        <v>393.28439820871614</v>
      </c>
      <c r="AA1055" s="6">
        <f>('TE BE'!$AB$46+'TE BF'!$AB$46+'TE CVA'!$AB$46)*1</f>
        <v>314.78517822974521</v>
      </c>
      <c r="AB1055" s="6">
        <f>$K$1055*$V$1055</f>
        <v>0</v>
      </c>
      <c r="AC1055" s="6">
        <f>$M$1055*$W$1055</f>
        <v>21468.447</v>
      </c>
      <c r="AD1055" s="6">
        <f>$O$1055*$X$1055</f>
        <v>20900.8164</v>
      </c>
      <c r="AE1055" s="6">
        <f>$K$1055*$Y$1055</f>
        <v>0</v>
      </c>
      <c r="AF1055" s="6">
        <f ca="1">$M$1055*$Z$1055</f>
        <v>28115.901627941115</v>
      </c>
      <c r="AG1055" s="6">
        <f>$O$1055*$AA$1055</f>
        <v>22503.992391644482</v>
      </c>
    </row>
    <row r="1056" spans="1:33" ht="11.25" customHeight="1" x14ac:dyDescent="0.3">
      <c r="A1056" s="4" t="s">
        <v>21</v>
      </c>
      <c r="B1056" s="4" t="s">
        <v>37</v>
      </c>
      <c r="C1056" s="4" t="s">
        <v>23</v>
      </c>
      <c r="D1056" s="4" t="s">
        <v>42</v>
      </c>
      <c r="E1056" s="4" t="s">
        <v>25</v>
      </c>
      <c r="F1056" s="4" t="s">
        <v>25</v>
      </c>
      <c r="G1056" s="4" t="s">
        <v>25</v>
      </c>
      <c r="H1056" s="4" t="s">
        <v>25</v>
      </c>
      <c r="I1056" s="5">
        <v>44713</v>
      </c>
      <c r="J1056" s="6">
        <v>0</v>
      </c>
      <c r="K1056" s="6">
        <v>0</v>
      </c>
      <c r="L1056" s="6">
        <v>3046.7640000000001</v>
      </c>
      <c r="M1056" s="6">
        <v>3046.7640000000001</v>
      </c>
      <c r="N1056" s="6">
        <v>3046.7640000000001</v>
      </c>
      <c r="O1056" s="6">
        <v>3046.7640000000001</v>
      </c>
      <c r="P1056" s="6">
        <v>5530</v>
      </c>
      <c r="Q1056" s="4" t="s">
        <v>26</v>
      </c>
      <c r="R1056" s="4">
        <v>0</v>
      </c>
      <c r="S1056" s="6">
        <v>0</v>
      </c>
      <c r="T1056" s="6">
        <v>63</v>
      </c>
      <c r="U1056" s="6">
        <v>91</v>
      </c>
      <c r="V1056" s="6">
        <f>IF(ISERROR(VLOOKUP($S$1056,'TAR FIN'!$A$1:$O$113,15,0)),0,VLOOKUP($S$1056,'TAR FIN'!$A$1:$O$113,15,0))</f>
        <v>0</v>
      </c>
      <c r="W1056" s="6">
        <f>IF(ISERROR(VLOOKUP($T$1056,'TAR FIN'!$A$1:$O$113,15,0)),0,VLOOKUP($T$1056,'TAR FIN'!$A$1:$O$113,15,0))</f>
        <v>300.3</v>
      </c>
      <c r="X1056" s="6">
        <f>IF(ISERROR(VLOOKUP($U$1056,'TAR FIN'!$A$1:$O$113,15,0)),0,VLOOKUP($U$1056,'TAR FIN'!$A$1:$O$113,15,0))</f>
        <v>292.36</v>
      </c>
      <c r="Y1056" s="6"/>
      <c r="Z1056" s="6">
        <f ca="1">('TUSD BE'!$AM$68+'TUSD BF'!$AM$68+'TUSD CVA'!$AM$68)*1</f>
        <v>393.28439820871614</v>
      </c>
      <c r="AA1056" s="6">
        <f>('TE BE'!$AB$46+'TE BF'!$AB$46+'TE CVA'!$AB$46)*1</f>
        <v>314.78517822974521</v>
      </c>
      <c r="AB1056" s="6">
        <f>$K$1056*$V$1056</f>
        <v>0</v>
      </c>
      <c r="AC1056" s="6">
        <f>$M$1056*$W$1056</f>
        <v>914943.22920000006</v>
      </c>
      <c r="AD1056" s="6">
        <f>$O$1056*$X$1056</f>
        <v>890751.92304000002</v>
      </c>
      <c r="AE1056" s="6">
        <f>$K$1056*$Y$1056</f>
        <v>0</v>
      </c>
      <c r="AF1056" s="6">
        <f ca="1">$M$1056*$Z$1056</f>
        <v>1198244.7462239808</v>
      </c>
      <c r="AG1056" s="6">
        <f>$O$1056*$AA$1056</f>
        <v>959076.14876397152</v>
      </c>
    </row>
    <row r="1057" spans="1:33" ht="11.25" customHeight="1" x14ac:dyDescent="0.3">
      <c r="A1057" s="4" t="s">
        <v>27</v>
      </c>
      <c r="B1057" s="4" t="s">
        <v>37</v>
      </c>
      <c r="C1057" s="4" t="s">
        <v>23</v>
      </c>
      <c r="D1057" s="4" t="s">
        <v>42</v>
      </c>
      <c r="E1057" s="4" t="s">
        <v>25</v>
      </c>
      <c r="F1057" s="4" t="s">
        <v>25</v>
      </c>
      <c r="G1057" s="4" t="s">
        <v>25</v>
      </c>
      <c r="H1057" s="4" t="s">
        <v>25</v>
      </c>
      <c r="I1057" s="5">
        <v>44713</v>
      </c>
      <c r="J1057" s="6">
        <v>0</v>
      </c>
      <c r="K1057" s="6">
        <v>0</v>
      </c>
      <c r="L1057" s="6">
        <v>-22.873999999999999</v>
      </c>
      <c r="M1057" s="6">
        <v>-22.873999999999999</v>
      </c>
      <c r="N1057" s="6">
        <v>-22.873999999999999</v>
      </c>
      <c r="O1057" s="6">
        <v>-22.873999999999999</v>
      </c>
      <c r="P1057" s="6">
        <v>0</v>
      </c>
      <c r="Q1057" s="4" t="s">
        <v>26</v>
      </c>
      <c r="R1057" s="4">
        <v>0</v>
      </c>
      <c r="S1057" s="6">
        <v>0</v>
      </c>
      <c r="T1057" s="6">
        <v>63</v>
      </c>
      <c r="U1057" s="6">
        <v>91</v>
      </c>
      <c r="V1057" s="6">
        <f>IF(ISERROR(VLOOKUP($S$1057,'TAR FIN'!$A$1:$O$113,15,0)),0,VLOOKUP($S$1057,'TAR FIN'!$A$1:$O$113,15,0))</f>
        <v>0</v>
      </c>
      <c r="W1057" s="6">
        <f>IF(ISERROR(VLOOKUP($T$1057,'TAR FIN'!$A$1:$O$113,15,0)),0,VLOOKUP($T$1057,'TAR FIN'!$A$1:$O$113,15,0))</f>
        <v>300.3</v>
      </c>
      <c r="X1057" s="6">
        <f>IF(ISERROR(VLOOKUP($U$1057,'TAR FIN'!$A$1:$O$113,15,0)),0,VLOOKUP($U$1057,'TAR FIN'!$A$1:$O$113,15,0))</f>
        <v>292.36</v>
      </c>
      <c r="Y1057" s="6"/>
      <c r="Z1057" s="6">
        <f ca="1">('TUSD BE'!$AM$68+'TUSD BF'!$AM$68+'TUSD CVA'!$AM$68)*1</f>
        <v>393.28439820871614</v>
      </c>
      <c r="AA1057" s="6">
        <f>('TE BE'!$AB$46+'TE BF'!$AB$46+'TE CVA'!$AB$46)*1</f>
        <v>314.78517822974521</v>
      </c>
      <c r="AB1057" s="6">
        <f>$K$1057*$V$1057</f>
        <v>0</v>
      </c>
      <c r="AC1057" s="6">
        <f>$M$1057*$W$1057</f>
        <v>-6869.0622000000003</v>
      </c>
      <c r="AD1057" s="6">
        <f>$O$1057*$X$1057</f>
        <v>-6687.4426400000002</v>
      </c>
      <c r="AE1057" s="6">
        <f>$K$1057*$Y$1057</f>
        <v>0</v>
      </c>
      <c r="AF1057" s="6">
        <f ca="1">$M$1057*$Z$1057</f>
        <v>-8995.9873246261723</v>
      </c>
      <c r="AG1057" s="6">
        <f>$O$1057*$AA$1057</f>
        <v>-7200.3961668271913</v>
      </c>
    </row>
    <row r="1058" spans="1:33" ht="11.25" customHeight="1" x14ac:dyDescent="0.3">
      <c r="A1058" s="4" t="s">
        <v>28</v>
      </c>
      <c r="B1058" s="4" t="s">
        <v>37</v>
      </c>
      <c r="C1058" s="4" t="s">
        <v>23</v>
      </c>
      <c r="D1058" s="4" t="s">
        <v>42</v>
      </c>
      <c r="E1058" s="4" t="s">
        <v>25</v>
      </c>
      <c r="F1058" s="4" t="s">
        <v>25</v>
      </c>
      <c r="G1058" s="4" t="s">
        <v>25</v>
      </c>
      <c r="H1058" s="4" t="s">
        <v>25</v>
      </c>
      <c r="I1058" s="5">
        <v>44713</v>
      </c>
      <c r="J1058" s="6">
        <v>0</v>
      </c>
      <c r="K1058" s="6">
        <v>0</v>
      </c>
      <c r="L1058" s="6">
        <v>79.274000000000001</v>
      </c>
      <c r="M1058" s="6">
        <v>79.274000000000001</v>
      </c>
      <c r="N1058" s="6">
        <v>79.274000000000001</v>
      </c>
      <c r="O1058" s="6">
        <v>79.274000000000001</v>
      </c>
      <c r="P1058" s="6">
        <v>160</v>
      </c>
      <c r="Q1058" s="4" t="s">
        <v>26</v>
      </c>
      <c r="R1058" s="4">
        <v>0</v>
      </c>
      <c r="S1058" s="6">
        <v>0</v>
      </c>
      <c r="T1058" s="6">
        <v>63</v>
      </c>
      <c r="U1058" s="6">
        <v>91</v>
      </c>
      <c r="V1058" s="6">
        <f>IF(ISERROR(VLOOKUP($S$1058,'TAR FIN'!$A$1:$O$113,15,0)),0,VLOOKUP($S$1058,'TAR FIN'!$A$1:$O$113,15,0))</f>
        <v>0</v>
      </c>
      <c r="W1058" s="6">
        <f>IF(ISERROR(VLOOKUP($T$1058,'TAR FIN'!$A$1:$O$113,15,0)),0,VLOOKUP($T$1058,'TAR FIN'!$A$1:$O$113,15,0))</f>
        <v>300.3</v>
      </c>
      <c r="X1058" s="6">
        <f>IF(ISERROR(VLOOKUP($U$1058,'TAR FIN'!$A$1:$O$113,15,0)),0,VLOOKUP($U$1058,'TAR FIN'!$A$1:$O$113,15,0))</f>
        <v>292.36</v>
      </c>
      <c r="Y1058" s="6"/>
      <c r="Z1058" s="6">
        <f ca="1">('TUSD BE'!$AM$68+'TUSD BF'!$AM$68+'TUSD CVA'!$AM$68)*1</f>
        <v>393.28439820871614</v>
      </c>
      <c r="AA1058" s="6">
        <f>('TE BE'!$AB$46+'TE BF'!$AB$46+'TE CVA'!$AB$46)*1</f>
        <v>314.78517822974521</v>
      </c>
      <c r="AB1058" s="6">
        <f>$K$1058*$V$1058</f>
        <v>0</v>
      </c>
      <c r="AC1058" s="6">
        <f>$M$1058*$W$1058</f>
        <v>23805.982200000002</v>
      </c>
      <c r="AD1058" s="6">
        <f>$O$1058*$X$1058</f>
        <v>23176.54664</v>
      </c>
      <c r="AE1058" s="6">
        <f>$K$1058*$Y$1058</f>
        <v>0</v>
      </c>
      <c r="AF1058" s="6">
        <f ca="1">$M$1058*$Z$1058</f>
        <v>31177.227383597765</v>
      </c>
      <c r="AG1058" s="6">
        <f>$O$1058*$AA$1058</f>
        <v>24954.280218984823</v>
      </c>
    </row>
    <row r="1059" spans="1:33" ht="11.25" customHeight="1" x14ac:dyDescent="0.3">
      <c r="A1059" s="4" t="s">
        <v>21</v>
      </c>
      <c r="B1059" s="4" t="s">
        <v>37</v>
      </c>
      <c r="C1059" s="4" t="s">
        <v>23</v>
      </c>
      <c r="D1059" s="4" t="s">
        <v>42</v>
      </c>
      <c r="E1059" s="4" t="s">
        <v>25</v>
      </c>
      <c r="F1059" s="4" t="s">
        <v>25</v>
      </c>
      <c r="G1059" s="4" t="s">
        <v>25</v>
      </c>
      <c r="H1059" s="4" t="s">
        <v>25</v>
      </c>
      <c r="I1059" s="5">
        <v>44743</v>
      </c>
      <c r="J1059" s="6">
        <v>0</v>
      </c>
      <c r="K1059" s="6">
        <v>0</v>
      </c>
      <c r="L1059" s="6">
        <v>3165.8670000000002</v>
      </c>
      <c r="M1059" s="6">
        <v>3165.8670000000002</v>
      </c>
      <c r="N1059" s="6">
        <v>3165.8670000000002</v>
      </c>
      <c r="O1059" s="6">
        <v>3165.8670000000002</v>
      </c>
      <c r="P1059" s="6">
        <v>5566</v>
      </c>
      <c r="Q1059" s="4" t="s">
        <v>26</v>
      </c>
      <c r="R1059" s="4">
        <v>0</v>
      </c>
      <c r="S1059" s="6">
        <v>0</v>
      </c>
      <c r="T1059" s="6">
        <v>63</v>
      </c>
      <c r="U1059" s="6">
        <v>91</v>
      </c>
      <c r="V1059" s="6">
        <f>IF(ISERROR(VLOOKUP($S$1059,'TAR FIN'!$A$1:$O$113,15,0)),0,VLOOKUP($S$1059,'TAR FIN'!$A$1:$O$113,15,0))</f>
        <v>0</v>
      </c>
      <c r="W1059" s="6">
        <f>IF(ISERROR(VLOOKUP($T$1059,'TAR FIN'!$A$1:$O$113,15,0)),0,VLOOKUP($T$1059,'TAR FIN'!$A$1:$O$113,15,0))</f>
        <v>300.3</v>
      </c>
      <c r="X1059" s="6">
        <f>IF(ISERROR(VLOOKUP($U$1059,'TAR FIN'!$A$1:$O$113,15,0)),0,VLOOKUP($U$1059,'TAR FIN'!$A$1:$O$113,15,0))</f>
        <v>292.36</v>
      </c>
      <c r="Y1059" s="6"/>
      <c r="Z1059" s="6">
        <f ca="1">('TUSD BE'!$AM$68+'TUSD BF'!$AM$68+'TUSD CVA'!$AM$68)*1</f>
        <v>393.28439820871614</v>
      </c>
      <c r="AA1059" s="6">
        <f>('TE BE'!$AB$46+'TE BF'!$AB$46+'TE CVA'!$AB$46)*1</f>
        <v>314.78517822974521</v>
      </c>
      <c r="AB1059" s="6">
        <f>$K$1059*$V$1059</f>
        <v>0</v>
      </c>
      <c r="AC1059" s="6">
        <f>$M$1059*$W$1059</f>
        <v>950709.86010000005</v>
      </c>
      <c r="AD1059" s="6">
        <f>$O$1059*$X$1059</f>
        <v>925572.87612000015</v>
      </c>
      <c r="AE1059" s="6">
        <f>$K$1059*$Y$1059</f>
        <v>0</v>
      </c>
      <c r="AF1059" s="6">
        <f ca="1">$M$1059*$Z$1059</f>
        <v>1245086.0979038337</v>
      </c>
      <c r="AG1059" s="6">
        <f>$O$1059*$AA$1059</f>
        <v>996568.00784666883</v>
      </c>
    </row>
    <row r="1060" spans="1:33" ht="11.25" customHeight="1" x14ac:dyDescent="0.3">
      <c r="A1060" s="4" t="s">
        <v>21</v>
      </c>
      <c r="B1060" s="4" t="s">
        <v>37</v>
      </c>
      <c r="C1060" s="4" t="s">
        <v>23</v>
      </c>
      <c r="D1060" s="4" t="s">
        <v>42</v>
      </c>
      <c r="E1060" s="4" t="s">
        <v>25</v>
      </c>
      <c r="F1060" s="4" t="s">
        <v>25</v>
      </c>
      <c r="G1060" s="4" t="s">
        <v>25</v>
      </c>
      <c r="H1060" s="4" t="s">
        <v>25</v>
      </c>
      <c r="I1060" s="5">
        <v>44774</v>
      </c>
      <c r="J1060" s="6">
        <v>0</v>
      </c>
      <c r="K1060" s="6">
        <v>0</v>
      </c>
      <c r="L1060" s="6">
        <v>2993.3609999999999</v>
      </c>
      <c r="M1060" s="6">
        <v>2993.3609999999999</v>
      </c>
      <c r="N1060" s="6">
        <v>2993.3609999999999</v>
      </c>
      <c r="O1060" s="6">
        <v>2993.3609999999999</v>
      </c>
      <c r="P1060" s="6">
        <v>5568</v>
      </c>
      <c r="Q1060" s="4" t="s">
        <v>26</v>
      </c>
      <c r="R1060" s="4">
        <v>0</v>
      </c>
      <c r="S1060" s="6">
        <v>0</v>
      </c>
      <c r="T1060" s="6">
        <v>63</v>
      </c>
      <c r="U1060" s="6">
        <v>91</v>
      </c>
      <c r="V1060" s="6">
        <f>IF(ISERROR(VLOOKUP($S$1060,'TAR FIN'!$A$1:$O$113,15,0)),0,VLOOKUP($S$1060,'TAR FIN'!$A$1:$O$113,15,0))</f>
        <v>0</v>
      </c>
      <c r="W1060" s="6">
        <f>IF(ISERROR(VLOOKUP($T$1060,'TAR FIN'!$A$1:$O$113,15,0)),0,VLOOKUP($T$1060,'TAR FIN'!$A$1:$O$113,15,0))</f>
        <v>300.3</v>
      </c>
      <c r="X1060" s="6">
        <f>IF(ISERROR(VLOOKUP($U$1060,'TAR FIN'!$A$1:$O$113,15,0)),0,VLOOKUP($U$1060,'TAR FIN'!$A$1:$O$113,15,0))</f>
        <v>292.36</v>
      </c>
      <c r="Y1060" s="6"/>
      <c r="Z1060" s="6">
        <f ca="1">('TUSD BE'!$AM$68+'TUSD BF'!$AM$68+'TUSD CVA'!$AM$68)*1</f>
        <v>393.28439820871614</v>
      </c>
      <c r="AA1060" s="6">
        <f>('TE BE'!$AB$46+'TE BF'!$AB$46+'TE CVA'!$AB$46)*1</f>
        <v>314.78517822974521</v>
      </c>
      <c r="AB1060" s="6">
        <f>$K$1060*$V$1060</f>
        <v>0</v>
      </c>
      <c r="AC1060" s="6">
        <f>$M$1060*$W$1060</f>
        <v>898906.30830000003</v>
      </c>
      <c r="AD1060" s="6">
        <f>$O$1060*$X$1060</f>
        <v>875139.02196000004</v>
      </c>
      <c r="AE1060" s="6">
        <f>$K$1060*$Y$1060</f>
        <v>0</v>
      </c>
      <c r="AF1060" s="6">
        <f ca="1">$M$1060*$Z$1060</f>
        <v>1177242.1795064406</v>
      </c>
      <c r="AG1060" s="6">
        <f>$O$1060*$AA$1060</f>
        <v>942265.6758909683</v>
      </c>
    </row>
    <row r="1061" spans="1:33" ht="11.25" customHeight="1" x14ac:dyDescent="0.3">
      <c r="A1061" s="4" t="s">
        <v>27</v>
      </c>
      <c r="B1061" s="4" t="s">
        <v>37</v>
      </c>
      <c r="C1061" s="4" t="s">
        <v>23</v>
      </c>
      <c r="D1061" s="4" t="s">
        <v>42</v>
      </c>
      <c r="E1061" s="4" t="s">
        <v>25</v>
      </c>
      <c r="F1061" s="4" t="s">
        <v>25</v>
      </c>
      <c r="G1061" s="4" t="s">
        <v>25</v>
      </c>
      <c r="H1061" s="4" t="s">
        <v>25</v>
      </c>
      <c r="I1061" s="5">
        <v>44774</v>
      </c>
      <c r="J1061" s="6">
        <v>0</v>
      </c>
      <c r="K1061" s="6">
        <v>0</v>
      </c>
      <c r="L1061" s="6">
        <v>-0.42599999999999999</v>
      </c>
      <c r="M1061" s="6">
        <v>-0.42599999999999999</v>
      </c>
      <c r="N1061" s="6">
        <v>-0.42599999999999999</v>
      </c>
      <c r="O1061" s="6">
        <v>-0.42599999999999999</v>
      </c>
      <c r="P1061" s="6">
        <v>0</v>
      </c>
      <c r="Q1061" s="4" t="s">
        <v>26</v>
      </c>
      <c r="R1061" s="4">
        <v>0</v>
      </c>
      <c r="S1061" s="6">
        <v>0</v>
      </c>
      <c r="T1061" s="6">
        <v>63</v>
      </c>
      <c r="U1061" s="6">
        <v>91</v>
      </c>
      <c r="V1061" s="6">
        <f>IF(ISERROR(VLOOKUP($S$1061,'TAR FIN'!$A$1:$O$113,15,0)),0,VLOOKUP($S$1061,'TAR FIN'!$A$1:$O$113,15,0))</f>
        <v>0</v>
      </c>
      <c r="W1061" s="6">
        <f>IF(ISERROR(VLOOKUP($T$1061,'TAR FIN'!$A$1:$O$113,15,0)),0,VLOOKUP($T$1061,'TAR FIN'!$A$1:$O$113,15,0))</f>
        <v>300.3</v>
      </c>
      <c r="X1061" s="6">
        <f>IF(ISERROR(VLOOKUP($U$1061,'TAR FIN'!$A$1:$O$113,15,0)),0,VLOOKUP($U$1061,'TAR FIN'!$A$1:$O$113,15,0))</f>
        <v>292.36</v>
      </c>
      <c r="Y1061" s="6"/>
      <c r="Z1061" s="6">
        <f ca="1">('TUSD BE'!$AM$68+'TUSD BF'!$AM$68+'TUSD CVA'!$AM$68)*1</f>
        <v>393.28439820871614</v>
      </c>
      <c r="AA1061" s="6">
        <f>('TE BE'!$AB$46+'TE BF'!$AB$46+'TE CVA'!$AB$46)*1</f>
        <v>314.78517822974521</v>
      </c>
      <c r="AB1061" s="6">
        <f>$K$1061*$V$1061</f>
        <v>0</v>
      </c>
      <c r="AC1061" s="6">
        <f>$M$1061*$W$1061</f>
        <v>-127.9278</v>
      </c>
      <c r="AD1061" s="6">
        <f>$O$1061*$X$1061</f>
        <v>-124.54536</v>
      </c>
      <c r="AE1061" s="6">
        <f>$K$1061*$Y$1061</f>
        <v>0</v>
      </c>
      <c r="AF1061" s="6">
        <f ca="1">$M$1061*$Z$1061</f>
        <v>-167.53915363691308</v>
      </c>
      <c r="AG1061" s="6">
        <f>$O$1061*$AA$1061</f>
        <v>-134.09848592587144</v>
      </c>
    </row>
    <row r="1062" spans="1:33" ht="11.25" customHeight="1" x14ac:dyDescent="0.3">
      <c r="A1062" s="4" t="s">
        <v>28</v>
      </c>
      <c r="B1062" s="4" t="s">
        <v>37</v>
      </c>
      <c r="C1062" s="4" t="s">
        <v>23</v>
      </c>
      <c r="D1062" s="4" t="s">
        <v>42</v>
      </c>
      <c r="E1062" s="4" t="s">
        <v>25</v>
      </c>
      <c r="F1062" s="4" t="s">
        <v>25</v>
      </c>
      <c r="G1062" s="4" t="s">
        <v>25</v>
      </c>
      <c r="H1062" s="4" t="s">
        <v>25</v>
      </c>
      <c r="I1062" s="5">
        <v>44774</v>
      </c>
      <c r="J1062" s="6">
        <v>0</v>
      </c>
      <c r="K1062" s="6">
        <v>0</v>
      </c>
      <c r="L1062" s="6">
        <v>86.825999999999993</v>
      </c>
      <c r="M1062" s="6">
        <v>86.825999999999993</v>
      </c>
      <c r="N1062" s="6">
        <v>86.825999999999993</v>
      </c>
      <c r="O1062" s="6">
        <v>86.825999999999993</v>
      </c>
      <c r="P1062" s="6">
        <v>183</v>
      </c>
      <c r="Q1062" s="4" t="s">
        <v>26</v>
      </c>
      <c r="R1062" s="4">
        <v>0</v>
      </c>
      <c r="S1062" s="6">
        <v>0</v>
      </c>
      <c r="T1062" s="6">
        <v>63</v>
      </c>
      <c r="U1062" s="6">
        <v>91</v>
      </c>
      <c r="V1062" s="6">
        <f>IF(ISERROR(VLOOKUP($S$1062,'TAR FIN'!$A$1:$O$113,15,0)),0,VLOOKUP($S$1062,'TAR FIN'!$A$1:$O$113,15,0))</f>
        <v>0</v>
      </c>
      <c r="W1062" s="6">
        <f>IF(ISERROR(VLOOKUP($T$1062,'TAR FIN'!$A$1:$O$113,15,0)),0,VLOOKUP($T$1062,'TAR FIN'!$A$1:$O$113,15,0))</f>
        <v>300.3</v>
      </c>
      <c r="X1062" s="6">
        <f>IF(ISERROR(VLOOKUP($U$1062,'TAR FIN'!$A$1:$O$113,15,0)),0,VLOOKUP($U$1062,'TAR FIN'!$A$1:$O$113,15,0))</f>
        <v>292.36</v>
      </c>
      <c r="Y1062" s="6"/>
      <c r="Z1062" s="6">
        <f ca="1">('TUSD BE'!$AM$68+'TUSD BF'!$AM$68+'TUSD CVA'!$AM$68)*1</f>
        <v>393.28439820871614</v>
      </c>
      <c r="AA1062" s="6">
        <f>('TE BE'!$AB$46+'TE BF'!$AB$46+'TE CVA'!$AB$46)*1</f>
        <v>314.78517822974521</v>
      </c>
      <c r="AB1062" s="6">
        <f>$K$1062*$V$1062</f>
        <v>0</v>
      </c>
      <c r="AC1062" s="6">
        <f>$M$1062*$W$1062</f>
        <v>26073.8478</v>
      </c>
      <c r="AD1062" s="6">
        <f>$O$1062*$X$1062</f>
        <v>25384.449359999999</v>
      </c>
      <c r="AE1062" s="6">
        <f>$K$1062*$Y$1062</f>
        <v>0</v>
      </c>
      <c r="AF1062" s="6">
        <f ca="1">$M$1062*$Z$1062</f>
        <v>34147.311158869983</v>
      </c>
      <c r="AG1062" s="6">
        <f>$O$1062*$AA$1062</f>
        <v>27331.537884975856</v>
      </c>
    </row>
    <row r="1063" spans="1:33" ht="11.25" customHeight="1" x14ac:dyDescent="0.3">
      <c r="A1063" s="4" t="s">
        <v>28</v>
      </c>
      <c r="B1063" s="4" t="s">
        <v>37</v>
      </c>
      <c r="C1063" s="4" t="s">
        <v>23</v>
      </c>
      <c r="D1063" s="4" t="s">
        <v>42</v>
      </c>
      <c r="E1063" s="4" t="s">
        <v>25</v>
      </c>
      <c r="F1063" s="4" t="s">
        <v>25</v>
      </c>
      <c r="G1063" s="4" t="s">
        <v>25</v>
      </c>
      <c r="H1063" s="4" t="s">
        <v>25</v>
      </c>
      <c r="I1063" s="5">
        <v>44774</v>
      </c>
      <c r="J1063" s="6">
        <v>0</v>
      </c>
      <c r="K1063" s="6">
        <v>0</v>
      </c>
      <c r="L1063" s="6">
        <v>-0.91</v>
      </c>
      <c r="M1063" s="6">
        <v>-0.91</v>
      </c>
      <c r="N1063" s="6">
        <v>-0.91</v>
      </c>
      <c r="O1063" s="6">
        <v>-0.91</v>
      </c>
      <c r="P1063" s="6">
        <v>4</v>
      </c>
      <c r="Q1063" s="4" t="s">
        <v>26</v>
      </c>
      <c r="R1063" s="4">
        <v>0</v>
      </c>
      <c r="S1063" s="6">
        <v>0</v>
      </c>
      <c r="T1063" s="6">
        <v>63</v>
      </c>
      <c r="U1063" s="6">
        <v>91</v>
      </c>
      <c r="V1063" s="6">
        <f>IF(ISERROR(VLOOKUP($S$1063,'TAR FIN'!$A$1:$O$113,15,0)),0,VLOOKUP($S$1063,'TAR FIN'!$A$1:$O$113,15,0))</f>
        <v>0</v>
      </c>
      <c r="W1063" s="6">
        <f>IF(ISERROR(VLOOKUP($T$1063,'TAR FIN'!$A$1:$O$113,15,0)),0,VLOOKUP($T$1063,'TAR FIN'!$A$1:$O$113,15,0))</f>
        <v>300.3</v>
      </c>
      <c r="X1063" s="6">
        <f>IF(ISERROR(VLOOKUP($U$1063,'TAR FIN'!$A$1:$O$113,15,0)),0,VLOOKUP($U$1063,'TAR FIN'!$A$1:$O$113,15,0))</f>
        <v>292.36</v>
      </c>
      <c r="Y1063" s="6"/>
      <c r="Z1063" s="6">
        <f ca="1">('TUSD BE'!$AM$68+'TUSD BF'!$AM$68+'TUSD CVA'!$AM$68)*1</f>
        <v>393.28439820871614</v>
      </c>
      <c r="AA1063" s="6">
        <f>('TE BE'!$AB$46+'TE BF'!$AB$46+'TE CVA'!$AB$46)*1</f>
        <v>314.78517822974521</v>
      </c>
      <c r="AB1063" s="6">
        <f>$K$1063*$V$1063</f>
        <v>0</v>
      </c>
      <c r="AC1063" s="6">
        <f>$M$1063*$W$1063</f>
        <v>-273.27300000000002</v>
      </c>
      <c r="AD1063" s="6">
        <f>$O$1063*$X$1063</f>
        <v>-266.04760000000005</v>
      </c>
      <c r="AE1063" s="6">
        <f>$K$1063*$Y$1063</f>
        <v>0</v>
      </c>
      <c r="AF1063" s="6">
        <f ca="1">$M$1063*$Z$1063</f>
        <v>-357.88880236993168</v>
      </c>
      <c r="AG1063" s="6">
        <f>$O$1063*$AA$1063</f>
        <v>-286.45451218906817</v>
      </c>
    </row>
    <row r="1064" spans="1:33" ht="11.25" customHeight="1" x14ac:dyDescent="0.3">
      <c r="A1064" s="4" t="s">
        <v>21</v>
      </c>
      <c r="B1064" s="4" t="s">
        <v>37</v>
      </c>
      <c r="C1064" s="4" t="s">
        <v>23</v>
      </c>
      <c r="D1064" s="4" t="s">
        <v>42</v>
      </c>
      <c r="E1064" s="4" t="s">
        <v>25</v>
      </c>
      <c r="F1064" s="4" t="s">
        <v>25</v>
      </c>
      <c r="G1064" s="4" t="s">
        <v>25</v>
      </c>
      <c r="H1064" s="4" t="s">
        <v>25</v>
      </c>
      <c r="I1064" s="5">
        <v>44805</v>
      </c>
      <c r="J1064" s="6">
        <v>0</v>
      </c>
      <c r="K1064" s="6">
        <v>0</v>
      </c>
      <c r="L1064" s="6">
        <v>3262.2240000000002</v>
      </c>
      <c r="M1064" s="6">
        <v>3262.2240000000002</v>
      </c>
      <c r="N1064" s="6">
        <v>3262.2240000000002</v>
      </c>
      <c r="O1064" s="6">
        <v>3262.2240000000002</v>
      </c>
      <c r="P1064" s="6">
        <v>5567</v>
      </c>
      <c r="Q1064" s="4" t="s">
        <v>26</v>
      </c>
      <c r="R1064" s="4">
        <v>0</v>
      </c>
      <c r="S1064" s="6">
        <v>0</v>
      </c>
      <c r="T1064" s="6">
        <v>63</v>
      </c>
      <c r="U1064" s="6">
        <v>91</v>
      </c>
      <c r="V1064" s="6">
        <f>IF(ISERROR(VLOOKUP($S$1064,'TAR FIN'!$A$1:$O$113,15,0)),0,VLOOKUP($S$1064,'TAR FIN'!$A$1:$O$113,15,0))</f>
        <v>0</v>
      </c>
      <c r="W1064" s="6">
        <f>IF(ISERROR(VLOOKUP($T$1064,'TAR FIN'!$A$1:$O$113,15,0)),0,VLOOKUP($T$1064,'TAR FIN'!$A$1:$O$113,15,0))</f>
        <v>300.3</v>
      </c>
      <c r="X1064" s="6">
        <f>IF(ISERROR(VLOOKUP($U$1064,'TAR FIN'!$A$1:$O$113,15,0)),0,VLOOKUP($U$1064,'TAR FIN'!$A$1:$O$113,15,0))</f>
        <v>292.36</v>
      </c>
      <c r="Y1064" s="6"/>
      <c r="Z1064" s="6">
        <f ca="1">('TUSD BE'!$AM$68+'TUSD BF'!$AM$68+'TUSD CVA'!$AM$68)*1</f>
        <v>393.28439820871614</v>
      </c>
      <c r="AA1064" s="6">
        <f>('TE BE'!$AB$46+'TE BF'!$AB$46+'TE CVA'!$AB$46)*1</f>
        <v>314.78517822974521</v>
      </c>
      <c r="AB1064" s="6">
        <f>$K$1064*$V$1064</f>
        <v>0</v>
      </c>
      <c r="AC1064" s="6">
        <f>$M$1064*$W$1064</f>
        <v>979645.8672000001</v>
      </c>
      <c r="AD1064" s="6">
        <f>$O$1064*$X$1064</f>
        <v>953743.80864000006</v>
      </c>
      <c r="AE1064" s="6">
        <f>$K$1064*$Y$1064</f>
        <v>0</v>
      </c>
      <c r="AF1064" s="6">
        <f ca="1">$M$1064*$Z$1064</f>
        <v>1282981.8026620308</v>
      </c>
      <c r="AG1064" s="6">
        <f>$O$1064*$AA$1064</f>
        <v>1026899.7632653523</v>
      </c>
    </row>
    <row r="1065" spans="1:33" ht="11.25" customHeight="1" x14ac:dyDescent="0.3">
      <c r="A1065" s="4" t="s">
        <v>27</v>
      </c>
      <c r="B1065" s="4" t="s">
        <v>37</v>
      </c>
      <c r="C1065" s="4" t="s">
        <v>23</v>
      </c>
      <c r="D1065" s="4" t="s">
        <v>42</v>
      </c>
      <c r="E1065" s="4" t="s">
        <v>25</v>
      </c>
      <c r="F1065" s="4" t="s">
        <v>25</v>
      </c>
      <c r="G1065" s="4" t="s">
        <v>25</v>
      </c>
      <c r="H1065" s="4" t="s">
        <v>25</v>
      </c>
      <c r="I1065" s="5">
        <v>44805</v>
      </c>
      <c r="J1065" s="6">
        <v>0</v>
      </c>
      <c r="K1065" s="6">
        <v>0</v>
      </c>
      <c r="L1065" s="6">
        <v>-5.9249999999999998</v>
      </c>
      <c r="M1065" s="6">
        <v>-5.9249999999999998</v>
      </c>
      <c r="N1065" s="6">
        <v>-5.9249999999999998</v>
      </c>
      <c r="O1065" s="6">
        <v>-5.9249999999999998</v>
      </c>
      <c r="P1065" s="6">
        <v>0</v>
      </c>
      <c r="Q1065" s="4" t="s">
        <v>26</v>
      </c>
      <c r="R1065" s="4">
        <v>0</v>
      </c>
      <c r="S1065" s="6">
        <v>0</v>
      </c>
      <c r="T1065" s="6">
        <v>63</v>
      </c>
      <c r="U1065" s="6">
        <v>91</v>
      </c>
      <c r="V1065" s="6">
        <f>IF(ISERROR(VLOOKUP($S$1065,'TAR FIN'!$A$1:$O$113,15,0)),0,VLOOKUP($S$1065,'TAR FIN'!$A$1:$O$113,15,0))</f>
        <v>0</v>
      </c>
      <c r="W1065" s="6">
        <f>IF(ISERROR(VLOOKUP($T$1065,'TAR FIN'!$A$1:$O$113,15,0)),0,VLOOKUP($T$1065,'TAR FIN'!$A$1:$O$113,15,0))</f>
        <v>300.3</v>
      </c>
      <c r="X1065" s="6">
        <f>IF(ISERROR(VLOOKUP($U$1065,'TAR FIN'!$A$1:$O$113,15,0)),0,VLOOKUP($U$1065,'TAR FIN'!$A$1:$O$113,15,0))</f>
        <v>292.36</v>
      </c>
      <c r="Y1065" s="6"/>
      <c r="Z1065" s="6">
        <f ca="1">('TUSD BE'!$AM$68+'TUSD BF'!$AM$68+'TUSD CVA'!$AM$68)*1</f>
        <v>393.28439820871614</v>
      </c>
      <c r="AA1065" s="6">
        <f>('TE BE'!$AB$46+'TE BF'!$AB$46+'TE CVA'!$AB$46)*1</f>
        <v>314.78517822974521</v>
      </c>
      <c r="AB1065" s="6">
        <f>$K$1065*$V$1065</f>
        <v>0</v>
      </c>
      <c r="AC1065" s="6">
        <f>$M$1065*$W$1065</f>
        <v>-1779.2774999999999</v>
      </c>
      <c r="AD1065" s="6">
        <f>$O$1065*$X$1065</f>
        <v>-1732.2329999999999</v>
      </c>
      <c r="AE1065" s="6">
        <f>$K$1065*$Y$1065</f>
        <v>0</v>
      </c>
      <c r="AF1065" s="6">
        <f ca="1">$M$1065*$Z$1065</f>
        <v>-2330.210059386643</v>
      </c>
      <c r="AG1065" s="6">
        <f>$O$1065*$AA$1065</f>
        <v>-1865.1021810112404</v>
      </c>
    </row>
    <row r="1066" spans="1:33" ht="11.25" customHeight="1" x14ac:dyDescent="0.3">
      <c r="A1066" s="4" t="s">
        <v>28</v>
      </c>
      <c r="B1066" s="4" t="s">
        <v>37</v>
      </c>
      <c r="C1066" s="4" t="s">
        <v>23</v>
      </c>
      <c r="D1066" s="4" t="s">
        <v>42</v>
      </c>
      <c r="E1066" s="4" t="s">
        <v>25</v>
      </c>
      <c r="F1066" s="4" t="s">
        <v>25</v>
      </c>
      <c r="G1066" s="4" t="s">
        <v>25</v>
      </c>
      <c r="H1066" s="4" t="s">
        <v>25</v>
      </c>
      <c r="I1066" s="5">
        <v>44805</v>
      </c>
      <c r="J1066" s="6">
        <v>0</v>
      </c>
      <c r="K1066" s="6">
        <v>0</v>
      </c>
      <c r="L1066" s="6">
        <v>99.796000000000006</v>
      </c>
      <c r="M1066" s="6">
        <v>99.796000000000006</v>
      </c>
      <c r="N1066" s="6">
        <v>99.796000000000006</v>
      </c>
      <c r="O1066" s="6">
        <v>99.796000000000006</v>
      </c>
      <c r="P1066" s="6">
        <v>196</v>
      </c>
      <c r="Q1066" s="4" t="s">
        <v>26</v>
      </c>
      <c r="R1066" s="4">
        <v>0</v>
      </c>
      <c r="S1066" s="6">
        <v>0</v>
      </c>
      <c r="T1066" s="6">
        <v>63</v>
      </c>
      <c r="U1066" s="6">
        <v>91</v>
      </c>
      <c r="V1066" s="6">
        <f>IF(ISERROR(VLOOKUP($S$1066,'TAR FIN'!$A$1:$O$113,15,0)),0,VLOOKUP($S$1066,'TAR FIN'!$A$1:$O$113,15,0))</f>
        <v>0</v>
      </c>
      <c r="W1066" s="6">
        <f>IF(ISERROR(VLOOKUP($T$1066,'TAR FIN'!$A$1:$O$113,15,0)),0,VLOOKUP($T$1066,'TAR FIN'!$A$1:$O$113,15,0))</f>
        <v>300.3</v>
      </c>
      <c r="X1066" s="6">
        <f>IF(ISERROR(VLOOKUP($U$1066,'TAR FIN'!$A$1:$O$113,15,0)),0,VLOOKUP($U$1066,'TAR FIN'!$A$1:$O$113,15,0))</f>
        <v>292.36</v>
      </c>
      <c r="Y1066" s="6"/>
      <c r="Z1066" s="6">
        <f ca="1">('TUSD BE'!$AM$68+'TUSD BF'!$AM$68+'TUSD CVA'!$AM$68)*1</f>
        <v>393.28439820871614</v>
      </c>
      <c r="AA1066" s="6">
        <f>('TE BE'!$AB$46+'TE BF'!$AB$46+'TE CVA'!$AB$46)*1</f>
        <v>314.78517822974521</v>
      </c>
      <c r="AB1066" s="6">
        <f>$K$1066*$V$1066</f>
        <v>0</v>
      </c>
      <c r="AC1066" s="6">
        <f>$M$1066*$W$1066</f>
        <v>29968.738800000003</v>
      </c>
      <c r="AD1066" s="6">
        <f>$O$1066*$X$1066</f>
        <v>29176.358560000004</v>
      </c>
      <c r="AE1066" s="6">
        <f>$K$1066*$Y$1066</f>
        <v>0</v>
      </c>
      <c r="AF1066" s="6">
        <f ca="1">$M$1066*$Z$1066</f>
        <v>39248.209803637037</v>
      </c>
      <c r="AG1066" s="6">
        <f>$O$1066*$AA$1066</f>
        <v>31414.301646615655</v>
      </c>
    </row>
    <row r="1067" spans="1:33" ht="11.25" customHeight="1" x14ac:dyDescent="0.3">
      <c r="A1067" s="4" t="s">
        <v>28</v>
      </c>
      <c r="B1067" s="4" t="s">
        <v>37</v>
      </c>
      <c r="C1067" s="4" t="s">
        <v>23</v>
      </c>
      <c r="D1067" s="4" t="s">
        <v>42</v>
      </c>
      <c r="E1067" s="4" t="s">
        <v>25</v>
      </c>
      <c r="F1067" s="4" t="s">
        <v>25</v>
      </c>
      <c r="G1067" s="4" t="s">
        <v>25</v>
      </c>
      <c r="H1067" s="4" t="s">
        <v>25</v>
      </c>
      <c r="I1067" s="5">
        <v>44805</v>
      </c>
      <c r="J1067" s="6">
        <v>0</v>
      </c>
      <c r="K1067" s="6">
        <v>0</v>
      </c>
      <c r="L1067" s="6">
        <v>0.72299999999999998</v>
      </c>
      <c r="M1067" s="6">
        <v>0.72299999999999998</v>
      </c>
      <c r="N1067" s="6">
        <v>0.72299999999999998</v>
      </c>
      <c r="O1067" s="6">
        <v>0.72299999999999998</v>
      </c>
      <c r="P1067" s="6">
        <v>2</v>
      </c>
      <c r="Q1067" s="4" t="s">
        <v>26</v>
      </c>
      <c r="R1067" s="4">
        <v>0</v>
      </c>
      <c r="S1067" s="6">
        <v>0</v>
      </c>
      <c r="T1067" s="6">
        <v>63</v>
      </c>
      <c r="U1067" s="6">
        <v>91</v>
      </c>
      <c r="V1067" s="6">
        <f>IF(ISERROR(VLOOKUP($S$1067,'TAR FIN'!$A$1:$O$113,15,0)),0,VLOOKUP($S$1067,'TAR FIN'!$A$1:$O$113,15,0))</f>
        <v>0</v>
      </c>
      <c r="W1067" s="6">
        <f>IF(ISERROR(VLOOKUP($T$1067,'TAR FIN'!$A$1:$O$113,15,0)),0,VLOOKUP($T$1067,'TAR FIN'!$A$1:$O$113,15,0))</f>
        <v>300.3</v>
      </c>
      <c r="X1067" s="6">
        <f>IF(ISERROR(VLOOKUP($U$1067,'TAR FIN'!$A$1:$O$113,15,0)),0,VLOOKUP($U$1067,'TAR FIN'!$A$1:$O$113,15,0))</f>
        <v>292.36</v>
      </c>
      <c r="Y1067" s="6"/>
      <c r="Z1067" s="6">
        <f ca="1">('TUSD BE'!$AM$68+'TUSD BF'!$AM$68+'TUSD CVA'!$AM$68)*1</f>
        <v>393.28439820871614</v>
      </c>
      <c r="AA1067" s="6">
        <f>('TE BE'!$AB$46+'TE BF'!$AB$46+'TE CVA'!$AB$46)*1</f>
        <v>314.78517822974521</v>
      </c>
      <c r="AB1067" s="6">
        <f>$K$1067*$V$1067</f>
        <v>0</v>
      </c>
      <c r="AC1067" s="6">
        <f>$M$1067*$W$1067</f>
        <v>217.11689999999999</v>
      </c>
      <c r="AD1067" s="6">
        <f>$O$1067*$X$1067</f>
        <v>211.37628000000001</v>
      </c>
      <c r="AE1067" s="6">
        <f>$K$1067*$Y$1067</f>
        <v>0</v>
      </c>
      <c r="AF1067" s="6">
        <f ca="1">$M$1067*$Z$1067</f>
        <v>284.34461990490178</v>
      </c>
      <c r="AG1067" s="6">
        <f>$O$1067*$AA$1067</f>
        <v>227.58968386010579</v>
      </c>
    </row>
    <row r="1068" spans="1:33" ht="11.25" customHeight="1" x14ac:dyDescent="0.3">
      <c r="A1068" s="4" t="s">
        <v>53</v>
      </c>
      <c r="B1068" s="4" t="s">
        <v>37</v>
      </c>
      <c r="C1068" s="4" t="s">
        <v>23</v>
      </c>
      <c r="D1068" s="4" t="s">
        <v>42</v>
      </c>
      <c r="E1068" s="4" t="s">
        <v>25</v>
      </c>
      <c r="F1068" s="4" t="s">
        <v>25</v>
      </c>
      <c r="G1068" s="4" t="s">
        <v>25</v>
      </c>
      <c r="H1068" s="4" t="s">
        <v>25</v>
      </c>
      <c r="I1068" s="5">
        <v>44835</v>
      </c>
      <c r="J1068" s="6">
        <v>0</v>
      </c>
      <c r="K1068" s="6">
        <v>0</v>
      </c>
      <c r="L1068" s="6">
        <v>3262.2240000000002</v>
      </c>
      <c r="M1068" s="6">
        <v>3262.2240000000002</v>
      </c>
      <c r="N1068" s="6">
        <v>3262.2240000000002</v>
      </c>
      <c r="O1068" s="6">
        <v>3262.2240000000002</v>
      </c>
      <c r="P1068" s="6">
        <v>5567</v>
      </c>
      <c r="Q1068" s="4" t="s">
        <v>26</v>
      </c>
      <c r="R1068" s="4">
        <v>0</v>
      </c>
      <c r="S1068" s="6">
        <v>0</v>
      </c>
      <c r="T1068" s="6">
        <v>63</v>
      </c>
      <c r="U1068" s="6">
        <v>91</v>
      </c>
      <c r="V1068" s="6">
        <f>IF(ISERROR(VLOOKUP($S$1068,'TAR FIN'!$A$1:$O$113,15,0)),0,VLOOKUP($S$1068,'TAR FIN'!$A$1:$O$113,15,0))</f>
        <v>0</v>
      </c>
      <c r="W1068" s="6">
        <f>IF(ISERROR(VLOOKUP($T$1068,'TAR FIN'!$A$1:$O$113,15,0)),0,VLOOKUP($T$1068,'TAR FIN'!$A$1:$O$113,15,0))</f>
        <v>300.3</v>
      </c>
      <c r="X1068" s="6">
        <f>IF(ISERROR(VLOOKUP($U$1068,'TAR FIN'!$A$1:$O$113,15,0)),0,VLOOKUP($U$1068,'TAR FIN'!$A$1:$O$113,15,0))</f>
        <v>292.36</v>
      </c>
      <c r="Y1068" s="6"/>
      <c r="Z1068" s="6">
        <f ca="1">('TUSD BE'!$AM$68+'TUSD BF'!$AM$68+'TUSD CVA'!$AM$68)*1</f>
        <v>393.28439820871614</v>
      </c>
      <c r="AA1068" s="6">
        <f>('TE BE'!$AB$46+'TE BF'!$AB$46+'TE CVA'!$AB$46)*1</f>
        <v>314.78517822974521</v>
      </c>
      <c r="AB1068" s="6">
        <f>$K$1068*$V$1068</f>
        <v>0</v>
      </c>
      <c r="AC1068" s="6">
        <f>$M$1068*$W$1068</f>
        <v>979645.8672000001</v>
      </c>
      <c r="AD1068" s="6">
        <f>$O$1068*$X$1068</f>
        <v>953743.80864000006</v>
      </c>
      <c r="AE1068" s="6">
        <f>$K$1068*$Y$1068</f>
        <v>0</v>
      </c>
      <c r="AF1068" s="6">
        <f ca="1">$M$1068*$Z$1068</f>
        <v>1282981.8026620308</v>
      </c>
      <c r="AG1068" s="6">
        <f>$O$1068*$AA$1068</f>
        <v>1026899.7632653523</v>
      </c>
    </row>
    <row r="1069" spans="1:33" ht="11.25" customHeight="1" x14ac:dyDescent="0.3">
      <c r="A1069" s="4" t="s">
        <v>53</v>
      </c>
      <c r="B1069" s="4" t="s">
        <v>37</v>
      </c>
      <c r="C1069" s="4" t="s">
        <v>23</v>
      </c>
      <c r="D1069" s="4" t="s">
        <v>42</v>
      </c>
      <c r="E1069" s="4" t="s">
        <v>25</v>
      </c>
      <c r="F1069" s="4" t="s">
        <v>25</v>
      </c>
      <c r="G1069" s="4" t="s">
        <v>25</v>
      </c>
      <c r="H1069" s="4" t="s">
        <v>25</v>
      </c>
      <c r="I1069" s="5">
        <v>44835</v>
      </c>
      <c r="J1069" s="6">
        <v>0</v>
      </c>
      <c r="K1069" s="6">
        <v>0</v>
      </c>
      <c r="L1069" s="6">
        <v>-5.9249999999999998</v>
      </c>
      <c r="M1069" s="6">
        <v>-5.9249999999999998</v>
      </c>
      <c r="N1069" s="6">
        <v>-5.9249999999999998</v>
      </c>
      <c r="O1069" s="6">
        <v>-5.9249999999999998</v>
      </c>
      <c r="P1069" s="6">
        <v>0</v>
      </c>
      <c r="Q1069" s="4" t="s">
        <v>26</v>
      </c>
      <c r="R1069" s="4">
        <v>0</v>
      </c>
      <c r="S1069" s="6">
        <v>0</v>
      </c>
      <c r="T1069" s="6">
        <v>63</v>
      </c>
      <c r="U1069" s="6">
        <v>91</v>
      </c>
      <c r="V1069" s="6">
        <f>IF(ISERROR(VLOOKUP($S$1069,'TAR FIN'!$A$1:$O$113,15,0)),0,VLOOKUP($S$1069,'TAR FIN'!$A$1:$O$113,15,0))</f>
        <v>0</v>
      </c>
      <c r="W1069" s="6">
        <f>IF(ISERROR(VLOOKUP($T$1069,'TAR FIN'!$A$1:$O$113,15,0)),0,VLOOKUP($T$1069,'TAR FIN'!$A$1:$O$113,15,0))</f>
        <v>300.3</v>
      </c>
      <c r="X1069" s="6">
        <f>IF(ISERROR(VLOOKUP($U$1069,'TAR FIN'!$A$1:$O$113,15,0)),0,VLOOKUP($U$1069,'TAR FIN'!$A$1:$O$113,15,0))</f>
        <v>292.36</v>
      </c>
      <c r="Y1069" s="6"/>
      <c r="Z1069" s="6">
        <f ca="1">('TUSD BE'!$AM$68+'TUSD BF'!$AM$68+'TUSD CVA'!$AM$68)*1</f>
        <v>393.28439820871614</v>
      </c>
      <c r="AA1069" s="6">
        <f>('TE BE'!$AB$46+'TE BF'!$AB$46+'TE CVA'!$AB$46)*1</f>
        <v>314.78517822974521</v>
      </c>
      <c r="AB1069" s="6">
        <f>$K$1069*$V$1069</f>
        <v>0</v>
      </c>
      <c r="AC1069" s="6">
        <f>$M$1069*$W$1069</f>
        <v>-1779.2774999999999</v>
      </c>
      <c r="AD1069" s="6">
        <f>$O$1069*$X$1069</f>
        <v>-1732.2329999999999</v>
      </c>
      <c r="AE1069" s="6">
        <f>$K$1069*$Y$1069</f>
        <v>0</v>
      </c>
      <c r="AF1069" s="6">
        <f ca="1">$M$1069*$Z$1069</f>
        <v>-2330.210059386643</v>
      </c>
      <c r="AG1069" s="6">
        <f>$O$1069*$AA$1069</f>
        <v>-1865.1021810112404</v>
      </c>
    </row>
    <row r="1070" spans="1:33" ht="11.25" customHeight="1" x14ac:dyDescent="0.3">
      <c r="A1070" s="4" t="s">
        <v>53</v>
      </c>
      <c r="B1070" s="4" t="s">
        <v>37</v>
      </c>
      <c r="C1070" s="4" t="s">
        <v>23</v>
      </c>
      <c r="D1070" s="4" t="s">
        <v>42</v>
      </c>
      <c r="E1070" s="4" t="s">
        <v>25</v>
      </c>
      <c r="F1070" s="4" t="s">
        <v>25</v>
      </c>
      <c r="G1070" s="4" t="s">
        <v>25</v>
      </c>
      <c r="H1070" s="4" t="s">
        <v>25</v>
      </c>
      <c r="I1070" s="5">
        <v>44835</v>
      </c>
      <c r="J1070" s="6">
        <v>0</v>
      </c>
      <c r="K1070" s="6">
        <v>0</v>
      </c>
      <c r="L1070" s="6">
        <v>99.796000000000006</v>
      </c>
      <c r="M1070" s="6">
        <v>99.796000000000006</v>
      </c>
      <c r="N1070" s="6">
        <v>99.796000000000006</v>
      </c>
      <c r="O1070" s="6">
        <v>99.796000000000006</v>
      </c>
      <c r="P1070" s="6">
        <v>196</v>
      </c>
      <c r="Q1070" s="4" t="s">
        <v>26</v>
      </c>
      <c r="R1070" s="4">
        <v>0</v>
      </c>
      <c r="S1070" s="6">
        <v>0</v>
      </c>
      <c r="T1070" s="6">
        <v>63</v>
      </c>
      <c r="U1070" s="6">
        <v>91</v>
      </c>
      <c r="V1070" s="6">
        <f>IF(ISERROR(VLOOKUP($S$1070,'TAR FIN'!$A$1:$O$113,15,0)),0,VLOOKUP($S$1070,'TAR FIN'!$A$1:$O$113,15,0))</f>
        <v>0</v>
      </c>
      <c r="W1070" s="6">
        <f>IF(ISERROR(VLOOKUP($T$1070,'TAR FIN'!$A$1:$O$113,15,0)),0,VLOOKUP($T$1070,'TAR FIN'!$A$1:$O$113,15,0))</f>
        <v>300.3</v>
      </c>
      <c r="X1070" s="6">
        <f>IF(ISERROR(VLOOKUP($U$1070,'TAR FIN'!$A$1:$O$113,15,0)),0,VLOOKUP($U$1070,'TAR FIN'!$A$1:$O$113,15,0))</f>
        <v>292.36</v>
      </c>
      <c r="Y1070" s="6"/>
      <c r="Z1070" s="6">
        <f ca="1">('TUSD BE'!$AM$68+'TUSD BF'!$AM$68+'TUSD CVA'!$AM$68)*1</f>
        <v>393.28439820871614</v>
      </c>
      <c r="AA1070" s="6">
        <f>('TE BE'!$AB$46+'TE BF'!$AB$46+'TE CVA'!$AB$46)*1</f>
        <v>314.78517822974521</v>
      </c>
      <c r="AB1070" s="6">
        <f>$K$1070*$V$1070</f>
        <v>0</v>
      </c>
      <c r="AC1070" s="6">
        <f>$M$1070*$W$1070</f>
        <v>29968.738800000003</v>
      </c>
      <c r="AD1070" s="6">
        <f>$O$1070*$X$1070</f>
        <v>29176.358560000004</v>
      </c>
      <c r="AE1070" s="6">
        <f>$K$1070*$Y$1070</f>
        <v>0</v>
      </c>
      <c r="AF1070" s="6">
        <f ca="1">$M$1070*$Z$1070</f>
        <v>39248.209803637037</v>
      </c>
      <c r="AG1070" s="6">
        <f>$O$1070*$AA$1070</f>
        <v>31414.301646615655</v>
      </c>
    </row>
    <row r="1071" spans="1:33" ht="11.25" customHeight="1" x14ac:dyDescent="0.3">
      <c r="A1071" s="4" t="s">
        <v>53</v>
      </c>
      <c r="B1071" s="4" t="s">
        <v>37</v>
      </c>
      <c r="C1071" s="4" t="s">
        <v>23</v>
      </c>
      <c r="D1071" s="4" t="s">
        <v>42</v>
      </c>
      <c r="E1071" s="4" t="s">
        <v>25</v>
      </c>
      <c r="F1071" s="4" t="s">
        <v>25</v>
      </c>
      <c r="G1071" s="4" t="s">
        <v>25</v>
      </c>
      <c r="H1071" s="4" t="s">
        <v>25</v>
      </c>
      <c r="I1071" s="5">
        <v>44835</v>
      </c>
      <c r="J1071" s="6">
        <v>0</v>
      </c>
      <c r="K1071" s="6">
        <v>0</v>
      </c>
      <c r="L1071" s="6">
        <v>0.72299999999999998</v>
      </c>
      <c r="M1071" s="6">
        <v>0.72299999999999998</v>
      </c>
      <c r="N1071" s="6">
        <v>0.72299999999999998</v>
      </c>
      <c r="O1071" s="6">
        <v>0.72299999999999998</v>
      </c>
      <c r="P1071" s="6">
        <v>2</v>
      </c>
      <c r="Q1071" s="4" t="s">
        <v>26</v>
      </c>
      <c r="R1071" s="4">
        <v>0</v>
      </c>
      <c r="S1071" s="6">
        <v>0</v>
      </c>
      <c r="T1071" s="6">
        <v>63</v>
      </c>
      <c r="U1071" s="6">
        <v>91</v>
      </c>
      <c r="V1071" s="6">
        <f>IF(ISERROR(VLOOKUP($S$1071,'TAR FIN'!$A$1:$O$113,15,0)),0,VLOOKUP($S$1071,'TAR FIN'!$A$1:$O$113,15,0))</f>
        <v>0</v>
      </c>
      <c r="W1071" s="6">
        <f>IF(ISERROR(VLOOKUP($T$1071,'TAR FIN'!$A$1:$O$113,15,0)),0,VLOOKUP($T$1071,'TAR FIN'!$A$1:$O$113,15,0))</f>
        <v>300.3</v>
      </c>
      <c r="X1071" s="6">
        <f>IF(ISERROR(VLOOKUP($U$1071,'TAR FIN'!$A$1:$O$113,15,0)),0,VLOOKUP($U$1071,'TAR FIN'!$A$1:$O$113,15,0))</f>
        <v>292.36</v>
      </c>
      <c r="Y1071" s="6"/>
      <c r="Z1071" s="6">
        <f ca="1">('TUSD BE'!$AM$68+'TUSD BF'!$AM$68+'TUSD CVA'!$AM$68)*1</f>
        <v>393.28439820871614</v>
      </c>
      <c r="AA1071" s="6">
        <f>('TE BE'!$AB$46+'TE BF'!$AB$46+'TE CVA'!$AB$46)*1</f>
        <v>314.78517822974521</v>
      </c>
      <c r="AB1071" s="6">
        <f>$K$1071*$V$1071</f>
        <v>0</v>
      </c>
      <c r="AC1071" s="6">
        <f>$M$1071*$W$1071</f>
        <v>217.11689999999999</v>
      </c>
      <c r="AD1071" s="6">
        <f>$O$1071*$X$1071</f>
        <v>211.37628000000001</v>
      </c>
      <c r="AE1071" s="6">
        <f>$K$1071*$Y$1071</f>
        <v>0</v>
      </c>
      <c r="AF1071" s="6">
        <f ca="1">$M$1071*$Z$1071</f>
        <v>284.34461990490178</v>
      </c>
      <c r="AG1071" s="6">
        <f>$O$1071*$AA$1071</f>
        <v>227.58968386010579</v>
      </c>
    </row>
    <row r="1072" spans="1:33" ht="11.25" customHeight="1" x14ac:dyDescent="0.3">
      <c r="A1072" s="4" t="s">
        <v>21</v>
      </c>
      <c r="B1072" s="4" t="s">
        <v>37</v>
      </c>
      <c r="C1072" s="4" t="s">
        <v>23</v>
      </c>
      <c r="D1072" s="4" t="s">
        <v>52</v>
      </c>
      <c r="E1072" s="4" t="s">
        <v>25</v>
      </c>
      <c r="F1072" s="4" t="s">
        <v>25</v>
      </c>
      <c r="G1072" s="4" t="s">
        <v>25</v>
      </c>
      <c r="H1072" s="4" t="s">
        <v>25</v>
      </c>
      <c r="I1072" s="5">
        <v>44501</v>
      </c>
      <c r="J1072" s="6">
        <v>0</v>
      </c>
      <c r="K1072" s="6">
        <v>0</v>
      </c>
      <c r="L1072" s="6">
        <v>19.355</v>
      </c>
      <c r="M1072" s="6">
        <v>19.355</v>
      </c>
      <c r="N1072" s="6">
        <v>19.355</v>
      </c>
      <c r="O1072" s="6">
        <v>19.355</v>
      </c>
      <c r="P1072" s="6">
        <v>9</v>
      </c>
      <c r="Q1072" s="4" t="s">
        <v>26</v>
      </c>
      <c r="R1072" s="4">
        <v>0</v>
      </c>
      <c r="S1072" s="6">
        <v>0</v>
      </c>
      <c r="T1072" s="6">
        <v>63</v>
      </c>
      <c r="U1072" s="6">
        <v>91</v>
      </c>
      <c r="V1072" s="6">
        <f>IF(ISERROR(VLOOKUP($S$1072,'TAR FIN'!$A$1:$O$113,15,0)),0,VLOOKUP($S$1072,'TAR FIN'!$A$1:$O$113,15,0))</f>
        <v>0</v>
      </c>
      <c r="W1072" s="6">
        <f>IF(ISERROR(VLOOKUP($T$1072,'TAR FIN'!$A$1:$O$113,15,0)),0,VLOOKUP($T$1072,'TAR FIN'!$A$1:$O$113,15,0))</f>
        <v>300.3</v>
      </c>
      <c r="X1072" s="6">
        <f>IF(ISERROR(VLOOKUP($U$1072,'TAR FIN'!$A$1:$O$113,15,0)),0,VLOOKUP($U$1072,'TAR FIN'!$A$1:$O$113,15,0))</f>
        <v>292.36</v>
      </c>
      <c r="Y1072" s="6"/>
      <c r="Z1072" s="6">
        <f ca="1">('TUSD BE'!$AM$68+'TUSD BF'!$AM$68+'TUSD CVA'!$AM$68)*1</f>
        <v>393.28439820871614</v>
      </c>
      <c r="AA1072" s="6">
        <f>('TE BE'!$AB$46+'TE BF'!$AB$46+'TE CVA'!$AB$46)*1</f>
        <v>314.78517822974521</v>
      </c>
      <c r="AB1072" s="6">
        <f>$K$1072*$V$1072</f>
        <v>0</v>
      </c>
      <c r="AC1072" s="6">
        <f>$M$1072*$W$1072</f>
        <v>5812.3065000000006</v>
      </c>
      <c r="AD1072" s="6">
        <f>$O$1072*$X$1072</f>
        <v>5658.6278000000002</v>
      </c>
      <c r="AE1072" s="6">
        <f>$K$1072*$Y$1072</f>
        <v>0</v>
      </c>
      <c r="AF1072" s="6">
        <f ca="1">$M$1072*$Z$1072</f>
        <v>7612.0195273297013</v>
      </c>
      <c r="AG1072" s="6">
        <f>$O$1072*$AA$1072</f>
        <v>6092.6671246367187</v>
      </c>
    </row>
    <row r="1073" spans="1:33" ht="11.25" customHeight="1" x14ac:dyDescent="0.3">
      <c r="A1073" s="4" t="s">
        <v>28</v>
      </c>
      <c r="B1073" s="4" t="s">
        <v>37</v>
      </c>
      <c r="C1073" s="4" t="s">
        <v>23</v>
      </c>
      <c r="D1073" s="4" t="s">
        <v>52</v>
      </c>
      <c r="E1073" s="4" t="s">
        <v>25</v>
      </c>
      <c r="F1073" s="4" t="s">
        <v>25</v>
      </c>
      <c r="G1073" s="4" t="s">
        <v>25</v>
      </c>
      <c r="H1073" s="4" t="s">
        <v>25</v>
      </c>
      <c r="I1073" s="5">
        <v>44501</v>
      </c>
      <c r="J1073" s="6">
        <v>0</v>
      </c>
      <c r="K1073" s="6">
        <v>0</v>
      </c>
      <c r="L1073" s="6">
        <v>0.1</v>
      </c>
      <c r="M1073" s="6">
        <v>0.1</v>
      </c>
      <c r="N1073" s="6">
        <v>0.1</v>
      </c>
      <c r="O1073" s="6">
        <v>0.1</v>
      </c>
      <c r="P1073" s="6">
        <v>1</v>
      </c>
      <c r="Q1073" s="4" t="s">
        <v>26</v>
      </c>
      <c r="R1073" s="4">
        <v>0</v>
      </c>
      <c r="S1073" s="6">
        <v>0</v>
      </c>
      <c r="T1073" s="6">
        <v>63</v>
      </c>
      <c r="U1073" s="6">
        <v>91</v>
      </c>
      <c r="V1073" s="6">
        <f>IF(ISERROR(VLOOKUP($S$1073,'TAR FIN'!$A$1:$O$113,15,0)),0,VLOOKUP($S$1073,'TAR FIN'!$A$1:$O$113,15,0))</f>
        <v>0</v>
      </c>
      <c r="W1073" s="6">
        <f>IF(ISERROR(VLOOKUP($T$1073,'TAR FIN'!$A$1:$O$113,15,0)),0,VLOOKUP($T$1073,'TAR FIN'!$A$1:$O$113,15,0))</f>
        <v>300.3</v>
      </c>
      <c r="X1073" s="6">
        <f>IF(ISERROR(VLOOKUP($U$1073,'TAR FIN'!$A$1:$O$113,15,0)),0,VLOOKUP($U$1073,'TAR FIN'!$A$1:$O$113,15,0))</f>
        <v>292.36</v>
      </c>
      <c r="Y1073" s="6"/>
      <c r="Z1073" s="6">
        <f ca="1">('TUSD BE'!$AM$68+'TUSD BF'!$AM$68+'TUSD CVA'!$AM$68)*1</f>
        <v>393.28439820871614</v>
      </c>
      <c r="AA1073" s="6">
        <f>('TE BE'!$AB$46+'TE BF'!$AB$46+'TE CVA'!$AB$46)*1</f>
        <v>314.78517822974521</v>
      </c>
      <c r="AB1073" s="6">
        <f>$K$1073*$V$1073</f>
        <v>0</v>
      </c>
      <c r="AC1073" s="6">
        <f>$M$1073*$W$1073</f>
        <v>30.03</v>
      </c>
      <c r="AD1073" s="6">
        <f>$O$1073*$X$1073</f>
        <v>29.236000000000004</v>
      </c>
      <c r="AE1073" s="6">
        <f>$K$1073*$Y$1073</f>
        <v>0</v>
      </c>
      <c r="AF1073" s="6">
        <f ca="1">$M$1073*$Z$1073</f>
        <v>39.328439820871615</v>
      </c>
      <c r="AG1073" s="6">
        <f>$O$1073*$AA$1073</f>
        <v>31.478517822974524</v>
      </c>
    </row>
    <row r="1074" spans="1:33" ht="11.25" customHeight="1" x14ac:dyDescent="0.3">
      <c r="A1074" s="4" t="s">
        <v>21</v>
      </c>
      <c r="B1074" s="4" t="s">
        <v>37</v>
      </c>
      <c r="C1074" s="4" t="s">
        <v>23</v>
      </c>
      <c r="D1074" s="4" t="s">
        <v>52</v>
      </c>
      <c r="E1074" s="4" t="s">
        <v>25</v>
      </c>
      <c r="F1074" s="4" t="s">
        <v>25</v>
      </c>
      <c r="G1074" s="4" t="s">
        <v>25</v>
      </c>
      <c r="H1074" s="4" t="s">
        <v>25</v>
      </c>
      <c r="I1074" s="5">
        <v>44531</v>
      </c>
      <c r="J1074" s="6">
        <v>0</v>
      </c>
      <c r="K1074" s="6">
        <v>0</v>
      </c>
      <c r="L1074" s="6">
        <v>18.065000000000001</v>
      </c>
      <c r="M1074" s="6">
        <v>18.065000000000001</v>
      </c>
      <c r="N1074" s="6">
        <v>18.065000000000001</v>
      </c>
      <c r="O1074" s="6">
        <v>18.065000000000001</v>
      </c>
      <c r="P1074" s="6">
        <v>8</v>
      </c>
      <c r="Q1074" s="4" t="s">
        <v>26</v>
      </c>
      <c r="R1074" s="4">
        <v>0</v>
      </c>
      <c r="S1074" s="6">
        <v>0</v>
      </c>
      <c r="T1074" s="6">
        <v>63</v>
      </c>
      <c r="U1074" s="6">
        <v>91</v>
      </c>
      <c r="V1074" s="6">
        <f>IF(ISERROR(VLOOKUP($S$1074,'TAR FIN'!$A$1:$O$113,15,0)),0,VLOOKUP($S$1074,'TAR FIN'!$A$1:$O$113,15,0))</f>
        <v>0</v>
      </c>
      <c r="W1074" s="6">
        <f>IF(ISERROR(VLOOKUP($T$1074,'TAR FIN'!$A$1:$O$113,15,0)),0,VLOOKUP($T$1074,'TAR FIN'!$A$1:$O$113,15,0))</f>
        <v>300.3</v>
      </c>
      <c r="X1074" s="6">
        <f>IF(ISERROR(VLOOKUP($U$1074,'TAR FIN'!$A$1:$O$113,15,0)),0,VLOOKUP($U$1074,'TAR FIN'!$A$1:$O$113,15,0))</f>
        <v>292.36</v>
      </c>
      <c r="Y1074" s="6"/>
      <c r="Z1074" s="6">
        <f ca="1">('TUSD BE'!$AM$68+'TUSD BF'!$AM$68+'TUSD CVA'!$AM$68)*1</f>
        <v>393.28439820871614</v>
      </c>
      <c r="AA1074" s="6">
        <f>('TE BE'!$AB$46+'TE BF'!$AB$46+'TE CVA'!$AB$46)*1</f>
        <v>314.78517822974521</v>
      </c>
      <c r="AB1074" s="6">
        <f>$K$1074*$V$1074</f>
        <v>0</v>
      </c>
      <c r="AC1074" s="6">
        <f>$M$1074*$W$1074</f>
        <v>5424.9195000000009</v>
      </c>
      <c r="AD1074" s="6">
        <f>$O$1074*$X$1074</f>
        <v>5281.483400000001</v>
      </c>
      <c r="AE1074" s="6">
        <f>$K$1074*$Y$1074</f>
        <v>0</v>
      </c>
      <c r="AF1074" s="6">
        <f ca="1">$M$1074*$Z$1074</f>
        <v>7104.6826536404578</v>
      </c>
      <c r="AG1074" s="6">
        <f>$O$1074*$AA$1074</f>
        <v>5686.5942447203479</v>
      </c>
    </row>
    <row r="1075" spans="1:33" ht="11.25" customHeight="1" x14ac:dyDescent="0.3">
      <c r="A1075" s="4" t="s">
        <v>28</v>
      </c>
      <c r="B1075" s="4" t="s">
        <v>37</v>
      </c>
      <c r="C1075" s="4" t="s">
        <v>23</v>
      </c>
      <c r="D1075" s="4" t="s">
        <v>52</v>
      </c>
      <c r="E1075" s="4" t="s">
        <v>25</v>
      </c>
      <c r="F1075" s="4" t="s">
        <v>25</v>
      </c>
      <c r="G1075" s="4" t="s">
        <v>25</v>
      </c>
      <c r="H1075" s="4" t="s">
        <v>25</v>
      </c>
      <c r="I1075" s="5">
        <v>44531</v>
      </c>
      <c r="J1075" s="6">
        <v>0</v>
      </c>
      <c r="K1075" s="6">
        <v>0</v>
      </c>
      <c r="L1075" s="6">
        <v>0.2</v>
      </c>
      <c r="M1075" s="6">
        <v>0.2</v>
      </c>
      <c r="N1075" s="6">
        <v>0.2</v>
      </c>
      <c r="O1075" s="6">
        <v>0.2</v>
      </c>
      <c r="P1075" s="6">
        <v>2</v>
      </c>
      <c r="Q1075" s="4" t="s">
        <v>26</v>
      </c>
      <c r="R1075" s="4">
        <v>0</v>
      </c>
      <c r="S1075" s="6">
        <v>0</v>
      </c>
      <c r="T1075" s="6">
        <v>63</v>
      </c>
      <c r="U1075" s="6">
        <v>91</v>
      </c>
      <c r="V1075" s="6">
        <f>IF(ISERROR(VLOOKUP($S$1075,'TAR FIN'!$A$1:$O$113,15,0)),0,VLOOKUP($S$1075,'TAR FIN'!$A$1:$O$113,15,0))</f>
        <v>0</v>
      </c>
      <c r="W1075" s="6">
        <f>IF(ISERROR(VLOOKUP($T$1075,'TAR FIN'!$A$1:$O$113,15,0)),0,VLOOKUP($T$1075,'TAR FIN'!$A$1:$O$113,15,0))</f>
        <v>300.3</v>
      </c>
      <c r="X1075" s="6">
        <f>IF(ISERROR(VLOOKUP($U$1075,'TAR FIN'!$A$1:$O$113,15,0)),0,VLOOKUP($U$1075,'TAR FIN'!$A$1:$O$113,15,0))</f>
        <v>292.36</v>
      </c>
      <c r="Y1075" s="6"/>
      <c r="Z1075" s="6">
        <f ca="1">('TUSD BE'!$AM$68+'TUSD BF'!$AM$68+'TUSD CVA'!$AM$68)*1</f>
        <v>393.28439820871614</v>
      </c>
      <c r="AA1075" s="6">
        <f>('TE BE'!$AB$46+'TE BF'!$AB$46+'TE CVA'!$AB$46)*1</f>
        <v>314.78517822974521</v>
      </c>
      <c r="AB1075" s="6">
        <f>$K$1075*$V$1075</f>
        <v>0</v>
      </c>
      <c r="AC1075" s="6">
        <f>$M$1075*$W$1075</f>
        <v>60.06</v>
      </c>
      <c r="AD1075" s="6">
        <f>$O$1075*$X$1075</f>
        <v>58.472000000000008</v>
      </c>
      <c r="AE1075" s="6">
        <f>$K$1075*$Y$1075</f>
        <v>0</v>
      </c>
      <c r="AF1075" s="6">
        <f ca="1">$M$1075*$Z$1075</f>
        <v>78.656879641743231</v>
      </c>
      <c r="AG1075" s="6">
        <f>$O$1075*$AA$1075</f>
        <v>62.957035645949048</v>
      </c>
    </row>
    <row r="1076" spans="1:33" ht="11.25" customHeight="1" x14ac:dyDescent="0.3">
      <c r="A1076" s="4" t="s">
        <v>21</v>
      </c>
      <c r="B1076" s="4" t="s">
        <v>37</v>
      </c>
      <c r="C1076" s="4" t="s">
        <v>23</v>
      </c>
      <c r="D1076" s="4" t="s">
        <v>52</v>
      </c>
      <c r="E1076" s="4" t="s">
        <v>25</v>
      </c>
      <c r="F1076" s="4" t="s">
        <v>25</v>
      </c>
      <c r="G1076" s="4" t="s">
        <v>25</v>
      </c>
      <c r="H1076" s="4" t="s">
        <v>25</v>
      </c>
      <c r="I1076" s="5">
        <v>44562</v>
      </c>
      <c r="J1076" s="6">
        <v>0</v>
      </c>
      <c r="K1076" s="6">
        <v>0</v>
      </c>
      <c r="L1076" s="6">
        <v>5.6550000000000002</v>
      </c>
      <c r="M1076" s="6">
        <v>5.6550000000000002</v>
      </c>
      <c r="N1076" s="6">
        <v>5.6550000000000002</v>
      </c>
      <c r="O1076" s="6">
        <v>5.6550000000000002</v>
      </c>
      <c r="P1076" s="6">
        <v>7</v>
      </c>
      <c r="Q1076" s="4" t="s">
        <v>26</v>
      </c>
      <c r="R1076" s="4">
        <v>0</v>
      </c>
      <c r="S1076" s="6">
        <v>0</v>
      </c>
      <c r="T1076" s="6">
        <v>63</v>
      </c>
      <c r="U1076" s="6">
        <v>91</v>
      </c>
      <c r="V1076" s="6">
        <f>IF(ISERROR(VLOOKUP($S$1076,'TAR FIN'!$A$1:$O$113,15,0)),0,VLOOKUP($S$1076,'TAR FIN'!$A$1:$O$113,15,0))</f>
        <v>0</v>
      </c>
      <c r="W1076" s="6">
        <f>IF(ISERROR(VLOOKUP($T$1076,'TAR FIN'!$A$1:$O$113,15,0)),0,VLOOKUP($T$1076,'TAR FIN'!$A$1:$O$113,15,0))</f>
        <v>300.3</v>
      </c>
      <c r="X1076" s="6">
        <f>IF(ISERROR(VLOOKUP($U$1076,'TAR FIN'!$A$1:$O$113,15,0)),0,VLOOKUP($U$1076,'TAR FIN'!$A$1:$O$113,15,0))</f>
        <v>292.36</v>
      </c>
      <c r="Y1076" s="6"/>
      <c r="Z1076" s="6">
        <f ca="1">('TUSD BE'!$AM$68+'TUSD BF'!$AM$68+'TUSD CVA'!$AM$68)*1</f>
        <v>393.28439820871614</v>
      </c>
      <c r="AA1076" s="6">
        <f>('TE BE'!$AB$46+'TE BF'!$AB$46+'TE CVA'!$AB$46)*1</f>
        <v>314.78517822974521</v>
      </c>
      <c r="AB1076" s="6">
        <f>$K$1076*$V$1076</f>
        <v>0</v>
      </c>
      <c r="AC1076" s="6">
        <f>$M$1076*$W$1076</f>
        <v>1698.1965000000002</v>
      </c>
      <c r="AD1076" s="6">
        <f>$O$1076*$X$1076</f>
        <v>1653.2958000000001</v>
      </c>
      <c r="AE1076" s="6">
        <f>$K$1076*$Y$1076</f>
        <v>0</v>
      </c>
      <c r="AF1076" s="6">
        <f ca="1">$M$1076*$Z$1076</f>
        <v>2224.02327187029</v>
      </c>
      <c r="AG1076" s="6">
        <f>$O$1076*$AA$1076</f>
        <v>1780.1101828892092</v>
      </c>
    </row>
    <row r="1077" spans="1:33" ht="11.25" customHeight="1" x14ac:dyDescent="0.3">
      <c r="A1077" s="4" t="s">
        <v>28</v>
      </c>
      <c r="B1077" s="4" t="s">
        <v>37</v>
      </c>
      <c r="C1077" s="4" t="s">
        <v>23</v>
      </c>
      <c r="D1077" s="4" t="s">
        <v>52</v>
      </c>
      <c r="E1077" s="4" t="s">
        <v>25</v>
      </c>
      <c r="F1077" s="4" t="s">
        <v>25</v>
      </c>
      <c r="G1077" s="4" t="s">
        <v>25</v>
      </c>
      <c r="H1077" s="4" t="s">
        <v>25</v>
      </c>
      <c r="I1077" s="5">
        <v>44562</v>
      </c>
      <c r="J1077" s="6">
        <v>0</v>
      </c>
      <c r="K1077" s="6">
        <v>0</v>
      </c>
      <c r="L1077" s="6">
        <v>13.237</v>
      </c>
      <c r="M1077" s="6">
        <v>13.237</v>
      </c>
      <c r="N1077" s="6">
        <v>13.237</v>
      </c>
      <c r="O1077" s="6">
        <v>13.237</v>
      </c>
      <c r="P1077" s="6">
        <v>3</v>
      </c>
      <c r="Q1077" s="4" t="s">
        <v>26</v>
      </c>
      <c r="R1077" s="4">
        <v>0</v>
      </c>
      <c r="S1077" s="6">
        <v>0</v>
      </c>
      <c r="T1077" s="6">
        <v>63</v>
      </c>
      <c r="U1077" s="6">
        <v>91</v>
      </c>
      <c r="V1077" s="6">
        <f>IF(ISERROR(VLOOKUP($S$1077,'TAR FIN'!$A$1:$O$113,15,0)),0,VLOOKUP($S$1077,'TAR FIN'!$A$1:$O$113,15,0))</f>
        <v>0</v>
      </c>
      <c r="W1077" s="6">
        <f>IF(ISERROR(VLOOKUP($T$1077,'TAR FIN'!$A$1:$O$113,15,0)),0,VLOOKUP($T$1077,'TAR FIN'!$A$1:$O$113,15,0))</f>
        <v>300.3</v>
      </c>
      <c r="X1077" s="6">
        <f>IF(ISERROR(VLOOKUP($U$1077,'TAR FIN'!$A$1:$O$113,15,0)),0,VLOOKUP($U$1077,'TAR FIN'!$A$1:$O$113,15,0))</f>
        <v>292.36</v>
      </c>
      <c r="Y1077" s="6"/>
      <c r="Z1077" s="6">
        <f ca="1">('TUSD BE'!$AM$68+'TUSD BF'!$AM$68+'TUSD CVA'!$AM$68)*1</f>
        <v>393.28439820871614</v>
      </c>
      <c r="AA1077" s="6">
        <f>('TE BE'!$AB$46+'TE BF'!$AB$46+'TE CVA'!$AB$46)*1</f>
        <v>314.78517822974521</v>
      </c>
      <c r="AB1077" s="6">
        <f>$K$1077*$V$1077</f>
        <v>0</v>
      </c>
      <c r="AC1077" s="6">
        <f>$M$1077*$W$1077</f>
        <v>3975.0711000000001</v>
      </c>
      <c r="AD1077" s="6">
        <f>$O$1077*$X$1077</f>
        <v>3869.9693200000002</v>
      </c>
      <c r="AE1077" s="6">
        <f>$K$1077*$Y$1077</f>
        <v>0</v>
      </c>
      <c r="AF1077" s="6">
        <f ca="1">$M$1077*$Z$1077</f>
        <v>5205.905579088776</v>
      </c>
      <c r="AG1077" s="6">
        <f>$O$1077*$AA$1077</f>
        <v>4166.8114042271372</v>
      </c>
    </row>
    <row r="1078" spans="1:33" ht="11.25" customHeight="1" x14ac:dyDescent="0.3">
      <c r="A1078" s="4" t="s">
        <v>21</v>
      </c>
      <c r="B1078" s="4" t="s">
        <v>37</v>
      </c>
      <c r="C1078" s="4" t="s">
        <v>23</v>
      </c>
      <c r="D1078" s="4" t="s">
        <v>52</v>
      </c>
      <c r="E1078" s="4" t="s">
        <v>25</v>
      </c>
      <c r="F1078" s="4" t="s">
        <v>25</v>
      </c>
      <c r="G1078" s="4" t="s">
        <v>25</v>
      </c>
      <c r="H1078" s="4" t="s">
        <v>25</v>
      </c>
      <c r="I1078" s="5">
        <v>44593</v>
      </c>
      <c r="J1078" s="6">
        <v>0</v>
      </c>
      <c r="K1078" s="6">
        <v>0</v>
      </c>
      <c r="L1078" s="6">
        <v>2.9710000000000001</v>
      </c>
      <c r="M1078" s="6">
        <v>2.9710000000000001</v>
      </c>
      <c r="N1078" s="6">
        <v>2.9710000000000001</v>
      </c>
      <c r="O1078" s="6">
        <v>2.9710000000000001</v>
      </c>
      <c r="P1078" s="6">
        <v>7</v>
      </c>
      <c r="Q1078" s="4" t="s">
        <v>26</v>
      </c>
      <c r="R1078" s="4">
        <v>0</v>
      </c>
      <c r="S1078" s="6">
        <v>0</v>
      </c>
      <c r="T1078" s="6">
        <v>63</v>
      </c>
      <c r="U1078" s="6">
        <v>91</v>
      </c>
      <c r="V1078" s="6">
        <f>IF(ISERROR(VLOOKUP($S$1078,'TAR FIN'!$A$1:$O$113,15,0)),0,VLOOKUP($S$1078,'TAR FIN'!$A$1:$O$113,15,0))</f>
        <v>0</v>
      </c>
      <c r="W1078" s="6">
        <f>IF(ISERROR(VLOOKUP($T$1078,'TAR FIN'!$A$1:$O$113,15,0)),0,VLOOKUP($T$1078,'TAR FIN'!$A$1:$O$113,15,0))</f>
        <v>300.3</v>
      </c>
      <c r="X1078" s="6">
        <f>IF(ISERROR(VLOOKUP($U$1078,'TAR FIN'!$A$1:$O$113,15,0)),0,VLOOKUP($U$1078,'TAR FIN'!$A$1:$O$113,15,0))</f>
        <v>292.36</v>
      </c>
      <c r="Y1078" s="6"/>
      <c r="Z1078" s="6">
        <f ca="1">('TUSD BE'!$AM$68+'TUSD BF'!$AM$68+'TUSD CVA'!$AM$68)*1</f>
        <v>393.28439820871614</v>
      </c>
      <c r="AA1078" s="6">
        <f>('TE BE'!$AB$46+'TE BF'!$AB$46+'TE CVA'!$AB$46)*1</f>
        <v>314.78517822974521</v>
      </c>
      <c r="AB1078" s="6">
        <f>$K$1078*$V$1078</f>
        <v>0</v>
      </c>
      <c r="AC1078" s="6">
        <f>$M$1078*$W$1078</f>
        <v>892.19130000000007</v>
      </c>
      <c r="AD1078" s="6">
        <f>$O$1078*$X$1078</f>
        <v>868.60156000000006</v>
      </c>
      <c r="AE1078" s="6">
        <f>$K$1078*$Y$1078</f>
        <v>0</v>
      </c>
      <c r="AF1078" s="6">
        <f ca="1">$M$1078*$Z$1078</f>
        <v>1168.4479470780957</v>
      </c>
      <c r="AG1078" s="6">
        <f>$O$1078*$AA$1078</f>
        <v>935.22676452057306</v>
      </c>
    </row>
    <row r="1079" spans="1:33" ht="11.25" customHeight="1" x14ac:dyDescent="0.3">
      <c r="A1079" s="4" t="s">
        <v>28</v>
      </c>
      <c r="B1079" s="4" t="s">
        <v>37</v>
      </c>
      <c r="C1079" s="4" t="s">
        <v>23</v>
      </c>
      <c r="D1079" s="4" t="s">
        <v>52</v>
      </c>
      <c r="E1079" s="4" t="s">
        <v>25</v>
      </c>
      <c r="F1079" s="4" t="s">
        <v>25</v>
      </c>
      <c r="G1079" s="4" t="s">
        <v>25</v>
      </c>
      <c r="H1079" s="4" t="s">
        <v>25</v>
      </c>
      <c r="I1079" s="5">
        <v>44593</v>
      </c>
      <c r="J1079" s="6">
        <v>0</v>
      </c>
      <c r="K1079" s="6">
        <v>0</v>
      </c>
      <c r="L1079" s="6">
        <v>13.678000000000001</v>
      </c>
      <c r="M1079" s="6">
        <v>13.678000000000001</v>
      </c>
      <c r="N1079" s="6">
        <v>13.678000000000001</v>
      </c>
      <c r="O1079" s="6">
        <v>13.678000000000001</v>
      </c>
      <c r="P1079" s="6">
        <v>3</v>
      </c>
      <c r="Q1079" s="4" t="s">
        <v>26</v>
      </c>
      <c r="R1079" s="4">
        <v>0</v>
      </c>
      <c r="S1079" s="6">
        <v>0</v>
      </c>
      <c r="T1079" s="6">
        <v>63</v>
      </c>
      <c r="U1079" s="6">
        <v>91</v>
      </c>
      <c r="V1079" s="6">
        <f>IF(ISERROR(VLOOKUP($S$1079,'TAR FIN'!$A$1:$O$113,15,0)),0,VLOOKUP($S$1079,'TAR FIN'!$A$1:$O$113,15,0))</f>
        <v>0</v>
      </c>
      <c r="W1079" s="6">
        <f>IF(ISERROR(VLOOKUP($T$1079,'TAR FIN'!$A$1:$O$113,15,0)),0,VLOOKUP($T$1079,'TAR FIN'!$A$1:$O$113,15,0))</f>
        <v>300.3</v>
      </c>
      <c r="X1079" s="6">
        <f>IF(ISERROR(VLOOKUP($U$1079,'TAR FIN'!$A$1:$O$113,15,0)),0,VLOOKUP($U$1079,'TAR FIN'!$A$1:$O$113,15,0))</f>
        <v>292.36</v>
      </c>
      <c r="Y1079" s="6"/>
      <c r="Z1079" s="6">
        <f ca="1">('TUSD BE'!$AM$68+'TUSD BF'!$AM$68+'TUSD CVA'!$AM$68)*1</f>
        <v>393.28439820871614</v>
      </c>
      <c r="AA1079" s="6">
        <f>('TE BE'!$AB$46+'TE BF'!$AB$46+'TE CVA'!$AB$46)*1</f>
        <v>314.78517822974521</v>
      </c>
      <c r="AB1079" s="6">
        <f>$K$1079*$V$1079</f>
        <v>0</v>
      </c>
      <c r="AC1079" s="6">
        <f>$M$1079*$W$1079</f>
        <v>4107.5034000000005</v>
      </c>
      <c r="AD1079" s="6">
        <f>$O$1079*$X$1079</f>
        <v>3998.9000800000003</v>
      </c>
      <c r="AE1079" s="6">
        <f>$K$1079*$Y$1079</f>
        <v>0</v>
      </c>
      <c r="AF1079" s="6">
        <f ca="1">$M$1079*$Z$1079</f>
        <v>5379.3439986988196</v>
      </c>
      <c r="AG1079" s="6">
        <f>$O$1079*$AA$1079</f>
        <v>4305.6316678264557</v>
      </c>
    </row>
    <row r="1080" spans="1:33" ht="11.25" customHeight="1" x14ac:dyDescent="0.3">
      <c r="A1080" s="4" t="s">
        <v>21</v>
      </c>
      <c r="B1080" s="4" t="s">
        <v>37</v>
      </c>
      <c r="C1080" s="4" t="s">
        <v>23</v>
      </c>
      <c r="D1080" s="4" t="s">
        <v>52</v>
      </c>
      <c r="E1080" s="4" t="s">
        <v>25</v>
      </c>
      <c r="F1080" s="4" t="s">
        <v>25</v>
      </c>
      <c r="G1080" s="4" t="s">
        <v>25</v>
      </c>
      <c r="H1080" s="4" t="s">
        <v>25</v>
      </c>
      <c r="I1080" s="5">
        <v>44621</v>
      </c>
      <c r="J1080" s="6">
        <v>0</v>
      </c>
      <c r="K1080" s="6">
        <v>0</v>
      </c>
      <c r="L1080" s="6">
        <v>5.601</v>
      </c>
      <c r="M1080" s="6">
        <v>5.601</v>
      </c>
      <c r="N1080" s="6">
        <v>5.601</v>
      </c>
      <c r="O1080" s="6">
        <v>5.601</v>
      </c>
      <c r="P1080" s="6">
        <v>8</v>
      </c>
      <c r="Q1080" s="4" t="s">
        <v>26</v>
      </c>
      <c r="R1080" s="4">
        <v>0</v>
      </c>
      <c r="S1080" s="6">
        <v>0</v>
      </c>
      <c r="T1080" s="6">
        <v>63</v>
      </c>
      <c r="U1080" s="6">
        <v>91</v>
      </c>
      <c r="V1080" s="6">
        <f>IF(ISERROR(VLOOKUP($S$1080,'TAR FIN'!$A$1:$O$113,15,0)),0,VLOOKUP($S$1080,'TAR FIN'!$A$1:$O$113,15,0))</f>
        <v>0</v>
      </c>
      <c r="W1080" s="6">
        <f>IF(ISERROR(VLOOKUP($T$1080,'TAR FIN'!$A$1:$O$113,15,0)),0,VLOOKUP($T$1080,'TAR FIN'!$A$1:$O$113,15,0))</f>
        <v>300.3</v>
      </c>
      <c r="X1080" s="6">
        <f>IF(ISERROR(VLOOKUP($U$1080,'TAR FIN'!$A$1:$O$113,15,0)),0,VLOOKUP($U$1080,'TAR FIN'!$A$1:$O$113,15,0))</f>
        <v>292.36</v>
      </c>
      <c r="Y1080" s="6"/>
      <c r="Z1080" s="6">
        <f ca="1">('TUSD BE'!$AM$68+'TUSD BF'!$AM$68+'TUSD CVA'!$AM$68)*1</f>
        <v>393.28439820871614</v>
      </c>
      <c r="AA1080" s="6">
        <f>('TE BE'!$AB$46+'TE BF'!$AB$46+'TE CVA'!$AB$46)*1</f>
        <v>314.78517822974521</v>
      </c>
      <c r="AB1080" s="6">
        <f>$K$1080*$V$1080</f>
        <v>0</v>
      </c>
      <c r="AC1080" s="6">
        <f>$M$1080*$W$1080</f>
        <v>1681.9803000000002</v>
      </c>
      <c r="AD1080" s="6">
        <f>$O$1080*$X$1080</f>
        <v>1637.50836</v>
      </c>
      <c r="AE1080" s="6">
        <f>$K$1080*$Y$1080</f>
        <v>0</v>
      </c>
      <c r="AF1080" s="6">
        <f ca="1">$M$1080*$Z$1080</f>
        <v>2202.7859143670189</v>
      </c>
      <c r="AG1080" s="6">
        <f>$O$1080*$AA$1080</f>
        <v>1763.1117832648029</v>
      </c>
    </row>
    <row r="1081" spans="1:33" ht="11.25" customHeight="1" x14ac:dyDescent="0.3">
      <c r="A1081" s="4" t="s">
        <v>28</v>
      </c>
      <c r="B1081" s="4" t="s">
        <v>37</v>
      </c>
      <c r="C1081" s="4" t="s">
        <v>23</v>
      </c>
      <c r="D1081" s="4" t="s">
        <v>52</v>
      </c>
      <c r="E1081" s="4" t="s">
        <v>25</v>
      </c>
      <c r="F1081" s="4" t="s">
        <v>25</v>
      </c>
      <c r="G1081" s="4" t="s">
        <v>25</v>
      </c>
      <c r="H1081" s="4" t="s">
        <v>25</v>
      </c>
      <c r="I1081" s="5">
        <v>44621</v>
      </c>
      <c r="J1081" s="6">
        <v>0</v>
      </c>
      <c r="K1081" s="6">
        <v>0</v>
      </c>
      <c r="L1081" s="6">
        <v>13.317</v>
      </c>
      <c r="M1081" s="6">
        <v>13.317</v>
      </c>
      <c r="N1081" s="6">
        <v>13.317</v>
      </c>
      <c r="O1081" s="6">
        <v>13.317</v>
      </c>
      <c r="P1081" s="6">
        <v>2</v>
      </c>
      <c r="Q1081" s="4" t="s">
        <v>26</v>
      </c>
      <c r="R1081" s="4">
        <v>0</v>
      </c>
      <c r="S1081" s="6">
        <v>0</v>
      </c>
      <c r="T1081" s="6">
        <v>63</v>
      </c>
      <c r="U1081" s="6">
        <v>91</v>
      </c>
      <c r="V1081" s="6">
        <f>IF(ISERROR(VLOOKUP($S$1081,'TAR FIN'!$A$1:$O$113,15,0)),0,VLOOKUP($S$1081,'TAR FIN'!$A$1:$O$113,15,0))</f>
        <v>0</v>
      </c>
      <c r="W1081" s="6">
        <f>IF(ISERROR(VLOOKUP($T$1081,'TAR FIN'!$A$1:$O$113,15,0)),0,VLOOKUP($T$1081,'TAR FIN'!$A$1:$O$113,15,0))</f>
        <v>300.3</v>
      </c>
      <c r="X1081" s="6">
        <f>IF(ISERROR(VLOOKUP($U$1081,'TAR FIN'!$A$1:$O$113,15,0)),0,VLOOKUP($U$1081,'TAR FIN'!$A$1:$O$113,15,0))</f>
        <v>292.36</v>
      </c>
      <c r="Y1081" s="6"/>
      <c r="Z1081" s="6">
        <f ca="1">('TUSD BE'!$AM$68+'TUSD BF'!$AM$68+'TUSD CVA'!$AM$68)*1</f>
        <v>393.28439820871614</v>
      </c>
      <c r="AA1081" s="6">
        <f>('TE BE'!$AB$46+'TE BF'!$AB$46+'TE CVA'!$AB$46)*1</f>
        <v>314.78517822974521</v>
      </c>
      <c r="AB1081" s="6">
        <f>$K$1081*$V$1081</f>
        <v>0</v>
      </c>
      <c r="AC1081" s="6">
        <f>$M$1081*$W$1081</f>
        <v>3999.0951</v>
      </c>
      <c r="AD1081" s="6">
        <f>$O$1081*$X$1081</f>
        <v>3893.3581200000003</v>
      </c>
      <c r="AE1081" s="6">
        <f>$K$1081*$Y$1081</f>
        <v>0</v>
      </c>
      <c r="AF1081" s="6">
        <f ca="1">$M$1081*$Z$1081</f>
        <v>5237.3683309454727</v>
      </c>
      <c r="AG1081" s="6">
        <f>$O$1081*$AA$1081</f>
        <v>4191.9942184855172</v>
      </c>
    </row>
    <row r="1082" spans="1:33" ht="11.25" customHeight="1" x14ac:dyDescent="0.3">
      <c r="A1082" s="4" t="s">
        <v>21</v>
      </c>
      <c r="B1082" s="4" t="s">
        <v>37</v>
      </c>
      <c r="C1082" s="4" t="s">
        <v>23</v>
      </c>
      <c r="D1082" s="4" t="s">
        <v>52</v>
      </c>
      <c r="E1082" s="4" t="s">
        <v>25</v>
      </c>
      <c r="F1082" s="4" t="s">
        <v>25</v>
      </c>
      <c r="G1082" s="4" t="s">
        <v>25</v>
      </c>
      <c r="H1082" s="4" t="s">
        <v>25</v>
      </c>
      <c r="I1082" s="5">
        <v>44652</v>
      </c>
      <c r="J1082" s="6">
        <v>0</v>
      </c>
      <c r="K1082" s="6">
        <v>0</v>
      </c>
      <c r="L1082" s="6">
        <v>4.8049999999999997</v>
      </c>
      <c r="M1082" s="6">
        <v>4.8049999999999997</v>
      </c>
      <c r="N1082" s="6">
        <v>4.8049999999999997</v>
      </c>
      <c r="O1082" s="6">
        <v>4.8049999999999997</v>
      </c>
      <c r="P1082" s="6">
        <v>7</v>
      </c>
      <c r="Q1082" s="4" t="s">
        <v>26</v>
      </c>
      <c r="R1082" s="4">
        <v>0</v>
      </c>
      <c r="S1082" s="6">
        <v>0</v>
      </c>
      <c r="T1082" s="6">
        <v>63</v>
      </c>
      <c r="U1082" s="6">
        <v>91</v>
      </c>
      <c r="V1082" s="6">
        <f>IF(ISERROR(VLOOKUP($S$1082,'TAR FIN'!$A$1:$O$113,15,0)),0,VLOOKUP($S$1082,'TAR FIN'!$A$1:$O$113,15,0))</f>
        <v>0</v>
      </c>
      <c r="W1082" s="6">
        <f>IF(ISERROR(VLOOKUP($T$1082,'TAR FIN'!$A$1:$O$113,15,0)),0,VLOOKUP($T$1082,'TAR FIN'!$A$1:$O$113,15,0))</f>
        <v>300.3</v>
      </c>
      <c r="X1082" s="6">
        <f>IF(ISERROR(VLOOKUP($U$1082,'TAR FIN'!$A$1:$O$113,15,0)),0,VLOOKUP($U$1082,'TAR FIN'!$A$1:$O$113,15,0))</f>
        <v>292.36</v>
      </c>
      <c r="Y1082" s="6"/>
      <c r="Z1082" s="6">
        <f ca="1">('TUSD BE'!$AM$68+'TUSD BF'!$AM$68+'TUSD CVA'!$AM$68)*1</f>
        <v>393.28439820871614</v>
      </c>
      <c r="AA1082" s="6">
        <f>('TE BE'!$AB$46+'TE BF'!$AB$46+'TE CVA'!$AB$46)*1</f>
        <v>314.78517822974521</v>
      </c>
      <c r="AB1082" s="6">
        <f>$K$1082*$V$1082</f>
        <v>0</v>
      </c>
      <c r="AC1082" s="6">
        <f>$M$1082*$W$1082</f>
        <v>1442.9414999999999</v>
      </c>
      <c r="AD1082" s="6">
        <f>$O$1082*$X$1082</f>
        <v>1404.7898</v>
      </c>
      <c r="AE1082" s="6">
        <f>$K$1082*$Y$1082</f>
        <v>0</v>
      </c>
      <c r="AF1082" s="6">
        <f ca="1">$M$1082*$Z$1082</f>
        <v>1889.7315333928809</v>
      </c>
      <c r="AG1082" s="6">
        <f>$O$1082*$AA$1082</f>
        <v>1512.5427813939257</v>
      </c>
    </row>
    <row r="1083" spans="1:33" ht="11.25" customHeight="1" x14ac:dyDescent="0.3">
      <c r="A1083" s="4" t="s">
        <v>28</v>
      </c>
      <c r="B1083" s="4" t="s">
        <v>37</v>
      </c>
      <c r="C1083" s="4" t="s">
        <v>23</v>
      </c>
      <c r="D1083" s="4" t="s">
        <v>52</v>
      </c>
      <c r="E1083" s="4" t="s">
        <v>25</v>
      </c>
      <c r="F1083" s="4" t="s">
        <v>25</v>
      </c>
      <c r="G1083" s="4" t="s">
        <v>25</v>
      </c>
      <c r="H1083" s="4" t="s">
        <v>25</v>
      </c>
      <c r="I1083" s="5">
        <v>44652</v>
      </c>
      <c r="J1083" s="6">
        <v>0</v>
      </c>
      <c r="K1083" s="6">
        <v>0</v>
      </c>
      <c r="L1083" s="6">
        <v>15.292</v>
      </c>
      <c r="M1083" s="6">
        <v>15.292</v>
      </c>
      <c r="N1083" s="6">
        <v>15.292</v>
      </c>
      <c r="O1083" s="6">
        <v>15.292</v>
      </c>
      <c r="P1083" s="6">
        <v>3</v>
      </c>
      <c r="Q1083" s="4" t="s">
        <v>26</v>
      </c>
      <c r="R1083" s="4">
        <v>0</v>
      </c>
      <c r="S1083" s="6">
        <v>0</v>
      </c>
      <c r="T1083" s="6">
        <v>63</v>
      </c>
      <c r="U1083" s="6">
        <v>91</v>
      </c>
      <c r="V1083" s="6">
        <f>IF(ISERROR(VLOOKUP($S$1083,'TAR FIN'!$A$1:$O$113,15,0)),0,VLOOKUP($S$1083,'TAR FIN'!$A$1:$O$113,15,0))</f>
        <v>0</v>
      </c>
      <c r="W1083" s="6">
        <f>IF(ISERROR(VLOOKUP($T$1083,'TAR FIN'!$A$1:$O$113,15,0)),0,VLOOKUP($T$1083,'TAR FIN'!$A$1:$O$113,15,0))</f>
        <v>300.3</v>
      </c>
      <c r="X1083" s="6">
        <f>IF(ISERROR(VLOOKUP($U$1083,'TAR FIN'!$A$1:$O$113,15,0)),0,VLOOKUP($U$1083,'TAR FIN'!$A$1:$O$113,15,0))</f>
        <v>292.36</v>
      </c>
      <c r="Y1083" s="6"/>
      <c r="Z1083" s="6">
        <f ca="1">('TUSD BE'!$AM$68+'TUSD BF'!$AM$68+'TUSD CVA'!$AM$68)*1</f>
        <v>393.28439820871614</v>
      </c>
      <c r="AA1083" s="6">
        <f>('TE BE'!$AB$46+'TE BF'!$AB$46+'TE CVA'!$AB$46)*1</f>
        <v>314.78517822974521</v>
      </c>
      <c r="AB1083" s="6">
        <f>$K$1083*$V$1083</f>
        <v>0</v>
      </c>
      <c r="AC1083" s="6">
        <f>$M$1083*$W$1083</f>
        <v>4592.1876000000002</v>
      </c>
      <c r="AD1083" s="6">
        <f>$O$1083*$X$1083</f>
        <v>4470.7691199999999</v>
      </c>
      <c r="AE1083" s="6">
        <f>$K$1083*$Y$1083</f>
        <v>0</v>
      </c>
      <c r="AF1083" s="6">
        <f ca="1">$M$1083*$Z$1083</f>
        <v>6014.1050174076872</v>
      </c>
      <c r="AG1083" s="6">
        <f>$O$1083*$AA$1083</f>
        <v>4813.6949454892638</v>
      </c>
    </row>
    <row r="1084" spans="1:33" ht="11.25" customHeight="1" x14ac:dyDescent="0.3">
      <c r="A1084" s="4" t="s">
        <v>21</v>
      </c>
      <c r="B1084" s="4" t="s">
        <v>37</v>
      </c>
      <c r="C1084" s="4" t="s">
        <v>23</v>
      </c>
      <c r="D1084" s="4" t="s">
        <v>52</v>
      </c>
      <c r="E1084" s="4" t="s">
        <v>25</v>
      </c>
      <c r="F1084" s="4" t="s">
        <v>25</v>
      </c>
      <c r="G1084" s="4" t="s">
        <v>25</v>
      </c>
      <c r="H1084" s="4" t="s">
        <v>25</v>
      </c>
      <c r="I1084" s="5">
        <v>44682</v>
      </c>
      <c r="J1084" s="6">
        <v>0</v>
      </c>
      <c r="K1084" s="6">
        <v>0</v>
      </c>
      <c r="L1084" s="6">
        <v>4.8570000000000002</v>
      </c>
      <c r="M1084" s="6">
        <v>4.8570000000000002</v>
      </c>
      <c r="N1084" s="6">
        <v>4.8570000000000002</v>
      </c>
      <c r="O1084" s="6">
        <v>4.8570000000000002</v>
      </c>
      <c r="P1084" s="6">
        <v>7</v>
      </c>
      <c r="Q1084" s="4" t="s">
        <v>26</v>
      </c>
      <c r="R1084" s="4">
        <v>0</v>
      </c>
      <c r="S1084" s="6">
        <v>0</v>
      </c>
      <c r="T1084" s="6">
        <v>63</v>
      </c>
      <c r="U1084" s="6">
        <v>91</v>
      </c>
      <c r="V1084" s="6">
        <f>IF(ISERROR(VLOOKUP($S$1084,'TAR FIN'!$A$1:$O$113,15,0)),0,VLOOKUP($S$1084,'TAR FIN'!$A$1:$O$113,15,0))</f>
        <v>0</v>
      </c>
      <c r="W1084" s="6">
        <f>IF(ISERROR(VLOOKUP($T$1084,'TAR FIN'!$A$1:$O$113,15,0)),0,VLOOKUP($T$1084,'TAR FIN'!$A$1:$O$113,15,0))</f>
        <v>300.3</v>
      </c>
      <c r="X1084" s="6">
        <f>IF(ISERROR(VLOOKUP($U$1084,'TAR FIN'!$A$1:$O$113,15,0)),0,VLOOKUP($U$1084,'TAR FIN'!$A$1:$O$113,15,0))</f>
        <v>292.36</v>
      </c>
      <c r="Y1084" s="6"/>
      <c r="Z1084" s="6">
        <f ca="1">('TUSD BE'!$AM$68+'TUSD BF'!$AM$68+'TUSD CVA'!$AM$68)*1</f>
        <v>393.28439820871614</v>
      </c>
      <c r="AA1084" s="6">
        <f>('TE BE'!$AB$46+'TE BF'!$AB$46+'TE CVA'!$AB$46)*1</f>
        <v>314.78517822974521</v>
      </c>
      <c r="AB1084" s="6">
        <f>$K$1084*$V$1084</f>
        <v>0</v>
      </c>
      <c r="AC1084" s="6">
        <f>$M$1084*$W$1084</f>
        <v>1458.5571000000002</v>
      </c>
      <c r="AD1084" s="6">
        <f>$O$1084*$X$1084</f>
        <v>1419.99252</v>
      </c>
      <c r="AE1084" s="6">
        <f>$K$1084*$Y$1084</f>
        <v>0</v>
      </c>
      <c r="AF1084" s="6">
        <f ca="1">$M$1084*$Z$1084</f>
        <v>1910.1823220997344</v>
      </c>
      <c r="AG1084" s="6">
        <f>$O$1084*$AA$1084</f>
        <v>1528.9116106618726</v>
      </c>
    </row>
    <row r="1085" spans="1:33" ht="11.25" customHeight="1" x14ac:dyDescent="0.3">
      <c r="A1085" s="4" t="s">
        <v>28</v>
      </c>
      <c r="B1085" s="4" t="s">
        <v>37</v>
      </c>
      <c r="C1085" s="4" t="s">
        <v>23</v>
      </c>
      <c r="D1085" s="4" t="s">
        <v>52</v>
      </c>
      <c r="E1085" s="4" t="s">
        <v>25</v>
      </c>
      <c r="F1085" s="4" t="s">
        <v>25</v>
      </c>
      <c r="G1085" s="4" t="s">
        <v>25</v>
      </c>
      <c r="H1085" s="4" t="s">
        <v>25</v>
      </c>
      <c r="I1085" s="5">
        <v>44682</v>
      </c>
      <c r="J1085" s="6">
        <v>0</v>
      </c>
      <c r="K1085" s="6">
        <v>0</v>
      </c>
      <c r="L1085" s="6">
        <v>14.211</v>
      </c>
      <c r="M1085" s="6">
        <v>14.211</v>
      </c>
      <c r="N1085" s="6">
        <v>14.211</v>
      </c>
      <c r="O1085" s="6">
        <v>14.211</v>
      </c>
      <c r="P1085" s="6">
        <v>3</v>
      </c>
      <c r="Q1085" s="4" t="s">
        <v>26</v>
      </c>
      <c r="R1085" s="4">
        <v>0</v>
      </c>
      <c r="S1085" s="6">
        <v>0</v>
      </c>
      <c r="T1085" s="6">
        <v>63</v>
      </c>
      <c r="U1085" s="6">
        <v>91</v>
      </c>
      <c r="V1085" s="6">
        <f>IF(ISERROR(VLOOKUP($S$1085,'TAR FIN'!$A$1:$O$113,15,0)),0,VLOOKUP($S$1085,'TAR FIN'!$A$1:$O$113,15,0))</f>
        <v>0</v>
      </c>
      <c r="W1085" s="6">
        <f>IF(ISERROR(VLOOKUP($T$1085,'TAR FIN'!$A$1:$O$113,15,0)),0,VLOOKUP($T$1085,'TAR FIN'!$A$1:$O$113,15,0))</f>
        <v>300.3</v>
      </c>
      <c r="X1085" s="6">
        <f>IF(ISERROR(VLOOKUP($U$1085,'TAR FIN'!$A$1:$O$113,15,0)),0,VLOOKUP($U$1085,'TAR FIN'!$A$1:$O$113,15,0))</f>
        <v>292.36</v>
      </c>
      <c r="Y1085" s="6"/>
      <c r="Z1085" s="6">
        <f ca="1">('TUSD BE'!$AM$68+'TUSD BF'!$AM$68+'TUSD CVA'!$AM$68)*1</f>
        <v>393.28439820871614</v>
      </c>
      <c r="AA1085" s="6">
        <f>('TE BE'!$AB$46+'TE BF'!$AB$46+'TE CVA'!$AB$46)*1</f>
        <v>314.78517822974521</v>
      </c>
      <c r="AB1085" s="6">
        <f>$K$1085*$V$1085</f>
        <v>0</v>
      </c>
      <c r="AC1085" s="6">
        <f>$M$1085*$W$1085</f>
        <v>4267.5632999999998</v>
      </c>
      <c r="AD1085" s="6">
        <f>$O$1085*$X$1085</f>
        <v>4154.7279600000002</v>
      </c>
      <c r="AE1085" s="6">
        <f>$K$1085*$Y$1085</f>
        <v>0</v>
      </c>
      <c r="AF1085" s="6">
        <f ca="1">$M$1085*$Z$1085</f>
        <v>5588.9645829440651</v>
      </c>
      <c r="AG1085" s="6">
        <f>$O$1085*$AA$1085</f>
        <v>4473.4121678229094</v>
      </c>
    </row>
    <row r="1086" spans="1:33" ht="11.25" customHeight="1" x14ac:dyDescent="0.3">
      <c r="A1086" s="4" t="s">
        <v>21</v>
      </c>
      <c r="B1086" s="4" t="s">
        <v>37</v>
      </c>
      <c r="C1086" s="4" t="s">
        <v>23</v>
      </c>
      <c r="D1086" s="4" t="s">
        <v>52</v>
      </c>
      <c r="E1086" s="4" t="s">
        <v>25</v>
      </c>
      <c r="F1086" s="4" t="s">
        <v>25</v>
      </c>
      <c r="G1086" s="4" t="s">
        <v>25</v>
      </c>
      <c r="H1086" s="4" t="s">
        <v>25</v>
      </c>
      <c r="I1086" s="5">
        <v>44713</v>
      </c>
      <c r="J1086" s="6">
        <v>0</v>
      </c>
      <c r="K1086" s="6">
        <v>0</v>
      </c>
      <c r="L1086" s="6">
        <v>6.6070000000000002</v>
      </c>
      <c r="M1086" s="6">
        <v>6.6070000000000002</v>
      </c>
      <c r="N1086" s="6">
        <v>6.6070000000000002</v>
      </c>
      <c r="O1086" s="6">
        <v>6.6070000000000002</v>
      </c>
      <c r="P1086" s="6">
        <v>7</v>
      </c>
      <c r="Q1086" s="4" t="s">
        <v>26</v>
      </c>
      <c r="R1086" s="4">
        <v>0</v>
      </c>
      <c r="S1086" s="6">
        <v>0</v>
      </c>
      <c r="T1086" s="6">
        <v>63</v>
      </c>
      <c r="U1086" s="6">
        <v>91</v>
      </c>
      <c r="V1086" s="6">
        <f>IF(ISERROR(VLOOKUP($S$1086,'TAR FIN'!$A$1:$O$113,15,0)),0,VLOOKUP($S$1086,'TAR FIN'!$A$1:$O$113,15,0))</f>
        <v>0</v>
      </c>
      <c r="W1086" s="6">
        <f>IF(ISERROR(VLOOKUP($T$1086,'TAR FIN'!$A$1:$O$113,15,0)),0,VLOOKUP($T$1086,'TAR FIN'!$A$1:$O$113,15,0))</f>
        <v>300.3</v>
      </c>
      <c r="X1086" s="6">
        <f>IF(ISERROR(VLOOKUP($U$1086,'TAR FIN'!$A$1:$O$113,15,0)),0,VLOOKUP($U$1086,'TAR FIN'!$A$1:$O$113,15,0))</f>
        <v>292.36</v>
      </c>
      <c r="Y1086" s="6"/>
      <c r="Z1086" s="6">
        <f ca="1">('TUSD BE'!$AM$68+'TUSD BF'!$AM$68+'TUSD CVA'!$AM$68)*1</f>
        <v>393.28439820871614</v>
      </c>
      <c r="AA1086" s="6">
        <f>('TE BE'!$AB$46+'TE BF'!$AB$46+'TE CVA'!$AB$46)*1</f>
        <v>314.78517822974521</v>
      </c>
      <c r="AB1086" s="6">
        <f>$K$1086*$V$1086</f>
        <v>0</v>
      </c>
      <c r="AC1086" s="6">
        <f>$M$1086*$W$1086</f>
        <v>1984.0821000000001</v>
      </c>
      <c r="AD1086" s="6">
        <f>$O$1086*$X$1086</f>
        <v>1931.6225200000001</v>
      </c>
      <c r="AE1086" s="6">
        <f>$K$1086*$Y$1086</f>
        <v>0</v>
      </c>
      <c r="AF1086" s="6">
        <f ca="1">$M$1086*$Z$1086</f>
        <v>2598.4300189649875</v>
      </c>
      <c r="AG1086" s="6">
        <f>$O$1086*$AA$1086</f>
        <v>2079.7856725639267</v>
      </c>
    </row>
    <row r="1087" spans="1:33" ht="11.25" customHeight="1" x14ac:dyDescent="0.3">
      <c r="A1087" s="4" t="s">
        <v>28</v>
      </c>
      <c r="B1087" s="4" t="s">
        <v>37</v>
      </c>
      <c r="C1087" s="4" t="s">
        <v>23</v>
      </c>
      <c r="D1087" s="4" t="s">
        <v>52</v>
      </c>
      <c r="E1087" s="4" t="s">
        <v>25</v>
      </c>
      <c r="F1087" s="4" t="s">
        <v>25</v>
      </c>
      <c r="G1087" s="4" t="s">
        <v>25</v>
      </c>
      <c r="H1087" s="4" t="s">
        <v>25</v>
      </c>
      <c r="I1087" s="5">
        <v>44713</v>
      </c>
      <c r="J1087" s="6">
        <v>0</v>
      </c>
      <c r="K1087" s="6">
        <v>0</v>
      </c>
      <c r="L1087" s="6">
        <v>15.096</v>
      </c>
      <c r="M1087" s="6">
        <v>15.096</v>
      </c>
      <c r="N1087" s="6">
        <v>15.096</v>
      </c>
      <c r="O1087" s="6">
        <v>15.096</v>
      </c>
      <c r="P1087" s="6">
        <v>3</v>
      </c>
      <c r="Q1087" s="4" t="s">
        <v>26</v>
      </c>
      <c r="R1087" s="4">
        <v>0</v>
      </c>
      <c r="S1087" s="6">
        <v>0</v>
      </c>
      <c r="T1087" s="6">
        <v>63</v>
      </c>
      <c r="U1087" s="6">
        <v>91</v>
      </c>
      <c r="V1087" s="6">
        <f>IF(ISERROR(VLOOKUP($S$1087,'TAR FIN'!$A$1:$O$113,15,0)),0,VLOOKUP($S$1087,'TAR FIN'!$A$1:$O$113,15,0))</f>
        <v>0</v>
      </c>
      <c r="W1087" s="6">
        <f>IF(ISERROR(VLOOKUP($T$1087,'TAR FIN'!$A$1:$O$113,15,0)),0,VLOOKUP($T$1087,'TAR FIN'!$A$1:$O$113,15,0))</f>
        <v>300.3</v>
      </c>
      <c r="X1087" s="6">
        <f>IF(ISERROR(VLOOKUP($U$1087,'TAR FIN'!$A$1:$O$113,15,0)),0,VLOOKUP($U$1087,'TAR FIN'!$A$1:$O$113,15,0))</f>
        <v>292.36</v>
      </c>
      <c r="Y1087" s="6"/>
      <c r="Z1087" s="6">
        <f ca="1">('TUSD BE'!$AM$68+'TUSD BF'!$AM$68+'TUSD CVA'!$AM$68)*1</f>
        <v>393.28439820871614</v>
      </c>
      <c r="AA1087" s="6">
        <f>('TE BE'!$AB$46+'TE BF'!$AB$46+'TE CVA'!$AB$46)*1</f>
        <v>314.78517822974521</v>
      </c>
      <c r="AB1087" s="6">
        <f>$K$1087*$V$1087</f>
        <v>0</v>
      </c>
      <c r="AC1087" s="6">
        <f>$M$1087*$W$1087</f>
        <v>4533.3288000000002</v>
      </c>
      <c r="AD1087" s="6">
        <f>$O$1087*$X$1087</f>
        <v>4413.4665599999998</v>
      </c>
      <c r="AE1087" s="6">
        <f>$K$1087*$Y$1087</f>
        <v>0</v>
      </c>
      <c r="AF1087" s="6">
        <f ca="1">$M$1087*$Z$1087</f>
        <v>5937.0212753587793</v>
      </c>
      <c r="AG1087" s="6">
        <f>$O$1087*$AA$1087</f>
        <v>4751.9970505562342</v>
      </c>
    </row>
    <row r="1088" spans="1:33" ht="11.25" customHeight="1" x14ac:dyDescent="0.3">
      <c r="A1088" s="4" t="s">
        <v>21</v>
      </c>
      <c r="B1088" s="4" t="s">
        <v>37</v>
      </c>
      <c r="C1088" s="4" t="s">
        <v>23</v>
      </c>
      <c r="D1088" s="4" t="s">
        <v>52</v>
      </c>
      <c r="E1088" s="4" t="s">
        <v>25</v>
      </c>
      <c r="F1088" s="4" t="s">
        <v>25</v>
      </c>
      <c r="G1088" s="4" t="s">
        <v>25</v>
      </c>
      <c r="H1088" s="4" t="s">
        <v>25</v>
      </c>
      <c r="I1088" s="5">
        <v>44743</v>
      </c>
      <c r="J1088" s="6">
        <v>0</v>
      </c>
      <c r="K1088" s="6">
        <v>0</v>
      </c>
      <c r="L1088" s="6">
        <v>7.5880000000000001</v>
      </c>
      <c r="M1088" s="6">
        <v>7.5880000000000001</v>
      </c>
      <c r="N1088" s="6">
        <v>7.5880000000000001</v>
      </c>
      <c r="O1088" s="6">
        <v>7.5880000000000001</v>
      </c>
      <c r="P1088" s="6">
        <v>7</v>
      </c>
      <c r="Q1088" s="4" t="s">
        <v>26</v>
      </c>
      <c r="R1088" s="4">
        <v>0</v>
      </c>
      <c r="S1088" s="6">
        <v>0</v>
      </c>
      <c r="T1088" s="6">
        <v>63</v>
      </c>
      <c r="U1088" s="6">
        <v>91</v>
      </c>
      <c r="V1088" s="6">
        <f>IF(ISERROR(VLOOKUP($S$1088,'TAR FIN'!$A$1:$O$113,15,0)),0,VLOOKUP($S$1088,'TAR FIN'!$A$1:$O$113,15,0))</f>
        <v>0</v>
      </c>
      <c r="W1088" s="6">
        <f>IF(ISERROR(VLOOKUP($T$1088,'TAR FIN'!$A$1:$O$113,15,0)),0,VLOOKUP($T$1088,'TAR FIN'!$A$1:$O$113,15,0))</f>
        <v>300.3</v>
      </c>
      <c r="X1088" s="6">
        <f>IF(ISERROR(VLOOKUP($U$1088,'TAR FIN'!$A$1:$O$113,15,0)),0,VLOOKUP($U$1088,'TAR FIN'!$A$1:$O$113,15,0))</f>
        <v>292.36</v>
      </c>
      <c r="Y1088" s="6"/>
      <c r="Z1088" s="6">
        <f ca="1">('TUSD BE'!$AM$68+'TUSD BF'!$AM$68+'TUSD CVA'!$AM$68)*1</f>
        <v>393.28439820871614</v>
      </c>
      <c r="AA1088" s="6">
        <f>('TE BE'!$AB$46+'TE BF'!$AB$46+'TE CVA'!$AB$46)*1</f>
        <v>314.78517822974521</v>
      </c>
      <c r="AB1088" s="6">
        <f>$K$1088*$V$1088</f>
        <v>0</v>
      </c>
      <c r="AC1088" s="6">
        <f>$M$1088*$W$1088</f>
        <v>2278.6764000000003</v>
      </c>
      <c r="AD1088" s="6">
        <f>$O$1088*$X$1088</f>
        <v>2218.4276800000002</v>
      </c>
      <c r="AE1088" s="6">
        <f>$K$1088*$Y$1088</f>
        <v>0</v>
      </c>
      <c r="AF1088" s="6">
        <f ca="1">$M$1088*$Z$1088</f>
        <v>2984.242013607738</v>
      </c>
      <c r="AG1088" s="6">
        <f>$O$1088*$AA$1088</f>
        <v>2388.5899324073066</v>
      </c>
    </row>
    <row r="1089" spans="1:33" ht="11.25" customHeight="1" x14ac:dyDescent="0.3">
      <c r="A1089" s="4" t="s">
        <v>21</v>
      </c>
      <c r="B1089" s="4" t="s">
        <v>37</v>
      </c>
      <c r="C1089" s="4" t="s">
        <v>23</v>
      </c>
      <c r="D1089" s="4" t="s">
        <v>52</v>
      </c>
      <c r="E1089" s="4" t="s">
        <v>25</v>
      </c>
      <c r="F1089" s="4" t="s">
        <v>25</v>
      </c>
      <c r="G1089" s="4" t="s">
        <v>25</v>
      </c>
      <c r="H1089" s="4" t="s">
        <v>25</v>
      </c>
      <c r="I1089" s="5">
        <v>44774</v>
      </c>
      <c r="J1089" s="6">
        <v>0</v>
      </c>
      <c r="K1089" s="6">
        <v>0</v>
      </c>
      <c r="L1089" s="6">
        <v>5.8570000000000002</v>
      </c>
      <c r="M1089" s="6">
        <v>5.8570000000000002</v>
      </c>
      <c r="N1089" s="6">
        <v>5.8570000000000002</v>
      </c>
      <c r="O1089" s="6">
        <v>5.8570000000000002</v>
      </c>
      <c r="P1089" s="6">
        <v>7</v>
      </c>
      <c r="Q1089" s="4" t="s">
        <v>26</v>
      </c>
      <c r="R1089" s="4">
        <v>0</v>
      </c>
      <c r="S1089" s="6">
        <v>0</v>
      </c>
      <c r="T1089" s="6">
        <v>63</v>
      </c>
      <c r="U1089" s="6">
        <v>91</v>
      </c>
      <c r="V1089" s="6">
        <f>IF(ISERROR(VLOOKUP($S$1089,'TAR FIN'!$A$1:$O$113,15,0)),0,VLOOKUP($S$1089,'TAR FIN'!$A$1:$O$113,15,0))</f>
        <v>0</v>
      </c>
      <c r="W1089" s="6">
        <f>IF(ISERROR(VLOOKUP($T$1089,'TAR FIN'!$A$1:$O$113,15,0)),0,VLOOKUP($T$1089,'TAR FIN'!$A$1:$O$113,15,0))</f>
        <v>300.3</v>
      </c>
      <c r="X1089" s="6">
        <f>IF(ISERROR(VLOOKUP($U$1089,'TAR FIN'!$A$1:$O$113,15,0)),0,VLOOKUP($U$1089,'TAR FIN'!$A$1:$O$113,15,0))</f>
        <v>292.36</v>
      </c>
      <c r="Y1089" s="6"/>
      <c r="Z1089" s="6">
        <f ca="1">('TUSD BE'!$AM$68+'TUSD BF'!$AM$68+'TUSD CVA'!$AM$68)*1</f>
        <v>393.28439820871614</v>
      </c>
      <c r="AA1089" s="6">
        <f>('TE BE'!$AB$46+'TE BF'!$AB$46+'TE CVA'!$AB$46)*1</f>
        <v>314.78517822974521</v>
      </c>
      <c r="AB1089" s="6">
        <f>$K$1089*$V$1089</f>
        <v>0</v>
      </c>
      <c r="AC1089" s="6">
        <f>$M$1089*$W$1089</f>
        <v>1758.8571000000002</v>
      </c>
      <c r="AD1089" s="6">
        <f>$O$1089*$X$1089</f>
        <v>1712.3525200000001</v>
      </c>
      <c r="AE1089" s="6">
        <f>$K$1089*$Y$1089</f>
        <v>0</v>
      </c>
      <c r="AF1089" s="6">
        <f ca="1">$M$1089*$Z$1089</f>
        <v>2303.4667203084505</v>
      </c>
      <c r="AG1089" s="6">
        <f>$O$1089*$AA$1089</f>
        <v>1843.6967888916179</v>
      </c>
    </row>
    <row r="1090" spans="1:33" ht="11.25" customHeight="1" x14ac:dyDescent="0.3">
      <c r="A1090" s="4" t="s">
        <v>28</v>
      </c>
      <c r="B1090" s="4" t="s">
        <v>37</v>
      </c>
      <c r="C1090" s="4" t="s">
        <v>23</v>
      </c>
      <c r="D1090" s="4" t="s">
        <v>52</v>
      </c>
      <c r="E1090" s="4" t="s">
        <v>25</v>
      </c>
      <c r="F1090" s="4" t="s">
        <v>25</v>
      </c>
      <c r="G1090" s="4" t="s">
        <v>25</v>
      </c>
      <c r="H1090" s="4" t="s">
        <v>25</v>
      </c>
      <c r="I1090" s="5">
        <v>44774</v>
      </c>
      <c r="J1090" s="6">
        <v>0</v>
      </c>
      <c r="K1090" s="6">
        <v>0</v>
      </c>
      <c r="L1090" s="6">
        <v>15.643000000000001</v>
      </c>
      <c r="M1090" s="6">
        <v>15.643000000000001</v>
      </c>
      <c r="N1090" s="6">
        <v>15.643000000000001</v>
      </c>
      <c r="O1090" s="6">
        <v>15.643000000000001</v>
      </c>
      <c r="P1090" s="6">
        <v>3</v>
      </c>
      <c r="Q1090" s="4" t="s">
        <v>26</v>
      </c>
      <c r="R1090" s="4">
        <v>0</v>
      </c>
      <c r="S1090" s="6">
        <v>0</v>
      </c>
      <c r="T1090" s="6">
        <v>63</v>
      </c>
      <c r="U1090" s="6">
        <v>91</v>
      </c>
      <c r="V1090" s="6">
        <f>IF(ISERROR(VLOOKUP($S$1090,'TAR FIN'!$A$1:$O$113,15,0)),0,VLOOKUP($S$1090,'TAR FIN'!$A$1:$O$113,15,0))</f>
        <v>0</v>
      </c>
      <c r="W1090" s="6">
        <f>IF(ISERROR(VLOOKUP($T$1090,'TAR FIN'!$A$1:$O$113,15,0)),0,VLOOKUP($T$1090,'TAR FIN'!$A$1:$O$113,15,0))</f>
        <v>300.3</v>
      </c>
      <c r="X1090" s="6">
        <f>IF(ISERROR(VLOOKUP($U$1090,'TAR FIN'!$A$1:$O$113,15,0)),0,VLOOKUP($U$1090,'TAR FIN'!$A$1:$O$113,15,0))</f>
        <v>292.36</v>
      </c>
      <c r="Y1090" s="6"/>
      <c r="Z1090" s="6">
        <f ca="1">('TUSD BE'!$AM$68+'TUSD BF'!$AM$68+'TUSD CVA'!$AM$68)*1</f>
        <v>393.28439820871614</v>
      </c>
      <c r="AA1090" s="6">
        <f>('TE BE'!$AB$46+'TE BF'!$AB$46+'TE CVA'!$AB$46)*1</f>
        <v>314.78517822974521</v>
      </c>
      <c r="AB1090" s="6">
        <f>$K$1090*$V$1090</f>
        <v>0</v>
      </c>
      <c r="AC1090" s="6">
        <f>$M$1090*$W$1090</f>
        <v>4697.5929000000006</v>
      </c>
      <c r="AD1090" s="6">
        <f>$O$1090*$X$1090</f>
        <v>4573.3874800000003</v>
      </c>
      <c r="AE1090" s="6">
        <f>$K$1090*$Y$1090</f>
        <v>0</v>
      </c>
      <c r="AF1090" s="6">
        <f ca="1">$M$1090*$Z$1090</f>
        <v>6152.1478411789467</v>
      </c>
      <c r="AG1090" s="6">
        <f>$O$1090*$AA$1090</f>
        <v>4924.1845430479043</v>
      </c>
    </row>
    <row r="1091" spans="1:33" ht="11.25" customHeight="1" x14ac:dyDescent="0.3">
      <c r="A1091" s="4" t="s">
        <v>21</v>
      </c>
      <c r="B1091" s="4" t="s">
        <v>37</v>
      </c>
      <c r="C1091" s="4" t="s">
        <v>23</v>
      </c>
      <c r="D1091" s="4" t="s">
        <v>52</v>
      </c>
      <c r="E1091" s="4" t="s">
        <v>25</v>
      </c>
      <c r="F1091" s="4" t="s">
        <v>25</v>
      </c>
      <c r="G1091" s="4" t="s">
        <v>25</v>
      </c>
      <c r="H1091" s="4" t="s">
        <v>25</v>
      </c>
      <c r="I1091" s="5">
        <v>44805</v>
      </c>
      <c r="J1091" s="6">
        <v>0</v>
      </c>
      <c r="K1091" s="6">
        <v>0</v>
      </c>
      <c r="L1091" s="6">
        <v>6.359</v>
      </c>
      <c r="M1091" s="6">
        <v>6.359</v>
      </c>
      <c r="N1091" s="6">
        <v>6.359</v>
      </c>
      <c r="O1091" s="6">
        <v>6.359</v>
      </c>
      <c r="P1091" s="6">
        <v>7</v>
      </c>
      <c r="Q1091" s="4" t="s">
        <v>26</v>
      </c>
      <c r="R1091" s="4">
        <v>0</v>
      </c>
      <c r="S1091" s="6">
        <v>0</v>
      </c>
      <c r="T1091" s="6">
        <v>63</v>
      </c>
      <c r="U1091" s="6">
        <v>91</v>
      </c>
      <c r="V1091" s="6">
        <f>IF(ISERROR(VLOOKUP($S$1091,'TAR FIN'!$A$1:$O$113,15,0)),0,VLOOKUP($S$1091,'TAR FIN'!$A$1:$O$113,15,0))</f>
        <v>0</v>
      </c>
      <c r="W1091" s="6">
        <f>IF(ISERROR(VLOOKUP($T$1091,'TAR FIN'!$A$1:$O$113,15,0)),0,VLOOKUP($T$1091,'TAR FIN'!$A$1:$O$113,15,0))</f>
        <v>300.3</v>
      </c>
      <c r="X1091" s="6">
        <f>IF(ISERROR(VLOOKUP($U$1091,'TAR FIN'!$A$1:$O$113,15,0)),0,VLOOKUP($U$1091,'TAR FIN'!$A$1:$O$113,15,0))</f>
        <v>292.36</v>
      </c>
      <c r="Y1091" s="6"/>
      <c r="Z1091" s="6">
        <f ca="1">('TUSD BE'!$AM$68+'TUSD BF'!$AM$68+'TUSD CVA'!$AM$68)*1</f>
        <v>393.28439820871614</v>
      </c>
      <c r="AA1091" s="6">
        <f>('TE BE'!$AB$46+'TE BF'!$AB$46+'TE CVA'!$AB$46)*1</f>
        <v>314.78517822974521</v>
      </c>
      <c r="AB1091" s="6">
        <f>$K$1091*$V$1091</f>
        <v>0</v>
      </c>
      <c r="AC1091" s="6">
        <f>$M$1091*$W$1091</f>
        <v>1909.6077</v>
      </c>
      <c r="AD1091" s="6">
        <f>$O$1091*$X$1091</f>
        <v>1859.11724</v>
      </c>
      <c r="AE1091" s="6">
        <f>$K$1091*$Y$1091</f>
        <v>0</v>
      </c>
      <c r="AF1091" s="6">
        <f ca="1">$M$1091*$Z$1091</f>
        <v>2500.8954882092257</v>
      </c>
      <c r="AG1091" s="6">
        <f>$O$1091*$AA$1091</f>
        <v>2001.7189483629497</v>
      </c>
    </row>
    <row r="1092" spans="1:33" ht="11.25" customHeight="1" x14ac:dyDescent="0.3">
      <c r="A1092" s="4" t="s">
        <v>28</v>
      </c>
      <c r="B1092" s="4" t="s">
        <v>37</v>
      </c>
      <c r="C1092" s="4" t="s">
        <v>23</v>
      </c>
      <c r="D1092" s="4" t="s">
        <v>52</v>
      </c>
      <c r="E1092" s="4" t="s">
        <v>25</v>
      </c>
      <c r="F1092" s="4" t="s">
        <v>25</v>
      </c>
      <c r="G1092" s="4" t="s">
        <v>25</v>
      </c>
      <c r="H1092" s="4" t="s">
        <v>25</v>
      </c>
      <c r="I1092" s="5">
        <v>44805</v>
      </c>
      <c r="J1092" s="6">
        <v>0</v>
      </c>
      <c r="K1092" s="6">
        <v>0</v>
      </c>
      <c r="L1092" s="6">
        <v>15.837</v>
      </c>
      <c r="M1092" s="6">
        <v>15.837</v>
      </c>
      <c r="N1092" s="6">
        <v>15.837</v>
      </c>
      <c r="O1092" s="6">
        <v>15.837</v>
      </c>
      <c r="P1092" s="6">
        <v>3</v>
      </c>
      <c r="Q1092" s="4" t="s">
        <v>26</v>
      </c>
      <c r="R1092" s="4">
        <v>0</v>
      </c>
      <c r="S1092" s="6">
        <v>0</v>
      </c>
      <c r="T1092" s="6">
        <v>63</v>
      </c>
      <c r="U1092" s="6">
        <v>91</v>
      </c>
      <c r="V1092" s="6">
        <f>IF(ISERROR(VLOOKUP($S$1092,'TAR FIN'!$A$1:$O$113,15,0)),0,VLOOKUP($S$1092,'TAR FIN'!$A$1:$O$113,15,0))</f>
        <v>0</v>
      </c>
      <c r="W1092" s="6">
        <f>IF(ISERROR(VLOOKUP($T$1092,'TAR FIN'!$A$1:$O$113,15,0)),0,VLOOKUP($T$1092,'TAR FIN'!$A$1:$O$113,15,0))</f>
        <v>300.3</v>
      </c>
      <c r="X1092" s="6">
        <f>IF(ISERROR(VLOOKUP($U$1092,'TAR FIN'!$A$1:$O$113,15,0)),0,VLOOKUP($U$1092,'TAR FIN'!$A$1:$O$113,15,0))</f>
        <v>292.36</v>
      </c>
      <c r="Y1092" s="6"/>
      <c r="Z1092" s="6">
        <f ca="1">('TUSD BE'!$AM$68+'TUSD BF'!$AM$68+'TUSD CVA'!$AM$68)*1</f>
        <v>393.28439820871614</v>
      </c>
      <c r="AA1092" s="6">
        <f>('TE BE'!$AB$46+'TE BF'!$AB$46+'TE CVA'!$AB$46)*1</f>
        <v>314.78517822974521</v>
      </c>
      <c r="AB1092" s="6">
        <f>$K$1092*$V$1092</f>
        <v>0</v>
      </c>
      <c r="AC1092" s="6">
        <f>$M$1092*$W$1092</f>
        <v>4755.8510999999999</v>
      </c>
      <c r="AD1092" s="6">
        <f>$O$1092*$X$1092</f>
        <v>4630.1053200000006</v>
      </c>
      <c r="AE1092" s="6">
        <f>$K$1092*$Y$1092</f>
        <v>0</v>
      </c>
      <c r="AF1092" s="6">
        <f ca="1">$M$1092*$Z$1092</f>
        <v>6228.4450144314378</v>
      </c>
      <c r="AG1092" s="6">
        <f>$O$1092*$AA$1092</f>
        <v>4985.2528676244747</v>
      </c>
    </row>
    <row r="1093" spans="1:33" ht="11.25" customHeight="1" x14ac:dyDescent="0.3">
      <c r="A1093" s="4" t="s">
        <v>53</v>
      </c>
      <c r="B1093" s="4" t="s">
        <v>37</v>
      </c>
      <c r="C1093" s="4" t="s">
        <v>23</v>
      </c>
      <c r="D1093" s="4" t="s">
        <v>52</v>
      </c>
      <c r="E1093" s="4" t="s">
        <v>25</v>
      </c>
      <c r="F1093" s="4" t="s">
        <v>25</v>
      </c>
      <c r="G1093" s="4" t="s">
        <v>25</v>
      </c>
      <c r="H1093" s="4" t="s">
        <v>25</v>
      </c>
      <c r="I1093" s="5">
        <v>44835</v>
      </c>
      <c r="J1093" s="6">
        <v>0</v>
      </c>
      <c r="K1093" s="6">
        <v>0</v>
      </c>
      <c r="L1093" s="6">
        <v>6.359</v>
      </c>
      <c r="M1093" s="6">
        <v>6.359</v>
      </c>
      <c r="N1093" s="6">
        <v>6.359</v>
      </c>
      <c r="O1093" s="6">
        <v>6.359</v>
      </c>
      <c r="P1093" s="6">
        <v>7</v>
      </c>
      <c r="Q1093" s="4" t="s">
        <v>26</v>
      </c>
      <c r="R1093" s="4">
        <v>0</v>
      </c>
      <c r="S1093" s="6">
        <v>0</v>
      </c>
      <c r="T1093" s="6">
        <v>63</v>
      </c>
      <c r="U1093" s="6">
        <v>91</v>
      </c>
      <c r="V1093" s="6">
        <f>IF(ISERROR(VLOOKUP($S$1093,'TAR FIN'!$A$1:$O$113,15,0)),0,VLOOKUP($S$1093,'TAR FIN'!$A$1:$O$113,15,0))</f>
        <v>0</v>
      </c>
      <c r="W1093" s="6">
        <f>IF(ISERROR(VLOOKUP($T$1093,'TAR FIN'!$A$1:$O$113,15,0)),0,VLOOKUP($T$1093,'TAR FIN'!$A$1:$O$113,15,0))</f>
        <v>300.3</v>
      </c>
      <c r="X1093" s="6">
        <f>IF(ISERROR(VLOOKUP($U$1093,'TAR FIN'!$A$1:$O$113,15,0)),0,VLOOKUP($U$1093,'TAR FIN'!$A$1:$O$113,15,0))</f>
        <v>292.36</v>
      </c>
      <c r="Y1093" s="6"/>
      <c r="Z1093" s="6">
        <f ca="1">('TUSD BE'!$AM$68+'TUSD BF'!$AM$68+'TUSD CVA'!$AM$68)*1</f>
        <v>393.28439820871614</v>
      </c>
      <c r="AA1093" s="6">
        <f>('TE BE'!$AB$46+'TE BF'!$AB$46+'TE CVA'!$AB$46)*1</f>
        <v>314.78517822974521</v>
      </c>
      <c r="AB1093" s="6">
        <f>$K$1093*$V$1093</f>
        <v>0</v>
      </c>
      <c r="AC1093" s="6">
        <f>$M$1093*$W$1093</f>
        <v>1909.6077</v>
      </c>
      <c r="AD1093" s="6">
        <f>$O$1093*$X$1093</f>
        <v>1859.11724</v>
      </c>
      <c r="AE1093" s="6">
        <f>$K$1093*$Y$1093</f>
        <v>0</v>
      </c>
      <c r="AF1093" s="6">
        <f ca="1">$M$1093*$Z$1093</f>
        <v>2500.8954882092257</v>
      </c>
      <c r="AG1093" s="6">
        <f>$O$1093*$AA$1093</f>
        <v>2001.7189483629497</v>
      </c>
    </row>
    <row r="1094" spans="1:33" ht="11.25" customHeight="1" x14ac:dyDescent="0.3">
      <c r="A1094" s="4" t="s">
        <v>53</v>
      </c>
      <c r="B1094" s="4" t="s">
        <v>37</v>
      </c>
      <c r="C1094" s="4" t="s">
        <v>23</v>
      </c>
      <c r="D1094" s="4" t="s">
        <v>52</v>
      </c>
      <c r="E1094" s="4" t="s">
        <v>25</v>
      </c>
      <c r="F1094" s="4" t="s">
        <v>25</v>
      </c>
      <c r="G1094" s="4" t="s">
        <v>25</v>
      </c>
      <c r="H1094" s="4" t="s">
        <v>25</v>
      </c>
      <c r="I1094" s="5">
        <v>44835</v>
      </c>
      <c r="J1094" s="6">
        <v>0</v>
      </c>
      <c r="K1094" s="6">
        <v>0</v>
      </c>
      <c r="L1094" s="6">
        <v>15.837</v>
      </c>
      <c r="M1094" s="6">
        <v>15.837</v>
      </c>
      <c r="N1094" s="6">
        <v>15.837</v>
      </c>
      <c r="O1094" s="6">
        <v>15.837</v>
      </c>
      <c r="P1094" s="6">
        <v>3</v>
      </c>
      <c r="Q1094" s="4" t="s">
        <v>26</v>
      </c>
      <c r="R1094" s="4">
        <v>0</v>
      </c>
      <c r="S1094" s="6">
        <v>0</v>
      </c>
      <c r="T1094" s="6">
        <v>63</v>
      </c>
      <c r="U1094" s="6">
        <v>91</v>
      </c>
      <c r="V1094" s="6">
        <f>IF(ISERROR(VLOOKUP($S$1094,'TAR FIN'!$A$1:$O$113,15,0)),0,VLOOKUP($S$1094,'TAR FIN'!$A$1:$O$113,15,0))</f>
        <v>0</v>
      </c>
      <c r="W1094" s="6">
        <f>IF(ISERROR(VLOOKUP($T$1094,'TAR FIN'!$A$1:$O$113,15,0)),0,VLOOKUP($T$1094,'TAR FIN'!$A$1:$O$113,15,0))</f>
        <v>300.3</v>
      </c>
      <c r="X1094" s="6">
        <f>IF(ISERROR(VLOOKUP($U$1094,'TAR FIN'!$A$1:$O$113,15,0)),0,VLOOKUP($U$1094,'TAR FIN'!$A$1:$O$113,15,0))</f>
        <v>292.36</v>
      </c>
      <c r="Y1094" s="6"/>
      <c r="Z1094" s="6">
        <f ca="1">('TUSD BE'!$AM$68+'TUSD BF'!$AM$68+'TUSD CVA'!$AM$68)*1</f>
        <v>393.28439820871614</v>
      </c>
      <c r="AA1094" s="6">
        <f>('TE BE'!$AB$46+'TE BF'!$AB$46+'TE CVA'!$AB$46)*1</f>
        <v>314.78517822974521</v>
      </c>
      <c r="AB1094" s="6">
        <f>$K$1094*$V$1094</f>
        <v>0</v>
      </c>
      <c r="AC1094" s="6">
        <f>$M$1094*$W$1094</f>
        <v>4755.8510999999999</v>
      </c>
      <c r="AD1094" s="6">
        <f>$O$1094*$X$1094</f>
        <v>4630.1053200000006</v>
      </c>
      <c r="AE1094" s="6">
        <f>$K$1094*$Y$1094</f>
        <v>0</v>
      </c>
      <c r="AF1094" s="6">
        <f ca="1">$M$1094*$Z$1094</f>
        <v>6228.4450144314378</v>
      </c>
      <c r="AG1094" s="6">
        <f>$O$1094*$AA$1094</f>
        <v>4985.2528676244747</v>
      </c>
    </row>
    <row r="1095" spans="1:33" ht="11.25" customHeight="1" x14ac:dyDescent="0.3">
      <c r="A1095" s="4" t="s">
        <v>21</v>
      </c>
      <c r="B1095" s="4" t="s">
        <v>37</v>
      </c>
      <c r="C1095" s="4" t="s">
        <v>23</v>
      </c>
      <c r="D1095" s="4" t="s">
        <v>38</v>
      </c>
      <c r="E1095" s="4" t="s">
        <v>25</v>
      </c>
      <c r="F1095" s="4" t="s">
        <v>25</v>
      </c>
      <c r="G1095" s="4" t="s">
        <v>25</v>
      </c>
      <c r="H1095" s="4" t="s">
        <v>25</v>
      </c>
      <c r="I1095" s="5">
        <v>44501</v>
      </c>
      <c r="J1095" s="6">
        <v>0</v>
      </c>
      <c r="K1095" s="6">
        <v>0</v>
      </c>
      <c r="L1095" s="6">
        <v>185.97800000000001</v>
      </c>
      <c r="M1095" s="6">
        <v>185.97800000000001</v>
      </c>
      <c r="N1095" s="6">
        <v>185.97800000000001</v>
      </c>
      <c r="O1095" s="6">
        <v>185.97800000000001</v>
      </c>
      <c r="P1095" s="6">
        <v>144</v>
      </c>
      <c r="Q1095" s="4" t="s">
        <v>26</v>
      </c>
      <c r="R1095" s="4">
        <v>0</v>
      </c>
      <c r="S1095" s="6">
        <v>0</v>
      </c>
      <c r="T1095" s="6">
        <v>63</v>
      </c>
      <c r="U1095" s="6">
        <v>91</v>
      </c>
      <c r="V1095" s="6">
        <f>IF(ISERROR(VLOOKUP($S$1095,'TAR FIN'!$A$1:$O$113,15,0)),0,VLOOKUP($S$1095,'TAR FIN'!$A$1:$O$113,15,0))</f>
        <v>0</v>
      </c>
      <c r="W1095" s="6">
        <f>IF(ISERROR(VLOOKUP($T$1095,'TAR FIN'!$A$1:$O$113,15,0)),0,VLOOKUP($T$1095,'TAR FIN'!$A$1:$O$113,15,0))</f>
        <v>300.3</v>
      </c>
      <c r="X1095" s="6">
        <f>IF(ISERROR(VLOOKUP($U$1095,'TAR FIN'!$A$1:$O$113,15,0)),0,VLOOKUP($U$1095,'TAR FIN'!$A$1:$O$113,15,0))</f>
        <v>292.36</v>
      </c>
      <c r="Y1095" s="6"/>
      <c r="Z1095" s="6">
        <f ca="1">('TUSD BE'!$AM$68+'TUSD BF'!$AM$68+'TUSD CVA'!$AM$68)*1</f>
        <v>393.28439820871614</v>
      </c>
      <c r="AA1095" s="6">
        <f>('TE BE'!$AB$46+'TE BF'!$AB$46+'TE CVA'!$AB$46)*1</f>
        <v>314.78517822974521</v>
      </c>
      <c r="AB1095" s="6">
        <f>$K$1095*$V$1095</f>
        <v>0</v>
      </c>
      <c r="AC1095" s="6">
        <f>$M$1095*$W$1095</f>
        <v>55849.193400000004</v>
      </c>
      <c r="AD1095" s="6">
        <f>$O$1095*$X$1095</f>
        <v>54372.528080000004</v>
      </c>
      <c r="AE1095" s="6">
        <f>$K$1095*$Y$1095</f>
        <v>0</v>
      </c>
      <c r="AF1095" s="6">
        <f ca="1">$M$1095*$Z$1095</f>
        <v>73142.245810060616</v>
      </c>
      <c r="AG1095" s="6">
        <f>$O$1095*$AA$1095</f>
        <v>58543.117876811557</v>
      </c>
    </row>
    <row r="1096" spans="1:33" ht="11.25" customHeight="1" x14ac:dyDescent="0.3">
      <c r="A1096" s="4" t="s">
        <v>28</v>
      </c>
      <c r="B1096" s="4" t="s">
        <v>37</v>
      </c>
      <c r="C1096" s="4" t="s">
        <v>23</v>
      </c>
      <c r="D1096" s="4" t="s">
        <v>38</v>
      </c>
      <c r="E1096" s="4" t="s">
        <v>25</v>
      </c>
      <c r="F1096" s="4" t="s">
        <v>25</v>
      </c>
      <c r="G1096" s="4" t="s">
        <v>25</v>
      </c>
      <c r="H1096" s="4" t="s">
        <v>25</v>
      </c>
      <c r="I1096" s="5">
        <v>44501</v>
      </c>
      <c r="J1096" s="6">
        <v>0</v>
      </c>
      <c r="K1096" s="6">
        <v>0</v>
      </c>
      <c r="L1096" s="6">
        <v>3.1480000000000001</v>
      </c>
      <c r="M1096" s="6">
        <v>3.1480000000000001</v>
      </c>
      <c r="N1096" s="6">
        <v>3.1480000000000001</v>
      </c>
      <c r="O1096" s="6">
        <v>3.1480000000000001</v>
      </c>
      <c r="P1096" s="6">
        <v>3</v>
      </c>
      <c r="Q1096" s="4" t="s">
        <v>26</v>
      </c>
      <c r="R1096" s="4">
        <v>0</v>
      </c>
      <c r="S1096" s="6">
        <v>0</v>
      </c>
      <c r="T1096" s="6">
        <v>63</v>
      </c>
      <c r="U1096" s="6">
        <v>91</v>
      </c>
      <c r="V1096" s="6">
        <f>IF(ISERROR(VLOOKUP($S$1096,'TAR FIN'!$A$1:$O$113,15,0)),0,VLOOKUP($S$1096,'TAR FIN'!$A$1:$O$113,15,0))</f>
        <v>0</v>
      </c>
      <c r="W1096" s="6">
        <f>IF(ISERROR(VLOOKUP($T$1096,'TAR FIN'!$A$1:$O$113,15,0)),0,VLOOKUP($T$1096,'TAR FIN'!$A$1:$O$113,15,0))</f>
        <v>300.3</v>
      </c>
      <c r="X1096" s="6">
        <f>IF(ISERROR(VLOOKUP($U$1096,'TAR FIN'!$A$1:$O$113,15,0)),0,VLOOKUP($U$1096,'TAR FIN'!$A$1:$O$113,15,0))</f>
        <v>292.36</v>
      </c>
      <c r="Y1096" s="6"/>
      <c r="Z1096" s="6">
        <f ca="1">('TUSD BE'!$AM$68+'TUSD BF'!$AM$68+'TUSD CVA'!$AM$68)*1</f>
        <v>393.28439820871614</v>
      </c>
      <c r="AA1096" s="6">
        <f>('TE BE'!$AB$46+'TE BF'!$AB$46+'TE CVA'!$AB$46)*1</f>
        <v>314.78517822974521</v>
      </c>
      <c r="AB1096" s="6">
        <f>$K$1096*$V$1096</f>
        <v>0</v>
      </c>
      <c r="AC1096" s="6">
        <f>$M$1096*$W$1096</f>
        <v>945.34440000000006</v>
      </c>
      <c r="AD1096" s="6">
        <f>$O$1096*$X$1096</f>
        <v>920.34928000000014</v>
      </c>
      <c r="AE1096" s="6">
        <f>$K$1096*$Y$1096</f>
        <v>0</v>
      </c>
      <c r="AF1096" s="6">
        <f ca="1">$M$1096*$Z$1096</f>
        <v>1238.0592855610385</v>
      </c>
      <c r="AG1096" s="6">
        <f>$O$1096*$AA$1096</f>
        <v>990.94374106723797</v>
      </c>
    </row>
    <row r="1097" spans="1:33" ht="11.25" customHeight="1" x14ac:dyDescent="0.3">
      <c r="A1097" s="4" t="s">
        <v>21</v>
      </c>
      <c r="B1097" s="4" t="s">
        <v>37</v>
      </c>
      <c r="C1097" s="4" t="s">
        <v>23</v>
      </c>
      <c r="D1097" s="4" t="s">
        <v>38</v>
      </c>
      <c r="E1097" s="4" t="s">
        <v>25</v>
      </c>
      <c r="F1097" s="4" t="s">
        <v>25</v>
      </c>
      <c r="G1097" s="4" t="s">
        <v>25</v>
      </c>
      <c r="H1097" s="4" t="s">
        <v>25</v>
      </c>
      <c r="I1097" s="5">
        <v>44531</v>
      </c>
      <c r="J1097" s="6">
        <v>0</v>
      </c>
      <c r="K1097" s="6">
        <v>0</v>
      </c>
      <c r="L1097" s="6">
        <v>185.14599999999999</v>
      </c>
      <c r="M1097" s="6">
        <v>185.14599999999999</v>
      </c>
      <c r="N1097" s="6">
        <v>185.14599999999999</v>
      </c>
      <c r="O1097" s="6">
        <v>185.14599999999999</v>
      </c>
      <c r="P1097" s="6">
        <v>144</v>
      </c>
      <c r="Q1097" s="4" t="s">
        <v>26</v>
      </c>
      <c r="R1097" s="4">
        <v>0</v>
      </c>
      <c r="S1097" s="6">
        <v>0</v>
      </c>
      <c r="T1097" s="6">
        <v>63</v>
      </c>
      <c r="U1097" s="6">
        <v>91</v>
      </c>
      <c r="V1097" s="6">
        <f>IF(ISERROR(VLOOKUP($S$1097,'TAR FIN'!$A$1:$O$113,15,0)),0,VLOOKUP($S$1097,'TAR FIN'!$A$1:$O$113,15,0))</f>
        <v>0</v>
      </c>
      <c r="W1097" s="6">
        <f>IF(ISERROR(VLOOKUP($T$1097,'TAR FIN'!$A$1:$O$113,15,0)),0,VLOOKUP($T$1097,'TAR FIN'!$A$1:$O$113,15,0))</f>
        <v>300.3</v>
      </c>
      <c r="X1097" s="6">
        <f>IF(ISERROR(VLOOKUP($U$1097,'TAR FIN'!$A$1:$O$113,15,0)),0,VLOOKUP($U$1097,'TAR FIN'!$A$1:$O$113,15,0))</f>
        <v>292.36</v>
      </c>
      <c r="Y1097" s="6"/>
      <c r="Z1097" s="6">
        <f ca="1">('TUSD BE'!$AM$68+'TUSD BF'!$AM$68+'TUSD CVA'!$AM$68)*1</f>
        <v>393.28439820871614</v>
      </c>
      <c r="AA1097" s="6">
        <f>('TE BE'!$AB$46+'TE BF'!$AB$46+'TE CVA'!$AB$46)*1</f>
        <v>314.78517822974521</v>
      </c>
      <c r="AB1097" s="6">
        <f>$K$1097*$V$1097</f>
        <v>0</v>
      </c>
      <c r="AC1097" s="6">
        <f>$M$1097*$W$1097</f>
        <v>55599.343799999995</v>
      </c>
      <c r="AD1097" s="6">
        <f>$O$1097*$X$1097</f>
        <v>54129.28456</v>
      </c>
      <c r="AE1097" s="6">
        <f>$K$1097*$Y$1097</f>
        <v>0</v>
      </c>
      <c r="AF1097" s="6">
        <f ca="1">$M$1097*$Z$1097</f>
        <v>72815.033190750954</v>
      </c>
      <c r="AG1097" s="6">
        <f>$O$1097*$AA$1097</f>
        <v>58281.216608524403</v>
      </c>
    </row>
    <row r="1098" spans="1:33" ht="11.25" customHeight="1" x14ac:dyDescent="0.3">
      <c r="A1098" s="4" t="s">
        <v>28</v>
      </c>
      <c r="B1098" s="4" t="s">
        <v>37</v>
      </c>
      <c r="C1098" s="4" t="s">
        <v>23</v>
      </c>
      <c r="D1098" s="4" t="s">
        <v>38</v>
      </c>
      <c r="E1098" s="4" t="s">
        <v>25</v>
      </c>
      <c r="F1098" s="4" t="s">
        <v>25</v>
      </c>
      <c r="G1098" s="4" t="s">
        <v>25</v>
      </c>
      <c r="H1098" s="4" t="s">
        <v>25</v>
      </c>
      <c r="I1098" s="5">
        <v>44531</v>
      </c>
      <c r="J1098" s="6">
        <v>0</v>
      </c>
      <c r="K1098" s="6">
        <v>0</v>
      </c>
      <c r="L1098" s="6">
        <v>4.4740000000000002</v>
      </c>
      <c r="M1098" s="6">
        <v>4.4740000000000002</v>
      </c>
      <c r="N1098" s="6">
        <v>4.4740000000000002</v>
      </c>
      <c r="O1098" s="6">
        <v>4.4740000000000002</v>
      </c>
      <c r="P1098" s="6">
        <v>3</v>
      </c>
      <c r="Q1098" s="4" t="s">
        <v>26</v>
      </c>
      <c r="R1098" s="4">
        <v>0</v>
      </c>
      <c r="S1098" s="6">
        <v>0</v>
      </c>
      <c r="T1098" s="6">
        <v>63</v>
      </c>
      <c r="U1098" s="6">
        <v>91</v>
      </c>
      <c r="V1098" s="6">
        <f>IF(ISERROR(VLOOKUP($S$1098,'TAR FIN'!$A$1:$O$113,15,0)),0,VLOOKUP($S$1098,'TAR FIN'!$A$1:$O$113,15,0))</f>
        <v>0</v>
      </c>
      <c r="W1098" s="6">
        <f>IF(ISERROR(VLOOKUP($T$1098,'TAR FIN'!$A$1:$O$113,15,0)),0,VLOOKUP($T$1098,'TAR FIN'!$A$1:$O$113,15,0))</f>
        <v>300.3</v>
      </c>
      <c r="X1098" s="6">
        <f>IF(ISERROR(VLOOKUP($U$1098,'TAR FIN'!$A$1:$O$113,15,0)),0,VLOOKUP($U$1098,'TAR FIN'!$A$1:$O$113,15,0))</f>
        <v>292.36</v>
      </c>
      <c r="Y1098" s="6"/>
      <c r="Z1098" s="6">
        <f ca="1">('TUSD BE'!$AM$68+'TUSD BF'!$AM$68+'TUSD CVA'!$AM$68)*1</f>
        <v>393.28439820871614</v>
      </c>
      <c r="AA1098" s="6">
        <f>('TE BE'!$AB$46+'TE BF'!$AB$46+'TE CVA'!$AB$46)*1</f>
        <v>314.78517822974521</v>
      </c>
      <c r="AB1098" s="6">
        <f>$K$1098*$V$1098</f>
        <v>0</v>
      </c>
      <c r="AC1098" s="6">
        <f>$M$1098*$W$1098</f>
        <v>1343.5422000000001</v>
      </c>
      <c r="AD1098" s="6">
        <f>$O$1098*$X$1098</f>
        <v>1308.0186400000002</v>
      </c>
      <c r="AE1098" s="6">
        <f>$K$1098*$Y$1098</f>
        <v>0</v>
      </c>
      <c r="AF1098" s="6">
        <f ca="1">$M$1098*$Z$1098</f>
        <v>1759.5543975857961</v>
      </c>
      <c r="AG1098" s="6">
        <f>$O$1098*$AA$1098</f>
        <v>1408.3488873998801</v>
      </c>
    </row>
    <row r="1099" spans="1:33" ht="11.25" customHeight="1" x14ac:dyDescent="0.3">
      <c r="A1099" s="4" t="s">
        <v>21</v>
      </c>
      <c r="B1099" s="4" t="s">
        <v>37</v>
      </c>
      <c r="C1099" s="4" t="s">
        <v>23</v>
      </c>
      <c r="D1099" s="4" t="s">
        <v>38</v>
      </c>
      <c r="E1099" s="4" t="s">
        <v>25</v>
      </c>
      <c r="F1099" s="4" t="s">
        <v>25</v>
      </c>
      <c r="G1099" s="4" t="s">
        <v>25</v>
      </c>
      <c r="H1099" s="4" t="s">
        <v>25</v>
      </c>
      <c r="I1099" s="5">
        <v>44562</v>
      </c>
      <c r="J1099" s="6">
        <v>0</v>
      </c>
      <c r="K1099" s="6">
        <v>0</v>
      </c>
      <c r="L1099" s="6">
        <v>178.929</v>
      </c>
      <c r="M1099" s="6">
        <v>178.929</v>
      </c>
      <c r="N1099" s="6">
        <v>178.929</v>
      </c>
      <c r="O1099" s="6">
        <v>178.929</v>
      </c>
      <c r="P1099" s="6">
        <v>142</v>
      </c>
      <c r="Q1099" s="4" t="s">
        <v>26</v>
      </c>
      <c r="R1099" s="4">
        <v>0</v>
      </c>
      <c r="S1099" s="6">
        <v>0</v>
      </c>
      <c r="T1099" s="6">
        <v>63</v>
      </c>
      <c r="U1099" s="6">
        <v>91</v>
      </c>
      <c r="V1099" s="6">
        <f>IF(ISERROR(VLOOKUP($S$1099,'TAR FIN'!$A$1:$O$113,15,0)),0,VLOOKUP($S$1099,'TAR FIN'!$A$1:$O$113,15,0))</f>
        <v>0</v>
      </c>
      <c r="W1099" s="6">
        <f>IF(ISERROR(VLOOKUP($T$1099,'TAR FIN'!$A$1:$O$113,15,0)),0,VLOOKUP($T$1099,'TAR FIN'!$A$1:$O$113,15,0))</f>
        <v>300.3</v>
      </c>
      <c r="X1099" s="6">
        <f>IF(ISERROR(VLOOKUP($U$1099,'TAR FIN'!$A$1:$O$113,15,0)),0,VLOOKUP($U$1099,'TAR FIN'!$A$1:$O$113,15,0))</f>
        <v>292.36</v>
      </c>
      <c r="Y1099" s="6"/>
      <c r="Z1099" s="6">
        <f ca="1">('TUSD BE'!$AM$68+'TUSD BF'!$AM$68+'TUSD CVA'!$AM$68)*1</f>
        <v>393.28439820871614</v>
      </c>
      <c r="AA1099" s="6">
        <f>('TE BE'!$AB$46+'TE BF'!$AB$46+'TE CVA'!$AB$46)*1</f>
        <v>314.78517822974521</v>
      </c>
      <c r="AB1099" s="6">
        <f>$K$1099*$V$1099</f>
        <v>0</v>
      </c>
      <c r="AC1099" s="6">
        <f>$M$1099*$W$1099</f>
        <v>53732.378700000001</v>
      </c>
      <c r="AD1099" s="6">
        <f>$O$1099*$X$1099</f>
        <v>52311.682440000004</v>
      </c>
      <c r="AE1099" s="6">
        <f>$K$1099*$Y$1099</f>
        <v>0</v>
      </c>
      <c r="AF1099" s="6">
        <f ca="1">$M$1099*$Z$1099</f>
        <v>70369.984087087374</v>
      </c>
      <c r="AG1099" s="6">
        <f>$O$1099*$AA$1099</f>
        <v>56324.197155470079</v>
      </c>
    </row>
    <row r="1100" spans="1:33" ht="11.25" customHeight="1" x14ac:dyDescent="0.3">
      <c r="A1100" s="4" t="s">
        <v>28</v>
      </c>
      <c r="B1100" s="4" t="s">
        <v>37</v>
      </c>
      <c r="C1100" s="4" t="s">
        <v>23</v>
      </c>
      <c r="D1100" s="4" t="s">
        <v>38</v>
      </c>
      <c r="E1100" s="4" t="s">
        <v>25</v>
      </c>
      <c r="F1100" s="4" t="s">
        <v>25</v>
      </c>
      <c r="G1100" s="4" t="s">
        <v>25</v>
      </c>
      <c r="H1100" s="4" t="s">
        <v>25</v>
      </c>
      <c r="I1100" s="5">
        <v>44562</v>
      </c>
      <c r="J1100" s="6">
        <v>0</v>
      </c>
      <c r="K1100" s="6">
        <v>0</v>
      </c>
      <c r="L1100" s="6">
        <v>5.4130000000000003</v>
      </c>
      <c r="M1100" s="6">
        <v>5.4130000000000003</v>
      </c>
      <c r="N1100" s="6">
        <v>5.4130000000000003</v>
      </c>
      <c r="O1100" s="6">
        <v>5.4130000000000003</v>
      </c>
      <c r="P1100" s="6">
        <v>3</v>
      </c>
      <c r="Q1100" s="4" t="s">
        <v>26</v>
      </c>
      <c r="R1100" s="4">
        <v>0</v>
      </c>
      <c r="S1100" s="6">
        <v>0</v>
      </c>
      <c r="T1100" s="6">
        <v>63</v>
      </c>
      <c r="U1100" s="6">
        <v>91</v>
      </c>
      <c r="V1100" s="6">
        <f>IF(ISERROR(VLOOKUP($S$1100,'TAR FIN'!$A$1:$O$113,15,0)),0,VLOOKUP($S$1100,'TAR FIN'!$A$1:$O$113,15,0))</f>
        <v>0</v>
      </c>
      <c r="W1100" s="6">
        <f>IF(ISERROR(VLOOKUP($T$1100,'TAR FIN'!$A$1:$O$113,15,0)),0,VLOOKUP($T$1100,'TAR FIN'!$A$1:$O$113,15,0))</f>
        <v>300.3</v>
      </c>
      <c r="X1100" s="6">
        <f>IF(ISERROR(VLOOKUP($U$1100,'TAR FIN'!$A$1:$O$113,15,0)),0,VLOOKUP($U$1100,'TAR FIN'!$A$1:$O$113,15,0))</f>
        <v>292.36</v>
      </c>
      <c r="Y1100" s="6"/>
      <c r="Z1100" s="6">
        <f ca="1">('TUSD BE'!$AM$68+'TUSD BF'!$AM$68+'TUSD CVA'!$AM$68)*1</f>
        <v>393.28439820871614</v>
      </c>
      <c r="AA1100" s="6">
        <f>('TE BE'!$AB$46+'TE BF'!$AB$46+'TE CVA'!$AB$46)*1</f>
        <v>314.78517822974521</v>
      </c>
      <c r="AB1100" s="6">
        <f>$K$1100*$V$1100</f>
        <v>0</v>
      </c>
      <c r="AC1100" s="6">
        <f>$M$1100*$W$1100</f>
        <v>1625.5239000000001</v>
      </c>
      <c r="AD1100" s="6">
        <f>$O$1100*$X$1100</f>
        <v>1582.5446800000002</v>
      </c>
      <c r="AE1100" s="6">
        <f>$K$1100*$Y$1100</f>
        <v>0</v>
      </c>
      <c r="AF1100" s="6">
        <f ca="1">$M$1100*$Z$1100</f>
        <v>2128.8484475037808</v>
      </c>
      <c r="AG1100" s="6">
        <f>$O$1100*$AA$1100</f>
        <v>1703.9321697576108</v>
      </c>
    </row>
    <row r="1101" spans="1:33" ht="11.25" customHeight="1" x14ac:dyDescent="0.3">
      <c r="A1101" s="4" t="s">
        <v>21</v>
      </c>
      <c r="B1101" s="4" t="s">
        <v>37</v>
      </c>
      <c r="C1101" s="4" t="s">
        <v>23</v>
      </c>
      <c r="D1101" s="4" t="s">
        <v>38</v>
      </c>
      <c r="E1101" s="4" t="s">
        <v>25</v>
      </c>
      <c r="F1101" s="4" t="s">
        <v>25</v>
      </c>
      <c r="G1101" s="4" t="s">
        <v>25</v>
      </c>
      <c r="H1101" s="4" t="s">
        <v>25</v>
      </c>
      <c r="I1101" s="5">
        <v>44593</v>
      </c>
      <c r="J1101" s="6">
        <v>0</v>
      </c>
      <c r="K1101" s="6">
        <v>0</v>
      </c>
      <c r="L1101" s="6">
        <v>175.19499999999999</v>
      </c>
      <c r="M1101" s="6">
        <v>175.19499999999999</v>
      </c>
      <c r="N1101" s="6">
        <v>175.19499999999999</v>
      </c>
      <c r="O1101" s="6">
        <v>175.19499999999999</v>
      </c>
      <c r="P1101" s="6">
        <v>143</v>
      </c>
      <c r="Q1101" s="4" t="s">
        <v>26</v>
      </c>
      <c r="R1101" s="4">
        <v>0</v>
      </c>
      <c r="S1101" s="6">
        <v>0</v>
      </c>
      <c r="T1101" s="6">
        <v>63</v>
      </c>
      <c r="U1101" s="6">
        <v>91</v>
      </c>
      <c r="V1101" s="6">
        <f>IF(ISERROR(VLOOKUP($S$1101,'TAR FIN'!$A$1:$O$113,15,0)),0,VLOOKUP($S$1101,'TAR FIN'!$A$1:$O$113,15,0))</f>
        <v>0</v>
      </c>
      <c r="W1101" s="6">
        <f>IF(ISERROR(VLOOKUP($T$1101,'TAR FIN'!$A$1:$O$113,15,0)),0,VLOOKUP($T$1101,'TAR FIN'!$A$1:$O$113,15,0))</f>
        <v>300.3</v>
      </c>
      <c r="X1101" s="6">
        <f>IF(ISERROR(VLOOKUP($U$1101,'TAR FIN'!$A$1:$O$113,15,0)),0,VLOOKUP($U$1101,'TAR FIN'!$A$1:$O$113,15,0))</f>
        <v>292.36</v>
      </c>
      <c r="Y1101" s="6"/>
      <c r="Z1101" s="6">
        <f ca="1">('TUSD BE'!$AM$68+'TUSD BF'!$AM$68+'TUSD CVA'!$AM$68)*1</f>
        <v>393.28439820871614</v>
      </c>
      <c r="AA1101" s="6">
        <f>('TE BE'!$AB$46+'TE BF'!$AB$46+'TE CVA'!$AB$46)*1</f>
        <v>314.78517822974521</v>
      </c>
      <c r="AB1101" s="6">
        <f>$K$1101*$V$1101</f>
        <v>0</v>
      </c>
      <c r="AC1101" s="6">
        <f>$M$1101*$W$1101</f>
        <v>52611.058499999999</v>
      </c>
      <c r="AD1101" s="6">
        <f>$O$1101*$X$1101</f>
        <v>51220.010199999997</v>
      </c>
      <c r="AE1101" s="6">
        <f>$K$1101*$Y$1101</f>
        <v>0</v>
      </c>
      <c r="AF1101" s="6">
        <f ca="1">$M$1101*$Z$1101</f>
        <v>68901.460144176017</v>
      </c>
      <c r="AG1101" s="6">
        <f>$O$1101*$AA$1101</f>
        <v>55148.789299960212</v>
      </c>
    </row>
    <row r="1102" spans="1:33" ht="11.25" customHeight="1" x14ac:dyDescent="0.3">
      <c r="A1102" s="4" t="s">
        <v>27</v>
      </c>
      <c r="B1102" s="4" t="s">
        <v>37</v>
      </c>
      <c r="C1102" s="4" t="s">
        <v>23</v>
      </c>
      <c r="D1102" s="4" t="s">
        <v>38</v>
      </c>
      <c r="E1102" s="4" t="s">
        <v>25</v>
      </c>
      <c r="F1102" s="4" t="s">
        <v>25</v>
      </c>
      <c r="G1102" s="4" t="s">
        <v>25</v>
      </c>
      <c r="H1102" s="4" t="s">
        <v>25</v>
      </c>
      <c r="I1102" s="5">
        <v>44593</v>
      </c>
      <c r="J1102" s="6">
        <v>0</v>
      </c>
      <c r="K1102" s="6">
        <v>0</v>
      </c>
      <c r="L1102" s="6">
        <v>-1.55</v>
      </c>
      <c r="M1102" s="6">
        <v>-1.55</v>
      </c>
      <c r="N1102" s="6">
        <v>-1.55</v>
      </c>
      <c r="O1102" s="6">
        <v>-1.55</v>
      </c>
      <c r="P1102" s="6">
        <v>0</v>
      </c>
      <c r="Q1102" s="4" t="s">
        <v>26</v>
      </c>
      <c r="R1102" s="4">
        <v>0</v>
      </c>
      <c r="S1102" s="6">
        <v>0</v>
      </c>
      <c r="T1102" s="6">
        <v>63</v>
      </c>
      <c r="U1102" s="6">
        <v>91</v>
      </c>
      <c r="V1102" s="6">
        <f>IF(ISERROR(VLOOKUP($S$1102,'TAR FIN'!$A$1:$O$113,15,0)),0,VLOOKUP($S$1102,'TAR FIN'!$A$1:$O$113,15,0))</f>
        <v>0</v>
      </c>
      <c r="W1102" s="6">
        <f>IF(ISERROR(VLOOKUP($T$1102,'TAR FIN'!$A$1:$O$113,15,0)),0,VLOOKUP($T$1102,'TAR FIN'!$A$1:$O$113,15,0))</f>
        <v>300.3</v>
      </c>
      <c r="X1102" s="6">
        <f>IF(ISERROR(VLOOKUP($U$1102,'TAR FIN'!$A$1:$O$113,15,0)),0,VLOOKUP($U$1102,'TAR FIN'!$A$1:$O$113,15,0))</f>
        <v>292.36</v>
      </c>
      <c r="Y1102" s="6"/>
      <c r="Z1102" s="6">
        <f ca="1">('TUSD BE'!$AM$68+'TUSD BF'!$AM$68+'TUSD CVA'!$AM$68)*1</f>
        <v>393.28439820871614</v>
      </c>
      <c r="AA1102" s="6">
        <f>('TE BE'!$AB$46+'TE BF'!$AB$46+'TE CVA'!$AB$46)*1</f>
        <v>314.78517822974521</v>
      </c>
      <c r="AB1102" s="6">
        <f>$K$1102*$V$1102</f>
        <v>0</v>
      </c>
      <c r="AC1102" s="6">
        <f>$M$1102*$W$1102</f>
        <v>-465.46500000000003</v>
      </c>
      <c r="AD1102" s="6">
        <f>$O$1102*$X$1102</f>
        <v>-453.15800000000002</v>
      </c>
      <c r="AE1102" s="6">
        <f>$K$1102*$Y$1102</f>
        <v>0</v>
      </c>
      <c r="AF1102" s="6">
        <f ca="1">$M$1102*$Z$1102</f>
        <v>-609.59081722351004</v>
      </c>
      <c r="AG1102" s="6">
        <f>$O$1102*$AA$1102</f>
        <v>-487.91702625610509</v>
      </c>
    </row>
    <row r="1103" spans="1:33" ht="11.25" customHeight="1" x14ac:dyDescent="0.3">
      <c r="A1103" s="4" t="s">
        <v>28</v>
      </c>
      <c r="B1103" s="4" t="s">
        <v>37</v>
      </c>
      <c r="C1103" s="4" t="s">
        <v>23</v>
      </c>
      <c r="D1103" s="4" t="s">
        <v>38</v>
      </c>
      <c r="E1103" s="4" t="s">
        <v>25</v>
      </c>
      <c r="F1103" s="4" t="s">
        <v>25</v>
      </c>
      <c r="G1103" s="4" t="s">
        <v>25</v>
      </c>
      <c r="H1103" s="4" t="s">
        <v>25</v>
      </c>
      <c r="I1103" s="5">
        <v>44593</v>
      </c>
      <c r="J1103" s="6">
        <v>0</v>
      </c>
      <c r="K1103" s="6">
        <v>0</v>
      </c>
      <c r="L1103" s="6">
        <v>4.7309999999999999</v>
      </c>
      <c r="M1103" s="6">
        <v>4.7309999999999999</v>
      </c>
      <c r="N1103" s="6">
        <v>4.7309999999999999</v>
      </c>
      <c r="O1103" s="6">
        <v>4.7309999999999999</v>
      </c>
      <c r="P1103" s="6">
        <v>3</v>
      </c>
      <c r="Q1103" s="4" t="s">
        <v>26</v>
      </c>
      <c r="R1103" s="4">
        <v>0</v>
      </c>
      <c r="S1103" s="6">
        <v>0</v>
      </c>
      <c r="T1103" s="6">
        <v>63</v>
      </c>
      <c r="U1103" s="6">
        <v>91</v>
      </c>
      <c r="V1103" s="6">
        <f>IF(ISERROR(VLOOKUP($S$1103,'TAR FIN'!$A$1:$O$113,15,0)),0,VLOOKUP($S$1103,'TAR FIN'!$A$1:$O$113,15,0))</f>
        <v>0</v>
      </c>
      <c r="W1103" s="6">
        <f>IF(ISERROR(VLOOKUP($T$1103,'TAR FIN'!$A$1:$O$113,15,0)),0,VLOOKUP($T$1103,'TAR FIN'!$A$1:$O$113,15,0))</f>
        <v>300.3</v>
      </c>
      <c r="X1103" s="6">
        <f>IF(ISERROR(VLOOKUP($U$1103,'TAR FIN'!$A$1:$O$113,15,0)),0,VLOOKUP($U$1103,'TAR FIN'!$A$1:$O$113,15,0))</f>
        <v>292.36</v>
      </c>
      <c r="Y1103" s="6"/>
      <c r="Z1103" s="6">
        <f ca="1">('TUSD BE'!$AM$68+'TUSD BF'!$AM$68+'TUSD CVA'!$AM$68)*1</f>
        <v>393.28439820871614</v>
      </c>
      <c r="AA1103" s="6">
        <f>('TE BE'!$AB$46+'TE BF'!$AB$46+'TE CVA'!$AB$46)*1</f>
        <v>314.78517822974521</v>
      </c>
      <c r="AB1103" s="6">
        <f>$K$1103*$V$1103</f>
        <v>0</v>
      </c>
      <c r="AC1103" s="6">
        <f>$M$1103*$W$1103</f>
        <v>1420.7193</v>
      </c>
      <c r="AD1103" s="6">
        <f>$O$1103*$X$1103</f>
        <v>1383.15516</v>
      </c>
      <c r="AE1103" s="6">
        <f>$K$1103*$Y$1103</f>
        <v>0</v>
      </c>
      <c r="AF1103" s="6">
        <f ca="1">$M$1103*$Z$1103</f>
        <v>1860.628487925436</v>
      </c>
      <c r="AG1103" s="6">
        <f>$O$1103*$AA$1103</f>
        <v>1489.2486782049245</v>
      </c>
    </row>
    <row r="1104" spans="1:33" ht="11.25" customHeight="1" x14ac:dyDescent="0.3">
      <c r="A1104" s="4" t="s">
        <v>21</v>
      </c>
      <c r="B1104" s="4" t="s">
        <v>37</v>
      </c>
      <c r="C1104" s="4" t="s">
        <v>23</v>
      </c>
      <c r="D1104" s="4" t="s">
        <v>38</v>
      </c>
      <c r="E1104" s="4" t="s">
        <v>25</v>
      </c>
      <c r="F1104" s="4" t="s">
        <v>25</v>
      </c>
      <c r="G1104" s="4" t="s">
        <v>25</v>
      </c>
      <c r="H1104" s="4" t="s">
        <v>25</v>
      </c>
      <c r="I1104" s="5">
        <v>44621</v>
      </c>
      <c r="J1104" s="6">
        <v>0</v>
      </c>
      <c r="K1104" s="6">
        <v>0</v>
      </c>
      <c r="L1104" s="6">
        <v>188.96199999999999</v>
      </c>
      <c r="M1104" s="6">
        <v>188.96199999999999</v>
      </c>
      <c r="N1104" s="6">
        <v>188.96199999999999</v>
      </c>
      <c r="O1104" s="6">
        <v>188.96199999999999</v>
      </c>
      <c r="P1104" s="6">
        <v>142</v>
      </c>
      <c r="Q1104" s="4" t="s">
        <v>26</v>
      </c>
      <c r="R1104" s="4">
        <v>0</v>
      </c>
      <c r="S1104" s="6">
        <v>0</v>
      </c>
      <c r="T1104" s="6">
        <v>63</v>
      </c>
      <c r="U1104" s="6">
        <v>91</v>
      </c>
      <c r="V1104" s="6">
        <f>IF(ISERROR(VLOOKUP($S$1104,'TAR FIN'!$A$1:$O$113,15,0)),0,VLOOKUP($S$1104,'TAR FIN'!$A$1:$O$113,15,0))</f>
        <v>0</v>
      </c>
      <c r="W1104" s="6">
        <f>IF(ISERROR(VLOOKUP($T$1104,'TAR FIN'!$A$1:$O$113,15,0)),0,VLOOKUP($T$1104,'TAR FIN'!$A$1:$O$113,15,0))</f>
        <v>300.3</v>
      </c>
      <c r="X1104" s="6">
        <f>IF(ISERROR(VLOOKUP($U$1104,'TAR FIN'!$A$1:$O$113,15,0)),0,VLOOKUP($U$1104,'TAR FIN'!$A$1:$O$113,15,0))</f>
        <v>292.36</v>
      </c>
      <c r="Y1104" s="6"/>
      <c r="Z1104" s="6">
        <f ca="1">('TUSD BE'!$AM$68+'TUSD BF'!$AM$68+'TUSD CVA'!$AM$68)*1</f>
        <v>393.28439820871614</v>
      </c>
      <c r="AA1104" s="6">
        <f>('TE BE'!$AB$46+'TE BF'!$AB$46+'TE CVA'!$AB$46)*1</f>
        <v>314.78517822974521</v>
      </c>
      <c r="AB1104" s="6">
        <f>$K$1104*$V$1104</f>
        <v>0</v>
      </c>
      <c r="AC1104" s="6">
        <f>$M$1104*$W$1104</f>
        <v>56745.2886</v>
      </c>
      <c r="AD1104" s="6">
        <f>$O$1104*$X$1104</f>
        <v>55244.930319999999</v>
      </c>
      <c r="AE1104" s="6">
        <f>$K$1104*$Y$1104</f>
        <v>0</v>
      </c>
      <c r="AF1104" s="6">
        <f ca="1">$M$1104*$Z$1104</f>
        <v>74315.806454315418</v>
      </c>
      <c r="AG1104" s="6">
        <f>$O$1104*$AA$1104</f>
        <v>59482.436848649115</v>
      </c>
    </row>
    <row r="1105" spans="1:33" ht="11.25" customHeight="1" x14ac:dyDescent="0.3">
      <c r="A1105" s="4" t="s">
        <v>28</v>
      </c>
      <c r="B1105" s="4" t="s">
        <v>37</v>
      </c>
      <c r="C1105" s="4" t="s">
        <v>23</v>
      </c>
      <c r="D1105" s="4" t="s">
        <v>38</v>
      </c>
      <c r="E1105" s="4" t="s">
        <v>25</v>
      </c>
      <c r="F1105" s="4" t="s">
        <v>25</v>
      </c>
      <c r="G1105" s="4" t="s">
        <v>25</v>
      </c>
      <c r="H1105" s="4" t="s">
        <v>25</v>
      </c>
      <c r="I1105" s="5">
        <v>44621</v>
      </c>
      <c r="J1105" s="6">
        <v>0</v>
      </c>
      <c r="K1105" s="6">
        <v>0</v>
      </c>
      <c r="L1105" s="6">
        <v>5.1689999999999996</v>
      </c>
      <c r="M1105" s="6">
        <v>5.1689999999999996</v>
      </c>
      <c r="N1105" s="6">
        <v>5.1689999999999996</v>
      </c>
      <c r="O1105" s="6">
        <v>5.1689999999999996</v>
      </c>
      <c r="P1105" s="6">
        <v>3</v>
      </c>
      <c r="Q1105" s="4" t="s">
        <v>26</v>
      </c>
      <c r="R1105" s="4">
        <v>0</v>
      </c>
      <c r="S1105" s="6">
        <v>0</v>
      </c>
      <c r="T1105" s="6">
        <v>63</v>
      </c>
      <c r="U1105" s="6">
        <v>91</v>
      </c>
      <c r="V1105" s="6">
        <f>IF(ISERROR(VLOOKUP($S$1105,'TAR FIN'!$A$1:$O$113,15,0)),0,VLOOKUP($S$1105,'TAR FIN'!$A$1:$O$113,15,0))</f>
        <v>0</v>
      </c>
      <c r="W1105" s="6">
        <f>IF(ISERROR(VLOOKUP($T$1105,'TAR FIN'!$A$1:$O$113,15,0)),0,VLOOKUP($T$1105,'TAR FIN'!$A$1:$O$113,15,0))</f>
        <v>300.3</v>
      </c>
      <c r="X1105" s="6">
        <f>IF(ISERROR(VLOOKUP($U$1105,'TAR FIN'!$A$1:$O$113,15,0)),0,VLOOKUP($U$1105,'TAR FIN'!$A$1:$O$113,15,0))</f>
        <v>292.36</v>
      </c>
      <c r="Y1105" s="6"/>
      <c r="Z1105" s="6">
        <f ca="1">('TUSD BE'!$AM$68+'TUSD BF'!$AM$68+'TUSD CVA'!$AM$68)*1</f>
        <v>393.28439820871614</v>
      </c>
      <c r="AA1105" s="6">
        <f>('TE BE'!$AB$46+'TE BF'!$AB$46+'TE CVA'!$AB$46)*1</f>
        <v>314.78517822974521</v>
      </c>
      <c r="AB1105" s="6">
        <f>$K$1105*$V$1105</f>
        <v>0</v>
      </c>
      <c r="AC1105" s="6">
        <f>$M$1105*$W$1105</f>
        <v>1552.2506999999998</v>
      </c>
      <c r="AD1105" s="6">
        <f>$O$1105*$X$1105</f>
        <v>1511.20884</v>
      </c>
      <c r="AE1105" s="6">
        <f>$K$1105*$Y$1105</f>
        <v>0</v>
      </c>
      <c r="AF1105" s="6">
        <f ca="1">$M$1105*$Z$1105</f>
        <v>2032.8870543408536</v>
      </c>
      <c r="AG1105" s="6">
        <f>$O$1105*$AA$1105</f>
        <v>1627.124586269553</v>
      </c>
    </row>
    <row r="1106" spans="1:33" ht="11.25" customHeight="1" x14ac:dyDescent="0.3">
      <c r="A1106" s="4" t="s">
        <v>21</v>
      </c>
      <c r="B1106" s="4" t="s">
        <v>37</v>
      </c>
      <c r="C1106" s="4" t="s">
        <v>23</v>
      </c>
      <c r="D1106" s="4" t="s">
        <v>38</v>
      </c>
      <c r="E1106" s="4" t="s">
        <v>25</v>
      </c>
      <c r="F1106" s="4" t="s">
        <v>25</v>
      </c>
      <c r="G1106" s="4" t="s">
        <v>25</v>
      </c>
      <c r="H1106" s="4" t="s">
        <v>25</v>
      </c>
      <c r="I1106" s="5">
        <v>44652</v>
      </c>
      <c r="J1106" s="6">
        <v>0</v>
      </c>
      <c r="K1106" s="6">
        <v>0</v>
      </c>
      <c r="L1106" s="6">
        <v>189.744</v>
      </c>
      <c r="M1106" s="6">
        <v>189.744</v>
      </c>
      <c r="N1106" s="6">
        <v>189.744</v>
      </c>
      <c r="O1106" s="6">
        <v>189.744</v>
      </c>
      <c r="P1106" s="6">
        <v>141</v>
      </c>
      <c r="Q1106" s="4" t="s">
        <v>26</v>
      </c>
      <c r="R1106" s="4">
        <v>0</v>
      </c>
      <c r="S1106" s="6">
        <v>0</v>
      </c>
      <c r="T1106" s="6">
        <v>63</v>
      </c>
      <c r="U1106" s="6">
        <v>91</v>
      </c>
      <c r="V1106" s="6">
        <f>IF(ISERROR(VLOOKUP($S$1106,'TAR FIN'!$A$1:$O$113,15,0)),0,VLOOKUP($S$1106,'TAR FIN'!$A$1:$O$113,15,0))</f>
        <v>0</v>
      </c>
      <c r="W1106" s="6">
        <f>IF(ISERROR(VLOOKUP($T$1106,'TAR FIN'!$A$1:$O$113,15,0)),0,VLOOKUP($T$1106,'TAR FIN'!$A$1:$O$113,15,0))</f>
        <v>300.3</v>
      </c>
      <c r="X1106" s="6">
        <f>IF(ISERROR(VLOOKUP($U$1106,'TAR FIN'!$A$1:$O$113,15,0)),0,VLOOKUP($U$1106,'TAR FIN'!$A$1:$O$113,15,0))</f>
        <v>292.36</v>
      </c>
      <c r="Y1106" s="6"/>
      <c r="Z1106" s="6">
        <f ca="1">('TUSD BE'!$AM$68+'TUSD BF'!$AM$68+'TUSD CVA'!$AM$68)*1</f>
        <v>393.28439820871614</v>
      </c>
      <c r="AA1106" s="6">
        <f>('TE BE'!$AB$46+'TE BF'!$AB$46+'TE CVA'!$AB$46)*1</f>
        <v>314.78517822974521</v>
      </c>
      <c r="AB1106" s="6">
        <f>$K$1106*$V$1106</f>
        <v>0</v>
      </c>
      <c r="AC1106" s="6">
        <f>$M$1106*$W$1106</f>
        <v>56980.123200000002</v>
      </c>
      <c r="AD1106" s="6">
        <f>$O$1106*$X$1106</f>
        <v>55473.555840000001</v>
      </c>
      <c r="AE1106" s="6">
        <f>$K$1106*$Y$1106</f>
        <v>0</v>
      </c>
      <c r="AF1106" s="6">
        <f ca="1">$M$1106*$Z$1106</f>
        <v>74623.354853714642</v>
      </c>
      <c r="AG1106" s="6">
        <f>$O$1106*$AA$1106</f>
        <v>59728.598858024772</v>
      </c>
    </row>
    <row r="1107" spans="1:33" ht="11.25" customHeight="1" x14ac:dyDescent="0.3">
      <c r="A1107" s="4" t="s">
        <v>28</v>
      </c>
      <c r="B1107" s="4" t="s">
        <v>37</v>
      </c>
      <c r="C1107" s="4" t="s">
        <v>23</v>
      </c>
      <c r="D1107" s="4" t="s">
        <v>38</v>
      </c>
      <c r="E1107" s="4" t="s">
        <v>25</v>
      </c>
      <c r="F1107" s="4" t="s">
        <v>25</v>
      </c>
      <c r="G1107" s="4" t="s">
        <v>25</v>
      </c>
      <c r="H1107" s="4" t="s">
        <v>25</v>
      </c>
      <c r="I1107" s="5">
        <v>44652</v>
      </c>
      <c r="J1107" s="6">
        <v>0</v>
      </c>
      <c r="K1107" s="6">
        <v>0</v>
      </c>
      <c r="L1107" s="6">
        <v>5.7910000000000004</v>
      </c>
      <c r="M1107" s="6">
        <v>5.7910000000000004</v>
      </c>
      <c r="N1107" s="6">
        <v>5.7910000000000004</v>
      </c>
      <c r="O1107" s="6">
        <v>5.7910000000000004</v>
      </c>
      <c r="P1107" s="6">
        <v>4</v>
      </c>
      <c r="Q1107" s="4" t="s">
        <v>26</v>
      </c>
      <c r="R1107" s="4">
        <v>0</v>
      </c>
      <c r="S1107" s="6">
        <v>0</v>
      </c>
      <c r="T1107" s="6">
        <v>63</v>
      </c>
      <c r="U1107" s="6">
        <v>91</v>
      </c>
      <c r="V1107" s="6">
        <f>IF(ISERROR(VLOOKUP($S$1107,'TAR FIN'!$A$1:$O$113,15,0)),0,VLOOKUP($S$1107,'TAR FIN'!$A$1:$O$113,15,0))</f>
        <v>0</v>
      </c>
      <c r="W1107" s="6">
        <f>IF(ISERROR(VLOOKUP($T$1107,'TAR FIN'!$A$1:$O$113,15,0)),0,VLOOKUP($T$1107,'TAR FIN'!$A$1:$O$113,15,0))</f>
        <v>300.3</v>
      </c>
      <c r="X1107" s="6">
        <f>IF(ISERROR(VLOOKUP($U$1107,'TAR FIN'!$A$1:$O$113,15,0)),0,VLOOKUP($U$1107,'TAR FIN'!$A$1:$O$113,15,0))</f>
        <v>292.36</v>
      </c>
      <c r="Y1107" s="6"/>
      <c r="Z1107" s="6">
        <f ca="1">('TUSD BE'!$AM$68+'TUSD BF'!$AM$68+'TUSD CVA'!$AM$68)*1</f>
        <v>393.28439820871614</v>
      </c>
      <c r="AA1107" s="6">
        <f>('TE BE'!$AB$46+'TE BF'!$AB$46+'TE CVA'!$AB$46)*1</f>
        <v>314.78517822974521</v>
      </c>
      <c r="AB1107" s="6">
        <f>$K$1107*$V$1107</f>
        <v>0</v>
      </c>
      <c r="AC1107" s="6">
        <f>$M$1107*$W$1107</f>
        <v>1739.0373000000002</v>
      </c>
      <c r="AD1107" s="6">
        <f>$O$1107*$X$1107</f>
        <v>1693.0567600000002</v>
      </c>
      <c r="AE1107" s="6">
        <f>$K$1107*$Y$1107</f>
        <v>0</v>
      </c>
      <c r="AF1107" s="6">
        <f ca="1">$M$1107*$Z$1107</f>
        <v>2277.5099500266751</v>
      </c>
      <c r="AG1107" s="6">
        <f>$O$1107*$AA$1107</f>
        <v>1822.9209671284545</v>
      </c>
    </row>
    <row r="1108" spans="1:33" ht="11.25" customHeight="1" x14ac:dyDescent="0.3">
      <c r="A1108" s="4" t="s">
        <v>21</v>
      </c>
      <c r="B1108" s="4" t="s">
        <v>37</v>
      </c>
      <c r="C1108" s="4" t="s">
        <v>23</v>
      </c>
      <c r="D1108" s="4" t="s">
        <v>38</v>
      </c>
      <c r="E1108" s="4" t="s">
        <v>25</v>
      </c>
      <c r="F1108" s="4" t="s">
        <v>25</v>
      </c>
      <c r="G1108" s="4" t="s">
        <v>25</v>
      </c>
      <c r="H1108" s="4" t="s">
        <v>25</v>
      </c>
      <c r="I1108" s="5">
        <v>44682</v>
      </c>
      <c r="J1108" s="6">
        <v>0</v>
      </c>
      <c r="K1108" s="6">
        <v>0</v>
      </c>
      <c r="L1108" s="6">
        <v>183.285</v>
      </c>
      <c r="M1108" s="6">
        <v>183.285</v>
      </c>
      <c r="N1108" s="6">
        <v>183.285</v>
      </c>
      <c r="O1108" s="6">
        <v>183.285</v>
      </c>
      <c r="P1108" s="6">
        <v>141</v>
      </c>
      <c r="Q1108" s="4" t="s">
        <v>26</v>
      </c>
      <c r="R1108" s="4">
        <v>0</v>
      </c>
      <c r="S1108" s="6">
        <v>0</v>
      </c>
      <c r="T1108" s="6">
        <v>63</v>
      </c>
      <c r="U1108" s="6">
        <v>91</v>
      </c>
      <c r="V1108" s="6">
        <f>IF(ISERROR(VLOOKUP($S$1108,'TAR FIN'!$A$1:$O$113,15,0)),0,VLOOKUP($S$1108,'TAR FIN'!$A$1:$O$113,15,0))</f>
        <v>0</v>
      </c>
      <c r="W1108" s="6">
        <f>IF(ISERROR(VLOOKUP($T$1108,'TAR FIN'!$A$1:$O$113,15,0)),0,VLOOKUP($T$1108,'TAR FIN'!$A$1:$O$113,15,0))</f>
        <v>300.3</v>
      </c>
      <c r="X1108" s="6">
        <f>IF(ISERROR(VLOOKUP($U$1108,'TAR FIN'!$A$1:$O$113,15,0)),0,VLOOKUP($U$1108,'TAR FIN'!$A$1:$O$113,15,0))</f>
        <v>292.36</v>
      </c>
      <c r="Y1108" s="6"/>
      <c r="Z1108" s="6">
        <f ca="1">('TUSD BE'!$AM$68+'TUSD BF'!$AM$68+'TUSD CVA'!$AM$68)*1</f>
        <v>393.28439820871614</v>
      </c>
      <c r="AA1108" s="6">
        <f>('TE BE'!$AB$46+'TE BF'!$AB$46+'TE CVA'!$AB$46)*1</f>
        <v>314.78517822974521</v>
      </c>
      <c r="AB1108" s="6">
        <f>$K$1108*$V$1108</f>
        <v>0</v>
      </c>
      <c r="AC1108" s="6">
        <f>$M$1108*$W$1108</f>
        <v>55040.485500000003</v>
      </c>
      <c r="AD1108" s="6">
        <f>$O$1108*$X$1108</f>
        <v>53585.202600000004</v>
      </c>
      <c r="AE1108" s="6">
        <f>$K$1108*$Y$1108</f>
        <v>0</v>
      </c>
      <c r="AF1108" s="6">
        <f ca="1">$M$1108*$Z$1108</f>
        <v>72083.130925684542</v>
      </c>
      <c r="AG1108" s="6">
        <f>$O$1108*$AA$1108</f>
        <v>57695.401391838852</v>
      </c>
    </row>
    <row r="1109" spans="1:33" ht="11.25" customHeight="1" x14ac:dyDescent="0.3">
      <c r="A1109" s="4" t="s">
        <v>28</v>
      </c>
      <c r="B1109" s="4" t="s">
        <v>37</v>
      </c>
      <c r="C1109" s="4" t="s">
        <v>23</v>
      </c>
      <c r="D1109" s="4" t="s">
        <v>38</v>
      </c>
      <c r="E1109" s="4" t="s">
        <v>25</v>
      </c>
      <c r="F1109" s="4" t="s">
        <v>25</v>
      </c>
      <c r="G1109" s="4" t="s">
        <v>25</v>
      </c>
      <c r="H1109" s="4" t="s">
        <v>25</v>
      </c>
      <c r="I1109" s="5">
        <v>44682</v>
      </c>
      <c r="J1109" s="6">
        <v>0</v>
      </c>
      <c r="K1109" s="6">
        <v>0</v>
      </c>
      <c r="L1109" s="6">
        <v>5.1369999999999996</v>
      </c>
      <c r="M1109" s="6">
        <v>5.1369999999999996</v>
      </c>
      <c r="N1109" s="6">
        <v>5.1369999999999996</v>
      </c>
      <c r="O1109" s="6">
        <v>5.1369999999999996</v>
      </c>
      <c r="P1109" s="6">
        <v>4</v>
      </c>
      <c r="Q1109" s="4" t="s">
        <v>26</v>
      </c>
      <c r="R1109" s="4">
        <v>0</v>
      </c>
      <c r="S1109" s="6">
        <v>0</v>
      </c>
      <c r="T1109" s="6">
        <v>63</v>
      </c>
      <c r="U1109" s="6">
        <v>91</v>
      </c>
      <c r="V1109" s="6">
        <f>IF(ISERROR(VLOOKUP($S$1109,'TAR FIN'!$A$1:$O$113,15,0)),0,VLOOKUP($S$1109,'TAR FIN'!$A$1:$O$113,15,0))</f>
        <v>0</v>
      </c>
      <c r="W1109" s="6">
        <f>IF(ISERROR(VLOOKUP($T$1109,'TAR FIN'!$A$1:$O$113,15,0)),0,VLOOKUP($T$1109,'TAR FIN'!$A$1:$O$113,15,0))</f>
        <v>300.3</v>
      </c>
      <c r="X1109" s="6">
        <f>IF(ISERROR(VLOOKUP($U$1109,'TAR FIN'!$A$1:$O$113,15,0)),0,VLOOKUP($U$1109,'TAR FIN'!$A$1:$O$113,15,0))</f>
        <v>292.36</v>
      </c>
      <c r="Y1109" s="6"/>
      <c r="Z1109" s="6">
        <f ca="1">('TUSD BE'!$AM$68+'TUSD BF'!$AM$68+'TUSD CVA'!$AM$68)*1</f>
        <v>393.28439820871614</v>
      </c>
      <c r="AA1109" s="6">
        <f>('TE BE'!$AB$46+'TE BF'!$AB$46+'TE CVA'!$AB$46)*1</f>
        <v>314.78517822974521</v>
      </c>
      <c r="AB1109" s="6">
        <f>$K$1109*$V$1109</f>
        <v>0</v>
      </c>
      <c r="AC1109" s="6">
        <f>$M$1109*$W$1109</f>
        <v>1542.6410999999998</v>
      </c>
      <c r="AD1109" s="6">
        <f>$O$1109*$X$1109</f>
        <v>1501.8533199999999</v>
      </c>
      <c r="AE1109" s="6">
        <f>$K$1109*$Y$1109</f>
        <v>0</v>
      </c>
      <c r="AF1109" s="6">
        <f ca="1">$M$1109*$Z$1109</f>
        <v>2020.3019535981746</v>
      </c>
      <c r="AG1109" s="6">
        <f>$O$1109*$AA$1109</f>
        <v>1617.0514605662011</v>
      </c>
    </row>
    <row r="1110" spans="1:33" ht="11.25" customHeight="1" x14ac:dyDescent="0.3">
      <c r="A1110" s="4" t="s">
        <v>21</v>
      </c>
      <c r="B1110" s="4" t="s">
        <v>37</v>
      </c>
      <c r="C1110" s="4" t="s">
        <v>23</v>
      </c>
      <c r="D1110" s="4" t="s">
        <v>38</v>
      </c>
      <c r="E1110" s="4" t="s">
        <v>25</v>
      </c>
      <c r="F1110" s="4" t="s">
        <v>25</v>
      </c>
      <c r="G1110" s="4" t="s">
        <v>25</v>
      </c>
      <c r="H1110" s="4" t="s">
        <v>25</v>
      </c>
      <c r="I1110" s="5">
        <v>44713</v>
      </c>
      <c r="J1110" s="6">
        <v>0</v>
      </c>
      <c r="K1110" s="6">
        <v>0</v>
      </c>
      <c r="L1110" s="6">
        <v>179.96199999999999</v>
      </c>
      <c r="M1110" s="6">
        <v>179.96199999999999</v>
      </c>
      <c r="N1110" s="6">
        <v>179.96199999999999</v>
      </c>
      <c r="O1110" s="6">
        <v>179.96199999999999</v>
      </c>
      <c r="P1110" s="6">
        <v>143</v>
      </c>
      <c r="Q1110" s="4" t="s">
        <v>26</v>
      </c>
      <c r="R1110" s="4">
        <v>0</v>
      </c>
      <c r="S1110" s="6">
        <v>0</v>
      </c>
      <c r="T1110" s="6">
        <v>63</v>
      </c>
      <c r="U1110" s="6">
        <v>91</v>
      </c>
      <c r="V1110" s="6">
        <f>IF(ISERROR(VLOOKUP($S$1110,'TAR FIN'!$A$1:$O$113,15,0)),0,VLOOKUP($S$1110,'TAR FIN'!$A$1:$O$113,15,0))</f>
        <v>0</v>
      </c>
      <c r="W1110" s="6">
        <f>IF(ISERROR(VLOOKUP($T$1110,'TAR FIN'!$A$1:$O$113,15,0)),0,VLOOKUP($T$1110,'TAR FIN'!$A$1:$O$113,15,0))</f>
        <v>300.3</v>
      </c>
      <c r="X1110" s="6">
        <f>IF(ISERROR(VLOOKUP($U$1110,'TAR FIN'!$A$1:$O$113,15,0)),0,VLOOKUP($U$1110,'TAR FIN'!$A$1:$O$113,15,0))</f>
        <v>292.36</v>
      </c>
      <c r="Y1110" s="6"/>
      <c r="Z1110" s="6">
        <f ca="1">('TUSD BE'!$AM$68+'TUSD BF'!$AM$68+'TUSD CVA'!$AM$68)*1</f>
        <v>393.28439820871614</v>
      </c>
      <c r="AA1110" s="6">
        <f>('TE BE'!$AB$46+'TE BF'!$AB$46+'TE CVA'!$AB$46)*1</f>
        <v>314.78517822974521</v>
      </c>
      <c r="AB1110" s="6">
        <f>$K$1110*$V$1110</f>
        <v>0</v>
      </c>
      <c r="AC1110" s="6">
        <f>$M$1110*$W$1110</f>
        <v>54042.588599999995</v>
      </c>
      <c r="AD1110" s="6">
        <f>$O$1110*$X$1110</f>
        <v>52613.690320000002</v>
      </c>
      <c r="AE1110" s="6">
        <f>$K$1110*$Y$1110</f>
        <v>0</v>
      </c>
      <c r="AF1110" s="6">
        <f ca="1">$M$1110*$Z$1110</f>
        <v>70776.246870436968</v>
      </c>
      <c r="AG1110" s="6">
        <f>$O$1110*$AA$1110</f>
        <v>56649.370244581405</v>
      </c>
    </row>
    <row r="1111" spans="1:33" ht="11.25" customHeight="1" x14ac:dyDescent="0.3">
      <c r="A1111" s="4" t="s">
        <v>28</v>
      </c>
      <c r="B1111" s="4" t="s">
        <v>37</v>
      </c>
      <c r="C1111" s="4" t="s">
        <v>23</v>
      </c>
      <c r="D1111" s="4" t="s">
        <v>38</v>
      </c>
      <c r="E1111" s="4" t="s">
        <v>25</v>
      </c>
      <c r="F1111" s="4" t="s">
        <v>25</v>
      </c>
      <c r="G1111" s="4" t="s">
        <v>25</v>
      </c>
      <c r="H1111" s="4" t="s">
        <v>25</v>
      </c>
      <c r="I1111" s="5">
        <v>44713</v>
      </c>
      <c r="J1111" s="6">
        <v>0</v>
      </c>
      <c r="K1111" s="6">
        <v>0</v>
      </c>
      <c r="L1111" s="6">
        <v>1.61</v>
      </c>
      <c r="M1111" s="6">
        <v>1.61</v>
      </c>
      <c r="N1111" s="6">
        <v>1.61</v>
      </c>
      <c r="O1111" s="6">
        <v>1.61</v>
      </c>
      <c r="P1111" s="6">
        <v>3</v>
      </c>
      <c r="Q1111" s="4" t="s">
        <v>26</v>
      </c>
      <c r="R1111" s="4">
        <v>0</v>
      </c>
      <c r="S1111" s="6">
        <v>0</v>
      </c>
      <c r="T1111" s="6">
        <v>63</v>
      </c>
      <c r="U1111" s="6">
        <v>91</v>
      </c>
      <c r="V1111" s="6">
        <f>IF(ISERROR(VLOOKUP($S$1111,'TAR FIN'!$A$1:$O$113,15,0)),0,VLOOKUP($S$1111,'TAR FIN'!$A$1:$O$113,15,0))</f>
        <v>0</v>
      </c>
      <c r="W1111" s="6">
        <f>IF(ISERROR(VLOOKUP($T$1111,'TAR FIN'!$A$1:$O$113,15,0)),0,VLOOKUP($T$1111,'TAR FIN'!$A$1:$O$113,15,0))</f>
        <v>300.3</v>
      </c>
      <c r="X1111" s="6">
        <f>IF(ISERROR(VLOOKUP($U$1111,'TAR FIN'!$A$1:$O$113,15,0)),0,VLOOKUP($U$1111,'TAR FIN'!$A$1:$O$113,15,0))</f>
        <v>292.36</v>
      </c>
      <c r="Y1111" s="6"/>
      <c r="Z1111" s="6">
        <f ca="1">('TUSD BE'!$AM$68+'TUSD BF'!$AM$68+'TUSD CVA'!$AM$68)*1</f>
        <v>393.28439820871614</v>
      </c>
      <c r="AA1111" s="6">
        <f>('TE BE'!$AB$46+'TE BF'!$AB$46+'TE CVA'!$AB$46)*1</f>
        <v>314.78517822974521</v>
      </c>
      <c r="AB1111" s="6">
        <f>$K$1111*$V$1111</f>
        <v>0</v>
      </c>
      <c r="AC1111" s="6">
        <f>$M$1111*$W$1111</f>
        <v>483.48300000000006</v>
      </c>
      <c r="AD1111" s="6">
        <f>$O$1111*$X$1111</f>
        <v>470.69960000000003</v>
      </c>
      <c r="AE1111" s="6">
        <f>$K$1111*$Y$1111</f>
        <v>0</v>
      </c>
      <c r="AF1111" s="6">
        <f ca="1">$M$1111*$Z$1111</f>
        <v>633.18788111603305</v>
      </c>
      <c r="AG1111" s="6">
        <f>$O$1111*$AA$1111</f>
        <v>506.80413694988982</v>
      </c>
    </row>
    <row r="1112" spans="1:33" ht="11.25" customHeight="1" x14ac:dyDescent="0.3">
      <c r="A1112" s="4" t="s">
        <v>21</v>
      </c>
      <c r="B1112" s="4" t="s">
        <v>37</v>
      </c>
      <c r="C1112" s="4" t="s">
        <v>23</v>
      </c>
      <c r="D1112" s="4" t="s">
        <v>38</v>
      </c>
      <c r="E1112" s="4" t="s">
        <v>25</v>
      </c>
      <c r="F1112" s="4" t="s">
        <v>25</v>
      </c>
      <c r="G1112" s="4" t="s">
        <v>25</v>
      </c>
      <c r="H1112" s="4" t="s">
        <v>25</v>
      </c>
      <c r="I1112" s="5">
        <v>44743</v>
      </c>
      <c r="J1112" s="6">
        <v>0</v>
      </c>
      <c r="K1112" s="6">
        <v>0</v>
      </c>
      <c r="L1112" s="6">
        <v>188.00800000000001</v>
      </c>
      <c r="M1112" s="6">
        <v>188.00800000000001</v>
      </c>
      <c r="N1112" s="6">
        <v>188.00800000000001</v>
      </c>
      <c r="O1112" s="6">
        <v>188.00800000000001</v>
      </c>
      <c r="P1112" s="6">
        <v>142</v>
      </c>
      <c r="Q1112" s="4" t="s">
        <v>26</v>
      </c>
      <c r="R1112" s="4">
        <v>0</v>
      </c>
      <c r="S1112" s="6">
        <v>0</v>
      </c>
      <c r="T1112" s="6">
        <v>63</v>
      </c>
      <c r="U1112" s="6">
        <v>91</v>
      </c>
      <c r="V1112" s="6">
        <f>IF(ISERROR(VLOOKUP($S$1112,'TAR FIN'!$A$1:$O$113,15,0)),0,VLOOKUP($S$1112,'TAR FIN'!$A$1:$O$113,15,0))</f>
        <v>0</v>
      </c>
      <c r="W1112" s="6">
        <f>IF(ISERROR(VLOOKUP($T$1112,'TAR FIN'!$A$1:$O$113,15,0)),0,VLOOKUP($T$1112,'TAR FIN'!$A$1:$O$113,15,0))</f>
        <v>300.3</v>
      </c>
      <c r="X1112" s="6">
        <f>IF(ISERROR(VLOOKUP($U$1112,'TAR FIN'!$A$1:$O$113,15,0)),0,VLOOKUP($U$1112,'TAR FIN'!$A$1:$O$113,15,0))</f>
        <v>292.36</v>
      </c>
      <c r="Y1112" s="6"/>
      <c r="Z1112" s="6">
        <f ca="1">('TUSD BE'!$AM$68+'TUSD BF'!$AM$68+'TUSD CVA'!$AM$68)*1</f>
        <v>393.28439820871614</v>
      </c>
      <c r="AA1112" s="6">
        <f>('TE BE'!$AB$46+'TE BF'!$AB$46+'TE CVA'!$AB$46)*1</f>
        <v>314.78517822974521</v>
      </c>
      <c r="AB1112" s="6">
        <f>$K$1112*$V$1112</f>
        <v>0</v>
      </c>
      <c r="AC1112" s="6">
        <f>$M$1112*$W$1112</f>
        <v>56458.802400000008</v>
      </c>
      <c r="AD1112" s="6">
        <f>$O$1112*$X$1112</f>
        <v>54966.018880000003</v>
      </c>
      <c r="AE1112" s="6">
        <f>$K$1112*$Y$1112</f>
        <v>0</v>
      </c>
      <c r="AF1112" s="6">
        <f ca="1">$M$1112*$Z$1112</f>
        <v>73940.613138424305</v>
      </c>
      <c r="AG1112" s="6">
        <f>$O$1112*$AA$1112</f>
        <v>59182.131788617939</v>
      </c>
    </row>
    <row r="1113" spans="1:33" ht="11.25" customHeight="1" x14ac:dyDescent="0.3">
      <c r="A1113" s="4" t="s">
        <v>21</v>
      </c>
      <c r="B1113" s="4" t="s">
        <v>37</v>
      </c>
      <c r="C1113" s="4" t="s">
        <v>23</v>
      </c>
      <c r="D1113" s="4" t="s">
        <v>38</v>
      </c>
      <c r="E1113" s="4" t="s">
        <v>25</v>
      </c>
      <c r="F1113" s="4" t="s">
        <v>25</v>
      </c>
      <c r="G1113" s="4" t="s">
        <v>25</v>
      </c>
      <c r="H1113" s="4" t="s">
        <v>25</v>
      </c>
      <c r="I1113" s="5">
        <v>44774</v>
      </c>
      <c r="J1113" s="6">
        <v>0</v>
      </c>
      <c r="K1113" s="6">
        <v>0</v>
      </c>
      <c r="L1113" s="6">
        <v>180.226</v>
      </c>
      <c r="M1113" s="6">
        <v>180.226</v>
      </c>
      <c r="N1113" s="6">
        <v>180.226</v>
      </c>
      <c r="O1113" s="6">
        <v>180.226</v>
      </c>
      <c r="P1113" s="6">
        <v>143</v>
      </c>
      <c r="Q1113" s="4" t="s">
        <v>26</v>
      </c>
      <c r="R1113" s="4">
        <v>0</v>
      </c>
      <c r="S1113" s="6">
        <v>0</v>
      </c>
      <c r="T1113" s="6">
        <v>63</v>
      </c>
      <c r="U1113" s="6">
        <v>91</v>
      </c>
      <c r="V1113" s="6">
        <f>IF(ISERROR(VLOOKUP($S$1113,'TAR FIN'!$A$1:$O$113,15,0)),0,VLOOKUP($S$1113,'TAR FIN'!$A$1:$O$113,15,0))</f>
        <v>0</v>
      </c>
      <c r="W1113" s="6">
        <f>IF(ISERROR(VLOOKUP($T$1113,'TAR FIN'!$A$1:$O$113,15,0)),0,VLOOKUP($T$1113,'TAR FIN'!$A$1:$O$113,15,0))</f>
        <v>300.3</v>
      </c>
      <c r="X1113" s="6">
        <f>IF(ISERROR(VLOOKUP($U$1113,'TAR FIN'!$A$1:$O$113,15,0)),0,VLOOKUP($U$1113,'TAR FIN'!$A$1:$O$113,15,0))</f>
        <v>292.36</v>
      </c>
      <c r="Y1113" s="6"/>
      <c r="Z1113" s="6">
        <f ca="1">('TUSD BE'!$AM$68+'TUSD BF'!$AM$68+'TUSD CVA'!$AM$68)*1</f>
        <v>393.28439820871614</v>
      </c>
      <c r="AA1113" s="6">
        <f>('TE BE'!$AB$46+'TE BF'!$AB$46+'TE CVA'!$AB$46)*1</f>
        <v>314.78517822974521</v>
      </c>
      <c r="AB1113" s="6">
        <f>$K$1113*$V$1113</f>
        <v>0</v>
      </c>
      <c r="AC1113" s="6">
        <f>$M$1113*$W$1113</f>
        <v>54121.8678</v>
      </c>
      <c r="AD1113" s="6">
        <f>$O$1113*$X$1113</f>
        <v>52690.873360000005</v>
      </c>
      <c r="AE1113" s="6">
        <f>$K$1113*$Y$1113</f>
        <v>0</v>
      </c>
      <c r="AF1113" s="6">
        <f ca="1">$M$1113*$Z$1113</f>
        <v>70880.073951564074</v>
      </c>
      <c r="AG1113" s="6">
        <f>$O$1113*$AA$1113</f>
        <v>56732.473531634059</v>
      </c>
    </row>
    <row r="1114" spans="1:33" ht="11.25" customHeight="1" x14ac:dyDescent="0.3">
      <c r="A1114" s="4" t="s">
        <v>28</v>
      </c>
      <c r="B1114" s="4" t="s">
        <v>37</v>
      </c>
      <c r="C1114" s="4" t="s">
        <v>23</v>
      </c>
      <c r="D1114" s="4" t="s">
        <v>38</v>
      </c>
      <c r="E1114" s="4" t="s">
        <v>25</v>
      </c>
      <c r="F1114" s="4" t="s">
        <v>25</v>
      </c>
      <c r="G1114" s="4" t="s">
        <v>25</v>
      </c>
      <c r="H1114" s="4" t="s">
        <v>25</v>
      </c>
      <c r="I1114" s="5">
        <v>44774</v>
      </c>
      <c r="J1114" s="6">
        <v>0</v>
      </c>
      <c r="K1114" s="6">
        <v>0</v>
      </c>
      <c r="L1114" s="6">
        <v>5.3520000000000003</v>
      </c>
      <c r="M1114" s="6">
        <v>5.3520000000000003</v>
      </c>
      <c r="N1114" s="6">
        <v>5.3520000000000003</v>
      </c>
      <c r="O1114" s="6">
        <v>5.3520000000000003</v>
      </c>
      <c r="P1114" s="6">
        <v>4</v>
      </c>
      <c r="Q1114" s="4" t="s">
        <v>26</v>
      </c>
      <c r="R1114" s="4">
        <v>0</v>
      </c>
      <c r="S1114" s="6">
        <v>0</v>
      </c>
      <c r="T1114" s="6">
        <v>63</v>
      </c>
      <c r="U1114" s="6">
        <v>91</v>
      </c>
      <c r="V1114" s="6">
        <f>IF(ISERROR(VLOOKUP($S$1114,'TAR FIN'!$A$1:$O$113,15,0)),0,VLOOKUP($S$1114,'TAR FIN'!$A$1:$O$113,15,0))</f>
        <v>0</v>
      </c>
      <c r="W1114" s="6">
        <f>IF(ISERROR(VLOOKUP($T$1114,'TAR FIN'!$A$1:$O$113,15,0)),0,VLOOKUP($T$1114,'TAR FIN'!$A$1:$O$113,15,0))</f>
        <v>300.3</v>
      </c>
      <c r="X1114" s="6">
        <f>IF(ISERROR(VLOOKUP($U$1114,'TAR FIN'!$A$1:$O$113,15,0)),0,VLOOKUP($U$1114,'TAR FIN'!$A$1:$O$113,15,0))</f>
        <v>292.36</v>
      </c>
      <c r="Y1114" s="6"/>
      <c r="Z1114" s="6">
        <f ca="1">('TUSD BE'!$AM$68+'TUSD BF'!$AM$68+'TUSD CVA'!$AM$68)*1</f>
        <v>393.28439820871614</v>
      </c>
      <c r="AA1114" s="6">
        <f>('TE BE'!$AB$46+'TE BF'!$AB$46+'TE CVA'!$AB$46)*1</f>
        <v>314.78517822974521</v>
      </c>
      <c r="AB1114" s="6">
        <f>$K$1114*$V$1114</f>
        <v>0</v>
      </c>
      <c r="AC1114" s="6">
        <f>$M$1114*$W$1114</f>
        <v>1607.2056000000002</v>
      </c>
      <c r="AD1114" s="6">
        <f>$O$1114*$X$1114</f>
        <v>1564.7107200000003</v>
      </c>
      <c r="AE1114" s="6">
        <f>$K$1114*$Y$1114</f>
        <v>0</v>
      </c>
      <c r="AF1114" s="6">
        <f ca="1">$M$1114*$Z$1114</f>
        <v>2104.8580992130487</v>
      </c>
      <c r="AG1114" s="6">
        <f>$O$1114*$AA$1114</f>
        <v>1684.7302738855965</v>
      </c>
    </row>
    <row r="1115" spans="1:33" ht="11.25" customHeight="1" x14ac:dyDescent="0.3">
      <c r="A1115" s="4" t="s">
        <v>21</v>
      </c>
      <c r="B1115" s="4" t="s">
        <v>37</v>
      </c>
      <c r="C1115" s="4" t="s">
        <v>23</v>
      </c>
      <c r="D1115" s="4" t="s">
        <v>38</v>
      </c>
      <c r="E1115" s="4" t="s">
        <v>25</v>
      </c>
      <c r="F1115" s="4" t="s">
        <v>25</v>
      </c>
      <c r="G1115" s="4" t="s">
        <v>25</v>
      </c>
      <c r="H1115" s="4" t="s">
        <v>25</v>
      </c>
      <c r="I1115" s="5">
        <v>44805</v>
      </c>
      <c r="J1115" s="6">
        <v>0</v>
      </c>
      <c r="K1115" s="6">
        <v>0</v>
      </c>
      <c r="L1115" s="6">
        <v>190.60400000000001</v>
      </c>
      <c r="M1115" s="6">
        <v>190.60400000000001</v>
      </c>
      <c r="N1115" s="6">
        <v>190.60400000000001</v>
      </c>
      <c r="O1115" s="6">
        <v>190.60400000000001</v>
      </c>
      <c r="P1115" s="6">
        <v>143</v>
      </c>
      <c r="Q1115" s="4" t="s">
        <v>26</v>
      </c>
      <c r="R1115" s="4">
        <v>0</v>
      </c>
      <c r="S1115" s="6">
        <v>0</v>
      </c>
      <c r="T1115" s="6">
        <v>63</v>
      </c>
      <c r="U1115" s="6">
        <v>91</v>
      </c>
      <c r="V1115" s="6">
        <f>IF(ISERROR(VLOOKUP($S$1115,'TAR FIN'!$A$1:$O$113,15,0)),0,VLOOKUP($S$1115,'TAR FIN'!$A$1:$O$113,15,0))</f>
        <v>0</v>
      </c>
      <c r="W1115" s="6">
        <f>IF(ISERROR(VLOOKUP($T$1115,'TAR FIN'!$A$1:$O$113,15,0)),0,VLOOKUP($T$1115,'TAR FIN'!$A$1:$O$113,15,0))</f>
        <v>300.3</v>
      </c>
      <c r="X1115" s="6">
        <f>IF(ISERROR(VLOOKUP($U$1115,'TAR FIN'!$A$1:$O$113,15,0)),0,VLOOKUP($U$1115,'TAR FIN'!$A$1:$O$113,15,0))</f>
        <v>292.36</v>
      </c>
      <c r="Y1115" s="6"/>
      <c r="Z1115" s="6">
        <f ca="1">('TUSD BE'!$AM$68+'TUSD BF'!$AM$68+'TUSD CVA'!$AM$68)*1</f>
        <v>393.28439820871614</v>
      </c>
      <c r="AA1115" s="6">
        <f>('TE BE'!$AB$46+'TE BF'!$AB$46+'TE CVA'!$AB$46)*1</f>
        <v>314.78517822974521</v>
      </c>
      <c r="AB1115" s="6">
        <f>$K$1115*$V$1115</f>
        <v>0</v>
      </c>
      <c r="AC1115" s="6">
        <f>$M$1115*$W$1115</f>
        <v>57238.381200000003</v>
      </c>
      <c r="AD1115" s="6">
        <f>$O$1115*$X$1115</f>
        <v>55724.985440000004</v>
      </c>
      <c r="AE1115" s="6">
        <f>$K$1115*$Y$1115</f>
        <v>0</v>
      </c>
      <c r="AF1115" s="6">
        <f ca="1">$M$1115*$Z$1115</f>
        <v>74961.579436174143</v>
      </c>
      <c r="AG1115" s="6">
        <f>$O$1115*$AA$1115</f>
        <v>59999.314111302359</v>
      </c>
    </row>
    <row r="1116" spans="1:33" ht="11.25" customHeight="1" x14ac:dyDescent="0.3">
      <c r="A1116" s="4" t="s">
        <v>28</v>
      </c>
      <c r="B1116" s="4" t="s">
        <v>37</v>
      </c>
      <c r="C1116" s="4" t="s">
        <v>23</v>
      </c>
      <c r="D1116" s="4" t="s">
        <v>38</v>
      </c>
      <c r="E1116" s="4" t="s">
        <v>25</v>
      </c>
      <c r="F1116" s="4" t="s">
        <v>25</v>
      </c>
      <c r="G1116" s="4" t="s">
        <v>25</v>
      </c>
      <c r="H1116" s="4" t="s">
        <v>25</v>
      </c>
      <c r="I1116" s="5">
        <v>44805</v>
      </c>
      <c r="J1116" s="6">
        <v>0</v>
      </c>
      <c r="K1116" s="6">
        <v>0</v>
      </c>
      <c r="L1116" s="6">
        <v>13.79</v>
      </c>
      <c r="M1116" s="6">
        <v>13.79</v>
      </c>
      <c r="N1116" s="6">
        <v>13.79</v>
      </c>
      <c r="O1116" s="6">
        <v>13.79</v>
      </c>
      <c r="P1116" s="6">
        <v>6</v>
      </c>
      <c r="Q1116" s="4" t="s">
        <v>26</v>
      </c>
      <c r="R1116" s="4">
        <v>0</v>
      </c>
      <c r="S1116" s="6">
        <v>0</v>
      </c>
      <c r="T1116" s="6">
        <v>63</v>
      </c>
      <c r="U1116" s="6">
        <v>91</v>
      </c>
      <c r="V1116" s="6">
        <f>IF(ISERROR(VLOOKUP($S$1116,'TAR FIN'!$A$1:$O$113,15,0)),0,VLOOKUP($S$1116,'TAR FIN'!$A$1:$O$113,15,0))</f>
        <v>0</v>
      </c>
      <c r="W1116" s="6">
        <f>IF(ISERROR(VLOOKUP($T$1116,'TAR FIN'!$A$1:$O$113,15,0)),0,VLOOKUP($T$1116,'TAR FIN'!$A$1:$O$113,15,0))</f>
        <v>300.3</v>
      </c>
      <c r="X1116" s="6">
        <f>IF(ISERROR(VLOOKUP($U$1116,'TAR FIN'!$A$1:$O$113,15,0)),0,VLOOKUP($U$1116,'TAR FIN'!$A$1:$O$113,15,0))</f>
        <v>292.36</v>
      </c>
      <c r="Y1116" s="6"/>
      <c r="Z1116" s="6">
        <f ca="1">('TUSD BE'!$AM$68+'TUSD BF'!$AM$68+'TUSD CVA'!$AM$68)*1</f>
        <v>393.28439820871614</v>
      </c>
      <c r="AA1116" s="6">
        <f>('TE BE'!$AB$46+'TE BF'!$AB$46+'TE CVA'!$AB$46)*1</f>
        <v>314.78517822974521</v>
      </c>
      <c r="AB1116" s="6">
        <f>$K$1116*$V$1116</f>
        <v>0</v>
      </c>
      <c r="AC1116" s="6">
        <f>$M$1116*$W$1116</f>
        <v>4141.1369999999997</v>
      </c>
      <c r="AD1116" s="6">
        <f>$O$1116*$X$1116</f>
        <v>4031.6444000000001</v>
      </c>
      <c r="AE1116" s="6">
        <f>$K$1116*$Y$1116</f>
        <v>0</v>
      </c>
      <c r="AF1116" s="6">
        <f ca="1">$M$1116*$Z$1116</f>
        <v>5423.3918512981954</v>
      </c>
      <c r="AG1116" s="6">
        <f>$O$1116*$AA$1116</f>
        <v>4340.887607788186</v>
      </c>
    </row>
    <row r="1117" spans="1:33" ht="11.25" customHeight="1" x14ac:dyDescent="0.3">
      <c r="A1117" s="4" t="s">
        <v>53</v>
      </c>
      <c r="B1117" s="4" t="s">
        <v>37</v>
      </c>
      <c r="C1117" s="4" t="s">
        <v>23</v>
      </c>
      <c r="D1117" s="4" t="s">
        <v>38</v>
      </c>
      <c r="E1117" s="4" t="s">
        <v>25</v>
      </c>
      <c r="F1117" s="4" t="s">
        <v>25</v>
      </c>
      <c r="G1117" s="4" t="s">
        <v>25</v>
      </c>
      <c r="H1117" s="4" t="s">
        <v>25</v>
      </c>
      <c r="I1117" s="5">
        <v>44835</v>
      </c>
      <c r="J1117" s="6">
        <v>0</v>
      </c>
      <c r="K1117" s="6">
        <v>0</v>
      </c>
      <c r="L1117" s="6">
        <v>190.60400000000001</v>
      </c>
      <c r="M1117" s="6">
        <v>190.60400000000001</v>
      </c>
      <c r="N1117" s="6">
        <v>190.60400000000001</v>
      </c>
      <c r="O1117" s="6">
        <v>190.60400000000001</v>
      </c>
      <c r="P1117" s="6">
        <v>143</v>
      </c>
      <c r="Q1117" s="4" t="s">
        <v>26</v>
      </c>
      <c r="R1117" s="4">
        <v>0</v>
      </c>
      <c r="S1117" s="6">
        <v>0</v>
      </c>
      <c r="T1117" s="6">
        <v>63</v>
      </c>
      <c r="U1117" s="6">
        <v>91</v>
      </c>
      <c r="V1117" s="6">
        <f>IF(ISERROR(VLOOKUP($S$1117,'TAR FIN'!$A$1:$O$113,15,0)),0,VLOOKUP($S$1117,'TAR FIN'!$A$1:$O$113,15,0))</f>
        <v>0</v>
      </c>
      <c r="W1117" s="6">
        <f>IF(ISERROR(VLOOKUP($T$1117,'TAR FIN'!$A$1:$O$113,15,0)),0,VLOOKUP($T$1117,'TAR FIN'!$A$1:$O$113,15,0))</f>
        <v>300.3</v>
      </c>
      <c r="X1117" s="6">
        <f>IF(ISERROR(VLOOKUP($U$1117,'TAR FIN'!$A$1:$O$113,15,0)),0,VLOOKUP($U$1117,'TAR FIN'!$A$1:$O$113,15,0))</f>
        <v>292.36</v>
      </c>
      <c r="Y1117" s="6"/>
      <c r="Z1117" s="6">
        <f ca="1">('TUSD BE'!$AM$68+'TUSD BF'!$AM$68+'TUSD CVA'!$AM$68)*1</f>
        <v>393.28439820871614</v>
      </c>
      <c r="AA1117" s="6">
        <f>('TE BE'!$AB$46+'TE BF'!$AB$46+'TE CVA'!$AB$46)*1</f>
        <v>314.78517822974521</v>
      </c>
      <c r="AB1117" s="6">
        <f>$K$1117*$V$1117</f>
        <v>0</v>
      </c>
      <c r="AC1117" s="6">
        <f>$M$1117*$W$1117</f>
        <v>57238.381200000003</v>
      </c>
      <c r="AD1117" s="6">
        <f>$O$1117*$X$1117</f>
        <v>55724.985440000004</v>
      </c>
      <c r="AE1117" s="6">
        <f>$K$1117*$Y$1117</f>
        <v>0</v>
      </c>
      <c r="AF1117" s="6">
        <f ca="1">$M$1117*$Z$1117</f>
        <v>74961.579436174143</v>
      </c>
      <c r="AG1117" s="6">
        <f>$O$1117*$AA$1117</f>
        <v>59999.314111302359</v>
      </c>
    </row>
    <row r="1118" spans="1:33" ht="11.25" customHeight="1" x14ac:dyDescent="0.3">
      <c r="A1118" s="4" t="s">
        <v>53</v>
      </c>
      <c r="B1118" s="4" t="s">
        <v>37</v>
      </c>
      <c r="C1118" s="4" t="s">
        <v>23</v>
      </c>
      <c r="D1118" s="4" t="s">
        <v>38</v>
      </c>
      <c r="E1118" s="4" t="s">
        <v>25</v>
      </c>
      <c r="F1118" s="4" t="s">
        <v>25</v>
      </c>
      <c r="G1118" s="4" t="s">
        <v>25</v>
      </c>
      <c r="H1118" s="4" t="s">
        <v>25</v>
      </c>
      <c r="I1118" s="5">
        <v>44835</v>
      </c>
      <c r="J1118" s="6">
        <v>0</v>
      </c>
      <c r="K1118" s="6">
        <v>0</v>
      </c>
      <c r="L1118" s="6">
        <v>13.79</v>
      </c>
      <c r="M1118" s="6">
        <v>13.79</v>
      </c>
      <c r="N1118" s="6">
        <v>13.79</v>
      </c>
      <c r="O1118" s="6">
        <v>13.79</v>
      </c>
      <c r="P1118" s="6">
        <v>6</v>
      </c>
      <c r="Q1118" s="4" t="s">
        <v>26</v>
      </c>
      <c r="R1118" s="4">
        <v>0</v>
      </c>
      <c r="S1118" s="6">
        <v>0</v>
      </c>
      <c r="T1118" s="6">
        <v>63</v>
      </c>
      <c r="U1118" s="6">
        <v>91</v>
      </c>
      <c r="V1118" s="6">
        <f>IF(ISERROR(VLOOKUP($S$1118,'TAR FIN'!$A$1:$O$113,15,0)),0,VLOOKUP($S$1118,'TAR FIN'!$A$1:$O$113,15,0))</f>
        <v>0</v>
      </c>
      <c r="W1118" s="6">
        <f>IF(ISERROR(VLOOKUP($T$1118,'TAR FIN'!$A$1:$O$113,15,0)),0,VLOOKUP($T$1118,'TAR FIN'!$A$1:$O$113,15,0))</f>
        <v>300.3</v>
      </c>
      <c r="X1118" s="6">
        <f>IF(ISERROR(VLOOKUP($U$1118,'TAR FIN'!$A$1:$O$113,15,0)),0,VLOOKUP($U$1118,'TAR FIN'!$A$1:$O$113,15,0))</f>
        <v>292.36</v>
      </c>
      <c r="Y1118" s="6"/>
      <c r="Z1118" s="6">
        <f ca="1">('TUSD BE'!$AM$68+'TUSD BF'!$AM$68+'TUSD CVA'!$AM$68)*1</f>
        <v>393.28439820871614</v>
      </c>
      <c r="AA1118" s="6">
        <f>('TE BE'!$AB$46+'TE BF'!$AB$46+'TE CVA'!$AB$46)*1</f>
        <v>314.78517822974521</v>
      </c>
      <c r="AB1118" s="6">
        <f>$K$1118*$V$1118</f>
        <v>0</v>
      </c>
      <c r="AC1118" s="6">
        <f>$M$1118*$W$1118</f>
        <v>4141.1369999999997</v>
      </c>
      <c r="AD1118" s="6">
        <f>$O$1118*$X$1118</f>
        <v>4031.6444000000001</v>
      </c>
      <c r="AE1118" s="6">
        <f>$K$1118*$Y$1118</f>
        <v>0</v>
      </c>
      <c r="AF1118" s="6">
        <f ca="1">$M$1118*$Z$1118</f>
        <v>5423.3918512981954</v>
      </c>
      <c r="AG1118" s="6">
        <f>$O$1118*$AA$1118</f>
        <v>4340.887607788186</v>
      </c>
    </row>
    <row r="1119" spans="1:33" ht="11.25" customHeight="1" x14ac:dyDescent="0.3">
      <c r="A1119" s="4" t="s">
        <v>21</v>
      </c>
      <c r="B1119" s="4" t="s">
        <v>37</v>
      </c>
      <c r="C1119" s="4" t="s">
        <v>23</v>
      </c>
      <c r="D1119" s="4" t="s">
        <v>46</v>
      </c>
      <c r="E1119" s="4" t="s">
        <v>25</v>
      </c>
      <c r="F1119" s="4" t="s">
        <v>25</v>
      </c>
      <c r="G1119" s="4" t="s">
        <v>25</v>
      </c>
      <c r="H1119" s="4" t="s">
        <v>25</v>
      </c>
      <c r="I1119" s="5">
        <v>44501</v>
      </c>
      <c r="J1119" s="6">
        <v>0</v>
      </c>
      <c r="K1119" s="6">
        <v>0</v>
      </c>
      <c r="L1119" s="6">
        <v>286.779</v>
      </c>
      <c r="M1119" s="6">
        <v>286.779</v>
      </c>
      <c r="N1119" s="6">
        <v>286.779</v>
      </c>
      <c r="O1119" s="6">
        <v>286.779</v>
      </c>
      <c r="P1119" s="6">
        <v>422</v>
      </c>
      <c r="Q1119" s="4" t="s">
        <v>26</v>
      </c>
      <c r="R1119" s="4">
        <v>0</v>
      </c>
      <c r="S1119" s="6">
        <v>0</v>
      </c>
      <c r="T1119" s="6">
        <v>63</v>
      </c>
      <c r="U1119" s="6">
        <v>91</v>
      </c>
      <c r="V1119" s="6">
        <f>IF(ISERROR(VLOOKUP($S$1119,'TAR FIN'!$A$1:$O$113,15,0)),0,VLOOKUP($S$1119,'TAR FIN'!$A$1:$O$113,15,0))</f>
        <v>0</v>
      </c>
      <c r="W1119" s="6">
        <f>IF(ISERROR(VLOOKUP($T$1119,'TAR FIN'!$A$1:$O$113,15,0)),0,VLOOKUP($T$1119,'TAR FIN'!$A$1:$O$113,15,0))</f>
        <v>300.3</v>
      </c>
      <c r="X1119" s="6">
        <f>IF(ISERROR(VLOOKUP($U$1119,'TAR FIN'!$A$1:$O$113,15,0)),0,VLOOKUP($U$1119,'TAR FIN'!$A$1:$O$113,15,0))</f>
        <v>292.36</v>
      </c>
      <c r="Y1119" s="6"/>
      <c r="Z1119" s="6">
        <f ca="1">('TUSD BE'!$AM$68+'TUSD BF'!$AM$68+'TUSD CVA'!$AM$68)*1</f>
        <v>393.28439820871614</v>
      </c>
      <c r="AA1119" s="6">
        <f>('TE BE'!$AB$46+'TE BF'!$AB$46+'TE CVA'!$AB$46)*1</f>
        <v>314.78517822974521</v>
      </c>
      <c r="AB1119" s="6">
        <f>$K$1119*$V$1119</f>
        <v>0</v>
      </c>
      <c r="AC1119" s="6">
        <f>$M$1119*$W$1119</f>
        <v>86119.733699999997</v>
      </c>
      <c r="AD1119" s="6">
        <f>$O$1119*$X$1119</f>
        <v>83842.708440000002</v>
      </c>
      <c r="AE1119" s="6">
        <f>$K$1119*$Y$1119</f>
        <v>0</v>
      </c>
      <c r="AF1119" s="6">
        <f ca="1">$M$1119*$Z$1119</f>
        <v>112785.7064338974</v>
      </c>
      <c r="AG1119" s="6">
        <f>$O$1119*$AA$1119</f>
        <v>90273.778627548105</v>
      </c>
    </row>
    <row r="1120" spans="1:33" ht="11.25" customHeight="1" x14ac:dyDescent="0.3">
      <c r="A1120" s="4" t="s">
        <v>21</v>
      </c>
      <c r="B1120" s="4" t="s">
        <v>37</v>
      </c>
      <c r="C1120" s="4" t="s">
        <v>23</v>
      </c>
      <c r="D1120" s="4" t="s">
        <v>46</v>
      </c>
      <c r="E1120" s="4" t="s">
        <v>25</v>
      </c>
      <c r="F1120" s="4" t="s">
        <v>25</v>
      </c>
      <c r="G1120" s="4" t="s">
        <v>25</v>
      </c>
      <c r="H1120" s="4" t="s">
        <v>25</v>
      </c>
      <c r="I1120" s="5">
        <v>44531</v>
      </c>
      <c r="J1120" s="6">
        <v>0</v>
      </c>
      <c r="K1120" s="6">
        <v>0</v>
      </c>
      <c r="L1120" s="6">
        <v>313.83699999999999</v>
      </c>
      <c r="M1120" s="6">
        <v>313.83699999999999</v>
      </c>
      <c r="N1120" s="6">
        <v>313.83699999999999</v>
      </c>
      <c r="O1120" s="6">
        <v>313.83699999999999</v>
      </c>
      <c r="P1120" s="6">
        <v>422</v>
      </c>
      <c r="Q1120" s="4" t="s">
        <v>26</v>
      </c>
      <c r="R1120" s="4">
        <v>0</v>
      </c>
      <c r="S1120" s="6">
        <v>0</v>
      </c>
      <c r="T1120" s="6">
        <v>63</v>
      </c>
      <c r="U1120" s="6">
        <v>91</v>
      </c>
      <c r="V1120" s="6">
        <f>IF(ISERROR(VLOOKUP($S$1120,'TAR FIN'!$A$1:$O$113,15,0)),0,VLOOKUP($S$1120,'TAR FIN'!$A$1:$O$113,15,0))</f>
        <v>0</v>
      </c>
      <c r="W1120" s="6">
        <f>IF(ISERROR(VLOOKUP($T$1120,'TAR FIN'!$A$1:$O$113,15,0)),0,VLOOKUP($T$1120,'TAR FIN'!$A$1:$O$113,15,0))</f>
        <v>300.3</v>
      </c>
      <c r="X1120" s="6">
        <f>IF(ISERROR(VLOOKUP($U$1120,'TAR FIN'!$A$1:$O$113,15,0)),0,VLOOKUP($U$1120,'TAR FIN'!$A$1:$O$113,15,0))</f>
        <v>292.36</v>
      </c>
      <c r="Y1120" s="6"/>
      <c r="Z1120" s="6">
        <f ca="1">('TUSD BE'!$AM$68+'TUSD BF'!$AM$68+'TUSD CVA'!$AM$68)*1</f>
        <v>393.28439820871614</v>
      </c>
      <c r="AA1120" s="6">
        <f>('TE BE'!$AB$46+'TE BF'!$AB$46+'TE CVA'!$AB$46)*1</f>
        <v>314.78517822974521</v>
      </c>
      <c r="AB1120" s="6">
        <f>$K$1120*$V$1120</f>
        <v>0</v>
      </c>
      <c r="AC1120" s="6">
        <f>$M$1120*$W$1120</f>
        <v>94245.251099999994</v>
      </c>
      <c r="AD1120" s="6">
        <f>$O$1120*$X$1120</f>
        <v>91753.385320000001</v>
      </c>
      <c r="AE1120" s="6">
        <f>$K$1120*$Y$1120</f>
        <v>0</v>
      </c>
      <c r="AF1120" s="6">
        <f ca="1">$M$1120*$Z$1120</f>
        <v>123427.19568062884</v>
      </c>
      <c r="AG1120" s="6">
        <f>$O$1120*$AA$1120</f>
        <v>98791.235980088546</v>
      </c>
    </row>
    <row r="1121" spans="1:33" ht="11.25" customHeight="1" x14ac:dyDescent="0.3">
      <c r="A1121" s="4" t="s">
        <v>21</v>
      </c>
      <c r="B1121" s="4" t="s">
        <v>37</v>
      </c>
      <c r="C1121" s="4" t="s">
        <v>23</v>
      </c>
      <c r="D1121" s="4" t="s">
        <v>46</v>
      </c>
      <c r="E1121" s="4" t="s">
        <v>25</v>
      </c>
      <c r="F1121" s="4" t="s">
        <v>25</v>
      </c>
      <c r="G1121" s="4" t="s">
        <v>25</v>
      </c>
      <c r="H1121" s="4" t="s">
        <v>25</v>
      </c>
      <c r="I1121" s="5">
        <v>44562</v>
      </c>
      <c r="J1121" s="6">
        <v>0</v>
      </c>
      <c r="K1121" s="6">
        <v>0</v>
      </c>
      <c r="L1121" s="6">
        <v>309.61700000000002</v>
      </c>
      <c r="M1121" s="6">
        <v>309.61700000000002</v>
      </c>
      <c r="N1121" s="6">
        <v>309.61700000000002</v>
      </c>
      <c r="O1121" s="6">
        <v>309.61700000000002</v>
      </c>
      <c r="P1121" s="6">
        <v>419</v>
      </c>
      <c r="Q1121" s="4" t="s">
        <v>26</v>
      </c>
      <c r="R1121" s="4">
        <v>0</v>
      </c>
      <c r="S1121" s="6">
        <v>0</v>
      </c>
      <c r="T1121" s="6">
        <v>63</v>
      </c>
      <c r="U1121" s="6">
        <v>91</v>
      </c>
      <c r="V1121" s="6">
        <f>IF(ISERROR(VLOOKUP($S$1121,'TAR FIN'!$A$1:$O$113,15,0)),0,VLOOKUP($S$1121,'TAR FIN'!$A$1:$O$113,15,0))</f>
        <v>0</v>
      </c>
      <c r="W1121" s="6">
        <f>IF(ISERROR(VLOOKUP($T$1121,'TAR FIN'!$A$1:$O$113,15,0)),0,VLOOKUP($T$1121,'TAR FIN'!$A$1:$O$113,15,0))</f>
        <v>300.3</v>
      </c>
      <c r="X1121" s="6">
        <f>IF(ISERROR(VLOOKUP($U$1121,'TAR FIN'!$A$1:$O$113,15,0)),0,VLOOKUP($U$1121,'TAR FIN'!$A$1:$O$113,15,0))</f>
        <v>292.36</v>
      </c>
      <c r="Y1121" s="6"/>
      <c r="Z1121" s="6">
        <f ca="1">('TUSD BE'!$AM$68+'TUSD BF'!$AM$68+'TUSD CVA'!$AM$68)*1</f>
        <v>393.28439820871614</v>
      </c>
      <c r="AA1121" s="6">
        <f>('TE BE'!$AB$46+'TE BF'!$AB$46+'TE CVA'!$AB$46)*1</f>
        <v>314.78517822974521</v>
      </c>
      <c r="AB1121" s="6">
        <f>$K$1121*$V$1121</f>
        <v>0</v>
      </c>
      <c r="AC1121" s="6">
        <f>$M$1121*$W$1121</f>
        <v>92977.985100000005</v>
      </c>
      <c r="AD1121" s="6">
        <f>$O$1121*$X$1121</f>
        <v>90519.626120000015</v>
      </c>
      <c r="AE1121" s="6">
        <f>$K$1121*$Y$1121</f>
        <v>0</v>
      </c>
      <c r="AF1121" s="6">
        <f ca="1">$M$1121*$Z$1121</f>
        <v>121767.53552018807</v>
      </c>
      <c r="AG1121" s="6">
        <f>$O$1121*$AA$1121</f>
        <v>97462.84252795903</v>
      </c>
    </row>
    <row r="1122" spans="1:33" ht="11.25" customHeight="1" x14ac:dyDescent="0.3">
      <c r="A1122" s="4" t="s">
        <v>27</v>
      </c>
      <c r="B1122" s="4" t="s">
        <v>37</v>
      </c>
      <c r="C1122" s="4" t="s">
        <v>23</v>
      </c>
      <c r="D1122" s="4" t="s">
        <v>46</v>
      </c>
      <c r="E1122" s="4" t="s">
        <v>25</v>
      </c>
      <c r="F1122" s="4" t="s">
        <v>25</v>
      </c>
      <c r="G1122" s="4" t="s">
        <v>25</v>
      </c>
      <c r="H1122" s="4" t="s">
        <v>25</v>
      </c>
      <c r="I1122" s="5">
        <v>44562</v>
      </c>
      <c r="J1122" s="6">
        <v>0</v>
      </c>
      <c r="K1122" s="6">
        <v>0</v>
      </c>
      <c r="L1122" s="6">
        <v>-0.03</v>
      </c>
      <c r="M1122" s="6">
        <v>-0.03</v>
      </c>
      <c r="N1122" s="6">
        <v>-0.03</v>
      </c>
      <c r="O1122" s="6">
        <v>-0.03</v>
      </c>
      <c r="P1122" s="6">
        <v>0</v>
      </c>
      <c r="Q1122" s="4" t="s">
        <v>26</v>
      </c>
      <c r="R1122" s="4">
        <v>0</v>
      </c>
      <c r="S1122" s="6">
        <v>0</v>
      </c>
      <c r="T1122" s="6">
        <v>63</v>
      </c>
      <c r="U1122" s="6">
        <v>91</v>
      </c>
      <c r="V1122" s="6">
        <f>IF(ISERROR(VLOOKUP($S$1122,'TAR FIN'!$A$1:$O$113,15,0)),0,VLOOKUP($S$1122,'TAR FIN'!$A$1:$O$113,15,0))</f>
        <v>0</v>
      </c>
      <c r="W1122" s="6">
        <f>IF(ISERROR(VLOOKUP($T$1122,'TAR FIN'!$A$1:$O$113,15,0)),0,VLOOKUP($T$1122,'TAR FIN'!$A$1:$O$113,15,0))</f>
        <v>300.3</v>
      </c>
      <c r="X1122" s="6">
        <f>IF(ISERROR(VLOOKUP($U$1122,'TAR FIN'!$A$1:$O$113,15,0)),0,VLOOKUP($U$1122,'TAR FIN'!$A$1:$O$113,15,0))</f>
        <v>292.36</v>
      </c>
      <c r="Y1122" s="6"/>
      <c r="Z1122" s="6">
        <f ca="1">('TUSD BE'!$AM$68+'TUSD BF'!$AM$68+'TUSD CVA'!$AM$68)*1</f>
        <v>393.28439820871614</v>
      </c>
      <c r="AA1122" s="6">
        <f>('TE BE'!$AB$46+'TE BF'!$AB$46+'TE CVA'!$AB$46)*1</f>
        <v>314.78517822974521</v>
      </c>
      <c r="AB1122" s="6">
        <f>$K$1122*$V$1122</f>
        <v>0</v>
      </c>
      <c r="AC1122" s="6">
        <f>$M$1122*$W$1122</f>
        <v>-9.0090000000000003</v>
      </c>
      <c r="AD1122" s="6">
        <f>$O$1122*$X$1122</f>
        <v>-8.7707999999999995</v>
      </c>
      <c r="AE1122" s="6">
        <f>$K$1122*$Y$1122</f>
        <v>0</v>
      </c>
      <c r="AF1122" s="6">
        <f ca="1">$M$1122*$Z$1122</f>
        <v>-11.798531946261484</v>
      </c>
      <c r="AG1122" s="6">
        <f>$O$1122*$AA$1122</f>
        <v>-9.4435553468923565</v>
      </c>
    </row>
    <row r="1123" spans="1:33" ht="11.25" customHeight="1" x14ac:dyDescent="0.3">
      <c r="A1123" s="4" t="s">
        <v>21</v>
      </c>
      <c r="B1123" s="4" t="s">
        <v>37</v>
      </c>
      <c r="C1123" s="4" t="s">
        <v>23</v>
      </c>
      <c r="D1123" s="4" t="s">
        <v>46</v>
      </c>
      <c r="E1123" s="4" t="s">
        <v>25</v>
      </c>
      <c r="F1123" s="4" t="s">
        <v>25</v>
      </c>
      <c r="G1123" s="4" t="s">
        <v>25</v>
      </c>
      <c r="H1123" s="4" t="s">
        <v>25</v>
      </c>
      <c r="I1123" s="5">
        <v>44593</v>
      </c>
      <c r="J1123" s="6">
        <v>0</v>
      </c>
      <c r="K1123" s="6">
        <v>0</v>
      </c>
      <c r="L1123" s="6">
        <v>277.64699999999999</v>
      </c>
      <c r="M1123" s="6">
        <v>277.64699999999999</v>
      </c>
      <c r="N1123" s="6">
        <v>277.64699999999999</v>
      </c>
      <c r="O1123" s="6">
        <v>277.64699999999999</v>
      </c>
      <c r="P1123" s="6">
        <v>417</v>
      </c>
      <c r="Q1123" s="4" t="s">
        <v>26</v>
      </c>
      <c r="R1123" s="4">
        <v>0</v>
      </c>
      <c r="S1123" s="6">
        <v>0</v>
      </c>
      <c r="T1123" s="6">
        <v>63</v>
      </c>
      <c r="U1123" s="6">
        <v>91</v>
      </c>
      <c r="V1123" s="6">
        <f>IF(ISERROR(VLOOKUP($S$1123,'TAR FIN'!$A$1:$O$113,15,0)),0,VLOOKUP($S$1123,'TAR FIN'!$A$1:$O$113,15,0))</f>
        <v>0</v>
      </c>
      <c r="W1123" s="6">
        <f>IF(ISERROR(VLOOKUP($T$1123,'TAR FIN'!$A$1:$O$113,15,0)),0,VLOOKUP($T$1123,'TAR FIN'!$A$1:$O$113,15,0))</f>
        <v>300.3</v>
      </c>
      <c r="X1123" s="6">
        <f>IF(ISERROR(VLOOKUP($U$1123,'TAR FIN'!$A$1:$O$113,15,0)),0,VLOOKUP($U$1123,'TAR FIN'!$A$1:$O$113,15,0))</f>
        <v>292.36</v>
      </c>
      <c r="Y1123" s="6"/>
      <c r="Z1123" s="6">
        <f ca="1">('TUSD BE'!$AM$68+'TUSD BF'!$AM$68+'TUSD CVA'!$AM$68)*1</f>
        <v>393.28439820871614</v>
      </c>
      <c r="AA1123" s="6">
        <f>('TE BE'!$AB$46+'TE BF'!$AB$46+'TE CVA'!$AB$46)*1</f>
        <v>314.78517822974521</v>
      </c>
      <c r="AB1123" s="6">
        <f>$K$1123*$V$1123</f>
        <v>0</v>
      </c>
      <c r="AC1123" s="6">
        <f>$M$1123*$W$1123</f>
        <v>83377.394100000005</v>
      </c>
      <c r="AD1123" s="6">
        <f>$O$1123*$X$1123</f>
        <v>81172.876919999995</v>
      </c>
      <c r="AE1123" s="6">
        <f>$K$1123*$Y$1123</f>
        <v>0</v>
      </c>
      <c r="AF1123" s="6">
        <f ca="1">$M$1123*$Z$1123</f>
        <v>109194.23330945541</v>
      </c>
      <c r="AG1123" s="6">
        <f>$O$1123*$AA$1123</f>
        <v>87399.160379954061</v>
      </c>
    </row>
    <row r="1124" spans="1:33" ht="11.25" customHeight="1" x14ac:dyDescent="0.3">
      <c r="A1124" s="4" t="s">
        <v>21</v>
      </c>
      <c r="B1124" s="4" t="s">
        <v>37</v>
      </c>
      <c r="C1124" s="4" t="s">
        <v>23</v>
      </c>
      <c r="D1124" s="4" t="s">
        <v>46</v>
      </c>
      <c r="E1124" s="4" t="s">
        <v>25</v>
      </c>
      <c r="F1124" s="4" t="s">
        <v>25</v>
      </c>
      <c r="G1124" s="4" t="s">
        <v>25</v>
      </c>
      <c r="H1124" s="4" t="s">
        <v>25</v>
      </c>
      <c r="I1124" s="5">
        <v>44621</v>
      </c>
      <c r="J1124" s="6">
        <v>0</v>
      </c>
      <c r="K1124" s="6">
        <v>0</v>
      </c>
      <c r="L1124" s="6">
        <v>298.39600000000002</v>
      </c>
      <c r="M1124" s="6">
        <v>298.39600000000002</v>
      </c>
      <c r="N1124" s="6">
        <v>298.39600000000002</v>
      </c>
      <c r="O1124" s="6">
        <v>298.39600000000002</v>
      </c>
      <c r="P1124" s="6">
        <v>420</v>
      </c>
      <c r="Q1124" s="4" t="s">
        <v>26</v>
      </c>
      <c r="R1124" s="4">
        <v>0</v>
      </c>
      <c r="S1124" s="6">
        <v>0</v>
      </c>
      <c r="T1124" s="6">
        <v>63</v>
      </c>
      <c r="U1124" s="6">
        <v>91</v>
      </c>
      <c r="V1124" s="6">
        <f>IF(ISERROR(VLOOKUP($S$1124,'TAR FIN'!$A$1:$O$113,15,0)),0,VLOOKUP($S$1124,'TAR FIN'!$A$1:$O$113,15,0))</f>
        <v>0</v>
      </c>
      <c r="W1124" s="6">
        <f>IF(ISERROR(VLOOKUP($T$1124,'TAR FIN'!$A$1:$O$113,15,0)),0,VLOOKUP($T$1124,'TAR FIN'!$A$1:$O$113,15,0))</f>
        <v>300.3</v>
      </c>
      <c r="X1124" s="6">
        <f>IF(ISERROR(VLOOKUP($U$1124,'TAR FIN'!$A$1:$O$113,15,0)),0,VLOOKUP($U$1124,'TAR FIN'!$A$1:$O$113,15,0))</f>
        <v>292.36</v>
      </c>
      <c r="Y1124" s="6"/>
      <c r="Z1124" s="6">
        <f ca="1">('TUSD BE'!$AM$68+'TUSD BF'!$AM$68+'TUSD CVA'!$AM$68)*1</f>
        <v>393.28439820871614</v>
      </c>
      <c r="AA1124" s="6">
        <f>('TE BE'!$AB$46+'TE BF'!$AB$46+'TE CVA'!$AB$46)*1</f>
        <v>314.78517822974521</v>
      </c>
      <c r="AB1124" s="6">
        <f>$K$1124*$V$1124</f>
        <v>0</v>
      </c>
      <c r="AC1124" s="6">
        <f>$M$1124*$W$1124</f>
        <v>89608.318800000008</v>
      </c>
      <c r="AD1124" s="6">
        <f>$O$1124*$X$1124</f>
        <v>87239.054560000004</v>
      </c>
      <c r="AE1124" s="6">
        <f>$K$1124*$Y$1124</f>
        <v>0</v>
      </c>
      <c r="AF1124" s="6">
        <f ca="1">$M$1124*$Z$1124</f>
        <v>117354.49128788807</v>
      </c>
      <c r="AG1124" s="6">
        <f>$O$1124*$AA$1124</f>
        <v>93930.638043043058</v>
      </c>
    </row>
    <row r="1125" spans="1:33" ht="11.25" customHeight="1" x14ac:dyDescent="0.3">
      <c r="A1125" s="4" t="s">
        <v>21</v>
      </c>
      <c r="B1125" s="4" t="s">
        <v>37</v>
      </c>
      <c r="C1125" s="4" t="s">
        <v>23</v>
      </c>
      <c r="D1125" s="4" t="s">
        <v>46</v>
      </c>
      <c r="E1125" s="4" t="s">
        <v>25</v>
      </c>
      <c r="F1125" s="4" t="s">
        <v>25</v>
      </c>
      <c r="G1125" s="4" t="s">
        <v>25</v>
      </c>
      <c r="H1125" s="4" t="s">
        <v>25</v>
      </c>
      <c r="I1125" s="5">
        <v>44652</v>
      </c>
      <c r="J1125" s="6">
        <v>0</v>
      </c>
      <c r="K1125" s="6">
        <v>0</v>
      </c>
      <c r="L1125" s="6">
        <v>317.66399999999999</v>
      </c>
      <c r="M1125" s="6">
        <v>317.66399999999999</v>
      </c>
      <c r="N1125" s="6">
        <v>317.66399999999999</v>
      </c>
      <c r="O1125" s="6">
        <v>317.66399999999999</v>
      </c>
      <c r="P1125" s="6">
        <v>419</v>
      </c>
      <c r="Q1125" s="4" t="s">
        <v>26</v>
      </c>
      <c r="R1125" s="4">
        <v>0</v>
      </c>
      <c r="S1125" s="6">
        <v>0</v>
      </c>
      <c r="T1125" s="6">
        <v>63</v>
      </c>
      <c r="U1125" s="6">
        <v>91</v>
      </c>
      <c r="V1125" s="6">
        <f>IF(ISERROR(VLOOKUP($S$1125,'TAR FIN'!$A$1:$O$113,15,0)),0,VLOOKUP($S$1125,'TAR FIN'!$A$1:$O$113,15,0))</f>
        <v>0</v>
      </c>
      <c r="W1125" s="6">
        <f>IF(ISERROR(VLOOKUP($T$1125,'TAR FIN'!$A$1:$O$113,15,0)),0,VLOOKUP($T$1125,'TAR FIN'!$A$1:$O$113,15,0))</f>
        <v>300.3</v>
      </c>
      <c r="X1125" s="6">
        <f>IF(ISERROR(VLOOKUP($U$1125,'TAR FIN'!$A$1:$O$113,15,0)),0,VLOOKUP($U$1125,'TAR FIN'!$A$1:$O$113,15,0))</f>
        <v>292.36</v>
      </c>
      <c r="Y1125" s="6"/>
      <c r="Z1125" s="6">
        <f ca="1">('TUSD BE'!$AM$68+'TUSD BF'!$AM$68+'TUSD CVA'!$AM$68)*1</f>
        <v>393.28439820871614</v>
      </c>
      <c r="AA1125" s="6">
        <f>('TE BE'!$AB$46+'TE BF'!$AB$46+'TE CVA'!$AB$46)*1</f>
        <v>314.78517822974521</v>
      </c>
      <c r="AB1125" s="6">
        <f>$K$1125*$V$1125</f>
        <v>0</v>
      </c>
      <c r="AC1125" s="6">
        <f>$M$1125*$W$1125</f>
        <v>95394.499200000006</v>
      </c>
      <c r="AD1125" s="6">
        <f>$O$1125*$X$1125</f>
        <v>92872.247040000002</v>
      </c>
      <c r="AE1125" s="6">
        <f>$K$1125*$Y$1125</f>
        <v>0</v>
      </c>
      <c r="AF1125" s="6">
        <f ca="1">$M$1125*$Z$1125</f>
        <v>124932.2950725736</v>
      </c>
      <c r="AG1125" s="6">
        <f>$O$1125*$AA$1125</f>
        <v>99995.918857173776</v>
      </c>
    </row>
    <row r="1126" spans="1:33" ht="11.25" customHeight="1" x14ac:dyDescent="0.3">
      <c r="A1126" s="4" t="s">
        <v>27</v>
      </c>
      <c r="B1126" s="4" t="s">
        <v>37</v>
      </c>
      <c r="C1126" s="4" t="s">
        <v>23</v>
      </c>
      <c r="D1126" s="4" t="s">
        <v>46</v>
      </c>
      <c r="E1126" s="4" t="s">
        <v>25</v>
      </c>
      <c r="F1126" s="4" t="s">
        <v>25</v>
      </c>
      <c r="G1126" s="4" t="s">
        <v>25</v>
      </c>
      <c r="H1126" s="4" t="s">
        <v>25</v>
      </c>
      <c r="I1126" s="5">
        <v>44652</v>
      </c>
      <c r="J1126" s="6">
        <v>0</v>
      </c>
      <c r="K1126" s="6">
        <v>0</v>
      </c>
      <c r="L1126" s="6">
        <v>-2.1259999999999999</v>
      </c>
      <c r="M1126" s="6">
        <v>-2.1259999999999999</v>
      </c>
      <c r="N1126" s="6">
        <v>-2.1259999999999999</v>
      </c>
      <c r="O1126" s="6">
        <v>-2.1259999999999999</v>
      </c>
      <c r="P1126" s="6">
        <v>0</v>
      </c>
      <c r="Q1126" s="4" t="s">
        <v>26</v>
      </c>
      <c r="R1126" s="4">
        <v>0</v>
      </c>
      <c r="S1126" s="6">
        <v>0</v>
      </c>
      <c r="T1126" s="6">
        <v>63</v>
      </c>
      <c r="U1126" s="6">
        <v>91</v>
      </c>
      <c r="V1126" s="6">
        <f>IF(ISERROR(VLOOKUP($S$1126,'TAR FIN'!$A$1:$O$113,15,0)),0,VLOOKUP($S$1126,'TAR FIN'!$A$1:$O$113,15,0))</f>
        <v>0</v>
      </c>
      <c r="W1126" s="6">
        <f>IF(ISERROR(VLOOKUP($T$1126,'TAR FIN'!$A$1:$O$113,15,0)),0,VLOOKUP($T$1126,'TAR FIN'!$A$1:$O$113,15,0))</f>
        <v>300.3</v>
      </c>
      <c r="X1126" s="6">
        <f>IF(ISERROR(VLOOKUP($U$1126,'TAR FIN'!$A$1:$O$113,15,0)),0,VLOOKUP($U$1126,'TAR FIN'!$A$1:$O$113,15,0))</f>
        <v>292.36</v>
      </c>
      <c r="Y1126" s="6"/>
      <c r="Z1126" s="6">
        <f ca="1">('TUSD BE'!$AM$68+'TUSD BF'!$AM$68+'TUSD CVA'!$AM$68)*1</f>
        <v>393.28439820871614</v>
      </c>
      <c r="AA1126" s="6">
        <f>('TE BE'!$AB$46+'TE BF'!$AB$46+'TE CVA'!$AB$46)*1</f>
        <v>314.78517822974521</v>
      </c>
      <c r="AB1126" s="6">
        <f>$K$1126*$V$1126</f>
        <v>0</v>
      </c>
      <c r="AC1126" s="6">
        <f>$M$1126*$W$1126</f>
        <v>-638.43780000000004</v>
      </c>
      <c r="AD1126" s="6">
        <f>$O$1126*$X$1126</f>
        <v>-621.55736000000002</v>
      </c>
      <c r="AE1126" s="6">
        <f>$K$1126*$Y$1126</f>
        <v>0</v>
      </c>
      <c r="AF1126" s="6">
        <f ca="1">$M$1126*$Z$1126</f>
        <v>-836.12263059173051</v>
      </c>
      <c r="AG1126" s="6">
        <f>$O$1126*$AA$1126</f>
        <v>-669.23328891643826</v>
      </c>
    </row>
    <row r="1127" spans="1:33" ht="11.25" customHeight="1" x14ac:dyDescent="0.3">
      <c r="A1127" s="4" t="s">
        <v>21</v>
      </c>
      <c r="B1127" s="4" t="s">
        <v>37</v>
      </c>
      <c r="C1127" s="4" t="s">
        <v>23</v>
      </c>
      <c r="D1127" s="4" t="s">
        <v>46</v>
      </c>
      <c r="E1127" s="4" t="s">
        <v>25</v>
      </c>
      <c r="F1127" s="4" t="s">
        <v>25</v>
      </c>
      <c r="G1127" s="4" t="s">
        <v>25</v>
      </c>
      <c r="H1127" s="4" t="s">
        <v>25</v>
      </c>
      <c r="I1127" s="5">
        <v>44682</v>
      </c>
      <c r="J1127" s="6">
        <v>0</v>
      </c>
      <c r="K1127" s="6">
        <v>0</v>
      </c>
      <c r="L1127" s="6">
        <v>307.87299999999999</v>
      </c>
      <c r="M1127" s="6">
        <v>307.87299999999999</v>
      </c>
      <c r="N1127" s="6">
        <v>307.87299999999999</v>
      </c>
      <c r="O1127" s="6">
        <v>307.87299999999999</v>
      </c>
      <c r="P1127" s="6">
        <v>418</v>
      </c>
      <c r="Q1127" s="4" t="s">
        <v>26</v>
      </c>
      <c r="R1127" s="4">
        <v>0</v>
      </c>
      <c r="S1127" s="6">
        <v>0</v>
      </c>
      <c r="T1127" s="6">
        <v>63</v>
      </c>
      <c r="U1127" s="6">
        <v>91</v>
      </c>
      <c r="V1127" s="6">
        <f>IF(ISERROR(VLOOKUP($S$1127,'TAR FIN'!$A$1:$O$113,15,0)),0,VLOOKUP($S$1127,'TAR FIN'!$A$1:$O$113,15,0))</f>
        <v>0</v>
      </c>
      <c r="W1127" s="6">
        <f>IF(ISERROR(VLOOKUP($T$1127,'TAR FIN'!$A$1:$O$113,15,0)),0,VLOOKUP($T$1127,'TAR FIN'!$A$1:$O$113,15,0))</f>
        <v>300.3</v>
      </c>
      <c r="X1127" s="6">
        <f>IF(ISERROR(VLOOKUP($U$1127,'TAR FIN'!$A$1:$O$113,15,0)),0,VLOOKUP($U$1127,'TAR FIN'!$A$1:$O$113,15,0))</f>
        <v>292.36</v>
      </c>
      <c r="Y1127" s="6"/>
      <c r="Z1127" s="6">
        <f ca="1">('TUSD BE'!$AM$68+'TUSD BF'!$AM$68+'TUSD CVA'!$AM$68)*1</f>
        <v>393.28439820871614</v>
      </c>
      <c r="AA1127" s="6">
        <f>('TE BE'!$AB$46+'TE BF'!$AB$46+'TE CVA'!$AB$46)*1</f>
        <v>314.78517822974521</v>
      </c>
      <c r="AB1127" s="6">
        <f>$K$1127*$V$1127</f>
        <v>0</v>
      </c>
      <c r="AC1127" s="6">
        <f>$M$1127*$W$1127</f>
        <v>92454.261899999998</v>
      </c>
      <c r="AD1127" s="6">
        <f>$O$1127*$X$1127</f>
        <v>90009.750280000007</v>
      </c>
      <c r="AE1127" s="6">
        <f>$K$1127*$Y$1127</f>
        <v>0</v>
      </c>
      <c r="AF1127" s="6">
        <f ca="1">$M$1127*$Z$1127</f>
        <v>121081.64752971206</v>
      </c>
      <c r="AG1127" s="6">
        <f>$O$1127*$AA$1127</f>
        <v>96913.857177126338</v>
      </c>
    </row>
    <row r="1128" spans="1:33" ht="11.25" customHeight="1" x14ac:dyDescent="0.3">
      <c r="A1128" s="4" t="s">
        <v>21</v>
      </c>
      <c r="B1128" s="4" t="s">
        <v>37</v>
      </c>
      <c r="C1128" s="4" t="s">
        <v>23</v>
      </c>
      <c r="D1128" s="4" t="s">
        <v>46</v>
      </c>
      <c r="E1128" s="4" t="s">
        <v>25</v>
      </c>
      <c r="F1128" s="4" t="s">
        <v>25</v>
      </c>
      <c r="G1128" s="4" t="s">
        <v>25</v>
      </c>
      <c r="H1128" s="4" t="s">
        <v>25</v>
      </c>
      <c r="I1128" s="5">
        <v>44713</v>
      </c>
      <c r="J1128" s="6">
        <v>0</v>
      </c>
      <c r="K1128" s="6">
        <v>0</v>
      </c>
      <c r="L1128" s="6">
        <v>310.024</v>
      </c>
      <c r="M1128" s="6">
        <v>310.024</v>
      </c>
      <c r="N1128" s="6">
        <v>310.024</v>
      </c>
      <c r="O1128" s="6">
        <v>310.024</v>
      </c>
      <c r="P1128" s="6">
        <v>420</v>
      </c>
      <c r="Q1128" s="4" t="s">
        <v>26</v>
      </c>
      <c r="R1128" s="4">
        <v>0</v>
      </c>
      <c r="S1128" s="6">
        <v>0</v>
      </c>
      <c r="T1128" s="6">
        <v>63</v>
      </c>
      <c r="U1128" s="6">
        <v>91</v>
      </c>
      <c r="V1128" s="6">
        <f>IF(ISERROR(VLOOKUP($S$1128,'TAR FIN'!$A$1:$O$113,15,0)),0,VLOOKUP($S$1128,'TAR FIN'!$A$1:$O$113,15,0))</f>
        <v>0</v>
      </c>
      <c r="W1128" s="6">
        <f>IF(ISERROR(VLOOKUP($T$1128,'TAR FIN'!$A$1:$O$113,15,0)),0,VLOOKUP($T$1128,'TAR FIN'!$A$1:$O$113,15,0))</f>
        <v>300.3</v>
      </c>
      <c r="X1128" s="6">
        <f>IF(ISERROR(VLOOKUP($U$1128,'TAR FIN'!$A$1:$O$113,15,0)),0,VLOOKUP($U$1128,'TAR FIN'!$A$1:$O$113,15,0))</f>
        <v>292.36</v>
      </c>
      <c r="Y1128" s="6"/>
      <c r="Z1128" s="6">
        <f ca="1">('TUSD BE'!$AM$68+'TUSD BF'!$AM$68+'TUSD CVA'!$AM$68)*1</f>
        <v>393.28439820871614</v>
      </c>
      <c r="AA1128" s="6">
        <f>('TE BE'!$AB$46+'TE BF'!$AB$46+'TE CVA'!$AB$46)*1</f>
        <v>314.78517822974521</v>
      </c>
      <c r="AB1128" s="6">
        <f>$K$1128*$V$1128</f>
        <v>0</v>
      </c>
      <c r="AC1128" s="6">
        <f>$M$1128*$W$1128</f>
        <v>93100.207200000004</v>
      </c>
      <c r="AD1128" s="6">
        <f>$O$1128*$X$1128</f>
        <v>90638.616640000007</v>
      </c>
      <c r="AE1128" s="6">
        <f>$K$1128*$Y$1128</f>
        <v>0</v>
      </c>
      <c r="AF1128" s="6">
        <f ca="1">$M$1128*$Z$1128</f>
        <v>121927.60227025901</v>
      </c>
      <c r="AG1128" s="6">
        <f>$O$1128*$AA$1128</f>
        <v>97590.960095498536</v>
      </c>
    </row>
    <row r="1129" spans="1:33" ht="11.25" customHeight="1" x14ac:dyDescent="0.3">
      <c r="A1129" s="4" t="s">
        <v>21</v>
      </c>
      <c r="B1129" s="4" t="s">
        <v>37</v>
      </c>
      <c r="C1129" s="4" t="s">
        <v>23</v>
      </c>
      <c r="D1129" s="4" t="s">
        <v>46</v>
      </c>
      <c r="E1129" s="4" t="s">
        <v>25</v>
      </c>
      <c r="F1129" s="4" t="s">
        <v>25</v>
      </c>
      <c r="G1129" s="4" t="s">
        <v>25</v>
      </c>
      <c r="H1129" s="4" t="s">
        <v>25</v>
      </c>
      <c r="I1129" s="5">
        <v>44743</v>
      </c>
      <c r="J1129" s="6">
        <v>0</v>
      </c>
      <c r="K1129" s="6">
        <v>0</v>
      </c>
      <c r="L1129" s="6">
        <v>473.20100000000002</v>
      </c>
      <c r="M1129" s="6">
        <v>473.20100000000002</v>
      </c>
      <c r="N1129" s="6">
        <v>473.20100000000002</v>
      </c>
      <c r="O1129" s="6">
        <v>473.20100000000002</v>
      </c>
      <c r="P1129" s="6">
        <v>418</v>
      </c>
      <c r="Q1129" s="4" t="s">
        <v>26</v>
      </c>
      <c r="R1129" s="4">
        <v>0</v>
      </c>
      <c r="S1129" s="6">
        <v>0</v>
      </c>
      <c r="T1129" s="6">
        <v>63</v>
      </c>
      <c r="U1129" s="6">
        <v>91</v>
      </c>
      <c r="V1129" s="6">
        <f>IF(ISERROR(VLOOKUP($S$1129,'TAR FIN'!$A$1:$O$113,15,0)),0,VLOOKUP($S$1129,'TAR FIN'!$A$1:$O$113,15,0))</f>
        <v>0</v>
      </c>
      <c r="W1129" s="6">
        <f>IF(ISERROR(VLOOKUP($T$1129,'TAR FIN'!$A$1:$O$113,15,0)),0,VLOOKUP($T$1129,'TAR FIN'!$A$1:$O$113,15,0))</f>
        <v>300.3</v>
      </c>
      <c r="X1129" s="6">
        <f>IF(ISERROR(VLOOKUP($U$1129,'TAR FIN'!$A$1:$O$113,15,0)),0,VLOOKUP($U$1129,'TAR FIN'!$A$1:$O$113,15,0))</f>
        <v>292.36</v>
      </c>
      <c r="Y1129" s="6"/>
      <c r="Z1129" s="6">
        <f ca="1">('TUSD BE'!$AM$68+'TUSD BF'!$AM$68+'TUSD CVA'!$AM$68)*1</f>
        <v>393.28439820871614</v>
      </c>
      <c r="AA1129" s="6">
        <f>('TE BE'!$AB$46+'TE BF'!$AB$46+'TE CVA'!$AB$46)*1</f>
        <v>314.78517822974521</v>
      </c>
      <c r="AB1129" s="6">
        <f>$K$1129*$V$1129</f>
        <v>0</v>
      </c>
      <c r="AC1129" s="6">
        <f>$M$1129*$W$1129</f>
        <v>142102.26030000002</v>
      </c>
      <c r="AD1129" s="6">
        <f>$O$1129*$X$1129</f>
        <v>138345.04436</v>
      </c>
      <c r="AE1129" s="6">
        <f>$K$1129*$Y$1129</f>
        <v>0</v>
      </c>
      <c r="AF1129" s="6">
        <f ca="1">$M$1129*$Z$1129</f>
        <v>186102.5705167627</v>
      </c>
      <c r="AG1129" s="6">
        <f>$O$1129*$AA$1129</f>
        <v>148956.66112349366</v>
      </c>
    </row>
    <row r="1130" spans="1:33" ht="11.25" customHeight="1" x14ac:dyDescent="0.3">
      <c r="A1130" s="4" t="s">
        <v>21</v>
      </c>
      <c r="B1130" s="4" t="s">
        <v>37</v>
      </c>
      <c r="C1130" s="4" t="s">
        <v>23</v>
      </c>
      <c r="D1130" s="4" t="s">
        <v>46</v>
      </c>
      <c r="E1130" s="4" t="s">
        <v>25</v>
      </c>
      <c r="F1130" s="4" t="s">
        <v>25</v>
      </c>
      <c r="G1130" s="4" t="s">
        <v>25</v>
      </c>
      <c r="H1130" s="4" t="s">
        <v>25</v>
      </c>
      <c r="I1130" s="5">
        <v>44774</v>
      </c>
      <c r="J1130" s="6">
        <v>0</v>
      </c>
      <c r="K1130" s="6">
        <v>0</v>
      </c>
      <c r="L1130" s="6">
        <v>296.83300000000003</v>
      </c>
      <c r="M1130" s="6">
        <v>296.83300000000003</v>
      </c>
      <c r="N1130" s="6">
        <v>296.83300000000003</v>
      </c>
      <c r="O1130" s="6">
        <v>296.83300000000003</v>
      </c>
      <c r="P1130" s="6">
        <v>416</v>
      </c>
      <c r="Q1130" s="4" t="s">
        <v>26</v>
      </c>
      <c r="R1130" s="4">
        <v>0</v>
      </c>
      <c r="S1130" s="6">
        <v>0</v>
      </c>
      <c r="T1130" s="6">
        <v>63</v>
      </c>
      <c r="U1130" s="6">
        <v>91</v>
      </c>
      <c r="V1130" s="6">
        <f>IF(ISERROR(VLOOKUP($S$1130,'TAR FIN'!$A$1:$O$113,15,0)),0,VLOOKUP($S$1130,'TAR FIN'!$A$1:$O$113,15,0))</f>
        <v>0</v>
      </c>
      <c r="W1130" s="6">
        <f>IF(ISERROR(VLOOKUP($T$1130,'TAR FIN'!$A$1:$O$113,15,0)),0,VLOOKUP($T$1130,'TAR FIN'!$A$1:$O$113,15,0))</f>
        <v>300.3</v>
      </c>
      <c r="X1130" s="6">
        <f>IF(ISERROR(VLOOKUP($U$1130,'TAR FIN'!$A$1:$O$113,15,0)),0,VLOOKUP($U$1130,'TAR FIN'!$A$1:$O$113,15,0))</f>
        <v>292.36</v>
      </c>
      <c r="Y1130" s="6"/>
      <c r="Z1130" s="6">
        <f ca="1">('TUSD BE'!$AM$68+'TUSD BF'!$AM$68+'TUSD CVA'!$AM$68)*1</f>
        <v>393.28439820871614</v>
      </c>
      <c r="AA1130" s="6">
        <f>('TE BE'!$AB$46+'TE BF'!$AB$46+'TE CVA'!$AB$46)*1</f>
        <v>314.78517822974521</v>
      </c>
      <c r="AB1130" s="6">
        <f>$K$1130*$V$1130</f>
        <v>0</v>
      </c>
      <c r="AC1130" s="6">
        <f>$M$1130*$W$1130</f>
        <v>89138.949900000007</v>
      </c>
      <c r="AD1130" s="6">
        <f>$O$1130*$X$1130</f>
        <v>86782.095880000008</v>
      </c>
      <c r="AE1130" s="6">
        <f>$K$1130*$Y$1130</f>
        <v>0</v>
      </c>
      <c r="AF1130" s="6">
        <f ca="1">$M$1130*$Z$1130</f>
        <v>116739.78777348784</v>
      </c>
      <c r="AG1130" s="6">
        <f>$O$1130*$AA$1130</f>
        <v>93438.62880946997</v>
      </c>
    </row>
    <row r="1131" spans="1:33" ht="11.25" customHeight="1" x14ac:dyDescent="0.3">
      <c r="A1131" s="4" t="s">
        <v>27</v>
      </c>
      <c r="B1131" s="4" t="s">
        <v>37</v>
      </c>
      <c r="C1131" s="4" t="s">
        <v>23</v>
      </c>
      <c r="D1131" s="4" t="s">
        <v>46</v>
      </c>
      <c r="E1131" s="4" t="s">
        <v>25</v>
      </c>
      <c r="F1131" s="4" t="s">
        <v>25</v>
      </c>
      <c r="G1131" s="4" t="s">
        <v>25</v>
      </c>
      <c r="H1131" s="4" t="s">
        <v>25</v>
      </c>
      <c r="I1131" s="5">
        <v>44774</v>
      </c>
      <c r="J1131" s="6">
        <v>0</v>
      </c>
      <c r="K1131" s="6">
        <v>0</v>
      </c>
      <c r="L1131" s="6">
        <v>1.7330000000000001</v>
      </c>
      <c r="M1131" s="6">
        <v>1.7330000000000001</v>
      </c>
      <c r="N1131" s="6">
        <v>1.7330000000000001</v>
      </c>
      <c r="O1131" s="6">
        <v>1.7330000000000001</v>
      </c>
      <c r="P1131" s="6">
        <v>0</v>
      </c>
      <c r="Q1131" s="4" t="s">
        <v>26</v>
      </c>
      <c r="R1131" s="4">
        <v>0</v>
      </c>
      <c r="S1131" s="6">
        <v>0</v>
      </c>
      <c r="T1131" s="6">
        <v>63</v>
      </c>
      <c r="U1131" s="6">
        <v>91</v>
      </c>
      <c r="V1131" s="6">
        <f>IF(ISERROR(VLOOKUP($S$1131,'TAR FIN'!$A$1:$O$113,15,0)),0,VLOOKUP($S$1131,'TAR FIN'!$A$1:$O$113,15,0))</f>
        <v>0</v>
      </c>
      <c r="W1131" s="6">
        <f>IF(ISERROR(VLOOKUP($T$1131,'TAR FIN'!$A$1:$O$113,15,0)),0,VLOOKUP($T$1131,'TAR FIN'!$A$1:$O$113,15,0))</f>
        <v>300.3</v>
      </c>
      <c r="X1131" s="6">
        <f>IF(ISERROR(VLOOKUP($U$1131,'TAR FIN'!$A$1:$O$113,15,0)),0,VLOOKUP($U$1131,'TAR FIN'!$A$1:$O$113,15,0))</f>
        <v>292.36</v>
      </c>
      <c r="Y1131" s="6"/>
      <c r="Z1131" s="6">
        <f ca="1">('TUSD BE'!$AM$68+'TUSD BF'!$AM$68+'TUSD CVA'!$AM$68)*1</f>
        <v>393.28439820871614</v>
      </c>
      <c r="AA1131" s="6">
        <f>('TE BE'!$AB$46+'TE BF'!$AB$46+'TE CVA'!$AB$46)*1</f>
        <v>314.78517822974521</v>
      </c>
      <c r="AB1131" s="6">
        <f>$K$1131*$V$1131</f>
        <v>0</v>
      </c>
      <c r="AC1131" s="6">
        <f>$M$1131*$W$1131</f>
        <v>520.4199000000001</v>
      </c>
      <c r="AD1131" s="6">
        <f>$O$1131*$X$1131</f>
        <v>506.65988000000004</v>
      </c>
      <c r="AE1131" s="6">
        <f>$K$1131*$Y$1131</f>
        <v>0</v>
      </c>
      <c r="AF1131" s="6">
        <f ca="1">$M$1131*$Z$1131</f>
        <v>681.56186209570512</v>
      </c>
      <c r="AG1131" s="6">
        <f>$O$1131*$AA$1131</f>
        <v>545.52271387214853</v>
      </c>
    </row>
    <row r="1132" spans="1:33" ht="11.25" customHeight="1" x14ac:dyDescent="0.3">
      <c r="A1132" s="4" t="s">
        <v>21</v>
      </c>
      <c r="B1132" s="4" t="s">
        <v>37</v>
      </c>
      <c r="C1132" s="4" t="s">
        <v>23</v>
      </c>
      <c r="D1132" s="4" t="s">
        <v>46</v>
      </c>
      <c r="E1132" s="4" t="s">
        <v>25</v>
      </c>
      <c r="F1132" s="4" t="s">
        <v>25</v>
      </c>
      <c r="G1132" s="4" t="s">
        <v>25</v>
      </c>
      <c r="H1132" s="4" t="s">
        <v>25</v>
      </c>
      <c r="I1132" s="5">
        <v>44805</v>
      </c>
      <c r="J1132" s="6">
        <v>0</v>
      </c>
      <c r="K1132" s="6">
        <v>0</v>
      </c>
      <c r="L1132" s="6">
        <v>346.601</v>
      </c>
      <c r="M1132" s="6">
        <v>346.601</v>
      </c>
      <c r="N1132" s="6">
        <v>346.601</v>
      </c>
      <c r="O1132" s="6">
        <v>346.601</v>
      </c>
      <c r="P1132" s="6">
        <v>415</v>
      </c>
      <c r="Q1132" s="4" t="s">
        <v>26</v>
      </c>
      <c r="R1132" s="4">
        <v>0</v>
      </c>
      <c r="S1132" s="6">
        <v>0</v>
      </c>
      <c r="T1132" s="6">
        <v>63</v>
      </c>
      <c r="U1132" s="6">
        <v>91</v>
      </c>
      <c r="V1132" s="6">
        <f>IF(ISERROR(VLOOKUP($S$1132,'TAR FIN'!$A$1:$O$113,15,0)),0,VLOOKUP($S$1132,'TAR FIN'!$A$1:$O$113,15,0))</f>
        <v>0</v>
      </c>
      <c r="W1132" s="6">
        <f>IF(ISERROR(VLOOKUP($T$1132,'TAR FIN'!$A$1:$O$113,15,0)),0,VLOOKUP($T$1132,'TAR FIN'!$A$1:$O$113,15,0))</f>
        <v>300.3</v>
      </c>
      <c r="X1132" s="6">
        <f>IF(ISERROR(VLOOKUP($U$1132,'TAR FIN'!$A$1:$O$113,15,0)),0,VLOOKUP($U$1132,'TAR FIN'!$A$1:$O$113,15,0))</f>
        <v>292.36</v>
      </c>
      <c r="Y1132" s="6"/>
      <c r="Z1132" s="6">
        <f ca="1">('TUSD BE'!$AM$68+'TUSD BF'!$AM$68+'TUSD CVA'!$AM$68)*1</f>
        <v>393.28439820871614</v>
      </c>
      <c r="AA1132" s="6">
        <f>('TE BE'!$AB$46+'TE BF'!$AB$46+'TE CVA'!$AB$46)*1</f>
        <v>314.78517822974521</v>
      </c>
      <c r="AB1132" s="6">
        <f>$K$1132*$V$1132</f>
        <v>0</v>
      </c>
      <c r="AC1132" s="6">
        <f>$M$1132*$W$1132</f>
        <v>104084.2803</v>
      </c>
      <c r="AD1132" s="6">
        <f>$O$1132*$X$1132</f>
        <v>101332.26836</v>
      </c>
      <c r="AE1132" s="6">
        <f>$K$1132*$Y$1132</f>
        <v>0</v>
      </c>
      <c r="AF1132" s="6">
        <f ca="1">$M$1132*$Z$1132</f>
        <v>136312.76570353922</v>
      </c>
      <c r="AG1132" s="6">
        <f>$O$1132*$AA$1132</f>
        <v>109104.85755960792</v>
      </c>
    </row>
    <row r="1133" spans="1:33" ht="11.25" customHeight="1" x14ac:dyDescent="0.3">
      <c r="A1133" s="4" t="s">
        <v>53</v>
      </c>
      <c r="B1133" s="4" t="s">
        <v>37</v>
      </c>
      <c r="C1133" s="4" t="s">
        <v>23</v>
      </c>
      <c r="D1133" s="4" t="s">
        <v>46</v>
      </c>
      <c r="E1133" s="4" t="s">
        <v>25</v>
      </c>
      <c r="F1133" s="4" t="s">
        <v>25</v>
      </c>
      <c r="G1133" s="4" t="s">
        <v>25</v>
      </c>
      <c r="H1133" s="4" t="s">
        <v>25</v>
      </c>
      <c r="I1133" s="5">
        <v>44835</v>
      </c>
      <c r="J1133" s="6">
        <v>0</v>
      </c>
      <c r="K1133" s="6">
        <v>0</v>
      </c>
      <c r="L1133" s="6">
        <v>346.601</v>
      </c>
      <c r="M1133" s="6">
        <v>346.601</v>
      </c>
      <c r="N1133" s="6">
        <v>346.601</v>
      </c>
      <c r="O1133" s="6">
        <v>346.601</v>
      </c>
      <c r="P1133" s="6">
        <v>415</v>
      </c>
      <c r="Q1133" s="4" t="s">
        <v>26</v>
      </c>
      <c r="R1133" s="4">
        <v>0</v>
      </c>
      <c r="S1133" s="6">
        <v>0</v>
      </c>
      <c r="T1133" s="6">
        <v>63</v>
      </c>
      <c r="U1133" s="6">
        <v>91</v>
      </c>
      <c r="V1133" s="6">
        <f>IF(ISERROR(VLOOKUP($S$1133,'TAR FIN'!$A$1:$O$113,15,0)),0,VLOOKUP($S$1133,'TAR FIN'!$A$1:$O$113,15,0))</f>
        <v>0</v>
      </c>
      <c r="W1133" s="6">
        <f>IF(ISERROR(VLOOKUP($T$1133,'TAR FIN'!$A$1:$O$113,15,0)),0,VLOOKUP($T$1133,'TAR FIN'!$A$1:$O$113,15,0))</f>
        <v>300.3</v>
      </c>
      <c r="X1133" s="6">
        <f>IF(ISERROR(VLOOKUP($U$1133,'TAR FIN'!$A$1:$O$113,15,0)),0,VLOOKUP($U$1133,'TAR FIN'!$A$1:$O$113,15,0))</f>
        <v>292.36</v>
      </c>
      <c r="Y1133" s="6"/>
      <c r="Z1133" s="6">
        <f ca="1">('TUSD BE'!$AM$68+'TUSD BF'!$AM$68+'TUSD CVA'!$AM$68)*1</f>
        <v>393.28439820871614</v>
      </c>
      <c r="AA1133" s="6">
        <f>('TE BE'!$AB$46+'TE BF'!$AB$46+'TE CVA'!$AB$46)*1</f>
        <v>314.78517822974521</v>
      </c>
      <c r="AB1133" s="6">
        <f>$K$1133*$V$1133</f>
        <v>0</v>
      </c>
      <c r="AC1133" s="6">
        <f>$M$1133*$W$1133</f>
        <v>104084.2803</v>
      </c>
      <c r="AD1133" s="6">
        <f>$O$1133*$X$1133</f>
        <v>101332.26836</v>
      </c>
      <c r="AE1133" s="6">
        <f>$K$1133*$Y$1133</f>
        <v>0</v>
      </c>
      <c r="AF1133" s="6">
        <f ca="1">$M$1133*$Z$1133</f>
        <v>136312.76570353922</v>
      </c>
      <c r="AG1133" s="6">
        <f>$O$1133*$AA$1133</f>
        <v>109104.85755960792</v>
      </c>
    </row>
    <row r="1134" spans="1:33" ht="11.25" customHeight="1" x14ac:dyDescent="0.3">
      <c r="A1134" s="4" t="s">
        <v>21</v>
      </c>
      <c r="B1134" s="4" t="s">
        <v>37</v>
      </c>
      <c r="C1134" s="4" t="s">
        <v>23</v>
      </c>
      <c r="D1134" s="4" t="s">
        <v>50</v>
      </c>
      <c r="E1134" s="4" t="s">
        <v>51</v>
      </c>
      <c r="F1134" s="4" t="s">
        <v>25</v>
      </c>
      <c r="G1134" s="4" t="s">
        <v>25</v>
      </c>
      <c r="H1134" s="4" t="s">
        <v>25</v>
      </c>
      <c r="I1134" s="5">
        <v>44501</v>
      </c>
      <c r="J1134" s="6">
        <v>0</v>
      </c>
      <c r="K1134" s="53">
        <v>0</v>
      </c>
      <c r="L1134" s="6">
        <v>114.953</v>
      </c>
      <c r="M1134" s="53">
        <v>114.953</v>
      </c>
      <c r="N1134" s="6">
        <v>114.953</v>
      </c>
      <c r="O1134" s="53">
        <v>114.953</v>
      </c>
      <c r="P1134" s="6">
        <v>122</v>
      </c>
      <c r="Q1134" s="4" t="s">
        <v>26</v>
      </c>
      <c r="R1134" s="4">
        <v>0</v>
      </c>
      <c r="S1134" s="6">
        <v>0</v>
      </c>
      <c r="T1134" s="6">
        <v>63</v>
      </c>
      <c r="U1134" s="6">
        <v>91</v>
      </c>
      <c r="V1134" s="53">
        <f>IF(ISERROR(VLOOKUP($S$1134,'TAR FIN'!$A$1:$O$113,15,0)),0,VLOOKUP($S$1134,'TAR FIN'!$A$1:$O$113,15,0))</f>
        <v>0</v>
      </c>
      <c r="W1134" s="53">
        <f>IF(ISERROR(VLOOKUP($T$1134,'TAR FIN'!$A$1:$O$113,15,0)),0,VLOOKUP($T$1134,'TAR FIN'!$A$1:$O$113,15,0))*(1-0.06)</f>
        <v>282.28199999999998</v>
      </c>
      <c r="X1134" s="53">
        <f>IF(ISERROR(VLOOKUP($U$1134,'TAR FIN'!$A$1:$O$113,15,0)),0,VLOOKUP($U$1134,'TAR FIN'!$A$1:$O$113,15,0))*(1-0.06)</f>
        <v>274.8184</v>
      </c>
      <c r="Y1134" s="53"/>
      <c r="Z1134" s="53">
        <f ca="1">('TUSD BE'!$AM$68+'TUSD BF'!$AM$68+'TUSD CVA'!$AM$68)*1*(1-0.03)</f>
        <v>381.48586626245464</v>
      </c>
      <c r="AA1134" s="53">
        <f>('TE BE'!$AB$46+'TE BF'!$AB$46+'TE CVA'!$AB$46)*1*(1-0.03)</f>
        <v>305.34162288285285</v>
      </c>
      <c r="AB1134" s="6">
        <f>$K$1134*$V$1134</f>
        <v>0</v>
      </c>
      <c r="AC1134" s="6">
        <f>$M$1134*$W$1134</f>
        <v>32449.162745999998</v>
      </c>
      <c r="AD1134" s="6">
        <f>$O$1134*$X$1134</f>
        <v>31591.199535200001</v>
      </c>
      <c r="AE1134" s="6">
        <f>$K$1134*$Y$1134</f>
        <v>0</v>
      </c>
      <c r="AF1134" s="6">
        <f ca="1">$M$1134*$Z$1134</f>
        <v>43852.944784467945</v>
      </c>
      <c r="AG1134" s="6">
        <f>$O$1134*$AA$1134</f>
        <v>35099.935575252581</v>
      </c>
    </row>
    <row r="1135" spans="1:33" ht="11.25" customHeight="1" x14ac:dyDescent="0.3">
      <c r="A1135" s="4" t="s">
        <v>21</v>
      </c>
      <c r="B1135" s="4" t="s">
        <v>37</v>
      </c>
      <c r="C1135" s="4" t="s">
        <v>23</v>
      </c>
      <c r="D1135" s="4" t="s">
        <v>50</v>
      </c>
      <c r="E1135" s="4" t="s">
        <v>51</v>
      </c>
      <c r="F1135" s="4" t="s">
        <v>25</v>
      </c>
      <c r="G1135" s="4" t="s">
        <v>25</v>
      </c>
      <c r="H1135" s="4" t="s">
        <v>25</v>
      </c>
      <c r="I1135" s="5">
        <v>44531</v>
      </c>
      <c r="J1135" s="6">
        <v>0</v>
      </c>
      <c r="K1135" s="53">
        <v>0</v>
      </c>
      <c r="L1135" s="6">
        <v>122.25</v>
      </c>
      <c r="M1135" s="53">
        <v>122.25</v>
      </c>
      <c r="N1135" s="6">
        <v>122.25</v>
      </c>
      <c r="O1135" s="53">
        <v>122.25</v>
      </c>
      <c r="P1135" s="6">
        <v>120</v>
      </c>
      <c r="Q1135" s="4" t="s">
        <v>26</v>
      </c>
      <c r="R1135" s="4">
        <v>0</v>
      </c>
      <c r="S1135" s="6">
        <v>0</v>
      </c>
      <c r="T1135" s="6">
        <v>63</v>
      </c>
      <c r="U1135" s="6">
        <v>91</v>
      </c>
      <c r="V1135" s="53">
        <f>IF(ISERROR(VLOOKUP($S$1135,'TAR FIN'!$A$1:$O$113,15,0)),0,VLOOKUP($S$1135,'TAR FIN'!$A$1:$O$113,15,0))</f>
        <v>0</v>
      </c>
      <c r="W1135" s="53">
        <f>IF(ISERROR(VLOOKUP($T$1135,'TAR FIN'!$A$1:$O$113,15,0)),0,VLOOKUP($T$1135,'TAR FIN'!$A$1:$O$113,15,0))*(1-0.06)</f>
        <v>282.28199999999998</v>
      </c>
      <c r="X1135" s="53">
        <f>IF(ISERROR(VLOOKUP($U$1135,'TAR FIN'!$A$1:$O$113,15,0)),0,VLOOKUP($U$1135,'TAR FIN'!$A$1:$O$113,15,0))*(1-0.06)</f>
        <v>274.8184</v>
      </c>
      <c r="Y1135" s="53"/>
      <c r="Z1135" s="53">
        <f ca="1">('TUSD BE'!$AM$68+'TUSD BF'!$AM$68+'TUSD CVA'!$AM$68)*1*(1-0.03)</f>
        <v>381.48586626245464</v>
      </c>
      <c r="AA1135" s="53">
        <f>('TE BE'!$AB$46+'TE BF'!$AB$46+'TE CVA'!$AB$46)*1*(1-0.03)</f>
        <v>305.34162288285285</v>
      </c>
      <c r="AB1135" s="6">
        <f>$K$1135*$V$1135</f>
        <v>0</v>
      </c>
      <c r="AC1135" s="6">
        <f>$M$1135*$W$1135</f>
        <v>34508.974499999997</v>
      </c>
      <c r="AD1135" s="6">
        <f>$O$1135*$X$1135</f>
        <v>33596.549399999996</v>
      </c>
      <c r="AE1135" s="6">
        <f>$K$1135*$Y$1135</f>
        <v>0</v>
      </c>
      <c r="AF1135" s="6">
        <f ca="1">$M$1135*$Z$1135</f>
        <v>46636.647150585079</v>
      </c>
      <c r="AG1135" s="6">
        <f>$O$1135*$AA$1135</f>
        <v>37328.01339742876</v>
      </c>
    </row>
    <row r="1136" spans="1:33" ht="11.25" customHeight="1" x14ac:dyDescent="0.3">
      <c r="A1136" s="4" t="s">
        <v>21</v>
      </c>
      <c r="B1136" s="4" t="s">
        <v>37</v>
      </c>
      <c r="C1136" s="4" t="s">
        <v>23</v>
      </c>
      <c r="D1136" s="4" t="s">
        <v>50</v>
      </c>
      <c r="E1136" s="4" t="s">
        <v>51</v>
      </c>
      <c r="F1136" s="4" t="s">
        <v>25</v>
      </c>
      <c r="G1136" s="4" t="s">
        <v>25</v>
      </c>
      <c r="H1136" s="4" t="s">
        <v>25</v>
      </c>
      <c r="I1136" s="5">
        <v>44562</v>
      </c>
      <c r="J1136" s="6">
        <v>0</v>
      </c>
      <c r="K1136" s="53">
        <v>0</v>
      </c>
      <c r="L1136" s="6">
        <v>137.76900000000001</v>
      </c>
      <c r="M1136" s="53">
        <v>137.76900000000001</v>
      </c>
      <c r="N1136" s="6">
        <v>137.76900000000001</v>
      </c>
      <c r="O1136" s="53">
        <v>137.76900000000001</v>
      </c>
      <c r="P1136" s="6">
        <v>120</v>
      </c>
      <c r="Q1136" s="4" t="s">
        <v>26</v>
      </c>
      <c r="R1136" s="4">
        <v>0</v>
      </c>
      <c r="S1136" s="6">
        <v>0</v>
      </c>
      <c r="T1136" s="6">
        <v>63</v>
      </c>
      <c r="U1136" s="6">
        <v>91</v>
      </c>
      <c r="V1136" s="53">
        <f>IF(ISERROR(VLOOKUP($S$1136,'TAR FIN'!$A$1:$O$113,15,0)),0,VLOOKUP($S$1136,'TAR FIN'!$A$1:$O$113,15,0))</f>
        <v>0</v>
      </c>
      <c r="W1136" s="53">
        <f>IF(ISERROR(VLOOKUP($T$1136,'TAR FIN'!$A$1:$O$113,15,0)),0,VLOOKUP($T$1136,'TAR FIN'!$A$1:$O$113,15,0))*(1-0.06)</f>
        <v>282.28199999999998</v>
      </c>
      <c r="X1136" s="53">
        <f>IF(ISERROR(VLOOKUP($U$1136,'TAR FIN'!$A$1:$O$113,15,0)),0,VLOOKUP($U$1136,'TAR FIN'!$A$1:$O$113,15,0))*(1-0.06)</f>
        <v>274.8184</v>
      </c>
      <c r="Y1136" s="53"/>
      <c r="Z1136" s="53">
        <f ca="1">('TUSD BE'!$AM$68+'TUSD BF'!$AM$68+'TUSD CVA'!$AM$68)*1*(1-0.03)</f>
        <v>381.48586626245464</v>
      </c>
      <c r="AA1136" s="53">
        <f>('TE BE'!$AB$46+'TE BF'!$AB$46+'TE CVA'!$AB$46)*1*(1-0.03)</f>
        <v>305.34162288285285</v>
      </c>
      <c r="AB1136" s="6">
        <f>$K$1136*$V$1136</f>
        <v>0</v>
      </c>
      <c r="AC1136" s="6">
        <f>$M$1136*$W$1136</f>
        <v>38889.708857999998</v>
      </c>
      <c r="AD1136" s="6">
        <f>$O$1136*$X$1136</f>
        <v>37861.456149600002</v>
      </c>
      <c r="AE1136" s="6">
        <f>$K$1136*$Y$1136</f>
        <v>0</v>
      </c>
      <c r="AF1136" s="6">
        <f ca="1">$M$1136*$Z$1136</f>
        <v>52556.926309112117</v>
      </c>
      <c r="AG1136" s="6">
        <f>$O$1136*$AA$1136</f>
        <v>42066.610042947752</v>
      </c>
    </row>
    <row r="1137" spans="1:33" ht="11.25" customHeight="1" x14ac:dyDescent="0.3">
      <c r="A1137" s="4" t="s">
        <v>21</v>
      </c>
      <c r="B1137" s="4" t="s">
        <v>37</v>
      </c>
      <c r="C1137" s="4" t="s">
        <v>23</v>
      </c>
      <c r="D1137" s="4" t="s">
        <v>50</v>
      </c>
      <c r="E1137" s="4" t="s">
        <v>51</v>
      </c>
      <c r="F1137" s="4" t="s">
        <v>25</v>
      </c>
      <c r="G1137" s="4" t="s">
        <v>25</v>
      </c>
      <c r="H1137" s="4" t="s">
        <v>25</v>
      </c>
      <c r="I1137" s="5">
        <v>44593</v>
      </c>
      <c r="J1137" s="6">
        <v>0</v>
      </c>
      <c r="K1137" s="53">
        <v>0</v>
      </c>
      <c r="L1137" s="6">
        <v>125.75700000000001</v>
      </c>
      <c r="M1137" s="53">
        <v>125.75700000000001</v>
      </c>
      <c r="N1137" s="6">
        <v>125.75700000000001</v>
      </c>
      <c r="O1137" s="53">
        <v>125.75700000000001</v>
      </c>
      <c r="P1137" s="6">
        <v>120</v>
      </c>
      <c r="Q1137" s="4" t="s">
        <v>26</v>
      </c>
      <c r="R1137" s="4">
        <v>0</v>
      </c>
      <c r="S1137" s="6">
        <v>0</v>
      </c>
      <c r="T1137" s="6">
        <v>63</v>
      </c>
      <c r="U1137" s="6">
        <v>91</v>
      </c>
      <c r="V1137" s="53">
        <f>IF(ISERROR(VLOOKUP($S$1137,'TAR FIN'!$A$1:$O$113,15,0)),0,VLOOKUP($S$1137,'TAR FIN'!$A$1:$O$113,15,0))</f>
        <v>0</v>
      </c>
      <c r="W1137" s="53">
        <f>IF(ISERROR(VLOOKUP($T$1137,'TAR FIN'!$A$1:$O$113,15,0)),0,VLOOKUP($T$1137,'TAR FIN'!$A$1:$O$113,15,0))*(1-0.06)</f>
        <v>282.28199999999998</v>
      </c>
      <c r="X1137" s="53">
        <f>IF(ISERROR(VLOOKUP($U$1137,'TAR FIN'!$A$1:$O$113,15,0)),0,VLOOKUP($U$1137,'TAR FIN'!$A$1:$O$113,15,0))*(1-0.06)</f>
        <v>274.8184</v>
      </c>
      <c r="Y1137" s="53"/>
      <c r="Z1137" s="53">
        <f ca="1">('TUSD BE'!$AM$68+'TUSD BF'!$AM$68+'TUSD CVA'!$AM$68)*1*(1-0.03)</f>
        <v>381.48586626245464</v>
      </c>
      <c r="AA1137" s="53">
        <f>('TE BE'!$AB$46+'TE BF'!$AB$46+'TE CVA'!$AB$46)*1*(1-0.03)</f>
        <v>305.34162288285285</v>
      </c>
      <c r="AB1137" s="6">
        <f>$K$1137*$V$1137</f>
        <v>0</v>
      </c>
      <c r="AC1137" s="6">
        <f>$M$1137*$W$1137</f>
        <v>35498.937473999998</v>
      </c>
      <c r="AD1137" s="6">
        <f>$O$1137*$X$1137</f>
        <v>34560.337528800002</v>
      </c>
      <c r="AE1137" s="6">
        <f>$K$1137*$Y$1137</f>
        <v>0</v>
      </c>
      <c r="AF1137" s="6">
        <f ca="1">$M$1137*$Z$1137</f>
        <v>47974.518083567513</v>
      </c>
      <c r="AG1137" s="6">
        <f>$O$1137*$AA$1137</f>
        <v>38398.846468878924</v>
      </c>
    </row>
    <row r="1138" spans="1:33" ht="11.25" customHeight="1" x14ac:dyDescent="0.3">
      <c r="A1138" s="4" t="s">
        <v>21</v>
      </c>
      <c r="B1138" s="4" t="s">
        <v>37</v>
      </c>
      <c r="C1138" s="4" t="s">
        <v>23</v>
      </c>
      <c r="D1138" s="4" t="s">
        <v>50</v>
      </c>
      <c r="E1138" s="4" t="s">
        <v>51</v>
      </c>
      <c r="F1138" s="4" t="s">
        <v>25</v>
      </c>
      <c r="G1138" s="4" t="s">
        <v>25</v>
      </c>
      <c r="H1138" s="4" t="s">
        <v>25</v>
      </c>
      <c r="I1138" s="5">
        <v>44621</v>
      </c>
      <c r="J1138" s="6">
        <v>0</v>
      </c>
      <c r="K1138" s="53">
        <v>0</v>
      </c>
      <c r="L1138" s="6">
        <v>128.351</v>
      </c>
      <c r="M1138" s="53">
        <v>128.351</v>
      </c>
      <c r="N1138" s="6">
        <v>128.351</v>
      </c>
      <c r="O1138" s="53">
        <v>128.351</v>
      </c>
      <c r="P1138" s="6">
        <v>121</v>
      </c>
      <c r="Q1138" s="4" t="s">
        <v>26</v>
      </c>
      <c r="R1138" s="4">
        <v>0</v>
      </c>
      <c r="S1138" s="6">
        <v>0</v>
      </c>
      <c r="T1138" s="6">
        <v>63</v>
      </c>
      <c r="U1138" s="6">
        <v>91</v>
      </c>
      <c r="V1138" s="53">
        <f>IF(ISERROR(VLOOKUP($S$1138,'TAR FIN'!$A$1:$O$113,15,0)),0,VLOOKUP($S$1138,'TAR FIN'!$A$1:$O$113,15,0))</f>
        <v>0</v>
      </c>
      <c r="W1138" s="53">
        <f>IF(ISERROR(VLOOKUP($T$1138,'TAR FIN'!$A$1:$O$113,15,0)),0,VLOOKUP($T$1138,'TAR FIN'!$A$1:$O$113,15,0))*(1-0.06)</f>
        <v>282.28199999999998</v>
      </c>
      <c r="X1138" s="53">
        <f>IF(ISERROR(VLOOKUP($U$1138,'TAR FIN'!$A$1:$O$113,15,0)),0,VLOOKUP($U$1138,'TAR FIN'!$A$1:$O$113,15,0))*(1-0.06)</f>
        <v>274.8184</v>
      </c>
      <c r="Y1138" s="53"/>
      <c r="Z1138" s="53">
        <f ca="1">('TUSD BE'!$AM$68+'TUSD BF'!$AM$68+'TUSD CVA'!$AM$68)*1*(1-0.03)</f>
        <v>381.48586626245464</v>
      </c>
      <c r="AA1138" s="53">
        <f>('TE BE'!$AB$46+'TE BF'!$AB$46+'TE CVA'!$AB$46)*1*(1-0.03)</f>
        <v>305.34162288285285</v>
      </c>
      <c r="AB1138" s="6">
        <f>$K$1138*$V$1138</f>
        <v>0</v>
      </c>
      <c r="AC1138" s="6">
        <f>$M$1138*$W$1138</f>
        <v>36231.176981999997</v>
      </c>
      <c r="AD1138" s="6">
        <f>$O$1138*$X$1138</f>
        <v>35273.216458399998</v>
      </c>
      <c r="AE1138" s="6">
        <f>$K$1138*$Y$1138</f>
        <v>0</v>
      </c>
      <c r="AF1138" s="6">
        <f ca="1">$M$1138*$Z$1138</f>
        <v>48964.092420652312</v>
      </c>
      <c r="AG1138" s="6">
        <f>$O$1138*$AA$1138</f>
        <v>39190.902638637046</v>
      </c>
    </row>
    <row r="1139" spans="1:33" ht="11.25" customHeight="1" x14ac:dyDescent="0.3">
      <c r="A1139" s="4" t="s">
        <v>21</v>
      </c>
      <c r="B1139" s="4" t="s">
        <v>37</v>
      </c>
      <c r="C1139" s="4" t="s">
        <v>23</v>
      </c>
      <c r="D1139" s="4" t="s">
        <v>50</v>
      </c>
      <c r="E1139" s="4" t="s">
        <v>51</v>
      </c>
      <c r="F1139" s="4" t="s">
        <v>25</v>
      </c>
      <c r="G1139" s="4" t="s">
        <v>25</v>
      </c>
      <c r="H1139" s="4" t="s">
        <v>25</v>
      </c>
      <c r="I1139" s="5">
        <v>44652</v>
      </c>
      <c r="J1139" s="6">
        <v>0</v>
      </c>
      <c r="K1139" s="53">
        <v>0</v>
      </c>
      <c r="L1139" s="6">
        <v>109.29300000000001</v>
      </c>
      <c r="M1139" s="53">
        <v>109.29300000000001</v>
      </c>
      <c r="N1139" s="6">
        <v>109.29300000000001</v>
      </c>
      <c r="O1139" s="53">
        <v>109.29300000000001</v>
      </c>
      <c r="P1139" s="6">
        <v>122</v>
      </c>
      <c r="Q1139" s="4" t="s">
        <v>26</v>
      </c>
      <c r="R1139" s="4">
        <v>0</v>
      </c>
      <c r="S1139" s="6">
        <v>0</v>
      </c>
      <c r="T1139" s="6">
        <v>63</v>
      </c>
      <c r="U1139" s="6">
        <v>91</v>
      </c>
      <c r="V1139" s="53">
        <f>IF(ISERROR(VLOOKUP($S$1139,'TAR FIN'!$A$1:$O$113,15,0)),0,VLOOKUP($S$1139,'TAR FIN'!$A$1:$O$113,15,0))</f>
        <v>0</v>
      </c>
      <c r="W1139" s="53">
        <f>IF(ISERROR(VLOOKUP($T$1139,'TAR FIN'!$A$1:$O$113,15,0)),0,VLOOKUP($T$1139,'TAR FIN'!$A$1:$O$113,15,0))*(1-0.06)</f>
        <v>282.28199999999998</v>
      </c>
      <c r="X1139" s="53">
        <f>IF(ISERROR(VLOOKUP($U$1139,'TAR FIN'!$A$1:$O$113,15,0)),0,VLOOKUP($U$1139,'TAR FIN'!$A$1:$O$113,15,0))*(1-0.06)</f>
        <v>274.8184</v>
      </c>
      <c r="Y1139" s="53"/>
      <c r="Z1139" s="53">
        <f ca="1">('TUSD BE'!$AM$68+'TUSD BF'!$AM$68+'TUSD CVA'!$AM$68)*1*(1-0.03)</f>
        <v>381.48586626245464</v>
      </c>
      <c r="AA1139" s="53">
        <f>('TE BE'!$AB$46+'TE BF'!$AB$46+'TE CVA'!$AB$46)*1*(1-0.03)</f>
        <v>305.34162288285285</v>
      </c>
      <c r="AB1139" s="6">
        <f>$K$1139*$V$1139</f>
        <v>0</v>
      </c>
      <c r="AC1139" s="6">
        <f>$M$1139*$W$1139</f>
        <v>30851.446626000001</v>
      </c>
      <c r="AD1139" s="6">
        <f>$O$1139*$X$1139</f>
        <v>30035.727391200002</v>
      </c>
      <c r="AE1139" s="6">
        <f>$K$1139*$Y$1139</f>
        <v>0</v>
      </c>
      <c r="AF1139" s="6">
        <f ca="1">$M$1139*$Z$1139</f>
        <v>41693.734781422456</v>
      </c>
      <c r="AG1139" s="6">
        <f>$O$1139*$AA$1139</f>
        <v>33371.701989735637</v>
      </c>
    </row>
    <row r="1140" spans="1:33" ht="11.25" customHeight="1" x14ac:dyDescent="0.3">
      <c r="A1140" s="4" t="s">
        <v>21</v>
      </c>
      <c r="B1140" s="4" t="s">
        <v>37</v>
      </c>
      <c r="C1140" s="4" t="s">
        <v>23</v>
      </c>
      <c r="D1140" s="4" t="s">
        <v>50</v>
      </c>
      <c r="E1140" s="4" t="s">
        <v>51</v>
      </c>
      <c r="F1140" s="4" t="s">
        <v>25</v>
      </c>
      <c r="G1140" s="4" t="s">
        <v>25</v>
      </c>
      <c r="H1140" s="4" t="s">
        <v>25</v>
      </c>
      <c r="I1140" s="5">
        <v>44682</v>
      </c>
      <c r="J1140" s="6">
        <v>0</v>
      </c>
      <c r="K1140" s="53">
        <v>0</v>
      </c>
      <c r="L1140" s="6">
        <v>105.45</v>
      </c>
      <c r="M1140" s="53">
        <v>105.45</v>
      </c>
      <c r="N1140" s="6">
        <v>105.45</v>
      </c>
      <c r="O1140" s="53">
        <v>105.45</v>
      </c>
      <c r="P1140" s="6">
        <v>121</v>
      </c>
      <c r="Q1140" s="4" t="s">
        <v>26</v>
      </c>
      <c r="R1140" s="4">
        <v>0</v>
      </c>
      <c r="S1140" s="6">
        <v>0</v>
      </c>
      <c r="T1140" s="6">
        <v>63</v>
      </c>
      <c r="U1140" s="6">
        <v>91</v>
      </c>
      <c r="V1140" s="53">
        <f>IF(ISERROR(VLOOKUP($S$1140,'TAR FIN'!$A$1:$O$113,15,0)),0,VLOOKUP($S$1140,'TAR FIN'!$A$1:$O$113,15,0))</f>
        <v>0</v>
      </c>
      <c r="W1140" s="53">
        <f>IF(ISERROR(VLOOKUP($T$1140,'TAR FIN'!$A$1:$O$113,15,0)),0,VLOOKUP($T$1140,'TAR FIN'!$A$1:$O$113,15,0))*(1-0.06)</f>
        <v>282.28199999999998</v>
      </c>
      <c r="X1140" s="53">
        <f>IF(ISERROR(VLOOKUP($U$1140,'TAR FIN'!$A$1:$O$113,15,0)),0,VLOOKUP($U$1140,'TAR FIN'!$A$1:$O$113,15,0))*(1-0.06)</f>
        <v>274.8184</v>
      </c>
      <c r="Y1140" s="53"/>
      <c r="Z1140" s="53">
        <f ca="1">('TUSD BE'!$AM$68+'TUSD BF'!$AM$68+'TUSD CVA'!$AM$68)*1*(1-0.03)</f>
        <v>381.48586626245464</v>
      </c>
      <c r="AA1140" s="53">
        <f>('TE BE'!$AB$46+'TE BF'!$AB$46+'TE CVA'!$AB$46)*1*(1-0.03)</f>
        <v>305.34162288285285</v>
      </c>
      <c r="AB1140" s="6">
        <f>$K$1140*$V$1140</f>
        <v>0</v>
      </c>
      <c r="AC1140" s="6">
        <f>$M$1140*$W$1140</f>
        <v>29766.636899999998</v>
      </c>
      <c r="AD1140" s="6">
        <f>$O$1140*$X$1140</f>
        <v>28979.600279999999</v>
      </c>
      <c r="AE1140" s="6">
        <f>$K$1140*$Y$1140</f>
        <v>0</v>
      </c>
      <c r="AF1140" s="6">
        <f ca="1">$M$1140*$Z$1140</f>
        <v>40227.684597375839</v>
      </c>
      <c r="AG1140" s="6">
        <f>$O$1140*$AA$1140</f>
        <v>32198.274132996834</v>
      </c>
    </row>
    <row r="1141" spans="1:33" ht="11.25" customHeight="1" x14ac:dyDescent="0.3">
      <c r="A1141" s="4" t="s">
        <v>21</v>
      </c>
      <c r="B1141" s="4" t="s">
        <v>37</v>
      </c>
      <c r="C1141" s="4" t="s">
        <v>23</v>
      </c>
      <c r="D1141" s="4" t="s">
        <v>50</v>
      </c>
      <c r="E1141" s="4" t="s">
        <v>51</v>
      </c>
      <c r="F1141" s="4" t="s">
        <v>25</v>
      </c>
      <c r="G1141" s="4" t="s">
        <v>25</v>
      </c>
      <c r="H1141" s="4" t="s">
        <v>25</v>
      </c>
      <c r="I1141" s="5">
        <v>44713</v>
      </c>
      <c r="J1141" s="6">
        <v>0</v>
      </c>
      <c r="K1141" s="53">
        <v>0</v>
      </c>
      <c r="L1141" s="6">
        <v>112.964</v>
      </c>
      <c r="M1141" s="53">
        <v>112.964</v>
      </c>
      <c r="N1141" s="6">
        <v>112.964</v>
      </c>
      <c r="O1141" s="53">
        <v>112.964</v>
      </c>
      <c r="P1141" s="6">
        <v>122</v>
      </c>
      <c r="Q1141" s="4" t="s">
        <v>26</v>
      </c>
      <c r="R1141" s="4">
        <v>0</v>
      </c>
      <c r="S1141" s="6">
        <v>0</v>
      </c>
      <c r="T1141" s="6">
        <v>63</v>
      </c>
      <c r="U1141" s="6">
        <v>91</v>
      </c>
      <c r="V1141" s="53">
        <f>IF(ISERROR(VLOOKUP($S$1141,'TAR FIN'!$A$1:$O$113,15,0)),0,VLOOKUP($S$1141,'TAR FIN'!$A$1:$O$113,15,0))</f>
        <v>0</v>
      </c>
      <c r="W1141" s="53">
        <f>IF(ISERROR(VLOOKUP($T$1141,'TAR FIN'!$A$1:$O$113,15,0)),0,VLOOKUP($T$1141,'TAR FIN'!$A$1:$O$113,15,0))*(1-0.06)</f>
        <v>282.28199999999998</v>
      </c>
      <c r="X1141" s="53">
        <f>IF(ISERROR(VLOOKUP($U$1141,'TAR FIN'!$A$1:$O$113,15,0)),0,VLOOKUP($U$1141,'TAR FIN'!$A$1:$O$113,15,0))*(1-0.06)</f>
        <v>274.8184</v>
      </c>
      <c r="Y1141" s="53"/>
      <c r="Z1141" s="53">
        <f ca="1">('TUSD BE'!$AM$68+'TUSD BF'!$AM$68+'TUSD CVA'!$AM$68)*1*(1-0.03)</f>
        <v>381.48586626245464</v>
      </c>
      <c r="AA1141" s="53">
        <f>('TE BE'!$AB$46+'TE BF'!$AB$46+'TE CVA'!$AB$46)*1*(1-0.03)</f>
        <v>305.34162288285285</v>
      </c>
      <c r="AB1141" s="6">
        <f>$K$1141*$V$1141</f>
        <v>0</v>
      </c>
      <c r="AC1141" s="6">
        <f>$M$1141*$W$1141</f>
        <v>31887.703847999997</v>
      </c>
      <c r="AD1141" s="6">
        <f>$O$1141*$X$1141</f>
        <v>31044.585737599999</v>
      </c>
      <c r="AE1141" s="6">
        <f>$K$1141*$Y$1141</f>
        <v>0</v>
      </c>
      <c r="AF1141" s="6">
        <f ca="1">$M$1141*$Z$1141</f>
        <v>43094.169396471923</v>
      </c>
      <c r="AG1141" s="6">
        <f>$O$1141*$AA$1141</f>
        <v>34492.611087338591</v>
      </c>
    </row>
    <row r="1142" spans="1:33" ht="11.25" customHeight="1" x14ac:dyDescent="0.3">
      <c r="A1142" s="4" t="s">
        <v>21</v>
      </c>
      <c r="B1142" s="4" t="s">
        <v>37</v>
      </c>
      <c r="C1142" s="4" t="s">
        <v>23</v>
      </c>
      <c r="D1142" s="4" t="s">
        <v>50</v>
      </c>
      <c r="E1142" s="4" t="s">
        <v>51</v>
      </c>
      <c r="F1142" s="4" t="s">
        <v>25</v>
      </c>
      <c r="G1142" s="4" t="s">
        <v>25</v>
      </c>
      <c r="H1142" s="4" t="s">
        <v>25</v>
      </c>
      <c r="I1142" s="5">
        <v>44743</v>
      </c>
      <c r="J1142" s="6">
        <v>0</v>
      </c>
      <c r="K1142" s="53">
        <v>0</v>
      </c>
      <c r="L1142" s="6">
        <v>130.761</v>
      </c>
      <c r="M1142" s="53">
        <v>130.761</v>
      </c>
      <c r="N1142" s="6">
        <v>130.761</v>
      </c>
      <c r="O1142" s="53">
        <v>130.761</v>
      </c>
      <c r="P1142" s="6">
        <v>122</v>
      </c>
      <c r="Q1142" s="4" t="s">
        <v>26</v>
      </c>
      <c r="R1142" s="4">
        <v>0</v>
      </c>
      <c r="S1142" s="6">
        <v>0</v>
      </c>
      <c r="T1142" s="6">
        <v>63</v>
      </c>
      <c r="U1142" s="6">
        <v>91</v>
      </c>
      <c r="V1142" s="53">
        <f>IF(ISERROR(VLOOKUP($S$1142,'TAR FIN'!$A$1:$O$113,15,0)),0,VLOOKUP($S$1142,'TAR FIN'!$A$1:$O$113,15,0))</f>
        <v>0</v>
      </c>
      <c r="W1142" s="53">
        <f>IF(ISERROR(VLOOKUP($T$1142,'TAR FIN'!$A$1:$O$113,15,0)),0,VLOOKUP($T$1142,'TAR FIN'!$A$1:$O$113,15,0))*(1-0.06)</f>
        <v>282.28199999999998</v>
      </c>
      <c r="X1142" s="53">
        <f>IF(ISERROR(VLOOKUP($U$1142,'TAR FIN'!$A$1:$O$113,15,0)),0,VLOOKUP($U$1142,'TAR FIN'!$A$1:$O$113,15,0))*(1-0.06)</f>
        <v>274.8184</v>
      </c>
      <c r="Y1142" s="53"/>
      <c r="Z1142" s="53">
        <f ca="1">('TUSD BE'!$AM$68+'TUSD BF'!$AM$68+'TUSD CVA'!$AM$68)*1*(1-0.03)</f>
        <v>381.48586626245464</v>
      </c>
      <c r="AA1142" s="53">
        <f>('TE BE'!$AB$46+'TE BF'!$AB$46+'TE CVA'!$AB$46)*1*(1-0.03)</f>
        <v>305.34162288285285</v>
      </c>
      <c r="AB1142" s="6">
        <f>$K$1142*$V$1142</f>
        <v>0</v>
      </c>
      <c r="AC1142" s="6">
        <f>$M$1142*$W$1142</f>
        <v>36911.476601999995</v>
      </c>
      <c r="AD1142" s="6">
        <f>$O$1142*$X$1142</f>
        <v>35935.528802399996</v>
      </c>
      <c r="AE1142" s="6">
        <f>$K$1142*$Y$1142</f>
        <v>0</v>
      </c>
      <c r="AF1142" s="6">
        <f ca="1">$M$1142*$Z$1142</f>
        <v>49883.473358344832</v>
      </c>
      <c r="AG1142" s="6">
        <f>$O$1142*$AA$1142</f>
        <v>39926.775949784722</v>
      </c>
    </row>
    <row r="1143" spans="1:33" ht="11.25" customHeight="1" x14ac:dyDescent="0.3">
      <c r="A1143" s="4" t="s">
        <v>21</v>
      </c>
      <c r="B1143" s="4" t="s">
        <v>37</v>
      </c>
      <c r="C1143" s="4" t="s">
        <v>23</v>
      </c>
      <c r="D1143" s="4" t="s">
        <v>50</v>
      </c>
      <c r="E1143" s="4" t="s">
        <v>51</v>
      </c>
      <c r="F1143" s="4" t="s">
        <v>25</v>
      </c>
      <c r="G1143" s="4" t="s">
        <v>25</v>
      </c>
      <c r="H1143" s="4" t="s">
        <v>25</v>
      </c>
      <c r="I1143" s="5">
        <v>44774</v>
      </c>
      <c r="J1143" s="6">
        <v>0</v>
      </c>
      <c r="K1143" s="53">
        <v>0</v>
      </c>
      <c r="L1143" s="6">
        <v>112.88500000000001</v>
      </c>
      <c r="M1143" s="53">
        <v>112.88500000000001</v>
      </c>
      <c r="N1143" s="6">
        <v>112.88500000000001</v>
      </c>
      <c r="O1143" s="53">
        <v>112.88500000000001</v>
      </c>
      <c r="P1143" s="6">
        <v>122</v>
      </c>
      <c r="Q1143" s="4" t="s">
        <v>26</v>
      </c>
      <c r="R1143" s="4">
        <v>0</v>
      </c>
      <c r="S1143" s="6">
        <v>0</v>
      </c>
      <c r="T1143" s="6">
        <v>63</v>
      </c>
      <c r="U1143" s="6">
        <v>91</v>
      </c>
      <c r="V1143" s="53">
        <f>IF(ISERROR(VLOOKUP($S$1143,'TAR FIN'!$A$1:$O$113,15,0)),0,VLOOKUP($S$1143,'TAR FIN'!$A$1:$O$113,15,0))</f>
        <v>0</v>
      </c>
      <c r="W1143" s="53">
        <f>IF(ISERROR(VLOOKUP($T$1143,'TAR FIN'!$A$1:$O$113,15,0)),0,VLOOKUP($T$1143,'TAR FIN'!$A$1:$O$113,15,0))*(1-0.06)</f>
        <v>282.28199999999998</v>
      </c>
      <c r="X1143" s="53">
        <f>IF(ISERROR(VLOOKUP($U$1143,'TAR FIN'!$A$1:$O$113,15,0)),0,VLOOKUP($U$1143,'TAR FIN'!$A$1:$O$113,15,0))*(1-0.06)</f>
        <v>274.8184</v>
      </c>
      <c r="Y1143" s="53"/>
      <c r="Z1143" s="53">
        <f ca="1">('TUSD BE'!$AM$68+'TUSD BF'!$AM$68+'TUSD CVA'!$AM$68)*1*(1-0.03)</f>
        <v>381.48586626245464</v>
      </c>
      <c r="AA1143" s="53">
        <f>('TE BE'!$AB$46+'TE BF'!$AB$46+'TE CVA'!$AB$46)*1*(1-0.03)</f>
        <v>305.34162288285285</v>
      </c>
      <c r="AB1143" s="6">
        <f>$K$1143*$V$1143</f>
        <v>0</v>
      </c>
      <c r="AC1143" s="6">
        <f>$M$1143*$W$1143</f>
        <v>31865.403569999999</v>
      </c>
      <c r="AD1143" s="6">
        <f>$O$1143*$X$1143</f>
        <v>31022.875083999999</v>
      </c>
      <c r="AE1143" s="6">
        <f>$K$1143*$Y$1143</f>
        <v>0</v>
      </c>
      <c r="AF1143" s="6">
        <f ca="1">$M$1143*$Z$1143</f>
        <v>43064.032013037191</v>
      </c>
      <c r="AG1143" s="6">
        <f>$O$1143*$AA$1143</f>
        <v>34468.489099130842</v>
      </c>
    </row>
    <row r="1144" spans="1:33" ht="11.25" customHeight="1" x14ac:dyDescent="0.3">
      <c r="A1144" s="4" t="s">
        <v>21</v>
      </c>
      <c r="B1144" s="4" t="s">
        <v>37</v>
      </c>
      <c r="C1144" s="4" t="s">
        <v>23</v>
      </c>
      <c r="D1144" s="4" t="s">
        <v>50</v>
      </c>
      <c r="E1144" s="4" t="s">
        <v>51</v>
      </c>
      <c r="F1144" s="4" t="s">
        <v>25</v>
      </c>
      <c r="G1144" s="4" t="s">
        <v>25</v>
      </c>
      <c r="H1144" s="4" t="s">
        <v>25</v>
      </c>
      <c r="I1144" s="5">
        <v>44805</v>
      </c>
      <c r="J1144" s="6">
        <v>0</v>
      </c>
      <c r="K1144" s="53">
        <v>0</v>
      </c>
      <c r="L1144" s="6">
        <v>129.29</v>
      </c>
      <c r="M1144" s="53">
        <v>129.29</v>
      </c>
      <c r="N1144" s="6">
        <v>129.29</v>
      </c>
      <c r="O1144" s="53">
        <v>129.29</v>
      </c>
      <c r="P1144" s="6">
        <v>122</v>
      </c>
      <c r="Q1144" s="4" t="s">
        <v>26</v>
      </c>
      <c r="R1144" s="4">
        <v>0</v>
      </c>
      <c r="S1144" s="6">
        <v>0</v>
      </c>
      <c r="T1144" s="6">
        <v>63</v>
      </c>
      <c r="U1144" s="6">
        <v>91</v>
      </c>
      <c r="V1144" s="53">
        <f>IF(ISERROR(VLOOKUP($S$1144,'TAR FIN'!$A$1:$O$113,15,0)),0,VLOOKUP($S$1144,'TAR FIN'!$A$1:$O$113,15,0))</f>
        <v>0</v>
      </c>
      <c r="W1144" s="53">
        <f>IF(ISERROR(VLOOKUP($T$1144,'TAR FIN'!$A$1:$O$113,15,0)),0,VLOOKUP($T$1144,'TAR FIN'!$A$1:$O$113,15,0))*(1-0.06)</f>
        <v>282.28199999999998</v>
      </c>
      <c r="X1144" s="53">
        <f>IF(ISERROR(VLOOKUP($U$1144,'TAR FIN'!$A$1:$O$113,15,0)),0,VLOOKUP($U$1144,'TAR FIN'!$A$1:$O$113,15,0))*(1-0.06)</f>
        <v>274.8184</v>
      </c>
      <c r="Y1144" s="53"/>
      <c r="Z1144" s="53">
        <f ca="1">('TUSD BE'!$AM$68+'TUSD BF'!$AM$68+'TUSD CVA'!$AM$68)*1*(1-0.03)</f>
        <v>381.48586626245464</v>
      </c>
      <c r="AA1144" s="53">
        <f>('TE BE'!$AB$46+'TE BF'!$AB$46+'TE CVA'!$AB$46)*1*(1-0.03)</f>
        <v>305.34162288285285</v>
      </c>
      <c r="AB1144" s="6">
        <f>$K$1144*$V$1144</f>
        <v>0</v>
      </c>
      <c r="AC1144" s="6">
        <f>$M$1144*$W$1144</f>
        <v>36496.239779999996</v>
      </c>
      <c r="AD1144" s="6">
        <f>$O$1144*$X$1144</f>
        <v>35531.270936000001</v>
      </c>
      <c r="AE1144" s="6">
        <f>$K$1144*$Y$1144</f>
        <v>0</v>
      </c>
      <c r="AF1144" s="6">
        <f ca="1">$M$1144*$Z$1144</f>
        <v>49322.307649072754</v>
      </c>
      <c r="AG1144" s="6">
        <f>$O$1144*$AA$1144</f>
        <v>39477.618422524043</v>
      </c>
    </row>
    <row r="1145" spans="1:33" ht="11.25" customHeight="1" x14ac:dyDescent="0.3">
      <c r="A1145" s="4" t="s">
        <v>53</v>
      </c>
      <c r="B1145" s="4" t="s">
        <v>37</v>
      </c>
      <c r="C1145" s="4" t="s">
        <v>23</v>
      </c>
      <c r="D1145" s="4" t="s">
        <v>50</v>
      </c>
      <c r="E1145" s="4" t="s">
        <v>51</v>
      </c>
      <c r="F1145" s="4" t="s">
        <v>25</v>
      </c>
      <c r="G1145" s="4" t="s">
        <v>25</v>
      </c>
      <c r="H1145" s="4" t="s">
        <v>25</v>
      </c>
      <c r="I1145" s="5">
        <v>44835</v>
      </c>
      <c r="J1145" s="6">
        <v>0</v>
      </c>
      <c r="K1145" s="53">
        <v>0</v>
      </c>
      <c r="L1145" s="6">
        <v>129.29</v>
      </c>
      <c r="M1145" s="53">
        <v>129.29</v>
      </c>
      <c r="N1145" s="6">
        <v>129.29</v>
      </c>
      <c r="O1145" s="53">
        <v>129.29</v>
      </c>
      <c r="P1145" s="6">
        <v>122</v>
      </c>
      <c r="Q1145" s="4" t="s">
        <v>26</v>
      </c>
      <c r="R1145" s="4">
        <v>0</v>
      </c>
      <c r="S1145" s="6">
        <v>0</v>
      </c>
      <c r="T1145" s="6">
        <v>63</v>
      </c>
      <c r="U1145" s="6">
        <v>91</v>
      </c>
      <c r="V1145" s="53">
        <f>IF(ISERROR(VLOOKUP($S$1145,'TAR FIN'!$A$1:$O$113,15,0)),0,VLOOKUP($S$1145,'TAR FIN'!$A$1:$O$113,15,0))</f>
        <v>0</v>
      </c>
      <c r="W1145" s="53">
        <f>IF(ISERROR(VLOOKUP($T$1145,'TAR FIN'!$A$1:$O$113,15,0)),0,VLOOKUP($T$1145,'TAR FIN'!$A$1:$O$113,15,0))*(1-0.06)</f>
        <v>282.28199999999998</v>
      </c>
      <c r="X1145" s="53">
        <f>IF(ISERROR(VLOOKUP($U$1145,'TAR FIN'!$A$1:$O$113,15,0)),0,VLOOKUP($U$1145,'TAR FIN'!$A$1:$O$113,15,0))*(1-0.06)</f>
        <v>274.8184</v>
      </c>
      <c r="Y1145" s="53"/>
      <c r="Z1145" s="53">
        <f ca="1">('TUSD BE'!$AM$68+'TUSD BF'!$AM$68+'TUSD CVA'!$AM$68)*1*(1-0.03)</f>
        <v>381.48586626245464</v>
      </c>
      <c r="AA1145" s="53">
        <f>('TE BE'!$AB$46+'TE BF'!$AB$46+'TE CVA'!$AB$46)*1*(1-0.03)</f>
        <v>305.34162288285285</v>
      </c>
      <c r="AB1145" s="6">
        <f>$K$1145*$V$1145</f>
        <v>0</v>
      </c>
      <c r="AC1145" s="6">
        <f>$M$1145*$W$1145</f>
        <v>36496.239779999996</v>
      </c>
      <c r="AD1145" s="6">
        <f>$O$1145*$X$1145</f>
        <v>35531.270936000001</v>
      </c>
      <c r="AE1145" s="6">
        <f>$K$1145*$Y$1145</f>
        <v>0</v>
      </c>
      <c r="AF1145" s="6">
        <f ca="1">$M$1145*$Z$1145</f>
        <v>49322.307649072754</v>
      </c>
      <c r="AG1145" s="6">
        <f>$O$1145*$AA$1145</f>
        <v>39477.618422524043</v>
      </c>
    </row>
    <row r="1146" spans="1:33" ht="11.25" customHeight="1" x14ac:dyDescent="0.3">
      <c r="A1146" s="4" t="s">
        <v>21</v>
      </c>
      <c r="B1146" s="4" t="s">
        <v>47</v>
      </c>
      <c r="C1146" s="4" t="s">
        <v>23</v>
      </c>
      <c r="D1146" s="4" t="s">
        <v>48</v>
      </c>
      <c r="E1146" s="4" t="s">
        <v>49</v>
      </c>
      <c r="F1146" s="4" t="s">
        <v>25</v>
      </c>
      <c r="G1146" s="4" t="s">
        <v>25</v>
      </c>
      <c r="H1146" s="4" t="s">
        <v>25</v>
      </c>
      <c r="I1146" s="5">
        <v>44501</v>
      </c>
      <c r="J1146" s="6">
        <v>0</v>
      </c>
      <c r="K1146" s="6">
        <v>0</v>
      </c>
      <c r="L1146" s="6">
        <v>1655.827</v>
      </c>
      <c r="M1146" s="6">
        <v>1655.827</v>
      </c>
      <c r="N1146" s="6">
        <v>1655.827</v>
      </c>
      <c r="O1146" s="6">
        <v>1655.827</v>
      </c>
      <c r="P1146" s="6">
        <v>7</v>
      </c>
      <c r="Q1146" s="4" t="s">
        <v>26</v>
      </c>
      <c r="R1146" s="4">
        <v>0</v>
      </c>
      <c r="S1146" s="6">
        <v>0</v>
      </c>
      <c r="T1146" s="6">
        <v>88</v>
      </c>
      <c r="U1146" s="6">
        <v>89</v>
      </c>
      <c r="V1146" s="6">
        <f>IF(ISERROR(VLOOKUP($S$1146,'TAR FIN'!$A$1:$O$113,15,0)),0,VLOOKUP($S$1146,'TAR FIN'!$A$1:$O$113,15,0))</f>
        <v>0</v>
      </c>
      <c r="W1146" s="6">
        <f>IF(ISERROR(VLOOKUP($T$1146,'TAR FIN'!$A$1:$O$113,15,0)),0,VLOOKUP($T$1146,'TAR FIN'!$A$1:$O$113,15,0))</f>
        <v>165.16</v>
      </c>
      <c r="X1146" s="6">
        <f>IF(ISERROR(VLOOKUP($U$1146,'TAR FIN'!$A$1:$O$113,15,0)),0,VLOOKUP($U$1146,'TAR FIN'!$A$1:$O$113,15,0))</f>
        <v>160.80000000000001</v>
      </c>
      <c r="Y1146" s="6"/>
      <c r="Z1146" s="6">
        <f ca="1">('TUSD BE'!$AM$70+'TUSD BF'!$AM$70+'TUSD CVA'!$AM$70)*1</f>
        <v>216.3064190147939</v>
      </c>
      <c r="AA1146" s="6">
        <f>('TE BE'!$AB$48+'TE BF'!$AB$48+'TE CVA'!$AB$48)*1</f>
        <v>173.13184802635985</v>
      </c>
      <c r="AB1146" s="6">
        <f>$K$1146*$V$1146</f>
        <v>0</v>
      </c>
      <c r="AC1146" s="6">
        <f>$M$1146*$W$1146</f>
        <v>273476.38731999998</v>
      </c>
      <c r="AD1146" s="6">
        <f>$O$1146*$X$1146</f>
        <v>266256.9816</v>
      </c>
      <c r="AE1146" s="6">
        <f>$K$1146*$Y$1146</f>
        <v>0</v>
      </c>
      <c r="AF1146" s="6">
        <f ca="1">$M$1146*$Z$1146</f>
        <v>358166.00887800916</v>
      </c>
      <c r="AG1146" s="6">
        <f>$O$1146*$AA$1146</f>
        <v>286676.38852194336</v>
      </c>
    </row>
    <row r="1147" spans="1:33" ht="11.25" customHeight="1" x14ac:dyDescent="0.3">
      <c r="A1147" s="4" t="s">
        <v>21</v>
      </c>
      <c r="B1147" s="4" t="s">
        <v>47</v>
      </c>
      <c r="C1147" s="4" t="s">
        <v>23</v>
      </c>
      <c r="D1147" s="4" t="s">
        <v>48</v>
      </c>
      <c r="E1147" s="4" t="s">
        <v>49</v>
      </c>
      <c r="F1147" s="4" t="s">
        <v>25</v>
      </c>
      <c r="G1147" s="4" t="s">
        <v>25</v>
      </c>
      <c r="H1147" s="4" t="s">
        <v>25</v>
      </c>
      <c r="I1147" s="5">
        <v>44531</v>
      </c>
      <c r="J1147" s="6">
        <v>0</v>
      </c>
      <c r="K1147" s="6">
        <v>0</v>
      </c>
      <c r="L1147" s="6">
        <v>1520.616</v>
      </c>
      <c r="M1147" s="6">
        <v>1520.616</v>
      </c>
      <c r="N1147" s="6">
        <v>1520.616</v>
      </c>
      <c r="O1147" s="6">
        <v>1520.616</v>
      </c>
      <c r="P1147" s="6">
        <v>7</v>
      </c>
      <c r="Q1147" s="4" t="s">
        <v>26</v>
      </c>
      <c r="R1147" s="4">
        <v>0</v>
      </c>
      <c r="S1147" s="6">
        <v>0</v>
      </c>
      <c r="T1147" s="6">
        <v>88</v>
      </c>
      <c r="U1147" s="6">
        <v>89</v>
      </c>
      <c r="V1147" s="6">
        <f>IF(ISERROR(VLOOKUP($S$1147,'TAR FIN'!$A$1:$O$113,15,0)),0,VLOOKUP($S$1147,'TAR FIN'!$A$1:$O$113,15,0))</f>
        <v>0</v>
      </c>
      <c r="W1147" s="6">
        <f>IF(ISERROR(VLOOKUP($T$1147,'TAR FIN'!$A$1:$O$113,15,0)),0,VLOOKUP($T$1147,'TAR FIN'!$A$1:$O$113,15,0))</f>
        <v>165.16</v>
      </c>
      <c r="X1147" s="6">
        <f>IF(ISERROR(VLOOKUP($U$1147,'TAR FIN'!$A$1:$O$113,15,0)),0,VLOOKUP($U$1147,'TAR FIN'!$A$1:$O$113,15,0))</f>
        <v>160.80000000000001</v>
      </c>
      <c r="Y1147" s="6"/>
      <c r="Z1147" s="6">
        <f ca="1">('TUSD BE'!$AM$70+'TUSD BF'!$AM$70+'TUSD CVA'!$AM$70)*1</f>
        <v>216.3064190147939</v>
      </c>
      <c r="AA1147" s="6">
        <f>('TE BE'!$AB$48+'TE BF'!$AB$48+'TE CVA'!$AB$48)*1</f>
        <v>173.13184802635985</v>
      </c>
      <c r="AB1147" s="6">
        <f>$K$1147*$V$1147</f>
        <v>0</v>
      </c>
      <c r="AC1147" s="6">
        <f>$M$1147*$W$1147</f>
        <v>251144.93855999998</v>
      </c>
      <c r="AD1147" s="6">
        <f>$O$1147*$X$1147</f>
        <v>244515.0528</v>
      </c>
      <c r="AE1147" s="6">
        <f>$K$1147*$Y$1147</f>
        <v>0</v>
      </c>
      <c r="AF1147" s="6">
        <f ca="1">$M$1147*$Z$1147</f>
        <v>328919.00165659987</v>
      </c>
      <c r="AG1147" s="6">
        <f>$O$1147*$AA$1147</f>
        <v>263267.05821845122</v>
      </c>
    </row>
    <row r="1148" spans="1:33" ht="11.25" customHeight="1" x14ac:dyDescent="0.3">
      <c r="A1148" s="4" t="s">
        <v>21</v>
      </c>
      <c r="B1148" s="4" t="s">
        <v>47</v>
      </c>
      <c r="C1148" s="4" t="s">
        <v>23</v>
      </c>
      <c r="D1148" s="4" t="s">
        <v>48</v>
      </c>
      <c r="E1148" s="4" t="s">
        <v>49</v>
      </c>
      <c r="F1148" s="4" t="s">
        <v>25</v>
      </c>
      <c r="G1148" s="4" t="s">
        <v>25</v>
      </c>
      <c r="H1148" s="4" t="s">
        <v>25</v>
      </c>
      <c r="I1148" s="5">
        <v>44562</v>
      </c>
      <c r="J1148" s="6">
        <v>0</v>
      </c>
      <c r="K1148" s="6">
        <v>0</v>
      </c>
      <c r="L1148" s="6">
        <v>1581.3240000000001</v>
      </c>
      <c r="M1148" s="6">
        <v>1581.3240000000001</v>
      </c>
      <c r="N1148" s="6">
        <v>1581.3240000000001</v>
      </c>
      <c r="O1148" s="6">
        <v>1581.3240000000001</v>
      </c>
      <c r="P1148" s="6">
        <v>8</v>
      </c>
      <c r="Q1148" s="4" t="s">
        <v>26</v>
      </c>
      <c r="R1148" s="4">
        <v>0</v>
      </c>
      <c r="S1148" s="6">
        <v>0</v>
      </c>
      <c r="T1148" s="6">
        <v>88</v>
      </c>
      <c r="U1148" s="6">
        <v>89</v>
      </c>
      <c r="V1148" s="6">
        <f>IF(ISERROR(VLOOKUP($S$1148,'TAR FIN'!$A$1:$O$113,15,0)),0,VLOOKUP($S$1148,'TAR FIN'!$A$1:$O$113,15,0))</f>
        <v>0</v>
      </c>
      <c r="W1148" s="6">
        <f>IF(ISERROR(VLOOKUP($T$1148,'TAR FIN'!$A$1:$O$113,15,0)),0,VLOOKUP($T$1148,'TAR FIN'!$A$1:$O$113,15,0))</f>
        <v>165.16</v>
      </c>
      <c r="X1148" s="6">
        <f>IF(ISERROR(VLOOKUP($U$1148,'TAR FIN'!$A$1:$O$113,15,0)),0,VLOOKUP($U$1148,'TAR FIN'!$A$1:$O$113,15,0))</f>
        <v>160.80000000000001</v>
      </c>
      <c r="Y1148" s="6"/>
      <c r="Z1148" s="6">
        <f ca="1">('TUSD BE'!$AM$70+'TUSD BF'!$AM$70+'TUSD CVA'!$AM$70)*1</f>
        <v>216.3064190147939</v>
      </c>
      <c r="AA1148" s="6">
        <f>('TE BE'!$AB$48+'TE BF'!$AB$48+'TE CVA'!$AB$48)*1</f>
        <v>173.13184802635985</v>
      </c>
      <c r="AB1148" s="6">
        <f>$K$1148*$V$1148</f>
        <v>0</v>
      </c>
      <c r="AC1148" s="6">
        <f>$M$1148*$W$1148</f>
        <v>261171.47184000001</v>
      </c>
      <c r="AD1148" s="6">
        <f>$O$1148*$X$1148</f>
        <v>254276.89920000004</v>
      </c>
      <c r="AE1148" s="6">
        <f>$K$1148*$Y$1148</f>
        <v>0</v>
      </c>
      <c r="AF1148" s="6">
        <f ca="1">$M$1148*$Z$1148</f>
        <v>342050.53174214996</v>
      </c>
      <c r="AG1148" s="6">
        <f>$O$1148*$AA$1148</f>
        <v>273777.54644843546</v>
      </c>
    </row>
    <row r="1149" spans="1:33" ht="11.25" customHeight="1" x14ac:dyDescent="0.3">
      <c r="A1149" s="4" t="s">
        <v>21</v>
      </c>
      <c r="B1149" s="4" t="s">
        <v>47</v>
      </c>
      <c r="C1149" s="4" t="s">
        <v>23</v>
      </c>
      <c r="D1149" s="4" t="s">
        <v>48</v>
      </c>
      <c r="E1149" s="4" t="s">
        <v>49</v>
      </c>
      <c r="F1149" s="4" t="s">
        <v>25</v>
      </c>
      <c r="G1149" s="4" t="s">
        <v>25</v>
      </c>
      <c r="H1149" s="4" t="s">
        <v>25</v>
      </c>
      <c r="I1149" s="5">
        <v>44593</v>
      </c>
      <c r="J1149" s="6">
        <v>0</v>
      </c>
      <c r="K1149" s="6">
        <v>0</v>
      </c>
      <c r="L1149" s="6">
        <v>1533.1579999999999</v>
      </c>
      <c r="M1149" s="6">
        <v>1533.1579999999999</v>
      </c>
      <c r="N1149" s="6">
        <v>1533.1579999999999</v>
      </c>
      <c r="O1149" s="6">
        <v>1533.1579999999999</v>
      </c>
      <c r="P1149" s="6">
        <v>7</v>
      </c>
      <c r="Q1149" s="4" t="s">
        <v>26</v>
      </c>
      <c r="R1149" s="4">
        <v>0</v>
      </c>
      <c r="S1149" s="6">
        <v>0</v>
      </c>
      <c r="T1149" s="6">
        <v>88</v>
      </c>
      <c r="U1149" s="6">
        <v>89</v>
      </c>
      <c r="V1149" s="6">
        <f>IF(ISERROR(VLOOKUP($S$1149,'TAR FIN'!$A$1:$O$113,15,0)),0,VLOOKUP($S$1149,'TAR FIN'!$A$1:$O$113,15,0))</f>
        <v>0</v>
      </c>
      <c r="W1149" s="6">
        <f>IF(ISERROR(VLOOKUP($T$1149,'TAR FIN'!$A$1:$O$113,15,0)),0,VLOOKUP($T$1149,'TAR FIN'!$A$1:$O$113,15,0))</f>
        <v>165.16</v>
      </c>
      <c r="X1149" s="6">
        <f>IF(ISERROR(VLOOKUP($U$1149,'TAR FIN'!$A$1:$O$113,15,0)),0,VLOOKUP($U$1149,'TAR FIN'!$A$1:$O$113,15,0))</f>
        <v>160.80000000000001</v>
      </c>
      <c r="Y1149" s="6"/>
      <c r="Z1149" s="6">
        <f ca="1">('TUSD BE'!$AM$70+'TUSD BF'!$AM$70+'TUSD CVA'!$AM$70)*1</f>
        <v>216.3064190147939</v>
      </c>
      <c r="AA1149" s="6">
        <f>('TE BE'!$AB$48+'TE BF'!$AB$48+'TE CVA'!$AB$48)*1</f>
        <v>173.13184802635985</v>
      </c>
      <c r="AB1149" s="6">
        <f>$K$1149*$V$1149</f>
        <v>0</v>
      </c>
      <c r="AC1149" s="6">
        <f>$M$1149*$W$1149</f>
        <v>253216.37527999998</v>
      </c>
      <c r="AD1149" s="6">
        <f>$O$1149*$X$1149</f>
        <v>246531.8064</v>
      </c>
      <c r="AE1149" s="6">
        <f>$K$1149*$Y$1149</f>
        <v>0</v>
      </c>
      <c r="AF1149" s="6">
        <f ca="1">$M$1149*$Z$1149</f>
        <v>331631.91676388338</v>
      </c>
      <c r="AG1149" s="6">
        <f>$O$1149*$AA$1149</f>
        <v>265438.4778563978</v>
      </c>
    </row>
    <row r="1150" spans="1:33" ht="11.25" customHeight="1" x14ac:dyDescent="0.3">
      <c r="A1150" s="4" t="s">
        <v>21</v>
      </c>
      <c r="B1150" s="4" t="s">
        <v>47</v>
      </c>
      <c r="C1150" s="4" t="s">
        <v>23</v>
      </c>
      <c r="D1150" s="4" t="s">
        <v>48</v>
      </c>
      <c r="E1150" s="4" t="s">
        <v>49</v>
      </c>
      <c r="F1150" s="4" t="s">
        <v>25</v>
      </c>
      <c r="G1150" s="4" t="s">
        <v>25</v>
      </c>
      <c r="H1150" s="4" t="s">
        <v>25</v>
      </c>
      <c r="I1150" s="5">
        <v>44621</v>
      </c>
      <c r="J1150" s="6">
        <v>0</v>
      </c>
      <c r="K1150" s="6">
        <v>0</v>
      </c>
      <c r="L1150" s="6">
        <v>1434.3309999999999</v>
      </c>
      <c r="M1150" s="6">
        <v>1434.3309999999999</v>
      </c>
      <c r="N1150" s="6">
        <v>1434.3309999999999</v>
      </c>
      <c r="O1150" s="6">
        <v>1434.3309999999999</v>
      </c>
      <c r="P1150" s="6">
        <v>7</v>
      </c>
      <c r="Q1150" s="4" t="s">
        <v>26</v>
      </c>
      <c r="R1150" s="4">
        <v>0</v>
      </c>
      <c r="S1150" s="6">
        <v>0</v>
      </c>
      <c r="T1150" s="6">
        <v>88</v>
      </c>
      <c r="U1150" s="6">
        <v>89</v>
      </c>
      <c r="V1150" s="6">
        <f>IF(ISERROR(VLOOKUP($S$1150,'TAR FIN'!$A$1:$O$113,15,0)),0,VLOOKUP($S$1150,'TAR FIN'!$A$1:$O$113,15,0))</f>
        <v>0</v>
      </c>
      <c r="W1150" s="6">
        <f>IF(ISERROR(VLOOKUP($T$1150,'TAR FIN'!$A$1:$O$113,15,0)),0,VLOOKUP($T$1150,'TAR FIN'!$A$1:$O$113,15,0))</f>
        <v>165.16</v>
      </c>
      <c r="X1150" s="6">
        <f>IF(ISERROR(VLOOKUP($U$1150,'TAR FIN'!$A$1:$O$113,15,0)),0,VLOOKUP($U$1150,'TAR FIN'!$A$1:$O$113,15,0))</f>
        <v>160.80000000000001</v>
      </c>
      <c r="Y1150" s="6"/>
      <c r="Z1150" s="6">
        <f ca="1">('TUSD BE'!$AM$70+'TUSD BF'!$AM$70+'TUSD CVA'!$AM$70)*1</f>
        <v>216.3064190147939</v>
      </c>
      <c r="AA1150" s="6">
        <f>('TE BE'!$AB$48+'TE BF'!$AB$48+'TE CVA'!$AB$48)*1</f>
        <v>173.13184802635985</v>
      </c>
      <c r="AB1150" s="6">
        <f>$K$1150*$V$1150</f>
        <v>0</v>
      </c>
      <c r="AC1150" s="6">
        <f>$M$1150*$W$1150</f>
        <v>236894.10795999996</v>
      </c>
      <c r="AD1150" s="6">
        <f>$O$1150*$X$1150</f>
        <v>230640.42480000001</v>
      </c>
      <c r="AE1150" s="6">
        <f>$K$1150*$Y$1150</f>
        <v>0</v>
      </c>
      <c r="AF1150" s="6">
        <f ca="1">$M$1150*$Z$1150</f>
        <v>310255.00229190831</v>
      </c>
      <c r="AG1150" s="6">
        <f>$O$1150*$AA$1150</f>
        <v>248328.37671149673</v>
      </c>
    </row>
    <row r="1151" spans="1:33" ht="11.25" customHeight="1" x14ac:dyDescent="0.3">
      <c r="A1151" s="4" t="s">
        <v>21</v>
      </c>
      <c r="B1151" s="4" t="s">
        <v>47</v>
      </c>
      <c r="C1151" s="4" t="s">
        <v>23</v>
      </c>
      <c r="D1151" s="4" t="s">
        <v>48</v>
      </c>
      <c r="E1151" s="4" t="s">
        <v>49</v>
      </c>
      <c r="F1151" s="4" t="s">
        <v>25</v>
      </c>
      <c r="G1151" s="4" t="s">
        <v>25</v>
      </c>
      <c r="H1151" s="4" t="s">
        <v>25</v>
      </c>
      <c r="I1151" s="5">
        <v>44652</v>
      </c>
      <c r="J1151" s="6">
        <v>0</v>
      </c>
      <c r="K1151" s="6">
        <v>0</v>
      </c>
      <c r="L1151" s="6">
        <v>1639.623</v>
      </c>
      <c r="M1151" s="6">
        <v>1639.623</v>
      </c>
      <c r="N1151" s="6">
        <v>1639.623</v>
      </c>
      <c r="O1151" s="6">
        <v>1639.623</v>
      </c>
      <c r="P1151" s="6">
        <v>7</v>
      </c>
      <c r="Q1151" s="4" t="s">
        <v>26</v>
      </c>
      <c r="R1151" s="4">
        <v>0</v>
      </c>
      <c r="S1151" s="6">
        <v>0</v>
      </c>
      <c r="T1151" s="6">
        <v>88</v>
      </c>
      <c r="U1151" s="6">
        <v>89</v>
      </c>
      <c r="V1151" s="6">
        <f>IF(ISERROR(VLOOKUP($S$1151,'TAR FIN'!$A$1:$O$113,15,0)),0,VLOOKUP($S$1151,'TAR FIN'!$A$1:$O$113,15,0))</f>
        <v>0</v>
      </c>
      <c r="W1151" s="6">
        <f>IF(ISERROR(VLOOKUP($T$1151,'TAR FIN'!$A$1:$O$113,15,0)),0,VLOOKUP($T$1151,'TAR FIN'!$A$1:$O$113,15,0))</f>
        <v>165.16</v>
      </c>
      <c r="X1151" s="6">
        <f>IF(ISERROR(VLOOKUP($U$1151,'TAR FIN'!$A$1:$O$113,15,0)),0,VLOOKUP($U$1151,'TAR FIN'!$A$1:$O$113,15,0))</f>
        <v>160.80000000000001</v>
      </c>
      <c r="Y1151" s="6"/>
      <c r="Z1151" s="6">
        <f ca="1">('TUSD BE'!$AM$70+'TUSD BF'!$AM$70+'TUSD CVA'!$AM$70)*1</f>
        <v>216.3064190147939</v>
      </c>
      <c r="AA1151" s="6">
        <f>('TE BE'!$AB$48+'TE BF'!$AB$48+'TE CVA'!$AB$48)*1</f>
        <v>173.13184802635985</v>
      </c>
      <c r="AB1151" s="6">
        <f>$K$1151*$V$1151</f>
        <v>0</v>
      </c>
      <c r="AC1151" s="6">
        <f>$M$1151*$W$1151</f>
        <v>270800.13468000002</v>
      </c>
      <c r="AD1151" s="6">
        <f>$O$1151*$X$1151</f>
        <v>263651.37840000005</v>
      </c>
      <c r="AE1151" s="6">
        <f>$K$1151*$Y$1151</f>
        <v>0</v>
      </c>
      <c r="AF1151" s="6">
        <f ca="1">$M$1151*$Z$1151</f>
        <v>354660.97966429341</v>
      </c>
      <c r="AG1151" s="6">
        <f>$O$1151*$AA$1151</f>
        <v>283870.9600565242</v>
      </c>
    </row>
    <row r="1152" spans="1:33" ht="11.25" customHeight="1" x14ac:dyDescent="0.3">
      <c r="A1152" s="4" t="s">
        <v>21</v>
      </c>
      <c r="B1152" s="4" t="s">
        <v>47</v>
      </c>
      <c r="C1152" s="4" t="s">
        <v>23</v>
      </c>
      <c r="D1152" s="4" t="s">
        <v>48</v>
      </c>
      <c r="E1152" s="4" t="s">
        <v>49</v>
      </c>
      <c r="F1152" s="4" t="s">
        <v>25</v>
      </c>
      <c r="G1152" s="4" t="s">
        <v>25</v>
      </c>
      <c r="H1152" s="4" t="s">
        <v>25</v>
      </c>
      <c r="I1152" s="5">
        <v>44682</v>
      </c>
      <c r="J1152" s="6">
        <v>0</v>
      </c>
      <c r="K1152" s="6">
        <v>0</v>
      </c>
      <c r="L1152" s="6">
        <v>1659.1769999999999</v>
      </c>
      <c r="M1152" s="6">
        <v>1659.1769999999999</v>
      </c>
      <c r="N1152" s="6">
        <v>1659.1769999999999</v>
      </c>
      <c r="O1152" s="6">
        <v>1659.1769999999999</v>
      </c>
      <c r="P1152" s="6">
        <v>7</v>
      </c>
      <c r="Q1152" s="4" t="s">
        <v>26</v>
      </c>
      <c r="R1152" s="4">
        <v>0</v>
      </c>
      <c r="S1152" s="6">
        <v>0</v>
      </c>
      <c r="T1152" s="6">
        <v>88</v>
      </c>
      <c r="U1152" s="6">
        <v>89</v>
      </c>
      <c r="V1152" s="6">
        <f>IF(ISERROR(VLOOKUP($S$1152,'TAR FIN'!$A$1:$O$113,15,0)),0,VLOOKUP($S$1152,'TAR FIN'!$A$1:$O$113,15,0))</f>
        <v>0</v>
      </c>
      <c r="W1152" s="6">
        <f>IF(ISERROR(VLOOKUP($T$1152,'TAR FIN'!$A$1:$O$113,15,0)),0,VLOOKUP($T$1152,'TAR FIN'!$A$1:$O$113,15,0))</f>
        <v>165.16</v>
      </c>
      <c r="X1152" s="6">
        <f>IF(ISERROR(VLOOKUP($U$1152,'TAR FIN'!$A$1:$O$113,15,0)),0,VLOOKUP($U$1152,'TAR FIN'!$A$1:$O$113,15,0))</f>
        <v>160.80000000000001</v>
      </c>
      <c r="Y1152" s="6"/>
      <c r="Z1152" s="6">
        <f ca="1">('TUSD BE'!$AM$70+'TUSD BF'!$AM$70+'TUSD CVA'!$AM$70)*1</f>
        <v>216.3064190147939</v>
      </c>
      <c r="AA1152" s="6">
        <f>('TE BE'!$AB$48+'TE BF'!$AB$48+'TE CVA'!$AB$48)*1</f>
        <v>173.13184802635985</v>
      </c>
      <c r="AB1152" s="6">
        <f>$K$1152*$V$1152</f>
        <v>0</v>
      </c>
      <c r="AC1152" s="6">
        <f>$M$1152*$W$1152</f>
        <v>274029.67332</v>
      </c>
      <c r="AD1152" s="6">
        <f>$O$1152*$X$1152</f>
        <v>266795.66159999999</v>
      </c>
      <c r="AE1152" s="6">
        <f>$K$1152*$Y$1152</f>
        <v>0</v>
      </c>
      <c r="AF1152" s="6">
        <f ca="1">$M$1152*$Z$1152</f>
        <v>358890.63538170868</v>
      </c>
      <c r="AG1152" s="6">
        <f>$O$1152*$AA$1152</f>
        <v>287256.38021283166</v>
      </c>
    </row>
    <row r="1153" spans="1:33" ht="11.25" customHeight="1" x14ac:dyDescent="0.3">
      <c r="A1153" s="4" t="s">
        <v>21</v>
      </c>
      <c r="B1153" s="4" t="s">
        <v>47</v>
      </c>
      <c r="C1153" s="4" t="s">
        <v>23</v>
      </c>
      <c r="D1153" s="4" t="s">
        <v>48</v>
      </c>
      <c r="E1153" s="4" t="s">
        <v>49</v>
      </c>
      <c r="F1153" s="4" t="s">
        <v>25</v>
      </c>
      <c r="G1153" s="4" t="s">
        <v>25</v>
      </c>
      <c r="H1153" s="4" t="s">
        <v>25</v>
      </c>
      <c r="I1153" s="5">
        <v>44713</v>
      </c>
      <c r="J1153" s="6">
        <v>0</v>
      </c>
      <c r="K1153" s="6">
        <v>0</v>
      </c>
      <c r="L1153" s="6">
        <v>1776.6980000000001</v>
      </c>
      <c r="M1153" s="6">
        <v>1776.6980000000001</v>
      </c>
      <c r="N1153" s="6">
        <v>1776.6980000000001</v>
      </c>
      <c r="O1153" s="6">
        <v>1776.6980000000001</v>
      </c>
      <c r="P1153" s="6">
        <v>7</v>
      </c>
      <c r="Q1153" s="4" t="s">
        <v>26</v>
      </c>
      <c r="R1153" s="4">
        <v>0</v>
      </c>
      <c r="S1153" s="6">
        <v>0</v>
      </c>
      <c r="T1153" s="6">
        <v>88</v>
      </c>
      <c r="U1153" s="6">
        <v>89</v>
      </c>
      <c r="V1153" s="6">
        <f>IF(ISERROR(VLOOKUP($S$1153,'TAR FIN'!$A$1:$O$113,15,0)),0,VLOOKUP($S$1153,'TAR FIN'!$A$1:$O$113,15,0))</f>
        <v>0</v>
      </c>
      <c r="W1153" s="6">
        <f>IF(ISERROR(VLOOKUP($T$1153,'TAR FIN'!$A$1:$O$113,15,0)),0,VLOOKUP($T$1153,'TAR FIN'!$A$1:$O$113,15,0))</f>
        <v>165.16</v>
      </c>
      <c r="X1153" s="6">
        <f>IF(ISERROR(VLOOKUP($U$1153,'TAR FIN'!$A$1:$O$113,15,0)),0,VLOOKUP($U$1153,'TAR FIN'!$A$1:$O$113,15,0))</f>
        <v>160.80000000000001</v>
      </c>
      <c r="Y1153" s="6"/>
      <c r="Z1153" s="6">
        <f ca="1">('TUSD BE'!$AM$70+'TUSD BF'!$AM$70+'TUSD CVA'!$AM$70)*1</f>
        <v>216.3064190147939</v>
      </c>
      <c r="AA1153" s="6">
        <f>('TE BE'!$AB$48+'TE BF'!$AB$48+'TE CVA'!$AB$48)*1</f>
        <v>173.13184802635985</v>
      </c>
      <c r="AB1153" s="6">
        <f>$K$1153*$V$1153</f>
        <v>0</v>
      </c>
      <c r="AC1153" s="6">
        <f>$M$1153*$W$1153</f>
        <v>293439.44167999999</v>
      </c>
      <c r="AD1153" s="6">
        <f>$O$1153*$X$1153</f>
        <v>285693.03840000002</v>
      </c>
      <c r="AE1153" s="6">
        <f>$K$1153*$Y$1153</f>
        <v>0</v>
      </c>
      <c r="AF1153" s="6">
        <f ca="1">$M$1153*$Z$1153</f>
        <v>384311.18205074634</v>
      </c>
      <c r="AG1153" s="6">
        <f>$O$1153*$AA$1153</f>
        <v>307603.00812473748</v>
      </c>
    </row>
    <row r="1154" spans="1:33" ht="11.25" customHeight="1" x14ac:dyDescent="0.3">
      <c r="A1154" s="4" t="s">
        <v>21</v>
      </c>
      <c r="B1154" s="4" t="s">
        <v>47</v>
      </c>
      <c r="C1154" s="4" t="s">
        <v>23</v>
      </c>
      <c r="D1154" s="4" t="s">
        <v>48</v>
      </c>
      <c r="E1154" s="4" t="s">
        <v>49</v>
      </c>
      <c r="F1154" s="4" t="s">
        <v>25</v>
      </c>
      <c r="G1154" s="4" t="s">
        <v>25</v>
      </c>
      <c r="H1154" s="4" t="s">
        <v>25</v>
      </c>
      <c r="I1154" s="5">
        <v>44743</v>
      </c>
      <c r="J1154" s="6">
        <v>0</v>
      </c>
      <c r="K1154" s="6">
        <v>0</v>
      </c>
      <c r="L1154" s="6">
        <v>1731.701</v>
      </c>
      <c r="M1154" s="6">
        <v>1731.701</v>
      </c>
      <c r="N1154" s="6">
        <v>1731.701</v>
      </c>
      <c r="O1154" s="6">
        <v>1731.701</v>
      </c>
      <c r="P1154" s="6">
        <v>6</v>
      </c>
      <c r="Q1154" s="4" t="s">
        <v>26</v>
      </c>
      <c r="R1154" s="4">
        <v>0</v>
      </c>
      <c r="S1154" s="6">
        <v>0</v>
      </c>
      <c r="T1154" s="6">
        <v>88</v>
      </c>
      <c r="U1154" s="6">
        <v>89</v>
      </c>
      <c r="V1154" s="6">
        <f>IF(ISERROR(VLOOKUP($S$1154,'TAR FIN'!$A$1:$O$113,15,0)),0,VLOOKUP($S$1154,'TAR FIN'!$A$1:$O$113,15,0))</f>
        <v>0</v>
      </c>
      <c r="W1154" s="6">
        <f>IF(ISERROR(VLOOKUP($T$1154,'TAR FIN'!$A$1:$O$113,15,0)),0,VLOOKUP($T$1154,'TAR FIN'!$A$1:$O$113,15,0))</f>
        <v>165.16</v>
      </c>
      <c r="X1154" s="6">
        <f>IF(ISERROR(VLOOKUP($U$1154,'TAR FIN'!$A$1:$O$113,15,0)),0,VLOOKUP($U$1154,'TAR FIN'!$A$1:$O$113,15,0))</f>
        <v>160.80000000000001</v>
      </c>
      <c r="Y1154" s="6"/>
      <c r="Z1154" s="6">
        <f ca="1">('TUSD BE'!$AM$70+'TUSD BF'!$AM$70+'TUSD CVA'!$AM$70)*1</f>
        <v>216.3064190147939</v>
      </c>
      <c r="AA1154" s="6">
        <f>('TE BE'!$AB$48+'TE BF'!$AB$48+'TE CVA'!$AB$48)*1</f>
        <v>173.13184802635985</v>
      </c>
      <c r="AB1154" s="6">
        <f>$K$1154*$V$1154</f>
        <v>0</v>
      </c>
      <c r="AC1154" s="6">
        <f>$M$1154*$W$1154</f>
        <v>286007.73716000002</v>
      </c>
      <c r="AD1154" s="6">
        <f>$O$1154*$X$1154</f>
        <v>278457.5208</v>
      </c>
      <c r="AE1154" s="6">
        <f>$K$1154*$Y$1154</f>
        <v>0</v>
      </c>
      <c r="AF1154" s="6">
        <f ca="1">$M$1154*$Z$1154</f>
        <v>374578.04211433762</v>
      </c>
      <c r="AG1154" s="6">
        <f>$O$1154*$AA$1154</f>
        <v>299812.59435909538</v>
      </c>
    </row>
    <row r="1155" spans="1:33" ht="11.25" customHeight="1" x14ac:dyDescent="0.3">
      <c r="A1155" s="4" t="s">
        <v>21</v>
      </c>
      <c r="B1155" s="4" t="s">
        <v>47</v>
      </c>
      <c r="C1155" s="4" t="s">
        <v>23</v>
      </c>
      <c r="D1155" s="4" t="s">
        <v>48</v>
      </c>
      <c r="E1155" s="4" t="s">
        <v>49</v>
      </c>
      <c r="F1155" s="4" t="s">
        <v>25</v>
      </c>
      <c r="G1155" s="4" t="s">
        <v>25</v>
      </c>
      <c r="H1155" s="4" t="s">
        <v>25</v>
      </c>
      <c r="I1155" s="5">
        <v>44774</v>
      </c>
      <c r="J1155" s="6">
        <v>0</v>
      </c>
      <c r="K1155" s="6">
        <v>0</v>
      </c>
      <c r="L1155" s="6">
        <v>1771.2239999999999</v>
      </c>
      <c r="M1155" s="6">
        <v>1771.2239999999999</v>
      </c>
      <c r="N1155" s="6">
        <v>1771.2239999999999</v>
      </c>
      <c r="O1155" s="6">
        <v>1771.2239999999999</v>
      </c>
      <c r="P1155" s="6">
        <v>6</v>
      </c>
      <c r="Q1155" s="4" t="s">
        <v>26</v>
      </c>
      <c r="R1155" s="4">
        <v>0</v>
      </c>
      <c r="S1155" s="6">
        <v>0</v>
      </c>
      <c r="T1155" s="6">
        <v>88</v>
      </c>
      <c r="U1155" s="6">
        <v>89</v>
      </c>
      <c r="V1155" s="6">
        <f>IF(ISERROR(VLOOKUP($S$1155,'TAR FIN'!$A$1:$O$113,15,0)),0,VLOOKUP($S$1155,'TAR FIN'!$A$1:$O$113,15,0))</f>
        <v>0</v>
      </c>
      <c r="W1155" s="6">
        <f>IF(ISERROR(VLOOKUP($T$1155,'TAR FIN'!$A$1:$O$113,15,0)),0,VLOOKUP($T$1155,'TAR FIN'!$A$1:$O$113,15,0))</f>
        <v>165.16</v>
      </c>
      <c r="X1155" s="6">
        <f>IF(ISERROR(VLOOKUP($U$1155,'TAR FIN'!$A$1:$O$113,15,0)),0,VLOOKUP($U$1155,'TAR FIN'!$A$1:$O$113,15,0))</f>
        <v>160.80000000000001</v>
      </c>
      <c r="Y1155" s="6"/>
      <c r="Z1155" s="6">
        <f ca="1">('TUSD BE'!$AM$70+'TUSD BF'!$AM$70+'TUSD CVA'!$AM$70)*1</f>
        <v>216.3064190147939</v>
      </c>
      <c r="AA1155" s="6">
        <f>('TE BE'!$AB$48+'TE BF'!$AB$48+'TE CVA'!$AB$48)*1</f>
        <v>173.13184802635985</v>
      </c>
      <c r="AB1155" s="6">
        <f>$K$1155*$V$1155</f>
        <v>0</v>
      </c>
      <c r="AC1155" s="6">
        <f>$M$1155*$W$1155</f>
        <v>292535.35583999997</v>
      </c>
      <c r="AD1155" s="6">
        <f>$O$1155*$X$1155</f>
        <v>284812.81920000003</v>
      </c>
      <c r="AE1155" s="6">
        <f>$K$1155*$Y$1155</f>
        <v>0</v>
      </c>
      <c r="AF1155" s="6">
        <f ca="1">$M$1155*$Z$1155</f>
        <v>383127.12071305932</v>
      </c>
      <c r="AG1155" s="6">
        <f>$O$1155*$AA$1155</f>
        <v>306655.28438864119</v>
      </c>
    </row>
    <row r="1156" spans="1:33" ht="11.25" customHeight="1" x14ac:dyDescent="0.3">
      <c r="A1156" s="4" t="s">
        <v>21</v>
      </c>
      <c r="B1156" s="4" t="s">
        <v>47</v>
      </c>
      <c r="C1156" s="4" t="s">
        <v>23</v>
      </c>
      <c r="D1156" s="4" t="s">
        <v>48</v>
      </c>
      <c r="E1156" s="4" t="s">
        <v>49</v>
      </c>
      <c r="F1156" s="4" t="s">
        <v>25</v>
      </c>
      <c r="G1156" s="4" t="s">
        <v>25</v>
      </c>
      <c r="H1156" s="4" t="s">
        <v>25</v>
      </c>
      <c r="I1156" s="5">
        <v>44805</v>
      </c>
      <c r="J1156" s="6">
        <v>0</v>
      </c>
      <c r="K1156" s="6">
        <v>0</v>
      </c>
      <c r="L1156" s="6">
        <v>1675.3330000000001</v>
      </c>
      <c r="M1156" s="6">
        <v>1675.3330000000001</v>
      </c>
      <c r="N1156" s="6">
        <v>1675.3330000000001</v>
      </c>
      <c r="O1156" s="6">
        <v>1675.3330000000001</v>
      </c>
      <c r="P1156" s="6">
        <v>6</v>
      </c>
      <c r="Q1156" s="4" t="s">
        <v>26</v>
      </c>
      <c r="R1156" s="4">
        <v>0</v>
      </c>
      <c r="S1156" s="6">
        <v>0</v>
      </c>
      <c r="T1156" s="6">
        <v>88</v>
      </c>
      <c r="U1156" s="6">
        <v>89</v>
      </c>
      <c r="V1156" s="6">
        <f>IF(ISERROR(VLOOKUP($S$1156,'TAR FIN'!$A$1:$O$113,15,0)),0,VLOOKUP($S$1156,'TAR FIN'!$A$1:$O$113,15,0))</f>
        <v>0</v>
      </c>
      <c r="W1156" s="6">
        <f>IF(ISERROR(VLOOKUP($T$1156,'TAR FIN'!$A$1:$O$113,15,0)),0,VLOOKUP($T$1156,'TAR FIN'!$A$1:$O$113,15,0))</f>
        <v>165.16</v>
      </c>
      <c r="X1156" s="6">
        <f>IF(ISERROR(VLOOKUP($U$1156,'TAR FIN'!$A$1:$O$113,15,0)),0,VLOOKUP($U$1156,'TAR FIN'!$A$1:$O$113,15,0))</f>
        <v>160.80000000000001</v>
      </c>
      <c r="Y1156" s="6"/>
      <c r="Z1156" s="6">
        <f ca="1">('TUSD BE'!$AM$70+'TUSD BF'!$AM$70+'TUSD CVA'!$AM$70)*1</f>
        <v>216.3064190147939</v>
      </c>
      <c r="AA1156" s="6">
        <f>('TE BE'!$AB$48+'TE BF'!$AB$48+'TE CVA'!$AB$48)*1</f>
        <v>173.13184802635985</v>
      </c>
      <c r="AB1156" s="6">
        <f>$K$1156*$V$1156</f>
        <v>0</v>
      </c>
      <c r="AC1156" s="6">
        <f>$M$1156*$W$1156</f>
        <v>276697.99828</v>
      </c>
      <c r="AD1156" s="6">
        <f>$O$1156*$X$1156</f>
        <v>269393.54640000005</v>
      </c>
      <c r="AE1156" s="6">
        <f>$K$1156*$Y$1156</f>
        <v>0</v>
      </c>
      <c r="AF1156" s="6">
        <f ca="1">$M$1156*$Z$1156</f>
        <v>362385.28188731172</v>
      </c>
      <c r="AG1156" s="6">
        <f>$O$1156*$AA$1156</f>
        <v>290053.49834954552</v>
      </c>
    </row>
    <row r="1157" spans="1:33" ht="11.25" customHeight="1" x14ac:dyDescent="0.3">
      <c r="A1157" s="4" t="s">
        <v>53</v>
      </c>
      <c r="B1157" s="4" t="s">
        <v>47</v>
      </c>
      <c r="C1157" s="4" t="s">
        <v>23</v>
      </c>
      <c r="D1157" s="4" t="s">
        <v>48</v>
      </c>
      <c r="E1157" s="4" t="s">
        <v>49</v>
      </c>
      <c r="F1157" s="4" t="s">
        <v>25</v>
      </c>
      <c r="G1157" s="4" t="s">
        <v>25</v>
      </c>
      <c r="H1157" s="4" t="s">
        <v>25</v>
      </c>
      <c r="I1157" s="5">
        <v>44835</v>
      </c>
      <c r="J1157" s="6">
        <v>0</v>
      </c>
      <c r="K1157" s="6">
        <v>0</v>
      </c>
      <c r="L1157" s="6">
        <v>1675.3330000000001</v>
      </c>
      <c r="M1157" s="6">
        <v>1675.3330000000001</v>
      </c>
      <c r="N1157" s="6">
        <v>1675.3330000000001</v>
      </c>
      <c r="O1157" s="6">
        <v>1675.3330000000001</v>
      </c>
      <c r="P1157" s="6">
        <v>6</v>
      </c>
      <c r="Q1157" s="4" t="s">
        <v>26</v>
      </c>
      <c r="R1157" s="4">
        <v>0</v>
      </c>
      <c r="S1157" s="6">
        <v>0</v>
      </c>
      <c r="T1157" s="6">
        <v>88</v>
      </c>
      <c r="U1157" s="6">
        <v>89</v>
      </c>
      <c r="V1157" s="6">
        <f>IF(ISERROR(VLOOKUP($S$1157,'TAR FIN'!$A$1:$O$113,15,0)),0,VLOOKUP($S$1157,'TAR FIN'!$A$1:$O$113,15,0))</f>
        <v>0</v>
      </c>
      <c r="W1157" s="6">
        <f>IF(ISERROR(VLOOKUP($T$1157,'TAR FIN'!$A$1:$O$113,15,0)),0,VLOOKUP($T$1157,'TAR FIN'!$A$1:$O$113,15,0))</f>
        <v>165.16</v>
      </c>
      <c r="X1157" s="6">
        <f>IF(ISERROR(VLOOKUP($U$1157,'TAR FIN'!$A$1:$O$113,15,0)),0,VLOOKUP($U$1157,'TAR FIN'!$A$1:$O$113,15,0))</f>
        <v>160.80000000000001</v>
      </c>
      <c r="Y1157" s="6"/>
      <c r="Z1157" s="6">
        <f ca="1">('TUSD BE'!$AM$70+'TUSD BF'!$AM$70+'TUSD CVA'!$AM$70)*1</f>
        <v>216.3064190147939</v>
      </c>
      <c r="AA1157" s="6">
        <f>('TE BE'!$AB$48+'TE BF'!$AB$48+'TE CVA'!$AB$48)*1</f>
        <v>173.13184802635985</v>
      </c>
      <c r="AB1157" s="6">
        <f>$K$1157*$V$1157</f>
        <v>0</v>
      </c>
      <c r="AC1157" s="6">
        <f>$M$1157*$W$1157</f>
        <v>276697.99828</v>
      </c>
      <c r="AD1157" s="6">
        <f>$O$1157*$X$1157</f>
        <v>269393.54640000005</v>
      </c>
      <c r="AE1157" s="6">
        <f>$K$1157*$Y$1157</f>
        <v>0</v>
      </c>
      <c r="AF1157" s="6">
        <f ca="1">$M$1157*$Z$1157</f>
        <v>362385.28188731172</v>
      </c>
      <c r="AG1157" s="6">
        <f>$O$1157*$AA$1157</f>
        <v>290053.49834954552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6B6B8-E4F5-4F71-B507-A02CFD1C02DB}">
  <sheetPr codeName="Planilha17"/>
  <dimension ref="A1:AJ1158"/>
  <sheetViews>
    <sheetView showGridLines="0" topLeftCell="AB1" workbookViewId="0">
      <selection activeCell="AJ9" sqref="AJ9"/>
    </sheetView>
  </sheetViews>
  <sheetFormatPr defaultRowHeight="11.25" customHeight="1" x14ac:dyDescent="0.3"/>
  <cols>
    <col min="1" max="1" width="18" style="4" bestFit="1" customWidth="1"/>
    <col min="2" max="2" width="12.109375" style="4" bestFit="1" customWidth="1"/>
    <col min="3" max="3" width="13.5546875" style="4" bestFit="1" customWidth="1"/>
    <col min="4" max="4" width="10.44140625" style="4" bestFit="1" customWidth="1"/>
    <col min="5" max="5" width="23.109375" style="4" bestFit="1" customWidth="1"/>
    <col min="6" max="6" width="12" style="4" bestFit="1" customWidth="1"/>
    <col min="7" max="7" width="15.6640625" style="4" bestFit="1" customWidth="1"/>
    <col min="8" max="8" width="9.5546875" style="4" bestFit="1" customWidth="1"/>
    <col min="9" max="9" width="10.77734375" style="5" bestFit="1" customWidth="1"/>
    <col min="10" max="10" width="7.109375" style="6" bestFit="1" customWidth="1"/>
    <col min="11" max="11" width="7.5546875" style="6" bestFit="1" customWidth="1"/>
    <col min="12" max="12" width="10.77734375" style="6" bestFit="1" customWidth="1"/>
    <col min="13" max="13" width="12.109375" style="6" bestFit="1" customWidth="1"/>
    <col min="14" max="14" width="8.6640625" style="6" bestFit="1" customWidth="1"/>
    <col min="15" max="15" width="10" style="6" bestFit="1" customWidth="1"/>
    <col min="16" max="16" width="7.21875" style="6" bestFit="1" customWidth="1"/>
    <col min="17" max="17" width="10.44140625" style="4" bestFit="1" customWidth="1"/>
    <col min="18" max="18" width="12.44140625" style="4" bestFit="1" customWidth="1"/>
    <col min="19" max="19" width="21.88671875" style="4" bestFit="1" customWidth="1"/>
    <col min="20" max="20" width="23.21875" style="4" bestFit="1" customWidth="1"/>
    <col min="21" max="21" width="21" style="4" bestFit="1" customWidth="1"/>
    <col min="22" max="22" width="14.88671875" style="4" bestFit="1" customWidth="1"/>
    <col min="23" max="23" width="16.21875" style="4" bestFit="1" customWidth="1"/>
    <col min="24" max="24" width="14.109375" style="4" bestFit="1" customWidth="1"/>
    <col min="25" max="25" width="19.5546875" style="4" bestFit="1" customWidth="1"/>
    <col min="26" max="26" width="20.88671875" style="4" bestFit="1" customWidth="1"/>
    <col min="27" max="27" width="18.77734375" style="4" bestFit="1" customWidth="1"/>
    <col min="28" max="28" width="18.21875" style="4" bestFit="1" customWidth="1"/>
    <col min="29" max="29" width="19.5546875" style="4" bestFit="1" customWidth="1"/>
    <col min="30" max="30" width="18.21875" style="4" bestFit="1" customWidth="1"/>
    <col min="31" max="31" width="19.5546875" style="4" bestFit="1" customWidth="1"/>
    <col min="32" max="32" width="31.6640625" style="4" bestFit="1" customWidth="1"/>
    <col min="33" max="33" width="8.88671875" style="4"/>
    <col min="34" max="34" width="31.6640625" style="4" bestFit="1" customWidth="1"/>
    <col min="35" max="35" width="9.109375" style="4" bestFit="1" customWidth="1"/>
    <col min="36" max="36" width="12" style="4" customWidth="1"/>
    <col min="37" max="16384" width="8.88671875" style="4"/>
  </cols>
  <sheetData>
    <row r="1" spans="1:36" s="1" customFormat="1" ht="11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802</v>
      </c>
      <c r="W1" s="1" t="s">
        <v>803</v>
      </c>
      <c r="X1" s="1" t="s">
        <v>804</v>
      </c>
      <c r="Y1" s="1" t="s">
        <v>805</v>
      </c>
      <c r="Z1" s="1" t="s">
        <v>806</v>
      </c>
      <c r="AA1" s="1" t="s">
        <v>807</v>
      </c>
      <c r="AB1" s="1" t="s">
        <v>845</v>
      </c>
      <c r="AC1" s="1" t="s">
        <v>846</v>
      </c>
      <c r="AD1" s="1" t="s">
        <v>847</v>
      </c>
      <c r="AE1" s="1" t="s">
        <v>848</v>
      </c>
      <c r="AF1" s="1" t="s">
        <v>849</v>
      </c>
      <c r="AH1" s="34" t="s">
        <v>849</v>
      </c>
      <c r="AI1" s="34" t="s">
        <v>855</v>
      </c>
      <c r="AJ1" s="34" t="s">
        <v>856</v>
      </c>
    </row>
    <row r="2" spans="1:36" ht="11.25" customHeight="1" x14ac:dyDescent="0.3">
      <c r="A2" s="4" t="s">
        <v>21</v>
      </c>
      <c r="B2" s="4" t="s">
        <v>60</v>
      </c>
      <c r="C2" s="4" t="s">
        <v>57</v>
      </c>
      <c r="D2" s="4" t="s">
        <v>25</v>
      </c>
      <c r="E2" s="4" t="s">
        <v>25</v>
      </c>
      <c r="F2" s="4" t="s">
        <v>25</v>
      </c>
      <c r="G2" s="4" t="s">
        <v>61</v>
      </c>
      <c r="H2" s="4" t="s">
        <v>25</v>
      </c>
      <c r="I2" s="5">
        <v>44501</v>
      </c>
      <c r="J2" s="6">
        <v>7800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59</v>
      </c>
      <c r="R2" s="4">
        <v>27870</v>
      </c>
      <c r="S2" s="4">
        <v>21</v>
      </c>
      <c r="T2" s="4">
        <v>0</v>
      </c>
      <c r="U2" s="4">
        <v>0</v>
      </c>
      <c r="V2" s="6">
        <f>IF(ISERROR(VLOOKUP($S$2,'TAR FIN'!$A$1:$O$113,15,0)),0,VLOOKUP($S$2,'TAR FIN'!$A$1:$O$113,15,0))</f>
        <v>11.03</v>
      </c>
      <c r="W2" s="6">
        <f>IF(ISERROR(VLOOKUP($T$2,'TAR FIN'!$A$1:$O$113,15,0)),0,VLOOKUP($T$2,'TAR FIN'!$A$1:$O$113,15,0))</f>
        <v>0</v>
      </c>
      <c r="X2" s="6">
        <f>IF(ISERROR(VLOOKUP($U$2,'TAR FIN'!$A$1:$O$113,15,0)),0,VLOOKUP($U$2,'TAR FIN'!$A$1:$O$113,15,0))</f>
        <v>0</v>
      </c>
      <c r="Y2" s="6">
        <f ca="1">('TUSD BE'!$AM$13+'TUSD BF'!$AM$13+'TUSD CVA'!$AM$13)*1</f>
        <v>11.598813715831222</v>
      </c>
      <c r="Z2" s="6"/>
      <c r="AA2" s="6"/>
      <c r="AB2" s="6">
        <f t="shared" ref="AB2:AB49" si="0">(J2-K2)*V2</f>
        <v>86034</v>
      </c>
      <c r="AC2" s="6">
        <f t="shared" ref="AC2:AC49" si="1">(L2-M2)*W2+(N2-O2)*X2</f>
        <v>0</v>
      </c>
      <c r="AD2" s="6">
        <f t="shared" ref="AD2:AD49" ca="1" si="2">(J2-K2)*Y2</f>
        <v>90470.746983483536</v>
      </c>
      <c r="AE2" s="6">
        <f t="shared" ref="AE2:AE49" si="3">(L2-M2)*Z2+(N2-O2)*AA2</f>
        <v>0</v>
      </c>
      <c r="AF2" s="4" t="s">
        <v>850</v>
      </c>
      <c r="AH2" s="35" t="s">
        <v>851</v>
      </c>
      <c r="AI2" s="36">
        <f t="shared" ref="AI2:AI9" si="4">SUMIF($AF$2:$AF$1158,AH2,$AB$2:$AB$1158)+SUMIF($AF$2:$AF$1158,AH2,$AC$2:$AC$1158)</f>
        <v>5461154.1735192239</v>
      </c>
      <c r="AJ2" s="36">
        <f t="shared" ref="AJ2:AJ8" ca="1" si="5">SUMIF($AF$2:$AF$1158,AH2,$AD$2:$AD$1158)+SUMIF($AF$2:$AF$1158,AH2,$AE$2:$AE$1158)</f>
        <v>6295927.6893921606</v>
      </c>
    </row>
    <row r="3" spans="1:36" ht="11.25" customHeight="1" x14ac:dyDescent="0.3">
      <c r="A3" s="4" t="s">
        <v>21</v>
      </c>
      <c r="B3" s="4" t="s">
        <v>60</v>
      </c>
      <c r="C3" s="4" t="s">
        <v>57</v>
      </c>
      <c r="D3" s="4" t="s">
        <v>25</v>
      </c>
      <c r="E3" s="4" t="s">
        <v>25</v>
      </c>
      <c r="F3" s="4" t="s">
        <v>25</v>
      </c>
      <c r="G3" s="4" t="s">
        <v>61</v>
      </c>
      <c r="H3" s="4" t="s">
        <v>25</v>
      </c>
      <c r="I3" s="5">
        <v>44531</v>
      </c>
      <c r="J3" s="6">
        <v>7800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59</v>
      </c>
      <c r="R3" s="4">
        <v>27870</v>
      </c>
      <c r="S3" s="4">
        <v>21</v>
      </c>
      <c r="T3" s="4">
        <v>0</v>
      </c>
      <c r="U3" s="4">
        <v>0</v>
      </c>
      <c r="V3" s="6">
        <f>IF(ISERROR(VLOOKUP($S$3,'TAR FIN'!$A$1:$O$113,15,0)),0,VLOOKUP($S$3,'TAR FIN'!$A$1:$O$113,15,0))</f>
        <v>11.03</v>
      </c>
      <c r="W3" s="6">
        <f>IF(ISERROR(VLOOKUP($T$3,'TAR FIN'!$A$1:$O$113,15,0)),0,VLOOKUP($T$3,'TAR FIN'!$A$1:$O$113,15,0))</f>
        <v>0</v>
      </c>
      <c r="X3" s="6">
        <f>IF(ISERROR(VLOOKUP($U$3,'TAR FIN'!$A$1:$O$113,15,0)),0,VLOOKUP($U$3,'TAR FIN'!$A$1:$O$113,15,0))</f>
        <v>0</v>
      </c>
      <c r="Y3" s="6">
        <f ca="1">('TUSD BE'!$AM$13+'TUSD BF'!$AM$13+'TUSD CVA'!$AM$13)*1</f>
        <v>11.598813715831222</v>
      </c>
      <c r="Z3" s="6"/>
      <c r="AA3" s="6"/>
      <c r="AB3" s="6">
        <f t="shared" si="0"/>
        <v>86034</v>
      </c>
      <c r="AC3" s="6">
        <f t="shared" si="1"/>
        <v>0</v>
      </c>
      <c r="AD3" s="6">
        <f t="shared" ca="1" si="2"/>
        <v>90470.746983483536</v>
      </c>
      <c r="AE3" s="6">
        <f t="shared" si="3"/>
        <v>0</v>
      </c>
      <c r="AF3" s="4" t="s">
        <v>850</v>
      </c>
      <c r="AH3" s="35" t="s">
        <v>850</v>
      </c>
      <c r="AI3" s="36">
        <f t="shared" si="4"/>
        <v>1032408</v>
      </c>
      <c r="AJ3" s="36">
        <f t="shared" ca="1" si="5"/>
        <v>1085648.9638018024</v>
      </c>
    </row>
    <row r="4" spans="1:36" ht="11.25" customHeight="1" x14ac:dyDescent="0.3">
      <c r="A4" s="4" t="s">
        <v>21</v>
      </c>
      <c r="B4" s="4" t="s">
        <v>60</v>
      </c>
      <c r="C4" s="4" t="s">
        <v>57</v>
      </c>
      <c r="D4" s="4" t="s">
        <v>25</v>
      </c>
      <c r="E4" s="4" t="s">
        <v>25</v>
      </c>
      <c r="F4" s="4" t="s">
        <v>25</v>
      </c>
      <c r="G4" s="4" t="s">
        <v>61</v>
      </c>
      <c r="H4" s="4" t="s">
        <v>25</v>
      </c>
      <c r="I4" s="5">
        <v>44562</v>
      </c>
      <c r="J4" s="6">
        <v>7800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59</v>
      </c>
      <c r="R4" s="4">
        <v>27870</v>
      </c>
      <c r="S4" s="4">
        <v>21</v>
      </c>
      <c r="T4" s="4">
        <v>0</v>
      </c>
      <c r="U4" s="4">
        <v>0</v>
      </c>
      <c r="V4" s="6">
        <f>IF(ISERROR(VLOOKUP($S$4,'TAR FIN'!$A$1:$O$113,15,0)),0,VLOOKUP($S$4,'TAR FIN'!$A$1:$O$113,15,0))</f>
        <v>11.03</v>
      </c>
      <c r="W4" s="6">
        <f>IF(ISERROR(VLOOKUP($T$4,'TAR FIN'!$A$1:$O$113,15,0)),0,VLOOKUP($T$4,'TAR FIN'!$A$1:$O$113,15,0))</f>
        <v>0</v>
      </c>
      <c r="X4" s="6">
        <f>IF(ISERROR(VLOOKUP($U$4,'TAR FIN'!$A$1:$O$113,15,0)),0,VLOOKUP($U$4,'TAR FIN'!$A$1:$O$113,15,0))</f>
        <v>0</v>
      </c>
      <c r="Y4" s="6">
        <f ca="1">('TUSD BE'!$AM$13+'TUSD BF'!$AM$13+'TUSD CVA'!$AM$13)*1</f>
        <v>11.598813715831222</v>
      </c>
      <c r="Z4" s="6"/>
      <c r="AA4" s="6"/>
      <c r="AB4" s="6">
        <f t="shared" si="0"/>
        <v>86034</v>
      </c>
      <c r="AC4" s="6">
        <f t="shared" si="1"/>
        <v>0</v>
      </c>
      <c r="AD4" s="6">
        <f t="shared" ca="1" si="2"/>
        <v>90470.746983483536</v>
      </c>
      <c r="AE4" s="6">
        <f t="shared" si="3"/>
        <v>0</v>
      </c>
      <c r="AF4" s="4" t="s">
        <v>850</v>
      </c>
      <c r="AH4" s="35" t="s">
        <v>857</v>
      </c>
      <c r="AI4" s="36">
        <f t="shared" si="4"/>
        <v>0</v>
      </c>
      <c r="AJ4" s="36">
        <f t="shared" si="5"/>
        <v>0</v>
      </c>
    </row>
    <row r="5" spans="1:36" ht="11.25" customHeight="1" x14ac:dyDescent="0.3">
      <c r="A5" s="4" t="s">
        <v>21</v>
      </c>
      <c r="B5" s="4" t="s">
        <v>60</v>
      </c>
      <c r="C5" s="4" t="s">
        <v>57</v>
      </c>
      <c r="D5" s="4" t="s">
        <v>25</v>
      </c>
      <c r="E5" s="4" t="s">
        <v>25</v>
      </c>
      <c r="F5" s="4" t="s">
        <v>25</v>
      </c>
      <c r="G5" s="4" t="s">
        <v>61</v>
      </c>
      <c r="H5" s="4" t="s">
        <v>25</v>
      </c>
      <c r="I5" s="5">
        <v>44593</v>
      </c>
      <c r="J5" s="6">
        <v>7800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59</v>
      </c>
      <c r="R5" s="4">
        <v>27870</v>
      </c>
      <c r="S5" s="4">
        <v>21</v>
      </c>
      <c r="T5" s="4">
        <v>0</v>
      </c>
      <c r="U5" s="4">
        <v>0</v>
      </c>
      <c r="V5" s="6">
        <f>IF(ISERROR(VLOOKUP($S$5,'TAR FIN'!$A$1:$O$113,15,0)),0,VLOOKUP($S$5,'TAR FIN'!$A$1:$O$113,15,0))</f>
        <v>11.03</v>
      </c>
      <c r="W5" s="6">
        <f>IF(ISERROR(VLOOKUP($T$5,'TAR FIN'!$A$1:$O$113,15,0)),0,VLOOKUP($T$5,'TAR FIN'!$A$1:$O$113,15,0))</f>
        <v>0</v>
      </c>
      <c r="X5" s="6">
        <f>IF(ISERROR(VLOOKUP($U$5,'TAR FIN'!$A$1:$O$113,15,0)),0,VLOOKUP($U$5,'TAR FIN'!$A$1:$O$113,15,0))</f>
        <v>0</v>
      </c>
      <c r="Y5" s="6">
        <f ca="1">('TUSD BE'!$AM$13+'TUSD BF'!$AM$13+'TUSD CVA'!$AM$13)*1</f>
        <v>11.598813715831222</v>
      </c>
      <c r="Z5" s="6"/>
      <c r="AA5" s="6"/>
      <c r="AB5" s="6">
        <f t="shared" si="0"/>
        <v>86034</v>
      </c>
      <c r="AC5" s="6">
        <f t="shared" si="1"/>
        <v>0</v>
      </c>
      <c r="AD5" s="6">
        <f t="shared" ca="1" si="2"/>
        <v>90470.746983483536</v>
      </c>
      <c r="AE5" s="6">
        <f t="shared" si="3"/>
        <v>0</v>
      </c>
      <c r="AF5" s="4" t="s">
        <v>850</v>
      </c>
      <c r="AH5" s="35" t="s">
        <v>852</v>
      </c>
      <c r="AI5" s="36">
        <f t="shared" si="4"/>
        <v>381153.92911020003</v>
      </c>
      <c r="AJ5" s="36">
        <f t="shared" ca="1" si="5"/>
        <v>227021.0074456704</v>
      </c>
    </row>
    <row r="6" spans="1:36" ht="11.25" customHeight="1" x14ac:dyDescent="0.3">
      <c r="A6" s="4" t="s">
        <v>21</v>
      </c>
      <c r="B6" s="4" t="s">
        <v>60</v>
      </c>
      <c r="C6" s="4" t="s">
        <v>57</v>
      </c>
      <c r="D6" s="4" t="s">
        <v>25</v>
      </c>
      <c r="E6" s="4" t="s">
        <v>25</v>
      </c>
      <c r="F6" s="4" t="s">
        <v>25</v>
      </c>
      <c r="G6" s="4" t="s">
        <v>61</v>
      </c>
      <c r="H6" s="4" t="s">
        <v>25</v>
      </c>
      <c r="I6" s="5">
        <v>44621</v>
      </c>
      <c r="J6" s="6">
        <v>7800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59</v>
      </c>
      <c r="R6" s="4">
        <v>27870</v>
      </c>
      <c r="S6" s="4">
        <v>21</v>
      </c>
      <c r="T6" s="4">
        <v>0</v>
      </c>
      <c r="U6" s="4">
        <v>0</v>
      </c>
      <c r="V6" s="6">
        <f>IF(ISERROR(VLOOKUP($S$6,'TAR FIN'!$A$1:$O$113,15,0)),0,VLOOKUP($S$6,'TAR FIN'!$A$1:$O$113,15,0))</f>
        <v>11.03</v>
      </c>
      <c r="W6" s="6">
        <f>IF(ISERROR(VLOOKUP($T$6,'TAR FIN'!$A$1:$O$113,15,0)),0,VLOOKUP($T$6,'TAR FIN'!$A$1:$O$113,15,0))</f>
        <v>0</v>
      </c>
      <c r="X6" s="6">
        <f>IF(ISERROR(VLOOKUP($U$6,'TAR FIN'!$A$1:$O$113,15,0)),0,VLOOKUP($U$6,'TAR FIN'!$A$1:$O$113,15,0))</f>
        <v>0</v>
      </c>
      <c r="Y6" s="6">
        <f ca="1">('TUSD BE'!$AM$13+'TUSD BF'!$AM$13+'TUSD CVA'!$AM$13)*1</f>
        <v>11.598813715831222</v>
      </c>
      <c r="Z6" s="6"/>
      <c r="AA6" s="6"/>
      <c r="AB6" s="6">
        <f t="shared" si="0"/>
        <v>86034</v>
      </c>
      <c r="AC6" s="6">
        <f t="shared" si="1"/>
        <v>0</v>
      </c>
      <c r="AD6" s="6">
        <f t="shared" ca="1" si="2"/>
        <v>90470.746983483536</v>
      </c>
      <c r="AE6" s="6">
        <f t="shared" si="3"/>
        <v>0</v>
      </c>
      <c r="AF6" s="4" t="s">
        <v>850</v>
      </c>
      <c r="AH6" s="35" t="s">
        <v>853</v>
      </c>
      <c r="AI6" s="36">
        <f t="shared" si="4"/>
        <v>298267.85561840032</v>
      </c>
      <c r="AJ6" s="36">
        <f t="shared" ca="1" si="5"/>
        <v>178004.71875298352</v>
      </c>
    </row>
    <row r="7" spans="1:36" ht="11.25" customHeight="1" x14ac:dyDescent="0.3">
      <c r="A7" s="4" t="s">
        <v>21</v>
      </c>
      <c r="B7" s="4" t="s">
        <v>60</v>
      </c>
      <c r="C7" s="4" t="s">
        <v>57</v>
      </c>
      <c r="D7" s="4" t="s">
        <v>25</v>
      </c>
      <c r="E7" s="4" t="s">
        <v>25</v>
      </c>
      <c r="F7" s="4" t="s">
        <v>25</v>
      </c>
      <c r="G7" s="4" t="s">
        <v>61</v>
      </c>
      <c r="H7" s="4" t="s">
        <v>25</v>
      </c>
      <c r="I7" s="5">
        <v>44652</v>
      </c>
      <c r="J7" s="6">
        <v>7800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59</v>
      </c>
      <c r="R7" s="4">
        <v>27870</v>
      </c>
      <c r="S7" s="4">
        <v>21</v>
      </c>
      <c r="T7" s="4">
        <v>0</v>
      </c>
      <c r="U7" s="4">
        <v>0</v>
      </c>
      <c r="V7" s="6">
        <f>IF(ISERROR(VLOOKUP($S$7,'TAR FIN'!$A$1:$O$113,15,0)),0,VLOOKUP($S$7,'TAR FIN'!$A$1:$O$113,15,0))</f>
        <v>11.03</v>
      </c>
      <c r="W7" s="6">
        <f>IF(ISERROR(VLOOKUP($T$7,'TAR FIN'!$A$1:$O$113,15,0)),0,VLOOKUP($T$7,'TAR FIN'!$A$1:$O$113,15,0))</f>
        <v>0</v>
      </c>
      <c r="X7" s="6">
        <f>IF(ISERROR(VLOOKUP($U$7,'TAR FIN'!$A$1:$O$113,15,0)),0,VLOOKUP($U$7,'TAR FIN'!$A$1:$O$113,15,0))</f>
        <v>0</v>
      </c>
      <c r="Y7" s="6">
        <f ca="1">('TUSD BE'!$AM$13+'TUSD BF'!$AM$13+'TUSD CVA'!$AM$13)*1</f>
        <v>11.598813715831222</v>
      </c>
      <c r="Z7" s="6"/>
      <c r="AA7" s="6"/>
      <c r="AB7" s="6">
        <f t="shared" si="0"/>
        <v>86034</v>
      </c>
      <c r="AC7" s="6">
        <f t="shared" si="1"/>
        <v>0</v>
      </c>
      <c r="AD7" s="6">
        <f t="shared" ca="1" si="2"/>
        <v>90470.746983483536</v>
      </c>
      <c r="AE7" s="6">
        <f t="shared" si="3"/>
        <v>0</v>
      </c>
      <c r="AF7" s="4" t="s">
        <v>850</v>
      </c>
      <c r="AH7" s="35" t="s">
        <v>858</v>
      </c>
      <c r="AI7" s="36">
        <f t="shared" si="4"/>
        <v>0</v>
      </c>
      <c r="AJ7" s="36">
        <f t="shared" si="5"/>
        <v>0</v>
      </c>
    </row>
    <row r="8" spans="1:36" ht="11.25" customHeight="1" x14ac:dyDescent="0.3">
      <c r="A8" s="4" t="s">
        <v>21</v>
      </c>
      <c r="B8" s="4" t="s">
        <v>60</v>
      </c>
      <c r="C8" s="4" t="s">
        <v>57</v>
      </c>
      <c r="D8" s="4" t="s">
        <v>25</v>
      </c>
      <c r="E8" s="4" t="s">
        <v>25</v>
      </c>
      <c r="F8" s="4" t="s">
        <v>25</v>
      </c>
      <c r="G8" s="4" t="s">
        <v>61</v>
      </c>
      <c r="H8" s="4" t="s">
        <v>25</v>
      </c>
      <c r="I8" s="5">
        <v>44682</v>
      </c>
      <c r="J8" s="6">
        <v>7800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59</v>
      </c>
      <c r="R8" s="4">
        <v>27870</v>
      </c>
      <c r="S8" s="4">
        <v>21</v>
      </c>
      <c r="T8" s="4">
        <v>0</v>
      </c>
      <c r="U8" s="4">
        <v>0</v>
      </c>
      <c r="V8" s="6">
        <f>IF(ISERROR(VLOOKUP($S$8,'TAR FIN'!$A$1:$O$113,15,0)),0,VLOOKUP($S$8,'TAR FIN'!$A$1:$O$113,15,0))</f>
        <v>11.03</v>
      </c>
      <c r="W8" s="6">
        <f>IF(ISERROR(VLOOKUP($T$8,'TAR FIN'!$A$1:$O$113,15,0)),0,VLOOKUP($T$8,'TAR FIN'!$A$1:$O$113,15,0))</f>
        <v>0</v>
      </c>
      <c r="X8" s="6">
        <f>IF(ISERROR(VLOOKUP($U$8,'TAR FIN'!$A$1:$O$113,15,0)),0,VLOOKUP($U$8,'TAR FIN'!$A$1:$O$113,15,0))</f>
        <v>0</v>
      </c>
      <c r="Y8" s="6">
        <f ca="1">('TUSD BE'!$AM$13+'TUSD BF'!$AM$13+'TUSD CVA'!$AM$13)*1</f>
        <v>11.598813715831222</v>
      </c>
      <c r="Z8" s="6"/>
      <c r="AA8" s="6"/>
      <c r="AB8" s="6">
        <f t="shared" si="0"/>
        <v>86034</v>
      </c>
      <c r="AC8" s="6">
        <f t="shared" si="1"/>
        <v>0</v>
      </c>
      <c r="AD8" s="6">
        <f t="shared" ca="1" si="2"/>
        <v>90470.746983483536</v>
      </c>
      <c r="AE8" s="6">
        <f t="shared" si="3"/>
        <v>0</v>
      </c>
      <c r="AF8" s="4" t="s">
        <v>850</v>
      </c>
      <c r="AH8" s="35" t="s">
        <v>854</v>
      </c>
      <c r="AI8" s="36">
        <f t="shared" si="4"/>
        <v>1794233.1962630008</v>
      </c>
      <c r="AJ8" s="36">
        <f t="shared" ca="1" si="5"/>
        <v>1989849.9040727357</v>
      </c>
    </row>
    <row r="9" spans="1:36" ht="11.25" customHeight="1" x14ac:dyDescent="0.3">
      <c r="A9" s="4" t="s">
        <v>21</v>
      </c>
      <c r="B9" s="4" t="s">
        <v>60</v>
      </c>
      <c r="C9" s="4" t="s">
        <v>57</v>
      </c>
      <c r="D9" s="4" t="s">
        <v>25</v>
      </c>
      <c r="E9" s="4" t="s">
        <v>25</v>
      </c>
      <c r="F9" s="4" t="s">
        <v>25</v>
      </c>
      <c r="G9" s="4" t="s">
        <v>61</v>
      </c>
      <c r="H9" s="4" t="s">
        <v>25</v>
      </c>
      <c r="I9" s="5">
        <v>44713</v>
      </c>
      <c r="J9" s="6">
        <v>7800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59</v>
      </c>
      <c r="R9" s="4">
        <v>27870</v>
      </c>
      <c r="S9" s="4">
        <v>21</v>
      </c>
      <c r="T9" s="4">
        <v>0</v>
      </c>
      <c r="U9" s="4">
        <v>0</v>
      </c>
      <c r="V9" s="6">
        <f>IF(ISERROR(VLOOKUP($S$9,'TAR FIN'!$A$1:$O$113,15,0)),0,VLOOKUP($S$9,'TAR FIN'!$A$1:$O$113,15,0))</f>
        <v>11.03</v>
      </c>
      <c r="W9" s="6">
        <f>IF(ISERROR(VLOOKUP($T$9,'TAR FIN'!$A$1:$O$113,15,0)),0,VLOOKUP($T$9,'TAR FIN'!$A$1:$O$113,15,0))</f>
        <v>0</v>
      </c>
      <c r="X9" s="6">
        <f>IF(ISERROR(VLOOKUP($U$9,'TAR FIN'!$A$1:$O$113,15,0)),0,VLOOKUP($U$9,'TAR FIN'!$A$1:$O$113,15,0))</f>
        <v>0</v>
      </c>
      <c r="Y9" s="6">
        <f ca="1">('TUSD BE'!$AM$13+'TUSD BF'!$AM$13+'TUSD CVA'!$AM$13)*1</f>
        <v>11.598813715831222</v>
      </c>
      <c r="Z9" s="6"/>
      <c r="AA9" s="6"/>
      <c r="AB9" s="6">
        <f t="shared" si="0"/>
        <v>86034</v>
      </c>
      <c r="AC9" s="6">
        <f t="shared" si="1"/>
        <v>0</v>
      </c>
      <c r="AD9" s="6">
        <f t="shared" ca="1" si="2"/>
        <v>90470.746983483536</v>
      </c>
      <c r="AE9" s="6">
        <f t="shared" si="3"/>
        <v>0</v>
      </c>
      <c r="AF9" s="4" t="s">
        <v>850</v>
      </c>
      <c r="AH9" s="35" t="s">
        <v>1034</v>
      </c>
      <c r="AI9" s="36">
        <f t="shared" si="4"/>
        <v>0</v>
      </c>
      <c r="AJ9" s="36">
        <f ca="1">EFEITO!$AU$12 - EFEITO_350!$AU$12</f>
        <v>16836601.196469724</v>
      </c>
    </row>
    <row r="10" spans="1:36" ht="11.25" customHeight="1" x14ac:dyDescent="0.3">
      <c r="A10" s="4" t="s">
        <v>21</v>
      </c>
      <c r="B10" s="4" t="s">
        <v>60</v>
      </c>
      <c r="C10" s="4" t="s">
        <v>57</v>
      </c>
      <c r="D10" s="4" t="s">
        <v>25</v>
      </c>
      <c r="E10" s="4" t="s">
        <v>25</v>
      </c>
      <c r="F10" s="4" t="s">
        <v>25</v>
      </c>
      <c r="G10" s="4" t="s">
        <v>61</v>
      </c>
      <c r="H10" s="4" t="s">
        <v>25</v>
      </c>
      <c r="I10" s="5">
        <v>44743</v>
      </c>
      <c r="J10" s="6">
        <v>7800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59</v>
      </c>
      <c r="R10" s="4">
        <v>27870</v>
      </c>
      <c r="S10" s="4">
        <v>21</v>
      </c>
      <c r="T10" s="4">
        <v>0</v>
      </c>
      <c r="U10" s="4">
        <v>0</v>
      </c>
      <c r="V10" s="6">
        <f>IF(ISERROR(VLOOKUP($S$10,'TAR FIN'!$A$1:$O$113,15,0)),0,VLOOKUP($S$10,'TAR FIN'!$A$1:$O$113,15,0))</f>
        <v>11.03</v>
      </c>
      <c r="W10" s="6">
        <f>IF(ISERROR(VLOOKUP($T$10,'TAR FIN'!$A$1:$O$113,15,0)),0,VLOOKUP($T$10,'TAR FIN'!$A$1:$O$113,15,0))</f>
        <v>0</v>
      </c>
      <c r="X10" s="6">
        <f>IF(ISERROR(VLOOKUP($U$10,'TAR FIN'!$A$1:$O$113,15,0)),0,VLOOKUP($U$10,'TAR FIN'!$A$1:$O$113,15,0))</f>
        <v>0</v>
      </c>
      <c r="Y10" s="6">
        <f ca="1">('TUSD BE'!$AM$13+'TUSD BF'!$AM$13+'TUSD CVA'!$AM$13)*1</f>
        <v>11.598813715831222</v>
      </c>
      <c r="Z10" s="6"/>
      <c r="AA10" s="6"/>
      <c r="AB10" s="6">
        <f t="shared" si="0"/>
        <v>86034</v>
      </c>
      <c r="AC10" s="6">
        <f t="shared" si="1"/>
        <v>0</v>
      </c>
      <c r="AD10" s="6">
        <f t="shared" ca="1" si="2"/>
        <v>90470.746983483536</v>
      </c>
      <c r="AE10" s="6">
        <f t="shared" si="3"/>
        <v>0</v>
      </c>
      <c r="AF10" s="4" t="s">
        <v>850</v>
      </c>
    </row>
    <row r="11" spans="1:36" ht="11.25" customHeight="1" x14ac:dyDescent="0.3">
      <c r="A11" s="4" t="s">
        <v>21</v>
      </c>
      <c r="B11" s="4" t="s">
        <v>60</v>
      </c>
      <c r="C11" s="4" t="s">
        <v>57</v>
      </c>
      <c r="D11" s="4" t="s">
        <v>25</v>
      </c>
      <c r="E11" s="4" t="s">
        <v>25</v>
      </c>
      <c r="F11" s="4" t="s">
        <v>25</v>
      </c>
      <c r="G11" s="4" t="s">
        <v>61</v>
      </c>
      <c r="H11" s="4" t="s">
        <v>25</v>
      </c>
      <c r="I11" s="5">
        <v>44774</v>
      </c>
      <c r="J11" s="6">
        <v>7800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59</v>
      </c>
      <c r="R11" s="4">
        <v>27870</v>
      </c>
      <c r="S11" s="4">
        <v>21</v>
      </c>
      <c r="T11" s="4">
        <v>0</v>
      </c>
      <c r="U11" s="4">
        <v>0</v>
      </c>
      <c r="V11" s="6">
        <f>IF(ISERROR(VLOOKUP($S$11,'TAR FIN'!$A$1:$O$113,15,0)),0,VLOOKUP($S$11,'TAR FIN'!$A$1:$O$113,15,0))</f>
        <v>11.03</v>
      </c>
      <c r="W11" s="6">
        <f>IF(ISERROR(VLOOKUP($T$11,'TAR FIN'!$A$1:$O$113,15,0)),0,VLOOKUP($T$11,'TAR FIN'!$A$1:$O$113,15,0))</f>
        <v>0</v>
      </c>
      <c r="X11" s="6">
        <f>IF(ISERROR(VLOOKUP($U$11,'TAR FIN'!$A$1:$O$113,15,0)),0,VLOOKUP($U$11,'TAR FIN'!$A$1:$O$113,15,0))</f>
        <v>0</v>
      </c>
      <c r="Y11" s="6">
        <f ca="1">('TUSD BE'!$AM$13+'TUSD BF'!$AM$13+'TUSD CVA'!$AM$13)*1</f>
        <v>11.598813715831222</v>
      </c>
      <c r="Z11" s="6"/>
      <c r="AA11" s="6"/>
      <c r="AB11" s="6">
        <f t="shared" si="0"/>
        <v>86034</v>
      </c>
      <c r="AC11" s="6">
        <f t="shared" si="1"/>
        <v>0</v>
      </c>
      <c r="AD11" s="6">
        <f t="shared" ca="1" si="2"/>
        <v>90470.746983483536</v>
      </c>
      <c r="AE11" s="6">
        <f t="shared" si="3"/>
        <v>0</v>
      </c>
      <c r="AF11" s="4" t="s">
        <v>850</v>
      </c>
    </row>
    <row r="12" spans="1:36" ht="11.25" customHeight="1" x14ac:dyDescent="0.3">
      <c r="A12" s="4" t="s">
        <v>21</v>
      </c>
      <c r="B12" s="4" t="s">
        <v>60</v>
      </c>
      <c r="C12" s="4" t="s">
        <v>57</v>
      </c>
      <c r="D12" s="4" t="s">
        <v>25</v>
      </c>
      <c r="E12" s="4" t="s">
        <v>25</v>
      </c>
      <c r="F12" s="4" t="s">
        <v>25</v>
      </c>
      <c r="G12" s="4" t="s">
        <v>61</v>
      </c>
      <c r="H12" s="4" t="s">
        <v>25</v>
      </c>
      <c r="I12" s="5">
        <v>44805</v>
      </c>
      <c r="J12" s="6">
        <v>7800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59</v>
      </c>
      <c r="R12" s="4">
        <v>27870</v>
      </c>
      <c r="S12" s="4">
        <v>21</v>
      </c>
      <c r="T12" s="4">
        <v>0</v>
      </c>
      <c r="U12" s="4">
        <v>0</v>
      </c>
      <c r="V12" s="6">
        <f>IF(ISERROR(VLOOKUP($S$12,'TAR FIN'!$A$1:$O$113,15,0)),0,VLOOKUP($S$12,'TAR FIN'!$A$1:$O$113,15,0))</f>
        <v>11.03</v>
      </c>
      <c r="W12" s="6">
        <f>IF(ISERROR(VLOOKUP($T$12,'TAR FIN'!$A$1:$O$113,15,0)),0,VLOOKUP($T$12,'TAR FIN'!$A$1:$O$113,15,0))</f>
        <v>0</v>
      </c>
      <c r="X12" s="6">
        <f>IF(ISERROR(VLOOKUP($U$12,'TAR FIN'!$A$1:$O$113,15,0)),0,VLOOKUP($U$12,'TAR FIN'!$A$1:$O$113,15,0))</f>
        <v>0</v>
      </c>
      <c r="Y12" s="6">
        <f ca="1">('TUSD BE'!$AM$13+'TUSD BF'!$AM$13+'TUSD CVA'!$AM$13)*1</f>
        <v>11.598813715831222</v>
      </c>
      <c r="Z12" s="6"/>
      <c r="AA12" s="6"/>
      <c r="AB12" s="6">
        <f t="shared" si="0"/>
        <v>86034</v>
      </c>
      <c r="AC12" s="6">
        <f t="shared" si="1"/>
        <v>0</v>
      </c>
      <c r="AD12" s="6">
        <f t="shared" ca="1" si="2"/>
        <v>90470.746983483536</v>
      </c>
      <c r="AE12" s="6">
        <f t="shared" si="3"/>
        <v>0</v>
      </c>
      <c r="AF12" s="4" t="s">
        <v>850</v>
      </c>
    </row>
    <row r="13" spans="1:36" ht="11.25" customHeight="1" x14ac:dyDescent="0.3">
      <c r="A13" s="4" t="s">
        <v>53</v>
      </c>
      <c r="B13" s="4" t="s">
        <v>60</v>
      </c>
      <c r="C13" s="4" t="s">
        <v>57</v>
      </c>
      <c r="D13" s="4" t="s">
        <v>25</v>
      </c>
      <c r="E13" s="4" t="s">
        <v>25</v>
      </c>
      <c r="F13" s="4" t="s">
        <v>25</v>
      </c>
      <c r="G13" s="4" t="s">
        <v>61</v>
      </c>
      <c r="H13" s="4" t="s">
        <v>25</v>
      </c>
      <c r="I13" s="5">
        <v>44835</v>
      </c>
      <c r="J13" s="6">
        <v>7800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59</v>
      </c>
      <c r="R13" s="4">
        <v>27870</v>
      </c>
      <c r="S13" s="4">
        <v>21</v>
      </c>
      <c r="T13" s="4">
        <v>0</v>
      </c>
      <c r="U13" s="4">
        <v>0</v>
      </c>
      <c r="V13" s="6">
        <f>IF(ISERROR(VLOOKUP($S$13,'TAR FIN'!$A$1:$O$113,15,0)),0,VLOOKUP($S$13,'TAR FIN'!$A$1:$O$113,15,0))</f>
        <v>11.03</v>
      </c>
      <c r="W13" s="6">
        <f>IF(ISERROR(VLOOKUP($T$13,'TAR FIN'!$A$1:$O$113,15,0)),0,VLOOKUP($T$13,'TAR FIN'!$A$1:$O$113,15,0))</f>
        <v>0</v>
      </c>
      <c r="X13" s="6">
        <f>IF(ISERROR(VLOOKUP($U$13,'TAR FIN'!$A$1:$O$113,15,0)),0,VLOOKUP($U$13,'TAR FIN'!$A$1:$O$113,15,0))</f>
        <v>0</v>
      </c>
      <c r="Y13" s="6">
        <f ca="1">('TUSD BE'!$AM$13+'TUSD BF'!$AM$13+'TUSD CVA'!$AM$13)*1</f>
        <v>11.598813715831222</v>
      </c>
      <c r="Z13" s="6"/>
      <c r="AA13" s="6"/>
      <c r="AB13" s="6">
        <f t="shared" si="0"/>
        <v>86034</v>
      </c>
      <c r="AC13" s="6">
        <f t="shared" si="1"/>
        <v>0</v>
      </c>
      <c r="AD13" s="6">
        <f t="shared" ca="1" si="2"/>
        <v>90470.746983483536</v>
      </c>
      <c r="AE13" s="6">
        <f t="shared" si="3"/>
        <v>0</v>
      </c>
      <c r="AF13" s="4" t="s">
        <v>850</v>
      </c>
    </row>
    <row r="14" spans="1:36" ht="11.25" customHeight="1" x14ac:dyDescent="0.3">
      <c r="A14" s="4" t="s">
        <v>21</v>
      </c>
      <c r="B14" s="4" t="s">
        <v>39</v>
      </c>
      <c r="C14" s="4" t="s">
        <v>40</v>
      </c>
      <c r="D14" s="4" t="s">
        <v>38</v>
      </c>
      <c r="E14" s="4" t="s">
        <v>25</v>
      </c>
      <c r="F14" s="4" t="s">
        <v>56</v>
      </c>
      <c r="G14" s="4" t="s">
        <v>25</v>
      </c>
      <c r="H14" s="4" t="s">
        <v>35</v>
      </c>
      <c r="I14" s="5">
        <v>44501</v>
      </c>
      <c r="J14" s="6">
        <v>16301</v>
      </c>
      <c r="K14" s="6">
        <v>10335.36166337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4" t="s">
        <v>55</v>
      </c>
      <c r="R14" s="4">
        <v>0</v>
      </c>
      <c r="S14" s="4">
        <v>22</v>
      </c>
      <c r="T14" s="4">
        <v>0</v>
      </c>
      <c r="U14" s="4">
        <v>0</v>
      </c>
      <c r="V14" s="6">
        <f>IF(ISERROR(VLOOKUP($S$14,'TAR FIN'!$A$1:$O$113,15,0)),0,VLOOKUP($S$14,'TAR FIN'!$A$1:$O$113,15,0))</f>
        <v>14</v>
      </c>
      <c r="W14" s="6">
        <f>IF(ISERROR(VLOOKUP($T$14,'TAR FIN'!$A$1:$O$113,15,0)),0,VLOOKUP($T$14,'TAR FIN'!$A$1:$O$113,15,0))</f>
        <v>0</v>
      </c>
      <c r="X14" s="6">
        <f>IF(ISERROR(VLOOKUP($U$14,'TAR FIN'!$A$1:$O$113,15,0)),0,VLOOKUP($U$14,'TAR FIN'!$A$1:$O$113,15,0))</f>
        <v>0</v>
      </c>
      <c r="Y14" s="6">
        <f ca="1">('TUSD BE'!$AM$15+'TUSD BF'!$AM$15+'TUSD CVA'!$AM$15)*1</f>
        <v>16.035953923331604</v>
      </c>
      <c r="Z14" s="6">
        <f ca="1">('TUSD BE'!$AM$16+'TUSD BF'!$AM$16+'TUSD CVA'!$AM$16)*1</f>
        <v>122.14055331663396</v>
      </c>
      <c r="AA14" s="6"/>
      <c r="AB14" s="6">
        <f t="shared" si="0"/>
        <v>83518.936712819996</v>
      </c>
      <c r="AC14" s="6">
        <f t="shared" si="1"/>
        <v>0</v>
      </c>
      <c r="AD14" s="6">
        <f t="shared" ca="1" si="2"/>
        <v>95664.701489459272</v>
      </c>
      <c r="AE14" s="6">
        <f t="shared" ca="1" si="3"/>
        <v>0</v>
      </c>
      <c r="AF14" s="4" t="s">
        <v>851</v>
      </c>
    </row>
    <row r="15" spans="1:36" ht="11.25" customHeight="1" x14ac:dyDescent="0.3">
      <c r="A15" s="4" t="s">
        <v>21</v>
      </c>
      <c r="B15" s="4" t="s">
        <v>39</v>
      </c>
      <c r="C15" s="4" t="s">
        <v>40</v>
      </c>
      <c r="D15" s="4" t="s">
        <v>38</v>
      </c>
      <c r="E15" s="4" t="s">
        <v>25</v>
      </c>
      <c r="F15" s="4" t="s">
        <v>56</v>
      </c>
      <c r="G15" s="4" t="s">
        <v>25</v>
      </c>
      <c r="H15" s="4" t="s">
        <v>35</v>
      </c>
      <c r="I15" s="5">
        <v>44531</v>
      </c>
      <c r="J15" s="6">
        <v>16297</v>
      </c>
      <c r="K15" s="6">
        <v>10474.71161608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4" t="s">
        <v>55</v>
      </c>
      <c r="R15" s="4">
        <v>0</v>
      </c>
      <c r="S15" s="4">
        <v>22</v>
      </c>
      <c r="T15" s="4">
        <v>0</v>
      </c>
      <c r="U15" s="4">
        <v>0</v>
      </c>
      <c r="V15" s="6">
        <f>IF(ISERROR(VLOOKUP($S$15,'TAR FIN'!$A$1:$O$113,15,0)),0,VLOOKUP($S$15,'TAR FIN'!$A$1:$O$113,15,0))</f>
        <v>14</v>
      </c>
      <c r="W15" s="6">
        <f>IF(ISERROR(VLOOKUP($T$15,'TAR FIN'!$A$1:$O$113,15,0)),0,VLOOKUP($T$15,'TAR FIN'!$A$1:$O$113,15,0))</f>
        <v>0</v>
      </c>
      <c r="X15" s="6">
        <f>IF(ISERROR(VLOOKUP($U$15,'TAR FIN'!$A$1:$O$113,15,0)),0,VLOOKUP($U$15,'TAR FIN'!$A$1:$O$113,15,0))</f>
        <v>0</v>
      </c>
      <c r="Y15" s="6">
        <f ca="1">('TUSD BE'!$AM$15+'TUSD BF'!$AM$15+'TUSD CVA'!$AM$15)*1</f>
        <v>16.035953923331604</v>
      </c>
      <c r="Z15" s="6">
        <f ca="1">('TUSD BE'!$AM$16+'TUSD BF'!$AM$16+'TUSD CVA'!$AM$16)*1</f>
        <v>122.14055331663396</v>
      </c>
      <c r="AA15" s="6"/>
      <c r="AB15" s="6">
        <f t="shared" si="0"/>
        <v>81512.037374880005</v>
      </c>
      <c r="AC15" s="6">
        <f t="shared" si="1"/>
        <v>0</v>
      </c>
      <c r="AD15" s="6">
        <f t="shared" ca="1" si="2"/>
        <v>93365.948252889953</v>
      </c>
      <c r="AE15" s="6">
        <f t="shared" ca="1" si="3"/>
        <v>0</v>
      </c>
      <c r="AF15" s="4" t="s">
        <v>851</v>
      </c>
    </row>
    <row r="16" spans="1:36" ht="11.25" customHeight="1" x14ac:dyDescent="0.3">
      <c r="A16" s="4" t="s">
        <v>21</v>
      </c>
      <c r="B16" s="4" t="s">
        <v>39</v>
      </c>
      <c r="C16" s="4" t="s">
        <v>40</v>
      </c>
      <c r="D16" s="4" t="s">
        <v>38</v>
      </c>
      <c r="E16" s="4" t="s">
        <v>25</v>
      </c>
      <c r="F16" s="4" t="s">
        <v>56</v>
      </c>
      <c r="G16" s="4" t="s">
        <v>25</v>
      </c>
      <c r="H16" s="4" t="s">
        <v>35</v>
      </c>
      <c r="I16" s="5">
        <v>44562</v>
      </c>
      <c r="J16" s="6">
        <v>16147</v>
      </c>
      <c r="K16" s="6">
        <v>9214.2392081100006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4" t="s">
        <v>55</v>
      </c>
      <c r="R16" s="4">
        <v>0</v>
      </c>
      <c r="S16" s="4">
        <v>22</v>
      </c>
      <c r="T16" s="4">
        <v>0</v>
      </c>
      <c r="U16" s="4">
        <v>0</v>
      </c>
      <c r="V16" s="6">
        <f>IF(ISERROR(VLOOKUP($S$16,'TAR FIN'!$A$1:$O$113,15,0)),0,VLOOKUP($S$16,'TAR FIN'!$A$1:$O$113,15,0))</f>
        <v>14</v>
      </c>
      <c r="W16" s="6">
        <f>IF(ISERROR(VLOOKUP($T$16,'TAR FIN'!$A$1:$O$113,15,0)),0,VLOOKUP($T$16,'TAR FIN'!$A$1:$O$113,15,0))</f>
        <v>0</v>
      </c>
      <c r="X16" s="6">
        <f>IF(ISERROR(VLOOKUP($U$16,'TAR FIN'!$A$1:$O$113,15,0)),0,VLOOKUP($U$16,'TAR FIN'!$A$1:$O$113,15,0))</f>
        <v>0</v>
      </c>
      <c r="Y16" s="6">
        <f ca="1">('TUSD BE'!$AM$15+'TUSD BF'!$AM$15+'TUSD CVA'!$AM$15)*1</f>
        <v>16.035953923331604</v>
      </c>
      <c r="Z16" s="6">
        <f ca="1">('TUSD BE'!$AM$16+'TUSD BF'!$AM$16+'TUSD CVA'!$AM$16)*1</f>
        <v>122.14055331663396</v>
      </c>
      <c r="AA16" s="6"/>
      <c r="AB16" s="6">
        <f t="shared" si="0"/>
        <v>97058.651086459984</v>
      </c>
      <c r="AC16" s="6">
        <f t="shared" si="1"/>
        <v>0</v>
      </c>
      <c r="AD16" s="6">
        <f t="shared" ca="1" si="2"/>
        <v>111173.43262022795</v>
      </c>
      <c r="AE16" s="6">
        <f t="shared" ca="1" si="3"/>
        <v>0</v>
      </c>
      <c r="AF16" s="4" t="s">
        <v>851</v>
      </c>
    </row>
    <row r="17" spans="1:32" ht="11.25" customHeight="1" x14ac:dyDescent="0.3">
      <c r="A17" s="4" t="s">
        <v>21</v>
      </c>
      <c r="B17" s="4" t="s">
        <v>39</v>
      </c>
      <c r="C17" s="4" t="s">
        <v>40</v>
      </c>
      <c r="D17" s="4" t="s">
        <v>38</v>
      </c>
      <c r="E17" s="4" t="s">
        <v>25</v>
      </c>
      <c r="F17" s="4" t="s">
        <v>56</v>
      </c>
      <c r="G17" s="4" t="s">
        <v>25</v>
      </c>
      <c r="H17" s="4" t="s">
        <v>35</v>
      </c>
      <c r="I17" s="5">
        <v>44593</v>
      </c>
      <c r="J17" s="6">
        <v>16220</v>
      </c>
      <c r="K17" s="6">
        <v>9574.3093222000007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4" t="s">
        <v>55</v>
      </c>
      <c r="R17" s="4">
        <v>0</v>
      </c>
      <c r="S17" s="4">
        <v>22</v>
      </c>
      <c r="T17" s="4">
        <v>0</v>
      </c>
      <c r="U17" s="4">
        <v>0</v>
      </c>
      <c r="V17" s="6">
        <f>IF(ISERROR(VLOOKUP($S$17,'TAR FIN'!$A$1:$O$113,15,0)),0,VLOOKUP($S$17,'TAR FIN'!$A$1:$O$113,15,0))</f>
        <v>14</v>
      </c>
      <c r="W17" s="6">
        <f>IF(ISERROR(VLOOKUP($T$17,'TAR FIN'!$A$1:$O$113,15,0)),0,VLOOKUP($T$17,'TAR FIN'!$A$1:$O$113,15,0))</f>
        <v>0</v>
      </c>
      <c r="X17" s="6">
        <f>IF(ISERROR(VLOOKUP($U$17,'TAR FIN'!$A$1:$O$113,15,0)),0,VLOOKUP($U$17,'TAR FIN'!$A$1:$O$113,15,0))</f>
        <v>0</v>
      </c>
      <c r="Y17" s="6">
        <f ca="1">('TUSD BE'!$AM$15+'TUSD BF'!$AM$15+'TUSD CVA'!$AM$15)*1</f>
        <v>16.035953923331604</v>
      </c>
      <c r="Z17" s="6">
        <f ca="1">('TUSD BE'!$AM$16+'TUSD BF'!$AM$16+'TUSD CVA'!$AM$16)*1</f>
        <v>122.14055331663396</v>
      </c>
      <c r="AA17" s="6"/>
      <c r="AB17" s="6">
        <f t="shared" si="0"/>
        <v>93039.669489199994</v>
      </c>
      <c r="AC17" s="6">
        <f t="shared" si="1"/>
        <v>0</v>
      </c>
      <c r="AD17" s="6">
        <f t="shared" ca="1" si="2"/>
        <v>106569.98949791517</v>
      </c>
      <c r="AE17" s="6">
        <f t="shared" ca="1" si="3"/>
        <v>0</v>
      </c>
      <c r="AF17" s="4" t="s">
        <v>851</v>
      </c>
    </row>
    <row r="18" spans="1:32" ht="11.25" customHeight="1" x14ac:dyDescent="0.3">
      <c r="A18" s="4" t="s">
        <v>21</v>
      </c>
      <c r="B18" s="4" t="s">
        <v>39</v>
      </c>
      <c r="C18" s="4" t="s">
        <v>40</v>
      </c>
      <c r="D18" s="4" t="s">
        <v>38</v>
      </c>
      <c r="E18" s="4" t="s">
        <v>25</v>
      </c>
      <c r="F18" s="4" t="s">
        <v>56</v>
      </c>
      <c r="G18" s="4" t="s">
        <v>25</v>
      </c>
      <c r="H18" s="4" t="s">
        <v>35</v>
      </c>
      <c r="I18" s="5">
        <v>44621</v>
      </c>
      <c r="J18" s="6">
        <v>16455</v>
      </c>
      <c r="K18" s="6">
        <v>8810.7828532500007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4" t="s">
        <v>55</v>
      </c>
      <c r="R18" s="4">
        <v>0</v>
      </c>
      <c r="S18" s="4">
        <v>22</v>
      </c>
      <c r="T18" s="4">
        <v>0</v>
      </c>
      <c r="U18" s="4">
        <v>0</v>
      </c>
      <c r="V18" s="6">
        <f>IF(ISERROR(VLOOKUP($S$18,'TAR FIN'!$A$1:$O$113,15,0)),0,VLOOKUP($S$18,'TAR FIN'!$A$1:$O$113,15,0))</f>
        <v>14</v>
      </c>
      <c r="W18" s="6">
        <f>IF(ISERROR(VLOOKUP($T$18,'TAR FIN'!$A$1:$O$113,15,0)),0,VLOOKUP($T$18,'TAR FIN'!$A$1:$O$113,15,0))</f>
        <v>0</v>
      </c>
      <c r="X18" s="6">
        <f>IF(ISERROR(VLOOKUP($U$18,'TAR FIN'!$A$1:$O$113,15,0)),0,VLOOKUP($U$18,'TAR FIN'!$A$1:$O$113,15,0))</f>
        <v>0</v>
      </c>
      <c r="Y18" s="6">
        <f ca="1">('TUSD BE'!$AM$15+'TUSD BF'!$AM$15+'TUSD CVA'!$AM$15)*1</f>
        <v>16.035953923331604</v>
      </c>
      <c r="Z18" s="6">
        <f ca="1">('TUSD BE'!$AM$16+'TUSD BF'!$AM$16+'TUSD CVA'!$AM$16)*1</f>
        <v>122.14055331663396</v>
      </c>
      <c r="AA18" s="6"/>
      <c r="AB18" s="6">
        <f t="shared" si="0"/>
        <v>107019.04005449999</v>
      </c>
      <c r="AC18" s="6">
        <f t="shared" si="1"/>
        <v>0</v>
      </c>
      <c r="AD18" s="6">
        <f t="shared" ca="1" si="2"/>
        <v>122582.31394522438</v>
      </c>
      <c r="AE18" s="6">
        <f t="shared" ca="1" si="3"/>
        <v>0</v>
      </c>
      <c r="AF18" s="4" t="s">
        <v>851</v>
      </c>
    </row>
    <row r="19" spans="1:32" ht="11.25" customHeight="1" x14ac:dyDescent="0.3">
      <c r="A19" s="4" t="s">
        <v>21</v>
      </c>
      <c r="B19" s="4" t="s">
        <v>39</v>
      </c>
      <c r="C19" s="4" t="s">
        <v>40</v>
      </c>
      <c r="D19" s="4" t="s">
        <v>38</v>
      </c>
      <c r="E19" s="4" t="s">
        <v>25</v>
      </c>
      <c r="F19" s="4" t="s">
        <v>56</v>
      </c>
      <c r="G19" s="4" t="s">
        <v>25</v>
      </c>
      <c r="H19" s="4" t="s">
        <v>35</v>
      </c>
      <c r="I19" s="5">
        <v>44652</v>
      </c>
      <c r="J19" s="6">
        <v>16206</v>
      </c>
      <c r="K19" s="6">
        <v>8001.9643412400001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4" t="s">
        <v>55</v>
      </c>
      <c r="R19" s="4">
        <v>0</v>
      </c>
      <c r="S19" s="4">
        <v>22</v>
      </c>
      <c r="T19" s="4">
        <v>0</v>
      </c>
      <c r="U19" s="4">
        <v>0</v>
      </c>
      <c r="V19" s="6">
        <f>IF(ISERROR(VLOOKUP($S$19,'TAR FIN'!$A$1:$O$113,15,0)),0,VLOOKUP($S$19,'TAR FIN'!$A$1:$O$113,15,0))</f>
        <v>14</v>
      </c>
      <c r="W19" s="6">
        <f>IF(ISERROR(VLOOKUP($T$19,'TAR FIN'!$A$1:$O$113,15,0)),0,VLOOKUP($T$19,'TAR FIN'!$A$1:$O$113,15,0))</f>
        <v>0</v>
      </c>
      <c r="X19" s="6">
        <f>IF(ISERROR(VLOOKUP($U$19,'TAR FIN'!$A$1:$O$113,15,0)),0,VLOOKUP($U$19,'TAR FIN'!$A$1:$O$113,15,0))</f>
        <v>0</v>
      </c>
      <c r="Y19" s="6">
        <f ca="1">('TUSD BE'!$AM$15+'TUSD BF'!$AM$15+'TUSD CVA'!$AM$15)*1</f>
        <v>16.035953923331604</v>
      </c>
      <c r="Z19" s="6">
        <f ca="1">('TUSD BE'!$AM$16+'TUSD BF'!$AM$16+'TUSD CVA'!$AM$16)*1</f>
        <v>122.14055331663396</v>
      </c>
      <c r="AA19" s="6"/>
      <c r="AB19" s="6">
        <f t="shared" si="0"/>
        <v>114856.49922264001</v>
      </c>
      <c r="AC19" s="6">
        <f t="shared" si="1"/>
        <v>0</v>
      </c>
      <c r="AD19" s="6">
        <f t="shared" ca="1" si="2"/>
        <v>131559.53780924479</v>
      </c>
      <c r="AE19" s="6">
        <f t="shared" ca="1" si="3"/>
        <v>0</v>
      </c>
      <c r="AF19" s="4" t="s">
        <v>851</v>
      </c>
    </row>
    <row r="20" spans="1:32" ht="11.25" customHeight="1" x14ac:dyDescent="0.3">
      <c r="A20" s="4" t="s">
        <v>21</v>
      </c>
      <c r="B20" s="4" t="s">
        <v>39</v>
      </c>
      <c r="C20" s="4" t="s">
        <v>40</v>
      </c>
      <c r="D20" s="4" t="s">
        <v>38</v>
      </c>
      <c r="E20" s="4" t="s">
        <v>25</v>
      </c>
      <c r="F20" s="4" t="s">
        <v>56</v>
      </c>
      <c r="G20" s="4" t="s">
        <v>25</v>
      </c>
      <c r="H20" s="4" t="s">
        <v>35</v>
      </c>
      <c r="I20" s="5">
        <v>44682</v>
      </c>
      <c r="J20" s="6">
        <v>16280</v>
      </c>
      <c r="K20" s="6">
        <v>10594.502877200001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4" t="s">
        <v>55</v>
      </c>
      <c r="R20" s="4">
        <v>0</v>
      </c>
      <c r="S20" s="4">
        <v>22</v>
      </c>
      <c r="T20" s="4">
        <v>0</v>
      </c>
      <c r="U20" s="4">
        <v>0</v>
      </c>
      <c r="V20" s="6">
        <f>IF(ISERROR(VLOOKUP($S$20,'TAR FIN'!$A$1:$O$113,15,0)),0,VLOOKUP($S$20,'TAR FIN'!$A$1:$O$113,15,0))</f>
        <v>14</v>
      </c>
      <c r="W20" s="6">
        <f>IF(ISERROR(VLOOKUP($T$20,'TAR FIN'!$A$1:$O$113,15,0)),0,VLOOKUP($T$20,'TAR FIN'!$A$1:$O$113,15,0))</f>
        <v>0</v>
      </c>
      <c r="X20" s="6">
        <f>IF(ISERROR(VLOOKUP($U$20,'TAR FIN'!$A$1:$O$113,15,0)),0,VLOOKUP($U$20,'TAR FIN'!$A$1:$O$113,15,0))</f>
        <v>0</v>
      </c>
      <c r="Y20" s="6">
        <f ca="1">('TUSD BE'!$AM$15+'TUSD BF'!$AM$15+'TUSD CVA'!$AM$15)*1</f>
        <v>16.035953923331604</v>
      </c>
      <c r="Z20" s="6">
        <f ca="1">('TUSD BE'!$AM$16+'TUSD BF'!$AM$16+'TUSD CVA'!$AM$16)*1</f>
        <v>122.14055331663396</v>
      </c>
      <c r="AA20" s="6"/>
      <c r="AB20" s="6">
        <f t="shared" si="0"/>
        <v>79596.959719199993</v>
      </c>
      <c r="AC20" s="6">
        <f t="shared" si="1"/>
        <v>0</v>
      </c>
      <c r="AD20" s="6">
        <f t="shared" ca="1" si="2"/>
        <v>91172.369892455201</v>
      </c>
      <c r="AE20" s="6">
        <f t="shared" ca="1" si="3"/>
        <v>0</v>
      </c>
      <c r="AF20" s="4" t="s">
        <v>851</v>
      </c>
    </row>
    <row r="21" spans="1:32" ht="11.25" customHeight="1" x14ac:dyDescent="0.3">
      <c r="A21" s="4" t="s">
        <v>21</v>
      </c>
      <c r="B21" s="4" t="s">
        <v>39</v>
      </c>
      <c r="C21" s="4" t="s">
        <v>40</v>
      </c>
      <c r="D21" s="4" t="s">
        <v>38</v>
      </c>
      <c r="E21" s="4" t="s">
        <v>25</v>
      </c>
      <c r="F21" s="4" t="s">
        <v>56</v>
      </c>
      <c r="G21" s="4" t="s">
        <v>25</v>
      </c>
      <c r="H21" s="4" t="s">
        <v>35</v>
      </c>
      <c r="I21" s="5">
        <v>44713</v>
      </c>
      <c r="J21" s="6">
        <v>16089</v>
      </c>
      <c r="K21" s="6">
        <v>9780.4807362899992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4" t="s">
        <v>55</v>
      </c>
      <c r="R21" s="4">
        <v>0</v>
      </c>
      <c r="S21" s="4">
        <v>22</v>
      </c>
      <c r="T21" s="4">
        <v>0</v>
      </c>
      <c r="U21" s="4">
        <v>0</v>
      </c>
      <c r="V21" s="6">
        <f>IF(ISERROR(VLOOKUP($S$21,'TAR FIN'!$A$1:$O$113,15,0)),0,VLOOKUP($S$21,'TAR FIN'!$A$1:$O$113,15,0))</f>
        <v>14</v>
      </c>
      <c r="W21" s="6">
        <f>IF(ISERROR(VLOOKUP($T$21,'TAR FIN'!$A$1:$O$113,15,0)),0,VLOOKUP($T$21,'TAR FIN'!$A$1:$O$113,15,0))</f>
        <v>0</v>
      </c>
      <c r="X21" s="6">
        <f>IF(ISERROR(VLOOKUP($U$21,'TAR FIN'!$A$1:$O$113,15,0)),0,VLOOKUP($U$21,'TAR FIN'!$A$1:$O$113,15,0))</f>
        <v>0</v>
      </c>
      <c r="Y21" s="6">
        <f ca="1">('TUSD BE'!$AM$15+'TUSD BF'!$AM$15+'TUSD CVA'!$AM$15)*1</f>
        <v>16.035953923331604</v>
      </c>
      <c r="Z21" s="6">
        <f ca="1">('TUSD BE'!$AM$16+'TUSD BF'!$AM$16+'TUSD CVA'!$AM$16)*1</f>
        <v>122.14055331663396</v>
      </c>
      <c r="AA21" s="6"/>
      <c r="AB21" s="6">
        <f t="shared" si="0"/>
        <v>88319.269691940019</v>
      </c>
      <c r="AC21" s="6">
        <f t="shared" si="1"/>
        <v>0</v>
      </c>
      <c r="AD21" s="6">
        <f t="shared" ca="1" si="2"/>
        <v>101163.12423730339</v>
      </c>
      <c r="AE21" s="6">
        <f t="shared" ca="1" si="3"/>
        <v>0</v>
      </c>
      <c r="AF21" s="4" t="s">
        <v>851</v>
      </c>
    </row>
    <row r="22" spans="1:32" ht="11.25" customHeight="1" x14ac:dyDescent="0.3">
      <c r="A22" s="4" t="s">
        <v>21</v>
      </c>
      <c r="B22" s="4" t="s">
        <v>39</v>
      </c>
      <c r="C22" s="4" t="s">
        <v>40</v>
      </c>
      <c r="D22" s="4" t="s">
        <v>38</v>
      </c>
      <c r="E22" s="4" t="s">
        <v>25</v>
      </c>
      <c r="F22" s="4" t="s">
        <v>56</v>
      </c>
      <c r="G22" s="4" t="s">
        <v>25</v>
      </c>
      <c r="H22" s="4" t="s">
        <v>35</v>
      </c>
      <c r="I22" s="5">
        <v>44743</v>
      </c>
      <c r="J22" s="6">
        <v>16156</v>
      </c>
      <c r="K22" s="6">
        <v>8011.3249957999997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4" t="s">
        <v>55</v>
      </c>
      <c r="R22" s="4">
        <v>0</v>
      </c>
      <c r="S22" s="4">
        <v>22</v>
      </c>
      <c r="T22" s="4">
        <v>0</v>
      </c>
      <c r="U22" s="4">
        <v>0</v>
      </c>
      <c r="V22" s="6">
        <f>IF(ISERROR(VLOOKUP($S$22,'TAR FIN'!$A$1:$O$113,15,0)),0,VLOOKUP($S$22,'TAR FIN'!$A$1:$O$113,15,0))</f>
        <v>14</v>
      </c>
      <c r="W22" s="6">
        <f>IF(ISERROR(VLOOKUP($T$22,'TAR FIN'!$A$1:$O$113,15,0)),0,VLOOKUP($T$22,'TAR FIN'!$A$1:$O$113,15,0))</f>
        <v>0</v>
      </c>
      <c r="X22" s="6">
        <f>IF(ISERROR(VLOOKUP($U$22,'TAR FIN'!$A$1:$O$113,15,0)),0,VLOOKUP($U$22,'TAR FIN'!$A$1:$O$113,15,0))</f>
        <v>0</v>
      </c>
      <c r="Y22" s="6">
        <f ca="1">('TUSD BE'!$AM$15+'TUSD BF'!$AM$15+'TUSD CVA'!$AM$15)*1</f>
        <v>16.035953923331604</v>
      </c>
      <c r="Z22" s="6">
        <f ca="1">('TUSD BE'!$AM$16+'TUSD BF'!$AM$16+'TUSD CVA'!$AM$16)*1</f>
        <v>122.14055331663396</v>
      </c>
      <c r="AA22" s="6"/>
      <c r="AB22" s="6">
        <f t="shared" si="0"/>
        <v>114025.45005880001</v>
      </c>
      <c r="AC22" s="6">
        <f t="shared" si="1"/>
        <v>0</v>
      </c>
      <c r="AD22" s="6">
        <f t="shared" ca="1" si="2"/>
        <v>130607.63308786185</v>
      </c>
      <c r="AE22" s="6">
        <f t="shared" ca="1" si="3"/>
        <v>0</v>
      </c>
      <c r="AF22" s="4" t="s">
        <v>851</v>
      </c>
    </row>
    <row r="23" spans="1:32" ht="11.25" customHeight="1" x14ac:dyDescent="0.3">
      <c r="A23" s="4" t="s">
        <v>21</v>
      </c>
      <c r="B23" s="4" t="s">
        <v>39</v>
      </c>
      <c r="C23" s="4" t="s">
        <v>40</v>
      </c>
      <c r="D23" s="4" t="s">
        <v>38</v>
      </c>
      <c r="E23" s="4" t="s">
        <v>25</v>
      </c>
      <c r="F23" s="4" t="s">
        <v>56</v>
      </c>
      <c r="G23" s="4" t="s">
        <v>25</v>
      </c>
      <c r="H23" s="4" t="s">
        <v>35</v>
      </c>
      <c r="I23" s="5">
        <v>44774</v>
      </c>
      <c r="J23" s="6">
        <v>16086</v>
      </c>
      <c r="K23" s="6">
        <v>8491.9107151200005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4" t="s">
        <v>55</v>
      </c>
      <c r="R23" s="4">
        <v>0</v>
      </c>
      <c r="S23" s="4">
        <v>22</v>
      </c>
      <c r="T23" s="4">
        <v>0</v>
      </c>
      <c r="U23" s="4">
        <v>0</v>
      </c>
      <c r="V23" s="6">
        <f>IF(ISERROR(VLOOKUP($S$23,'TAR FIN'!$A$1:$O$113,15,0)),0,VLOOKUP($S$23,'TAR FIN'!$A$1:$O$113,15,0))</f>
        <v>14</v>
      </c>
      <c r="W23" s="6">
        <f>IF(ISERROR(VLOOKUP($T$23,'TAR FIN'!$A$1:$O$113,15,0)),0,VLOOKUP($T$23,'TAR FIN'!$A$1:$O$113,15,0))</f>
        <v>0</v>
      </c>
      <c r="X23" s="6">
        <f>IF(ISERROR(VLOOKUP($U$23,'TAR FIN'!$A$1:$O$113,15,0)),0,VLOOKUP($U$23,'TAR FIN'!$A$1:$O$113,15,0))</f>
        <v>0</v>
      </c>
      <c r="Y23" s="6">
        <f ca="1">('TUSD BE'!$AM$15+'TUSD BF'!$AM$15+'TUSD CVA'!$AM$15)*1</f>
        <v>16.035953923331604</v>
      </c>
      <c r="Z23" s="6">
        <f ca="1">('TUSD BE'!$AM$16+'TUSD BF'!$AM$16+'TUSD CVA'!$AM$16)*1</f>
        <v>122.14055331663396</v>
      </c>
      <c r="AA23" s="6"/>
      <c r="AB23" s="6">
        <f t="shared" si="0"/>
        <v>106317.24998831999</v>
      </c>
      <c r="AC23" s="6">
        <f t="shared" si="1"/>
        <v>0</v>
      </c>
      <c r="AD23" s="6">
        <f t="shared" ca="1" si="2"/>
        <v>121778.46586200192</v>
      </c>
      <c r="AE23" s="6">
        <f t="shared" ca="1" si="3"/>
        <v>0</v>
      </c>
      <c r="AF23" s="4" t="s">
        <v>851</v>
      </c>
    </row>
    <row r="24" spans="1:32" ht="11.25" customHeight="1" x14ac:dyDescent="0.3">
      <c r="A24" s="4" t="s">
        <v>21</v>
      </c>
      <c r="B24" s="4" t="s">
        <v>39</v>
      </c>
      <c r="C24" s="4" t="s">
        <v>40</v>
      </c>
      <c r="D24" s="4" t="s">
        <v>38</v>
      </c>
      <c r="E24" s="4" t="s">
        <v>25</v>
      </c>
      <c r="F24" s="4" t="s">
        <v>56</v>
      </c>
      <c r="G24" s="4" t="s">
        <v>25</v>
      </c>
      <c r="H24" s="4" t="s">
        <v>35</v>
      </c>
      <c r="I24" s="5">
        <v>44805</v>
      </c>
      <c r="J24" s="6">
        <v>16063</v>
      </c>
      <c r="K24" s="6">
        <v>9042.6228011599997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4" t="s">
        <v>55</v>
      </c>
      <c r="R24" s="4">
        <v>0</v>
      </c>
      <c r="S24" s="4">
        <v>22</v>
      </c>
      <c r="T24" s="4">
        <v>0</v>
      </c>
      <c r="U24" s="4">
        <v>0</v>
      </c>
      <c r="V24" s="6">
        <f>IF(ISERROR(VLOOKUP($S$24,'TAR FIN'!$A$1:$O$113,15,0)),0,VLOOKUP($S$24,'TAR FIN'!$A$1:$O$113,15,0))</f>
        <v>14</v>
      </c>
      <c r="W24" s="6">
        <f>IF(ISERROR(VLOOKUP($T$24,'TAR FIN'!$A$1:$O$113,15,0)),0,VLOOKUP($T$24,'TAR FIN'!$A$1:$O$113,15,0))</f>
        <v>0</v>
      </c>
      <c r="X24" s="6">
        <f>IF(ISERROR(VLOOKUP($U$24,'TAR FIN'!$A$1:$O$113,15,0)),0,VLOOKUP($U$24,'TAR FIN'!$A$1:$O$113,15,0))</f>
        <v>0</v>
      </c>
      <c r="Y24" s="6">
        <f ca="1">('TUSD BE'!$AM$15+'TUSD BF'!$AM$15+'TUSD CVA'!$AM$15)*1</f>
        <v>16.035953923331604</v>
      </c>
      <c r="Z24" s="6">
        <f ca="1">('TUSD BE'!$AM$16+'TUSD BF'!$AM$16+'TUSD CVA'!$AM$16)*1</f>
        <v>122.14055331663396</v>
      </c>
      <c r="AA24" s="6"/>
      <c r="AB24" s="6">
        <f t="shared" si="0"/>
        <v>98285.280783760012</v>
      </c>
      <c r="AC24" s="6">
        <f t="shared" si="1"/>
        <v>0</v>
      </c>
      <c r="AD24" s="6">
        <f t="shared" ca="1" si="2"/>
        <v>112578.44528500605</v>
      </c>
      <c r="AE24" s="6">
        <f t="shared" ca="1" si="3"/>
        <v>0</v>
      </c>
      <c r="AF24" s="4" t="s">
        <v>851</v>
      </c>
    </row>
    <row r="25" spans="1:32" ht="11.25" customHeight="1" x14ac:dyDescent="0.3">
      <c r="A25" s="4" t="s">
        <v>53</v>
      </c>
      <c r="B25" s="4" t="s">
        <v>39</v>
      </c>
      <c r="C25" s="4" t="s">
        <v>40</v>
      </c>
      <c r="D25" s="4" t="s">
        <v>38</v>
      </c>
      <c r="E25" s="4" t="s">
        <v>25</v>
      </c>
      <c r="F25" s="4" t="s">
        <v>56</v>
      </c>
      <c r="G25" s="4" t="s">
        <v>25</v>
      </c>
      <c r="H25" s="4" t="s">
        <v>35</v>
      </c>
      <c r="I25" s="5">
        <v>44835</v>
      </c>
      <c r="J25" s="6">
        <v>16063</v>
      </c>
      <c r="K25" s="6">
        <v>9042.6228011599997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4" t="s">
        <v>55</v>
      </c>
      <c r="R25" s="4">
        <v>0</v>
      </c>
      <c r="S25" s="4">
        <v>22</v>
      </c>
      <c r="T25" s="4">
        <v>0</v>
      </c>
      <c r="U25" s="4">
        <v>0</v>
      </c>
      <c r="V25" s="6">
        <f>IF(ISERROR(VLOOKUP($S$25,'TAR FIN'!$A$1:$O$113,15,0)),0,VLOOKUP($S$25,'TAR FIN'!$A$1:$O$113,15,0))</f>
        <v>14</v>
      </c>
      <c r="W25" s="6">
        <f>IF(ISERROR(VLOOKUP($T$25,'TAR FIN'!$A$1:$O$113,15,0)),0,VLOOKUP($T$25,'TAR FIN'!$A$1:$O$113,15,0))</f>
        <v>0</v>
      </c>
      <c r="X25" s="6">
        <f>IF(ISERROR(VLOOKUP($U$25,'TAR FIN'!$A$1:$O$113,15,0)),0,VLOOKUP($U$25,'TAR FIN'!$A$1:$O$113,15,0))</f>
        <v>0</v>
      </c>
      <c r="Y25" s="6">
        <f ca="1">('TUSD BE'!$AM$15+'TUSD BF'!$AM$15+'TUSD CVA'!$AM$15)*1</f>
        <v>16.035953923331604</v>
      </c>
      <c r="Z25" s="6">
        <f ca="1">('TUSD BE'!$AM$16+'TUSD BF'!$AM$16+'TUSD CVA'!$AM$16)*1</f>
        <v>122.14055331663396</v>
      </c>
      <c r="AA25" s="6"/>
      <c r="AB25" s="6">
        <f t="shared" si="0"/>
        <v>98285.280783760012</v>
      </c>
      <c r="AC25" s="6">
        <f t="shared" si="1"/>
        <v>0</v>
      </c>
      <c r="AD25" s="6">
        <f t="shared" ca="1" si="2"/>
        <v>112578.44528500605</v>
      </c>
      <c r="AE25" s="6">
        <f t="shared" ca="1" si="3"/>
        <v>0</v>
      </c>
      <c r="AF25" s="4" t="s">
        <v>851</v>
      </c>
    </row>
    <row r="26" spans="1:32" ht="11.25" customHeight="1" x14ac:dyDescent="0.3">
      <c r="A26" s="4" t="s">
        <v>21</v>
      </c>
      <c r="B26" s="4" t="s">
        <v>39</v>
      </c>
      <c r="C26" s="4" t="s">
        <v>40</v>
      </c>
      <c r="D26" s="4" t="s">
        <v>38</v>
      </c>
      <c r="E26" s="4" t="s">
        <v>25</v>
      </c>
      <c r="F26" s="4" t="s">
        <v>56</v>
      </c>
      <c r="G26" s="4" t="s">
        <v>25</v>
      </c>
      <c r="H26" s="4" t="s">
        <v>25</v>
      </c>
      <c r="I26" s="5">
        <v>44501</v>
      </c>
      <c r="J26" s="6">
        <v>0</v>
      </c>
      <c r="K26" s="6">
        <v>0</v>
      </c>
      <c r="L26" s="6">
        <v>7888.02</v>
      </c>
      <c r="M26" s="6">
        <v>7888.02</v>
      </c>
      <c r="N26" s="6">
        <v>0</v>
      </c>
      <c r="O26" s="6">
        <v>0</v>
      </c>
      <c r="P26" s="6">
        <v>10</v>
      </c>
      <c r="Q26" s="4" t="s">
        <v>55</v>
      </c>
      <c r="R26" s="4">
        <v>0</v>
      </c>
      <c r="S26" s="4">
        <v>0</v>
      </c>
      <c r="T26" s="4">
        <v>12</v>
      </c>
      <c r="U26" s="4">
        <v>0</v>
      </c>
      <c r="V26" s="6">
        <f>IF(ISERROR(VLOOKUP($S$26,'TAR FIN'!$A$1:$O$113,15,0)),0,VLOOKUP($S$26,'TAR FIN'!$A$1:$O$113,15,0))</f>
        <v>0</v>
      </c>
      <c r="W26" s="6">
        <f>IF(ISERROR(VLOOKUP($T$26,'TAR FIN'!$A$1:$O$113,15,0)),0,VLOOKUP($T$26,'TAR FIN'!$A$1:$O$113,15,0))</f>
        <v>72.150000000000006</v>
      </c>
      <c r="X26" s="6">
        <f>IF(ISERROR(VLOOKUP($U$26,'TAR FIN'!$A$1:$O$113,15,0)),0,VLOOKUP($U$26,'TAR FIN'!$A$1:$O$113,15,0))</f>
        <v>0</v>
      </c>
      <c r="Y26" s="6"/>
      <c r="Z26" s="6">
        <f ca="1">('TUSD BE'!$AM$16+'TUSD BF'!$AM$16+'TUSD CVA'!$AM$16)*1</f>
        <v>122.14055331663396</v>
      </c>
      <c r="AA26" s="6"/>
      <c r="AB26" s="6">
        <f t="shared" si="0"/>
        <v>0</v>
      </c>
      <c r="AC26" s="6">
        <f t="shared" si="1"/>
        <v>0</v>
      </c>
      <c r="AD26" s="6">
        <f t="shared" si="2"/>
        <v>0</v>
      </c>
      <c r="AE26" s="6">
        <f t="shared" ca="1" si="3"/>
        <v>0</v>
      </c>
      <c r="AF26" s="4" t="s">
        <v>851</v>
      </c>
    </row>
    <row r="27" spans="1:32" ht="11.25" customHeight="1" x14ac:dyDescent="0.3">
      <c r="A27" s="4" t="s">
        <v>21</v>
      </c>
      <c r="B27" s="4" t="s">
        <v>39</v>
      </c>
      <c r="C27" s="4" t="s">
        <v>40</v>
      </c>
      <c r="D27" s="4" t="s">
        <v>38</v>
      </c>
      <c r="E27" s="4" t="s">
        <v>25</v>
      </c>
      <c r="F27" s="4" t="s">
        <v>56</v>
      </c>
      <c r="G27" s="4" t="s">
        <v>25</v>
      </c>
      <c r="H27" s="4" t="s">
        <v>25</v>
      </c>
      <c r="I27" s="5">
        <v>44531</v>
      </c>
      <c r="J27" s="6">
        <v>0</v>
      </c>
      <c r="K27" s="6">
        <v>0</v>
      </c>
      <c r="L27" s="6">
        <v>7651.0950000000003</v>
      </c>
      <c r="M27" s="6">
        <v>7651.0950000000003</v>
      </c>
      <c r="N27" s="6">
        <v>0</v>
      </c>
      <c r="O27" s="6">
        <v>0</v>
      </c>
      <c r="P27" s="6">
        <v>10</v>
      </c>
      <c r="Q27" s="4" t="s">
        <v>55</v>
      </c>
      <c r="R27" s="4">
        <v>0</v>
      </c>
      <c r="S27" s="4">
        <v>0</v>
      </c>
      <c r="T27" s="4">
        <v>12</v>
      </c>
      <c r="U27" s="4">
        <v>0</v>
      </c>
      <c r="V27" s="6">
        <f>IF(ISERROR(VLOOKUP($S$27,'TAR FIN'!$A$1:$O$113,15,0)),0,VLOOKUP($S$27,'TAR FIN'!$A$1:$O$113,15,0))</f>
        <v>0</v>
      </c>
      <c r="W27" s="6">
        <f>IF(ISERROR(VLOOKUP($T$27,'TAR FIN'!$A$1:$O$113,15,0)),0,VLOOKUP($T$27,'TAR FIN'!$A$1:$O$113,15,0))</f>
        <v>72.150000000000006</v>
      </c>
      <c r="X27" s="6">
        <f>IF(ISERROR(VLOOKUP($U$27,'TAR FIN'!$A$1:$O$113,15,0)),0,VLOOKUP($U$27,'TAR FIN'!$A$1:$O$113,15,0))</f>
        <v>0</v>
      </c>
      <c r="Y27" s="6"/>
      <c r="Z27" s="6">
        <f ca="1">('TUSD BE'!$AM$16+'TUSD BF'!$AM$16+'TUSD CVA'!$AM$16)*1</f>
        <v>122.14055331663396</v>
      </c>
      <c r="AA27" s="6"/>
      <c r="AB27" s="6">
        <f t="shared" si="0"/>
        <v>0</v>
      </c>
      <c r="AC27" s="6">
        <f t="shared" si="1"/>
        <v>0</v>
      </c>
      <c r="AD27" s="6">
        <f t="shared" si="2"/>
        <v>0</v>
      </c>
      <c r="AE27" s="6">
        <f t="shared" ca="1" si="3"/>
        <v>0</v>
      </c>
      <c r="AF27" s="4" t="s">
        <v>851</v>
      </c>
    </row>
    <row r="28" spans="1:32" ht="11.25" customHeight="1" x14ac:dyDescent="0.3">
      <c r="A28" s="4" t="s">
        <v>21</v>
      </c>
      <c r="B28" s="4" t="s">
        <v>39</v>
      </c>
      <c r="C28" s="4" t="s">
        <v>40</v>
      </c>
      <c r="D28" s="4" t="s">
        <v>38</v>
      </c>
      <c r="E28" s="4" t="s">
        <v>25</v>
      </c>
      <c r="F28" s="4" t="s">
        <v>56</v>
      </c>
      <c r="G28" s="4" t="s">
        <v>25</v>
      </c>
      <c r="H28" s="4" t="s">
        <v>25</v>
      </c>
      <c r="I28" s="5">
        <v>44562</v>
      </c>
      <c r="J28" s="6">
        <v>0</v>
      </c>
      <c r="K28" s="6">
        <v>0</v>
      </c>
      <c r="L28" s="6">
        <v>7155.4250000000002</v>
      </c>
      <c r="M28" s="6">
        <v>7155.4250000000002</v>
      </c>
      <c r="N28" s="6">
        <v>0</v>
      </c>
      <c r="O28" s="6">
        <v>0</v>
      </c>
      <c r="P28" s="6">
        <v>10</v>
      </c>
      <c r="Q28" s="4" t="s">
        <v>55</v>
      </c>
      <c r="R28" s="4">
        <v>0</v>
      </c>
      <c r="S28" s="4">
        <v>0</v>
      </c>
      <c r="T28" s="4">
        <v>12</v>
      </c>
      <c r="U28" s="4">
        <v>0</v>
      </c>
      <c r="V28" s="6">
        <f>IF(ISERROR(VLOOKUP($S$28,'TAR FIN'!$A$1:$O$113,15,0)),0,VLOOKUP($S$28,'TAR FIN'!$A$1:$O$113,15,0))</f>
        <v>0</v>
      </c>
      <c r="W28" s="6">
        <f>IF(ISERROR(VLOOKUP($T$28,'TAR FIN'!$A$1:$O$113,15,0)),0,VLOOKUP($T$28,'TAR FIN'!$A$1:$O$113,15,0))</f>
        <v>72.150000000000006</v>
      </c>
      <c r="X28" s="6">
        <f>IF(ISERROR(VLOOKUP($U$28,'TAR FIN'!$A$1:$O$113,15,0)),0,VLOOKUP($U$28,'TAR FIN'!$A$1:$O$113,15,0))</f>
        <v>0</v>
      </c>
      <c r="Y28" s="6"/>
      <c r="Z28" s="6">
        <f ca="1">('TUSD BE'!$AM$16+'TUSD BF'!$AM$16+'TUSD CVA'!$AM$16)*1</f>
        <v>122.14055331663396</v>
      </c>
      <c r="AA28" s="6"/>
      <c r="AB28" s="6">
        <f t="shared" si="0"/>
        <v>0</v>
      </c>
      <c r="AC28" s="6">
        <f t="shared" si="1"/>
        <v>0</v>
      </c>
      <c r="AD28" s="6">
        <f t="shared" si="2"/>
        <v>0</v>
      </c>
      <c r="AE28" s="6">
        <f t="shared" ca="1" si="3"/>
        <v>0</v>
      </c>
      <c r="AF28" s="4" t="s">
        <v>851</v>
      </c>
    </row>
    <row r="29" spans="1:32" ht="11.25" customHeight="1" x14ac:dyDescent="0.3">
      <c r="A29" s="4" t="s">
        <v>21</v>
      </c>
      <c r="B29" s="4" t="s">
        <v>39</v>
      </c>
      <c r="C29" s="4" t="s">
        <v>40</v>
      </c>
      <c r="D29" s="4" t="s">
        <v>38</v>
      </c>
      <c r="E29" s="4" t="s">
        <v>25</v>
      </c>
      <c r="F29" s="4" t="s">
        <v>56</v>
      </c>
      <c r="G29" s="4" t="s">
        <v>25</v>
      </c>
      <c r="H29" s="4" t="s">
        <v>25</v>
      </c>
      <c r="I29" s="5">
        <v>44593</v>
      </c>
      <c r="J29" s="6">
        <v>0</v>
      </c>
      <c r="K29" s="6">
        <v>0</v>
      </c>
      <c r="L29" s="6">
        <v>7542.44</v>
      </c>
      <c r="M29" s="6">
        <v>7542.44</v>
      </c>
      <c r="N29" s="6">
        <v>0</v>
      </c>
      <c r="O29" s="6">
        <v>0</v>
      </c>
      <c r="P29" s="6">
        <v>10</v>
      </c>
      <c r="Q29" s="4" t="s">
        <v>55</v>
      </c>
      <c r="R29" s="4">
        <v>0</v>
      </c>
      <c r="S29" s="4">
        <v>0</v>
      </c>
      <c r="T29" s="4">
        <v>12</v>
      </c>
      <c r="U29" s="4">
        <v>0</v>
      </c>
      <c r="V29" s="6">
        <f>IF(ISERROR(VLOOKUP($S$29,'TAR FIN'!$A$1:$O$113,15,0)),0,VLOOKUP($S$29,'TAR FIN'!$A$1:$O$113,15,0))</f>
        <v>0</v>
      </c>
      <c r="W29" s="6">
        <f>IF(ISERROR(VLOOKUP($T$29,'TAR FIN'!$A$1:$O$113,15,0)),0,VLOOKUP($T$29,'TAR FIN'!$A$1:$O$113,15,0))</f>
        <v>72.150000000000006</v>
      </c>
      <c r="X29" s="6">
        <f>IF(ISERROR(VLOOKUP($U$29,'TAR FIN'!$A$1:$O$113,15,0)),0,VLOOKUP($U$29,'TAR FIN'!$A$1:$O$113,15,0))</f>
        <v>0</v>
      </c>
      <c r="Y29" s="6"/>
      <c r="Z29" s="6">
        <f ca="1">('TUSD BE'!$AM$16+'TUSD BF'!$AM$16+'TUSD CVA'!$AM$16)*1</f>
        <v>122.14055331663396</v>
      </c>
      <c r="AA29" s="6"/>
      <c r="AB29" s="6">
        <f t="shared" si="0"/>
        <v>0</v>
      </c>
      <c r="AC29" s="6">
        <f t="shared" si="1"/>
        <v>0</v>
      </c>
      <c r="AD29" s="6">
        <f t="shared" si="2"/>
        <v>0</v>
      </c>
      <c r="AE29" s="6">
        <f t="shared" ca="1" si="3"/>
        <v>0</v>
      </c>
      <c r="AF29" s="4" t="s">
        <v>851</v>
      </c>
    </row>
    <row r="30" spans="1:32" ht="11.25" customHeight="1" x14ac:dyDescent="0.3">
      <c r="A30" s="4" t="s">
        <v>21</v>
      </c>
      <c r="B30" s="4" t="s">
        <v>39</v>
      </c>
      <c r="C30" s="4" t="s">
        <v>40</v>
      </c>
      <c r="D30" s="4" t="s">
        <v>38</v>
      </c>
      <c r="E30" s="4" t="s">
        <v>25</v>
      </c>
      <c r="F30" s="4" t="s">
        <v>56</v>
      </c>
      <c r="G30" s="4" t="s">
        <v>25</v>
      </c>
      <c r="H30" s="4" t="s">
        <v>25</v>
      </c>
      <c r="I30" s="5">
        <v>44621</v>
      </c>
      <c r="J30" s="6">
        <v>0</v>
      </c>
      <c r="K30" s="6">
        <v>0</v>
      </c>
      <c r="L30" s="6">
        <v>7411.6469999999999</v>
      </c>
      <c r="M30" s="6">
        <v>7411.6469999999999</v>
      </c>
      <c r="N30" s="6">
        <v>0</v>
      </c>
      <c r="O30" s="6">
        <v>0</v>
      </c>
      <c r="P30" s="6">
        <v>10</v>
      </c>
      <c r="Q30" s="4" t="s">
        <v>55</v>
      </c>
      <c r="R30" s="4">
        <v>0</v>
      </c>
      <c r="S30" s="4">
        <v>0</v>
      </c>
      <c r="T30" s="4">
        <v>12</v>
      </c>
      <c r="U30" s="4">
        <v>0</v>
      </c>
      <c r="V30" s="6">
        <f>IF(ISERROR(VLOOKUP($S$30,'TAR FIN'!$A$1:$O$113,15,0)),0,VLOOKUP($S$30,'TAR FIN'!$A$1:$O$113,15,0))</f>
        <v>0</v>
      </c>
      <c r="W30" s="6">
        <f>IF(ISERROR(VLOOKUP($T$30,'TAR FIN'!$A$1:$O$113,15,0)),0,VLOOKUP($T$30,'TAR FIN'!$A$1:$O$113,15,0))</f>
        <v>72.150000000000006</v>
      </c>
      <c r="X30" s="6">
        <f>IF(ISERROR(VLOOKUP($U$30,'TAR FIN'!$A$1:$O$113,15,0)),0,VLOOKUP($U$30,'TAR FIN'!$A$1:$O$113,15,0))</f>
        <v>0</v>
      </c>
      <c r="Y30" s="6"/>
      <c r="Z30" s="6">
        <f ca="1">('TUSD BE'!$AM$16+'TUSD BF'!$AM$16+'TUSD CVA'!$AM$16)*1</f>
        <v>122.14055331663396</v>
      </c>
      <c r="AA30" s="6"/>
      <c r="AB30" s="6">
        <f t="shared" si="0"/>
        <v>0</v>
      </c>
      <c r="AC30" s="6">
        <f t="shared" si="1"/>
        <v>0</v>
      </c>
      <c r="AD30" s="6">
        <f t="shared" si="2"/>
        <v>0</v>
      </c>
      <c r="AE30" s="6">
        <f t="shared" ca="1" si="3"/>
        <v>0</v>
      </c>
      <c r="AF30" s="4" t="s">
        <v>851</v>
      </c>
    </row>
    <row r="31" spans="1:32" ht="11.25" customHeight="1" x14ac:dyDescent="0.3">
      <c r="A31" s="4" t="s">
        <v>21</v>
      </c>
      <c r="B31" s="4" t="s">
        <v>39</v>
      </c>
      <c r="C31" s="4" t="s">
        <v>40</v>
      </c>
      <c r="D31" s="4" t="s">
        <v>38</v>
      </c>
      <c r="E31" s="4" t="s">
        <v>25</v>
      </c>
      <c r="F31" s="4" t="s">
        <v>56</v>
      </c>
      <c r="G31" s="4" t="s">
        <v>25</v>
      </c>
      <c r="H31" s="4" t="s">
        <v>25</v>
      </c>
      <c r="I31" s="5">
        <v>44652</v>
      </c>
      <c r="J31" s="6">
        <v>0</v>
      </c>
      <c r="K31" s="6">
        <v>0</v>
      </c>
      <c r="L31" s="6">
        <v>7972.3119999999999</v>
      </c>
      <c r="M31" s="6">
        <v>7972.3119999999999</v>
      </c>
      <c r="N31" s="6">
        <v>0</v>
      </c>
      <c r="O31" s="6">
        <v>0</v>
      </c>
      <c r="P31" s="6">
        <v>10</v>
      </c>
      <c r="Q31" s="4" t="s">
        <v>55</v>
      </c>
      <c r="R31" s="4">
        <v>0</v>
      </c>
      <c r="S31" s="4">
        <v>0</v>
      </c>
      <c r="T31" s="4">
        <v>12</v>
      </c>
      <c r="U31" s="4">
        <v>0</v>
      </c>
      <c r="V31" s="6">
        <f>IF(ISERROR(VLOOKUP($S$31,'TAR FIN'!$A$1:$O$113,15,0)),0,VLOOKUP($S$31,'TAR FIN'!$A$1:$O$113,15,0))</f>
        <v>0</v>
      </c>
      <c r="W31" s="6">
        <f>IF(ISERROR(VLOOKUP($T$31,'TAR FIN'!$A$1:$O$113,15,0)),0,VLOOKUP($T$31,'TAR FIN'!$A$1:$O$113,15,0))</f>
        <v>72.150000000000006</v>
      </c>
      <c r="X31" s="6">
        <f>IF(ISERROR(VLOOKUP($U$31,'TAR FIN'!$A$1:$O$113,15,0)),0,VLOOKUP($U$31,'TAR FIN'!$A$1:$O$113,15,0))</f>
        <v>0</v>
      </c>
      <c r="Y31" s="6"/>
      <c r="Z31" s="6">
        <f ca="1">('TUSD BE'!$AM$16+'TUSD BF'!$AM$16+'TUSD CVA'!$AM$16)*1</f>
        <v>122.14055331663396</v>
      </c>
      <c r="AA31" s="6"/>
      <c r="AB31" s="6">
        <f t="shared" si="0"/>
        <v>0</v>
      </c>
      <c r="AC31" s="6">
        <f t="shared" si="1"/>
        <v>0</v>
      </c>
      <c r="AD31" s="6">
        <f t="shared" si="2"/>
        <v>0</v>
      </c>
      <c r="AE31" s="6">
        <f t="shared" ca="1" si="3"/>
        <v>0</v>
      </c>
      <c r="AF31" s="4" t="s">
        <v>851</v>
      </c>
    </row>
    <row r="32" spans="1:32" ht="11.25" customHeight="1" x14ac:dyDescent="0.3">
      <c r="A32" s="4" t="s">
        <v>21</v>
      </c>
      <c r="B32" s="4" t="s">
        <v>39</v>
      </c>
      <c r="C32" s="4" t="s">
        <v>40</v>
      </c>
      <c r="D32" s="4" t="s">
        <v>38</v>
      </c>
      <c r="E32" s="4" t="s">
        <v>25</v>
      </c>
      <c r="F32" s="4" t="s">
        <v>56</v>
      </c>
      <c r="G32" s="4" t="s">
        <v>25</v>
      </c>
      <c r="H32" s="4" t="s">
        <v>25</v>
      </c>
      <c r="I32" s="5">
        <v>44682</v>
      </c>
      <c r="J32" s="6">
        <v>0</v>
      </c>
      <c r="K32" s="6">
        <v>0</v>
      </c>
      <c r="L32" s="6">
        <v>7239.27</v>
      </c>
      <c r="M32" s="6">
        <v>7239.27</v>
      </c>
      <c r="N32" s="6">
        <v>0</v>
      </c>
      <c r="O32" s="6">
        <v>0</v>
      </c>
      <c r="P32" s="6">
        <v>10</v>
      </c>
      <c r="Q32" s="4" t="s">
        <v>55</v>
      </c>
      <c r="R32" s="4">
        <v>0</v>
      </c>
      <c r="S32" s="4">
        <v>0</v>
      </c>
      <c r="T32" s="4">
        <v>12</v>
      </c>
      <c r="U32" s="4">
        <v>0</v>
      </c>
      <c r="V32" s="6">
        <f>IF(ISERROR(VLOOKUP($S$32,'TAR FIN'!$A$1:$O$113,15,0)),0,VLOOKUP($S$32,'TAR FIN'!$A$1:$O$113,15,0))</f>
        <v>0</v>
      </c>
      <c r="W32" s="6">
        <f>IF(ISERROR(VLOOKUP($T$32,'TAR FIN'!$A$1:$O$113,15,0)),0,VLOOKUP($T$32,'TAR FIN'!$A$1:$O$113,15,0))</f>
        <v>72.150000000000006</v>
      </c>
      <c r="X32" s="6">
        <f>IF(ISERROR(VLOOKUP($U$32,'TAR FIN'!$A$1:$O$113,15,0)),0,VLOOKUP($U$32,'TAR FIN'!$A$1:$O$113,15,0))</f>
        <v>0</v>
      </c>
      <c r="Y32" s="6"/>
      <c r="Z32" s="6">
        <f ca="1">('TUSD BE'!$AM$16+'TUSD BF'!$AM$16+'TUSD CVA'!$AM$16)*1</f>
        <v>122.14055331663396</v>
      </c>
      <c r="AA32" s="6"/>
      <c r="AB32" s="6">
        <f t="shared" si="0"/>
        <v>0</v>
      </c>
      <c r="AC32" s="6">
        <f t="shared" si="1"/>
        <v>0</v>
      </c>
      <c r="AD32" s="6">
        <f t="shared" si="2"/>
        <v>0</v>
      </c>
      <c r="AE32" s="6">
        <f t="shared" ca="1" si="3"/>
        <v>0</v>
      </c>
      <c r="AF32" s="4" t="s">
        <v>851</v>
      </c>
    </row>
    <row r="33" spans="1:32" ht="11.25" customHeight="1" x14ac:dyDescent="0.3">
      <c r="A33" s="4" t="s">
        <v>21</v>
      </c>
      <c r="B33" s="4" t="s">
        <v>39</v>
      </c>
      <c r="C33" s="4" t="s">
        <v>40</v>
      </c>
      <c r="D33" s="4" t="s">
        <v>38</v>
      </c>
      <c r="E33" s="4" t="s">
        <v>25</v>
      </c>
      <c r="F33" s="4" t="s">
        <v>56</v>
      </c>
      <c r="G33" s="4" t="s">
        <v>25</v>
      </c>
      <c r="H33" s="4" t="s">
        <v>25</v>
      </c>
      <c r="I33" s="5">
        <v>44713</v>
      </c>
      <c r="J33" s="6">
        <v>0</v>
      </c>
      <c r="K33" s="6">
        <v>0</v>
      </c>
      <c r="L33" s="6">
        <v>7397.8249999999998</v>
      </c>
      <c r="M33" s="6">
        <v>7397.8249999999998</v>
      </c>
      <c r="N33" s="6">
        <v>0</v>
      </c>
      <c r="O33" s="6">
        <v>0</v>
      </c>
      <c r="P33" s="6">
        <v>10</v>
      </c>
      <c r="Q33" s="4" t="s">
        <v>55</v>
      </c>
      <c r="R33" s="4">
        <v>0</v>
      </c>
      <c r="S33" s="4">
        <v>0</v>
      </c>
      <c r="T33" s="4">
        <v>12</v>
      </c>
      <c r="U33" s="4">
        <v>0</v>
      </c>
      <c r="V33" s="6">
        <f>IF(ISERROR(VLOOKUP($S$33,'TAR FIN'!$A$1:$O$113,15,0)),0,VLOOKUP($S$33,'TAR FIN'!$A$1:$O$113,15,0))</f>
        <v>0</v>
      </c>
      <c r="W33" s="6">
        <f>IF(ISERROR(VLOOKUP($T$33,'TAR FIN'!$A$1:$O$113,15,0)),0,VLOOKUP($T$33,'TAR FIN'!$A$1:$O$113,15,0))</f>
        <v>72.150000000000006</v>
      </c>
      <c r="X33" s="6">
        <f>IF(ISERROR(VLOOKUP($U$33,'TAR FIN'!$A$1:$O$113,15,0)),0,VLOOKUP($U$33,'TAR FIN'!$A$1:$O$113,15,0))</f>
        <v>0</v>
      </c>
      <c r="Y33" s="6"/>
      <c r="Z33" s="6">
        <f ca="1">('TUSD BE'!$AM$16+'TUSD BF'!$AM$16+'TUSD CVA'!$AM$16)*1</f>
        <v>122.14055331663396</v>
      </c>
      <c r="AA33" s="6"/>
      <c r="AB33" s="6">
        <f t="shared" si="0"/>
        <v>0</v>
      </c>
      <c r="AC33" s="6">
        <f t="shared" si="1"/>
        <v>0</v>
      </c>
      <c r="AD33" s="6">
        <f t="shared" si="2"/>
        <v>0</v>
      </c>
      <c r="AE33" s="6">
        <f t="shared" ca="1" si="3"/>
        <v>0</v>
      </c>
      <c r="AF33" s="4" t="s">
        <v>851</v>
      </c>
    </row>
    <row r="34" spans="1:32" ht="11.25" customHeight="1" x14ac:dyDescent="0.3">
      <c r="A34" s="4" t="s">
        <v>21</v>
      </c>
      <c r="B34" s="4" t="s">
        <v>39</v>
      </c>
      <c r="C34" s="4" t="s">
        <v>40</v>
      </c>
      <c r="D34" s="4" t="s">
        <v>38</v>
      </c>
      <c r="E34" s="4" t="s">
        <v>25</v>
      </c>
      <c r="F34" s="4" t="s">
        <v>56</v>
      </c>
      <c r="G34" s="4" t="s">
        <v>25</v>
      </c>
      <c r="H34" s="4" t="s">
        <v>25</v>
      </c>
      <c r="I34" s="5">
        <v>44743</v>
      </c>
      <c r="J34" s="6">
        <v>0</v>
      </c>
      <c r="K34" s="6">
        <v>0</v>
      </c>
      <c r="L34" s="6">
        <v>7032.8630000000003</v>
      </c>
      <c r="M34" s="6">
        <v>7032.8630000000003</v>
      </c>
      <c r="N34" s="6">
        <v>0</v>
      </c>
      <c r="O34" s="6">
        <v>0</v>
      </c>
      <c r="P34" s="6">
        <v>10</v>
      </c>
      <c r="Q34" s="4" t="s">
        <v>55</v>
      </c>
      <c r="R34" s="4">
        <v>0</v>
      </c>
      <c r="S34" s="4">
        <v>0</v>
      </c>
      <c r="T34" s="4">
        <v>12</v>
      </c>
      <c r="U34" s="4">
        <v>0</v>
      </c>
      <c r="V34" s="6">
        <f>IF(ISERROR(VLOOKUP($S$34,'TAR FIN'!$A$1:$O$113,15,0)),0,VLOOKUP($S$34,'TAR FIN'!$A$1:$O$113,15,0))</f>
        <v>0</v>
      </c>
      <c r="W34" s="6">
        <f>IF(ISERROR(VLOOKUP($T$34,'TAR FIN'!$A$1:$O$113,15,0)),0,VLOOKUP($T$34,'TAR FIN'!$A$1:$O$113,15,0))</f>
        <v>72.150000000000006</v>
      </c>
      <c r="X34" s="6">
        <f>IF(ISERROR(VLOOKUP($U$34,'TAR FIN'!$A$1:$O$113,15,0)),0,VLOOKUP($U$34,'TAR FIN'!$A$1:$O$113,15,0))</f>
        <v>0</v>
      </c>
      <c r="Y34" s="6"/>
      <c r="Z34" s="6">
        <f ca="1">('TUSD BE'!$AM$16+'TUSD BF'!$AM$16+'TUSD CVA'!$AM$16)*1</f>
        <v>122.14055331663396</v>
      </c>
      <c r="AA34" s="6"/>
      <c r="AB34" s="6">
        <f t="shared" si="0"/>
        <v>0</v>
      </c>
      <c r="AC34" s="6">
        <f t="shared" si="1"/>
        <v>0</v>
      </c>
      <c r="AD34" s="6">
        <f t="shared" si="2"/>
        <v>0</v>
      </c>
      <c r="AE34" s="6">
        <f t="shared" ca="1" si="3"/>
        <v>0</v>
      </c>
      <c r="AF34" s="4" t="s">
        <v>851</v>
      </c>
    </row>
    <row r="35" spans="1:32" ht="11.25" customHeight="1" x14ac:dyDescent="0.3">
      <c r="A35" s="4" t="s">
        <v>21</v>
      </c>
      <c r="B35" s="4" t="s">
        <v>39</v>
      </c>
      <c r="C35" s="4" t="s">
        <v>40</v>
      </c>
      <c r="D35" s="4" t="s">
        <v>38</v>
      </c>
      <c r="E35" s="4" t="s">
        <v>25</v>
      </c>
      <c r="F35" s="4" t="s">
        <v>56</v>
      </c>
      <c r="G35" s="4" t="s">
        <v>25</v>
      </c>
      <c r="H35" s="4" t="s">
        <v>25</v>
      </c>
      <c r="I35" s="5">
        <v>44774</v>
      </c>
      <c r="J35" s="6">
        <v>0</v>
      </c>
      <c r="K35" s="6">
        <v>0</v>
      </c>
      <c r="L35" s="6">
        <v>7387.9709999999995</v>
      </c>
      <c r="M35" s="6">
        <v>7387.9709999999995</v>
      </c>
      <c r="N35" s="6">
        <v>0</v>
      </c>
      <c r="O35" s="6">
        <v>0</v>
      </c>
      <c r="P35" s="6">
        <v>10</v>
      </c>
      <c r="Q35" s="4" t="s">
        <v>55</v>
      </c>
      <c r="R35" s="4">
        <v>0</v>
      </c>
      <c r="S35" s="4">
        <v>0</v>
      </c>
      <c r="T35" s="4">
        <v>12</v>
      </c>
      <c r="U35" s="4">
        <v>0</v>
      </c>
      <c r="V35" s="6">
        <f>IF(ISERROR(VLOOKUP($S$35,'TAR FIN'!$A$1:$O$113,15,0)),0,VLOOKUP($S$35,'TAR FIN'!$A$1:$O$113,15,0))</f>
        <v>0</v>
      </c>
      <c r="W35" s="6">
        <f>IF(ISERROR(VLOOKUP($T$35,'TAR FIN'!$A$1:$O$113,15,0)),0,VLOOKUP($T$35,'TAR FIN'!$A$1:$O$113,15,0))</f>
        <v>72.150000000000006</v>
      </c>
      <c r="X35" s="6">
        <f>IF(ISERROR(VLOOKUP($U$35,'TAR FIN'!$A$1:$O$113,15,0)),0,VLOOKUP($U$35,'TAR FIN'!$A$1:$O$113,15,0))</f>
        <v>0</v>
      </c>
      <c r="Y35" s="6"/>
      <c r="Z35" s="6">
        <f ca="1">('TUSD BE'!$AM$16+'TUSD BF'!$AM$16+'TUSD CVA'!$AM$16)*1</f>
        <v>122.14055331663396</v>
      </c>
      <c r="AA35" s="6"/>
      <c r="AB35" s="6">
        <f t="shared" si="0"/>
        <v>0</v>
      </c>
      <c r="AC35" s="6">
        <f t="shared" si="1"/>
        <v>0</v>
      </c>
      <c r="AD35" s="6">
        <f t="shared" si="2"/>
        <v>0</v>
      </c>
      <c r="AE35" s="6">
        <f t="shared" ca="1" si="3"/>
        <v>0</v>
      </c>
      <c r="AF35" s="4" t="s">
        <v>851</v>
      </c>
    </row>
    <row r="36" spans="1:32" ht="11.25" customHeight="1" x14ac:dyDescent="0.3">
      <c r="A36" s="4" t="s">
        <v>21</v>
      </c>
      <c r="B36" s="4" t="s">
        <v>39</v>
      </c>
      <c r="C36" s="4" t="s">
        <v>40</v>
      </c>
      <c r="D36" s="4" t="s">
        <v>38</v>
      </c>
      <c r="E36" s="4" t="s">
        <v>25</v>
      </c>
      <c r="F36" s="4" t="s">
        <v>56</v>
      </c>
      <c r="G36" s="4" t="s">
        <v>25</v>
      </c>
      <c r="H36" s="4" t="s">
        <v>25</v>
      </c>
      <c r="I36" s="5">
        <v>44805</v>
      </c>
      <c r="J36" s="6">
        <v>0</v>
      </c>
      <c r="K36" s="6">
        <v>0</v>
      </c>
      <c r="L36" s="6">
        <v>7595.0789999999997</v>
      </c>
      <c r="M36" s="6">
        <v>7595.0789999999997</v>
      </c>
      <c r="N36" s="6">
        <v>0</v>
      </c>
      <c r="O36" s="6">
        <v>0</v>
      </c>
      <c r="P36" s="6">
        <v>10</v>
      </c>
      <c r="Q36" s="4" t="s">
        <v>55</v>
      </c>
      <c r="R36" s="4">
        <v>0</v>
      </c>
      <c r="S36" s="4">
        <v>0</v>
      </c>
      <c r="T36" s="4">
        <v>12</v>
      </c>
      <c r="U36" s="4">
        <v>0</v>
      </c>
      <c r="V36" s="6">
        <f>IF(ISERROR(VLOOKUP($S$36,'TAR FIN'!$A$1:$O$113,15,0)),0,VLOOKUP($S$36,'TAR FIN'!$A$1:$O$113,15,0))</f>
        <v>0</v>
      </c>
      <c r="W36" s="6">
        <f>IF(ISERROR(VLOOKUP($T$36,'TAR FIN'!$A$1:$O$113,15,0)),0,VLOOKUP($T$36,'TAR FIN'!$A$1:$O$113,15,0))</f>
        <v>72.150000000000006</v>
      </c>
      <c r="X36" s="6">
        <f>IF(ISERROR(VLOOKUP($U$36,'TAR FIN'!$A$1:$O$113,15,0)),0,VLOOKUP($U$36,'TAR FIN'!$A$1:$O$113,15,0))</f>
        <v>0</v>
      </c>
      <c r="Y36" s="6"/>
      <c r="Z36" s="6">
        <f ca="1">('TUSD BE'!$AM$16+'TUSD BF'!$AM$16+'TUSD CVA'!$AM$16)*1</f>
        <v>122.14055331663396</v>
      </c>
      <c r="AA36" s="6"/>
      <c r="AB36" s="6">
        <f t="shared" si="0"/>
        <v>0</v>
      </c>
      <c r="AC36" s="6">
        <f t="shared" si="1"/>
        <v>0</v>
      </c>
      <c r="AD36" s="6">
        <f t="shared" si="2"/>
        <v>0</v>
      </c>
      <c r="AE36" s="6">
        <f t="shared" ca="1" si="3"/>
        <v>0</v>
      </c>
      <c r="AF36" s="4" t="s">
        <v>851</v>
      </c>
    </row>
    <row r="37" spans="1:32" ht="11.25" customHeight="1" x14ac:dyDescent="0.3">
      <c r="A37" s="4" t="s">
        <v>53</v>
      </c>
      <c r="B37" s="4" t="s">
        <v>39</v>
      </c>
      <c r="C37" s="4" t="s">
        <v>40</v>
      </c>
      <c r="D37" s="4" t="s">
        <v>38</v>
      </c>
      <c r="E37" s="4" t="s">
        <v>25</v>
      </c>
      <c r="F37" s="4" t="s">
        <v>56</v>
      </c>
      <c r="G37" s="4" t="s">
        <v>25</v>
      </c>
      <c r="H37" s="4" t="s">
        <v>25</v>
      </c>
      <c r="I37" s="5">
        <v>44835</v>
      </c>
      <c r="J37" s="6">
        <v>0</v>
      </c>
      <c r="K37" s="6">
        <v>0</v>
      </c>
      <c r="L37" s="6">
        <v>7595.0789999999997</v>
      </c>
      <c r="M37" s="6">
        <v>7595.0789999999997</v>
      </c>
      <c r="N37" s="6">
        <v>0</v>
      </c>
      <c r="O37" s="6">
        <v>0</v>
      </c>
      <c r="P37" s="6">
        <v>10</v>
      </c>
      <c r="Q37" s="4" t="s">
        <v>55</v>
      </c>
      <c r="R37" s="4">
        <v>0</v>
      </c>
      <c r="S37" s="4">
        <v>0</v>
      </c>
      <c r="T37" s="4">
        <v>12</v>
      </c>
      <c r="U37" s="4">
        <v>0</v>
      </c>
      <c r="V37" s="6">
        <f>IF(ISERROR(VLOOKUP($S$37,'TAR FIN'!$A$1:$O$113,15,0)),0,VLOOKUP($S$37,'TAR FIN'!$A$1:$O$113,15,0))</f>
        <v>0</v>
      </c>
      <c r="W37" s="6">
        <f>IF(ISERROR(VLOOKUP($T$37,'TAR FIN'!$A$1:$O$113,15,0)),0,VLOOKUP($T$37,'TAR FIN'!$A$1:$O$113,15,0))</f>
        <v>72.150000000000006</v>
      </c>
      <c r="X37" s="6">
        <f>IF(ISERROR(VLOOKUP($U$37,'TAR FIN'!$A$1:$O$113,15,0)),0,VLOOKUP($U$37,'TAR FIN'!$A$1:$O$113,15,0))</f>
        <v>0</v>
      </c>
      <c r="Y37" s="6"/>
      <c r="Z37" s="6">
        <f ca="1">('TUSD BE'!$AM$16+'TUSD BF'!$AM$16+'TUSD CVA'!$AM$16)*1</f>
        <v>122.14055331663396</v>
      </c>
      <c r="AA37" s="6"/>
      <c r="AB37" s="6">
        <f t="shared" si="0"/>
        <v>0</v>
      </c>
      <c r="AC37" s="6">
        <f t="shared" si="1"/>
        <v>0</v>
      </c>
      <c r="AD37" s="6">
        <f t="shared" si="2"/>
        <v>0</v>
      </c>
      <c r="AE37" s="6">
        <f t="shared" ca="1" si="3"/>
        <v>0</v>
      </c>
      <c r="AF37" s="4" t="s">
        <v>851</v>
      </c>
    </row>
    <row r="38" spans="1:32" ht="11.25" customHeight="1" x14ac:dyDescent="0.3">
      <c r="A38" s="4" t="s">
        <v>21</v>
      </c>
      <c r="B38" s="4" t="s">
        <v>39</v>
      </c>
      <c r="C38" s="4" t="s">
        <v>40</v>
      </c>
      <c r="D38" s="4" t="s">
        <v>38</v>
      </c>
      <c r="E38" s="4" t="s">
        <v>25</v>
      </c>
      <c r="F38" s="4" t="s">
        <v>56</v>
      </c>
      <c r="G38" s="4" t="s">
        <v>25</v>
      </c>
      <c r="H38" s="4" t="s">
        <v>34</v>
      </c>
      <c r="I38" s="5">
        <v>44501</v>
      </c>
      <c r="J38" s="6">
        <v>15209</v>
      </c>
      <c r="K38" s="6">
        <v>9741.9908066200005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55</v>
      </c>
      <c r="R38" s="4">
        <v>0</v>
      </c>
      <c r="S38" s="4">
        <v>9</v>
      </c>
      <c r="T38" s="4">
        <v>0</v>
      </c>
      <c r="U38" s="4">
        <v>0</v>
      </c>
      <c r="V38" s="6">
        <f>IF(ISERROR(VLOOKUP($S$38,'TAR FIN'!$A$1:$O$113,15,0)),0,VLOOKUP($S$38,'TAR FIN'!$A$1:$O$113,15,0))</f>
        <v>35.76</v>
      </c>
      <c r="W38" s="6">
        <f>IF(ISERROR(VLOOKUP($T$38,'TAR FIN'!$A$1:$O$113,15,0)),0,VLOOKUP($T$38,'TAR FIN'!$A$1:$O$113,15,0))</f>
        <v>0</v>
      </c>
      <c r="X38" s="6">
        <f>IF(ISERROR(VLOOKUP($U$38,'TAR FIN'!$A$1:$O$113,15,0)),0,VLOOKUP($U$38,'TAR FIN'!$A$1:$O$113,15,0))</f>
        <v>0</v>
      </c>
      <c r="Y38" s="6">
        <f ca="1">('TUSD BE'!$AM$14+'TUSD BF'!$AM$14+'TUSD CVA'!$AM$14)*1</f>
        <v>40.963640769708675</v>
      </c>
      <c r="Z38" s="6">
        <f ca="1">('TUSD BE'!$AM$16+'TUSD BF'!$AM$16+'TUSD CVA'!$AM$16)*1</f>
        <v>122.14055331663396</v>
      </c>
      <c r="AA38" s="6"/>
      <c r="AB38" s="6">
        <f t="shared" si="0"/>
        <v>195500.24875526878</v>
      </c>
      <c r="AC38" s="6">
        <f t="shared" si="1"/>
        <v>0</v>
      </c>
      <c r="AD38" s="6">
        <f t="shared" ca="1" si="2"/>
        <v>223948.60068231309</v>
      </c>
      <c r="AE38" s="6">
        <f t="shared" ca="1" si="3"/>
        <v>0</v>
      </c>
      <c r="AF38" s="4" t="s">
        <v>851</v>
      </c>
    </row>
    <row r="39" spans="1:32" ht="11.25" customHeight="1" x14ac:dyDescent="0.3">
      <c r="A39" s="4" t="s">
        <v>21</v>
      </c>
      <c r="B39" s="4" t="s">
        <v>39</v>
      </c>
      <c r="C39" s="4" t="s">
        <v>40</v>
      </c>
      <c r="D39" s="4" t="s">
        <v>38</v>
      </c>
      <c r="E39" s="4" t="s">
        <v>25</v>
      </c>
      <c r="F39" s="4" t="s">
        <v>56</v>
      </c>
      <c r="G39" s="4" t="s">
        <v>25</v>
      </c>
      <c r="H39" s="4" t="s">
        <v>34</v>
      </c>
      <c r="I39" s="5">
        <v>44531</v>
      </c>
      <c r="J39" s="6">
        <v>15104</v>
      </c>
      <c r="K39" s="6">
        <v>9762.3642188800004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55</v>
      </c>
      <c r="R39" s="4">
        <v>0</v>
      </c>
      <c r="S39" s="4">
        <v>9</v>
      </c>
      <c r="T39" s="4">
        <v>0</v>
      </c>
      <c r="U39" s="4">
        <v>0</v>
      </c>
      <c r="V39" s="6">
        <f>IF(ISERROR(VLOOKUP($S$39,'TAR FIN'!$A$1:$O$113,15,0)),0,VLOOKUP($S$39,'TAR FIN'!$A$1:$O$113,15,0))</f>
        <v>35.76</v>
      </c>
      <c r="W39" s="6">
        <f>IF(ISERROR(VLOOKUP($T$39,'TAR FIN'!$A$1:$O$113,15,0)),0,VLOOKUP($T$39,'TAR FIN'!$A$1:$O$113,15,0))</f>
        <v>0</v>
      </c>
      <c r="X39" s="6">
        <f>IF(ISERROR(VLOOKUP($U$39,'TAR FIN'!$A$1:$O$113,15,0)),0,VLOOKUP($U$39,'TAR FIN'!$A$1:$O$113,15,0))</f>
        <v>0</v>
      </c>
      <c r="Y39" s="6">
        <f ca="1">('TUSD BE'!$AM$14+'TUSD BF'!$AM$14+'TUSD CVA'!$AM$14)*1</f>
        <v>40.963640769708675</v>
      </c>
      <c r="Z39" s="6">
        <f ca="1">('TUSD BE'!$AM$16+'TUSD BF'!$AM$16+'TUSD CVA'!$AM$16)*1</f>
        <v>122.14055331663396</v>
      </c>
      <c r="AA39" s="6"/>
      <c r="AB39" s="6">
        <f t="shared" si="0"/>
        <v>191016.89553285117</v>
      </c>
      <c r="AC39" s="6">
        <f t="shared" si="1"/>
        <v>0</v>
      </c>
      <c r="AD39" s="6">
        <f t="shared" ca="1" si="2"/>
        <v>218812.84926042185</v>
      </c>
      <c r="AE39" s="6">
        <f t="shared" ca="1" si="3"/>
        <v>0</v>
      </c>
      <c r="AF39" s="4" t="s">
        <v>851</v>
      </c>
    </row>
    <row r="40" spans="1:32" ht="11.25" customHeight="1" x14ac:dyDescent="0.3">
      <c r="A40" s="4" t="s">
        <v>21</v>
      </c>
      <c r="B40" s="4" t="s">
        <v>39</v>
      </c>
      <c r="C40" s="4" t="s">
        <v>40</v>
      </c>
      <c r="D40" s="4" t="s">
        <v>38</v>
      </c>
      <c r="E40" s="4" t="s">
        <v>25</v>
      </c>
      <c r="F40" s="4" t="s">
        <v>56</v>
      </c>
      <c r="G40" s="4" t="s">
        <v>25</v>
      </c>
      <c r="H40" s="4" t="s">
        <v>34</v>
      </c>
      <c r="I40" s="5">
        <v>44562</v>
      </c>
      <c r="J40" s="6">
        <v>15151</v>
      </c>
      <c r="K40" s="6">
        <v>8719.4845880499997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55</v>
      </c>
      <c r="R40" s="4">
        <v>0</v>
      </c>
      <c r="S40" s="4">
        <v>9</v>
      </c>
      <c r="T40" s="4">
        <v>0</v>
      </c>
      <c r="U40" s="4">
        <v>0</v>
      </c>
      <c r="V40" s="6">
        <f>IF(ISERROR(VLOOKUP($S$40,'TAR FIN'!$A$1:$O$113,15,0)),0,VLOOKUP($S$40,'TAR FIN'!$A$1:$O$113,15,0))</f>
        <v>35.76</v>
      </c>
      <c r="W40" s="6">
        <f>IF(ISERROR(VLOOKUP($T$40,'TAR FIN'!$A$1:$O$113,15,0)),0,VLOOKUP($T$40,'TAR FIN'!$A$1:$O$113,15,0))</f>
        <v>0</v>
      </c>
      <c r="X40" s="6">
        <f>IF(ISERROR(VLOOKUP($U$40,'TAR FIN'!$A$1:$O$113,15,0)),0,VLOOKUP($U$40,'TAR FIN'!$A$1:$O$113,15,0))</f>
        <v>0</v>
      </c>
      <c r="Y40" s="6">
        <f ca="1">('TUSD BE'!$AM$14+'TUSD BF'!$AM$14+'TUSD CVA'!$AM$14)*1</f>
        <v>40.963640769708675</v>
      </c>
      <c r="Z40" s="6">
        <f ca="1">('TUSD BE'!$AM$16+'TUSD BF'!$AM$16+'TUSD CVA'!$AM$16)*1</f>
        <v>122.14055331663396</v>
      </c>
      <c r="AA40" s="6"/>
      <c r="AB40" s="6">
        <f t="shared" si="0"/>
        <v>229990.991131332</v>
      </c>
      <c r="AC40" s="6">
        <f t="shared" si="1"/>
        <v>0</v>
      </c>
      <c r="AD40" s="6">
        <f t="shared" ca="1" si="2"/>
        <v>263458.28693996469</v>
      </c>
      <c r="AE40" s="6">
        <f t="shared" ca="1" si="3"/>
        <v>0</v>
      </c>
      <c r="AF40" s="4" t="s">
        <v>851</v>
      </c>
    </row>
    <row r="41" spans="1:32" ht="11.25" customHeight="1" x14ac:dyDescent="0.3">
      <c r="A41" s="4" t="s">
        <v>21</v>
      </c>
      <c r="B41" s="4" t="s">
        <v>39</v>
      </c>
      <c r="C41" s="4" t="s">
        <v>40</v>
      </c>
      <c r="D41" s="4" t="s">
        <v>38</v>
      </c>
      <c r="E41" s="4" t="s">
        <v>25</v>
      </c>
      <c r="F41" s="4" t="s">
        <v>56</v>
      </c>
      <c r="G41" s="4" t="s">
        <v>25</v>
      </c>
      <c r="H41" s="4" t="s">
        <v>34</v>
      </c>
      <c r="I41" s="5">
        <v>44593</v>
      </c>
      <c r="J41" s="6">
        <v>15170</v>
      </c>
      <c r="K41" s="6">
        <v>9036.5050420000007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4" t="s">
        <v>55</v>
      </c>
      <c r="R41" s="4">
        <v>0</v>
      </c>
      <c r="S41" s="4">
        <v>9</v>
      </c>
      <c r="T41" s="4">
        <v>0</v>
      </c>
      <c r="U41" s="4">
        <v>0</v>
      </c>
      <c r="V41" s="6">
        <f>IF(ISERROR(VLOOKUP($S$41,'TAR FIN'!$A$1:$O$113,15,0)),0,VLOOKUP($S$41,'TAR FIN'!$A$1:$O$113,15,0))</f>
        <v>35.76</v>
      </c>
      <c r="W41" s="6">
        <f>IF(ISERROR(VLOOKUP($T$41,'TAR FIN'!$A$1:$O$113,15,0)),0,VLOOKUP($T$41,'TAR FIN'!$A$1:$O$113,15,0))</f>
        <v>0</v>
      </c>
      <c r="X41" s="6">
        <f>IF(ISERROR(VLOOKUP($U$41,'TAR FIN'!$A$1:$O$113,15,0)),0,VLOOKUP($U$41,'TAR FIN'!$A$1:$O$113,15,0))</f>
        <v>0</v>
      </c>
      <c r="Y41" s="6">
        <f ca="1">('TUSD BE'!$AM$14+'TUSD BF'!$AM$14+'TUSD CVA'!$AM$14)*1</f>
        <v>40.963640769708675</v>
      </c>
      <c r="Z41" s="6">
        <f ca="1">('TUSD BE'!$AM$16+'TUSD BF'!$AM$16+'TUSD CVA'!$AM$16)*1</f>
        <v>122.14055331663396</v>
      </c>
      <c r="AA41" s="6"/>
      <c r="AB41" s="6">
        <f t="shared" si="0"/>
        <v>219333.77969807998</v>
      </c>
      <c r="AC41" s="6">
        <f t="shared" si="1"/>
        <v>0</v>
      </c>
      <c r="AD41" s="6">
        <f t="shared" ca="1" si="2"/>
        <v>251250.28412233136</v>
      </c>
      <c r="AE41" s="6">
        <f t="shared" ca="1" si="3"/>
        <v>0</v>
      </c>
      <c r="AF41" s="4" t="s">
        <v>851</v>
      </c>
    </row>
    <row r="42" spans="1:32" ht="11.25" customHeight="1" x14ac:dyDescent="0.3">
      <c r="A42" s="4" t="s">
        <v>21</v>
      </c>
      <c r="B42" s="4" t="s">
        <v>39</v>
      </c>
      <c r="C42" s="4" t="s">
        <v>40</v>
      </c>
      <c r="D42" s="4" t="s">
        <v>38</v>
      </c>
      <c r="E42" s="4" t="s">
        <v>25</v>
      </c>
      <c r="F42" s="4" t="s">
        <v>56</v>
      </c>
      <c r="G42" s="4" t="s">
        <v>25</v>
      </c>
      <c r="H42" s="4" t="s">
        <v>34</v>
      </c>
      <c r="I42" s="5">
        <v>44621</v>
      </c>
      <c r="J42" s="6">
        <v>15437</v>
      </c>
      <c r="K42" s="6">
        <v>8333.5986883799997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4" t="s">
        <v>55</v>
      </c>
      <c r="R42" s="4">
        <v>0</v>
      </c>
      <c r="S42" s="4">
        <v>9</v>
      </c>
      <c r="T42" s="4">
        <v>0</v>
      </c>
      <c r="U42" s="4">
        <v>0</v>
      </c>
      <c r="V42" s="6">
        <f>IF(ISERROR(VLOOKUP($S$42,'TAR FIN'!$A$1:$O$113,15,0)),0,VLOOKUP($S$42,'TAR FIN'!$A$1:$O$113,15,0))</f>
        <v>35.76</v>
      </c>
      <c r="W42" s="6">
        <f>IF(ISERROR(VLOOKUP($T$42,'TAR FIN'!$A$1:$O$113,15,0)),0,VLOOKUP($T$42,'TAR FIN'!$A$1:$O$113,15,0))</f>
        <v>0</v>
      </c>
      <c r="X42" s="6">
        <f>IF(ISERROR(VLOOKUP($U$42,'TAR FIN'!$A$1:$O$113,15,0)),0,VLOOKUP($U$42,'TAR FIN'!$A$1:$O$113,15,0))</f>
        <v>0</v>
      </c>
      <c r="Y42" s="6">
        <f ca="1">('TUSD BE'!$AM$14+'TUSD BF'!$AM$14+'TUSD CVA'!$AM$14)*1</f>
        <v>40.963640769708675</v>
      </c>
      <c r="Z42" s="6">
        <f ca="1">('TUSD BE'!$AM$16+'TUSD BF'!$AM$16+'TUSD CVA'!$AM$16)*1</f>
        <v>122.14055331663396</v>
      </c>
      <c r="AA42" s="6"/>
      <c r="AB42" s="6">
        <f t="shared" si="0"/>
        <v>254017.63090353119</v>
      </c>
      <c r="AC42" s="6">
        <f t="shared" si="1"/>
        <v>0</v>
      </c>
      <c r="AD42" s="6">
        <f t="shared" ca="1" si="2"/>
        <v>290981.1795722791</v>
      </c>
      <c r="AE42" s="6">
        <f t="shared" ca="1" si="3"/>
        <v>0</v>
      </c>
      <c r="AF42" s="4" t="s">
        <v>851</v>
      </c>
    </row>
    <row r="43" spans="1:32" ht="11.25" customHeight="1" x14ac:dyDescent="0.3">
      <c r="A43" s="4" t="s">
        <v>21</v>
      </c>
      <c r="B43" s="4" t="s">
        <v>39</v>
      </c>
      <c r="C43" s="4" t="s">
        <v>40</v>
      </c>
      <c r="D43" s="4" t="s">
        <v>38</v>
      </c>
      <c r="E43" s="4" t="s">
        <v>25</v>
      </c>
      <c r="F43" s="4" t="s">
        <v>56</v>
      </c>
      <c r="G43" s="4" t="s">
        <v>25</v>
      </c>
      <c r="H43" s="4" t="s">
        <v>34</v>
      </c>
      <c r="I43" s="5">
        <v>44652</v>
      </c>
      <c r="J43" s="6">
        <v>15298</v>
      </c>
      <c r="K43" s="6">
        <v>7554.5100672400004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4" t="s">
        <v>55</v>
      </c>
      <c r="R43" s="4">
        <v>0</v>
      </c>
      <c r="S43" s="4">
        <v>9</v>
      </c>
      <c r="T43" s="4">
        <v>0</v>
      </c>
      <c r="U43" s="4">
        <v>0</v>
      </c>
      <c r="V43" s="6">
        <f>IF(ISERROR(VLOOKUP($S$43,'TAR FIN'!$A$1:$O$113,15,0)),0,VLOOKUP($S$43,'TAR FIN'!$A$1:$O$113,15,0))</f>
        <v>35.76</v>
      </c>
      <c r="W43" s="6">
        <f>IF(ISERROR(VLOOKUP($T$43,'TAR FIN'!$A$1:$O$113,15,0)),0,VLOOKUP($T$43,'TAR FIN'!$A$1:$O$113,15,0))</f>
        <v>0</v>
      </c>
      <c r="X43" s="6">
        <f>IF(ISERROR(VLOOKUP($U$43,'TAR FIN'!$A$1:$O$113,15,0)),0,VLOOKUP($U$43,'TAR FIN'!$A$1:$O$113,15,0))</f>
        <v>0</v>
      </c>
      <c r="Y43" s="6">
        <f ca="1">('TUSD BE'!$AM$14+'TUSD BF'!$AM$14+'TUSD CVA'!$AM$14)*1</f>
        <v>40.963640769708675</v>
      </c>
      <c r="Z43" s="6">
        <f ca="1">('TUSD BE'!$AM$16+'TUSD BF'!$AM$16+'TUSD CVA'!$AM$16)*1</f>
        <v>122.14055331663396</v>
      </c>
      <c r="AA43" s="6"/>
      <c r="AB43" s="6">
        <f t="shared" si="0"/>
        <v>276907.19999549759</v>
      </c>
      <c r="AC43" s="6">
        <f t="shared" si="1"/>
        <v>0</v>
      </c>
      <c r="AD43" s="6">
        <f t="shared" ca="1" si="2"/>
        <v>317201.53990943619</v>
      </c>
      <c r="AE43" s="6">
        <f t="shared" ca="1" si="3"/>
        <v>0</v>
      </c>
      <c r="AF43" s="4" t="s">
        <v>851</v>
      </c>
    </row>
    <row r="44" spans="1:32" ht="11.25" customHeight="1" x14ac:dyDescent="0.3">
      <c r="A44" s="4" t="s">
        <v>21</v>
      </c>
      <c r="B44" s="4" t="s">
        <v>39</v>
      </c>
      <c r="C44" s="4" t="s">
        <v>40</v>
      </c>
      <c r="D44" s="4" t="s">
        <v>38</v>
      </c>
      <c r="E44" s="4" t="s">
        <v>25</v>
      </c>
      <c r="F44" s="4" t="s">
        <v>56</v>
      </c>
      <c r="G44" s="4" t="s">
        <v>25</v>
      </c>
      <c r="H44" s="4" t="s">
        <v>34</v>
      </c>
      <c r="I44" s="5">
        <v>44682</v>
      </c>
      <c r="J44" s="6">
        <v>15512</v>
      </c>
      <c r="K44" s="6">
        <v>10036.9224844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4" t="s">
        <v>55</v>
      </c>
      <c r="R44" s="4">
        <v>0</v>
      </c>
      <c r="S44" s="4">
        <v>9</v>
      </c>
      <c r="T44" s="4">
        <v>0</v>
      </c>
      <c r="U44" s="4">
        <v>0</v>
      </c>
      <c r="V44" s="6">
        <f>IF(ISERROR(VLOOKUP($S$44,'TAR FIN'!$A$1:$O$113,15,0)),0,VLOOKUP($S$44,'TAR FIN'!$A$1:$O$113,15,0))</f>
        <v>35.76</v>
      </c>
      <c r="W44" s="6">
        <f>IF(ISERROR(VLOOKUP($T$44,'TAR FIN'!$A$1:$O$113,15,0)),0,VLOOKUP($T$44,'TAR FIN'!$A$1:$O$113,15,0))</f>
        <v>0</v>
      </c>
      <c r="X44" s="6">
        <f>IF(ISERROR(VLOOKUP($U$44,'TAR FIN'!$A$1:$O$113,15,0)),0,VLOOKUP($U$44,'TAR FIN'!$A$1:$O$113,15,0))</f>
        <v>0</v>
      </c>
      <c r="Y44" s="6">
        <f ca="1">('TUSD BE'!$AM$14+'TUSD BF'!$AM$14+'TUSD CVA'!$AM$14)*1</f>
        <v>40.963640769708675</v>
      </c>
      <c r="Z44" s="6">
        <f ca="1">('TUSD BE'!$AM$16+'TUSD BF'!$AM$16+'TUSD CVA'!$AM$16)*1</f>
        <v>122.14055331663396</v>
      </c>
      <c r="AA44" s="6"/>
      <c r="AB44" s="6">
        <f t="shared" si="0"/>
        <v>195788.77195785599</v>
      </c>
      <c r="AC44" s="6">
        <f t="shared" si="1"/>
        <v>0</v>
      </c>
      <c r="AD44" s="6">
        <f t="shared" ca="1" si="2"/>
        <v>224279.10853534745</v>
      </c>
      <c r="AE44" s="6">
        <f t="shared" ca="1" si="3"/>
        <v>0</v>
      </c>
      <c r="AF44" s="4" t="s">
        <v>851</v>
      </c>
    </row>
    <row r="45" spans="1:32" ht="11.25" customHeight="1" x14ac:dyDescent="0.3">
      <c r="A45" s="4" t="s">
        <v>21</v>
      </c>
      <c r="B45" s="4" t="s">
        <v>39</v>
      </c>
      <c r="C45" s="4" t="s">
        <v>40</v>
      </c>
      <c r="D45" s="4" t="s">
        <v>38</v>
      </c>
      <c r="E45" s="4" t="s">
        <v>25</v>
      </c>
      <c r="F45" s="4" t="s">
        <v>56</v>
      </c>
      <c r="G45" s="4" t="s">
        <v>25</v>
      </c>
      <c r="H45" s="4" t="s">
        <v>34</v>
      </c>
      <c r="I45" s="5">
        <v>44713</v>
      </c>
      <c r="J45" s="6">
        <v>15447</v>
      </c>
      <c r="K45" s="6">
        <v>9418.8297213299993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4" t="s">
        <v>55</v>
      </c>
      <c r="R45" s="4">
        <v>0</v>
      </c>
      <c r="S45" s="4">
        <v>9</v>
      </c>
      <c r="T45" s="4">
        <v>0</v>
      </c>
      <c r="U45" s="4">
        <v>0</v>
      </c>
      <c r="V45" s="6">
        <f>IF(ISERROR(VLOOKUP($S$45,'TAR FIN'!$A$1:$O$113,15,0)),0,VLOOKUP($S$45,'TAR FIN'!$A$1:$O$113,15,0))</f>
        <v>35.76</v>
      </c>
      <c r="W45" s="6">
        <f>IF(ISERROR(VLOOKUP($T$45,'TAR FIN'!$A$1:$O$113,15,0)),0,VLOOKUP($T$45,'TAR FIN'!$A$1:$O$113,15,0))</f>
        <v>0</v>
      </c>
      <c r="X45" s="6">
        <f>IF(ISERROR(VLOOKUP($U$45,'TAR FIN'!$A$1:$O$113,15,0)),0,VLOOKUP($U$45,'TAR FIN'!$A$1:$O$113,15,0))</f>
        <v>0</v>
      </c>
      <c r="Y45" s="6">
        <f ca="1">('TUSD BE'!$AM$14+'TUSD BF'!$AM$14+'TUSD CVA'!$AM$14)*1</f>
        <v>40.963640769708675</v>
      </c>
      <c r="Z45" s="6">
        <f ca="1">('TUSD BE'!$AM$16+'TUSD BF'!$AM$16+'TUSD CVA'!$AM$16)*1</f>
        <v>122.14055331663396</v>
      </c>
      <c r="AA45" s="6"/>
      <c r="AB45" s="6">
        <f t="shared" si="0"/>
        <v>215567.36916523922</v>
      </c>
      <c r="AC45" s="6">
        <f t="shared" si="1"/>
        <v>0</v>
      </c>
      <c r="AD45" s="6">
        <f t="shared" ca="1" si="2"/>
        <v>246935.80179407255</v>
      </c>
      <c r="AE45" s="6">
        <f t="shared" ca="1" si="3"/>
        <v>0</v>
      </c>
      <c r="AF45" s="4" t="s">
        <v>851</v>
      </c>
    </row>
    <row r="46" spans="1:32" ht="11.25" customHeight="1" x14ac:dyDescent="0.3">
      <c r="A46" s="4" t="s">
        <v>21</v>
      </c>
      <c r="B46" s="4" t="s">
        <v>39</v>
      </c>
      <c r="C46" s="4" t="s">
        <v>40</v>
      </c>
      <c r="D46" s="4" t="s">
        <v>38</v>
      </c>
      <c r="E46" s="4" t="s">
        <v>25</v>
      </c>
      <c r="F46" s="4" t="s">
        <v>56</v>
      </c>
      <c r="G46" s="4" t="s">
        <v>25</v>
      </c>
      <c r="H46" s="4" t="s">
        <v>34</v>
      </c>
      <c r="I46" s="5">
        <v>44743</v>
      </c>
      <c r="J46" s="6">
        <v>15443</v>
      </c>
      <c r="K46" s="6">
        <v>7695.1753989099998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4" t="s">
        <v>55</v>
      </c>
      <c r="R46" s="4">
        <v>0</v>
      </c>
      <c r="S46" s="4">
        <v>9</v>
      </c>
      <c r="T46" s="4">
        <v>0</v>
      </c>
      <c r="U46" s="4">
        <v>0</v>
      </c>
      <c r="V46" s="6">
        <f>IF(ISERROR(VLOOKUP($S$46,'TAR FIN'!$A$1:$O$113,15,0)),0,VLOOKUP($S$46,'TAR FIN'!$A$1:$O$113,15,0))</f>
        <v>35.76</v>
      </c>
      <c r="W46" s="6">
        <f>IF(ISERROR(VLOOKUP($T$46,'TAR FIN'!$A$1:$O$113,15,0)),0,VLOOKUP($T$46,'TAR FIN'!$A$1:$O$113,15,0))</f>
        <v>0</v>
      </c>
      <c r="X46" s="6">
        <f>IF(ISERROR(VLOOKUP($U$46,'TAR FIN'!$A$1:$O$113,15,0)),0,VLOOKUP($U$46,'TAR FIN'!$A$1:$O$113,15,0))</f>
        <v>0</v>
      </c>
      <c r="Y46" s="6">
        <f ca="1">('TUSD BE'!$AM$14+'TUSD BF'!$AM$14+'TUSD CVA'!$AM$14)*1</f>
        <v>40.963640769708675</v>
      </c>
      <c r="Z46" s="6">
        <f ca="1">('TUSD BE'!$AM$16+'TUSD BF'!$AM$16+'TUSD CVA'!$AM$16)*1</f>
        <v>122.14055331663396</v>
      </c>
      <c r="AA46" s="6"/>
      <c r="AB46" s="6">
        <f t="shared" si="0"/>
        <v>277062.20773497841</v>
      </c>
      <c r="AC46" s="6">
        <f t="shared" si="1"/>
        <v>0</v>
      </c>
      <c r="AD46" s="6">
        <f t="shared" ca="1" si="2"/>
        <v>317379.10370576219</v>
      </c>
      <c r="AE46" s="6">
        <f t="shared" ca="1" si="3"/>
        <v>0</v>
      </c>
      <c r="AF46" s="4" t="s">
        <v>851</v>
      </c>
    </row>
    <row r="47" spans="1:32" ht="11.25" customHeight="1" x14ac:dyDescent="0.3">
      <c r="A47" s="4" t="s">
        <v>21</v>
      </c>
      <c r="B47" s="4" t="s">
        <v>39</v>
      </c>
      <c r="C47" s="4" t="s">
        <v>40</v>
      </c>
      <c r="D47" s="4" t="s">
        <v>38</v>
      </c>
      <c r="E47" s="4" t="s">
        <v>25</v>
      </c>
      <c r="F47" s="4" t="s">
        <v>56</v>
      </c>
      <c r="G47" s="4" t="s">
        <v>25</v>
      </c>
      <c r="H47" s="4" t="s">
        <v>34</v>
      </c>
      <c r="I47" s="5">
        <v>44774</v>
      </c>
      <c r="J47" s="6">
        <v>15437</v>
      </c>
      <c r="K47" s="6">
        <v>8181.5836027300002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4" t="s">
        <v>55</v>
      </c>
      <c r="R47" s="4">
        <v>0</v>
      </c>
      <c r="S47" s="4">
        <v>9</v>
      </c>
      <c r="T47" s="4">
        <v>0</v>
      </c>
      <c r="U47" s="4">
        <v>0</v>
      </c>
      <c r="V47" s="6">
        <f>IF(ISERROR(VLOOKUP($S$47,'TAR FIN'!$A$1:$O$113,15,0)),0,VLOOKUP($S$47,'TAR FIN'!$A$1:$O$113,15,0))</f>
        <v>35.76</v>
      </c>
      <c r="W47" s="6">
        <f>IF(ISERROR(VLOOKUP($T$47,'TAR FIN'!$A$1:$O$113,15,0)),0,VLOOKUP($T$47,'TAR FIN'!$A$1:$O$113,15,0))</f>
        <v>0</v>
      </c>
      <c r="X47" s="6">
        <f>IF(ISERROR(VLOOKUP($U$47,'TAR FIN'!$A$1:$O$113,15,0)),0,VLOOKUP($U$47,'TAR FIN'!$A$1:$O$113,15,0))</f>
        <v>0</v>
      </c>
      <c r="Y47" s="6">
        <f ca="1">('TUSD BE'!$AM$14+'TUSD BF'!$AM$14+'TUSD CVA'!$AM$14)*1</f>
        <v>40.963640769708675</v>
      </c>
      <c r="Z47" s="6">
        <f ca="1">('TUSD BE'!$AM$16+'TUSD BF'!$AM$16+'TUSD CVA'!$AM$16)*1</f>
        <v>122.14055331663396</v>
      </c>
      <c r="AA47" s="6"/>
      <c r="AB47" s="6">
        <f t="shared" si="0"/>
        <v>259453.69036637517</v>
      </c>
      <c r="AC47" s="6">
        <f t="shared" si="1"/>
        <v>0</v>
      </c>
      <c r="AD47" s="6">
        <f t="shared" ca="1" si="2"/>
        <v>297208.27093242219</v>
      </c>
      <c r="AE47" s="6">
        <f t="shared" ca="1" si="3"/>
        <v>0</v>
      </c>
      <c r="AF47" s="4" t="s">
        <v>851</v>
      </c>
    </row>
    <row r="48" spans="1:32" ht="11.25" customHeight="1" x14ac:dyDescent="0.3">
      <c r="A48" s="4" t="s">
        <v>21</v>
      </c>
      <c r="B48" s="4" t="s">
        <v>39</v>
      </c>
      <c r="C48" s="4" t="s">
        <v>40</v>
      </c>
      <c r="D48" s="4" t="s">
        <v>38</v>
      </c>
      <c r="E48" s="4" t="s">
        <v>25</v>
      </c>
      <c r="F48" s="4" t="s">
        <v>56</v>
      </c>
      <c r="G48" s="4" t="s">
        <v>25</v>
      </c>
      <c r="H48" s="4" t="s">
        <v>34</v>
      </c>
      <c r="I48" s="5">
        <v>44805</v>
      </c>
      <c r="J48" s="6">
        <v>15410</v>
      </c>
      <c r="K48" s="6">
        <v>8717.6713861000007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4" t="s">
        <v>55</v>
      </c>
      <c r="R48" s="4">
        <v>0</v>
      </c>
      <c r="S48" s="4">
        <v>9</v>
      </c>
      <c r="T48" s="4">
        <v>0</v>
      </c>
      <c r="U48" s="4">
        <v>0</v>
      </c>
      <c r="V48" s="6">
        <f>IF(ISERROR(VLOOKUP($S$48,'TAR FIN'!$A$1:$O$113,15,0)),0,VLOOKUP($S$48,'TAR FIN'!$A$1:$O$113,15,0))</f>
        <v>35.76</v>
      </c>
      <c r="W48" s="6">
        <f>IF(ISERROR(VLOOKUP($T$48,'TAR FIN'!$A$1:$O$113,15,0)),0,VLOOKUP($T$48,'TAR FIN'!$A$1:$O$113,15,0))</f>
        <v>0</v>
      </c>
      <c r="X48" s="6">
        <f>IF(ISERROR(VLOOKUP($U$48,'TAR FIN'!$A$1:$O$113,15,0)),0,VLOOKUP($U$48,'TAR FIN'!$A$1:$O$113,15,0))</f>
        <v>0</v>
      </c>
      <c r="Y48" s="6">
        <f ca="1">('TUSD BE'!$AM$14+'TUSD BF'!$AM$14+'TUSD CVA'!$AM$14)*1</f>
        <v>40.963640769708675</v>
      </c>
      <c r="Z48" s="6">
        <f ca="1">('TUSD BE'!$AM$16+'TUSD BF'!$AM$16+'TUSD CVA'!$AM$16)*1</f>
        <v>122.14055331663396</v>
      </c>
      <c r="AA48" s="6"/>
      <c r="AB48" s="6">
        <f t="shared" si="0"/>
        <v>239317.67123306397</v>
      </c>
      <c r="AC48" s="6">
        <f t="shared" si="1"/>
        <v>0</v>
      </c>
      <c r="AD48" s="6">
        <f t="shared" ca="1" si="2"/>
        <v>274142.14525264193</v>
      </c>
      <c r="AE48" s="6">
        <f t="shared" ca="1" si="3"/>
        <v>0</v>
      </c>
      <c r="AF48" s="4" t="s">
        <v>851</v>
      </c>
    </row>
    <row r="49" spans="1:32" ht="11.25" customHeight="1" x14ac:dyDescent="0.3">
      <c r="A49" s="4" t="s">
        <v>53</v>
      </c>
      <c r="B49" s="4" t="s">
        <v>39</v>
      </c>
      <c r="C49" s="4" t="s">
        <v>40</v>
      </c>
      <c r="D49" s="4" t="s">
        <v>38</v>
      </c>
      <c r="E49" s="4" t="s">
        <v>25</v>
      </c>
      <c r="F49" s="4" t="s">
        <v>56</v>
      </c>
      <c r="G49" s="4" t="s">
        <v>25</v>
      </c>
      <c r="H49" s="4" t="s">
        <v>34</v>
      </c>
      <c r="I49" s="5">
        <v>44835</v>
      </c>
      <c r="J49" s="6">
        <v>15410</v>
      </c>
      <c r="K49" s="6">
        <v>8717.6713861000007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4" t="s">
        <v>55</v>
      </c>
      <c r="R49" s="4">
        <v>0</v>
      </c>
      <c r="S49" s="4">
        <v>9</v>
      </c>
      <c r="T49" s="4">
        <v>0</v>
      </c>
      <c r="U49" s="4">
        <v>0</v>
      </c>
      <c r="V49" s="6">
        <f>IF(ISERROR(VLOOKUP($S$49,'TAR FIN'!$A$1:$O$113,15,0)),0,VLOOKUP($S$49,'TAR FIN'!$A$1:$O$113,15,0))</f>
        <v>35.76</v>
      </c>
      <c r="W49" s="6">
        <f>IF(ISERROR(VLOOKUP($T$49,'TAR FIN'!$A$1:$O$113,15,0)),0,VLOOKUP($T$49,'TAR FIN'!$A$1:$O$113,15,0))</f>
        <v>0</v>
      </c>
      <c r="X49" s="6">
        <f>IF(ISERROR(VLOOKUP($U$49,'TAR FIN'!$A$1:$O$113,15,0)),0,VLOOKUP($U$49,'TAR FIN'!$A$1:$O$113,15,0))</f>
        <v>0</v>
      </c>
      <c r="Y49" s="6">
        <f ca="1">('TUSD BE'!$AM$14+'TUSD BF'!$AM$14+'TUSD CVA'!$AM$14)*1</f>
        <v>40.963640769708675</v>
      </c>
      <c r="Z49" s="6">
        <f ca="1">('TUSD BE'!$AM$16+'TUSD BF'!$AM$16+'TUSD CVA'!$AM$16)*1</f>
        <v>122.14055331663396</v>
      </c>
      <c r="AA49" s="6"/>
      <c r="AB49" s="6">
        <f t="shared" si="0"/>
        <v>239317.67123306397</v>
      </c>
      <c r="AC49" s="6">
        <f t="shared" si="1"/>
        <v>0</v>
      </c>
      <c r="AD49" s="6">
        <f t="shared" ca="1" si="2"/>
        <v>274142.14525264193</v>
      </c>
      <c r="AE49" s="6">
        <f t="shared" ca="1" si="3"/>
        <v>0</v>
      </c>
      <c r="AF49" s="4" t="s">
        <v>851</v>
      </c>
    </row>
    <row r="50" spans="1:32" ht="11.25" customHeight="1" x14ac:dyDescent="0.3">
      <c r="A50" s="4" t="s">
        <v>21</v>
      </c>
      <c r="B50" s="4" t="s">
        <v>39</v>
      </c>
      <c r="C50" s="4" t="s">
        <v>40</v>
      </c>
      <c r="D50" s="4" t="s">
        <v>50</v>
      </c>
      <c r="E50" s="4" t="s">
        <v>51</v>
      </c>
      <c r="F50" s="4" t="s">
        <v>25</v>
      </c>
      <c r="G50" s="4" t="s">
        <v>25</v>
      </c>
      <c r="H50" s="4" t="s">
        <v>35</v>
      </c>
      <c r="I50" s="5">
        <v>44501</v>
      </c>
      <c r="J50" s="6">
        <v>210</v>
      </c>
      <c r="K50" s="52">
        <v>210</v>
      </c>
      <c r="L50" s="6">
        <v>97.087000000000003</v>
      </c>
      <c r="M50" s="53">
        <v>97.087000000000003</v>
      </c>
      <c r="N50" s="6">
        <v>97.087000000000003</v>
      </c>
      <c r="O50" s="53">
        <v>97.087000000000003</v>
      </c>
      <c r="P50" s="6">
        <v>0</v>
      </c>
      <c r="Q50" s="4" t="s">
        <v>26</v>
      </c>
      <c r="R50" s="4">
        <v>0</v>
      </c>
      <c r="S50" s="4">
        <v>22</v>
      </c>
      <c r="T50" s="4">
        <v>12</v>
      </c>
      <c r="U50" s="4">
        <v>61</v>
      </c>
      <c r="V50" s="53">
        <f>IF(ISERROR(VLOOKUP($S$50,'TAR FIN'!$A$1:$O$113,15,0)),0,VLOOKUP($S$50,'TAR FIN'!$A$1:$O$113,15,0))*(1-0.06)</f>
        <v>13.16</v>
      </c>
      <c r="W50" s="53">
        <f>IF(ISERROR(VLOOKUP($T$50,'TAR FIN'!$A$1:$O$113,15,0)),0,VLOOKUP($T$50,'TAR FIN'!$A$1:$O$113,15,0))*(1-0.06)</f>
        <v>67.820999999999998</v>
      </c>
      <c r="X50" s="53">
        <f>IF(ISERROR(VLOOKUP($U$50,'TAR FIN'!$A$1:$O$113,15,0)),0,VLOOKUP($U$50,'TAR FIN'!$A$1:$O$113,15,0))*(1-0.06)</f>
        <v>261.94979999999998</v>
      </c>
      <c r="Y50" s="53">
        <f ca="1">('TUSD BE'!$AM$15+'TUSD BF'!$AM$15+'TUSD CVA'!$AM$15)*1*(1-0.03)</f>
        <v>15.554875305631656</v>
      </c>
      <c r="Z50" s="53">
        <f ca="1">('TUSD BE'!$AM$16+'TUSD BF'!$AM$16+'TUSD CVA'!$AM$16)*1*(1-0.03)</f>
        <v>118.47633671713493</v>
      </c>
      <c r="AA50" s="53">
        <f>('TE BE'!$AB$10+'TE BF'!$AB$10+'TE CVA'!$AB$10)*1*(1-0.03)</f>
        <v>290.20513391436589</v>
      </c>
      <c r="AB50" s="53">
        <f>(SUBSIDIO!$J$50*SUBSIDIO!$V$50)*(0.06)/(1-0.06)</f>
        <v>176.4</v>
      </c>
      <c r="AC50" s="53">
        <f>((SUBSIDIO!$L$50*SUBSIDIO!$W$50)+(SUBSIDIO!$N$50*SUBSIDIO!$X$50))*(0.06)/(1-0.06)</f>
        <v>2043.6036803999998</v>
      </c>
      <c r="AD50" s="53">
        <f ca="1">(SUBSIDIO!$J$50*SUBSIDIO!$Y$50)*(0.03)/(1-0.03)</f>
        <v>101.0265097169891</v>
      </c>
      <c r="AE50" s="53">
        <f ca="1">((SUBSIDIO!$L$50*SUBSIDIO!$Z$50)+(SUBSIDIO!$N$50*SUBSIDIO!$AA$50))*(0.03)/(1-0.03)</f>
        <v>1227.1440599752739</v>
      </c>
      <c r="AF50" s="4" t="s">
        <v>852</v>
      </c>
    </row>
    <row r="51" spans="1:32" ht="11.25" customHeight="1" x14ac:dyDescent="0.3">
      <c r="A51" s="4" t="s">
        <v>21</v>
      </c>
      <c r="B51" s="4" t="s">
        <v>39</v>
      </c>
      <c r="C51" s="4" t="s">
        <v>40</v>
      </c>
      <c r="D51" s="4" t="s">
        <v>50</v>
      </c>
      <c r="E51" s="4" t="s">
        <v>51</v>
      </c>
      <c r="F51" s="4" t="s">
        <v>25</v>
      </c>
      <c r="G51" s="4" t="s">
        <v>25</v>
      </c>
      <c r="H51" s="4" t="s">
        <v>35</v>
      </c>
      <c r="I51" s="5">
        <v>44531</v>
      </c>
      <c r="J51" s="6">
        <v>210</v>
      </c>
      <c r="K51" s="52">
        <v>210</v>
      </c>
      <c r="L51" s="6">
        <v>93.664000000000001</v>
      </c>
      <c r="M51" s="53">
        <v>93.664000000000001</v>
      </c>
      <c r="N51" s="6">
        <v>93.664000000000001</v>
      </c>
      <c r="O51" s="53">
        <v>93.664000000000001</v>
      </c>
      <c r="P51" s="6">
        <v>0</v>
      </c>
      <c r="Q51" s="4" t="s">
        <v>26</v>
      </c>
      <c r="R51" s="4">
        <v>0</v>
      </c>
      <c r="S51" s="4">
        <v>22</v>
      </c>
      <c r="T51" s="4">
        <v>12</v>
      </c>
      <c r="U51" s="4">
        <v>61</v>
      </c>
      <c r="V51" s="53">
        <f>IF(ISERROR(VLOOKUP($S$51,'TAR FIN'!$A$1:$O$113,15,0)),0,VLOOKUP($S$51,'TAR FIN'!$A$1:$O$113,15,0))*(1-0.06)</f>
        <v>13.16</v>
      </c>
      <c r="W51" s="53">
        <f>IF(ISERROR(VLOOKUP($T$51,'TAR FIN'!$A$1:$O$113,15,0)),0,VLOOKUP($T$51,'TAR FIN'!$A$1:$O$113,15,0))*(1-0.06)</f>
        <v>67.820999999999998</v>
      </c>
      <c r="X51" s="53">
        <f>IF(ISERROR(VLOOKUP($U$51,'TAR FIN'!$A$1:$O$113,15,0)),0,VLOOKUP($U$51,'TAR FIN'!$A$1:$O$113,15,0))*(1-0.06)</f>
        <v>261.94979999999998</v>
      </c>
      <c r="Y51" s="53">
        <f ca="1">('TUSD BE'!$AM$15+'TUSD BF'!$AM$15+'TUSD CVA'!$AM$15)*1*(1-0.03)</f>
        <v>15.554875305631656</v>
      </c>
      <c r="Z51" s="53">
        <f ca="1">('TUSD BE'!$AM$16+'TUSD BF'!$AM$16+'TUSD CVA'!$AM$16)*1*(1-0.03)</f>
        <v>118.47633671713493</v>
      </c>
      <c r="AA51" s="53">
        <f>('TE BE'!$AB$10+'TE BF'!$AB$10+'TE CVA'!$AB$10)*1*(1-0.03)</f>
        <v>290.20513391436589</v>
      </c>
      <c r="AB51" s="53">
        <f>(SUBSIDIO!$J$51*SUBSIDIO!$V$51)*(0.06)/(1-0.06)</f>
        <v>176.4</v>
      </c>
      <c r="AC51" s="53">
        <f>((SUBSIDIO!$L$51*SUBSIDIO!$W$51)+(SUBSIDIO!$N$51*SUBSIDIO!$X$51))*(0.06)/(1-0.06)</f>
        <v>1971.5522687999999</v>
      </c>
      <c r="AD51" s="53">
        <f ca="1">(SUBSIDIO!$J$51*SUBSIDIO!$Y$51)*(0.03)/(1-0.03)</f>
        <v>101.0265097169891</v>
      </c>
      <c r="AE51" s="53">
        <f ca="1">((SUBSIDIO!$L$51*SUBSIDIO!$Z$51)+(SUBSIDIO!$N$51*SUBSIDIO!$AA$51))*(0.03)/(1-0.03)</f>
        <v>1183.8785958318213</v>
      </c>
      <c r="AF51" s="4" t="s">
        <v>852</v>
      </c>
    </row>
    <row r="52" spans="1:32" ht="11.25" customHeight="1" x14ac:dyDescent="0.3">
      <c r="A52" s="4" t="s">
        <v>21</v>
      </c>
      <c r="B52" s="4" t="s">
        <v>39</v>
      </c>
      <c r="C52" s="4" t="s">
        <v>40</v>
      </c>
      <c r="D52" s="4" t="s">
        <v>50</v>
      </c>
      <c r="E52" s="4" t="s">
        <v>51</v>
      </c>
      <c r="F52" s="4" t="s">
        <v>25</v>
      </c>
      <c r="G52" s="4" t="s">
        <v>25</v>
      </c>
      <c r="H52" s="4" t="s">
        <v>35</v>
      </c>
      <c r="I52" s="5">
        <v>44562</v>
      </c>
      <c r="J52" s="6">
        <v>210</v>
      </c>
      <c r="K52" s="52">
        <v>210</v>
      </c>
      <c r="L52" s="6">
        <v>106.041</v>
      </c>
      <c r="M52" s="53">
        <v>106.041</v>
      </c>
      <c r="N52" s="6">
        <v>106.041</v>
      </c>
      <c r="O52" s="53">
        <v>106.041</v>
      </c>
      <c r="P52" s="6">
        <v>0</v>
      </c>
      <c r="Q52" s="4" t="s">
        <v>26</v>
      </c>
      <c r="R52" s="4">
        <v>0</v>
      </c>
      <c r="S52" s="4">
        <v>22</v>
      </c>
      <c r="T52" s="4">
        <v>12</v>
      </c>
      <c r="U52" s="4">
        <v>61</v>
      </c>
      <c r="V52" s="53">
        <f>IF(ISERROR(VLOOKUP($S$52,'TAR FIN'!$A$1:$O$113,15,0)),0,VLOOKUP($S$52,'TAR FIN'!$A$1:$O$113,15,0))*(1-0.06)</f>
        <v>13.16</v>
      </c>
      <c r="W52" s="53">
        <f>IF(ISERROR(VLOOKUP($T$52,'TAR FIN'!$A$1:$O$113,15,0)),0,VLOOKUP($T$52,'TAR FIN'!$A$1:$O$113,15,0))*(1-0.06)</f>
        <v>67.820999999999998</v>
      </c>
      <c r="X52" s="53">
        <f>IF(ISERROR(VLOOKUP($U$52,'TAR FIN'!$A$1:$O$113,15,0)),0,VLOOKUP($U$52,'TAR FIN'!$A$1:$O$113,15,0))*(1-0.06)</f>
        <v>261.94979999999998</v>
      </c>
      <c r="Y52" s="53">
        <f ca="1">('TUSD BE'!$AM$15+'TUSD BF'!$AM$15+'TUSD CVA'!$AM$15)*1*(1-0.03)</f>
        <v>15.554875305631656</v>
      </c>
      <c r="Z52" s="53">
        <f ca="1">('TUSD BE'!$AM$16+'TUSD BF'!$AM$16+'TUSD CVA'!$AM$16)*1*(1-0.03)</f>
        <v>118.47633671713493</v>
      </c>
      <c r="AA52" s="53">
        <f>('TE BE'!$AB$10+'TE BF'!$AB$10+'TE CVA'!$AB$10)*1*(1-0.03)</f>
        <v>290.20513391436589</v>
      </c>
      <c r="AB52" s="53">
        <f>(SUBSIDIO!$J$52*SUBSIDIO!$V$52)*(0.06)/(1-0.06)</f>
        <v>176.4</v>
      </c>
      <c r="AC52" s="53">
        <f>((SUBSIDIO!$L$52*SUBSIDIO!$W$52)+(SUBSIDIO!$N$52*SUBSIDIO!$X$52))*(0.06)/(1-0.06)</f>
        <v>2232.0782171999995</v>
      </c>
      <c r="AD52" s="53">
        <f ca="1">(SUBSIDIO!$J$52*SUBSIDIO!$Y$52)*(0.03)/(1-0.03)</f>
        <v>101.0265097169891</v>
      </c>
      <c r="AE52" s="53">
        <f ca="1">((SUBSIDIO!$L$52*SUBSIDIO!$Z$52)+(SUBSIDIO!$N$52*SUBSIDIO!$AA$52))*(0.03)/(1-0.03)</f>
        <v>1340.3193348629372</v>
      </c>
      <c r="AF52" s="4" t="s">
        <v>852</v>
      </c>
    </row>
    <row r="53" spans="1:32" ht="11.25" customHeight="1" x14ac:dyDescent="0.3">
      <c r="A53" s="4" t="s">
        <v>21</v>
      </c>
      <c r="B53" s="4" t="s">
        <v>39</v>
      </c>
      <c r="C53" s="4" t="s">
        <v>40</v>
      </c>
      <c r="D53" s="4" t="s">
        <v>50</v>
      </c>
      <c r="E53" s="4" t="s">
        <v>51</v>
      </c>
      <c r="F53" s="4" t="s">
        <v>25</v>
      </c>
      <c r="G53" s="4" t="s">
        <v>25</v>
      </c>
      <c r="H53" s="4" t="s">
        <v>35</v>
      </c>
      <c r="I53" s="5">
        <v>44593</v>
      </c>
      <c r="J53" s="6">
        <v>210</v>
      </c>
      <c r="K53" s="52">
        <v>210</v>
      </c>
      <c r="L53" s="6">
        <v>103.517</v>
      </c>
      <c r="M53" s="53">
        <v>103.517</v>
      </c>
      <c r="N53" s="6">
        <v>103.517</v>
      </c>
      <c r="O53" s="53">
        <v>103.517</v>
      </c>
      <c r="P53" s="6">
        <v>0</v>
      </c>
      <c r="Q53" s="4" t="s">
        <v>26</v>
      </c>
      <c r="R53" s="4">
        <v>0</v>
      </c>
      <c r="S53" s="4">
        <v>22</v>
      </c>
      <c r="T53" s="4">
        <v>12</v>
      </c>
      <c r="U53" s="4">
        <v>61</v>
      </c>
      <c r="V53" s="53">
        <f>IF(ISERROR(VLOOKUP($S$53,'TAR FIN'!$A$1:$O$113,15,0)),0,VLOOKUP($S$53,'TAR FIN'!$A$1:$O$113,15,0))*(1-0.06)</f>
        <v>13.16</v>
      </c>
      <c r="W53" s="53">
        <f>IF(ISERROR(VLOOKUP($T$53,'TAR FIN'!$A$1:$O$113,15,0)),0,VLOOKUP($T$53,'TAR FIN'!$A$1:$O$113,15,0))*(1-0.06)</f>
        <v>67.820999999999998</v>
      </c>
      <c r="X53" s="53">
        <f>IF(ISERROR(VLOOKUP($U$53,'TAR FIN'!$A$1:$O$113,15,0)),0,VLOOKUP($U$53,'TAR FIN'!$A$1:$O$113,15,0))*(1-0.06)</f>
        <v>261.94979999999998</v>
      </c>
      <c r="Y53" s="53">
        <f ca="1">('TUSD BE'!$AM$15+'TUSD BF'!$AM$15+'TUSD CVA'!$AM$15)*1*(1-0.03)</f>
        <v>15.554875305631656</v>
      </c>
      <c r="Z53" s="53">
        <f ca="1">('TUSD BE'!$AM$16+'TUSD BF'!$AM$16+'TUSD CVA'!$AM$16)*1*(1-0.03)</f>
        <v>118.47633671713493</v>
      </c>
      <c r="AA53" s="53">
        <f>('TE BE'!$AB$10+'TE BF'!$AB$10+'TE CVA'!$AB$10)*1*(1-0.03)</f>
        <v>290.20513391436589</v>
      </c>
      <c r="AB53" s="53">
        <f>(SUBSIDIO!$J$53*SUBSIDIO!$V$53)*(0.06)/(1-0.06)</f>
        <v>176.4</v>
      </c>
      <c r="AC53" s="53">
        <f>((SUBSIDIO!$L$53*SUBSIDIO!$W$53)+(SUBSIDIO!$N$53*SUBSIDIO!$X$53))*(0.06)/(1-0.06)</f>
        <v>2178.9500364</v>
      </c>
      <c r="AD53" s="53">
        <f ca="1">(SUBSIDIO!$J$53*SUBSIDIO!$Y$53)*(0.03)/(1-0.03)</f>
        <v>101.0265097169891</v>
      </c>
      <c r="AE53" s="53">
        <f ca="1">((SUBSIDIO!$L$53*SUBSIDIO!$Z$53)+(SUBSIDIO!$N$53*SUBSIDIO!$AA$53))*(0.03)/(1-0.03)</f>
        <v>1308.4169008874558</v>
      </c>
      <c r="AF53" s="4" t="s">
        <v>852</v>
      </c>
    </row>
    <row r="54" spans="1:32" ht="11.25" customHeight="1" x14ac:dyDescent="0.3">
      <c r="A54" s="4" t="s">
        <v>21</v>
      </c>
      <c r="B54" s="4" t="s">
        <v>39</v>
      </c>
      <c r="C54" s="4" t="s">
        <v>40</v>
      </c>
      <c r="D54" s="4" t="s">
        <v>50</v>
      </c>
      <c r="E54" s="4" t="s">
        <v>51</v>
      </c>
      <c r="F54" s="4" t="s">
        <v>25</v>
      </c>
      <c r="G54" s="4" t="s">
        <v>25</v>
      </c>
      <c r="H54" s="4" t="s">
        <v>35</v>
      </c>
      <c r="I54" s="5">
        <v>44621</v>
      </c>
      <c r="J54" s="6">
        <v>210</v>
      </c>
      <c r="K54" s="52">
        <v>210</v>
      </c>
      <c r="L54" s="6">
        <v>91.92</v>
      </c>
      <c r="M54" s="53">
        <v>91.92</v>
      </c>
      <c r="N54" s="6">
        <v>91.92</v>
      </c>
      <c r="O54" s="53">
        <v>91.92</v>
      </c>
      <c r="P54" s="6">
        <v>0</v>
      </c>
      <c r="Q54" s="4" t="s">
        <v>26</v>
      </c>
      <c r="R54" s="4">
        <v>0</v>
      </c>
      <c r="S54" s="4">
        <v>22</v>
      </c>
      <c r="T54" s="4">
        <v>12</v>
      </c>
      <c r="U54" s="4">
        <v>61</v>
      </c>
      <c r="V54" s="53">
        <f>IF(ISERROR(VLOOKUP($S$54,'TAR FIN'!$A$1:$O$113,15,0)),0,VLOOKUP($S$54,'TAR FIN'!$A$1:$O$113,15,0))*(1-0.06)</f>
        <v>13.16</v>
      </c>
      <c r="W54" s="53">
        <f>IF(ISERROR(VLOOKUP($T$54,'TAR FIN'!$A$1:$O$113,15,0)),0,VLOOKUP($T$54,'TAR FIN'!$A$1:$O$113,15,0))*(1-0.06)</f>
        <v>67.820999999999998</v>
      </c>
      <c r="X54" s="53">
        <f>IF(ISERROR(VLOOKUP($U$54,'TAR FIN'!$A$1:$O$113,15,0)),0,VLOOKUP($U$54,'TAR FIN'!$A$1:$O$113,15,0))*(1-0.06)</f>
        <v>261.94979999999998</v>
      </c>
      <c r="Y54" s="53">
        <f ca="1">('TUSD BE'!$AM$15+'TUSD BF'!$AM$15+'TUSD CVA'!$AM$15)*1*(1-0.03)</f>
        <v>15.554875305631656</v>
      </c>
      <c r="Z54" s="53">
        <f ca="1">('TUSD BE'!$AM$16+'TUSD BF'!$AM$16+'TUSD CVA'!$AM$16)*1*(1-0.03)</f>
        <v>118.47633671713493</v>
      </c>
      <c r="AA54" s="53">
        <f>('TE BE'!$AB$10+'TE BF'!$AB$10+'TE CVA'!$AB$10)*1*(1-0.03)</f>
        <v>290.20513391436589</v>
      </c>
      <c r="AB54" s="53">
        <f>(SUBSIDIO!$J$54*SUBSIDIO!$V$54)*(0.06)/(1-0.06)</f>
        <v>176.4</v>
      </c>
      <c r="AC54" s="53">
        <f>((SUBSIDIO!$L$54*SUBSIDIO!$W$54)+(SUBSIDIO!$N$54*SUBSIDIO!$X$54))*(0.06)/(1-0.06)</f>
        <v>1934.8424639999998</v>
      </c>
      <c r="AD54" s="53">
        <f ca="1">(SUBSIDIO!$J$54*SUBSIDIO!$Y$54)*(0.03)/(1-0.03)</f>
        <v>101.0265097169891</v>
      </c>
      <c r="AE54" s="53">
        <f ca="1">((SUBSIDIO!$L$54*SUBSIDIO!$Z$54)+(SUBSIDIO!$N$54*SUBSIDIO!$AA$54))*(0.03)/(1-0.03)</f>
        <v>1161.835075683945</v>
      </c>
      <c r="AF54" s="4" t="s">
        <v>852</v>
      </c>
    </row>
    <row r="55" spans="1:32" ht="11.25" customHeight="1" x14ac:dyDescent="0.3">
      <c r="A55" s="4" t="s">
        <v>21</v>
      </c>
      <c r="B55" s="4" t="s">
        <v>39</v>
      </c>
      <c r="C55" s="4" t="s">
        <v>40</v>
      </c>
      <c r="D55" s="4" t="s">
        <v>50</v>
      </c>
      <c r="E55" s="4" t="s">
        <v>51</v>
      </c>
      <c r="F55" s="4" t="s">
        <v>25</v>
      </c>
      <c r="G55" s="4" t="s">
        <v>25</v>
      </c>
      <c r="H55" s="4" t="s">
        <v>35</v>
      </c>
      <c r="I55" s="5">
        <v>44652</v>
      </c>
      <c r="J55" s="6">
        <v>210</v>
      </c>
      <c r="K55" s="52">
        <v>210</v>
      </c>
      <c r="L55" s="6">
        <v>99.093999999999994</v>
      </c>
      <c r="M55" s="53">
        <v>99.093999999999994</v>
      </c>
      <c r="N55" s="6">
        <v>99.093999999999994</v>
      </c>
      <c r="O55" s="53">
        <v>99.093999999999994</v>
      </c>
      <c r="P55" s="6">
        <v>0</v>
      </c>
      <c r="Q55" s="4" t="s">
        <v>26</v>
      </c>
      <c r="R55" s="4">
        <v>0</v>
      </c>
      <c r="S55" s="4">
        <v>22</v>
      </c>
      <c r="T55" s="4">
        <v>12</v>
      </c>
      <c r="U55" s="4">
        <v>61</v>
      </c>
      <c r="V55" s="53">
        <f>IF(ISERROR(VLOOKUP($S$55,'TAR FIN'!$A$1:$O$113,15,0)),0,VLOOKUP($S$55,'TAR FIN'!$A$1:$O$113,15,0))*(1-0.06)</f>
        <v>13.16</v>
      </c>
      <c r="W55" s="53">
        <f>IF(ISERROR(VLOOKUP($T$55,'TAR FIN'!$A$1:$O$113,15,0)),0,VLOOKUP($T$55,'TAR FIN'!$A$1:$O$113,15,0))*(1-0.06)</f>
        <v>67.820999999999998</v>
      </c>
      <c r="X55" s="53">
        <f>IF(ISERROR(VLOOKUP($U$55,'TAR FIN'!$A$1:$O$113,15,0)),0,VLOOKUP($U$55,'TAR FIN'!$A$1:$O$113,15,0))*(1-0.06)</f>
        <v>261.94979999999998</v>
      </c>
      <c r="Y55" s="53">
        <f ca="1">('TUSD BE'!$AM$15+'TUSD BF'!$AM$15+'TUSD CVA'!$AM$15)*1*(1-0.03)</f>
        <v>15.554875305631656</v>
      </c>
      <c r="Z55" s="53">
        <f ca="1">('TUSD BE'!$AM$16+'TUSD BF'!$AM$16+'TUSD CVA'!$AM$16)*1*(1-0.03)</f>
        <v>118.47633671713493</v>
      </c>
      <c r="AA55" s="53">
        <f>('TE BE'!$AB$10+'TE BF'!$AB$10+'TE CVA'!$AB$10)*1*(1-0.03)</f>
        <v>290.20513391436589</v>
      </c>
      <c r="AB55" s="53">
        <f>(SUBSIDIO!$J$55*SUBSIDIO!$V$55)*(0.06)/(1-0.06)</f>
        <v>176.4</v>
      </c>
      <c r="AC55" s="53">
        <f>((SUBSIDIO!$L$55*SUBSIDIO!$W$55)+(SUBSIDIO!$N$55*SUBSIDIO!$X$55))*(0.06)/(1-0.06)</f>
        <v>2085.8494247999997</v>
      </c>
      <c r="AD55" s="53">
        <f ca="1">(SUBSIDIO!$J$55*SUBSIDIO!$Y$55)*(0.03)/(1-0.03)</f>
        <v>101.0265097169891</v>
      </c>
      <c r="AE55" s="53">
        <f ca="1">((SUBSIDIO!$L$55*SUBSIDIO!$Z$55)+(SUBSIDIO!$N$55*SUBSIDIO!$AA$55))*(0.03)/(1-0.03)</f>
        <v>1252.5118036316887</v>
      </c>
      <c r="AF55" s="4" t="s">
        <v>852</v>
      </c>
    </row>
    <row r="56" spans="1:32" ht="11.25" customHeight="1" x14ac:dyDescent="0.3">
      <c r="A56" s="4" t="s">
        <v>21</v>
      </c>
      <c r="B56" s="4" t="s">
        <v>39</v>
      </c>
      <c r="C56" s="4" t="s">
        <v>40</v>
      </c>
      <c r="D56" s="4" t="s">
        <v>50</v>
      </c>
      <c r="E56" s="4" t="s">
        <v>51</v>
      </c>
      <c r="F56" s="4" t="s">
        <v>25</v>
      </c>
      <c r="G56" s="4" t="s">
        <v>25</v>
      </c>
      <c r="H56" s="4" t="s">
        <v>35</v>
      </c>
      <c r="I56" s="5">
        <v>44682</v>
      </c>
      <c r="J56" s="6">
        <v>210</v>
      </c>
      <c r="K56" s="52">
        <v>210</v>
      </c>
      <c r="L56" s="6">
        <v>100.63</v>
      </c>
      <c r="M56" s="53">
        <v>100.63</v>
      </c>
      <c r="N56" s="6">
        <v>100.63</v>
      </c>
      <c r="O56" s="53">
        <v>100.63</v>
      </c>
      <c r="P56" s="6">
        <v>0</v>
      </c>
      <c r="Q56" s="4" t="s">
        <v>26</v>
      </c>
      <c r="R56" s="4">
        <v>0</v>
      </c>
      <c r="S56" s="4">
        <v>22</v>
      </c>
      <c r="T56" s="4">
        <v>12</v>
      </c>
      <c r="U56" s="4">
        <v>61</v>
      </c>
      <c r="V56" s="53">
        <f>IF(ISERROR(VLOOKUP($S$56,'TAR FIN'!$A$1:$O$113,15,0)),0,VLOOKUP($S$56,'TAR FIN'!$A$1:$O$113,15,0))*(1-0.06)</f>
        <v>13.16</v>
      </c>
      <c r="W56" s="53">
        <f>IF(ISERROR(VLOOKUP($T$56,'TAR FIN'!$A$1:$O$113,15,0)),0,VLOOKUP($T$56,'TAR FIN'!$A$1:$O$113,15,0))*(1-0.06)</f>
        <v>67.820999999999998</v>
      </c>
      <c r="X56" s="53">
        <f>IF(ISERROR(VLOOKUP($U$56,'TAR FIN'!$A$1:$O$113,15,0)),0,VLOOKUP($U$56,'TAR FIN'!$A$1:$O$113,15,0))*(1-0.06)</f>
        <v>261.94979999999998</v>
      </c>
      <c r="Y56" s="53">
        <f ca="1">('TUSD BE'!$AM$15+'TUSD BF'!$AM$15+'TUSD CVA'!$AM$15)*1*(1-0.03)</f>
        <v>15.554875305631656</v>
      </c>
      <c r="Z56" s="53">
        <f ca="1">('TUSD BE'!$AM$16+'TUSD BF'!$AM$16+'TUSD CVA'!$AM$16)*1*(1-0.03)</f>
        <v>118.47633671713493</v>
      </c>
      <c r="AA56" s="53">
        <f>('TE BE'!$AB$10+'TE BF'!$AB$10+'TE CVA'!$AB$10)*1*(1-0.03)</f>
        <v>290.20513391436589</v>
      </c>
      <c r="AB56" s="53">
        <f>(SUBSIDIO!$J$56*SUBSIDIO!$V$56)*(0.06)/(1-0.06)</f>
        <v>176.4</v>
      </c>
      <c r="AC56" s="53">
        <f>((SUBSIDIO!$L$56*SUBSIDIO!$W$56)+(SUBSIDIO!$N$56*SUBSIDIO!$X$56))*(0.06)/(1-0.06)</f>
        <v>2118.1809960000001</v>
      </c>
      <c r="AD56" s="53">
        <f ca="1">(SUBSIDIO!$J$56*SUBSIDIO!$Y$56)*(0.03)/(1-0.03)</f>
        <v>101.0265097169891</v>
      </c>
      <c r="AE56" s="53">
        <f ca="1">((SUBSIDIO!$L$56*SUBSIDIO!$Z$56)+(SUBSIDIO!$N$56*SUBSIDIO!$AA$56))*(0.03)/(1-0.03)</f>
        <v>1271.9262800922038</v>
      </c>
      <c r="AF56" s="4" t="s">
        <v>852</v>
      </c>
    </row>
    <row r="57" spans="1:32" ht="11.25" customHeight="1" x14ac:dyDescent="0.3">
      <c r="A57" s="4" t="s">
        <v>21</v>
      </c>
      <c r="B57" s="4" t="s">
        <v>39</v>
      </c>
      <c r="C57" s="4" t="s">
        <v>40</v>
      </c>
      <c r="D57" s="4" t="s">
        <v>50</v>
      </c>
      <c r="E57" s="4" t="s">
        <v>51</v>
      </c>
      <c r="F57" s="4" t="s">
        <v>25</v>
      </c>
      <c r="G57" s="4" t="s">
        <v>25</v>
      </c>
      <c r="H57" s="4" t="s">
        <v>35</v>
      </c>
      <c r="I57" s="5">
        <v>44713</v>
      </c>
      <c r="J57" s="6">
        <v>210</v>
      </c>
      <c r="K57" s="52">
        <v>210</v>
      </c>
      <c r="L57" s="6">
        <v>98.918999999999997</v>
      </c>
      <c r="M57" s="53">
        <v>98.918999999999997</v>
      </c>
      <c r="N57" s="6">
        <v>98.918999999999997</v>
      </c>
      <c r="O57" s="53">
        <v>98.918999999999997</v>
      </c>
      <c r="P57" s="6">
        <v>0</v>
      </c>
      <c r="Q57" s="4" t="s">
        <v>26</v>
      </c>
      <c r="R57" s="4">
        <v>0</v>
      </c>
      <c r="S57" s="4">
        <v>22</v>
      </c>
      <c r="T57" s="4">
        <v>12</v>
      </c>
      <c r="U57" s="4">
        <v>61</v>
      </c>
      <c r="V57" s="53">
        <f>IF(ISERROR(VLOOKUP($S$57,'TAR FIN'!$A$1:$O$113,15,0)),0,VLOOKUP($S$57,'TAR FIN'!$A$1:$O$113,15,0))*(1-0.06)</f>
        <v>13.16</v>
      </c>
      <c r="W57" s="53">
        <f>IF(ISERROR(VLOOKUP($T$57,'TAR FIN'!$A$1:$O$113,15,0)),0,VLOOKUP($T$57,'TAR FIN'!$A$1:$O$113,15,0))*(1-0.06)</f>
        <v>67.820999999999998</v>
      </c>
      <c r="X57" s="53">
        <f>IF(ISERROR(VLOOKUP($U$57,'TAR FIN'!$A$1:$O$113,15,0)),0,VLOOKUP($U$57,'TAR FIN'!$A$1:$O$113,15,0))*(1-0.06)</f>
        <v>261.94979999999998</v>
      </c>
      <c r="Y57" s="53">
        <f ca="1">('TUSD BE'!$AM$15+'TUSD BF'!$AM$15+'TUSD CVA'!$AM$15)*1*(1-0.03)</f>
        <v>15.554875305631656</v>
      </c>
      <c r="Z57" s="53">
        <f ca="1">('TUSD BE'!$AM$16+'TUSD BF'!$AM$16+'TUSD CVA'!$AM$16)*1*(1-0.03)</f>
        <v>118.47633671713493</v>
      </c>
      <c r="AA57" s="53">
        <f>('TE BE'!$AB$10+'TE BF'!$AB$10+'TE CVA'!$AB$10)*1*(1-0.03)</f>
        <v>290.20513391436589</v>
      </c>
      <c r="AB57" s="53">
        <f>(SUBSIDIO!$J$57*SUBSIDIO!$V$57)*(0.06)/(1-0.06)</f>
        <v>176.4</v>
      </c>
      <c r="AC57" s="53">
        <f>((SUBSIDIO!$L$57*SUBSIDIO!$W$57)+(SUBSIDIO!$N$57*SUBSIDIO!$X$57))*(0.06)/(1-0.06)</f>
        <v>2082.1658148000001</v>
      </c>
      <c r="AD57" s="53">
        <f ca="1">(SUBSIDIO!$J$57*SUBSIDIO!$Y$57)*(0.03)/(1-0.03)</f>
        <v>101.0265097169891</v>
      </c>
      <c r="AE57" s="53">
        <f ca="1">((SUBSIDIO!$L$57*SUBSIDIO!$Z$57)+(SUBSIDIO!$N$57*SUBSIDIO!$AA$57))*(0.03)/(1-0.03)</f>
        <v>1250.2998678370338</v>
      </c>
      <c r="AF57" s="4" t="s">
        <v>852</v>
      </c>
    </row>
    <row r="58" spans="1:32" ht="11.25" customHeight="1" x14ac:dyDescent="0.3">
      <c r="A58" s="4" t="s">
        <v>21</v>
      </c>
      <c r="B58" s="4" t="s">
        <v>39</v>
      </c>
      <c r="C58" s="4" t="s">
        <v>40</v>
      </c>
      <c r="D58" s="4" t="s">
        <v>50</v>
      </c>
      <c r="E58" s="4" t="s">
        <v>51</v>
      </c>
      <c r="F58" s="4" t="s">
        <v>25</v>
      </c>
      <c r="G58" s="4" t="s">
        <v>25</v>
      </c>
      <c r="H58" s="4" t="s">
        <v>35</v>
      </c>
      <c r="I58" s="5">
        <v>44743</v>
      </c>
      <c r="J58" s="6">
        <v>210</v>
      </c>
      <c r="K58" s="52">
        <v>210</v>
      </c>
      <c r="L58" s="6">
        <v>93.923000000000002</v>
      </c>
      <c r="M58" s="53">
        <v>93.923000000000002</v>
      </c>
      <c r="N58" s="6">
        <v>93.923000000000002</v>
      </c>
      <c r="O58" s="53">
        <v>93.923000000000002</v>
      </c>
      <c r="P58" s="6">
        <v>0</v>
      </c>
      <c r="Q58" s="4" t="s">
        <v>26</v>
      </c>
      <c r="R58" s="4">
        <v>0</v>
      </c>
      <c r="S58" s="4">
        <v>22</v>
      </c>
      <c r="T58" s="4">
        <v>12</v>
      </c>
      <c r="U58" s="4">
        <v>61</v>
      </c>
      <c r="V58" s="53">
        <f>IF(ISERROR(VLOOKUP($S$58,'TAR FIN'!$A$1:$O$113,15,0)),0,VLOOKUP($S$58,'TAR FIN'!$A$1:$O$113,15,0))*(1-0.06)</f>
        <v>13.16</v>
      </c>
      <c r="W58" s="53">
        <f>IF(ISERROR(VLOOKUP($T$58,'TAR FIN'!$A$1:$O$113,15,0)),0,VLOOKUP($T$58,'TAR FIN'!$A$1:$O$113,15,0))*(1-0.06)</f>
        <v>67.820999999999998</v>
      </c>
      <c r="X58" s="53">
        <f>IF(ISERROR(VLOOKUP($U$58,'TAR FIN'!$A$1:$O$113,15,0)),0,VLOOKUP($U$58,'TAR FIN'!$A$1:$O$113,15,0))*(1-0.06)</f>
        <v>261.94979999999998</v>
      </c>
      <c r="Y58" s="53">
        <f ca="1">('TUSD BE'!$AM$15+'TUSD BF'!$AM$15+'TUSD CVA'!$AM$15)*1*(1-0.03)</f>
        <v>15.554875305631656</v>
      </c>
      <c r="Z58" s="53">
        <f ca="1">('TUSD BE'!$AM$16+'TUSD BF'!$AM$16+'TUSD CVA'!$AM$16)*1*(1-0.03)</f>
        <v>118.47633671713493</v>
      </c>
      <c r="AA58" s="53">
        <f>('TE BE'!$AB$10+'TE BF'!$AB$10+'TE CVA'!$AB$10)*1*(1-0.03)</f>
        <v>290.20513391436589</v>
      </c>
      <c r="AB58" s="53">
        <f>(SUBSIDIO!$J$58*SUBSIDIO!$V$58)*(0.06)/(1-0.06)</f>
        <v>176.4</v>
      </c>
      <c r="AC58" s="53">
        <f>((SUBSIDIO!$L$58*SUBSIDIO!$W$58)+(SUBSIDIO!$N$58*SUBSIDIO!$X$58))*(0.06)/(1-0.06)</f>
        <v>1977.0040116</v>
      </c>
      <c r="AD58" s="53">
        <f ca="1">(SUBSIDIO!$J$58*SUBSIDIO!$Y$58)*(0.03)/(1-0.03)</f>
        <v>101.0265097169891</v>
      </c>
      <c r="AE58" s="53">
        <f ca="1">((SUBSIDIO!$L$58*SUBSIDIO!$Z$58)+(SUBSIDIO!$N$58*SUBSIDIO!$AA$58))*(0.03)/(1-0.03)</f>
        <v>1187.1522608079108</v>
      </c>
      <c r="AF58" s="4" t="s">
        <v>852</v>
      </c>
    </row>
    <row r="59" spans="1:32" ht="11.25" customHeight="1" x14ac:dyDescent="0.3">
      <c r="A59" s="4" t="s">
        <v>21</v>
      </c>
      <c r="B59" s="4" t="s">
        <v>39</v>
      </c>
      <c r="C59" s="4" t="s">
        <v>40</v>
      </c>
      <c r="D59" s="4" t="s">
        <v>50</v>
      </c>
      <c r="E59" s="4" t="s">
        <v>51</v>
      </c>
      <c r="F59" s="4" t="s">
        <v>25</v>
      </c>
      <c r="G59" s="4" t="s">
        <v>25</v>
      </c>
      <c r="H59" s="4" t="s">
        <v>35</v>
      </c>
      <c r="I59" s="5">
        <v>44774</v>
      </c>
      <c r="J59" s="6">
        <v>210</v>
      </c>
      <c r="K59" s="52">
        <v>210</v>
      </c>
      <c r="L59" s="6">
        <v>98.531999999999996</v>
      </c>
      <c r="M59" s="53">
        <v>98.531999999999996</v>
      </c>
      <c r="N59" s="6">
        <v>98.531999999999996</v>
      </c>
      <c r="O59" s="53">
        <v>98.531999999999996</v>
      </c>
      <c r="P59" s="6">
        <v>0</v>
      </c>
      <c r="Q59" s="4" t="s">
        <v>26</v>
      </c>
      <c r="R59" s="4">
        <v>0</v>
      </c>
      <c r="S59" s="4">
        <v>22</v>
      </c>
      <c r="T59" s="4">
        <v>12</v>
      </c>
      <c r="U59" s="4">
        <v>61</v>
      </c>
      <c r="V59" s="53">
        <f>IF(ISERROR(VLOOKUP($S$59,'TAR FIN'!$A$1:$O$113,15,0)),0,VLOOKUP($S$59,'TAR FIN'!$A$1:$O$113,15,0))*(1-0.06)</f>
        <v>13.16</v>
      </c>
      <c r="W59" s="53">
        <f>IF(ISERROR(VLOOKUP($T$59,'TAR FIN'!$A$1:$O$113,15,0)),0,VLOOKUP($T$59,'TAR FIN'!$A$1:$O$113,15,0))*(1-0.06)</f>
        <v>67.820999999999998</v>
      </c>
      <c r="X59" s="53">
        <f>IF(ISERROR(VLOOKUP($U$59,'TAR FIN'!$A$1:$O$113,15,0)),0,VLOOKUP($U$59,'TAR FIN'!$A$1:$O$113,15,0))*(1-0.06)</f>
        <v>261.94979999999998</v>
      </c>
      <c r="Y59" s="53">
        <f ca="1">('TUSD BE'!$AM$15+'TUSD BF'!$AM$15+'TUSD CVA'!$AM$15)*1*(1-0.03)</f>
        <v>15.554875305631656</v>
      </c>
      <c r="Z59" s="53">
        <f ca="1">('TUSD BE'!$AM$16+'TUSD BF'!$AM$16+'TUSD CVA'!$AM$16)*1*(1-0.03)</f>
        <v>118.47633671713493</v>
      </c>
      <c r="AA59" s="53">
        <f>('TE BE'!$AB$10+'TE BF'!$AB$10+'TE CVA'!$AB$10)*1*(1-0.03)</f>
        <v>290.20513391436589</v>
      </c>
      <c r="AB59" s="53">
        <f>(SUBSIDIO!$J$59*SUBSIDIO!$V$59)*(0.06)/(1-0.06)</f>
        <v>176.4</v>
      </c>
      <c r="AC59" s="53">
        <f>((SUBSIDIO!$L$59*SUBSIDIO!$W$59)+(SUBSIDIO!$N$59*SUBSIDIO!$X$59))*(0.06)/(1-0.06)</f>
        <v>2074.0197743999997</v>
      </c>
      <c r="AD59" s="53">
        <f ca="1">(SUBSIDIO!$J$59*SUBSIDIO!$Y$59)*(0.03)/(1-0.03)</f>
        <v>101.0265097169891</v>
      </c>
      <c r="AE59" s="53">
        <f ca="1">((SUBSIDIO!$L$59*SUBSIDIO!$Z$59)+(SUBSIDIO!$N$59*SUBSIDIO!$AA$59))*(0.03)/(1-0.03)</f>
        <v>1245.408329822568</v>
      </c>
      <c r="AF59" s="4" t="s">
        <v>852</v>
      </c>
    </row>
    <row r="60" spans="1:32" ht="11.25" customHeight="1" x14ac:dyDescent="0.3">
      <c r="A60" s="4" t="s">
        <v>21</v>
      </c>
      <c r="B60" s="4" t="s">
        <v>39</v>
      </c>
      <c r="C60" s="4" t="s">
        <v>40</v>
      </c>
      <c r="D60" s="4" t="s">
        <v>50</v>
      </c>
      <c r="E60" s="4" t="s">
        <v>51</v>
      </c>
      <c r="F60" s="4" t="s">
        <v>25</v>
      </c>
      <c r="G60" s="4" t="s">
        <v>25</v>
      </c>
      <c r="H60" s="4" t="s">
        <v>35</v>
      </c>
      <c r="I60" s="5">
        <v>44805</v>
      </c>
      <c r="J60" s="6">
        <v>210</v>
      </c>
      <c r="K60" s="52">
        <v>210</v>
      </c>
      <c r="L60" s="6">
        <v>97.796999999999997</v>
      </c>
      <c r="M60" s="53">
        <v>97.796999999999997</v>
      </c>
      <c r="N60" s="6">
        <v>97.796999999999997</v>
      </c>
      <c r="O60" s="53">
        <v>97.796999999999997</v>
      </c>
      <c r="P60" s="6">
        <v>0</v>
      </c>
      <c r="Q60" s="4" t="s">
        <v>26</v>
      </c>
      <c r="R60" s="4">
        <v>0</v>
      </c>
      <c r="S60" s="4">
        <v>22</v>
      </c>
      <c r="T60" s="4">
        <v>12</v>
      </c>
      <c r="U60" s="4">
        <v>61</v>
      </c>
      <c r="V60" s="53">
        <f>IF(ISERROR(VLOOKUP($S$60,'TAR FIN'!$A$1:$O$113,15,0)),0,VLOOKUP($S$60,'TAR FIN'!$A$1:$O$113,15,0))*(1-0.06)</f>
        <v>13.16</v>
      </c>
      <c r="W60" s="53">
        <f>IF(ISERROR(VLOOKUP($T$60,'TAR FIN'!$A$1:$O$113,15,0)),0,VLOOKUP($T$60,'TAR FIN'!$A$1:$O$113,15,0))*(1-0.06)</f>
        <v>67.820999999999998</v>
      </c>
      <c r="X60" s="53">
        <f>IF(ISERROR(VLOOKUP($U$60,'TAR FIN'!$A$1:$O$113,15,0)),0,VLOOKUP($U$60,'TAR FIN'!$A$1:$O$113,15,0))*(1-0.06)</f>
        <v>261.94979999999998</v>
      </c>
      <c r="Y60" s="53">
        <f ca="1">('TUSD BE'!$AM$15+'TUSD BF'!$AM$15+'TUSD CVA'!$AM$15)*1*(1-0.03)</f>
        <v>15.554875305631656</v>
      </c>
      <c r="Z60" s="53">
        <f ca="1">('TUSD BE'!$AM$16+'TUSD BF'!$AM$16+'TUSD CVA'!$AM$16)*1*(1-0.03)</f>
        <v>118.47633671713493</v>
      </c>
      <c r="AA60" s="53">
        <f>('TE BE'!$AB$10+'TE BF'!$AB$10+'TE CVA'!$AB$10)*1*(1-0.03)</f>
        <v>290.20513391436589</v>
      </c>
      <c r="AB60" s="53">
        <f>(SUBSIDIO!$J$60*SUBSIDIO!$V$60)*(0.06)/(1-0.06)</f>
        <v>176.4</v>
      </c>
      <c r="AC60" s="53">
        <f>((SUBSIDIO!$L$60*SUBSIDIO!$W$60)+(SUBSIDIO!$N$60*SUBSIDIO!$X$60))*(0.06)/(1-0.06)</f>
        <v>2058.5486123999999</v>
      </c>
      <c r="AD60" s="53">
        <f ca="1">(SUBSIDIO!$J$60*SUBSIDIO!$Y$60)*(0.03)/(1-0.03)</f>
        <v>101.0265097169891</v>
      </c>
      <c r="AE60" s="53">
        <f ca="1">((SUBSIDIO!$L$60*SUBSIDIO!$Z$60)+(SUBSIDIO!$N$60*SUBSIDIO!$AA$60))*(0.03)/(1-0.03)</f>
        <v>1236.1181994850172</v>
      </c>
      <c r="AF60" s="4" t="s">
        <v>852</v>
      </c>
    </row>
    <row r="61" spans="1:32" ht="11.25" customHeight="1" x14ac:dyDescent="0.3">
      <c r="A61" s="4" t="s">
        <v>53</v>
      </c>
      <c r="B61" s="4" t="s">
        <v>39</v>
      </c>
      <c r="C61" s="4" t="s">
        <v>40</v>
      </c>
      <c r="D61" s="4" t="s">
        <v>50</v>
      </c>
      <c r="E61" s="4" t="s">
        <v>51</v>
      </c>
      <c r="F61" s="4" t="s">
        <v>25</v>
      </c>
      <c r="G61" s="4" t="s">
        <v>25</v>
      </c>
      <c r="H61" s="4" t="s">
        <v>35</v>
      </c>
      <c r="I61" s="5">
        <v>44835</v>
      </c>
      <c r="J61" s="6">
        <v>210</v>
      </c>
      <c r="K61" s="52">
        <v>210</v>
      </c>
      <c r="L61" s="6">
        <v>97.796999999999997</v>
      </c>
      <c r="M61" s="53">
        <v>97.796999999999997</v>
      </c>
      <c r="N61" s="6">
        <v>97.796999999999997</v>
      </c>
      <c r="O61" s="53">
        <v>97.796999999999997</v>
      </c>
      <c r="P61" s="6">
        <v>0</v>
      </c>
      <c r="Q61" s="4" t="s">
        <v>26</v>
      </c>
      <c r="R61" s="4">
        <v>0</v>
      </c>
      <c r="S61" s="4">
        <v>22</v>
      </c>
      <c r="T61" s="4">
        <v>12</v>
      </c>
      <c r="U61" s="4">
        <v>61</v>
      </c>
      <c r="V61" s="53">
        <f>IF(ISERROR(VLOOKUP($S$61,'TAR FIN'!$A$1:$O$113,15,0)),0,VLOOKUP($S$61,'TAR FIN'!$A$1:$O$113,15,0))*(1-0.06)</f>
        <v>13.16</v>
      </c>
      <c r="W61" s="53">
        <f>IF(ISERROR(VLOOKUP($T$61,'TAR FIN'!$A$1:$O$113,15,0)),0,VLOOKUP($T$61,'TAR FIN'!$A$1:$O$113,15,0))*(1-0.06)</f>
        <v>67.820999999999998</v>
      </c>
      <c r="X61" s="53">
        <f>IF(ISERROR(VLOOKUP($U$61,'TAR FIN'!$A$1:$O$113,15,0)),0,VLOOKUP($U$61,'TAR FIN'!$A$1:$O$113,15,0))*(1-0.06)</f>
        <v>261.94979999999998</v>
      </c>
      <c r="Y61" s="53">
        <f ca="1">('TUSD BE'!$AM$15+'TUSD BF'!$AM$15+'TUSD CVA'!$AM$15)*1*(1-0.03)</f>
        <v>15.554875305631656</v>
      </c>
      <c r="Z61" s="53">
        <f ca="1">('TUSD BE'!$AM$16+'TUSD BF'!$AM$16+'TUSD CVA'!$AM$16)*1*(1-0.03)</f>
        <v>118.47633671713493</v>
      </c>
      <c r="AA61" s="53">
        <f>('TE BE'!$AB$10+'TE BF'!$AB$10+'TE CVA'!$AB$10)*1*(1-0.03)</f>
        <v>290.20513391436589</v>
      </c>
      <c r="AB61" s="53">
        <f>(SUBSIDIO!$J$61*SUBSIDIO!$V$61)*(0.06)/(1-0.06)</f>
        <v>176.4</v>
      </c>
      <c r="AC61" s="53">
        <f>((SUBSIDIO!$L$61*SUBSIDIO!$W$61)+(SUBSIDIO!$N$61*SUBSIDIO!$X$61))*(0.06)/(1-0.06)</f>
        <v>2058.5486123999999</v>
      </c>
      <c r="AD61" s="53">
        <f ca="1">(SUBSIDIO!$J$61*SUBSIDIO!$Y$61)*(0.03)/(1-0.03)</f>
        <v>101.0265097169891</v>
      </c>
      <c r="AE61" s="53">
        <f ca="1">((SUBSIDIO!$L$61*SUBSIDIO!$Z$61)+(SUBSIDIO!$N$61*SUBSIDIO!$AA$61))*(0.03)/(1-0.03)</f>
        <v>1236.1181994850172</v>
      </c>
      <c r="AF61" s="4" t="s">
        <v>852</v>
      </c>
    </row>
    <row r="62" spans="1:32" ht="11.25" customHeight="1" x14ac:dyDescent="0.3">
      <c r="A62" s="4" t="s">
        <v>21</v>
      </c>
      <c r="B62" s="4" t="s">
        <v>39</v>
      </c>
      <c r="C62" s="4" t="s">
        <v>40</v>
      </c>
      <c r="D62" s="4" t="s">
        <v>50</v>
      </c>
      <c r="E62" s="4" t="s">
        <v>51</v>
      </c>
      <c r="F62" s="4" t="s">
        <v>25</v>
      </c>
      <c r="G62" s="4" t="s">
        <v>25</v>
      </c>
      <c r="H62" s="4" t="s">
        <v>34</v>
      </c>
      <c r="I62" s="5">
        <v>44501</v>
      </c>
      <c r="J62" s="6">
        <v>210</v>
      </c>
      <c r="K62" s="52">
        <v>210</v>
      </c>
      <c r="L62" s="6">
        <v>8.58</v>
      </c>
      <c r="M62" s="53">
        <v>8.58</v>
      </c>
      <c r="N62" s="6">
        <v>8.58</v>
      </c>
      <c r="O62" s="53">
        <v>8.58</v>
      </c>
      <c r="P62" s="6">
        <v>0</v>
      </c>
      <c r="Q62" s="4" t="s">
        <v>26</v>
      </c>
      <c r="R62" s="4">
        <v>0</v>
      </c>
      <c r="S62" s="4">
        <v>9</v>
      </c>
      <c r="T62" s="4">
        <v>12</v>
      </c>
      <c r="U62" s="4">
        <v>38</v>
      </c>
      <c r="V62" s="53">
        <f>IF(ISERROR(VLOOKUP($S$62,'TAR FIN'!$A$1:$O$113,15,0)),0,VLOOKUP($S$62,'TAR FIN'!$A$1:$O$113,15,0))*(1-0.06)</f>
        <v>33.614399999999996</v>
      </c>
      <c r="W62" s="53">
        <f>IF(ISERROR(VLOOKUP($T$62,'TAR FIN'!$A$1:$O$113,15,0)),0,VLOOKUP($T$62,'TAR FIN'!$A$1:$O$113,15,0))*(1-0.06)</f>
        <v>67.820999999999998</v>
      </c>
      <c r="X62" s="53">
        <f>IF(ISERROR(VLOOKUP($U$62,'TAR FIN'!$A$1:$O$113,15,0)),0,VLOOKUP($U$62,'TAR FIN'!$A$1:$O$113,15,0))*(1-0.06)</f>
        <v>416.28839999999997</v>
      </c>
      <c r="Y62" s="53">
        <f ca="1">('TUSD BE'!$AM$14+'TUSD BF'!$AM$14+'TUSD CVA'!$AM$14)*1*(1-0.03)</f>
        <v>39.734731546617411</v>
      </c>
      <c r="Z62" s="53">
        <f ca="1">('TUSD BE'!$AM$16+'TUSD BF'!$AM$16+'TUSD CVA'!$AM$16)*1*(1-0.03)</f>
        <v>118.47633671713493</v>
      </c>
      <c r="AA62" s="53">
        <f>('TE BE'!$AB$9+'TE BF'!$AB$9+'TE CVA'!$AB$9)*1*(1-0.03)</f>
        <v>471.84300153620904</v>
      </c>
      <c r="AB62" s="53">
        <f>(SUBSIDIO!$J$62*SUBSIDIO!$V$62)*(0.06)/(1-0.06)</f>
        <v>450.57599999999996</v>
      </c>
      <c r="AC62" s="53">
        <f>((SUBSIDIO!$L$62*SUBSIDIO!$W$62)+(SUBSIDIO!$N$62*SUBSIDIO!$X$62))*(0.06)/(1-0.06)</f>
        <v>265.12714800000003</v>
      </c>
      <c r="AD62" s="53">
        <f ca="1">(SUBSIDIO!$J$62*SUBSIDIO!$Y$62)*(0.03)/(1-0.03)</f>
        <v>258.07093684916464</v>
      </c>
      <c r="AE62" s="53">
        <f ca="1">((SUBSIDIO!$L$62*SUBSIDIO!$Z$62)+(SUBSIDIO!$N$62*SUBSIDIO!$AA$62))*(0.03)/(1-0.03)</f>
        <v>156.64762646021725</v>
      </c>
      <c r="AF62" s="4" t="s">
        <v>852</v>
      </c>
    </row>
    <row r="63" spans="1:32" ht="11.25" customHeight="1" x14ac:dyDescent="0.3">
      <c r="A63" s="4" t="s">
        <v>21</v>
      </c>
      <c r="B63" s="4" t="s">
        <v>39</v>
      </c>
      <c r="C63" s="4" t="s">
        <v>40</v>
      </c>
      <c r="D63" s="4" t="s">
        <v>50</v>
      </c>
      <c r="E63" s="4" t="s">
        <v>51</v>
      </c>
      <c r="F63" s="4" t="s">
        <v>25</v>
      </c>
      <c r="G63" s="4" t="s">
        <v>25</v>
      </c>
      <c r="H63" s="4" t="s">
        <v>34</v>
      </c>
      <c r="I63" s="5">
        <v>44531</v>
      </c>
      <c r="J63" s="6">
        <v>210</v>
      </c>
      <c r="K63" s="52">
        <v>210</v>
      </c>
      <c r="L63" s="6">
        <v>8.7170000000000005</v>
      </c>
      <c r="M63" s="53">
        <v>8.7170000000000005</v>
      </c>
      <c r="N63" s="6">
        <v>8.7170000000000005</v>
      </c>
      <c r="O63" s="53">
        <v>8.7170000000000005</v>
      </c>
      <c r="P63" s="6">
        <v>0</v>
      </c>
      <c r="Q63" s="4" t="s">
        <v>26</v>
      </c>
      <c r="R63" s="4">
        <v>0</v>
      </c>
      <c r="S63" s="4">
        <v>9</v>
      </c>
      <c r="T63" s="4">
        <v>12</v>
      </c>
      <c r="U63" s="4">
        <v>38</v>
      </c>
      <c r="V63" s="53">
        <f>IF(ISERROR(VLOOKUP($S$63,'TAR FIN'!$A$1:$O$113,15,0)),0,VLOOKUP($S$63,'TAR FIN'!$A$1:$O$113,15,0))*(1-0.06)</f>
        <v>33.614399999999996</v>
      </c>
      <c r="W63" s="53">
        <f>IF(ISERROR(VLOOKUP($T$63,'TAR FIN'!$A$1:$O$113,15,0)),0,VLOOKUP($T$63,'TAR FIN'!$A$1:$O$113,15,0))*(1-0.06)</f>
        <v>67.820999999999998</v>
      </c>
      <c r="X63" s="53">
        <f>IF(ISERROR(VLOOKUP($U$63,'TAR FIN'!$A$1:$O$113,15,0)),0,VLOOKUP($U$63,'TAR FIN'!$A$1:$O$113,15,0))*(1-0.06)</f>
        <v>416.28839999999997</v>
      </c>
      <c r="Y63" s="53">
        <f ca="1">('TUSD BE'!$AM$14+'TUSD BF'!$AM$14+'TUSD CVA'!$AM$14)*1*(1-0.03)</f>
        <v>39.734731546617411</v>
      </c>
      <c r="Z63" s="53">
        <f ca="1">('TUSD BE'!$AM$16+'TUSD BF'!$AM$16+'TUSD CVA'!$AM$16)*1*(1-0.03)</f>
        <v>118.47633671713493</v>
      </c>
      <c r="AA63" s="53">
        <f>('TE BE'!$AB$9+'TE BF'!$AB$9+'TE CVA'!$AB$9)*1*(1-0.03)</f>
        <v>471.84300153620904</v>
      </c>
      <c r="AB63" s="53">
        <f>(SUBSIDIO!$J$63*SUBSIDIO!$V$63)*(0.06)/(1-0.06)</f>
        <v>450.57599999999996</v>
      </c>
      <c r="AC63" s="53">
        <f>((SUBSIDIO!$L$63*SUBSIDIO!$W$63)+(SUBSIDIO!$N$63*SUBSIDIO!$X$63))*(0.06)/(1-0.06)</f>
        <v>269.36053020000003</v>
      </c>
      <c r="AD63" s="53">
        <f ca="1">(SUBSIDIO!$J$63*SUBSIDIO!$Y$63)*(0.03)/(1-0.03)</f>
        <v>258.07093684916464</v>
      </c>
      <c r="AE63" s="53">
        <f ca="1">((SUBSIDIO!$L$63*SUBSIDIO!$Z$63)+(SUBSIDIO!$N$63*SUBSIDIO!$AA$63))*(0.03)/(1-0.03)</f>
        <v>159.14887643982681</v>
      </c>
      <c r="AF63" s="4" t="s">
        <v>852</v>
      </c>
    </row>
    <row r="64" spans="1:32" ht="11.25" customHeight="1" x14ac:dyDescent="0.3">
      <c r="A64" s="4" t="s">
        <v>21</v>
      </c>
      <c r="B64" s="4" t="s">
        <v>39</v>
      </c>
      <c r="C64" s="4" t="s">
        <v>40</v>
      </c>
      <c r="D64" s="4" t="s">
        <v>50</v>
      </c>
      <c r="E64" s="4" t="s">
        <v>51</v>
      </c>
      <c r="F64" s="4" t="s">
        <v>25</v>
      </c>
      <c r="G64" s="4" t="s">
        <v>25</v>
      </c>
      <c r="H64" s="4" t="s">
        <v>34</v>
      </c>
      <c r="I64" s="5">
        <v>44562</v>
      </c>
      <c r="J64" s="6">
        <v>210</v>
      </c>
      <c r="K64" s="52">
        <v>210</v>
      </c>
      <c r="L64" s="6">
        <v>11.147</v>
      </c>
      <c r="M64" s="53">
        <v>11.147</v>
      </c>
      <c r="N64" s="6">
        <v>11.147</v>
      </c>
      <c r="O64" s="53">
        <v>11.147</v>
      </c>
      <c r="P64" s="6">
        <v>0</v>
      </c>
      <c r="Q64" s="4" t="s">
        <v>26</v>
      </c>
      <c r="R64" s="4">
        <v>0</v>
      </c>
      <c r="S64" s="4">
        <v>9</v>
      </c>
      <c r="T64" s="4">
        <v>12</v>
      </c>
      <c r="U64" s="4">
        <v>38</v>
      </c>
      <c r="V64" s="53">
        <f>IF(ISERROR(VLOOKUP($S$64,'TAR FIN'!$A$1:$O$113,15,0)),0,VLOOKUP($S$64,'TAR FIN'!$A$1:$O$113,15,0))*(1-0.06)</f>
        <v>33.614399999999996</v>
      </c>
      <c r="W64" s="53">
        <f>IF(ISERROR(VLOOKUP($T$64,'TAR FIN'!$A$1:$O$113,15,0)),0,VLOOKUP($T$64,'TAR FIN'!$A$1:$O$113,15,0))*(1-0.06)</f>
        <v>67.820999999999998</v>
      </c>
      <c r="X64" s="53">
        <f>IF(ISERROR(VLOOKUP($U$64,'TAR FIN'!$A$1:$O$113,15,0)),0,VLOOKUP($U$64,'TAR FIN'!$A$1:$O$113,15,0))*(1-0.06)</f>
        <v>416.28839999999997</v>
      </c>
      <c r="Y64" s="53">
        <f ca="1">('TUSD BE'!$AM$14+'TUSD BF'!$AM$14+'TUSD CVA'!$AM$14)*1*(1-0.03)</f>
        <v>39.734731546617411</v>
      </c>
      <c r="Z64" s="53">
        <f ca="1">('TUSD BE'!$AM$16+'TUSD BF'!$AM$16+'TUSD CVA'!$AM$16)*1*(1-0.03)</f>
        <v>118.47633671713493</v>
      </c>
      <c r="AA64" s="53">
        <f>('TE BE'!$AB$9+'TE BF'!$AB$9+'TE CVA'!$AB$9)*1*(1-0.03)</f>
        <v>471.84300153620904</v>
      </c>
      <c r="AB64" s="53">
        <f>(SUBSIDIO!$J$64*SUBSIDIO!$V$64)*(0.06)/(1-0.06)</f>
        <v>450.57599999999996</v>
      </c>
      <c r="AC64" s="53">
        <f>((SUBSIDIO!$L$64*SUBSIDIO!$W$64)+(SUBSIDIO!$N$64*SUBSIDIO!$X$64))*(0.06)/(1-0.06)</f>
        <v>344.44898819999992</v>
      </c>
      <c r="AD64" s="53">
        <f ca="1">(SUBSIDIO!$J$64*SUBSIDIO!$Y$64)*(0.03)/(1-0.03)</f>
        <v>258.07093684916464</v>
      </c>
      <c r="AE64" s="53">
        <f ca="1">((SUBSIDIO!$L$64*SUBSIDIO!$Z$64)+(SUBSIDIO!$N$64*SUBSIDIO!$AA$64))*(0.03)/(1-0.03)</f>
        <v>203.51411330443378</v>
      </c>
      <c r="AF64" s="4" t="s">
        <v>852</v>
      </c>
    </row>
    <row r="65" spans="1:32" ht="11.25" customHeight="1" x14ac:dyDescent="0.3">
      <c r="A65" s="4" t="s">
        <v>21</v>
      </c>
      <c r="B65" s="4" t="s">
        <v>39</v>
      </c>
      <c r="C65" s="4" t="s">
        <v>40</v>
      </c>
      <c r="D65" s="4" t="s">
        <v>50</v>
      </c>
      <c r="E65" s="4" t="s">
        <v>51</v>
      </c>
      <c r="F65" s="4" t="s">
        <v>25</v>
      </c>
      <c r="G65" s="4" t="s">
        <v>25</v>
      </c>
      <c r="H65" s="4" t="s">
        <v>34</v>
      </c>
      <c r="I65" s="5">
        <v>44593</v>
      </c>
      <c r="J65" s="6">
        <v>210</v>
      </c>
      <c r="K65" s="52">
        <v>210</v>
      </c>
      <c r="L65" s="6">
        <v>9.7609999999999992</v>
      </c>
      <c r="M65" s="53">
        <v>9.7609999999999992</v>
      </c>
      <c r="N65" s="6">
        <v>9.7609999999999992</v>
      </c>
      <c r="O65" s="53">
        <v>9.7609999999999992</v>
      </c>
      <c r="P65" s="6">
        <v>0</v>
      </c>
      <c r="Q65" s="4" t="s">
        <v>26</v>
      </c>
      <c r="R65" s="4">
        <v>0</v>
      </c>
      <c r="S65" s="4">
        <v>9</v>
      </c>
      <c r="T65" s="4">
        <v>12</v>
      </c>
      <c r="U65" s="4">
        <v>38</v>
      </c>
      <c r="V65" s="53">
        <f>IF(ISERROR(VLOOKUP($S$65,'TAR FIN'!$A$1:$O$113,15,0)),0,VLOOKUP($S$65,'TAR FIN'!$A$1:$O$113,15,0))*(1-0.06)</f>
        <v>33.614399999999996</v>
      </c>
      <c r="W65" s="53">
        <f>IF(ISERROR(VLOOKUP($T$65,'TAR FIN'!$A$1:$O$113,15,0)),0,VLOOKUP($T$65,'TAR FIN'!$A$1:$O$113,15,0))*(1-0.06)</f>
        <v>67.820999999999998</v>
      </c>
      <c r="X65" s="53">
        <f>IF(ISERROR(VLOOKUP($U$65,'TAR FIN'!$A$1:$O$113,15,0)),0,VLOOKUP($U$65,'TAR FIN'!$A$1:$O$113,15,0))*(1-0.06)</f>
        <v>416.28839999999997</v>
      </c>
      <c r="Y65" s="53">
        <f ca="1">('TUSD BE'!$AM$14+'TUSD BF'!$AM$14+'TUSD CVA'!$AM$14)*1*(1-0.03)</f>
        <v>39.734731546617411</v>
      </c>
      <c r="Z65" s="53">
        <f ca="1">('TUSD BE'!$AM$16+'TUSD BF'!$AM$16+'TUSD CVA'!$AM$16)*1*(1-0.03)</f>
        <v>118.47633671713493</v>
      </c>
      <c r="AA65" s="53">
        <f>('TE BE'!$AB$9+'TE BF'!$AB$9+'TE CVA'!$AB$9)*1*(1-0.03)</f>
        <v>471.84300153620904</v>
      </c>
      <c r="AB65" s="53">
        <f>(SUBSIDIO!$J$65*SUBSIDIO!$V$65)*(0.06)/(1-0.06)</f>
        <v>450.57599999999996</v>
      </c>
      <c r="AC65" s="53">
        <f>((SUBSIDIO!$L$65*SUBSIDIO!$W$65)+(SUBSIDIO!$N$65*SUBSIDIO!$X$65))*(0.06)/(1-0.06)</f>
        <v>301.62075659999994</v>
      </c>
      <c r="AD65" s="53">
        <f ca="1">(SUBSIDIO!$J$65*SUBSIDIO!$Y$65)*(0.03)/(1-0.03)</f>
        <v>258.07093684916464</v>
      </c>
      <c r="AE65" s="53">
        <f ca="1">((SUBSIDIO!$L$65*SUBSIDIO!$Z$65)+(SUBSIDIO!$N$65*SUBSIDIO!$AA$65))*(0.03)/(1-0.03)</f>
        <v>178.20949672239865</v>
      </c>
      <c r="AF65" s="4" t="s">
        <v>852</v>
      </c>
    </row>
    <row r="66" spans="1:32" ht="11.25" customHeight="1" x14ac:dyDescent="0.3">
      <c r="A66" s="4" t="s">
        <v>21</v>
      </c>
      <c r="B66" s="4" t="s">
        <v>39</v>
      </c>
      <c r="C66" s="4" t="s">
        <v>40</v>
      </c>
      <c r="D66" s="4" t="s">
        <v>50</v>
      </c>
      <c r="E66" s="4" t="s">
        <v>51</v>
      </c>
      <c r="F66" s="4" t="s">
        <v>25</v>
      </c>
      <c r="G66" s="4" t="s">
        <v>25</v>
      </c>
      <c r="H66" s="4" t="s">
        <v>34</v>
      </c>
      <c r="I66" s="5">
        <v>44621</v>
      </c>
      <c r="J66" s="6">
        <v>210</v>
      </c>
      <c r="K66" s="52">
        <v>210</v>
      </c>
      <c r="L66" s="6">
        <v>10.478999999999999</v>
      </c>
      <c r="M66" s="53">
        <v>10.478999999999999</v>
      </c>
      <c r="N66" s="6">
        <v>10.478999999999999</v>
      </c>
      <c r="O66" s="53">
        <v>10.478999999999999</v>
      </c>
      <c r="P66" s="6">
        <v>0</v>
      </c>
      <c r="Q66" s="4" t="s">
        <v>26</v>
      </c>
      <c r="R66" s="4">
        <v>0</v>
      </c>
      <c r="S66" s="4">
        <v>9</v>
      </c>
      <c r="T66" s="4">
        <v>12</v>
      </c>
      <c r="U66" s="4">
        <v>38</v>
      </c>
      <c r="V66" s="53">
        <f>IF(ISERROR(VLOOKUP($S$66,'TAR FIN'!$A$1:$O$113,15,0)),0,VLOOKUP($S$66,'TAR FIN'!$A$1:$O$113,15,0))*(1-0.06)</f>
        <v>33.614399999999996</v>
      </c>
      <c r="W66" s="53">
        <f>IF(ISERROR(VLOOKUP($T$66,'TAR FIN'!$A$1:$O$113,15,0)),0,VLOOKUP($T$66,'TAR FIN'!$A$1:$O$113,15,0))*(1-0.06)</f>
        <v>67.820999999999998</v>
      </c>
      <c r="X66" s="53">
        <f>IF(ISERROR(VLOOKUP($U$66,'TAR FIN'!$A$1:$O$113,15,0)),0,VLOOKUP($U$66,'TAR FIN'!$A$1:$O$113,15,0))*(1-0.06)</f>
        <v>416.28839999999997</v>
      </c>
      <c r="Y66" s="53">
        <f ca="1">('TUSD BE'!$AM$14+'TUSD BF'!$AM$14+'TUSD CVA'!$AM$14)*1*(1-0.03)</f>
        <v>39.734731546617411</v>
      </c>
      <c r="Z66" s="53">
        <f ca="1">('TUSD BE'!$AM$16+'TUSD BF'!$AM$16+'TUSD CVA'!$AM$16)*1*(1-0.03)</f>
        <v>118.47633671713493</v>
      </c>
      <c r="AA66" s="53">
        <f>('TE BE'!$AB$9+'TE BF'!$AB$9+'TE CVA'!$AB$9)*1*(1-0.03)</f>
        <v>471.84300153620904</v>
      </c>
      <c r="AB66" s="53">
        <f>(SUBSIDIO!$J$66*SUBSIDIO!$V$66)*(0.06)/(1-0.06)</f>
        <v>450.57599999999996</v>
      </c>
      <c r="AC66" s="53">
        <f>((SUBSIDIO!$L$66*SUBSIDIO!$W$66)+(SUBSIDIO!$N$66*SUBSIDIO!$X$66))*(0.06)/(1-0.06)</f>
        <v>323.80738739999998</v>
      </c>
      <c r="AD66" s="53">
        <f ca="1">(SUBSIDIO!$J$66*SUBSIDIO!$Y$66)*(0.03)/(1-0.03)</f>
        <v>258.07093684916464</v>
      </c>
      <c r="AE66" s="53">
        <f ca="1">((SUBSIDIO!$L$66*SUBSIDIO!$Z$66)+(SUBSIDIO!$N$66*SUBSIDIO!$AA$66))*(0.03)/(1-0.03)</f>
        <v>191.31823749144715</v>
      </c>
      <c r="AF66" s="4" t="s">
        <v>852</v>
      </c>
    </row>
    <row r="67" spans="1:32" ht="11.25" customHeight="1" x14ac:dyDescent="0.3">
      <c r="A67" s="4" t="s">
        <v>21</v>
      </c>
      <c r="B67" s="4" t="s">
        <v>39</v>
      </c>
      <c r="C67" s="4" t="s">
        <v>40</v>
      </c>
      <c r="D67" s="4" t="s">
        <v>50</v>
      </c>
      <c r="E67" s="4" t="s">
        <v>51</v>
      </c>
      <c r="F67" s="4" t="s">
        <v>25</v>
      </c>
      <c r="G67" s="4" t="s">
        <v>25</v>
      </c>
      <c r="H67" s="4" t="s">
        <v>34</v>
      </c>
      <c r="I67" s="5">
        <v>44652</v>
      </c>
      <c r="J67" s="6">
        <v>210</v>
      </c>
      <c r="K67" s="52">
        <v>210</v>
      </c>
      <c r="L67" s="6">
        <v>9.7949999999999999</v>
      </c>
      <c r="M67" s="53">
        <v>9.7949999999999999</v>
      </c>
      <c r="N67" s="6">
        <v>9.7949999999999999</v>
      </c>
      <c r="O67" s="53">
        <v>9.7949999999999999</v>
      </c>
      <c r="P67" s="6">
        <v>0</v>
      </c>
      <c r="Q67" s="4" t="s">
        <v>26</v>
      </c>
      <c r="R67" s="4">
        <v>0</v>
      </c>
      <c r="S67" s="4">
        <v>9</v>
      </c>
      <c r="T67" s="4">
        <v>12</v>
      </c>
      <c r="U67" s="4">
        <v>38</v>
      </c>
      <c r="V67" s="53">
        <f>IF(ISERROR(VLOOKUP($S$67,'TAR FIN'!$A$1:$O$113,15,0)),0,VLOOKUP($S$67,'TAR FIN'!$A$1:$O$113,15,0))*(1-0.06)</f>
        <v>33.614399999999996</v>
      </c>
      <c r="W67" s="53">
        <f>IF(ISERROR(VLOOKUP($T$67,'TAR FIN'!$A$1:$O$113,15,0)),0,VLOOKUP($T$67,'TAR FIN'!$A$1:$O$113,15,0))*(1-0.06)</f>
        <v>67.820999999999998</v>
      </c>
      <c r="X67" s="53">
        <f>IF(ISERROR(VLOOKUP($U$67,'TAR FIN'!$A$1:$O$113,15,0)),0,VLOOKUP($U$67,'TAR FIN'!$A$1:$O$113,15,0))*(1-0.06)</f>
        <v>416.28839999999997</v>
      </c>
      <c r="Y67" s="53">
        <f ca="1">('TUSD BE'!$AM$14+'TUSD BF'!$AM$14+'TUSD CVA'!$AM$14)*1*(1-0.03)</f>
        <v>39.734731546617411</v>
      </c>
      <c r="Z67" s="53">
        <f ca="1">('TUSD BE'!$AM$16+'TUSD BF'!$AM$16+'TUSD CVA'!$AM$16)*1*(1-0.03)</f>
        <v>118.47633671713493</v>
      </c>
      <c r="AA67" s="53">
        <f>('TE BE'!$AB$9+'TE BF'!$AB$9+'TE CVA'!$AB$9)*1*(1-0.03)</f>
        <v>471.84300153620904</v>
      </c>
      <c r="AB67" s="53">
        <f>(SUBSIDIO!$J$67*SUBSIDIO!$V$67)*(0.06)/(1-0.06)</f>
        <v>450.57599999999996</v>
      </c>
      <c r="AC67" s="53">
        <f>((SUBSIDIO!$L$67*SUBSIDIO!$W$67)+(SUBSIDIO!$N$67*SUBSIDIO!$X$67))*(0.06)/(1-0.06)</f>
        <v>302.67137700000001</v>
      </c>
      <c r="AD67" s="53">
        <f ca="1">(SUBSIDIO!$J$67*SUBSIDIO!$Y$67)*(0.03)/(1-0.03)</f>
        <v>258.07093684916464</v>
      </c>
      <c r="AE67" s="53">
        <f ca="1">((SUBSIDIO!$L$67*SUBSIDIO!$Z$67)+(SUBSIDIO!$N$67*SUBSIDIO!$AA$67))*(0.03)/(1-0.03)</f>
        <v>178.83024489252074</v>
      </c>
      <c r="AF67" s="4" t="s">
        <v>852</v>
      </c>
    </row>
    <row r="68" spans="1:32" ht="11.25" customHeight="1" x14ac:dyDescent="0.3">
      <c r="A68" s="4" t="s">
        <v>21</v>
      </c>
      <c r="B68" s="4" t="s">
        <v>39</v>
      </c>
      <c r="C68" s="4" t="s">
        <v>40</v>
      </c>
      <c r="D68" s="4" t="s">
        <v>50</v>
      </c>
      <c r="E68" s="4" t="s">
        <v>51</v>
      </c>
      <c r="F68" s="4" t="s">
        <v>25</v>
      </c>
      <c r="G68" s="4" t="s">
        <v>25</v>
      </c>
      <c r="H68" s="4" t="s">
        <v>34</v>
      </c>
      <c r="I68" s="5">
        <v>44682</v>
      </c>
      <c r="J68" s="6">
        <v>210</v>
      </c>
      <c r="K68" s="52">
        <v>210</v>
      </c>
      <c r="L68" s="6">
        <v>10.18</v>
      </c>
      <c r="M68" s="53">
        <v>10.18</v>
      </c>
      <c r="N68" s="6">
        <v>10.18</v>
      </c>
      <c r="O68" s="53">
        <v>10.18</v>
      </c>
      <c r="P68" s="6">
        <v>0</v>
      </c>
      <c r="Q68" s="4" t="s">
        <v>26</v>
      </c>
      <c r="R68" s="4">
        <v>0</v>
      </c>
      <c r="S68" s="4">
        <v>9</v>
      </c>
      <c r="T68" s="4">
        <v>12</v>
      </c>
      <c r="U68" s="4">
        <v>38</v>
      </c>
      <c r="V68" s="53">
        <f>IF(ISERROR(VLOOKUP($S$68,'TAR FIN'!$A$1:$O$113,15,0)),0,VLOOKUP($S$68,'TAR FIN'!$A$1:$O$113,15,0))*(1-0.06)</f>
        <v>33.614399999999996</v>
      </c>
      <c r="W68" s="53">
        <f>IF(ISERROR(VLOOKUP($T$68,'TAR FIN'!$A$1:$O$113,15,0)),0,VLOOKUP($T$68,'TAR FIN'!$A$1:$O$113,15,0))*(1-0.06)</f>
        <v>67.820999999999998</v>
      </c>
      <c r="X68" s="53">
        <f>IF(ISERROR(VLOOKUP($U$68,'TAR FIN'!$A$1:$O$113,15,0)),0,VLOOKUP($U$68,'TAR FIN'!$A$1:$O$113,15,0))*(1-0.06)</f>
        <v>416.28839999999997</v>
      </c>
      <c r="Y68" s="53">
        <f ca="1">('TUSD BE'!$AM$14+'TUSD BF'!$AM$14+'TUSD CVA'!$AM$14)*1*(1-0.03)</f>
        <v>39.734731546617411</v>
      </c>
      <c r="Z68" s="53">
        <f ca="1">('TUSD BE'!$AM$16+'TUSD BF'!$AM$16+'TUSD CVA'!$AM$16)*1*(1-0.03)</f>
        <v>118.47633671713493</v>
      </c>
      <c r="AA68" s="53">
        <f>('TE BE'!$AB$9+'TE BF'!$AB$9+'TE CVA'!$AB$9)*1*(1-0.03)</f>
        <v>471.84300153620904</v>
      </c>
      <c r="AB68" s="53">
        <f>(SUBSIDIO!$J$68*SUBSIDIO!$V$68)*(0.06)/(1-0.06)</f>
        <v>450.57599999999996</v>
      </c>
      <c r="AC68" s="53">
        <f>((SUBSIDIO!$L$68*SUBSIDIO!$W$68)+(SUBSIDIO!$N$68*SUBSIDIO!$X$68))*(0.06)/(1-0.06)</f>
        <v>314.56810799999994</v>
      </c>
      <c r="AD68" s="53">
        <f ca="1">(SUBSIDIO!$J$68*SUBSIDIO!$Y$68)*(0.03)/(1-0.03)</f>
        <v>258.07093684916464</v>
      </c>
      <c r="AE68" s="53">
        <f ca="1">((SUBSIDIO!$L$68*SUBSIDIO!$Z$68)+(SUBSIDIO!$N$68*SUBSIDIO!$AA$68))*(0.03)/(1-0.03)</f>
        <v>185.85930505419714</v>
      </c>
      <c r="AF68" s="4" t="s">
        <v>852</v>
      </c>
    </row>
    <row r="69" spans="1:32" ht="11.25" customHeight="1" x14ac:dyDescent="0.3">
      <c r="A69" s="4" t="s">
        <v>21</v>
      </c>
      <c r="B69" s="4" t="s">
        <v>39</v>
      </c>
      <c r="C69" s="4" t="s">
        <v>40</v>
      </c>
      <c r="D69" s="4" t="s">
        <v>50</v>
      </c>
      <c r="E69" s="4" t="s">
        <v>51</v>
      </c>
      <c r="F69" s="4" t="s">
        <v>25</v>
      </c>
      <c r="G69" s="4" t="s">
        <v>25</v>
      </c>
      <c r="H69" s="4" t="s">
        <v>34</v>
      </c>
      <c r="I69" s="5">
        <v>44713</v>
      </c>
      <c r="J69" s="6">
        <v>210</v>
      </c>
      <c r="K69" s="52">
        <v>210</v>
      </c>
      <c r="L69" s="6">
        <v>10.914</v>
      </c>
      <c r="M69" s="53">
        <v>10.914</v>
      </c>
      <c r="N69" s="6">
        <v>10.914</v>
      </c>
      <c r="O69" s="53">
        <v>10.914</v>
      </c>
      <c r="P69" s="6">
        <v>0</v>
      </c>
      <c r="Q69" s="4" t="s">
        <v>26</v>
      </c>
      <c r="R69" s="4">
        <v>0</v>
      </c>
      <c r="S69" s="4">
        <v>9</v>
      </c>
      <c r="T69" s="4">
        <v>12</v>
      </c>
      <c r="U69" s="4">
        <v>38</v>
      </c>
      <c r="V69" s="53">
        <f>IF(ISERROR(VLOOKUP($S$69,'TAR FIN'!$A$1:$O$113,15,0)),0,VLOOKUP($S$69,'TAR FIN'!$A$1:$O$113,15,0))*(1-0.06)</f>
        <v>33.614399999999996</v>
      </c>
      <c r="W69" s="53">
        <f>IF(ISERROR(VLOOKUP($T$69,'TAR FIN'!$A$1:$O$113,15,0)),0,VLOOKUP($T$69,'TAR FIN'!$A$1:$O$113,15,0))*(1-0.06)</f>
        <v>67.820999999999998</v>
      </c>
      <c r="X69" s="53">
        <f>IF(ISERROR(VLOOKUP($U$69,'TAR FIN'!$A$1:$O$113,15,0)),0,VLOOKUP($U$69,'TAR FIN'!$A$1:$O$113,15,0))*(1-0.06)</f>
        <v>416.28839999999997</v>
      </c>
      <c r="Y69" s="53">
        <f ca="1">('TUSD BE'!$AM$14+'TUSD BF'!$AM$14+'TUSD CVA'!$AM$14)*1*(1-0.03)</f>
        <v>39.734731546617411</v>
      </c>
      <c r="Z69" s="53">
        <f ca="1">('TUSD BE'!$AM$16+'TUSD BF'!$AM$16+'TUSD CVA'!$AM$16)*1*(1-0.03)</f>
        <v>118.47633671713493</v>
      </c>
      <c r="AA69" s="53">
        <f>('TE BE'!$AB$9+'TE BF'!$AB$9+'TE CVA'!$AB$9)*1*(1-0.03)</f>
        <v>471.84300153620904</v>
      </c>
      <c r="AB69" s="53">
        <f>(SUBSIDIO!$J$69*SUBSIDIO!$V$69)*(0.06)/(1-0.06)</f>
        <v>450.57599999999996</v>
      </c>
      <c r="AC69" s="53">
        <f>((SUBSIDIO!$L$69*SUBSIDIO!$W$69)+(SUBSIDIO!$N$69*SUBSIDIO!$X$69))*(0.06)/(1-0.06)</f>
        <v>337.24914839999997</v>
      </c>
      <c r="AD69" s="53">
        <f ca="1">(SUBSIDIO!$J$69*SUBSIDIO!$Y$69)*(0.03)/(1-0.03)</f>
        <v>258.07093684916464</v>
      </c>
      <c r="AE69" s="53">
        <f ca="1">((SUBSIDIO!$L$69*SUBSIDIO!$Z$69)+(SUBSIDIO!$N$69*SUBSIDIO!$AA$69))*(0.03)/(1-0.03)</f>
        <v>199.26016260918544</v>
      </c>
      <c r="AF69" s="4" t="s">
        <v>852</v>
      </c>
    </row>
    <row r="70" spans="1:32" ht="11.25" customHeight="1" x14ac:dyDescent="0.3">
      <c r="A70" s="4" t="s">
        <v>21</v>
      </c>
      <c r="B70" s="4" t="s">
        <v>39</v>
      </c>
      <c r="C70" s="4" t="s">
        <v>40</v>
      </c>
      <c r="D70" s="4" t="s">
        <v>50</v>
      </c>
      <c r="E70" s="4" t="s">
        <v>51</v>
      </c>
      <c r="F70" s="4" t="s">
        <v>25</v>
      </c>
      <c r="G70" s="4" t="s">
        <v>25</v>
      </c>
      <c r="H70" s="4" t="s">
        <v>34</v>
      </c>
      <c r="I70" s="5">
        <v>44743</v>
      </c>
      <c r="J70" s="6">
        <v>210</v>
      </c>
      <c r="K70" s="52">
        <v>210</v>
      </c>
      <c r="L70" s="6">
        <v>10.762</v>
      </c>
      <c r="M70" s="53">
        <v>10.762</v>
      </c>
      <c r="N70" s="6">
        <v>10.762</v>
      </c>
      <c r="O70" s="53">
        <v>10.762</v>
      </c>
      <c r="P70" s="6">
        <v>0</v>
      </c>
      <c r="Q70" s="4" t="s">
        <v>26</v>
      </c>
      <c r="R70" s="4">
        <v>0</v>
      </c>
      <c r="S70" s="4">
        <v>9</v>
      </c>
      <c r="T70" s="4">
        <v>12</v>
      </c>
      <c r="U70" s="4">
        <v>38</v>
      </c>
      <c r="V70" s="53">
        <f>IF(ISERROR(VLOOKUP($S$70,'TAR FIN'!$A$1:$O$113,15,0)),0,VLOOKUP($S$70,'TAR FIN'!$A$1:$O$113,15,0))*(1-0.06)</f>
        <v>33.614399999999996</v>
      </c>
      <c r="W70" s="53">
        <f>IF(ISERROR(VLOOKUP($T$70,'TAR FIN'!$A$1:$O$113,15,0)),0,VLOOKUP($T$70,'TAR FIN'!$A$1:$O$113,15,0))*(1-0.06)</f>
        <v>67.820999999999998</v>
      </c>
      <c r="X70" s="53">
        <f>IF(ISERROR(VLOOKUP($U$70,'TAR FIN'!$A$1:$O$113,15,0)),0,VLOOKUP($U$70,'TAR FIN'!$A$1:$O$113,15,0))*(1-0.06)</f>
        <v>416.28839999999997</v>
      </c>
      <c r="Y70" s="53">
        <f ca="1">('TUSD BE'!$AM$14+'TUSD BF'!$AM$14+'TUSD CVA'!$AM$14)*1*(1-0.03)</f>
        <v>39.734731546617411</v>
      </c>
      <c r="Z70" s="53">
        <f ca="1">('TUSD BE'!$AM$16+'TUSD BF'!$AM$16+'TUSD CVA'!$AM$16)*1*(1-0.03)</f>
        <v>118.47633671713493</v>
      </c>
      <c r="AA70" s="53">
        <f>('TE BE'!$AB$9+'TE BF'!$AB$9+'TE CVA'!$AB$9)*1*(1-0.03)</f>
        <v>471.84300153620904</v>
      </c>
      <c r="AB70" s="53">
        <f>(SUBSIDIO!$J$70*SUBSIDIO!$V$70)*(0.06)/(1-0.06)</f>
        <v>450.57599999999996</v>
      </c>
      <c r="AC70" s="53">
        <f>((SUBSIDIO!$L$70*SUBSIDIO!$W$70)+(SUBSIDIO!$N$70*SUBSIDIO!$X$70))*(0.06)/(1-0.06)</f>
        <v>332.55225719999999</v>
      </c>
      <c r="AD70" s="53">
        <f ca="1">(SUBSIDIO!$J$70*SUBSIDIO!$Y$70)*(0.03)/(1-0.03)</f>
        <v>258.07093684916464</v>
      </c>
      <c r="AE70" s="53">
        <f ca="1">((SUBSIDIO!$L$70*SUBSIDIO!$Z$70)+(SUBSIDIO!$N$70*SUBSIDIO!$AA$70))*(0.03)/(1-0.03)</f>
        <v>196.48505314275735</v>
      </c>
      <c r="AF70" s="4" t="s">
        <v>852</v>
      </c>
    </row>
    <row r="71" spans="1:32" ht="11.25" customHeight="1" x14ac:dyDescent="0.3">
      <c r="A71" s="4" t="s">
        <v>21</v>
      </c>
      <c r="B71" s="4" t="s">
        <v>39</v>
      </c>
      <c r="C71" s="4" t="s">
        <v>40</v>
      </c>
      <c r="D71" s="4" t="s">
        <v>50</v>
      </c>
      <c r="E71" s="4" t="s">
        <v>51</v>
      </c>
      <c r="F71" s="4" t="s">
        <v>25</v>
      </c>
      <c r="G71" s="4" t="s">
        <v>25</v>
      </c>
      <c r="H71" s="4" t="s">
        <v>34</v>
      </c>
      <c r="I71" s="5">
        <v>44774</v>
      </c>
      <c r="J71" s="6">
        <v>210</v>
      </c>
      <c r="K71" s="52">
        <v>210</v>
      </c>
      <c r="L71" s="6">
        <v>10.159000000000001</v>
      </c>
      <c r="M71" s="53">
        <v>10.159000000000001</v>
      </c>
      <c r="N71" s="6">
        <v>10.159000000000001</v>
      </c>
      <c r="O71" s="53">
        <v>10.159000000000001</v>
      </c>
      <c r="P71" s="6">
        <v>0</v>
      </c>
      <c r="Q71" s="4" t="s">
        <v>26</v>
      </c>
      <c r="R71" s="4">
        <v>0</v>
      </c>
      <c r="S71" s="4">
        <v>9</v>
      </c>
      <c r="T71" s="4">
        <v>12</v>
      </c>
      <c r="U71" s="4">
        <v>38</v>
      </c>
      <c r="V71" s="53">
        <f>IF(ISERROR(VLOOKUP($S$71,'TAR FIN'!$A$1:$O$113,15,0)),0,VLOOKUP($S$71,'TAR FIN'!$A$1:$O$113,15,0))*(1-0.06)</f>
        <v>33.614399999999996</v>
      </c>
      <c r="W71" s="53">
        <f>IF(ISERROR(VLOOKUP($T$71,'TAR FIN'!$A$1:$O$113,15,0)),0,VLOOKUP($T$71,'TAR FIN'!$A$1:$O$113,15,0))*(1-0.06)</f>
        <v>67.820999999999998</v>
      </c>
      <c r="X71" s="53">
        <f>IF(ISERROR(VLOOKUP($U$71,'TAR FIN'!$A$1:$O$113,15,0)),0,VLOOKUP($U$71,'TAR FIN'!$A$1:$O$113,15,0))*(1-0.06)</f>
        <v>416.28839999999997</v>
      </c>
      <c r="Y71" s="53">
        <f ca="1">('TUSD BE'!$AM$14+'TUSD BF'!$AM$14+'TUSD CVA'!$AM$14)*1*(1-0.03)</f>
        <v>39.734731546617411</v>
      </c>
      <c r="Z71" s="53">
        <f ca="1">('TUSD BE'!$AM$16+'TUSD BF'!$AM$16+'TUSD CVA'!$AM$16)*1*(1-0.03)</f>
        <v>118.47633671713493</v>
      </c>
      <c r="AA71" s="53">
        <f>('TE BE'!$AB$9+'TE BF'!$AB$9+'TE CVA'!$AB$9)*1*(1-0.03)</f>
        <v>471.84300153620904</v>
      </c>
      <c r="AB71" s="53">
        <f>(SUBSIDIO!$J$71*SUBSIDIO!$V$71)*(0.06)/(1-0.06)</f>
        <v>450.57599999999996</v>
      </c>
      <c r="AC71" s="53">
        <f>((SUBSIDIO!$L$71*SUBSIDIO!$W$71)+(SUBSIDIO!$N$71*SUBSIDIO!$X$71))*(0.06)/(1-0.06)</f>
        <v>313.91919539999998</v>
      </c>
      <c r="AD71" s="53">
        <f ca="1">(SUBSIDIO!$J$71*SUBSIDIO!$Y$71)*(0.03)/(1-0.03)</f>
        <v>258.07093684916464</v>
      </c>
      <c r="AE71" s="53">
        <f ca="1">((SUBSIDIO!$L$71*SUBSIDIO!$Z$71)+(SUBSIDIO!$N$71*SUBSIDIO!$AA$71))*(0.03)/(1-0.03)</f>
        <v>185.47590177265121</v>
      </c>
      <c r="AF71" s="4" t="s">
        <v>852</v>
      </c>
    </row>
    <row r="72" spans="1:32" ht="11.25" customHeight="1" x14ac:dyDescent="0.3">
      <c r="A72" s="4" t="s">
        <v>21</v>
      </c>
      <c r="B72" s="4" t="s">
        <v>39</v>
      </c>
      <c r="C72" s="4" t="s">
        <v>40</v>
      </c>
      <c r="D72" s="4" t="s">
        <v>50</v>
      </c>
      <c r="E72" s="4" t="s">
        <v>51</v>
      </c>
      <c r="F72" s="4" t="s">
        <v>25</v>
      </c>
      <c r="G72" s="4" t="s">
        <v>25</v>
      </c>
      <c r="H72" s="4" t="s">
        <v>34</v>
      </c>
      <c r="I72" s="5">
        <v>44805</v>
      </c>
      <c r="J72" s="6">
        <v>210</v>
      </c>
      <c r="K72" s="52">
        <v>210</v>
      </c>
      <c r="L72" s="6">
        <v>10.811999999999999</v>
      </c>
      <c r="M72" s="53">
        <v>10.811999999999999</v>
      </c>
      <c r="N72" s="6">
        <v>10.811999999999999</v>
      </c>
      <c r="O72" s="53">
        <v>10.811999999999999</v>
      </c>
      <c r="P72" s="6">
        <v>0</v>
      </c>
      <c r="Q72" s="4" t="s">
        <v>26</v>
      </c>
      <c r="R72" s="4">
        <v>0</v>
      </c>
      <c r="S72" s="4">
        <v>9</v>
      </c>
      <c r="T72" s="4">
        <v>12</v>
      </c>
      <c r="U72" s="4">
        <v>38</v>
      </c>
      <c r="V72" s="53">
        <f>IF(ISERROR(VLOOKUP($S$72,'TAR FIN'!$A$1:$O$113,15,0)),0,VLOOKUP($S$72,'TAR FIN'!$A$1:$O$113,15,0))*(1-0.06)</f>
        <v>33.614399999999996</v>
      </c>
      <c r="W72" s="53">
        <f>IF(ISERROR(VLOOKUP($T$72,'TAR FIN'!$A$1:$O$113,15,0)),0,VLOOKUP($T$72,'TAR FIN'!$A$1:$O$113,15,0))*(1-0.06)</f>
        <v>67.820999999999998</v>
      </c>
      <c r="X72" s="53">
        <f>IF(ISERROR(VLOOKUP($U$72,'TAR FIN'!$A$1:$O$113,15,0)),0,VLOOKUP($U$72,'TAR FIN'!$A$1:$O$113,15,0))*(1-0.06)</f>
        <v>416.28839999999997</v>
      </c>
      <c r="Y72" s="53">
        <f ca="1">('TUSD BE'!$AM$14+'TUSD BF'!$AM$14+'TUSD CVA'!$AM$14)*1*(1-0.03)</f>
        <v>39.734731546617411</v>
      </c>
      <c r="Z72" s="53">
        <f ca="1">('TUSD BE'!$AM$16+'TUSD BF'!$AM$16+'TUSD CVA'!$AM$16)*1*(1-0.03)</f>
        <v>118.47633671713493</v>
      </c>
      <c r="AA72" s="53">
        <f>('TE BE'!$AB$9+'TE BF'!$AB$9+'TE CVA'!$AB$9)*1*(1-0.03)</f>
        <v>471.84300153620904</v>
      </c>
      <c r="AB72" s="53">
        <f>(SUBSIDIO!$J$72*SUBSIDIO!$V$72)*(0.06)/(1-0.06)</f>
        <v>450.57599999999996</v>
      </c>
      <c r="AC72" s="53">
        <f>((SUBSIDIO!$L$72*SUBSIDIO!$W$72)+(SUBSIDIO!$N$72*SUBSIDIO!$X$72))*(0.06)/(1-0.06)</f>
        <v>334.09728719999993</v>
      </c>
      <c r="AD72" s="53">
        <f ca="1">(SUBSIDIO!$J$72*SUBSIDIO!$Y$72)*(0.03)/(1-0.03)</f>
        <v>258.07093684916464</v>
      </c>
      <c r="AE72" s="53">
        <f ca="1">((SUBSIDIO!$L$72*SUBSIDIO!$Z$72)+(SUBSIDIO!$N$72*SUBSIDIO!$AA$72))*(0.03)/(1-0.03)</f>
        <v>197.39791809881922</v>
      </c>
      <c r="AF72" s="4" t="s">
        <v>852</v>
      </c>
    </row>
    <row r="73" spans="1:32" ht="11.25" customHeight="1" x14ac:dyDescent="0.3">
      <c r="A73" s="4" t="s">
        <v>53</v>
      </c>
      <c r="B73" s="4" t="s">
        <v>39</v>
      </c>
      <c r="C73" s="4" t="s">
        <v>40</v>
      </c>
      <c r="D73" s="4" t="s">
        <v>50</v>
      </c>
      <c r="E73" s="4" t="s">
        <v>51</v>
      </c>
      <c r="F73" s="4" t="s">
        <v>25</v>
      </c>
      <c r="G73" s="4" t="s">
        <v>25</v>
      </c>
      <c r="H73" s="4" t="s">
        <v>34</v>
      </c>
      <c r="I73" s="5">
        <v>44835</v>
      </c>
      <c r="J73" s="6">
        <v>210</v>
      </c>
      <c r="K73" s="52">
        <v>210</v>
      </c>
      <c r="L73" s="6">
        <v>10.811999999999999</v>
      </c>
      <c r="M73" s="53">
        <v>10.811999999999999</v>
      </c>
      <c r="N73" s="6">
        <v>10.811999999999999</v>
      </c>
      <c r="O73" s="53">
        <v>10.811999999999999</v>
      </c>
      <c r="P73" s="6">
        <v>0</v>
      </c>
      <c r="Q73" s="4" t="s">
        <v>26</v>
      </c>
      <c r="R73" s="4">
        <v>0</v>
      </c>
      <c r="S73" s="4">
        <v>9</v>
      </c>
      <c r="T73" s="4">
        <v>12</v>
      </c>
      <c r="U73" s="4">
        <v>38</v>
      </c>
      <c r="V73" s="53">
        <f>IF(ISERROR(VLOOKUP($S$73,'TAR FIN'!$A$1:$O$113,15,0)),0,VLOOKUP($S$73,'TAR FIN'!$A$1:$O$113,15,0))*(1-0.06)</f>
        <v>33.614399999999996</v>
      </c>
      <c r="W73" s="53">
        <f>IF(ISERROR(VLOOKUP($T$73,'TAR FIN'!$A$1:$O$113,15,0)),0,VLOOKUP($T$73,'TAR FIN'!$A$1:$O$113,15,0))*(1-0.06)</f>
        <v>67.820999999999998</v>
      </c>
      <c r="X73" s="53">
        <f>IF(ISERROR(VLOOKUP($U$73,'TAR FIN'!$A$1:$O$113,15,0)),0,VLOOKUP($U$73,'TAR FIN'!$A$1:$O$113,15,0))*(1-0.06)</f>
        <v>416.28839999999997</v>
      </c>
      <c r="Y73" s="53">
        <f ca="1">('TUSD BE'!$AM$14+'TUSD BF'!$AM$14+'TUSD CVA'!$AM$14)*1*(1-0.03)</f>
        <v>39.734731546617411</v>
      </c>
      <c r="Z73" s="53">
        <f ca="1">('TUSD BE'!$AM$16+'TUSD BF'!$AM$16+'TUSD CVA'!$AM$16)*1*(1-0.03)</f>
        <v>118.47633671713493</v>
      </c>
      <c r="AA73" s="53">
        <f>('TE BE'!$AB$9+'TE BF'!$AB$9+'TE CVA'!$AB$9)*1*(1-0.03)</f>
        <v>471.84300153620904</v>
      </c>
      <c r="AB73" s="53">
        <f>(SUBSIDIO!$J$73*SUBSIDIO!$V$73)*(0.06)/(1-0.06)</f>
        <v>450.57599999999996</v>
      </c>
      <c r="AC73" s="53">
        <f>((SUBSIDIO!$L$73*SUBSIDIO!$W$73)+(SUBSIDIO!$N$73*SUBSIDIO!$X$73))*(0.06)/(1-0.06)</f>
        <v>334.09728719999993</v>
      </c>
      <c r="AD73" s="53">
        <f ca="1">(SUBSIDIO!$J$73*SUBSIDIO!$Y$73)*(0.03)/(1-0.03)</f>
        <v>258.07093684916464</v>
      </c>
      <c r="AE73" s="53">
        <f ca="1">((SUBSIDIO!$L$73*SUBSIDIO!$Z$73)+(SUBSIDIO!$N$73*SUBSIDIO!$AA$73))*(0.03)/(1-0.03)</f>
        <v>197.39791809881922</v>
      </c>
      <c r="AF73" s="4" t="s">
        <v>852</v>
      </c>
    </row>
    <row r="74" spans="1:32" ht="11.25" customHeight="1" x14ac:dyDescent="0.3">
      <c r="A74" s="4" t="s">
        <v>21</v>
      </c>
      <c r="B74" s="4" t="s">
        <v>39</v>
      </c>
      <c r="C74" s="4" t="s">
        <v>57</v>
      </c>
      <c r="D74" s="4" t="s">
        <v>25</v>
      </c>
      <c r="E74" s="4" t="s">
        <v>25</v>
      </c>
      <c r="F74" s="4" t="s">
        <v>25</v>
      </c>
      <c r="G74" s="4" t="s">
        <v>58</v>
      </c>
      <c r="H74" s="4" t="s">
        <v>25</v>
      </c>
      <c r="I74" s="5">
        <v>44501</v>
      </c>
      <c r="J74" s="6">
        <v>8780</v>
      </c>
      <c r="K74" s="6">
        <v>8780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4" t="s">
        <v>59</v>
      </c>
      <c r="R74" s="4">
        <v>109</v>
      </c>
      <c r="S74" s="4">
        <v>17</v>
      </c>
      <c r="T74" s="4">
        <v>0</v>
      </c>
      <c r="U74" s="4">
        <v>0</v>
      </c>
      <c r="V74" s="6">
        <f>IF(ISERROR(VLOOKUP($S$74,'TAR FIN'!$A$1:$O$113,15,0)),0,VLOOKUP($S$74,'TAR FIN'!$A$1:$O$113,15,0))</f>
        <v>3.27</v>
      </c>
      <c r="W74" s="6">
        <f>IF(ISERROR(VLOOKUP($T$74,'TAR FIN'!$A$1:$O$113,15,0)),0,VLOOKUP($T$74,'TAR FIN'!$A$1:$O$113,15,0))</f>
        <v>0</v>
      </c>
      <c r="X74" s="6">
        <f>IF(ISERROR(VLOOKUP($U$74,'TAR FIN'!$A$1:$O$113,15,0)),0,VLOOKUP($U$74,'TAR FIN'!$A$1:$O$113,15,0))</f>
        <v>0</v>
      </c>
      <c r="Y74" s="6">
        <f ca="1">('TUSD BE'!$AM$18+'TUSD BF'!$AM$18+'TUSD CVA'!$AM$18)*1</f>
        <v>3.7426028242520015</v>
      </c>
      <c r="Z74" s="6"/>
      <c r="AA74" s="6"/>
      <c r="AB74" s="6">
        <f t="shared" ref="AB74:AB121" si="6">(J74-K74)*V74</f>
        <v>0</v>
      </c>
      <c r="AC74" s="6">
        <f t="shared" ref="AC74:AC121" si="7">(L74-M74)*W74+(N74-O74)*X74</f>
        <v>0</v>
      </c>
      <c r="AD74" s="6">
        <f t="shared" ref="AD74:AD121" ca="1" si="8">(J74-K74)*Y74</f>
        <v>0</v>
      </c>
      <c r="AE74" s="6">
        <f t="shared" ref="AE74:AE121" si="9">(L74-M74)*Z74+(N74-O74)*AA74</f>
        <v>0</v>
      </c>
      <c r="AF74" s="4" t="s">
        <v>850</v>
      </c>
    </row>
    <row r="75" spans="1:32" ht="11.25" customHeight="1" x14ac:dyDescent="0.3">
      <c r="A75" s="4" t="s">
        <v>21</v>
      </c>
      <c r="B75" s="4" t="s">
        <v>39</v>
      </c>
      <c r="C75" s="4" t="s">
        <v>57</v>
      </c>
      <c r="D75" s="4" t="s">
        <v>25</v>
      </c>
      <c r="E75" s="4" t="s">
        <v>25</v>
      </c>
      <c r="F75" s="4" t="s">
        <v>25</v>
      </c>
      <c r="G75" s="4" t="s">
        <v>58</v>
      </c>
      <c r="H75" s="4" t="s">
        <v>25</v>
      </c>
      <c r="I75" s="5">
        <v>44531</v>
      </c>
      <c r="J75" s="6">
        <v>8780</v>
      </c>
      <c r="K75" s="6">
        <v>8780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4" t="s">
        <v>59</v>
      </c>
      <c r="R75" s="4">
        <v>109</v>
      </c>
      <c r="S75" s="4">
        <v>17</v>
      </c>
      <c r="T75" s="4">
        <v>0</v>
      </c>
      <c r="U75" s="4">
        <v>0</v>
      </c>
      <c r="V75" s="6">
        <f>IF(ISERROR(VLOOKUP($S$75,'TAR FIN'!$A$1:$O$113,15,0)),0,VLOOKUP($S$75,'TAR FIN'!$A$1:$O$113,15,0))</f>
        <v>3.27</v>
      </c>
      <c r="W75" s="6">
        <f>IF(ISERROR(VLOOKUP($T$75,'TAR FIN'!$A$1:$O$113,15,0)),0,VLOOKUP($T$75,'TAR FIN'!$A$1:$O$113,15,0))</f>
        <v>0</v>
      </c>
      <c r="X75" s="6">
        <f>IF(ISERROR(VLOOKUP($U$75,'TAR FIN'!$A$1:$O$113,15,0)),0,VLOOKUP($U$75,'TAR FIN'!$A$1:$O$113,15,0))</f>
        <v>0</v>
      </c>
      <c r="Y75" s="6">
        <f ca="1">('TUSD BE'!$AM$18+'TUSD BF'!$AM$18+'TUSD CVA'!$AM$18)*1</f>
        <v>3.7426028242520015</v>
      </c>
      <c r="Z75" s="6"/>
      <c r="AA75" s="6"/>
      <c r="AB75" s="6">
        <f t="shared" si="6"/>
        <v>0</v>
      </c>
      <c r="AC75" s="6">
        <f t="shared" si="7"/>
        <v>0</v>
      </c>
      <c r="AD75" s="6">
        <f t="shared" ca="1" si="8"/>
        <v>0</v>
      </c>
      <c r="AE75" s="6">
        <f t="shared" si="9"/>
        <v>0</v>
      </c>
      <c r="AF75" s="4" t="s">
        <v>850</v>
      </c>
    </row>
    <row r="76" spans="1:32" ht="11.25" customHeight="1" x14ac:dyDescent="0.3">
      <c r="A76" s="4" t="s">
        <v>21</v>
      </c>
      <c r="B76" s="4" t="s">
        <v>39</v>
      </c>
      <c r="C76" s="4" t="s">
        <v>57</v>
      </c>
      <c r="D76" s="4" t="s">
        <v>25</v>
      </c>
      <c r="E76" s="4" t="s">
        <v>25</v>
      </c>
      <c r="F76" s="4" t="s">
        <v>25</v>
      </c>
      <c r="G76" s="4" t="s">
        <v>58</v>
      </c>
      <c r="H76" s="4" t="s">
        <v>25</v>
      </c>
      <c r="I76" s="5">
        <v>44562</v>
      </c>
      <c r="J76" s="6">
        <v>8780</v>
      </c>
      <c r="K76" s="6">
        <v>8780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4" t="s">
        <v>59</v>
      </c>
      <c r="R76" s="4">
        <v>109</v>
      </c>
      <c r="S76" s="4">
        <v>17</v>
      </c>
      <c r="T76" s="4">
        <v>0</v>
      </c>
      <c r="U76" s="4">
        <v>0</v>
      </c>
      <c r="V76" s="6">
        <f>IF(ISERROR(VLOOKUP($S$76,'TAR FIN'!$A$1:$O$113,15,0)),0,VLOOKUP($S$76,'TAR FIN'!$A$1:$O$113,15,0))</f>
        <v>3.27</v>
      </c>
      <c r="W76" s="6">
        <f>IF(ISERROR(VLOOKUP($T$76,'TAR FIN'!$A$1:$O$113,15,0)),0,VLOOKUP($T$76,'TAR FIN'!$A$1:$O$113,15,0))</f>
        <v>0</v>
      </c>
      <c r="X76" s="6">
        <f>IF(ISERROR(VLOOKUP($U$76,'TAR FIN'!$A$1:$O$113,15,0)),0,VLOOKUP($U$76,'TAR FIN'!$A$1:$O$113,15,0))</f>
        <v>0</v>
      </c>
      <c r="Y76" s="6">
        <f ca="1">('TUSD BE'!$AM$18+'TUSD BF'!$AM$18+'TUSD CVA'!$AM$18)*1</f>
        <v>3.7426028242520015</v>
      </c>
      <c r="Z76" s="6"/>
      <c r="AA76" s="6"/>
      <c r="AB76" s="6">
        <f t="shared" si="6"/>
        <v>0</v>
      </c>
      <c r="AC76" s="6">
        <f t="shared" si="7"/>
        <v>0</v>
      </c>
      <c r="AD76" s="6">
        <f t="shared" ca="1" si="8"/>
        <v>0</v>
      </c>
      <c r="AE76" s="6">
        <f t="shared" si="9"/>
        <v>0</v>
      </c>
      <c r="AF76" s="4" t="s">
        <v>850</v>
      </c>
    </row>
    <row r="77" spans="1:32" ht="11.25" customHeight="1" x14ac:dyDescent="0.3">
      <c r="A77" s="4" t="s">
        <v>21</v>
      </c>
      <c r="B77" s="4" t="s">
        <v>39</v>
      </c>
      <c r="C77" s="4" t="s">
        <v>57</v>
      </c>
      <c r="D77" s="4" t="s">
        <v>25</v>
      </c>
      <c r="E77" s="4" t="s">
        <v>25</v>
      </c>
      <c r="F77" s="4" t="s">
        <v>25</v>
      </c>
      <c r="G77" s="4" t="s">
        <v>58</v>
      </c>
      <c r="H77" s="4" t="s">
        <v>25</v>
      </c>
      <c r="I77" s="5">
        <v>44593</v>
      </c>
      <c r="J77" s="6">
        <v>8780</v>
      </c>
      <c r="K77" s="6">
        <v>8780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4" t="s">
        <v>59</v>
      </c>
      <c r="R77" s="4">
        <v>109</v>
      </c>
      <c r="S77" s="4">
        <v>17</v>
      </c>
      <c r="T77" s="4">
        <v>0</v>
      </c>
      <c r="U77" s="4">
        <v>0</v>
      </c>
      <c r="V77" s="6">
        <f>IF(ISERROR(VLOOKUP($S$77,'TAR FIN'!$A$1:$O$113,15,0)),0,VLOOKUP($S$77,'TAR FIN'!$A$1:$O$113,15,0))</f>
        <v>3.27</v>
      </c>
      <c r="W77" s="6">
        <f>IF(ISERROR(VLOOKUP($T$77,'TAR FIN'!$A$1:$O$113,15,0)),0,VLOOKUP($T$77,'TAR FIN'!$A$1:$O$113,15,0))</f>
        <v>0</v>
      </c>
      <c r="X77" s="6">
        <f>IF(ISERROR(VLOOKUP($U$77,'TAR FIN'!$A$1:$O$113,15,0)),0,VLOOKUP($U$77,'TAR FIN'!$A$1:$O$113,15,0))</f>
        <v>0</v>
      </c>
      <c r="Y77" s="6">
        <f ca="1">('TUSD BE'!$AM$18+'TUSD BF'!$AM$18+'TUSD CVA'!$AM$18)*1</f>
        <v>3.7426028242520015</v>
      </c>
      <c r="Z77" s="6"/>
      <c r="AA77" s="6"/>
      <c r="AB77" s="6">
        <f t="shared" si="6"/>
        <v>0</v>
      </c>
      <c r="AC77" s="6">
        <f t="shared" si="7"/>
        <v>0</v>
      </c>
      <c r="AD77" s="6">
        <f t="shared" ca="1" si="8"/>
        <v>0</v>
      </c>
      <c r="AE77" s="6">
        <f t="shared" si="9"/>
        <v>0</v>
      </c>
      <c r="AF77" s="4" t="s">
        <v>850</v>
      </c>
    </row>
    <row r="78" spans="1:32" ht="11.25" customHeight="1" x14ac:dyDescent="0.3">
      <c r="A78" s="4" t="s">
        <v>21</v>
      </c>
      <c r="B78" s="4" t="s">
        <v>39</v>
      </c>
      <c r="C78" s="4" t="s">
        <v>57</v>
      </c>
      <c r="D78" s="4" t="s">
        <v>25</v>
      </c>
      <c r="E78" s="4" t="s">
        <v>25</v>
      </c>
      <c r="F78" s="4" t="s">
        <v>25</v>
      </c>
      <c r="G78" s="4" t="s">
        <v>58</v>
      </c>
      <c r="H78" s="4" t="s">
        <v>25</v>
      </c>
      <c r="I78" s="5">
        <v>44621</v>
      </c>
      <c r="J78" s="6">
        <v>8780</v>
      </c>
      <c r="K78" s="6">
        <v>8780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4" t="s">
        <v>59</v>
      </c>
      <c r="R78" s="4">
        <v>109</v>
      </c>
      <c r="S78" s="4">
        <v>17</v>
      </c>
      <c r="T78" s="4">
        <v>0</v>
      </c>
      <c r="U78" s="4">
        <v>0</v>
      </c>
      <c r="V78" s="6">
        <f>IF(ISERROR(VLOOKUP($S$78,'TAR FIN'!$A$1:$O$113,15,0)),0,VLOOKUP($S$78,'TAR FIN'!$A$1:$O$113,15,0))</f>
        <v>3.27</v>
      </c>
      <c r="W78" s="6">
        <f>IF(ISERROR(VLOOKUP($T$78,'TAR FIN'!$A$1:$O$113,15,0)),0,VLOOKUP($T$78,'TAR FIN'!$A$1:$O$113,15,0))</f>
        <v>0</v>
      </c>
      <c r="X78" s="6">
        <f>IF(ISERROR(VLOOKUP($U$78,'TAR FIN'!$A$1:$O$113,15,0)),0,VLOOKUP($U$78,'TAR FIN'!$A$1:$O$113,15,0))</f>
        <v>0</v>
      </c>
      <c r="Y78" s="6">
        <f ca="1">('TUSD BE'!$AM$18+'TUSD BF'!$AM$18+'TUSD CVA'!$AM$18)*1</f>
        <v>3.7426028242520015</v>
      </c>
      <c r="Z78" s="6"/>
      <c r="AA78" s="6"/>
      <c r="AB78" s="6">
        <f t="shared" si="6"/>
        <v>0</v>
      </c>
      <c r="AC78" s="6">
        <f t="shared" si="7"/>
        <v>0</v>
      </c>
      <c r="AD78" s="6">
        <f t="shared" ca="1" si="8"/>
        <v>0</v>
      </c>
      <c r="AE78" s="6">
        <f t="shared" si="9"/>
        <v>0</v>
      </c>
      <c r="AF78" s="4" t="s">
        <v>850</v>
      </c>
    </row>
    <row r="79" spans="1:32" ht="11.25" customHeight="1" x14ac:dyDescent="0.3">
      <c r="A79" s="4" t="s">
        <v>21</v>
      </c>
      <c r="B79" s="4" t="s">
        <v>39</v>
      </c>
      <c r="C79" s="4" t="s">
        <v>57</v>
      </c>
      <c r="D79" s="4" t="s">
        <v>25</v>
      </c>
      <c r="E79" s="4" t="s">
        <v>25</v>
      </c>
      <c r="F79" s="4" t="s">
        <v>25</v>
      </c>
      <c r="G79" s="4" t="s">
        <v>58</v>
      </c>
      <c r="H79" s="4" t="s">
        <v>25</v>
      </c>
      <c r="I79" s="5">
        <v>44652</v>
      </c>
      <c r="J79" s="6">
        <v>8780</v>
      </c>
      <c r="K79" s="6">
        <v>8780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4" t="s">
        <v>59</v>
      </c>
      <c r="R79" s="4">
        <v>109</v>
      </c>
      <c r="S79" s="4">
        <v>17</v>
      </c>
      <c r="T79" s="4">
        <v>0</v>
      </c>
      <c r="U79" s="4">
        <v>0</v>
      </c>
      <c r="V79" s="6">
        <f>IF(ISERROR(VLOOKUP($S$79,'TAR FIN'!$A$1:$O$113,15,0)),0,VLOOKUP($S$79,'TAR FIN'!$A$1:$O$113,15,0))</f>
        <v>3.27</v>
      </c>
      <c r="W79" s="6">
        <f>IF(ISERROR(VLOOKUP($T$79,'TAR FIN'!$A$1:$O$113,15,0)),0,VLOOKUP($T$79,'TAR FIN'!$A$1:$O$113,15,0))</f>
        <v>0</v>
      </c>
      <c r="X79" s="6">
        <f>IF(ISERROR(VLOOKUP($U$79,'TAR FIN'!$A$1:$O$113,15,0)),0,VLOOKUP($U$79,'TAR FIN'!$A$1:$O$113,15,0))</f>
        <v>0</v>
      </c>
      <c r="Y79" s="6">
        <f ca="1">('TUSD BE'!$AM$18+'TUSD BF'!$AM$18+'TUSD CVA'!$AM$18)*1</f>
        <v>3.7426028242520015</v>
      </c>
      <c r="Z79" s="6"/>
      <c r="AA79" s="6"/>
      <c r="AB79" s="6">
        <f t="shared" si="6"/>
        <v>0</v>
      </c>
      <c r="AC79" s="6">
        <f t="shared" si="7"/>
        <v>0</v>
      </c>
      <c r="AD79" s="6">
        <f t="shared" ca="1" si="8"/>
        <v>0</v>
      </c>
      <c r="AE79" s="6">
        <f t="shared" si="9"/>
        <v>0</v>
      </c>
      <c r="AF79" s="4" t="s">
        <v>850</v>
      </c>
    </row>
    <row r="80" spans="1:32" ht="11.25" customHeight="1" x14ac:dyDescent="0.3">
      <c r="A80" s="4" t="s">
        <v>21</v>
      </c>
      <c r="B80" s="4" t="s">
        <v>39</v>
      </c>
      <c r="C80" s="4" t="s">
        <v>57</v>
      </c>
      <c r="D80" s="4" t="s">
        <v>25</v>
      </c>
      <c r="E80" s="4" t="s">
        <v>25</v>
      </c>
      <c r="F80" s="4" t="s">
        <v>25</v>
      </c>
      <c r="G80" s="4" t="s">
        <v>58</v>
      </c>
      <c r="H80" s="4" t="s">
        <v>25</v>
      </c>
      <c r="I80" s="5">
        <v>44682</v>
      </c>
      <c r="J80" s="6">
        <v>8780</v>
      </c>
      <c r="K80" s="6">
        <v>8780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4" t="s">
        <v>59</v>
      </c>
      <c r="R80" s="4">
        <v>109</v>
      </c>
      <c r="S80" s="4">
        <v>17</v>
      </c>
      <c r="T80" s="4">
        <v>0</v>
      </c>
      <c r="U80" s="4">
        <v>0</v>
      </c>
      <c r="V80" s="6">
        <f>IF(ISERROR(VLOOKUP($S$80,'TAR FIN'!$A$1:$O$113,15,0)),0,VLOOKUP($S$80,'TAR FIN'!$A$1:$O$113,15,0))</f>
        <v>3.27</v>
      </c>
      <c r="W80" s="6">
        <f>IF(ISERROR(VLOOKUP($T$80,'TAR FIN'!$A$1:$O$113,15,0)),0,VLOOKUP($T$80,'TAR FIN'!$A$1:$O$113,15,0))</f>
        <v>0</v>
      </c>
      <c r="X80" s="6">
        <f>IF(ISERROR(VLOOKUP($U$80,'TAR FIN'!$A$1:$O$113,15,0)),0,VLOOKUP($U$80,'TAR FIN'!$A$1:$O$113,15,0))</f>
        <v>0</v>
      </c>
      <c r="Y80" s="6">
        <f ca="1">('TUSD BE'!$AM$18+'TUSD BF'!$AM$18+'TUSD CVA'!$AM$18)*1</f>
        <v>3.7426028242520015</v>
      </c>
      <c r="Z80" s="6"/>
      <c r="AA80" s="6"/>
      <c r="AB80" s="6">
        <f t="shared" si="6"/>
        <v>0</v>
      </c>
      <c r="AC80" s="6">
        <f t="shared" si="7"/>
        <v>0</v>
      </c>
      <c r="AD80" s="6">
        <f t="shared" ca="1" si="8"/>
        <v>0</v>
      </c>
      <c r="AE80" s="6">
        <f t="shared" si="9"/>
        <v>0</v>
      </c>
      <c r="AF80" s="4" t="s">
        <v>850</v>
      </c>
    </row>
    <row r="81" spans="1:32" ht="11.25" customHeight="1" x14ac:dyDescent="0.3">
      <c r="A81" s="4" t="s">
        <v>21</v>
      </c>
      <c r="B81" s="4" t="s">
        <v>39</v>
      </c>
      <c r="C81" s="4" t="s">
        <v>57</v>
      </c>
      <c r="D81" s="4" t="s">
        <v>25</v>
      </c>
      <c r="E81" s="4" t="s">
        <v>25</v>
      </c>
      <c r="F81" s="4" t="s">
        <v>25</v>
      </c>
      <c r="G81" s="4" t="s">
        <v>58</v>
      </c>
      <c r="H81" s="4" t="s">
        <v>25</v>
      </c>
      <c r="I81" s="5">
        <v>44713</v>
      </c>
      <c r="J81" s="6">
        <v>8780</v>
      </c>
      <c r="K81" s="6">
        <v>8780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4" t="s">
        <v>59</v>
      </c>
      <c r="R81" s="4">
        <v>109</v>
      </c>
      <c r="S81" s="4">
        <v>17</v>
      </c>
      <c r="T81" s="4">
        <v>0</v>
      </c>
      <c r="U81" s="4">
        <v>0</v>
      </c>
      <c r="V81" s="6">
        <f>IF(ISERROR(VLOOKUP($S$81,'TAR FIN'!$A$1:$O$113,15,0)),0,VLOOKUP($S$81,'TAR FIN'!$A$1:$O$113,15,0))</f>
        <v>3.27</v>
      </c>
      <c r="W81" s="6">
        <f>IF(ISERROR(VLOOKUP($T$81,'TAR FIN'!$A$1:$O$113,15,0)),0,VLOOKUP($T$81,'TAR FIN'!$A$1:$O$113,15,0))</f>
        <v>0</v>
      </c>
      <c r="X81" s="6">
        <f>IF(ISERROR(VLOOKUP($U$81,'TAR FIN'!$A$1:$O$113,15,0)),0,VLOOKUP($U$81,'TAR FIN'!$A$1:$O$113,15,0))</f>
        <v>0</v>
      </c>
      <c r="Y81" s="6">
        <f ca="1">('TUSD BE'!$AM$18+'TUSD BF'!$AM$18+'TUSD CVA'!$AM$18)*1</f>
        <v>3.7426028242520015</v>
      </c>
      <c r="Z81" s="6"/>
      <c r="AA81" s="6"/>
      <c r="AB81" s="6">
        <f t="shared" si="6"/>
        <v>0</v>
      </c>
      <c r="AC81" s="6">
        <f t="shared" si="7"/>
        <v>0</v>
      </c>
      <c r="AD81" s="6">
        <f t="shared" ca="1" si="8"/>
        <v>0</v>
      </c>
      <c r="AE81" s="6">
        <f t="shared" si="9"/>
        <v>0</v>
      </c>
      <c r="AF81" s="4" t="s">
        <v>850</v>
      </c>
    </row>
    <row r="82" spans="1:32" ht="11.25" customHeight="1" x14ac:dyDescent="0.3">
      <c r="A82" s="4" t="s">
        <v>21</v>
      </c>
      <c r="B82" s="4" t="s">
        <v>39</v>
      </c>
      <c r="C82" s="4" t="s">
        <v>57</v>
      </c>
      <c r="D82" s="4" t="s">
        <v>25</v>
      </c>
      <c r="E82" s="4" t="s">
        <v>25</v>
      </c>
      <c r="F82" s="4" t="s">
        <v>25</v>
      </c>
      <c r="G82" s="4" t="s">
        <v>58</v>
      </c>
      <c r="H82" s="4" t="s">
        <v>25</v>
      </c>
      <c r="I82" s="5">
        <v>44743</v>
      </c>
      <c r="J82" s="6">
        <v>8780</v>
      </c>
      <c r="K82" s="6">
        <v>8780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4" t="s">
        <v>59</v>
      </c>
      <c r="R82" s="4">
        <v>109</v>
      </c>
      <c r="S82" s="4">
        <v>17</v>
      </c>
      <c r="T82" s="4">
        <v>0</v>
      </c>
      <c r="U82" s="4">
        <v>0</v>
      </c>
      <c r="V82" s="6">
        <f>IF(ISERROR(VLOOKUP($S$82,'TAR FIN'!$A$1:$O$113,15,0)),0,VLOOKUP($S$82,'TAR FIN'!$A$1:$O$113,15,0))</f>
        <v>3.27</v>
      </c>
      <c r="W82" s="6">
        <f>IF(ISERROR(VLOOKUP($T$82,'TAR FIN'!$A$1:$O$113,15,0)),0,VLOOKUP($T$82,'TAR FIN'!$A$1:$O$113,15,0))</f>
        <v>0</v>
      </c>
      <c r="X82" s="6">
        <f>IF(ISERROR(VLOOKUP($U$82,'TAR FIN'!$A$1:$O$113,15,0)),0,VLOOKUP($U$82,'TAR FIN'!$A$1:$O$113,15,0))</f>
        <v>0</v>
      </c>
      <c r="Y82" s="6">
        <f ca="1">('TUSD BE'!$AM$18+'TUSD BF'!$AM$18+'TUSD CVA'!$AM$18)*1</f>
        <v>3.7426028242520015</v>
      </c>
      <c r="Z82" s="6"/>
      <c r="AA82" s="6"/>
      <c r="AB82" s="6">
        <f t="shared" si="6"/>
        <v>0</v>
      </c>
      <c r="AC82" s="6">
        <f t="shared" si="7"/>
        <v>0</v>
      </c>
      <c r="AD82" s="6">
        <f t="shared" ca="1" si="8"/>
        <v>0</v>
      </c>
      <c r="AE82" s="6">
        <f t="shared" si="9"/>
        <v>0</v>
      </c>
      <c r="AF82" s="4" t="s">
        <v>850</v>
      </c>
    </row>
    <row r="83" spans="1:32" ht="11.25" customHeight="1" x14ac:dyDescent="0.3">
      <c r="A83" s="4" t="s">
        <v>21</v>
      </c>
      <c r="B83" s="4" t="s">
        <v>39</v>
      </c>
      <c r="C83" s="4" t="s">
        <v>57</v>
      </c>
      <c r="D83" s="4" t="s">
        <v>25</v>
      </c>
      <c r="E83" s="4" t="s">
        <v>25</v>
      </c>
      <c r="F83" s="4" t="s">
        <v>25</v>
      </c>
      <c r="G83" s="4" t="s">
        <v>58</v>
      </c>
      <c r="H83" s="4" t="s">
        <v>25</v>
      </c>
      <c r="I83" s="5">
        <v>44774</v>
      </c>
      <c r="J83" s="6">
        <v>8780</v>
      </c>
      <c r="K83" s="6">
        <v>8780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4" t="s">
        <v>59</v>
      </c>
      <c r="R83" s="4">
        <v>109</v>
      </c>
      <c r="S83" s="4">
        <v>17</v>
      </c>
      <c r="T83" s="4">
        <v>0</v>
      </c>
      <c r="U83" s="4">
        <v>0</v>
      </c>
      <c r="V83" s="6">
        <f>IF(ISERROR(VLOOKUP($S$83,'TAR FIN'!$A$1:$O$113,15,0)),0,VLOOKUP($S$83,'TAR FIN'!$A$1:$O$113,15,0))</f>
        <v>3.27</v>
      </c>
      <c r="W83" s="6">
        <f>IF(ISERROR(VLOOKUP($T$83,'TAR FIN'!$A$1:$O$113,15,0)),0,VLOOKUP($T$83,'TAR FIN'!$A$1:$O$113,15,0))</f>
        <v>0</v>
      </c>
      <c r="X83" s="6">
        <f>IF(ISERROR(VLOOKUP($U$83,'TAR FIN'!$A$1:$O$113,15,0)),0,VLOOKUP($U$83,'TAR FIN'!$A$1:$O$113,15,0))</f>
        <v>0</v>
      </c>
      <c r="Y83" s="6">
        <f ca="1">('TUSD BE'!$AM$18+'TUSD BF'!$AM$18+'TUSD CVA'!$AM$18)*1</f>
        <v>3.7426028242520015</v>
      </c>
      <c r="Z83" s="6"/>
      <c r="AA83" s="6"/>
      <c r="AB83" s="6">
        <f t="shared" si="6"/>
        <v>0</v>
      </c>
      <c r="AC83" s="6">
        <f t="shared" si="7"/>
        <v>0</v>
      </c>
      <c r="AD83" s="6">
        <f t="shared" ca="1" si="8"/>
        <v>0</v>
      </c>
      <c r="AE83" s="6">
        <f t="shared" si="9"/>
        <v>0</v>
      </c>
      <c r="AF83" s="4" t="s">
        <v>850</v>
      </c>
    </row>
    <row r="84" spans="1:32" ht="11.25" customHeight="1" x14ac:dyDescent="0.3">
      <c r="A84" s="4" t="s">
        <v>21</v>
      </c>
      <c r="B84" s="4" t="s">
        <v>39</v>
      </c>
      <c r="C84" s="4" t="s">
        <v>57</v>
      </c>
      <c r="D84" s="4" t="s">
        <v>25</v>
      </c>
      <c r="E84" s="4" t="s">
        <v>25</v>
      </c>
      <c r="F84" s="4" t="s">
        <v>25</v>
      </c>
      <c r="G84" s="4" t="s">
        <v>58</v>
      </c>
      <c r="H84" s="4" t="s">
        <v>25</v>
      </c>
      <c r="I84" s="5">
        <v>44805</v>
      </c>
      <c r="J84" s="6">
        <v>8780</v>
      </c>
      <c r="K84" s="6">
        <v>8780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4" t="s">
        <v>59</v>
      </c>
      <c r="R84" s="4">
        <v>109</v>
      </c>
      <c r="S84" s="4">
        <v>17</v>
      </c>
      <c r="T84" s="4">
        <v>0</v>
      </c>
      <c r="U84" s="4">
        <v>0</v>
      </c>
      <c r="V84" s="6">
        <f>IF(ISERROR(VLOOKUP($S$84,'TAR FIN'!$A$1:$O$113,15,0)),0,VLOOKUP($S$84,'TAR FIN'!$A$1:$O$113,15,0))</f>
        <v>3.27</v>
      </c>
      <c r="W84" s="6">
        <f>IF(ISERROR(VLOOKUP($T$84,'TAR FIN'!$A$1:$O$113,15,0)),0,VLOOKUP($T$84,'TAR FIN'!$A$1:$O$113,15,0))</f>
        <v>0</v>
      </c>
      <c r="X84" s="6">
        <f>IF(ISERROR(VLOOKUP($U$84,'TAR FIN'!$A$1:$O$113,15,0)),0,VLOOKUP($U$84,'TAR FIN'!$A$1:$O$113,15,0))</f>
        <v>0</v>
      </c>
      <c r="Y84" s="6">
        <f ca="1">('TUSD BE'!$AM$18+'TUSD BF'!$AM$18+'TUSD CVA'!$AM$18)*1</f>
        <v>3.7426028242520015</v>
      </c>
      <c r="Z84" s="6"/>
      <c r="AA84" s="6"/>
      <c r="AB84" s="6">
        <f t="shared" si="6"/>
        <v>0</v>
      </c>
      <c r="AC84" s="6">
        <f t="shared" si="7"/>
        <v>0</v>
      </c>
      <c r="AD84" s="6">
        <f t="shared" ca="1" si="8"/>
        <v>0</v>
      </c>
      <c r="AE84" s="6">
        <f t="shared" si="9"/>
        <v>0</v>
      </c>
      <c r="AF84" s="4" t="s">
        <v>850</v>
      </c>
    </row>
    <row r="85" spans="1:32" ht="11.25" customHeight="1" x14ac:dyDescent="0.3">
      <c r="A85" s="4" t="s">
        <v>53</v>
      </c>
      <c r="B85" s="4" t="s">
        <v>39</v>
      </c>
      <c r="C85" s="4" t="s">
        <v>57</v>
      </c>
      <c r="D85" s="4" t="s">
        <v>25</v>
      </c>
      <c r="E85" s="4" t="s">
        <v>25</v>
      </c>
      <c r="F85" s="4" t="s">
        <v>25</v>
      </c>
      <c r="G85" s="4" t="s">
        <v>58</v>
      </c>
      <c r="H85" s="4" t="s">
        <v>25</v>
      </c>
      <c r="I85" s="5">
        <v>44835</v>
      </c>
      <c r="J85" s="6">
        <v>8780</v>
      </c>
      <c r="K85" s="6">
        <v>8780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4" t="s">
        <v>59</v>
      </c>
      <c r="R85" s="4">
        <v>109</v>
      </c>
      <c r="S85" s="4">
        <v>17</v>
      </c>
      <c r="T85" s="4">
        <v>0</v>
      </c>
      <c r="U85" s="4">
        <v>0</v>
      </c>
      <c r="V85" s="6">
        <f>IF(ISERROR(VLOOKUP($S$85,'TAR FIN'!$A$1:$O$113,15,0)),0,VLOOKUP($S$85,'TAR FIN'!$A$1:$O$113,15,0))</f>
        <v>3.27</v>
      </c>
      <c r="W85" s="6">
        <f>IF(ISERROR(VLOOKUP($T$85,'TAR FIN'!$A$1:$O$113,15,0)),0,VLOOKUP($T$85,'TAR FIN'!$A$1:$O$113,15,0))</f>
        <v>0</v>
      </c>
      <c r="X85" s="6">
        <f>IF(ISERROR(VLOOKUP($U$85,'TAR FIN'!$A$1:$O$113,15,0)),0,VLOOKUP($U$85,'TAR FIN'!$A$1:$O$113,15,0))</f>
        <v>0</v>
      </c>
      <c r="Y85" s="6">
        <f ca="1">('TUSD BE'!$AM$18+'TUSD BF'!$AM$18+'TUSD CVA'!$AM$18)*1</f>
        <v>3.7426028242520015</v>
      </c>
      <c r="Z85" s="6"/>
      <c r="AA85" s="6"/>
      <c r="AB85" s="6">
        <f t="shared" si="6"/>
        <v>0</v>
      </c>
      <c r="AC85" s="6">
        <f t="shared" si="7"/>
        <v>0</v>
      </c>
      <c r="AD85" s="6">
        <f t="shared" ca="1" si="8"/>
        <v>0</v>
      </c>
      <c r="AE85" s="6">
        <f t="shared" si="9"/>
        <v>0</v>
      </c>
      <c r="AF85" s="4" t="s">
        <v>850</v>
      </c>
    </row>
    <row r="86" spans="1:32" ht="11.25" customHeight="1" x14ac:dyDescent="0.3">
      <c r="A86" s="4" t="s">
        <v>21</v>
      </c>
      <c r="B86" s="4" t="s">
        <v>39</v>
      </c>
      <c r="C86" s="4" t="s">
        <v>41</v>
      </c>
      <c r="D86" s="4" t="s">
        <v>38</v>
      </c>
      <c r="E86" s="4" t="s">
        <v>25</v>
      </c>
      <c r="F86" s="4" t="s">
        <v>56</v>
      </c>
      <c r="G86" s="4" t="s">
        <v>25</v>
      </c>
      <c r="H86" s="4" t="s">
        <v>35</v>
      </c>
      <c r="I86" s="5">
        <v>44501</v>
      </c>
      <c r="J86" s="6">
        <v>0</v>
      </c>
      <c r="K86" s="6">
        <v>0</v>
      </c>
      <c r="L86" s="6">
        <v>1753.7190000000001</v>
      </c>
      <c r="M86" s="6">
        <v>1753.7190000000001</v>
      </c>
      <c r="N86" s="6">
        <v>0</v>
      </c>
      <c r="O86" s="6">
        <v>0</v>
      </c>
      <c r="P86" s="6">
        <v>0</v>
      </c>
      <c r="Q86" s="4" t="s">
        <v>55</v>
      </c>
      <c r="R86" s="4">
        <v>0</v>
      </c>
      <c r="S86" s="4">
        <v>0</v>
      </c>
      <c r="T86" s="4">
        <v>6</v>
      </c>
      <c r="U86" s="4">
        <v>0</v>
      </c>
      <c r="V86" s="6">
        <f>IF(ISERROR(VLOOKUP($S$86,'TAR FIN'!$A$1:$O$113,15,0)),0,VLOOKUP($S$86,'TAR FIN'!$A$1:$O$113,15,0))</f>
        <v>0</v>
      </c>
      <c r="W86" s="6">
        <f>IF(ISERROR(VLOOKUP($T$86,'TAR FIN'!$A$1:$O$113,15,0)),0,VLOOKUP($T$86,'TAR FIN'!$A$1:$O$113,15,0))</f>
        <v>72.150000000000006</v>
      </c>
      <c r="X86" s="6">
        <f>IF(ISERROR(VLOOKUP($U$86,'TAR FIN'!$A$1:$O$113,15,0)),0,VLOOKUP($U$86,'TAR FIN'!$A$1:$O$113,15,0))</f>
        <v>0</v>
      </c>
      <c r="Y86" s="6"/>
      <c r="Z86" s="6">
        <f ca="1">('TUSD BE'!$AM$21+'TUSD BF'!$AM$21+'TUSD CVA'!$AM$21)*1</f>
        <v>122.14055331663396</v>
      </c>
      <c r="AA86" s="6"/>
      <c r="AB86" s="6">
        <f t="shared" si="6"/>
        <v>0</v>
      </c>
      <c r="AC86" s="6">
        <f t="shared" si="7"/>
        <v>0</v>
      </c>
      <c r="AD86" s="6">
        <f t="shared" si="8"/>
        <v>0</v>
      </c>
      <c r="AE86" s="6">
        <f t="shared" ca="1" si="9"/>
        <v>0</v>
      </c>
      <c r="AF86" s="4" t="s">
        <v>851</v>
      </c>
    </row>
    <row r="87" spans="1:32" ht="11.25" customHeight="1" x14ac:dyDescent="0.3">
      <c r="A87" s="4" t="s">
        <v>21</v>
      </c>
      <c r="B87" s="4" t="s">
        <v>39</v>
      </c>
      <c r="C87" s="4" t="s">
        <v>41</v>
      </c>
      <c r="D87" s="4" t="s">
        <v>38</v>
      </c>
      <c r="E87" s="4" t="s">
        <v>25</v>
      </c>
      <c r="F87" s="4" t="s">
        <v>56</v>
      </c>
      <c r="G87" s="4" t="s">
        <v>25</v>
      </c>
      <c r="H87" s="4" t="s">
        <v>35</v>
      </c>
      <c r="I87" s="5">
        <v>44531</v>
      </c>
      <c r="J87" s="6">
        <v>0</v>
      </c>
      <c r="K87" s="6">
        <v>0</v>
      </c>
      <c r="L87" s="6">
        <v>1678.8050000000001</v>
      </c>
      <c r="M87" s="6">
        <v>1678.8050000000001</v>
      </c>
      <c r="N87" s="6">
        <v>0</v>
      </c>
      <c r="O87" s="6">
        <v>0</v>
      </c>
      <c r="P87" s="6">
        <v>0</v>
      </c>
      <c r="Q87" s="4" t="s">
        <v>55</v>
      </c>
      <c r="R87" s="4">
        <v>0</v>
      </c>
      <c r="S87" s="4">
        <v>0</v>
      </c>
      <c r="T87" s="4">
        <v>6</v>
      </c>
      <c r="U87" s="4">
        <v>0</v>
      </c>
      <c r="V87" s="6">
        <f>IF(ISERROR(VLOOKUP($S$87,'TAR FIN'!$A$1:$O$113,15,0)),0,VLOOKUP($S$87,'TAR FIN'!$A$1:$O$113,15,0))</f>
        <v>0</v>
      </c>
      <c r="W87" s="6">
        <f>IF(ISERROR(VLOOKUP($T$87,'TAR FIN'!$A$1:$O$113,15,0)),0,VLOOKUP($T$87,'TAR FIN'!$A$1:$O$113,15,0))</f>
        <v>72.150000000000006</v>
      </c>
      <c r="X87" s="6">
        <f>IF(ISERROR(VLOOKUP($U$87,'TAR FIN'!$A$1:$O$113,15,0)),0,VLOOKUP($U$87,'TAR FIN'!$A$1:$O$113,15,0))</f>
        <v>0</v>
      </c>
      <c r="Y87" s="6"/>
      <c r="Z87" s="6">
        <f ca="1">('TUSD BE'!$AM$21+'TUSD BF'!$AM$21+'TUSD CVA'!$AM$21)*1</f>
        <v>122.14055331663396</v>
      </c>
      <c r="AA87" s="6"/>
      <c r="AB87" s="6">
        <f t="shared" si="6"/>
        <v>0</v>
      </c>
      <c r="AC87" s="6">
        <f t="shared" si="7"/>
        <v>0</v>
      </c>
      <c r="AD87" s="6">
        <f t="shared" si="8"/>
        <v>0</v>
      </c>
      <c r="AE87" s="6">
        <f t="shared" ca="1" si="9"/>
        <v>0</v>
      </c>
      <c r="AF87" s="4" t="s">
        <v>851</v>
      </c>
    </row>
    <row r="88" spans="1:32" ht="11.25" customHeight="1" x14ac:dyDescent="0.3">
      <c r="A88" s="4" t="s">
        <v>21</v>
      </c>
      <c r="B88" s="4" t="s">
        <v>39</v>
      </c>
      <c r="C88" s="4" t="s">
        <v>41</v>
      </c>
      <c r="D88" s="4" t="s">
        <v>38</v>
      </c>
      <c r="E88" s="4" t="s">
        <v>25</v>
      </c>
      <c r="F88" s="4" t="s">
        <v>56</v>
      </c>
      <c r="G88" s="4" t="s">
        <v>25</v>
      </c>
      <c r="H88" s="4" t="s">
        <v>35</v>
      </c>
      <c r="I88" s="5">
        <v>44562</v>
      </c>
      <c r="J88" s="6">
        <v>0</v>
      </c>
      <c r="K88" s="6">
        <v>0</v>
      </c>
      <c r="L88" s="6">
        <v>1693.835</v>
      </c>
      <c r="M88" s="6">
        <v>1693.835</v>
      </c>
      <c r="N88" s="6">
        <v>0</v>
      </c>
      <c r="O88" s="6">
        <v>0</v>
      </c>
      <c r="P88" s="6">
        <v>0</v>
      </c>
      <c r="Q88" s="4" t="s">
        <v>55</v>
      </c>
      <c r="R88" s="4">
        <v>0</v>
      </c>
      <c r="S88" s="4">
        <v>0</v>
      </c>
      <c r="T88" s="4">
        <v>6</v>
      </c>
      <c r="U88" s="4">
        <v>0</v>
      </c>
      <c r="V88" s="6">
        <f>IF(ISERROR(VLOOKUP($S$88,'TAR FIN'!$A$1:$O$113,15,0)),0,VLOOKUP($S$88,'TAR FIN'!$A$1:$O$113,15,0))</f>
        <v>0</v>
      </c>
      <c r="W88" s="6">
        <f>IF(ISERROR(VLOOKUP($T$88,'TAR FIN'!$A$1:$O$113,15,0)),0,VLOOKUP($T$88,'TAR FIN'!$A$1:$O$113,15,0))</f>
        <v>72.150000000000006</v>
      </c>
      <c r="X88" s="6">
        <f>IF(ISERROR(VLOOKUP($U$88,'TAR FIN'!$A$1:$O$113,15,0)),0,VLOOKUP($U$88,'TAR FIN'!$A$1:$O$113,15,0))</f>
        <v>0</v>
      </c>
      <c r="Y88" s="6"/>
      <c r="Z88" s="6">
        <f ca="1">('TUSD BE'!$AM$21+'TUSD BF'!$AM$21+'TUSD CVA'!$AM$21)*1</f>
        <v>122.14055331663396</v>
      </c>
      <c r="AA88" s="6"/>
      <c r="AB88" s="6">
        <f t="shared" si="6"/>
        <v>0</v>
      </c>
      <c r="AC88" s="6">
        <f t="shared" si="7"/>
        <v>0</v>
      </c>
      <c r="AD88" s="6">
        <f t="shared" si="8"/>
        <v>0</v>
      </c>
      <c r="AE88" s="6">
        <f t="shared" ca="1" si="9"/>
        <v>0</v>
      </c>
      <c r="AF88" s="4" t="s">
        <v>851</v>
      </c>
    </row>
    <row r="89" spans="1:32" ht="11.25" customHeight="1" x14ac:dyDescent="0.3">
      <c r="A89" s="4" t="s">
        <v>21</v>
      </c>
      <c r="B89" s="4" t="s">
        <v>39</v>
      </c>
      <c r="C89" s="4" t="s">
        <v>41</v>
      </c>
      <c r="D89" s="4" t="s">
        <v>38</v>
      </c>
      <c r="E89" s="4" t="s">
        <v>25</v>
      </c>
      <c r="F89" s="4" t="s">
        <v>56</v>
      </c>
      <c r="G89" s="4" t="s">
        <v>25</v>
      </c>
      <c r="H89" s="4" t="s">
        <v>35</v>
      </c>
      <c r="I89" s="5">
        <v>44593</v>
      </c>
      <c r="J89" s="6">
        <v>0</v>
      </c>
      <c r="K89" s="6">
        <v>0</v>
      </c>
      <c r="L89" s="6">
        <v>1820.998</v>
      </c>
      <c r="M89" s="6">
        <v>1820.998</v>
      </c>
      <c r="N89" s="6">
        <v>0</v>
      </c>
      <c r="O89" s="6">
        <v>0</v>
      </c>
      <c r="P89" s="6">
        <v>0</v>
      </c>
      <c r="Q89" s="4" t="s">
        <v>55</v>
      </c>
      <c r="R89" s="4">
        <v>0</v>
      </c>
      <c r="S89" s="4">
        <v>0</v>
      </c>
      <c r="T89" s="4">
        <v>6</v>
      </c>
      <c r="U89" s="4">
        <v>0</v>
      </c>
      <c r="V89" s="6">
        <f>IF(ISERROR(VLOOKUP($S$89,'TAR FIN'!$A$1:$O$113,15,0)),0,VLOOKUP($S$89,'TAR FIN'!$A$1:$O$113,15,0))</f>
        <v>0</v>
      </c>
      <c r="W89" s="6">
        <f>IF(ISERROR(VLOOKUP($T$89,'TAR FIN'!$A$1:$O$113,15,0)),0,VLOOKUP($T$89,'TAR FIN'!$A$1:$O$113,15,0))</f>
        <v>72.150000000000006</v>
      </c>
      <c r="X89" s="6">
        <f>IF(ISERROR(VLOOKUP($U$89,'TAR FIN'!$A$1:$O$113,15,0)),0,VLOOKUP($U$89,'TAR FIN'!$A$1:$O$113,15,0))</f>
        <v>0</v>
      </c>
      <c r="Y89" s="6"/>
      <c r="Z89" s="6">
        <f ca="1">('TUSD BE'!$AM$21+'TUSD BF'!$AM$21+'TUSD CVA'!$AM$21)*1</f>
        <v>122.14055331663396</v>
      </c>
      <c r="AA89" s="6"/>
      <c r="AB89" s="6">
        <f t="shared" si="6"/>
        <v>0</v>
      </c>
      <c r="AC89" s="6">
        <f t="shared" si="7"/>
        <v>0</v>
      </c>
      <c r="AD89" s="6">
        <f t="shared" si="8"/>
        <v>0</v>
      </c>
      <c r="AE89" s="6">
        <f t="shared" ca="1" si="9"/>
        <v>0</v>
      </c>
      <c r="AF89" s="4" t="s">
        <v>851</v>
      </c>
    </row>
    <row r="90" spans="1:32" ht="11.25" customHeight="1" x14ac:dyDescent="0.3">
      <c r="A90" s="4" t="s">
        <v>21</v>
      </c>
      <c r="B90" s="4" t="s">
        <v>39</v>
      </c>
      <c r="C90" s="4" t="s">
        <v>41</v>
      </c>
      <c r="D90" s="4" t="s">
        <v>38</v>
      </c>
      <c r="E90" s="4" t="s">
        <v>25</v>
      </c>
      <c r="F90" s="4" t="s">
        <v>56</v>
      </c>
      <c r="G90" s="4" t="s">
        <v>25</v>
      </c>
      <c r="H90" s="4" t="s">
        <v>35</v>
      </c>
      <c r="I90" s="5">
        <v>44621</v>
      </c>
      <c r="J90" s="6">
        <v>0</v>
      </c>
      <c r="K90" s="6">
        <v>0</v>
      </c>
      <c r="L90" s="6">
        <v>1778.502</v>
      </c>
      <c r="M90" s="6">
        <v>1778.502</v>
      </c>
      <c r="N90" s="6">
        <v>0</v>
      </c>
      <c r="O90" s="6">
        <v>0</v>
      </c>
      <c r="P90" s="6">
        <v>0</v>
      </c>
      <c r="Q90" s="4" t="s">
        <v>55</v>
      </c>
      <c r="R90" s="4">
        <v>0</v>
      </c>
      <c r="S90" s="4">
        <v>0</v>
      </c>
      <c r="T90" s="4">
        <v>6</v>
      </c>
      <c r="U90" s="4">
        <v>0</v>
      </c>
      <c r="V90" s="6">
        <f>IF(ISERROR(VLOOKUP($S$90,'TAR FIN'!$A$1:$O$113,15,0)),0,VLOOKUP($S$90,'TAR FIN'!$A$1:$O$113,15,0))</f>
        <v>0</v>
      </c>
      <c r="W90" s="6">
        <f>IF(ISERROR(VLOOKUP($T$90,'TAR FIN'!$A$1:$O$113,15,0)),0,VLOOKUP($T$90,'TAR FIN'!$A$1:$O$113,15,0))</f>
        <v>72.150000000000006</v>
      </c>
      <c r="X90" s="6">
        <f>IF(ISERROR(VLOOKUP($U$90,'TAR FIN'!$A$1:$O$113,15,0)),0,VLOOKUP($U$90,'TAR FIN'!$A$1:$O$113,15,0))</f>
        <v>0</v>
      </c>
      <c r="Y90" s="6"/>
      <c r="Z90" s="6">
        <f ca="1">('TUSD BE'!$AM$21+'TUSD BF'!$AM$21+'TUSD CVA'!$AM$21)*1</f>
        <v>122.14055331663396</v>
      </c>
      <c r="AA90" s="6"/>
      <c r="AB90" s="6">
        <f t="shared" si="6"/>
        <v>0</v>
      </c>
      <c r="AC90" s="6">
        <f t="shared" si="7"/>
        <v>0</v>
      </c>
      <c r="AD90" s="6">
        <f t="shared" si="8"/>
        <v>0</v>
      </c>
      <c r="AE90" s="6">
        <f t="shared" ca="1" si="9"/>
        <v>0</v>
      </c>
      <c r="AF90" s="4" t="s">
        <v>851</v>
      </c>
    </row>
    <row r="91" spans="1:32" ht="11.25" customHeight="1" x14ac:dyDescent="0.3">
      <c r="A91" s="4" t="s">
        <v>21</v>
      </c>
      <c r="B91" s="4" t="s">
        <v>39</v>
      </c>
      <c r="C91" s="4" t="s">
        <v>41</v>
      </c>
      <c r="D91" s="4" t="s">
        <v>38</v>
      </c>
      <c r="E91" s="4" t="s">
        <v>25</v>
      </c>
      <c r="F91" s="4" t="s">
        <v>56</v>
      </c>
      <c r="G91" s="4" t="s">
        <v>25</v>
      </c>
      <c r="H91" s="4" t="s">
        <v>35</v>
      </c>
      <c r="I91" s="5">
        <v>44652</v>
      </c>
      <c r="J91" s="6">
        <v>0</v>
      </c>
      <c r="K91" s="6">
        <v>0</v>
      </c>
      <c r="L91" s="6">
        <v>2134.7739999999999</v>
      </c>
      <c r="M91" s="6">
        <v>2134.7739999999999</v>
      </c>
      <c r="N91" s="6">
        <v>0</v>
      </c>
      <c r="O91" s="6">
        <v>0</v>
      </c>
      <c r="P91" s="6">
        <v>0</v>
      </c>
      <c r="Q91" s="4" t="s">
        <v>55</v>
      </c>
      <c r="R91" s="4">
        <v>0</v>
      </c>
      <c r="S91" s="4">
        <v>0</v>
      </c>
      <c r="T91" s="4">
        <v>6</v>
      </c>
      <c r="U91" s="4">
        <v>0</v>
      </c>
      <c r="V91" s="6">
        <f>IF(ISERROR(VLOOKUP($S$91,'TAR FIN'!$A$1:$O$113,15,0)),0,VLOOKUP($S$91,'TAR FIN'!$A$1:$O$113,15,0))</f>
        <v>0</v>
      </c>
      <c r="W91" s="6">
        <f>IF(ISERROR(VLOOKUP($T$91,'TAR FIN'!$A$1:$O$113,15,0)),0,VLOOKUP($T$91,'TAR FIN'!$A$1:$O$113,15,0))</f>
        <v>72.150000000000006</v>
      </c>
      <c r="X91" s="6">
        <f>IF(ISERROR(VLOOKUP($U$91,'TAR FIN'!$A$1:$O$113,15,0)),0,VLOOKUP($U$91,'TAR FIN'!$A$1:$O$113,15,0))</f>
        <v>0</v>
      </c>
      <c r="Y91" s="6"/>
      <c r="Z91" s="6">
        <f ca="1">('TUSD BE'!$AM$21+'TUSD BF'!$AM$21+'TUSD CVA'!$AM$21)*1</f>
        <v>122.14055331663396</v>
      </c>
      <c r="AA91" s="6"/>
      <c r="AB91" s="6">
        <f t="shared" si="6"/>
        <v>0</v>
      </c>
      <c r="AC91" s="6">
        <f t="shared" si="7"/>
        <v>0</v>
      </c>
      <c r="AD91" s="6">
        <f t="shared" si="8"/>
        <v>0</v>
      </c>
      <c r="AE91" s="6">
        <f t="shared" ca="1" si="9"/>
        <v>0</v>
      </c>
      <c r="AF91" s="4" t="s">
        <v>851</v>
      </c>
    </row>
    <row r="92" spans="1:32" ht="11.25" customHeight="1" x14ac:dyDescent="0.3">
      <c r="A92" s="4" t="s">
        <v>21</v>
      </c>
      <c r="B92" s="4" t="s">
        <v>39</v>
      </c>
      <c r="C92" s="4" t="s">
        <v>41</v>
      </c>
      <c r="D92" s="4" t="s">
        <v>38</v>
      </c>
      <c r="E92" s="4" t="s">
        <v>25</v>
      </c>
      <c r="F92" s="4" t="s">
        <v>56</v>
      </c>
      <c r="G92" s="4" t="s">
        <v>25</v>
      </c>
      <c r="H92" s="4" t="s">
        <v>35</v>
      </c>
      <c r="I92" s="5">
        <v>44682</v>
      </c>
      <c r="J92" s="6">
        <v>0</v>
      </c>
      <c r="K92" s="6">
        <v>0</v>
      </c>
      <c r="L92" s="6">
        <v>1901.9580000000001</v>
      </c>
      <c r="M92" s="6">
        <v>1901.9580000000001</v>
      </c>
      <c r="N92" s="6">
        <v>0</v>
      </c>
      <c r="O92" s="6">
        <v>0</v>
      </c>
      <c r="P92" s="6">
        <v>0</v>
      </c>
      <c r="Q92" s="4" t="s">
        <v>55</v>
      </c>
      <c r="R92" s="4">
        <v>0</v>
      </c>
      <c r="S92" s="4">
        <v>0</v>
      </c>
      <c r="T92" s="4">
        <v>6</v>
      </c>
      <c r="U92" s="4">
        <v>0</v>
      </c>
      <c r="V92" s="6">
        <f>IF(ISERROR(VLOOKUP($S$92,'TAR FIN'!$A$1:$O$113,15,0)),0,VLOOKUP($S$92,'TAR FIN'!$A$1:$O$113,15,0))</f>
        <v>0</v>
      </c>
      <c r="W92" s="6">
        <f>IF(ISERROR(VLOOKUP($T$92,'TAR FIN'!$A$1:$O$113,15,0)),0,VLOOKUP($T$92,'TAR FIN'!$A$1:$O$113,15,0))</f>
        <v>72.150000000000006</v>
      </c>
      <c r="X92" s="6">
        <f>IF(ISERROR(VLOOKUP($U$92,'TAR FIN'!$A$1:$O$113,15,0)),0,VLOOKUP($U$92,'TAR FIN'!$A$1:$O$113,15,0))</f>
        <v>0</v>
      </c>
      <c r="Y92" s="6"/>
      <c r="Z92" s="6">
        <f ca="1">('TUSD BE'!$AM$21+'TUSD BF'!$AM$21+'TUSD CVA'!$AM$21)*1</f>
        <v>122.14055331663396</v>
      </c>
      <c r="AA92" s="6"/>
      <c r="AB92" s="6">
        <f t="shared" si="6"/>
        <v>0</v>
      </c>
      <c r="AC92" s="6">
        <f t="shared" si="7"/>
        <v>0</v>
      </c>
      <c r="AD92" s="6">
        <f t="shared" si="8"/>
        <v>0</v>
      </c>
      <c r="AE92" s="6">
        <f t="shared" ca="1" si="9"/>
        <v>0</v>
      </c>
      <c r="AF92" s="4" t="s">
        <v>851</v>
      </c>
    </row>
    <row r="93" spans="1:32" ht="11.25" customHeight="1" x14ac:dyDescent="0.3">
      <c r="A93" s="4" t="s">
        <v>21</v>
      </c>
      <c r="B93" s="4" t="s">
        <v>39</v>
      </c>
      <c r="C93" s="4" t="s">
        <v>41</v>
      </c>
      <c r="D93" s="4" t="s">
        <v>38</v>
      </c>
      <c r="E93" s="4" t="s">
        <v>25</v>
      </c>
      <c r="F93" s="4" t="s">
        <v>56</v>
      </c>
      <c r="G93" s="4" t="s">
        <v>25</v>
      </c>
      <c r="H93" s="4" t="s">
        <v>35</v>
      </c>
      <c r="I93" s="5">
        <v>44713</v>
      </c>
      <c r="J93" s="6">
        <v>0</v>
      </c>
      <c r="K93" s="6">
        <v>0</v>
      </c>
      <c r="L93" s="6">
        <v>1849.085</v>
      </c>
      <c r="M93" s="6">
        <v>1849.085</v>
      </c>
      <c r="N93" s="6">
        <v>0</v>
      </c>
      <c r="O93" s="6">
        <v>0</v>
      </c>
      <c r="P93" s="6">
        <v>0</v>
      </c>
      <c r="Q93" s="4" t="s">
        <v>55</v>
      </c>
      <c r="R93" s="4">
        <v>0</v>
      </c>
      <c r="S93" s="4">
        <v>0</v>
      </c>
      <c r="T93" s="4">
        <v>6</v>
      </c>
      <c r="U93" s="4">
        <v>0</v>
      </c>
      <c r="V93" s="6">
        <f>IF(ISERROR(VLOOKUP($S$93,'TAR FIN'!$A$1:$O$113,15,0)),0,VLOOKUP($S$93,'TAR FIN'!$A$1:$O$113,15,0))</f>
        <v>0</v>
      </c>
      <c r="W93" s="6">
        <f>IF(ISERROR(VLOOKUP($T$93,'TAR FIN'!$A$1:$O$113,15,0)),0,VLOOKUP($T$93,'TAR FIN'!$A$1:$O$113,15,0))</f>
        <v>72.150000000000006</v>
      </c>
      <c r="X93" s="6">
        <f>IF(ISERROR(VLOOKUP($U$93,'TAR FIN'!$A$1:$O$113,15,0)),0,VLOOKUP($U$93,'TAR FIN'!$A$1:$O$113,15,0))</f>
        <v>0</v>
      </c>
      <c r="Y93" s="6"/>
      <c r="Z93" s="6">
        <f ca="1">('TUSD BE'!$AM$21+'TUSD BF'!$AM$21+'TUSD CVA'!$AM$21)*1</f>
        <v>122.14055331663396</v>
      </c>
      <c r="AA93" s="6"/>
      <c r="AB93" s="6">
        <f t="shared" si="6"/>
        <v>0</v>
      </c>
      <c r="AC93" s="6">
        <f t="shared" si="7"/>
        <v>0</v>
      </c>
      <c r="AD93" s="6">
        <f t="shared" si="8"/>
        <v>0</v>
      </c>
      <c r="AE93" s="6">
        <f t="shared" ca="1" si="9"/>
        <v>0</v>
      </c>
      <c r="AF93" s="4" t="s">
        <v>851</v>
      </c>
    </row>
    <row r="94" spans="1:32" ht="11.25" customHeight="1" x14ac:dyDescent="0.3">
      <c r="A94" s="4" t="s">
        <v>21</v>
      </c>
      <c r="B94" s="4" t="s">
        <v>39</v>
      </c>
      <c r="C94" s="4" t="s">
        <v>41</v>
      </c>
      <c r="D94" s="4" t="s">
        <v>38</v>
      </c>
      <c r="E94" s="4" t="s">
        <v>25</v>
      </c>
      <c r="F94" s="4" t="s">
        <v>56</v>
      </c>
      <c r="G94" s="4" t="s">
        <v>25</v>
      </c>
      <c r="H94" s="4" t="s">
        <v>35</v>
      </c>
      <c r="I94" s="5">
        <v>44743</v>
      </c>
      <c r="J94" s="6">
        <v>0</v>
      </c>
      <c r="K94" s="6">
        <v>0</v>
      </c>
      <c r="L94" s="6">
        <v>1817.01</v>
      </c>
      <c r="M94" s="6">
        <v>1817.01</v>
      </c>
      <c r="N94" s="6">
        <v>0</v>
      </c>
      <c r="O94" s="6">
        <v>0</v>
      </c>
      <c r="P94" s="6">
        <v>0</v>
      </c>
      <c r="Q94" s="4" t="s">
        <v>55</v>
      </c>
      <c r="R94" s="4">
        <v>0</v>
      </c>
      <c r="S94" s="4">
        <v>0</v>
      </c>
      <c r="T94" s="4">
        <v>6</v>
      </c>
      <c r="U94" s="4">
        <v>0</v>
      </c>
      <c r="V94" s="6">
        <f>IF(ISERROR(VLOOKUP($S$94,'TAR FIN'!$A$1:$O$113,15,0)),0,VLOOKUP($S$94,'TAR FIN'!$A$1:$O$113,15,0))</f>
        <v>0</v>
      </c>
      <c r="W94" s="6">
        <f>IF(ISERROR(VLOOKUP($T$94,'TAR FIN'!$A$1:$O$113,15,0)),0,VLOOKUP($T$94,'TAR FIN'!$A$1:$O$113,15,0))</f>
        <v>72.150000000000006</v>
      </c>
      <c r="X94" s="6">
        <f>IF(ISERROR(VLOOKUP($U$94,'TAR FIN'!$A$1:$O$113,15,0)),0,VLOOKUP($U$94,'TAR FIN'!$A$1:$O$113,15,0))</f>
        <v>0</v>
      </c>
      <c r="Y94" s="6"/>
      <c r="Z94" s="6">
        <f ca="1">('TUSD BE'!$AM$21+'TUSD BF'!$AM$21+'TUSD CVA'!$AM$21)*1</f>
        <v>122.14055331663396</v>
      </c>
      <c r="AA94" s="6"/>
      <c r="AB94" s="6">
        <f t="shared" si="6"/>
        <v>0</v>
      </c>
      <c r="AC94" s="6">
        <f t="shared" si="7"/>
        <v>0</v>
      </c>
      <c r="AD94" s="6">
        <f t="shared" si="8"/>
        <v>0</v>
      </c>
      <c r="AE94" s="6">
        <f t="shared" ca="1" si="9"/>
        <v>0</v>
      </c>
      <c r="AF94" s="4" t="s">
        <v>851</v>
      </c>
    </row>
    <row r="95" spans="1:32" ht="11.25" customHeight="1" x14ac:dyDescent="0.3">
      <c r="A95" s="4" t="s">
        <v>21</v>
      </c>
      <c r="B95" s="4" t="s">
        <v>39</v>
      </c>
      <c r="C95" s="4" t="s">
        <v>41</v>
      </c>
      <c r="D95" s="4" t="s">
        <v>38</v>
      </c>
      <c r="E95" s="4" t="s">
        <v>25</v>
      </c>
      <c r="F95" s="4" t="s">
        <v>56</v>
      </c>
      <c r="G95" s="4" t="s">
        <v>25</v>
      </c>
      <c r="H95" s="4" t="s">
        <v>35</v>
      </c>
      <c r="I95" s="5">
        <v>44774</v>
      </c>
      <c r="J95" s="6">
        <v>0</v>
      </c>
      <c r="K95" s="6">
        <v>0</v>
      </c>
      <c r="L95" s="6">
        <v>1863.682</v>
      </c>
      <c r="M95" s="6">
        <v>1863.682</v>
      </c>
      <c r="N95" s="6">
        <v>0</v>
      </c>
      <c r="O95" s="6">
        <v>0</v>
      </c>
      <c r="P95" s="6">
        <v>0</v>
      </c>
      <c r="Q95" s="4" t="s">
        <v>55</v>
      </c>
      <c r="R95" s="4">
        <v>0</v>
      </c>
      <c r="S95" s="4">
        <v>0</v>
      </c>
      <c r="T95" s="4">
        <v>6</v>
      </c>
      <c r="U95" s="4">
        <v>0</v>
      </c>
      <c r="V95" s="6">
        <f>IF(ISERROR(VLOOKUP($S$95,'TAR FIN'!$A$1:$O$113,15,0)),0,VLOOKUP($S$95,'TAR FIN'!$A$1:$O$113,15,0))</f>
        <v>0</v>
      </c>
      <c r="W95" s="6">
        <f>IF(ISERROR(VLOOKUP($T$95,'TAR FIN'!$A$1:$O$113,15,0)),0,VLOOKUP($T$95,'TAR FIN'!$A$1:$O$113,15,0))</f>
        <v>72.150000000000006</v>
      </c>
      <c r="X95" s="6">
        <f>IF(ISERROR(VLOOKUP($U$95,'TAR FIN'!$A$1:$O$113,15,0)),0,VLOOKUP($U$95,'TAR FIN'!$A$1:$O$113,15,0))</f>
        <v>0</v>
      </c>
      <c r="Y95" s="6"/>
      <c r="Z95" s="6">
        <f ca="1">('TUSD BE'!$AM$21+'TUSD BF'!$AM$21+'TUSD CVA'!$AM$21)*1</f>
        <v>122.14055331663396</v>
      </c>
      <c r="AA95" s="6"/>
      <c r="AB95" s="6">
        <f t="shared" si="6"/>
        <v>0</v>
      </c>
      <c r="AC95" s="6">
        <f t="shared" si="7"/>
        <v>0</v>
      </c>
      <c r="AD95" s="6">
        <f t="shared" si="8"/>
        <v>0</v>
      </c>
      <c r="AE95" s="6">
        <f t="shared" ca="1" si="9"/>
        <v>0</v>
      </c>
      <c r="AF95" s="4" t="s">
        <v>851</v>
      </c>
    </row>
    <row r="96" spans="1:32" ht="11.25" customHeight="1" x14ac:dyDescent="0.3">
      <c r="A96" s="4" t="s">
        <v>21</v>
      </c>
      <c r="B96" s="4" t="s">
        <v>39</v>
      </c>
      <c r="C96" s="4" t="s">
        <v>41</v>
      </c>
      <c r="D96" s="4" t="s">
        <v>38</v>
      </c>
      <c r="E96" s="4" t="s">
        <v>25</v>
      </c>
      <c r="F96" s="4" t="s">
        <v>56</v>
      </c>
      <c r="G96" s="4" t="s">
        <v>25</v>
      </c>
      <c r="H96" s="4" t="s">
        <v>35</v>
      </c>
      <c r="I96" s="5">
        <v>44805</v>
      </c>
      <c r="J96" s="6">
        <v>0</v>
      </c>
      <c r="K96" s="6">
        <v>0</v>
      </c>
      <c r="L96" s="6">
        <v>1955.509</v>
      </c>
      <c r="M96" s="6">
        <v>1955.509</v>
      </c>
      <c r="N96" s="6">
        <v>0</v>
      </c>
      <c r="O96" s="6">
        <v>0</v>
      </c>
      <c r="P96" s="6">
        <v>0</v>
      </c>
      <c r="Q96" s="4" t="s">
        <v>55</v>
      </c>
      <c r="R96" s="4">
        <v>0</v>
      </c>
      <c r="S96" s="4">
        <v>0</v>
      </c>
      <c r="T96" s="4">
        <v>6</v>
      </c>
      <c r="U96" s="4">
        <v>0</v>
      </c>
      <c r="V96" s="6">
        <f>IF(ISERROR(VLOOKUP($S$96,'TAR FIN'!$A$1:$O$113,15,0)),0,VLOOKUP($S$96,'TAR FIN'!$A$1:$O$113,15,0))</f>
        <v>0</v>
      </c>
      <c r="W96" s="6">
        <f>IF(ISERROR(VLOOKUP($T$96,'TAR FIN'!$A$1:$O$113,15,0)),0,VLOOKUP($T$96,'TAR FIN'!$A$1:$O$113,15,0))</f>
        <v>72.150000000000006</v>
      </c>
      <c r="X96" s="6">
        <f>IF(ISERROR(VLOOKUP($U$96,'TAR FIN'!$A$1:$O$113,15,0)),0,VLOOKUP($U$96,'TAR FIN'!$A$1:$O$113,15,0))</f>
        <v>0</v>
      </c>
      <c r="Y96" s="6"/>
      <c r="Z96" s="6">
        <f ca="1">('TUSD BE'!$AM$21+'TUSD BF'!$AM$21+'TUSD CVA'!$AM$21)*1</f>
        <v>122.14055331663396</v>
      </c>
      <c r="AA96" s="6"/>
      <c r="AB96" s="6">
        <f t="shared" si="6"/>
        <v>0</v>
      </c>
      <c r="AC96" s="6">
        <f t="shared" si="7"/>
        <v>0</v>
      </c>
      <c r="AD96" s="6">
        <f t="shared" si="8"/>
        <v>0</v>
      </c>
      <c r="AE96" s="6">
        <f t="shared" ca="1" si="9"/>
        <v>0</v>
      </c>
      <c r="AF96" s="4" t="s">
        <v>851</v>
      </c>
    </row>
    <row r="97" spans="1:32" ht="11.25" customHeight="1" x14ac:dyDescent="0.3">
      <c r="A97" s="4" t="s">
        <v>53</v>
      </c>
      <c r="B97" s="4" t="s">
        <v>39</v>
      </c>
      <c r="C97" s="4" t="s">
        <v>41</v>
      </c>
      <c r="D97" s="4" t="s">
        <v>38</v>
      </c>
      <c r="E97" s="4" t="s">
        <v>25</v>
      </c>
      <c r="F97" s="4" t="s">
        <v>56</v>
      </c>
      <c r="G97" s="4" t="s">
        <v>25</v>
      </c>
      <c r="H97" s="4" t="s">
        <v>35</v>
      </c>
      <c r="I97" s="5">
        <v>44835</v>
      </c>
      <c r="J97" s="6">
        <v>0</v>
      </c>
      <c r="K97" s="6">
        <v>0</v>
      </c>
      <c r="L97" s="6">
        <v>1955.509</v>
      </c>
      <c r="M97" s="6">
        <v>1955.509</v>
      </c>
      <c r="N97" s="6">
        <v>0</v>
      </c>
      <c r="O97" s="6">
        <v>0</v>
      </c>
      <c r="P97" s="6">
        <v>0</v>
      </c>
      <c r="Q97" s="4" t="s">
        <v>55</v>
      </c>
      <c r="R97" s="4">
        <v>0</v>
      </c>
      <c r="S97" s="4">
        <v>0</v>
      </c>
      <c r="T97" s="4">
        <v>6</v>
      </c>
      <c r="U97" s="4">
        <v>0</v>
      </c>
      <c r="V97" s="6">
        <f>IF(ISERROR(VLOOKUP($S$97,'TAR FIN'!$A$1:$O$113,15,0)),0,VLOOKUP($S$97,'TAR FIN'!$A$1:$O$113,15,0))</f>
        <v>0</v>
      </c>
      <c r="W97" s="6">
        <f>IF(ISERROR(VLOOKUP($T$97,'TAR FIN'!$A$1:$O$113,15,0)),0,VLOOKUP($T$97,'TAR FIN'!$A$1:$O$113,15,0))</f>
        <v>72.150000000000006</v>
      </c>
      <c r="X97" s="6">
        <f>IF(ISERROR(VLOOKUP($U$97,'TAR FIN'!$A$1:$O$113,15,0)),0,VLOOKUP($U$97,'TAR FIN'!$A$1:$O$113,15,0))</f>
        <v>0</v>
      </c>
      <c r="Y97" s="6"/>
      <c r="Z97" s="6">
        <f ca="1">('TUSD BE'!$AM$21+'TUSD BF'!$AM$21+'TUSD CVA'!$AM$21)*1</f>
        <v>122.14055331663396</v>
      </c>
      <c r="AA97" s="6"/>
      <c r="AB97" s="6">
        <f t="shared" si="6"/>
        <v>0</v>
      </c>
      <c r="AC97" s="6">
        <f t="shared" si="7"/>
        <v>0</v>
      </c>
      <c r="AD97" s="6">
        <f t="shared" si="8"/>
        <v>0</v>
      </c>
      <c r="AE97" s="6">
        <f t="shared" ca="1" si="9"/>
        <v>0</v>
      </c>
      <c r="AF97" s="4" t="s">
        <v>851</v>
      </c>
    </row>
    <row r="98" spans="1:32" ht="11.25" customHeight="1" x14ac:dyDescent="0.3">
      <c r="A98" s="4" t="s">
        <v>21</v>
      </c>
      <c r="B98" s="4" t="s">
        <v>39</v>
      </c>
      <c r="C98" s="4" t="s">
        <v>41</v>
      </c>
      <c r="D98" s="4" t="s">
        <v>38</v>
      </c>
      <c r="E98" s="4" t="s">
        <v>25</v>
      </c>
      <c r="F98" s="4" t="s">
        <v>56</v>
      </c>
      <c r="G98" s="4" t="s">
        <v>25</v>
      </c>
      <c r="H98" s="4" t="s">
        <v>25</v>
      </c>
      <c r="I98" s="5">
        <v>44501</v>
      </c>
      <c r="J98" s="6">
        <v>5385</v>
      </c>
      <c r="K98" s="6">
        <v>4382.6265147000004</v>
      </c>
      <c r="L98" s="6">
        <v>0</v>
      </c>
      <c r="M98" s="6">
        <v>0</v>
      </c>
      <c r="N98" s="6">
        <v>0</v>
      </c>
      <c r="O98" s="6">
        <v>0</v>
      </c>
      <c r="P98" s="6">
        <v>9</v>
      </c>
      <c r="Q98" s="4" t="s">
        <v>55</v>
      </c>
      <c r="R98" s="4">
        <v>0</v>
      </c>
      <c r="S98" s="4">
        <v>20</v>
      </c>
      <c r="T98" s="4">
        <v>0</v>
      </c>
      <c r="U98" s="4">
        <v>0</v>
      </c>
      <c r="V98" s="6">
        <f>IF(ISERROR(VLOOKUP($S$98,'TAR FIN'!$A$1:$O$113,15,0)),0,VLOOKUP($S$98,'TAR FIN'!$A$1:$O$113,15,0))</f>
        <v>14</v>
      </c>
      <c r="W98" s="6">
        <f>IF(ISERROR(VLOOKUP($T$98,'TAR FIN'!$A$1:$O$113,15,0)),0,VLOOKUP($T$98,'TAR FIN'!$A$1:$O$113,15,0))</f>
        <v>0</v>
      </c>
      <c r="X98" s="6">
        <f>IF(ISERROR(VLOOKUP($U$98,'TAR FIN'!$A$1:$O$113,15,0)),0,VLOOKUP($U$98,'TAR FIN'!$A$1:$O$113,15,0))</f>
        <v>0</v>
      </c>
      <c r="Y98" s="6">
        <f ca="1">('TUSD BE'!$AM$19+'TUSD BF'!$AM$19+'TUSD CVA'!$AM$19)*1</f>
        <v>16.035953923331604</v>
      </c>
      <c r="Z98" s="6"/>
      <c r="AA98" s="6"/>
      <c r="AB98" s="6">
        <f t="shared" si="6"/>
        <v>14033.228794199995</v>
      </c>
      <c r="AC98" s="6">
        <f t="shared" si="7"/>
        <v>0</v>
      </c>
      <c r="AD98" s="6">
        <f t="shared" ca="1" si="8"/>
        <v>16074.015024240103</v>
      </c>
      <c r="AE98" s="6">
        <f t="shared" si="9"/>
        <v>0</v>
      </c>
      <c r="AF98" s="4" t="s">
        <v>851</v>
      </c>
    </row>
    <row r="99" spans="1:32" ht="11.25" customHeight="1" x14ac:dyDescent="0.3">
      <c r="A99" s="4" t="s">
        <v>21</v>
      </c>
      <c r="B99" s="4" t="s">
        <v>39</v>
      </c>
      <c r="C99" s="4" t="s">
        <v>41</v>
      </c>
      <c r="D99" s="4" t="s">
        <v>38</v>
      </c>
      <c r="E99" s="4" t="s">
        <v>25</v>
      </c>
      <c r="F99" s="4" t="s">
        <v>56</v>
      </c>
      <c r="G99" s="4" t="s">
        <v>25</v>
      </c>
      <c r="H99" s="4" t="s">
        <v>25</v>
      </c>
      <c r="I99" s="5">
        <v>44531</v>
      </c>
      <c r="J99" s="6">
        <v>5464</v>
      </c>
      <c r="K99" s="6">
        <v>2639.6861571200002</v>
      </c>
      <c r="L99" s="6">
        <v>0</v>
      </c>
      <c r="M99" s="6">
        <v>0</v>
      </c>
      <c r="N99" s="6">
        <v>0</v>
      </c>
      <c r="O99" s="6">
        <v>0</v>
      </c>
      <c r="P99" s="6">
        <v>9</v>
      </c>
      <c r="Q99" s="4" t="s">
        <v>55</v>
      </c>
      <c r="R99" s="4">
        <v>0</v>
      </c>
      <c r="S99" s="4">
        <v>20</v>
      </c>
      <c r="T99" s="4">
        <v>0</v>
      </c>
      <c r="U99" s="4">
        <v>0</v>
      </c>
      <c r="V99" s="6">
        <f>IF(ISERROR(VLOOKUP($S$99,'TAR FIN'!$A$1:$O$113,15,0)),0,VLOOKUP($S$99,'TAR FIN'!$A$1:$O$113,15,0))</f>
        <v>14</v>
      </c>
      <c r="W99" s="6">
        <f>IF(ISERROR(VLOOKUP($T$99,'TAR FIN'!$A$1:$O$113,15,0)),0,VLOOKUP($T$99,'TAR FIN'!$A$1:$O$113,15,0))</f>
        <v>0</v>
      </c>
      <c r="X99" s="6">
        <f>IF(ISERROR(VLOOKUP($U$99,'TAR FIN'!$A$1:$O$113,15,0)),0,VLOOKUP($U$99,'TAR FIN'!$A$1:$O$113,15,0))</f>
        <v>0</v>
      </c>
      <c r="Y99" s="6">
        <f ca="1">('TUSD BE'!$AM$19+'TUSD BF'!$AM$19+'TUSD CVA'!$AM$19)*1</f>
        <v>16.035953923331604</v>
      </c>
      <c r="Z99" s="6"/>
      <c r="AA99" s="6"/>
      <c r="AB99" s="6">
        <f t="shared" si="6"/>
        <v>39540.393800319995</v>
      </c>
      <c r="AC99" s="6">
        <f t="shared" si="7"/>
        <v>0</v>
      </c>
      <c r="AD99" s="6">
        <f t="shared" ca="1" si="8"/>
        <v>45290.566649451292</v>
      </c>
      <c r="AE99" s="6">
        <f t="shared" si="9"/>
        <v>0</v>
      </c>
      <c r="AF99" s="4" t="s">
        <v>851</v>
      </c>
    </row>
    <row r="100" spans="1:32" ht="11.25" customHeight="1" x14ac:dyDescent="0.3">
      <c r="A100" s="4" t="s">
        <v>21</v>
      </c>
      <c r="B100" s="4" t="s">
        <v>39</v>
      </c>
      <c r="C100" s="4" t="s">
        <v>41</v>
      </c>
      <c r="D100" s="4" t="s">
        <v>38</v>
      </c>
      <c r="E100" s="4" t="s">
        <v>25</v>
      </c>
      <c r="F100" s="4" t="s">
        <v>56</v>
      </c>
      <c r="G100" s="4" t="s">
        <v>25</v>
      </c>
      <c r="H100" s="4" t="s">
        <v>25</v>
      </c>
      <c r="I100" s="5">
        <v>44562</v>
      </c>
      <c r="J100" s="6">
        <v>5699</v>
      </c>
      <c r="K100" s="6">
        <v>1816.6392844300001</v>
      </c>
      <c r="L100" s="6">
        <v>0</v>
      </c>
      <c r="M100" s="6">
        <v>0</v>
      </c>
      <c r="N100" s="6">
        <v>0</v>
      </c>
      <c r="O100" s="6">
        <v>0</v>
      </c>
      <c r="P100" s="6">
        <v>11</v>
      </c>
      <c r="Q100" s="4" t="s">
        <v>55</v>
      </c>
      <c r="R100" s="4">
        <v>0</v>
      </c>
      <c r="S100" s="4">
        <v>20</v>
      </c>
      <c r="T100" s="4">
        <v>0</v>
      </c>
      <c r="U100" s="4">
        <v>0</v>
      </c>
      <c r="V100" s="6">
        <f>IF(ISERROR(VLOOKUP($S$100,'TAR FIN'!$A$1:$O$113,15,0)),0,VLOOKUP($S$100,'TAR FIN'!$A$1:$O$113,15,0))</f>
        <v>14</v>
      </c>
      <c r="W100" s="6">
        <f>IF(ISERROR(VLOOKUP($T$100,'TAR FIN'!$A$1:$O$113,15,0)),0,VLOOKUP($T$100,'TAR FIN'!$A$1:$O$113,15,0))</f>
        <v>0</v>
      </c>
      <c r="X100" s="6">
        <f>IF(ISERROR(VLOOKUP($U$100,'TAR FIN'!$A$1:$O$113,15,0)),0,VLOOKUP($U$100,'TAR FIN'!$A$1:$O$113,15,0))</f>
        <v>0</v>
      </c>
      <c r="Y100" s="6">
        <f ca="1">('TUSD BE'!$AM$19+'TUSD BF'!$AM$19+'TUSD CVA'!$AM$19)*1</f>
        <v>16.035953923331604</v>
      </c>
      <c r="Z100" s="6"/>
      <c r="AA100" s="6"/>
      <c r="AB100" s="6">
        <f t="shared" si="6"/>
        <v>54353.05001798</v>
      </c>
      <c r="AC100" s="6">
        <f t="shared" si="7"/>
        <v>0</v>
      </c>
      <c r="AD100" s="6">
        <f t="shared" ca="1" si="8"/>
        <v>62257.357548633241</v>
      </c>
      <c r="AE100" s="6">
        <f t="shared" si="9"/>
        <v>0</v>
      </c>
      <c r="AF100" s="4" t="s">
        <v>851</v>
      </c>
    </row>
    <row r="101" spans="1:32" ht="11.25" customHeight="1" x14ac:dyDescent="0.3">
      <c r="A101" s="4" t="s">
        <v>21</v>
      </c>
      <c r="B101" s="4" t="s">
        <v>39</v>
      </c>
      <c r="C101" s="4" t="s">
        <v>41</v>
      </c>
      <c r="D101" s="4" t="s">
        <v>38</v>
      </c>
      <c r="E101" s="4" t="s">
        <v>25</v>
      </c>
      <c r="F101" s="4" t="s">
        <v>56</v>
      </c>
      <c r="G101" s="4" t="s">
        <v>25</v>
      </c>
      <c r="H101" s="4" t="s">
        <v>25</v>
      </c>
      <c r="I101" s="5">
        <v>44593</v>
      </c>
      <c r="J101" s="6">
        <v>6247</v>
      </c>
      <c r="K101" s="6">
        <v>3020.874284</v>
      </c>
      <c r="L101" s="6">
        <v>0</v>
      </c>
      <c r="M101" s="6">
        <v>0</v>
      </c>
      <c r="N101" s="6">
        <v>0</v>
      </c>
      <c r="O101" s="6">
        <v>0</v>
      </c>
      <c r="P101" s="6">
        <v>12</v>
      </c>
      <c r="Q101" s="4" t="s">
        <v>55</v>
      </c>
      <c r="R101" s="4">
        <v>0</v>
      </c>
      <c r="S101" s="4">
        <v>20</v>
      </c>
      <c r="T101" s="4">
        <v>0</v>
      </c>
      <c r="U101" s="4">
        <v>0</v>
      </c>
      <c r="V101" s="6">
        <f>IF(ISERROR(VLOOKUP($S$101,'TAR FIN'!$A$1:$O$113,15,0)),0,VLOOKUP($S$101,'TAR FIN'!$A$1:$O$113,15,0))</f>
        <v>14</v>
      </c>
      <c r="W101" s="6">
        <f>IF(ISERROR(VLOOKUP($T$101,'TAR FIN'!$A$1:$O$113,15,0)),0,VLOOKUP($T$101,'TAR FIN'!$A$1:$O$113,15,0))</f>
        <v>0</v>
      </c>
      <c r="X101" s="6">
        <f>IF(ISERROR(VLOOKUP($U$101,'TAR FIN'!$A$1:$O$113,15,0)),0,VLOOKUP($U$101,'TAR FIN'!$A$1:$O$113,15,0))</f>
        <v>0</v>
      </c>
      <c r="Y101" s="6">
        <f ca="1">('TUSD BE'!$AM$19+'TUSD BF'!$AM$19+'TUSD CVA'!$AM$19)*1</f>
        <v>16.035953923331604</v>
      </c>
      <c r="Z101" s="6"/>
      <c r="AA101" s="6"/>
      <c r="AB101" s="6">
        <f t="shared" si="6"/>
        <v>45165.760024000003</v>
      </c>
      <c r="AC101" s="6">
        <f t="shared" si="7"/>
        <v>0</v>
      </c>
      <c r="AD101" s="6">
        <f t="shared" ca="1" si="8"/>
        <v>51734.003332651184</v>
      </c>
      <c r="AE101" s="6">
        <f t="shared" si="9"/>
        <v>0</v>
      </c>
      <c r="AF101" s="4" t="s">
        <v>851</v>
      </c>
    </row>
    <row r="102" spans="1:32" ht="11.25" customHeight="1" x14ac:dyDescent="0.3">
      <c r="A102" s="4" t="s">
        <v>21</v>
      </c>
      <c r="B102" s="4" t="s">
        <v>39</v>
      </c>
      <c r="C102" s="4" t="s">
        <v>41</v>
      </c>
      <c r="D102" s="4" t="s">
        <v>38</v>
      </c>
      <c r="E102" s="4" t="s">
        <v>25</v>
      </c>
      <c r="F102" s="4" t="s">
        <v>56</v>
      </c>
      <c r="G102" s="4" t="s">
        <v>25</v>
      </c>
      <c r="H102" s="4" t="s">
        <v>25</v>
      </c>
      <c r="I102" s="5">
        <v>44621</v>
      </c>
      <c r="J102" s="6">
        <v>6434</v>
      </c>
      <c r="K102" s="6">
        <v>3202.3385868400001</v>
      </c>
      <c r="L102" s="6">
        <v>0</v>
      </c>
      <c r="M102" s="6">
        <v>0</v>
      </c>
      <c r="N102" s="6">
        <v>0</v>
      </c>
      <c r="O102" s="6">
        <v>0</v>
      </c>
      <c r="P102" s="6">
        <v>13</v>
      </c>
      <c r="Q102" s="4" t="s">
        <v>55</v>
      </c>
      <c r="R102" s="4">
        <v>0</v>
      </c>
      <c r="S102" s="4">
        <v>20</v>
      </c>
      <c r="T102" s="4">
        <v>0</v>
      </c>
      <c r="U102" s="4">
        <v>0</v>
      </c>
      <c r="V102" s="6">
        <f>IF(ISERROR(VLOOKUP($S$102,'TAR FIN'!$A$1:$O$113,15,0)),0,VLOOKUP($S$102,'TAR FIN'!$A$1:$O$113,15,0))</f>
        <v>14</v>
      </c>
      <c r="W102" s="6">
        <f>IF(ISERROR(VLOOKUP($T$102,'TAR FIN'!$A$1:$O$113,15,0)),0,VLOOKUP($T$102,'TAR FIN'!$A$1:$O$113,15,0))</f>
        <v>0</v>
      </c>
      <c r="X102" s="6">
        <f>IF(ISERROR(VLOOKUP($U$102,'TAR FIN'!$A$1:$O$113,15,0)),0,VLOOKUP($U$102,'TAR FIN'!$A$1:$O$113,15,0))</f>
        <v>0</v>
      </c>
      <c r="Y102" s="6">
        <f ca="1">('TUSD BE'!$AM$19+'TUSD BF'!$AM$19+'TUSD CVA'!$AM$19)*1</f>
        <v>16.035953923331604</v>
      </c>
      <c r="Z102" s="6"/>
      <c r="AA102" s="6"/>
      <c r="AB102" s="6">
        <f t="shared" si="6"/>
        <v>45243.259784239999</v>
      </c>
      <c r="AC102" s="6">
        <f t="shared" si="7"/>
        <v>0</v>
      </c>
      <c r="AD102" s="6">
        <f t="shared" ca="1" si="8"/>
        <v>51822.773517242458</v>
      </c>
      <c r="AE102" s="6">
        <f t="shared" si="9"/>
        <v>0</v>
      </c>
      <c r="AF102" s="4" t="s">
        <v>851</v>
      </c>
    </row>
    <row r="103" spans="1:32" ht="11.25" customHeight="1" x14ac:dyDescent="0.3">
      <c r="A103" s="4" t="s">
        <v>21</v>
      </c>
      <c r="B103" s="4" t="s">
        <v>39</v>
      </c>
      <c r="C103" s="4" t="s">
        <v>41</v>
      </c>
      <c r="D103" s="4" t="s">
        <v>38</v>
      </c>
      <c r="E103" s="4" t="s">
        <v>25</v>
      </c>
      <c r="F103" s="4" t="s">
        <v>56</v>
      </c>
      <c r="G103" s="4" t="s">
        <v>25</v>
      </c>
      <c r="H103" s="4" t="s">
        <v>25</v>
      </c>
      <c r="I103" s="5">
        <v>44652</v>
      </c>
      <c r="J103" s="6">
        <v>6719</v>
      </c>
      <c r="K103" s="6">
        <v>3187.2271244600001</v>
      </c>
      <c r="L103" s="6">
        <v>0</v>
      </c>
      <c r="M103" s="6">
        <v>0</v>
      </c>
      <c r="N103" s="6">
        <v>0</v>
      </c>
      <c r="O103" s="6">
        <v>0</v>
      </c>
      <c r="P103" s="6">
        <v>15</v>
      </c>
      <c r="Q103" s="4" t="s">
        <v>55</v>
      </c>
      <c r="R103" s="4">
        <v>0</v>
      </c>
      <c r="S103" s="4">
        <v>20</v>
      </c>
      <c r="T103" s="4">
        <v>0</v>
      </c>
      <c r="U103" s="4">
        <v>0</v>
      </c>
      <c r="V103" s="6">
        <f>IF(ISERROR(VLOOKUP($S$103,'TAR FIN'!$A$1:$O$113,15,0)),0,VLOOKUP($S$103,'TAR FIN'!$A$1:$O$113,15,0))</f>
        <v>14</v>
      </c>
      <c r="W103" s="6">
        <f>IF(ISERROR(VLOOKUP($T$103,'TAR FIN'!$A$1:$O$113,15,0)),0,VLOOKUP($T$103,'TAR FIN'!$A$1:$O$113,15,0))</f>
        <v>0</v>
      </c>
      <c r="X103" s="6">
        <f>IF(ISERROR(VLOOKUP($U$103,'TAR FIN'!$A$1:$O$113,15,0)),0,VLOOKUP($U$103,'TAR FIN'!$A$1:$O$113,15,0))</f>
        <v>0</v>
      </c>
      <c r="Y103" s="6">
        <f ca="1">('TUSD BE'!$AM$19+'TUSD BF'!$AM$19+'TUSD CVA'!$AM$19)*1</f>
        <v>16.035953923331604</v>
      </c>
      <c r="Z103" s="6"/>
      <c r="AA103" s="6"/>
      <c r="AB103" s="6">
        <f t="shared" si="6"/>
        <v>49444.820257560001</v>
      </c>
      <c r="AC103" s="6">
        <f t="shared" si="7"/>
        <v>0</v>
      </c>
      <c r="AD103" s="6">
        <f t="shared" ca="1" si="8"/>
        <v>56635.347099831801</v>
      </c>
      <c r="AE103" s="6">
        <f t="shared" si="9"/>
        <v>0</v>
      </c>
      <c r="AF103" s="4" t="s">
        <v>851</v>
      </c>
    </row>
    <row r="104" spans="1:32" ht="11.25" customHeight="1" x14ac:dyDescent="0.3">
      <c r="A104" s="4" t="s">
        <v>21</v>
      </c>
      <c r="B104" s="4" t="s">
        <v>39</v>
      </c>
      <c r="C104" s="4" t="s">
        <v>41</v>
      </c>
      <c r="D104" s="4" t="s">
        <v>38</v>
      </c>
      <c r="E104" s="4" t="s">
        <v>25</v>
      </c>
      <c r="F104" s="4" t="s">
        <v>56</v>
      </c>
      <c r="G104" s="4" t="s">
        <v>25</v>
      </c>
      <c r="H104" s="4" t="s">
        <v>25</v>
      </c>
      <c r="I104" s="5">
        <v>44682</v>
      </c>
      <c r="J104" s="6">
        <v>6697</v>
      </c>
      <c r="K104" s="6">
        <v>3460.6249912899998</v>
      </c>
      <c r="L104" s="6">
        <v>0</v>
      </c>
      <c r="M104" s="6">
        <v>0</v>
      </c>
      <c r="N104" s="6">
        <v>0</v>
      </c>
      <c r="O104" s="6">
        <v>0</v>
      </c>
      <c r="P104" s="6">
        <v>15</v>
      </c>
      <c r="Q104" s="4" t="s">
        <v>55</v>
      </c>
      <c r="R104" s="4">
        <v>0</v>
      </c>
      <c r="S104" s="4">
        <v>20</v>
      </c>
      <c r="T104" s="4">
        <v>0</v>
      </c>
      <c r="U104" s="4">
        <v>0</v>
      </c>
      <c r="V104" s="6">
        <f>IF(ISERROR(VLOOKUP($S$104,'TAR FIN'!$A$1:$O$113,15,0)),0,VLOOKUP($S$104,'TAR FIN'!$A$1:$O$113,15,0))</f>
        <v>14</v>
      </c>
      <c r="W104" s="6">
        <f>IF(ISERROR(VLOOKUP($T$104,'TAR FIN'!$A$1:$O$113,15,0)),0,VLOOKUP($T$104,'TAR FIN'!$A$1:$O$113,15,0))</f>
        <v>0</v>
      </c>
      <c r="X104" s="6">
        <f>IF(ISERROR(VLOOKUP($U$104,'TAR FIN'!$A$1:$O$113,15,0)),0,VLOOKUP($U$104,'TAR FIN'!$A$1:$O$113,15,0))</f>
        <v>0</v>
      </c>
      <c r="Y104" s="6">
        <f ca="1">('TUSD BE'!$AM$19+'TUSD BF'!$AM$19+'TUSD CVA'!$AM$19)*1</f>
        <v>16.035953923331604</v>
      </c>
      <c r="Z104" s="6"/>
      <c r="AA104" s="6"/>
      <c r="AB104" s="6">
        <f t="shared" si="6"/>
        <v>45309.25012194</v>
      </c>
      <c r="AC104" s="6">
        <f t="shared" si="7"/>
        <v>0</v>
      </c>
      <c r="AD104" s="6">
        <f t="shared" ca="1" si="8"/>
        <v>51898.360518295485</v>
      </c>
      <c r="AE104" s="6">
        <f t="shared" si="9"/>
        <v>0</v>
      </c>
      <c r="AF104" s="4" t="s">
        <v>851</v>
      </c>
    </row>
    <row r="105" spans="1:32" ht="11.25" customHeight="1" x14ac:dyDescent="0.3">
      <c r="A105" s="4" t="s">
        <v>21</v>
      </c>
      <c r="B105" s="4" t="s">
        <v>39</v>
      </c>
      <c r="C105" s="4" t="s">
        <v>41</v>
      </c>
      <c r="D105" s="4" t="s">
        <v>38</v>
      </c>
      <c r="E105" s="4" t="s">
        <v>25</v>
      </c>
      <c r="F105" s="4" t="s">
        <v>56</v>
      </c>
      <c r="G105" s="4" t="s">
        <v>25</v>
      </c>
      <c r="H105" s="4" t="s">
        <v>25</v>
      </c>
      <c r="I105" s="5">
        <v>44713</v>
      </c>
      <c r="J105" s="6">
        <v>7006</v>
      </c>
      <c r="K105" s="6">
        <v>3237.26858528</v>
      </c>
      <c r="L105" s="6">
        <v>0</v>
      </c>
      <c r="M105" s="6">
        <v>0</v>
      </c>
      <c r="N105" s="6">
        <v>0</v>
      </c>
      <c r="O105" s="6">
        <v>0</v>
      </c>
      <c r="P105" s="6">
        <v>16</v>
      </c>
      <c r="Q105" s="4" t="s">
        <v>55</v>
      </c>
      <c r="R105" s="4">
        <v>0</v>
      </c>
      <c r="S105" s="4">
        <v>20</v>
      </c>
      <c r="T105" s="4">
        <v>0</v>
      </c>
      <c r="U105" s="4">
        <v>0</v>
      </c>
      <c r="V105" s="6">
        <f>IF(ISERROR(VLOOKUP($S$105,'TAR FIN'!$A$1:$O$113,15,0)),0,VLOOKUP($S$105,'TAR FIN'!$A$1:$O$113,15,0))</f>
        <v>14</v>
      </c>
      <c r="W105" s="6">
        <f>IF(ISERROR(VLOOKUP($T$105,'TAR FIN'!$A$1:$O$113,15,0)),0,VLOOKUP($T$105,'TAR FIN'!$A$1:$O$113,15,0))</f>
        <v>0</v>
      </c>
      <c r="X105" s="6">
        <f>IF(ISERROR(VLOOKUP($U$105,'TAR FIN'!$A$1:$O$113,15,0)),0,VLOOKUP($U$105,'TAR FIN'!$A$1:$O$113,15,0))</f>
        <v>0</v>
      </c>
      <c r="Y105" s="6">
        <f ca="1">('TUSD BE'!$AM$19+'TUSD BF'!$AM$19+'TUSD CVA'!$AM$19)*1</f>
        <v>16.035953923331604</v>
      </c>
      <c r="Z105" s="6"/>
      <c r="AA105" s="6"/>
      <c r="AB105" s="6">
        <f t="shared" si="6"/>
        <v>52762.239806079997</v>
      </c>
      <c r="AC105" s="6">
        <f t="shared" si="7"/>
        <v>0</v>
      </c>
      <c r="AD105" s="6">
        <f t="shared" ca="1" si="8"/>
        <v>60435.203315862251</v>
      </c>
      <c r="AE105" s="6">
        <f t="shared" si="9"/>
        <v>0</v>
      </c>
      <c r="AF105" s="4" t="s">
        <v>851</v>
      </c>
    </row>
    <row r="106" spans="1:32" ht="11.25" customHeight="1" x14ac:dyDescent="0.3">
      <c r="A106" s="4" t="s">
        <v>21</v>
      </c>
      <c r="B106" s="4" t="s">
        <v>39</v>
      </c>
      <c r="C106" s="4" t="s">
        <v>41</v>
      </c>
      <c r="D106" s="4" t="s">
        <v>38</v>
      </c>
      <c r="E106" s="4" t="s">
        <v>25</v>
      </c>
      <c r="F106" s="4" t="s">
        <v>56</v>
      </c>
      <c r="G106" s="4" t="s">
        <v>25</v>
      </c>
      <c r="H106" s="4" t="s">
        <v>25</v>
      </c>
      <c r="I106" s="5">
        <v>44743</v>
      </c>
      <c r="J106" s="6">
        <v>7138</v>
      </c>
      <c r="K106" s="6">
        <v>3276.37140856</v>
      </c>
      <c r="L106" s="6">
        <v>0</v>
      </c>
      <c r="M106" s="6">
        <v>0</v>
      </c>
      <c r="N106" s="6">
        <v>0</v>
      </c>
      <c r="O106" s="6">
        <v>0</v>
      </c>
      <c r="P106" s="6">
        <v>16</v>
      </c>
      <c r="Q106" s="4" t="s">
        <v>55</v>
      </c>
      <c r="R106" s="4">
        <v>0</v>
      </c>
      <c r="S106" s="4">
        <v>20</v>
      </c>
      <c r="T106" s="4">
        <v>0</v>
      </c>
      <c r="U106" s="4">
        <v>0</v>
      </c>
      <c r="V106" s="6">
        <f>IF(ISERROR(VLOOKUP($S$106,'TAR FIN'!$A$1:$O$113,15,0)),0,VLOOKUP($S$106,'TAR FIN'!$A$1:$O$113,15,0))</f>
        <v>14</v>
      </c>
      <c r="W106" s="6">
        <f>IF(ISERROR(VLOOKUP($T$106,'TAR FIN'!$A$1:$O$113,15,0)),0,VLOOKUP($T$106,'TAR FIN'!$A$1:$O$113,15,0))</f>
        <v>0</v>
      </c>
      <c r="X106" s="6">
        <f>IF(ISERROR(VLOOKUP($U$106,'TAR FIN'!$A$1:$O$113,15,0)),0,VLOOKUP($U$106,'TAR FIN'!$A$1:$O$113,15,0))</f>
        <v>0</v>
      </c>
      <c r="Y106" s="6">
        <f ca="1">('TUSD BE'!$AM$19+'TUSD BF'!$AM$19+'TUSD CVA'!$AM$19)*1</f>
        <v>16.035953923331604</v>
      </c>
      <c r="Z106" s="6"/>
      <c r="AA106" s="6"/>
      <c r="AB106" s="6">
        <f t="shared" si="6"/>
        <v>54062.800280160001</v>
      </c>
      <c r="AC106" s="6">
        <f t="shared" si="7"/>
        <v>0</v>
      </c>
      <c r="AD106" s="6">
        <f t="shared" ca="1" si="8"/>
        <v>61924.898161351768</v>
      </c>
      <c r="AE106" s="6">
        <f t="shared" si="9"/>
        <v>0</v>
      </c>
      <c r="AF106" s="4" t="s">
        <v>851</v>
      </c>
    </row>
    <row r="107" spans="1:32" ht="11.25" customHeight="1" x14ac:dyDescent="0.3">
      <c r="A107" s="4" t="s">
        <v>21</v>
      </c>
      <c r="B107" s="4" t="s">
        <v>39</v>
      </c>
      <c r="C107" s="4" t="s">
        <v>41</v>
      </c>
      <c r="D107" s="4" t="s">
        <v>38</v>
      </c>
      <c r="E107" s="4" t="s">
        <v>25</v>
      </c>
      <c r="F107" s="4" t="s">
        <v>56</v>
      </c>
      <c r="G107" s="4" t="s">
        <v>25</v>
      </c>
      <c r="H107" s="4" t="s">
        <v>25</v>
      </c>
      <c r="I107" s="5">
        <v>44774</v>
      </c>
      <c r="J107" s="6">
        <v>7158</v>
      </c>
      <c r="K107" s="6">
        <v>3383.4035699400001</v>
      </c>
      <c r="L107" s="6">
        <v>0</v>
      </c>
      <c r="M107" s="6">
        <v>0</v>
      </c>
      <c r="N107" s="6">
        <v>0</v>
      </c>
      <c r="O107" s="6">
        <v>0</v>
      </c>
      <c r="P107" s="6">
        <v>16</v>
      </c>
      <c r="Q107" s="4" t="s">
        <v>55</v>
      </c>
      <c r="R107" s="4">
        <v>0</v>
      </c>
      <c r="S107" s="4">
        <v>20</v>
      </c>
      <c r="T107" s="4">
        <v>0</v>
      </c>
      <c r="U107" s="4">
        <v>0</v>
      </c>
      <c r="V107" s="6">
        <f>IF(ISERROR(VLOOKUP($S$107,'TAR FIN'!$A$1:$O$113,15,0)),0,VLOOKUP($S$107,'TAR FIN'!$A$1:$O$113,15,0))</f>
        <v>14</v>
      </c>
      <c r="W107" s="6">
        <f>IF(ISERROR(VLOOKUP($T$107,'TAR FIN'!$A$1:$O$113,15,0)),0,VLOOKUP($T$107,'TAR FIN'!$A$1:$O$113,15,0))</f>
        <v>0</v>
      </c>
      <c r="X107" s="6">
        <f>IF(ISERROR(VLOOKUP($U$107,'TAR FIN'!$A$1:$O$113,15,0)),0,VLOOKUP($U$107,'TAR FIN'!$A$1:$O$113,15,0))</f>
        <v>0</v>
      </c>
      <c r="Y107" s="6">
        <f ca="1">('TUSD BE'!$AM$19+'TUSD BF'!$AM$19+'TUSD CVA'!$AM$19)*1</f>
        <v>16.035953923331604</v>
      </c>
      <c r="Z107" s="6"/>
      <c r="AA107" s="6"/>
      <c r="AB107" s="6">
        <f t="shared" si="6"/>
        <v>52844.35002084</v>
      </c>
      <c r="AC107" s="6">
        <f t="shared" si="7"/>
        <v>0</v>
      </c>
      <c r="AD107" s="6">
        <f t="shared" ca="1" si="8"/>
        <v>60529.254431614121</v>
      </c>
      <c r="AE107" s="6">
        <f t="shared" si="9"/>
        <v>0</v>
      </c>
      <c r="AF107" s="4" t="s">
        <v>851</v>
      </c>
    </row>
    <row r="108" spans="1:32" ht="11.25" customHeight="1" x14ac:dyDescent="0.3">
      <c r="A108" s="4" t="s">
        <v>21</v>
      </c>
      <c r="B108" s="4" t="s">
        <v>39</v>
      </c>
      <c r="C108" s="4" t="s">
        <v>41</v>
      </c>
      <c r="D108" s="4" t="s">
        <v>38</v>
      </c>
      <c r="E108" s="4" t="s">
        <v>25</v>
      </c>
      <c r="F108" s="4" t="s">
        <v>56</v>
      </c>
      <c r="G108" s="4" t="s">
        <v>25</v>
      </c>
      <c r="H108" s="4" t="s">
        <v>25</v>
      </c>
      <c r="I108" s="5">
        <v>44805</v>
      </c>
      <c r="J108" s="6">
        <v>7177</v>
      </c>
      <c r="K108" s="6">
        <v>3390.3400156600001</v>
      </c>
      <c r="L108" s="6">
        <v>0</v>
      </c>
      <c r="M108" s="6">
        <v>0</v>
      </c>
      <c r="N108" s="6">
        <v>0</v>
      </c>
      <c r="O108" s="6">
        <v>0</v>
      </c>
      <c r="P108" s="6">
        <v>16</v>
      </c>
      <c r="Q108" s="4" t="s">
        <v>55</v>
      </c>
      <c r="R108" s="4">
        <v>0</v>
      </c>
      <c r="S108" s="4">
        <v>20</v>
      </c>
      <c r="T108" s="4">
        <v>0</v>
      </c>
      <c r="U108" s="4">
        <v>0</v>
      </c>
      <c r="V108" s="6">
        <f>IF(ISERROR(VLOOKUP($S$108,'TAR FIN'!$A$1:$O$113,15,0)),0,VLOOKUP($S$108,'TAR FIN'!$A$1:$O$113,15,0))</f>
        <v>14</v>
      </c>
      <c r="W108" s="6">
        <f>IF(ISERROR(VLOOKUP($T$108,'TAR FIN'!$A$1:$O$113,15,0)),0,VLOOKUP($T$108,'TAR FIN'!$A$1:$O$113,15,0))</f>
        <v>0</v>
      </c>
      <c r="X108" s="6">
        <f>IF(ISERROR(VLOOKUP($U$108,'TAR FIN'!$A$1:$O$113,15,0)),0,VLOOKUP($U$108,'TAR FIN'!$A$1:$O$113,15,0))</f>
        <v>0</v>
      </c>
      <c r="Y108" s="6">
        <f ca="1">('TUSD BE'!$AM$19+'TUSD BF'!$AM$19+'TUSD CVA'!$AM$19)*1</f>
        <v>16.035953923331604</v>
      </c>
      <c r="Z108" s="6"/>
      <c r="AA108" s="6"/>
      <c r="AB108" s="6">
        <f t="shared" si="6"/>
        <v>53013.239780759999</v>
      </c>
      <c r="AC108" s="6">
        <f t="shared" si="7"/>
        <v>0</v>
      </c>
      <c r="AD108" s="6">
        <f t="shared" ca="1" si="8"/>
        <v>60722.70503219981</v>
      </c>
      <c r="AE108" s="6">
        <f t="shared" si="9"/>
        <v>0</v>
      </c>
      <c r="AF108" s="4" t="s">
        <v>851</v>
      </c>
    </row>
    <row r="109" spans="1:32" ht="11.25" customHeight="1" x14ac:dyDescent="0.3">
      <c r="A109" s="4" t="s">
        <v>53</v>
      </c>
      <c r="B109" s="4" t="s">
        <v>39</v>
      </c>
      <c r="C109" s="4" t="s">
        <v>41</v>
      </c>
      <c r="D109" s="4" t="s">
        <v>38</v>
      </c>
      <c r="E109" s="4" t="s">
        <v>25</v>
      </c>
      <c r="F109" s="4" t="s">
        <v>56</v>
      </c>
      <c r="G109" s="4" t="s">
        <v>25</v>
      </c>
      <c r="H109" s="4" t="s">
        <v>25</v>
      </c>
      <c r="I109" s="5">
        <v>44835</v>
      </c>
      <c r="J109" s="6">
        <v>7177</v>
      </c>
      <c r="K109" s="6">
        <v>3390.3400156600001</v>
      </c>
      <c r="L109" s="6">
        <v>0</v>
      </c>
      <c r="M109" s="6">
        <v>0</v>
      </c>
      <c r="N109" s="6">
        <v>0</v>
      </c>
      <c r="O109" s="6">
        <v>0</v>
      </c>
      <c r="P109" s="6">
        <v>16</v>
      </c>
      <c r="Q109" s="4" t="s">
        <v>55</v>
      </c>
      <c r="R109" s="4">
        <v>0</v>
      </c>
      <c r="S109" s="4">
        <v>20</v>
      </c>
      <c r="T109" s="4">
        <v>0</v>
      </c>
      <c r="U109" s="4">
        <v>0</v>
      </c>
      <c r="V109" s="6">
        <f>IF(ISERROR(VLOOKUP($S$109,'TAR FIN'!$A$1:$O$113,15,0)),0,VLOOKUP($S$109,'TAR FIN'!$A$1:$O$113,15,0))</f>
        <v>14</v>
      </c>
      <c r="W109" s="6">
        <f>IF(ISERROR(VLOOKUP($T$109,'TAR FIN'!$A$1:$O$113,15,0)),0,VLOOKUP($T$109,'TAR FIN'!$A$1:$O$113,15,0))</f>
        <v>0</v>
      </c>
      <c r="X109" s="6">
        <f>IF(ISERROR(VLOOKUP($U$109,'TAR FIN'!$A$1:$O$113,15,0)),0,VLOOKUP($U$109,'TAR FIN'!$A$1:$O$113,15,0))</f>
        <v>0</v>
      </c>
      <c r="Y109" s="6">
        <f ca="1">('TUSD BE'!$AM$19+'TUSD BF'!$AM$19+'TUSD CVA'!$AM$19)*1</f>
        <v>16.035953923331604</v>
      </c>
      <c r="Z109" s="6"/>
      <c r="AA109" s="6"/>
      <c r="AB109" s="6">
        <f t="shared" si="6"/>
        <v>53013.239780759999</v>
      </c>
      <c r="AC109" s="6">
        <f t="shared" si="7"/>
        <v>0</v>
      </c>
      <c r="AD109" s="6">
        <f t="shared" ca="1" si="8"/>
        <v>60722.70503219981</v>
      </c>
      <c r="AE109" s="6">
        <f t="shared" si="9"/>
        <v>0</v>
      </c>
      <c r="AF109" s="4" t="s">
        <v>851</v>
      </c>
    </row>
    <row r="110" spans="1:32" ht="11.25" customHeight="1" x14ac:dyDescent="0.3">
      <c r="A110" s="4" t="s">
        <v>21</v>
      </c>
      <c r="B110" s="4" t="s">
        <v>39</v>
      </c>
      <c r="C110" s="4" t="s">
        <v>41</v>
      </c>
      <c r="D110" s="4" t="s">
        <v>38</v>
      </c>
      <c r="E110" s="4" t="s">
        <v>25</v>
      </c>
      <c r="F110" s="4" t="s">
        <v>56</v>
      </c>
      <c r="G110" s="4" t="s">
        <v>25</v>
      </c>
      <c r="H110" s="4" t="s">
        <v>34</v>
      </c>
      <c r="I110" s="5">
        <v>44501</v>
      </c>
      <c r="J110" s="6">
        <v>0</v>
      </c>
      <c r="K110" s="6">
        <v>0</v>
      </c>
      <c r="L110" s="6">
        <v>121.318</v>
      </c>
      <c r="M110" s="6">
        <v>108.06427661278001</v>
      </c>
      <c r="N110" s="6">
        <v>0</v>
      </c>
      <c r="O110" s="6">
        <v>0</v>
      </c>
      <c r="P110" s="6">
        <v>0</v>
      </c>
      <c r="Q110" s="4" t="s">
        <v>55</v>
      </c>
      <c r="R110" s="4">
        <v>0</v>
      </c>
      <c r="S110" s="4">
        <v>0</v>
      </c>
      <c r="T110" s="4">
        <v>8</v>
      </c>
      <c r="U110" s="4">
        <v>0</v>
      </c>
      <c r="V110" s="6">
        <f>IF(ISERROR(VLOOKUP($S$110,'TAR FIN'!$A$1:$O$113,15,0)),0,VLOOKUP($S$110,'TAR FIN'!$A$1:$O$113,15,0))</f>
        <v>0</v>
      </c>
      <c r="W110" s="6">
        <f>IF(ISERROR(VLOOKUP($T$110,'TAR FIN'!$A$1:$O$113,15,0)),0,VLOOKUP($T$110,'TAR FIN'!$A$1:$O$113,15,0))</f>
        <v>940.43</v>
      </c>
      <c r="X110" s="6">
        <f>IF(ISERROR(VLOOKUP($U$110,'TAR FIN'!$A$1:$O$113,15,0)),0,VLOOKUP($U$110,'TAR FIN'!$A$1:$O$113,15,0))</f>
        <v>0</v>
      </c>
      <c r="Y110" s="6"/>
      <c r="Z110" s="6">
        <f ca="1">('TUSD BE'!$AM$20+'TUSD BF'!$AM$20+'TUSD CVA'!$AM$20)*1</f>
        <v>1117.8285588949407</v>
      </c>
      <c r="AA110" s="6"/>
      <c r="AB110" s="6">
        <f t="shared" si="6"/>
        <v>0</v>
      </c>
      <c r="AC110" s="6">
        <f t="shared" si="7"/>
        <v>12464.199085043296</v>
      </c>
      <c r="AD110" s="6">
        <f t="shared" si="8"/>
        <v>0</v>
      </c>
      <c r="AE110" s="6">
        <f t="shared" ca="1" si="9"/>
        <v>14815.390513928296</v>
      </c>
      <c r="AF110" s="4" t="s">
        <v>851</v>
      </c>
    </row>
    <row r="111" spans="1:32" ht="11.25" customHeight="1" x14ac:dyDescent="0.3">
      <c r="A111" s="4" t="s">
        <v>21</v>
      </c>
      <c r="B111" s="4" t="s">
        <v>39</v>
      </c>
      <c r="C111" s="4" t="s">
        <v>41</v>
      </c>
      <c r="D111" s="4" t="s">
        <v>38</v>
      </c>
      <c r="E111" s="4" t="s">
        <v>25</v>
      </c>
      <c r="F111" s="4" t="s">
        <v>56</v>
      </c>
      <c r="G111" s="4" t="s">
        <v>25</v>
      </c>
      <c r="H111" s="4" t="s">
        <v>34</v>
      </c>
      <c r="I111" s="5">
        <v>44531</v>
      </c>
      <c r="J111" s="6">
        <v>0</v>
      </c>
      <c r="K111" s="6">
        <v>0</v>
      </c>
      <c r="L111" s="6">
        <v>138.202</v>
      </c>
      <c r="M111" s="6">
        <v>73.546681935999999</v>
      </c>
      <c r="N111" s="6">
        <v>0</v>
      </c>
      <c r="O111" s="6">
        <v>0</v>
      </c>
      <c r="P111" s="6">
        <v>0</v>
      </c>
      <c r="Q111" s="4" t="s">
        <v>55</v>
      </c>
      <c r="R111" s="4">
        <v>0</v>
      </c>
      <c r="S111" s="4">
        <v>0</v>
      </c>
      <c r="T111" s="4">
        <v>8</v>
      </c>
      <c r="U111" s="4">
        <v>0</v>
      </c>
      <c r="V111" s="6">
        <f>IF(ISERROR(VLOOKUP($S$111,'TAR FIN'!$A$1:$O$113,15,0)),0,VLOOKUP($S$111,'TAR FIN'!$A$1:$O$113,15,0))</f>
        <v>0</v>
      </c>
      <c r="W111" s="6">
        <f>IF(ISERROR(VLOOKUP($T$111,'TAR FIN'!$A$1:$O$113,15,0)),0,VLOOKUP($T$111,'TAR FIN'!$A$1:$O$113,15,0))</f>
        <v>940.43</v>
      </c>
      <c r="X111" s="6">
        <f>IF(ISERROR(VLOOKUP($U$111,'TAR FIN'!$A$1:$O$113,15,0)),0,VLOOKUP($U$111,'TAR FIN'!$A$1:$O$113,15,0))</f>
        <v>0</v>
      </c>
      <c r="Y111" s="6"/>
      <c r="Z111" s="6">
        <f ca="1">('TUSD BE'!$AM$20+'TUSD BF'!$AM$20+'TUSD CVA'!$AM$20)*1</f>
        <v>1117.8285588949407</v>
      </c>
      <c r="AA111" s="6"/>
      <c r="AB111" s="6">
        <f t="shared" si="6"/>
        <v>0</v>
      </c>
      <c r="AC111" s="6">
        <f t="shared" si="7"/>
        <v>60803.800766927518</v>
      </c>
      <c r="AD111" s="6">
        <f t="shared" si="8"/>
        <v>0</v>
      </c>
      <c r="AE111" s="6">
        <f t="shared" ca="1" si="9"/>
        <v>72273.561016375141</v>
      </c>
      <c r="AF111" s="4" t="s">
        <v>851</v>
      </c>
    </row>
    <row r="112" spans="1:32" ht="11.25" customHeight="1" x14ac:dyDescent="0.3">
      <c r="A112" s="4" t="s">
        <v>21</v>
      </c>
      <c r="B112" s="4" t="s">
        <v>39</v>
      </c>
      <c r="C112" s="4" t="s">
        <v>41</v>
      </c>
      <c r="D112" s="4" t="s">
        <v>38</v>
      </c>
      <c r="E112" s="4" t="s">
        <v>25</v>
      </c>
      <c r="F112" s="4" t="s">
        <v>56</v>
      </c>
      <c r="G112" s="4" t="s">
        <v>25</v>
      </c>
      <c r="H112" s="4" t="s">
        <v>34</v>
      </c>
      <c r="I112" s="5">
        <v>44562</v>
      </c>
      <c r="J112" s="6">
        <v>0</v>
      </c>
      <c r="K112" s="6">
        <v>0</v>
      </c>
      <c r="L112" s="6">
        <v>183.863</v>
      </c>
      <c r="M112" s="6">
        <v>82.91051747457</v>
      </c>
      <c r="N112" s="6">
        <v>0</v>
      </c>
      <c r="O112" s="6">
        <v>0</v>
      </c>
      <c r="P112" s="6">
        <v>0</v>
      </c>
      <c r="Q112" s="4" t="s">
        <v>55</v>
      </c>
      <c r="R112" s="4">
        <v>0</v>
      </c>
      <c r="S112" s="4">
        <v>0</v>
      </c>
      <c r="T112" s="4">
        <v>8</v>
      </c>
      <c r="U112" s="4">
        <v>0</v>
      </c>
      <c r="V112" s="6">
        <f>IF(ISERROR(VLOOKUP($S$112,'TAR FIN'!$A$1:$O$113,15,0)),0,VLOOKUP($S$112,'TAR FIN'!$A$1:$O$113,15,0))</f>
        <v>0</v>
      </c>
      <c r="W112" s="6">
        <f>IF(ISERROR(VLOOKUP($T$112,'TAR FIN'!$A$1:$O$113,15,0)),0,VLOOKUP($T$112,'TAR FIN'!$A$1:$O$113,15,0))</f>
        <v>940.43</v>
      </c>
      <c r="X112" s="6">
        <f>IF(ISERROR(VLOOKUP($U$112,'TAR FIN'!$A$1:$O$113,15,0)),0,VLOOKUP($U$112,'TAR FIN'!$A$1:$O$113,15,0))</f>
        <v>0</v>
      </c>
      <c r="Y112" s="6"/>
      <c r="Z112" s="6">
        <f ca="1">('TUSD BE'!$AM$20+'TUSD BF'!$AM$20+'TUSD CVA'!$AM$20)*1</f>
        <v>1117.8285588949407</v>
      </c>
      <c r="AA112" s="6"/>
      <c r="AB112" s="6">
        <f t="shared" si="6"/>
        <v>0</v>
      </c>
      <c r="AC112" s="6">
        <f t="shared" si="7"/>
        <v>94938.743141390136</v>
      </c>
      <c r="AD112" s="6">
        <f t="shared" si="8"/>
        <v>0</v>
      </c>
      <c r="AE112" s="6">
        <f t="shared" ca="1" si="9"/>
        <v>112847.56805826809</v>
      </c>
      <c r="AF112" s="4" t="s">
        <v>851</v>
      </c>
    </row>
    <row r="113" spans="1:32" ht="11.25" customHeight="1" x14ac:dyDescent="0.3">
      <c r="A113" s="4" t="s">
        <v>21</v>
      </c>
      <c r="B113" s="4" t="s">
        <v>39</v>
      </c>
      <c r="C113" s="4" t="s">
        <v>41</v>
      </c>
      <c r="D113" s="4" t="s">
        <v>38</v>
      </c>
      <c r="E113" s="4" t="s">
        <v>25</v>
      </c>
      <c r="F113" s="4" t="s">
        <v>56</v>
      </c>
      <c r="G113" s="4" t="s">
        <v>25</v>
      </c>
      <c r="H113" s="4" t="s">
        <v>34</v>
      </c>
      <c r="I113" s="5">
        <v>44593</v>
      </c>
      <c r="J113" s="6">
        <v>0</v>
      </c>
      <c r="K113" s="6">
        <v>0</v>
      </c>
      <c r="L113" s="6">
        <v>176.209</v>
      </c>
      <c r="M113" s="6">
        <v>94.779071372480004</v>
      </c>
      <c r="N113" s="6">
        <v>0</v>
      </c>
      <c r="O113" s="6">
        <v>0</v>
      </c>
      <c r="P113" s="6">
        <v>0</v>
      </c>
      <c r="Q113" s="4" t="s">
        <v>55</v>
      </c>
      <c r="R113" s="4">
        <v>0</v>
      </c>
      <c r="S113" s="4">
        <v>0</v>
      </c>
      <c r="T113" s="4">
        <v>8</v>
      </c>
      <c r="U113" s="4">
        <v>0</v>
      </c>
      <c r="V113" s="6">
        <f>IF(ISERROR(VLOOKUP($S$113,'TAR FIN'!$A$1:$O$113,15,0)),0,VLOOKUP($S$113,'TAR FIN'!$A$1:$O$113,15,0))</f>
        <v>0</v>
      </c>
      <c r="W113" s="6">
        <f>IF(ISERROR(VLOOKUP($T$113,'TAR FIN'!$A$1:$O$113,15,0)),0,VLOOKUP($T$113,'TAR FIN'!$A$1:$O$113,15,0))</f>
        <v>940.43</v>
      </c>
      <c r="X113" s="6">
        <f>IF(ISERROR(VLOOKUP($U$113,'TAR FIN'!$A$1:$O$113,15,0)),0,VLOOKUP($U$113,'TAR FIN'!$A$1:$O$113,15,0))</f>
        <v>0</v>
      </c>
      <c r="Y113" s="6"/>
      <c r="Z113" s="6">
        <f ca="1">('TUSD BE'!$AM$20+'TUSD BF'!$AM$20+'TUSD CVA'!$AM$20)*1</f>
        <v>1117.8285588949407</v>
      </c>
      <c r="AA113" s="6"/>
      <c r="AB113" s="6">
        <f t="shared" si="6"/>
        <v>0</v>
      </c>
      <c r="AC113" s="6">
        <f t="shared" si="7"/>
        <v>76579.147779178631</v>
      </c>
      <c r="AD113" s="6">
        <f t="shared" si="8"/>
        <v>0</v>
      </c>
      <c r="AE113" s="6">
        <f t="shared" ca="1" si="9"/>
        <v>91024.69976861855</v>
      </c>
      <c r="AF113" s="4" t="s">
        <v>851</v>
      </c>
    </row>
    <row r="114" spans="1:32" ht="11.25" customHeight="1" x14ac:dyDescent="0.3">
      <c r="A114" s="4" t="s">
        <v>21</v>
      </c>
      <c r="B114" s="4" t="s">
        <v>39</v>
      </c>
      <c r="C114" s="4" t="s">
        <v>41</v>
      </c>
      <c r="D114" s="4" t="s">
        <v>38</v>
      </c>
      <c r="E114" s="4" t="s">
        <v>25</v>
      </c>
      <c r="F114" s="4" t="s">
        <v>56</v>
      </c>
      <c r="G114" s="4" t="s">
        <v>25</v>
      </c>
      <c r="H114" s="4" t="s">
        <v>34</v>
      </c>
      <c r="I114" s="5">
        <v>44621</v>
      </c>
      <c r="J114" s="6">
        <v>0</v>
      </c>
      <c r="K114" s="6">
        <v>0</v>
      </c>
      <c r="L114" s="6">
        <v>182.48099999999999</v>
      </c>
      <c r="M114" s="6">
        <v>98.261492971199999</v>
      </c>
      <c r="N114" s="6">
        <v>0</v>
      </c>
      <c r="O114" s="6">
        <v>0</v>
      </c>
      <c r="P114" s="6">
        <v>0</v>
      </c>
      <c r="Q114" s="4" t="s">
        <v>55</v>
      </c>
      <c r="R114" s="4">
        <v>0</v>
      </c>
      <c r="S114" s="4">
        <v>0</v>
      </c>
      <c r="T114" s="4">
        <v>8</v>
      </c>
      <c r="U114" s="4">
        <v>0</v>
      </c>
      <c r="V114" s="6">
        <f>IF(ISERROR(VLOOKUP($S$114,'TAR FIN'!$A$1:$O$113,15,0)),0,VLOOKUP($S$114,'TAR FIN'!$A$1:$O$113,15,0))</f>
        <v>0</v>
      </c>
      <c r="W114" s="6">
        <f>IF(ISERROR(VLOOKUP($T$114,'TAR FIN'!$A$1:$O$113,15,0)),0,VLOOKUP($T$114,'TAR FIN'!$A$1:$O$113,15,0))</f>
        <v>940.43</v>
      </c>
      <c r="X114" s="6">
        <f>IF(ISERROR(VLOOKUP($U$114,'TAR FIN'!$A$1:$O$113,15,0)),0,VLOOKUP($U$114,'TAR FIN'!$A$1:$O$113,15,0))</f>
        <v>0</v>
      </c>
      <c r="Y114" s="6"/>
      <c r="Z114" s="6">
        <f ca="1">('TUSD BE'!$AM$20+'TUSD BF'!$AM$20+'TUSD CVA'!$AM$20)*1</f>
        <v>1117.8285588949407</v>
      </c>
      <c r="AA114" s="6"/>
      <c r="AB114" s="6">
        <f t="shared" si="6"/>
        <v>0</v>
      </c>
      <c r="AC114" s="6">
        <f t="shared" si="7"/>
        <v>79202.550995094382</v>
      </c>
      <c r="AD114" s="6">
        <f t="shared" si="8"/>
        <v>0</v>
      </c>
      <c r="AE114" s="6">
        <f t="shared" ca="1" si="9"/>
        <v>94142.970172845831</v>
      </c>
      <c r="AF114" s="4" t="s">
        <v>851</v>
      </c>
    </row>
    <row r="115" spans="1:32" ht="11.25" customHeight="1" x14ac:dyDescent="0.3">
      <c r="A115" s="4" t="s">
        <v>21</v>
      </c>
      <c r="B115" s="4" t="s">
        <v>39</v>
      </c>
      <c r="C115" s="4" t="s">
        <v>41</v>
      </c>
      <c r="D115" s="4" t="s">
        <v>38</v>
      </c>
      <c r="E115" s="4" t="s">
        <v>25</v>
      </c>
      <c r="F115" s="4" t="s">
        <v>56</v>
      </c>
      <c r="G115" s="4" t="s">
        <v>25</v>
      </c>
      <c r="H115" s="4" t="s">
        <v>34</v>
      </c>
      <c r="I115" s="5">
        <v>44652</v>
      </c>
      <c r="J115" s="6">
        <v>0</v>
      </c>
      <c r="K115" s="6">
        <v>0</v>
      </c>
      <c r="L115" s="6">
        <v>216.84899999999999</v>
      </c>
      <c r="M115" s="6">
        <v>113.59783189716001</v>
      </c>
      <c r="N115" s="6">
        <v>0</v>
      </c>
      <c r="O115" s="6">
        <v>0</v>
      </c>
      <c r="P115" s="6">
        <v>0</v>
      </c>
      <c r="Q115" s="4" t="s">
        <v>55</v>
      </c>
      <c r="R115" s="4">
        <v>0</v>
      </c>
      <c r="S115" s="4">
        <v>0</v>
      </c>
      <c r="T115" s="4">
        <v>8</v>
      </c>
      <c r="U115" s="4">
        <v>0</v>
      </c>
      <c r="V115" s="6">
        <f>IF(ISERROR(VLOOKUP($S$115,'TAR FIN'!$A$1:$O$113,15,0)),0,VLOOKUP($S$115,'TAR FIN'!$A$1:$O$113,15,0))</f>
        <v>0</v>
      </c>
      <c r="W115" s="6">
        <f>IF(ISERROR(VLOOKUP($T$115,'TAR FIN'!$A$1:$O$113,15,0)),0,VLOOKUP($T$115,'TAR FIN'!$A$1:$O$113,15,0))</f>
        <v>940.43</v>
      </c>
      <c r="X115" s="6">
        <f>IF(ISERROR(VLOOKUP($U$115,'TAR FIN'!$A$1:$O$113,15,0)),0,VLOOKUP($U$115,'TAR FIN'!$A$1:$O$113,15,0))</f>
        <v>0</v>
      </c>
      <c r="Y115" s="6"/>
      <c r="Z115" s="6">
        <f ca="1">('TUSD BE'!$AM$20+'TUSD BF'!$AM$20+'TUSD CVA'!$AM$20)*1</f>
        <v>1117.8285588949407</v>
      </c>
      <c r="AA115" s="6"/>
      <c r="AB115" s="6">
        <f t="shared" si="6"/>
        <v>0</v>
      </c>
      <c r="AC115" s="6">
        <f t="shared" si="7"/>
        <v>97100.496018953796</v>
      </c>
      <c r="AD115" s="6">
        <f t="shared" si="8"/>
        <v>0</v>
      </c>
      <c r="AE115" s="6">
        <f t="shared" ca="1" si="9"/>
        <v>115417.10444461688</v>
      </c>
      <c r="AF115" s="4" t="s">
        <v>851</v>
      </c>
    </row>
    <row r="116" spans="1:32" ht="11.25" customHeight="1" x14ac:dyDescent="0.3">
      <c r="A116" s="4" t="s">
        <v>21</v>
      </c>
      <c r="B116" s="4" t="s">
        <v>39</v>
      </c>
      <c r="C116" s="4" t="s">
        <v>41</v>
      </c>
      <c r="D116" s="4" t="s">
        <v>38</v>
      </c>
      <c r="E116" s="4" t="s">
        <v>25</v>
      </c>
      <c r="F116" s="4" t="s">
        <v>56</v>
      </c>
      <c r="G116" s="4" t="s">
        <v>25</v>
      </c>
      <c r="H116" s="4" t="s">
        <v>34</v>
      </c>
      <c r="I116" s="5">
        <v>44682</v>
      </c>
      <c r="J116" s="6">
        <v>0</v>
      </c>
      <c r="K116" s="6">
        <v>0</v>
      </c>
      <c r="L116" s="6">
        <v>175.78700000000001</v>
      </c>
      <c r="M116" s="6">
        <v>98.715021550540001</v>
      </c>
      <c r="N116" s="6">
        <v>0</v>
      </c>
      <c r="O116" s="6">
        <v>0</v>
      </c>
      <c r="P116" s="6">
        <v>0</v>
      </c>
      <c r="Q116" s="4" t="s">
        <v>55</v>
      </c>
      <c r="R116" s="4">
        <v>0</v>
      </c>
      <c r="S116" s="4">
        <v>0</v>
      </c>
      <c r="T116" s="4">
        <v>8</v>
      </c>
      <c r="U116" s="4">
        <v>0</v>
      </c>
      <c r="V116" s="6">
        <f>IF(ISERROR(VLOOKUP($S$116,'TAR FIN'!$A$1:$O$113,15,0)),0,VLOOKUP($S$116,'TAR FIN'!$A$1:$O$113,15,0))</f>
        <v>0</v>
      </c>
      <c r="W116" s="6">
        <f>IF(ISERROR(VLOOKUP($T$116,'TAR FIN'!$A$1:$O$113,15,0)),0,VLOOKUP($T$116,'TAR FIN'!$A$1:$O$113,15,0))</f>
        <v>940.43</v>
      </c>
      <c r="X116" s="6">
        <f>IF(ISERROR(VLOOKUP($U$116,'TAR FIN'!$A$1:$O$113,15,0)),0,VLOOKUP($U$116,'TAR FIN'!$A$1:$O$113,15,0))</f>
        <v>0</v>
      </c>
      <c r="Y116" s="6"/>
      <c r="Z116" s="6">
        <f ca="1">('TUSD BE'!$AM$20+'TUSD BF'!$AM$20+'TUSD CVA'!$AM$20)*1</f>
        <v>1117.8285588949407</v>
      </c>
      <c r="AA116" s="6"/>
      <c r="AB116" s="6">
        <f t="shared" si="6"/>
        <v>0</v>
      </c>
      <c r="AC116" s="6">
        <f t="shared" si="7"/>
        <v>72480.800693225669</v>
      </c>
      <c r="AD116" s="6">
        <f t="shared" si="8"/>
        <v>0</v>
      </c>
      <c r="AE116" s="6">
        <f t="shared" ca="1" si="9"/>
        <v>86153.258601341804</v>
      </c>
      <c r="AF116" s="4" t="s">
        <v>851</v>
      </c>
    </row>
    <row r="117" spans="1:32" ht="11.25" customHeight="1" x14ac:dyDescent="0.3">
      <c r="A117" s="4" t="s">
        <v>21</v>
      </c>
      <c r="B117" s="4" t="s">
        <v>39</v>
      </c>
      <c r="C117" s="4" t="s">
        <v>41</v>
      </c>
      <c r="D117" s="4" t="s">
        <v>38</v>
      </c>
      <c r="E117" s="4" t="s">
        <v>25</v>
      </c>
      <c r="F117" s="4" t="s">
        <v>56</v>
      </c>
      <c r="G117" s="4" t="s">
        <v>25</v>
      </c>
      <c r="H117" s="4" t="s">
        <v>34</v>
      </c>
      <c r="I117" s="5">
        <v>44713</v>
      </c>
      <c r="J117" s="6">
        <v>0</v>
      </c>
      <c r="K117" s="6">
        <v>0</v>
      </c>
      <c r="L117" s="6">
        <v>188.727</v>
      </c>
      <c r="M117" s="6">
        <v>100.25089915764001</v>
      </c>
      <c r="N117" s="6">
        <v>0</v>
      </c>
      <c r="O117" s="6">
        <v>0</v>
      </c>
      <c r="P117" s="6">
        <v>0</v>
      </c>
      <c r="Q117" s="4" t="s">
        <v>55</v>
      </c>
      <c r="R117" s="4">
        <v>0</v>
      </c>
      <c r="S117" s="4">
        <v>0</v>
      </c>
      <c r="T117" s="4">
        <v>8</v>
      </c>
      <c r="U117" s="4">
        <v>0</v>
      </c>
      <c r="V117" s="6">
        <f>IF(ISERROR(VLOOKUP($S$117,'TAR FIN'!$A$1:$O$113,15,0)),0,VLOOKUP($S$117,'TAR FIN'!$A$1:$O$113,15,0))</f>
        <v>0</v>
      </c>
      <c r="W117" s="6">
        <f>IF(ISERROR(VLOOKUP($T$117,'TAR FIN'!$A$1:$O$113,15,0)),0,VLOOKUP($T$117,'TAR FIN'!$A$1:$O$113,15,0))</f>
        <v>940.43</v>
      </c>
      <c r="X117" s="6">
        <f>IF(ISERROR(VLOOKUP($U$117,'TAR FIN'!$A$1:$O$113,15,0)),0,VLOOKUP($U$117,'TAR FIN'!$A$1:$O$113,15,0))</f>
        <v>0</v>
      </c>
      <c r="Y117" s="6"/>
      <c r="Z117" s="6">
        <f ca="1">('TUSD BE'!$AM$20+'TUSD BF'!$AM$20+'TUSD CVA'!$AM$20)*1</f>
        <v>1117.8285588949407</v>
      </c>
      <c r="AA117" s="6"/>
      <c r="AB117" s="6">
        <f t="shared" si="6"/>
        <v>0</v>
      </c>
      <c r="AC117" s="6">
        <f t="shared" si="7"/>
        <v>83205.579515180609</v>
      </c>
      <c r="AD117" s="6">
        <f t="shared" si="8"/>
        <v>0</v>
      </c>
      <c r="AE117" s="6">
        <f t="shared" ca="1" si="9"/>
        <v>98901.11230125872</v>
      </c>
      <c r="AF117" s="4" t="s">
        <v>851</v>
      </c>
    </row>
    <row r="118" spans="1:32" ht="11.25" customHeight="1" x14ac:dyDescent="0.3">
      <c r="A118" s="4" t="s">
        <v>21</v>
      </c>
      <c r="B118" s="4" t="s">
        <v>39</v>
      </c>
      <c r="C118" s="4" t="s">
        <v>41</v>
      </c>
      <c r="D118" s="4" t="s">
        <v>38</v>
      </c>
      <c r="E118" s="4" t="s">
        <v>25</v>
      </c>
      <c r="F118" s="4" t="s">
        <v>56</v>
      </c>
      <c r="G118" s="4" t="s">
        <v>25</v>
      </c>
      <c r="H118" s="4" t="s">
        <v>34</v>
      </c>
      <c r="I118" s="5">
        <v>44743</v>
      </c>
      <c r="J118" s="6">
        <v>0</v>
      </c>
      <c r="K118" s="6">
        <v>0</v>
      </c>
      <c r="L118" s="6">
        <v>179.56100000000001</v>
      </c>
      <c r="M118" s="6">
        <v>92.625512965469994</v>
      </c>
      <c r="N118" s="6">
        <v>0</v>
      </c>
      <c r="O118" s="6">
        <v>0</v>
      </c>
      <c r="P118" s="6">
        <v>0</v>
      </c>
      <c r="Q118" s="4" t="s">
        <v>55</v>
      </c>
      <c r="R118" s="4">
        <v>0</v>
      </c>
      <c r="S118" s="4">
        <v>0</v>
      </c>
      <c r="T118" s="4">
        <v>8</v>
      </c>
      <c r="U118" s="4">
        <v>0</v>
      </c>
      <c r="V118" s="6">
        <f>IF(ISERROR(VLOOKUP($S$118,'TAR FIN'!$A$1:$O$113,15,0)),0,VLOOKUP($S$118,'TAR FIN'!$A$1:$O$113,15,0))</f>
        <v>0</v>
      </c>
      <c r="W118" s="6">
        <f>IF(ISERROR(VLOOKUP($T$118,'TAR FIN'!$A$1:$O$113,15,0)),0,VLOOKUP($T$118,'TAR FIN'!$A$1:$O$113,15,0))</f>
        <v>940.43</v>
      </c>
      <c r="X118" s="6">
        <f>IF(ISERROR(VLOOKUP($U$118,'TAR FIN'!$A$1:$O$113,15,0)),0,VLOOKUP($U$118,'TAR FIN'!$A$1:$O$113,15,0))</f>
        <v>0</v>
      </c>
      <c r="Y118" s="6"/>
      <c r="Z118" s="6">
        <f ca="1">('TUSD BE'!$AM$20+'TUSD BF'!$AM$20+'TUSD CVA'!$AM$20)*1</f>
        <v>1117.8285588949407</v>
      </c>
      <c r="AA118" s="6"/>
      <c r="AB118" s="6">
        <f t="shared" si="6"/>
        <v>0</v>
      </c>
      <c r="AC118" s="6">
        <f t="shared" si="7"/>
        <v>81756.740071883061</v>
      </c>
      <c r="AD118" s="6">
        <f t="shared" si="8"/>
        <v>0</v>
      </c>
      <c r="AE118" s="6">
        <f t="shared" ca="1" si="9"/>
        <v>97178.970188638486</v>
      </c>
      <c r="AF118" s="4" t="s">
        <v>851</v>
      </c>
    </row>
    <row r="119" spans="1:32" ht="11.25" customHeight="1" x14ac:dyDescent="0.3">
      <c r="A119" s="4" t="s">
        <v>21</v>
      </c>
      <c r="B119" s="4" t="s">
        <v>39</v>
      </c>
      <c r="C119" s="4" t="s">
        <v>41</v>
      </c>
      <c r="D119" s="4" t="s">
        <v>38</v>
      </c>
      <c r="E119" s="4" t="s">
        <v>25</v>
      </c>
      <c r="F119" s="4" t="s">
        <v>56</v>
      </c>
      <c r="G119" s="4" t="s">
        <v>25</v>
      </c>
      <c r="H119" s="4" t="s">
        <v>34</v>
      </c>
      <c r="I119" s="5">
        <v>44774</v>
      </c>
      <c r="J119" s="6">
        <v>0</v>
      </c>
      <c r="K119" s="6">
        <v>0</v>
      </c>
      <c r="L119" s="6">
        <v>167.62700000000001</v>
      </c>
      <c r="M119" s="6">
        <v>88.032715173019994</v>
      </c>
      <c r="N119" s="6">
        <v>0</v>
      </c>
      <c r="O119" s="6">
        <v>0</v>
      </c>
      <c r="P119" s="6">
        <v>0</v>
      </c>
      <c r="Q119" s="4" t="s">
        <v>55</v>
      </c>
      <c r="R119" s="4">
        <v>0</v>
      </c>
      <c r="S119" s="4">
        <v>0</v>
      </c>
      <c r="T119" s="4">
        <v>8</v>
      </c>
      <c r="U119" s="4">
        <v>0</v>
      </c>
      <c r="V119" s="6">
        <f>IF(ISERROR(VLOOKUP($S$119,'TAR FIN'!$A$1:$O$113,15,0)),0,VLOOKUP($S$119,'TAR FIN'!$A$1:$O$113,15,0))</f>
        <v>0</v>
      </c>
      <c r="W119" s="6">
        <f>IF(ISERROR(VLOOKUP($T$119,'TAR FIN'!$A$1:$O$113,15,0)),0,VLOOKUP($T$119,'TAR FIN'!$A$1:$O$113,15,0))</f>
        <v>940.43</v>
      </c>
      <c r="X119" s="6">
        <f>IF(ISERROR(VLOOKUP($U$119,'TAR FIN'!$A$1:$O$113,15,0)),0,VLOOKUP($U$119,'TAR FIN'!$A$1:$O$113,15,0))</f>
        <v>0</v>
      </c>
      <c r="Y119" s="6"/>
      <c r="Z119" s="6">
        <f ca="1">('TUSD BE'!$AM$20+'TUSD BF'!$AM$20+'TUSD CVA'!$AM$20)*1</f>
        <v>1117.8285588949407</v>
      </c>
      <c r="AA119" s="6"/>
      <c r="AB119" s="6">
        <f t="shared" si="6"/>
        <v>0</v>
      </c>
      <c r="AC119" s="6">
        <f t="shared" si="7"/>
        <v>74852.853279836811</v>
      </c>
      <c r="AD119" s="6">
        <f t="shared" si="8"/>
        <v>0</v>
      </c>
      <c r="AE119" s="6">
        <f t="shared" ca="1" si="9"/>
        <v>88972.764704416506</v>
      </c>
      <c r="AF119" s="4" t="s">
        <v>851</v>
      </c>
    </row>
    <row r="120" spans="1:32" ht="11.25" customHeight="1" x14ac:dyDescent="0.3">
      <c r="A120" s="4" t="s">
        <v>21</v>
      </c>
      <c r="B120" s="4" t="s">
        <v>39</v>
      </c>
      <c r="C120" s="4" t="s">
        <v>41</v>
      </c>
      <c r="D120" s="4" t="s">
        <v>38</v>
      </c>
      <c r="E120" s="4" t="s">
        <v>25</v>
      </c>
      <c r="F120" s="4" t="s">
        <v>56</v>
      </c>
      <c r="G120" s="4" t="s">
        <v>25</v>
      </c>
      <c r="H120" s="4" t="s">
        <v>34</v>
      </c>
      <c r="I120" s="5">
        <v>44805</v>
      </c>
      <c r="J120" s="6">
        <v>0</v>
      </c>
      <c r="K120" s="6">
        <v>0</v>
      </c>
      <c r="L120" s="6">
        <v>201.63499999999999</v>
      </c>
      <c r="M120" s="6">
        <v>106.0584009527</v>
      </c>
      <c r="N120" s="6">
        <v>0</v>
      </c>
      <c r="O120" s="6">
        <v>0</v>
      </c>
      <c r="P120" s="6">
        <v>0</v>
      </c>
      <c r="Q120" s="4" t="s">
        <v>55</v>
      </c>
      <c r="R120" s="4">
        <v>0</v>
      </c>
      <c r="S120" s="4">
        <v>0</v>
      </c>
      <c r="T120" s="4">
        <v>8</v>
      </c>
      <c r="U120" s="4">
        <v>0</v>
      </c>
      <c r="V120" s="6">
        <f>IF(ISERROR(VLOOKUP($S$120,'TAR FIN'!$A$1:$O$113,15,0)),0,VLOOKUP($S$120,'TAR FIN'!$A$1:$O$113,15,0))</f>
        <v>0</v>
      </c>
      <c r="W120" s="6">
        <f>IF(ISERROR(VLOOKUP($T$120,'TAR FIN'!$A$1:$O$113,15,0)),0,VLOOKUP($T$120,'TAR FIN'!$A$1:$O$113,15,0))</f>
        <v>940.43</v>
      </c>
      <c r="X120" s="6">
        <f>IF(ISERROR(VLOOKUP($U$120,'TAR FIN'!$A$1:$O$113,15,0)),0,VLOOKUP($U$120,'TAR FIN'!$A$1:$O$113,15,0))</f>
        <v>0</v>
      </c>
      <c r="Y120" s="6"/>
      <c r="Z120" s="6">
        <f ca="1">('TUSD BE'!$AM$20+'TUSD BF'!$AM$20+'TUSD CVA'!$AM$20)*1</f>
        <v>1117.8285588949407</v>
      </c>
      <c r="AA120" s="6"/>
      <c r="AB120" s="6">
        <f t="shared" si="6"/>
        <v>0</v>
      </c>
      <c r="AC120" s="6">
        <f t="shared" si="7"/>
        <v>89883.101042052323</v>
      </c>
      <c r="AD120" s="6">
        <f t="shared" si="8"/>
        <v>0</v>
      </c>
      <c r="AE120" s="6">
        <f t="shared" ca="1" si="9"/>
        <v>106838.25197712291</v>
      </c>
      <c r="AF120" s="4" t="s">
        <v>851</v>
      </c>
    </row>
    <row r="121" spans="1:32" ht="11.25" customHeight="1" x14ac:dyDescent="0.3">
      <c r="A121" s="4" t="s">
        <v>53</v>
      </c>
      <c r="B121" s="4" t="s">
        <v>39</v>
      </c>
      <c r="C121" s="4" t="s">
        <v>41</v>
      </c>
      <c r="D121" s="4" t="s">
        <v>38</v>
      </c>
      <c r="E121" s="4" t="s">
        <v>25</v>
      </c>
      <c r="F121" s="4" t="s">
        <v>56</v>
      </c>
      <c r="G121" s="4" t="s">
        <v>25</v>
      </c>
      <c r="H121" s="4" t="s">
        <v>34</v>
      </c>
      <c r="I121" s="5">
        <v>44835</v>
      </c>
      <c r="J121" s="6">
        <v>0</v>
      </c>
      <c r="K121" s="6">
        <v>0</v>
      </c>
      <c r="L121" s="6">
        <v>201.63499999999999</v>
      </c>
      <c r="M121" s="6">
        <v>106.0584009527</v>
      </c>
      <c r="N121" s="6">
        <v>0</v>
      </c>
      <c r="O121" s="6">
        <v>0</v>
      </c>
      <c r="P121" s="6">
        <v>0</v>
      </c>
      <c r="Q121" s="4" t="s">
        <v>55</v>
      </c>
      <c r="R121" s="4">
        <v>0</v>
      </c>
      <c r="S121" s="4">
        <v>0</v>
      </c>
      <c r="T121" s="4">
        <v>8</v>
      </c>
      <c r="U121" s="4">
        <v>0</v>
      </c>
      <c r="V121" s="6">
        <f>IF(ISERROR(VLOOKUP($S$121,'TAR FIN'!$A$1:$O$113,15,0)),0,VLOOKUP($S$121,'TAR FIN'!$A$1:$O$113,15,0))</f>
        <v>0</v>
      </c>
      <c r="W121" s="6">
        <f>IF(ISERROR(VLOOKUP($T$121,'TAR FIN'!$A$1:$O$113,15,0)),0,VLOOKUP($T$121,'TAR FIN'!$A$1:$O$113,15,0))</f>
        <v>940.43</v>
      </c>
      <c r="X121" s="6">
        <f>IF(ISERROR(VLOOKUP($U$121,'TAR FIN'!$A$1:$O$113,15,0)),0,VLOOKUP($U$121,'TAR FIN'!$A$1:$O$113,15,0))</f>
        <v>0</v>
      </c>
      <c r="Y121" s="6"/>
      <c r="Z121" s="6">
        <f ca="1">('TUSD BE'!$AM$20+'TUSD BF'!$AM$20+'TUSD CVA'!$AM$20)*1</f>
        <v>1117.8285588949407</v>
      </c>
      <c r="AA121" s="6"/>
      <c r="AB121" s="6">
        <f t="shared" si="6"/>
        <v>0</v>
      </c>
      <c r="AC121" s="6">
        <f t="shared" si="7"/>
        <v>89883.101042052323</v>
      </c>
      <c r="AD121" s="6">
        <f t="shared" si="8"/>
        <v>0</v>
      </c>
      <c r="AE121" s="6">
        <f t="shared" ca="1" si="9"/>
        <v>106838.25197712291</v>
      </c>
      <c r="AF121" s="4" t="s">
        <v>851</v>
      </c>
    </row>
    <row r="122" spans="1:32" ht="11.25" customHeight="1" x14ac:dyDescent="0.3">
      <c r="A122" s="4" t="s">
        <v>21</v>
      </c>
      <c r="B122" s="4" t="s">
        <v>39</v>
      </c>
      <c r="C122" s="4" t="s">
        <v>41</v>
      </c>
      <c r="D122" s="4" t="s">
        <v>45</v>
      </c>
      <c r="E122" s="4" t="s">
        <v>25</v>
      </c>
      <c r="F122" s="4" t="s">
        <v>25</v>
      </c>
      <c r="G122" s="4" t="s">
        <v>25</v>
      </c>
      <c r="H122" s="4" t="s">
        <v>35</v>
      </c>
      <c r="I122" s="5">
        <v>44501</v>
      </c>
      <c r="J122" s="6">
        <v>0</v>
      </c>
      <c r="K122" s="53">
        <v>0</v>
      </c>
      <c r="L122" s="6">
        <v>113.935</v>
      </c>
      <c r="M122" s="53">
        <v>113.935</v>
      </c>
      <c r="N122" s="6">
        <v>113.935</v>
      </c>
      <c r="O122" s="53">
        <v>113.935</v>
      </c>
      <c r="P122" s="6">
        <v>0</v>
      </c>
      <c r="Q122" s="4" t="s">
        <v>26</v>
      </c>
      <c r="R122" s="4">
        <v>0</v>
      </c>
      <c r="S122" s="4">
        <v>0</v>
      </c>
      <c r="T122" s="4">
        <v>6</v>
      </c>
      <c r="U122" s="4">
        <v>61</v>
      </c>
      <c r="V122" s="53">
        <f>IF(ISERROR(VLOOKUP($S$122,'TAR FIN'!$A$1:$O$113,15,0)),0,VLOOKUP($S$122,'TAR FIN'!$A$1:$O$113,15,0))</f>
        <v>0</v>
      </c>
      <c r="W122" s="53">
        <f>IF(ISERROR(VLOOKUP($T$122,'TAR FIN'!$A$1:$O$113,15,0)),0,VLOOKUP($T$122,'TAR FIN'!$A$1:$O$113,15,0))*(1-0.04)</f>
        <v>69.263999999999996</v>
      </c>
      <c r="X122" s="53">
        <f>IF(ISERROR(VLOOKUP($U$122,'TAR FIN'!$A$1:$O$113,15,0)),0,VLOOKUP($U$122,'TAR FIN'!$A$1:$O$113,15,0))*(1-0.04)</f>
        <v>267.52320000000003</v>
      </c>
      <c r="Y122" s="53"/>
      <c r="Z122" s="53">
        <f ca="1">('TUSD BE'!$AM$21+'TUSD BF'!$AM$21+'TUSD CVA'!$AM$21)*1*(1-0.02)</f>
        <v>119.69774225030127</v>
      </c>
      <c r="AA122" s="53">
        <f>('TE BE'!$AB$10+'TE BF'!$AB$10+'TE CVA'!$AB$10)*1*(1-0.02)</f>
        <v>293.19693941863773</v>
      </c>
      <c r="AB122" s="53">
        <f>(SUBSIDIO!$J$122*SUBSIDIO!$V$122)*(0.04)/(1-0.04)</f>
        <v>0</v>
      </c>
      <c r="AC122" s="53">
        <f>((SUBSIDIO!$L$122*SUBSIDIO!$W$122)+(SUBSIDIO!$N$122*SUBSIDIO!$X$122))*(0.04)/(1-0.04)</f>
        <v>1598.8270680000003</v>
      </c>
      <c r="AD122" s="53">
        <f>(SUBSIDIO!$J$122*SUBSIDIO!$Y$122)*(0.02)/(1-0.02)</f>
        <v>0</v>
      </c>
      <c r="AE122" s="53">
        <f ca="1">((SUBSIDIO!$L$122*SUBSIDIO!$Z$122)+(SUBSIDIO!$N$122*SUBSIDIO!$AA$122))*(0.02)/(1-0.02)</f>
        <v>960.064399101032</v>
      </c>
      <c r="AF122" s="4" t="s">
        <v>853</v>
      </c>
    </row>
    <row r="123" spans="1:32" ht="11.25" customHeight="1" x14ac:dyDescent="0.3">
      <c r="A123" s="4" t="s">
        <v>21</v>
      </c>
      <c r="B123" s="4" t="s">
        <v>39</v>
      </c>
      <c r="C123" s="4" t="s">
        <v>41</v>
      </c>
      <c r="D123" s="4" t="s">
        <v>45</v>
      </c>
      <c r="E123" s="4" t="s">
        <v>25</v>
      </c>
      <c r="F123" s="4" t="s">
        <v>25</v>
      </c>
      <c r="G123" s="4" t="s">
        <v>25</v>
      </c>
      <c r="H123" s="4" t="s">
        <v>35</v>
      </c>
      <c r="I123" s="5">
        <v>44531</v>
      </c>
      <c r="J123" s="6">
        <v>0</v>
      </c>
      <c r="K123" s="53">
        <v>0</v>
      </c>
      <c r="L123" s="6">
        <v>110.267</v>
      </c>
      <c r="M123" s="53">
        <v>110.267</v>
      </c>
      <c r="N123" s="6">
        <v>110.267</v>
      </c>
      <c r="O123" s="53">
        <v>110.267</v>
      </c>
      <c r="P123" s="6">
        <v>0</v>
      </c>
      <c r="Q123" s="4" t="s">
        <v>26</v>
      </c>
      <c r="R123" s="4">
        <v>0</v>
      </c>
      <c r="S123" s="4">
        <v>0</v>
      </c>
      <c r="T123" s="4">
        <v>6</v>
      </c>
      <c r="U123" s="4">
        <v>61</v>
      </c>
      <c r="V123" s="53">
        <f>IF(ISERROR(VLOOKUP($S$123,'TAR FIN'!$A$1:$O$113,15,0)),0,VLOOKUP($S$123,'TAR FIN'!$A$1:$O$113,15,0))</f>
        <v>0</v>
      </c>
      <c r="W123" s="53">
        <f>IF(ISERROR(VLOOKUP($T$123,'TAR FIN'!$A$1:$O$113,15,0)),0,VLOOKUP($T$123,'TAR FIN'!$A$1:$O$113,15,0))*(1-0.04)</f>
        <v>69.263999999999996</v>
      </c>
      <c r="X123" s="53">
        <f>IF(ISERROR(VLOOKUP($U$123,'TAR FIN'!$A$1:$O$113,15,0)),0,VLOOKUP($U$123,'TAR FIN'!$A$1:$O$113,15,0))*(1-0.04)</f>
        <v>267.52320000000003</v>
      </c>
      <c r="Y123" s="53"/>
      <c r="Z123" s="53">
        <f ca="1">('TUSD BE'!$AM$21+'TUSD BF'!$AM$21+'TUSD CVA'!$AM$21)*1*(1-0.02)</f>
        <v>119.69774225030127</v>
      </c>
      <c r="AA123" s="53">
        <f>('TE BE'!$AB$10+'TE BF'!$AB$10+'TE CVA'!$AB$10)*1*(1-0.02)</f>
        <v>293.19693941863773</v>
      </c>
      <c r="AB123" s="53">
        <f>(SUBSIDIO!$J$123*SUBSIDIO!$V$123)*(0.04)/(1-0.04)</f>
        <v>0</v>
      </c>
      <c r="AC123" s="53">
        <f>((SUBSIDIO!$L$123*SUBSIDIO!$W$123)+(SUBSIDIO!$N$123*SUBSIDIO!$X$123))*(0.04)/(1-0.04)</f>
        <v>1547.3547576000003</v>
      </c>
      <c r="AD123" s="53">
        <f>(SUBSIDIO!$J$123*SUBSIDIO!$Y$123)*(0.02)/(1-0.02)</f>
        <v>0</v>
      </c>
      <c r="AE123" s="53">
        <f ca="1">((SUBSIDIO!$L$123*SUBSIDIO!$Z$123)+(SUBSIDIO!$N$123*SUBSIDIO!$AA$123))*(0.02)/(1-0.02)</f>
        <v>929.1562829303856</v>
      </c>
      <c r="AF123" s="4" t="s">
        <v>853</v>
      </c>
    </row>
    <row r="124" spans="1:32" ht="11.25" customHeight="1" x14ac:dyDescent="0.3">
      <c r="A124" s="4" t="s">
        <v>21</v>
      </c>
      <c r="B124" s="4" t="s">
        <v>39</v>
      </c>
      <c r="C124" s="4" t="s">
        <v>41</v>
      </c>
      <c r="D124" s="4" t="s">
        <v>45</v>
      </c>
      <c r="E124" s="4" t="s">
        <v>25</v>
      </c>
      <c r="F124" s="4" t="s">
        <v>25</v>
      </c>
      <c r="G124" s="4" t="s">
        <v>25</v>
      </c>
      <c r="H124" s="4" t="s">
        <v>35</v>
      </c>
      <c r="I124" s="5">
        <v>44562</v>
      </c>
      <c r="J124" s="6">
        <v>0</v>
      </c>
      <c r="K124" s="53">
        <v>0</v>
      </c>
      <c r="L124" s="6">
        <v>111.45</v>
      </c>
      <c r="M124" s="53">
        <v>111.45</v>
      </c>
      <c r="N124" s="6">
        <v>111.45</v>
      </c>
      <c r="O124" s="53">
        <v>111.45</v>
      </c>
      <c r="P124" s="6">
        <v>0</v>
      </c>
      <c r="Q124" s="4" t="s">
        <v>26</v>
      </c>
      <c r="R124" s="4">
        <v>0</v>
      </c>
      <c r="S124" s="4">
        <v>0</v>
      </c>
      <c r="T124" s="4">
        <v>6</v>
      </c>
      <c r="U124" s="4">
        <v>61</v>
      </c>
      <c r="V124" s="53">
        <f>IF(ISERROR(VLOOKUP($S$124,'TAR FIN'!$A$1:$O$113,15,0)),0,VLOOKUP($S$124,'TAR FIN'!$A$1:$O$113,15,0))</f>
        <v>0</v>
      </c>
      <c r="W124" s="53">
        <f>IF(ISERROR(VLOOKUP($T$124,'TAR FIN'!$A$1:$O$113,15,0)),0,VLOOKUP($T$124,'TAR FIN'!$A$1:$O$113,15,0))*(1-0.04)</f>
        <v>69.263999999999996</v>
      </c>
      <c r="X124" s="53">
        <f>IF(ISERROR(VLOOKUP($U$124,'TAR FIN'!$A$1:$O$113,15,0)),0,VLOOKUP($U$124,'TAR FIN'!$A$1:$O$113,15,0))*(1-0.04)</f>
        <v>267.52320000000003</v>
      </c>
      <c r="Y124" s="53"/>
      <c r="Z124" s="53">
        <f ca="1">('TUSD BE'!$AM$21+'TUSD BF'!$AM$21+'TUSD CVA'!$AM$21)*1*(1-0.02)</f>
        <v>119.69774225030127</v>
      </c>
      <c r="AA124" s="53">
        <f>('TE BE'!$AB$10+'TE BF'!$AB$10+'TE CVA'!$AB$10)*1*(1-0.02)</f>
        <v>293.19693941863773</v>
      </c>
      <c r="AB124" s="53">
        <f>(SUBSIDIO!$J$124*SUBSIDIO!$V$124)*(0.04)/(1-0.04)</f>
        <v>0</v>
      </c>
      <c r="AC124" s="53">
        <f>((SUBSIDIO!$L$124*SUBSIDIO!$W$124)+(SUBSIDIO!$N$124*SUBSIDIO!$X$124))*(0.04)/(1-0.04)</f>
        <v>1563.9555600000003</v>
      </c>
      <c r="AD124" s="53">
        <f>(SUBSIDIO!$J$124*SUBSIDIO!$Y$124)*(0.02)/(1-0.02)</f>
        <v>0</v>
      </c>
      <c r="AE124" s="53">
        <f ca="1">((SUBSIDIO!$L$124*SUBSIDIO!$Z$124)+(SUBSIDIO!$N$124*SUBSIDIO!$AA$124))*(0.02)/(1-0.02)</f>
        <v>939.12474024496453</v>
      </c>
      <c r="AF124" s="4" t="s">
        <v>853</v>
      </c>
    </row>
    <row r="125" spans="1:32" ht="11.25" customHeight="1" x14ac:dyDescent="0.3">
      <c r="A125" s="4" t="s">
        <v>21</v>
      </c>
      <c r="B125" s="4" t="s">
        <v>39</v>
      </c>
      <c r="C125" s="4" t="s">
        <v>41</v>
      </c>
      <c r="D125" s="4" t="s">
        <v>45</v>
      </c>
      <c r="E125" s="4" t="s">
        <v>25</v>
      </c>
      <c r="F125" s="4" t="s">
        <v>25</v>
      </c>
      <c r="G125" s="4" t="s">
        <v>25</v>
      </c>
      <c r="H125" s="4" t="s">
        <v>35</v>
      </c>
      <c r="I125" s="5">
        <v>44593</v>
      </c>
      <c r="J125" s="6">
        <v>0</v>
      </c>
      <c r="K125" s="53">
        <v>0</v>
      </c>
      <c r="L125" s="6">
        <v>107.66800000000001</v>
      </c>
      <c r="M125" s="53">
        <v>107.66800000000001</v>
      </c>
      <c r="N125" s="6">
        <v>107.66800000000001</v>
      </c>
      <c r="O125" s="53">
        <v>107.66800000000001</v>
      </c>
      <c r="P125" s="6">
        <v>0</v>
      </c>
      <c r="Q125" s="4" t="s">
        <v>26</v>
      </c>
      <c r="R125" s="4">
        <v>0</v>
      </c>
      <c r="S125" s="4">
        <v>0</v>
      </c>
      <c r="T125" s="4">
        <v>6</v>
      </c>
      <c r="U125" s="4">
        <v>61</v>
      </c>
      <c r="V125" s="53">
        <f>IF(ISERROR(VLOOKUP($S$125,'TAR FIN'!$A$1:$O$113,15,0)),0,VLOOKUP($S$125,'TAR FIN'!$A$1:$O$113,15,0))</f>
        <v>0</v>
      </c>
      <c r="W125" s="53">
        <f>IF(ISERROR(VLOOKUP($T$125,'TAR FIN'!$A$1:$O$113,15,0)),0,VLOOKUP($T$125,'TAR FIN'!$A$1:$O$113,15,0))*(1-0.04)</f>
        <v>69.263999999999996</v>
      </c>
      <c r="X125" s="53">
        <f>IF(ISERROR(VLOOKUP($U$125,'TAR FIN'!$A$1:$O$113,15,0)),0,VLOOKUP($U$125,'TAR FIN'!$A$1:$O$113,15,0))*(1-0.04)</f>
        <v>267.52320000000003</v>
      </c>
      <c r="Y125" s="53"/>
      <c r="Z125" s="53">
        <f ca="1">('TUSD BE'!$AM$21+'TUSD BF'!$AM$21+'TUSD CVA'!$AM$21)*1*(1-0.02)</f>
        <v>119.69774225030127</v>
      </c>
      <c r="AA125" s="53">
        <f>('TE BE'!$AB$10+'TE BF'!$AB$10+'TE CVA'!$AB$10)*1*(1-0.02)</f>
        <v>293.19693941863773</v>
      </c>
      <c r="AB125" s="53">
        <f>(SUBSIDIO!$J$125*SUBSIDIO!$V$125)*(0.04)/(1-0.04)</f>
        <v>0</v>
      </c>
      <c r="AC125" s="53">
        <f>((SUBSIDIO!$L$125*SUBSIDIO!$W$125)+(SUBSIDIO!$N$125*SUBSIDIO!$X$125))*(0.04)/(1-0.04)</f>
        <v>1510.8835104000004</v>
      </c>
      <c r="AD125" s="53">
        <f>(SUBSIDIO!$J$125*SUBSIDIO!$Y$125)*(0.02)/(1-0.02)</f>
        <v>0</v>
      </c>
      <c r="AE125" s="53">
        <f ca="1">((SUBSIDIO!$L$125*SUBSIDIO!$Z$125)+(SUBSIDIO!$N$125*SUBSIDIO!$AA$125))*(0.02)/(1-0.02)</f>
        <v>907.25601195778222</v>
      </c>
      <c r="AF125" s="4" t="s">
        <v>853</v>
      </c>
    </row>
    <row r="126" spans="1:32" ht="11.25" customHeight="1" x14ac:dyDescent="0.3">
      <c r="A126" s="4" t="s">
        <v>21</v>
      </c>
      <c r="B126" s="4" t="s">
        <v>39</v>
      </c>
      <c r="C126" s="4" t="s">
        <v>41</v>
      </c>
      <c r="D126" s="4" t="s">
        <v>45</v>
      </c>
      <c r="E126" s="4" t="s">
        <v>25</v>
      </c>
      <c r="F126" s="4" t="s">
        <v>25</v>
      </c>
      <c r="G126" s="4" t="s">
        <v>25</v>
      </c>
      <c r="H126" s="4" t="s">
        <v>35</v>
      </c>
      <c r="I126" s="5">
        <v>44621</v>
      </c>
      <c r="J126" s="6">
        <v>0</v>
      </c>
      <c r="K126" s="53">
        <v>0</v>
      </c>
      <c r="L126" s="6">
        <v>93.82</v>
      </c>
      <c r="M126" s="53">
        <v>93.82</v>
      </c>
      <c r="N126" s="6">
        <v>93.82</v>
      </c>
      <c r="O126" s="53">
        <v>93.82</v>
      </c>
      <c r="P126" s="6">
        <v>0</v>
      </c>
      <c r="Q126" s="4" t="s">
        <v>26</v>
      </c>
      <c r="R126" s="4">
        <v>0</v>
      </c>
      <c r="S126" s="4">
        <v>0</v>
      </c>
      <c r="T126" s="4">
        <v>6</v>
      </c>
      <c r="U126" s="4">
        <v>61</v>
      </c>
      <c r="V126" s="53">
        <f>IF(ISERROR(VLOOKUP($S$126,'TAR FIN'!$A$1:$O$113,15,0)),0,VLOOKUP($S$126,'TAR FIN'!$A$1:$O$113,15,0))</f>
        <v>0</v>
      </c>
      <c r="W126" s="53">
        <f>IF(ISERROR(VLOOKUP($T$126,'TAR FIN'!$A$1:$O$113,15,0)),0,VLOOKUP($T$126,'TAR FIN'!$A$1:$O$113,15,0))*(1-0.04)</f>
        <v>69.263999999999996</v>
      </c>
      <c r="X126" s="53">
        <f>IF(ISERROR(VLOOKUP($U$126,'TAR FIN'!$A$1:$O$113,15,0)),0,VLOOKUP($U$126,'TAR FIN'!$A$1:$O$113,15,0))*(1-0.04)</f>
        <v>267.52320000000003</v>
      </c>
      <c r="Y126" s="53"/>
      <c r="Z126" s="53">
        <f ca="1">('TUSD BE'!$AM$21+'TUSD BF'!$AM$21+'TUSD CVA'!$AM$21)*1*(1-0.02)</f>
        <v>119.69774225030127</v>
      </c>
      <c r="AA126" s="53">
        <f>('TE BE'!$AB$10+'TE BF'!$AB$10+'TE CVA'!$AB$10)*1*(1-0.02)</f>
        <v>293.19693941863773</v>
      </c>
      <c r="AB126" s="53">
        <f>(SUBSIDIO!$J$126*SUBSIDIO!$V$126)*(0.04)/(1-0.04)</f>
        <v>0</v>
      </c>
      <c r="AC126" s="53">
        <f>((SUBSIDIO!$L$126*SUBSIDIO!$W$126)+(SUBSIDIO!$N$126*SUBSIDIO!$X$126))*(0.04)/(1-0.04)</f>
        <v>1316.557296</v>
      </c>
      <c r="AD126" s="53">
        <f>(SUBSIDIO!$J$126*SUBSIDIO!$Y$126)*(0.02)/(1-0.02)</f>
        <v>0</v>
      </c>
      <c r="AE126" s="53">
        <f ca="1">((SUBSIDIO!$L$126*SUBSIDIO!$Z$126)+(SUBSIDIO!$N$126*SUBSIDIO!$AA$126))*(0.02)/(1-0.02)</f>
        <v>790.56691906489505</v>
      </c>
      <c r="AF126" s="4" t="s">
        <v>853</v>
      </c>
    </row>
    <row r="127" spans="1:32" ht="11.25" customHeight="1" x14ac:dyDescent="0.3">
      <c r="A127" s="4" t="s">
        <v>21</v>
      </c>
      <c r="B127" s="4" t="s">
        <v>39</v>
      </c>
      <c r="C127" s="4" t="s">
        <v>41</v>
      </c>
      <c r="D127" s="4" t="s">
        <v>45</v>
      </c>
      <c r="E127" s="4" t="s">
        <v>25</v>
      </c>
      <c r="F127" s="4" t="s">
        <v>25</v>
      </c>
      <c r="G127" s="4" t="s">
        <v>25</v>
      </c>
      <c r="H127" s="4" t="s">
        <v>35</v>
      </c>
      <c r="I127" s="5">
        <v>44652</v>
      </c>
      <c r="J127" s="6">
        <v>0</v>
      </c>
      <c r="K127" s="53">
        <v>0</v>
      </c>
      <c r="L127" s="6">
        <v>106.645</v>
      </c>
      <c r="M127" s="53">
        <v>106.645</v>
      </c>
      <c r="N127" s="6">
        <v>106.645</v>
      </c>
      <c r="O127" s="53">
        <v>106.645</v>
      </c>
      <c r="P127" s="6">
        <v>0</v>
      </c>
      <c r="Q127" s="4" t="s">
        <v>26</v>
      </c>
      <c r="R127" s="4">
        <v>0</v>
      </c>
      <c r="S127" s="4">
        <v>0</v>
      </c>
      <c r="T127" s="4">
        <v>6</v>
      </c>
      <c r="U127" s="4">
        <v>61</v>
      </c>
      <c r="V127" s="53">
        <f>IF(ISERROR(VLOOKUP($S$127,'TAR FIN'!$A$1:$O$113,15,0)),0,VLOOKUP($S$127,'TAR FIN'!$A$1:$O$113,15,0))</f>
        <v>0</v>
      </c>
      <c r="W127" s="53">
        <f>IF(ISERROR(VLOOKUP($T$127,'TAR FIN'!$A$1:$O$113,15,0)),0,VLOOKUP($T$127,'TAR FIN'!$A$1:$O$113,15,0))*(1-0.04)</f>
        <v>69.263999999999996</v>
      </c>
      <c r="X127" s="53">
        <f>IF(ISERROR(VLOOKUP($U$127,'TAR FIN'!$A$1:$O$113,15,0)),0,VLOOKUP($U$127,'TAR FIN'!$A$1:$O$113,15,0))*(1-0.04)</f>
        <v>267.52320000000003</v>
      </c>
      <c r="Y127" s="53"/>
      <c r="Z127" s="53">
        <f ca="1">('TUSD BE'!$AM$21+'TUSD BF'!$AM$21+'TUSD CVA'!$AM$21)*1*(1-0.02)</f>
        <v>119.69774225030127</v>
      </c>
      <c r="AA127" s="53">
        <f>('TE BE'!$AB$10+'TE BF'!$AB$10+'TE CVA'!$AB$10)*1*(1-0.02)</f>
        <v>293.19693941863773</v>
      </c>
      <c r="AB127" s="53">
        <f>(SUBSIDIO!$J$127*SUBSIDIO!$V$127)*(0.04)/(1-0.04)</f>
        <v>0</v>
      </c>
      <c r="AC127" s="53">
        <f>((SUBSIDIO!$L$127*SUBSIDIO!$W$127)+(SUBSIDIO!$N$127*SUBSIDIO!$X$127))*(0.04)/(1-0.04)</f>
        <v>1496.5279559999999</v>
      </c>
      <c r="AD127" s="53">
        <f>(SUBSIDIO!$J$127*SUBSIDIO!$Y$127)*(0.02)/(1-0.02)</f>
        <v>0</v>
      </c>
      <c r="AE127" s="53">
        <f ca="1">((SUBSIDIO!$L$127*SUBSIDIO!$Z$127)+(SUBSIDIO!$N$127*SUBSIDIO!$AA$127))*(0.02)/(1-0.02)</f>
        <v>898.63578217518364</v>
      </c>
      <c r="AF127" s="4" t="s">
        <v>853</v>
      </c>
    </row>
    <row r="128" spans="1:32" ht="11.25" customHeight="1" x14ac:dyDescent="0.3">
      <c r="A128" s="4" t="s">
        <v>21</v>
      </c>
      <c r="B128" s="4" t="s">
        <v>39</v>
      </c>
      <c r="C128" s="4" t="s">
        <v>41</v>
      </c>
      <c r="D128" s="4" t="s">
        <v>45</v>
      </c>
      <c r="E128" s="4" t="s">
        <v>25</v>
      </c>
      <c r="F128" s="4" t="s">
        <v>25</v>
      </c>
      <c r="G128" s="4" t="s">
        <v>25</v>
      </c>
      <c r="H128" s="4" t="s">
        <v>35</v>
      </c>
      <c r="I128" s="5">
        <v>44682</v>
      </c>
      <c r="J128" s="6">
        <v>0</v>
      </c>
      <c r="K128" s="53">
        <v>0</v>
      </c>
      <c r="L128" s="6">
        <v>103.27500000000001</v>
      </c>
      <c r="M128" s="53">
        <v>103.27500000000001</v>
      </c>
      <c r="N128" s="6">
        <v>103.27500000000001</v>
      </c>
      <c r="O128" s="53">
        <v>103.27500000000001</v>
      </c>
      <c r="P128" s="6">
        <v>0</v>
      </c>
      <c r="Q128" s="4" t="s">
        <v>26</v>
      </c>
      <c r="R128" s="4">
        <v>0</v>
      </c>
      <c r="S128" s="4">
        <v>0</v>
      </c>
      <c r="T128" s="4">
        <v>6</v>
      </c>
      <c r="U128" s="4">
        <v>61</v>
      </c>
      <c r="V128" s="53">
        <f>IF(ISERROR(VLOOKUP($S$128,'TAR FIN'!$A$1:$O$113,15,0)),0,VLOOKUP($S$128,'TAR FIN'!$A$1:$O$113,15,0))</f>
        <v>0</v>
      </c>
      <c r="W128" s="53">
        <f>IF(ISERROR(VLOOKUP($T$128,'TAR FIN'!$A$1:$O$113,15,0)),0,VLOOKUP($T$128,'TAR FIN'!$A$1:$O$113,15,0))*(1-0.04)</f>
        <v>69.263999999999996</v>
      </c>
      <c r="X128" s="53">
        <f>IF(ISERROR(VLOOKUP($U$128,'TAR FIN'!$A$1:$O$113,15,0)),0,VLOOKUP($U$128,'TAR FIN'!$A$1:$O$113,15,0))*(1-0.04)</f>
        <v>267.52320000000003</v>
      </c>
      <c r="Y128" s="53"/>
      <c r="Z128" s="53">
        <f ca="1">('TUSD BE'!$AM$21+'TUSD BF'!$AM$21+'TUSD CVA'!$AM$21)*1*(1-0.02)</f>
        <v>119.69774225030127</v>
      </c>
      <c r="AA128" s="53">
        <f>('TE BE'!$AB$10+'TE BF'!$AB$10+'TE CVA'!$AB$10)*1*(1-0.02)</f>
        <v>293.19693941863773</v>
      </c>
      <c r="AB128" s="53">
        <f>(SUBSIDIO!$J$128*SUBSIDIO!$V$128)*(0.04)/(1-0.04)</f>
        <v>0</v>
      </c>
      <c r="AC128" s="53">
        <f>((SUBSIDIO!$L$128*SUBSIDIO!$W$128)+(SUBSIDIO!$N$128*SUBSIDIO!$X$128))*(0.04)/(1-0.04)</f>
        <v>1449.2374200000002</v>
      </c>
      <c r="AD128" s="53">
        <f>(SUBSIDIO!$J$128*SUBSIDIO!$Y$128)*(0.02)/(1-0.02)</f>
        <v>0</v>
      </c>
      <c r="AE128" s="53">
        <f ca="1">((SUBSIDIO!$L$128*SUBSIDIO!$Z$128)+(SUBSIDIO!$N$128*SUBSIDIO!$AA$128))*(0.02)/(1-0.02)</f>
        <v>870.23873978285064</v>
      </c>
      <c r="AF128" s="4" t="s">
        <v>853</v>
      </c>
    </row>
    <row r="129" spans="1:32" ht="11.25" customHeight="1" x14ac:dyDescent="0.3">
      <c r="A129" s="4" t="s">
        <v>21</v>
      </c>
      <c r="B129" s="4" t="s">
        <v>39</v>
      </c>
      <c r="C129" s="4" t="s">
        <v>41</v>
      </c>
      <c r="D129" s="4" t="s">
        <v>45</v>
      </c>
      <c r="E129" s="4" t="s">
        <v>25</v>
      </c>
      <c r="F129" s="4" t="s">
        <v>25</v>
      </c>
      <c r="G129" s="4" t="s">
        <v>25</v>
      </c>
      <c r="H129" s="4" t="s">
        <v>35</v>
      </c>
      <c r="I129" s="5">
        <v>44713</v>
      </c>
      <c r="J129" s="6">
        <v>0</v>
      </c>
      <c r="K129" s="53">
        <v>0</v>
      </c>
      <c r="L129" s="6">
        <v>100.271</v>
      </c>
      <c r="M129" s="53">
        <v>100.271</v>
      </c>
      <c r="N129" s="6">
        <v>100.271</v>
      </c>
      <c r="O129" s="53">
        <v>100.271</v>
      </c>
      <c r="P129" s="6">
        <v>0</v>
      </c>
      <c r="Q129" s="4" t="s">
        <v>26</v>
      </c>
      <c r="R129" s="4">
        <v>0</v>
      </c>
      <c r="S129" s="4">
        <v>0</v>
      </c>
      <c r="T129" s="4">
        <v>6</v>
      </c>
      <c r="U129" s="4">
        <v>61</v>
      </c>
      <c r="V129" s="53">
        <f>IF(ISERROR(VLOOKUP($S$129,'TAR FIN'!$A$1:$O$113,15,0)),0,VLOOKUP($S$129,'TAR FIN'!$A$1:$O$113,15,0))</f>
        <v>0</v>
      </c>
      <c r="W129" s="53">
        <f>IF(ISERROR(VLOOKUP($T$129,'TAR FIN'!$A$1:$O$113,15,0)),0,VLOOKUP($T$129,'TAR FIN'!$A$1:$O$113,15,0))*(1-0.04)</f>
        <v>69.263999999999996</v>
      </c>
      <c r="X129" s="53">
        <f>IF(ISERROR(VLOOKUP($U$129,'TAR FIN'!$A$1:$O$113,15,0)),0,VLOOKUP($U$129,'TAR FIN'!$A$1:$O$113,15,0))*(1-0.04)</f>
        <v>267.52320000000003</v>
      </c>
      <c r="Y129" s="53"/>
      <c r="Z129" s="53">
        <f ca="1">('TUSD BE'!$AM$21+'TUSD BF'!$AM$21+'TUSD CVA'!$AM$21)*1*(1-0.02)</f>
        <v>119.69774225030127</v>
      </c>
      <c r="AA129" s="53">
        <f>('TE BE'!$AB$10+'TE BF'!$AB$10+'TE CVA'!$AB$10)*1*(1-0.02)</f>
        <v>293.19693941863773</v>
      </c>
      <c r="AB129" s="53">
        <f>(SUBSIDIO!$J$129*SUBSIDIO!$V$129)*(0.04)/(1-0.04)</f>
        <v>0</v>
      </c>
      <c r="AC129" s="53">
        <f>((SUBSIDIO!$L$129*SUBSIDIO!$W$129)+(SUBSIDIO!$N$129*SUBSIDIO!$X$129))*(0.04)/(1-0.04)</f>
        <v>1407.0828887999999</v>
      </c>
      <c r="AD129" s="53">
        <f>(SUBSIDIO!$J$129*SUBSIDIO!$Y$129)*(0.02)/(1-0.02)</f>
        <v>0</v>
      </c>
      <c r="AE129" s="53">
        <f ca="1">((SUBSIDIO!$L$129*SUBSIDIO!$Z$129)+(SUBSIDIO!$N$129*SUBSIDIO!$AA$129))*(0.02)/(1-0.02)</f>
        <v>844.9257678699222</v>
      </c>
      <c r="AF129" s="4" t="s">
        <v>853</v>
      </c>
    </row>
    <row r="130" spans="1:32" ht="11.25" customHeight="1" x14ac:dyDescent="0.3">
      <c r="A130" s="4" t="s">
        <v>21</v>
      </c>
      <c r="B130" s="4" t="s">
        <v>39</v>
      </c>
      <c r="C130" s="4" t="s">
        <v>41</v>
      </c>
      <c r="D130" s="4" t="s">
        <v>45</v>
      </c>
      <c r="E130" s="4" t="s">
        <v>25</v>
      </c>
      <c r="F130" s="4" t="s">
        <v>25</v>
      </c>
      <c r="G130" s="4" t="s">
        <v>25</v>
      </c>
      <c r="H130" s="4" t="s">
        <v>35</v>
      </c>
      <c r="I130" s="5">
        <v>44743</v>
      </c>
      <c r="J130" s="6">
        <v>0</v>
      </c>
      <c r="K130" s="53">
        <v>0</v>
      </c>
      <c r="L130" s="6">
        <v>107.95699999999999</v>
      </c>
      <c r="M130" s="53">
        <v>107.95699999999999</v>
      </c>
      <c r="N130" s="6">
        <v>107.95699999999999</v>
      </c>
      <c r="O130" s="53">
        <v>107.95699999999999</v>
      </c>
      <c r="P130" s="6">
        <v>0</v>
      </c>
      <c r="Q130" s="4" t="s">
        <v>26</v>
      </c>
      <c r="R130" s="4">
        <v>0</v>
      </c>
      <c r="S130" s="4">
        <v>0</v>
      </c>
      <c r="T130" s="4">
        <v>6</v>
      </c>
      <c r="U130" s="4">
        <v>61</v>
      </c>
      <c r="V130" s="53">
        <f>IF(ISERROR(VLOOKUP($S$130,'TAR FIN'!$A$1:$O$113,15,0)),0,VLOOKUP($S$130,'TAR FIN'!$A$1:$O$113,15,0))</f>
        <v>0</v>
      </c>
      <c r="W130" s="53">
        <f>IF(ISERROR(VLOOKUP($T$130,'TAR FIN'!$A$1:$O$113,15,0)),0,VLOOKUP($T$130,'TAR FIN'!$A$1:$O$113,15,0))*(1-0.04)</f>
        <v>69.263999999999996</v>
      </c>
      <c r="X130" s="53">
        <f>IF(ISERROR(VLOOKUP($U$130,'TAR FIN'!$A$1:$O$113,15,0)),0,VLOOKUP($U$130,'TAR FIN'!$A$1:$O$113,15,0))*(1-0.04)</f>
        <v>267.52320000000003</v>
      </c>
      <c r="Y130" s="53"/>
      <c r="Z130" s="53">
        <f ca="1">('TUSD BE'!$AM$21+'TUSD BF'!$AM$21+'TUSD CVA'!$AM$21)*1*(1-0.02)</f>
        <v>119.69774225030127</v>
      </c>
      <c r="AA130" s="53">
        <f>('TE BE'!$AB$10+'TE BF'!$AB$10+'TE CVA'!$AB$10)*1*(1-0.02)</f>
        <v>293.19693941863773</v>
      </c>
      <c r="AB130" s="53">
        <f>(SUBSIDIO!$J$130*SUBSIDIO!$V$130)*(0.04)/(1-0.04)</f>
        <v>0</v>
      </c>
      <c r="AC130" s="53">
        <f>((SUBSIDIO!$L$130*SUBSIDIO!$W$130)+(SUBSIDIO!$N$130*SUBSIDIO!$X$130))*(0.04)/(1-0.04)</f>
        <v>1514.9389896</v>
      </c>
      <c r="AD130" s="53">
        <f>(SUBSIDIO!$J$130*SUBSIDIO!$Y$130)*(0.02)/(1-0.02)</f>
        <v>0</v>
      </c>
      <c r="AE130" s="53">
        <f ca="1">((SUBSIDIO!$L$130*SUBSIDIO!$Z$130)+(SUBSIDIO!$N$130*SUBSIDIO!$AA$130))*(0.02)/(1-0.02)</f>
        <v>909.69124793742128</v>
      </c>
      <c r="AF130" s="4" t="s">
        <v>853</v>
      </c>
    </row>
    <row r="131" spans="1:32" ht="11.25" customHeight="1" x14ac:dyDescent="0.3">
      <c r="A131" s="4" t="s">
        <v>21</v>
      </c>
      <c r="B131" s="4" t="s">
        <v>39</v>
      </c>
      <c r="C131" s="4" t="s">
        <v>41</v>
      </c>
      <c r="D131" s="4" t="s">
        <v>45</v>
      </c>
      <c r="E131" s="4" t="s">
        <v>25</v>
      </c>
      <c r="F131" s="4" t="s">
        <v>25</v>
      </c>
      <c r="G131" s="4" t="s">
        <v>25</v>
      </c>
      <c r="H131" s="4" t="s">
        <v>35</v>
      </c>
      <c r="I131" s="5">
        <v>44774</v>
      </c>
      <c r="J131" s="6">
        <v>0</v>
      </c>
      <c r="K131" s="53">
        <v>0</v>
      </c>
      <c r="L131" s="6">
        <v>102.619</v>
      </c>
      <c r="M131" s="53">
        <v>102.619</v>
      </c>
      <c r="N131" s="6">
        <v>102.619</v>
      </c>
      <c r="O131" s="53">
        <v>102.619</v>
      </c>
      <c r="P131" s="6">
        <v>0</v>
      </c>
      <c r="Q131" s="4" t="s">
        <v>26</v>
      </c>
      <c r="R131" s="4">
        <v>0</v>
      </c>
      <c r="S131" s="4">
        <v>0</v>
      </c>
      <c r="T131" s="4">
        <v>6</v>
      </c>
      <c r="U131" s="4">
        <v>61</v>
      </c>
      <c r="V131" s="53">
        <f>IF(ISERROR(VLOOKUP($S$131,'TAR FIN'!$A$1:$O$113,15,0)),0,VLOOKUP($S$131,'TAR FIN'!$A$1:$O$113,15,0))</f>
        <v>0</v>
      </c>
      <c r="W131" s="53">
        <f>IF(ISERROR(VLOOKUP($T$131,'TAR FIN'!$A$1:$O$113,15,0)),0,VLOOKUP($T$131,'TAR FIN'!$A$1:$O$113,15,0))*(1-0.04)</f>
        <v>69.263999999999996</v>
      </c>
      <c r="X131" s="53">
        <f>IF(ISERROR(VLOOKUP($U$131,'TAR FIN'!$A$1:$O$113,15,0)),0,VLOOKUP($U$131,'TAR FIN'!$A$1:$O$113,15,0))*(1-0.04)</f>
        <v>267.52320000000003</v>
      </c>
      <c r="Y131" s="53"/>
      <c r="Z131" s="53">
        <f ca="1">('TUSD BE'!$AM$21+'TUSD BF'!$AM$21+'TUSD CVA'!$AM$21)*1*(1-0.02)</f>
        <v>119.69774225030127</v>
      </c>
      <c r="AA131" s="53">
        <f>('TE BE'!$AB$10+'TE BF'!$AB$10+'TE CVA'!$AB$10)*1*(1-0.02)</f>
        <v>293.19693941863773</v>
      </c>
      <c r="AB131" s="53">
        <f>(SUBSIDIO!$J$131*SUBSIDIO!$V$131)*(0.04)/(1-0.04)</f>
        <v>0</v>
      </c>
      <c r="AC131" s="53">
        <f>((SUBSIDIO!$L$131*SUBSIDIO!$W$131)+(SUBSIDIO!$N$131*SUBSIDIO!$X$131))*(0.04)/(1-0.04)</f>
        <v>1440.0319032000002</v>
      </c>
      <c r="AD131" s="53">
        <f>(SUBSIDIO!$J$131*SUBSIDIO!$Y$131)*(0.02)/(1-0.02)</f>
        <v>0</v>
      </c>
      <c r="AE131" s="53">
        <f ca="1">((SUBSIDIO!$L$131*SUBSIDIO!$Z$131)+(SUBSIDIO!$N$131*SUBSIDIO!$AA$131))*(0.02)/(1-0.02)</f>
        <v>864.71100690173171</v>
      </c>
      <c r="AF131" s="4" t="s">
        <v>853</v>
      </c>
    </row>
    <row r="132" spans="1:32" ht="11.25" customHeight="1" x14ac:dyDescent="0.3">
      <c r="A132" s="4" t="s">
        <v>21</v>
      </c>
      <c r="B132" s="4" t="s">
        <v>39</v>
      </c>
      <c r="C132" s="4" t="s">
        <v>41</v>
      </c>
      <c r="D132" s="4" t="s">
        <v>45</v>
      </c>
      <c r="E132" s="4" t="s">
        <v>25</v>
      </c>
      <c r="F132" s="4" t="s">
        <v>25</v>
      </c>
      <c r="G132" s="4" t="s">
        <v>25</v>
      </c>
      <c r="H132" s="4" t="s">
        <v>35</v>
      </c>
      <c r="I132" s="5">
        <v>44805</v>
      </c>
      <c r="J132" s="6">
        <v>0</v>
      </c>
      <c r="K132" s="53">
        <v>0</v>
      </c>
      <c r="L132" s="6">
        <v>160.94</v>
      </c>
      <c r="M132" s="53">
        <v>160.94</v>
      </c>
      <c r="N132" s="6">
        <v>160.94</v>
      </c>
      <c r="O132" s="53">
        <v>160.94</v>
      </c>
      <c r="P132" s="6">
        <v>0</v>
      </c>
      <c r="Q132" s="4" t="s">
        <v>26</v>
      </c>
      <c r="R132" s="4">
        <v>0</v>
      </c>
      <c r="S132" s="4">
        <v>0</v>
      </c>
      <c r="T132" s="4">
        <v>6</v>
      </c>
      <c r="U132" s="4">
        <v>61</v>
      </c>
      <c r="V132" s="53">
        <f>IF(ISERROR(VLOOKUP($S$132,'TAR FIN'!$A$1:$O$113,15,0)),0,VLOOKUP($S$132,'TAR FIN'!$A$1:$O$113,15,0))</f>
        <v>0</v>
      </c>
      <c r="W132" s="53">
        <f>IF(ISERROR(VLOOKUP($T$132,'TAR FIN'!$A$1:$O$113,15,0)),0,VLOOKUP($T$132,'TAR FIN'!$A$1:$O$113,15,0))*(1-0.04)</f>
        <v>69.263999999999996</v>
      </c>
      <c r="X132" s="53">
        <f>IF(ISERROR(VLOOKUP($U$132,'TAR FIN'!$A$1:$O$113,15,0)),0,VLOOKUP($U$132,'TAR FIN'!$A$1:$O$113,15,0))*(1-0.04)</f>
        <v>267.52320000000003</v>
      </c>
      <c r="Y132" s="53"/>
      <c r="Z132" s="53">
        <f ca="1">('TUSD BE'!$AM$21+'TUSD BF'!$AM$21+'TUSD CVA'!$AM$21)*1*(1-0.02)</f>
        <v>119.69774225030127</v>
      </c>
      <c r="AA132" s="53">
        <f>('TE BE'!$AB$10+'TE BF'!$AB$10+'TE CVA'!$AB$10)*1*(1-0.02)</f>
        <v>293.19693941863773</v>
      </c>
      <c r="AB132" s="53">
        <f>(SUBSIDIO!$J$132*SUBSIDIO!$V$132)*(0.04)/(1-0.04)</f>
        <v>0</v>
      </c>
      <c r="AC132" s="53">
        <f>((SUBSIDIO!$L$132*SUBSIDIO!$W$132)+(SUBSIDIO!$N$132*SUBSIDIO!$X$132))*(0.04)/(1-0.04)</f>
        <v>2258.4388320000003</v>
      </c>
      <c r="AD132" s="53">
        <f>(SUBSIDIO!$J$132*SUBSIDIO!$Y$132)*(0.02)/(1-0.02)</f>
        <v>0</v>
      </c>
      <c r="AE132" s="53">
        <f ca="1">((SUBSIDIO!$L$132*SUBSIDIO!$Z$132)+(SUBSIDIO!$N$132*SUBSIDIO!$AA$132))*(0.02)/(1-0.02)</f>
        <v>1356.1483687305929</v>
      </c>
      <c r="AF132" s="4" t="s">
        <v>853</v>
      </c>
    </row>
    <row r="133" spans="1:32" ht="11.25" customHeight="1" x14ac:dyDescent="0.3">
      <c r="A133" s="4" t="s">
        <v>53</v>
      </c>
      <c r="B133" s="4" t="s">
        <v>39</v>
      </c>
      <c r="C133" s="4" t="s">
        <v>41</v>
      </c>
      <c r="D133" s="4" t="s">
        <v>45</v>
      </c>
      <c r="E133" s="4" t="s">
        <v>25</v>
      </c>
      <c r="F133" s="4" t="s">
        <v>25</v>
      </c>
      <c r="G133" s="4" t="s">
        <v>25</v>
      </c>
      <c r="H133" s="4" t="s">
        <v>35</v>
      </c>
      <c r="I133" s="5">
        <v>44835</v>
      </c>
      <c r="J133" s="6">
        <v>0</v>
      </c>
      <c r="K133" s="53">
        <v>0</v>
      </c>
      <c r="L133" s="6">
        <v>160.94</v>
      </c>
      <c r="M133" s="53">
        <v>160.94</v>
      </c>
      <c r="N133" s="6">
        <v>160.94</v>
      </c>
      <c r="O133" s="53">
        <v>160.94</v>
      </c>
      <c r="P133" s="6">
        <v>0</v>
      </c>
      <c r="Q133" s="4" t="s">
        <v>26</v>
      </c>
      <c r="R133" s="4">
        <v>0</v>
      </c>
      <c r="S133" s="4">
        <v>0</v>
      </c>
      <c r="T133" s="4">
        <v>6</v>
      </c>
      <c r="U133" s="4">
        <v>61</v>
      </c>
      <c r="V133" s="53">
        <f>IF(ISERROR(VLOOKUP($S$133,'TAR FIN'!$A$1:$O$113,15,0)),0,VLOOKUP($S$133,'TAR FIN'!$A$1:$O$113,15,0))</f>
        <v>0</v>
      </c>
      <c r="W133" s="53">
        <f>IF(ISERROR(VLOOKUP($T$133,'TAR FIN'!$A$1:$O$113,15,0)),0,VLOOKUP($T$133,'TAR FIN'!$A$1:$O$113,15,0))*(1-0.04)</f>
        <v>69.263999999999996</v>
      </c>
      <c r="X133" s="53">
        <f>IF(ISERROR(VLOOKUP($U$133,'TAR FIN'!$A$1:$O$113,15,0)),0,VLOOKUP($U$133,'TAR FIN'!$A$1:$O$113,15,0))*(1-0.04)</f>
        <v>267.52320000000003</v>
      </c>
      <c r="Y133" s="53"/>
      <c r="Z133" s="53">
        <f ca="1">('TUSD BE'!$AM$21+'TUSD BF'!$AM$21+'TUSD CVA'!$AM$21)*1*(1-0.02)</f>
        <v>119.69774225030127</v>
      </c>
      <c r="AA133" s="53">
        <f>('TE BE'!$AB$10+'TE BF'!$AB$10+'TE CVA'!$AB$10)*1*(1-0.02)</f>
        <v>293.19693941863773</v>
      </c>
      <c r="AB133" s="53">
        <f>(SUBSIDIO!$J$133*SUBSIDIO!$V$133)*(0.04)/(1-0.04)</f>
        <v>0</v>
      </c>
      <c r="AC133" s="53">
        <f>((SUBSIDIO!$L$133*SUBSIDIO!$W$133)+(SUBSIDIO!$N$133*SUBSIDIO!$X$133))*(0.04)/(1-0.04)</f>
        <v>2258.4388320000003</v>
      </c>
      <c r="AD133" s="53">
        <f>(SUBSIDIO!$J$133*SUBSIDIO!$Y$133)*(0.02)/(1-0.02)</f>
        <v>0</v>
      </c>
      <c r="AE133" s="53">
        <f ca="1">((SUBSIDIO!$L$133*SUBSIDIO!$Z$133)+(SUBSIDIO!$N$133*SUBSIDIO!$AA$133))*(0.02)/(1-0.02)</f>
        <v>1356.1483687305929</v>
      </c>
      <c r="AF133" s="4" t="s">
        <v>853</v>
      </c>
    </row>
    <row r="134" spans="1:32" ht="11.25" customHeight="1" x14ac:dyDescent="0.3">
      <c r="A134" s="4" t="s">
        <v>21</v>
      </c>
      <c r="B134" s="4" t="s">
        <v>39</v>
      </c>
      <c r="C134" s="4" t="s">
        <v>41</v>
      </c>
      <c r="D134" s="4" t="s">
        <v>45</v>
      </c>
      <c r="E134" s="4" t="s">
        <v>25</v>
      </c>
      <c r="F134" s="4" t="s">
        <v>25</v>
      </c>
      <c r="G134" s="4" t="s">
        <v>25</v>
      </c>
      <c r="H134" s="4" t="s">
        <v>25</v>
      </c>
      <c r="I134" s="5">
        <v>44501</v>
      </c>
      <c r="J134" s="6">
        <v>517</v>
      </c>
      <c r="K134" s="53">
        <v>517</v>
      </c>
      <c r="L134" s="6">
        <v>0</v>
      </c>
      <c r="M134" s="53">
        <v>0</v>
      </c>
      <c r="N134" s="6">
        <v>0</v>
      </c>
      <c r="O134" s="53">
        <v>0</v>
      </c>
      <c r="P134" s="6">
        <v>5</v>
      </c>
      <c r="Q134" s="4" t="s">
        <v>26</v>
      </c>
      <c r="R134" s="4">
        <v>0</v>
      </c>
      <c r="S134" s="4">
        <v>20</v>
      </c>
      <c r="T134" s="4">
        <v>0</v>
      </c>
      <c r="U134" s="4">
        <v>0</v>
      </c>
      <c r="V134" s="53">
        <f>IF(ISERROR(VLOOKUP($S$134,'TAR FIN'!$A$1:$O$113,15,0)),0,VLOOKUP($S$134,'TAR FIN'!$A$1:$O$113,15,0))*(1-0.04)</f>
        <v>13.44</v>
      </c>
      <c r="W134" s="53">
        <f>IF(ISERROR(VLOOKUP($T$134,'TAR FIN'!$A$1:$O$113,15,0)),0,VLOOKUP($T$134,'TAR FIN'!$A$1:$O$113,15,0))</f>
        <v>0</v>
      </c>
      <c r="X134" s="53">
        <f>IF(ISERROR(VLOOKUP($U$134,'TAR FIN'!$A$1:$O$113,15,0)),0,VLOOKUP($U$134,'TAR FIN'!$A$1:$O$113,15,0))</f>
        <v>0</v>
      </c>
      <c r="Y134" s="53">
        <f ca="1">('TUSD BE'!$AM$19+'TUSD BF'!$AM$19+'TUSD CVA'!$AM$19)*1*(1-0.02)</f>
        <v>15.715234844864971</v>
      </c>
      <c r="Z134" s="53"/>
      <c r="AA134" s="53"/>
      <c r="AB134" s="53">
        <f>(SUBSIDIO!$J$134*SUBSIDIO!$V$134)*(0.04)/(1-0.04)</f>
        <v>289.52</v>
      </c>
      <c r="AC134" s="53">
        <f>((SUBSIDIO!$L$134*SUBSIDIO!$W$134)+(SUBSIDIO!$N$134*SUBSIDIO!$X$134))*(0.04)/(1-0.04)</f>
        <v>0</v>
      </c>
      <c r="AD134" s="53">
        <f ca="1">(SUBSIDIO!$J$134*SUBSIDIO!$Y$134)*(0.02)/(1-0.02)</f>
        <v>165.81176356724876</v>
      </c>
      <c r="AE134" s="53">
        <f>((SUBSIDIO!$L$134*SUBSIDIO!$Z$134)+(SUBSIDIO!$N$134*SUBSIDIO!$AA$134))*(0.02)/(1-0.02)</f>
        <v>0</v>
      </c>
      <c r="AF134" s="4" t="s">
        <v>853</v>
      </c>
    </row>
    <row r="135" spans="1:32" ht="11.25" customHeight="1" x14ac:dyDescent="0.3">
      <c r="A135" s="4" t="s">
        <v>21</v>
      </c>
      <c r="B135" s="4" t="s">
        <v>39</v>
      </c>
      <c r="C135" s="4" t="s">
        <v>41</v>
      </c>
      <c r="D135" s="4" t="s">
        <v>45</v>
      </c>
      <c r="E135" s="4" t="s">
        <v>25</v>
      </c>
      <c r="F135" s="4" t="s">
        <v>25</v>
      </c>
      <c r="G135" s="4" t="s">
        <v>25</v>
      </c>
      <c r="H135" s="4" t="s">
        <v>25</v>
      </c>
      <c r="I135" s="5">
        <v>44531</v>
      </c>
      <c r="J135" s="6">
        <v>376</v>
      </c>
      <c r="K135" s="53">
        <v>376</v>
      </c>
      <c r="L135" s="6">
        <v>0</v>
      </c>
      <c r="M135" s="53">
        <v>0</v>
      </c>
      <c r="N135" s="6">
        <v>0</v>
      </c>
      <c r="O135" s="53">
        <v>0</v>
      </c>
      <c r="P135" s="6">
        <v>5</v>
      </c>
      <c r="Q135" s="4" t="s">
        <v>26</v>
      </c>
      <c r="R135" s="4">
        <v>0</v>
      </c>
      <c r="S135" s="4">
        <v>20</v>
      </c>
      <c r="T135" s="4">
        <v>0</v>
      </c>
      <c r="U135" s="4">
        <v>0</v>
      </c>
      <c r="V135" s="53">
        <f>IF(ISERROR(VLOOKUP($S$135,'TAR FIN'!$A$1:$O$113,15,0)),0,VLOOKUP($S$135,'TAR FIN'!$A$1:$O$113,15,0))*(1-0.04)</f>
        <v>13.44</v>
      </c>
      <c r="W135" s="53">
        <f>IF(ISERROR(VLOOKUP($T$135,'TAR FIN'!$A$1:$O$113,15,0)),0,VLOOKUP($T$135,'TAR FIN'!$A$1:$O$113,15,0))</f>
        <v>0</v>
      </c>
      <c r="X135" s="53">
        <f>IF(ISERROR(VLOOKUP($U$135,'TAR FIN'!$A$1:$O$113,15,0)),0,VLOOKUP($U$135,'TAR FIN'!$A$1:$O$113,15,0))</f>
        <v>0</v>
      </c>
      <c r="Y135" s="53">
        <f ca="1">('TUSD BE'!$AM$19+'TUSD BF'!$AM$19+'TUSD CVA'!$AM$19)*1*(1-0.02)</f>
        <v>15.715234844864971</v>
      </c>
      <c r="Z135" s="53"/>
      <c r="AA135" s="53"/>
      <c r="AB135" s="53">
        <f>(SUBSIDIO!$J$135*SUBSIDIO!$V$135)*(0.04)/(1-0.04)</f>
        <v>210.56</v>
      </c>
      <c r="AC135" s="53">
        <f>((SUBSIDIO!$L$135*SUBSIDIO!$W$135)+(SUBSIDIO!$N$135*SUBSIDIO!$X$135))*(0.04)/(1-0.04)</f>
        <v>0</v>
      </c>
      <c r="AD135" s="53">
        <f ca="1">(SUBSIDIO!$J$135*SUBSIDIO!$Y$135)*(0.02)/(1-0.02)</f>
        <v>120.59037350345366</v>
      </c>
      <c r="AE135" s="53">
        <f>((SUBSIDIO!$L$135*SUBSIDIO!$Z$135)+(SUBSIDIO!$N$135*SUBSIDIO!$AA$135))*(0.02)/(1-0.02)</f>
        <v>0</v>
      </c>
      <c r="AF135" s="4" t="s">
        <v>853</v>
      </c>
    </row>
    <row r="136" spans="1:32" ht="11.25" customHeight="1" x14ac:dyDescent="0.3">
      <c r="A136" s="4" t="s">
        <v>21</v>
      </c>
      <c r="B136" s="4" t="s">
        <v>39</v>
      </c>
      <c r="C136" s="4" t="s">
        <v>41</v>
      </c>
      <c r="D136" s="4" t="s">
        <v>45</v>
      </c>
      <c r="E136" s="4" t="s">
        <v>25</v>
      </c>
      <c r="F136" s="4" t="s">
        <v>25</v>
      </c>
      <c r="G136" s="4" t="s">
        <v>25</v>
      </c>
      <c r="H136" s="4" t="s">
        <v>25</v>
      </c>
      <c r="I136" s="5">
        <v>44562</v>
      </c>
      <c r="J136" s="6">
        <v>401</v>
      </c>
      <c r="K136" s="53">
        <v>401</v>
      </c>
      <c r="L136" s="6">
        <v>0</v>
      </c>
      <c r="M136" s="53">
        <v>0</v>
      </c>
      <c r="N136" s="6">
        <v>0</v>
      </c>
      <c r="O136" s="53">
        <v>0</v>
      </c>
      <c r="P136" s="6">
        <v>5</v>
      </c>
      <c r="Q136" s="4" t="s">
        <v>26</v>
      </c>
      <c r="R136" s="4">
        <v>0</v>
      </c>
      <c r="S136" s="4">
        <v>20</v>
      </c>
      <c r="T136" s="4">
        <v>0</v>
      </c>
      <c r="U136" s="4">
        <v>0</v>
      </c>
      <c r="V136" s="53">
        <f>IF(ISERROR(VLOOKUP($S$136,'TAR FIN'!$A$1:$O$113,15,0)),0,VLOOKUP($S$136,'TAR FIN'!$A$1:$O$113,15,0))*(1-0.04)</f>
        <v>13.44</v>
      </c>
      <c r="W136" s="53">
        <f>IF(ISERROR(VLOOKUP($T$136,'TAR FIN'!$A$1:$O$113,15,0)),0,VLOOKUP($T$136,'TAR FIN'!$A$1:$O$113,15,0))</f>
        <v>0</v>
      </c>
      <c r="X136" s="53">
        <f>IF(ISERROR(VLOOKUP($U$136,'TAR FIN'!$A$1:$O$113,15,0)),0,VLOOKUP($U$136,'TAR FIN'!$A$1:$O$113,15,0))</f>
        <v>0</v>
      </c>
      <c r="Y136" s="53">
        <f ca="1">('TUSD BE'!$AM$19+'TUSD BF'!$AM$19+'TUSD CVA'!$AM$19)*1*(1-0.02)</f>
        <v>15.715234844864971</v>
      </c>
      <c r="Z136" s="53"/>
      <c r="AA136" s="53"/>
      <c r="AB136" s="53">
        <f>(SUBSIDIO!$J$136*SUBSIDIO!$V$136)*(0.04)/(1-0.04)</f>
        <v>224.56</v>
      </c>
      <c r="AC136" s="53">
        <f>((SUBSIDIO!$L$136*SUBSIDIO!$W$136)+(SUBSIDIO!$N$136*SUBSIDIO!$X$136))*(0.04)/(1-0.04)</f>
        <v>0</v>
      </c>
      <c r="AD136" s="53">
        <f ca="1">(SUBSIDIO!$J$136*SUBSIDIO!$Y$136)*(0.02)/(1-0.02)</f>
        <v>128.60835046511946</v>
      </c>
      <c r="AE136" s="53">
        <f>((SUBSIDIO!$L$136*SUBSIDIO!$Z$136)+(SUBSIDIO!$N$136*SUBSIDIO!$AA$136))*(0.02)/(1-0.02)</f>
        <v>0</v>
      </c>
      <c r="AF136" s="4" t="s">
        <v>853</v>
      </c>
    </row>
    <row r="137" spans="1:32" ht="11.25" customHeight="1" x14ac:dyDescent="0.3">
      <c r="A137" s="4" t="s">
        <v>21</v>
      </c>
      <c r="B137" s="4" t="s">
        <v>39</v>
      </c>
      <c r="C137" s="4" t="s">
        <v>41</v>
      </c>
      <c r="D137" s="4" t="s">
        <v>45</v>
      </c>
      <c r="E137" s="4" t="s">
        <v>25</v>
      </c>
      <c r="F137" s="4" t="s">
        <v>25</v>
      </c>
      <c r="G137" s="4" t="s">
        <v>25</v>
      </c>
      <c r="H137" s="4" t="s">
        <v>25</v>
      </c>
      <c r="I137" s="5">
        <v>44593</v>
      </c>
      <c r="J137" s="6">
        <v>395</v>
      </c>
      <c r="K137" s="53">
        <v>395</v>
      </c>
      <c r="L137" s="6">
        <v>0</v>
      </c>
      <c r="M137" s="53">
        <v>0</v>
      </c>
      <c r="N137" s="6">
        <v>0</v>
      </c>
      <c r="O137" s="53">
        <v>0</v>
      </c>
      <c r="P137" s="6">
        <v>5</v>
      </c>
      <c r="Q137" s="4" t="s">
        <v>26</v>
      </c>
      <c r="R137" s="4">
        <v>0</v>
      </c>
      <c r="S137" s="4">
        <v>20</v>
      </c>
      <c r="T137" s="4">
        <v>0</v>
      </c>
      <c r="U137" s="4">
        <v>0</v>
      </c>
      <c r="V137" s="53">
        <f>IF(ISERROR(VLOOKUP($S$137,'TAR FIN'!$A$1:$O$113,15,0)),0,VLOOKUP($S$137,'TAR FIN'!$A$1:$O$113,15,0))*(1-0.04)</f>
        <v>13.44</v>
      </c>
      <c r="W137" s="53">
        <f>IF(ISERROR(VLOOKUP($T$137,'TAR FIN'!$A$1:$O$113,15,0)),0,VLOOKUP($T$137,'TAR FIN'!$A$1:$O$113,15,0))</f>
        <v>0</v>
      </c>
      <c r="X137" s="53">
        <f>IF(ISERROR(VLOOKUP($U$137,'TAR FIN'!$A$1:$O$113,15,0)),0,VLOOKUP($U$137,'TAR FIN'!$A$1:$O$113,15,0))</f>
        <v>0</v>
      </c>
      <c r="Y137" s="53">
        <f ca="1">('TUSD BE'!$AM$19+'TUSD BF'!$AM$19+'TUSD CVA'!$AM$19)*1*(1-0.02)</f>
        <v>15.715234844864971</v>
      </c>
      <c r="Z137" s="53"/>
      <c r="AA137" s="53"/>
      <c r="AB137" s="53">
        <f>(SUBSIDIO!$J$137*SUBSIDIO!$V$137)*(0.04)/(1-0.04)</f>
        <v>221.20000000000002</v>
      </c>
      <c r="AC137" s="53">
        <f>((SUBSIDIO!$L$137*SUBSIDIO!$W$137)+(SUBSIDIO!$N$137*SUBSIDIO!$X$137))*(0.04)/(1-0.04)</f>
        <v>0</v>
      </c>
      <c r="AD137" s="53">
        <f ca="1">(SUBSIDIO!$J$137*SUBSIDIO!$Y$137)*(0.02)/(1-0.02)</f>
        <v>126.68403599431967</v>
      </c>
      <c r="AE137" s="53">
        <f>((SUBSIDIO!$L$137*SUBSIDIO!$Z$137)+(SUBSIDIO!$N$137*SUBSIDIO!$AA$137))*(0.02)/(1-0.02)</f>
        <v>0</v>
      </c>
      <c r="AF137" s="4" t="s">
        <v>853</v>
      </c>
    </row>
    <row r="138" spans="1:32" ht="11.25" customHeight="1" x14ac:dyDescent="0.3">
      <c r="A138" s="4" t="s">
        <v>21</v>
      </c>
      <c r="B138" s="4" t="s">
        <v>39</v>
      </c>
      <c r="C138" s="4" t="s">
        <v>41</v>
      </c>
      <c r="D138" s="4" t="s">
        <v>45</v>
      </c>
      <c r="E138" s="4" t="s">
        <v>25</v>
      </c>
      <c r="F138" s="4" t="s">
        <v>25</v>
      </c>
      <c r="G138" s="4" t="s">
        <v>25</v>
      </c>
      <c r="H138" s="4" t="s">
        <v>25</v>
      </c>
      <c r="I138" s="5">
        <v>44621</v>
      </c>
      <c r="J138" s="6">
        <v>365</v>
      </c>
      <c r="K138" s="53">
        <v>365</v>
      </c>
      <c r="L138" s="6">
        <v>0</v>
      </c>
      <c r="M138" s="53">
        <v>0</v>
      </c>
      <c r="N138" s="6">
        <v>0</v>
      </c>
      <c r="O138" s="53">
        <v>0</v>
      </c>
      <c r="P138" s="6">
        <v>5</v>
      </c>
      <c r="Q138" s="4" t="s">
        <v>26</v>
      </c>
      <c r="R138" s="4">
        <v>0</v>
      </c>
      <c r="S138" s="4">
        <v>20</v>
      </c>
      <c r="T138" s="4">
        <v>0</v>
      </c>
      <c r="U138" s="4">
        <v>0</v>
      </c>
      <c r="V138" s="53">
        <f>IF(ISERROR(VLOOKUP($S$138,'TAR FIN'!$A$1:$O$113,15,0)),0,VLOOKUP($S$138,'TAR FIN'!$A$1:$O$113,15,0))*(1-0.04)</f>
        <v>13.44</v>
      </c>
      <c r="W138" s="53">
        <f>IF(ISERROR(VLOOKUP($T$138,'TAR FIN'!$A$1:$O$113,15,0)),0,VLOOKUP($T$138,'TAR FIN'!$A$1:$O$113,15,0))</f>
        <v>0</v>
      </c>
      <c r="X138" s="53">
        <f>IF(ISERROR(VLOOKUP($U$138,'TAR FIN'!$A$1:$O$113,15,0)),0,VLOOKUP($U$138,'TAR FIN'!$A$1:$O$113,15,0))</f>
        <v>0</v>
      </c>
      <c r="Y138" s="53">
        <f ca="1">('TUSD BE'!$AM$19+'TUSD BF'!$AM$19+'TUSD CVA'!$AM$19)*1*(1-0.02)</f>
        <v>15.715234844864971</v>
      </c>
      <c r="Z138" s="53"/>
      <c r="AA138" s="53"/>
      <c r="AB138" s="53">
        <f>(SUBSIDIO!$J$138*SUBSIDIO!$V$138)*(0.04)/(1-0.04)</f>
        <v>204.4</v>
      </c>
      <c r="AC138" s="53">
        <f>((SUBSIDIO!$L$138*SUBSIDIO!$W$138)+(SUBSIDIO!$N$138*SUBSIDIO!$X$138))*(0.04)/(1-0.04)</f>
        <v>0</v>
      </c>
      <c r="AD138" s="53">
        <f ca="1">(SUBSIDIO!$J$138*SUBSIDIO!$Y$138)*(0.02)/(1-0.02)</f>
        <v>117.06246364032071</v>
      </c>
      <c r="AE138" s="53">
        <f>((SUBSIDIO!$L$138*SUBSIDIO!$Z$138)+(SUBSIDIO!$N$138*SUBSIDIO!$AA$138))*(0.02)/(1-0.02)</f>
        <v>0</v>
      </c>
      <c r="AF138" s="4" t="s">
        <v>853</v>
      </c>
    </row>
    <row r="139" spans="1:32" ht="11.25" customHeight="1" x14ac:dyDescent="0.3">
      <c r="A139" s="4" t="s">
        <v>21</v>
      </c>
      <c r="B139" s="4" t="s">
        <v>39</v>
      </c>
      <c r="C139" s="4" t="s">
        <v>41</v>
      </c>
      <c r="D139" s="4" t="s">
        <v>45</v>
      </c>
      <c r="E139" s="4" t="s">
        <v>25</v>
      </c>
      <c r="F139" s="4" t="s">
        <v>25</v>
      </c>
      <c r="G139" s="4" t="s">
        <v>25</v>
      </c>
      <c r="H139" s="4" t="s">
        <v>25</v>
      </c>
      <c r="I139" s="5">
        <v>44652</v>
      </c>
      <c r="J139" s="6">
        <v>422</v>
      </c>
      <c r="K139" s="53">
        <v>422</v>
      </c>
      <c r="L139" s="6">
        <v>0</v>
      </c>
      <c r="M139" s="53">
        <v>0</v>
      </c>
      <c r="N139" s="6">
        <v>0</v>
      </c>
      <c r="O139" s="53">
        <v>0</v>
      </c>
      <c r="P139" s="6">
        <v>5</v>
      </c>
      <c r="Q139" s="4" t="s">
        <v>26</v>
      </c>
      <c r="R139" s="4">
        <v>0</v>
      </c>
      <c r="S139" s="4">
        <v>20</v>
      </c>
      <c r="T139" s="4">
        <v>0</v>
      </c>
      <c r="U139" s="4">
        <v>0</v>
      </c>
      <c r="V139" s="53">
        <f>IF(ISERROR(VLOOKUP($S$139,'TAR FIN'!$A$1:$O$113,15,0)),0,VLOOKUP($S$139,'TAR FIN'!$A$1:$O$113,15,0))*(1-0.04)</f>
        <v>13.44</v>
      </c>
      <c r="W139" s="53">
        <f>IF(ISERROR(VLOOKUP($T$139,'TAR FIN'!$A$1:$O$113,15,0)),0,VLOOKUP($T$139,'TAR FIN'!$A$1:$O$113,15,0))</f>
        <v>0</v>
      </c>
      <c r="X139" s="53">
        <f>IF(ISERROR(VLOOKUP($U$139,'TAR FIN'!$A$1:$O$113,15,0)),0,VLOOKUP($U$139,'TAR FIN'!$A$1:$O$113,15,0))</f>
        <v>0</v>
      </c>
      <c r="Y139" s="53">
        <f ca="1">('TUSD BE'!$AM$19+'TUSD BF'!$AM$19+'TUSD CVA'!$AM$19)*1*(1-0.02)</f>
        <v>15.715234844864971</v>
      </c>
      <c r="Z139" s="53"/>
      <c r="AA139" s="53"/>
      <c r="AB139" s="53">
        <f>(SUBSIDIO!$J$139*SUBSIDIO!$V$139)*(0.04)/(1-0.04)</f>
        <v>236.31999999999996</v>
      </c>
      <c r="AC139" s="53">
        <f>((SUBSIDIO!$L$139*SUBSIDIO!$W$139)+(SUBSIDIO!$N$139*SUBSIDIO!$X$139))*(0.04)/(1-0.04)</f>
        <v>0</v>
      </c>
      <c r="AD139" s="53">
        <f ca="1">(SUBSIDIO!$J$139*SUBSIDIO!$Y$139)*(0.02)/(1-0.02)</f>
        <v>135.34345111291876</v>
      </c>
      <c r="AE139" s="53">
        <f>((SUBSIDIO!$L$139*SUBSIDIO!$Z$139)+(SUBSIDIO!$N$139*SUBSIDIO!$AA$139))*(0.02)/(1-0.02)</f>
        <v>0</v>
      </c>
      <c r="AF139" s="4" t="s">
        <v>853</v>
      </c>
    </row>
    <row r="140" spans="1:32" ht="11.25" customHeight="1" x14ac:dyDescent="0.3">
      <c r="A140" s="4" t="s">
        <v>21</v>
      </c>
      <c r="B140" s="4" t="s">
        <v>39</v>
      </c>
      <c r="C140" s="4" t="s">
        <v>41</v>
      </c>
      <c r="D140" s="4" t="s">
        <v>45</v>
      </c>
      <c r="E140" s="4" t="s">
        <v>25</v>
      </c>
      <c r="F140" s="4" t="s">
        <v>25</v>
      </c>
      <c r="G140" s="4" t="s">
        <v>25</v>
      </c>
      <c r="H140" s="4" t="s">
        <v>25</v>
      </c>
      <c r="I140" s="5">
        <v>44682</v>
      </c>
      <c r="J140" s="6">
        <v>403</v>
      </c>
      <c r="K140" s="53">
        <v>403</v>
      </c>
      <c r="L140" s="6">
        <v>0</v>
      </c>
      <c r="M140" s="53">
        <v>0</v>
      </c>
      <c r="N140" s="6">
        <v>0</v>
      </c>
      <c r="O140" s="53">
        <v>0</v>
      </c>
      <c r="P140" s="6">
        <v>5</v>
      </c>
      <c r="Q140" s="4" t="s">
        <v>26</v>
      </c>
      <c r="R140" s="4">
        <v>0</v>
      </c>
      <c r="S140" s="4">
        <v>20</v>
      </c>
      <c r="T140" s="4">
        <v>0</v>
      </c>
      <c r="U140" s="4">
        <v>0</v>
      </c>
      <c r="V140" s="53">
        <f>IF(ISERROR(VLOOKUP($S$140,'TAR FIN'!$A$1:$O$113,15,0)),0,VLOOKUP($S$140,'TAR FIN'!$A$1:$O$113,15,0))*(1-0.04)</f>
        <v>13.44</v>
      </c>
      <c r="W140" s="53">
        <f>IF(ISERROR(VLOOKUP($T$140,'TAR FIN'!$A$1:$O$113,15,0)),0,VLOOKUP($T$140,'TAR FIN'!$A$1:$O$113,15,0))</f>
        <v>0</v>
      </c>
      <c r="X140" s="53">
        <f>IF(ISERROR(VLOOKUP($U$140,'TAR FIN'!$A$1:$O$113,15,0)),0,VLOOKUP($U$140,'TAR FIN'!$A$1:$O$113,15,0))</f>
        <v>0</v>
      </c>
      <c r="Y140" s="53">
        <f ca="1">('TUSD BE'!$AM$19+'TUSD BF'!$AM$19+'TUSD CVA'!$AM$19)*1*(1-0.02)</f>
        <v>15.715234844864971</v>
      </c>
      <c r="Z140" s="53"/>
      <c r="AA140" s="53"/>
      <c r="AB140" s="53">
        <f>(SUBSIDIO!$J$140*SUBSIDIO!$V$140)*(0.04)/(1-0.04)</f>
        <v>225.68</v>
      </c>
      <c r="AC140" s="53">
        <f>((SUBSIDIO!$L$140*SUBSIDIO!$W$140)+(SUBSIDIO!$N$140*SUBSIDIO!$X$140))*(0.04)/(1-0.04)</f>
        <v>0</v>
      </c>
      <c r="AD140" s="53">
        <f ca="1">(SUBSIDIO!$J$140*SUBSIDIO!$Y$140)*(0.02)/(1-0.02)</f>
        <v>129.24978862205273</v>
      </c>
      <c r="AE140" s="53">
        <f>((SUBSIDIO!$L$140*SUBSIDIO!$Z$140)+(SUBSIDIO!$N$140*SUBSIDIO!$AA$140))*(0.02)/(1-0.02)</f>
        <v>0</v>
      </c>
      <c r="AF140" s="4" t="s">
        <v>853</v>
      </c>
    </row>
    <row r="141" spans="1:32" ht="11.25" customHeight="1" x14ac:dyDescent="0.3">
      <c r="A141" s="4" t="s">
        <v>21</v>
      </c>
      <c r="B141" s="4" t="s">
        <v>39</v>
      </c>
      <c r="C141" s="4" t="s">
        <v>41</v>
      </c>
      <c r="D141" s="4" t="s">
        <v>45</v>
      </c>
      <c r="E141" s="4" t="s">
        <v>25</v>
      </c>
      <c r="F141" s="4" t="s">
        <v>25</v>
      </c>
      <c r="G141" s="4" t="s">
        <v>25</v>
      </c>
      <c r="H141" s="4" t="s">
        <v>25</v>
      </c>
      <c r="I141" s="5">
        <v>44713</v>
      </c>
      <c r="J141" s="6">
        <v>365</v>
      </c>
      <c r="K141" s="53">
        <v>365</v>
      </c>
      <c r="L141" s="6">
        <v>0</v>
      </c>
      <c r="M141" s="53">
        <v>0</v>
      </c>
      <c r="N141" s="6">
        <v>0</v>
      </c>
      <c r="O141" s="53">
        <v>0</v>
      </c>
      <c r="P141" s="6">
        <v>5</v>
      </c>
      <c r="Q141" s="4" t="s">
        <v>26</v>
      </c>
      <c r="R141" s="4">
        <v>0</v>
      </c>
      <c r="S141" s="4">
        <v>20</v>
      </c>
      <c r="T141" s="4">
        <v>0</v>
      </c>
      <c r="U141" s="4">
        <v>0</v>
      </c>
      <c r="V141" s="53">
        <f>IF(ISERROR(VLOOKUP($S$141,'TAR FIN'!$A$1:$O$113,15,0)),0,VLOOKUP($S$141,'TAR FIN'!$A$1:$O$113,15,0))*(1-0.04)</f>
        <v>13.44</v>
      </c>
      <c r="W141" s="53">
        <f>IF(ISERROR(VLOOKUP($T$141,'TAR FIN'!$A$1:$O$113,15,0)),0,VLOOKUP($T$141,'TAR FIN'!$A$1:$O$113,15,0))</f>
        <v>0</v>
      </c>
      <c r="X141" s="53">
        <f>IF(ISERROR(VLOOKUP($U$141,'TAR FIN'!$A$1:$O$113,15,0)),0,VLOOKUP($U$141,'TAR FIN'!$A$1:$O$113,15,0))</f>
        <v>0</v>
      </c>
      <c r="Y141" s="53">
        <f ca="1">('TUSD BE'!$AM$19+'TUSD BF'!$AM$19+'TUSD CVA'!$AM$19)*1*(1-0.02)</f>
        <v>15.715234844864971</v>
      </c>
      <c r="Z141" s="53"/>
      <c r="AA141" s="53"/>
      <c r="AB141" s="53">
        <f>(SUBSIDIO!$J$141*SUBSIDIO!$V$141)*(0.04)/(1-0.04)</f>
        <v>204.4</v>
      </c>
      <c r="AC141" s="53">
        <f>((SUBSIDIO!$L$141*SUBSIDIO!$W$141)+(SUBSIDIO!$N$141*SUBSIDIO!$X$141))*(0.04)/(1-0.04)</f>
        <v>0</v>
      </c>
      <c r="AD141" s="53">
        <f ca="1">(SUBSIDIO!$J$141*SUBSIDIO!$Y$141)*(0.02)/(1-0.02)</f>
        <v>117.06246364032071</v>
      </c>
      <c r="AE141" s="53">
        <f>((SUBSIDIO!$L$141*SUBSIDIO!$Z$141)+(SUBSIDIO!$N$141*SUBSIDIO!$AA$141))*(0.02)/(1-0.02)</f>
        <v>0</v>
      </c>
      <c r="AF141" s="4" t="s">
        <v>853</v>
      </c>
    </row>
    <row r="142" spans="1:32" ht="11.25" customHeight="1" x14ac:dyDescent="0.3">
      <c r="A142" s="4" t="s">
        <v>21</v>
      </c>
      <c r="B142" s="4" t="s">
        <v>39</v>
      </c>
      <c r="C142" s="4" t="s">
        <v>41</v>
      </c>
      <c r="D142" s="4" t="s">
        <v>45</v>
      </c>
      <c r="E142" s="4" t="s">
        <v>25</v>
      </c>
      <c r="F142" s="4" t="s">
        <v>25</v>
      </c>
      <c r="G142" s="4" t="s">
        <v>25</v>
      </c>
      <c r="H142" s="4" t="s">
        <v>25</v>
      </c>
      <c r="I142" s="5">
        <v>44743</v>
      </c>
      <c r="J142" s="6">
        <v>416</v>
      </c>
      <c r="K142" s="53">
        <v>416</v>
      </c>
      <c r="L142" s="6">
        <v>0</v>
      </c>
      <c r="M142" s="53">
        <v>0</v>
      </c>
      <c r="N142" s="6">
        <v>0</v>
      </c>
      <c r="O142" s="53">
        <v>0</v>
      </c>
      <c r="P142" s="6">
        <v>4</v>
      </c>
      <c r="Q142" s="4" t="s">
        <v>26</v>
      </c>
      <c r="R142" s="4">
        <v>0</v>
      </c>
      <c r="S142" s="4">
        <v>20</v>
      </c>
      <c r="T142" s="4">
        <v>0</v>
      </c>
      <c r="U142" s="4">
        <v>0</v>
      </c>
      <c r="V142" s="53">
        <f>IF(ISERROR(VLOOKUP($S$142,'TAR FIN'!$A$1:$O$113,15,0)),0,VLOOKUP($S$142,'TAR FIN'!$A$1:$O$113,15,0))*(1-0.04)</f>
        <v>13.44</v>
      </c>
      <c r="W142" s="53">
        <f>IF(ISERROR(VLOOKUP($T$142,'TAR FIN'!$A$1:$O$113,15,0)),0,VLOOKUP($T$142,'TAR FIN'!$A$1:$O$113,15,0))</f>
        <v>0</v>
      </c>
      <c r="X142" s="53">
        <f>IF(ISERROR(VLOOKUP($U$142,'TAR FIN'!$A$1:$O$113,15,0)),0,VLOOKUP($U$142,'TAR FIN'!$A$1:$O$113,15,0))</f>
        <v>0</v>
      </c>
      <c r="Y142" s="53">
        <f ca="1">('TUSD BE'!$AM$19+'TUSD BF'!$AM$19+'TUSD CVA'!$AM$19)*1*(1-0.02)</f>
        <v>15.715234844864971</v>
      </c>
      <c r="Z142" s="53"/>
      <c r="AA142" s="53"/>
      <c r="AB142" s="53">
        <f>(SUBSIDIO!$J$142*SUBSIDIO!$V$142)*(0.04)/(1-0.04)</f>
        <v>232.96</v>
      </c>
      <c r="AC142" s="53">
        <f>((SUBSIDIO!$L$142*SUBSIDIO!$W$142)+(SUBSIDIO!$N$142*SUBSIDIO!$X$142))*(0.04)/(1-0.04)</f>
        <v>0</v>
      </c>
      <c r="AD142" s="53">
        <f ca="1">(SUBSIDIO!$J$142*SUBSIDIO!$Y$142)*(0.02)/(1-0.02)</f>
        <v>133.41913664211896</v>
      </c>
      <c r="AE142" s="53">
        <f>((SUBSIDIO!$L$142*SUBSIDIO!$Z$142)+(SUBSIDIO!$N$142*SUBSIDIO!$AA$142))*(0.02)/(1-0.02)</f>
        <v>0</v>
      </c>
      <c r="AF142" s="4" t="s">
        <v>853</v>
      </c>
    </row>
    <row r="143" spans="1:32" ht="11.25" customHeight="1" x14ac:dyDescent="0.3">
      <c r="A143" s="4" t="s">
        <v>21</v>
      </c>
      <c r="B143" s="4" t="s">
        <v>39</v>
      </c>
      <c r="C143" s="4" t="s">
        <v>41</v>
      </c>
      <c r="D143" s="4" t="s">
        <v>45</v>
      </c>
      <c r="E143" s="4" t="s">
        <v>25</v>
      </c>
      <c r="F143" s="4" t="s">
        <v>25</v>
      </c>
      <c r="G143" s="4" t="s">
        <v>25</v>
      </c>
      <c r="H143" s="4" t="s">
        <v>25</v>
      </c>
      <c r="I143" s="5">
        <v>44774</v>
      </c>
      <c r="J143" s="6">
        <v>366</v>
      </c>
      <c r="K143" s="53">
        <v>366</v>
      </c>
      <c r="L143" s="6">
        <v>0</v>
      </c>
      <c r="M143" s="53">
        <v>0</v>
      </c>
      <c r="N143" s="6">
        <v>0</v>
      </c>
      <c r="O143" s="53">
        <v>0</v>
      </c>
      <c r="P143" s="6">
        <v>5</v>
      </c>
      <c r="Q143" s="4" t="s">
        <v>26</v>
      </c>
      <c r="R143" s="4">
        <v>0</v>
      </c>
      <c r="S143" s="4">
        <v>20</v>
      </c>
      <c r="T143" s="4">
        <v>0</v>
      </c>
      <c r="U143" s="4">
        <v>0</v>
      </c>
      <c r="V143" s="53">
        <f>IF(ISERROR(VLOOKUP($S$143,'TAR FIN'!$A$1:$O$113,15,0)),0,VLOOKUP($S$143,'TAR FIN'!$A$1:$O$113,15,0))*(1-0.04)</f>
        <v>13.44</v>
      </c>
      <c r="W143" s="53">
        <f>IF(ISERROR(VLOOKUP($T$143,'TAR FIN'!$A$1:$O$113,15,0)),0,VLOOKUP($T$143,'TAR FIN'!$A$1:$O$113,15,0))</f>
        <v>0</v>
      </c>
      <c r="X143" s="53">
        <f>IF(ISERROR(VLOOKUP($U$143,'TAR FIN'!$A$1:$O$113,15,0)),0,VLOOKUP($U$143,'TAR FIN'!$A$1:$O$113,15,0))</f>
        <v>0</v>
      </c>
      <c r="Y143" s="53">
        <f ca="1">('TUSD BE'!$AM$19+'TUSD BF'!$AM$19+'TUSD CVA'!$AM$19)*1*(1-0.02)</f>
        <v>15.715234844864971</v>
      </c>
      <c r="Z143" s="53"/>
      <c r="AA143" s="53"/>
      <c r="AB143" s="53">
        <f>(SUBSIDIO!$J$143*SUBSIDIO!$V$143)*(0.04)/(1-0.04)</f>
        <v>204.96000000000004</v>
      </c>
      <c r="AC143" s="53">
        <f>((SUBSIDIO!$L$143*SUBSIDIO!$W$143)+(SUBSIDIO!$N$143*SUBSIDIO!$X$143))*(0.04)/(1-0.04)</f>
        <v>0</v>
      </c>
      <c r="AD143" s="53">
        <f ca="1">(SUBSIDIO!$J$143*SUBSIDIO!$Y$143)*(0.02)/(1-0.02)</f>
        <v>117.38318271878734</v>
      </c>
      <c r="AE143" s="53">
        <f>((SUBSIDIO!$L$143*SUBSIDIO!$Z$143)+(SUBSIDIO!$N$143*SUBSIDIO!$AA$143))*(0.02)/(1-0.02)</f>
        <v>0</v>
      </c>
      <c r="AF143" s="4" t="s">
        <v>853</v>
      </c>
    </row>
    <row r="144" spans="1:32" ht="11.25" customHeight="1" x14ac:dyDescent="0.3">
      <c r="A144" s="4" t="s">
        <v>21</v>
      </c>
      <c r="B144" s="4" t="s">
        <v>39</v>
      </c>
      <c r="C144" s="4" t="s">
        <v>41</v>
      </c>
      <c r="D144" s="4" t="s">
        <v>45</v>
      </c>
      <c r="E144" s="4" t="s">
        <v>25</v>
      </c>
      <c r="F144" s="4" t="s">
        <v>25</v>
      </c>
      <c r="G144" s="4" t="s">
        <v>25</v>
      </c>
      <c r="H144" s="4" t="s">
        <v>25</v>
      </c>
      <c r="I144" s="5">
        <v>44805</v>
      </c>
      <c r="J144" s="6">
        <v>838</v>
      </c>
      <c r="K144" s="53">
        <v>838</v>
      </c>
      <c r="L144" s="6">
        <v>0</v>
      </c>
      <c r="M144" s="53">
        <v>0</v>
      </c>
      <c r="N144" s="6">
        <v>0</v>
      </c>
      <c r="O144" s="53">
        <v>0</v>
      </c>
      <c r="P144" s="6">
        <v>6</v>
      </c>
      <c r="Q144" s="4" t="s">
        <v>26</v>
      </c>
      <c r="R144" s="4">
        <v>0</v>
      </c>
      <c r="S144" s="4">
        <v>20</v>
      </c>
      <c r="T144" s="4">
        <v>0</v>
      </c>
      <c r="U144" s="4">
        <v>0</v>
      </c>
      <c r="V144" s="53">
        <f>IF(ISERROR(VLOOKUP($S$144,'TAR FIN'!$A$1:$O$113,15,0)),0,VLOOKUP($S$144,'TAR FIN'!$A$1:$O$113,15,0))*(1-0.04)</f>
        <v>13.44</v>
      </c>
      <c r="W144" s="53">
        <f>IF(ISERROR(VLOOKUP($T$144,'TAR FIN'!$A$1:$O$113,15,0)),0,VLOOKUP($T$144,'TAR FIN'!$A$1:$O$113,15,0))</f>
        <v>0</v>
      </c>
      <c r="X144" s="53">
        <f>IF(ISERROR(VLOOKUP($U$144,'TAR FIN'!$A$1:$O$113,15,0)),0,VLOOKUP($U$144,'TAR FIN'!$A$1:$O$113,15,0))</f>
        <v>0</v>
      </c>
      <c r="Y144" s="53">
        <f ca="1">('TUSD BE'!$AM$19+'TUSD BF'!$AM$19+'TUSD CVA'!$AM$19)*1*(1-0.02)</f>
        <v>15.715234844864971</v>
      </c>
      <c r="Z144" s="53"/>
      <c r="AA144" s="53"/>
      <c r="AB144" s="53">
        <f>(SUBSIDIO!$J$144*SUBSIDIO!$V$144)*(0.04)/(1-0.04)</f>
        <v>469.28000000000003</v>
      </c>
      <c r="AC144" s="53">
        <f>((SUBSIDIO!$L$144*SUBSIDIO!$W$144)+(SUBSIDIO!$N$144*SUBSIDIO!$X$144))*(0.04)/(1-0.04)</f>
        <v>0</v>
      </c>
      <c r="AD144" s="53">
        <f ca="1">(SUBSIDIO!$J$144*SUBSIDIO!$Y$144)*(0.02)/(1-0.02)</f>
        <v>268.76258775503766</v>
      </c>
      <c r="AE144" s="53">
        <f>((SUBSIDIO!$L$144*SUBSIDIO!$Z$144)+(SUBSIDIO!$N$144*SUBSIDIO!$AA$144))*(0.02)/(1-0.02)</f>
        <v>0</v>
      </c>
      <c r="AF144" s="4" t="s">
        <v>853</v>
      </c>
    </row>
    <row r="145" spans="1:32" ht="11.25" customHeight="1" x14ac:dyDescent="0.3">
      <c r="A145" s="4" t="s">
        <v>53</v>
      </c>
      <c r="B145" s="4" t="s">
        <v>39</v>
      </c>
      <c r="C145" s="4" t="s">
        <v>41</v>
      </c>
      <c r="D145" s="4" t="s">
        <v>45</v>
      </c>
      <c r="E145" s="4" t="s">
        <v>25</v>
      </c>
      <c r="F145" s="4" t="s">
        <v>25</v>
      </c>
      <c r="G145" s="4" t="s">
        <v>25</v>
      </c>
      <c r="H145" s="4" t="s">
        <v>25</v>
      </c>
      <c r="I145" s="5">
        <v>44835</v>
      </c>
      <c r="J145" s="6">
        <v>838</v>
      </c>
      <c r="K145" s="53">
        <v>838</v>
      </c>
      <c r="L145" s="6">
        <v>0</v>
      </c>
      <c r="M145" s="53">
        <v>0</v>
      </c>
      <c r="N145" s="6">
        <v>0</v>
      </c>
      <c r="O145" s="53">
        <v>0</v>
      </c>
      <c r="P145" s="6">
        <v>6</v>
      </c>
      <c r="Q145" s="4" t="s">
        <v>26</v>
      </c>
      <c r="R145" s="4">
        <v>0</v>
      </c>
      <c r="S145" s="4">
        <v>20</v>
      </c>
      <c r="T145" s="4">
        <v>0</v>
      </c>
      <c r="U145" s="4">
        <v>0</v>
      </c>
      <c r="V145" s="53">
        <f>IF(ISERROR(VLOOKUP($S$145,'TAR FIN'!$A$1:$O$113,15,0)),0,VLOOKUP($S$145,'TAR FIN'!$A$1:$O$113,15,0))*(1-0.04)</f>
        <v>13.44</v>
      </c>
      <c r="W145" s="53">
        <f>IF(ISERROR(VLOOKUP($T$145,'TAR FIN'!$A$1:$O$113,15,0)),0,VLOOKUP($T$145,'TAR FIN'!$A$1:$O$113,15,0))</f>
        <v>0</v>
      </c>
      <c r="X145" s="53">
        <f>IF(ISERROR(VLOOKUP($U$145,'TAR FIN'!$A$1:$O$113,15,0)),0,VLOOKUP($U$145,'TAR FIN'!$A$1:$O$113,15,0))</f>
        <v>0</v>
      </c>
      <c r="Y145" s="53">
        <f ca="1">('TUSD BE'!$AM$19+'TUSD BF'!$AM$19+'TUSD CVA'!$AM$19)*1*(1-0.02)</f>
        <v>15.715234844864971</v>
      </c>
      <c r="Z145" s="53"/>
      <c r="AA145" s="53"/>
      <c r="AB145" s="53">
        <f>(SUBSIDIO!$J$145*SUBSIDIO!$V$145)*(0.04)/(1-0.04)</f>
        <v>469.28000000000003</v>
      </c>
      <c r="AC145" s="53">
        <f>((SUBSIDIO!$L$145*SUBSIDIO!$W$145)+(SUBSIDIO!$N$145*SUBSIDIO!$X$145))*(0.04)/(1-0.04)</f>
        <v>0</v>
      </c>
      <c r="AD145" s="53">
        <f ca="1">(SUBSIDIO!$J$145*SUBSIDIO!$Y$145)*(0.02)/(1-0.02)</f>
        <v>268.76258775503766</v>
      </c>
      <c r="AE145" s="53">
        <f>((SUBSIDIO!$L$145*SUBSIDIO!$Z$145)+(SUBSIDIO!$N$145*SUBSIDIO!$AA$145))*(0.02)/(1-0.02)</f>
        <v>0</v>
      </c>
      <c r="AF145" s="4" t="s">
        <v>853</v>
      </c>
    </row>
    <row r="146" spans="1:32" ht="11.25" customHeight="1" x14ac:dyDescent="0.3">
      <c r="A146" s="4" t="s">
        <v>21</v>
      </c>
      <c r="B146" s="4" t="s">
        <v>39</v>
      </c>
      <c r="C146" s="4" t="s">
        <v>41</v>
      </c>
      <c r="D146" s="4" t="s">
        <v>45</v>
      </c>
      <c r="E146" s="4" t="s">
        <v>25</v>
      </c>
      <c r="F146" s="4" t="s">
        <v>25</v>
      </c>
      <c r="G146" s="4" t="s">
        <v>25</v>
      </c>
      <c r="H146" s="4" t="s">
        <v>34</v>
      </c>
      <c r="I146" s="5">
        <v>44501</v>
      </c>
      <c r="J146" s="6">
        <v>0</v>
      </c>
      <c r="K146" s="53">
        <v>0</v>
      </c>
      <c r="L146" s="6">
        <v>9.2420000000000009</v>
      </c>
      <c r="M146" s="53">
        <v>9.2420000000000009</v>
      </c>
      <c r="N146" s="6">
        <v>9.2420000000000009</v>
      </c>
      <c r="O146" s="53">
        <v>9.2420000000000009</v>
      </c>
      <c r="P146" s="6">
        <v>0</v>
      </c>
      <c r="Q146" s="4" t="s">
        <v>26</v>
      </c>
      <c r="R146" s="4">
        <v>0</v>
      </c>
      <c r="S146" s="4">
        <v>0</v>
      </c>
      <c r="T146" s="4">
        <v>8</v>
      </c>
      <c r="U146" s="4">
        <v>38</v>
      </c>
      <c r="V146" s="53">
        <f>IF(ISERROR(VLOOKUP($S$146,'TAR FIN'!$A$1:$O$113,15,0)),0,VLOOKUP($S$146,'TAR FIN'!$A$1:$O$113,15,0))</f>
        <v>0</v>
      </c>
      <c r="W146" s="53">
        <f>IF(ISERROR(VLOOKUP($T$146,'TAR FIN'!$A$1:$O$113,15,0)),0,VLOOKUP($T$146,'TAR FIN'!$A$1:$O$113,15,0))*(1-0.04)</f>
        <v>902.81279999999992</v>
      </c>
      <c r="X146" s="53">
        <f>IF(ISERROR(VLOOKUP($U$146,'TAR FIN'!$A$1:$O$113,15,0)),0,VLOOKUP($U$146,'TAR FIN'!$A$1:$O$113,15,0))*(1-0.04)</f>
        <v>425.1456</v>
      </c>
      <c r="Y146" s="53"/>
      <c r="Z146" s="53">
        <f ca="1">('TUSD BE'!$AM$20+'TUSD BF'!$AM$20+'TUSD CVA'!$AM$20)*1*(1-0.02)</f>
        <v>1095.4719877170419</v>
      </c>
      <c r="AA146" s="53">
        <f>('TE BE'!$AB$9+'TE BF'!$AB$9+'TE CVA'!$AB$9)*1*(1-0.02)</f>
        <v>476.70736237678852</v>
      </c>
      <c r="AB146" s="53">
        <f>(SUBSIDIO!$J$146*SUBSIDIO!$V$146)*(0.04)/(1-0.04)</f>
        <v>0</v>
      </c>
      <c r="AC146" s="53">
        <f>((SUBSIDIO!$L$146*SUBSIDIO!$W$146)+(SUBSIDIO!$N$146*SUBSIDIO!$X$146))*(0.04)/(1-0.04)</f>
        <v>511.37464720000003</v>
      </c>
      <c r="AD146" s="53">
        <f>(SUBSIDIO!$J$146*SUBSIDIO!$Y$146)*(0.02)/(1-0.02)</f>
        <v>0</v>
      </c>
      <c r="AE146" s="53">
        <f ca="1">((SUBSIDIO!$L$146*SUBSIDIO!$Z$146)+(SUBSIDIO!$N$146*SUBSIDIO!$AA$146))*(0.02)/(1-0.02)</f>
        <v>296.5322766034119</v>
      </c>
      <c r="AF146" s="4" t="s">
        <v>853</v>
      </c>
    </row>
    <row r="147" spans="1:32" ht="11.25" customHeight="1" x14ac:dyDescent="0.3">
      <c r="A147" s="4" t="s">
        <v>21</v>
      </c>
      <c r="B147" s="4" t="s">
        <v>39</v>
      </c>
      <c r="C147" s="4" t="s">
        <v>41</v>
      </c>
      <c r="D147" s="4" t="s">
        <v>45</v>
      </c>
      <c r="E147" s="4" t="s">
        <v>25</v>
      </c>
      <c r="F147" s="4" t="s">
        <v>25</v>
      </c>
      <c r="G147" s="4" t="s">
        <v>25</v>
      </c>
      <c r="H147" s="4" t="s">
        <v>34</v>
      </c>
      <c r="I147" s="5">
        <v>44531</v>
      </c>
      <c r="J147" s="6">
        <v>0</v>
      </c>
      <c r="K147" s="53">
        <v>0</v>
      </c>
      <c r="L147" s="6">
        <v>9.8689999999999998</v>
      </c>
      <c r="M147" s="53">
        <v>9.8689999999999998</v>
      </c>
      <c r="N147" s="6">
        <v>9.8689999999999998</v>
      </c>
      <c r="O147" s="53">
        <v>9.8689999999999998</v>
      </c>
      <c r="P147" s="6">
        <v>0</v>
      </c>
      <c r="Q147" s="4" t="s">
        <v>26</v>
      </c>
      <c r="R147" s="4">
        <v>0</v>
      </c>
      <c r="S147" s="4">
        <v>0</v>
      </c>
      <c r="T147" s="4">
        <v>8</v>
      </c>
      <c r="U147" s="4">
        <v>38</v>
      </c>
      <c r="V147" s="53">
        <f>IF(ISERROR(VLOOKUP($S$147,'TAR FIN'!$A$1:$O$113,15,0)),0,VLOOKUP($S$147,'TAR FIN'!$A$1:$O$113,15,0))</f>
        <v>0</v>
      </c>
      <c r="W147" s="53">
        <f>IF(ISERROR(VLOOKUP($T$147,'TAR FIN'!$A$1:$O$113,15,0)),0,VLOOKUP($T$147,'TAR FIN'!$A$1:$O$113,15,0))*(1-0.04)</f>
        <v>902.81279999999992</v>
      </c>
      <c r="X147" s="53">
        <f>IF(ISERROR(VLOOKUP($U$147,'TAR FIN'!$A$1:$O$113,15,0)),0,VLOOKUP($U$147,'TAR FIN'!$A$1:$O$113,15,0))*(1-0.04)</f>
        <v>425.1456</v>
      </c>
      <c r="Y147" s="53"/>
      <c r="Z147" s="53">
        <f ca="1">('TUSD BE'!$AM$20+'TUSD BF'!$AM$20+'TUSD CVA'!$AM$20)*1*(1-0.02)</f>
        <v>1095.4719877170419</v>
      </c>
      <c r="AA147" s="53">
        <f>('TE BE'!$AB$9+'TE BF'!$AB$9+'TE CVA'!$AB$9)*1*(1-0.02)</f>
        <v>476.70736237678852</v>
      </c>
      <c r="AB147" s="53">
        <f>(SUBSIDIO!$J$147*SUBSIDIO!$V$147)*(0.04)/(1-0.04)</f>
        <v>0</v>
      </c>
      <c r="AC147" s="53">
        <f>((SUBSIDIO!$L$147*SUBSIDIO!$W$147)+(SUBSIDIO!$N$147*SUBSIDIO!$X$147))*(0.04)/(1-0.04)</f>
        <v>546.06756040000005</v>
      </c>
      <c r="AD147" s="53">
        <f>(SUBSIDIO!$J$147*SUBSIDIO!$Y$147)*(0.02)/(1-0.02)</f>
        <v>0</v>
      </c>
      <c r="AE147" s="53">
        <f ca="1">((SUBSIDIO!$L$147*SUBSIDIO!$Z$147)+(SUBSIDIO!$N$147*SUBSIDIO!$AA$147))*(0.02)/(1-0.02)</f>
        <v>316.64975522604112</v>
      </c>
      <c r="AF147" s="4" t="s">
        <v>853</v>
      </c>
    </row>
    <row r="148" spans="1:32" ht="11.25" customHeight="1" x14ac:dyDescent="0.3">
      <c r="A148" s="4" t="s">
        <v>21</v>
      </c>
      <c r="B148" s="4" t="s">
        <v>39</v>
      </c>
      <c r="C148" s="4" t="s">
        <v>41</v>
      </c>
      <c r="D148" s="4" t="s">
        <v>45</v>
      </c>
      <c r="E148" s="4" t="s">
        <v>25</v>
      </c>
      <c r="F148" s="4" t="s">
        <v>25</v>
      </c>
      <c r="G148" s="4" t="s">
        <v>25</v>
      </c>
      <c r="H148" s="4" t="s">
        <v>34</v>
      </c>
      <c r="I148" s="5">
        <v>44562</v>
      </c>
      <c r="J148" s="6">
        <v>0</v>
      </c>
      <c r="K148" s="53">
        <v>0</v>
      </c>
      <c r="L148" s="6">
        <v>11.326000000000001</v>
      </c>
      <c r="M148" s="53">
        <v>11.326000000000001</v>
      </c>
      <c r="N148" s="6">
        <v>11.326000000000001</v>
      </c>
      <c r="O148" s="53">
        <v>11.326000000000001</v>
      </c>
      <c r="P148" s="6">
        <v>0</v>
      </c>
      <c r="Q148" s="4" t="s">
        <v>26</v>
      </c>
      <c r="R148" s="4">
        <v>0</v>
      </c>
      <c r="S148" s="4">
        <v>0</v>
      </c>
      <c r="T148" s="4">
        <v>8</v>
      </c>
      <c r="U148" s="4">
        <v>38</v>
      </c>
      <c r="V148" s="53">
        <f>IF(ISERROR(VLOOKUP($S$148,'TAR FIN'!$A$1:$O$113,15,0)),0,VLOOKUP($S$148,'TAR FIN'!$A$1:$O$113,15,0))</f>
        <v>0</v>
      </c>
      <c r="W148" s="53">
        <f>IF(ISERROR(VLOOKUP($T$148,'TAR FIN'!$A$1:$O$113,15,0)),0,VLOOKUP($T$148,'TAR FIN'!$A$1:$O$113,15,0))*(1-0.04)</f>
        <v>902.81279999999992</v>
      </c>
      <c r="X148" s="53">
        <f>IF(ISERROR(VLOOKUP($U$148,'TAR FIN'!$A$1:$O$113,15,0)),0,VLOOKUP($U$148,'TAR FIN'!$A$1:$O$113,15,0))*(1-0.04)</f>
        <v>425.1456</v>
      </c>
      <c r="Y148" s="53"/>
      <c r="Z148" s="53">
        <f ca="1">('TUSD BE'!$AM$20+'TUSD BF'!$AM$20+'TUSD CVA'!$AM$20)*1*(1-0.02)</f>
        <v>1095.4719877170419</v>
      </c>
      <c r="AA148" s="53">
        <f>('TE BE'!$AB$9+'TE BF'!$AB$9+'TE CVA'!$AB$9)*1*(1-0.02)</f>
        <v>476.70736237678852</v>
      </c>
      <c r="AB148" s="53">
        <f>(SUBSIDIO!$J$148*SUBSIDIO!$V$148)*(0.04)/(1-0.04)</f>
        <v>0</v>
      </c>
      <c r="AC148" s="53">
        <f>((SUBSIDIO!$L$148*SUBSIDIO!$W$148)+(SUBSIDIO!$N$148*SUBSIDIO!$X$148))*(0.04)/(1-0.04)</f>
        <v>626.68570160000002</v>
      </c>
      <c r="AD148" s="53">
        <f>(SUBSIDIO!$J$148*SUBSIDIO!$Y$148)*(0.02)/(1-0.02)</f>
        <v>0</v>
      </c>
      <c r="AE148" s="53">
        <f ca="1">((SUBSIDIO!$L$148*SUBSIDIO!$Z$148)+(SUBSIDIO!$N$148*SUBSIDIO!$AA$148))*(0.02)/(1-0.02)</f>
        <v>363.39802692168826</v>
      </c>
      <c r="AF148" s="4" t="s">
        <v>853</v>
      </c>
    </row>
    <row r="149" spans="1:32" ht="11.25" customHeight="1" x14ac:dyDescent="0.3">
      <c r="A149" s="4" t="s">
        <v>21</v>
      </c>
      <c r="B149" s="4" t="s">
        <v>39</v>
      </c>
      <c r="C149" s="4" t="s">
        <v>41</v>
      </c>
      <c r="D149" s="4" t="s">
        <v>45</v>
      </c>
      <c r="E149" s="4" t="s">
        <v>25</v>
      </c>
      <c r="F149" s="4" t="s">
        <v>25</v>
      </c>
      <c r="G149" s="4" t="s">
        <v>25</v>
      </c>
      <c r="H149" s="4" t="s">
        <v>34</v>
      </c>
      <c r="I149" s="5">
        <v>44593</v>
      </c>
      <c r="J149" s="6">
        <v>0</v>
      </c>
      <c r="K149" s="53">
        <v>0</v>
      </c>
      <c r="L149" s="6">
        <v>10.323</v>
      </c>
      <c r="M149" s="53">
        <v>10.323</v>
      </c>
      <c r="N149" s="6">
        <v>10.323</v>
      </c>
      <c r="O149" s="53">
        <v>10.323</v>
      </c>
      <c r="P149" s="6">
        <v>0</v>
      </c>
      <c r="Q149" s="4" t="s">
        <v>26</v>
      </c>
      <c r="R149" s="4">
        <v>0</v>
      </c>
      <c r="S149" s="4">
        <v>0</v>
      </c>
      <c r="T149" s="4">
        <v>8</v>
      </c>
      <c r="U149" s="4">
        <v>38</v>
      </c>
      <c r="V149" s="53">
        <f>IF(ISERROR(VLOOKUP($S$149,'TAR FIN'!$A$1:$O$113,15,0)),0,VLOOKUP($S$149,'TAR FIN'!$A$1:$O$113,15,0))</f>
        <v>0</v>
      </c>
      <c r="W149" s="53">
        <f>IF(ISERROR(VLOOKUP($T$149,'TAR FIN'!$A$1:$O$113,15,0)),0,VLOOKUP($T$149,'TAR FIN'!$A$1:$O$113,15,0))*(1-0.04)</f>
        <v>902.81279999999992</v>
      </c>
      <c r="X149" s="53">
        <f>IF(ISERROR(VLOOKUP($U$149,'TAR FIN'!$A$1:$O$113,15,0)),0,VLOOKUP($U$149,'TAR FIN'!$A$1:$O$113,15,0))*(1-0.04)</f>
        <v>425.1456</v>
      </c>
      <c r="Y149" s="53"/>
      <c r="Z149" s="53">
        <f ca="1">('TUSD BE'!$AM$20+'TUSD BF'!$AM$20+'TUSD CVA'!$AM$20)*1*(1-0.02)</f>
        <v>1095.4719877170419</v>
      </c>
      <c r="AA149" s="53">
        <f>('TE BE'!$AB$9+'TE BF'!$AB$9+'TE CVA'!$AB$9)*1*(1-0.02)</f>
        <v>476.70736237678852</v>
      </c>
      <c r="AB149" s="53">
        <f>(SUBSIDIO!$J$149*SUBSIDIO!$V$149)*(0.04)/(1-0.04)</f>
        <v>0</v>
      </c>
      <c r="AC149" s="53">
        <f>((SUBSIDIO!$L$149*SUBSIDIO!$W$149)+(SUBSIDIO!$N$149*SUBSIDIO!$X$149))*(0.04)/(1-0.04)</f>
        <v>571.1881067999999</v>
      </c>
      <c r="AD149" s="53">
        <f>(SUBSIDIO!$J$149*SUBSIDIO!$Y$149)*(0.02)/(1-0.02)</f>
        <v>0</v>
      </c>
      <c r="AE149" s="53">
        <f ca="1">((SUBSIDIO!$L$149*SUBSIDIO!$Z$149)+(SUBSIDIO!$N$149*SUBSIDIO!$AA$149))*(0.02)/(1-0.02)</f>
        <v>331.2164781840533</v>
      </c>
      <c r="AF149" s="4" t="s">
        <v>853</v>
      </c>
    </row>
    <row r="150" spans="1:32" ht="11.25" customHeight="1" x14ac:dyDescent="0.3">
      <c r="A150" s="4" t="s">
        <v>21</v>
      </c>
      <c r="B150" s="4" t="s">
        <v>39</v>
      </c>
      <c r="C150" s="4" t="s">
        <v>41</v>
      </c>
      <c r="D150" s="4" t="s">
        <v>45</v>
      </c>
      <c r="E150" s="4" t="s">
        <v>25</v>
      </c>
      <c r="F150" s="4" t="s">
        <v>25</v>
      </c>
      <c r="G150" s="4" t="s">
        <v>25</v>
      </c>
      <c r="H150" s="4" t="s">
        <v>34</v>
      </c>
      <c r="I150" s="5">
        <v>44621</v>
      </c>
      <c r="J150" s="6">
        <v>0</v>
      </c>
      <c r="K150" s="53">
        <v>0</v>
      </c>
      <c r="L150" s="6">
        <v>9.7509999999999994</v>
      </c>
      <c r="M150" s="53">
        <v>9.7509999999999994</v>
      </c>
      <c r="N150" s="6">
        <v>9.7509999999999994</v>
      </c>
      <c r="O150" s="53">
        <v>9.7509999999999994</v>
      </c>
      <c r="P150" s="6">
        <v>0</v>
      </c>
      <c r="Q150" s="4" t="s">
        <v>26</v>
      </c>
      <c r="R150" s="4">
        <v>0</v>
      </c>
      <c r="S150" s="4">
        <v>0</v>
      </c>
      <c r="T150" s="4">
        <v>8</v>
      </c>
      <c r="U150" s="4">
        <v>38</v>
      </c>
      <c r="V150" s="53">
        <f>IF(ISERROR(VLOOKUP($S$150,'TAR FIN'!$A$1:$O$113,15,0)),0,VLOOKUP($S$150,'TAR FIN'!$A$1:$O$113,15,0))</f>
        <v>0</v>
      </c>
      <c r="W150" s="53">
        <f>IF(ISERROR(VLOOKUP($T$150,'TAR FIN'!$A$1:$O$113,15,0)),0,VLOOKUP($T$150,'TAR FIN'!$A$1:$O$113,15,0))*(1-0.04)</f>
        <v>902.81279999999992</v>
      </c>
      <c r="X150" s="53">
        <f>IF(ISERROR(VLOOKUP($U$150,'TAR FIN'!$A$1:$O$113,15,0)),0,VLOOKUP($U$150,'TAR FIN'!$A$1:$O$113,15,0))*(1-0.04)</f>
        <v>425.1456</v>
      </c>
      <c r="Y150" s="53"/>
      <c r="Z150" s="53">
        <f ca="1">('TUSD BE'!$AM$20+'TUSD BF'!$AM$20+'TUSD CVA'!$AM$20)*1*(1-0.02)</f>
        <v>1095.4719877170419</v>
      </c>
      <c r="AA150" s="53">
        <f>('TE BE'!$AB$9+'TE BF'!$AB$9+'TE CVA'!$AB$9)*1*(1-0.02)</f>
        <v>476.70736237678852</v>
      </c>
      <c r="AB150" s="53">
        <f>(SUBSIDIO!$J$150*SUBSIDIO!$V$150)*(0.04)/(1-0.04)</f>
        <v>0</v>
      </c>
      <c r="AC150" s="53">
        <f>((SUBSIDIO!$L$150*SUBSIDIO!$W$150)+(SUBSIDIO!$N$150*SUBSIDIO!$X$150))*(0.04)/(1-0.04)</f>
        <v>539.53843159999985</v>
      </c>
      <c r="AD150" s="53">
        <f>(SUBSIDIO!$J$150*SUBSIDIO!$Y$150)*(0.02)/(1-0.02)</f>
        <v>0</v>
      </c>
      <c r="AE150" s="53">
        <f ca="1">((SUBSIDIO!$L$150*SUBSIDIO!$Z$150)+(SUBSIDIO!$N$150*SUBSIDIO!$AA$150))*(0.02)/(1-0.02)</f>
        <v>312.86369066867229</v>
      </c>
      <c r="AF150" s="4" t="s">
        <v>853</v>
      </c>
    </row>
    <row r="151" spans="1:32" ht="11.25" customHeight="1" x14ac:dyDescent="0.3">
      <c r="A151" s="4" t="s">
        <v>21</v>
      </c>
      <c r="B151" s="4" t="s">
        <v>39</v>
      </c>
      <c r="C151" s="4" t="s">
        <v>41</v>
      </c>
      <c r="D151" s="4" t="s">
        <v>45</v>
      </c>
      <c r="E151" s="4" t="s">
        <v>25</v>
      </c>
      <c r="F151" s="4" t="s">
        <v>25</v>
      </c>
      <c r="G151" s="4" t="s">
        <v>25</v>
      </c>
      <c r="H151" s="4" t="s">
        <v>34</v>
      </c>
      <c r="I151" s="5">
        <v>44652</v>
      </c>
      <c r="J151" s="6">
        <v>0</v>
      </c>
      <c r="K151" s="53">
        <v>0</v>
      </c>
      <c r="L151" s="6">
        <v>10.827999999999999</v>
      </c>
      <c r="M151" s="53">
        <v>10.827999999999999</v>
      </c>
      <c r="N151" s="6">
        <v>10.827999999999999</v>
      </c>
      <c r="O151" s="53">
        <v>10.827999999999999</v>
      </c>
      <c r="P151" s="6">
        <v>0</v>
      </c>
      <c r="Q151" s="4" t="s">
        <v>26</v>
      </c>
      <c r="R151" s="4">
        <v>0</v>
      </c>
      <c r="S151" s="4">
        <v>0</v>
      </c>
      <c r="T151" s="4">
        <v>8</v>
      </c>
      <c r="U151" s="4">
        <v>38</v>
      </c>
      <c r="V151" s="53">
        <f>IF(ISERROR(VLOOKUP($S$151,'TAR FIN'!$A$1:$O$113,15,0)),0,VLOOKUP($S$151,'TAR FIN'!$A$1:$O$113,15,0))</f>
        <v>0</v>
      </c>
      <c r="W151" s="53">
        <f>IF(ISERROR(VLOOKUP($T$151,'TAR FIN'!$A$1:$O$113,15,0)),0,VLOOKUP($T$151,'TAR FIN'!$A$1:$O$113,15,0))*(1-0.04)</f>
        <v>902.81279999999992</v>
      </c>
      <c r="X151" s="53">
        <f>IF(ISERROR(VLOOKUP($U$151,'TAR FIN'!$A$1:$O$113,15,0)),0,VLOOKUP($U$151,'TAR FIN'!$A$1:$O$113,15,0))*(1-0.04)</f>
        <v>425.1456</v>
      </c>
      <c r="Y151" s="53"/>
      <c r="Z151" s="53">
        <f ca="1">('TUSD BE'!$AM$20+'TUSD BF'!$AM$20+'TUSD CVA'!$AM$20)*1*(1-0.02)</f>
        <v>1095.4719877170419</v>
      </c>
      <c r="AA151" s="53">
        <f>('TE BE'!$AB$9+'TE BF'!$AB$9+'TE CVA'!$AB$9)*1*(1-0.02)</f>
        <v>476.70736237678852</v>
      </c>
      <c r="AB151" s="53">
        <f>(SUBSIDIO!$J$151*SUBSIDIO!$V$151)*(0.04)/(1-0.04)</f>
        <v>0</v>
      </c>
      <c r="AC151" s="53">
        <f>((SUBSIDIO!$L$151*SUBSIDIO!$W$151)+(SUBSIDIO!$N$151*SUBSIDIO!$X$151))*(0.04)/(1-0.04)</f>
        <v>599.1305648</v>
      </c>
      <c r="AD151" s="53">
        <f>(SUBSIDIO!$J$151*SUBSIDIO!$Y$151)*(0.02)/(1-0.02)</f>
        <v>0</v>
      </c>
      <c r="AE151" s="53">
        <f ca="1">((SUBSIDIO!$L$151*SUBSIDIO!$Z$151)+(SUBSIDIO!$N$151*SUBSIDIO!$AA$151))*(0.02)/(1-0.02)</f>
        <v>347.41955107787743</v>
      </c>
      <c r="AF151" s="4" t="s">
        <v>853</v>
      </c>
    </row>
    <row r="152" spans="1:32" ht="11.25" customHeight="1" x14ac:dyDescent="0.3">
      <c r="A152" s="4" t="s">
        <v>21</v>
      </c>
      <c r="B152" s="4" t="s">
        <v>39</v>
      </c>
      <c r="C152" s="4" t="s">
        <v>41</v>
      </c>
      <c r="D152" s="4" t="s">
        <v>45</v>
      </c>
      <c r="E152" s="4" t="s">
        <v>25</v>
      </c>
      <c r="F152" s="4" t="s">
        <v>25</v>
      </c>
      <c r="G152" s="4" t="s">
        <v>25</v>
      </c>
      <c r="H152" s="4" t="s">
        <v>34</v>
      </c>
      <c r="I152" s="5">
        <v>44682</v>
      </c>
      <c r="J152" s="6">
        <v>0</v>
      </c>
      <c r="K152" s="53">
        <v>0</v>
      </c>
      <c r="L152" s="6">
        <v>9.1790000000000003</v>
      </c>
      <c r="M152" s="53">
        <v>9.1790000000000003</v>
      </c>
      <c r="N152" s="6">
        <v>9.1790000000000003</v>
      </c>
      <c r="O152" s="53">
        <v>9.1790000000000003</v>
      </c>
      <c r="P152" s="6">
        <v>0</v>
      </c>
      <c r="Q152" s="4" t="s">
        <v>26</v>
      </c>
      <c r="R152" s="4">
        <v>0</v>
      </c>
      <c r="S152" s="4">
        <v>0</v>
      </c>
      <c r="T152" s="4">
        <v>8</v>
      </c>
      <c r="U152" s="4">
        <v>38</v>
      </c>
      <c r="V152" s="53">
        <f>IF(ISERROR(VLOOKUP($S$152,'TAR FIN'!$A$1:$O$113,15,0)),0,VLOOKUP($S$152,'TAR FIN'!$A$1:$O$113,15,0))</f>
        <v>0</v>
      </c>
      <c r="W152" s="53">
        <f>IF(ISERROR(VLOOKUP($T$152,'TAR FIN'!$A$1:$O$113,15,0)),0,VLOOKUP($T$152,'TAR FIN'!$A$1:$O$113,15,0))*(1-0.04)</f>
        <v>902.81279999999992</v>
      </c>
      <c r="X152" s="53">
        <f>IF(ISERROR(VLOOKUP($U$152,'TAR FIN'!$A$1:$O$113,15,0)),0,VLOOKUP($U$152,'TAR FIN'!$A$1:$O$113,15,0))*(1-0.04)</f>
        <v>425.1456</v>
      </c>
      <c r="Y152" s="53"/>
      <c r="Z152" s="53">
        <f ca="1">('TUSD BE'!$AM$20+'TUSD BF'!$AM$20+'TUSD CVA'!$AM$20)*1*(1-0.02)</f>
        <v>1095.4719877170419</v>
      </c>
      <c r="AA152" s="53">
        <f>('TE BE'!$AB$9+'TE BF'!$AB$9+'TE CVA'!$AB$9)*1*(1-0.02)</f>
        <v>476.70736237678852</v>
      </c>
      <c r="AB152" s="53">
        <f>(SUBSIDIO!$J$152*SUBSIDIO!$V$152)*(0.04)/(1-0.04)</f>
        <v>0</v>
      </c>
      <c r="AC152" s="53">
        <f>((SUBSIDIO!$L$152*SUBSIDIO!$W$152)+(SUBSIDIO!$N$152*SUBSIDIO!$X$152))*(0.04)/(1-0.04)</f>
        <v>507.88875639999998</v>
      </c>
      <c r="AD152" s="53">
        <f>(SUBSIDIO!$J$152*SUBSIDIO!$Y$152)*(0.02)/(1-0.02)</f>
        <v>0</v>
      </c>
      <c r="AE152" s="53">
        <f ca="1">((SUBSIDIO!$L$152*SUBSIDIO!$Z$152)+(SUBSIDIO!$N$152*SUBSIDIO!$AA$152))*(0.02)/(1-0.02)</f>
        <v>294.51090315329128</v>
      </c>
      <c r="AF152" s="4" t="s">
        <v>853</v>
      </c>
    </row>
    <row r="153" spans="1:32" ht="11.25" customHeight="1" x14ac:dyDescent="0.3">
      <c r="A153" s="4" t="s">
        <v>21</v>
      </c>
      <c r="B153" s="4" t="s">
        <v>39</v>
      </c>
      <c r="C153" s="4" t="s">
        <v>41</v>
      </c>
      <c r="D153" s="4" t="s">
        <v>45</v>
      </c>
      <c r="E153" s="4" t="s">
        <v>25</v>
      </c>
      <c r="F153" s="4" t="s">
        <v>25</v>
      </c>
      <c r="G153" s="4" t="s">
        <v>25</v>
      </c>
      <c r="H153" s="4" t="s">
        <v>34</v>
      </c>
      <c r="I153" s="5">
        <v>44713</v>
      </c>
      <c r="J153" s="6">
        <v>0</v>
      </c>
      <c r="K153" s="53">
        <v>0</v>
      </c>
      <c r="L153" s="6">
        <v>10.166</v>
      </c>
      <c r="M153" s="53">
        <v>10.166</v>
      </c>
      <c r="N153" s="6">
        <v>10.166</v>
      </c>
      <c r="O153" s="53">
        <v>10.166</v>
      </c>
      <c r="P153" s="6">
        <v>0</v>
      </c>
      <c r="Q153" s="4" t="s">
        <v>26</v>
      </c>
      <c r="R153" s="4">
        <v>0</v>
      </c>
      <c r="S153" s="4">
        <v>0</v>
      </c>
      <c r="T153" s="4">
        <v>8</v>
      </c>
      <c r="U153" s="4">
        <v>38</v>
      </c>
      <c r="V153" s="53">
        <f>IF(ISERROR(VLOOKUP($S$153,'TAR FIN'!$A$1:$O$113,15,0)),0,VLOOKUP($S$153,'TAR FIN'!$A$1:$O$113,15,0))</f>
        <v>0</v>
      </c>
      <c r="W153" s="53">
        <f>IF(ISERROR(VLOOKUP($T$153,'TAR FIN'!$A$1:$O$113,15,0)),0,VLOOKUP($T$153,'TAR FIN'!$A$1:$O$113,15,0))*(1-0.04)</f>
        <v>902.81279999999992</v>
      </c>
      <c r="X153" s="53">
        <f>IF(ISERROR(VLOOKUP($U$153,'TAR FIN'!$A$1:$O$113,15,0)),0,VLOOKUP($U$153,'TAR FIN'!$A$1:$O$113,15,0))*(1-0.04)</f>
        <v>425.1456</v>
      </c>
      <c r="Y153" s="53"/>
      <c r="Z153" s="53">
        <f ca="1">('TUSD BE'!$AM$20+'TUSD BF'!$AM$20+'TUSD CVA'!$AM$20)*1*(1-0.02)</f>
        <v>1095.4719877170419</v>
      </c>
      <c r="AA153" s="53">
        <f>('TE BE'!$AB$9+'TE BF'!$AB$9+'TE CVA'!$AB$9)*1*(1-0.02)</f>
        <v>476.70736237678852</v>
      </c>
      <c r="AB153" s="53">
        <f>(SUBSIDIO!$J$153*SUBSIDIO!$V$153)*(0.04)/(1-0.04)</f>
        <v>0</v>
      </c>
      <c r="AC153" s="53">
        <f>((SUBSIDIO!$L$153*SUBSIDIO!$W$153)+(SUBSIDIO!$N$153*SUBSIDIO!$X$153))*(0.04)/(1-0.04)</f>
        <v>562.50104560000011</v>
      </c>
      <c r="AD153" s="53">
        <f>(SUBSIDIO!$J$153*SUBSIDIO!$Y$153)*(0.02)/(1-0.02)</f>
        <v>0</v>
      </c>
      <c r="AE153" s="53">
        <f ca="1">((SUBSIDIO!$L$153*SUBSIDIO!$Z$153)+(SUBSIDIO!$N$153*SUBSIDIO!$AA$153))*(0.02)/(1-0.02)</f>
        <v>326.17908720518125</v>
      </c>
      <c r="AF153" s="4" t="s">
        <v>853</v>
      </c>
    </row>
    <row r="154" spans="1:32" ht="11.25" customHeight="1" x14ac:dyDescent="0.3">
      <c r="A154" s="4" t="s">
        <v>21</v>
      </c>
      <c r="B154" s="4" t="s">
        <v>39</v>
      </c>
      <c r="C154" s="4" t="s">
        <v>41</v>
      </c>
      <c r="D154" s="4" t="s">
        <v>45</v>
      </c>
      <c r="E154" s="4" t="s">
        <v>25</v>
      </c>
      <c r="F154" s="4" t="s">
        <v>25</v>
      </c>
      <c r="G154" s="4" t="s">
        <v>25</v>
      </c>
      <c r="H154" s="4" t="s">
        <v>34</v>
      </c>
      <c r="I154" s="5">
        <v>44743</v>
      </c>
      <c r="J154" s="6">
        <v>0</v>
      </c>
      <c r="K154" s="53">
        <v>0</v>
      </c>
      <c r="L154" s="6">
        <v>11.698</v>
      </c>
      <c r="M154" s="53">
        <v>11.698</v>
      </c>
      <c r="N154" s="6">
        <v>11.698</v>
      </c>
      <c r="O154" s="53">
        <v>11.698</v>
      </c>
      <c r="P154" s="6">
        <v>0</v>
      </c>
      <c r="Q154" s="4" t="s">
        <v>26</v>
      </c>
      <c r="R154" s="4">
        <v>0</v>
      </c>
      <c r="S154" s="4">
        <v>0</v>
      </c>
      <c r="T154" s="4">
        <v>8</v>
      </c>
      <c r="U154" s="4">
        <v>38</v>
      </c>
      <c r="V154" s="53">
        <f>IF(ISERROR(VLOOKUP($S$154,'TAR FIN'!$A$1:$O$113,15,0)),0,VLOOKUP($S$154,'TAR FIN'!$A$1:$O$113,15,0))</f>
        <v>0</v>
      </c>
      <c r="W154" s="53">
        <f>IF(ISERROR(VLOOKUP($T$154,'TAR FIN'!$A$1:$O$113,15,0)),0,VLOOKUP($T$154,'TAR FIN'!$A$1:$O$113,15,0))*(1-0.04)</f>
        <v>902.81279999999992</v>
      </c>
      <c r="X154" s="53">
        <f>IF(ISERROR(VLOOKUP($U$154,'TAR FIN'!$A$1:$O$113,15,0)),0,VLOOKUP($U$154,'TAR FIN'!$A$1:$O$113,15,0))*(1-0.04)</f>
        <v>425.1456</v>
      </c>
      <c r="Y154" s="53"/>
      <c r="Z154" s="53">
        <f ca="1">('TUSD BE'!$AM$20+'TUSD BF'!$AM$20+'TUSD CVA'!$AM$20)*1*(1-0.02)</f>
        <v>1095.4719877170419</v>
      </c>
      <c r="AA154" s="53">
        <f>('TE BE'!$AB$9+'TE BF'!$AB$9+'TE CVA'!$AB$9)*1*(1-0.02)</f>
        <v>476.70736237678852</v>
      </c>
      <c r="AB154" s="53">
        <f>(SUBSIDIO!$J$154*SUBSIDIO!$V$154)*(0.04)/(1-0.04)</f>
        <v>0</v>
      </c>
      <c r="AC154" s="53">
        <f>((SUBSIDIO!$L$154*SUBSIDIO!$W$154)+(SUBSIDIO!$N$154*SUBSIDIO!$X$154))*(0.04)/(1-0.04)</f>
        <v>647.26905680000004</v>
      </c>
      <c r="AD154" s="53">
        <f>(SUBSIDIO!$J$154*SUBSIDIO!$Y$154)*(0.02)/(1-0.02)</f>
        <v>0</v>
      </c>
      <c r="AE154" s="53">
        <f ca="1">((SUBSIDIO!$L$154*SUBSIDIO!$Z$154)+(SUBSIDIO!$N$154*SUBSIDIO!$AA$154))*(0.02)/(1-0.02)</f>
        <v>375.33375586525773</v>
      </c>
      <c r="AF154" s="4" t="s">
        <v>853</v>
      </c>
    </row>
    <row r="155" spans="1:32" ht="11.25" customHeight="1" x14ac:dyDescent="0.3">
      <c r="A155" s="4" t="s">
        <v>21</v>
      </c>
      <c r="B155" s="4" t="s">
        <v>39</v>
      </c>
      <c r="C155" s="4" t="s">
        <v>41</v>
      </c>
      <c r="D155" s="4" t="s">
        <v>45</v>
      </c>
      <c r="E155" s="4" t="s">
        <v>25</v>
      </c>
      <c r="F155" s="4" t="s">
        <v>25</v>
      </c>
      <c r="G155" s="4" t="s">
        <v>25</v>
      </c>
      <c r="H155" s="4" t="s">
        <v>34</v>
      </c>
      <c r="I155" s="5">
        <v>44774</v>
      </c>
      <c r="J155" s="6">
        <v>0</v>
      </c>
      <c r="K155" s="53">
        <v>0</v>
      </c>
      <c r="L155" s="6">
        <v>11.590999999999999</v>
      </c>
      <c r="M155" s="53">
        <v>11.590999999999999</v>
      </c>
      <c r="N155" s="6">
        <v>11.590999999999999</v>
      </c>
      <c r="O155" s="53">
        <v>11.590999999999999</v>
      </c>
      <c r="P155" s="6">
        <v>0</v>
      </c>
      <c r="Q155" s="4" t="s">
        <v>26</v>
      </c>
      <c r="R155" s="4">
        <v>0</v>
      </c>
      <c r="S155" s="4">
        <v>0</v>
      </c>
      <c r="T155" s="4">
        <v>8</v>
      </c>
      <c r="U155" s="4">
        <v>38</v>
      </c>
      <c r="V155" s="53">
        <f>IF(ISERROR(VLOOKUP($S$155,'TAR FIN'!$A$1:$O$113,15,0)),0,VLOOKUP($S$155,'TAR FIN'!$A$1:$O$113,15,0))</f>
        <v>0</v>
      </c>
      <c r="W155" s="53">
        <f>IF(ISERROR(VLOOKUP($T$155,'TAR FIN'!$A$1:$O$113,15,0)),0,VLOOKUP($T$155,'TAR FIN'!$A$1:$O$113,15,0))*(1-0.04)</f>
        <v>902.81279999999992</v>
      </c>
      <c r="X155" s="53">
        <f>IF(ISERROR(VLOOKUP($U$155,'TAR FIN'!$A$1:$O$113,15,0)),0,VLOOKUP($U$155,'TAR FIN'!$A$1:$O$113,15,0))*(1-0.04)</f>
        <v>425.1456</v>
      </c>
      <c r="Y155" s="53"/>
      <c r="Z155" s="53">
        <f ca="1">('TUSD BE'!$AM$20+'TUSD BF'!$AM$20+'TUSD CVA'!$AM$20)*1*(1-0.02)</f>
        <v>1095.4719877170419</v>
      </c>
      <c r="AA155" s="53">
        <f>('TE BE'!$AB$9+'TE BF'!$AB$9+'TE CVA'!$AB$9)*1*(1-0.02)</f>
        <v>476.70736237678852</v>
      </c>
      <c r="AB155" s="53">
        <f>(SUBSIDIO!$J$155*SUBSIDIO!$V$155)*(0.04)/(1-0.04)</f>
        <v>0</v>
      </c>
      <c r="AC155" s="53">
        <f>((SUBSIDIO!$L$155*SUBSIDIO!$W$155)+(SUBSIDIO!$N$155*SUBSIDIO!$X$155))*(0.04)/(1-0.04)</f>
        <v>641.34857559999989</v>
      </c>
      <c r="AD155" s="53">
        <f>(SUBSIDIO!$J$155*SUBSIDIO!$Y$155)*(0.02)/(1-0.02)</f>
        <v>0</v>
      </c>
      <c r="AE155" s="53">
        <f ca="1">((SUBSIDIO!$L$155*SUBSIDIO!$Z$155)+(SUBSIDIO!$N$155*SUBSIDIO!$AA$155))*(0.02)/(1-0.02)</f>
        <v>371.90062952933852</v>
      </c>
      <c r="AF155" s="4" t="s">
        <v>853</v>
      </c>
    </row>
    <row r="156" spans="1:32" ht="11.25" customHeight="1" x14ac:dyDescent="0.3">
      <c r="A156" s="4" t="s">
        <v>21</v>
      </c>
      <c r="B156" s="4" t="s">
        <v>39</v>
      </c>
      <c r="C156" s="4" t="s">
        <v>41</v>
      </c>
      <c r="D156" s="4" t="s">
        <v>45</v>
      </c>
      <c r="E156" s="4" t="s">
        <v>25</v>
      </c>
      <c r="F156" s="4" t="s">
        <v>25</v>
      </c>
      <c r="G156" s="4" t="s">
        <v>25</v>
      </c>
      <c r="H156" s="4" t="s">
        <v>34</v>
      </c>
      <c r="I156" s="5">
        <v>44805</v>
      </c>
      <c r="J156" s="6">
        <v>0</v>
      </c>
      <c r="K156" s="53">
        <v>0</v>
      </c>
      <c r="L156" s="6">
        <v>13.89</v>
      </c>
      <c r="M156" s="53">
        <v>13.89</v>
      </c>
      <c r="N156" s="6">
        <v>13.89</v>
      </c>
      <c r="O156" s="53">
        <v>13.89</v>
      </c>
      <c r="P156" s="6">
        <v>0</v>
      </c>
      <c r="Q156" s="4" t="s">
        <v>26</v>
      </c>
      <c r="R156" s="4">
        <v>0</v>
      </c>
      <c r="S156" s="4">
        <v>0</v>
      </c>
      <c r="T156" s="4">
        <v>8</v>
      </c>
      <c r="U156" s="4">
        <v>38</v>
      </c>
      <c r="V156" s="53">
        <f>IF(ISERROR(VLOOKUP($S$156,'TAR FIN'!$A$1:$O$113,15,0)),0,VLOOKUP($S$156,'TAR FIN'!$A$1:$O$113,15,0))</f>
        <v>0</v>
      </c>
      <c r="W156" s="53">
        <f>IF(ISERROR(VLOOKUP($T$156,'TAR FIN'!$A$1:$O$113,15,0)),0,VLOOKUP($T$156,'TAR FIN'!$A$1:$O$113,15,0))*(1-0.04)</f>
        <v>902.81279999999992</v>
      </c>
      <c r="X156" s="53">
        <f>IF(ISERROR(VLOOKUP($U$156,'TAR FIN'!$A$1:$O$113,15,0)),0,VLOOKUP($U$156,'TAR FIN'!$A$1:$O$113,15,0))*(1-0.04)</f>
        <v>425.1456</v>
      </c>
      <c r="Y156" s="53"/>
      <c r="Z156" s="53">
        <f ca="1">('TUSD BE'!$AM$20+'TUSD BF'!$AM$20+'TUSD CVA'!$AM$20)*1*(1-0.02)</f>
        <v>1095.4719877170419</v>
      </c>
      <c r="AA156" s="53">
        <f>('TE BE'!$AB$9+'TE BF'!$AB$9+'TE CVA'!$AB$9)*1*(1-0.02)</f>
        <v>476.70736237678852</v>
      </c>
      <c r="AB156" s="53">
        <f>(SUBSIDIO!$J$156*SUBSIDIO!$V$156)*(0.04)/(1-0.04)</f>
        <v>0</v>
      </c>
      <c r="AC156" s="53">
        <f>((SUBSIDIO!$L$156*SUBSIDIO!$W$156)+(SUBSIDIO!$N$156*SUBSIDIO!$X$156))*(0.04)/(1-0.04)</f>
        <v>768.555924</v>
      </c>
      <c r="AD156" s="53">
        <f>(SUBSIDIO!$J$156*SUBSIDIO!$Y$156)*(0.02)/(1-0.02)</f>
        <v>0</v>
      </c>
      <c r="AE156" s="53">
        <f ca="1">((SUBSIDIO!$L$156*SUBSIDIO!$Z$156)+(SUBSIDIO!$N$156*SUBSIDIO!$AA$156))*(0.02)/(1-0.02)</f>
        <v>445.66471781231235</v>
      </c>
      <c r="AF156" s="4" t="s">
        <v>853</v>
      </c>
    </row>
    <row r="157" spans="1:32" ht="11.25" customHeight="1" x14ac:dyDescent="0.3">
      <c r="A157" s="4" t="s">
        <v>53</v>
      </c>
      <c r="B157" s="4" t="s">
        <v>39</v>
      </c>
      <c r="C157" s="4" t="s">
        <v>41</v>
      </c>
      <c r="D157" s="4" t="s">
        <v>45</v>
      </c>
      <c r="E157" s="4" t="s">
        <v>25</v>
      </c>
      <c r="F157" s="4" t="s">
        <v>25</v>
      </c>
      <c r="G157" s="4" t="s">
        <v>25</v>
      </c>
      <c r="H157" s="4" t="s">
        <v>34</v>
      </c>
      <c r="I157" s="5">
        <v>44835</v>
      </c>
      <c r="J157" s="6">
        <v>0</v>
      </c>
      <c r="K157" s="53">
        <v>0</v>
      </c>
      <c r="L157" s="6">
        <v>13.89</v>
      </c>
      <c r="M157" s="53">
        <v>13.89</v>
      </c>
      <c r="N157" s="6">
        <v>13.89</v>
      </c>
      <c r="O157" s="53">
        <v>13.89</v>
      </c>
      <c r="P157" s="6">
        <v>0</v>
      </c>
      <c r="Q157" s="4" t="s">
        <v>26</v>
      </c>
      <c r="R157" s="4">
        <v>0</v>
      </c>
      <c r="S157" s="4">
        <v>0</v>
      </c>
      <c r="T157" s="4">
        <v>8</v>
      </c>
      <c r="U157" s="4">
        <v>38</v>
      </c>
      <c r="V157" s="53">
        <f>IF(ISERROR(VLOOKUP($S$157,'TAR FIN'!$A$1:$O$113,15,0)),0,VLOOKUP($S$157,'TAR FIN'!$A$1:$O$113,15,0))</f>
        <v>0</v>
      </c>
      <c r="W157" s="53">
        <f>IF(ISERROR(VLOOKUP($T$157,'TAR FIN'!$A$1:$O$113,15,0)),0,VLOOKUP($T$157,'TAR FIN'!$A$1:$O$113,15,0))*(1-0.04)</f>
        <v>902.81279999999992</v>
      </c>
      <c r="X157" s="53">
        <f>IF(ISERROR(VLOOKUP($U$157,'TAR FIN'!$A$1:$O$113,15,0)),0,VLOOKUP($U$157,'TAR FIN'!$A$1:$O$113,15,0))*(1-0.04)</f>
        <v>425.1456</v>
      </c>
      <c r="Y157" s="53"/>
      <c r="Z157" s="53">
        <f ca="1">('TUSD BE'!$AM$20+'TUSD BF'!$AM$20+'TUSD CVA'!$AM$20)*1*(1-0.02)</f>
        <v>1095.4719877170419</v>
      </c>
      <c r="AA157" s="53">
        <f>('TE BE'!$AB$9+'TE BF'!$AB$9+'TE CVA'!$AB$9)*1*(1-0.02)</f>
        <v>476.70736237678852</v>
      </c>
      <c r="AB157" s="53">
        <f>(SUBSIDIO!$J$157*SUBSIDIO!$V$157)*(0.04)/(1-0.04)</f>
        <v>0</v>
      </c>
      <c r="AC157" s="53">
        <f>((SUBSIDIO!$L$157*SUBSIDIO!$W$157)+(SUBSIDIO!$N$157*SUBSIDIO!$X$157))*(0.04)/(1-0.04)</f>
        <v>768.555924</v>
      </c>
      <c r="AD157" s="53">
        <f>(SUBSIDIO!$J$157*SUBSIDIO!$Y$157)*(0.02)/(1-0.02)</f>
        <v>0</v>
      </c>
      <c r="AE157" s="53">
        <f ca="1">((SUBSIDIO!$L$157*SUBSIDIO!$Z$157)+(SUBSIDIO!$N$157*SUBSIDIO!$AA$157))*(0.02)/(1-0.02)</f>
        <v>445.66471781231235</v>
      </c>
      <c r="AF157" s="4" t="s">
        <v>853</v>
      </c>
    </row>
    <row r="158" spans="1:32" ht="11.25" customHeight="1" x14ac:dyDescent="0.3">
      <c r="A158" s="4" t="s">
        <v>21</v>
      </c>
      <c r="B158" s="4" t="s">
        <v>39</v>
      </c>
      <c r="C158" s="4" t="s">
        <v>41</v>
      </c>
      <c r="D158" s="4" t="s">
        <v>50</v>
      </c>
      <c r="E158" s="4" t="s">
        <v>51</v>
      </c>
      <c r="F158" s="4" t="s">
        <v>25</v>
      </c>
      <c r="G158" s="4" t="s">
        <v>25</v>
      </c>
      <c r="H158" s="4" t="s">
        <v>35</v>
      </c>
      <c r="I158" s="5">
        <v>44501</v>
      </c>
      <c r="J158" s="6">
        <v>0</v>
      </c>
      <c r="K158" s="53">
        <v>0</v>
      </c>
      <c r="L158" s="6">
        <v>938.82899999999995</v>
      </c>
      <c r="M158" s="53">
        <v>938.82899999999995</v>
      </c>
      <c r="N158" s="6">
        <v>938.82899999999995</v>
      </c>
      <c r="O158" s="53">
        <v>938.82899999999995</v>
      </c>
      <c r="P158" s="6">
        <v>0</v>
      </c>
      <c r="Q158" s="4" t="s">
        <v>26</v>
      </c>
      <c r="R158" s="4">
        <v>0</v>
      </c>
      <c r="S158" s="4">
        <v>0</v>
      </c>
      <c r="T158" s="4">
        <v>6</v>
      </c>
      <c r="U158" s="4">
        <v>61</v>
      </c>
      <c r="V158" s="53">
        <f>IF(ISERROR(VLOOKUP($S$158,'TAR FIN'!$A$1:$O$113,15,0)),0,VLOOKUP($S$158,'TAR FIN'!$A$1:$O$113,15,0))</f>
        <v>0</v>
      </c>
      <c r="W158" s="53">
        <f>IF(ISERROR(VLOOKUP($T$158,'TAR FIN'!$A$1:$O$113,15,0)),0,VLOOKUP($T$158,'TAR FIN'!$A$1:$O$113,15,0))*(1-0.06)</f>
        <v>67.820999999999998</v>
      </c>
      <c r="X158" s="53">
        <f>IF(ISERROR(VLOOKUP($U$158,'TAR FIN'!$A$1:$O$113,15,0)),0,VLOOKUP($U$158,'TAR FIN'!$A$1:$O$113,15,0))*(1-0.06)</f>
        <v>261.94979999999998</v>
      </c>
      <c r="Y158" s="53"/>
      <c r="Z158" s="53">
        <f ca="1">('TUSD BE'!$AM$21+'TUSD BF'!$AM$21+'TUSD CVA'!$AM$21)*1*(1-0.03)</f>
        <v>118.47633671713493</v>
      </c>
      <c r="AA158" s="53">
        <f>('TE BE'!$AB$10+'TE BF'!$AB$10+'TE CVA'!$AB$10)*1*(1-0.03)</f>
        <v>290.20513391436589</v>
      </c>
      <c r="AB158" s="53">
        <f>(SUBSIDIO!$J$158*SUBSIDIO!$V$158)*(0.06)/(1-0.06)</f>
        <v>0</v>
      </c>
      <c r="AC158" s="53">
        <f>((SUBSIDIO!$L$158*SUBSIDIO!$W$158)+(SUBSIDIO!$N$158*SUBSIDIO!$X$158))*(0.06)/(1-0.06)</f>
        <v>19761.599386799997</v>
      </c>
      <c r="AD158" s="53">
        <f>(SUBSIDIO!$J$158*SUBSIDIO!$Y$158)*(0.03)/(1-0.03)</f>
        <v>0</v>
      </c>
      <c r="AE158" s="53">
        <f ca="1">((SUBSIDIO!$L$158*SUBSIDIO!$Z$158)+(SUBSIDIO!$N$158*SUBSIDIO!$AA$158))*(0.03)/(1-0.03)</f>
        <v>11866.454115201068</v>
      </c>
      <c r="AF158" s="4" t="s">
        <v>852</v>
      </c>
    </row>
    <row r="159" spans="1:32" ht="11.25" customHeight="1" x14ac:dyDescent="0.3">
      <c r="A159" s="4" t="s">
        <v>21</v>
      </c>
      <c r="B159" s="4" t="s">
        <v>39</v>
      </c>
      <c r="C159" s="4" t="s">
        <v>41</v>
      </c>
      <c r="D159" s="4" t="s">
        <v>50</v>
      </c>
      <c r="E159" s="4" t="s">
        <v>51</v>
      </c>
      <c r="F159" s="4" t="s">
        <v>25</v>
      </c>
      <c r="G159" s="4" t="s">
        <v>25</v>
      </c>
      <c r="H159" s="4" t="s">
        <v>35</v>
      </c>
      <c r="I159" s="5">
        <v>44531</v>
      </c>
      <c r="J159" s="6">
        <v>0</v>
      </c>
      <c r="K159" s="53">
        <v>0</v>
      </c>
      <c r="L159" s="6">
        <v>892.47500000000002</v>
      </c>
      <c r="M159" s="53">
        <v>892.47500000000002</v>
      </c>
      <c r="N159" s="6">
        <v>892.47500000000002</v>
      </c>
      <c r="O159" s="53">
        <v>892.47500000000002</v>
      </c>
      <c r="P159" s="6">
        <v>0</v>
      </c>
      <c r="Q159" s="4" t="s">
        <v>26</v>
      </c>
      <c r="R159" s="4">
        <v>0</v>
      </c>
      <c r="S159" s="4">
        <v>0</v>
      </c>
      <c r="T159" s="4">
        <v>6</v>
      </c>
      <c r="U159" s="4">
        <v>61</v>
      </c>
      <c r="V159" s="53">
        <f>IF(ISERROR(VLOOKUP($S$159,'TAR FIN'!$A$1:$O$113,15,0)),0,VLOOKUP($S$159,'TAR FIN'!$A$1:$O$113,15,0))</f>
        <v>0</v>
      </c>
      <c r="W159" s="53">
        <f>IF(ISERROR(VLOOKUP($T$159,'TAR FIN'!$A$1:$O$113,15,0)),0,VLOOKUP($T$159,'TAR FIN'!$A$1:$O$113,15,0))*(1-0.06)</f>
        <v>67.820999999999998</v>
      </c>
      <c r="X159" s="53">
        <f>IF(ISERROR(VLOOKUP($U$159,'TAR FIN'!$A$1:$O$113,15,0)),0,VLOOKUP($U$159,'TAR FIN'!$A$1:$O$113,15,0))*(1-0.06)</f>
        <v>261.94979999999998</v>
      </c>
      <c r="Y159" s="53"/>
      <c r="Z159" s="53">
        <f ca="1">('TUSD BE'!$AM$21+'TUSD BF'!$AM$21+'TUSD CVA'!$AM$21)*1*(1-0.03)</f>
        <v>118.47633671713493</v>
      </c>
      <c r="AA159" s="53">
        <f>('TE BE'!$AB$10+'TE BF'!$AB$10+'TE CVA'!$AB$10)*1*(1-0.03)</f>
        <v>290.20513391436589</v>
      </c>
      <c r="AB159" s="53">
        <f>(SUBSIDIO!$J$159*SUBSIDIO!$V$159)*(0.06)/(1-0.06)</f>
        <v>0</v>
      </c>
      <c r="AC159" s="53">
        <f>((SUBSIDIO!$L$159*SUBSIDIO!$W$159)+(SUBSIDIO!$N$159*SUBSIDIO!$X$159))*(0.06)/(1-0.06)</f>
        <v>18785.884769999997</v>
      </c>
      <c r="AD159" s="53">
        <f>(SUBSIDIO!$J$159*SUBSIDIO!$Y$159)*(0.03)/(1-0.03)</f>
        <v>0</v>
      </c>
      <c r="AE159" s="53">
        <f ca="1">((SUBSIDIO!$L$159*SUBSIDIO!$Z$159)+(SUBSIDIO!$N$159*SUBSIDIO!$AA$159))*(0.03)/(1-0.03)</f>
        <v>11280.556561912847</v>
      </c>
      <c r="AF159" s="4" t="s">
        <v>852</v>
      </c>
    </row>
    <row r="160" spans="1:32" ht="11.25" customHeight="1" x14ac:dyDescent="0.3">
      <c r="A160" s="4" t="s">
        <v>21</v>
      </c>
      <c r="B160" s="4" t="s">
        <v>39</v>
      </c>
      <c r="C160" s="4" t="s">
        <v>41</v>
      </c>
      <c r="D160" s="4" t="s">
        <v>50</v>
      </c>
      <c r="E160" s="4" t="s">
        <v>51</v>
      </c>
      <c r="F160" s="4" t="s">
        <v>25</v>
      </c>
      <c r="G160" s="4" t="s">
        <v>25</v>
      </c>
      <c r="H160" s="4" t="s">
        <v>35</v>
      </c>
      <c r="I160" s="5">
        <v>44562</v>
      </c>
      <c r="J160" s="6">
        <v>0</v>
      </c>
      <c r="K160" s="53">
        <v>0</v>
      </c>
      <c r="L160" s="6">
        <v>895.87800000000004</v>
      </c>
      <c r="M160" s="53">
        <v>895.87800000000004</v>
      </c>
      <c r="N160" s="6">
        <v>895.87800000000004</v>
      </c>
      <c r="O160" s="53">
        <v>895.87800000000004</v>
      </c>
      <c r="P160" s="6">
        <v>0</v>
      </c>
      <c r="Q160" s="4" t="s">
        <v>26</v>
      </c>
      <c r="R160" s="4">
        <v>0</v>
      </c>
      <c r="S160" s="4">
        <v>0</v>
      </c>
      <c r="T160" s="4">
        <v>6</v>
      </c>
      <c r="U160" s="4">
        <v>61</v>
      </c>
      <c r="V160" s="53">
        <f>IF(ISERROR(VLOOKUP($S$160,'TAR FIN'!$A$1:$O$113,15,0)),0,VLOOKUP($S$160,'TAR FIN'!$A$1:$O$113,15,0))</f>
        <v>0</v>
      </c>
      <c r="W160" s="53">
        <f>IF(ISERROR(VLOOKUP($T$160,'TAR FIN'!$A$1:$O$113,15,0)),0,VLOOKUP($T$160,'TAR FIN'!$A$1:$O$113,15,0))*(1-0.06)</f>
        <v>67.820999999999998</v>
      </c>
      <c r="X160" s="53">
        <f>IF(ISERROR(VLOOKUP($U$160,'TAR FIN'!$A$1:$O$113,15,0)),0,VLOOKUP($U$160,'TAR FIN'!$A$1:$O$113,15,0))*(1-0.06)</f>
        <v>261.94979999999998</v>
      </c>
      <c r="Y160" s="53"/>
      <c r="Z160" s="53">
        <f ca="1">('TUSD BE'!$AM$21+'TUSD BF'!$AM$21+'TUSD CVA'!$AM$21)*1*(1-0.03)</f>
        <v>118.47633671713493</v>
      </c>
      <c r="AA160" s="53">
        <f>('TE BE'!$AB$10+'TE BF'!$AB$10+'TE CVA'!$AB$10)*1*(1-0.03)</f>
        <v>290.20513391436589</v>
      </c>
      <c r="AB160" s="53">
        <f>(SUBSIDIO!$J$160*SUBSIDIO!$V$160)*(0.06)/(1-0.06)</f>
        <v>0</v>
      </c>
      <c r="AC160" s="53">
        <f>((SUBSIDIO!$L$160*SUBSIDIO!$W$160)+(SUBSIDIO!$N$160*SUBSIDIO!$X$160))*(0.06)/(1-0.06)</f>
        <v>18857.515197600002</v>
      </c>
      <c r="AD160" s="53">
        <f>(SUBSIDIO!$J$160*SUBSIDIO!$Y$160)*(0.03)/(1-0.03)</f>
        <v>0</v>
      </c>
      <c r="AE160" s="53">
        <f ca="1">((SUBSIDIO!$L$160*SUBSIDIO!$Z$160)+(SUBSIDIO!$N$160*SUBSIDIO!$AA$160))*(0.03)/(1-0.03)</f>
        <v>11323.569233394053</v>
      </c>
      <c r="AF160" s="4" t="s">
        <v>852</v>
      </c>
    </row>
    <row r="161" spans="1:32" ht="11.25" customHeight="1" x14ac:dyDescent="0.3">
      <c r="A161" s="4" t="s">
        <v>21</v>
      </c>
      <c r="B161" s="4" t="s">
        <v>39</v>
      </c>
      <c r="C161" s="4" t="s">
        <v>41</v>
      </c>
      <c r="D161" s="4" t="s">
        <v>50</v>
      </c>
      <c r="E161" s="4" t="s">
        <v>51</v>
      </c>
      <c r="F161" s="4" t="s">
        <v>25</v>
      </c>
      <c r="G161" s="4" t="s">
        <v>25</v>
      </c>
      <c r="H161" s="4" t="s">
        <v>35</v>
      </c>
      <c r="I161" s="5">
        <v>44593</v>
      </c>
      <c r="J161" s="6">
        <v>0</v>
      </c>
      <c r="K161" s="53">
        <v>0</v>
      </c>
      <c r="L161" s="6">
        <v>890.16</v>
      </c>
      <c r="M161" s="53">
        <v>890.16</v>
      </c>
      <c r="N161" s="6">
        <v>890.16</v>
      </c>
      <c r="O161" s="53">
        <v>890.16</v>
      </c>
      <c r="P161" s="6">
        <v>0</v>
      </c>
      <c r="Q161" s="4" t="s">
        <v>26</v>
      </c>
      <c r="R161" s="4">
        <v>0</v>
      </c>
      <c r="S161" s="4">
        <v>0</v>
      </c>
      <c r="T161" s="4">
        <v>6</v>
      </c>
      <c r="U161" s="4">
        <v>61</v>
      </c>
      <c r="V161" s="53">
        <f>IF(ISERROR(VLOOKUP($S$161,'TAR FIN'!$A$1:$O$113,15,0)),0,VLOOKUP($S$161,'TAR FIN'!$A$1:$O$113,15,0))</f>
        <v>0</v>
      </c>
      <c r="W161" s="53">
        <f>IF(ISERROR(VLOOKUP($T$161,'TAR FIN'!$A$1:$O$113,15,0)),0,VLOOKUP($T$161,'TAR FIN'!$A$1:$O$113,15,0))*(1-0.06)</f>
        <v>67.820999999999998</v>
      </c>
      <c r="X161" s="53">
        <f>IF(ISERROR(VLOOKUP($U$161,'TAR FIN'!$A$1:$O$113,15,0)),0,VLOOKUP($U$161,'TAR FIN'!$A$1:$O$113,15,0))*(1-0.06)</f>
        <v>261.94979999999998</v>
      </c>
      <c r="Y161" s="53"/>
      <c r="Z161" s="53">
        <f ca="1">('TUSD BE'!$AM$21+'TUSD BF'!$AM$21+'TUSD CVA'!$AM$21)*1*(1-0.03)</f>
        <v>118.47633671713493</v>
      </c>
      <c r="AA161" s="53">
        <f>('TE BE'!$AB$10+'TE BF'!$AB$10+'TE CVA'!$AB$10)*1*(1-0.03)</f>
        <v>290.20513391436589</v>
      </c>
      <c r="AB161" s="53">
        <f>(SUBSIDIO!$J$161*SUBSIDIO!$V$161)*(0.06)/(1-0.06)</f>
        <v>0</v>
      </c>
      <c r="AC161" s="53">
        <f>((SUBSIDIO!$L$161*SUBSIDIO!$W$161)+(SUBSIDIO!$N$161*SUBSIDIO!$X$161))*(0.06)/(1-0.06)</f>
        <v>18737.155871999999</v>
      </c>
      <c r="AD161" s="53">
        <f>(SUBSIDIO!$J$161*SUBSIDIO!$Y$161)*(0.03)/(1-0.03)</f>
        <v>0</v>
      </c>
      <c r="AE161" s="53">
        <f ca="1">((SUBSIDIO!$L$161*SUBSIDIO!$Z$161)+(SUBSIDIO!$N$161*SUBSIDIO!$AA$161))*(0.03)/(1-0.03)</f>
        <v>11251.295811257838</v>
      </c>
      <c r="AF161" s="4" t="s">
        <v>852</v>
      </c>
    </row>
    <row r="162" spans="1:32" ht="11.25" customHeight="1" x14ac:dyDescent="0.3">
      <c r="A162" s="4" t="s">
        <v>21</v>
      </c>
      <c r="B162" s="4" t="s">
        <v>39</v>
      </c>
      <c r="C162" s="4" t="s">
        <v>41</v>
      </c>
      <c r="D162" s="4" t="s">
        <v>50</v>
      </c>
      <c r="E162" s="4" t="s">
        <v>51</v>
      </c>
      <c r="F162" s="4" t="s">
        <v>25</v>
      </c>
      <c r="G162" s="4" t="s">
        <v>25</v>
      </c>
      <c r="H162" s="4" t="s">
        <v>35</v>
      </c>
      <c r="I162" s="5">
        <v>44621</v>
      </c>
      <c r="J162" s="6">
        <v>0</v>
      </c>
      <c r="K162" s="53">
        <v>0</v>
      </c>
      <c r="L162" s="6">
        <v>841.64800000000002</v>
      </c>
      <c r="M162" s="53">
        <v>841.64800000000002</v>
      </c>
      <c r="N162" s="6">
        <v>841.64800000000002</v>
      </c>
      <c r="O162" s="53">
        <v>841.64800000000002</v>
      </c>
      <c r="P162" s="6">
        <v>0</v>
      </c>
      <c r="Q162" s="4" t="s">
        <v>26</v>
      </c>
      <c r="R162" s="4">
        <v>0</v>
      </c>
      <c r="S162" s="4">
        <v>0</v>
      </c>
      <c r="T162" s="4">
        <v>6</v>
      </c>
      <c r="U162" s="4">
        <v>61</v>
      </c>
      <c r="V162" s="53">
        <f>IF(ISERROR(VLOOKUP($S$162,'TAR FIN'!$A$1:$O$113,15,0)),0,VLOOKUP($S$162,'TAR FIN'!$A$1:$O$113,15,0))</f>
        <v>0</v>
      </c>
      <c r="W162" s="53">
        <f>IF(ISERROR(VLOOKUP($T$162,'TAR FIN'!$A$1:$O$113,15,0)),0,VLOOKUP($T$162,'TAR FIN'!$A$1:$O$113,15,0))*(1-0.06)</f>
        <v>67.820999999999998</v>
      </c>
      <c r="X162" s="53">
        <f>IF(ISERROR(VLOOKUP($U$162,'TAR FIN'!$A$1:$O$113,15,0)),0,VLOOKUP($U$162,'TAR FIN'!$A$1:$O$113,15,0))*(1-0.06)</f>
        <v>261.94979999999998</v>
      </c>
      <c r="Y162" s="53"/>
      <c r="Z162" s="53">
        <f ca="1">('TUSD BE'!$AM$21+'TUSD BF'!$AM$21+'TUSD CVA'!$AM$21)*1*(1-0.03)</f>
        <v>118.47633671713493</v>
      </c>
      <c r="AA162" s="53">
        <f>('TE BE'!$AB$10+'TE BF'!$AB$10+'TE CVA'!$AB$10)*1*(1-0.03)</f>
        <v>290.20513391436589</v>
      </c>
      <c r="AB162" s="53">
        <f>(SUBSIDIO!$J$162*SUBSIDIO!$V$162)*(0.06)/(1-0.06)</f>
        <v>0</v>
      </c>
      <c r="AC162" s="53">
        <f>((SUBSIDIO!$L$162*SUBSIDIO!$W$162)+(SUBSIDIO!$N$162*SUBSIDIO!$X$162))*(0.06)/(1-0.06)</f>
        <v>17716.017081599999</v>
      </c>
      <c r="AD162" s="53">
        <f>(SUBSIDIO!$J$162*SUBSIDIO!$Y$162)*(0.03)/(1-0.03)</f>
        <v>0</v>
      </c>
      <c r="AE162" s="53">
        <f ca="1">((SUBSIDIO!$L$162*SUBSIDIO!$Z$162)+(SUBSIDIO!$N$162*SUBSIDIO!$AA$162))*(0.03)/(1-0.03)</f>
        <v>10638.121929713241</v>
      </c>
      <c r="AF162" s="4" t="s">
        <v>852</v>
      </c>
    </row>
    <row r="163" spans="1:32" ht="11.25" customHeight="1" x14ac:dyDescent="0.3">
      <c r="A163" s="4" t="s">
        <v>21</v>
      </c>
      <c r="B163" s="4" t="s">
        <v>39</v>
      </c>
      <c r="C163" s="4" t="s">
        <v>41</v>
      </c>
      <c r="D163" s="4" t="s">
        <v>50</v>
      </c>
      <c r="E163" s="4" t="s">
        <v>51</v>
      </c>
      <c r="F163" s="4" t="s">
        <v>25</v>
      </c>
      <c r="G163" s="4" t="s">
        <v>25</v>
      </c>
      <c r="H163" s="4" t="s">
        <v>35</v>
      </c>
      <c r="I163" s="5">
        <v>44652</v>
      </c>
      <c r="J163" s="6">
        <v>0</v>
      </c>
      <c r="K163" s="53">
        <v>0</v>
      </c>
      <c r="L163" s="6">
        <v>936.846</v>
      </c>
      <c r="M163" s="53">
        <v>936.846</v>
      </c>
      <c r="N163" s="6">
        <v>936.846</v>
      </c>
      <c r="O163" s="53">
        <v>936.846</v>
      </c>
      <c r="P163" s="6">
        <v>0</v>
      </c>
      <c r="Q163" s="4" t="s">
        <v>26</v>
      </c>
      <c r="R163" s="4">
        <v>0</v>
      </c>
      <c r="S163" s="4">
        <v>0</v>
      </c>
      <c r="T163" s="4">
        <v>6</v>
      </c>
      <c r="U163" s="4">
        <v>61</v>
      </c>
      <c r="V163" s="53">
        <f>IF(ISERROR(VLOOKUP($S$163,'TAR FIN'!$A$1:$O$113,15,0)),0,VLOOKUP($S$163,'TAR FIN'!$A$1:$O$113,15,0))</f>
        <v>0</v>
      </c>
      <c r="W163" s="53">
        <f>IF(ISERROR(VLOOKUP($T$163,'TAR FIN'!$A$1:$O$113,15,0)),0,VLOOKUP($T$163,'TAR FIN'!$A$1:$O$113,15,0))*(1-0.06)</f>
        <v>67.820999999999998</v>
      </c>
      <c r="X163" s="53">
        <f>IF(ISERROR(VLOOKUP($U$163,'TAR FIN'!$A$1:$O$113,15,0)),0,VLOOKUP($U$163,'TAR FIN'!$A$1:$O$113,15,0))*(1-0.06)</f>
        <v>261.94979999999998</v>
      </c>
      <c r="Y163" s="53"/>
      <c r="Z163" s="53">
        <f ca="1">('TUSD BE'!$AM$21+'TUSD BF'!$AM$21+'TUSD CVA'!$AM$21)*1*(1-0.03)</f>
        <v>118.47633671713493</v>
      </c>
      <c r="AA163" s="53">
        <f>('TE BE'!$AB$10+'TE BF'!$AB$10+'TE CVA'!$AB$10)*1*(1-0.03)</f>
        <v>290.20513391436589</v>
      </c>
      <c r="AB163" s="53">
        <f>(SUBSIDIO!$J$163*SUBSIDIO!$V$163)*(0.06)/(1-0.06)</f>
        <v>0</v>
      </c>
      <c r="AC163" s="53">
        <f>((SUBSIDIO!$L$163*SUBSIDIO!$W$163)+(SUBSIDIO!$N$163*SUBSIDIO!$X$163))*(0.06)/(1-0.06)</f>
        <v>19719.858823199997</v>
      </c>
      <c r="AD163" s="53">
        <f>(SUBSIDIO!$J$163*SUBSIDIO!$Y$163)*(0.03)/(1-0.03)</f>
        <v>0</v>
      </c>
      <c r="AE163" s="53">
        <f ca="1">((SUBSIDIO!$L$163*SUBSIDIO!$Z$163)+(SUBSIDIO!$N$163*SUBSIDIO!$AA$163))*(0.03)/(1-0.03)</f>
        <v>11841.389722739352</v>
      </c>
      <c r="AF163" s="4" t="s">
        <v>852</v>
      </c>
    </row>
    <row r="164" spans="1:32" ht="11.25" customHeight="1" x14ac:dyDescent="0.3">
      <c r="A164" s="4" t="s">
        <v>21</v>
      </c>
      <c r="B164" s="4" t="s">
        <v>39</v>
      </c>
      <c r="C164" s="4" t="s">
        <v>41</v>
      </c>
      <c r="D164" s="4" t="s">
        <v>50</v>
      </c>
      <c r="E164" s="4" t="s">
        <v>51</v>
      </c>
      <c r="F164" s="4" t="s">
        <v>25</v>
      </c>
      <c r="G164" s="4" t="s">
        <v>25</v>
      </c>
      <c r="H164" s="4" t="s">
        <v>35</v>
      </c>
      <c r="I164" s="5">
        <v>44682</v>
      </c>
      <c r="J164" s="6">
        <v>0</v>
      </c>
      <c r="K164" s="53">
        <v>0</v>
      </c>
      <c r="L164" s="6">
        <v>896.63499999999999</v>
      </c>
      <c r="M164" s="53">
        <v>896.63499999999999</v>
      </c>
      <c r="N164" s="6">
        <v>896.63499999999999</v>
      </c>
      <c r="O164" s="53">
        <v>896.63499999999999</v>
      </c>
      <c r="P164" s="6">
        <v>0</v>
      </c>
      <c r="Q164" s="4" t="s">
        <v>26</v>
      </c>
      <c r="R164" s="4">
        <v>0</v>
      </c>
      <c r="S164" s="4">
        <v>0</v>
      </c>
      <c r="T164" s="4">
        <v>6</v>
      </c>
      <c r="U164" s="4">
        <v>61</v>
      </c>
      <c r="V164" s="53">
        <f>IF(ISERROR(VLOOKUP($S$164,'TAR FIN'!$A$1:$O$113,15,0)),0,VLOOKUP($S$164,'TAR FIN'!$A$1:$O$113,15,0))</f>
        <v>0</v>
      </c>
      <c r="W164" s="53">
        <f>IF(ISERROR(VLOOKUP($T$164,'TAR FIN'!$A$1:$O$113,15,0)),0,VLOOKUP($T$164,'TAR FIN'!$A$1:$O$113,15,0))*(1-0.06)</f>
        <v>67.820999999999998</v>
      </c>
      <c r="X164" s="53">
        <f>IF(ISERROR(VLOOKUP($U$164,'TAR FIN'!$A$1:$O$113,15,0)),0,VLOOKUP($U$164,'TAR FIN'!$A$1:$O$113,15,0))*(1-0.06)</f>
        <v>261.94979999999998</v>
      </c>
      <c r="Y164" s="53"/>
      <c r="Z164" s="53">
        <f ca="1">('TUSD BE'!$AM$21+'TUSD BF'!$AM$21+'TUSD CVA'!$AM$21)*1*(1-0.03)</f>
        <v>118.47633671713493</v>
      </c>
      <c r="AA164" s="53">
        <f>('TE BE'!$AB$10+'TE BF'!$AB$10+'TE CVA'!$AB$10)*1*(1-0.03)</f>
        <v>290.20513391436589</v>
      </c>
      <c r="AB164" s="53">
        <f>(SUBSIDIO!$J$164*SUBSIDIO!$V$164)*(0.06)/(1-0.06)</f>
        <v>0</v>
      </c>
      <c r="AC164" s="53">
        <f>((SUBSIDIO!$L$164*SUBSIDIO!$W$164)+(SUBSIDIO!$N$164*SUBSIDIO!$X$164))*(0.06)/(1-0.06)</f>
        <v>18873.449442000001</v>
      </c>
      <c r="AD164" s="53">
        <f>(SUBSIDIO!$J$164*SUBSIDIO!$Y$164)*(0.03)/(1-0.03)</f>
        <v>0</v>
      </c>
      <c r="AE164" s="53">
        <f ca="1">((SUBSIDIO!$L$164*SUBSIDIO!$Z$164)+(SUBSIDIO!$N$164*SUBSIDIO!$AA$164))*(0.03)/(1-0.03)</f>
        <v>11333.137435660074</v>
      </c>
      <c r="AF164" s="4" t="s">
        <v>852</v>
      </c>
    </row>
    <row r="165" spans="1:32" ht="11.25" customHeight="1" x14ac:dyDescent="0.3">
      <c r="A165" s="4" t="s">
        <v>21</v>
      </c>
      <c r="B165" s="4" t="s">
        <v>39</v>
      </c>
      <c r="C165" s="4" t="s">
        <v>41</v>
      </c>
      <c r="D165" s="4" t="s">
        <v>50</v>
      </c>
      <c r="E165" s="4" t="s">
        <v>51</v>
      </c>
      <c r="F165" s="4" t="s">
        <v>25</v>
      </c>
      <c r="G165" s="4" t="s">
        <v>25</v>
      </c>
      <c r="H165" s="4" t="s">
        <v>35</v>
      </c>
      <c r="I165" s="5">
        <v>44713</v>
      </c>
      <c r="J165" s="6">
        <v>0</v>
      </c>
      <c r="K165" s="53">
        <v>0</v>
      </c>
      <c r="L165" s="6">
        <v>902.27800000000002</v>
      </c>
      <c r="M165" s="53">
        <v>902.27800000000002</v>
      </c>
      <c r="N165" s="6">
        <v>902.27800000000002</v>
      </c>
      <c r="O165" s="53">
        <v>902.27800000000002</v>
      </c>
      <c r="P165" s="6">
        <v>0</v>
      </c>
      <c r="Q165" s="4" t="s">
        <v>26</v>
      </c>
      <c r="R165" s="4">
        <v>0</v>
      </c>
      <c r="S165" s="4">
        <v>0</v>
      </c>
      <c r="T165" s="4">
        <v>6</v>
      </c>
      <c r="U165" s="4">
        <v>61</v>
      </c>
      <c r="V165" s="53">
        <f>IF(ISERROR(VLOOKUP($S$165,'TAR FIN'!$A$1:$O$113,15,0)),0,VLOOKUP($S$165,'TAR FIN'!$A$1:$O$113,15,0))</f>
        <v>0</v>
      </c>
      <c r="W165" s="53">
        <f>IF(ISERROR(VLOOKUP($T$165,'TAR FIN'!$A$1:$O$113,15,0)),0,VLOOKUP($T$165,'TAR FIN'!$A$1:$O$113,15,0))*(1-0.06)</f>
        <v>67.820999999999998</v>
      </c>
      <c r="X165" s="53">
        <f>IF(ISERROR(VLOOKUP($U$165,'TAR FIN'!$A$1:$O$113,15,0)),0,VLOOKUP($U$165,'TAR FIN'!$A$1:$O$113,15,0))*(1-0.06)</f>
        <v>261.94979999999998</v>
      </c>
      <c r="Y165" s="53"/>
      <c r="Z165" s="53">
        <f ca="1">('TUSD BE'!$AM$21+'TUSD BF'!$AM$21+'TUSD CVA'!$AM$21)*1*(1-0.03)</f>
        <v>118.47633671713493</v>
      </c>
      <c r="AA165" s="53">
        <f>('TE BE'!$AB$10+'TE BF'!$AB$10+'TE CVA'!$AB$10)*1*(1-0.03)</f>
        <v>290.20513391436589</v>
      </c>
      <c r="AB165" s="53">
        <f>(SUBSIDIO!$J$165*SUBSIDIO!$V$165)*(0.06)/(1-0.06)</f>
        <v>0</v>
      </c>
      <c r="AC165" s="53">
        <f>((SUBSIDIO!$L$165*SUBSIDIO!$W$165)+(SUBSIDIO!$N$165*SUBSIDIO!$X$165))*(0.06)/(1-0.06)</f>
        <v>18992.230077600001</v>
      </c>
      <c r="AD165" s="53">
        <f>(SUBSIDIO!$J$165*SUBSIDIO!$Y$165)*(0.03)/(1-0.03)</f>
        <v>0</v>
      </c>
      <c r="AE165" s="53">
        <f ca="1">((SUBSIDIO!$L$165*SUBSIDIO!$Z$165)+(SUBSIDIO!$N$165*SUBSIDIO!$AA$165))*(0.03)/(1-0.03)</f>
        <v>11404.462885312865</v>
      </c>
      <c r="AF165" s="4" t="s">
        <v>852</v>
      </c>
    </row>
    <row r="166" spans="1:32" ht="11.25" customHeight="1" x14ac:dyDescent="0.3">
      <c r="A166" s="4" t="s">
        <v>21</v>
      </c>
      <c r="B166" s="4" t="s">
        <v>39</v>
      </c>
      <c r="C166" s="4" t="s">
        <v>41</v>
      </c>
      <c r="D166" s="4" t="s">
        <v>50</v>
      </c>
      <c r="E166" s="4" t="s">
        <v>51</v>
      </c>
      <c r="F166" s="4" t="s">
        <v>25</v>
      </c>
      <c r="G166" s="4" t="s">
        <v>25</v>
      </c>
      <c r="H166" s="4" t="s">
        <v>35</v>
      </c>
      <c r="I166" s="5">
        <v>44743</v>
      </c>
      <c r="J166" s="6">
        <v>0</v>
      </c>
      <c r="K166" s="53">
        <v>0</v>
      </c>
      <c r="L166" s="6">
        <v>879.01599999999996</v>
      </c>
      <c r="M166" s="53">
        <v>879.01599999999996</v>
      </c>
      <c r="N166" s="6">
        <v>879.01599999999996</v>
      </c>
      <c r="O166" s="53">
        <v>879.01599999999996</v>
      </c>
      <c r="P166" s="6">
        <v>0</v>
      </c>
      <c r="Q166" s="4" t="s">
        <v>26</v>
      </c>
      <c r="R166" s="4">
        <v>0</v>
      </c>
      <c r="S166" s="4">
        <v>0</v>
      </c>
      <c r="T166" s="4">
        <v>6</v>
      </c>
      <c r="U166" s="4">
        <v>61</v>
      </c>
      <c r="V166" s="53">
        <f>IF(ISERROR(VLOOKUP($S$166,'TAR FIN'!$A$1:$O$113,15,0)),0,VLOOKUP($S$166,'TAR FIN'!$A$1:$O$113,15,0))</f>
        <v>0</v>
      </c>
      <c r="W166" s="53">
        <f>IF(ISERROR(VLOOKUP($T$166,'TAR FIN'!$A$1:$O$113,15,0)),0,VLOOKUP($T$166,'TAR FIN'!$A$1:$O$113,15,0))*(1-0.06)</f>
        <v>67.820999999999998</v>
      </c>
      <c r="X166" s="53">
        <f>IF(ISERROR(VLOOKUP($U$166,'TAR FIN'!$A$1:$O$113,15,0)),0,VLOOKUP($U$166,'TAR FIN'!$A$1:$O$113,15,0))*(1-0.06)</f>
        <v>261.94979999999998</v>
      </c>
      <c r="Y166" s="53"/>
      <c r="Z166" s="53">
        <f ca="1">('TUSD BE'!$AM$21+'TUSD BF'!$AM$21+'TUSD CVA'!$AM$21)*1*(1-0.03)</f>
        <v>118.47633671713493</v>
      </c>
      <c r="AA166" s="53">
        <f>('TE BE'!$AB$10+'TE BF'!$AB$10+'TE CVA'!$AB$10)*1*(1-0.03)</f>
        <v>290.20513391436589</v>
      </c>
      <c r="AB166" s="53">
        <f>(SUBSIDIO!$J$166*SUBSIDIO!$V$166)*(0.06)/(1-0.06)</f>
        <v>0</v>
      </c>
      <c r="AC166" s="53">
        <f>((SUBSIDIO!$L$166*SUBSIDIO!$W$166)+(SUBSIDIO!$N$166*SUBSIDIO!$X$166))*(0.06)/(1-0.06)</f>
        <v>18502.583587199999</v>
      </c>
      <c r="AD166" s="53">
        <f>(SUBSIDIO!$J$166*SUBSIDIO!$Y$166)*(0.03)/(1-0.03)</f>
        <v>0</v>
      </c>
      <c r="AE166" s="53">
        <f ca="1">((SUBSIDIO!$L$166*SUBSIDIO!$Z$166)+(SUBSIDIO!$N$166*SUBSIDIO!$AA$166))*(0.03)/(1-0.03)</f>
        <v>11110.439739854206</v>
      </c>
      <c r="AF166" s="4" t="s">
        <v>852</v>
      </c>
    </row>
    <row r="167" spans="1:32" ht="11.25" customHeight="1" x14ac:dyDescent="0.3">
      <c r="A167" s="4" t="s">
        <v>21</v>
      </c>
      <c r="B167" s="4" t="s">
        <v>39</v>
      </c>
      <c r="C167" s="4" t="s">
        <v>41</v>
      </c>
      <c r="D167" s="4" t="s">
        <v>50</v>
      </c>
      <c r="E167" s="4" t="s">
        <v>51</v>
      </c>
      <c r="F167" s="4" t="s">
        <v>25</v>
      </c>
      <c r="G167" s="4" t="s">
        <v>25</v>
      </c>
      <c r="H167" s="4" t="s">
        <v>35</v>
      </c>
      <c r="I167" s="5">
        <v>44774</v>
      </c>
      <c r="J167" s="6">
        <v>0</v>
      </c>
      <c r="K167" s="53">
        <v>0</v>
      </c>
      <c r="L167" s="6">
        <v>926.07299999999998</v>
      </c>
      <c r="M167" s="53">
        <v>926.07299999999998</v>
      </c>
      <c r="N167" s="6">
        <v>926.07299999999998</v>
      </c>
      <c r="O167" s="53">
        <v>926.07299999999998</v>
      </c>
      <c r="P167" s="6">
        <v>0</v>
      </c>
      <c r="Q167" s="4" t="s">
        <v>26</v>
      </c>
      <c r="R167" s="4">
        <v>0</v>
      </c>
      <c r="S167" s="4">
        <v>0</v>
      </c>
      <c r="T167" s="4">
        <v>6</v>
      </c>
      <c r="U167" s="4">
        <v>61</v>
      </c>
      <c r="V167" s="53">
        <f>IF(ISERROR(VLOOKUP($S$167,'TAR FIN'!$A$1:$O$113,15,0)),0,VLOOKUP($S$167,'TAR FIN'!$A$1:$O$113,15,0))</f>
        <v>0</v>
      </c>
      <c r="W167" s="53">
        <f>IF(ISERROR(VLOOKUP($T$167,'TAR FIN'!$A$1:$O$113,15,0)),0,VLOOKUP($T$167,'TAR FIN'!$A$1:$O$113,15,0))*(1-0.06)</f>
        <v>67.820999999999998</v>
      </c>
      <c r="X167" s="53">
        <f>IF(ISERROR(VLOOKUP($U$167,'TAR FIN'!$A$1:$O$113,15,0)),0,VLOOKUP($U$167,'TAR FIN'!$A$1:$O$113,15,0))*(1-0.06)</f>
        <v>261.94979999999998</v>
      </c>
      <c r="Y167" s="53"/>
      <c r="Z167" s="53">
        <f ca="1">('TUSD BE'!$AM$21+'TUSD BF'!$AM$21+'TUSD CVA'!$AM$21)*1*(1-0.03)</f>
        <v>118.47633671713493</v>
      </c>
      <c r="AA167" s="53">
        <f>('TE BE'!$AB$10+'TE BF'!$AB$10+'TE CVA'!$AB$10)*1*(1-0.03)</f>
        <v>290.20513391436589</v>
      </c>
      <c r="AB167" s="53">
        <f>(SUBSIDIO!$J$167*SUBSIDIO!$V$167)*(0.06)/(1-0.06)</f>
        <v>0</v>
      </c>
      <c r="AC167" s="53">
        <f>((SUBSIDIO!$L$167*SUBSIDIO!$W$167)+(SUBSIDIO!$N$167*SUBSIDIO!$X$167))*(0.06)/(1-0.06)</f>
        <v>19493.095791599997</v>
      </c>
      <c r="AD167" s="53">
        <f>(SUBSIDIO!$J$167*SUBSIDIO!$Y$167)*(0.03)/(1-0.03)</f>
        <v>0</v>
      </c>
      <c r="AE167" s="53">
        <f ca="1">((SUBSIDIO!$L$167*SUBSIDIO!$Z$167)+(SUBSIDIO!$N$167*SUBSIDIO!$AA$167))*(0.03)/(1-0.03)</f>
        <v>11705.222955220388</v>
      </c>
      <c r="AF167" s="4" t="s">
        <v>852</v>
      </c>
    </row>
    <row r="168" spans="1:32" ht="11.25" customHeight="1" x14ac:dyDescent="0.3">
      <c r="A168" s="4" t="s">
        <v>21</v>
      </c>
      <c r="B168" s="4" t="s">
        <v>39</v>
      </c>
      <c r="C168" s="4" t="s">
        <v>41</v>
      </c>
      <c r="D168" s="4" t="s">
        <v>50</v>
      </c>
      <c r="E168" s="4" t="s">
        <v>51</v>
      </c>
      <c r="F168" s="4" t="s">
        <v>25</v>
      </c>
      <c r="G168" s="4" t="s">
        <v>25</v>
      </c>
      <c r="H168" s="4" t="s">
        <v>35</v>
      </c>
      <c r="I168" s="5">
        <v>44805</v>
      </c>
      <c r="J168" s="6">
        <v>0</v>
      </c>
      <c r="K168" s="53">
        <v>0</v>
      </c>
      <c r="L168" s="6">
        <v>928.22900000000004</v>
      </c>
      <c r="M168" s="53">
        <v>928.22900000000004</v>
      </c>
      <c r="N168" s="6">
        <v>928.22900000000004</v>
      </c>
      <c r="O168" s="53">
        <v>928.22900000000004</v>
      </c>
      <c r="P168" s="6">
        <v>0</v>
      </c>
      <c r="Q168" s="4" t="s">
        <v>26</v>
      </c>
      <c r="R168" s="4">
        <v>0</v>
      </c>
      <c r="S168" s="4">
        <v>0</v>
      </c>
      <c r="T168" s="4">
        <v>6</v>
      </c>
      <c r="U168" s="4">
        <v>61</v>
      </c>
      <c r="V168" s="53">
        <f>IF(ISERROR(VLOOKUP($S$168,'TAR FIN'!$A$1:$O$113,15,0)),0,VLOOKUP($S$168,'TAR FIN'!$A$1:$O$113,15,0))</f>
        <v>0</v>
      </c>
      <c r="W168" s="53">
        <f>IF(ISERROR(VLOOKUP($T$168,'TAR FIN'!$A$1:$O$113,15,0)),0,VLOOKUP($T$168,'TAR FIN'!$A$1:$O$113,15,0))*(1-0.06)</f>
        <v>67.820999999999998</v>
      </c>
      <c r="X168" s="53">
        <f>IF(ISERROR(VLOOKUP($U$168,'TAR FIN'!$A$1:$O$113,15,0)),0,VLOOKUP($U$168,'TAR FIN'!$A$1:$O$113,15,0))*(1-0.06)</f>
        <v>261.94979999999998</v>
      </c>
      <c r="Y168" s="53"/>
      <c r="Z168" s="53">
        <f ca="1">('TUSD BE'!$AM$21+'TUSD BF'!$AM$21+'TUSD CVA'!$AM$21)*1*(1-0.03)</f>
        <v>118.47633671713493</v>
      </c>
      <c r="AA168" s="53">
        <f>('TE BE'!$AB$10+'TE BF'!$AB$10+'TE CVA'!$AB$10)*1*(1-0.03)</f>
        <v>290.20513391436589</v>
      </c>
      <c r="AB168" s="53">
        <f>(SUBSIDIO!$J$168*SUBSIDIO!$V$168)*(0.06)/(1-0.06)</f>
        <v>0</v>
      </c>
      <c r="AC168" s="53">
        <f>((SUBSIDIO!$L$168*SUBSIDIO!$W$168)+(SUBSIDIO!$N$168*SUBSIDIO!$X$168))*(0.06)/(1-0.06)</f>
        <v>19538.477866799996</v>
      </c>
      <c r="AD168" s="53">
        <f>(SUBSIDIO!$J$168*SUBSIDIO!$Y$168)*(0.03)/(1-0.03)</f>
        <v>0</v>
      </c>
      <c r="AE168" s="53">
        <f ca="1">((SUBSIDIO!$L$168*SUBSIDIO!$Z$168)+(SUBSIDIO!$N$168*SUBSIDIO!$AA$168))*(0.03)/(1-0.03)</f>
        <v>11732.474004210537</v>
      </c>
      <c r="AF168" s="4" t="s">
        <v>852</v>
      </c>
    </row>
    <row r="169" spans="1:32" ht="11.25" customHeight="1" x14ac:dyDescent="0.3">
      <c r="A169" s="4" t="s">
        <v>53</v>
      </c>
      <c r="B169" s="4" t="s">
        <v>39</v>
      </c>
      <c r="C169" s="4" t="s">
        <v>41</v>
      </c>
      <c r="D169" s="4" t="s">
        <v>50</v>
      </c>
      <c r="E169" s="4" t="s">
        <v>51</v>
      </c>
      <c r="F169" s="4" t="s">
        <v>25</v>
      </c>
      <c r="G169" s="4" t="s">
        <v>25</v>
      </c>
      <c r="H169" s="4" t="s">
        <v>35</v>
      </c>
      <c r="I169" s="5">
        <v>44835</v>
      </c>
      <c r="J169" s="6">
        <v>0</v>
      </c>
      <c r="K169" s="53">
        <v>0</v>
      </c>
      <c r="L169" s="6">
        <v>928.22900000000004</v>
      </c>
      <c r="M169" s="53">
        <v>928.22900000000004</v>
      </c>
      <c r="N169" s="6">
        <v>928.22900000000004</v>
      </c>
      <c r="O169" s="53">
        <v>928.22900000000004</v>
      </c>
      <c r="P169" s="6">
        <v>0</v>
      </c>
      <c r="Q169" s="4" t="s">
        <v>26</v>
      </c>
      <c r="R169" s="4">
        <v>0</v>
      </c>
      <c r="S169" s="4">
        <v>0</v>
      </c>
      <c r="T169" s="4">
        <v>6</v>
      </c>
      <c r="U169" s="4">
        <v>61</v>
      </c>
      <c r="V169" s="53">
        <f>IF(ISERROR(VLOOKUP($S$169,'TAR FIN'!$A$1:$O$113,15,0)),0,VLOOKUP($S$169,'TAR FIN'!$A$1:$O$113,15,0))</f>
        <v>0</v>
      </c>
      <c r="W169" s="53">
        <f>IF(ISERROR(VLOOKUP($T$169,'TAR FIN'!$A$1:$O$113,15,0)),0,VLOOKUP($T$169,'TAR FIN'!$A$1:$O$113,15,0))*(1-0.06)</f>
        <v>67.820999999999998</v>
      </c>
      <c r="X169" s="53">
        <f>IF(ISERROR(VLOOKUP($U$169,'TAR FIN'!$A$1:$O$113,15,0)),0,VLOOKUP($U$169,'TAR FIN'!$A$1:$O$113,15,0))*(1-0.06)</f>
        <v>261.94979999999998</v>
      </c>
      <c r="Y169" s="53"/>
      <c r="Z169" s="53">
        <f ca="1">('TUSD BE'!$AM$21+'TUSD BF'!$AM$21+'TUSD CVA'!$AM$21)*1*(1-0.03)</f>
        <v>118.47633671713493</v>
      </c>
      <c r="AA169" s="53">
        <f>('TE BE'!$AB$10+'TE BF'!$AB$10+'TE CVA'!$AB$10)*1*(1-0.03)</f>
        <v>290.20513391436589</v>
      </c>
      <c r="AB169" s="53">
        <f>(SUBSIDIO!$J$169*SUBSIDIO!$V$169)*(0.06)/(1-0.06)</f>
        <v>0</v>
      </c>
      <c r="AC169" s="53">
        <f>((SUBSIDIO!$L$169*SUBSIDIO!$W$169)+(SUBSIDIO!$N$169*SUBSIDIO!$X$169))*(0.06)/(1-0.06)</f>
        <v>19538.477866799996</v>
      </c>
      <c r="AD169" s="53">
        <f>(SUBSIDIO!$J$169*SUBSIDIO!$Y$169)*(0.03)/(1-0.03)</f>
        <v>0</v>
      </c>
      <c r="AE169" s="53">
        <f ca="1">((SUBSIDIO!$L$169*SUBSIDIO!$Z$169)+(SUBSIDIO!$N$169*SUBSIDIO!$AA$169))*(0.03)/(1-0.03)</f>
        <v>11732.474004210537</v>
      </c>
      <c r="AF169" s="4" t="s">
        <v>852</v>
      </c>
    </row>
    <row r="170" spans="1:32" ht="11.25" customHeight="1" x14ac:dyDescent="0.3">
      <c r="A170" s="4" t="s">
        <v>21</v>
      </c>
      <c r="B170" s="4" t="s">
        <v>39</v>
      </c>
      <c r="C170" s="4" t="s">
        <v>41</v>
      </c>
      <c r="D170" s="4" t="s">
        <v>50</v>
      </c>
      <c r="E170" s="4" t="s">
        <v>51</v>
      </c>
      <c r="F170" s="4" t="s">
        <v>25</v>
      </c>
      <c r="G170" s="4" t="s">
        <v>25</v>
      </c>
      <c r="H170" s="4" t="s">
        <v>25</v>
      </c>
      <c r="I170" s="5">
        <v>44501</v>
      </c>
      <c r="J170" s="6">
        <v>2053</v>
      </c>
      <c r="K170" s="52">
        <v>2053</v>
      </c>
      <c r="L170" s="6">
        <v>0</v>
      </c>
      <c r="M170" s="53">
        <v>0</v>
      </c>
      <c r="N170" s="6">
        <v>0</v>
      </c>
      <c r="O170" s="53">
        <v>0</v>
      </c>
      <c r="P170" s="6">
        <v>15</v>
      </c>
      <c r="Q170" s="4" t="s">
        <v>26</v>
      </c>
      <c r="R170" s="4">
        <v>0</v>
      </c>
      <c r="S170" s="4">
        <v>20</v>
      </c>
      <c r="T170" s="4">
        <v>0</v>
      </c>
      <c r="U170" s="4">
        <v>0</v>
      </c>
      <c r="V170" s="53">
        <f>IF(ISERROR(VLOOKUP($S$170,'TAR FIN'!$A$1:$O$113,15,0)),0,VLOOKUP($S$170,'TAR FIN'!$A$1:$O$113,15,0))*(1-0.06)</f>
        <v>13.16</v>
      </c>
      <c r="W170" s="53">
        <f>IF(ISERROR(VLOOKUP($T$170,'TAR FIN'!$A$1:$O$113,15,0)),0,VLOOKUP($T$170,'TAR FIN'!$A$1:$O$113,15,0))</f>
        <v>0</v>
      </c>
      <c r="X170" s="53">
        <f>IF(ISERROR(VLOOKUP($U$170,'TAR FIN'!$A$1:$O$113,15,0)),0,VLOOKUP($U$170,'TAR FIN'!$A$1:$O$113,15,0))</f>
        <v>0</v>
      </c>
      <c r="Y170" s="53">
        <f ca="1">('TUSD BE'!$AM$19+'TUSD BF'!$AM$19+'TUSD CVA'!$AM$19)*1*(1-0.03)</f>
        <v>15.554875305631656</v>
      </c>
      <c r="Z170" s="53"/>
      <c r="AA170" s="53"/>
      <c r="AB170" s="53">
        <f>(SUBSIDIO!$J$170*SUBSIDIO!$V$170)*(0.06)/(1-0.06)</f>
        <v>1724.52</v>
      </c>
      <c r="AC170" s="53">
        <f>((SUBSIDIO!$L$170*SUBSIDIO!$W$170)+(SUBSIDIO!$N$170*SUBSIDIO!$X$170))*(0.06)/(1-0.06)</f>
        <v>0</v>
      </c>
      <c r="AD170" s="53">
        <f ca="1">(SUBSIDIO!$J$170*SUBSIDIO!$Y$170)*(0.03)/(1-0.03)</f>
        <v>987.65440213799354</v>
      </c>
      <c r="AE170" s="53">
        <f>((SUBSIDIO!$L$170*SUBSIDIO!$Z$170)+(SUBSIDIO!$N$170*SUBSIDIO!$AA$170))*(0.03)/(1-0.03)</f>
        <v>0</v>
      </c>
      <c r="AF170" s="4" t="s">
        <v>852</v>
      </c>
    </row>
    <row r="171" spans="1:32" ht="11.25" customHeight="1" x14ac:dyDescent="0.3">
      <c r="A171" s="4" t="s">
        <v>21</v>
      </c>
      <c r="B171" s="4" t="s">
        <v>39</v>
      </c>
      <c r="C171" s="4" t="s">
        <v>41</v>
      </c>
      <c r="D171" s="4" t="s">
        <v>50</v>
      </c>
      <c r="E171" s="4" t="s">
        <v>51</v>
      </c>
      <c r="F171" s="4" t="s">
        <v>25</v>
      </c>
      <c r="G171" s="4" t="s">
        <v>25</v>
      </c>
      <c r="H171" s="4" t="s">
        <v>25</v>
      </c>
      <c r="I171" s="5">
        <v>44531</v>
      </c>
      <c r="J171" s="6">
        <v>2047</v>
      </c>
      <c r="K171" s="52">
        <v>2047</v>
      </c>
      <c r="L171" s="6">
        <v>0</v>
      </c>
      <c r="M171" s="53">
        <v>0</v>
      </c>
      <c r="N171" s="6">
        <v>0</v>
      </c>
      <c r="O171" s="53">
        <v>0</v>
      </c>
      <c r="P171" s="6">
        <v>15</v>
      </c>
      <c r="Q171" s="4" t="s">
        <v>26</v>
      </c>
      <c r="R171" s="4">
        <v>0</v>
      </c>
      <c r="S171" s="4">
        <v>20</v>
      </c>
      <c r="T171" s="4">
        <v>0</v>
      </c>
      <c r="U171" s="4">
        <v>0</v>
      </c>
      <c r="V171" s="53">
        <f>IF(ISERROR(VLOOKUP($S$171,'TAR FIN'!$A$1:$O$113,15,0)),0,VLOOKUP($S$171,'TAR FIN'!$A$1:$O$113,15,0))*(1-0.06)</f>
        <v>13.16</v>
      </c>
      <c r="W171" s="53">
        <f>IF(ISERROR(VLOOKUP($T$171,'TAR FIN'!$A$1:$O$113,15,0)),0,VLOOKUP($T$171,'TAR FIN'!$A$1:$O$113,15,0))</f>
        <v>0</v>
      </c>
      <c r="X171" s="53">
        <f>IF(ISERROR(VLOOKUP($U$171,'TAR FIN'!$A$1:$O$113,15,0)),0,VLOOKUP($U$171,'TAR FIN'!$A$1:$O$113,15,0))</f>
        <v>0</v>
      </c>
      <c r="Y171" s="53">
        <f ca="1">('TUSD BE'!$AM$19+'TUSD BF'!$AM$19+'TUSD CVA'!$AM$19)*1*(1-0.03)</f>
        <v>15.554875305631656</v>
      </c>
      <c r="Z171" s="53"/>
      <c r="AA171" s="53"/>
      <c r="AB171" s="53">
        <f>(SUBSIDIO!$J$171*SUBSIDIO!$V$171)*(0.06)/(1-0.06)</f>
        <v>1719.48</v>
      </c>
      <c r="AC171" s="53">
        <f>((SUBSIDIO!$L$171*SUBSIDIO!$W$171)+(SUBSIDIO!$N$171*SUBSIDIO!$X$171))*(0.06)/(1-0.06)</f>
        <v>0</v>
      </c>
      <c r="AD171" s="53">
        <f ca="1">(SUBSIDIO!$J$171*SUBSIDIO!$Y$171)*(0.03)/(1-0.03)</f>
        <v>984.76793043179384</v>
      </c>
      <c r="AE171" s="53">
        <f>((SUBSIDIO!$L$171*SUBSIDIO!$Z$171)+(SUBSIDIO!$N$171*SUBSIDIO!$AA$171))*(0.03)/(1-0.03)</f>
        <v>0</v>
      </c>
      <c r="AF171" s="4" t="s">
        <v>852</v>
      </c>
    </row>
    <row r="172" spans="1:32" ht="11.25" customHeight="1" x14ac:dyDescent="0.3">
      <c r="A172" s="4" t="s">
        <v>21</v>
      </c>
      <c r="B172" s="4" t="s">
        <v>39</v>
      </c>
      <c r="C172" s="4" t="s">
        <v>41</v>
      </c>
      <c r="D172" s="4" t="s">
        <v>50</v>
      </c>
      <c r="E172" s="4" t="s">
        <v>51</v>
      </c>
      <c r="F172" s="4" t="s">
        <v>25</v>
      </c>
      <c r="G172" s="4" t="s">
        <v>25</v>
      </c>
      <c r="H172" s="4" t="s">
        <v>25</v>
      </c>
      <c r="I172" s="5">
        <v>44562</v>
      </c>
      <c r="J172" s="6">
        <v>2026</v>
      </c>
      <c r="K172" s="52">
        <v>2026</v>
      </c>
      <c r="L172" s="6">
        <v>0</v>
      </c>
      <c r="M172" s="53">
        <v>0</v>
      </c>
      <c r="N172" s="6">
        <v>0</v>
      </c>
      <c r="O172" s="53">
        <v>0</v>
      </c>
      <c r="P172" s="6">
        <v>14</v>
      </c>
      <c r="Q172" s="4" t="s">
        <v>26</v>
      </c>
      <c r="R172" s="4">
        <v>0</v>
      </c>
      <c r="S172" s="4">
        <v>20</v>
      </c>
      <c r="T172" s="4">
        <v>0</v>
      </c>
      <c r="U172" s="4">
        <v>0</v>
      </c>
      <c r="V172" s="53">
        <f>IF(ISERROR(VLOOKUP($S$172,'TAR FIN'!$A$1:$O$113,15,0)),0,VLOOKUP($S$172,'TAR FIN'!$A$1:$O$113,15,0))*(1-0.06)</f>
        <v>13.16</v>
      </c>
      <c r="W172" s="53">
        <f>IF(ISERROR(VLOOKUP($T$172,'TAR FIN'!$A$1:$O$113,15,0)),0,VLOOKUP($T$172,'TAR FIN'!$A$1:$O$113,15,0))</f>
        <v>0</v>
      </c>
      <c r="X172" s="53">
        <f>IF(ISERROR(VLOOKUP($U$172,'TAR FIN'!$A$1:$O$113,15,0)),0,VLOOKUP($U$172,'TAR FIN'!$A$1:$O$113,15,0))</f>
        <v>0</v>
      </c>
      <c r="Y172" s="53">
        <f ca="1">('TUSD BE'!$AM$19+'TUSD BF'!$AM$19+'TUSD CVA'!$AM$19)*1*(1-0.03)</f>
        <v>15.554875305631656</v>
      </c>
      <c r="Z172" s="53"/>
      <c r="AA172" s="53"/>
      <c r="AB172" s="53">
        <f>(SUBSIDIO!$J$172*SUBSIDIO!$V$172)*(0.06)/(1-0.06)</f>
        <v>1701.84</v>
      </c>
      <c r="AC172" s="53">
        <f>((SUBSIDIO!$L$172*SUBSIDIO!$W$172)+(SUBSIDIO!$N$172*SUBSIDIO!$X$172))*(0.06)/(1-0.06)</f>
        <v>0</v>
      </c>
      <c r="AD172" s="53">
        <f ca="1">(SUBSIDIO!$J$172*SUBSIDIO!$Y$172)*(0.03)/(1-0.03)</f>
        <v>974.66527946009489</v>
      </c>
      <c r="AE172" s="53">
        <f>((SUBSIDIO!$L$172*SUBSIDIO!$Z$172)+(SUBSIDIO!$N$172*SUBSIDIO!$AA$172))*(0.03)/(1-0.03)</f>
        <v>0</v>
      </c>
      <c r="AF172" s="4" t="s">
        <v>852</v>
      </c>
    </row>
    <row r="173" spans="1:32" ht="11.25" customHeight="1" x14ac:dyDescent="0.3">
      <c r="A173" s="4" t="s">
        <v>21</v>
      </c>
      <c r="B173" s="4" t="s">
        <v>39</v>
      </c>
      <c r="C173" s="4" t="s">
        <v>41</v>
      </c>
      <c r="D173" s="4" t="s">
        <v>50</v>
      </c>
      <c r="E173" s="4" t="s">
        <v>51</v>
      </c>
      <c r="F173" s="4" t="s">
        <v>25</v>
      </c>
      <c r="G173" s="4" t="s">
        <v>25</v>
      </c>
      <c r="H173" s="4" t="s">
        <v>25</v>
      </c>
      <c r="I173" s="5">
        <v>44593</v>
      </c>
      <c r="J173" s="6">
        <v>2048</v>
      </c>
      <c r="K173" s="52">
        <v>2048</v>
      </c>
      <c r="L173" s="6">
        <v>0</v>
      </c>
      <c r="M173" s="53">
        <v>0</v>
      </c>
      <c r="N173" s="6">
        <v>0</v>
      </c>
      <c r="O173" s="53">
        <v>0</v>
      </c>
      <c r="P173" s="6">
        <v>14</v>
      </c>
      <c r="Q173" s="4" t="s">
        <v>26</v>
      </c>
      <c r="R173" s="4">
        <v>0</v>
      </c>
      <c r="S173" s="4">
        <v>20</v>
      </c>
      <c r="T173" s="4">
        <v>0</v>
      </c>
      <c r="U173" s="4">
        <v>0</v>
      </c>
      <c r="V173" s="53">
        <f>IF(ISERROR(VLOOKUP($S$173,'TAR FIN'!$A$1:$O$113,15,0)),0,VLOOKUP($S$173,'TAR FIN'!$A$1:$O$113,15,0))*(1-0.06)</f>
        <v>13.16</v>
      </c>
      <c r="W173" s="53">
        <f>IF(ISERROR(VLOOKUP($T$173,'TAR FIN'!$A$1:$O$113,15,0)),0,VLOOKUP($T$173,'TAR FIN'!$A$1:$O$113,15,0))</f>
        <v>0</v>
      </c>
      <c r="X173" s="53">
        <f>IF(ISERROR(VLOOKUP($U$173,'TAR FIN'!$A$1:$O$113,15,0)),0,VLOOKUP($U$173,'TAR FIN'!$A$1:$O$113,15,0))</f>
        <v>0</v>
      </c>
      <c r="Y173" s="53">
        <f ca="1">('TUSD BE'!$AM$19+'TUSD BF'!$AM$19+'TUSD CVA'!$AM$19)*1*(1-0.03)</f>
        <v>15.554875305631656</v>
      </c>
      <c r="Z173" s="53"/>
      <c r="AA173" s="53"/>
      <c r="AB173" s="53">
        <f>(SUBSIDIO!$J$173*SUBSIDIO!$V$173)*(0.06)/(1-0.06)</f>
        <v>1720.32</v>
      </c>
      <c r="AC173" s="53">
        <f>((SUBSIDIO!$L$173*SUBSIDIO!$W$173)+(SUBSIDIO!$N$173*SUBSIDIO!$X$173))*(0.06)/(1-0.06)</f>
        <v>0</v>
      </c>
      <c r="AD173" s="53">
        <f ca="1">(SUBSIDIO!$J$173*SUBSIDIO!$Y$173)*(0.03)/(1-0.03)</f>
        <v>985.24900904949368</v>
      </c>
      <c r="AE173" s="53">
        <f>((SUBSIDIO!$L$173*SUBSIDIO!$Z$173)+(SUBSIDIO!$N$173*SUBSIDIO!$AA$173))*(0.03)/(1-0.03)</f>
        <v>0</v>
      </c>
      <c r="AF173" s="4" t="s">
        <v>852</v>
      </c>
    </row>
    <row r="174" spans="1:32" ht="11.25" customHeight="1" x14ac:dyDescent="0.3">
      <c r="A174" s="4" t="s">
        <v>21</v>
      </c>
      <c r="B174" s="4" t="s">
        <v>39</v>
      </c>
      <c r="C174" s="4" t="s">
        <v>41</v>
      </c>
      <c r="D174" s="4" t="s">
        <v>50</v>
      </c>
      <c r="E174" s="4" t="s">
        <v>51</v>
      </c>
      <c r="F174" s="4" t="s">
        <v>25</v>
      </c>
      <c r="G174" s="4" t="s">
        <v>25</v>
      </c>
      <c r="H174" s="4" t="s">
        <v>25</v>
      </c>
      <c r="I174" s="5">
        <v>44621</v>
      </c>
      <c r="J174" s="6">
        <v>2056</v>
      </c>
      <c r="K174" s="52">
        <v>2056</v>
      </c>
      <c r="L174" s="6">
        <v>0</v>
      </c>
      <c r="M174" s="53">
        <v>0</v>
      </c>
      <c r="N174" s="6">
        <v>0</v>
      </c>
      <c r="O174" s="53">
        <v>0</v>
      </c>
      <c r="P174" s="6">
        <v>14</v>
      </c>
      <c r="Q174" s="4" t="s">
        <v>26</v>
      </c>
      <c r="R174" s="4">
        <v>0</v>
      </c>
      <c r="S174" s="4">
        <v>20</v>
      </c>
      <c r="T174" s="4">
        <v>0</v>
      </c>
      <c r="U174" s="4">
        <v>0</v>
      </c>
      <c r="V174" s="53">
        <f>IF(ISERROR(VLOOKUP($S$174,'TAR FIN'!$A$1:$O$113,15,0)),0,VLOOKUP($S$174,'TAR FIN'!$A$1:$O$113,15,0))*(1-0.06)</f>
        <v>13.16</v>
      </c>
      <c r="W174" s="53">
        <f>IF(ISERROR(VLOOKUP($T$174,'TAR FIN'!$A$1:$O$113,15,0)),0,VLOOKUP($T$174,'TAR FIN'!$A$1:$O$113,15,0))</f>
        <v>0</v>
      </c>
      <c r="X174" s="53">
        <f>IF(ISERROR(VLOOKUP($U$174,'TAR FIN'!$A$1:$O$113,15,0)),0,VLOOKUP($U$174,'TAR FIN'!$A$1:$O$113,15,0))</f>
        <v>0</v>
      </c>
      <c r="Y174" s="53">
        <f ca="1">('TUSD BE'!$AM$19+'TUSD BF'!$AM$19+'TUSD CVA'!$AM$19)*1*(1-0.03)</f>
        <v>15.554875305631656</v>
      </c>
      <c r="Z174" s="53"/>
      <c r="AA174" s="53"/>
      <c r="AB174" s="53">
        <f>(SUBSIDIO!$J$174*SUBSIDIO!$V$174)*(0.06)/(1-0.06)</f>
        <v>1727.0400000000002</v>
      </c>
      <c r="AC174" s="53">
        <f>((SUBSIDIO!$L$174*SUBSIDIO!$W$174)+(SUBSIDIO!$N$174*SUBSIDIO!$X$174))*(0.06)/(1-0.06)</f>
        <v>0</v>
      </c>
      <c r="AD174" s="53">
        <f ca="1">(SUBSIDIO!$J$174*SUBSIDIO!$Y$174)*(0.03)/(1-0.03)</f>
        <v>989.09763799109339</v>
      </c>
      <c r="AE174" s="53">
        <f>((SUBSIDIO!$L$174*SUBSIDIO!$Z$174)+(SUBSIDIO!$N$174*SUBSIDIO!$AA$174))*(0.03)/(1-0.03)</f>
        <v>0</v>
      </c>
      <c r="AF174" s="4" t="s">
        <v>852</v>
      </c>
    </row>
    <row r="175" spans="1:32" ht="11.25" customHeight="1" x14ac:dyDescent="0.3">
      <c r="A175" s="4" t="s">
        <v>21</v>
      </c>
      <c r="B175" s="4" t="s">
        <v>39</v>
      </c>
      <c r="C175" s="4" t="s">
        <v>41</v>
      </c>
      <c r="D175" s="4" t="s">
        <v>50</v>
      </c>
      <c r="E175" s="4" t="s">
        <v>51</v>
      </c>
      <c r="F175" s="4" t="s">
        <v>25</v>
      </c>
      <c r="G175" s="4" t="s">
        <v>25</v>
      </c>
      <c r="H175" s="4" t="s">
        <v>25</v>
      </c>
      <c r="I175" s="5">
        <v>44652</v>
      </c>
      <c r="J175" s="6">
        <v>2050</v>
      </c>
      <c r="K175" s="52">
        <v>2050</v>
      </c>
      <c r="L175" s="6">
        <v>0</v>
      </c>
      <c r="M175" s="53">
        <v>0</v>
      </c>
      <c r="N175" s="6">
        <v>0</v>
      </c>
      <c r="O175" s="53">
        <v>0</v>
      </c>
      <c r="P175" s="6">
        <v>14</v>
      </c>
      <c r="Q175" s="4" t="s">
        <v>26</v>
      </c>
      <c r="R175" s="4">
        <v>0</v>
      </c>
      <c r="S175" s="4">
        <v>20</v>
      </c>
      <c r="T175" s="4">
        <v>0</v>
      </c>
      <c r="U175" s="4">
        <v>0</v>
      </c>
      <c r="V175" s="53">
        <f>IF(ISERROR(VLOOKUP($S$175,'TAR FIN'!$A$1:$O$113,15,0)),0,VLOOKUP($S$175,'TAR FIN'!$A$1:$O$113,15,0))*(1-0.06)</f>
        <v>13.16</v>
      </c>
      <c r="W175" s="53">
        <f>IF(ISERROR(VLOOKUP($T$175,'TAR FIN'!$A$1:$O$113,15,0)),0,VLOOKUP($T$175,'TAR FIN'!$A$1:$O$113,15,0))</f>
        <v>0</v>
      </c>
      <c r="X175" s="53">
        <f>IF(ISERROR(VLOOKUP($U$175,'TAR FIN'!$A$1:$O$113,15,0)),0,VLOOKUP($U$175,'TAR FIN'!$A$1:$O$113,15,0))</f>
        <v>0</v>
      </c>
      <c r="Y175" s="53">
        <f ca="1">('TUSD BE'!$AM$19+'TUSD BF'!$AM$19+'TUSD CVA'!$AM$19)*1*(1-0.03)</f>
        <v>15.554875305631656</v>
      </c>
      <c r="Z175" s="53"/>
      <c r="AA175" s="53"/>
      <c r="AB175" s="53">
        <f>(SUBSIDIO!$J$175*SUBSIDIO!$V$175)*(0.06)/(1-0.06)</f>
        <v>1722</v>
      </c>
      <c r="AC175" s="53">
        <f>((SUBSIDIO!$L$175*SUBSIDIO!$W$175)+(SUBSIDIO!$N$175*SUBSIDIO!$X$175))*(0.06)/(1-0.06)</f>
        <v>0</v>
      </c>
      <c r="AD175" s="53">
        <f ca="1">(SUBSIDIO!$J$175*SUBSIDIO!$Y$175)*(0.03)/(1-0.03)</f>
        <v>986.21116628489358</v>
      </c>
      <c r="AE175" s="53">
        <f>((SUBSIDIO!$L$175*SUBSIDIO!$Z$175)+(SUBSIDIO!$N$175*SUBSIDIO!$AA$175))*(0.03)/(1-0.03)</f>
        <v>0</v>
      </c>
      <c r="AF175" s="4" t="s">
        <v>852</v>
      </c>
    </row>
    <row r="176" spans="1:32" ht="11.25" customHeight="1" x14ac:dyDescent="0.3">
      <c r="A176" s="4" t="s">
        <v>21</v>
      </c>
      <c r="B176" s="4" t="s">
        <v>39</v>
      </c>
      <c r="C176" s="4" t="s">
        <v>41</v>
      </c>
      <c r="D176" s="4" t="s">
        <v>50</v>
      </c>
      <c r="E176" s="4" t="s">
        <v>51</v>
      </c>
      <c r="F176" s="4" t="s">
        <v>25</v>
      </c>
      <c r="G176" s="4" t="s">
        <v>25</v>
      </c>
      <c r="H176" s="4" t="s">
        <v>25</v>
      </c>
      <c r="I176" s="5">
        <v>44682</v>
      </c>
      <c r="J176" s="6">
        <v>2072</v>
      </c>
      <c r="K176" s="52">
        <v>2072</v>
      </c>
      <c r="L176" s="6">
        <v>0</v>
      </c>
      <c r="M176" s="53">
        <v>0</v>
      </c>
      <c r="N176" s="6">
        <v>0</v>
      </c>
      <c r="O176" s="53">
        <v>0</v>
      </c>
      <c r="P176" s="6">
        <v>14</v>
      </c>
      <c r="Q176" s="4" t="s">
        <v>26</v>
      </c>
      <c r="R176" s="4">
        <v>0</v>
      </c>
      <c r="S176" s="4">
        <v>20</v>
      </c>
      <c r="T176" s="4">
        <v>0</v>
      </c>
      <c r="U176" s="4">
        <v>0</v>
      </c>
      <c r="V176" s="53">
        <f>IF(ISERROR(VLOOKUP($S$176,'TAR FIN'!$A$1:$O$113,15,0)),0,VLOOKUP($S$176,'TAR FIN'!$A$1:$O$113,15,0))*(1-0.06)</f>
        <v>13.16</v>
      </c>
      <c r="W176" s="53">
        <f>IF(ISERROR(VLOOKUP($T$176,'TAR FIN'!$A$1:$O$113,15,0)),0,VLOOKUP($T$176,'TAR FIN'!$A$1:$O$113,15,0))</f>
        <v>0</v>
      </c>
      <c r="X176" s="53">
        <f>IF(ISERROR(VLOOKUP($U$176,'TAR FIN'!$A$1:$O$113,15,0)),0,VLOOKUP($U$176,'TAR FIN'!$A$1:$O$113,15,0))</f>
        <v>0</v>
      </c>
      <c r="Y176" s="53">
        <f ca="1">('TUSD BE'!$AM$19+'TUSD BF'!$AM$19+'TUSD CVA'!$AM$19)*1*(1-0.03)</f>
        <v>15.554875305631656</v>
      </c>
      <c r="Z176" s="53"/>
      <c r="AA176" s="53"/>
      <c r="AB176" s="53">
        <f>(SUBSIDIO!$J$176*SUBSIDIO!$V$176)*(0.06)/(1-0.06)</f>
        <v>1740.48</v>
      </c>
      <c r="AC176" s="53">
        <f>((SUBSIDIO!$L$176*SUBSIDIO!$W$176)+(SUBSIDIO!$N$176*SUBSIDIO!$X$176))*(0.06)/(1-0.06)</f>
        <v>0</v>
      </c>
      <c r="AD176" s="53">
        <f ca="1">(SUBSIDIO!$J$176*SUBSIDIO!$Y$176)*(0.03)/(1-0.03)</f>
        <v>996.79489587429259</v>
      </c>
      <c r="AE176" s="53">
        <f>((SUBSIDIO!$L$176*SUBSIDIO!$Z$176)+(SUBSIDIO!$N$176*SUBSIDIO!$AA$176))*(0.03)/(1-0.03)</f>
        <v>0</v>
      </c>
      <c r="AF176" s="4" t="s">
        <v>852</v>
      </c>
    </row>
    <row r="177" spans="1:32" ht="11.25" customHeight="1" x14ac:dyDescent="0.3">
      <c r="A177" s="4" t="s">
        <v>21</v>
      </c>
      <c r="B177" s="4" t="s">
        <v>39</v>
      </c>
      <c r="C177" s="4" t="s">
        <v>41</v>
      </c>
      <c r="D177" s="4" t="s">
        <v>50</v>
      </c>
      <c r="E177" s="4" t="s">
        <v>51</v>
      </c>
      <c r="F177" s="4" t="s">
        <v>25</v>
      </c>
      <c r="G177" s="4" t="s">
        <v>25</v>
      </c>
      <c r="H177" s="4" t="s">
        <v>25</v>
      </c>
      <c r="I177" s="5">
        <v>44713</v>
      </c>
      <c r="J177" s="6">
        <v>2061</v>
      </c>
      <c r="K177" s="52">
        <v>2061</v>
      </c>
      <c r="L177" s="6">
        <v>0</v>
      </c>
      <c r="M177" s="53">
        <v>0</v>
      </c>
      <c r="N177" s="6">
        <v>0</v>
      </c>
      <c r="O177" s="53">
        <v>0</v>
      </c>
      <c r="P177" s="6">
        <v>14</v>
      </c>
      <c r="Q177" s="4" t="s">
        <v>26</v>
      </c>
      <c r="R177" s="4">
        <v>0</v>
      </c>
      <c r="S177" s="4">
        <v>20</v>
      </c>
      <c r="T177" s="4">
        <v>0</v>
      </c>
      <c r="U177" s="4">
        <v>0</v>
      </c>
      <c r="V177" s="53">
        <f>IF(ISERROR(VLOOKUP($S$177,'TAR FIN'!$A$1:$O$113,15,0)),0,VLOOKUP($S$177,'TAR FIN'!$A$1:$O$113,15,0))*(1-0.06)</f>
        <v>13.16</v>
      </c>
      <c r="W177" s="53">
        <f>IF(ISERROR(VLOOKUP($T$177,'TAR FIN'!$A$1:$O$113,15,0)),0,VLOOKUP($T$177,'TAR FIN'!$A$1:$O$113,15,0))</f>
        <v>0</v>
      </c>
      <c r="X177" s="53">
        <f>IF(ISERROR(VLOOKUP($U$177,'TAR FIN'!$A$1:$O$113,15,0)),0,VLOOKUP($U$177,'TAR FIN'!$A$1:$O$113,15,0))</f>
        <v>0</v>
      </c>
      <c r="Y177" s="53">
        <f ca="1">('TUSD BE'!$AM$19+'TUSD BF'!$AM$19+'TUSD CVA'!$AM$19)*1*(1-0.03)</f>
        <v>15.554875305631656</v>
      </c>
      <c r="Z177" s="53"/>
      <c r="AA177" s="53"/>
      <c r="AB177" s="53">
        <f>(SUBSIDIO!$J$177*SUBSIDIO!$V$177)*(0.06)/(1-0.06)</f>
        <v>1731.2400000000002</v>
      </c>
      <c r="AC177" s="53">
        <f>((SUBSIDIO!$L$177*SUBSIDIO!$W$177)+(SUBSIDIO!$N$177*SUBSIDIO!$X$177))*(0.06)/(1-0.06)</f>
        <v>0</v>
      </c>
      <c r="AD177" s="53">
        <f ca="1">(SUBSIDIO!$J$177*SUBSIDIO!$Y$177)*(0.03)/(1-0.03)</f>
        <v>991.50303107959303</v>
      </c>
      <c r="AE177" s="53">
        <f>((SUBSIDIO!$L$177*SUBSIDIO!$Z$177)+(SUBSIDIO!$N$177*SUBSIDIO!$AA$177))*(0.03)/(1-0.03)</f>
        <v>0</v>
      </c>
      <c r="AF177" s="4" t="s">
        <v>852</v>
      </c>
    </row>
    <row r="178" spans="1:32" ht="11.25" customHeight="1" x14ac:dyDescent="0.3">
      <c r="A178" s="4" t="s">
        <v>21</v>
      </c>
      <c r="B178" s="4" t="s">
        <v>39</v>
      </c>
      <c r="C178" s="4" t="s">
        <v>41</v>
      </c>
      <c r="D178" s="4" t="s">
        <v>50</v>
      </c>
      <c r="E178" s="4" t="s">
        <v>51</v>
      </c>
      <c r="F178" s="4" t="s">
        <v>25</v>
      </c>
      <c r="G178" s="4" t="s">
        <v>25</v>
      </c>
      <c r="H178" s="4" t="s">
        <v>25</v>
      </c>
      <c r="I178" s="5">
        <v>44743</v>
      </c>
      <c r="J178" s="6">
        <v>2081</v>
      </c>
      <c r="K178" s="52">
        <v>2081</v>
      </c>
      <c r="L178" s="6">
        <v>0</v>
      </c>
      <c r="M178" s="53">
        <v>0</v>
      </c>
      <c r="N178" s="6">
        <v>0</v>
      </c>
      <c r="O178" s="53">
        <v>0</v>
      </c>
      <c r="P178" s="6">
        <v>14</v>
      </c>
      <c r="Q178" s="4" t="s">
        <v>26</v>
      </c>
      <c r="R178" s="4">
        <v>0</v>
      </c>
      <c r="S178" s="4">
        <v>20</v>
      </c>
      <c r="T178" s="4">
        <v>0</v>
      </c>
      <c r="U178" s="4">
        <v>0</v>
      </c>
      <c r="V178" s="53">
        <f>IF(ISERROR(VLOOKUP($S$178,'TAR FIN'!$A$1:$O$113,15,0)),0,VLOOKUP($S$178,'TAR FIN'!$A$1:$O$113,15,0))*(1-0.06)</f>
        <v>13.16</v>
      </c>
      <c r="W178" s="53">
        <f>IF(ISERROR(VLOOKUP($T$178,'TAR FIN'!$A$1:$O$113,15,0)),0,VLOOKUP($T$178,'TAR FIN'!$A$1:$O$113,15,0))</f>
        <v>0</v>
      </c>
      <c r="X178" s="53">
        <f>IF(ISERROR(VLOOKUP($U$178,'TAR FIN'!$A$1:$O$113,15,0)),0,VLOOKUP($U$178,'TAR FIN'!$A$1:$O$113,15,0))</f>
        <v>0</v>
      </c>
      <c r="Y178" s="53">
        <f ca="1">('TUSD BE'!$AM$19+'TUSD BF'!$AM$19+'TUSD CVA'!$AM$19)*1*(1-0.03)</f>
        <v>15.554875305631656</v>
      </c>
      <c r="Z178" s="53"/>
      <c r="AA178" s="53"/>
      <c r="AB178" s="53">
        <f>(SUBSIDIO!$J$178*SUBSIDIO!$V$178)*(0.06)/(1-0.06)</f>
        <v>1748.04</v>
      </c>
      <c r="AC178" s="53">
        <f>((SUBSIDIO!$L$178*SUBSIDIO!$W$178)+(SUBSIDIO!$N$178*SUBSIDIO!$X$178))*(0.06)/(1-0.06)</f>
        <v>0</v>
      </c>
      <c r="AD178" s="53">
        <f ca="1">(SUBSIDIO!$J$178*SUBSIDIO!$Y$178)*(0.03)/(1-0.03)</f>
        <v>1001.124603433592</v>
      </c>
      <c r="AE178" s="53">
        <f>((SUBSIDIO!$L$178*SUBSIDIO!$Z$178)+(SUBSIDIO!$N$178*SUBSIDIO!$AA$178))*(0.03)/(1-0.03)</f>
        <v>0</v>
      </c>
      <c r="AF178" s="4" t="s">
        <v>852</v>
      </c>
    </row>
    <row r="179" spans="1:32" ht="11.25" customHeight="1" x14ac:dyDescent="0.3">
      <c r="A179" s="4" t="s">
        <v>21</v>
      </c>
      <c r="B179" s="4" t="s">
        <v>39</v>
      </c>
      <c r="C179" s="4" t="s">
        <v>41</v>
      </c>
      <c r="D179" s="4" t="s">
        <v>50</v>
      </c>
      <c r="E179" s="4" t="s">
        <v>51</v>
      </c>
      <c r="F179" s="4" t="s">
        <v>25</v>
      </c>
      <c r="G179" s="4" t="s">
        <v>25</v>
      </c>
      <c r="H179" s="4" t="s">
        <v>25</v>
      </c>
      <c r="I179" s="5">
        <v>44774</v>
      </c>
      <c r="J179" s="6">
        <v>2090</v>
      </c>
      <c r="K179" s="52">
        <v>2090</v>
      </c>
      <c r="L179" s="6">
        <v>0</v>
      </c>
      <c r="M179" s="53">
        <v>0</v>
      </c>
      <c r="N179" s="6">
        <v>0</v>
      </c>
      <c r="O179" s="53">
        <v>0</v>
      </c>
      <c r="P179" s="6">
        <v>14</v>
      </c>
      <c r="Q179" s="4" t="s">
        <v>26</v>
      </c>
      <c r="R179" s="4">
        <v>0</v>
      </c>
      <c r="S179" s="4">
        <v>20</v>
      </c>
      <c r="T179" s="4">
        <v>0</v>
      </c>
      <c r="U179" s="4">
        <v>0</v>
      </c>
      <c r="V179" s="53">
        <f>IF(ISERROR(VLOOKUP($S$179,'TAR FIN'!$A$1:$O$113,15,0)),0,VLOOKUP($S$179,'TAR FIN'!$A$1:$O$113,15,0))*(1-0.06)</f>
        <v>13.16</v>
      </c>
      <c r="W179" s="53">
        <f>IF(ISERROR(VLOOKUP($T$179,'TAR FIN'!$A$1:$O$113,15,0)),0,VLOOKUP($T$179,'TAR FIN'!$A$1:$O$113,15,0))</f>
        <v>0</v>
      </c>
      <c r="X179" s="53">
        <f>IF(ISERROR(VLOOKUP($U$179,'TAR FIN'!$A$1:$O$113,15,0)),0,VLOOKUP($U$179,'TAR FIN'!$A$1:$O$113,15,0))</f>
        <v>0</v>
      </c>
      <c r="Y179" s="53">
        <f ca="1">('TUSD BE'!$AM$19+'TUSD BF'!$AM$19+'TUSD CVA'!$AM$19)*1*(1-0.03)</f>
        <v>15.554875305631656</v>
      </c>
      <c r="Z179" s="53"/>
      <c r="AA179" s="53"/>
      <c r="AB179" s="53">
        <f>(SUBSIDIO!$J$179*SUBSIDIO!$V$179)*(0.06)/(1-0.06)</f>
        <v>1755.6000000000001</v>
      </c>
      <c r="AC179" s="53">
        <f>((SUBSIDIO!$L$179*SUBSIDIO!$W$179)+(SUBSIDIO!$N$179*SUBSIDIO!$X$179))*(0.06)/(1-0.06)</f>
        <v>0</v>
      </c>
      <c r="AD179" s="53">
        <f ca="1">(SUBSIDIO!$J$179*SUBSIDIO!$Y$179)*(0.03)/(1-0.03)</f>
        <v>1005.4543109928916</v>
      </c>
      <c r="AE179" s="53">
        <f>((SUBSIDIO!$L$179*SUBSIDIO!$Z$179)+(SUBSIDIO!$N$179*SUBSIDIO!$AA$179))*(0.03)/(1-0.03)</f>
        <v>0</v>
      </c>
      <c r="AF179" s="4" t="s">
        <v>852</v>
      </c>
    </row>
    <row r="180" spans="1:32" ht="11.25" customHeight="1" x14ac:dyDescent="0.3">
      <c r="A180" s="4" t="s">
        <v>21</v>
      </c>
      <c r="B180" s="4" t="s">
        <v>39</v>
      </c>
      <c r="C180" s="4" t="s">
        <v>41</v>
      </c>
      <c r="D180" s="4" t="s">
        <v>50</v>
      </c>
      <c r="E180" s="4" t="s">
        <v>51</v>
      </c>
      <c r="F180" s="4" t="s">
        <v>25</v>
      </c>
      <c r="G180" s="4" t="s">
        <v>25</v>
      </c>
      <c r="H180" s="4" t="s">
        <v>25</v>
      </c>
      <c r="I180" s="5">
        <v>44805</v>
      </c>
      <c r="J180" s="6">
        <v>2091</v>
      </c>
      <c r="K180" s="52">
        <v>2091</v>
      </c>
      <c r="L180" s="6">
        <v>0</v>
      </c>
      <c r="M180" s="53">
        <v>0</v>
      </c>
      <c r="N180" s="6">
        <v>0</v>
      </c>
      <c r="O180" s="53">
        <v>0</v>
      </c>
      <c r="P180" s="6">
        <v>14</v>
      </c>
      <c r="Q180" s="4" t="s">
        <v>26</v>
      </c>
      <c r="R180" s="4">
        <v>0</v>
      </c>
      <c r="S180" s="4">
        <v>20</v>
      </c>
      <c r="T180" s="4">
        <v>0</v>
      </c>
      <c r="U180" s="4">
        <v>0</v>
      </c>
      <c r="V180" s="53">
        <f>IF(ISERROR(VLOOKUP($S$180,'TAR FIN'!$A$1:$O$113,15,0)),0,VLOOKUP($S$180,'TAR FIN'!$A$1:$O$113,15,0))*(1-0.06)</f>
        <v>13.16</v>
      </c>
      <c r="W180" s="53">
        <f>IF(ISERROR(VLOOKUP($T$180,'TAR FIN'!$A$1:$O$113,15,0)),0,VLOOKUP($T$180,'TAR FIN'!$A$1:$O$113,15,0))</f>
        <v>0</v>
      </c>
      <c r="X180" s="53">
        <f>IF(ISERROR(VLOOKUP($U$180,'TAR FIN'!$A$1:$O$113,15,0)),0,VLOOKUP($U$180,'TAR FIN'!$A$1:$O$113,15,0))</f>
        <v>0</v>
      </c>
      <c r="Y180" s="53">
        <f ca="1">('TUSD BE'!$AM$19+'TUSD BF'!$AM$19+'TUSD CVA'!$AM$19)*1*(1-0.03)</f>
        <v>15.554875305631656</v>
      </c>
      <c r="Z180" s="53"/>
      <c r="AA180" s="53"/>
      <c r="AB180" s="53">
        <f>(SUBSIDIO!$J$180*SUBSIDIO!$V$180)*(0.06)/(1-0.06)</f>
        <v>1756.44</v>
      </c>
      <c r="AC180" s="53">
        <f>((SUBSIDIO!$L$180*SUBSIDIO!$W$180)+(SUBSIDIO!$N$180*SUBSIDIO!$X$180))*(0.06)/(1-0.06)</f>
        <v>0</v>
      </c>
      <c r="AD180" s="53">
        <f ca="1">(SUBSIDIO!$J$180*SUBSIDIO!$Y$180)*(0.03)/(1-0.03)</f>
        <v>1005.9353896105916</v>
      </c>
      <c r="AE180" s="53">
        <f>((SUBSIDIO!$L$180*SUBSIDIO!$Z$180)+(SUBSIDIO!$N$180*SUBSIDIO!$AA$180))*(0.03)/(1-0.03)</f>
        <v>0</v>
      </c>
      <c r="AF180" s="4" t="s">
        <v>852</v>
      </c>
    </row>
    <row r="181" spans="1:32" ht="11.25" customHeight="1" x14ac:dyDescent="0.3">
      <c r="A181" s="4" t="s">
        <v>53</v>
      </c>
      <c r="B181" s="4" t="s">
        <v>39</v>
      </c>
      <c r="C181" s="4" t="s">
        <v>41</v>
      </c>
      <c r="D181" s="4" t="s">
        <v>50</v>
      </c>
      <c r="E181" s="4" t="s">
        <v>51</v>
      </c>
      <c r="F181" s="4" t="s">
        <v>25</v>
      </c>
      <c r="G181" s="4" t="s">
        <v>25</v>
      </c>
      <c r="H181" s="4" t="s">
        <v>25</v>
      </c>
      <c r="I181" s="5">
        <v>44835</v>
      </c>
      <c r="J181" s="6">
        <v>2091</v>
      </c>
      <c r="K181" s="52">
        <v>2091</v>
      </c>
      <c r="L181" s="6">
        <v>0</v>
      </c>
      <c r="M181" s="53">
        <v>0</v>
      </c>
      <c r="N181" s="6">
        <v>0</v>
      </c>
      <c r="O181" s="53">
        <v>0</v>
      </c>
      <c r="P181" s="6">
        <v>14</v>
      </c>
      <c r="Q181" s="4" t="s">
        <v>26</v>
      </c>
      <c r="R181" s="4">
        <v>0</v>
      </c>
      <c r="S181" s="4">
        <v>20</v>
      </c>
      <c r="T181" s="4">
        <v>0</v>
      </c>
      <c r="U181" s="4">
        <v>0</v>
      </c>
      <c r="V181" s="53">
        <f>IF(ISERROR(VLOOKUP($S$181,'TAR FIN'!$A$1:$O$113,15,0)),0,VLOOKUP($S$181,'TAR FIN'!$A$1:$O$113,15,0))*(1-0.06)</f>
        <v>13.16</v>
      </c>
      <c r="W181" s="53">
        <f>IF(ISERROR(VLOOKUP($T$181,'TAR FIN'!$A$1:$O$113,15,0)),0,VLOOKUP($T$181,'TAR FIN'!$A$1:$O$113,15,0))</f>
        <v>0</v>
      </c>
      <c r="X181" s="53">
        <f>IF(ISERROR(VLOOKUP($U$181,'TAR FIN'!$A$1:$O$113,15,0)),0,VLOOKUP($U$181,'TAR FIN'!$A$1:$O$113,15,0))</f>
        <v>0</v>
      </c>
      <c r="Y181" s="53">
        <f ca="1">('TUSD BE'!$AM$19+'TUSD BF'!$AM$19+'TUSD CVA'!$AM$19)*1*(1-0.03)</f>
        <v>15.554875305631656</v>
      </c>
      <c r="Z181" s="53"/>
      <c r="AA181" s="53"/>
      <c r="AB181" s="53">
        <f>(SUBSIDIO!$J$181*SUBSIDIO!$V$181)*(0.06)/(1-0.06)</f>
        <v>1756.44</v>
      </c>
      <c r="AC181" s="53">
        <f>((SUBSIDIO!$L$181*SUBSIDIO!$W$181)+(SUBSIDIO!$N$181*SUBSIDIO!$X$181))*(0.06)/(1-0.06)</f>
        <v>0</v>
      </c>
      <c r="AD181" s="53">
        <f ca="1">(SUBSIDIO!$J$181*SUBSIDIO!$Y$181)*(0.03)/(1-0.03)</f>
        <v>1005.9353896105916</v>
      </c>
      <c r="AE181" s="53">
        <f>((SUBSIDIO!$L$181*SUBSIDIO!$Z$181)+(SUBSIDIO!$N$181*SUBSIDIO!$AA$181))*(0.03)/(1-0.03)</f>
        <v>0</v>
      </c>
      <c r="AF181" s="4" t="s">
        <v>852</v>
      </c>
    </row>
    <row r="182" spans="1:32" ht="11.25" customHeight="1" x14ac:dyDescent="0.3">
      <c r="A182" s="4" t="s">
        <v>21</v>
      </c>
      <c r="B182" s="4" t="s">
        <v>39</v>
      </c>
      <c r="C182" s="4" t="s">
        <v>41</v>
      </c>
      <c r="D182" s="4" t="s">
        <v>50</v>
      </c>
      <c r="E182" s="4" t="s">
        <v>51</v>
      </c>
      <c r="F182" s="4" t="s">
        <v>25</v>
      </c>
      <c r="G182" s="4" t="s">
        <v>25</v>
      </c>
      <c r="H182" s="4" t="s">
        <v>34</v>
      </c>
      <c r="I182" s="5">
        <v>44501</v>
      </c>
      <c r="J182" s="6">
        <v>0</v>
      </c>
      <c r="K182" s="53">
        <v>0</v>
      </c>
      <c r="L182" s="6">
        <v>49.845999999999997</v>
      </c>
      <c r="M182" s="53">
        <v>49.845999999999997</v>
      </c>
      <c r="N182" s="6">
        <v>49.845999999999997</v>
      </c>
      <c r="O182" s="53">
        <v>49.845999999999997</v>
      </c>
      <c r="P182" s="6">
        <v>0</v>
      </c>
      <c r="Q182" s="4" t="s">
        <v>26</v>
      </c>
      <c r="R182" s="4">
        <v>0</v>
      </c>
      <c r="S182" s="4">
        <v>0</v>
      </c>
      <c r="T182" s="4">
        <v>8</v>
      </c>
      <c r="U182" s="4">
        <v>38</v>
      </c>
      <c r="V182" s="53">
        <f>IF(ISERROR(VLOOKUP($S$182,'TAR FIN'!$A$1:$O$113,15,0)),0,VLOOKUP($S$182,'TAR FIN'!$A$1:$O$113,15,0))</f>
        <v>0</v>
      </c>
      <c r="W182" s="53">
        <f>IF(ISERROR(VLOOKUP($T$182,'TAR FIN'!$A$1:$O$113,15,0)),0,VLOOKUP($T$182,'TAR FIN'!$A$1:$O$113,15,0))*(1-0.06)</f>
        <v>884.00419999999986</v>
      </c>
      <c r="X182" s="53">
        <f>IF(ISERROR(VLOOKUP($U$182,'TAR FIN'!$A$1:$O$113,15,0)),0,VLOOKUP($U$182,'TAR FIN'!$A$1:$O$113,15,0))*(1-0.06)</f>
        <v>416.28839999999997</v>
      </c>
      <c r="Y182" s="53"/>
      <c r="Z182" s="53">
        <f ca="1">('TUSD BE'!$AM$20+'TUSD BF'!$AM$20+'TUSD CVA'!$AM$20)*1*(1-0.03)</f>
        <v>1084.2937021280925</v>
      </c>
      <c r="AA182" s="53">
        <f>('TE BE'!$AB$9+'TE BF'!$AB$9+'TE CVA'!$AB$9)*1*(1-0.03)</f>
        <v>471.84300153620904</v>
      </c>
      <c r="AB182" s="53">
        <f>(SUBSIDIO!$J$182*SUBSIDIO!$V$182)*(0.06)/(1-0.06)</f>
        <v>0</v>
      </c>
      <c r="AC182" s="53">
        <f>((SUBSIDIO!$L$182*SUBSIDIO!$W$182)+(SUBSIDIO!$N$182*SUBSIDIO!$X$182))*(0.06)/(1-0.06)</f>
        <v>4137.088400399999</v>
      </c>
      <c r="AD182" s="53">
        <f>(SUBSIDIO!$J$182*SUBSIDIO!$Y$182)*(0.03)/(1-0.03)</f>
        <v>0</v>
      </c>
      <c r="AE182" s="53">
        <f ca="1">((SUBSIDIO!$L$182*SUBSIDIO!$Z$182)+(SUBSIDIO!$N$182*SUBSIDIO!$AA$182))*(0.03)/(1-0.03)</f>
        <v>2398.9852617788897</v>
      </c>
      <c r="AF182" s="4" t="s">
        <v>852</v>
      </c>
    </row>
    <row r="183" spans="1:32" ht="11.25" customHeight="1" x14ac:dyDescent="0.3">
      <c r="A183" s="4" t="s">
        <v>21</v>
      </c>
      <c r="B183" s="4" t="s">
        <v>39</v>
      </c>
      <c r="C183" s="4" t="s">
        <v>41</v>
      </c>
      <c r="D183" s="4" t="s">
        <v>50</v>
      </c>
      <c r="E183" s="4" t="s">
        <v>51</v>
      </c>
      <c r="F183" s="4" t="s">
        <v>25</v>
      </c>
      <c r="G183" s="4" t="s">
        <v>25</v>
      </c>
      <c r="H183" s="4" t="s">
        <v>34</v>
      </c>
      <c r="I183" s="5">
        <v>44531</v>
      </c>
      <c r="J183" s="6">
        <v>0</v>
      </c>
      <c r="K183" s="53">
        <v>0</v>
      </c>
      <c r="L183" s="6">
        <v>41.014000000000003</v>
      </c>
      <c r="M183" s="53">
        <v>41.014000000000003</v>
      </c>
      <c r="N183" s="6">
        <v>41.014000000000003</v>
      </c>
      <c r="O183" s="53">
        <v>41.014000000000003</v>
      </c>
      <c r="P183" s="6">
        <v>0</v>
      </c>
      <c r="Q183" s="4" t="s">
        <v>26</v>
      </c>
      <c r="R183" s="4">
        <v>0</v>
      </c>
      <c r="S183" s="4">
        <v>0</v>
      </c>
      <c r="T183" s="4">
        <v>8</v>
      </c>
      <c r="U183" s="4">
        <v>38</v>
      </c>
      <c r="V183" s="53">
        <f>IF(ISERROR(VLOOKUP($S$183,'TAR FIN'!$A$1:$O$113,15,0)),0,VLOOKUP($S$183,'TAR FIN'!$A$1:$O$113,15,0))</f>
        <v>0</v>
      </c>
      <c r="W183" s="53">
        <f>IF(ISERROR(VLOOKUP($T$183,'TAR FIN'!$A$1:$O$113,15,0)),0,VLOOKUP($T$183,'TAR FIN'!$A$1:$O$113,15,0))*(1-0.06)</f>
        <v>884.00419999999986</v>
      </c>
      <c r="X183" s="53">
        <f>IF(ISERROR(VLOOKUP($U$183,'TAR FIN'!$A$1:$O$113,15,0)),0,VLOOKUP($U$183,'TAR FIN'!$A$1:$O$113,15,0))*(1-0.06)</f>
        <v>416.28839999999997</v>
      </c>
      <c r="Y183" s="53"/>
      <c r="Z183" s="53">
        <f ca="1">('TUSD BE'!$AM$20+'TUSD BF'!$AM$20+'TUSD CVA'!$AM$20)*1*(1-0.03)</f>
        <v>1084.2937021280925</v>
      </c>
      <c r="AA183" s="53">
        <f>('TE BE'!$AB$9+'TE BF'!$AB$9+'TE CVA'!$AB$9)*1*(1-0.03)</f>
        <v>471.84300153620904</v>
      </c>
      <c r="AB183" s="53">
        <f>(SUBSIDIO!$J$183*SUBSIDIO!$V$183)*(0.06)/(1-0.06)</f>
        <v>0</v>
      </c>
      <c r="AC183" s="53">
        <f>((SUBSIDIO!$L$183*SUBSIDIO!$W$183)+(SUBSIDIO!$N$183*SUBSIDIO!$X$183))*(0.06)/(1-0.06)</f>
        <v>3404.0553636</v>
      </c>
      <c r="AD183" s="53">
        <f>(SUBSIDIO!$J$183*SUBSIDIO!$Y$183)*(0.03)/(1-0.03)</f>
        <v>0</v>
      </c>
      <c r="AE183" s="53">
        <f ca="1">((SUBSIDIO!$L$183*SUBSIDIO!$Z$183)+(SUBSIDIO!$N$183*SUBSIDIO!$AA$183))*(0.03)/(1-0.03)</f>
        <v>1973.919301982093</v>
      </c>
      <c r="AF183" s="4" t="s">
        <v>852</v>
      </c>
    </row>
    <row r="184" spans="1:32" ht="11.25" customHeight="1" x14ac:dyDescent="0.3">
      <c r="A184" s="4" t="s">
        <v>21</v>
      </c>
      <c r="B184" s="4" t="s">
        <v>39</v>
      </c>
      <c r="C184" s="4" t="s">
        <v>41</v>
      </c>
      <c r="D184" s="4" t="s">
        <v>50</v>
      </c>
      <c r="E184" s="4" t="s">
        <v>51</v>
      </c>
      <c r="F184" s="4" t="s">
        <v>25</v>
      </c>
      <c r="G184" s="4" t="s">
        <v>25</v>
      </c>
      <c r="H184" s="4" t="s">
        <v>34</v>
      </c>
      <c r="I184" s="5">
        <v>44562</v>
      </c>
      <c r="J184" s="6">
        <v>0</v>
      </c>
      <c r="K184" s="53">
        <v>0</v>
      </c>
      <c r="L184" s="6">
        <v>50.685000000000002</v>
      </c>
      <c r="M184" s="53">
        <v>50.685000000000002</v>
      </c>
      <c r="N184" s="6">
        <v>50.685000000000002</v>
      </c>
      <c r="O184" s="53">
        <v>50.685000000000002</v>
      </c>
      <c r="P184" s="6">
        <v>0</v>
      </c>
      <c r="Q184" s="4" t="s">
        <v>26</v>
      </c>
      <c r="R184" s="4">
        <v>0</v>
      </c>
      <c r="S184" s="4">
        <v>0</v>
      </c>
      <c r="T184" s="4">
        <v>8</v>
      </c>
      <c r="U184" s="4">
        <v>38</v>
      </c>
      <c r="V184" s="53">
        <f>IF(ISERROR(VLOOKUP($S$184,'TAR FIN'!$A$1:$O$113,15,0)),0,VLOOKUP($S$184,'TAR FIN'!$A$1:$O$113,15,0))</f>
        <v>0</v>
      </c>
      <c r="W184" s="53">
        <f>IF(ISERROR(VLOOKUP($T$184,'TAR FIN'!$A$1:$O$113,15,0)),0,VLOOKUP($T$184,'TAR FIN'!$A$1:$O$113,15,0))*(1-0.06)</f>
        <v>884.00419999999986</v>
      </c>
      <c r="X184" s="53">
        <f>IF(ISERROR(VLOOKUP($U$184,'TAR FIN'!$A$1:$O$113,15,0)),0,VLOOKUP($U$184,'TAR FIN'!$A$1:$O$113,15,0))*(1-0.06)</f>
        <v>416.28839999999997</v>
      </c>
      <c r="Y184" s="53"/>
      <c r="Z184" s="53">
        <f ca="1">('TUSD BE'!$AM$20+'TUSD BF'!$AM$20+'TUSD CVA'!$AM$20)*1*(1-0.03)</f>
        <v>1084.2937021280925</v>
      </c>
      <c r="AA184" s="53">
        <f>('TE BE'!$AB$9+'TE BF'!$AB$9+'TE CVA'!$AB$9)*1*(1-0.03)</f>
        <v>471.84300153620904</v>
      </c>
      <c r="AB184" s="53">
        <f>(SUBSIDIO!$J$184*SUBSIDIO!$V$184)*(0.06)/(1-0.06)</f>
        <v>0</v>
      </c>
      <c r="AC184" s="53">
        <f>((SUBSIDIO!$L$184*SUBSIDIO!$W$184)+(SUBSIDIO!$N$184*SUBSIDIO!$X$184))*(0.06)/(1-0.06)</f>
        <v>4206.7232189999995</v>
      </c>
      <c r="AD184" s="53">
        <f>(SUBSIDIO!$J$184*SUBSIDIO!$Y$184)*(0.03)/(1-0.03)</f>
        <v>0</v>
      </c>
      <c r="AE184" s="53">
        <f ca="1">((SUBSIDIO!$L$184*SUBSIDIO!$Z$184)+(SUBSIDIO!$N$184*SUBSIDIO!$AA$184))*(0.03)/(1-0.03)</f>
        <v>2439.3646028420144</v>
      </c>
      <c r="AF184" s="4" t="s">
        <v>852</v>
      </c>
    </row>
    <row r="185" spans="1:32" ht="11.25" customHeight="1" x14ac:dyDescent="0.3">
      <c r="A185" s="4" t="s">
        <v>21</v>
      </c>
      <c r="B185" s="4" t="s">
        <v>39</v>
      </c>
      <c r="C185" s="4" t="s">
        <v>41</v>
      </c>
      <c r="D185" s="4" t="s">
        <v>50</v>
      </c>
      <c r="E185" s="4" t="s">
        <v>51</v>
      </c>
      <c r="F185" s="4" t="s">
        <v>25</v>
      </c>
      <c r="G185" s="4" t="s">
        <v>25</v>
      </c>
      <c r="H185" s="4" t="s">
        <v>34</v>
      </c>
      <c r="I185" s="5">
        <v>44593</v>
      </c>
      <c r="J185" s="6">
        <v>0</v>
      </c>
      <c r="K185" s="53">
        <v>0</v>
      </c>
      <c r="L185" s="6">
        <v>43.015000000000001</v>
      </c>
      <c r="M185" s="53">
        <v>43.015000000000001</v>
      </c>
      <c r="N185" s="6">
        <v>43.015000000000001</v>
      </c>
      <c r="O185" s="53">
        <v>43.015000000000001</v>
      </c>
      <c r="P185" s="6">
        <v>0</v>
      </c>
      <c r="Q185" s="4" t="s">
        <v>26</v>
      </c>
      <c r="R185" s="4">
        <v>0</v>
      </c>
      <c r="S185" s="4">
        <v>0</v>
      </c>
      <c r="T185" s="4">
        <v>8</v>
      </c>
      <c r="U185" s="4">
        <v>38</v>
      </c>
      <c r="V185" s="53">
        <f>IF(ISERROR(VLOOKUP($S$185,'TAR FIN'!$A$1:$O$113,15,0)),0,VLOOKUP($S$185,'TAR FIN'!$A$1:$O$113,15,0))</f>
        <v>0</v>
      </c>
      <c r="W185" s="53">
        <f>IF(ISERROR(VLOOKUP($T$185,'TAR FIN'!$A$1:$O$113,15,0)),0,VLOOKUP($T$185,'TAR FIN'!$A$1:$O$113,15,0))*(1-0.06)</f>
        <v>884.00419999999986</v>
      </c>
      <c r="X185" s="53">
        <f>IF(ISERROR(VLOOKUP($U$185,'TAR FIN'!$A$1:$O$113,15,0)),0,VLOOKUP($U$185,'TAR FIN'!$A$1:$O$113,15,0))*(1-0.06)</f>
        <v>416.28839999999997</v>
      </c>
      <c r="Y185" s="53"/>
      <c r="Z185" s="53">
        <f ca="1">('TUSD BE'!$AM$20+'TUSD BF'!$AM$20+'TUSD CVA'!$AM$20)*1*(1-0.03)</f>
        <v>1084.2937021280925</v>
      </c>
      <c r="AA185" s="53">
        <f>('TE BE'!$AB$9+'TE BF'!$AB$9+'TE CVA'!$AB$9)*1*(1-0.03)</f>
        <v>471.84300153620904</v>
      </c>
      <c r="AB185" s="53">
        <f>(SUBSIDIO!$J$185*SUBSIDIO!$V$185)*(0.06)/(1-0.06)</f>
        <v>0</v>
      </c>
      <c r="AC185" s="53">
        <f>((SUBSIDIO!$L$185*SUBSIDIO!$W$185)+(SUBSIDIO!$N$185*SUBSIDIO!$X$185))*(0.06)/(1-0.06)</f>
        <v>3570.1331609999997</v>
      </c>
      <c r="AD185" s="53">
        <f>(SUBSIDIO!$J$185*SUBSIDIO!$Y$185)*(0.03)/(1-0.03)</f>
        <v>0</v>
      </c>
      <c r="AE185" s="53">
        <f ca="1">((SUBSIDIO!$L$185*SUBSIDIO!$Z$185)+(SUBSIDIO!$N$185*SUBSIDIO!$AA$185))*(0.03)/(1-0.03)</f>
        <v>2070.2233084985542</v>
      </c>
      <c r="AF185" s="4" t="s">
        <v>852</v>
      </c>
    </row>
    <row r="186" spans="1:32" ht="11.25" customHeight="1" x14ac:dyDescent="0.3">
      <c r="A186" s="4" t="s">
        <v>21</v>
      </c>
      <c r="B186" s="4" t="s">
        <v>39</v>
      </c>
      <c r="C186" s="4" t="s">
        <v>41</v>
      </c>
      <c r="D186" s="4" t="s">
        <v>50</v>
      </c>
      <c r="E186" s="4" t="s">
        <v>51</v>
      </c>
      <c r="F186" s="4" t="s">
        <v>25</v>
      </c>
      <c r="G186" s="4" t="s">
        <v>25</v>
      </c>
      <c r="H186" s="4" t="s">
        <v>34</v>
      </c>
      <c r="I186" s="5">
        <v>44621</v>
      </c>
      <c r="J186" s="6">
        <v>0</v>
      </c>
      <c r="K186" s="53">
        <v>0</v>
      </c>
      <c r="L186" s="6">
        <v>38.561</v>
      </c>
      <c r="M186" s="53">
        <v>38.561</v>
      </c>
      <c r="N186" s="6">
        <v>38.561</v>
      </c>
      <c r="O186" s="53">
        <v>38.561</v>
      </c>
      <c r="P186" s="6">
        <v>0</v>
      </c>
      <c r="Q186" s="4" t="s">
        <v>26</v>
      </c>
      <c r="R186" s="4">
        <v>0</v>
      </c>
      <c r="S186" s="4">
        <v>0</v>
      </c>
      <c r="T186" s="4">
        <v>8</v>
      </c>
      <c r="U186" s="4">
        <v>38</v>
      </c>
      <c r="V186" s="53">
        <f>IF(ISERROR(VLOOKUP($S$186,'TAR FIN'!$A$1:$O$113,15,0)),0,VLOOKUP($S$186,'TAR FIN'!$A$1:$O$113,15,0))</f>
        <v>0</v>
      </c>
      <c r="W186" s="53">
        <f>IF(ISERROR(VLOOKUP($T$186,'TAR FIN'!$A$1:$O$113,15,0)),0,VLOOKUP($T$186,'TAR FIN'!$A$1:$O$113,15,0))*(1-0.06)</f>
        <v>884.00419999999986</v>
      </c>
      <c r="X186" s="53">
        <f>IF(ISERROR(VLOOKUP($U$186,'TAR FIN'!$A$1:$O$113,15,0)),0,VLOOKUP($U$186,'TAR FIN'!$A$1:$O$113,15,0))*(1-0.06)</f>
        <v>416.28839999999997</v>
      </c>
      <c r="Y186" s="53"/>
      <c r="Z186" s="53">
        <f ca="1">('TUSD BE'!$AM$20+'TUSD BF'!$AM$20+'TUSD CVA'!$AM$20)*1*(1-0.03)</f>
        <v>1084.2937021280925</v>
      </c>
      <c r="AA186" s="53">
        <f>('TE BE'!$AB$9+'TE BF'!$AB$9+'TE CVA'!$AB$9)*1*(1-0.03)</f>
        <v>471.84300153620904</v>
      </c>
      <c r="AB186" s="53">
        <f>(SUBSIDIO!$J$186*SUBSIDIO!$V$186)*(0.06)/(1-0.06)</f>
        <v>0</v>
      </c>
      <c r="AC186" s="53">
        <f>((SUBSIDIO!$L$186*SUBSIDIO!$W$186)+(SUBSIDIO!$N$186*SUBSIDIO!$X$186))*(0.06)/(1-0.06)</f>
        <v>3200.4627413999997</v>
      </c>
      <c r="AD186" s="53">
        <f>(SUBSIDIO!$J$186*SUBSIDIO!$Y$186)*(0.03)/(1-0.03)</f>
        <v>0</v>
      </c>
      <c r="AE186" s="53">
        <f ca="1">((SUBSIDIO!$L$186*SUBSIDIO!$Z$186)+(SUBSIDIO!$N$186*SUBSIDIO!$AA$186))*(0.03)/(1-0.03)</f>
        <v>1855.8614669071897</v>
      </c>
      <c r="AF186" s="4" t="s">
        <v>852</v>
      </c>
    </row>
    <row r="187" spans="1:32" ht="11.25" customHeight="1" x14ac:dyDescent="0.3">
      <c r="A187" s="4" t="s">
        <v>21</v>
      </c>
      <c r="B187" s="4" t="s">
        <v>39</v>
      </c>
      <c r="C187" s="4" t="s">
        <v>41</v>
      </c>
      <c r="D187" s="4" t="s">
        <v>50</v>
      </c>
      <c r="E187" s="4" t="s">
        <v>51</v>
      </c>
      <c r="F187" s="4" t="s">
        <v>25</v>
      </c>
      <c r="G187" s="4" t="s">
        <v>25</v>
      </c>
      <c r="H187" s="4" t="s">
        <v>34</v>
      </c>
      <c r="I187" s="5">
        <v>44652</v>
      </c>
      <c r="J187" s="6">
        <v>0</v>
      </c>
      <c r="K187" s="53">
        <v>0</v>
      </c>
      <c r="L187" s="6">
        <v>44.167000000000002</v>
      </c>
      <c r="M187" s="53">
        <v>44.167000000000002</v>
      </c>
      <c r="N187" s="6">
        <v>44.167000000000002</v>
      </c>
      <c r="O187" s="53">
        <v>44.167000000000002</v>
      </c>
      <c r="P187" s="6">
        <v>0</v>
      </c>
      <c r="Q187" s="4" t="s">
        <v>26</v>
      </c>
      <c r="R187" s="4">
        <v>0</v>
      </c>
      <c r="S187" s="4">
        <v>0</v>
      </c>
      <c r="T187" s="4">
        <v>8</v>
      </c>
      <c r="U187" s="4">
        <v>38</v>
      </c>
      <c r="V187" s="53">
        <f>IF(ISERROR(VLOOKUP($S$187,'TAR FIN'!$A$1:$O$113,15,0)),0,VLOOKUP($S$187,'TAR FIN'!$A$1:$O$113,15,0))</f>
        <v>0</v>
      </c>
      <c r="W187" s="53">
        <f>IF(ISERROR(VLOOKUP($T$187,'TAR FIN'!$A$1:$O$113,15,0)),0,VLOOKUP($T$187,'TAR FIN'!$A$1:$O$113,15,0))*(1-0.06)</f>
        <v>884.00419999999986</v>
      </c>
      <c r="X187" s="53">
        <f>IF(ISERROR(VLOOKUP($U$187,'TAR FIN'!$A$1:$O$113,15,0)),0,VLOOKUP($U$187,'TAR FIN'!$A$1:$O$113,15,0))*(1-0.06)</f>
        <v>416.28839999999997</v>
      </c>
      <c r="Y187" s="53"/>
      <c r="Z187" s="53">
        <f ca="1">('TUSD BE'!$AM$20+'TUSD BF'!$AM$20+'TUSD CVA'!$AM$20)*1*(1-0.03)</f>
        <v>1084.2937021280925</v>
      </c>
      <c r="AA187" s="53">
        <f>('TE BE'!$AB$9+'TE BF'!$AB$9+'TE CVA'!$AB$9)*1*(1-0.03)</f>
        <v>471.84300153620904</v>
      </c>
      <c r="AB187" s="53">
        <f>(SUBSIDIO!$J$187*SUBSIDIO!$V$187)*(0.06)/(1-0.06)</f>
        <v>0</v>
      </c>
      <c r="AC187" s="53">
        <f>((SUBSIDIO!$L$187*SUBSIDIO!$W$187)+(SUBSIDIO!$N$187*SUBSIDIO!$X$187))*(0.06)/(1-0.06)</f>
        <v>3665.7461657999993</v>
      </c>
      <c r="AD187" s="53">
        <f>(SUBSIDIO!$J$187*SUBSIDIO!$Y$187)*(0.03)/(1-0.03)</f>
        <v>0</v>
      </c>
      <c r="AE187" s="53">
        <f ca="1">((SUBSIDIO!$L$187*SUBSIDIO!$Z$187)+(SUBSIDIO!$N$187*SUBSIDIO!$AA$187))*(0.03)/(1-0.03)</f>
        <v>2125.6666945590059</v>
      </c>
      <c r="AF187" s="4" t="s">
        <v>852</v>
      </c>
    </row>
    <row r="188" spans="1:32" ht="11.25" customHeight="1" x14ac:dyDescent="0.3">
      <c r="A188" s="4" t="s">
        <v>21</v>
      </c>
      <c r="B188" s="4" t="s">
        <v>39</v>
      </c>
      <c r="C188" s="4" t="s">
        <v>41</v>
      </c>
      <c r="D188" s="4" t="s">
        <v>50</v>
      </c>
      <c r="E188" s="4" t="s">
        <v>51</v>
      </c>
      <c r="F188" s="4" t="s">
        <v>25</v>
      </c>
      <c r="G188" s="4" t="s">
        <v>25</v>
      </c>
      <c r="H188" s="4" t="s">
        <v>34</v>
      </c>
      <c r="I188" s="5">
        <v>44682</v>
      </c>
      <c r="J188" s="6">
        <v>0</v>
      </c>
      <c r="K188" s="53">
        <v>0</v>
      </c>
      <c r="L188" s="6">
        <v>38.438000000000002</v>
      </c>
      <c r="M188" s="53">
        <v>38.438000000000002</v>
      </c>
      <c r="N188" s="6">
        <v>38.438000000000002</v>
      </c>
      <c r="O188" s="53">
        <v>38.438000000000002</v>
      </c>
      <c r="P188" s="6">
        <v>0</v>
      </c>
      <c r="Q188" s="4" t="s">
        <v>26</v>
      </c>
      <c r="R188" s="4">
        <v>0</v>
      </c>
      <c r="S188" s="4">
        <v>0</v>
      </c>
      <c r="T188" s="4">
        <v>8</v>
      </c>
      <c r="U188" s="4">
        <v>38</v>
      </c>
      <c r="V188" s="53">
        <f>IF(ISERROR(VLOOKUP($S$188,'TAR FIN'!$A$1:$O$113,15,0)),0,VLOOKUP($S$188,'TAR FIN'!$A$1:$O$113,15,0))</f>
        <v>0</v>
      </c>
      <c r="W188" s="53">
        <f>IF(ISERROR(VLOOKUP($T$188,'TAR FIN'!$A$1:$O$113,15,0)),0,VLOOKUP($T$188,'TAR FIN'!$A$1:$O$113,15,0))*(1-0.06)</f>
        <v>884.00419999999986</v>
      </c>
      <c r="X188" s="53">
        <f>IF(ISERROR(VLOOKUP($U$188,'TAR FIN'!$A$1:$O$113,15,0)),0,VLOOKUP($U$188,'TAR FIN'!$A$1:$O$113,15,0))*(1-0.06)</f>
        <v>416.28839999999997</v>
      </c>
      <c r="Y188" s="53"/>
      <c r="Z188" s="53">
        <f ca="1">('TUSD BE'!$AM$20+'TUSD BF'!$AM$20+'TUSD CVA'!$AM$20)*1*(1-0.03)</f>
        <v>1084.2937021280925</v>
      </c>
      <c r="AA188" s="53">
        <f>('TE BE'!$AB$9+'TE BF'!$AB$9+'TE CVA'!$AB$9)*1*(1-0.03)</f>
        <v>471.84300153620904</v>
      </c>
      <c r="AB188" s="53">
        <f>(SUBSIDIO!$J$188*SUBSIDIO!$V$188)*(0.06)/(1-0.06)</f>
        <v>0</v>
      </c>
      <c r="AC188" s="53">
        <f>((SUBSIDIO!$L$188*SUBSIDIO!$W$188)+(SUBSIDIO!$N$188*SUBSIDIO!$X$188))*(0.06)/(1-0.06)</f>
        <v>3190.2540611999998</v>
      </c>
      <c r="AD188" s="53">
        <f>(SUBSIDIO!$J$188*SUBSIDIO!$Y$188)*(0.03)/(1-0.03)</f>
        <v>0</v>
      </c>
      <c r="AE188" s="53">
        <f ca="1">((SUBSIDIO!$L$188*SUBSIDIO!$Z$188)+(SUBSIDIO!$N$188*SUBSIDIO!$AA$188))*(0.03)/(1-0.03)</f>
        <v>1849.9417303746936</v>
      </c>
      <c r="AF188" s="4" t="s">
        <v>852</v>
      </c>
    </row>
    <row r="189" spans="1:32" ht="11.25" customHeight="1" x14ac:dyDescent="0.3">
      <c r="A189" s="4" t="s">
        <v>21</v>
      </c>
      <c r="B189" s="4" t="s">
        <v>39</v>
      </c>
      <c r="C189" s="4" t="s">
        <v>41</v>
      </c>
      <c r="D189" s="4" t="s">
        <v>50</v>
      </c>
      <c r="E189" s="4" t="s">
        <v>51</v>
      </c>
      <c r="F189" s="4" t="s">
        <v>25</v>
      </c>
      <c r="G189" s="4" t="s">
        <v>25</v>
      </c>
      <c r="H189" s="4" t="s">
        <v>34</v>
      </c>
      <c r="I189" s="5">
        <v>44713</v>
      </c>
      <c r="J189" s="6">
        <v>0</v>
      </c>
      <c r="K189" s="53">
        <v>0</v>
      </c>
      <c r="L189" s="6">
        <v>42.649000000000001</v>
      </c>
      <c r="M189" s="53">
        <v>42.649000000000001</v>
      </c>
      <c r="N189" s="6">
        <v>42.649000000000001</v>
      </c>
      <c r="O189" s="53">
        <v>42.649000000000001</v>
      </c>
      <c r="P189" s="6">
        <v>0</v>
      </c>
      <c r="Q189" s="4" t="s">
        <v>26</v>
      </c>
      <c r="R189" s="4">
        <v>0</v>
      </c>
      <c r="S189" s="4">
        <v>0</v>
      </c>
      <c r="T189" s="4">
        <v>8</v>
      </c>
      <c r="U189" s="4">
        <v>38</v>
      </c>
      <c r="V189" s="53">
        <f>IF(ISERROR(VLOOKUP($S$189,'TAR FIN'!$A$1:$O$113,15,0)),0,VLOOKUP($S$189,'TAR FIN'!$A$1:$O$113,15,0))</f>
        <v>0</v>
      </c>
      <c r="W189" s="53">
        <f>IF(ISERROR(VLOOKUP($T$189,'TAR FIN'!$A$1:$O$113,15,0)),0,VLOOKUP($T$189,'TAR FIN'!$A$1:$O$113,15,0))*(1-0.06)</f>
        <v>884.00419999999986</v>
      </c>
      <c r="X189" s="53">
        <f>IF(ISERROR(VLOOKUP($U$189,'TAR FIN'!$A$1:$O$113,15,0)),0,VLOOKUP($U$189,'TAR FIN'!$A$1:$O$113,15,0))*(1-0.06)</f>
        <v>416.28839999999997</v>
      </c>
      <c r="Y189" s="53"/>
      <c r="Z189" s="53">
        <f ca="1">('TUSD BE'!$AM$20+'TUSD BF'!$AM$20+'TUSD CVA'!$AM$20)*1*(1-0.03)</f>
        <v>1084.2937021280925</v>
      </c>
      <c r="AA189" s="53">
        <f>('TE BE'!$AB$9+'TE BF'!$AB$9+'TE CVA'!$AB$9)*1*(1-0.03)</f>
        <v>471.84300153620904</v>
      </c>
      <c r="AB189" s="53">
        <f>(SUBSIDIO!$J$189*SUBSIDIO!$V$189)*(0.06)/(1-0.06)</f>
        <v>0</v>
      </c>
      <c r="AC189" s="53">
        <f>((SUBSIDIO!$L$189*SUBSIDIO!$W$189)+(SUBSIDIO!$N$189*SUBSIDIO!$X$189))*(0.06)/(1-0.06)</f>
        <v>3539.7561125999991</v>
      </c>
      <c r="AD189" s="53">
        <f>(SUBSIDIO!$J$189*SUBSIDIO!$Y$189)*(0.03)/(1-0.03)</f>
        <v>0</v>
      </c>
      <c r="AE189" s="53">
        <f ca="1">((SUBSIDIO!$L$189*SUBSIDIO!$Z$189)+(SUBSIDIO!$N$189*SUBSIDIO!$AA$189))*(0.03)/(1-0.03)</f>
        <v>2052.6084827189316</v>
      </c>
      <c r="AF189" s="4" t="s">
        <v>852</v>
      </c>
    </row>
    <row r="190" spans="1:32" ht="11.25" customHeight="1" x14ac:dyDescent="0.3">
      <c r="A190" s="4" t="s">
        <v>21</v>
      </c>
      <c r="B190" s="4" t="s">
        <v>39</v>
      </c>
      <c r="C190" s="4" t="s">
        <v>41</v>
      </c>
      <c r="D190" s="4" t="s">
        <v>50</v>
      </c>
      <c r="E190" s="4" t="s">
        <v>51</v>
      </c>
      <c r="F190" s="4" t="s">
        <v>25</v>
      </c>
      <c r="G190" s="4" t="s">
        <v>25</v>
      </c>
      <c r="H190" s="4" t="s">
        <v>34</v>
      </c>
      <c r="I190" s="5">
        <v>44743</v>
      </c>
      <c r="J190" s="6">
        <v>0</v>
      </c>
      <c r="K190" s="53">
        <v>0</v>
      </c>
      <c r="L190" s="6">
        <v>38.14</v>
      </c>
      <c r="M190" s="53">
        <v>38.14</v>
      </c>
      <c r="N190" s="6">
        <v>38.14</v>
      </c>
      <c r="O190" s="53">
        <v>38.14</v>
      </c>
      <c r="P190" s="6">
        <v>0</v>
      </c>
      <c r="Q190" s="4" t="s">
        <v>26</v>
      </c>
      <c r="R190" s="4">
        <v>0</v>
      </c>
      <c r="S190" s="4">
        <v>0</v>
      </c>
      <c r="T190" s="4">
        <v>8</v>
      </c>
      <c r="U190" s="4">
        <v>38</v>
      </c>
      <c r="V190" s="53">
        <f>IF(ISERROR(VLOOKUP($S$190,'TAR FIN'!$A$1:$O$113,15,0)),0,VLOOKUP($S$190,'TAR FIN'!$A$1:$O$113,15,0))</f>
        <v>0</v>
      </c>
      <c r="W190" s="53">
        <f>IF(ISERROR(VLOOKUP($T$190,'TAR FIN'!$A$1:$O$113,15,0)),0,VLOOKUP($T$190,'TAR FIN'!$A$1:$O$113,15,0))*(1-0.06)</f>
        <v>884.00419999999986</v>
      </c>
      <c r="X190" s="53">
        <f>IF(ISERROR(VLOOKUP($U$190,'TAR FIN'!$A$1:$O$113,15,0)),0,VLOOKUP($U$190,'TAR FIN'!$A$1:$O$113,15,0))*(1-0.06)</f>
        <v>416.28839999999997</v>
      </c>
      <c r="Y190" s="53"/>
      <c r="Z190" s="53">
        <f ca="1">('TUSD BE'!$AM$20+'TUSD BF'!$AM$20+'TUSD CVA'!$AM$20)*1*(1-0.03)</f>
        <v>1084.2937021280925</v>
      </c>
      <c r="AA190" s="53">
        <f>('TE BE'!$AB$9+'TE BF'!$AB$9+'TE CVA'!$AB$9)*1*(1-0.03)</f>
        <v>471.84300153620904</v>
      </c>
      <c r="AB190" s="53">
        <f>(SUBSIDIO!$J$190*SUBSIDIO!$V$190)*(0.06)/(1-0.06)</f>
        <v>0</v>
      </c>
      <c r="AC190" s="53">
        <f>((SUBSIDIO!$L$190*SUBSIDIO!$W$190)+(SUBSIDIO!$N$190*SUBSIDIO!$X$190))*(0.06)/(1-0.06)</f>
        <v>3165.5208359999997</v>
      </c>
      <c r="AD190" s="53">
        <f>(SUBSIDIO!$J$190*SUBSIDIO!$Y$190)*(0.03)/(1-0.03)</f>
        <v>0</v>
      </c>
      <c r="AE190" s="53">
        <f ca="1">((SUBSIDIO!$L$190*SUBSIDIO!$Z$190)+(SUBSIDIO!$N$190*SUBSIDIO!$AA$190))*(0.03)/(1-0.03)</f>
        <v>1835.5996044666945</v>
      </c>
      <c r="AF190" s="4" t="s">
        <v>852</v>
      </c>
    </row>
    <row r="191" spans="1:32" ht="11.25" customHeight="1" x14ac:dyDescent="0.3">
      <c r="A191" s="4" t="s">
        <v>21</v>
      </c>
      <c r="B191" s="4" t="s">
        <v>39</v>
      </c>
      <c r="C191" s="4" t="s">
        <v>41</v>
      </c>
      <c r="D191" s="4" t="s">
        <v>50</v>
      </c>
      <c r="E191" s="4" t="s">
        <v>51</v>
      </c>
      <c r="F191" s="4" t="s">
        <v>25</v>
      </c>
      <c r="G191" s="4" t="s">
        <v>25</v>
      </c>
      <c r="H191" s="4" t="s">
        <v>34</v>
      </c>
      <c r="I191" s="5">
        <v>44774</v>
      </c>
      <c r="J191" s="6">
        <v>0</v>
      </c>
      <c r="K191" s="53">
        <v>0</v>
      </c>
      <c r="L191" s="6">
        <v>42.067</v>
      </c>
      <c r="M191" s="53">
        <v>42.067</v>
      </c>
      <c r="N191" s="6">
        <v>42.067</v>
      </c>
      <c r="O191" s="53">
        <v>42.067</v>
      </c>
      <c r="P191" s="6">
        <v>0</v>
      </c>
      <c r="Q191" s="4" t="s">
        <v>26</v>
      </c>
      <c r="R191" s="4">
        <v>0</v>
      </c>
      <c r="S191" s="4">
        <v>0</v>
      </c>
      <c r="T191" s="4">
        <v>8</v>
      </c>
      <c r="U191" s="4">
        <v>38</v>
      </c>
      <c r="V191" s="53">
        <f>IF(ISERROR(VLOOKUP($S$191,'TAR FIN'!$A$1:$O$113,15,0)),0,VLOOKUP($S$191,'TAR FIN'!$A$1:$O$113,15,0))</f>
        <v>0</v>
      </c>
      <c r="W191" s="53">
        <f>IF(ISERROR(VLOOKUP($T$191,'TAR FIN'!$A$1:$O$113,15,0)),0,VLOOKUP($T$191,'TAR FIN'!$A$1:$O$113,15,0))*(1-0.06)</f>
        <v>884.00419999999986</v>
      </c>
      <c r="X191" s="53">
        <f>IF(ISERROR(VLOOKUP($U$191,'TAR FIN'!$A$1:$O$113,15,0)),0,VLOOKUP($U$191,'TAR FIN'!$A$1:$O$113,15,0))*(1-0.06)</f>
        <v>416.28839999999997</v>
      </c>
      <c r="Y191" s="53"/>
      <c r="Z191" s="53">
        <f ca="1">('TUSD BE'!$AM$20+'TUSD BF'!$AM$20+'TUSD CVA'!$AM$20)*1*(1-0.03)</f>
        <v>1084.2937021280925</v>
      </c>
      <c r="AA191" s="53">
        <f>('TE BE'!$AB$9+'TE BF'!$AB$9+'TE CVA'!$AB$9)*1*(1-0.03)</f>
        <v>471.84300153620904</v>
      </c>
      <c r="AB191" s="53">
        <f>(SUBSIDIO!$J$191*SUBSIDIO!$V$191)*(0.06)/(1-0.06)</f>
        <v>0</v>
      </c>
      <c r="AC191" s="53">
        <f>((SUBSIDIO!$L$191*SUBSIDIO!$W$191)+(SUBSIDIO!$N$191*SUBSIDIO!$X$191))*(0.06)/(1-0.06)</f>
        <v>3491.4516257999999</v>
      </c>
      <c r="AD191" s="53">
        <f>(SUBSIDIO!$J$191*SUBSIDIO!$Y$191)*(0.03)/(1-0.03)</f>
        <v>0</v>
      </c>
      <c r="AE191" s="53">
        <f ca="1">((SUBSIDIO!$L$191*SUBSIDIO!$Z$191)+(SUBSIDIO!$N$191*SUBSIDIO!$AA$191))*(0.03)/(1-0.03)</f>
        <v>2024.5980220529746</v>
      </c>
      <c r="AF191" s="4" t="s">
        <v>852</v>
      </c>
    </row>
    <row r="192" spans="1:32" ht="11.25" customHeight="1" x14ac:dyDescent="0.3">
      <c r="A192" s="4" t="s">
        <v>21</v>
      </c>
      <c r="B192" s="4" t="s">
        <v>39</v>
      </c>
      <c r="C192" s="4" t="s">
        <v>41</v>
      </c>
      <c r="D192" s="4" t="s">
        <v>50</v>
      </c>
      <c r="E192" s="4" t="s">
        <v>51</v>
      </c>
      <c r="F192" s="4" t="s">
        <v>25</v>
      </c>
      <c r="G192" s="4" t="s">
        <v>25</v>
      </c>
      <c r="H192" s="4" t="s">
        <v>34</v>
      </c>
      <c r="I192" s="5">
        <v>44805</v>
      </c>
      <c r="J192" s="6">
        <v>0</v>
      </c>
      <c r="K192" s="53">
        <v>0</v>
      </c>
      <c r="L192" s="6">
        <v>40.218000000000004</v>
      </c>
      <c r="M192" s="53">
        <v>40.218000000000004</v>
      </c>
      <c r="N192" s="6">
        <v>40.218000000000004</v>
      </c>
      <c r="O192" s="53">
        <v>40.218000000000004</v>
      </c>
      <c r="P192" s="6">
        <v>0</v>
      </c>
      <c r="Q192" s="4" t="s">
        <v>26</v>
      </c>
      <c r="R192" s="4">
        <v>0</v>
      </c>
      <c r="S192" s="4">
        <v>0</v>
      </c>
      <c r="T192" s="4">
        <v>8</v>
      </c>
      <c r="U192" s="4">
        <v>38</v>
      </c>
      <c r="V192" s="53">
        <f>IF(ISERROR(VLOOKUP($S$192,'TAR FIN'!$A$1:$O$113,15,0)),0,VLOOKUP($S$192,'TAR FIN'!$A$1:$O$113,15,0))</f>
        <v>0</v>
      </c>
      <c r="W192" s="53">
        <f>IF(ISERROR(VLOOKUP($T$192,'TAR FIN'!$A$1:$O$113,15,0)),0,VLOOKUP($T$192,'TAR FIN'!$A$1:$O$113,15,0))*(1-0.06)</f>
        <v>884.00419999999986</v>
      </c>
      <c r="X192" s="53">
        <f>IF(ISERROR(VLOOKUP($U$192,'TAR FIN'!$A$1:$O$113,15,0)),0,VLOOKUP($U$192,'TAR FIN'!$A$1:$O$113,15,0))*(1-0.06)</f>
        <v>416.28839999999997</v>
      </c>
      <c r="Y192" s="53"/>
      <c r="Z192" s="53">
        <f ca="1">('TUSD BE'!$AM$20+'TUSD BF'!$AM$20+'TUSD CVA'!$AM$20)*1*(1-0.03)</f>
        <v>1084.2937021280925</v>
      </c>
      <c r="AA192" s="53">
        <f>('TE BE'!$AB$9+'TE BF'!$AB$9+'TE CVA'!$AB$9)*1*(1-0.03)</f>
        <v>471.84300153620904</v>
      </c>
      <c r="AB192" s="53">
        <f>(SUBSIDIO!$J$192*SUBSIDIO!$V$192)*(0.06)/(1-0.06)</f>
        <v>0</v>
      </c>
      <c r="AC192" s="53">
        <f>((SUBSIDIO!$L$192*SUBSIDIO!$W$192)+(SUBSIDIO!$N$192*SUBSIDIO!$X$192))*(0.06)/(1-0.06)</f>
        <v>3337.9894331999999</v>
      </c>
      <c r="AD192" s="53">
        <f>(SUBSIDIO!$J$192*SUBSIDIO!$Y$192)*(0.03)/(1-0.03)</f>
        <v>0</v>
      </c>
      <c r="AE192" s="53">
        <f ca="1">((SUBSIDIO!$L$192*SUBSIDIO!$Z$192)+(SUBSIDIO!$N$192*SUBSIDIO!$AA$192))*(0.03)/(1-0.03)</f>
        <v>1935.6094623083779</v>
      </c>
      <c r="AF192" s="4" t="s">
        <v>852</v>
      </c>
    </row>
    <row r="193" spans="1:32" ht="11.25" customHeight="1" x14ac:dyDescent="0.3">
      <c r="A193" s="4" t="s">
        <v>53</v>
      </c>
      <c r="B193" s="4" t="s">
        <v>39</v>
      </c>
      <c r="C193" s="4" t="s">
        <v>41</v>
      </c>
      <c r="D193" s="4" t="s">
        <v>50</v>
      </c>
      <c r="E193" s="4" t="s">
        <v>51</v>
      </c>
      <c r="F193" s="4" t="s">
        <v>25</v>
      </c>
      <c r="G193" s="4" t="s">
        <v>25</v>
      </c>
      <c r="H193" s="4" t="s">
        <v>34</v>
      </c>
      <c r="I193" s="5">
        <v>44835</v>
      </c>
      <c r="J193" s="6">
        <v>0</v>
      </c>
      <c r="K193" s="53">
        <v>0</v>
      </c>
      <c r="L193" s="6">
        <v>40.218000000000004</v>
      </c>
      <c r="M193" s="53">
        <v>40.218000000000004</v>
      </c>
      <c r="N193" s="6">
        <v>40.218000000000004</v>
      </c>
      <c r="O193" s="53">
        <v>40.218000000000004</v>
      </c>
      <c r="P193" s="6">
        <v>0</v>
      </c>
      <c r="Q193" s="4" t="s">
        <v>26</v>
      </c>
      <c r="R193" s="4">
        <v>0</v>
      </c>
      <c r="S193" s="4">
        <v>0</v>
      </c>
      <c r="T193" s="4">
        <v>8</v>
      </c>
      <c r="U193" s="4">
        <v>38</v>
      </c>
      <c r="V193" s="53">
        <f>IF(ISERROR(VLOOKUP($S$193,'TAR FIN'!$A$1:$O$113,15,0)),0,VLOOKUP($S$193,'TAR FIN'!$A$1:$O$113,15,0))</f>
        <v>0</v>
      </c>
      <c r="W193" s="53">
        <f>IF(ISERROR(VLOOKUP($T$193,'TAR FIN'!$A$1:$O$113,15,0)),0,VLOOKUP($T$193,'TAR FIN'!$A$1:$O$113,15,0))*(1-0.06)</f>
        <v>884.00419999999986</v>
      </c>
      <c r="X193" s="53">
        <f>IF(ISERROR(VLOOKUP($U$193,'TAR FIN'!$A$1:$O$113,15,0)),0,VLOOKUP($U$193,'TAR FIN'!$A$1:$O$113,15,0))*(1-0.06)</f>
        <v>416.28839999999997</v>
      </c>
      <c r="Y193" s="53"/>
      <c r="Z193" s="53">
        <f ca="1">('TUSD BE'!$AM$20+'TUSD BF'!$AM$20+'TUSD CVA'!$AM$20)*1*(1-0.03)</f>
        <v>1084.2937021280925</v>
      </c>
      <c r="AA193" s="53">
        <f>('TE BE'!$AB$9+'TE BF'!$AB$9+'TE CVA'!$AB$9)*1*(1-0.03)</f>
        <v>471.84300153620904</v>
      </c>
      <c r="AB193" s="53">
        <f>(SUBSIDIO!$J$193*SUBSIDIO!$V$193)*(0.06)/(1-0.06)</f>
        <v>0</v>
      </c>
      <c r="AC193" s="53">
        <f>((SUBSIDIO!$L$193*SUBSIDIO!$W$193)+(SUBSIDIO!$N$193*SUBSIDIO!$X$193))*(0.06)/(1-0.06)</f>
        <v>3337.9894331999999</v>
      </c>
      <c r="AD193" s="53">
        <f>(SUBSIDIO!$J$193*SUBSIDIO!$Y$193)*(0.03)/(1-0.03)</f>
        <v>0</v>
      </c>
      <c r="AE193" s="53">
        <f ca="1">((SUBSIDIO!$L$193*SUBSIDIO!$Z$193)+(SUBSIDIO!$N$193*SUBSIDIO!$AA$193))*(0.03)/(1-0.03)</f>
        <v>1935.6094623083779</v>
      </c>
      <c r="AF193" s="4" t="s">
        <v>852</v>
      </c>
    </row>
    <row r="194" spans="1:32" ht="11.25" customHeight="1" x14ac:dyDescent="0.3">
      <c r="A194" s="4" t="s">
        <v>21</v>
      </c>
      <c r="B194" s="4" t="s">
        <v>43</v>
      </c>
      <c r="C194" s="4" t="s">
        <v>41</v>
      </c>
      <c r="D194" s="4" t="s">
        <v>38</v>
      </c>
      <c r="E194" s="4" t="s">
        <v>25</v>
      </c>
      <c r="F194" s="4" t="s">
        <v>56</v>
      </c>
      <c r="G194" s="4" t="s">
        <v>25</v>
      </c>
      <c r="H194" s="4" t="s">
        <v>35</v>
      </c>
      <c r="I194" s="5">
        <v>44531</v>
      </c>
      <c r="J194" s="6">
        <v>0</v>
      </c>
      <c r="K194" s="6">
        <v>0</v>
      </c>
      <c r="L194" s="6">
        <v>27.018000000000001</v>
      </c>
      <c r="M194" s="6">
        <v>27.018000000000001</v>
      </c>
      <c r="N194" s="6">
        <v>0</v>
      </c>
      <c r="O194" s="6">
        <v>0</v>
      </c>
      <c r="P194" s="6">
        <v>0</v>
      </c>
      <c r="Q194" s="4" t="s">
        <v>55</v>
      </c>
      <c r="R194" s="4">
        <v>0</v>
      </c>
      <c r="S194" s="4">
        <v>0</v>
      </c>
      <c r="T194" s="4">
        <v>45</v>
      </c>
      <c r="U194" s="4">
        <v>0</v>
      </c>
      <c r="V194" s="6">
        <f>IF(ISERROR(VLOOKUP($S$194,'TAR FIN'!$A$1:$O$113,15,0)),0,VLOOKUP($S$194,'TAR FIN'!$A$1:$O$113,15,0))</f>
        <v>0</v>
      </c>
      <c r="W194" s="6">
        <f>IF(ISERROR(VLOOKUP($T$194,'TAR FIN'!$A$1:$O$113,15,0)),0,VLOOKUP($T$194,'TAR FIN'!$A$1:$O$113,15,0))</f>
        <v>105.73</v>
      </c>
      <c r="X194" s="6">
        <f>IF(ISERROR(VLOOKUP($U$194,'TAR FIN'!$A$1:$O$113,15,0)),0,VLOOKUP($U$194,'TAR FIN'!$A$1:$O$113,15,0))</f>
        <v>0</v>
      </c>
      <c r="Y194" s="6"/>
      <c r="Z194" s="6">
        <f ca="1">('TUSD BE'!$AM$30+'TUSD BF'!$AM$30+'TUSD CVA'!$AM$30)*1</f>
        <v>170.19945224700672</v>
      </c>
      <c r="AA194" s="6"/>
      <c r="AB194" s="6">
        <f t="shared" ref="AB194:AB257" si="10">(J194-K194)*V194</f>
        <v>0</v>
      </c>
      <c r="AC194" s="6">
        <f t="shared" ref="AC194:AC227" si="11">(L194-M194)*W194+(N194-O194)*X194</f>
        <v>0</v>
      </c>
      <c r="AD194" s="6">
        <f t="shared" ref="AD194:AD257" si="12">(J194-K194)*Y194</f>
        <v>0</v>
      </c>
      <c r="AE194" s="6">
        <f t="shared" ref="AE194:AE227" ca="1" si="13">(L194-M194)*Z194+(N194-O194)*AA194</f>
        <v>0</v>
      </c>
      <c r="AF194" s="4" t="s">
        <v>851</v>
      </c>
    </row>
    <row r="195" spans="1:32" ht="11.25" customHeight="1" x14ac:dyDescent="0.3">
      <c r="A195" s="4" t="s">
        <v>21</v>
      </c>
      <c r="B195" s="4" t="s">
        <v>43</v>
      </c>
      <c r="C195" s="4" t="s">
        <v>41</v>
      </c>
      <c r="D195" s="4" t="s">
        <v>38</v>
      </c>
      <c r="E195" s="4" t="s">
        <v>25</v>
      </c>
      <c r="F195" s="4" t="s">
        <v>56</v>
      </c>
      <c r="G195" s="4" t="s">
        <v>25</v>
      </c>
      <c r="H195" s="4" t="s">
        <v>35</v>
      </c>
      <c r="I195" s="5">
        <v>44562</v>
      </c>
      <c r="J195" s="6">
        <v>0</v>
      </c>
      <c r="K195" s="6">
        <v>0</v>
      </c>
      <c r="L195" s="6">
        <v>27.103999999999999</v>
      </c>
      <c r="M195" s="6">
        <v>27.103999999999999</v>
      </c>
      <c r="N195" s="6">
        <v>0</v>
      </c>
      <c r="O195" s="6">
        <v>0</v>
      </c>
      <c r="P195" s="6">
        <v>0</v>
      </c>
      <c r="Q195" s="4" t="s">
        <v>55</v>
      </c>
      <c r="R195" s="4">
        <v>0</v>
      </c>
      <c r="S195" s="4">
        <v>0</v>
      </c>
      <c r="T195" s="4">
        <v>45</v>
      </c>
      <c r="U195" s="4">
        <v>0</v>
      </c>
      <c r="V195" s="6">
        <f>IF(ISERROR(VLOOKUP($S$195,'TAR FIN'!$A$1:$O$113,15,0)),0,VLOOKUP($S$195,'TAR FIN'!$A$1:$O$113,15,0))</f>
        <v>0</v>
      </c>
      <c r="W195" s="6">
        <f>IF(ISERROR(VLOOKUP($T$195,'TAR FIN'!$A$1:$O$113,15,0)),0,VLOOKUP($T$195,'TAR FIN'!$A$1:$O$113,15,0))</f>
        <v>105.73</v>
      </c>
      <c r="X195" s="6">
        <f>IF(ISERROR(VLOOKUP($U$195,'TAR FIN'!$A$1:$O$113,15,0)),0,VLOOKUP($U$195,'TAR FIN'!$A$1:$O$113,15,0))</f>
        <v>0</v>
      </c>
      <c r="Y195" s="6"/>
      <c r="Z195" s="6">
        <f ca="1">('TUSD BE'!$AM$30+'TUSD BF'!$AM$30+'TUSD CVA'!$AM$30)*1</f>
        <v>170.19945224700672</v>
      </c>
      <c r="AA195" s="6"/>
      <c r="AB195" s="6">
        <f t="shared" si="10"/>
        <v>0</v>
      </c>
      <c r="AC195" s="6">
        <f t="shared" si="11"/>
        <v>0</v>
      </c>
      <c r="AD195" s="6">
        <f t="shared" si="12"/>
        <v>0</v>
      </c>
      <c r="AE195" s="6">
        <f t="shared" ca="1" si="13"/>
        <v>0</v>
      </c>
      <c r="AF195" s="4" t="s">
        <v>851</v>
      </c>
    </row>
    <row r="196" spans="1:32" ht="11.25" customHeight="1" x14ac:dyDescent="0.3">
      <c r="A196" s="4" t="s">
        <v>21</v>
      </c>
      <c r="B196" s="4" t="s">
        <v>43</v>
      </c>
      <c r="C196" s="4" t="s">
        <v>41</v>
      </c>
      <c r="D196" s="4" t="s">
        <v>38</v>
      </c>
      <c r="E196" s="4" t="s">
        <v>25</v>
      </c>
      <c r="F196" s="4" t="s">
        <v>56</v>
      </c>
      <c r="G196" s="4" t="s">
        <v>25</v>
      </c>
      <c r="H196" s="4" t="s">
        <v>35</v>
      </c>
      <c r="I196" s="5">
        <v>44593</v>
      </c>
      <c r="J196" s="6">
        <v>0</v>
      </c>
      <c r="K196" s="6">
        <v>0</v>
      </c>
      <c r="L196" s="6">
        <v>26.242000000000001</v>
      </c>
      <c r="M196" s="6">
        <v>26.242000000000001</v>
      </c>
      <c r="N196" s="6">
        <v>0</v>
      </c>
      <c r="O196" s="6">
        <v>0</v>
      </c>
      <c r="P196" s="6">
        <v>0</v>
      </c>
      <c r="Q196" s="4" t="s">
        <v>55</v>
      </c>
      <c r="R196" s="4">
        <v>0</v>
      </c>
      <c r="S196" s="4">
        <v>0</v>
      </c>
      <c r="T196" s="4">
        <v>45</v>
      </c>
      <c r="U196" s="4">
        <v>0</v>
      </c>
      <c r="V196" s="6">
        <f>IF(ISERROR(VLOOKUP($S$196,'TAR FIN'!$A$1:$O$113,15,0)),0,VLOOKUP($S$196,'TAR FIN'!$A$1:$O$113,15,0))</f>
        <v>0</v>
      </c>
      <c r="W196" s="6">
        <f>IF(ISERROR(VLOOKUP($T$196,'TAR FIN'!$A$1:$O$113,15,0)),0,VLOOKUP($T$196,'TAR FIN'!$A$1:$O$113,15,0))</f>
        <v>105.73</v>
      </c>
      <c r="X196" s="6">
        <f>IF(ISERROR(VLOOKUP($U$196,'TAR FIN'!$A$1:$O$113,15,0)),0,VLOOKUP($U$196,'TAR FIN'!$A$1:$O$113,15,0))</f>
        <v>0</v>
      </c>
      <c r="Y196" s="6"/>
      <c r="Z196" s="6">
        <f ca="1">('TUSD BE'!$AM$30+'TUSD BF'!$AM$30+'TUSD CVA'!$AM$30)*1</f>
        <v>170.19945224700672</v>
      </c>
      <c r="AA196" s="6"/>
      <c r="AB196" s="6">
        <f t="shared" si="10"/>
        <v>0</v>
      </c>
      <c r="AC196" s="6">
        <f t="shared" si="11"/>
        <v>0</v>
      </c>
      <c r="AD196" s="6">
        <f t="shared" si="12"/>
        <v>0</v>
      </c>
      <c r="AE196" s="6">
        <f t="shared" ca="1" si="13"/>
        <v>0</v>
      </c>
      <c r="AF196" s="4" t="s">
        <v>851</v>
      </c>
    </row>
    <row r="197" spans="1:32" ht="11.25" customHeight="1" x14ac:dyDescent="0.3">
      <c r="A197" s="4" t="s">
        <v>21</v>
      </c>
      <c r="B197" s="4" t="s">
        <v>43</v>
      </c>
      <c r="C197" s="4" t="s">
        <v>41</v>
      </c>
      <c r="D197" s="4" t="s">
        <v>38</v>
      </c>
      <c r="E197" s="4" t="s">
        <v>25</v>
      </c>
      <c r="F197" s="4" t="s">
        <v>56</v>
      </c>
      <c r="G197" s="4" t="s">
        <v>25</v>
      </c>
      <c r="H197" s="4" t="s">
        <v>35</v>
      </c>
      <c r="I197" s="5">
        <v>44621</v>
      </c>
      <c r="J197" s="6">
        <v>0</v>
      </c>
      <c r="K197" s="6">
        <v>0</v>
      </c>
      <c r="L197" s="6">
        <v>24.724</v>
      </c>
      <c r="M197" s="6">
        <v>24.724</v>
      </c>
      <c r="N197" s="6">
        <v>0</v>
      </c>
      <c r="O197" s="6">
        <v>0</v>
      </c>
      <c r="P197" s="6">
        <v>0</v>
      </c>
      <c r="Q197" s="4" t="s">
        <v>55</v>
      </c>
      <c r="R197" s="4">
        <v>0</v>
      </c>
      <c r="S197" s="4">
        <v>0</v>
      </c>
      <c r="T197" s="4">
        <v>45</v>
      </c>
      <c r="U197" s="4">
        <v>0</v>
      </c>
      <c r="V197" s="6">
        <f>IF(ISERROR(VLOOKUP($S$197,'TAR FIN'!$A$1:$O$113,15,0)),0,VLOOKUP($S$197,'TAR FIN'!$A$1:$O$113,15,0))</f>
        <v>0</v>
      </c>
      <c r="W197" s="6">
        <f>IF(ISERROR(VLOOKUP($T$197,'TAR FIN'!$A$1:$O$113,15,0)),0,VLOOKUP($T$197,'TAR FIN'!$A$1:$O$113,15,0))</f>
        <v>105.73</v>
      </c>
      <c r="X197" s="6">
        <f>IF(ISERROR(VLOOKUP($U$197,'TAR FIN'!$A$1:$O$113,15,0)),0,VLOOKUP($U$197,'TAR FIN'!$A$1:$O$113,15,0))</f>
        <v>0</v>
      </c>
      <c r="Y197" s="6"/>
      <c r="Z197" s="6">
        <f ca="1">('TUSD BE'!$AM$30+'TUSD BF'!$AM$30+'TUSD CVA'!$AM$30)*1</f>
        <v>170.19945224700672</v>
      </c>
      <c r="AA197" s="6"/>
      <c r="AB197" s="6">
        <f t="shared" si="10"/>
        <v>0</v>
      </c>
      <c r="AC197" s="6">
        <f t="shared" si="11"/>
        <v>0</v>
      </c>
      <c r="AD197" s="6">
        <f t="shared" si="12"/>
        <v>0</v>
      </c>
      <c r="AE197" s="6">
        <f t="shared" ca="1" si="13"/>
        <v>0</v>
      </c>
      <c r="AF197" s="4" t="s">
        <v>851</v>
      </c>
    </row>
    <row r="198" spans="1:32" ht="11.25" customHeight="1" x14ac:dyDescent="0.3">
      <c r="A198" s="4" t="s">
        <v>21</v>
      </c>
      <c r="B198" s="4" t="s">
        <v>43</v>
      </c>
      <c r="C198" s="4" t="s">
        <v>41</v>
      </c>
      <c r="D198" s="4" t="s">
        <v>38</v>
      </c>
      <c r="E198" s="4" t="s">
        <v>25</v>
      </c>
      <c r="F198" s="4" t="s">
        <v>56</v>
      </c>
      <c r="G198" s="4" t="s">
        <v>25</v>
      </c>
      <c r="H198" s="4" t="s">
        <v>35</v>
      </c>
      <c r="I198" s="5">
        <v>44652</v>
      </c>
      <c r="J198" s="6">
        <v>0</v>
      </c>
      <c r="K198" s="6">
        <v>0</v>
      </c>
      <c r="L198" s="6">
        <v>28.736000000000001</v>
      </c>
      <c r="M198" s="6">
        <v>28.736000000000001</v>
      </c>
      <c r="N198" s="6">
        <v>0</v>
      </c>
      <c r="O198" s="6">
        <v>0</v>
      </c>
      <c r="P198" s="6">
        <v>0</v>
      </c>
      <c r="Q198" s="4" t="s">
        <v>55</v>
      </c>
      <c r="R198" s="4">
        <v>0</v>
      </c>
      <c r="S198" s="4">
        <v>0</v>
      </c>
      <c r="T198" s="4">
        <v>45</v>
      </c>
      <c r="U198" s="4">
        <v>0</v>
      </c>
      <c r="V198" s="6">
        <f>IF(ISERROR(VLOOKUP($S$198,'TAR FIN'!$A$1:$O$113,15,0)),0,VLOOKUP($S$198,'TAR FIN'!$A$1:$O$113,15,0))</f>
        <v>0</v>
      </c>
      <c r="W198" s="6">
        <f>IF(ISERROR(VLOOKUP($T$198,'TAR FIN'!$A$1:$O$113,15,0)),0,VLOOKUP($T$198,'TAR FIN'!$A$1:$O$113,15,0))</f>
        <v>105.73</v>
      </c>
      <c r="X198" s="6">
        <f>IF(ISERROR(VLOOKUP($U$198,'TAR FIN'!$A$1:$O$113,15,0)),0,VLOOKUP($U$198,'TAR FIN'!$A$1:$O$113,15,0))</f>
        <v>0</v>
      </c>
      <c r="Y198" s="6"/>
      <c r="Z198" s="6">
        <f ca="1">('TUSD BE'!$AM$30+'TUSD BF'!$AM$30+'TUSD CVA'!$AM$30)*1</f>
        <v>170.19945224700672</v>
      </c>
      <c r="AA198" s="6"/>
      <c r="AB198" s="6">
        <f t="shared" si="10"/>
        <v>0</v>
      </c>
      <c r="AC198" s="6">
        <f t="shared" si="11"/>
        <v>0</v>
      </c>
      <c r="AD198" s="6">
        <f t="shared" si="12"/>
        <v>0</v>
      </c>
      <c r="AE198" s="6">
        <f t="shared" ca="1" si="13"/>
        <v>0</v>
      </c>
      <c r="AF198" s="4" t="s">
        <v>851</v>
      </c>
    </row>
    <row r="199" spans="1:32" ht="11.25" customHeight="1" x14ac:dyDescent="0.3">
      <c r="A199" s="4" t="s">
        <v>21</v>
      </c>
      <c r="B199" s="4" t="s">
        <v>43</v>
      </c>
      <c r="C199" s="4" t="s">
        <v>41</v>
      </c>
      <c r="D199" s="4" t="s">
        <v>38</v>
      </c>
      <c r="E199" s="4" t="s">
        <v>25</v>
      </c>
      <c r="F199" s="4" t="s">
        <v>56</v>
      </c>
      <c r="G199" s="4" t="s">
        <v>25</v>
      </c>
      <c r="H199" s="4" t="s">
        <v>35</v>
      </c>
      <c r="I199" s="5">
        <v>44682</v>
      </c>
      <c r="J199" s="6">
        <v>0</v>
      </c>
      <c r="K199" s="6">
        <v>0</v>
      </c>
      <c r="L199" s="6">
        <v>25.777999999999999</v>
      </c>
      <c r="M199" s="6">
        <v>25.777999999999999</v>
      </c>
      <c r="N199" s="6">
        <v>0</v>
      </c>
      <c r="O199" s="6">
        <v>0</v>
      </c>
      <c r="P199" s="6">
        <v>0</v>
      </c>
      <c r="Q199" s="4" t="s">
        <v>55</v>
      </c>
      <c r="R199" s="4">
        <v>0</v>
      </c>
      <c r="S199" s="4">
        <v>0</v>
      </c>
      <c r="T199" s="4">
        <v>45</v>
      </c>
      <c r="U199" s="4">
        <v>0</v>
      </c>
      <c r="V199" s="6">
        <f>IF(ISERROR(VLOOKUP($S$199,'TAR FIN'!$A$1:$O$113,15,0)),0,VLOOKUP($S$199,'TAR FIN'!$A$1:$O$113,15,0))</f>
        <v>0</v>
      </c>
      <c r="W199" s="6">
        <f>IF(ISERROR(VLOOKUP($T$199,'TAR FIN'!$A$1:$O$113,15,0)),0,VLOOKUP($T$199,'TAR FIN'!$A$1:$O$113,15,0))</f>
        <v>105.73</v>
      </c>
      <c r="X199" s="6">
        <f>IF(ISERROR(VLOOKUP($U$199,'TAR FIN'!$A$1:$O$113,15,0)),0,VLOOKUP($U$199,'TAR FIN'!$A$1:$O$113,15,0))</f>
        <v>0</v>
      </c>
      <c r="Y199" s="6"/>
      <c r="Z199" s="6">
        <f ca="1">('TUSD BE'!$AM$30+'TUSD BF'!$AM$30+'TUSD CVA'!$AM$30)*1</f>
        <v>170.19945224700672</v>
      </c>
      <c r="AA199" s="6"/>
      <c r="AB199" s="6">
        <f t="shared" si="10"/>
        <v>0</v>
      </c>
      <c r="AC199" s="6">
        <f t="shared" si="11"/>
        <v>0</v>
      </c>
      <c r="AD199" s="6">
        <f t="shared" si="12"/>
        <v>0</v>
      </c>
      <c r="AE199" s="6">
        <f t="shared" ca="1" si="13"/>
        <v>0</v>
      </c>
      <c r="AF199" s="4" t="s">
        <v>851</v>
      </c>
    </row>
    <row r="200" spans="1:32" ht="11.25" customHeight="1" x14ac:dyDescent="0.3">
      <c r="A200" s="4" t="s">
        <v>21</v>
      </c>
      <c r="B200" s="4" t="s">
        <v>43</v>
      </c>
      <c r="C200" s="4" t="s">
        <v>41</v>
      </c>
      <c r="D200" s="4" t="s">
        <v>38</v>
      </c>
      <c r="E200" s="4" t="s">
        <v>25</v>
      </c>
      <c r="F200" s="4" t="s">
        <v>56</v>
      </c>
      <c r="G200" s="4" t="s">
        <v>25</v>
      </c>
      <c r="H200" s="4" t="s">
        <v>35</v>
      </c>
      <c r="I200" s="5">
        <v>44713</v>
      </c>
      <c r="J200" s="6">
        <v>0</v>
      </c>
      <c r="K200" s="6">
        <v>0</v>
      </c>
      <c r="L200" s="6">
        <v>18.988</v>
      </c>
      <c r="M200" s="6">
        <v>18.988</v>
      </c>
      <c r="N200" s="6">
        <v>0</v>
      </c>
      <c r="O200" s="6">
        <v>0</v>
      </c>
      <c r="P200" s="6">
        <v>0</v>
      </c>
      <c r="Q200" s="4" t="s">
        <v>55</v>
      </c>
      <c r="R200" s="4">
        <v>0</v>
      </c>
      <c r="S200" s="4">
        <v>0</v>
      </c>
      <c r="T200" s="4">
        <v>45</v>
      </c>
      <c r="U200" s="4">
        <v>0</v>
      </c>
      <c r="V200" s="6">
        <f>IF(ISERROR(VLOOKUP($S$200,'TAR FIN'!$A$1:$O$113,15,0)),0,VLOOKUP($S$200,'TAR FIN'!$A$1:$O$113,15,0))</f>
        <v>0</v>
      </c>
      <c r="W200" s="6">
        <f>IF(ISERROR(VLOOKUP($T$200,'TAR FIN'!$A$1:$O$113,15,0)),0,VLOOKUP($T$200,'TAR FIN'!$A$1:$O$113,15,0))</f>
        <v>105.73</v>
      </c>
      <c r="X200" s="6">
        <f>IF(ISERROR(VLOOKUP($U$200,'TAR FIN'!$A$1:$O$113,15,0)),0,VLOOKUP($U$200,'TAR FIN'!$A$1:$O$113,15,0))</f>
        <v>0</v>
      </c>
      <c r="Y200" s="6"/>
      <c r="Z200" s="6">
        <f ca="1">('TUSD BE'!$AM$30+'TUSD BF'!$AM$30+'TUSD CVA'!$AM$30)*1</f>
        <v>170.19945224700672</v>
      </c>
      <c r="AA200" s="6"/>
      <c r="AB200" s="6">
        <f t="shared" si="10"/>
        <v>0</v>
      </c>
      <c r="AC200" s="6">
        <f t="shared" si="11"/>
        <v>0</v>
      </c>
      <c r="AD200" s="6">
        <f t="shared" si="12"/>
        <v>0</v>
      </c>
      <c r="AE200" s="6">
        <f t="shared" ca="1" si="13"/>
        <v>0</v>
      </c>
      <c r="AF200" s="4" t="s">
        <v>851</v>
      </c>
    </row>
    <row r="201" spans="1:32" ht="11.25" customHeight="1" x14ac:dyDescent="0.3">
      <c r="A201" s="4" t="s">
        <v>21</v>
      </c>
      <c r="B201" s="4" t="s">
        <v>43</v>
      </c>
      <c r="C201" s="4" t="s">
        <v>41</v>
      </c>
      <c r="D201" s="4" t="s">
        <v>38</v>
      </c>
      <c r="E201" s="4" t="s">
        <v>25</v>
      </c>
      <c r="F201" s="4" t="s">
        <v>56</v>
      </c>
      <c r="G201" s="4" t="s">
        <v>25</v>
      </c>
      <c r="H201" s="4" t="s">
        <v>35</v>
      </c>
      <c r="I201" s="5">
        <v>44743</v>
      </c>
      <c r="J201" s="6">
        <v>0</v>
      </c>
      <c r="K201" s="6">
        <v>0</v>
      </c>
      <c r="L201" s="6">
        <v>17.864999999999998</v>
      </c>
      <c r="M201" s="6">
        <v>17.864999999999998</v>
      </c>
      <c r="N201" s="6">
        <v>0</v>
      </c>
      <c r="O201" s="6">
        <v>0</v>
      </c>
      <c r="P201" s="6">
        <v>0</v>
      </c>
      <c r="Q201" s="4" t="s">
        <v>55</v>
      </c>
      <c r="R201" s="4">
        <v>0</v>
      </c>
      <c r="S201" s="4">
        <v>0</v>
      </c>
      <c r="T201" s="4">
        <v>45</v>
      </c>
      <c r="U201" s="4">
        <v>0</v>
      </c>
      <c r="V201" s="6">
        <f>IF(ISERROR(VLOOKUP($S$201,'TAR FIN'!$A$1:$O$113,15,0)),0,VLOOKUP($S$201,'TAR FIN'!$A$1:$O$113,15,0))</f>
        <v>0</v>
      </c>
      <c r="W201" s="6">
        <f>IF(ISERROR(VLOOKUP($T$201,'TAR FIN'!$A$1:$O$113,15,0)),0,VLOOKUP($T$201,'TAR FIN'!$A$1:$O$113,15,0))</f>
        <v>105.73</v>
      </c>
      <c r="X201" s="6">
        <f>IF(ISERROR(VLOOKUP($U$201,'TAR FIN'!$A$1:$O$113,15,0)),0,VLOOKUP($U$201,'TAR FIN'!$A$1:$O$113,15,0))</f>
        <v>0</v>
      </c>
      <c r="Y201" s="6"/>
      <c r="Z201" s="6">
        <f ca="1">('TUSD BE'!$AM$30+'TUSD BF'!$AM$30+'TUSD CVA'!$AM$30)*1</f>
        <v>170.19945224700672</v>
      </c>
      <c r="AA201" s="6"/>
      <c r="AB201" s="6">
        <f t="shared" si="10"/>
        <v>0</v>
      </c>
      <c r="AC201" s="6">
        <f t="shared" si="11"/>
        <v>0</v>
      </c>
      <c r="AD201" s="6">
        <f t="shared" si="12"/>
        <v>0</v>
      </c>
      <c r="AE201" s="6">
        <f t="shared" ca="1" si="13"/>
        <v>0</v>
      </c>
      <c r="AF201" s="4" t="s">
        <v>851</v>
      </c>
    </row>
    <row r="202" spans="1:32" ht="11.25" customHeight="1" x14ac:dyDescent="0.3">
      <c r="A202" s="4" t="s">
        <v>21</v>
      </c>
      <c r="B202" s="4" t="s">
        <v>43</v>
      </c>
      <c r="C202" s="4" t="s">
        <v>41</v>
      </c>
      <c r="D202" s="4" t="s">
        <v>38</v>
      </c>
      <c r="E202" s="4" t="s">
        <v>25</v>
      </c>
      <c r="F202" s="4" t="s">
        <v>56</v>
      </c>
      <c r="G202" s="4" t="s">
        <v>25</v>
      </c>
      <c r="H202" s="4" t="s">
        <v>35</v>
      </c>
      <c r="I202" s="5">
        <v>44774</v>
      </c>
      <c r="J202" s="6">
        <v>0</v>
      </c>
      <c r="K202" s="6">
        <v>0</v>
      </c>
      <c r="L202" s="6">
        <v>20.734000000000002</v>
      </c>
      <c r="M202" s="6">
        <v>20.734000000000002</v>
      </c>
      <c r="N202" s="6">
        <v>0</v>
      </c>
      <c r="O202" s="6">
        <v>0</v>
      </c>
      <c r="P202" s="6">
        <v>0</v>
      </c>
      <c r="Q202" s="4" t="s">
        <v>55</v>
      </c>
      <c r="R202" s="4">
        <v>0</v>
      </c>
      <c r="S202" s="4">
        <v>0</v>
      </c>
      <c r="T202" s="4">
        <v>45</v>
      </c>
      <c r="U202" s="4">
        <v>0</v>
      </c>
      <c r="V202" s="6">
        <f>IF(ISERROR(VLOOKUP($S$202,'TAR FIN'!$A$1:$O$113,15,0)),0,VLOOKUP($S$202,'TAR FIN'!$A$1:$O$113,15,0))</f>
        <v>0</v>
      </c>
      <c r="W202" s="6">
        <f>IF(ISERROR(VLOOKUP($T$202,'TAR FIN'!$A$1:$O$113,15,0)),0,VLOOKUP($T$202,'TAR FIN'!$A$1:$O$113,15,0))</f>
        <v>105.73</v>
      </c>
      <c r="X202" s="6">
        <f>IF(ISERROR(VLOOKUP($U$202,'TAR FIN'!$A$1:$O$113,15,0)),0,VLOOKUP($U$202,'TAR FIN'!$A$1:$O$113,15,0))</f>
        <v>0</v>
      </c>
      <c r="Y202" s="6"/>
      <c r="Z202" s="6">
        <f ca="1">('TUSD BE'!$AM$30+'TUSD BF'!$AM$30+'TUSD CVA'!$AM$30)*1</f>
        <v>170.19945224700672</v>
      </c>
      <c r="AA202" s="6"/>
      <c r="AB202" s="6">
        <f t="shared" si="10"/>
        <v>0</v>
      </c>
      <c r="AC202" s="6">
        <f t="shared" si="11"/>
        <v>0</v>
      </c>
      <c r="AD202" s="6">
        <f t="shared" si="12"/>
        <v>0</v>
      </c>
      <c r="AE202" s="6">
        <f t="shared" ca="1" si="13"/>
        <v>0</v>
      </c>
      <c r="AF202" s="4" t="s">
        <v>851</v>
      </c>
    </row>
    <row r="203" spans="1:32" ht="11.25" customHeight="1" x14ac:dyDescent="0.3">
      <c r="A203" s="4" t="s">
        <v>21</v>
      </c>
      <c r="B203" s="4" t="s">
        <v>43</v>
      </c>
      <c r="C203" s="4" t="s">
        <v>41</v>
      </c>
      <c r="D203" s="4" t="s">
        <v>38</v>
      </c>
      <c r="E203" s="4" t="s">
        <v>25</v>
      </c>
      <c r="F203" s="4" t="s">
        <v>56</v>
      </c>
      <c r="G203" s="4" t="s">
        <v>25</v>
      </c>
      <c r="H203" s="4" t="s">
        <v>35</v>
      </c>
      <c r="I203" s="5">
        <v>44805</v>
      </c>
      <c r="J203" s="6">
        <v>0</v>
      </c>
      <c r="K203" s="6">
        <v>0</v>
      </c>
      <c r="L203" s="6">
        <v>22.969000000000001</v>
      </c>
      <c r="M203" s="6">
        <v>22.969000000000001</v>
      </c>
      <c r="N203" s="6">
        <v>0</v>
      </c>
      <c r="O203" s="6">
        <v>0</v>
      </c>
      <c r="P203" s="6">
        <v>0</v>
      </c>
      <c r="Q203" s="4" t="s">
        <v>55</v>
      </c>
      <c r="R203" s="4">
        <v>0</v>
      </c>
      <c r="S203" s="4">
        <v>0</v>
      </c>
      <c r="T203" s="4">
        <v>45</v>
      </c>
      <c r="U203" s="4">
        <v>0</v>
      </c>
      <c r="V203" s="6">
        <f>IF(ISERROR(VLOOKUP($S$203,'TAR FIN'!$A$1:$O$113,15,0)),0,VLOOKUP($S$203,'TAR FIN'!$A$1:$O$113,15,0))</f>
        <v>0</v>
      </c>
      <c r="W203" s="6">
        <f>IF(ISERROR(VLOOKUP($T$203,'TAR FIN'!$A$1:$O$113,15,0)),0,VLOOKUP($T$203,'TAR FIN'!$A$1:$O$113,15,0))</f>
        <v>105.73</v>
      </c>
      <c r="X203" s="6">
        <f>IF(ISERROR(VLOOKUP($U$203,'TAR FIN'!$A$1:$O$113,15,0)),0,VLOOKUP($U$203,'TAR FIN'!$A$1:$O$113,15,0))</f>
        <v>0</v>
      </c>
      <c r="Y203" s="6"/>
      <c r="Z203" s="6">
        <f ca="1">('TUSD BE'!$AM$30+'TUSD BF'!$AM$30+'TUSD CVA'!$AM$30)*1</f>
        <v>170.19945224700672</v>
      </c>
      <c r="AA203" s="6"/>
      <c r="AB203" s="6">
        <f t="shared" si="10"/>
        <v>0</v>
      </c>
      <c r="AC203" s="6">
        <f t="shared" si="11"/>
        <v>0</v>
      </c>
      <c r="AD203" s="6">
        <f t="shared" si="12"/>
        <v>0</v>
      </c>
      <c r="AE203" s="6">
        <f t="shared" ca="1" si="13"/>
        <v>0</v>
      </c>
      <c r="AF203" s="4" t="s">
        <v>851</v>
      </c>
    </row>
    <row r="204" spans="1:32" ht="11.25" customHeight="1" x14ac:dyDescent="0.3">
      <c r="A204" s="4" t="s">
        <v>53</v>
      </c>
      <c r="B204" s="4" t="s">
        <v>43</v>
      </c>
      <c r="C204" s="4" t="s">
        <v>41</v>
      </c>
      <c r="D204" s="4" t="s">
        <v>38</v>
      </c>
      <c r="E204" s="4" t="s">
        <v>25</v>
      </c>
      <c r="F204" s="4" t="s">
        <v>56</v>
      </c>
      <c r="G204" s="4" t="s">
        <v>25</v>
      </c>
      <c r="H204" s="4" t="s">
        <v>35</v>
      </c>
      <c r="I204" s="5">
        <v>44835</v>
      </c>
      <c r="J204" s="6">
        <v>0</v>
      </c>
      <c r="K204" s="6">
        <v>0</v>
      </c>
      <c r="L204" s="6">
        <v>22.969000000000001</v>
      </c>
      <c r="M204" s="6">
        <v>22.969000000000001</v>
      </c>
      <c r="N204" s="6">
        <v>0</v>
      </c>
      <c r="O204" s="6">
        <v>0</v>
      </c>
      <c r="P204" s="6">
        <v>0</v>
      </c>
      <c r="Q204" s="4" t="s">
        <v>55</v>
      </c>
      <c r="R204" s="4">
        <v>0</v>
      </c>
      <c r="S204" s="4">
        <v>0</v>
      </c>
      <c r="T204" s="4">
        <v>45</v>
      </c>
      <c r="U204" s="4">
        <v>0</v>
      </c>
      <c r="V204" s="6">
        <f>IF(ISERROR(VLOOKUP($S$204,'TAR FIN'!$A$1:$O$113,15,0)),0,VLOOKUP($S$204,'TAR FIN'!$A$1:$O$113,15,0))</f>
        <v>0</v>
      </c>
      <c r="W204" s="6">
        <f>IF(ISERROR(VLOOKUP($T$204,'TAR FIN'!$A$1:$O$113,15,0)),0,VLOOKUP($T$204,'TAR FIN'!$A$1:$O$113,15,0))</f>
        <v>105.73</v>
      </c>
      <c r="X204" s="6">
        <f>IF(ISERROR(VLOOKUP($U$204,'TAR FIN'!$A$1:$O$113,15,0)),0,VLOOKUP($U$204,'TAR FIN'!$A$1:$O$113,15,0))</f>
        <v>0</v>
      </c>
      <c r="Y204" s="6"/>
      <c r="Z204" s="6">
        <f ca="1">('TUSD BE'!$AM$30+'TUSD BF'!$AM$30+'TUSD CVA'!$AM$30)*1</f>
        <v>170.19945224700672</v>
      </c>
      <c r="AA204" s="6"/>
      <c r="AB204" s="6">
        <f t="shared" si="10"/>
        <v>0</v>
      </c>
      <c r="AC204" s="6">
        <f t="shared" si="11"/>
        <v>0</v>
      </c>
      <c r="AD204" s="6">
        <f t="shared" si="12"/>
        <v>0</v>
      </c>
      <c r="AE204" s="6">
        <f t="shared" ca="1" si="13"/>
        <v>0</v>
      </c>
      <c r="AF204" s="4" t="s">
        <v>851</v>
      </c>
    </row>
    <row r="205" spans="1:32" ht="11.25" customHeight="1" x14ac:dyDescent="0.3">
      <c r="A205" s="4" t="s">
        <v>21</v>
      </c>
      <c r="B205" s="4" t="s">
        <v>43</v>
      </c>
      <c r="C205" s="4" t="s">
        <v>41</v>
      </c>
      <c r="D205" s="4" t="s">
        <v>38</v>
      </c>
      <c r="E205" s="4" t="s">
        <v>25</v>
      </c>
      <c r="F205" s="4" t="s">
        <v>56</v>
      </c>
      <c r="G205" s="4" t="s">
        <v>25</v>
      </c>
      <c r="H205" s="4" t="s">
        <v>25</v>
      </c>
      <c r="I205" s="5">
        <v>44531</v>
      </c>
      <c r="J205" s="6">
        <v>101</v>
      </c>
      <c r="K205" s="6">
        <v>50.5</v>
      </c>
      <c r="L205" s="6">
        <v>0</v>
      </c>
      <c r="M205" s="6">
        <v>0</v>
      </c>
      <c r="N205" s="6">
        <v>0</v>
      </c>
      <c r="O205" s="6">
        <v>0</v>
      </c>
      <c r="P205" s="6">
        <v>1</v>
      </c>
      <c r="Q205" s="4" t="s">
        <v>55</v>
      </c>
      <c r="R205" s="4">
        <v>0</v>
      </c>
      <c r="S205" s="4">
        <v>13</v>
      </c>
      <c r="T205" s="4">
        <v>0</v>
      </c>
      <c r="U205" s="4">
        <v>0</v>
      </c>
      <c r="V205" s="6">
        <f>IF(ISERROR(VLOOKUP($S$205,'TAR FIN'!$A$1:$O$113,15,0)),0,VLOOKUP($S$205,'TAR FIN'!$A$1:$O$113,15,0))</f>
        <v>11.74</v>
      </c>
      <c r="W205" s="6">
        <f>IF(ISERROR(VLOOKUP($T$205,'TAR FIN'!$A$1:$O$113,15,0)),0,VLOOKUP($T$205,'TAR FIN'!$A$1:$O$113,15,0))</f>
        <v>0</v>
      </c>
      <c r="X205" s="6">
        <f>IF(ISERROR(VLOOKUP($U$205,'TAR FIN'!$A$1:$O$113,15,0)),0,VLOOKUP($U$205,'TAR FIN'!$A$1:$O$113,15,0))</f>
        <v>0</v>
      </c>
      <c r="Y205" s="6">
        <f ca="1">('TUSD BE'!$AM$28+'TUSD BF'!$AM$28+'TUSD CVA'!$AM$28)*1</f>
        <v>13.458223506903105</v>
      </c>
      <c r="Z205" s="6"/>
      <c r="AA205" s="6"/>
      <c r="AB205" s="6">
        <f t="shared" si="10"/>
        <v>592.87</v>
      </c>
      <c r="AC205" s="6">
        <f t="shared" si="11"/>
        <v>0</v>
      </c>
      <c r="AD205" s="6">
        <f t="shared" ca="1" si="12"/>
        <v>679.64028709860679</v>
      </c>
      <c r="AE205" s="6">
        <f t="shared" si="13"/>
        <v>0</v>
      </c>
      <c r="AF205" s="4" t="s">
        <v>851</v>
      </c>
    </row>
    <row r="206" spans="1:32" ht="11.25" customHeight="1" x14ac:dyDescent="0.3">
      <c r="A206" s="4" t="s">
        <v>21</v>
      </c>
      <c r="B206" s="4" t="s">
        <v>43</v>
      </c>
      <c r="C206" s="4" t="s">
        <v>41</v>
      </c>
      <c r="D206" s="4" t="s">
        <v>38</v>
      </c>
      <c r="E206" s="4" t="s">
        <v>25</v>
      </c>
      <c r="F206" s="4" t="s">
        <v>56</v>
      </c>
      <c r="G206" s="4" t="s">
        <v>25</v>
      </c>
      <c r="H206" s="4" t="s">
        <v>25</v>
      </c>
      <c r="I206" s="5">
        <v>44562</v>
      </c>
      <c r="J206" s="6">
        <v>101</v>
      </c>
      <c r="K206" s="6">
        <v>50.5</v>
      </c>
      <c r="L206" s="6">
        <v>0</v>
      </c>
      <c r="M206" s="6">
        <v>0</v>
      </c>
      <c r="N206" s="6">
        <v>0</v>
      </c>
      <c r="O206" s="6">
        <v>0</v>
      </c>
      <c r="P206" s="6">
        <v>1</v>
      </c>
      <c r="Q206" s="4" t="s">
        <v>55</v>
      </c>
      <c r="R206" s="4">
        <v>0</v>
      </c>
      <c r="S206" s="4">
        <v>13</v>
      </c>
      <c r="T206" s="4">
        <v>0</v>
      </c>
      <c r="U206" s="4">
        <v>0</v>
      </c>
      <c r="V206" s="6">
        <f>IF(ISERROR(VLOOKUP($S$206,'TAR FIN'!$A$1:$O$113,15,0)),0,VLOOKUP($S$206,'TAR FIN'!$A$1:$O$113,15,0))</f>
        <v>11.74</v>
      </c>
      <c r="W206" s="6">
        <f>IF(ISERROR(VLOOKUP($T$206,'TAR FIN'!$A$1:$O$113,15,0)),0,VLOOKUP($T$206,'TAR FIN'!$A$1:$O$113,15,0))</f>
        <v>0</v>
      </c>
      <c r="X206" s="6">
        <f>IF(ISERROR(VLOOKUP($U$206,'TAR FIN'!$A$1:$O$113,15,0)),0,VLOOKUP($U$206,'TAR FIN'!$A$1:$O$113,15,0))</f>
        <v>0</v>
      </c>
      <c r="Y206" s="6">
        <f ca="1">('TUSD BE'!$AM$28+'TUSD BF'!$AM$28+'TUSD CVA'!$AM$28)*1</f>
        <v>13.458223506903105</v>
      </c>
      <c r="Z206" s="6"/>
      <c r="AA206" s="6"/>
      <c r="AB206" s="6">
        <f t="shared" si="10"/>
        <v>592.87</v>
      </c>
      <c r="AC206" s="6">
        <f t="shared" si="11"/>
        <v>0</v>
      </c>
      <c r="AD206" s="6">
        <f t="shared" ca="1" si="12"/>
        <v>679.64028709860679</v>
      </c>
      <c r="AE206" s="6">
        <f t="shared" si="13"/>
        <v>0</v>
      </c>
      <c r="AF206" s="4" t="s">
        <v>851</v>
      </c>
    </row>
    <row r="207" spans="1:32" ht="11.25" customHeight="1" x14ac:dyDescent="0.3">
      <c r="A207" s="4" t="s">
        <v>21</v>
      </c>
      <c r="B207" s="4" t="s">
        <v>43</v>
      </c>
      <c r="C207" s="4" t="s">
        <v>41</v>
      </c>
      <c r="D207" s="4" t="s">
        <v>38</v>
      </c>
      <c r="E207" s="4" t="s">
        <v>25</v>
      </c>
      <c r="F207" s="4" t="s">
        <v>56</v>
      </c>
      <c r="G207" s="4" t="s">
        <v>25</v>
      </c>
      <c r="H207" s="4" t="s">
        <v>25</v>
      </c>
      <c r="I207" s="5">
        <v>44593</v>
      </c>
      <c r="J207" s="6">
        <v>101</v>
      </c>
      <c r="K207" s="6">
        <v>50.614991529999998</v>
      </c>
      <c r="L207" s="6">
        <v>0</v>
      </c>
      <c r="M207" s="6">
        <v>0</v>
      </c>
      <c r="N207" s="6">
        <v>0</v>
      </c>
      <c r="O207" s="6">
        <v>0</v>
      </c>
      <c r="P207" s="6">
        <v>1</v>
      </c>
      <c r="Q207" s="4" t="s">
        <v>55</v>
      </c>
      <c r="R207" s="4">
        <v>0</v>
      </c>
      <c r="S207" s="4">
        <v>13</v>
      </c>
      <c r="T207" s="4">
        <v>0</v>
      </c>
      <c r="U207" s="4">
        <v>0</v>
      </c>
      <c r="V207" s="6">
        <f>IF(ISERROR(VLOOKUP($S$207,'TAR FIN'!$A$1:$O$113,15,0)),0,VLOOKUP($S$207,'TAR FIN'!$A$1:$O$113,15,0))</f>
        <v>11.74</v>
      </c>
      <c r="W207" s="6">
        <f>IF(ISERROR(VLOOKUP($T$207,'TAR FIN'!$A$1:$O$113,15,0)),0,VLOOKUP($T$207,'TAR FIN'!$A$1:$O$113,15,0))</f>
        <v>0</v>
      </c>
      <c r="X207" s="6">
        <f>IF(ISERROR(VLOOKUP($U$207,'TAR FIN'!$A$1:$O$113,15,0)),0,VLOOKUP($U$207,'TAR FIN'!$A$1:$O$113,15,0))</f>
        <v>0</v>
      </c>
      <c r="Y207" s="6">
        <f ca="1">('TUSD BE'!$AM$28+'TUSD BF'!$AM$28+'TUSD CVA'!$AM$28)*1</f>
        <v>13.458223506903105</v>
      </c>
      <c r="Z207" s="6"/>
      <c r="AA207" s="6"/>
      <c r="AB207" s="6">
        <f t="shared" si="10"/>
        <v>591.51999943780004</v>
      </c>
      <c r="AC207" s="6">
        <f t="shared" si="11"/>
        <v>0</v>
      </c>
      <c r="AD207" s="6">
        <f t="shared" ca="1" si="12"/>
        <v>678.09270538646604</v>
      </c>
      <c r="AE207" s="6">
        <f t="shared" si="13"/>
        <v>0</v>
      </c>
      <c r="AF207" s="4" t="s">
        <v>851</v>
      </c>
    </row>
    <row r="208" spans="1:32" ht="11.25" customHeight="1" x14ac:dyDescent="0.3">
      <c r="A208" s="4" t="s">
        <v>21</v>
      </c>
      <c r="B208" s="4" t="s">
        <v>43</v>
      </c>
      <c r="C208" s="4" t="s">
        <v>41</v>
      </c>
      <c r="D208" s="4" t="s">
        <v>38</v>
      </c>
      <c r="E208" s="4" t="s">
        <v>25</v>
      </c>
      <c r="F208" s="4" t="s">
        <v>56</v>
      </c>
      <c r="G208" s="4" t="s">
        <v>25</v>
      </c>
      <c r="H208" s="4" t="s">
        <v>25</v>
      </c>
      <c r="I208" s="5">
        <v>44621</v>
      </c>
      <c r="J208" s="6">
        <v>101</v>
      </c>
      <c r="K208" s="6">
        <v>50.574105719999999</v>
      </c>
      <c r="L208" s="6">
        <v>0</v>
      </c>
      <c r="M208" s="6">
        <v>0</v>
      </c>
      <c r="N208" s="6">
        <v>0</v>
      </c>
      <c r="O208" s="6">
        <v>0</v>
      </c>
      <c r="P208" s="6">
        <v>1</v>
      </c>
      <c r="Q208" s="4" t="s">
        <v>55</v>
      </c>
      <c r="R208" s="4">
        <v>0</v>
      </c>
      <c r="S208" s="4">
        <v>13</v>
      </c>
      <c r="T208" s="4">
        <v>0</v>
      </c>
      <c r="U208" s="4">
        <v>0</v>
      </c>
      <c r="V208" s="6">
        <f>IF(ISERROR(VLOOKUP($S$208,'TAR FIN'!$A$1:$O$113,15,0)),0,VLOOKUP($S$208,'TAR FIN'!$A$1:$O$113,15,0))</f>
        <v>11.74</v>
      </c>
      <c r="W208" s="6">
        <f>IF(ISERROR(VLOOKUP($T$208,'TAR FIN'!$A$1:$O$113,15,0)),0,VLOOKUP($T$208,'TAR FIN'!$A$1:$O$113,15,0))</f>
        <v>0</v>
      </c>
      <c r="X208" s="6">
        <f>IF(ISERROR(VLOOKUP($U$208,'TAR FIN'!$A$1:$O$113,15,0)),0,VLOOKUP($U$208,'TAR FIN'!$A$1:$O$113,15,0))</f>
        <v>0</v>
      </c>
      <c r="Y208" s="6">
        <f ca="1">('TUSD BE'!$AM$28+'TUSD BF'!$AM$28+'TUSD CVA'!$AM$28)*1</f>
        <v>13.458223506903105</v>
      </c>
      <c r="Z208" s="6"/>
      <c r="AA208" s="6"/>
      <c r="AB208" s="6">
        <f t="shared" si="10"/>
        <v>591.9999988472</v>
      </c>
      <c r="AC208" s="6">
        <f t="shared" si="11"/>
        <v>0</v>
      </c>
      <c r="AD208" s="6">
        <f t="shared" ca="1" si="12"/>
        <v>678.64295575570679</v>
      </c>
      <c r="AE208" s="6">
        <f t="shared" si="13"/>
        <v>0</v>
      </c>
      <c r="AF208" s="4" t="s">
        <v>851</v>
      </c>
    </row>
    <row r="209" spans="1:32" ht="11.25" customHeight="1" x14ac:dyDescent="0.3">
      <c r="A209" s="4" t="s">
        <v>21</v>
      </c>
      <c r="B209" s="4" t="s">
        <v>43</v>
      </c>
      <c r="C209" s="4" t="s">
        <v>41</v>
      </c>
      <c r="D209" s="4" t="s">
        <v>38</v>
      </c>
      <c r="E209" s="4" t="s">
        <v>25</v>
      </c>
      <c r="F209" s="4" t="s">
        <v>56</v>
      </c>
      <c r="G209" s="4" t="s">
        <v>25</v>
      </c>
      <c r="H209" s="4" t="s">
        <v>25</v>
      </c>
      <c r="I209" s="5">
        <v>44652</v>
      </c>
      <c r="J209" s="6">
        <v>101</v>
      </c>
      <c r="K209" s="6">
        <v>50.563032079999999</v>
      </c>
      <c r="L209" s="6">
        <v>0</v>
      </c>
      <c r="M209" s="6">
        <v>0</v>
      </c>
      <c r="N209" s="6">
        <v>0</v>
      </c>
      <c r="O209" s="6">
        <v>0</v>
      </c>
      <c r="P209" s="6">
        <v>1</v>
      </c>
      <c r="Q209" s="4" t="s">
        <v>55</v>
      </c>
      <c r="R209" s="4">
        <v>0</v>
      </c>
      <c r="S209" s="4">
        <v>13</v>
      </c>
      <c r="T209" s="4">
        <v>0</v>
      </c>
      <c r="U209" s="4">
        <v>0</v>
      </c>
      <c r="V209" s="6">
        <f>IF(ISERROR(VLOOKUP($S$209,'TAR FIN'!$A$1:$O$113,15,0)),0,VLOOKUP($S$209,'TAR FIN'!$A$1:$O$113,15,0))</f>
        <v>11.74</v>
      </c>
      <c r="W209" s="6">
        <f>IF(ISERROR(VLOOKUP($T$209,'TAR FIN'!$A$1:$O$113,15,0)),0,VLOOKUP($T$209,'TAR FIN'!$A$1:$O$113,15,0))</f>
        <v>0</v>
      </c>
      <c r="X209" s="6">
        <f>IF(ISERROR(VLOOKUP($U$209,'TAR FIN'!$A$1:$O$113,15,0)),0,VLOOKUP($U$209,'TAR FIN'!$A$1:$O$113,15,0))</f>
        <v>0</v>
      </c>
      <c r="Y209" s="6">
        <f ca="1">('TUSD BE'!$AM$28+'TUSD BF'!$AM$28+'TUSD CVA'!$AM$28)*1</f>
        <v>13.458223506903105</v>
      </c>
      <c r="Z209" s="6"/>
      <c r="AA209" s="6"/>
      <c r="AB209" s="6">
        <f t="shared" si="10"/>
        <v>592.13000338079996</v>
      </c>
      <c r="AC209" s="6">
        <f t="shared" si="11"/>
        <v>0</v>
      </c>
      <c r="AD209" s="6">
        <f t="shared" ca="1" si="12"/>
        <v>678.79198727786184</v>
      </c>
      <c r="AE209" s="6">
        <f t="shared" si="13"/>
        <v>0</v>
      </c>
      <c r="AF209" s="4" t="s">
        <v>851</v>
      </c>
    </row>
    <row r="210" spans="1:32" ht="11.25" customHeight="1" x14ac:dyDescent="0.3">
      <c r="A210" s="4" t="s">
        <v>21</v>
      </c>
      <c r="B210" s="4" t="s">
        <v>43</v>
      </c>
      <c r="C210" s="4" t="s">
        <v>41</v>
      </c>
      <c r="D210" s="4" t="s">
        <v>38</v>
      </c>
      <c r="E210" s="4" t="s">
        <v>25</v>
      </c>
      <c r="F210" s="4" t="s">
        <v>56</v>
      </c>
      <c r="G210" s="4" t="s">
        <v>25</v>
      </c>
      <c r="H210" s="4" t="s">
        <v>25</v>
      </c>
      <c r="I210" s="5">
        <v>44682</v>
      </c>
      <c r="J210" s="6">
        <v>101</v>
      </c>
      <c r="K210" s="6">
        <v>50.617546830000002</v>
      </c>
      <c r="L210" s="6">
        <v>0</v>
      </c>
      <c r="M210" s="6">
        <v>0</v>
      </c>
      <c r="N210" s="6">
        <v>0</v>
      </c>
      <c r="O210" s="6">
        <v>0</v>
      </c>
      <c r="P210" s="6">
        <v>1</v>
      </c>
      <c r="Q210" s="4" t="s">
        <v>55</v>
      </c>
      <c r="R210" s="4">
        <v>0</v>
      </c>
      <c r="S210" s="4">
        <v>13</v>
      </c>
      <c r="T210" s="4">
        <v>0</v>
      </c>
      <c r="U210" s="4">
        <v>0</v>
      </c>
      <c r="V210" s="6">
        <f>IF(ISERROR(VLOOKUP($S$210,'TAR FIN'!$A$1:$O$113,15,0)),0,VLOOKUP($S$210,'TAR FIN'!$A$1:$O$113,15,0))</f>
        <v>11.74</v>
      </c>
      <c r="W210" s="6">
        <f>IF(ISERROR(VLOOKUP($T$210,'TAR FIN'!$A$1:$O$113,15,0)),0,VLOOKUP($T$210,'TAR FIN'!$A$1:$O$113,15,0))</f>
        <v>0</v>
      </c>
      <c r="X210" s="6">
        <f>IF(ISERROR(VLOOKUP($U$210,'TAR FIN'!$A$1:$O$113,15,0)),0,VLOOKUP($U$210,'TAR FIN'!$A$1:$O$113,15,0))</f>
        <v>0</v>
      </c>
      <c r="Y210" s="6">
        <f ca="1">('TUSD BE'!$AM$28+'TUSD BF'!$AM$28+'TUSD CVA'!$AM$28)*1</f>
        <v>13.458223506903105</v>
      </c>
      <c r="Z210" s="6"/>
      <c r="AA210" s="6"/>
      <c r="AB210" s="6">
        <f t="shared" si="10"/>
        <v>591.49000021580002</v>
      </c>
      <c r="AC210" s="6">
        <f t="shared" si="11"/>
        <v>0</v>
      </c>
      <c r="AD210" s="6">
        <f t="shared" ca="1" si="12"/>
        <v>678.05831558793886</v>
      </c>
      <c r="AE210" s="6">
        <f t="shared" si="13"/>
        <v>0</v>
      </c>
      <c r="AF210" s="4" t="s">
        <v>851</v>
      </c>
    </row>
    <row r="211" spans="1:32" ht="11.25" customHeight="1" x14ac:dyDescent="0.3">
      <c r="A211" s="4" t="s">
        <v>21</v>
      </c>
      <c r="B211" s="4" t="s">
        <v>43</v>
      </c>
      <c r="C211" s="4" t="s">
        <v>41</v>
      </c>
      <c r="D211" s="4" t="s">
        <v>38</v>
      </c>
      <c r="E211" s="4" t="s">
        <v>25</v>
      </c>
      <c r="F211" s="4" t="s">
        <v>56</v>
      </c>
      <c r="G211" s="4" t="s">
        <v>25</v>
      </c>
      <c r="H211" s="4" t="s">
        <v>25</v>
      </c>
      <c r="I211" s="5">
        <v>44713</v>
      </c>
      <c r="J211" s="6">
        <v>101</v>
      </c>
      <c r="K211" s="6">
        <v>56.66269175</v>
      </c>
      <c r="L211" s="6">
        <v>0</v>
      </c>
      <c r="M211" s="6">
        <v>0</v>
      </c>
      <c r="N211" s="6">
        <v>0</v>
      </c>
      <c r="O211" s="6">
        <v>0</v>
      </c>
      <c r="P211" s="6">
        <v>1</v>
      </c>
      <c r="Q211" s="4" t="s">
        <v>55</v>
      </c>
      <c r="R211" s="4">
        <v>0</v>
      </c>
      <c r="S211" s="4">
        <v>13</v>
      </c>
      <c r="T211" s="4">
        <v>0</v>
      </c>
      <c r="U211" s="4">
        <v>0</v>
      </c>
      <c r="V211" s="6">
        <f>IF(ISERROR(VLOOKUP($S$211,'TAR FIN'!$A$1:$O$113,15,0)),0,VLOOKUP($S$211,'TAR FIN'!$A$1:$O$113,15,0))</f>
        <v>11.74</v>
      </c>
      <c r="W211" s="6">
        <f>IF(ISERROR(VLOOKUP($T$211,'TAR FIN'!$A$1:$O$113,15,0)),0,VLOOKUP($T$211,'TAR FIN'!$A$1:$O$113,15,0))</f>
        <v>0</v>
      </c>
      <c r="X211" s="6">
        <f>IF(ISERROR(VLOOKUP($U$211,'TAR FIN'!$A$1:$O$113,15,0)),0,VLOOKUP($U$211,'TAR FIN'!$A$1:$O$113,15,0))</f>
        <v>0</v>
      </c>
      <c r="Y211" s="6">
        <f ca="1">('TUSD BE'!$AM$28+'TUSD BF'!$AM$28+'TUSD CVA'!$AM$28)*1</f>
        <v>13.458223506903105</v>
      </c>
      <c r="Z211" s="6"/>
      <c r="AA211" s="6"/>
      <c r="AB211" s="6">
        <f t="shared" si="10"/>
        <v>520.51999885500004</v>
      </c>
      <c r="AC211" s="6">
        <f t="shared" si="11"/>
        <v>0</v>
      </c>
      <c r="AD211" s="6">
        <f t="shared" ca="1" si="12"/>
        <v>596.70140412295893</v>
      </c>
      <c r="AE211" s="6">
        <f t="shared" si="13"/>
        <v>0</v>
      </c>
      <c r="AF211" s="4" t="s">
        <v>851</v>
      </c>
    </row>
    <row r="212" spans="1:32" ht="11.25" customHeight="1" x14ac:dyDescent="0.3">
      <c r="A212" s="4" t="s">
        <v>21</v>
      </c>
      <c r="B212" s="4" t="s">
        <v>43</v>
      </c>
      <c r="C212" s="4" t="s">
        <v>41</v>
      </c>
      <c r="D212" s="4" t="s">
        <v>38</v>
      </c>
      <c r="E212" s="4" t="s">
        <v>25</v>
      </c>
      <c r="F212" s="4" t="s">
        <v>56</v>
      </c>
      <c r="G212" s="4" t="s">
        <v>25</v>
      </c>
      <c r="H212" s="4" t="s">
        <v>25</v>
      </c>
      <c r="I212" s="5">
        <v>44743</v>
      </c>
      <c r="J212" s="6">
        <v>101</v>
      </c>
      <c r="K212" s="6">
        <v>50.520443409999999</v>
      </c>
      <c r="L212" s="6">
        <v>0</v>
      </c>
      <c r="M212" s="6">
        <v>0</v>
      </c>
      <c r="N212" s="6">
        <v>0</v>
      </c>
      <c r="O212" s="6">
        <v>0</v>
      </c>
      <c r="P212" s="6">
        <v>1</v>
      </c>
      <c r="Q212" s="4" t="s">
        <v>55</v>
      </c>
      <c r="R212" s="4">
        <v>0</v>
      </c>
      <c r="S212" s="4">
        <v>13</v>
      </c>
      <c r="T212" s="4">
        <v>0</v>
      </c>
      <c r="U212" s="4">
        <v>0</v>
      </c>
      <c r="V212" s="6">
        <f>IF(ISERROR(VLOOKUP($S$212,'TAR FIN'!$A$1:$O$113,15,0)),0,VLOOKUP($S$212,'TAR FIN'!$A$1:$O$113,15,0))</f>
        <v>11.74</v>
      </c>
      <c r="W212" s="6">
        <f>IF(ISERROR(VLOOKUP($T$212,'TAR FIN'!$A$1:$O$113,15,0)),0,VLOOKUP($T$212,'TAR FIN'!$A$1:$O$113,15,0))</f>
        <v>0</v>
      </c>
      <c r="X212" s="6">
        <f>IF(ISERROR(VLOOKUP($U$212,'TAR FIN'!$A$1:$O$113,15,0)),0,VLOOKUP($U$212,'TAR FIN'!$A$1:$O$113,15,0))</f>
        <v>0</v>
      </c>
      <c r="Y212" s="6">
        <f ca="1">('TUSD BE'!$AM$28+'TUSD BF'!$AM$28+'TUSD CVA'!$AM$28)*1</f>
        <v>13.458223506903105</v>
      </c>
      <c r="Z212" s="6"/>
      <c r="AA212" s="6"/>
      <c r="AB212" s="6">
        <f t="shared" si="10"/>
        <v>592.62999436660004</v>
      </c>
      <c r="AC212" s="6">
        <f t="shared" si="11"/>
        <v>0</v>
      </c>
      <c r="AD212" s="6">
        <f t="shared" ca="1" si="12"/>
        <v>679.36515511758353</v>
      </c>
      <c r="AE212" s="6">
        <f t="shared" si="13"/>
        <v>0</v>
      </c>
      <c r="AF212" s="4" t="s">
        <v>851</v>
      </c>
    </row>
    <row r="213" spans="1:32" ht="11.25" customHeight="1" x14ac:dyDescent="0.3">
      <c r="A213" s="4" t="s">
        <v>21</v>
      </c>
      <c r="B213" s="4" t="s">
        <v>43</v>
      </c>
      <c r="C213" s="4" t="s">
        <v>41</v>
      </c>
      <c r="D213" s="4" t="s">
        <v>38</v>
      </c>
      <c r="E213" s="4" t="s">
        <v>25</v>
      </c>
      <c r="F213" s="4" t="s">
        <v>56</v>
      </c>
      <c r="G213" s="4" t="s">
        <v>25</v>
      </c>
      <c r="H213" s="4" t="s">
        <v>25</v>
      </c>
      <c r="I213" s="5">
        <v>44774</v>
      </c>
      <c r="J213" s="6">
        <v>101</v>
      </c>
      <c r="K213" s="6">
        <v>47.413117810000003</v>
      </c>
      <c r="L213" s="6">
        <v>0</v>
      </c>
      <c r="M213" s="6">
        <v>0</v>
      </c>
      <c r="N213" s="6">
        <v>0</v>
      </c>
      <c r="O213" s="6">
        <v>0</v>
      </c>
      <c r="P213" s="6">
        <v>1</v>
      </c>
      <c r="Q213" s="4" t="s">
        <v>55</v>
      </c>
      <c r="R213" s="4">
        <v>0</v>
      </c>
      <c r="S213" s="4">
        <v>13</v>
      </c>
      <c r="T213" s="4">
        <v>0</v>
      </c>
      <c r="U213" s="4">
        <v>0</v>
      </c>
      <c r="V213" s="6">
        <f>IF(ISERROR(VLOOKUP($S$213,'TAR FIN'!$A$1:$O$113,15,0)),0,VLOOKUP($S$213,'TAR FIN'!$A$1:$O$113,15,0))</f>
        <v>11.74</v>
      </c>
      <c r="W213" s="6">
        <f>IF(ISERROR(VLOOKUP($T$213,'TAR FIN'!$A$1:$O$113,15,0)),0,VLOOKUP($T$213,'TAR FIN'!$A$1:$O$113,15,0))</f>
        <v>0</v>
      </c>
      <c r="X213" s="6">
        <f>IF(ISERROR(VLOOKUP($U$213,'TAR FIN'!$A$1:$O$113,15,0)),0,VLOOKUP($U$213,'TAR FIN'!$A$1:$O$113,15,0))</f>
        <v>0</v>
      </c>
      <c r="Y213" s="6">
        <f ca="1">('TUSD BE'!$AM$28+'TUSD BF'!$AM$28+'TUSD CVA'!$AM$28)*1</f>
        <v>13.458223506903105</v>
      </c>
      <c r="Z213" s="6"/>
      <c r="AA213" s="6"/>
      <c r="AB213" s="6">
        <f t="shared" si="10"/>
        <v>629.10999691059999</v>
      </c>
      <c r="AC213" s="6">
        <f t="shared" si="11"/>
        <v>0</v>
      </c>
      <c r="AD213" s="6">
        <f t="shared" ca="1" si="12"/>
        <v>721.1842375511053</v>
      </c>
      <c r="AE213" s="6">
        <f t="shared" si="13"/>
        <v>0</v>
      </c>
      <c r="AF213" s="4" t="s">
        <v>851</v>
      </c>
    </row>
    <row r="214" spans="1:32" ht="11.25" customHeight="1" x14ac:dyDescent="0.3">
      <c r="A214" s="4" t="s">
        <v>21</v>
      </c>
      <c r="B214" s="4" t="s">
        <v>43</v>
      </c>
      <c r="C214" s="4" t="s">
        <v>41</v>
      </c>
      <c r="D214" s="4" t="s">
        <v>38</v>
      </c>
      <c r="E214" s="4" t="s">
        <v>25</v>
      </c>
      <c r="F214" s="4" t="s">
        <v>56</v>
      </c>
      <c r="G214" s="4" t="s">
        <v>25</v>
      </c>
      <c r="H214" s="4" t="s">
        <v>25</v>
      </c>
      <c r="I214" s="5">
        <v>44805</v>
      </c>
      <c r="J214" s="6">
        <v>101</v>
      </c>
      <c r="K214" s="6">
        <v>50.495740830000003</v>
      </c>
      <c r="L214" s="6">
        <v>0</v>
      </c>
      <c r="M214" s="6">
        <v>0</v>
      </c>
      <c r="N214" s="6">
        <v>0</v>
      </c>
      <c r="O214" s="6">
        <v>0</v>
      </c>
      <c r="P214" s="6">
        <v>1</v>
      </c>
      <c r="Q214" s="4" t="s">
        <v>55</v>
      </c>
      <c r="R214" s="4">
        <v>0</v>
      </c>
      <c r="S214" s="4">
        <v>13</v>
      </c>
      <c r="T214" s="4">
        <v>0</v>
      </c>
      <c r="U214" s="4">
        <v>0</v>
      </c>
      <c r="V214" s="6">
        <f>IF(ISERROR(VLOOKUP($S$214,'TAR FIN'!$A$1:$O$113,15,0)),0,VLOOKUP($S$214,'TAR FIN'!$A$1:$O$113,15,0))</f>
        <v>11.74</v>
      </c>
      <c r="W214" s="6">
        <f>IF(ISERROR(VLOOKUP($T$214,'TAR FIN'!$A$1:$O$113,15,0)),0,VLOOKUP($T$214,'TAR FIN'!$A$1:$O$113,15,0))</f>
        <v>0</v>
      </c>
      <c r="X214" s="6">
        <f>IF(ISERROR(VLOOKUP($U$214,'TAR FIN'!$A$1:$O$113,15,0)),0,VLOOKUP($U$214,'TAR FIN'!$A$1:$O$113,15,0))</f>
        <v>0</v>
      </c>
      <c r="Y214" s="6">
        <f ca="1">('TUSD BE'!$AM$28+'TUSD BF'!$AM$28+'TUSD CVA'!$AM$28)*1</f>
        <v>13.458223506903105</v>
      </c>
      <c r="Z214" s="6"/>
      <c r="AA214" s="6"/>
      <c r="AB214" s="6">
        <f t="shared" si="10"/>
        <v>592.92000265579998</v>
      </c>
      <c r="AC214" s="6">
        <f t="shared" si="11"/>
        <v>0</v>
      </c>
      <c r="AD214" s="6">
        <f t="shared" ca="1" si="12"/>
        <v>679.69760796042067</v>
      </c>
      <c r="AE214" s="6">
        <f t="shared" si="13"/>
        <v>0</v>
      </c>
      <c r="AF214" s="4" t="s">
        <v>851</v>
      </c>
    </row>
    <row r="215" spans="1:32" ht="11.25" customHeight="1" x14ac:dyDescent="0.3">
      <c r="A215" s="4" t="s">
        <v>53</v>
      </c>
      <c r="B215" s="4" t="s">
        <v>43</v>
      </c>
      <c r="C215" s="4" t="s">
        <v>41</v>
      </c>
      <c r="D215" s="4" t="s">
        <v>38</v>
      </c>
      <c r="E215" s="4" t="s">
        <v>25</v>
      </c>
      <c r="F215" s="4" t="s">
        <v>56</v>
      </c>
      <c r="G215" s="4" t="s">
        <v>25</v>
      </c>
      <c r="H215" s="4" t="s">
        <v>25</v>
      </c>
      <c r="I215" s="5">
        <v>44835</v>
      </c>
      <c r="J215" s="6">
        <v>101</v>
      </c>
      <c r="K215" s="6">
        <v>50.495740830000003</v>
      </c>
      <c r="L215" s="6">
        <v>0</v>
      </c>
      <c r="M215" s="6">
        <v>0</v>
      </c>
      <c r="N215" s="6">
        <v>0</v>
      </c>
      <c r="O215" s="6">
        <v>0</v>
      </c>
      <c r="P215" s="6">
        <v>1</v>
      </c>
      <c r="Q215" s="4" t="s">
        <v>55</v>
      </c>
      <c r="R215" s="4">
        <v>0</v>
      </c>
      <c r="S215" s="4">
        <v>13</v>
      </c>
      <c r="T215" s="4">
        <v>0</v>
      </c>
      <c r="U215" s="4">
        <v>0</v>
      </c>
      <c r="V215" s="6">
        <f>IF(ISERROR(VLOOKUP($S$215,'TAR FIN'!$A$1:$O$113,15,0)),0,VLOOKUP($S$215,'TAR FIN'!$A$1:$O$113,15,0))</f>
        <v>11.74</v>
      </c>
      <c r="W215" s="6">
        <f>IF(ISERROR(VLOOKUP($T$215,'TAR FIN'!$A$1:$O$113,15,0)),0,VLOOKUP($T$215,'TAR FIN'!$A$1:$O$113,15,0))</f>
        <v>0</v>
      </c>
      <c r="X215" s="6">
        <f>IF(ISERROR(VLOOKUP($U$215,'TAR FIN'!$A$1:$O$113,15,0)),0,VLOOKUP($U$215,'TAR FIN'!$A$1:$O$113,15,0))</f>
        <v>0</v>
      </c>
      <c r="Y215" s="6">
        <f ca="1">('TUSD BE'!$AM$28+'TUSD BF'!$AM$28+'TUSD CVA'!$AM$28)*1</f>
        <v>13.458223506903105</v>
      </c>
      <c r="Z215" s="6"/>
      <c r="AA215" s="6"/>
      <c r="AB215" s="6">
        <f t="shared" si="10"/>
        <v>592.92000265579998</v>
      </c>
      <c r="AC215" s="6">
        <f t="shared" si="11"/>
        <v>0</v>
      </c>
      <c r="AD215" s="6">
        <f t="shared" ca="1" si="12"/>
        <v>679.69760796042067</v>
      </c>
      <c r="AE215" s="6">
        <f t="shared" si="13"/>
        <v>0</v>
      </c>
      <c r="AF215" s="4" t="s">
        <v>851</v>
      </c>
    </row>
    <row r="216" spans="1:32" ht="11.25" customHeight="1" x14ac:dyDescent="0.3">
      <c r="A216" s="4" t="s">
        <v>21</v>
      </c>
      <c r="B216" s="4" t="s">
        <v>43</v>
      </c>
      <c r="C216" s="4" t="s">
        <v>41</v>
      </c>
      <c r="D216" s="4" t="s">
        <v>38</v>
      </c>
      <c r="E216" s="4" t="s">
        <v>25</v>
      </c>
      <c r="F216" s="4" t="s">
        <v>56</v>
      </c>
      <c r="G216" s="4" t="s">
        <v>25</v>
      </c>
      <c r="H216" s="4" t="s">
        <v>34</v>
      </c>
      <c r="I216" s="5">
        <v>44531</v>
      </c>
      <c r="J216" s="6">
        <v>0</v>
      </c>
      <c r="K216" s="6">
        <v>0</v>
      </c>
      <c r="L216" s="6">
        <v>3.5529999999999999</v>
      </c>
      <c r="M216" s="6">
        <v>1.8846817795299999</v>
      </c>
      <c r="N216" s="6">
        <v>0</v>
      </c>
      <c r="O216" s="6">
        <v>0</v>
      </c>
      <c r="P216" s="6">
        <v>0</v>
      </c>
      <c r="Q216" s="4" t="s">
        <v>55</v>
      </c>
      <c r="R216" s="4">
        <v>0</v>
      </c>
      <c r="S216" s="4">
        <v>0</v>
      </c>
      <c r="T216" s="4">
        <v>32</v>
      </c>
      <c r="U216" s="4">
        <v>0</v>
      </c>
      <c r="V216" s="6">
        <f>IF(ISERROR(VLOOKUP($S$216,'TAR FIN'!$A$1:$O$113,15,0)),0,VLOOKUP($S$216,'TAR FIN'!$A$1:$O$113,15,0))</f>
        <v>0</v>
      </c>
      <c r="W216" s="6">
        <f>IF(ISERROR(VLOOKUP($T$216,'TAR FIN'!$A$1:$O$113,15,0)),0,VLOOKUP($T$216,'TAR FIN'!$A$1:$O$113,15,0))</f>
        <v>1604.46</v>
      </c>
      <c r="X216" s="6">
        <f>IF(ISERROR(VLOOKUP($U$216,'TAR FIN'!$A$1:$O$113,15,0)),0,VLOOKUP($U$216,'TAR FIN'!$A$1:$O$113,15,0))</f>
        <v>0</v>
      </c>
      <c r="Y216" s="6"/>
      <c r="Z216" s="6">
        <f ca="1">('TUSD BE'!$AM$29+'TUSD BF'!$AM$29+'TUSD CVA'!$AM$29)*1</f>
        <v>1888.1712570698433</v>
      </c>
      <c r="AA216" s="6"/>
      <c r="AB216" s="6">
        <f t="shared" si="10"/>
        <v>0</v>
      </c>
      <c r="AC216" s="6">
        <f t="shared" si="11"/>
        <v>2676.7498520152963</v>
      </c>
      <c r="AD216" s="6">
        <f t="shared" si="12"/>
        <v>0</v>
      </c>
      <c r="AE216" s="6">
        <f t="shared" ca="1" si="13"/>
        <v>3150.0705115373639</v>
      </c>
      <c r="AF216" s="4" t="s">
        <v>851</v>
      </c>
    </row>
    <row r="217" spans="1:32" ht="11.25" customHeight="1" x14ac:dyDescent="0.3">
      <c r="A217" s="4" t="s">
        <v>21</v>
      </c>
      <c r="B217" s="4" t="s">
        <v>43</v>
      </c>
      <c r="C217" s="4" t="s">
        <v>41</v>
      </c>
      <c r="D217" s="4" t="s">
        <v>38</v>
      </c>
      <c r="E217" s="4" t="s">
        <v>25</v>
      </c>
      <c r="F217" s="4" t="s">
        <v>56</v>
      </c>
      <c r="G217" s="4" t="s">
        <v>25</v>
      </c>
      <c r="H217" s="4" t="s">
        <v>34</v>
      </c>
      <c r="I217" s="5">
        <v>44562</v>
      </c>
      <c r="J217" s="6">
        <v>0</v>
      </c>
      <c r="K217" s="6">
        <v>0</v>
      </c>
      <c r="L217" s="6">
        <v>4.0090000000000003</v>
      </c>
      <c r="M217" s="6">
        <v>2.13658183697</v>
      </c>
      <c r="N217" s="6">
        <v>0</v>
      </c>
      <c r="O217" s="6">
        <v>0</v>
      </c>
      <c r="P217" s="6">
        <v>0</v>
      </c>
      <c r="Q217" s="4" t="s">
        <v>55</v>
      </c>
      <c r="R217" s="4">
        <v>0</v>
      </c>
      <c r="S217" s="4">
        <v>0</v>
      </c>
      <c r="T217" s="4">
        <v>32</v>
      </c>
      <c r="U217" s="4">
        <v>0</v>
      </c>
      <c r="V217" s="6">
        <f>IF(ISERROR(VLOOKUP($S$217,'TAR FIN'!$A$1:$O$113,15,0)),0,VLOOKUP($S$217,'TAR FIN'!$A$1:$O$113,15,0))</f>
        <v>0</v>
      </c>
      <c r="W217" s="6">
        <f>IF(ISERROR(VLOOKUP($T$217,'TAR FIN'!$A$1:$O$113,15,0)),0,VLOOKUP($T$217,'TAR FIN'!$A$1:$O$113,15,0))</f>
        <v>1604.46</v>
      </c>
      <c r="X217" s="6">
        <f>IF(ISERROR(VLOOKUP($U$217,'TAR FIN'!$A$1:$O$113,15,0)),0,VLOOKUP($U$217,'TAR FIN'!$A$1:$O$113,15,0))</f>
        <v>0</v>
      </c>
      <c r="Y217" s="6"/>
      <c r="Z217" s="6">
        <f ca="1">('TUSD BE'!$AM$29+'TUSD BF'!$AM$29+'TUSD CVA'!$AM$29)*1</f>
        <v>1888.1712570698433</v>
      </c>
      <c r="AA217" s="6"/>
      <c r="AB217" s="6">
        <f t="shared" si="10"/>
        <v>0</v>
      </c>
      <c r="AC217" s="6">
        <f t="shared" si="11"/>
        <v>3004.2200458551142</v>
      </c>
      <c r="AD217" s="6">
        <f t="shared" si="12"/>
        <v>0</v>
      </c>
      <c r="AE217" s="6">
        <f t="shared" ca="1" si="13"/>
        <v>3535.4461566487626</v>
      </c>
      <c r="AF217" s="4" t="s">
        <v>851</v>
      </c>
    </row>
    <row r="218" spans="1:32" ht="11.25" customHeight="1" x14ac:dyDescent="0.3">
      <c r="A218" s="4" t="s">
        <v>21</v>
      </c>
      <c r="B218" s="4" t="s">
        <v>43</v>
      </c>
      <c r="C218" s="4" t="s">
        <v>41</v>
      </c>
      <c r="D218" s="4" t="s">
        <v>38</v>
      </c>
      <c r="E218" s="4" t="s">
        <v>25</v>
      </c>
      <c r="F218" s="4" t="s">
        <v>56</v>
      </c>
      <c r="G218" s="4" t="s">
        <v>25</v>
      </c>
      <c r="H218" s="4" t="s">
        <v>34</v>
      </c>
      <c r="I218" s="5">
        <v>44593</v>
      </c>
      <c r="J218" s="6">
        <v>0</v>
      </c>
      <c r="K218" s="6">
        <v>0</v>
      </c>
      <c r="L218" s="6">
        <v>3.74</v>
      </c>
      <c r="M218" s="6">
        <v>1.997052101</v>
      </c>
      <c r="N218" s="6">
        <v>0</v>
      </c>
      <c r="O218" s="6">
        <v>0</v>
      </c>
      <c r="P218" s="6">
        <v>0</v>
      </c>
      <c r="Q218" s="4" t="s">
        <v>55</v>
      </c>
      <c r="R218" s="4">
        <v>0</v>
      </c>
      <c r="S218" s="4">
        <v>0</v>
      </c>
      <c r="T218" s="4">
        <v>32</v>
      </c>
      <c r="U218" s="4">
        <v>0</v>
      </c>
      <c r="V218" s="6">
        <f>IF(ISERROR(VLOOKUP($S$218,'TAR FIN'!$A$1:$O$113,15,0)),0,VLOOKUP($S$218,'TAR FIN'!$A$1:$O$113,15,0))</f>
        <v>0</v>
      </c>
      <c r="W218" s="6">
        <f>IF(ISERROR(VLOOKUP($T$218,'TAR FIN'!$A$1:$O$113,15,0)),0,VLOOKUP($T$218,'TAR FIN'!$A$1:$O$113,15,0))</f>
        <v>1604.46</v>
      </c>
      <c r="X218" s="6">
        <f>IF(ISERROR(VLOOKUP($U$218,'TAR FIN'!$A$1:$O$113,15,0)),0,VLOOKUP($U$218,'TAR FIN'!$A$1:$O$113,15,0))</f>
        <v>0</v>
      </c>
      <c r="Y218" s="6"/>
      <c r="Z218" s="6">
        <f ca="1">('TUSD BE'!$AM$29+'TUSD BF'!$AM$29+'TUSD CVA'!$AM$29)*1</f>
        <v>1888.1712570698433</v>
      </c>
      <c r="AA218" s="6"/>
      <c r="AB218" s="6">
        <f t="shared" si="10"/>
        <v>0</v>
      </c>
      <c r="AC218" s="6">
        <f t="shared" si="11"/>
        <v>2796.4901860295404</v>
      </c>
      <c r="AD218" s="6">
        <f t="shared" si="12"/>
        <v>0</v>
      </c>
      <c r="AE218" s="6">
        <f t="shared" ca="1" si="13"/>
        <v>3290.9841254620728</v>
      </c>
      <c r="AF218" s="4" t="s">
        <v>851</v>
      </c>
    </row>
    <row r="219" spans="1:32" ht="11.25" customHeight="1" x14ac:dyDescent="0.3">
      <c r="A219" s="4" t="s">
        <v>21</v>
      </c>
      <c r="B219" s="4" t="s">
        <v>43</v>
      </c>
      <c r="C219" s="4" t="s">
        <v>41</v>
      </c>
      <c r="D219" s="4" t="s">
        <v>38</v>
      </c>
      <c r="E219" s="4" t="s">
        <v>25</v>
      </c>
      <c r="F219" s="4" t="s">
        <v>56</v>
      </c>
      <c r="G219" s="4" t="s">
        <v>25</v>
      </c>
      <c r="H219" s="4" t="s">
        <v>34</v>
      </c>
      <c r="I219" s="5">
        <v>44621</v>
      </c>
      <c r="J219" s="6">
        <v>0</v>
      </c>
      <c r="K219" s="6">
        <v>0</v>
      </c>
      <c r="L219" s="6">
        <v>3.448</v>
      </c>
      <c r="M219" s="6">
        <v>1.84013581184</v>
      </c>
      <c r="N219" s="6">
        <v>0</v>
      </c>
      <c r="O219" s="6">
        <v>0</v>
      </c>
      <c r="P219" s="6">
        <v>0</v>
      </c>
      <c r="Q219" s="4" t="s">
        <v>55</v>
      </c>
      <c r="R219" s="4">
        <v>0</v>
      </c>
      <c r="S219" s="4">
        <v>0</v>
      </c>
      <c r="T219" s="4">
        <v>32</v>
      </c>
      <c r="U219" s="4">
        <v>0</v>
      </c>
      <c r="V219" s="6">
        <f>IF(ISERROR(VLOOKUP($S$219,'TAR FIN'!$A$1:$O$113,15,0)),0,VLOOKUP($S$219,'TAR FIN'!$A$1:$O$113,15,0))</f>
        <v>0</v>
      </c>
      <c r="W219" s="6">
        <f>IF(ISERROR(VLOOKUP($T$219,'TAR FIN'!$A$1:$O$113,15,0)),0,VLOOKUP($T$219,'TAR FIN'!$A$1:$O$113,15,0))</f>
        <v>1604.46</v>
      </c>
      <c r="X219" s="6">
        <f>IF(ISERROR(VLOOKUP($U$219,'TAR FIN'!$A$1:$O$113,15,0)),0,VLOOKUP($U$219,'TAR FIN'!$A$1:$O$113,15,0))</f>
        <v>0</v>
      </c>
      <c r="Y219" s="6"/>
      <c r="Z219" s="6">
        <f ca="1">('TUSD BE'!$AM$29+'TUSD BF'!$AM$29+'TUSD CVA'!$AM$29)*1</f>
        <v>1888.1712570698433</v>
      </c>
      <c r="AA219" s="6"/>
      <c r="AB219" s="6">
        <f t="shared" si="10"/>
        <v>0</v>
      </c>
      <c r="AC219" s="6">
        <f t="shared" si="11"/>
        <v>2579.7537753351935</v>
      </c>
      <c r="AD219" s="6">
        <f t="shared" si="12"/>
        <v>0</v>
      </c>
      <c r="AE219" s="6">
        <f t="shared" ca="1" si="13"/>
        <v>3035.92294535565</v>
      </c>
      <c r="AF219" s="4" t="s">
        <v>851</v>
      </c>
    </row>
    <row r="220" spans="1:32" ht="11.25" customHeight="1" x14ac:dyDescent="0.3">
      <c r="A220" s="4" t="s">
        <v>21</v>
      </c>
      <c r="B220" s="4" t="s">
        <v>43</v>
      </c>
      <c r="C220" s="4" t="s">
        <v>41</v>
      </c>
      <c r="D220" s="4" t="s">
        <v>38</v>
      </c>
      <c r="E220" s="4" t="s">
        <v>25</v>
      </c>
      <c r="F220" s="4" t="s">
        <v>56</v>
      </c>
      <c r="G220" s="4" t="s">
        <v>25</v>
      </c>
      <c r="H220" s="4" t="s">
        <v>34</v>
      </c>
      <c r="I220" s="5">
        <v>44652</v>
      </c>
      <c r="J220" s="6">
        <v>0</v>
      </c>
      <c r="K220" s="6">
        <v>0</v>
      </c>
      <c r="L220" s="6">
        <v>4.17</v>
      </c>
      <c r="M220" s="6">
        <v>2.2247637216</v>
      </c>
      <c r="N220" s="6">
        <v>0</v>
      </c>
      <c r="O220" s="6">
        <v>0</v>
      </c>
      <c r="P220" s="6">
        <v>0</v>
      </c>
      <c r="Q220" s="4" t="s">
        <v>55</v>
      </c>
      <c r="R220" s="4">
        <v>0</v>
      </c>
      <c r="S220" s="4">
        <v>0</v>
      </c>
      <c r="T220" s="4">
        <v>32</v>
      </c>
      <c r="U220" s="4">
        <v>0</v>
      </c>
      <c r="V220" s="6">
        <f>IF(ISERROR(VLOOKUP($S$220,'TAR FIN'!$A$1:$O$113,15,0)),0,VLOOKUP($S$220,'TAR FIN'!$A$1:$O$113,15,0))</f>
        <v>0</v>
      </c>
      <c r="W220" s="6">
        <f>IF(ISERROR(VLOOKUP($T$220,'TAR FIN'!$A$1:$O$113,15,0)),0,VLOOKUP($T$220,'TAR FIN'!$A$1:$O$113,15,0))</f>
        <v>1604.46</v>
      </c>
      <c r="X220" s="6">
        <f>IF(ISERROR(VLOOKUP($U$220,'TAR FIN'!$A$1:$O$113,15,0)),0,VLOOKUP($U$220,'TAR FIN'!$A$1:$O$113,15,0))</f>
        <v>0</v>
      </c>
      <c r="Y220" s="6"/>
      <c r="Z220" s="6">
        <f ca="1">('TUSD BE'!$AM$29+'TUSD BF'!$AM$29+'TUSD CVA'!$AM$29)*1</f>
        <v>1888.1712570698433</v>
      </c>
      <c r="AA220" s="6"/>
      <c r="AB220" s="6">
        <f t="shared" si="10"/>
        <v>0</v>
      </c>
      <c r="AC220" s="6">
        <f t="shared" si="11"/>
        <v>3121.0537992416639</v>
      </c>
      <c r="AD220" s="6">
        <f t="shared" si="12"/>
        <v>0</v>
      </c>
      <c r="AE220" s="6">
        <f t="shared" ca="1" si="13"/>
        <v>3672.9392290843912</v>
      </c>
      <c r="AF220" s="4" t="s">
        <v>851</v>
      </c>
    </row>
    <row r="221" spans="1:32" ht="11.25" customHeight="1" x14ac:dyDescent="0.3">
      <c r="A221" s="4" t="s">
        <v>21</v>
      </c>
      <c r="B221" s="4" t="s">
        <v>43</v>
      </c>
      <c r="C221" s="4" t="s">
        <v>41</v>
      </c>
      <c r="D221" s="4" t="s">
        <v>38</v>
      </c>
      <c r="E221" s="4" t="s">
        <v>25</v>
      </c>
      <c r="F221" s="4" t="s">
        <v>56</v>
      </c>
      <c r="G221" s="4" t="s">
        <v>25</v>
      </c>
      <c r="H221" s="4" t="s">
        <v>34</v>
      </c>
      <c r="I221" s="5">
        <v>44682</v>
      </c>
      <c r="J221" s="6">
        <v>0</v>
      </c>
      <c r="K221" s="6">
        <v>0</v>
      </c>
      <c r="L221" s="6">
        <v>3.2719999999999998</v>
      </c>
      <c r="M221" s="6">
        <v>1.74741762048</v>
      </c>
      <c r="N221" s="6">
        <v>0</v>
      </c>
      <c r="O221" s="6">
        <v>0</v>
      </c>
      <c r="P221" s="6">
        <v>0</v>
      </c>
      <c r="Q221" s="4" t="s">
        <v>55</v>
      </c>
      <c r="R221" s="4">
        <v>0</v>
      </c>
      <c r="S221" s="4">
        <v>0</v>
      </c>
      <c r="T221" s="4">
        <v>32</v>
      </c>
      <c r="U221" s="4">
        <v>0</v>
      </c>
      <c r="V221" s="6">
        <f>IF(ISERROR(VLOOKUP($S$221,'TAR FIN'!$A$1:$O$113,15,0)),0,VLOOKUP($S$221,'TAR FIN'!$A$1:$O$113,15,0))</f>
        <v>0</v>
      </c>
      <c r="W221" s="6">
        <f>IF(ISERROR(VLOOKUP($T$221,'TAR FIN'!$A$1:$O$113,15,0)),0,VLOOKUP($T$221,'TAR FIN'!$A$1:$O$113,15,0))</f>
        <v>1604.46</v>
      </c>
      <c r="X221" s="6">
        <f>IF(ISERROR(VLOOKUP($U$221,'TAR FIN'!$A$1:$O$113,15,0)),0,VLOOKUP($U$221,'TAR FIN'!$A$1:$O$113,15,0))</f>
        <v>0</v>
      </c>
      <c r="Y221" s="6"/>
      <c r="Z221" s="6">
        <f ca="1">('TUSD BE'!$AM$29+'TUSD BF'!$AM$29+'TUSD CVA'!$AM$29)*1</f>
        <v>1888.1712570698433</v>
      </c>
      <c r="AA221" s="6"/>
      <c r="AB221" s="6">
        <f t="shared" si="10"/>
        <v>0</v>
      </c>
      <c r="AC221" s="6">
        <f t="shared" si="11"/>
        <v>2446.131444644659</v>
      </c>
      <c r="AD221" s="6">
        <f t="shared" si="12"/>
        <v>0</v>
      </c>
      <c r="AE221" s="6">
        <f t="shared" ca="1" si="13"/>
        <v>2878.6726280448106</v>
      </c>
      <c r="AF221" s="4" t="s">
        <v>851</v>
      </c>
    </row>
    <row r="222" spans="1:32" ht="11.25" customHeight="1" x14ac:dyDescent="0.3">
      <c r="A222" s="4" t="s">
        <v>21</v>
      </c>
      <c r="B222" s="4" t="s">
        <v>43</v>
      </c>
      <c r="C222" s="4" t="s">
        <v>41</v>
      </c>
      <c r="D222" s="4" t="s">
        <v>38</v>
      </c>
      <c r="E222" s="4" t="s">
        <v>25</v>
      </c>
      <c r="F222" s="4" t="s">
        <v>56</v>
      </c>
      <c r="G222" s="4" t="s">
        <v>25</v>
      </c>
      <c r="H222" s="4" t="s">
        <v>34</v>
      </c>
      <c r="I222" s="5">
        <v>44713</v>
      </c>
      <c r="J222" s="6">
        <v>0</v>
      </c>
      <c r="K222" s="6">
        <v>0</v>
      </c>
      <c r="L222" s="6">
        <v>2.6539999999999999</v>
      </c>
      <c r="M222" s="6">
        <v>1.6084939090799999</v>
      </c>
      <c r="N222" s="6">
        <v>0</v>
      </c>
      <c r="O222" s="6">
        <v>0</v>
      </c>
      <c r="P222" s="6">
        <v>0</v>
      </c>
      <c r="Q222" s="4" t="s">
        <v>55</v>
      </c>
      <c r="R222" s="4">
        <v>0</v>
      </c>
      <c r="S222" s="4">
        <v>0</v>
      </c>
      <c r="T222" s="4">
        <v>32</v>
      </c>
      <c r="U222" s="4">
        <v>0</v>
      </c>
      <c r="V222" s="6">
        <f>IF(ISERROR(VLOOKUP($S$222,'TAR FIN'!$A$1:$O$113,15,0)),0,VLOOKUP($S$222,'TAR FIN'!$A$1:$O$113,15,0))</f>
        <v>0</v>
      </c>
      <c r="W222" s="6">
        <f>IF(ISERROR(VLOOKUP($T$222,'TAR FIN'!$A$1:$O$113,15,0)),0,VLOOKUP($T$222,'TAR FIN'!$A$1:$O$113,15,0))</f>
        <v>1604.46</v>
      </c>
      <c r="X222" s="6">
        <f>IF(ISERROR(VLOOKUP($U$222,'TAR FIN'!$A$1:$O$113,15,0)),0,VLOOKUP($U$222,'TAR FIN'!$A$1:$O$113,15,0))</f>
        <v>0</v>
      </c>
      <c r="Y222" s="6"/>
      <c r="Z222" s="6">
        <f ca="1">('TUSD BE'!$AM$29+'TUSD BF'!$AM$29+'TUSD CVA'!$AM$29)*1</f>
        <v>1888.1712570698433</v>
      </c>
      <c r="AA222" s="6"/>
      <c r="AB222" s="6">
        <f t="shared" si="10"/>
        <v>0</v>
      </c>
      <c r="AC222" s="6">
        <f t="shared" si="11"/>
        <v>1677.4727026375033</v>
      </c>
      <c r="AD222" s="6">
        <f t="shared" si="12"/>
        <v>0</v>
      </c>
      <c r="AE222" s="6">
        <f t="shared" ca="1" si="13"/>
        <v>1974.0945499665943</v>
      </c>
      <c r="AF222" s="4" t="s">
        <v>851</v>
      </c>
    </row>
    <row r="223" spans="1:32" ht="11.25" customHeight="1" x14ac:dyDescent="0.3">
      <c r="A223" s="4" t="s">
        <v>21</v>
      </c>
      <c r="B223" s="4" t="s">
        <v>43</v>
      </c>
      <c r="C223" s="4" t="s">
        <v>41</v>
      </c>
      <c r="D223" s="4" t="s">
        <v>38</v>
      </c>
      <c r="E223" s="4" t="s">
        <v>25</v>
      </c>
      <c r="F223" s="4" t="s">
        <v>56</v>
      </c>
      <c r="G223" s="4" t="s">
        <v>25</v>
      </c>
      <c r="H223" s="4" t="s">
        <v>34</v>
      </c>
      <c r="I223" s="5">
        <v>44743</v>
      </c>
      <c r="J223" s="6">
        <v>0</v>
      </c>
      <c r="K223" s="6">
        <v>0</v>
      </c>
      <c r="L223" s="6">
        <v>2.7570000000000001</v>
      </c>
      <c r="M223" s="6">
        <v>1.4697052819500001</v>
      </c>
      <c r="N223" s="6">
        <v>0</v>
      </c>
      <c r="O223" s="6">
        <v>0</v>
      </c>
      <c r="P223" s="6">
        <v>0</v>
      </c>
      <c r="Q223" s="4" t="s">
        <v>55</v>
      </c>
      <c r="R223" s="4">
        <v>0</v>
      </c>
      <c r="S223" s="4">
        <v>0</v>
      </c>
      <c r="T223" s="4">
        <v>32</v>
      </c>
      <c r="U223" s="4">
        <v>0</v>
      </c>
      <c r="V223" s="6">
        <f>IF(ISERROR(VLOOKUP($S$223,'TAR FIN'!$A$1:$O$113,15,0)),0,VLOOKUP($S$223,'TAR FIN'!$A$1:$O$113,15,0))</f>
        <v>0</v>
      </c>
      <c r="W223" s="6">
        <f>IF(ISERROR(VLOOKUP($T$223,'TAR FIN'!$A$1:$O$113,15,0)),0,VLOOKUP($T$223,'TAR FIN'!$A$1:$O$113,15,0))</f>
        <v>1604.46</v>
      </c>
      <c r="X223" s="6">
        <f>IF(ISERROR(VLOOKUP($U$223,'TAR FIN'!$A$1:$O$113,15,0)),0,VLOOKUP($U$223,'TAR FIN'!$A$1:$O$113,15,0))</f>
        <v>0</v>
      </c>
      <c r="Y223" s="6"/>
      <c r="Z223" s="6">
        <f ca="1">('TUSD BE'!$AM$29+'TUSD BF'!$AM$29+'TUSD CVA'!$AM$29)*1</f>
        <v>1888.1712570698433</v>
      </c>
      <c r="AA223" s="6"/>
      <c r="AB223" s="6">
        <f t="shared" si="10"/>
        <v>0</v>
      </c>
      <c r="AC223" s="6">
        <f t="shared" si="11"/>
        <v>2065.4128833225031</v>
      </c>
      <c r="AD223" s="6">
        <f t="shared" si="12"/>
        <v>0</v>
      </c>
      <c r="AE223" s="6">
        <f t="shared" ca="1" si="13"/>
        <v>2430.632885999838</v>
      </c>
      <c r="AF223" s="4" t="s">
        <v>851</v>
      </c>
    </row>
    <row r="224" spans="1:32" ht="11.25" customHeight="1" x14ac:dyDescent="0.3">
      <c r="A224" s="4" t="s">
        <v>21</v>
      </c>
      <c r="B224" s="4" t="s">
        <v>43</v>
      </c>
      <c r="C224" s="4" t="s">
        <v>41</v>
      </c>
      <c r="D224" s="4" t="s">
        <v>38</v>
      </c>
      <c r="E224" s="4" t="s">
        <v>25</v>
      </c>
      <c r="F224" s="4" t="s">
        <v>56</v>
      </c>
      <c r="G224" s="4" t="s">
        <v>25</v>
      </c>
      <c r="H224" s="4" t="s">
        <v>34</v>
      </c>
      <c r="I224" s="5">
        <v>44774</v>
      </c>
      <c r="J224" s="6">
        <v>0</v>
      </c>
      <c r="K224" s="6">
        <v>0</v>
      </c>
      <c r="L224" s="6">
        <v>2.895</v>
      </c>
      <c r="M224" s="6">
        <v>1.4671483649999999</v>
      </c>
      <c r="N224" s="6">
        <v>0</v>
      </c>
      <c r="O224" s="6">
        <v>0</v>
      </c>
      <c r="P224" s="6">
        <v>0</v>
      </c>
      <c r="Q224" s="4" t="s">
        <v>55</v>
      </c>
      <c r="R224" s="4">
        <v>0</v>
      </c>
      <c r="S224" s="4">
        <v>0</v>
      </c>
      <c r="T224" s="4">
        <v>32</v>
      </c>
      <c r="U224" s="4">
        <v>0</v>
      </c>
      <c r="V224" s="6">
        <f>IF(ISERROR(VLOOKUP($S$224,'TAR FIN'!$A$1:$O$113,15,0)),0,VLOOKUP($S$224,'TAR FIN'!$A$1:$O$113,15,0))</f>
        <v>0</v>
      </c>
      <c r="W224" s="6">
        <f>IF(ISERROR(VLOOKUP($T$224,'TAR FIN'!$A$1:$O$113,15,0)),0,VLOOKUP($T$224,'TAR FIN'!$A$1:$O$113,15,0))</f>
        <v>1604.46</v>
      </c>
      <c r="X224" s="6">
        <f>IF(ISERROR(VLOOKUP($U$224,'TAR FIN'!$A$1:$O$113,15,0)),0,VLOOKUP($U$224,'TAR FIN'!$A$1:$O$113,15,0))</f>
        <v>0</v>
      </c>
      <c r="Y224" s="6"/>
      <c r="Z224" s="6">
        <f ca="1">('TUSD BE'!$AM$29+'TUSD BF'!$AM$29+'TUSD CVA'!$AM$29)*1</f>
        <v>1888.1712570698433</v>
      </c>
      <c r="AA224" s="6"/>
      <c r="AB224" s="6">
        <f t="shared" si="10"/>
        <v>0</v>
      </c>
      <c r="AC224" s="6">
        <f t="shared" si="11"/>
        <v>2290.9308342921004</v>
      </c>
      <c r="AD224" s="6">
        <f t="shared" si="12"/>
        <v>0</v>
      </c>
      <c r="AE224" s="6">
        <f t="shared" ca="1" si="13"/>
        <v>2696.028416567181</v>
      </c>
      <c r="AF224" s="4" t="s">
        <v>851</v>
      </c>
    </row>
    <row r="225" spans="1:32" ht="11.25" customHeight="1" x14ac:dyDescent="0.3">
      <c r="A225" s="4" t="s">
        <v>21</v>
      </c>
      <c r="B225" s="4" t="s">
        <v>43</v>
      </c>
      <c r="C225" s="4" t="s">
        <v>41</v>
      </c>
      <c r="D225" s="4" t="s">
        <v>38</v>
      </c>
      <c r="E225" s="4" t="s">
        <v>25</v>
      </c>
      <c r="F225" s="4" t="s">
        <v>56</v>
      </c>
      <c r="G225" s="4" t="s">
        <v>25</v>
      </c>
      <c r="H225" s="4" t="s">
        <v>34</v>
      </c>
      <c r="I225" s="5">
        <v>44805</v>
      </c>
      <c r="J225" s="6">
        <v>0</v>
      </c>
      <c r="K225" s="6">
        <v>0</v>
      </c>
      <c r="L225" s="6">
        <v>3.3159999999999998</v>
      </c>
      <c r="M225" s="6">
        <v>1.7672610393999999</v>
      </c>
      <c r="N225" s="6">
        <v>0</v>
      </c>
      <c r="O225" s="6">
        <v>0</v>
      </c>
      <c r="P225" s="6">
        <v>0</v>
      </c>
      <c r="Q225" s="4" t="s">
        <v>55</v>
      </c>
      <c r="R225" s="4">
        <v>0</v>
      </c>
      <c r="S225" s="4">
        <v>0</v>
      </c>
      <c r="T225" s="4">
        <v>32</v>
      </c>
      <c r="U225" s="4">
        <v>0</v>
      </c>
      <c r="V225" s="6">
        <f>IF(ISERROR(VLOOKUP($S$225,'TAR FIN'!$A$1:$O$113,15,0)),0,VLOOKUP($S$225,'TAR FIN'!$A$1:$O$113,15,0))</f>
        <v>0</v>
      </c>
      <c r="W225" s="6">
        <f>IF(ISERROR(VLOOKUP($T$225,'TAR FIN'!$A$1:$O$113,15,0)),0,VLOOKUP($T$225,'TAR FIN'!$A$1:$O$113,15,0))</f>
        <v>1604.46</v>
      </c>
      <c r="X225" s="6">
        <f>IF(ISERROR(VLOOKUP($U$225,'TAR FIN'!$A$1:$O$113,15,0)),0,VLOOKUP($U$225,'TAR FIN'!$A$1:$O$113,15,0))</f>
        <v>0</v>
      </c>
      <c r="Y225" s="6"/>
      <c r="Z225" s="6">
        <f ca="1">('TUSD BE'!$AM$29+'TUSD BF'!$AM$29+'TUSD CVA'!$AM$29)*1</f>
        <v>1888.1712570698433</v>
      </c>
      <c r="AA225" s="6"/>
      <c r="AB225" s="6">
        <f t="shared" si="10"/>
        <v>0</v>
      </c>
      <c r="AC225" s="6">
        <f t="shared" si="11"/>
        <v>2484.8897127242758</v>
      </c>
      <c r="AD225" s="6">
        <f t="shared" si="12"/>
        <v>0</v>
      </c>
      <c r="AE225" s="6">
        <f t="shared" ca="1" si="13"/>
        <v>2924.2843901091442</v>
      </c>
      <c r="AF225" s="4" t="s">
        <v>851</v>
      </c>
    </row>
    <row r="226" spans="1:32" ht="11.25" customHeight="1" x14ac:dyDescent="0.3">
      <c r="A226" s="4" t="s">
        <v>53</v>
      </c>
      <c r="B226" s="4" t="s">
        <v>43</v>
      </c>
      <c r="C226" s="4" t="s">
        <v>41</v>
      </c>
      <c r="D226" s="4" t="s">
        <v>38</v>
      </c>
      <c r="E226" s="4" t="s">
        <v>25</v>
      </c>
      <c r="F226" s="4" t="s">
        <v>56</v>
      </c>
      <c r="G226" s="4" t="s">
        <v>25</v>
      </c>
      <c r="H226" s="4" t="s">
        <v>34</v>
      </c>
      <c r="I226" s="5">
        <v>44835</v>
      </c>
      <c r="J226" s="6">
        <v>0</v>
      </c>
      <c r="K226" s="6">
        <v>0</v>
      </c>
      <c r="L226" s="6">
        <v>3.3159999999999998</v>
      </c>
      <c r="M226" s="6">
        <v>1.7672610393999999</v>
      </c>
      <c r="N226" s="6">
        <v>0</v>
      </c>
      <c r="O226" s="6">
        <v>0</v>
      </c>
      <c r="P226" s="6">
        <v>0</v>
      </c>
      <c r="Q226" s="4" t="s">
        <v>55</v>
      </c>
      <c r="R226" s="4">
        <v>0</v>
      </c>
      <c r="S226" s="4">
        <v>0</v>
      </c>
      <c r="T226" s="4">
        <v>32</v>
      </c>
      <c r="U226" s="4">
        <v>0</v>
      </c>
      <c r="V226" s="6">
        <f>IF(ISERROR(VLOOKUP($S$226,'TAR FIN'!$A$1:$O$113,15,0)),0,VLOOKUP($S$226,'TAR FIN'!$A$1:$O$113,15,0))</f>
        <v>0</v>
      </c>
      <c r="W226" s="6">
        <f>IF(ISERROR(VLOOKUP($T$226,'TAR FIN'!$A$1:$O$113,15,0)),0,VLOOKUP($T$226,'TAR FIN'!$A$1:$O$113,15,0))</f>
        <v>1604.46</v>
      </c>
      <c r="X226" s="6">
        <f>IF(ISERROR(VLOOKUP($U$226,'TAR FIN'!$A$1:$O$113,15,0)),0,VLOOKUP($U$226,'TAR FIN'!$A$1:$O$113,15,0))</f>
        <v>0</v>
      </c>
      <c r="Y226" s="6"/>
      <c r="Z226" s="6">
        <f ca="1">('TUSD BE'!$AM$29+'TUSD BF'!$AM$29+'TUSD CVA'!$AM$29)*1</f>
        <v>1888.1712570698433</v>
      </c>
      <c r="AA226" s="6"/>
      <c r="AB226" s="6">
        <f t="shared" si="10"/>
        <v>0</v>
      </c>
      <c r="AC226" s="6">
        <f t="shared" si="11"/>
        <v>2484.8897127242758</v>
      </c>
      <c r="AD226" s="6">
        <f t="shared" si="12"/>
        <v>0</v>
      </c>
      <c r="AE226" s="6">
        <f t="shared" ca="1" si="13"/>
        <v>2924.2843901091442</v>
      </c>
      <c r="AF226" s="4" t="s">
        <v>851</v>
      </c>
    </row>
    <row r="227" spans="1:32" ht="11.25" customHeight="1" x14ac:dyDescent="0.3">
      <c r="A227" s="4" t="s">
        <v>21</v>
      </c>
      <c r="B227" s="4" t="s">
        <v>22</v>
      </c>
      <c r="C227" s="4" t="s">
        <v>23</v>
      </c>
      <c r="D227" s="4" t="s">
        <v>24</v>
      </c>
      <c r="E227" s="4" t="s">
        <v>24</v>
      </c>
      <c r="F227" s="4" t="s">
        <v>25</v>
      </c>
      <c r="G227" s="4" t="s">
        <v>25</v>
      </c>
      <c r="H227" s="4" t="s">
        <v>25</v>
      </c>
      <c r="I227" s="5">
        <v>44501</v>
      </c>
      <c r="J227" s="6">
        <v>0</v>
      </c>
      <c r="K227" s="6">
        <v>0</v>
      </c>
      <c r="L227" s="6">
        <v>10420.1</v>
      </c>
      <c r="M227" s="6">
        <v>10420.1</v>
      </c>
      <c r="N227" s="6">
        <v>10420.1</v>
      </c>
      <c r="O227" s="6">
        <v>10420.1</v>
      </c>
      <c r="P227" s="6">
        <v>68790</v>
      </c>
      <c r="Q227" s="4" t="s">
        <v>26</v>
      </c>
      <c r="R227" s="4">
        <v>0</v>
      </c>
      <c r="S227" s="4">
        <v>0</v>
      </c>
      <c r="T227" s="4">
        <v>46</v>
      </c>
      <c r="U227" s="4">
        <v>111</v>
      </c>
      <c r="V227" s="6">
        <f>IF(ISERROR(VLOOKUP($S$227,'TAR FIN'!$A$1:$O$113,15,0)),0,VLOOKUP($S$227,'TAR FIN'!$A$1:$O$113,15,0))</f>
        <v>0</v>
      </c>
      <c r="W227" s="6">
        <f>IF(ISERROR(VLOOKUP($T$227,'TAR FIN'!$A$1:$O$113,15,0)),0,VLOOKUP($T$227,'TAR FIN'!$A$1:$O$113,15,0))</f>
        <v>300.3</v>
      </c>
      <c r="X227" s="6">
        <f>IF(ISERROR(VLOOKUP($U$227,'TAR FIN'!$A$1:$O$113,15,0)),0,VLOOKUP($U$227,'TAR FIN'!$A$1:$O$113,15,0))</f>
        <v>292.36</v>
      </c>
      <c r="Y227" s="6"/>
      <c r="Z227" s="6">
        <f ca="1">('TUSD BE'!$AM$40+'TUSD BF'!$AM$40+'TUSD CVA'!$AM$40)*1</f>
        <v>393.28439820871614</v>
      </c>
      <c r="AA227" s="6">
        <f>('TE BE'!$AB$18+'TE BF'!$AB$18+'TE CVA'!$AB$18)*1</f>
        <v>314.78517822974521</v>
      </c>
      <c r="AB227" s="6">
        <f t="shared" si="10"/>
        <v>0</v>
      </c>
      <c r="AC227" s="6">
        <f t="shared" si="11"/>
        <v>0</v>
      </c>
      <c r="AD227" s="6">
        <f t="shared" si="12"/>
        <v>0</v>
      </c>
      <c r="AE227" s="6">
        <f t="shared" ca="1" si="13"/>
        <v>0</v>
      </c>
    </row>
    <row r="228" spans="1:32" ht="11.25" customHeight="1" x14ac:dyDescent="0.3">
      <c r="A228" s="4" t="s">
        <v>21</v>
      </c>
      <c r="B228" s="4" t="s">
        <v>22</v>
      </c>
      <c r="C228" s="4" t="s">
        <v>23</v>
      </c>
      <c r="D228" s="4" t="s">
        <v>24</v>
      </c>
      <c r="E228" s="4" t="s">
        <v>29</v>
      </c>
      <c r="F228" s="4" t="s">
        <v>25</v>
      </c>
      <c r="G228" s="4" t="s">
        <v>25</v>
      </c>
      <c r="H228" s="4" t="s">
        <v>25</v>
      </c>
      <c r="I228" s="5">
        <v>44501</v>
      </c>
      <c r="J228" s="6">
        <v>0</v>
      </c>
      <c r="K228" s="6">
        <v>0</v>
      </c>
      <c r="L228" s="6">
        <v>161.34700000000001</v>
      </c>
      <c r="M228" s="6">
        <v>161.34700000000001</v>
      </c>
      <c r="N228" s="6">
        <v>161.34700000000001</v>
      </c>
      <c r="O228" s="6">
        <v>161.34700000000001</v>
      </c>
      <c r="P228" s="6">
        <v>141</v>
      </c>
      <c r="Q228" s="4" t="s">
        <v>26</v>
      </c>
      <c r="R228" s="4">
        <v>0</v>
      </c>
      <c r="S228" s="4">
        <v>0</v>
      </c>
      <c r="T228" s="4">
        <v>39</v>
      </c>
      <c r="U228" s="4">
        <v>98</v>
      </c>
      <c r="V228" s="6">
        <f>IF(ISERROR(VLOOKUP($S$228,'TAR FIN'!$A$1:$O$113,15,0)),0,VLOOKUP($S$228,'TAR FIN'!$A$1:$O$113,15,0))</f>
        <v>0</v>
      </c>
      <c r="W228" s="6">
        <f>IF(ISERROR(VLOOKUP($T$228,'TAR FIN'!$A$1:$O$113,15,0)),0,VLOOKUP($T$228,'TAR FIN'!$A$1:$O$113,15,0))</f>
        <v>79.06</v>
      </c>
      <c r="X228" s="6">
        <f>IF(ISERROR(VLOOKUP($U$228,'TAR FIN'!$A$1:$O$113,15,0)),0,VLOOKUP($U$228,'TAR FIN'!$A$1:$O$113,15,0))</f>
        <v>102.32</v>
      </c>
      <c r="Y228" s="6"/>
      <c r="Z228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228" s="6">
        <f>('TE BE'!$AB$19+'TE BF'!$AB$19+'TE CVA'!$AB$19)*(1-CUSTOS!$M$34)</f>
        <v>110.17481238041081</v>
      </c>
      <c r="AB228" s="6">
        <f t="shared" si="10"/>
        <v>0</v>
      </c>
      <c r="AC228" s="6">
        <f>(L228-M228)*(W228+X228)+($W$317+$X$317-$W$228-$X$228)*(L228)</f>
        <v>54349.736950000006</v>
      </c>
      <c r="AD228" s="6">
        <f t="shared" si="12"/>
        <v>0</v>
      </c>
      <c r="AE228" s="6">
        <f ca="1">(L228-M228)*(Z228+AA228)+($Z$317+$AA$317-$Z$228-$AA$228)*(L228)</f>
        <v>60276.014064699222</v>
      </c>
      <c r="AF228" s="4" t="s">
        <v>854</v>
      </c>
    </row>
    <row r="229" spans="1:32" ht="11.25" customHeight="1" x14ac:dyDescent="0.3">
      <c r="A229" s="4" t="s">
        <v>27</v>
      </c>
      <c r="B229" s="4" t="s">
        <v>22</v>
      </c>
      <c r="C229" s="4" t="s">
        <v>23</v>
      </c>
      <c r="D229" s="4" t="s">
        <v>24</v>
      </c>
      <c r="E229" s="4" t="s">
        <v>29</v>
      </c>
      <c r="F229" s="4" t="s">
        <v>25</v>
      </c>
      <c r="G229" s="4" t="s">
        <v>25</v>
      </c>
      <c r="H229" s="4" t="s">
        <v>25</v>
      </c>
      <c r="I229" s="5">
        <v>44501</v>
      </c>
      <c r="J229" s="6">
        <v>0</v>
      </c>
      <c r="K229" s="6">
        <v>0</v>
      </c>
      <c r="L229" s="6">
        <v>-0.03</v>
      </c>
      <c r="M229" s="6">
        <v>-0.03</v>
      </c>
      <c r="N229" s="6">
        <v>-0.03</v>
      </c>
      <c r="O229" s="6">
        <v>-0.03</v>
      </c>
      <c r="P229" s="6">
        <v>0</v>
      </c>
      <c r="Q229" s="4" t="s">
        <v>26</v>
      </c>
      <c r="R229" s="4">
        <v>0</v>
      </c>
      <c r="S229" s="4">
        <v>0</v>
      </c>
      <c r="T229" s="4">
        <v>39</v>
      </c>
      <c r="U229" s="4">
        <v>98</v>
      </c>
      <c r="V229" s="6">
        <f>IF(ISERROR(VLOOKUP($S$229,'TAR FIN'!$A$1:$O$113,15,0)),0,VLOOKUP($S$229,'TAR FIN'!$A$1:$O$113,15,0))</f>
        <v>0</v>
      </c>
      <c r="W229" s="6">
        <f>IF(ISERROR(VLOOKUP($T$229,'TAR FIN'!$A$1:$O$113,15,0)),0,VLOOKUP($T$229,'TAR FIN'!$A$1:$O$113,15,0))</f>
        <v>79.06</v>
      </c>
      <c r="X229" s="6">
        <f>IF(ISERROR(VLOOKUP($U$229,'TAR FIN'!$A$1:$O$113,15,0)),0,VLOOKUP($U$229,'TAR FIN'!$A$1:$O$113,15,0))</f>
        <v>102.32</v>
      </c>
      <c r="Y229" s="6"/>
      <c r="Z229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229" s="6">
        <f>('TE BE'!$AB$19+'TE BF'!$AB$19+'TE CVA'!$AB$19)*(1-CUSTOS!$M$34)</f>
        <v>110.17481238041081</v>
      </c>
      <c r="AB229" s="6">
        <f t="shared" si="10"/>
        <v>0</v>
      </c>
      <c r="AC229" s="6">
        <f>(L229-M229)*(W229+X229)+($W$317+$X$317-$W$229-$X$229)*(L229)</f>
        <v>-10.105500000000001</v>
      </c>
      <c r="AD229" s="6">
        <f t="shared" si="12"/>
        <v>0</v>
      </c>
      <c r="AE229" s="6">
        <f ca="1">(L229-M229)*(Z229+AA229)+($Z$317+$AA$317-$Z$229-$AA$229)*(L229)</f>
        <v>-11.207400335556141</v>
      </c>
      <c r="AF229" s="4" t="s">
        <v>854</v>
      </c>
    </row>
    <row r="230" spans="1:32" ht="11.25" customHeight="1" x14ac:dyDescent="0.3">
      <c r="A230" s="4" t="s">
        <v>28</v>
      </c>
      <c r="B230" s="4" t="s">
        <v>22</v>
      </c>
      <c r="C230" s="4" t="s">
        <v>23</v>
      </c>
      <c r="D230" s="4" t="s">
        <v>24</v>
      </c>
      <c r="E230" s="4" t="s">
        <v>29</v>
      </c>
      <c r="F230" s="4" t="s">
        <v>25</v>
      </c>
      <c r="G230" s="4" t="s">
        <v>25</v>
      </c>
      <c r="H230" s="4" t="s">
        <v>25</v>
      </c>
      <c r="I230" s="5">
        <v>44501</v>
      </c>
      <c r="J230" s="6">
        <v>0</v>
      </c>
      <c r="K230" s="6">
        <v>0</v>
      </c>
      <c r="L230" s="6">
        <v>0.06</v>
      </c>
      <c r="M230" s="6">
        <v>-1.7999999999999999E-2</v>
      </c>
      <c r="N230" s="6">
        <v>0.06</v>
      </c>
      <c r="O230" s="6">
        <v>-1.7999999999999999E-2</v>
      </c>
      <c r="P230" s="6">
        <v>0</v>
      </c>
      <c r="Q230" s="4" t="s">
        <v>26</v>
      </c>
      <c r="R230" s="4">
        <v>0</v>
      </c>
      <c r="S230" s="4">
        <v>0</v>
      </c>
      <c r="T230" s="4">
        <v>39</v>
      </c>
      <c r="U230" s="4">
        <v>98</v>
      </c>
      <c r="V230" s="6">
        <f>IF(ISERROR(VLOOKUP($S$230,'TAR FIN'!$A$1:$O$113,15,0)),0,VLOOKUP($S$230,'TAR FIN'!$A$1:$O$113,15,0))</f>
        <v>0</v>
      </c>
      <c r="W230" s="6">
        <f>IF(ISERROR(VLOOKUP($T$230,'TAR FIN'!$A$1:$O$113,15,0)),0,VLOOKUP($T$230,'TAR FIN'!$A$1:$O$113,15,0))</f>
        <v>79.06</v>
      </c>
      <c r="X230" s="6">
        <f>IF(ISERROR(VLOOKUP($U$230,'TAR FIN'!$A$1:$O$113,15,0)),0,VLOOKUP($U$230,'TAR FIN'!$A$1:$O$113,15,0))</f>
        <v>102.32</v>
      </c>
      <c r="Y230" s="6"/>
      <c r="Z230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230" s="6">
        <f>('TE BE'!$AB$19+'TE BF'!$AB$19+'TE CVA'!$AB$19)*(1-CUSTOS!$M$34)</f>
        <v>110.17481238041081</v>
      </c>
      <c r="AB230" s="6">
        <f t="shared" si="10"/>
        <v>0</v>
      </c>
      <c r="AC230" s="6">
        <f>(L230-M230)*(W230+X230)+($W$317+$X$317-$W$230-$X$230)*(L230)</f>
        <v>34.358640000000001</v>
      </c>
      <c r="AD230" s="6">
        <f t="shared" si="12"/>
        <v>0</v>
      </c>
      <c r="AE230" s="6">
        <f ca="1">(L230-M230)*(Z230+AA230)+($Z$317+$AA$317-$Z$230-$AA$230)*(L230)</f>
        <v>38.105161140890871</v>
      </c>
      <c r="AF230" s="4" t="s">
        <v>854</v>
      </c>
    </row>
    <row r="231" spans="1:32" ht="11.25" customHeight="1" x14ac:dyDescent="0.3">
      <c r="A231" s="4" t="s">
        <v>21</v>
      </c>
      <c r="B231" s="4" t="s">
        <v>22</v>
      </c>
      <c r="C231" s="4" t="s">
        <v>23</v>
      </c>
      <c r="D231" s="4" t="s">
        <v>24</v>
      </c>
      <c r="E231" s="4" t="s">
        <v>29</v>
      </c>
      <c r="F231" s="4" t="s">
        <v>25</v>
      </c>
      <c r="G231" s="4" t="s">
        <v>25</v>
      </c>
      <c r="H231" s="4" t="s">
        <v>25</v>
      </c>
      <c r="I231" s="5">
        <v>44531</v>
      </c>
      <c r="J231" s="6">
        <v>0</v>
      </c>
      <c r="K231" s="6">
        <v>0</v>
      </c>
      <c r="L231" s="6">
        <v>169.458</v>
      </c>
      <c r="M231" s="6">
        <v>169.458</v>
      </c>
      <c r="N231" s="6">
        <v>169.458</v>
      </c>
      <c r="O231" s="6">
        <v>169.458</v>
      </c>
      <c r="P231" s="6">
        <v>165</v>
      </c>
      <c r="Q231" s="4" t="s">
        <v>26</v>
      </c>
      <c r="R231" s="4">
        <v>0</v>
      </c>
      <c r="S231" s="4">
        <v>0</v>
      </c>
      <c r="T231" s="4">
        <v>39</v>
      </c>
      <c r="U231" s="4">
        <v>98</v>
      </c>
      <c r="V231" s="6">
        <f>IF(ISERROR(VLOOKUP($S$231,'TAR FIN'!$A$1:$O$113,15,0)),0,VLOOKUP($S$231,'TAR FIN'!$A$1:$O$113,15,0))</f>
        <v>0</v>
      </c>
      <c r="W231" s="6">
        <f>IF(ISERROR(VLOOKUP($T$231,'TAR FIN'!$A$1:$O$113,15,0)),0,VLOOKUP($T$231,'TAR FIN'!$A$1:$O$113,15,0))</f>
        <v>79.06</v>
      </c>
      <c r="X231" s="6">
        <f>IF(ISERROR(VLOOKUP($U$231,'TAR FIN'!$A$1:$O$113,15,0)),0,VLOOKUP($U$231,'TAR FIN'!$A$1:$O$113,15,0))</f>
        <v>102.32</v>
      </c>
      <c r="Y231" s="6"/>
      <c r="Z231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231" s="6">
        <f>('TE BE'!$AB$19+'TE BF'!$AB$19+'TE CVA'!$AB$19)*(1-CUSTOS!$M$34)</f>
        <v>110.17481238041081</v>
      </c>
      <c r="AB231" s="6">
        <f t="shared" si="10"/>
        <v>0</v>
      </c>
      <c r="AC231" s="6">
        <f>(L231-M231)*(W231+X231)+($W$317+$X$317-$W$231-$X$231)*(L231)</f>
        <v>57081.927300000003</v>
      </c>
      <c r="AD231" s="6">
        <f t="shared" si="12"/>
        <v>0</v>
      </c>
      <c r="AE231" s="6">
        <f ca="1">(L231-M231)*(Z231+AA231)+($Z$317+$AA$317-$Z$231-$AA$231)*(L231)</f>
        <v>63306.121535422411</v>
      </c>
      <c r="AF231" s="4" t="s">
        <v>854</v>
      </c>
    </row>
    <row r="232" spans="1:32" ht="11.25" customHeight="1" x14ac:dyDescent="0.3">
      <c r="A232" s="4" t="s">
        <v>27</v>
      </c>
      <c r="B232" s="4" t="s">
        <v>22</v>
      </c>
      <c r="C232" s="4" t="s">
        <v>23</v>
      </c>
      <c r="D232" s="4" t="s">
        <v>24</v>
      </c>
      <c r="E232" s="4" t="s">
        <v>29</v>
      </c>
      <c r="F232" s="4" t="s">
        <v>25</v>
      </c>
      <c r="G232" s="4" t="s">
        <v>25</v>
      </c>
      <c r="H232" s="4" t="s">
        <v>25</v>
      </c>
      <c r="I232" s="5">
        <v>44531</v>
      </c>
      <c r="J232" s="6">
        <v>0</v>
      </c>
      <c r="K232" s="6">
        <v>0</v>
      </c>
      <c r="L232" s="6">
        <v>0.15</v>
      </c>
      <c r="M232" s="6">
        <v>0.15</v>
      </c>
      <c r="N232" s="6">
        <v>0.15</v>
      </c>
      <c r="O232" s="6">
        <v>0.15</v>
      </c>
      <c r="P232" s="6">
        <v>0</v>
      </c>
      <c r="Q232" s="4" t="s">
        <v>26</v>
      </c>
      <c r="R232" s="4">
        <v>0</v>
      </c>
      <c r="S232" s="4">
        <v>0</v>
      </c>
      <c r="T232" s="4">
        <v>39</v>
      </c>
      <c r="U232" s="4">
        <v>98</v>
      </c>
      <c r="V232" s="6">
        <f>IF(ISERROR(VLOOKUP($S$232,'TAR FIN'!$A$1:$O$113,15,0)),0,VLOOKUP($S$232,'TAR FIN'!$A$1:$O$113,15,0))</f>
        <v>0</v>
      </c>
      <c r="W232" s="6">
        <f>IF(ISERROR(VLOOKUP($T$232,'TAR FIN'!$A$1:$O$113,15,0)),0,VLOOKUP($T$232,'TAR FIN'!$A$1:$O$113,15,0))</f>
        <v>79.06</v>
      </c>
      <c r="X232" s="6">
        <f>IF(ISERROR(VLOOKUP($U$232,'TAR FIN'!$A$1:$O$113,15,0)),0,VLOOKUP($U$232,'TAR FIN'!$A$1:$O$113,15,0))</f>
        <v>102.32</v>
      </c>
      <c r="Y232" s="6"/>
      <c r="Z232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232" s="6">
        <f>('TE BE'!$AB$19+'TE BF'!$AB$19+'TE CVA'!$AB$19)*(1-CUSTOS!$M$34)</f>
        <v>110.17481238041081</v>
      </c>
      <c r="AB232" s="6">
        <f t="shared" si="10"/>
        <v>0</v>
      </c>
      <c r="AC232" s="6">
        <f>(L232-M232)*(W232+X232)+($W$317+$X$317-$W$232-$X$232)*(L232)</f>
        <v>50.527500000000003</v>
      </c>
      <c r="AD232" s="6">
        <f t="shared" si="12"/>
        <v>0</v>
      </c>
      <c r="AE232" s="6">
        <f ca="1">(L232-M232)*(Z232+AA232)+($Z$317+$AA$317-$Z$232-$AA$232)*(L232)</f>
        <v>56.037001677780701</v>
      </c>
      <c r="AF232" s="4" t="s">
        <v>854</v>
      </c>
    </row>
    <row r="233" spans="1:32" ht="11.25" customHeight="1" x14ac:dyDescent="0.3">
      <c r="A233" s="4" t="s">
        <v>28</v>
      </c>
      <c r="B233" s="4" t="s">
        <v>22</v>
      </c>
      <c r="C233" s="4" t="s">
        <v>23</v>
      </c>
      <c r="D233" s="4" t="s">
        <v>24</v>
      </c>
      <c r="E233" s="4" t="s">
        <v>29</v>
      </c>
      <c r="F233" s="4" t="s">
        <v>25</v>
      </c>
      <c r="G233" s="4" t="s">
        <v>25</v>
      </c>
      <c r="H233" s="4" t="s">
        <v>25</v>
      </c>
      <c r="I233" s="5">
        <v>44531</v>
      </c>
      <c r="J233" s="6">
        <v>0</v>
      </c>
      <c r="K233" s="6">
        <v>0</v>
      </c>
      <c r="L233" s="6">
        <v>0.06</v>
      </c>
      <c r="M233" s="6">
        <v>-1.7999999999999999E-2</v>
      </c>
      <c r="N233" s="6">
        <v>0.06</v>
      </c>
      <c r="O233" s="6">
        <v>-1.7999999999999999E-2</v>
      </c>
      <c r="P233" s="6">
        <v>0</v>
      </c>
      <c r="Q233" s="4" t="s">
        <v>26</v>
      </c>
      <c r="R233" s="4">
        <v>0</v>
      </c>
      <c r="S233" s="4">
        <v>0</v>
      </c>
      <c r="T233" s="4">
        <v>39</v>
      </c>
      <c r="U233" s="4">
        <v>98</v>
      </c>
      <c r="V233" s="6">
        <f>IF(ISERROR(VLOOKUP($S$233,'TAR FIN'!$A$1:$O$113,15,0)),0,VLOOKUP($S$233,'TAR FIN'!$A$1:$O$113,15,0))</f>
        <v>0</v>
      </c>
      <c r="W233" s="6">
        <f>IF(ISERROR(VLOOKUP($T$233,'TAR FIN'!$A$1:$O$113,15,0)),0,VLOOKUP($T$233,'TAR FIN'!$A$1:$O$113,15,0))</f>
        <v>79.06</v>
      </c>
      <c r="X233" s="6">
        <f>IF(ISERROR(VLOOKUP($U$233,'TAR FIN'!$A$1:$O$113,15,0)),0,VLOOKUP($U$233,'TAR FIN'!$A$1:$O$113,15,0))</f>
        <v>102.32</v>
      </c>
      <c r="Y233" s="6"/>
      <c r="Z233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233" s="6">
        <f>('TE BE'!$AB$19+'TE BF'!$AB$19+'TE CVA'!$AB$19)*(1-CUSTOS!$M$34)</f>
        <v>110.17481238041081</v>
      </c>
      <c r="AB233" s="6">
        <f t="shared" si="10"/>
        <v>0</v>
      </c>
      <c r="AC233" s="6">
        <f>(L233-M233)*(W233+X233)+($W$317+$X$317-$W$233-$X$233)*(L233)</f>
        <v>34.358640000000001</v>
      </c>
      <c r="AD233" s="6">
        <f t="shared" si="12"/>
        <v>0</v>
      </c>
      <c r="AE233" s="6">
        <f ca="1">(L233-M233)*(Z233+AA233)+($Z$317+$AA$317-$Z$233-$AA$233)*(L233)</f>
        <v>38.105161140890871</v>
      </c>
      <c r="AF233" s="4" t="s">
        <v>854</v>
      </c>
    </row>
    <row r="234" spans="1:32" ht="11.25" customHeight="1" x14ac:dyDescent="0.3">
      <c r="A234" s="4" t="s">
        <v>21</v>
      </c>
      <c r="B234" s="4" t="s">
        <v>22</v>
      </c>
      <c r="C234" s="4" t="s">
        <v>23</v>
      </c>
      <c r="D234" s="4" t="s">
        <v>24</v>
      </c>
      <c r="E234" s="4" t="s">
        <v>29</v>
      </c>
      <c r="F234" s="4" t="s">
        <v>25</v>
      </c>
      <c r="G234" s="4" t="s">
        <v>25</v>
      </c>
      <c r="H234" s="4" t="s">
        <v>25</v>
      </c>
      <c r="I234" s="5">
        <v>44562</v>
      </c>
      <c r="J234" s="6">
        <v>0</v>
      </c>
      <c r="K234" s="6">
        <v>0</v>
      </c>
      <c r="L234" s="6">
        <v>163.94200000000001</v>
      </c>
      <c r="M234" s="6">
        <v>163.94200000000001</v>
      </c>
      <c r="N234" s="6">
        <v>163.94200000000001</v>
      </c>
      <c r="O234" s="6">
        <v>163.94200000000001</v>
      </c>
      <c r="P234" s="6">
        <v>144</v>
      </c>
      <c r="Q234" s="4" t="s">
        <v>26</v>
      </c>
      <c r="R234" s="4">
        <v>0</v>
      </c>
      <c r="S234" s="4">
        <v>0</v>
      </c>
      <c r="T234" s="4">
        <v>39</v>
      </c>
      <c r="U234" s="4">
        <v>98</v>
      </c>
      <c r="V234" s="6">
        <f>IF(ISERROR(VLOOKUP($S$234,'TAR FIN'!$A$1:$O$113,15,0)),0,VLOOKUP($S$234,'TAR FIN'!$A$1:$O$113,15,0))</f>
        <v>0</v>
      </c>
      <c r="W234" s="6">
        <f>IF(ISERROR(VLOOKUP($T$234,'TAR FIN'!$A$1:$O$113,15,0)),0,VLOOKUP($T$234,'TAR FIN'!$A$1:$O$113,15,0))</f>
        <v>79.06</v>
      </c>
      <c r="X234" s="6">
        <f>IF(ISERROR(VLOOKUP($U$234,'TAR FIN'!$A$1:$O$113,15,0)),0,VLOOKUP($U$234,'TAR FIN'!$A$1:$O$113,15,0))</f>
        <v>102.32</v>
      </c>
      <c r="Y234" s="6"/>
      <c r="Z234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234" s="6">
        <f>('TE BE'!$AB$19+'TE BF'!$AB$19+'TE CVA'!$AB$19)*(1-CUSTOS!$M$34)</f>
        <v>110.17481238041081</v>
      </c>
      <c r="AB234" s="6">
        <f t="shared" si="10"/>
        <v>0</v>
      </c>
      <c r="AC234" s="6">
        <f>(L234-M234)*(W234+X234)+($W$317+$X$317-$W$234-$X$234)*(L234)</f>
        <v>55223.862700000005</v>
      </c>
      <c r="AD234" s="6">
        <f t="shared" si="12"/>
        <v>0</v>
      </c>
      <c r="AE234" s="6">
        <f ca="1">(L234-M234)*(Z234+AA234)+($Z$317+$AA$317-$Z$234-$AA$234)*(L234)</f>
        <v>61245.454193724829</v>
      </c>
      <c r="AF234" s="4" t="s">
        <v>854</v>
      </c>
    </row>
    <row r="235" spans="1:32" ht="11.25" customHeight="1" x14ac:dyDescent="0.3">
      <c r="A235" s="4" t="s">
        <v>28</v>
      </c>
      <c r="B235" s="4" t="s">
        <v>22</v>
      </c>
      <c r="C235" s="4" t="s">
        <v>23</v>
      </c>
      <c r="D235" s="4" t="s">
        <v>24</v>
      </c>
      <c r="E235" s="4" t="s">
        <v>29</v>
      </c>
      <c r="F235" s="4" t="s">
        <v>25</v>
      </c>
      <c r="G235" s="4" t="s">
        <v>25</v>
      </c>
      <c r="H235" s="4" t="s">
        <v>25</v>
      </c>
      <c r="I235" s="5">
        <v>44562</v>
      </c>
      <c r="J235" s="6">
        <v>0</v>
      </c>
      <c r="K235" s="6">
        <v>0</v>
      </c>
      <c r="L235" s="6">
        <v>0.06</v>
      </c>
      <c r="M235" s="6">
        <v>-1.7999999999999999E-2</v>
      </c>
      <c r="N235" s="6">
        <v>0.06</v>
      </c>
      <c r="O235" s="6">
        <v>-1.7999999999999999E-2</v>
      </c>
      <c r="P235" s="6">
        <v>0</v>
      </c>
      <c r="Q235" s="4" t="s">
        <v>26</v>
      </c>
      <c r="R235" s="4">
        <v>0</v>
      </c>
      <c r="S235" s="4">
        <v>0</v>
      </c>
      <c r="T235" s="4">
        <v>39</v>
      </c>
      <c r="U235" s="4">
        <v>98</v>
      </c>
      <c r="V235" s="6">
        <f>IF(ISERROR(VLOOKUP($S$235,'TAR FIN'!$A$1:$O$113,15,0)),0,VLOOKUP($S$235,'TAR FIN'!$A$1:$O$113,15,0))</f>
        <v>0</v>
      </c>
      <c r="W235" s="6">
        <f>IF(ISERROR(VLOOKUP($T$235,'TAR FIN'!$A$1:$O$113,15,0)),0,VLOOKUP($T$235,'TAR FIN'!$A$1:$O$113,15,0))</f>
        <v>79.06</v>
      </c>
      <c r="X235" s="6">
        <f>IF(ISERROR(VLOOKUP($U$235,'TAR FIN'!$A$1:$O$113,15,0)),0,VLOOKUP($U$235,'TAR FIN'!$A$1:$O$113,15,0))</f>
        <v>102.32</v>
      </c>
      <c r="Y235" s="6"/>
      <c r="Z235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235" s="6">
        <f>('TE BE'!$AB$19+'TE BF'!$AB$19+'TE CVA'!$AB$19)*(1-CUSTOS!$M$34)</f>
        <v>110.17481238041081</v>
      </c>
      <c r="AB235" s="6">
        <f t="shared" si="10"/>
        <v>0</v>
      </c>
      <c r="AC235" s="6">
        <f>(L235-M235)*(W235+X235)+($W$317+$X$317-$W$235-$X$235)*(L235)</f>
        <v>34.358640000000001</v>
      </c>
      <c r="AD235" s="6">
        <f t="shared" si="12"/>
        <v>0</v>
      </c>
      <c r="AE235" s="6">
        <f ca="1">(L235-M235)*(Z235+AA235)+($Z$317+$AA$317-$Z$235-$AA$235)*(L235)</f>
        <v>38.105161140890871</v>
      </c>
      <c r="AF235" s="4" t="s">
        <v>854</v>
      </c>
    </row>
    <row r="236" spans="1:32" ht="11.25" customHeight="1" x14ac:dyDescent="0.3">
      <c r="A236" s="4" t="s">
        <v>21</v>
      </c>
      <c r="B236" s="4" t="s">
        <v>22</v>
      </c>
      <c r="C236" s="4" t="s">
        <v>23</v>
      </c>
      <c r="D236" s="4" t="s">
        <v>24</v>
      </c>
      <c r="E236" s="4" t="s">
        <v>29</v>
      </c>
      <c r="F236" s="4" t="s">
        <v>25</v>
      </c>
      <c r="G236" s="4" t="s">
        <v>25</v>
      </c>
      <c r="H236" s="4" t="s">
        <v>25</v>
      </c>
      <c r="I236" s="5">
        <v>44593</v>
      </c>
      <c r="J236" s="6">
        <v>0</v>
      </c>
      <c r="K236" s="6">
        <v>0</v>
      </c>
      <c r="L236" s="6">
        <v>182.23699999999999</v>
      </c>
      <c r="M236" s="6">
        <v>182.23699999999999</v>
      </c>
      <c r="N236" s="6">
        <v>182.23699999999999</v>
      </c>
      <c r="O236" s="6">
        <v>182.23699999999999</v>
      </c>
      <c r="P236" s="6">
        <v>196</v>
      </c>
      <c r="Q236" s="4" t="s">
        <v>26</v>
      </c>
      <c r="R236" s="4">
        <v>0</v>
      </c>
      <c r="S236" s="4">
        <v>0</v>
      </c>
      <c r="T236" s="4">
        <v>39</v>
      </c>
      <c r="U236" s="4">
        <v>98</v>
      </c>
      <c r="V236" s="6">
        <f>IF(ISERROR(VLOOKUP($S$236,'TAR FIN'!$A$1:$O$113,15,0)),0,VLOOKUP($S$236,'TAR FIN'!$A$1:$O$113,15,0))</f>
        <v>0</v>
      </c>
      <c r="W236" s="6">
        <f>IF(ISERROR(VLOOKUP($T$236,'TAR FIN'!$A$1:$O$113,15,0)),0,VLOOKUP($T$236,'TAR FIN'!$A$1:$O$113,15,0))</f>
        <v>79.06</v>
      </c>
      <c r="X236" s="6">
        <f>IF(ISERROR(VLOOKUP($U$236,'TAR FIN'!$A$1:$O$113,15,0)),0,VLOOKUP($U$236,'TAR FIN'!$A$1:$O$113,15,0))</f>
        <v>102.32</v>
      </c>
      <c r="Y236" s="6"/>
      <c r="Z236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236" s="6">
        <f>('TE BE'!$AB$19+'TE BF'!$AB$19+'TE CVA'!$AB$19)*(1-CUSTOS!$M$34)</f>
        <v>110.17481238041081</v>
      </c>
      <c r="AB236" s="6">
        <f t="shared" si="10"/>
        <v>0</v>
      </c>
      <c r="AC236" s="6">
        <f>(L236-M236)*(W236+X236)+($W$317+$X$317-$W$236-$X$236)*(L236)</f>
        <v>61386.533450000003</v>
      </c>
      <c r="AD236" s="6">
        <f t="shared" si="12"/>
        <v>0</v>
      </c>
      <c r="AE236" s="6">
        <f ca="1">(L236-M236)*(Z236+AA236)+($Z$317+$AA$317-$Z$236-$AA$236)*(L236)</f>
        <v>68080.100498358137</v>
      </c>
      <c r="AF236" s="4" t="s">
        <v>854</v>
      </c>
    </row>
    <row r="237" spans="1:32" ht="11.25" customHeight="1" x14ac:dyDescent="0.3">
      <c r="A237" s="4" t="s">
        <v>28</v>
      </c>
      <c r="B237" s="4" t="s">
        <v>22</v>
      </c>
      <c r="C237" s="4" t="s">
        <v>23</v>
      </c>
      <c r="D237" s="4" t="s">
        <v>24</v>
      </c>
      <c r="E237" s="4" t="s">
        <v>29</v>
      </c>
      <c r="F237" s="4" t="s">
        <v>25</v>
      </c>
      <c r="G237" s="4" t="s">
        <v>25</v>
      </c>
      <c r="H237" s="4" t="s">
        <v>25</v>
      </c>
      <c r="I237" s="5">
        <v>44593</v>
      </c>
      <c r="J237" s="6">
        <v>0</v>
      </c>
      <c r="K237" s="6">
        <v>0</v>
      </c>
      <c r="L237" s="6">
        <v>0.06</v>
      </c>
      <c r="M237" s="6">
        <v>-1.7999999999999999E-2</v>
      </c>
      <c r="N237" s="6">
        <v>0.06</v>
      </c>
      <c r="O237" s="6">
        <v>-1.7999999999999999E-2</v>
      </c>
      <c r="P237" s="6">
        <v>0</v>
      </c>
      <c r="Q237" s="4" t="s">
        <v>26</v>
      </c>
      <c r="R237" s="4">
        <v>0</v>
      </c>
      <c r="S237" s="4">
        <v>0</v>
      </c>
      <c r="T237" s="4">
        <v>39</v>
      </c>
      <c r="U237" s="4">
        <v>98</v>
      </c>
      <c r="V237" s="6">
        <f>IF(ISERROR(VLOOKUP($S$237,'TAR FIN'!$A$1:$O$113,15,0)),0,VLOOKUP($S$237,'TAR FIN'!$A$1:$O$113,15,0))</f>
        <v>0</v>
      </c>
      <c r="W237" s="6">
        <f>IF(ISERROR(VLOOKUP($T$237,'TAR FIN'!$A$1:$O$113,15,0)),0,VLOOKUP($T$237,'TAR FIN'!$A$1:$O$113,15,0))</f>
        <v>79.06</v>
      </c>
      <c r="X237" s="6">
        <f>IF(ISERROR(VLOOKUP($U$237,'TAR FIN'!$A$1:$O$113,15,0)),0,VLOOKUP($U$237,'TAR FIN'!$A$1:$O$113,15,0))</f>
        <v>102.32</v>
      </c>
      <c r="Y237" s="6"/>
      <c r="Z237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237" s="6">
        <f>('TE BE'!$AB$19+'TE BF'!$AB$19+'TE CVA'!$AB$19)*(1-CUSTOS!$M$34)</f>
        <v>110.17481238041081</v>
      </c>
      <c r="AB237" s="6">
        <f t="shared" si="10"/>
        <v>0</v>
      </c>
      <c r="AC237" s="6">
        <f>(L237-M237)*(W237+X237)+($W$317+$X$317-$W$237-$X$237)*(L237)</f>
        <v>34.358640000000001</v>
      </c>
      <c r="AD237" s="6">
        <f t="shared" si="12"/>
        <v>0</v>
      </c>
      <c r="AE237" s="6">
        <f ca="1">(L237-M237)*(Z237+AA237)+($Z$317+$AA$317-$Z$237-$AA$237)*(L237)</f>
        <v>38.105161140890871</v>
      </c>
      <c r="AF237" s="4" t="s">
        <v>854</v>
      </c>
    </row>
    <row r="238" spans="1:32" ht="11.25" customHeight="1" x14ac:dyDescent="0.3">
      <c r="A238" s="4" t="s">
        <v>21</v>
      </c>
      <c r="B238" s="4" t="s">
        <v>22</v>
      </c>
      <c r="C238" s="4" t="s">
        <v>23</v>
      </c>
      <c r="D238" s="4" t="s">
        <v>24</v>
      </c>
      <c r="E238" s="4" t="s">
        <v>29</v>
      </c>
      <c r="F238" s="4" t="s">
        <v>25</v>
      </c>
      <c r="G238" s="4" t="s">
        <v>25</v>
      </c>
      <c r="H238" s="4" t="s">
        <v>25</v>
      </c>
      <c r="I238" s="5">
        <v>44621</v>
      </c>
      <c r="J238" s="6">
        <v>0</v>
      </c>
      <c r="K238" s="6">
        <v>0</v>
      </c>
      <c r="L238" s="6">
        <v>188.01499999999999</v>
      </c>
      <c r="M238" s="6">
        <v>188.01499999999999</v>
      </c>
      <c r="N238" s="6">
        <v>188.01499999999999</v>
      </c>
      <c r="O238" s="6">
        <v>188.01499999999999</v>
      </c>
      <c r="P238" s="6">
        <v>182</v>
      </c>
      <c r="Q238" s="4" t="s">
        <v>26</v>
      </c>
      <c r="R238" s="4">
        <v>0</v>
      </c>
      <c r="S238" s="4">
        <v>0</v>
      </c>
      <c r="T238" s="4">
        <v>39</v>
      </c>
      <c r="U238" s="4">
        <v>98</v>
      </c>
      <c r="V238" s="6">
        <f>IF(ISERROR(VLOOKUP($S$238,'TAR FIN'!$A$1:$O$113,15,0)),0,VLOOKUP($S$238,'TAR FIN'!$A$1:$O$113,15,0))</f>
        <v>0</v>
      </c>
      <c r="W238" s="6">
        <f>IF(ISERROR(VLOOKUP($T$238,'TAR FIN'!$A$1:$O$113,15,0)),0,VLOOKUP($T$238,'TAR FIN'!$A$1:$O$113,15,0))</f>
        <v>79.06</v>
      </c>
      <c r="X238" s="6">
        <f>IF(ISERROR(VLOOKUP($U$238,'TAR FIN'!$A$1:$O$113,15,0)),0,VLOOKUP($U$238,'TAR FIN'!$A$1:$O$113,15,0))</f>
        <v>102.32</v>
      </c>
      <c r="Y238" s="6"/>
      <c r="Z238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238" s="6">
        <f>('TE BE'!$AB$19+'TE BF'!$AB$19+'TE CVA'!$AB$19)*(1-CUSTOS!$M$34)</f>
        <v>110.17481238041081</v>
      </c>
      <c r="AB238" s="6">
        <f t="shared" si="10"/>
        <v>0</v>
      </c>
      <c r="AC238" s="6">
        <f>(L238-M238)*(W238+X238)+($W$317+$X$317-$W$238-$X$238)*(L238)</f>
        <v>63332.852749999998</v>
      </c>
      <c r="AD238" s="6">
        <f t="shared" si="12"/>
        <v>0</v>
      </c>
      <c r="AE238" s="6">
        <f ca="1">(L238-M238)*(Z238+AA238)+($Z$317+$AA$317-$Z$238-$AA$238)*(L238)</f>
        <v>70238.645802986255</v>
      </c>
      <c r="AF238" s="4" t="s">
        <v>854</v>
      </c>
    </row>
    <row r="239" spans="1:32" ht="11.25" customHeight="1" x14ac:dyDescent="0.3">
      <c r="A239" s="4" t="s">
        <v>28</v>
      </c>
      <c r="B239" s="4" t="s">
        <v>22</v>
      </c>
      <c r="C239" s="4" t="s">
        <v>23</v>
      </c>
      <c r="D239" s="4" t="s">
        <v>24</v>
      </c>
      <c r="E239" s="4" t="s">
        <v>29</v>
      </c>
      <c r="F239" s="4" t="s">
        <v>25</v>
      </c>
      <c r="G239" s="4" t="s">
        <v>25</v>
      </c>
      <c r="H239" s="4" t="s">
        <v>25</v>
      </c>
      <c r="I239" s="5">
        <v>44621</v>
      </c>
      <c r="J239" s="6">
        <v>0</v>
      </c>
      <c r="K239" s="6">
        <v>0</v>
      </c>
      <c r="L239" s="6">
        <v>0.06</v>
      </c>
      <c r="M239" s="6">
        <v>-1.7999999999999999E-2</v>
      </c>
      <c r="N239" s="6">
        <v>0.06</v>
      </c>
      <c r="O239" s="6">
        <v>-1.7999999999999999E-2</v>
      </c>
      <c r="P239" s="6">
        <v>0</v>
      </c>
      <c r="Q239" s="4" t="s">
        <v>26</v>
      </c>
      <c r="R239" s="4">
        <v>0</v>
      </c>
      <c r="S239" s="4">
        <v>0</v>
      </c>
      <c r="T239" s="4">
        <v>39</v>
      </c>
      <c r="U239" s="4">
        <v>98</v>
      </c>
      <c r="V239" s="6">
        <f>IF(ISERROR(VLOOKUP($S$239,'TAR FIN'!$A$1:$O$113,15,0)),0,VLOOKUP($S$239,'TAR FIN'!$A$1:$O$113,15,0))</f>
        <v>0</v>
      </c>
      <c r="W239" s="6">
        <f>IF(ISERROR(VLOOKUP($T$239,'TAR FIN'!$A$1:$O$113,15,0)),0,VLOOKUP($T$239,'TAR FIN'!$A$1:$O$113,15,0))</f>
        <v>79.06</v>
      </c>
      <c r="X239" s="6">
        <f>IF(ISERROR(VLOOKUP($U$239,'TAR FIN'!$A$1:$O$113,15,0)),0,VLOOKUP($U$239,'TAR FIN'!$A$1:$O$113,15,0))</f>
        <v>102.32</v>
      </c>
      <c r="Y239" s="6"/>
      <c r="Z239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239" s="6">
        <f>('TE BE'!$AB$19+'TE BF'!$AB$19+'TE CVA'!$AB$19)*(1-CUSTOS!$M$34)</f>
        <v>110.17481238041081</v>
      </c>
      <c r="AB239" s="6">
        <f t="shared" si="10"/>
        <v>0</v>
      </c>
      <c r="AC239" s="6">
        <f>(L239-M239)*(W239+X239)+($W$317+$X$317-$W$239-$X$239)*(L239)</f>
        <v>34.358640000000001</v>
      </c>
      <c r="AD239" s="6">
        <f t="shared" si="12"/>
        <v>0</v>
      </c>
      <c r="AE239" s="6">
        <f ca="1">(L239-M239)*(Z239+AA239)+($Z$317+$AA$317-$Z$239-$AA$239)*(L239)</f>
        <v>38.105161140890871</v>
      </c>
      <c r="AF239" s="4" t="s">
        <v>854</v>
      </c>
    </row>
    <row r="240" spans="1:32" ht="11.25" customHeight="1" x14ac:dyDescent="0.3">
      <c r="A240" s="4" t="s">
        <v>21</v>
      </c>
      <c r="B240" s="4" t="s">
        <v>22</v>
      </c>
      <c r="C240" s="4" t="s">
        <v>23</v>
      </c>
      <c r="D240" s="4" t="s">
        <v>24</v>
      </c>
      <c r="E240" s="4" t="s">
        <v>29</v>
      </c>
      <c r="F240" s="4" t="s">
        <v>25</v>
      </c>
      <c r="G240" s="4" t="s">
        <v>25</v>
      </c>
      <c r="H240" s="4" t="s">
        <v>25</v>
      </c>
      <c r="I240" s="5">
        <v>44652</v>
      </c>
      <c r="J240" s="6">
        <v>0</v>
      </c>
      <c r="K240" s="6">
        <v>0</v>
      </c>
      <c r="L240" s="6">
        <v>189.18700000000001</v>
      </c>
      <c r="M240" s="6">
        <v>189.18700000000001</v>
      </c>
      <c r="N240" s="6">
        <v>189.18700000000001</v>
      </c>
      <c r="O240" s="6">
        <v>189.18700000000001</v>
      </c>
      <c r="P240" s="6">
        <v>195</v>
      </c>
      <c r="Q240" s="4" t="s">
        <v>26</v>
      </c>
      <c r="R240" s="4">
        <v>0</v>
      </c>
      <c r="S240" s="4">
        <v>0</v>
      </c>
      <c r="T240" s="4">
        <v>39</v>
      </c>
      <c r="U240" s="4">
        <v>98</v>
      </c>
      <c r="V240" s="6">
        <f>IF(ISERROR(VLOOKUP($S$240,'TAR FIN'!$A$1:$O$113,15,0)),0,VLOOKUP($S$240,'TAR FIN'!$A$1:$O$113,15,0))</f>
        <v>0</v>
      </c>
      <c r="W240" s="6">
        <f>IF(ISERROR(VLOOKUP($T$240,'TAR FIN'!$A$1:$O$113,15,0)),0,VLOOKUP($T$240,'TAR FIN'!$A$1:$O$113,15,0))</f>
        <v>79.06</v>
      </c>
      <c r="X240" s="6">
        <f>IF(ISERROR(VLOOKUP($U$240,'TAR FIN'!$A$1:$O$113,15,0)),0,VLOOKUP($U$240,'TAR FIN'!$A$1:$O$113,15,0))</f>
        <v>102.32</v>
      </c>
      <c r="Y240" s="6"/>
      <c r="Z240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240" s="6">
        <f>('TE BE'!$AB$19+'TE BF'!$AB$19+'TE CVA'!$AB$19)*(1-CUSTOS!$M$34)</f>
        <v>110.17481238041081</v>
      </c>
      <c r="AB240" s="6">
        <f t="shared" si="10"/>
        <v>0</v>
      </c>
      <c r="AC240" s="6">
        <f>(L240-M240)*(W240+X240)+($W$317+$X$317-$W$240-$X$240)*(L240)</f>
        <v>63727.640950000008</v>
      </c>
      <c r="AD240" s="6">
        <f t="shared" si="12"/>
        <v>0</v>
      </c>
      <c r="AE240" s="6">
        <f ca="1">(L240-M240)*(Z240+AA240)+($Z$317+$AA$317-$Z$240-$AA$240)*(L240)</f>
        <v>70676.481576095321</v>
      </c>
      <c r="AF240" s="4" t="s">
        <v>854</v>
      </c>
    </row>
    <row r="241" spans="1:32" ht="11.25" customHeight="1" x14ac:dyDescent="0.3">
      <c r="A241" s="4" t="s">
        <v>27</v>
      </c>
      <c r="B241" s="4" t="s">
        <v>22</v>
      </c>
      <c r="C241" s="4" t="s">
        <v>23</v>
      </c>
      <c r="D241" s="4" t="s">
        <v>24</v>
      </c>
      <c r="E241" s="4" t="s">
        <v>29</v>
      </c>
      <c r="F241" s="4" t="s">
        <v>25</v>
      </c>
      <c r="G241" s="4" t="s">
        <v>25</v>
      </c>
      <c r="H241" s="4" t="s">
        <v>25</v>
      </c>
      <c r="I241" s="5">
        <v>44652</v>
      </c>
      <c r="J241" s="6">
        <v>0</v>
      </c>
      <c r="K241" s="6">
        <v>0</v>
      </c>
      <c r="L241" s="6">
        <v>0.09</v>
      </c>
      <c r="M241" s="6">
        <v>0.09</v>
      </c>
      <c r="N241" s="6">
        <v>0.09</v>
      </c>
      <c r="O241" s="6">
        <v>0.09</v>
      </c>
      <c r="P241" s="6">
        <v>0</v>
      </c>
      <c r="Q241" s="4" t="s">
        <v>26</v>
      </c>
      <c r="R241" s="4">
        <v>0</v>
      </c>
      <c r="S241" s="4">
        <v>0</v>
      </c>
      <c r="T241" s="4">
        <v>39</v>
      </c>
      <c r="U241" s="4">
        <v>98</v>
      </c>
      <c r="V241" s="6">
        <f>IF(ISERROR(VLOOKUP($S$241,'TAR FIN'!$A$1:$O$113,15,0)),0,VLOOKUP($S$241,'TAR FIN'!$A$1:$O$113,15,0))</f>
        <v>0</v>
      </c>
      <c r="W241" s="6">
        <f>IF(ISERROR(VLOOKUP($T$241,'TAR FIN'!$A$1:$O$113,15,0)),0,VLOOKUP($T$241,'TAR FIN'!$A$1:$O$113,15,0))</f>
        <v>79.06</v>
      </c>
      <c r="X241" s="6">
        <f>IF(ISERROR(VLOOKUP($U$241,'TAR FIN'!$A$1:$O$113,15,0)),0,VLOOKUP($U$241,'TAR FIN'!$A$1:$O$113,15,0))</f>
        <v>102.32</v>
      </c>
      <c r="Y241" s="6"/>
      <c r="Z241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241" s="6">
        <f>('TE BE'!$AB$19+'TE BF'!$AB$19+'TE CVA'!$AB$19)*(1-CUSTOS!$M$34)</f>
        <v>110.17481238041081</v>
      </c>
      <c r="AB241" s="6">
        <f t="shared" si="10"/>
        <v>0</v>
      </c>
      <c r="AC241" s="6">
        <f>(L241-M241)*(W241+X241)+($W$317+$X$317-$W$241-$X$241)*(L241)</f>
        <v>30.316500000000001</v>
      </c>
      <c r="AD241" s="6">
        <f t="shared" si="12"/>
        <v>0</v>
      </c>
      <c r="AE241" s="6">
        <f ca="1">(L241-M241)*(Z241+AA241)+($Z$317+$AA$317-$Z$241-$AA$241)*(L241)</f>
        <v>33.622201006668419</v>
      </c>
      <c r="AF241" s="4" t="s">
        <v>854</v>
      </c>
    </row>
    <row r="242" spans="1:32" ht="11.25" customHeight="1" x14ac:dyDescent="0.3">
      <c r="A242" s="4" t="s">
        <v>28</v>
      </c>
      <c r="B242" s="4" t="s">
        <v>22</v>
      </c>
      <c r="C242" s="4" t="s">
        <v>23</v>
      </c>
      <c r="D242" s="4" t="s">
        <v>24</v>
      </c>
      <c r="E242" s="4" t="s">
        <v>29</v>
      </c>
      <c r="F242" s="4" t="s">
        <v>25</v>
      </c>
      <c r="G242" s="4" t="s">
        <v>25</v>
      </c>
      <c r="H242" s="4" t="s">
        <v>25</v>
      </c>
      <c r="I242" s="5">
        <v>44652</v>
      </c>
      <c r="J242" s="6">
        <v>0</v>
      </c>
      <c r="K242" s="6">
        <v>0</v>
      </c>
      <c r="L242" s="6">
        <v>0.03</v>
      </c>
      <c r="M242" s="6">
        <v>-8.9999999999999993E-3</v>
      </c>
      <c r="N242" s="6">
        <v>0.03</v>
      </c>
      <c r="O242" s="6">
        <v>-8.9999999999999993E-3</v>
      </c>
      <c r="P242" s="6">
        <v>0</v>
      </c>
      <c r="Q242" s="4" t="s">
        <v>26</v>
      </c>
      <c r="R242" s="4">
        <v>0</v>
      </c>
      <c r="S242" s="4">
        <v>0</v>
      </c>
      <c r="T242" s="4">
        <v>39</v>
      </c>
      <c r="U242" s="4">
        <v>98</v>
      </c>
      <c r="V242" s="6">
        <f>IF(ISERROR(VLOOKUP($S$242,'TAR FIN'!$A$1:$O$113,15,0)),0,VLOOKUP($S$242,'TAR FIN'!$A$1:$O$113,15,0))</f>
        <v>0</v>
      </c>
      <c r="W242" s="6">
        <f>IF(ISERROR(VLOOKUP($T$242,'TAR FIN'!$A$1:$O$113,15,0)),0,VLOOKUP($T$242,'TAR FIN'!$A$1:$O$113,15,0))</f>
        <v>79.06</v>
      </c>
      <c r="X242" s="6">
        <f>IF(ISERROR(VLOOKUP($U$242,'TAR FIN'!$A$1:$O$113,15,0)),0,VLOOKUP($U$242,'TAR FIN'!$A$1:$O$113,15,0))</f>
        <v>102.32</v>
      </c>
      <c r="Y242" s="6"/>
      <c r="Z242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242" s="6">
        <f>('TE BE'!$AB$19+'TE BF'!$AB$19+'TE CVA'!$AB$19)*(1-CUSTOS!$M$34)</f>
        <v>110.17481238041081</v>
      </c>
      <c r="AB242" s="6">
        <f t="shared" si="10"/>
        <v>0</v>
      </c>
      <c r="AC242" s="6">
        <f>(L242-M242)*(W242+X242)+($W$317+$X$317-$W$242-$X$242)*(L242)</f>
        <v>17.179320000000001</v>
      </c>
      <c r="AD242" s="6">
        <f t="shared" si="12"/>
        <v>0</v>
      </c>
      <c r="AE242" s="6">
        <f ca="1">(L242-M242)*(Z242+AA242)+($Z$317+$AA$317-$Z$242-$AA$242)*(L242)</f>
        <v>19.052580570445436</v>
      </c>
      <c r="AF242" s="4" t="s">
        <v>854</v>
      </c>
    </row>
    <row r="243" spans="1:32" ht="11.25" customHeight="1" x14ac:dyDescent="0.3">
      <c r="A243" s="4" t="s">
        <v>21</v>
      </c>
      <c r="B243" s="4" t="s">
        <v>22</v>
      </c>
      <c r="C243" s="4" t="s">
        <v>23</v>
      </c>
      <c r="D243" s="4" t="s">
        <v>24</v>
      </c>
      <c r="E243" s="4" t="s">
        <v>29</v>
      </c>
      <c r="F243" s="4" t="s">
        <v>25</v>
      </c>
      <c r="G243" s="4" t="s">
        <v>25</v>
      </c>
      <c r="H243" s="4" t="s">
        <v>25</v>
      </c>
      <c r="I243" s="5">
        <v>44682</v>
      </c>
      <c r="J243" s="6">
        <v>0</v>
      </c>
      <c r="K243" s="6">
        <v>0</v>
      </c>
      <c r="L243" s="6">
        <v>193.66300000000001</v>
      </c>
      <c r="M243" s="6">
        <v>193.66300000000001</v>
      </c>
      <c r="N243" s="6">
        <v>193.66300000000001</v>
      </c>
      <c r="O243" s="6">
        <v>193.66300000000001</v>
      </c>
      <c r="P243" s="6">
        <v>213</v>
      </c>
      <c r="Q243" s="4" t="s">
        <v>26</v>
      </c>
      <c r="R243" s="4">
        <v>0</v>
      </c>
      <c r="S243" s="4">
        <v>0</v>
      </c>
      <c r="T243" s="4">
        <v>39</v>
      </c>
      <c r="U243" s="4">
        <v>98</v>
      </c>
      <c r="V243" s="6">
        <f>IF(ISERROR(VLOOKUP($S$243,'TAR FIN'!$A$1:$O$113,15,0)),0,VLOOKUP($S$243,'TAR FIN'!$A$1:$O$113,15,0))</f>
        <v>0</v>
      </c>
      <c r="W243" s="6">
        <f>IF(ISERROR(VLOOKUP($T$243,'TAR FIN'!$A$1:$O$113,15,0)),0,VLOOKUP($T$243,'TAR FIN'!$A$1:$O$113,15,0))</f>
        <v>79.06</v>
      </c>
      <c r="X243" s="6">
        <f>IF(ISERROR(VLOOKUP($U$243,'TAR FIN'!$A$1:$O$113,15,0)),0,VLOOKUP($U$243,'TAR FIN'!$A$1:$O$113,15,0))</f>
        <v>102.32</v>
      </c>
      <c r="Y243" s="6"/>
      <c r="Z243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243" s="6">
        <f>('TE BE'!$AB$19+'TE BF'!$AB$19+'TE CVA'!$AB$19)*(1-CUSTOS!$M$34)</f>
        <v>110.17481238041081</v>
      </c>
      <c r="AB243" s="6">
        <f t="shared" si="10"/>
        <v>0</v>
      </c>
      <c r="AC243" s="6">
        <f>(L243-M243)*(W243+X243)+($W$317+$X$317-$W$243-$X$243)*(L243)</f>
        <v>65235.381550000006</v>
      </c>
      <c r="AD243" s="6">
        <f t="shared" si="12"/>
        <v>0</v>
      </c>
      <c r="AE243" s="6">
        <f ca="1">(L243-M243)*(Z243+AA243)+($Z$317+$AA$317-$Z$243-$AA$243)*(L243)</f>
        <v>72348.625706160296</v>
      </c>
      <c r="AF243" s="4" t="s">
        <v>854</v>
      </c>
    </row>
    <row r="244" spans="1:32" ht="11.25" customHeight="1" x14ac:dyDescent="0.3">
      <c r="A244" s="4" t="s">
        <v>28</v>
      </c>
      <c r="B244" s="4" t="s">
        <v>22</v>
      </c>
      <c r="C244" s="4" t="s">
        <v>23</v>
      </c>
      <c r="D244" s="4" t="s">
        <v>24</v>
      </c>
      <c r="E244" s="4" t="s">
        <v>29</v>
      </c>
      <c r="F244" s="4" t="s">
        <v>25</v>
      </c>
      <c r="G244" s="4" t="s">
        <v>25</v>
      </c>
      <c r="H244" s="4" t="s">
        <v>25</v>
      </c>
      <c r="I244" s="5">
        <v>44682</v>
      </c>
      <c r="J244" s="6">
        <v>0</v>
      </c>
      <c r="K244" s="6">
        <v>0</v>
      </c>
      <c r="L244" s="6">
        <v>5.0999999999999997E-2</v>
      </c>
      <c r="M244" s="6">
        <v>-1.5299999999999999E-2</v>
      </c>
      <c r="N244" s="6">
        <v>5.0999999999999997E-2</v>
      </c>
      <c r="O244" s="6">
        <v>-1.5299999999999999E-2</v>
      </c>
      <c r="P244" s="6">
        <v>0</v>
      </c>
      <c r="Q244" s="4" t="s">
        <v>26</v>
      </c>
      <c r="R244" s="4">
        <v>0</v>
      </c>
      <c r="S244" s="4">
        <v>0</v>
      </c>
      <c r="T244" s="4">
        <v>39</v>
      </c>
      <c r="U244" s="4">
        <v>98</v>
      </c>
      <c r="V244" s="6">
        <f>IF(ISERROR(VLOOKUP($S$244,'TAR FIN'!$A$1:$O$113,15,0)),0,VLOOKUP($S$244,'TAR FIN'!$A$1:$O$113,15,0))</f>
        <v>0</v>
      </c>
      <c r="W244" s="6">
        <f>IF(ISERROR(VLOOKUP($T$244,'TAR FIN'!$A$1:$O$113,15,0)),0,VLOOKUP($T$244,'TAR FIN'!$A$1:$O$113,15,0))</f>
        <v>79.06</v>
      </c>
      <c r="X244" s="6">
        <f>IF(ISERROR(VLOOKUP($U$244,'TAR FIN'!$A$1:$O$113,15,0)),0,VLOOKUP($U$244,'TAR FIN'!$A$1:$O$113,15,0))</f>
        <v>102.32</v>
      </c>
      <c r="Y244" s="6"/>
      <c r="Z244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244" s="6">
        <f>('TE BE'!$AB$19+'TE BF'!$AB$19+'TE CVA'!$AB$19)*(1-CUSTOS!$M$34)</f>
        <v>110.17481238041081</v>
      </c>
      <c r="AB244" s="6">
        <f t="shared" si="10"/>
        <v>0</v>
      </c>
      <c r="AC244" s="6">
        <f>(L244-M244)*(W244+X244)+($W$317+$X$317-$W$244-$X$244)*(L244)</f>
        <v>29.204844000000001</v>
      </c>
      <c r="AD244" s="6">
        <f t="shared" si="12"/>
        <v>0</v>
      </c>
      <c r="AE244" s="6">
        <f ca="1">(L244-M244)*(Z244+AA244)+($Z$317+$AA$317-$Z$244-$AA$244)*(L244)</f>
        <v>32.38938696975724</v>
      </c>
      <c r="AF244" s="4" t="s">
        <v>854</v>
      </c>
    </row>
    <row r="245" spans="1:32" ht="11.25" customHeight="1" x14ac:dyDescent="0.3">
      <c r="A245" s="4" t="s">
        <v>21</v>
      </c>
      <c r="B245" s="4" t="s">
        <v>22</v>
      </c>
      <c r="C245" s="4" t="s">
        <v>23</v>
      </c>
      <c r="D245" s="4" t="s">
        <v>24</v>
      </c>
      <c r="E245" s="4" t="s">
        <v>29</v>
      </c>
      <c r="F245" s="4" t="s">
        <v>25</v>
      </c>
      <c r="G245" s="4" t="s">
        <v>25</v>
      </c>
      <c r="H245" s="4" t="s">
        <v>25</v>
      </c>
      <c r="I245" s="5">
        <v>44713</v>
      </c>
      <c r="J245" s="6">
        <v>0</v>
      </c>
      <c r="K245" s="6">
        <v>0</v>
      </c>
      <c r="L245" s="6">
        <v>187.27</v>
      </c>
      <c r="M245" s="6">
        <v>187.27</v>
      </c>
      <c r="N245" s="6">
        <v>187.27</v>
      </c>
      <c r="O245" s="6">
        <v>187.27</v>
      </c>
      <c r="P245" s="6">
        <v>228</v>
      </c>
      <c r="Q245" s="4" t="s">
        <v>26</v>
      </c>
      <c r="R245" s="4">
        <v>0</v>
      </c>
      <c r="S245" s="4">
        <v>0</v>
      </c>
      <c r="T245" s="4">
        <v>39</v>
      </c>
      <c r="U245" s="4">
        <v>98</v>
      </c>
      <c r="V245" s="6">
        <f>IF(ISERROR(VLOOKUP($S$245,'TAR FIN'!$A$1:$O$113,15,0)),0,VLOOKUP($S$245,'TAR FIN'!$A$1:$O$113,15,0))</f>
        <v>0</v>
      </c>
      <c r="W245" s="6">
        <f>IF(ISERROR(VLOOKUP($T$245,'TAR FIN'!$A$1:$O$113,15,0)),0,VLOOKUP($T$245,'TAR FIN'!$A$1:$O$113,15,0))</f>
        <v>79.06</v>
      </c>
      <c r="X245" s="6">
        <f>IF(ISERROR(VLOOKUP($U$245,'TAR FIN'!$A$1:$O$113,15,0)),0,VLOOKUP($U$245,'TAR FIN'!$A$1:$O$113,15,0))</f>
        <v>102.32</v>
      </c>
      <c r="Y245" s="6"/>
      <c r="Z245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245" s="6">
        <f>('TE BE'!$AB$19+'TE BF'!$AB$19+'TE CVA'!$AB$19)*(1-CUSTOS!$M$34)</f>
        <v>110.17481238041081</v>
      </c>
      <c r="AB245" s="6">
        <f t="shared" si="10"/>
        <v>0</v>
      </c>
      <c r="AC245" s="6">
        <f>(L245-M245)*(W245+X245)+($W$317+$X$317-$W$245-$X$245)*(L245)</f>
        <v>63081.899500000007</v>
      </c>
      <c r="AD245" s="6">
        <f t="shared" si="12"/>
        <v>0</v>
      </c>
      <c r="AE245" s="6">
        <f ca="1">(L245-M245)*(Z245+AA245)+($Z$317+$AA$317-$Z$245-$AA$245)*(L245)</f>
        <v>69960.32869465329</v>
      </c>
      <c r="AF245" s="4" t="s">
        <v>854</v>
      </c>
    </row>
    <row r="246" spans="1:32" ht="11.25" customHeight="1" x14ac:dyDescent="0.3">
      <c r="A246" s="4" t="s">
        <v>28</v>
      </c>
      <c r="B246" s="4" t="s">
        <v>22</v>
      </c>
      <c r="C246" s="4" t="s">
        <v>23</v>
      </c>
      <c r="D246" s="4" t="s">
        <v>24</v>
      </c>
      <c r="E246" s="4" t="s">
        <v>29</v>
      </c>
      <c r="F246" s="4" t="s">
        <v>25</v>
      </c>
      <c r="G246" s="4" t="s">
        <v>25</v>
      </c>
      <c r="H246" s="4" t="s">
        <v>25</v>
      </c>
      <c r="I246" s="5">
        <v>44713</v>
      </c>
      <c r="J246" s="6">
        <v>0</v>
      </c>
      <c r="K246" s="6">
        <v>0</v>
      </c>
      <c r="L246" s="6">
        <v>2.5999999999999999E-2</v>
      </c>
      <c r="M246" s="6">
        <v>-7.7999999999999996E-3</v>
      </c>
      <c r="N246" s="6">
        <v>2.5999999999999999E-2</v>
      </c>
      <c r="O246" s="6">
        <v>-7.7999999999999996E-3</v>
      </c>
      <c r="P246" s="6">
        <v>0</v>
      </c>
      <c r="Q246" s="4" t="s">
        <v>26</v>
      </c>
      <c r="R246" s="4">
        <v>0</v>
      </c>
      <c r="S246" s="4">
        <v>0</v>
      </c>
      <c r="T246" s="4">
        <v>39</v>
      </c>
      <c r="U246" s="4">
        <v>98</v>
      </c>
      <c r="V246" s="6">
        <f>IF(ISERROR(VLOOKUP($S$246,'TAR FIN'!$A$1:$O$113,15,0)),0,VLOOKUP($S$246,'TAR FIN'!$A$1:$O$113,15,0))</f>
        <v>0</v>
      </c>
      <c r="W246" s="6">
        <f>IF(ISERROR(VLOOKUP($T$246,'TAR FIN'!$A$1:$O$113,15,0)),0,VLOOKUP($T$246,'TAR FIN'!$A$1:$O$113,15,0))</f>
        <v>79.06</v>
      </c>
      <c r="X246" s="6">
        <f>IF(ISERROR(VLOOKUP($U$246,'TAR FIN'!$A$1:$O$113,15,0)),0,VLOOKUP($U$246,'TAR FIN'!$A$1:$O$113,15,0))</f>
        <v>102.32</v>
      </c>
      <c r="Y246" s="6"/>
      <c r="Z246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246" s="6">
        <f>('TE BE'!$AB$19+'TE BF'!$AB$19+'TE CVA'!$AB$19)*(1-CUSTOS!$M$34)</f>
        <v>110.17481238041081</v>
      </c>
      <c r="AB246" s="6">
        <f t="shared" si="10"/>
        <v>0</v>
      </c>
      <c r="AC246" s="6">
        <f>(L246-M246)*(W246+X246)+($W$317+$X$317-$W$246-$X$246)*(L246)</f>
        <v>14.888743999999999</v>
      </c>
      <c r="AD246" s="6">
        <f t="shared" si="12"/>
        <v>0</v>
      </c>
      <c r="AE246" s="6">
        <f ca="1">(L246-M246)*(Z246+AA246)+($Z$317+$AA$317-$Z$246-$AA$246)*(L246)</f>
        <v>16.512236494386045</v>
      </c>
      <c r="AF246" s="4" t="s">
        <v>854</v>
      </c>
    </row>
    <row r="247" spans="1:32" ht="11.25" customHeight="1" x14ac:dyDescent="0.3">
      <c r="A247" s="4" t="s">
        <v>21</v>
      </c>
      <c r="B247" s="4" t="s">
        <v>22</v>
      </c>
      <c r="C247" s="4" t="s">
        <v>23</v>
      </c>
      <c r="D247" s="4" t="s">
        <v>24</v>
      </c>
      <c r="E247" s="4" t="s">
        <v>29</v>
      </c>
      <c r="F247" s="4" t="s">
        <v>25</v>
      </c>
      <c r="G247" s="4" t="s">
        <v>25</v>
      </c>
      <c r="H247" s="4" t="s">
        <v>25</v>
      </c>
      <c r="I247" s="5">
        <v>44743</v>
      </c>
      <c r="J247" s="6">
        <v>0</v>
      </c>
      <c r="K247" s="6">
        <v>0</v>
      </c>
      <c r="L247" s="6">
        <v>177.684</v>
      </c>
      <c r="M247" s="6">
        <v>177.684</v>
      </c>
      <c r="N247" s="6">
        <v>177.684</v>
      </c>
      <c r="O247" s="6">
        <v>177.684</v>
      </c>
      <c r="P247" s="6">
        <v>231</v>
      </c>
      <c r="Q247" s="4" t="s">
        <v>26</v>
      </c>
      <c r="R247" s="4">
        <v>0</v>
      </c>
      <c r="S247" s="4">
        <v>0</v>
      </c>
      <c r="T247" s="4">
        <v>39</v>
      </c>
      <c r="U247" s="4">
        <v>98</v>
      </c>
      <c r="V247" s="6">
        <f>IF(ISERROR(VLOOKUP($S$247,'TAR FIN'!$A$1:$O$113,15,0)),0,VLOOKUP($S$247,'TAR FIN'!$A$1:$O$113,15,0))</f>
        <v>0</v>
      </c>
      <c r="W247" s="6">
        <f>IF(ISERROR(VLOOKUP($T$247,'TAR FIN'!$A$1:$O$113,15,0)),0,VLOOKUP($T$247,'TAR FIN'!$A$1:$O$113,15,0))</f>
        <v>79.06</v>
      </c>
      <c r="X247" s="6">
        <f>IF(ISERROR(VLOOKUP($U$247,'TAR FIN'!$A$1:$O$113,15,0)),0,VLOOKUP($U$247,'TAR FIN'!$A$1:$O$113,15,0))</f>
        <v>102.32</v>
      </c>
      <c r="Y247" s="6"/>
      <c r="Z247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247" s="6">
        <f>('TE BE'!$AB$19+'TE BF'!$AB$19+'TE CVA'!$AB$19)*(1-CUSTOS!$M$34)</f>
        <v>110.17481238041081</v>
      </c>
      <c r="AB247" s="6">
        <f t="shared" si="10"/>
        <v>0</v>
      </c>
      <c r="AC247" s="6">
        <f>(L247-M247)*(W247+X247)+($W$317+$X$317-$W$247-$X$247)*(L247)</f>
        <v>59852.8554</v>
      </c>
      <c r="AD247" s="6">
        <f t="shared" si="12"/>
        <v>0</v>
      </c>
      <c r="AE247" s="6">
        <f ca="1">(L247-M247)*(Z247+AA247)+($Z$317+$AA$317-$Z$247-$AA$247)*(L247)</f>
        <v>66379.190707431902</v>
      </c>
      <c r="AF247" s="4" t="s">
        <v>854</v>
      </c>
    </row>
    <row r="248" spans="1:32" ht="11.25" customHeight="1" x14ac:dyDescent="0.3">
      <c r="A248" s="4" t="s">
        <v>21</v>
      </c>
      <c r="B248" s="4" t="s">
        <v>22</v>
      </c>
      <c r="C248" s="4" t="s">
        <v>23</v>
      </c>
      <c r="D248" s="4" t="s">
        <v>24</v>
      </c>
      <c r="E248" s="4" t="s">
        <v>29</v>
      </c>
      <c r="F248" s="4" t="s">
        <v>25</v>
      </c>
      <c r="G248" s="4" t="s">
        <v>25</v>
      </c>
      <c r="H248" s="4" t="s">
        <v>25</v>
      </c>
      <c r="I248" s="5">
        <v>44774</v>
      </c>
      <c r="J248" s="6">
        <v>0</v>
      </c>
      <c r="K248" s="6">
        <v>0</v>
      </c>
      <c r="L248" s="6">
        <v>183.559</v>
      </c>
      <c r="M248" s="6">
        <v>183.559</v>
      </c>
      <c r="N248" s="6">
        <v>183.559</v>
      </c>
      <c r="O248" s="6">
        <v>183.559</v>
      </c>
      <c r="P248" s="6">
        <v>233</v>
      </c>
      <c r="Q248" s="4" t="s">
        <v>26</v>
      </c>
      <c r="R248" s="4">
        <v>0</v>
      </c>
      <c r="S248" s="4">
        <v>0</v>
      </c>
      <c r="T248" s="4">
        <v>39</v>
      </c>
      <c r="U248" s="4">
        <v>98</v>
      </c>
      <c r="V248" s="6">
        <f>IF(ISERROR(VLOOKUP($S$248,'TAR FIN'!$A$1:$O$113,15,0)),0,VLOOKUP($S$248,'TAR FIN'!$A$1:$O$113,15,0))</f>
        <v>0</v>
      </c>
      <c r="W248" s="6">
        <f>IF(ISERROR(VLOOKUP($T$248,'TAR FIN'!$A$1:$O$113,15,0)),0,VLOOKUP($T$248,'TAR FIN'!$A$1:$O$113,15,0))</f>
        <v>79.06</v>
      </c>
      <c r="X248" s="6">
        <f>IF(ISERROR(VLOOKUP($U$248,'TAR FIN'!$A$1:$O$113,15,0)),0,VLOOKUP($U$248,'TAR FIN'!$A$1:$O$113,15,0))</f>
        <v>102.32</v>
      </c>
      <c r="Y248" s="6"/>
      <c r="Z248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248" s="6">
        <f>('TE BE'!$AB$19+'TE BF'!$AB$19+'TE CVA'!$AB$19)*(1-CUSTOS!$M$34)</f>
        <v>110.17481238041081</v>
      </c>
      <c r="AB248" s="6">
        <f t="shared" si="10"/>
        <v>0</v>
      </c>
      <c r="AC248" s="6">
        <f>(L248-M248)*(W248+X248)+($W$317+$X$317-$W$248-$X$248)*(L248)</f>
        <v>61831.849150000002</v>
      </c>
      <c r="AD248" s="6">
        <f t="shared" si="12"/>
        <v>0</v>
      </c>
      <c r="AE248" s="6">
        <f ca="1">(L248-M248)*(Z248+AA248)+($Z$317+$AA$317-$Z$248-$AA$248)*(L248)</f>
        <v>68573.973273144991</v>
      </c>
      <c r="AF248" s="4" t="s">
        <v>854</v>
      </c>
    </row>
    <row r="249" spans="1:32" ht="11.25" customHeight="1" x14ac:dyDescent="0.3">
      <c r="A249" s="4" t="s">
        <v>27</v>
      </c>
      <c r="B249" s="4" t="s">
        <v>22</v>
      </c>
      <c r="C249" s="4" t="s">
        <v>23</v>
      </c>
      <c r="D249" s="4" t="s">
        <v>24</v>
      </c>
      <c r="E249" s="4" t="s">
        <v>29</v>
      </c>
      <c r="F249" s="4" t="s">
        <v>25</v>
      </c>
      <c r="G249" s="4" t="s">
        <v>25</v>
      </c>
      <c r="H249" s="4" t="s">
        <v>25</v>
      </c>
      <c r="I249" s="5">
        <v>44774</v>
      </c>
      <c r="J249" s="6">
        <v>0</v>
      </c>
      <c r="K249" s="6">
        <v>0</v>
      </c>
      <c r="L249" s="6">
        <v>-0.03</v>
      </c>
      <c r="M249" s="6">
        <v>-0.03</v>
      </c>
      <c r="N249" s="6">
        <v>-0.03</v>
      </c>
      <c r="O249" s="6">
        <v>-0.03</v>
      </c>
      <c r="P249" s="6">
        <v>0</v>
      </c>
      <c r="Q249" s="4" t="s">
        <v>26</v>
      </c>
      <c r="R249" s="4">
        <v>0</v>
      </c>
      <c r="S249" s="4">
        <v>0</v>
      </c>
      <c r="T249" s="4">
        <v>39</v>
      </c>
      <c r="U249" s="4">
        <v>98</v>
      </c>
      <c r="V249" s="6">
        <f>IF(ISERROR(VLOOKUP($S$249,'TAR FIN'!$A$1:$O$113,15,0)),0,VLOOKUP($S$249,'TAR FIN'!$A$1:$O$113,15,0))</f>
        <v>0</v>
      </c>
      <c r="W249" s="6">
        <f>IF(ISERROR(VLOOKUP($T$249,'TAR FIN'!$A$1:$O$113,15,0)),0,VLOOKUP($T$249,'TAR FIN'!$A$1:$O$113,15,0))</f>
        <v>79.06</v>
      </c>
      <c r="X249" s="6">
        <f>IF(ISERROR(VLOOKUP($U$249,'TAR FIN'!$A$1:$O$113,15,0)),0,VLOOKUP($U$249,'TAR FIN'!$A$1:$O$113,15,0))</f>
        <v>102.32</v>
      </c>
      <c r="Y249" s="6"/>
      <c r="Z249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249" s="6">
        <f>('TE BE'!$AB$19+'TE BF'!$AB$19+'TE CVA'!$AB$19)*(1-CUSTOS!$M$34)</f>
        <v>110.17481238041081</v>
      </c>
      <c r="AB249" s="6">
        <f t="shared" si="10"/>
        <v>0</v>
      </c>
      <c r="AC249" s="6">
        <f>(L249-M249)*(W249+X249)+($W$317+$X$317-$W$249-$X$249)*(L249)</f>
        <v>-10.105500000000001</v>
      </c>
      <c r="AD249" s="6">
        <f t="shared" si="12"/>
        <v>0</v>
      </c>
      <c r="AE249" s="6">
        <f ca="1">(L249-M249)*(Z249+AA249)+($Z$317+$AA$317-$Z$249-$AA$249)*(L249)</f>
        <v>-11.207400335556141</v>
      </c>
      <c r="AF249" s="4" t="s">
        <v>854</v>
      </c>
    </row>
    <row r="250" spans="1:32" ht="11.25" customHeight="1" x14ac:dyDescent="0.3">
      <c r="A250" s="4" t="s">
        <v>28</v>
      </c>
      <c r="B250" s="4" t="s">
        <v>22</v>
      </c>
      <c r="C250" s="4" t="s">
        <v>23</v>
      </c>
      <c r="D250" s="4" t="s">
        <v>24</v>
      </c>
      <c r="E250" s="4" t="s">
        <v>29</v>
      </c>
      <c r="F250" s="4" t="s">
        <v>25</v>
      </c>
      <c r="G250" s="4" t="s">
        <v>25</v>
      </c>
      <c r="H250" s="4" t="s">
        <v>25</v>
      </c>
      <c r="I250" s="5">
        <v>44774</v>
      </c>
      <c r="J250" s="6">
        <v>0</v>
      </c>
      <c r="K250" s="6">
        <v>0</v>
      </c>
      <c r="L250" s="6">
        <v>1.7000000000000001E-2</v>
      </c>
      <c r="M250" s="6">
        <v>5.9500000000000004E-3</v>
      </c>
      <c r="N250" s="6">
        <v>1.7000000000000001E-2</v>
      </c>
      <c r="O250" s="6">
        <v>5.9500000000000004E-3</v>
      </c>
      <c r="P250" s="6">
        <v>0</v>
      </c>
      <c r="Q250" s="4" t="s">
        <v>26</v>
      </c>
      <c r="R250" s="4">
        <v>0</v>
      </c>
      <c r="S250" s="4">
        <v>0</v>
      </c>
      <c r="T250" s="4">
        <v>39</v>
      </c>
      <c r="U250" s="4">
        <v>98</v>
      </c>
      <c r="V250" s="6">
        <f>IF(ISERROR(VLOOKUP($S$250,'TAR FIN'!$A$1:$O$113,15,0)),0,VLOOKUP($S$250,'TAR FIN'!$A$1:$O$113,15,0))</f>
        <v>0</v>
      </c>
      <c r="W250" s="6">
        <f>IF(ISERROR(VLOOKUP($T$250,'TAR FIN'!$A$1:$O$113,15,0)),0,VLOOKUP($T$250,'TAR FIN'!$A$1:$O$113,15,0))</f>
        <v>79.06</v>
      </c>
      <c r="X250" s="6">
        <f>IF(ISERROR(VLOOKUP($U$250,'TAR FIN'!$A$1:$O$113,15,0)),0,VLOOKUP($U$250,'TAR FIN'!$A$1:$O$113,15,0))</f>
        <v>102.32</v>
      </c>
      <c r="Y250" s="6"/>
      <c r="Z250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250" s="6">
        <f>('TE BE'!$AB$19+'TE BF'!$AB$19+'TE CVA'!$AB$19)*(1-CUSTOS!$M$34)</f>
        <v>110.17481238041081</v>
      </c>
      <c r="AB250" s="6">
        <f t="shared" si="10"/>
        <v>0</v>
      </c>
      <c r="AC250" s="6">
        <f>(L250-M250)*(W250+X250)+($W$317+$X$317-$W$250-$X$250)*(L250)</f>
        <v>7.7306990000000013</v>
      </c>
      <c r="AD250" s="6">
        <f t="shared" si="12"/>
        <v>0</v>
      </c>
      <c r="AE250" s="6">
        <f ca="1">(L250-M250)*(Z250+AA250)+($Z$317+$AA$317-$Z$250-$AA$250)*(L250)</f>
        <v>8.5736612567004471</v>
      </c>
      <c r="AF250" s="4" t="s">
        <v>854</v>
      </c>
    </row>
    <row r="251" spans="1:32" ht="11.25" customHeight="1" x14ac:dyDescent="0.3">
      <c r="A251" s="4" t="s">
        <v>21</v>
      </c>
      <c r="B251" s="4" t="s">
        <v>22</v>
      </c>
      <c r="C251" s="4" t="s">
        <v>23</v>
      </c>
      <c r="D251" s="4" t="s">
        <v>24</v>
      </c>
      <c r="E251" s="4" t="s">
        <v>29</v>
      </c>
      <c r="F251" s="4" t="s">
        <v>25</v>
      </c>
      <c r="G251" s="4" t="s">
        <v>25</v>
      </c>
      <c r="H251" s="4" t="s">
        <v>25</v>
      </c>
      <c r="I251" s="5">
        <v>44805</v>
      </c>
      <c r="J251" s="6">
        <v>0</v>
      </c>
      <c r="K251" s="6">
        <v>0</v>
      </c>
      <c r="L251" s="6">
        <v>183.197</v>
      </c>
      <c r="M251" s="6">
        <v>183.197</v>
      </c>
      <c r="N251" s="6">
        <v>183.197</v>
      </c>
      <c r="O251" s="6">
        <v>183.197</v>
      </c>
      <c r="P251" s="6">
        <v>202</v>
      </c>
      <c r="Q251" s="4" t="s">
        <v>26</v>
      </c>
      <c r="R251" s="4">
        <v>0</v>
      </c>
      <c r="S251" s="4">
        <v>0</v>
      </c>
      <c r="T251" s="4">
        <v>39</v>
      </c>
      <c r="U251" s="4">
        <v>98</v>
      </c>
      <c r="V251" s="6">
        <f>IF(ISERROR(VLOOKUP($S$251,'TAR FIN'!$A$1:$O$113,15,0)),0,VLOOKUP($S$251,'TAR FIN'!$A$1:$O$113,15,0))</f>
        <v>0</v>
      </c>
      <c r="W251" s="6">
        <f>IF(ISERROR(VLOOKUP($T$251,'TAR FIN'!$A$1:$O$113,15,0)),0,VLOOKUP($T$251,'TAR FIN'!$A$1:$O$113,15,0))</f>
        <v>79.06</v>
      </c>
      <c r="X251" s="6">
        <f>IF(ISERROR(VLOOKUP($U$251,'TAR FIN'!$A$1:$O$113,15,0)),0,VLOOKUP($U$251,'TAR FIN'!$A$1:$O$113,15,0))</f>
        <v>102.32</v>
      </c>
      <c r="Y251" s="6"/>
      <c r="Z251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251" s="6">
        <f>('TE BE'!$AB$19+'TE BF'!$AB$19+'TE CVA'!$AB$19)*(1-CUSTOS!$M$34)</f>
        <v>110.17481238041081</v>
      </c>
      <c r="AB251" s="6">
        <f t="shared" si="10"/>
        <v>0</v>
      </c>
      <c r="AC251" s="6">
        <f>(L251-M251)*(W251+X251)+($W$317+$X$317-$W$251-$X$251)*(L251)</f>
        <v>61709.909450000006</v>
      </c>
      <c r="AD251" s="6">
        <f t="shared" si="12"/>
        <v>0</v>
      </c>
      <c r="AE251" s="6">
        <f ca="1">(L251-M251)*(Z251+AA251)+($Z$317+$AA$317-$Z$251-$AA$251)*(L251)</f>
        <v>68438.737309095945</v>
      </c>
      <c r="AF251" s="4" t="s">
        <v>854</v>
      </c>
    </row>
    <row r="252" spans="1:32" ht="11.25" customHeight="1" x14ac:dyDescent="0.3">
      <c r="A252" s="4" t="s">
        <v>27</v>
      </c>
      <c r="B252" s="4" t="s">
        <v>22</v>
      </c>
      <c r="C252" s="4" t="s">
        <v>23</v>
      </c>
      <c r="D252" s="4" t="s">
        <v>24</v>
      </c>
      <c r="E252" s="4" t="s">
        <v>29</v>
      </c>
      <c r="F252" s="4" t="s">
        <v>25</v>
      </c>
      <c r="G252" s="4" t="s">
        <v>25</v>
      </c>
      <c r="H252" s="4" t="s">
        <v>25</v>
      </c>
      <c r="I252" s="5">
        <v>44805</v>
      </c>
      <c r="J252" s="6">
        <v>0</v>
      </c>
      <c r="K252" s="6">
        <v>0</v>
      </c>
      <c r="L252" s="6">
        <v>-0.06</v>
      </c>
      <c r="M252" s="6">
        <v>-0.06</v>
      </c>
      <c r="N252" s="6">
        <v>-0.06</v>
      </c>
      <c r="O252" s="6">
        <v>-0.06</v>
      </c>
      <c r="P252" s="6">
        <v>0</v>
      </c>
      <c r="Q252" s="4" t="s">
        <v>26</v>
      </c>
      <c r="R252" s="4">
        <v>0</v>
      </c>
      <c r="S252" s="4">
        <v>0</v>
      </c>
      <c r="T252" s="4">
        <v>39</v>
      </c>
      <c r="U252" s="4">
        <v>98</v>
      </c>
      <c r="V252" s="6">
        <f>IF(ISERROR(VLOOKUP($S$252,'TAR FIN'!$A$1:$O$113,15,0)),0,VLOOKUP($S$252,'TAR FIN'!$A$1:$O$113,15,0))</f>
        <v>0</v>
      </c>
      <c r="W252" s="6">
        <f>IF(ISERROR(VLOOKUP($T$252,'TAR FIN'!$A$1:$O$113,15,0)),0,VLOOKUP($T$252,'TAR FIN'!$A$1:$O$113,15,0))</f>
        <v>79.06</v>
      </c>
      <c r="X252" s="6">
        <f>IF(ISERROR(VLOOKUP($U$252,'TAR FIN'!$A$1:$O$113,15,0)),0,VLOOKUP($U$252,'TAR FIN'!$A$1:$O$113,15,0))</f>
        <v>102.32</v>
      </c>
      <c r="Y252" s="6"/>
      <c r="Z252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252" s="6">
        <f>('TE BE'!$AB$19+'TE BF'!$AB$19+'TE CVA'!$AB$19)*(1-CUSTOS!$M$34)</f>
        <v>110.17481238041081</v>
      </c>
      <c r="AB252" s="6">
        <f t="shared" si="10"/>
        <v>0</v>
      </c>
      <c r="AC252" s="6">
        <f>(L252-M252)*(W252+X252)+($W$317+$X$317-$W$252-$X$252)*(L252)</f>
        <v>-20.211000000000002</v>
      </c>
      <c r="AD252" s="6">
        <f t="shared" si="12"/>
        <v>0</v>
      </c>
      <c r="AE252" s="6">
        <f ca="1">(L252-M252)*(Z252+AA252)+($Z$317+$AA$317-$Z$252-$AA$252)*(L252)</f>
        <v>-22.414800671112282</v>
      </c>
      <c r="AF252" s="4" t="s">
        <v>854</v>
      </c>
    </row>
    <row r="253" spans="1:32" ht="11.25" customHeight="1" x14ac:dyDescent="0.3">
      <c r="A253" s="4" t="s">
        <v>28</v>
      </c>
      <c r="B253" s="4" t="s">
        <v>22</v>
      </c>
      <c r="C253" s="4" t="s">
        <v>23</v>
      </c>
      <c r="D253" s="4" t="s">
        <v>24</v>
      </c>
      <c r="E253" s="4" t="s">
        <v>29</v>
      </c>
      <c r="F253" s="4" t="s">
        <v>25</v>
      </c>
      <c r="G253" s="4" t="s">
        <v>25</v>
      </c>
      <c r="H253" s="4" t="s">
        <v>25</v>
      </c>
      <c r="I253" s="5">
        <v>44805</v>
      </c>
      <c r="J253" s="6">
        <v>0</v>
      </c>
      <c r="K253" s="6">
        <v>0</v>
      </c>
      <c r="L253" s="6">
        <v>3.5000000000000003E-2</v>
      </c>
      <c r="M253" s="6">
        <v>1.225E-2</v>
      </c>
      <c r="N253" s="6">
        <v>3.5000000000000003E-2</v>
      </c>
      <c r="O253" s="6">
        <v>1.225E-2</v>
      </c>
      <c r="P253" s="6">
        <v>0</v>
      </c>
      <c r="Q253" s="4" t="s">
        <v>26</v>
      </c>
      <c r="R253" s="4">
        <v>0</v>
      </c>
      <c r="S253" s="4">
        <v>0</v>
      </c>
      <c r="T253" s="4">
        <v>39</v>
      </c>
      <c r="U253" s="4">
        <v>98</v>
      </c>
      <c r="V253" s="6">
        <f>IF(ISERROR(VLOOKUP($S$253,'TAR FIN'!$A$1:$O$113,15,0)),0,VLOOKUP($S$253,'TAR FIN'!$A$1:$O$113,15,0))</f>
        <v>0</v>
      </c>
      <c r="W253" s="6">
        <f>IF(ISERROR(VLOOKUP($T$253,'TAR FIN'!$A$1:$O$113,15,0)),0,VLOOKUP($T$253,'TAR FIN'!$A$1:$O$113,15,0))</f>
        <v>79.06</v>
      </c>
      <c r="X253" s="6">
        <f>IF(ISERROR(VLOOKUP($U$253,'TAR FIN'!$A$1:$O$113,15,0)),0,VLOOKUP($U$253,'TAR FIN'!$A$1:$O$113,15,0))</f>
        <v>102.32</v>
      </c>
      <c r="Y253" s="6"/>
      <c r="Z253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253" s="6">
        <f>('TE BE'!$AB$19+'TE BF'!$AB$19+'TE CVA'!$AB$19)*(1-CUSTOS!$M$34)</f>
        <v>110.17481238041081</v>
      </c>
      <c r="AB253" s="6">
        <f t="shared" si="10"/>
        <v>0</v>
      </c>
      <c r="AC253" s="6">
        <f>(L253-M253)*(W253+X253)+($W$317+$X$317-$W$253-$X$253)*(L253)</f>
        <v>15.916145000000002</v>
      </c>
      <c r="AD253" s="6">
        <f t="shared" si="12"/>
        <v>0</v>
      </c>
      <c r="AE253" s="6">
        <f ca="1">(L253-M253)*(Z253+AA253)+($Z$317+$AA$317-$Z$253-$AA$253)*(L253)</f>
        <v>17.651655528500921</v>
      </c>
      <c r="AF253" s="4" t="s">
        <v>854</v>
      </c>
    </row>
    <row r="254" spans="1:32" ht="11.25" customHeight="1" x14ac:dyDescent="0.3">
      <c r="A254" s="4" t="s">
        <v>53</v>
      </c>
      <c r="B254" s="4" t="s">
        <v>22</v>
      </c>
      <c r="C254" s="4" t="s">
        <v>23</v>
      </c>
      <c r="D254" s="4" t="s">
        <v>24</v>
      </c>
      <c r="E254" s="4" t="s">
        <v>29</v>
      </c>
      <c r="F254" s="4" t="s">
        <v>25</v>
      </c>
      <c r="G254" s="4" t="s">
        <v>25</v>
      </c>
      <c r="H254" s="4" t="s">
        <v>25</v>
      </c>
      <c r="I254" s="5">
        <v>44835</v>
      </c>
      <c r="J254" s="6">
        <v>0</v>
      </c>
      <c r="K254" s="6">
        <v>0</v>
      </c>
      <c r="L254" s="6">
        <v>183.197</v>
      </c>
      <c r="M254" s="6">
        <v>183.197</v>
      </c>
      <c r="N254" s="6">
        <v>183.197</v>
      </c>
      <c r="O254" s="6">
        <v>183.197</v>
      </c>
      <c r="P254" s="6">
        <v>202</v>
      </c>
      <c r="Q254" s="4" t="s">
        <v>26</v>
      </c>
      <c r="R254" s="4">
        <v>0</v>
      </c>
      <c r="S254" s="4">
        <v>0</v>
      </c>
      <c r="T254" s="4">
        <v>39</v>
      </c>
      <c r="U254" s="4">
        <v>98</v>
      </c>
      <c r="V254" s="6">
        <f>IF(ISERROR(VLOOKUP($S$254,'TAR FIN'!$A$1:$O$113,15,0)),0,VLOOKUP($S$254,'TAR FIN'!$A$1:$O$113,15,0))</f>
        <v>0</v>
      </c>
      <c r="W254" s="6">
        <f>IF(ISERROR(VLOOKUP($T$254,'TAR FIN'!$A$1:$O$113,15,0)),0,VLOOKUP($T$254,'TAR FIN'!$A$1:$O$113,15,0))</f>
        <v>79.06</v>
      </c>
      <c r="X254" s="6">
        <f>IF(ISERROR(VLOOKUP($U$254,'TAR FIN'!$A$1:$O$113,15,0)),0,VLOOKUP($U$254,'TAR FIN'!$A$1:$O$113,15,0))</f>
        <v>102.32</v>
      </c>
      <c r="Y254" s="6"/>
      <c r="Z254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254" s="6">
        <f>('TE BE'!$AB$19+'TE BF'!$AB$19+'TE CVA'!$AB$19)*(1-CUSTOS!$M$34)</f>
        <v>110.17481238041081</v>
      </c>
      <c r="AB254" s="6">
        <f t="shared" si="10"/>
        <v>0</v>
      </c>
      <c r="AC254" s="6">
        <f>(L254-M254)*(W254+X254)+($W$317+$X$317-$W$254-$X$254)*(L254)</f>
        <v>61709.909450000006</v>
      </c>
      <c r="AD254" s="6">
        <f t="shared" si="12"/>
        <v>0</v>
      </c>
      <c r="AE254" s="6">
        <f ca="1">(L254-M254)*(Z254+AA254)+($Z$317+$AA$317-$Z$254-$AA$254)*(L254)</f>
        <v>68438.737309095945</v>
      </c>
      <c r="AF254" s="4" t="s">
        <v>854</v>
      </c>
    </row>
    <row r="255" spans="1:32" ht="11.25" customHeight="1" x14ac:dyDescent="0.3">
      <c r="A255" s="4" t="s">
        <v>53</v>
      </c>
      <c r="B255" s="4" t="s">
        <v>22</v>
      </c>
      <c r="C255" s="4" t="s">
        <v>23</v>
      </c>
      <c r="D255" s="4" t="s">
        <v>24</v>
      </c>
      <c r="E255" s="4" t="s">
        <v>29</v>
      </c>
      <c r="F255" s="4" t="s">
        <v>25</v>
      </c>
      <c r="G255" s="4" t="s">
        <v>25</v>
      </c>
      <c r="H255" s="4" t="s">
        <v>25</v>
      </c>
      <c r="I255" s="5">
        <v>44835</v>
      </c>
      <c r="J255" s="6">
        <v>0</v>
      </c>
      <c r="K255" s="6">
        <v>0</v>
      </c>
      <c r="L255" s="6">
        <v>-0.06</v>
      </c>
      <c r="M255" s="6">
        <v>-0.06</v>
      </c>
      <c r="N255" s="6">
        <v>-0.06</v>
      </c>
      <c r="O255" s="6">
        <v>-0.06</v>
      </c>
      <c r="P255" s="6">
        <v>0</v>
      </c>
      <c r="Q255" s="4" t="s">
        <v>26</v>
      </c>
      <c r="R255" s="4">
        <v>0</v>
      </c>
      <c r="S255" s="4">
        <v>0</v>
      </c>
      <c r="T255" s="4">
        <v>39</v>
      </c>
      <c r="U255" s="4">
        <v>98</v>
      </c>
      <c r="V255" s="6">
        <f>IF(ISERROR(VLOOKUP($S$255,'TAR FIN'!$A$1:$O$113,15,0)),0,VLOOKUP($S$255,'TAR FIN'!$A$1:$O$113,15,0))</f>
        <v>0</v>
      </c>
      <c r="W255" s="6">
        <f>IF(ISERROR(VLOOKUP($T$255,'TAR FIN'!$A$1:$O$113,15,0)),0,VLOOKUP($T$255,'TAR FIN'!$A$1:$O$113,15,0))</f>
        <v>79.06</v>
      </c>
      <c r="X255" s="6">
        <f>IF(ISERROR(VLOOKUP($U$255,'TAR FIN'!$A$1:$O$113,15,0)),0,VLOOKUP($U$255,'TAR FIN'!$A$1:$O$113,15,0))</f>
        <v>102.32</v>
      </c>
      <c r="Y255" s="6"/>
      <c r="Z255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255" s="6">
        <f>('TE BE'!$AB$19+'TE BF'!$AB$19+'TE CVA'!$AB$19)*(1-CUSTOS!$M$34)</f>
        <v>110.17481238041081</v>
      </c>
      <c r="AB255" s="6">
        <f t="shared" si="10"/>
        <v>0</v>
      </c>
      <c r="AC255" s="6">
        <f>(L255-M255)*(W255+X255)+($W$317+$X$317-$W$255-$X$255)*(L255)</f>
        <v>-20.211000000000002</v>
      </c>
      <c r="AD255" s="6">
        <f t="shared" si="12"/>
        <v>0</v>
      </c>
      <c r="AE255" s="6">
        <f ca="1">(L255-M255)*(Z255+AA255)+($Z$317+$AA$317-$Z$255-$AA$255)*(L255)</f>
        <v>-22.414800671112282</v>
      </c>
      <c r="AF255" s="4" t="s">
        <v>854</v>
      </c>
    </row>
    <row r="256" spans="1:32" ht="11.25" customHeight="1" x14ac:dyDescent="0.3">
      <c r="A256" s="4" t="s">
        <v>53</v>
      </c>
      <c r="B256" s="4" t="s">
        <v>22</v>
      </c>
      <c r="C256" s="4" t="s">
        <v>23</v>
      </c>
      <c r="D256" s="4" t="s">
        <v>24</v>
      </c>
      <c r="E256" s="4" t="s">
        <v>29</v>
      </c>
      <c r="F256" s="4" t="s">
        <v>25</v>
      </c>
      <c r="G256" s="4" t="s">
        <v>25</v>
      </c>
      <c r="H256" s="4" t="s">
        <v>25</v>
      </c>
      <c r="I256" s="5">
        <v>44835</v>
      </c>
      <c r="J256" s="6">
        <v>0</v>
      </c>
      <c r="K256" s="6">
        <v>0</v>
      </c>
      <c r="L256" s="6">
        <v>3.5000000000000003E-2</v>
      </c>
      <c r="M256" s="6">
        <v>1.225E-2</v>
      </c>
      <c r="N256" s="6">
        <v>3.5000000000000003E-2</v>
      </c>
      <c r="O256" s="6">
        <v>1.225E-2</v>
      </c>
      <c r="P256" s="6">
        <v>0</v>
      </c>
      <c r="Q256" s="4" t="s">
        <v>26</v>
      </c>
      <c r="R256" s="4">
        <v>0</v>
      </c>
      <c r="S256" s="4">
        <v>0</v>
      </c>
      <c r="T256" s="4">
        <v>39</v>
      </c>
      <c r="U256" s="4">
        <v>98</v>
      </c>
      <c r="V256" s="6">
        <f>IF(ISERROR(VLOOKUP($S$256,'TAR FIN'!$A$1:$O$113,15,0)),0,VLOOKUP($S$256,'TAR FIN'!$A$1:$O$113,15,0))</f>
        <v>0</v>
      </c>
      <c r="W256" s="6">
        <f>IF(ISERROR(VLOOKUP($T$256,'TAR FIN'!$A$1:$O$113,15,0)),0,VLOOKUP($T$256,'TAR FIN'!$A$1:$O$113,15,0))</f>
        <v>79.06</v>
      </c>
      <c r="X256" s="6">
        <f>IF(ISERROR(VLOOKUP($U$256,'TAR FIN'!$A$1:$O$113,15,0)),0,VLOOKUP($U$256,'TAR FIN'!$A$1:$O$113,15,0))</f>
        <v>102.32</v>
      </c>
      <c r="Y256" s="6"/>
      <c r="Z256" s="6">
        <f ca="1">('TUSD BE'!$AM$41+'TUSD BF'!$AM$41+'TUSD CVA'!$AM$41-('TUSD BE'!$P$41+'TUSD BF'!$P$41+'TUSD CVA'!$P$41)-('TUSD BE'!$Q$41+'TUSD BF'!$Q$41+'TUSD CVA'!$Q$41)-('TUSD BE'!$R$41+'TUSD BF'!$R$41+'TUSD CVA'!$R$41))*(1-CUSTOS!$M$34)</f>
        <v>90.983655180853191</v>
      </c>
      <c r="AA256" s="6">
        <f>('TE BE'!$AB$19+'TE BF'!$AB$19+'TE CVA'!$AB$19)*(1-CUSTOS!$M$34)</f>
        <v>110.17481238041081</v>
      </c>
      <c r="AB256" s="6">
        <f t="shared" si="10"/>
        <v>0</v>
      </c>
      <c r="AC256" s="6">
        <f>(L256-M256)*(W256+X256)+($W$317+$X$317-$W$256-$X$256)*(L256)</f>
        <v>15.916145000000002</v>
      </c>
      <c r="AD256" s="6">
        <f t="shared" si="12"/>
        <v>0</v>
      </c>
      <c r="AE256" s="6">
        <f ca="1">(L256-M256)*(Z256+AA256)+($Z$317+$AA$317-$Z$256-$AA$256)*(L256)</f>
        <v>17.651655528500921</v>
      </c>
      <c r="AF256" s="4" t="s">
        <v>854</v>
      </c>
    </row>
    <row r="257" spans="1:32" ht="11.25" customHeight="1" x14ac:dyDescent="0.3">
      <c r="A257" s="4" t="s">
        <v>21</v>
      </c>
      <c r="B257" s="4" t="s">
        <v>22</v>
      </c>
      <c r="C257" s="4" t="s">
        <v>23</v>
      </c>
      <c r="D257" s="4" t="s">
        <v>24</v>
      </c>
      <c r="E257" s="4" t="s">
        <v>30</v>
      </c>
      <c r="F257" s="4" t="s">
        <v>25</v>
      </c>
      <c r="G257" s="4" t="s">
        <v>25</v>
      </c>
      <c r="H257" s="4" t="s">
        <v>25</v>
      </c>
      <c r="I257" s="5">
        <v>44501</v>
      </c>
      <c r="J257" s="6">
        <v>0</v>
      </c>
      <c r="K257" s="6">
        <v>0</v>
      </c>
      <c r="L257" s="6">
        <v>327.26100000000002</v>
      </c>
      <c r="M257" s="6">
        <v>327.26100000000002</v>
      </c>
      <c r="N257" s="6">
        <v>327.26100000000002</v>
      </c>
      <c r="O257" s="6">
        <v>327.26100000000002</v>
      </c>
      <c r="P257" s="6">
        <v>1478</v>
      </c>
      <c r="Q257" s="4" t="s">
        <v>26</v>
      </c>
      <c r="R257" s="4">
        <v>0</v>
      </c>
      <c r="S257" s="4">
        <v>0</v>
      </c>
      <c r="T257" s="4">
        <v>34</v>
      </c>
      <c r="U257" s="4">
        <v>75</v>
      </c>
      <c r="V257" s="6">
        <f>IF(ISERROR(VLOOKUP($S$257,'TAR FIN'!$A$1:$O$113,15,0)),0,VLOOKUP($S$257,'TAR FIN'!$A$1:$O$113,15,0))</f>
        <v>0</v>
      </c>
      <c r="W257" s="6">
        <f>IF(ISERROR(VLOOKUP($T$257,'TAR FIN'!$A$1:$O$113,15,0)),0,VLOOKUP($T$257,'TAR FIN'!$A$1:$O$113,15,0))</f>
        <v>135.52000000000001</v>
      </c>
      <c r="X257" s="6">
        <f>IF(ISERROR(VLOOKUP($U$257,'TAR FIN'!$A$1:$O$113,15,0)),0,VLOOKUP($U$257,'TAR FIN'!$A$1:$O$113,15,0))</f>
        <v>175.41</v>
      </c>
      <c r="Y257" s="6"/>
      <c r="Z257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57" s="6">
        <f>('TE BE'!$AB$20+'TE BF'!$AB$20+'TE CVA'!$AB$20)*(1-CUSTOS!$M$35)</f>
        <v>188.87110693784712</v>
      </c>
      <c r="AB257" s="6">
        <f t="shared" si="10"/>
        <v>0</v>
      </c>
      <c r="AC257" s="6">
        <f>(L257-M257)*(W257+X257)+($W$317+$X$317-$W$257-$X$257)*(L257)</f>
        <v>67841.205300000016</v>
      </c>
      <c r="AD257" s="6">
        <f t="shared" si="12"/>
        <v>0</v>
      </c>
      <c r="AE257" s="6">
        <f ca="1">(L257-M257)*(Z257+AA257)+($Z$317+$AA$317-$Z$257-$AA$257)*(L257)</f>
        <v>75235.795717219255</v>
      </c>
      <c r="AF257" s="4" t="s">
        <v>854</v>
      </c>
    </row>
    <row r="258" spans="1:32" ht="11.25" customHeight="1" x14ac:dyDescent="0.3">
      <c r="A258" s="4" t="s">
        <v>27</v>
      </c>
      <c r="B258" s="4" t="s">
        <v>22</v>
      </c>
      <c r="C258" s="4" t="s">
        <v>23</v>
      </c>
      <c r="D258" s="4" t="s">
        <v>24</v>
      </c>
      <c r="E258" s="4" t="s">
        <v>30</v>
      </c>
      <c r="F258" s="4" t="s">
        <v>25</v>
      </c>
      <c r="G258" s="4" t="s">
        <v>25</v>
      </c>
      <c r="H258" s="4" t="s">
        <v>25</v>
      </c>
      <c r="I258" s="5">
        <v>44501</v>
      </c>
      <c r="J258" s="6">
        <v>0</v>
      </c>
      <c r="K258" s="6">
        <v>0</v>
      </c>
      <c r="L258" s="6">
        <v>-0.11600000000000001</v>
      </c>
      <c r="M258" s="6">
        <v>-0.11600000000000001</v>
      </c>
      <c r="N258" s="6">
        <v>-0.11600000000000001</v>
      </c>
      <c r="O258" s="6">
        <v>-0.11600000000000001</v>
      </c>
      <c r="P258" s="6">
        <v>0</v>
      </c>
      <c r="Q258" s="4" t="s">
        <v>26</v>
      </c>
      <c r="R258" s="4">
        <v>0</v>
      </c>
      <c r="S258" s="4">
        <v>0</v>
      </c>
      <c r="T258" s="4">
        <v>34</v>
      </c>
      <c r="U258" s="4">
        <v>75</v>
      </c>
      <c r="V258" s="6">
        <f>IF(ISERROR(VLOOKUP($S$258,'TAR FIN'!$A$1:$O$113,15,0)),0,VLOOKUP($S$258,'TAR FIN'!$A$1:$O$113,15,0))</f>
        <v>0</v>
      </c>
      <c r="W258" s="6">
        <f>IF(ISERROR(VLOOKUP($T$258,'TAR FIN'!$A$1:$O$113,15,0)),0,VLOOKUP($T$258,'TAR FIN'!$A$1:$O$113,15,0))</f>
        <v>135.52000000000001</v>
      </c>
      <c r="X258" s="6">
        <f>IF(ISERROR(VLOOKUP($U$258,'TAR FIN'!$A$1:$O$113,15,0)),0,VLOOKUP($U$258,'TAR FIN'!$A$1:$O$113,15,0))</f>
        <v>175.41</v>
      </c>
      <c r="Y258" s="6"/>
      <c r="Z258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58" s="6">
        <f>('TE BE'!$AB$20+'TE BF'!$AB$20+'TE CVA'!$AB$20)*(1-CUSTOS!$M$35)</f>
        <v>188.87110693784712</v>
      </c>
      <c r="AB258" s="6">
        <f t="shared" ref="AB258:AB321" si="14">(J258-K258)*V258</f>
        <v>0</v>
      </c>
      <c r="AC258" s="6">
        <f>(L258-M258)*(W258+X258)+($W$317+$X$317-$W$258-$X$258)*(L258)</f>
        <v>-24.046800000000005</v>
      </c>
      <c r="AD258" s="6">
        <f t="shared" ref="AD258:AD321" si="15">(J258-K258)*Y258</f>
        <v>0</v>
      </c>
      <c r="AE258" s="6">
        <f ca="1">(L258-M258)*(Z258+AA258)+($Z$317+$AA$317-$Z$258-$AA$258)*(L258)</f>
        <v>-26.667865413836154</v>
      </c>
      <c r="AF258" s="4" t="s">
        <v>854</v>
      </c>
    </row>
    <row r="259" spans="1:32" ht="11.25" customHeight="1" x14ac:dyDescent="0.3">
      <c r="A259" s="4" t="s">
        <v>28</v>
      </c>
      <c r="B259" s="4" t="s">
        <v>22</v>
      </c>
      <c r="C259" s="4" t="s">
        <v>23</v>
      </c>
      <c r="D259" s="4" t="s">
        <v>24</v>
      </c>
      <c r="E259" s="4" t="s">
        <v>30</v>
      </c>
      <c r="F259" s="4" t="s">
        <v>25</v>
      </c>
      <c r="G259" s="4" t="s">
        <v>25</v>
      </c>
      <c r="H259" s="4" t="s">
        <v>25</v>
      </c>
      <c r="I259" s="5">
        <v>44501</v>
      </c>
      <c r="J259" s="6">
        <v>0</v>
      </c>
      <c r="K259" s="6">
        <v>0</v>
      </c>
      <c r="L259" s="6">
        <v>0.1</v>
      </c>
      <c r="M259" s="6">
        <v>0.02</v>
      </c>
      <c r="N259" s="6">
        <v>0.1</v>
      </c>
      <c r="O259" s="6">
        <v>0.02</v>
      </c>
      <c r="P259" s="6">
        <v>1</v>
      </c>
      <c r="Q259" s="4" t="s">
        <v>26</v>
      </c>
      <c r="R259" s="4">
        <v>0</v>
      </c>
      <c r="S259" s="4">
        <v>0</v>
      </c>
      <c r="T259" s="4">
        <v>34</v>
      </c>
      <c r="U259" s="4">
        <v>75</v>
      </c>
      <c r="V259" s="6">
        <f>IF(ISERROR(VLOOKUP($S$259,'TAR FIN'!$A$1:$O$113,15,0)),0,VLOOKUP($S$259,'TAR FIN'!$A$1:$O$113,15,0))</f>
        <v>0</v>
      </c>
      <c r="W259" s="6">
        <f>IF(ISERROR(VLOOKUP($T$259,'TAR FIN'!$A$1:$O$113,15,0)),0,VLOOKUP($T$259,'TAR FIN'!$A$1:$O$113,15,0))</f>
        <v>135.52000000000001</v>
      </c>
      <c r="X259" s="6">
        <f>IF(ISERROR(VLOOKUP($U$259,'TAR FIN'!$A$1:$O$113,15,0)),0,VLOOKUP($U$259,'TAR FIN'!$A$1:$O$113,15,0))</f>
        <v>175.41</v>
      </c>
      <c r="Y259" s="6"/>
      <c r="Z259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59" s="6">
        <f>('TE BE'!$AB$20+'TE BF'!$AB$20+'TE CVA'!$AB$20)*(1-CUSTOS!$M$35)</f>
        <v>188.87110693784712</v>
      </c>
      <c r="AB259" s="6">
        <f t="shared" si="14"/>
        <v>0</v>
      </c>
      <c r="AC259" s="6">
        <f>(L259-M259)*(W259+X259)+($W$317+$X$317-$W$259-$X$259)*(L259)</f>
        <v>45.604400000000005</v>
      </c>
      <c r="AD259" s="6">
        <f t="shared" si="15"/>
        <v>0</v>
      </c>
      <c r="AE259" s="6">
        <f ca="1">(L259-M259)*(Z259+AA259)+($Z$317+$AA$317-$Z$259-$AA$259)*(L259)</f>
        <v>50.576986129689246</v>
      </c>
      <c r="AF259" s="4" t="s">
        <v>854</v>
      </c>
    </row>
    <row r="260" spans="1:32" ht="11.25" customHeight="1" x14ac:dyDescent="0.3">
      <c r="A260" s="4" t="s">
        <v>21</v>
      </c>
      <c r="B260" s="4" t="s">
        <v>22</v>
      </c>
      <c r="C260" s="4" t="s">
        <v>23</v>
      </c>
      <c r="D260" s="4" t="s">
        <v>24</v>
      </c>
      <c r="E260" s="4" t="s">
        <v>30</v>
      </c>
      <c r="F260" s="4" t="s">
        <v>25</v>
      </c>
      <c r="G260" s="4" t="s">
        <v>25</v>
      </c>
      <c r="H260" s="4" t="s">
        <v>25</v>
      </c>
      <c r="I260" s="5">
        <v>44531</v>
      </c>
      <c r="J260" s="6">
        <v>0</v>
      </c>
      <c r="K260" s="6">
        <v>0</v>
      </c>
      <c r="L260" s="6">
        <v>339.59699999999998</v>
      </c>
      <c r="M260" s="6">
        <v>339.59699999999998</v>
      </c>
      <c r="N260" s="6">
        <v>339.59699999999998</v>
      </c>
      <c r="O260" s="6">
        <v>339.59699999999998</v>
      </c>
      <c r="P260" s="6">
        <v>1674</v>
      </c>
      <c r="Q260" s="4" t="s">
        <v>26</v>
      </c>
      <c r="R260" s="4">
        <v>0</v>
      </c>
      <c r="S260" s="4">
        <v>0</v>
      </c>
      <c r="T260" s="4">
        <v>34</v>
      </c>
      <c r="U260" s="4">
        <v>75</v>
      </c>
      <c r="V260" s="6">
        <f>IF(ISERROR(VLOOKUP($S$260,'TAR FIN'!$A$1:$O$113,15,0)),0,VLOOKUP($S$260,'TAR FIN'!$A$1:$O$113,15,0))</f>
        <v>0</v>
      </c>
      <c r="W260" s="6">
        <f>IF(ISERROR(VLOOKUP($T$260,'TAR FIN'!$A$1:$O$113,15,0)),0,VLOOKUP($T$260,'TAR FIN'!$A$1:$O$113,15,0))</f>
        <v>135.52000000000001</v>
      </c>
      <c r="X260" s="6">
        <f>IF(ISERROR(VLOOKUP($U$260,'TAR FIN'!$A$1:$O$113,15,0)),0,VLOOKUP($U$260,'TAR FIN'!$A$1:$O$113,15,0))</f>
        <v>175.41</v>
      </c>
      <c r="Y260" s="6"/>
      <c r="Z260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60" s="6">
        <f>('TE BE'!$AB$20+'TE BF'!$AB$20+'TE CVA'!$AB$20)*(1-CUSTOS!$M$35)</f>
        <v>188.87110693784712</v>
      </c>
      <c r="AB260" s="6">
        <f t="shared" si="14"/>
        <v>0</v>
      </c>
      <c r="AC260" s="6">
        <f>(L260-M260)*(W260+X260)+($W$317+$X$317-$W$260-$X$260)*(L260)</f>
        <v>70398.458100000003</v>
      </c>
      <c r="AD260" s="6">
        <f t="shared" si="15"/>
        <v>0</v>
      </c>
      <c r="AE260" s="6">
        <f ca="1">(L260-M260)*(Z260+AA260)+($Z$317+$AA$317-$Z$260-$AA$260)*(L260)</f>
        <v>78071.785266745821</v>
      </c>
      <c r="AF260" s="4" t="s">
        <v>854</v>
      </c>
    </row>
    <row r="261" spans="1:32" ht="11.25" customHeight="1" x14ac:dyDescent="0.3">
      <c r="A261" s="4" t="s">
        <v>27</v>
      </c>
      <c r="B261" s="4" t="s">
        <v>22</v>
      </c>
      <c r="C261" s="4" t="s">
        <v>23</v>
      </c>
      <c r="D261" s="4" t="s">
        <v>24</v>
      </c>
      <c r="E261" s="4" t="s">
        <v>30</v>
      </c>
      <c r="F261" s="4" t="s">
        <v>25</v>
      </c>
      <c r="G261" s="4" t="s">
        <v>25</v>
      </c>
      <c r="H261" s="4" t="s">
        <v>25</v>
      </c>
      <c r="I261" s="5">
        <v>44531</v>
      </c>
      <c r="J261" s="6">
        <v>0</v>
      </c>
      <c r="K261" s="6">
        <v>0</v>
      </c>
      <c r="L261" s="6">
        <v>0.35</v>
      </c>
      <c r="M261" s="6">
        <v>0.35</v>
      </c>
      <c r="N261" s="6">
        <v>0.35</v>
      </c>
      <c r="O261" s="6">
        <v>0.35</v>
      </c>
      <c r="P261" s="6">
        <v>0</v>
      </c>
      <c r="Q261" s="4" t="s">
        <v>26</v>
      </c>
      <c r="R261" s="4">
        <v>0</v>
      </c>
      <c r="S261" s="4">
        <v>0</v>
      </c>
      <c r="T261" s="4">
        <v>34</v>
      </c>
      <c r="U261" s="4">
        <v>75</v>
      </c>
      <c r="V261" s="6">
        <f>IF(ISERROR(VLOOKUP($S$261,'TAR FIN'!$A$1:$O$113,15,0)),0,VLOOKUP($S$261,'TAR FIN'!$A$1:$O$113,15,0))</f>
        <v>0</v>
      </c>
      <c r="W261" s="6">
        <f>IF(ISERROR(VLOOKUP($T$261,'TAR FIN'!$A$1:$O$113,15,0)),0,VLOOKUP($T$261,'TAR FIN'!$A$1:$O$113,15,0))</f>
        <v>135.52000000000001</v>
      </c>
      <c r="X261" s="6">
        <f>IF(ISERROR(VLOOKUP($U$261,'TAR FIN'!$A$1:$O$113,15,0)),0,VLOOKUP($U$261,'TAR FIN'!$A$1:$O$113,15,0))</f>
        <v>175.41</v>
      </c>
      <c r="Y261" s="6"/>
      <c r="Z261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61" s="6">
        <f>('TE BE'!$AB$20+'TE BF'!$AB$20+'TE CVA'!$AB$20)*(1-CUSTOS!$M$35)</f>
        <v>188.87110693784712</v>
      </c>
      <c r="AB261" s="6">
        <f t="shared" si="14"/>
        <v>0</v>
      </c>
      <c r="AC261" s="6">
        <f>(L261-M261)*(W261+X261)+($W$317+$X$317-$W$261-$X$261)*(L261)</f>
        <v>72.555000000000007</v>
      </c>
      <c r="AD261" s="6">
        <f t="shared" si="15"/>
        <v>0</v>
      </c>
      <c r="AE261" s="6">
        <f ca="1">(L261-M261)*(Z261+AA261)+($Z$317+$AA$317-$Z$261-$AA$261)*(L261)</f>
        <v>80.463387024505622</v>
      </c>
      <c r="AF261" s="4" t="s">
        <v>854</v>
      </c>
    </row>
    <row r="262" spans="1:32" ht="11.25" customHeight="1" x14ac:dyDescent="0.3">
      <c r="A262" s="4" t="s">
        <v>28</v>
      </c>
      <c r="B262" s="4" t="s">
        <v>22</v>
      </c>
      <c r="C262" s="4" t="s">
        <v>23</v>
      </c>
      <c r="D262" s="4" t="s">
        <v>24</v>
      </c>
      <c r="E262" s="4" t="s">
        <v>30</v>
      </c>
      <c r="F262" s="4" t="s">
        <v>25</v>
      </c>
      <c r="G262" s="4" t="s">
        <v>25</v>
      </c>
      <c r="H262" s="4" t="s">
        <v>25</v>
      </c>
      <c r="I262" s="5">
        <v>44531</v>
      </c>
      <c r="J262" s="6">
        <v>0</v>
      </c>
      <c r="K262" s="6">
        <v>0</v>
      </c>
      <c r="L262" s="6">
        <v>0.11600000000000001</v>
      </c>
      <c r="M262" s="6">
        <v>2.3199999999999998E-2</v>
      </c>
      <c r="N262" s="6">
        <v>0.11600000000000001</v>
      </c>
      <c r="O262" s="6">
        <v>2.3199999999999998E-2</v>
      </c>
      <c r="P262" s="6">
        <v>1</v>
      </c>
      <c r="Q262" s="4" t="s">
        <v>26</v>
      </c>
      <c r="R262" s="4">
        <v>0</v>
      </c>
      <c r="S262" s="4">
        <v>0</v>
      </c>
      <c r="T262" s="4">
        <v>34</v>
      </c>
      <c r="U262" s="4">
        <v>75</v>
      </c>
      <c r="V262" s="6">
        <f>IF(ISERROR(VLOOKUP($S$262,'TAR FIN'!$A$1:$O$113,15,0)),0,VLOOKUP($S$262,'TAR FIN'!$A$1:$O$113,15,0))</f>
        <v>0</v>
      </c>
      <c r="W262" s="6">
        <f>IF(ISERROR(VLOOKUP($T$262,'TAR FIN'!$A$1:$O$113,15,0)),0,VLOOKUP($T$262,'TAR FIN'!$A$1:$O$113,15,0))</f>
        <v>135.52000000000001</v>
      </c>
      <c r="X262" s="6">
        <f>IF(ISERROR(VLOOKUP($U$262,'TAR FIN'!$A$1:$O$113,15,0)),0,VLOOKUP($U$262,'TAR FIN'!$A$1:$O$113,15,0))</f>
        <v>175.41</v>
      </c>
      <c r="Y262" s="6"/>
      <c r="Z262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62" s="6">
        <f>('TE BE'!$AB$20+'TE BF'!$AB$20+'TE CVA'!$AB$20)*(1-CUSTOS!$M$35)</f>
        <v>188.87110693784712</v>
      </c>
      <c r="AB262" s="6">
        <f t="shared" si="14"/>
        <v>0</v>
      </c>
      <c r="AC262" s="6">
        <f>(L262-M262)*(W262+X262)+($W$317+$X$317-$W$262-$X$262)*(L262)</f>
        <v>52.901104000000004</v>
      </c>
      <c r="AD262" s="6">
        <f t="shared" si="15"/>
        <v>0</v>
      </c>
      <c r="AE262" s="6">
        <f ca="1">(L262-M262)*(Z262+AA262)+($Z$317+$AA$317-$Z$262-$AA$262)*(L262)</f>
        <v>58.669303910439531</v>
      </c>
      <c r="AF262" s="4" t="s">
        <v>854</v>
      </c>
    </row>
    <row r="263" spans="1:32" ht="11.25" customHeight="1" x14ac:dyDescent="0.3">
      <c r="A263" s="4" t="s">
        <v>21</v>
      </c>
      <c r="B263" s="4" t="s">
        <v>22</v>
      </c>
      <c r="C263" s="4" t="s">
        <v>23</v>
      </c>
      <c r="D263" s="4" t="s">
        <v>24</v>
      </c>
      <c r="E263" s="4" t="s">
        <v>30</v>
      </c>
      <c r="F263" s="4" t="s">
        <v>25</v>
      </c>
      <c r="G263" s="4" t="s">
        <v>25</v>
      </c>
      <c r="H263" s="4" t="s">
        <v>25</v>
      </c>
      <c r="I263" s="5">
        <v>44562</v>
      </c>
      <c r="J263" s="6">
        <v>0</v>
      </c>
      <c r="K263" s="6">
        <v>0</v>
      </c>
      <c r="L263" s="6">
        <v>336.00400000000002</v>
      </c>
      <c r="M263" s="6">
        <v>336.00400000000002</v>
      </c>
      <c r="N263" s="6">
        <v>336.00400000000002</v>
      </c>
      <c r="O263" s="6">
        <v>336.00400000000002</v>
      </c>
      <c r="P263" s="6">
        <v>1365</v>
      </c>
      <c r="Q263" s="4" t="s">
        <v>26</v>
      </c>
      <c r="R263" s="4">
        <v>0</v>
      </c>
      <c r="S263" s="4">
        <v>0</v>
      </c>
      <c r="T263" s="4">
        <v>34</v>
      </c>
      <c r="U263" s="4">
        <v>75</v>
      </c>
      <c r="V263" s="6">
        <f>IF(ISERROR(VLOOKUP($S$263,'TAR FIN'!$A$1:$O$113,15,0)),0,VLOOKUP($S$263,'TAR FIN'!$A$1:$O$113,15,0))</f>
        <v>0</v>
      </c>
      <c r="W263" s="6">
        <f>IF(ISERROR(VLOOKUP($T$263,'TAR FIN'!$A$1:$O$113,15,0)),0,VLOOKUP($T$263,'TAR FIN'!$A$1:$O$113,15,0))</f>
        <v>135.52000000000001</v>
      </c>
      <c r="X263" s="6">
        <f>IF(ISERROR(VLOOKUP($U$263,'TAR FIN'!$A$1:$O$113,15,0)),0,VLOOKUP($U$263,'TAR FIN'!$A$1:$O$113,15,0))</f>
        <v>175.41</v>
      </c>
      <c r="Y263" s="6"/>
      <c r="Z263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63" s="6">
        <f>('TE BE'!$AB$20+'TE BF'!$AB$20+'TE CVA'!$AB$20)*(1-CUSTOS!$M$35)</f>
        <v>188.87110693784712</v>
      </c>
      <c r="AB263" s="6">
        <f t="shared" si="14"/>
        <v>0</v>
      </c>
      <c r="AC263" s="6">
        <f>(L263-M263)*(W263+X263)+($W$317+$X$317-$W$263-$X$263)*(L263)</f>
        <v>69653.62920000001</v>
      </c>
      <c r="AD263" s="6">
        <f t="shared" si="15"/>
        <v>0</v>
      </c>
      <c r="AE263" s="6">
        <f ca="1">(L263-M263)*(Z263+AA263)+($Z$317+$AA$317-$Z$263-$AA$263)*(L263)</f>
        <v>77245.7711250914</v>
      </c>
      <c r="AF263" s="4" t="s">
        <v>854</v>
      </c>
    </row>
    <row r="264" spans="1:32" ht="11.25" customHeight="1" x14ac:dyDescent="0.3">
      <c r="A264" s="4" t="s">
        <v>27</v>
      </c>
      <c r="B264" s="4" t="s">
        <v>22</v>
      </c>
      <c r="C264" s="4" t="s">
        <v>23</v>
      </c>
      <c r="D264" s="4" t="s">
        <v>24</v>
      </c>
      <c r="E264" s="4" t="s">
        <v>30</v>
      </c>
      <c r="F264" s="4" t="s">
        <v>25</v>
      </c>
      <c r="G264" s="4" t="s">
        <v>25</v>
      </c>
      <c r="H264" s="4" t="s">
        <v>25</v>
      </c>
      <c r="I264" s="5">
        <v>44562</v>
      </c>
      <c r="J264" s="6">
        <v>0</v>
      </c>
      <c r="K264" s="6">
        <v>0</v>
      </c>
      <c r="L264" s="6">
        <v>-0.107</v>
      </c>
      <c r="M264" s="6">
        <v>-0.107</v>
      </c>
      <c r="N264" s="6">
        <v>-0.107</v>
      </c>
      <c r="O264" s="6">
        <v>-0.107</v>
      </c>
      <c r="P264" s="6">
        <v>0</v>
      </c>
      <c r="Q264" s="4" t="s">
        <v>26</v>
      </c>
      <c r="R264" s="4">
        <v>0</v>
      </c>
      <c r="S264" s="4">
        <v>0</v>
      </c>
      <c r="T264" s="4">
        <v>34</v>
      </c>
      <c r="U264" s="4">
        <v>75</v>
      </c>
      <c r="V264" s="6">
        <f>IF(ISERROR(VLOOKUP($S$264,'TAR FIN'!$A$1:$O$113,15,0)),0,VLOOKUP($S$264,'TAR FIN'!$A$1:$O$113,15,0))</f>
        <v>0</v>
      </c>
      <c r="W264" s="6">
        <f>IF(ISERROR(VLOOKUP($T$264,'TAR FIN'!$A$1:$O$113,15,0)),0,VLOOKUP($T$264,'TAR FIN'!$A$1:$O$113,15,0))</f>
        <v>135.52000000000001</v>
      </c>
      <c r="X264" s="6">
        <f>IF(ISERROR(VLOOKUP($U$264,'TAR FIN'!$A$1:$O$113,15,0)),0,VLOOKUP($U$264,'TAR FIN'!$A$1:$O$113,15,0))</f>
        <v>175.41</v>
      </c>
      <c r="Y264" s="6"/>
      <c r="Z264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64" s="6">
        <f>('TE BE'!$AB$20+'TE BF'!$AB$20+'TE CVA'!$AB$20)*(1-CUSTOS!$M$35)</f>
        <v>188.87110693784712</v>
      </c>
      <c r="AB264" s="6">
        <f t="shared" si="14"/>
        <v>0</v>
      </c>
      <c r="AC264" s="6">
        <f>(L264-M264)*(W264+X264)+($W$317+$X$317-$W$264-$X$264)*(L264)</f>
        <v>-22.181100000000004</v>
      </c>
      <c r="AD264" s="6">
        <f t="shared" si="15"/>
        <v>0</v>
      </c>
      <c r="AE264" s="6">
        <f ca="1">(L264-M264)*(Z264+AA264)+($Z$317+$AA$317-$Z$264-$AA$264)*(L264)</f>
        <v>-24.598806890348865</v>
      </c>
      <c r="AF264" s="4" t="s">
        <v>854</v>
      </c>
    </row>
    <row r="265" spans="1:32" ht="11.25" customHeight="1" x14ac:dyDescent="0.3">
      <c r="A265" s="4" t="s">
        <v>28</v>
      </c>
      <c r="B265" s="4" t="s">
        <v>22</v>
      </c>
      <c r="C265" s="4" t="s">
        <v>23</v>
      </c>
      <c r="D265" s="4" t="s">
        <v>24</v>
      </c>
      <c r="E265" s="4" t="s">
        <v>30</v>
      </c>
      <c r="F265" s="4" t="s">
        <v>25</v>
      </c>
      <c r="G265" s="4" t="s">
        <v>25</v>
      </c>
      <c r="H265" s="4" t="s">
        <v>25</v>
      </c>
      <c r="I265" s="5">
        <v>44562</v>
      </c>
      <c r="J265" s="6">
        <v>0</v>
      </c>
      <c r="K265" s="6">
        <v>0</v>
      </c>
      <c r="L265" s="6">
        <v>8.6999999999999994E-2</v>
      </c>
      <c r="M265" s="6">
        <v>1.7399999999999999E-2</v>
      </c>
      <c r="N265" s="6">
        <v>8.6999999999999994E-2</v>
      </c>
      <c r="O265" s="6">
        <v>1.7399999999999999E-2</v>
      </c>
      <c r="P265" s="6">
        <v>1</v>
      </c>
      <c r="Q265" s="4" t="s">
        <v>26</v>
      </c>
      <c r="R265" s="4">
        <v>0</v>
      </c>
      <c r="S265" s="4">
        <v>0</v>
      </c>
      <c r="T265" s="4">
        <v>34</v>
      </c>
      <c r="U265" s="4">
        <v>75</v>
      </c>
      <c r="V265" s="6">
        <f>IF(ISERROR(VLOOKUP($S$265,'TAR FIN'!$A$1:$O$113,15,0)),0,VLOOKUP($S$265,'TAR FIN'!$A$1:$O$113,15,0))</f>
        <v>0</v>
      </c>
      <c r="W265" s="6">
        <f>IF(ISERROR(VLOOKUP($T$265,'TAR FIN'!$A$1:$O$113,15,0)),0,VLOOKUP($T$265,'TAR FIN'!$A$1:$O$113,15,0))</f>
        <v>135.52000000000001</v>
      </c>
      <c r="X265" s="6">
        <f>IF(ISERROR(VLOOKUP($U$265,'TAR FIN'!$A$1:$O$113,15,0)),0,VLOOKUP($U$265,'TAR FIN'!$A$1:$O$113,15,0))</f>
        <v>175.41</v>
      </c>
      <c r="Y265" s="6"/>
      <c r="Z265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65" s="6">
        <f>('TE BE'!$AB$20+'TE BF'!$AB$20+'TE CVA'!$AB$20)*(1-CUSTOS!$M$35)</f>
        <v>188.87110693784712</v>
      </c>
      <c r="AB265" s="6">
        <f t="shared" si="14"/>
        <v>0</v>
      </c>
      <c r="AC265" s="6">
        <f>(L265-M265)*(W265+X265)+($W$317+$X$317-$W$265-$X$265)*(L265)</f>
        <v>39.675828000000003</v>
      </c>
      <c r="AD265" s="6">
        <f t="shared" si="15"/>
        <v>0</v>
      </c>
      <c r="AE265" s="6">
        <f ca="1">(L265-M265)*(Z265+AA265)+($Z$317+$AA$317-$Z$265-$AA$265)*(L265)</f>
        <v>44.001977932829639</v>
      </c>
      <c r="AF265" s="4" t="s">
        <v>854</v>
      </c>
    </row>
    <row r="266" spans="1:32" ht="11.25" customHeight="1" x14ac:dyDescent="0.3">
      <c r="A266" s="4" t="s">
        <v>21</v>
      </c>
      <c r="B266" s="4" t="s">
        <v>22</v>
      </c>
      <c r="C266" s="4" t="s">
        <v>23</v>
      </c>
      <c r="D266" s="4" t="s">
        <v>24</v>
      </c>
      <c r="E266" s="4" t="s">
        <v>30</v>
      </c>
      <c r="F266" s="4" t="s">
        <v>25</v>
      </c>
      <c r="G266" s="4" t="s">
        <v>25</v>
      </c>
      <c r="H266" s="4" t="s">
        <v>25</v>
      </c>
      <c r="I266" s="5">
        <v>44593</v>
      </c>
      <c r="J266" s="6">
        <v>0</v>
      </c>
      <c r="K266" s="6">
        <v>0</v>
      </c>
      <c r="L266" s="6">
        <v>363.202</v>
      </c>
      <c r="M266" s="6">
        <v>363.202</v>
      </c>
      <c r="N266" s="6">
        <v>363.202</v>
      </c>
      <c r="O266" s="6">
        <v>363.202</v>
      </c>
      <c r="P266" s="6">
        <v>1779</v>
      </c>
      <c r="Q266" s="4" t="s">
        <v>26</v>
      </c>
      <c r="R266" s="4">
        <v>0</v>
      </c>
      <c r="S266" s="4">
        <v>0</v>
      </c>
      <c r="T266" s="4">
        <v>34</v>
      </c>
      <c r="U266" s="4">
        <v>75</v>
      </c>
      <c r="V266" s="6">
        <f>IF(ISERROR(VLOOKUP($S$266,'TAR FIN'!$A$1:$O$113,15,0)),0,VLOOKUP($S$266,'TAR FIN'!$A$1:$O$113,15,0))</f>
        <v>0</v>
      </c>
      <c r="W266" s="6">
        <f>IF(ISERROR(VLOOKUP($T$266,'TAR FIN'!$A$1:$O$113,15,0)),0,VLOOKUP($T$266,'TAR FIN'!$A$1:$O$113,15,0))</f>
        <v>135.52000000000001</v>
      </c>
      <c r="X266" s="6">
        <f>IF(ISERROR(VLOOKUP($U$266,'TAR FIN'!$A$1:$O$113,15,0)),0,VLOOKUP($U$266,'TAR FIN'!$A$1:$O$113,15,0))</f>
        <v>175.41</v>
      </c>
      <c r="Y266" s="6"/>
      <c r="Z266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66" s="6">
        <f>('TE BE'!$AB$20+'TE BF'!$AB$20+'TE CVA'!$AB$20)*(1-CUSTOS!$M$35)</f>
        <v>188.87110693784712</v>
      </c>
      <c r="AB266" s="6">
        <f t="shared" si="14"/>
        <v>0</v>
      </c>
      <c r="AC266" s="6">
        <f>(L266-M266)*(W266+X266)+($W$317+$X$317-$W$266-$X$266)*(L266)</f>
        <v>75291.774600000019</v>
      </c>
      <c r="AD266" s="6">
        <f t="shared" si="15"/>
        <v>0</v>
      </c>
      <c r="AE266" s="6">
        <f ca="1">(L266-M266)*(Z266+AA266)+($Z$317+$AA$317-$Z$266-$AA$266)*(L266)</f>
        <v>83498.465983069982</v>
      </c>
      <c r="AF266" s="4" t="s">
        <v>854</v>
      </c>
    </row>
    <row r="267" spans="1:32" ht="11.25" customHeight="1" x14ac:dyDescent="0.3">
      <c r="A267" s="4" t="s">
        <v>27</v>
      </c>
      <c r="B267" s="4" t="s">
        <v>22</v>
      </c>
      <c r="C267" s="4" t="s">
        <v>23</v>
      </c>
      <c r="D267" s="4" t="s">
        <v>24</v>
      </c>
      <c r="E267" s="4" t="s">
        <v>30</v>
      </c>
      <c r="F267" s="4" t="s">
        <v>25</v>
      </c>
      <c r="G267" s="4" t="s">
        <v>25</v>
      </c>
      <c r="H267" s="4" t="s">
        <v>25</v>
      </c>
      <c r="I267" s="5">
        <v>44593</v>
      </c>
      <c r="J267" s="6">
        <v>0</v>
      </c>
      <c r="K267" s="6">
        <v>0</v>
      </c>
      <c r="L267" s="6">
        <v>1.6E-2</v>
      </c>
      <c r="M267" s="6">
        <v>1.6E-2</v>
      </c>
      <c r="N267" s="6">
        <v>1.6E-2</v>
      </c>
      <c r="O267" s="6">
        <v>1.6E-2</v>
      </c>
      <c r="P267" s="6">
        <v>0</v>
      </c>
      <c r="Q267" s="4" t="s">
        <v>26</v>
      </c>
      <c r="R267" s="4">
        <v>0</v>
      </c>
      <c r="S267" s="4">
        <v>0</v>
      </c>
      <c r="T267" s="4">
        <v>34</v>
      </c>
      <c r="U267" s="4">
        <v>75</v>
      </c>
      <c r="V267" s="6">
        <f>IF(ISERROR(VLOOKUP($S$267,'TAR FIN'!$A$1:$O$113,15,0)),0,VLOOKUP($S$267,'TAR FIN'!$A$1:$O$113,15,0))</f>
        <v>0</v>
      </c>
      <c r="W267" s="6">
        <f>IF(ISERROR(VLOOKUP($T$267,'TAR FIN'!$A$1:$O$113,15,0)),0,VLOOKUP($T$267,'TAR FIN'!$A$1:$O$113,15,0))</f>
        <v>135.52000000000001</v>
      </c>
      <c r="X267" s="6">
        <f>IF(ISERROR(VLOOKUP($U$267,'TAR FIN'!$A$1:$O$113,15,0)),0,VLOOKUP($U$267,'TAR FIN'!$A$1:$O$113,15,0))</f>
        <v>175.41</v>
      </c>
      <c r="Y267" s="6"/>
      <c r="Z267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67" s="6">
        <f>('TE BE'!$AB$20+'TE BF'!$AB$20+'TE CVA'!$AB$20)*(1-CUSTOS!$M$35)</f>
        <v>188.87110693784712</v>
      </c>
      <c r="AB267" s="6">
        <f t="shared" si="14"/>
        <v>0</v>
      </c>
      <c r="AC267" s="6">
        <f>(L267-M267)*(W267+X267)+($W$317+$X$317-$W$267-$X$267)*(L267)</f>
        <v>3.3168000000000006</v>
      </c>
      <c r="AD267" s="6">
        <f t="shared" si="15"/>
        <v>0</v>
      </c>
      <c r="AE267" s="6">
        <f ca="1">(L267-M267)*(Z267+AA267)+($Z$317+$AA$317-$Z$267-$AA$267)*(L267)</f>
        <v>3.6783262639774001</v>
      </c>
      <c r="AF267" s="4" t="s">
        <v>854</v>
      </c>
    </row>
    <row r="268" spans="1:32" ht="11.25" customHeight="1" x14ac:dyDescent="0.3">
      <c r="A268" s="4" t="s">
        <v>28</v>
      </c>
      <c r="B268" s="4" t="s">
        <v>22</v>
      </c>
      <c r="C268" s="4" t="s">
        <v>23</v>
      </c>
      <c r="D268" s="4" t="s">
        <v>24</v>
      </c>
      <c r="E268" s="4" t="s">
        <v>30</v>
      </c>
      <c r="F268" s="4" t="s">
        <v>25</v>
      </c>
      <c r="G268" s="4" t="s">
        <v>25</v>
      </c>
      <c r="H268" s="4" t="s">
        <v>25</v>
      </c>
      <c r="I268" s="5">
        <v>44593</v>
      </c>
      <c r="J268" s="6">
        <v>0</v>
      </c>
      <c r="K268" s="6">
        <v>0</v>
      </c>
      <c r="L268" s="6">
        <v>9.9000000000000005E-2</v>
      </c>
      <c r="M268" s="6">
        <v>1.9800000000000002E-2</v>
      </c>
      <c r="N268" s="6">
        <v>9.9000000000000005E-2</v>
      </c>
      <c r="O268" s="6">
        <v>1.9800000000000002E-2</v>
      </c>
      <c r="P268" s="6">
        <v>1</v>
      </c>
      <c r="Q268" s="4" t="s">
        <v>26</v>
      </c>
      <c r="R268" s="4">
        <v>0</v>
      </c>
      <c r="S268" s="4">
        <v>0</v>
      </c>
      <c r="T268" s="4">
        <v>34</v>
      </c>
      <c r="U268" s="4">
        <v>75</v>
      </c>
      <c r="V268" s="6">
        <f>IF(ISERROR(VLOOKUP($S$268,'TAR FIN'!$A$1:$O$113,15,0)),0,VLOOKUP($S$268,'TAR FIN'!$A$1:$O$113,15,0))</f>
        <v>0</v>
      </c>
      <c r="W268" s="6">
        <f>IF(ISERROR(VLOOKUP($T$268,'TAR FIN'!$A$1:$O$113,15,0)),0,VLOOKUP($T$268,'TAR FIN'!$A$1:$O$113,15,0))</f>
        <v>135.52000000000001</v>
      </c>
      <c r="X268" s="6">
        <f>IF(ISERROR(VLOOKUP($U$268,'TAR FIN'!$A$1:$O$113,15,0)),0,VLOOKUP($U$268,'TAR FIN'!$A$1:$O$113,15,0))</f>
        <v>175.41</v>
      </c>
      <c r="Y268" s="6"/>
      <c r="Z268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68" s="6">
        <f>('TE BE'!$AB$20+'TE BF'!$AB$20+'TE CVA'!$AB$20)*(1-CUSTOS!$M$35)</f>
        <v>188.87110693784712</v>
      </c>
      <c r="AB268" s="6">
        <f t="shared" si="14"/>
        <v>0</v>
      </c>
      <c r="AC268" s="6">
        <f>(L268-M268)*(W268+X268)+($W$317+$X$317-$W$268-$X$268)*(L268)</f>
        <v>45.148356000000007</v>
      </c>
      <c r="AD268" s="6">
        <f t="shared" si="15"/>
        <v>0</v>
      </c>
      <c r="AE268" s="6">
        <f ca="1">(L268-M268)*(Z268+AA268)+($Z$317+$AA$317-$Z$268-$AA$268)*(L268)</f>
        <v>50.071216268392355</v>
      </c>
      <c r="AF268" s="4" t="s">
        <v>854</v>
      </c>
    </row>
    <row r="269" spans="1:32" ht="11.25" customHeight="1" x14ac:dyDescent="0.3">
      <c r="A269" s="4" t="s">
        <v>21</v>
      </c>
      <c r="B269" s="4" t="s">
        <v>22</v>
      </c>
      <c r="C269" s="4" t="s">
        <v>23</v>
      </c>
      <c r="D269" s="4" t="s">
        <v>24</v>
      </c>
      <c r="E269" s="4" t="s">
        <v>30</v>
      </c>
      <c r="F269" s="4" t="s">
        <v>25</v>
      </c>
      <c r="G269" s="4" t="s">
        <v>25</v>
      </c>
      <c r="H269" s="4" t="s">
        <v>25</v>
      </c>
      <c r="I269" s="5">
        <v>44621</v>
      </c>
      <c r="J269" s="6">
        <v>0</v>
      </c>
      <c r="K269" s="6">
        <v>0</v>
      </c>
      <c r="L269" s="6">
        <v>380.16800000000001</v>
      </c>
      <c r="M269" s="6">
        <v>380.16800000000001</v>
      </c>
      <c r="N269" s="6">
        <v>380.16800000000001</v>
      </c>
      <c r="O269" s="6">
        <v>380.16800000000001</v>
      </c>
      <c r="P269" s="6">
        <v>1716</v>
      </c>
      <c r="Q269" s="4" t="s">
        <v>26</v>
      </c>
      <c r="R269" s="4">
        <v>0</v>
      </c>
      <c r="S269" s="4">
        <v>0</v>
      </c>
      <c r="T269" s="4">
        <v>34</v>
      </c>
      <c r="U269" s="4">
        <v>75</v>
      </c>
      <c r="V269" s="6">
        <f>IF(ISERROR(VLOOKUP($S$269,'TAR FIN'!$A$1:$O$113,15,0)),0,VLOOKUP($S$269,'TAR FIN'!$A$1:$O$113,15,0))</f>
        <v>0</v>
      </c>
      <c r="W269" s="6">
        <f>IF(ISERROR(VLOOKUP($T$269,'TAR FIN'!$A$1:$O$113,15,0)),0,VLOOKUP($T$269,'TAR FIN'!$A$1:$O$113,15,0))</f>
        <v>135.52000000000001</v>
      </c>
      <c r="X269" s="6">
        <f>IF(ISERROR(VLOOKUP($U$269,'TAR FIN'!$A$1:$O$113,15,0)),0,VLOOKUP($U$269,'TAR FIN'!$A$1:$O$113,15,0))</f>
        <v>175.41</v>
      </c>
      <c r="Y269" s="6"/>
      <c r="Z269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69" s="6">
        <f>('TE BE'!$AB$20+'TE BF'!$AB$20+'TE CVA'!$AB$20)*(1-CUSTOS!$M$35)</f>
        <v>188.87110693784712</v>
      </c>
      <c r="AB269" s="6">
        <f t="shared" si="14"/>
        <v>0</v>
      </c>
      <c r="AC269" s="6">
        <f>(L269-M269)*(W269+X269)+($W$317+$X$317-$W$269-$X$269)*(L269)</f>
        <v>78808.82640000002</v>
      </c>
      <c r="AD269" s="6">
        <f t="shared" si="15"/>
        <v>0</v>
      </c>
      <c r="AE269" s="6">
        <f ca="1">(L269-M269)*(Z269+AA269)+($Z$317+$AA$317-$Z$269-$AA$269)*(L269)</f>
        <v>87398.871195235013</v>
      </c>
      <c r="AF269" s="4" t="s">
        <v>854</v>
      </c>
    </row>
    <row r="270" spans="1:32" ht="11.25" customHeight="1" x14ac:dyDescent="0.3">
      <c r="A270" s="4" t="s">
        <v>27</v>
      </c>
      <c r="B270" s="4" t="s">
        <v>22</v>
      </c>
      <c r="C270" s="4" t="s">
        <v>23</v>
      </c>
      <c r="D270" s="4" t="s">
        <v>24</v>
      </c>
      <c r="E270" s="4" t="s">
        <v>30</v>
      </c>
      <c r="F270" s="4" t="s">
        <v>25</v>
      </c>
      <c r="G270" s="4" t="s">
        <v>25</v>
      </c>
      <c r="H270" s="4" t="s">
        <v>25</v>
      </c>
      <c r="I270" s="5">
        <v>44621</v>
      </c>
      <c r="J270" s="6">
        <v>0</v>
      </c>
      <c r="K270" s="6">
        <v>0</v>
      </c>
      <c r="L270" s="6">
        <v>-6.0999999999999999E-2</v>
      </c>
      <c r="M270" s="6">
        <v>-6.0999999999999999E-2</v>
      </c>
      <c r="N270" s="6">
        <v>-6.0999999999999999E-2</v>
      </c>
      <c r="O270" s="6">
        <v>-6.0999999999999999E-2</v>
      </c>
      <c r="P270" s="6">
        <v>0</v>
      </c>
      <c r="Q270" s="4" t="s">
        <v>26</v>
      </c>
      <c r="R270" s="4">
        <v>0</v>
      </c>
      <c r="S270" s="4">
        <v>0</v>
      </c>
      <c r="T270" s="4">
        <v>34</v>
      </c>
      <c r="U270" s="4">
        <v>75</v>
      </c>
      <c r="V270" s="6">
        <f>IF(ISERROR(VLOOKUP($S$270,'TAR FIN'!$A$1:$O$113,15,0)),0,VLOOKUP($S$270,'TAR FIN'!$A$1:$O$113,15,0))</f>
        <v>0</v>
      </c>
      <c r="W270" s="6">
        <f>IF(ISERROR(VLOOKUP($T$270,'TAR FIN'!$A$1:$O$113,15,0)),0,VLOOKUP($T$270,'TAR FIN'!$A$1:$O$113,15,0))</f>
        <v>135.52000000000001</v>
      </c>
      <c r="X270" s="6">
        <f>IF(ISERROR(VLOOKUP($U$270,'TAR FIN'!$A$1:$O$113,15,0)),0,VLOOKUP($U$270,'TAR FIN'!$A$1:$O$113,15,0))</f>
        <v>175.41</v>
      </c>
      <c r="Y270" s="6"/>
      <c r="Z270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70" s="6">
        <f>('TE BE'!$AB$20+'TE BF'!$AB$20+'TE CVA'!$AB$20)*(1-CUSTOS!$M$35)</f>
        <v>188.87110693784712</v>
      </c>
      <c r="AB270" s="6">
        <f t="shared" si="14"/>
        <v>0</v>
      </c>
      <c r="AC270" s="6">
        <f>(L270-M270)*(W270+X270)+($W$317+$X$317-$W$270-$X$270)*(L270)</f>
        <v>-12.645300000000002</v>
      </c>
      <c r="AD270" s="6">
        <f t="shared" si="15"/>
        <v>0</v>
      </c>
      <c r="AE270" s="6">
        <f ca="1">(L270-M270)*(Z270+AA270)+($Z$317+$AA$317-$Z$270-$AA$270)*(L270)</f>
        <v>-14.023618881413839</v>
      </c>
      <c r="AF270" s="4" t="s">
        <v>854</v>
      </c>
    </row>
    <row r="271" spans="1:32" ht="11.25" customHeight="1" x14ac:dyDescent="0.3">
      <c r="A271" s="4" t="s">
        <v>28</v>
      </c>
      <c r="B271" s="4" t="s">
        <v>22</v>
      </c>
      <c r="C271" s="4" t="s">
        <v>23</v>
      </c>
      <c r="D271" s="4" t="s">
        <v>24</v>
      </c>
      <c r="E271" s="4" t="s">
        <v>30</v>
      </c>
      <c r="F271" s="4" t="s">
        <v>25</v>
      </c>
      <c r="G271" s="4" t="s">
        <v>25</v>
      </c>
      <c r="H271" s="4" t="s">
        <v>25</v>
      </c>
      <c r="I271" s="5">
        <v>44621</v>
      </c>
      <c r="J271" s="6">
        <v>0</v>
      </c>
      <c r="K271" s="6">
        <v>0</v>
      </c>
      <c r="L271" s="6">
        <v>9.8000000000000004E-2</v>
      </c>
      <c r="M271" s="6">
        <v>1.9599999999999999E-2</v>
      </c>
      <c r="N271" s="6">
        <v>9.8000000000000004E-2</v>
      </c>
      <c r="O271" s="6">
        <v>1.9599999999999999E-2</v>
      </c>
      <c r="P271" s="6">
        <v>1</v>
      </c>
      <c r="Q271" s="4" t="s">
        <v>26</v>
      </c>
      <c r="R271" s="4">
        <v>0</v>
      </c>
      <c r="S271" s="4">
        <v>0</v>
      </c>
      <c r="T271" s="4">
        <v>34</v>
      </c>
      <c r="U271" s="4">
        <v>75</v>
      </c>
      <c r="V271" s="6">
        <f>IF(ISERROR(VLOOKUP($S$271,'TAR FIN'!$A$1:$O$113,15,0)),0,VLOOKUP($S$271,'TAR FIN'!$A$1:$O$113,15,0))</f>
        <v>0</v>
      </c>
      <c r="W271" s="6">
        <f>IF(ISERROR(VLOOKUP($T$271,'TAR FIN'!$A$1:$O$113,15,0)),0,VLOOKUP($T$271,'TAR FIN'!$A$1:$O$113,15,0))</f>
        <v>135.52000000000001</v>
      </c>
      <c r="X271" s="6">
        <f>IF(ISERROR(VLOOKUP($U$271,'TAR FIN'!$A$1:$O$113,15,0)),0,VLOOKUP($U$271,'TAR FIN'!$A$1:$O$113,15,0))</f>
        <v>175.41</v>
      </c>
      <c r="Y271" s="6"/>
      <c r="Z271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71" s="6">
        <f>('TE BE'!$AB$20+'TE BF'!$AB$20+'TE CVA'!$AB$20)*(1-CUSTOS!$M$35)</f>
        <v>188.87110693784712</v>
      </c>
      <c r="AB271" s="6">
        <f t="shared" si="14"/>
        <v>0</v>
      </c>
      <c r="AC271" s="6">
        <f>(L271-M271)*(W271+X271)+($W$317+$X$317-$W$271-$X$271)*(L271)</f>
        <v>44.692312000000001</v>
      </c>
      <c r="AD271" s="6">
        <f t="shared" si="15"/>
        <v>0</v>
      </c>
      <c r="AE271" s="6">
        <f ca="1">(L271-M271)*(Z271+AA271)+($Z$317+$AA$317-$Z$271-$AA$271)*(L271)</f>
        <v>49.565446407095465</v>
      </c>
      <c r="AF271" s="4" t="s">
        <v>854</v>
      </c>
    </row>
    <row r="272" spans="1:32" ht="11.25" customHeight="1" x14ac:dyDescent="0.3">
      <c r="A272" s="4" t="s">
        <v>21</v>
      </c>
      <c r="B272" s="4" t="s">
        <v>22</v>
      </c>
      <c r="C272" s="4" t="s">
        <v>23</v>
      </c>
      <c r="D272" s="4" t="s">
        <v>24</v>
      </c>
      <c r="E272" s="4" t="s">
        <v>30</v>
      </c>
      <c r="F272" s="4" t="s">
        <v>25</v>
      </c>
      <c r="G272" s="4" t="s">
        <v>25</v>
      </c>
      <c r="H272" s="4" t="s">
        <v>25</v>
      </c>
      <c r="I272" s="5">
        <v>44652</v>
      </c>
      <c r="J272" s="6">
        <v>0</v>
      </c>
      <c r="K272" s="6">
        <v>0</v>
      </c>
      <c r="L272" s="6">
        <v>379.97199999999998</v>
      </c>
      <c r="M272" s="6">
        <v>379.97199999999998</v>
      </c>
      <c r="N272" s="6">
        <v>379.97199999999998</v>
      </c>
      <c r="O272" s="6">
        <v>379.97199999999998</v>
      </c>
      <c r="P272" s="6">
        <v>1776</v>
      </c>
      <c r="Q272" s="4" t="s">
        <v>26</v>
      </c>
      <c r="R272" s="4">
        <v>0</v>
      </c>
      <c r="S272" s="4">
        <v>0</v>
      </c>
      <c r="T272" s="4">
        <v>34</v>
      </c>
      <c r="U272" s="4">
        <v>75</v>
      </c>
      <c r="V272" s="6">
        <f>IF(ISERROR(VLOOKUP($S$272,'TAR FIN'!$A$1:$O$113,15,0)),0,VLOOKUP($S$272,'TAR FIN'!$A$1:$O$113,15,0))</f>
        <v>0</v>
      </c>
      <c r="W272" s="6">
        <f>IF(ISERROR(VLOOKUP($T$272,'TAR FIN'!$A$1:$O$113,15,0)),0,VLOOKUP($T$272,'TAR FIN'!$A$1:$O$113,15,0))</f>
        <v>135.52000000000001</v>
      </c>
      <c r="X272" s="6">
        <f>IF(ISERROR(VLOOKUP($U$272,'TAR FIN'!$A$1:$O$113,15,0)),0,VLOOKUP($U$272,'TAR FIN'!$A$1:$O$113,15,0))</f>
        <v>175.41</v>
      </c>
      <c r="Y272" s="6"/>
      <c r="Z272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72" s="6">
        <f>('TE BE'!$AB$20+'TE BF'!$AB$20+'TE CVA'!$AB$20)*(1-CUSTOS!$M$35)</f>
        <v>188.87110693784712</v>
      </c>
      <c r="AB272" s="6">
        <f t="shared" si="14"/>
        <v>0</v>
      </c>
      <c r="AC272" s="6">
        <f>(L272-M272)*(W272+X272)+($W$317+$X$317-$W$272-$X$272)*(L272)</f>
        <v>78768.195600000006</v>
      </c>
      <c r="AD272" s="6">
        <f t="shared" si="15"/>
        <v>0</v>
      </c>
      <c r="AE272" s="6">
        <f ca="1">(L272-M272)*(Z272+AA272)+($Z$317+$AA$317-$Z$272-$AA$272)*(L272)</f>
        <v>87353.811698501289</v>
      </c>
      <c r="AF272" s="4" t="s">
        <v>854</v>
      </c>
    </row>
    <row r="273" spans="1:32" ht="11.25" customHeight="1" x14ac:dyDescent="0.3">
      <c r="A273" s="4" t="s">
        <v>27</v>
      </c>
      <c r="B273" s="4" t="s">
        <v>22</v>
      </c>
      <c r="C273" s="4" t="s">
        <v>23</v>
      </c>
      <c r="D273" s="4" t="s">
        <v>24</v>
      </c>
      <c r="E273" s="4" t="s">
        <v>30</v>
      </c>
      <c r="F273" s="4" t="s">
        <v>25</v>
      </c>
      <c r="G273" s="4" t="s">
        <v>25</v>
      </c>
      <c r="H273" s="4" t="s">
        <v>25</v>
      </c>
      <c r="I273" s="5">
        <v>44652</v>
      </c>
      <c r="J273" s="6">
        <v>0</v>
      </c>
      <c r="K273" s="6">
        <v>0</v>
      </c>
      <c r="L273" s="6">
        <v>0.11</v>
      </c>
      <c r="M273" s="6">
        <v>0.11</v>
      </c>
      <c r="N273" s="6">
        <v>0.11</v>
      </c>
      <c r="O273" s="6">
        <v>0.11</v>
      </c>
      <c r="P273" s="6">
        <v>0</v>
      </c>
      <c r="Q273" s="4" t="s">
        <v>26</v>
      </c>
      <c r="R273" s="4">
        <v>0</v>
      </c>
      <c r="S273" s="4">
        <v>0</v>
      </c>
      <c r="T273" s="4">
        <v>34</v>
      </c>
      <c r="U273" s="4">
        <v>75</v>
      </c>
      <c r="V273" s="6">
        <f>IF(ISERROR(VLOOKUP($S$273,'TAR FIN'!$A$1:$O$113,15,0)),0,VLOOKUP($S$273,'TAR FIN'!$A$1:$O$113,15,0))</f>
        <v>0</v>
      </c>
      <c r="W273" s="6">
        <f>IF(ISERROR(VLOOKUP($T$273,'TAR FIN'!$A$1:$O$113,15,0)),0,VLOOKUP($T$273,'TAR FIN'!$A$1:$O$113,15,0))</f>
        <v>135.52000000000001</v>
      </c>
      <c r="X273" s="6">
        <f>IF(ISERROR(VLOOKUP($U$273,'TAR FIN'!$A$1:$O$113,15,0)),0,VLOOKUP($U$273,'TAR FIN'!$A$1:$O$113,15,0))</f>
        <v>175.41</v>
      </c>
      <c r="Y273" s="6"/>
      <c r="Z273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73" s="6">
        <f>('TE BE'!$AB$20+'TE BF'!$AB$20+'TE CVA'!$AB$20)*(1-CUSTOS!$M$35)</f>
        <v>188.87110693784712</v>
      </c>
      <c r="AB273" s="6">
        <f t="shared" si="14"/>
        <v>0</v>
      </c>
      <c r="AC273" s="6">
        <f>(L273-M273)*(W273+X273)+($W$317+$X$317-$W$273-$X$273)*(L273)</f>
        <v>22.803000000000004</v>
      </c>
      <c r="AD273" s="6">
        <f t="shared" si="15"/>
        <v>0</v>
      </c>
      <c r="AE273" s="6">
        <f ca="1">(L273-M273)*(Z273+AA273)+($Z$317+$AA$317-$Z$273-$AA$273)*(L273)</f>
        <v>25.288493064844626</v>
      </c>
      <c r="AF273" s="4" t="s">
        <v>854</v>
      </c>
    </row>
    <row r="274" spans="1:32" ht="11.25" customHeight="1" x14ac:dyDescent="0.3">
      <c r="A274" s="4" t="s">
        <v>28</v>
      </c>
      <c r="B274" s="4" t="s">
        <v>22</v>
      </c>
      <c r="C274" s="4" t="s">
        <v>23</v>
      </c>
      <c r="D274" s="4" t="s">
        <v>24</v>
      </c>
      <c r="E274" s="4" t="s">
        <v>30</v>
      </c>
      <c r="F274" s="4" t="s">
        <v>25</v>
      </c>
      <c r="G274" s="4" t="s">
        <v>25</v>
      </c>
      <c r="H274" s="4" t="s">
        <v>25</v>
      </c>
      <c r="I274" s="5">
        <v>44652</v>
      </c>
      <c r="J274" s="6">
        <v>0</v>
      </c>
      <c r="K274" s="6">
        <v>0</v>
      </c>
      <c r="L274" s="6">
        <v>6.2E-2</v>
      </c>
      <c r="M274" s="6">
        <v>1.24E-2</v>
      </c>
      <c r="N274" s="6">
        <v>6.2E-2</v>
      </c>
      <c r="O274" s="6">
        <v>1.24E-2</v>
      </c>
      <c r="P274" s="6">
        <v>0</v>
      </c>
      <c r="Q274" s="4" t="s">
        <v>26</v>
      </c>
      <c r="R274" s="4">
        <v>0</v>
      </c>
      <c r="S274" s="4">
        <v>0</v>
      </c>
      <c r="T274" s="4">
        <v>34</v>
      </c>
      <c r="U274" s="4">
        <v>75</v>
      </c>
      <c r="V274" s="6">
        <f>IF(ISERROR(VLOOKUP($S$274,'TAR FIN'!$A$1:$O$113,15,0)),0,VLOOKUP($S$274,'TAR FIN'!$A$1:$O$113,15,0))</f>
        <v>0</v>
      </c>
      <c r="W274" s="6">
        <f>IF(ISERROR(VLOOKUP($T$274,'TAR FIN'!$A$1:$O$113,15,0)),0,VLOOKUP($T$274,'TAR FIN'!$A$1:$O$113,15,0))</f>
        <v>135.52000000000001</v>
      </c>
      <c r="X274" s="6">
        <f>IF(ISERROR(VLOOKUP($U$274,'TAR FIN'!$A$1:$O$113,15,0)),0,VLOOKUP($U$274,'TAR FIN'!$A$1:$O$113,15,0))</f>
        <v>175.41</v>
      </c>
      <c r="Y274" s="6"/>
      <c r="Z274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74" s="6">
        <f>('TE BE'!$AB$20+'TE BF'!$AB$20+'TE CVA'!$AB$20)*(1-CUSTOS!$M$35)</f>
        <v>188.87110693784712</v>
      </c>
      <c r="AB274" s="6">
        <f t="shared" si="14"/>
        <v>0</v>
      </c>
      <c r="AC274" s="6">
        <f>(L274-M274)*(W274+X274)+($W$317+$X$317-$W$274-$X$274)*(L274)</f>
        <v>28.274728000000003</v>
      </c>
      <c r="AD274" s="6">
        <f t="shared" si="15"/>
        <v>0</v>
      </c>
      <c r="AE274" s="6">
        <f ca="1">(L274-M274)*(Z274+AA274)+($Z$317+$AA$317-$Z$274-$AA$274)*(L274)</f>
        <v>31.357731400407332</v>
      </c>
      <c r="AF274" s="4" t="s">
        <v>854</v>
      </c>
    </row>
    <row r="275" spans="1:32" ht="11.25" customHeight="1" x14ac:dyDescent="0.3">
      <c r="A275" s="4" t="s">
        <v>21</v>
      </c>
      <c r="B275" s="4" t="s">
        <v>22</v>
      </c>
      <c r="C275" s="4" t="s">
        <v>23</v>
      </c>
      <c r="D275" s="4" t="s">
        <v>24</v>
      </c>
      <c r="E275" s="4" t="s">
        <v>30</v>
      </c>
      <c r="F275" s="4" t="s">
        <v>25</v>
      </c>
      <c r="G275" s="4" t="s">
        <v>25</v>
      </c>
      <c r="H275" s="4" t="s">
        <v>25</v>
      </c>
      <c r="I275" s="5">
        <v>44682</v>
      </c>
      <c r="J275" s="6">
        <v>0</v>
      </c>
      <c r="K275" s="6">
        <v>0</v>
      </c>
      <c r="L275" s="6">
        <v>388.15800000000002</v>
      </c>
      <c r="M275" s="6">
        <v>388.15800000000002</v>
      </c>
      <c r="N275" s="6">
        <v>388.15800000000002</v>
      </c>
      <c r="O275" s="6">
        <v>388.15800000000002</v>
      </c>
      <c r="P275" s="6">
        <v>1811</v>
      </c>
      <c r="Q275" s="4" t="s">
        <v>26</v>
      </c>
      <c r="R275" s="4">
        <v>0</v>
      </c>
      <c r="S275" s="4">
        <v>0</v>
      </c>
      <c r="T275" s="4">
        <v>34</v>
      </c>
      <c r="U275" s="4">
        <v>75</v>
      </c>
      <c r="V275" s="6">
        <f>IF(ISERROR(VLOOKUP($S$275,'TAR FIN'!$A$1:$O$113,15,0)),0,VLOOKUP($S$275,'TAR FIN'!$A$1:$O$113,15,0))</f>
        <v>0</v>
      </c>
      <c r="W275" s="6">
        <f>IF(ISERROR(VLOOKUP($T$275,'TAR FIN'!$A$1:$O$113,15,0)),0,VLOOKUP($T$275,'TAR FIN'!$A$1:$O$113,15,0))</f>
        <v>135.52000000000001</v>
      </c>
      <c r="X275" s="6">
        <f>IF(ISERROR(VLOOKUP($U$275,'TAR FIN'!$A$1:$O$113,15,0)),0,VLOOKUP($U$275,'TAR FIN'!$A$1:$O$113,15,0))</f>
        <v>175.41</v>
      </c>
      <c r="Y275" s="6"/>
      <c r="Z275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75" s="6">
        <f>('TE BE'!$AB$20+'TE BF'!$AB$20+'TE CVA'!$AB$20)*(1-CUSTOS!$M$35)</f>
        <v>188.87110693784712</v>
      </c>
      <c r="AB275" s="6">
        <f t="shared" si="14"/>
        <v>0</v>
      </c>
      <c r="AC275" s="6">
        <f>(L275-M275)*(W275+X275)+($W$317+$X$317-$W$275-$X$275)*(L275)</f>
        <v>80465.153400000025</v>
      </c>
      <c r="AD275" s="6">
        <f t="shared" si="15"/>
        <v>0</v>
      </c>
      <c r="AE275" s="6">
        <f ca="1">(L275-M275)*(Z275+AA275)+($Z$317+$AA$317-$Z$275-$AA$275)*(L275)</f>
        <v>89235.735373308737</v>
      </c>
      <c r="AF275" s="4" t="s">
        <v>854</v>
      </c>
    </row>
    <row r="276" spans="1:32" ht="11.25" customHeight="1" x14ac:dyDescent="0.3">
      <c r="A276" s="4" t="s">
        <v>28</v>
      </c>
      <c r="B276" s="4" t="s">
        <v>22</v>
      </c>
      <c r="C276" s="4" t="s">
        <v>23</v>
      </c>
      <c r="D276" s="4" t="s">
        <v>24</v>
      </c>
      <c r="E276" s="4" t="s">
        <v>30</v>
      </c>
      <c r="F276" s="4" t="s">
        <v>25</v>
      </c>
      <c r="G276" s="4" t="s">
        <v>25</v>
      </c>
      <c r="H276" s="4" t="s">
        <v>25</v>
      </c>
      <c r="I276" s="5">
        <v>44682</v>
      </c>
      <c r="J276" s="6">
        <v>0</v>
      </c>
      <c r="K276" s="6">
        <v>0</v>
      </c>
      <c r="L276" s="6">
        <v>2E-3</v>
      </c>
      <c r="M276" s="6">
        <v>4.0000000000000002E-4</v>
      </c>
      <c r="N276" s="6">
        <v>2E-3</v>
      </c>
      <c r="O276" s="6">
        <v>4.0000000000000002E-4</v>
      </c>
      <c r="P276" s="6">
        <v>1</v>
      </c>
      <c r="Q276" s="4" t="s">
        <v>26</v>
      </c>
      <c r="R276" s="4">
        <v>0</v>
      </c>
      <c r="S276" s="4">
        <v>0</v>
      </c>
      <c r="T276" s="4">
        <v>34</v>
      </c>
      <c r="U276" s="4">
        <v>75</v>
      </c>
      <c r="V276" s="6">
        <f>IF(ISERROR(VLOOKUP($S$276,'TAR FIN'!$A$1:$O$113,15,0)),0,VLOOKUP($S$276,'TAR FIN'!$A$1:$O$113,15,0))</f>
        <v>0</v>
      </c>
      <c r="W276" s="6">
        <f>IF(ISERROR(VLOOKUP($T$276,'TAR FIN'!$A$1:$O$113,15,0)),0,VLOOKUP($T$276,'TAR FIN'!$A$1:$O$113,15,0))</f>
        <v>135.52000000000001</v>
      </c>
      <c r="X276" s="6">
        <f>IF(ISERROR(VLOOKUP($U$276,'TAR FIN'!$A$1:$O$113,15,0)),0,VLOOKUP($U$276,'TAR FIN'!$A$1:$O$113,15,0))</f>
        <v>175.41</v>
      </c>
      <c r="Y276" s="6"/>
      <c r="Z276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76" s="6">
        <f>('TE BE'!$AB$20+'TE BF'!$AB$20+'TE CVA'!$AB$20)*(1-CUSTOS!$M$35)</f>
        <v>188.87110693784712</v>
      </c>
      <c r="AB276" s="6">
        <f t="shared" si="14"/>
        <v>0</v>
      </c>
      <c r="AC276" s="6">
        <f>(L276-M276)*(W276+X276)+($W$317+$X$317-$W$276-$X$276)*(L276)</f>
        <v>0.91208800000000012</v>
      </c>
      <c r="AD276" s="6">
        <f t="shared" si="15"/>
        <v>0</v>
      </c>
      <c r="AE276" s="6">
        <f ca="1">(L276-M276)*(Z276+AA276)+($Z$317+$AA$317-$Z$276-$AA$276)*(L276)</f>
        <v>1.0115397225937848</v>
      </c>
      <c r="AF276" s="4" t="s">
        <v>854</v>
      </c>
    </row>
    <row r="277" spans="1:32" ht="11.25" customHeight="1" x14ac:dyDescent="0.3">
      <c r="A277" s="4" t="s">
        <v>21</v>
      </c>
      <c r="B277" s="4" t="s">
        <v>22</v>
      </c>
      <c r="C277" s="4" t="s">
        <v>23</v>
      </c>
      <c r="D277" s="4" t="s">
        <v>24</v>
      </c>
      <c r="E277" s="4" t="s">
        <v>30</v>
      </c>
      <c r="F277" s="4" t="s">
        <v>25</v>
      </c>
      <c r="G277" s="4" t="s">
        <v>25</v>
      </c>
      <c r="H277" s="4" t="s">
        <v>25</v>
      </c>
      <c r="I277" s="5">
        <v>44713</v>
      </c>
      <c r="J277" s="6">
        <v>0</v>
      </c>
      <c r="K277" s="6">
        <v>0</v>
      </c>
      <c r="L277" s="6">
        <v>367.43200000000002</v>
      </c>
      <c r="M277" s="6">
        <v>367.43200000000002</v>
      </c>
      <c r="N277" s="6">
        <v>367.43200000000002</v>
      </c>
      <c r="O277" s="6">
        <v>367.43200000000002</v>
      </c>
      <c r="P277" s="6">
        <v>1917</v>
      </c>
      <c r="Q277" s="4" t="s">
        <v>26</v>
      </c>
      <c r="R277" s="4">
        <v>0</v>
      </c>
      <c r="S277" s="4">
        <v>0</v>
      </c>
      <c r="T277" s="4">
        <v>34</v>
      </c>
      <c r="U277" s="4">
        <v>75</v>
      </c>
      <c r="V277" s="6">
        <f>IF(ISERROR(VLOOKUP($S$277,'TAR FIN'!$A$1:$O$113,15,0)),0,VLOOKUP($S$277,'TAR FIN'!$A$1:$O$113,15,0))</f>
        <v>0</v>
      </c>
      <c r="W277" s="6">
        <f>IF(ISERROR(VLOOKUP($T$277,'TAR FIN'!$A$1:$O$113,15,0)),0,VLOOKUP($T$277,'TAR FIN'!$A$1:$O$113,15,0))</f>
        <v>135.52000000000001</v>
      </c>
      <c r="X277" s="6">
        <f>IF(ISERROR(VLOOKUP($U$277,'TAR FIN'!$A$1:$O$113,15,0)),0,VLOOKUP($U$277,'TAR FIN'!$A$1:$O$113,15,0))</f>
        <v>175.41</v>
      </c>
      <c r="Y277" s="6"/>
      <c r="Z277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77" s="6">
        <f>('TE BE'!$AB$20+'TE BF'!$AB$20+'TE CVA'!$AB$20)*(1-CUSTOS!$M$35)</f>
        <v>188.87110693784712</v>
      </c>
      <c r="AB277" s="6">
        <f t="shared" si="14"/>
        <v>0</v>
      </c>
      <c r="AC277" s="6">
        <f>(L277-M277)*(W277+X277)+($W$317+$X$317-$W$277-$X$277)*(L277)</f>
        <v>76168.65360000002</v>
      </c>
      <c r="AD277" s="6">
        <f t="shared" si="15"/>
        <v>0</v>
      </c>
      <c r="AE277" s="6">
        <f ca="1">(L277-M277)*(Z277+AA277)+($Z$317+$AA$317-$Z$277-$AA$277)*(L277)</f>
        <v>84470.923489109016</v>
      </c>
      <c r="AF277" s="4" t="s">
        <v>854</v>
      </c>
    </row>
    <row r="278" spans="1:32" ht="11.25" customHeight="1" x14ac:dyDescent="0.3">
      <c r="A278" s="4" t="s">
        <v>27</v>
      </c>
      <c r="B278" s="4" t="s">
        <v>22</v>
      </c>
      <c r="C278" s="4" t="s">
        <v>23</v>
      </c>
      <c r="D278" s="4" t="s">
        <v>24</v>
      </c>
      <c r="E278" s="4" t="s">
        <v>30</v>
      </c>
      <c r="F278" s="4" t="s">
        <v>25</v>
      </c>
      <c r="G278" s="4" t="s">
        <v>25</v>
      </c>
      <c r="H278" s="4" t="s">
        <v>25</v>
      </c>
      <c r="I278" s="5">
        <v>44713</v>
      </c>
      <c r="J278" s="6">
        <v>0</v>
      </c>
      <c r="K278" s="6">
        <v>0</v>
      </c>
      <c r="L278" s="6">
        <v>-5.0000000000000001E-3</v>
      </c>
      <c r="M278" s="6">
        <v>-5.0000000000000001E-3</v>
      </c>
      <c r="N278" s="6">
        <v>-5.0000000000000001E-3</v>
      </c>
      <c r="O278" s="6">
        <v>-5.0000000000000001E-3</v>
      </c>
      <c r="P278" s="6">
        <v>0</v>
      </c>
      <c r="Q278" s="4" t="s">
        <v>26</v>
      </c>
      <c r="R278" s="4">
        <v>0</v>
      </c>
      <c r="S278" s="4">
        <v>0</v>
      </c>
      <c r="T278" s="4">
        <v>34</v>
      </c>
      <c r="U278" s="4">
        <v>75</v>
      </c>
      <c r="V278" s="6">
        <f>IF(ISERROR(VLOOKUP($S$278,'TAR FIN'!$A$1:$O$113,15,0)),0,VLOOKUP($S$278,'TAR FIN'!$A$1:$O$113,15,0))</f>
        <v>0</v>
      </c>
      <c r="W278" s="6">
        <f>IF(ISERROR(VLOOKUP($T$278,'TAR FIN'!$A$1:$O$113,15,0)),0,VLOOKUP($T$278,'TAR FIN'!$A$1:$O$113,15,0))</f>
        <v>135.52000000000001</v>
      </c>
      <c r="X278" s="6">
        <f>IF(ISERROR(VLOOKUP($U$278,'TAR FIN'!$A$1:$O$113,15,0)),0,VLOOKUP($U$278,'TAR FIN'!$A$1:$O$113,15,0))</f>
        <v>175.41</v>
      </c>
      <c r="Y278" s="6"/>
      <c r="Z278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78" s="6">
        <f>('TE BE'!$AB$20+'TE BF'!$AB$20+'TE CVA'!$AB$20)*(1-CUSTOS!$M$35)</f>
        <v>188.87110693784712</v>
      </c>
      <c r="AB278" s="6">
        <f t="shared" si="14"/>
        <v>0</v>
      </c>
      <c r="AC278" s="6">
        <f>(L278-M278)*(W278+X278)+($W$317+$X$317-$W$278-$X$278)*(L278)</f>
        <v>-1.0365000000000002</v>
      </c>
      <c r="AD278" s="6">
        <f t="shared" si="15"/>
        <v>0</v>
      </c>
      <c r="AE278" s="6">
        <f ca="1">(L278-M278)*(Z278+AA278)+($Z$317+$AA$317-$Z$278-$AA$278)*(L278)</f>
        <v>-1.1494769574929375</v>
      </c>
      <c r="AF278" s="4" t="s">
        <v>854</v>
      </c>
    </row>
    <row r="279" spans="1:32" ht="11.25" customHeight="1" x14ac:dyDescent="0.3">
      <c r="A279" s="4" t="s">
        <v>21</v>
      </c>
      <c r="B279" s="4" t="s">
        <v>22</v>
      </c>
      <c r="C279" s="4" t="s">
        <v>23</v>
      </c>
      <c r="D279" s="4" t="s">
        <v>24</v>
      </c>
      <c r="E279" s="4" t="s">
        <v>30</v>
      </c>
      <c r="F279" s="4" t="s">
        <v>25</v>
      </c>
      <c r="G279" s="4" t="s">
        <v>25</v>
      </c>
      <c r="H279" s="4" t="s">
        <v>25</v>
      </c>
      <c r="I279" s="5">
        <v>44743</v>
      </c>
      <c r="J279" s="6">
        <v>0</v>
      </c>
      <c r="K279" s="6">
        <v>0</v>
      </c>
      <c r="L279" s="6">
        <v>347.49299999999999</v>
      </c>
      <c r="M279" s="6">
        <v>347.49299999999999</v>
      </c>
      <c r="N279" s="6">
        <v>347.49299999999999</v>
      </c>
      <c r="O279" s="6">
        <v>347.49299999999999</v>
      </c>
      <c r="P279" s="6">
        <v>1797</v>
      </c>
      <c r="Q279" s="4" t="s">
        <v>26</v>
      </c>
      <c r="R279" s="4">
        <v>0</v>
      </c>
      <c r="S279" s="4">
        <v>0</v>
      </c>
      <c r="T279" s="4">
        <v>34</v>
      </c>
      <c r="U279" s="4">
        <v>75</v>
      </c>
      <c r="V279" s="6">
        <f>IF(ISERROR(VLOOKUP($S$279,'TAR FIN'!$A$1:$O$113,15,0)),0,VLOOKUP($S$279,'TAR FIN'!$A$1:$O$113,15,0))</f>
        <v>0</v>
      </c>
      <c r="W279" s="6">
        <f>IF(ISERROR(VLOOKUP($T$279,'TAR FIN'!$A$1:$O$113,15,0)),0,VLOOKUP($T$279,'TAR FIN'!$A$1:$O$113,15,0))</f>
        <v>135.52000000000001</v>
      </c>
      <c r="X279" s="6">
        <f>IF(ISERROR(VLOOKUP($U$279,'TAR FIN'!$A$1:$O$113,15,0)),0,VLOOKUP($U$279,'TAR FIN'!$A$1:$O$113,15,0))</f>
        <v>175.41</v>
      </c>
      <c r="Y279" s="6"/>
      <c r="Z279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79" s="6">
        <f>('TE BE'!$AB$20+'TE BF'!$AB$20+'TE CVA'!$AB$20)*(1-CUSTOS!$M$35)</f>
        <v>188.87110693784712</v>
      </c>
      <c r="AB279" s="6">
        <f t="shared" si="14"/>
        <v>0</v>
      </c>
      <c r="AC279" s="6">
        <f>(L279-M279)*(W279+X279)+($W$317+$X$317-$W$279-$X$279)*(L279)</f>
        <v>72035.298900000009</v>
      </c>
      <c r="AD279" s="6">
        <f t="shared" si="15"/>
        <v>0</v>
      </c>
      <c r="AE279" s="6">
        <f ca="1">(L279-M279)*(Z279+AA279)+($Z$317+$AA$317-$Z$279-$AA$279)*(L279)</f>
        <v>79887.039278018667</v>
      </c>
      <c r="AF279" s="4" t="s">
        <v>854</v>
      </c>
    </row>
    <row r="280" spans="1:32" ht="11.25" customHeight="1" x14ac:dyDescent="0.3">
      <c r="A280" s="4" t="s">
        <v>21</v>
      </c>
      <c r="B280" s="4" t="s">
        <v>22</v>
      </c>
      <c r="C280" s="4" t="s">
        <v>23</v>
      </c>
      <c r="D280" s="4" t="s">
        <v>24</v>
      </c>
      <c r="E280" s="4" t="s">
        <v>30</v>
      </c>
      <c r="F280" s="4" t="s">
        <v>25</v>
      </c>
      <c r="G280" s="4" t="s">
        <v>25</v>
      </c>
      <c r="H280" s="4" t="s">
        <v>25</v>
      </c>
      <c r="I280" s="5">
        <v>44774</v>
      </c>
      <c r="J280" s="6">
        <v>0</v>
      </c>
      <c r="K280" s="6">
        <v>0</v>
      </c>
      <c r="L280" s="6">
        <v>358.733</v>
      </c>
      <c r="M280" s="6">
        <v>358.733</v>
      </c>
      <c r="N280" s="6">
        <v>358.733</v>
      </c>
      <c r="O280" s="6">
        <v>358.733</v>
      </c>
      <c r="P280" s="6">
        <v>1872</v>
      </c>
      <c r="Q280" s="4" t="s">
        <v>26</v>
      </c>
      <c r="R280" s="4">
        <v>0</v>
      </c>
      <c r="S280" s="4">
        <v>0</v>
      </c>
      <c r="T280" s="4">
        <v>34</v>
      </c>
      <c r="U280" s="4">
        <v>75</v>
      </c>
      <c r="V280" s="6">
        <f>IF(ISERROR(VLOOKUP($S$280,'TAR FIN'!$A$1:$O$113,15,0)),0,VLOOKUP($S$280,'TAR FIN'!$A$1:$O$113,15,0))</f>
        <v>0</v>
      </c>
      <c r="W280" s="6">
        <f>IF(ISERROR(VLOOKUP($T$280,'TAR FIN'!$A$1:$O$113,15,0)),0,VLOOKUP($T$280,'TAR FIN'!$A$1:$O$113,15,0))</f>
        <v>135.52000000000001</v>
      </c>
      <c r="X280" s="6">
        <f>IF(ISERROR(VLOOKUP($U$280,'TAR FIN'!$A$1:$O$113,15,0)),0,VLOOKUP($U$280,'TAR FIN'!$A$1:$O$113,15,0))</f>
        <v>175.41</v>
      </c>
      <c r="Y280" s="6"/>
      <c r="Z280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80" s="6">
        <f>('TE BE'!$AB$20+'TE BF'!$AB$20+'TE CVA'!$AB$20)*(1-CUSTOS!$M$35)</f>
        <v>188.87110693784712</v>
      </c>
      <c r="AB280" s="6">
        <f t="shared" si="14"/>
        <v>0</v>
      </c>
      <c r="AC280" s="6">
        <f>(L280-M280)*(W280+X280)+($W$317+$X$317-$W$280-$X$280)*(L280)</f>
        <v>74365.350900000019</v>
      </c>
      <c r="AD280" s="6">
        <f t="shared" si="15"/>
        <v>0</v>
      </c>
      <c r="AE280" s="6">
        <f ca="1">(L280-M280)*(Z280+AA280)+($Z$317+$AA$317-$Z$280-$AA$280)*(L280)</f>
        <v>82471.063478462791</v>
      </c>
      <c r="AF280" s="4" t="s">
        <v>854</v>
      </c>
    </row>
    <row r="281" spans="1:32" ht="11.25" customHeight="1" x14ac:dyDescent="0.3">
      <c r="A281" s="4" t="s">
        <v>27</v>
      </c>
      <c r="B281" s="4" t="s">
        <v>22</v>
      </c>
      <c r="C281" s="4" t="s">
        <v>23</v>
      </c>
      <c r="D281" s="4" t="s">
        <v>24</v>
      </c>
      <c r="E281" s="4" t="s">
        <v>30</v>
      </c>
      <c r="F281" s="4" t="s">
        <v>25</v>
      </c>
      <c r="G281" s="4" t="s">
        <v>25</v>
      </c>
      <c r="H281" s="4" t="s">
        <v>25</v>
      </c>
      <c r="I281" s="5">
        <v>44774</v>
      </c>
      <c r="J281" s="6">
        <v>0</v>
      </c>
      <c r="K281" s="6">
        <v>0</v>
      </c>
      <c r="L281" s="6">
        <v>-1.0999999999999999E-2</v>
      </c>
      <c r="M281" s="6">
        <v>-1.0999999999999999E-2</v>
      </c>
      <c r="N281" s="6">
        <v>-1.0999999999999999E-2</v>
      </c>
      <c r="O281" s="6">
        <v>-1.0999999999999999E-2</v>
      </c>
      <c r="P281" s="6">
        <v>0</v>
      </c>
      <c r="Q281" s="4" t="s">
        <v>26</v>
      </c>
      <c r="R281" s="4">
        <v>0</v>
      </c>
      <c r="S281" s="4">
        <v>0</v>
      </c>
      <c r="T281" s="4">
        <v>34</v>
      </c>
      <c r="U281" s="4">
        <v>75</v>
      </c>
      <c r="V281" s="6">
        <f>IF(ISERROR(VLOOKUP($S$281,'TAR FIN'!$A$1:$O$113,15,0)),0,VLOOKUP($S$281,'TAR FIN'!$A$1:$O$113,15,0))</f>
        <v>0</v>
      </c>
      <c r="W281" s="6">
        <f>IF(ISERROR(VLOOKUP($T$281,'TAR FIN'!$A$1:$O$113,15,0)),0,VLOOKUP($T$281,'TAR FIN'!$A$1:$O$113,15,0))</f>
        <v>135.52000000000001</v>
      </c>
      <c r="X281" s="6">
        <f>IF(ISERROR(VLOOKUP($U$281,'TAR FIN'!$A$1:$O$113,15,0)),0,VLOOKUP($U$281,'TAR FIN'!$A$1:$O$113,15,0))</f>
        <v>175.41</v>
      </c>
      <c r="Y281" s="6"/>
      <c r="Z281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81" s="6">
        <f>('TE BE'!$AB$20+'TE BF'!$AB$20+'TE CVA'!$AB$20)*(1-CUSTOS!$M$35)</f>
        <v>188.87110693784712</v>
      </c>
      <c r="AB281" s="6">
        <f t="shared" si="14"/>
        <v>0</v>
      </c>
      <c r="AC281" s="6">
        <f>(L281-M281)*(W281+X281)+($W$317+$X$317-$W$281-$X$281)*(L281)</f>
        <v>-2.2803000000000004</v>
      </c>
      <c r="AD281" s="6">
        <f t="shared" si="15"/>
        <v>0</v>
      </c>
      <c r="AE281" s="6">
        <f ca="1">(L281-M281)*(Z281+AA281)+($Z$317+$AA$317-$Z$281-$AA$281)*(L281)</f>
        <v>-2.5288493064844624</v>
      </c>
      <c r="AF281" s="4" t="s">
        <v>854</v>
      </c>
    </row>
    <row r="282" spans="1:32" ht="11.25" customHeight="1" x14ac:dyDescent="0.3">
      <c r="A282" s="4" t="s">
        <v>21</v>
      </c>
      <c r="B282" s="4" t="s">
        <v>22</v>
      </c>
      <c r="C282" s="4" t="s">
        <v>23</v>
      </c>
      <c r="D282" s="4" t="s">
        <v>24</v>
      </c>
      <c r="E282" s="4" t="s">
        <v>30</v>
      </c>
      <c r="F282" s="4" t="s">
        <v>25</v>
      </c>
      <c r="G282" s="4" t="s">
        <v>25</v>
      </c>
      <c r="H282" s="4" t="s">
        <v>25</v>
      </c>
      <c r="I282" s="5">
        <v>44805</v>
      </c>
      <c r="J282" s="6">
        <v>0</v>
      </c>
      <c r="K282" s="6">
        <v>0</v>
      </c>
      <c r="L282" s="6">
        <v>370.30599999999998</v>
      </c>
      <c r="M282" s="6">
        <v>370.30599999999998</v>
      </c>
      <c r="N282" s="6">
        <v>370.30599999999998</v>
      </c>
      <c r="O282" s="6">
        <v>370.30599999999998</v>
      </c>
      <c r="P282" s="6">
        <v>1559</v>
      </c>
      <c r="Q282" s="4" t="s">
        <v>26</v>
      </c>
      <c r="R282" s="4">
        <v>0</v>
      </c>
      <c r="S282" s="4">
        <v>0</v>
      </c>
      <c r="T282" s="4">
        <v>34</v>
      </c>
      <c r="U282" s="4">
        <v>75</v>
      </c>
      <c r="V282" s="6">
        <f>IF(ISERROR(VLOOKUP($S$282,'TAR FIN'!$A$1:$O$113,15,0)),0,VLOOKUP($S$282,'TAR FIN'!$A$1:$O$113,15,0))</f>
        <v>0</v>
      </c>
      <c r="W282" s="6">
        <f>IF(ISERROR(VLOOKUP($T$282,'TAR FIN'!$A$1:$O$113,15,0)),0,VLOOKUP($T$282,'TAR FIN'!$A$1:$O$113,15,0))</f>
        <v>135.52000000000001</v>
      </c>
      <c r="X282" s="6">
        <f>IF(ISERROR(VLOOKUP($U$282,'TAR FIN'!$A$1:$O$113,15,0)),0,VLOOKUP($U$282,'TAR FIN'!$A$1:$O$113,15,0))</f>
        <v>175.41</v>
      </c>
      <c r="Y282" s="6"/>
      <c r="Z282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82" s="6">
        <f>('TE BE'!$AB$20+'TE BF'!$AB$20+'TE CVA'!$AB$20)*(1-CUSTOS!$M$35)</f>
        <v>188.87110693784712</v>
      </c>
      <c r="AB282" s="6">
        <f t="shared" si="14"/>
        <v>0</v>
      </c>
      <c r="AC282" s="6">
        <f>(L282-M282)*(W282+X282)+($W$317+$X$317-$W$282-$X$282)*(L282)</f>
        <v>76764.433800000013</v>
      </c>
      <c r="AD282" s="6">
        <f t="shared" si="15"/>
        <v>0</v>
      </c>
      <c r="AE282" s="6">
        <f ca="1">(L282-M282)*(Z282+AA282)+($Z$317+$AA$317-$Z$282-$AA$282)*(L282)</f>
        <v>85131.64284427595</v>
      </c>
      <c r="AF282" s="4" t="s">
        <v>854</v>
      </c>
    </row>
    <row r="283" spans="1:32" ht="11.25" customHeight="1" x14ac:dyDescent="0.3">
      <c r="A283" s="4" t="s">
        <v>27</v>
      </c>
      <c r="B283" s="4" t="s">
        <v>22</v>
      </c>
      <c r="C283" s="4" t="s">
        <v>23</v>
      </c>
      <c r="D283" s="4" t="s">
        <v>24</v>
      </c>
      <c r="E283" s="4" t="s">
        <v>30</v>
      </c>
      <c r="F283" s="4" t="s">
        <v>25</v>
      </c>
      <c r="G283" s="4" t="s">
        <v>25</v>
      </c>
      <c r="H283" s="4" t="s">
        <v>25</v>
      </c>
      <c r="I283" s="5">
        <v>44805</v>
      </c>
      <c r="J283" s="6">
        <v>0</v>
      </c>
      <c r="K283" s="6">
        <v>0</v>
      </c>
      <c r="L283" s="6">
        <v>-0.13500000000000001</v>
      </c>
      <c r="M283" s="6">
        <v>-0.13500000000000001</v>
      </c>
      <c r="N283" s="6">
        <v>-0.13500000000000001</v>
      </c>
      <c r="O283" s="6">
        <v>-0.13500000000000001</v>
      </c>
      <c r="P283" s="6">
        <v>0</v>
      </c>
      <c r="Q283" s="4" t="s">
        <v>26</v>
      </c>
      <c r="R283" s="4">
        <v>0</v>
      </c>
      <c r="S283" s="4">
        <v>0</v>
      </c>
      <c r="T283" s="4">
        <v>34</v>
      </c>
      <c r="U283" s="4">
        <v>75</v>
      </c>
      <c r="V283" s="6">
        <f>IF(ISERROR(VLOOKUP($S$283,'TAR FIN'!$A$1:$O$113,15,0)),0,VLOOKUP($S$283,'TAR FIN'!$A$1:$O$113,15,0))</f>
        <v>0</v>
      </c>
      <c r="W283" s="6">
        <f>IF(ISERROR(VLOOKUP($T$283,'TAR FIN'!$A$1:$O$113,15,0)),0,VLOOKUP($T$283,'TAR FIN'!$A$1:$O$113,15,0))</f>
        <v>135.52000000000001</v>
      </c>
      <c r="X283" s="6">
        <f>IF(ISERROR(VLOOKUP($U$283,'TAR FIN'!$A$1:$O$113,15,0)),0,VLOOKUP($U$283,'TAR FIN'!$A$1:$O$113,15,0))</f>
        <v>175.41</v>
      </c>
      <c r="Y283" s="6"/>
      <c r="Z283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83" s="6">
        <f>('TE BE'!$AB$20+'TE BF'!$AB$20+'TE CVA'!$AB$20)*(1-CUSTOS!$M$35)</f>
        <v>188.87110693784712</v>
      </c>
      <c r="AB283" s="6">
        <f t="shared" si="14"/>
        <v>0</v>
      </c>
      <c r="AC283" s="6">
        <f>(L283-M283)*(W283+X283)+($W$317+$X$317-$W$283-$X$283)*(L283)</f>
        <v>-27.985500000000009</v>
      </c>
      <c r="AD283" s="6">
        <f t="shared" si="15"/>
        <v>0</v>
      </c>
      <c r="AE283" s="6">
        <f ca="1">(L283-M283)*(Z283+AA283)+($Z$317+$AA$317-$Z$283-$AA$283)*(L283)</f>
        <v>-31.035877852309316</v>
      </c>
      <c r="AF283" s="4" t="s">
        <v>854</v>
      </c>
    </row>
    <row r="284" spans="1:32" ht="11.25" customHeight="1" x14ac:dyDescent="0.3">
      <c r="A284" s="4" t="s">
        <v>28</v>
      </c>
      <c r="B284" s="4" t="s">
        <v>22</v>
      </c>
      <c r="C284" s="4" t="s">
        <v>23</v>
      </c>
      <c r="D284" s="4" t="s">
        <v>24</v>
      </c>
      <c r="E284" s="4" t="s">
        <v>30</v>
      </c>
      <c r="F284" s="4" t="s">
        <v>25</v>
      </c>
      <c r="G284" s="4" t="s">
        <v>25</v>
      </c>
      <c r="H284" s="4" t="s">
        <v>25</v>
      </c>
      <c r="I284" s="5">
        <v>44805</v>
      </c>
      <c r="J284" s="6">
        <v>0</v>
      </c>
      <c r="K284" s="6">
        <v>0</v>
      </c>
      <c r="L284" s="6">
        <v>7.0000000000000007E-2</v>
      </c>
      <c r="M284" s="6">
        <v>4.2000000000000003E-2</v>
      </c>
      <c r="N284" s="6">
        <v>7.0000000000000007E-2</v>
      </c>
      <c r="O284" s="6">
        <v>4.2000000000000003E-2</v>
      </c>
      <c r="P284" s="6">
        <v>1</v>
      </c>
      <c r="Q284" s="4" t="s">
        <v>26</v>
      </c>
      <c r="R284" s="4">
        <v>0</v>
      </c>
      <c r="S284" s="4">
        <v>0</v>
      </c>
      <c r="T284" s="4">
        <v>34</v>
      </c>
      <c r="U284" s="4">
        <v>75</v>
      </c>
      <c r="V284" s="6">
        <f>IF(ISERROR(VLOOKUP($S$284,'TAR FIN'!$A$1:$O$113,15,0)),0,VLOOKUP($S$284,'TAR FIN'!$A$1:$O$113,15,0))</f>
        <v>0</v>
      </c>
      <c r="W284" s="6">
        <f>IF(ISERROR(VLOOKUP($T$284,'TAR FIN'!$A$1:$O$113,15,0)),0,VLOOKUP($T$284,'TAR FIN'!$A$1:$O$113,15,0))</f>
        <v>135.52000000000001</v>
      </c>
      <c r="X284" s="6">
        <f>IF(ISERROR(VLOOKUP($U$284,'TAR FIN'!$A$1:$O$113,15,0)),0,VLOOKUP($U$284,'TAR FIN'!$A$1:$O$113,15,0))</f>
        <v>175.41</v>
      </c>
      <c r="Y284" s="6"/>
      <c r="Z284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84" s="6">
        <f>('TE BE'!$AB$20+'TE BF'!$AB$20+'TE CVA'!$AB$20)*(1-CUSTOS!$M$35)</f>
        <v>188.87110693784712</v>
      </c>
      <c r="AB284" s="6">
        <f t="shared" si="14"/>
        <v>0</v>
      </c>
      <c r="AC284" s="6">
        <f>(L284-M284)*(W284+X284)+($W$317+$X$317-$W$284-$X$284)*(L284)</f>
        <v>23.217040000000004</v>
      </c>
      <c r="AD284" s="6">
        <f t="shared" si="15"/>
        <v>0</v>
      </c>
      <c r="AE284" s="6">
        <f ca="1">(L284-M284)*(Z284+AA284)+($Z$317+$AA$317-$Z$284-$AA$284)*(L284)</f>
        <v>25.748283847841801</v>
      </c>
      <c r="AF284" s="4" t="s">
        <v>854</v>
      </c>
    </row>
    <row r="285" spans="1:32" ht="11.25" customHeight="1" x14ac:dyDescent="0.3">
      <c r="A285" s="4" t="s">
        <v>53</v>
      </c>
      <c r="B285" s="4" t="s">
        <v>22</v>
      </c>
      <c r="C285" s="4" t="s">
        <v>23</v>
      </c>
      <c r="D285" s="4" t="s">
        <v>24</v>
      </c>
      <c r="E285" s="4" t="s">
        <v>30</v>
      </c>
      <c r="F285" s="4" t="s">
        <v>25</v>
      </c>
      <c r="G285" s="4" t="s">
        <v>25</v>
      </c>
      <c r="H285" s="4" t="s">
        <v>25</v>
      </c>
      <c r="I285" s="5">
        <v>44835</v>
      </c>
      <c r="J285" s="6">
        <v>0</v>
      </c>
      <c r="K285" s="6">
        <v>0</v>
      </c>
      <c r="L285" s="6">
        <v>370.30599999999998</v>
      </c>
      <c r="M285" s="6">
        <v>370.30599999999998</v>
      </c>
      <c r="N285" s="6">
        <v>370.30599999999998</v>
      </c>
      <c r="O285" s="6">
        <v>370.30599999999998</v>
      </c>
      <c r="P285" s="6">
        <v>1559</v>
      </c>
      <c r="Q285" s="4" t="s">
        <v>26</v>
      </c>
      <c r="R285" s="4">
        <v>0</v>
      </c>
      <c r="S285" s="4">
        <v>0</v>
      </c>
      <c r="T285" s="4">
        <v>34</v>
      </c>
      <c r="U285" s="4">
        <v>75</v>
      </c>
      <c r="V285" s="6">
        <f>IF(ISERROR(VLOOKUP($S$285,'TAR FIN'!$A$1:$O$113,15,0)),0,VLOOKUP($S$285,'TAR FIN'!$A$1:$O$113,15,0))</f>
        <v>0</v>
      </c>
      <c r="W285" s="6">
        <f>IF(ISERROR(VLOOKUP($T$285,'TAR FIN'!$A$1:$O$113,15,0)),0,VLOOKUP($T$285,'TAR FIN'!$A$1:$O$113,15,0))</f>
        <v>135.52000000000001</v>
      </c>
      <c r="X285" s="6">
        <f>IF(ISERROR(VLOOKUP($U$285,'TAR FIN'!$A$1:$O$113,15,0)),0,VLOOKUP($U$285,'TAR FIN'!$A$1:$O$113,15,0))</f>
        <v>175.41</v>
      </c>
      <c r="Y285" s="6"/>
      <c r="Z285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85" s="6">
        <f>('TE BE'!$AB$20+'TE BF'!$AB$20+'TE CVA'!$AB$20)*(1-CUSTOS!$M$35)</f>
        <v>188.87110693784712</v>
      </c>
      <c r="AB285" s="6">
        <f t="shared" si="14"/>
        <v>0</v>
      </c>
      <c r="AC285" s="6">
        <f>(L285-M285)*(W285+X285)+($W$317+$X$317-$W$285-$X$285)*(L285)</f>
        <v>76764.433800000013</v>
      </c>
      <c r="AD285" s="6">
        <f t="shared" si="15"/>
        <v>0</v>
      </c>
      <c r="AE285" s="6">
        <f ca="1">(L285-M285)*(Z285+AA285)+($Z$317+$AA$317-$Z$285-$AA$285)*(L285)</f>
        <v>85131.64284427595</v>
      </c>
      <c r="AF285" s="4" t="s">
        <v>854</v>
      </c>
    </row>
    <row r="286" spans="1:32" ht="11.25" customHeight="1" x14ac:dyDescent="0.3">
      <c r="A286" s="4" t="s">
        <v>53</v>
      </c>
      <c r="B286" s="4" t="s">
        <v>22</v>
      </c>
      <c r="C286" s="4" t="s">
        <v>23</v>
      </c>
      <c r="D286" s="4" t="s">
        <v>24</v>
      </c>
      <c r="E286" s="4" t="s">
        <v>30</v>
      </c>
      <c r="F286" s="4" t="s">
        <v>25</v>
      </c>
      <c r="G286" s="4" t="s">
        <v>25</v>
      </c>
      <c r="H286" s="4" t="s">
        <v>25</v>
      </c>
      <c r="I286" s="5">
        <v>44835</v>
      </c>
      <c r="J286" s="6">
        <v>0</v>
      </c>
      <c r="K286" s="6">
        <v>0</v>
      </c>
      <c r="L286" s="6">
        <v>-0.13500000000000001</v>
      </c>
      <c r="M286" s="6">
        <v>-0.13500000000000001</v>
      </c>
      <c r="N286" s="6">
        <v>-0.13500000000000001</v>
      </c>
      <c r="O286" s="6">
        <v>-0.13500000000000001</v>
      </c>
      <c r="P286" s="6">
        <v>0</v>
      </c>
      <c r="Q286" s="4" t="s">
        <v>26</v>
      </c>
      <c r="R286" s="4">
        <v>0</v>
      </c>
      <c r="S286" s="4">
        <v>0</v>
      </c>
      <c r="T286" s="4">
        <v>34</v>
      </c>
      <c r="U286" s="4">
        <v>75</v>
      </c>
      <c r="V286" s="6">
        <f>IF(ISERROR(VLOOKUP($S$286,'TAR FIN'!$A$1:$O$113,15,0)),0,VLOOKUP($S$286,'TAR FIN'!$A$1:$O$113,15,0))</f>
        <v>0</v>
      </c>
      <c r="W286" s="6">
        <f>IF(ISERROR(VLOOKUP($T$286,'TAR FIN'!$A$1:$O$113,15,0)),0,VLOOKUP($T$286,'TAR FIN'!$A$1:$O$113,15,0))</f>
        <v>135.52000000000001</v>
      </c>
      <c r="X286" s="6">
        <f>IF(ISERROR(VLOOKUP($U$286,'TAR FIN'!$A$1:$O$113,15,0)),0,VLOOKUP($U$286,'TAR FIN'!$A$1:$O$113,15,0))</f>
        <v>175.41</v>
      </c>
      <c r="Y286" s="6"/>
      <c r="Z286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86" s="6">
        <f>('TE BE'!$AB$20+'TE BF'!$AB$20+'TE CVA'!$AB$20)*(1-CUSTOS!$M$35)</f>
        <v>188.87110693784712</v>
      </c>
      <c r="AB286" s="6">
        <f t="shared" si="14"/>
        <v>0</v>
      </c>
      <c r="AC286" s="6">
        <f>(L286-M286)*(W286+X286)+($W$317+$X$317-$W$286-$X$286)*(L286)</f>
        <v>-27.985500000000009</v>
      </c>
      <c r="AD286" s="6">
        <f t="shared" si="15"/>
        <v>0</v>
      </c>
      <c r="AE286" s="6">
        <f ca="1">(L286-M286)*(Z286+AA286)+($Z$317+$AA$317-$Z$286-$AA$286)*(L286)</f>
        <v>-31.035877852309316</v>
      </c>
      <c r="AF286" s="4" t="s">
        <v>854</v>
      </c>
    </row>
    <row r="287" spans="1:32" ht="11.25" customHeight="1" x14ac:dyDescent="0.3">
      <c r="A287" s="4" t="s">
        <v>53</v>
      </c>
      <c r="B287" s="4" t="s">
        <v>22</v>
      </c>
      <c r="C287" s="4" t="s">
        <v>23</v>
      </c>
      <c r="D287" s="4" t="s">
        <v>24</v>
      </c>
      <c r="E287" s="4" t="s">
        <v>30</v>
      </c>
      <c r="F287" s="4" t="s">
        <v>25</v>
      </c>
      <c r="G287" s="4" t="s">
        <v>25</v>
      </c>
      <c r="H287" s="4" t="s">
        <v>25</v>
      </c>
      <c r="I287" s="5">
        <v>44835</v>
      </c>
      <c r="J287" s="6">
        <v>0</v>
      </c>
      <c r="K287" s="6">
        <v>0</v>
      </c>
      <c r="L287" s="6">
        <v>7.0000000000000007E-2</v>
      </c>
      <c r="M287" s="6">
        <v>4.2000000000000003E-2</v>
      </c>
      <c r="N287" s="6">
        <v>7.0000000000000007E-2</v>
      </c>
      <c r="O287" s="6">
        <v>4.2000000000000003E-2</v>
      </c>
      <c r="P287" s="6">
        <v>1</v>
      </c>
      <c r="Q287" s="4" t="s">
        <v>26</v>
      </c>
      <c r="R287" s="4">
        <v>0</v>
      </c>
      <c r="S287" s="4">
        <v>0</v>
      </c>
      <c r="T287" s="4">
        <v>34</v>
      </c>
      <c r="U287" s="4">
        <v>75</v>
      </c>
      <c r="V287" s="6">
        <f>IF(ISERROR(VLOOKUP($S$287,'TAR FIN'!$A$1:$O$113,15,0)),0,VLOOKUP($S$287,'TAR FIN'!$A$1:$O$113,15,0))</f>
        <v>0</v>
      </c>
      <c r="W287" s="6">
        <f>IF(ISERROR(VLOOKUP($T$287,'TAR FIN'!$A$1:$O$113,15,0)),0,VLOOKUP($T$287,'TAR FIN'!$A$1:$O$113,15,0))</f>
        <v>135.52000000000001</v>
      </c>
      <c r="X287" s="6">
        <f>IF(ISERROR(VLOOKUP($U$287,'TAR FIN'!$A$1:$O$113,15,0)),0,VLOOKUP($U$287,'TAR FIN'!$A$1:$O$113,15,0))</f>
        <v>175.41</v>
      </c>
      <c r="Y287" s="6"/>
      <c r="Z287" s="6">
        <f ca="1">('TUSD BE'!$AM$42+'TUSD BF'!$AM$42+'TUSD CVA'!$AM$42-('TUSD BE'!$P$42+'TUSD BF'!$P$42+'TUSD CVA'!$P$42)-('TUSD BE'!$Q$42+'TUSD BF'!$Q$42+'TUSD CVA'!$Q$42)-('TUSD BE'!$R$42+'TUSD BF'!$R$42+'TUSD CVA'!$R$42))*(1-CUSTOS!$M$35)</f>
        <v>155.97198031003404</v>
      </c>
      <c r="AA287" s="6">
        <f>('TE BE'!$AB$20+'TE BF'!$AB$20+'TE CVA'!$AB$20)*(1-CUSTOS!$M$35)</f>
        <v>188.87110693784712</v>
      </c>
      <c r="AB287" s="6">
        <f t="shared" si="14"/>
        <v>0</v>
      </c>
      <c r="AC287" s="6">
        <f>(L287-M287)*(W287+X287)+($W$317+$X$317-$W$287-$X$287)*(L287)</f>
        <v>23.217040000000004</v>
      </c>
      <c r="AD287" s="6">
        <f t="shared" si="15"/>
        <v>0</v>
      </c>
      <c r="AE287" s="6">
        <f ca="1">(L287-M287)*(Z287+AA287)+($Z$317+$AA$317-$Z$287-$AA$287)*(L287)</f>
        <v>25.748283847841801</v>
      </c>
      <c r="AF287" s="4" t="s">
        <v>854</v>
      </c>
    </row>
    <row r="288" spans="1:32" ht="11.25" customHeight="1" x14ac:dyDescent="0.3">
      <c r="A288" s="4" t="s">
        <v>21</v>
      </c>
      <c r="B288" s="4" t="s">
        <v>22</v>
      </c>
      <c r="C288" s="4" t="s">
        <v>23</v>
      </c>
      <c r="D288" s="4" t="s">
        <v>24</v>
      </c>
      <c r="E288" s="4" t="s">
        <v>31</v>
      </c>
      <c r="F288" s="4" t="s">
        <v>25</v>
      </c>
      <c r="G288" s="4" t="s">
        <v>25</v>
      </c>
      <c r="H288" s="4" t="s">
        <v>25</v>
      </c>
      <c r="I288" s="5">
        <v>44501</v>
      </c>
      <c r="J288" s="6">
        <v>0</v>
      </c>
      <c r="K288" s="6">
        <v>0</v>
      </c>
      <c r="L288" s="6">
        <v>240.071</v>
      </c>
      <c r="M288" s="6">
        <v>240.071</v>
      </c>
      <c r="N288" s="6">
        <v>240.071</v>
      </c>
      <c r="O288" s="6">
        <v>240.071</v>
      </c>
      <c r="P288" s="6">
        <v>3045</v>
      </c>
      <c r="Q288" s="4" t="s">
        <v>26</v>
      </c>
      <c r="R288" s="4">
        <v>0</v>
      </c>
      <c r="S288" s="4">
        <v>0</v>
      </c>
      <c r="T288" s="4">
        <v>41</v>
      </c>
      <c r="U288" s="4">
        <v>78</v>
      </c>
      <c r="V288" s="6">
        <f>IF(ISERROR(VLOOKUP($S$288,'TAR FIN'!$A$1:$O$113,15,0)),0,VLOOKUP($S$288,'TAR FIN'!$A$1:$O$113,15,0))</f>
        <v>0</v>
      </c>
      <c r="W288" s="6">
        <f>IF(ISERROR(VLOOKUP($T$288,'TAR FIN'!$A$1:$O$113,15,0)),0,VLOOKUP($T$288,'TAR FIN'!$A$1:$O$113,15,0))</f>
        <v>203.29</v>
      </c>
      <c r="X288" s="6">
        <f>IF(ISERROR(VLOOKUP($U$288,'TAR FIN'!$A$1:$O$113,15,0)),0,VLOOKUP($U$288,'TAR FIN'!$A$1:$O$113,15,0))</f>
        <v>263.12</v>
      </c>
      <c r="Y288" s="6"/>
      <c r="Z288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288" s="6">
        <f>('TE BE'!$AB$21+'TE BF'!$AB$21+'TE CVA'!$AB$21)*(1-CUSTOS!$M$36)</f>
        <v>283.30666040677067</v>
      </c>
      <c r="AB288" s="6">
        <f t="shared" si="14"/>
        <v>0</v>
      </c>
      <c r="AC288" s="6">
        <f>(L288-M288)*(W288+X288)+($W$317+$X$317-$W$288-$X$288)*(L288)</f>
        <v>12440.479220000012</v>
      </c>
      <c r="AD288" s="6">
        <f t="shared" si="15"/>
        <v>0</v>
      </c>
      <c r="AE288" s="6">
        <f ca="1">(L288-M288)*(Z288+AA288)+($Z$317+$AA$317-$Z$288-$AA$288)*(L288)</f>
        <v>13797.804133114365</v>
      </c>
      <c r="AF288" s="4" t="s">
        <v>854</v>
      </c>
    </row>
    <row r="289" spans="1:32" ht="11.25" customHeight="1" x14ac:dyDescent="0.3">
      <c r="A289" s="4" t="s">
        <v>27</v>
      </c>
      <c r="B289" s="4" t="s">
        <v>22</v>
      </c>
      <c r="C289" s="4" t="s">
        <v>23</v>
      </c>
      <c r="D289" s="4" t="s">
        <v>24</v>
      </c>
      <c r="E289" s="4" t="s">
        <v>31</v>
      </c>
      <c r="F289" s="4" t="s">
        <v>25</v>
      </c>
      <c r="G289" s="4" t="s">
        <v>25</v>
      </c>
      <c r="H289" s="4" t="s">
        <v>25</v>
      </c>
      <c r="I289" s="5">
        <v>44501</v>
      </c>
      <c r="J289" s="6">
        <v>0</v>
      </c>
      <c r="K289" s="6">
        <v>0</v>
      </c>
      <c r="L289" s="6">
        <v>-1.7000000000000001E-2</v>
      </c>
      <c r="M289" s="6">
        <v>-1.7000000000000001E-2</v>
      </c>
      <c r="N289" s="6">
        <v>-1.7000000000000001E-2</v>
      </c>
      <c r="O289" s="6">
        <v>-1.7000000000000001E-2</v>
      </c>
      <c r="P289" s="6">
        <v>0</v>
      </c>
      <c r="Q289" s="4" t="s">
        <v>26</v>
      </c>
      <c r="R289" s="4">
        <v>0</v>
      </c>
      <c r="S289" s="4">
        <v>0</v>
      </c>
      <c r="T289" s="4">
        <v>41</v>
      </c>
      <c r="U289" s="4">
        <v>78</v>
      </c>
      <c r="V289" s="6">
        <f>IF(ISERROR(VLOOKUP($S$289,'TAR FIN'!$A$1:$O$113,15,0)),0,VLOOKUP($S$289,'TAR FIN'!$A$1:$O$113,15,0))</f>
        <v>0</v>
      </c>
      <c r="W289" s="6">
        <f>IF(ISERROR(VLOOKUP($T$289,'TAR FIN'!$A$1:$O$113,15,0)),0,VLOOKUP($T$289,'TAR FIN'!$A$1:$O$113,15,0))</f>
        <v>203.29</v>
      </c>
      <c r="X289" s="6">
        <f>IF(ISERROR(VLOOKUP($U$289,'TAR FIN'!$A$1:$O$113,15,0)),0,VLOOKUP($U$289,'TAR FIN'!$A$1:$O$113,15,0))</f>
        <v>263.12</v>
      </c>
      <c r="Y289" s="6"/>
      <c r="Z289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289" s="6">
        <f>('TE BE'!$AB$21+'TE BF'!$AB$21+'TE CVA'!$AB$21)*(1-CUSTOS!$M$36)</f>
        <v>283.30666040677067</v>
      </c>
      <c r="AB289" s="6">
        <f t="shared" si="14"/>
        <v>0</v>
      </c>
      <c r="AC289" s="6">
        <f>(L289-M289)*(W289+X289)+($W$317+$X$317-$W$289-$X$289)*(L289)</f>
        <v>-0.88094000000000094</v>
      </c>
      <c r="AD289" s="6">
        <f t="shared" si="15"/>
        <v>0</v>
      </c>
      <c r="AE289" s="6">
        <f ca="1">(L289-M289)*(Z289+AA289)+($Z$317+$AA$317-$Z$289-$AA$289)*(L289)</f>
        <v>-0.97705541386899797</v>
      </c>
      <c r="AF289" s="4" t="s">
        <v>854</v>
      </c>
    </row>
    <row r="290" spans="1:32" ht="11.25" customHeight="1" x14ac:dyDescent="0.3">
      <c r="A290" s="4" t="s">
        <v>21</v>
      </c>
      <c r="B290" s="4" t="s">
        <v>22</v>
      </c>
      <c r="C290" s="4" t="s">
        <v>23</v>
      </c>
      <c r="D290" s="4" t="s">
        <v>24</v>
      </c>
      <c r="E290" s="4" t="s">
        <v>31</v>
      </c>
      <c r="F290" s="4" t="s">
        <v>25</v>
      </c>
      <c r="G290" s="4" t="s">
        <v>25</v>
      </c>
      <c r="H290" s="4" t="s">
        <v>25</v>
      </c>
      <c r="I290" s="5">
        <v>44531</v>
      </c>
      <c r="J290" s="6">
        <v>0</v>
      </c>
      <c r="K290" s="6">
        <v>0</v>
      </c>
      <c r="L290" s="6">
        <v>231.04</v>
      </c>
      <c r="M290" s="6">
        <v>231.04</v>
      </c>
      <c r="N290" s="6">
        <v>231.04</v>
      </c>
      <c r="O290" s="6">
        <v>231.04</v>
      </c>
      <c r="P290" s="6">
        <v>3203</v>
      </c>
      <c r="Q290" s="4" t="s">
        <v>26</v>
      </c>
      <c r="R290" s="4">
        <v>0</v>
      </c>
      <c r="S290" s="4">
        <v>0</v>
      </c>
      <c r="T290" s="4">
        <v>41</v>
      </c>
      <c r="U290" s="4">
        <v>78</v>
      </c>
      <c r="V290" s="6">
        <f>IF(ISERROR(VLOOKUP($S$290,'TAR FIN'!$A$1:$O$113,15,0)),0,VLOOKUP($S$290,'TAR FIN'!$A$1:$O$113,15,0))</f>
        <v>0</v>
      </c>
      <c r="W290" s="6">
        <f>IF(ISERROR(VLOOKUP($T$290,'TAR FIN'!$A$1:$O$113,15,0)),0,VLOOKUP($T$290,'TAR FIN'!$A$1:$O$113,15,0))</f>
        <v>203.29</v>
      </c>
      <c r="X290" s="6">
        <f>IF(ISERROR(VLOOKUP($U$290,'TAR FIN'!$A$1:$O$113,15,0)),0,VLOOKUP($U$290,'TAR FIN'!$A$1:$O$113,15,0))</f>
        <v>263.12</v>
      </c>
      <c r="Y290" s="6"/>
      <c r="Z290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290" s="6">
        <f>('TE BE'!$AB$21+'TE BF'!$AB$21+'TE CVA'!$AB$21)*(1-CUSTOS!$M$36)</f>
        <v>283.30666040677067</v>
      </c>
      <c r="AB290" s="6">
        <f t="shared" si="14"/>
        <v>0</v>
      </c>
      <c r="AC290" s="6">
        <f>(L290-M290)*(W290+X290)+($W$317+$X$317-$W$290-$X$290)*(L290)</f>
        <v>11972.492800000011</v>
      </c>
      <c r="AD290" s="6">
        <f t="shared" si="15"/>
        <v>0</v>
      </c>
      <c r="AE290" s="6">
        <f ca="1">(L290-M290)*(Z290+AA290)+($Z$317+$AA$317-$Z$290-$AA$290)*(L290)</f>
        <v>13278.757812958427</v>
      </c>
      <c r="AF290" s="4" t="s">
        <v>854</v>
      </c>
    </row>
    <row r="291" spans="1:32" ht="11.25" customHeight="1" x14ac:dyDescent="0.3">
      <c r="A291" s="4" t="s">
        <v>27</v>
      </c>
      <c r="B291" s="4" t="s">
        <v>22</v>
      </c>
      <c r="C291" s="4" t="s">
        <v>23</v>
      </c>
      <c r="D291" s="4" t="s">
        <v>24</v>
      </c>
      <c r="E291" s="4" t="s">
        <v>31</v>
      </c>
      <c r="F291" s="4" t="s">
        <v>25</v>
      </c>
      <c r="G291" s="4" t="s">
        <v>25</v>
      </c>
      <c r="H291" s="4" t="s">
        <v>25</v>
      </c>
      <c r="I291" s="5">
        <v>44531</v>
      </c>
      <c r="J291" s="6">
        <v>0</v>
      </c>
      <c r="K291" s="6">
        <v>0</v>
      </c>
      <c r="L291" s="6">
        <v>6.3E-2</v>
      </c>
      <c r="M291" s="6">
        <v>6.3E-2</v>
      </c>
      <c r="N291" s="6">
        <v>6.3E-2</v>
      </c>
      <c r="O291" s="6">
        <v>6.3E-2</v>
      </c>
      <c r="P291" s="6">
        <v>0</v>
      </c>
      <c r="Q291" s="4" t="s">
        <v>26</v>
      </c>
      <c r="R291" s="4">
        <v>0</v>
      </c>
      <c r="S291" s="4">
        <v>0</v>
      </c>
      <c r="T291" s="4">
        <v>41</v>
      </c>
      <c r="U291" s="4">
        <v>78</v>
      </c>
      <c r="V291" s="6">
        <f>IF(ISERROR(VLOOKUP($S$291,'TAR FIN'!$A$1:$O$113,15,0)),0,VLOOKUP($S$291,'TAR FIN'!$A$1:$O$113,15,0))</f>
        <v>0</v>
      </c>
      <c r="W291" s="6">
        <f>IF(ISERROR(VLOOKUP($T$291,'TAR FIN'!$A$1:$O$113,15,0)),0,VLOOKUP($T$291,'TAR FIN'!$A$1:$O$113,15,0))</f>
        <v>203.29</v>
      </c>
      <c r="X291" s="6">
        <f>IF(ISERROR(VLOOKUP($U$291,'TAR FIN'!$A$1:$O$113,15,0)),0,VLOOKUP($U$291,'TAR FIN'!$A$1:$O$113,15,0))</f>
        <v>263.12</v>
      </c>
      <c r="Y291" s="6"/>
      <c r="Z291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291" s="6">
        <f>('TE BE'!$AB$21+'TE BF'!$AB$21+'TE CVA'!$AB$21)*(1-CUSTOS!$M$36)</f>
        <v>283.30666040677067</v>
      </c>
      <c r="AB291" s="6">
        <f t="shared" si="14"/>
        <v>0</v>
      </c>
      <c r="AC291" s="6">
        <f>(L291-M291)*(W291+X291)+($W$317+$X$317-$W$291-$X$291)*(L291)</f>
        <v>3.2646600000000032</v>
      </c>
      <c r="AD291" s="6">
        <f t="shared" si="15"/>
        <v>0</v>
      </c>
      <c r="AE291" s="6">
        <f ca="1">(L291-M291)*(Z291+AA291)+($Z$317+$AA$317-$Z$291-$AA$291)*(L291)</f>
        <v>3.6208524161027569</v>
      </c>
      <c r="AF291" s="4" t="s">
        <v>854</v>
      </c>
    </row>
    <row r="292" spans="1:32" ht="11.25" customHeight="1" x14ac:dyDescent="0.3">
      <c r="A292" s="4" t="s">
        <v>28</v>
      </c>
      <c r="B292" s="4" t="s">
        <v>22</v>
      </c>
      <c r="C292" s="4" t="s">
        <v>23</v>
      </c>
      <c r="D292" s="4" t="s">
        <v>24</v>
      </c>
      <c r="E292" s="4" t="s">
        <v>31</v>
      </c>
      <c r="F292" s="4" t="s">
        <v>25</v>
      </c>
      <c r="G292" s="4" t="s">
        <v>25</v>
      </c>
      <c r="H292" s="4" t="s">
        <v>25</v>
      </c>
      <c r="I292" s="5">
        <v>44531</v>
      </c>
      <c r="J292" s="6">
        <v>0</v>
      </c>
      <c r="K292" s="6">
        <v>0</v>
      </c>
      <c r="L292" s="6">
        <v>2.5000000000000001E-2</v>
      </c>
      <c r="M292" s="6">
        <v>2.2499999999999999E-2</v>
      </c>
      <c r="N292" s="6">
        <v>2.5000000000000001E-2</v>
      </c>
      <c r="O292" s="6">
        <v>2.2499999999999999E-2</v>
      </c>
      <c r="P292" s="6">
        <v>1</v>
      </c>
      <c r="Q292" s="4" t="s">
        <v>26</v>
      </c>
      <c r="R292" s="4">
        <v>0</v>
      </c>
      <c r="S292" s="4">
        <v>0</v>
      </c>
      <c r="T292" s="4">
        <v>41</v>
      </c>
      <c r="U292" s="4">
        <v>78</v>
      </c>
      <c r="V292" s="6">
        <f>IF(ISERROR(VLOOKUP($S$292,'TAR FIN'!$A$1:$O$113,15,0)),0,VLOOKUP($S$292,'TAR FIN'!$A$1:$O$113,15,0))</f>
        <v>0</v>
      </c>
      <c r="W292" s="6">
        <f>IF(ISERROR(VLOOKUP($T$292,'TAR FIN'!$A$1:$O$113,15,0)),0,VLOOKUP($T$292,'TAR FIN'!$A$1:$O$113,15,0))</f>
        <v>203.29</v>
      </c>
      <c r="X292" s="6">
        <f>IF(ISERROR(VLOOKUP($U$292,'TAR FIN'!$A$1:$O$113,15,0)),0,VLOOKUP($U$292,'TAR FIN'!$A$1:$O$113,15,0))</f>
        <v>263.12</v>
      </c>
      <c r="Y292" s="6"/>
      <c r="Z292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292" s="6">
        <f>('TE BE'!$AB$21+'TE BF'!$AB$21+'TE CVA'!$AB$21)*(1-CUSTOS!$M$36)</f>
        <v>283.30666040677067</v>
      </c>
      <c r="AB292" s="6">
        <f t="shared" si="14"/>
        <v>0</v>
      </c>
      <c r="AC292" s="6">
        <f>(L292-M292)*(W292+X292)+($W$317+$X$317-$W$292-$X$292)*(L292)</f>
        <v>2.4615250000000026</v>
      </c>
      <c r="AD292" s="6">
        <f t="shared" si="15"/>
        <v>0</v>
      </c>
      <c r="AE292" s="6">
        <f ca="1">(L292-M292)*(Z292+AA292)+($Z$317+$AA$317-$Z$292-$AA$292)*(L292)</f>
        <v>2.7300077740457289</v>
      </c>
      <c r="AF292" s="4" t="s">
        <v>854</v>
      </c>
    </row>
    <row r="293" spans="1:32" ht="11.25" customHeight="1" x14ac:dyDescent="0.3">
      <c r="A293" s="4" t="s">
        <v>21</v>
      </c>
      <c r="B293" s="4" t="s">
        <v>22</v>
      </c>
      <c r="C293" s="4" t="s">
        <v>23</v>
      </c>
      <c r="D293" s="4" t="s">
        <v>24</v>
      </c>
      <c r="E293" s="4" t="s">
        <v>31</v>
      </c>
      <c r="F293" s="4" t="s">
        <v>25</v>
      </c>
      <c r="G293" s="4" t="s">
        <v>25</v>
      </c>
      <c r="H293" s="4" t="s">
        <v>25</v>
      </c>
      <c r="I293" s="5">
        <v>44562</v>
      </c>
      <c r="J293" s="6">
        <v>0</v>
      </c>
      <c r="K293" s="6">
        <v>0</v>
      </c>
      <c r="L293" s="6">
        <v>264.75400000000002</v>
      </c>
      <c r="M293" s="6">
        <v>264.75400000000002</v>
      </c>
      <c r="N293" s="6">
        <v>264.75400000000002</v>
      </c>
      <c r="O293" s="6">
        <v>264.75400000000002</v>
      </c>
      <c r="P293" s="6">
        <v>3105</v>
      </c>
      <c r="Q293" s="4" t="s">
        <v>26</v>
      </c>
      <c r="R293" s="4">
        <v>0</v>
      </c>
      <c r="S293" s="4">
        <v>0</v>
      </c>
      <c r="T293" s="4">
        <v>41</v>
      </c>
      <c r="U293" s="4">
        <v>78</v>
      </c>
      <c r="V293" s="6">
        <f>IF(ISERROR(VLOOKUP($S$293,'TAR FIN'!$A$1:$O$113,15,0)),0,VLOOKUP($S$293,'TAR FIN'!$A$1:$O$113,15,0))</f>
        <v>0</v>
      </c>
      <c r="W293" s="6">
        <f>IF(ISERROR(VLOOKUP($T$293,'TAR FIN'!$A$1:$O$113,15,0)),0,VLOOKUP($T$293,'TAR FIN'!$A$1:$O$113,15,0))</f>
        <v>203.29</v>
      </c>
      <c r="X293" s="6">
        <f>IF(ISERROR(VLOOKUP($U$293,'TAR FIN'!$A$1:$O$113,15,0)),0,VLOOKUP($U$293,'TAR FIN'!$A$1:$O$113,15,0))</f>
        <v>263.12</v>
      </c>
      <c r="Y293" s="6"/>
      <c r="Z293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293" s="6">
        <f>('TE BE'!$AB$21+'TE BF'!$AB$21+'TE CVA'!$AB$21)*(1-CUSTOS!$M$36)</f>
        <v>283.30666040677067</v>
      </c>
      <c r="AB293" s="6">
        <f t="shared" si="14"/>
        <v>0</v>
      </c>
      <c r="AC293" s="6">
        <f>(L293-M293)*(W293+X293)+($W$317+$X$317-$W$293-$X$293)*(L293)</f>
        <v>13719.552280000014</v>
      </c>
      <c r="AD293" s="6">
        <f t="shared" si="15"/>
        <v>0</v>
      </c>
      <c r="AE293" s="6">
        <f ca="1">(L293-M293)*(Z293+AA293)+($Z$317+$AA$317-$Z$293-$AA$293)*(L293)</f>
        <v>15216.431120204275</v>
      </c>
      <c r="AF293" s="4" t="s">
        <v>854</v>
      </c>
    </row>
    <row r="294" spans="1:32" ht="11.25" customHeight="1" x14ac:dyDescent="0.3">
      <c r="A294" s="4" t="s">
        <v>27</v>
      </c>
      <c r="B294" s="4" t="s">
        <v>22</v>
      </c>
      <c r="C294" s="4" t="s">
        <v>23</v>
      </c>
      <c r="D294" s="4" t="s">
        <v>24</v>
      </c>
      <c r="E294" s="4" t="s">
        <v>31</v>
      </c>
      <c r="F294" s="4" t="s">
        <v>25</v>
      </c>
      <c r="G294" s="4" t="s">
        <v>25</v>
      </c>
      <c r="H294" s="4" t="s">
        <v>25</v>
      </c>
      <c r="I294" s="5">
        <v>44562</v>
      </c>
      <c r="J294" s="6">
        <v>0</v>
      </c>
      <c r="K294" s="6">
        <v>0</v>
      </c>
      <c r="L294" s="6">
        <v>-5.5E-2</v>
      </c>
      <c r="M294" s="6">
        <v>-5.5E-2</v>
      </c>
      <c r="N294" s="6">
        <v>-5.5E-2</v>
      </c>
      <c r="O294" s="6">
        <v>-5.5E-2</v>
      </c>
      <c r="P294" s="6">
        <v>0</v>
      </c>
      <c r="Q294" s="4" t="s">
        <v>26</v>
      </c>
      <c r="R294" s="4">
        <v>0</v>
      </c>
      <c r="S294" s="4">
        <v>0</v>
      </c>
      <c r="T294" s="4">
        <v>41</v>
      </c>
      <c r="U294" s="4">
        <v>78</v>
      </c>
      <c r="V294" s="6">
        <f>IF(ISERROR(VLOOKUP($S$294,'TAR FIN'!$A$1:$O$113,15,0)),0,VLOOKUP($S$294,'TAR FIN'!$A$1:$O$113,15,0))</f>
        <v>0</v>
      </c>
      <c r="W294" s="6">
        <f>IF(ISERROR(VLOOKUP($T$294,'TAR FIN'!$A$1:$O$113,15,0)),0,VLOOKUP($T$294,'TAR FIN'!$A$1:$O$113,15,0))</f>
        <v>203.29</v>
      </c>
      <c r="X294" s="6">
        <f>IF(ISERROR(VLOOKUP($U$294,'TAR FIN'!$A$1:$O$113,15,0)),0,VLOOKUP($U$294,'TAR FIN'!$A$1:$O$113,15,0))</f>
        <v>263.12</v>
      </c>
      <c r="Y294" s="6"/>
      <c r="Z294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294" s="6">
        <f>('TE BE'!$AB$21+'TE BF'!$AB$21+'TE CVA'!$AB$21)*(1-CUSTOS!$M$36)</f>
        <v>283.30666040677067</v>
      </c>
      <c r="AB294" s="6">
        <f t="shared" si="14"/>
        <v>0</v>
      </c>
      <c r="AC294" s="6">
        <f>(L294-M294)*(W294+X294)+($W$317+$X$317-$W$294-$X$294)*(L294)</f>
        <v>-2.850100000000003</v>
      </c>
      <c r="AD294" s="6">
        <f t="shared" si="15"/>
        <v>0</v>
      </c>
      <c r="AE294" s="6">
        <f ca="1">(L294-M294)*(Z294+AA294)+($Z$317+$AA$317-$Z$294-$AA$294)*(L294)</f>
        <v>-3.1610616331055814</v>
      </c>
      <c r="AF294" s="4" t="s">
        <v>854</v>
      </c>
    </row>
    <row r="295" spans="1:32" ht="11.25" customHeight="1" x14ac:dyDescent="0.3">
      <c r="A295" s="4" t="s">
        <v>28</v>
      </c>
      <c r="B295" s="4" t="s">
        <v>22</v>
      </c>
      <c r="C295" s="4" t="s">
        <v>23</v>
      </c>
      <c r="D295" s="4" t="s">
        <v>24</v>
      </c>
      <c r="E295" s="4" t="s">
        <v>31</v>
      </c>
      <c r="F295" s="4" t="s">
        <v>25</v>
      </c>
      <c r="G295" s="4" t="s">
        <v>25</v>
      </c>
      <c r="H295" s="4" t="s">
        <v>25</v>
      </c>
      <c r="I295" s="5">
        <v>44562</v>
      </c>
      <c r="J295" s="6">
        <v>0</v>
      </c>
      <c r="K295" s="6">
        <v>0</v>
      </c>
      <c r="L295" s="6">
        <v>4.4999999999999998E-2</v>
      </c>
      <c r="M295" s="6">
        <v>4.0500000000000001E-2</v>
      </c>
      <c r="N295" s="6">
        <v>4.4999999999999998E-2</v>
      </c>
      <c r="O295" s="6">
        <v>4.0500000000000001E-2</v>
      </c>
      <c r="P295" s="6">
        <v>1</v>
      </c>
      <c r="Q295" s="4" t="s">
        <v>26</v>
      </c>
      <c r="R295" s="4">
        <v>0</v>
      </c>
      <c r="S295" s="4">
        <v>0</v>
      </c>
      <c r="T295" s="4">
        <v>41</v>
      </c>
      <c r="U295" s="4">
        <v>78</v>
      </c>
      <c r="V295" s="6">
        <f>IF(ISERROR(VLOOKUP($S$295,'TAR FIN'!$A$1:$O$113,15,0)),0,VLOOKUP($S$295,'TAR FIN'!$A$1:$O$113,15,0))</f>
        <v>0</v>
      </c>
      <c r="W295" s="6">
        <f>IF(ISERROR(VLOOKUP($T$295,'TAR FIN'!$A$1:$O$113,15,0)),0,VLOOKUP($T$295,'TAR FIN'!$A$1:$O$113,15,0))</f>
        <v>203.29</v>
      </c>
      <c r="X295" s="6">
        <f>IF(ISERROR(VLOOKUP($U$295,'TAR FIN'!$A$1:$O$113,15,0)),0,VLOOKUP($U$295,'TAR FIN'!$A$1:$O$113,15,0))</f>
        <v>263.12</v>
      </c>
      <c r="Y295" s="6"/>
      <c r="Z295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295" s="6">
        <f>('TE BE'!$AB$21+'TE BF'!$AB$21+'TE CVA'!$AB$21)*(1-CUSTOS!$M$36)</f>
        <v>283.30666040677067</v>
      </c>
      <c r="AB295" s="6">
        <f t="shared" si="14"/>
        <v>0</v>
      </c>
      <c r="AC295" s="6">
        <f>(L295-M295)*(W295+X295)+($W$317+$X$317-$W$295-$X$295)*(L295)</f>
        <v>4.4307450000000008</v>
      </c>
      <c r="AD295" s="6">
        <f t="shared" si="15"/>
        <v>0</v>
      </c>
      <c r="AE295" s="6">
        <f ca="1">(L295-M295)*(Z295+AA295)+($Z$317+$AA$317-$Z$295-$AA$295)*(L295)</f>
        <v>4.9140139932823086</v>
      </c>
      <c r="AF295" s="4" t="s">
        <v>854</v>
      </c>
    </row>
    <row r="296" spans="1:32" ht="11.25" customHeight="1" x14ac:dyDescent="0.3">
      <c r="A296" s="4" t="s">
        <v>21</v>
      </c>
      <c r="B296" s="4" t="s">
        <v>22</v>
      </c>
      <c r="C296" s="4" t="s">
        <v>23</v>
      </c>
      <c r="D296" s="4" t="s">
        <v>24</v>
      </c>
      <c r="E296" s="4" t="s">
        <v>31</v>
      </c>
      <c r="F296" s="4" t="s">
        <v>25</v>
      </c>
      <c r="G296" s="4" t="s">
        <v>25</v>
      </c>
      <c r="H296" s="4" t="s">
        <v>25</v>
      </c>
      <c r="I296" s="5">
        <v>44593</v>
      </c>
      <c r="J296" s="6">
        <v>0</v>
      </c>
      <c r="K296" s="6">
        <v>0</v>
      </c>
      <c r="L296" s="6">
        <v>250.215</v>
      </c>
      <c r="M296" s="6">
        <v>250.215</v>
      </c>
      <c r="N296" s="6">
        <v>250.215</v>
      </c>
      <c r="O296" s="6">
        <v>250.215</v>
      </c>
      <c r="P296" s="6">
        <v>3403</v>
      </c>
      <c r="Q296" s="4" t="s">
        <v>26</v>
      </c>
      <c r="R296" s="4">
        <v>0</v>
      </c>
      <c r="S296" s="4">
        <v>0</v>
      </c>
      <c r="T296" s="4">
        <v>41</v>
      </c>
      <c r="U296" s="4">
        <v>78</v>
      </c>
      <c r="V296" s="6">
        <f>IF(ISERROR(VLOOKUP($S$296,'TAR FIN'!$A$1:$O$113,15,0)),0,VLOOKUP($S$296,'TAR FIN'!$A$1:$O$113,15,0))</f>
        <v>0</v>
      </c>
      <c r="W296" s="6">
        <f>IF(ISERROR(VLOOKUP($T$296,'TAR FIN'!$A$1:$O$113,15,0)),0,VLOOKUP($T$296,'TAR FIN'!$A$1:$O$113,15,0))</f>
        <v>203.29</v>
      </c>
      <c r="X296" s="6">
        <f>IF(ISERROR(VLOOKUP($U$296,'TAR FIN'!$A$1:$O$113,15,0)),0,VLOOKUP($U$296,'TAR FIN'!$A$1:$O$113,15,0))</f>
        <v>263.12</v>
      </c>
      <c r="Y296" s="6"/>
      <c r="Z296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296" s="6">
        <f>('TE BE'!$AB$21+'TE BF'!$AB$21+'TE CVA'!$AB$21)*(1-CUSTOS!$M$36)</f>
        <v>283.30666040677067</v>
      </c>
      <c r="AB296" s="6">
        <f t="shared" si="14"/>
        <v>0</v>
      </c>
      <c r="AC296" s="6">
        <f>(L296-M296)*(W296+X296)+($W$317+$X$317-$W$296-$X$296)*(L296)</f>
        <v>12966.141300000012</v>
      </c>
      <c r="AD296" s="6">
        <f t="shared" si="15"/>
        <v>0</v>
      </c>
      <c r="AE296" s="6">
        <f ca="1">(L296-M296)*(Z296+AA296)+($Z$317+$AA$317-$Z$296-$AA$296)*(L296)</f>
        <v>14380.818845954784</v>
      </c>
      <c r="AF296" s="4" t="s">
        <v>854</v>
      </c>
    </row>
    <row r="297" spans="1:32" ht="11.25" customHeight="1" x14ac:dyDescent="0.3">
      <c r="A297" s="4" t="s">
        <v>27</v>
      </c>
      <c r="B297" s="4" t="s">
        <v>22</v>
      </c>
      <c r="C297" s="4" t="s">
        <v>23</v>
      </c>
      <c r="D297" s="4" t="s">
        <v>24</v>
      </c>
      <c r="E297" s="4" t="s">
        <v>31</v>
      </c>
      <c r="F297" s="4" t="s">
        <v>25</v>
      </c>
      <c r="G297" s="4" t="s">
        <v>25</v>
      </c>
      <c r="H297" s="4" t="s">
        <v>25</v>
      </c>
      <c r="I297" s="5">
        <v>44593</v>
      </c>
      <c r="J297" s="6">
        <v>0</v>
      </c>
      <c r="K297" s="6">
        <v>0</v>
      </c>
      <c r="L297" s="6">
        <v>-4.4999999999999998E-2</v>
      </c>
      <c r="M297" s="6">
        <v>-4.4999999999999998E-2</v>
      </c>
      <c r="N297" s="6">
        <v>-4.4999999999999998E-2</v>
      </c>
      <c r="O297" s="6">
        <v>-4.4999999999999998E-2</v>
      </c>
      <c r="P297" s="6">
        <v>0</v>
      </c>
      <c r="Q297" s="4" t="s">
        <v>26</v>
      </c>
      <c r="R297" s="4">
        <v>0</v>
      </c>
      <c r="S297" s="4">
        <v>0</v>
      </c>
      <c r="T297" s="4">
        <v>41</v>
      </c>
      <c r="U297" s="4">
        <v>78</v>
      </c>
      <c r="V297" s="6">
        <f>IF(ISERROR(VLOOKUP($S$297,'TAR FIN'!$A$1:$O$113,15,0)),0,VLOOKUP($S$297,'TAR FIN'!$A$1:$O$113,15,0))</f>
        <v>0</v>
      </c>
      <c r="W297" s="6">
        <f>IF(ISERROR(VLOOKUP($T$297,'TAR FIN'!$A$1:$O$113,15,0)),0,VLOOKUP($T$297,'TAR FIN'!$A$1:$O$113,15,0))</f>
        <v>203.29</v>
      </c>
      <c r="X297" s="6">
        <f>IF(ISERROR(VLOOKUP($U$297,'TAR FIN'!$A$1:$O$113,15,0)),0,VLOOKUP($U$297,'TAR FIN'!$A$1:$O$113,15,0))</f>
        <v>263.12</v>
      </c>
      <c r="Y297" s="6"/>
      <c r="Z297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297" s="6">
        <f>('TE BE'!$AB$21+'TE BF'!$AB$21+'TE CVA'!$AB$21)*(1-CUSTOS!$M$36)</f>
        <v>283.30666040677067</v>
      </c>
      <c r="AB297" s="6">
        <f t="shared" si="14"/>
        <v>0</v>
      </c>
      <c r="AC297" s="6">
        <f>(L297-M297)*(W297+X297)+($W$317+$X$317-$W$297-$X$297)*(L297)</f>
        <v>-2.3319000000000023</v>
      </c>
      <c r="AD297" s="6">
        <f t="shared" si="15"/>
        <v>0</v>
      </c>
      <c r="AE297" s="6">
        <f ca="1">(L297-M297)*(Z297+AA297)+($Z$317+$AA$317-$Z$297-$AA$297)*(L297)</f>
        <v>-2.5863231543591119</v>
      </c>
      <c r="AF297" s="4" t="s">
        <v>854</v>
      </c>
    </row>
    <row r="298" spans="1:32" ht="11.25" customHeight="1" x14ac:dyDescent="0.3">
      <c r="A298" s="4" t="s">
        <v>28</v>
      </c>
      <c r="B298" s="4" t="s">
        <v>22</v>
      </c>
      <c r="C298" s="4" t="s">
        <v>23</v>
      </c>
      <c r="D298" s="4" t="s">
        <v>24</v>
      </c>
      <c r="E298" s="4" t="s">
        <v>31</v>
      </c>
      <c r="F298" s="4" t="s">
        <v>25</v>
      </c>
      <c r="G298" s="4" t="s">
        <v>25</v>
      </c>
      <c r="H298" s="4" t="s">
        <v>25</v>
      </c>
      <c r="I298" s="5">
        <v>44593</v>
      </c>
      <c r="J298" s="6">
        <v>0</v>
      </c>
      <c r="K298" s="6">
        <v>0</v>
      </c>
      <c r="L298" s="6">
        <v>9.0999999999999998E-2</v>
      </c>
      <c r="M298" s="6">
        <v>8.1900000000000001E-2</v>
      </c>
      <c r="N298" s="6">
        <v>9.0999999999999998E-2</v>
      </c>
      <c r="O298" s="6">
        <v>8.1900000000000001E-2</v>
      </c>
      <c r="P298" s="6">
        <v>1</v>
      </c>
      <c r="Q298" s="4" t="s">
        <v>26</v>
      </c>
      <c r="R298" s="4">
        <v>0</v>
      </c>
      <c r="S298" s="4">
        <v>0</v>
      </c>
      <c r="T298" s="4">
        <v>41</v>
      </c>
      <c r="U298" s="4">
        <v>78</v>
      </c>
      <c r="V298" s="6">
        <f>IF(ISERROR(VLOOKUP($S$298,'TAR FIN'!$A$1:$O$113,15,0)),0,VLOOKUP($S$298,'TAR FIN'!$A$1:$O$113,15,0))</f>
        <v>0</v>
      </c>
      <c r="W298" s="6">
        <f>IF(ISERROR(VLOOKUP($T$298,'TAR FIN'!$A$1:$O$113,15,0)),0,VLOOKUP($T$298,'TAR FIN'!$A$1:$O$113,15,0))</f>
        <v>203.29</v>
      </c>
      <c r="X298" s="6">
        <f>IF(ISERROR(VLOOKUP($U$298,'TAR FIN'!$A$1:$O$113,15,0)),0,VLOOKUP($U$298,'TAR FIN'!$A$1:$O$113,15,0))</f>
        <v>263.12</v>
      </c>
      <c r="Y298" s="6"/>
      <c r="Z298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298" s="6">
        <f>('TE BE'!$AB$21+'TE BF'!$AB$21+'TE CVA'!$AB$21)*(1-CUSTOS!$M$36)</f>
        <v>283.30666040677067</v>
      </c>
      <c r="AB298" s="6">
        <f t="shared" si="14"/>
        <v>0</v>
      </c>
      <c r="AC298" s="6">
        <f>(L298-M298)*(W298+X298)+($W$317+$X$317-$W$298-$X$298)*(L298)</f>
        <v>8.9599510000000038</v>
      </c>
      <c r="AD298" s="6">
        <f t="shared" si="15"/>
        <v>0</v>
      </c>
      <c r="AE298" s="6">
        <f ca="1">(L298-M298)*(Z298+AA298)+($Z$317+$AA$317-$Z$298-$AA$298)*(L298)</f>
        <v>9.9372282975264472</v>
      </c>
      <c r="AF298" s="4" t="s">
        <v>854</v>
      </c>
    </row>
    <row r="299" spans="1:32" ht="11.25" customHeight="1" x14ac:dyDescent="0.3">
      <c r="A299" s="4" t="s">
        <v>21</v>
      </c>
      <c r="B299" s="4" t="s">
        <v>22</v>
      </c>
      <c r="C299" s="4" t="s">
        <v>23</v>
      </c>
      <c r="D299" s="4" t="s">
        <v>24</v>
      </c>
      <c r="E299" s="4" t="s">
        <v>31</v>
      </c>
      <c r="F299" s="4" t="s">
        <v>25</v>
      </c>
      <c r="G299" s="4" t="s">
        <v>25</v>
      </c>
      <c r="H299" s="4" t="s">
        <v>25</v>
      </c>
      <c r="I299" s="5">
        <v>44621</v>
      </c>
      <c r="J299" s="6">
        <v>0</v>
      </c>
      <c r="K299" s="6">
        <v>0</v>
      </c>
      <c r="L299" s="6">
        <v>274.15199999999999</v>
      </c>
      <c r="M299" s="6">
        <v>274.15199999999999</v>
      </c>
      <c r="N299" s="6">
        <v>274.15199999999999</v>
      </c>
      <c r="O299" s="6">
        <v>274.15199999999999</v>
      </c>
      <c r="P299" s="6">
        <v>3552</v>
      </c>
      <c r="Q299" s="4" t="s">
        <v>26</v>
      </c>
      <c r="R299" s="4">
        <v>0</v>
      </c>
      <c r="S299" s="4">
        <v>0</v>
      </c>
      <c r="T299" s="4">
        <v>41</v>
      </c>
      <c r="U299" s="4">
        <v>78</v>
      </c>
      <c r="V299" s="6">
        <f>IF(ISERROR(VLOOKUP($S$299,'TAR FIN'!$A$1:$O$113,15,0)),0,VLOOKUP($S$299,'TAR FIN'!$A$1:$O$113,15,0))</f>
        <v>0</v>
      </c>
      <c r="W299" s="6">
        <f>IF(ISERROR(VLOOKUP($T$299,'TAR FIN'!$A$1:$O$113,15,0)),0,VLOOKUP($T$299,'TAR FIN'!$A$1:$O$113,15,0))</f>
        <v>203.29</v>
      </c>
      <c r="X299" s="6">
        <f>IF(ISERROR(VLOOKUP($U$299,'TAR FIN'!$A$1:$O$113,15,0)),0,VLOOKUP($U$299,'TAR FIN'!$A$1:$O$113,15,0))</f>
        <v>263.12</v>
      </c>
      <c r="Y299" s="6"/>
      <c r="Z299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299" s="6">
        <f>('TE BE'!$AB$21+'TE BF'!$AB$21+'TE CVA'!$AB$21)*(1-CUSTOS!$M$36)</f>
        <v>283.30666040677067</v>
      </c>
      <c r="AB299" s="6">
        <f t="shared" si="14"/>
        <v>0</v>
      </c>
      <c r="AC299" s="6">
        <f>(L299-M299)*(W299+X299)+($W$317+$X$317-$W$299-$X$299)*(L299)</f>
        <v>14206.556640000013</v>
      </c>
      <c r="AD299" s="6">
        <f t="shared" si="15"/>
        <v>0</v>
      </c>
      <c r="AE299" s="6">
        <f ca="1">(L299-M299)*(Z299+AA299)+($Z$317+$AA$317-$Z$299-$AA$299)*(L299)</f>
        <v>15756.570342530205</v>
      </c>
      <c r="AF299" s="4" t="s">
        <v>854</v>
      </c>
    </row>
    <row r="300" spans="1:32" ht="11.25" customHeight="1" x14ac:dyDescent="0.3">
      <c r="A300" s="4" t="s">
        <v>27</v>
      </c>
      <c r="B300" s="4" t="s">
        <v>22</v>
      </c>
      <c r="C300" s="4" t="s">
        <v>23</v>
      </c>
      <c r="D300" s="4" t="s">
        <v>24</v>
      </c>
      <c r="E300" s="4" t="s">
        <v>31</v>
      </c>
      <c r="F300" s="4" t="s">
        <v>25</v>
      </c>
      <c r="G300" s="4" t="s">
        <v>25</v>
      </c>
      <c r="H300" s="4" t="s">
        <v>25</v>
      </c>
      <c r="I300" s="5">
        <v>44621</v>
      </c>
      <c r="J300" s="6">
        <v>0</v>
      </c>
      <c r="K300" s="6">
        <v>0</v>
      </c>
      <c r="L300" s="6">
        <v>-0.13</v>
      </c>
      <c r="M300" s="6">
        <v>-0.13</v>
      </c>
      <c r="N300" s="6">
        <v>-0.13</v>
      </c>
      <c r="O300" s="6">
        <v>-0.13</v>
      </c>
      <c r="P300" s="6">
        <v>0</v>
      </c>
      <c r="Q300" s="4" t="s">
        <v>26</v>
      </c>
      <c r="R300" s="4">
        <v>0</v>
      </c>
      <c r="S300" s="4">
        <v>0</v>
      </c>
      <c r="T300" s="4">
        <v>41</v>
      </c>
      <c r="U300" s="4">
        <v>78</v>
      </c>
      <c r="V300" s="6">
        <f>IF(ISERROR(VLOOKUP($S$300,'TAR FIN'!$A$1:$O$113,15,0)),0,VLOOKUP($S$300,'TAR FIN'!$A$1:$O$113,15,0))</f>
        <v>0</v>
      </c>
      <c r="W300" s="6">
        <f>IF(ISERROR(VLOOKUP($T$300,'TAR FIN'!$A$1:$O$113,15,0)),0,VLOOKUP($T$300,'TAR FIN'!$A$1:$O$113,15,0))</f>
        <v>203.29</v>
      </c>
      <c r="X300" s="6">
        <f>IF(ISERROR(VLOOKUP($U$300,'TAR FIN'!$A$1:$O$113,15,0)),0,VLOOKUP($U$300,'TAR FIN'!$A$1:$O$113,15,0))</f>
        <v>263.12</v>
      </c>
      <c r="Y300" s="6"/>
      <c r="Z300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300" s="6">
        <f>('TE BE'!$AB$21+'TE BF'!$AB$21+'TE CVA'!$AB$21)*(1-CUSTOS!$M$36)</f>
        <v>283.30666040677067</v>
      </c>
      <c r="AB300" s="6">
        <f t="shared" si="14"/>
        <v>0</v>
      </c>
      <c r="AC300" s="6">
        <f>(L300-M300)*(W300+X300)+($W$317+$X$317-$W$300-$X$300)*(L300)</f>
        <v>-6.7366000000000064</v>
      </c>
      <c r="AD300" s="6">
        <f t="shared" si="15"/>
        <v>0</v>
      </c>
      <c r="AE300" s="6">
        <f ca="1">(L300-M300)*(Z300+AA300)+($Z$317+$AA$317-$Z$300-$AA$300)*(L300)</f>
        <v>-7.4716002237041019</v>
      </c>
      <c r="AF300" s="4" t="s">
        <v>854</v>
      </c>
    </row>
    <row r="301" spans="1:32" ht="11.25" customHeight="1" x14ac:dyDescent="0.3">
      <c r="A301" s="4" t="s">
        <v>28</v>
      </c>
      <c r="B301" s="4" t="s">
        <v>22</v>
      </c>
      <c r="C301" s="4" t="s">
        <v>23</v>
      </c>
      <c r="D301" s="4" t="s">
        <v>24</v>
      </c>
      <c r="E301" s="4" t="s">
        <v>31</v>
      </c>
      <c r="F301" s="4" t="s">
        <v>25</v>
      </c>
      <c r="G301" s="4" t="s">
        <v>25</v>
      </c>
      <c r="H301" s="4" t="s">
        <v>25</v>
      </c>
      <c r="I301" s="5">
        <v>44621</v>
      </c>
      <c r="J301" s="6">
        <v>0</v>
      </c>
      <c r="K301" s="6">
        <v>0</v>
      </c>
      <c r="L301" s="6">
        <v>6.0999999999999999E-2</v>
      </c>
      <c r="M301" s="6">
        <v>5.4899999999999997E-2</v>
      </c>
      <c r="N301" s="6">
        <v>6.0999999999999999E-2</v>
      </c>
      <c r="O301" s="6">
        <v>5.4899999999999997E-2</v>
      </c>
      <c r="P301" s="6">
        <v>1</v>
      </c>
      <c r="Q301" s="4" t="s">
        <v>26</v>
      </c>
      <c r="R301" s="4">
        <v>0</v>
      </c>
      <c r="S301" s="4">
        <v>0</v>
      </c>
      <c r="T301" s="4">
        <v>41</v>
      </c>
      <c r="U301" s="4">
        <v>78</v>
      </c>
      <c r="V301" s="6">
        <f>IF(ISERROR(VLOOKUP($S$301,'TAR FIN'!$A$1:$O$113,15,0)),0,VLOOKUP($S$301,'TAR FIN'!$A$1:$O$113,15,0))</f>
        <v>0</v>
      </c>
      <c r="W301" s="6">
        <f>IF(ISERROR(VLOOKUP($T$301,'TAR FIN'!$A$1:$O$113,15,0)),0,VLOOKUP($T$301,'TAR FIN'!$A$1:$O$113,15,0))</f>
        <v>203.29</v>
      </c>
      <c r="X301" s="6">
        <f>IF(ISERROR(VLOOKUP($U$301,'TAR FIN'!$A$1:$O$113,15,0)),0,VLOOKUP($U$301,'TAR FIN'!$A$1:$O$113,15,0))</f>
        <v>263.12</v>
      </c>
      <c r="Y301" s="6"/>
      <c r="Z301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301" s="6">
        <f>('TE BE'!$AB$21+'TE BF'!$AB$21+'TE CVA'!$AB$21)*(1-CUSTOS!$M$36)</f>
        <v>283.30666040677067</v>
      </c>
      <c r="AB301" s="6">
        <f t="shared" si="14"/>
        <v>0</v>
      </c>
      <c r="AC301" s="6">
        <f>(L301-M301)*(W301+X301)+($W$317+$X$317-$W$301-$X$301)*(L301)</f>
        <v>6.0061210000000038</v>
      </c>
      <c r="AD301" s="6">
        <f t="shared" si="15"/>
        <v>0</v>
      </c>
      <c r="AE301" s="6">
        <f ca="1">(L301-M301)*(Z301+AA301)+($Z$317+$AA$317-$Z$301-$AA$301)*(L301)</f>
        <v>6.6612189686715766</v>
      </c>
      <c r="AF301" s="4" t="s">
        <v>854</v>
      </c>
    </row>
    <row r="302" spans="1:32" ht="11.25" customHeight="1" x14ac:dyDescent="0.3">
      <c r="A302" s="4" t="s">
        <v>21</v>
      </c>
      <c r="B302" s="4" t="s">
        <v>22</v>
      </c>
      <c r="C302" s="4" t="s">
        <v>23</v>
      </c>
      <c r="D302" s="4" t="s">
        <v>24</v>
      </c>
      <c r="E302" s="4" t="s">
        <v>31</v>
      </c>
      <c r="F302" s="4" t="s">
        <v>25</v>
      </c>
      <c r="G302" s="4" t="s">
        <v>25</v>
      </c>
      <c r="H302" s="4" t="s">
        <v>25</v>
      </c>
      <c r="I302" s="5">
        <v>44652</v>
      </c>
      <c r="J302" s="6">
        <v>0</v>
      </c>
      <c r="K302" s="6">
        <v>0</v>
      </c>
      <c r="L302" s="6">
        <v>274.327</v>
      </c>
      <c r="M302" s="6">
        <v>274.327</v>
      </c>
      <c r="N302" s="6">
        <v>274.327</v>
      </c>
      <c r="O302" s="6">
        <v>274.327</v>
      </c>
      <c r="P302" s="6">
        <v>3519</v>
      </c>
      <c r="Q302" s="4" t="s">
        <v>26</v>
      </c>
      <c r="R302" s="4">
        <v>0</v>
      </c>
      <c r="S302" s="4">
        <v>0</v>
      </c>
      <c r="T302" s="4">
        <v>41</v>
      </c>
      <c r="U302" s="4">
        <v>78</v>
      </c>
      <c r="V302" s="6">
        <f>IF(ISERROR(VLOOKUP($S$302,'TAR FIN'!$A$1:$O$113,15,0)),0,VLOOKUP($S$302,'TAR FIN'!$A$1:$O$113,15,0))</f>
        <v>0</v>
      </c>
      <c r="W302" s="6">
        <f>IF(ISERROR(VLOOKUP($T$302,'TAR FIN'!$A$1:$O$113,15,0)),0,VLOOKUP($T$302,'TAR FIN'!$A$1:$O$113,15,0))</f>
        <v>203.29</v>
      </c>
      <c r="X302" s="6">
        <f>IF(ISERROR(VLOOKUP($U$302,'TAR FIN'!$A$1:$O$113,15,0)),0,VLOOKUP($U$302,'TAR FIN'!$A$1:$O$113,15,0))</f>
        <v>263.12</v>
      </c>
      <c r="Y302" s="6"/>
      <c r="Z302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302" s="6">
        <f>('TE BE'!$AB$21+'TE BF'!$AB$21+'TE CVA'!$AB$21)*(1-CUSTOS!$M$36)</f>
        <v>283.30666040677067</v>
      </c>
      <c r="AB302" s="6">
        <f t="shared" si="14"/>
        <v>0</v>
      </c>
      <c r="AC302" s="6">
        <f>(L302-M302)*(W302+X302)+($W$317+$X$317-$W$302-$X$302)*(L302)</f>
        <v>14215.625140000013</v>
      </c>
      <c r="AD302" s="6">
        <f t="shared" si="15"/>
        <v>0</v>
      </c>
      <c r="AE302" s="6">
        <f ca="1">(L302-M302)*(Z302+AA302)+($Z$317+$AA$317-$Z$302-$AA$302)*(L302)</f>
        <v>15766.62826590827</v>
      </c>
      <c r="AF302" s="4" t="s">
        <v>854</v>
      </c>
    </row>
    <row r="303" spans="1:32" ht="11.25" customHeight="1" x14ac:dyDescent="0.3">
      <c r="A303" s="4" t="s">
        <v>27</v>
      </c>
      <c r="B303" s="4" t="s">
        <v>22</v>
      </c>
      <c r="C303" s="4" t="s">
        <v>23</v>
      </c>
      <c r="D303" s="4" t="s">
        <v>24</v>
      </c>
      <c r="E303" s="4" t="s">
        <v>31</v>
      </c>
      <c r="F303" s="4" t="s">
        <v>25</v>
      </c>
      <c r="G303" s="4" t="s">
        <v>25</v>
      </c>
      <c r="H303" s="4" t="s">
        <v>25</v>
      </c>
      <c r="I303" s="5">
        <v>44652</v>
      </c>
      <c r="J303" s="6">
        <v>0</v>
      </c>
      <c r="K303" s="6">
        <v>0</v>
      </c>
      <c r="L303" s="6">
        <v>0.21099999999999999</v>
      </c>
      <c r="M303" s="6">
        <v>0.21099999999999999</v>
      </c>
      <c r="N303" s="6">
        <v>0.21099999999999999</v>
      </c>
      <c r="O303" s="6">
        <v>0.21099999999999999</v>
      </c>
      <c r="P303" s="6">
        <v>0</v>
      </c>
      <c r="Q303" s="4" t="s">
        <v>26</v>
      </c>
      <c r="R303" s="4">
        <v>0</v>
      </c>
      <c r="S303" s="4">
        <v>0</v>
      </c>
      <c r="T303" s="4">
        <v>41</v>
      </c>
      <c r="U303" s="4">
        <v>78</v>
      </c>
      <c r="V303" s="6">
        <f>IF(ISERROR(VLOOKUP($S$303,'TAR FIN'!$A$1:$O$113,15,0)),0,VLOOKUP($S$303,'TAR FIN'!$A$1:$O$113,15,0))</f>
        <v>0</v>
      </c>
      <c r="W303" s="6">
        <f>IF(ISERROR(VLOOKUP($T$303,'TAR FIN'!$A$1:$O$113,15,0)),0,VLOOKUP($T$303,'TAR FIN'!$A$1:$O$113,15,0))</f>
        <v>203.29</v>
      </c>
      <c r="X303" s="6">
        <f>IF(ISERROR(VLOOKUP($U$303,'TAR FIN'!$A$1:$O$113,15,0)),0,VLOOKUP($U$303,'TAR FIN'!$A$1:$O$113,15,0))</f>
        <v>263.12</v>
      </c>
      <c r="Y303" s="6"/>
      <c r="Z303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303" s="6">
        <f>('TE BE'!$AB$21+'TE BF'!$AB$21+'TE CVA'!$AB$21)*(1-CUSTOS!$M$36)</f>
        <v>283.30666040677067</v>
      </c>
      <c r="AB303" s="6">
        <f t="shared" si="14"/>
        <v>0</v>
      </c>
      <c r="AC303" s="6">
        <f>(L303-M303)*(W303+X303)+($W$317+$X$317-$W$303-$X$303)*(L303)</f>
        <v>10.934020000000011</v>
      </c>
      <c r="AD303" s="6">
        <f t="shared" si="15"/>
        <v>0</v>
      </c>
      <c r="AE303" s="6">
        <f ca="1">(L303-M303)*(Z303+AA303)+($Z$317+$AA$317-$Z$303-$AA$303)*(L303)</f>
        <v>12.126981901550502</v>
      </c>
      <c r="AF303" s="4" t="s">
        <v>854</v>
      </c>
    </row>
    <row r="304" spans="1:32" ht="11.25" customHeight="1" x14ac:dyDescent="0.3">
      <c r="A304" s="4" t="s">
        <v>21</v>
      </c>
      <c r="B304" s="4" t="s">
        <v>22</v>
      </c>
      <c r="C304" s="4" t="s">
        <v>23</v>
      </c>
      <c r="D304" s="4" t="s">
        <v>24</v>
      </c>
      <c r="E304" s="4" t="s">
        <v>31</v>
      </c>
      <c r="F304" s="4" t="s">
        <v>25</v>
      </c>
      <c r="G304" s="4" t="s">
        <v>25</v>
      </c>
      <c r="H304" s="4" t="s">
        <v>25</v>
      </c>
      <c r="I304" s="5">
        <v>44682</v>
      </c>
      <c r="J304" s="6">
        <v>0</v>
      </c>
      <c r="K304" s="6">
        <v>0</v>
      </c>
      <c r="L304" s="6">
        <v>287.44</v>
      </c>
      <c r="M304" s="6">
        <v>287.44</v>
      </c>
      <c r="N304" s="6">
        <v>287.44</v>
      </c>
      <c r="O304" s="6">
        <v>287.44</v>
      </c>
      <c r="P304" s="6">
        <v>3527</v>
      </c>
      <c r="Q304" s="4" t="s">
        <v>26</v>
      </c>
      <c r="R304" s="4">
        <v>0</v>
      </c>
      <c r="S304" s="4">
        <v>0</v>
      </c>
      <c r="T304" s="4">
        <v>41</v>
      </c>
      <c r="U304" s="4">
        <v>78</v>
      </c>
      <c r="V304" s="6">
        <f>IF(ISERROR(VLOOKUP($S$304,'TAR FIN'!$A$1:$O$113,15,0)),0,VLOOKUP($S$304,'TAR FIN'!$A$1:$O$113,15,0))</f>
        <v>0</v>
      </c>
      <c r="W304" s="6">
        <f>IF(ISERROR(VLOOKUP($T$304,'TAR FIN'!$A$1:$O$113,15,0)),0,VLOOKUP($T$304,'TAR FIN'!$A$1:$O$113,15,0))</f>
        <v>203.29</v>
      </c>
      <c r="X304" s="6">
        <f>IF(ISERROR(VLOOKUP($U$304,'TAR FIN'!$A$1:$O$113,15,0)),0,VLOOKUP($U$304,'TAR FIN'!$A$1:$O$113,15,0))</f>
        <v>263.12</v>
      </c>
      <c r="Y304" s="6"/>
      <c r="Z304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304" s="6">
        <f>('TE BE'!$AB$21+'TE BF'!$AB$21+'TE CVA'!$AB$21)*(1-CUSTOS!$M$36)</f>
        <v>283.30666040677067</v>
      </c>
      <c r="AB304" s="6">
        <f t="shared" si="14"/>
        <v>0</v>
      </c>
      <c r="AC304" s="6">
        <f>(L304-M304)*(W304+X304)+($W$317+$X$317-$W$304-$X$304)*(L304)</f>
        <v>14895.140800000014</v>
      </c>
      <c r="AD304" s="6">
        <f t="shared" si="15"/>
        <v>0</v>
      </c>
      <c r="AE304" s="6">
        <f ca="1">(L304-M304)*(Z304+AA304)+($Z$317+$AA$317-$Z$304-$AA$304)*(L304)</f>
        <v>16520.282833088517</v>
      </c>
      <c r="AF304" s="4" t="s">
        <v>854</v>
      </c>
    </row>
    <row r="305" spans="1:32" ht="11.25" customHeight="1" x14ac:dyDescent="0.3">
      <c r="A305" s="4" t="s">
        <v>27</v>
      </c>
      <c r="B305" s="4" t="s">
        <v>22</v>
      </c>
      <c r="C305" s="4" t="s">
        <v>23</v>
      </c>
      <c r="D305" s="4" t="s">
        <v>24</v>
      </c>
      <c r="E305" s="4" t="s">
        <v>31</v>
      </c>
      <c r="F305" s="4" t="s">
        <v>25</v>
      </c>
      <c r="G305" s="4" t="s">
        <v>25</v>
      </c>
      <c r="H305" s="4" t="s">
        <v>25</v>
      </c>
      <c r="I305" s="5">
        <v>44682</v>
      </c>
      <c r="J305" s="6">
        <v>0</v>
      </c>
      <c r="K305" s="6">
        <v>0</v>
      </c>
      <c r="L305" s="6">
        <v>-0.114</v>
      </c>
      <c r="M305" s="6">
        <v>-0.114</v>
      </c>
      <c r="N305" s="6">
        <v>-0.114</v>
      </c>
      <c r="O305" s="6">
        <v>-0.114</v>
      </c>
      <c r="P305" s="6">
        <v>0</v>
      </c>
      <c r="Q305" s="4" t="s">
        <v>26</v>
      </c>
      <c r="R305" s="4">
        <v>0</v>
      </c>
      <c r="S305" s="4">
        <v>0</v>
      </c>
      <c r="T305" s="4">
        <v>41</v>
      </c>
      <c r="U305" s="4">
        <v>78</v>
      </c>
      <c r="V305" s="6">
        <f>IF(ISERROR(VLOOKUP($S$305,'TAR FIN'!$A$1:$O$113,15,0)),0,VLOOKUP($S$305,'TAR FIN'!$A$1:$O$113,15,0))</f>
        <v>0</v>
      </c>
      <c r="W305" s="6">
        <f>IF(ISERROR(VLOOKUP($T$305,'TAR FIN'!$A$1:$O$113,15,0)),0,VLOOKUP($T$305,'TAR FIN'!$A$1:$O$113,15,0))</f>
        <v>203.29</v>
      </c>
      <c r="X305" s="6">
        <f>IF(ISERROR(VLOOKUP($U$305,'TAR FIN'!$A$1:$O$113,15,0)),0,VLOOKUP($U$305,'TAR FIN'!$A$1:$O$113,15,0))</f>
        <v>263.12</v>
      </c>
      <c r="Y305" s="6"/>
      <c r="Z305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305" s="6">
        <f>('TE BE'!$AB$21+'TE BF'!$AB$21+'TE CVA'!$AB$21)*(1-CUSTOS!$M$36)</f>
        <v>283.30666040677067</v>
      </c>
      <c r="AB305" s="6">
        <f t="shared" si="14"/>
        <v>0</v>
      </c>
      <c r="AC305" s="6">
        <f>(L305-M305)*(W305+X305)+($W$317+$X$317-$W$305-$X$305)*(L305)</f>
        <v>-5.9074800000000058</v>
      </c>
      <c r="AD305" s="6">
        <f t="shared" si="15"/>
        <v>0</v>
      </c>
      <c r="AE305" s="6">
        <f ca="1">(L305-M305)*(Z305+AA305)+($Z$317+$AA$317-$Z$305-$AA$305)*(L305)</f>
        <v>-6.552018657709751</v>
      </c>
      <c r="AF305" s="4" t="s">
        <v>854</v>
      </c>
    </row>
    <row r="306" spans="1:32" ht="11.25" customHeight="1" x14ac:dyDescent="0.3">
      <c r="A306" s="4" t="s">
        <v>21</v>
      </c>
      <c r="B306" s="4" t="s">
        <v>22</v>
      </c>
      <c r="C306" s="4" t="s">
        <v>23</v>
      </c>
      <c r="D306" s="4" t="s">
        <v>24</v>
      </c>
      <c r="E306" s="4" t="s">
        <v>31</v>
      </c>
      <c r="F306" s="4" t="s">
        <v>25</v>
      </c>
      <c r="G306" s="4" t="s">
        <v>25</v>
      </c>
      <c r="H306" s="4" t="s">
        <v>25</v>
      </c>
      <c r="I306" s="5">
        <v>44713</v>
      </c>
      <c r="J306" s="6">
        <v>0</v>
      </c>
      <c r="K306" s="6">
        <v>0</v>
      </c>
      <c r="L306" s="6">
        <v>268.04700000000003</v>
      </c>
      <c r="M306" s="6">
        <v>268.04700000000003</v>
      </c>
      <c r="N306" s="6">
        <v>268.04700000000003</v>
      </c>
      <c r="O306" s="6">
        <v>268.04700000000003</v>
      </c>
      <c r="P306" s="6">
        <v>3259</v>
      </c>
      <c r="Q306" s="4" t="s">
        <v>26</v>
      </c>
      <c r="R306" s="4">
        <v>0</v>
      </c>
      <c r="S306" s="4">
        <v>0</v>
      </c>
      <c r="T306" s="4">
        <v>41</v>
      </c>
      <c r="U306" s="4">
        <v>78</v>
      </c>
      <c r="V306" s="6">
        <f>IF(ISERROR(VLOOKUP($S$306,'TAR FIN'!$A$1:$O$113,15,0)),0,VLOOKUP($S$306,'TAR FIN'!$A$1:$O$113,15,0))</f>
        <v>0</v>
      </c>
      <c r="W306" s="6">
        <f>IF(ISERROR(VLOOKUP($T$306,'TAR FIN'!$A$1:$O$113,15,0)),0,VLOOKUP($T$306,'TAR FIN'!$A$1:$O$113,15,0))</f>
        <v>203.29</v>
      </c>
      <c r="X306" s="6">
        <f>IF(ISERROR(VLOOKUP($U$306,'TAR FIN'!$A$1:$O$113,15,0)),0,VLOOKUP($U$306,'TAR FIN'!$A$1:$O$113,15,0))</f>
        <v>263.12</v>
      </c>
      <c r="Y306" s="6"/>
      <c r="Z306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306" s="6">
        <f>('TE BE'!$AB$21+'TE BF'!$AB$21+'TE CVA'!$AB$21)*(1-CUSTOS!$M$36)</f>
        <v>283.30666040677067</v>
      </c>
      <c r="AB306" s="6">
        <f t="shared" si="14"/>
        <v>0</v>
      </c>
      <c r="AC306" s="6">
        <f>(L306-M306)*(W306+X306)+($W$317+$X$317-$W$306-$X$306)*(L306)</f>
        <v>13890.195540000015</v>
      </c>
      <c r="AD306" s="6">
        <f t="shared" si="15"/>
        <v>0</v>
      </c>
      <c r="AE306" s="6">
        <f ca="1">(L306-M306)*(Z306+AA306)+($Z$317+$AA$317-$Z$306-$AA$306)*(L306)</f>
        <v>15405.692501255489</v>
      </c>
      <c r="AF306" s="4" t="s">
        <v>854</v>
      </c>
    </row>
    <row r="307" spans="1:32" ht="11.25" customHeight="1" x14ac:dyDescent="0.3">
      <c r="A307" s="4" t="s">
        <v>27</v>
      </c>
      <c r="B307" s="4" t="s">
        <v>22</v>
      </c>
      <c r="C307" s="4" t="s">
        <v>23</v>
      </c>
      <c r="D307" s="4" t="s">
        <v>24</v>
      </c>
      <c r="E307" s="4" t="s">
        <v>31</v>
      </c>
      <c r="F307" s="4" t="s">
        <v>25</v>
      </c>
      <c r="G307" s="4" t="s">
        <v>25</v>
      </c>
      <c r="H307" s="4" t="s">
        <v>25</v>
      </c>
      <c r="I307" s="5">
        <v>44713</v>
      </c>
      <c r="J307" s="6">
        <v>0</v>
      </c>
      <c r="K307" s="6">
        <v>0</v>
      </c>
      <c r="L307" s="6">
        <v>-3.5999999999999997E-2</v>
      </c>
      <c r="M307" s="6">
        <v>-3.5999999999999997E-2</v>
      </c>
      <c r="N307" s="6">
        <v>-3.5999999999999997E-2</v>
      </c>
      <c r="O307" s="6">
        <v>-3.5999999999999997E-2</v>
      </c>
      <c r="P307" s="6">
        <v>0</v>
      </c>
      <c r="Q307" s="4" t="s">
        <v>26</v>
      </c>
      <c r="R307" s="4">
        <v>0</v>
      </c>
      <c r="S307" s="4">
        <v>0</v>
      </c>
      <c r="T307" s="4">
        <v>41</v>
      </c>
      <c r="U307" s="4">
        <v>78</v>
      </c>
      <c r="V307" s="6">
        <f>IF(ISERROR(VLOOKUP($S$307,'TAR FIN'!$A$1:$O$113,15,0)),0,VLOOKUP($S$307,'TAR FIN'!$A$1:$O$113,15,0))</f>
        <v>0</v>
      </c>
      <c r="W307" s="6">
        <f>IF(ISERROR(VLOOKUP($T$307,'TAR FIN'!$A$1:$O$113,15,0)),0,VLOOKUP($T$307,'TAR FIN'!$A$1:$O$113,15,0))</f>
        <v>203.29</v>
      </c>
      <c r="X307" s="6">
        <f>IF(ISERROR(VLOOKUP($U$307,'TAR FIN'!$A$1:$O$113,15,0)),0,VLOOKUP($U$307,'TAR FIN'!$A$1:$O$113,15,0))</f>
        <v>263.12</v>
      </c>
      <c r="Y307" s="6"/>
      <c r="Z307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307" s="6">
        <f>('TE BE'!$AB$21+'TE BF'!$AB$21+'TE CVA'!$AB$21)*(1-CUSTOS!$M$36)</f>
        <v>283.30666040677067</v>
      </c>
      <c r="AB307" s="6">
        <f t="shared" si="14"/>
        <v>0</v>
      </c>
      <c r="AC307" s="6">
        <f>(L307-M307)*(W307+X307)+($W$317+$X$317-$W$307-$X$307)*(L307)</f>
        <v>-1.8655200000000016</v>
      </c>
      <c r="AD307" s="6">
        <f t="shared" si="15"/>
        <v>0</v>
      </c>
      <c r="AE307" s="6">
        <f ca="1">(L307-M307)*(Z307+AA307)+($Z$317+$AA$317-$Z$307-$AA$307)*(L307)</f>
        <v>-2.0690585234872896</v>
      </c>
      <c r="AF307" s="4" t="s">
        <v>854</v>
      </c>
    </row>
    <row r="308" spans="1:32" ht="11.25" customHeight="1" x14ac:dyDescent="0.3">
      <c r="A308" s="4" t="s">
        <v>21</v>
      </c>
      <c r="B308" s="4" t="s">
        <v>22</v>
      </c>
      <c r="C308" s="4" t="s">
        <v>23</v>
      </c>
      <c r="D308" s="4" t="s">
        <v>24</v>
      </c>
      <c r="E308" s="4" t="s">
        <v>31</v>
      </c>
      <c r="F308" s="4" t="s">
        <v>25</v>
      </c>
      <c r="G308" s="4" t="s">
        <v>25</v>
      </c>
      <c r="H308" s="4" t="s">
        <v>25</v>
      </c>
      <c r="I308" s="5">
        <v>44743</v>
      </c>
      <c r="J308" s="6">
        <v>0</v>
      </c>
      <c r="K308" s="6">
        <v>0</v>
      </c>
      <c r="L308" s="6">
        <v>266.54399999999998</v>
      </c>
      <c r="M308" s="6">
        <v>266.54399999999998</v>
      </c>
      <c r="N308" s="6">
        <v>266.54399999999998</v>
      </c>
      <c r="O308" s="6">
        <v>266.54399999999998</v>
      </c>
      <c r="P308" s="6">
        <v>2982</v>
      </c>
      <c r="Q308" s="4" t="s">
        <v>26</v>
      </c>
      <c r="R308" s="4">
        <v>0</v>
      </c>
      <c r="S308" s="4">
        <v>0</v>
      </c>
      <c r="T308" s="4">
        <v>41</v>
      </c>
      <c r="U308" s="4">
        <v>78</v>
      </c>
      <c r="V308" s="6">
        <f>IF(ISERROR(VLOOKUP($S$308,'TAR FIN'!$A$1:$O$113,15,0)),0,VLOOKUP($S$308,'TAR FIN'!$A$1:$O$113,15,0))</f>
        <v>0</v>
      </c>
      <c r="W308" s="6">
        <f>IF(ISERROR(VLOOKUP($T$308,'TAR FIN'!$A$1:$O$113,15,0)),0,VLOOKUP($T$308,'TAR FIN'!$A$1:$O$113,15,0))</f>
        <v>203.29</v>
      </c>
      <c r="X308" s="6">
        <f>IF(ISERROR(VLOOKUP($U$308,'TAR FIN'!$A$1:$O$113,15,0)),0,VLOOKUP($U$308,'TAR FIN'!$A$1:$O$113,15,0))</f>
        <v>263.12</v>
      </c>
      <c r="Y308" s="6"/>
      <c r="Z308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308" s="6">
        <f>('TE BE'!$AB$21+'TE BF'!$AB$21+'TE CVA'!$AB$21)*(1-CUSTOS!$M$36)</f>
        <v>283.30666040677067</v>
      </c>
      <c r="AB308" s="6">
        <f t="shared" si="14"/>
        <v>0</v>
      </c>
      <c r="AC308" s="6">
        <f>(L308-M308)*(W308+X308)+($W$317+$X$317-$W$308-$X$308)*(L308)</f>
        <v>13812.310080000012</v>
      </c>
      <c r="AD308" s="6">
        <f t="shared" si="15"/>
        <v>0</v>
      </c>
      <c r="AE308" s="6">
        <f ca="1">(L308-M308)*(Z308+AA308)+($Z$317+$AA$317-$Z$308-$AA$308)*(L308)</f>
        <v>15319.309307899892</v>
      </c>
      <c r="AF308" s="4" t="s">
        <v>854</v>
      </c>
    </row>
    <row r="309" spans="1:32" ht="11.25" customHeight="1" x14ac:dyDescent="0.3">
      <c r="A309" s="4" t="s">
        <v>21</v>
      </c>
      <c r="B309" s="4" t="s">
        <v>22</v>
      </c>
      <c r="C309" s="4" t="s">
        <v>23</v>
      </c>
      <c r="D309" s="4" t="s">
        <v>24</v>
      </c>
      <c r="E309" s="4" t="s">
        <v>31</v>
      </c>
      <c r="F309" s="4" t="s">
        <v>25</v>
      </c>
      <c r="G309" s="4" t="s">
        <v>25</v>
      </c>
      <c r="H309" s="4" t="s">
        <v>25</v>
      </c>
      <c r="I309" s="5">
        <v>44774</v>
      </c>
      <c r="J309" s="6">
        <v>0</v>
      </c>
      <c r="K309" s="6">
        <v>0</v>
      </c>
      <c r="L309" s="6">
        <v>265.86900000000003</v>
      </c>
      <c r="M309" s="6">
        <v>265.86900000000003</v>
      </c>
      <c r="N309" s="6">
        <v>265.86900000000003</v>
      </c>
      <c r="O309" s="6">
        <v>265.86900000000003</v>
      </c>
      <c r="P309" s="6">
        <v>3152</v>
      </c>
      <c r="Q309" s="4" t="s">
        <v>26</v>
      </c>
      <c r="R309" s="4">
        <v>0</v>
      </c>
      <c r="S309" s="4">
        <v>0</v>
      </c>
      <c r="T309" s="4">
        <v>41</v>
      </c>
      <c r="U309" s="4">
        <v>78</v>
      </c>
      <c r="V309" s="6">
        <f>IF(ISERROR(VLOOKUP($S$309,'TAR FIN'!$A$1:$O$113,15,0)),0,VLOOKUP($S$309,'TAR FIN'!$A$1:$O$113,15,0))</f>
        <v>0</v>
      </c>
      <c r="W309" s="6">
        <f>IF(ISERROR(VLOOKUP($T$309,'TAR FIN'!$A$1:$O$113,15,0)),0,VLOOKUP($T$309,'TAR FIN'!$A$1:$O$113,15,0))</f>
        <v>203.29</v>
      </c>
      <c r="X309" s="6">
        <f>IF(ISERROR(VLOOKUP($U$309,'TAR FIN'!$A$1:$O$113,15,0)),0,VLOOKUP($U$309,'TAR FIN'!$A$1:$O$113,15,0))</f>
        <v>263.12</v>
      </c>
      <c r="Y309" s="6"/>
      <c r="Z309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309" s="6">
        <f>('TE BE'!$AB$21+'TE BF'!$AB$21+'TE CVA'!$AB$21)*(1-CUSTOS!$M$36)</f>
        <v>283.30666040677067</v>
      </c>
      <c r="AB309" s="6">
        <f t="shared" si="14"/>
        <v>0</v>
      </c>
      <c r="AC309" s="6">
        <f>(L309-M309)*(W309+X309)+($W$317+$X$317-$W$309-$X$309)*(L309)</f>
        <v>13777.331580000015</v>
      </c>
      <c r="AD309" s="6">
        <f t="shared" si="15"/>
        <v>0</v>
      </c>
      <c r="AE309" s="6">
        <f ca="1">(L309-M309)*(Z309+AA309)+($Z$317+$AA$317-$Z$309-$AA$309)*(L309)</f>
        <v>15280.514460584507</v>
      </c>
      <c r="AF309" s="4" t="s">
        <v>854</v>
      </c>
    </row>
    <row r="310" spans="1:32" ht="11.25" customHeight="1" x14ac:dyDescent="0.3">
      <c r="A310" s="4" t="s">
        <v>27</v>
      </c>
      <c r="B310" s="4" t="s">
        <v>22</v>
      </c>
      <c r="C310" s="4" t="s">
        <v>23</v>
      </c>
      <c r="D310" s="4" t="s">
        <v>24</v>
      </c>
      <c r="E310" s="4" t="s">
        <v>31</v>
      </c>
      <c r="F310" s="4" t="s">
        <v>25</v>
      </c>
      <c r="G310" s="4" t="s">
        <v>25</v>
      </c>
      <c r="H310" s="4" t="s">
        <v>25</v>
      </c>
      <c r="I310" s="5">
        <v>44774</v>
      </c>
      <c r="J310" s="6">
        <v>0</v>
      </c>
      <c r="K310" s="6">
        <v>0</v>
      </c>
      <c r="L310" s="6">
        <v>-5.0999999999999997E-2</v>
      </c>
      <c r="M310" s="6">
        <v>-5.0999999999999997E-2</v>
      </c>
      <c r="N310" s="6">
        <v>-5.0999999999999997E-2</v>
      </c>
      <c r="O310" s="6">
        <v>-5.0999999999999997E-2</v>
      </c>
      <c r="P310" s="6">
        <v>0</v>
      </c>
      <c r="Q310" s="4" t="s">
        <v>26</v>
      </c>
      <c r="R310" s="4">
        <v>0</v>
      </c>
      <c r="S310" s="4">
        <v>0</v>
      </c>
      <c r="T310" s="4">
        <v>41</v>
      </c>
      <c r="U310" s="4">
        <v>78</v>
      </c>
      <c r="V310" s="6">
        <f>IF(ISERROR(VLOOKUP($S$310,'TAR FIN'!$A$1:$O$113,15,0)),0,VLOOKUP($S$310,'TAR FIN'!$A$1:$O$113,15,0))</f>
        <v>0</v>
      </c>
      <c r="W310" s="6">
        <f>IF(ISERROR(VLOOKUP($T$310,'TAR FIN'!$A$1:$O$113,15,0)),0,VLOOKUP($T$310,'TAR FIN'!$A$1:$O$113,15,0))</f>
        <v>203.29</v>
      </c>
      <c r="X310" s="6">
        <f>IF(ISERROR(VLOOKUP($U$310,'TAR FIN'!$A$1:$O$113,15,0)),0,VLOOKUP($U$310,'TAR FIN'!$A$1:$O$113,15,0))</f>
        <v>263.12</v>
      </c>
      <c r="Y310" s="6"/>
      <c r="Z310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310" s="6">
        <f>('TE BE'!$AB$21+'TE BF'!$AB$21+'TE CVA'!$AB$21)*(1-CUSTOS!$M$36)</f>
        <v>283.30666040677067</v>
      </c>
      <c r="AB310" s="6">
        <f t="shared" si="14"/>
        <v>0</v>
      </c>
      <c r="AC310" s="6">
        <f>(L310-M310)*(W310+X310)+($W$317+$X$317-$W$310-$X$310)*(L310)</f>
        <v>-2.6428200000000022</v>
      </c>
      <c r="AD310" s="6">
        <f t="shared" si="15"/>
        <v>0</v>
      </c>
      <c r="AE310" s="6">
        <f ca="1">(L310-M310)*(Z310+AA310)+($Z$317+$AA$317-$Z$310-$AA$310)*(L310)</f>
        <v>-2.9311662416069937</v>
      </c>
      <c r="AF310" s="4" t="s">
        <v>854</v>
      </c>
    </row>
    <row r="311" spans="1:32" ht="11.25" customHeight="1" x14ac:dyDescent="0.3">
      <c r="A311" s="4" t="s">
        <v>21</v>
      </c>
      <c r="B311" s="4" t="s">
        <v>22</v>
      </c>
      <c r="C311" s="4" t="s">
        <v>23</v>
      </c>
      <c r="D311" s="4" t="s">
        <v>24</v>
      </c>
      <c r="E311" s="4" t="s">
        <v>31</v>
      </c>
      <c r="F311" s="4" t="s">
        <v>25</v>
      </c>
      <c r="G311" s="4" t="s">
        <v>25</v>
      </c>
      <c r="H311" s="4" t="s">
        <v>25</v>
      </c>
      <c r="I311" s="5">
        <v>44805</v>
      </c>
      <c r="J311" s="6">
        <v>0</v>
      </c>
      <c r="K311" s="6">
        <v>0</v>
      </c>
      <c r="L311" s="6">
        <v>307.63299999999998</v>
      </c>
      <c r="M311" s="6">
        <v>307.63299999999998</v>
      </c>
      <c r="N311" s="6">
        <v>307.63299999999998</v>
      </c>
      <c r="O311" s="6">
        <v>307.63299999999998</v>
      </c>
      <c r="P311" s="6">
        <v>3223</v>
      </c>
      <c r="Q311" s="4" t="s">
        <v>26</v>
      </c>
      <c r="R311" s="4">
        <v>0</v>
      </c>
      <c r="S311" s="4">
        <v>0</v>
      </c>
      <c r="T311" s="4">
        <v>41</v>
      </c>
      <c r="U311" s="4">
        <v>78</v>
      </c>
      <c r="V311" s="6">
        <f>IF(ISERROR(VLOOKUP($S$311,'TAR FIN'!$A$1:$O$113,15,0)),0,VLOOKUP($S$311,'TAR FIN'!$A$1:$O$113,15,0))</f>
        <v>0</v>
      </c>
      <c r="W311" s="6">
        <f>IF(ISERROR(VLOOKUP($T$311,'TAR FIN'!$A$1:$O$113,15,0)),0,VLOOKUP($T$311,'TAR FIN'!$A$1:$O$113,15,0))</f>
        <v>203.29</v>
      </c>
      <c r="X311" s="6">
        <f>IF(ISERROR(VLOOKUP($U$311,'TAR FIN'!$A$1:$O$113,15,0)),0,VLOOKUP($U$311,'TAR FIN'!$A$1:$O$113,15,0))</f>
        <v>263.12</v>
      </c>
      <c r="Y311" s="6"/>
      <c r="Z311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311" s="6">
        <f>('TE BE'!$AB$21+'TE BF'!$AB$21+'TE CVA'!$AB$21)*(1-CUSTOS!$M$36)</f>
        <v>283.30666040677067</v>
      </c>
      <c r="AB311" s="6">
        <f t="shared" si="14"/>
        <v>0</v>
      </c>
      <c r="AC311" s="6">
        <f>(L311-M311)*(W311+X311)+($W$317+$X$317-$W$311-$X$311)*(L311)</f>
        <v>15941.542060000014</v>
      </c>
      <c r="AD311" s="6">
        <f t="shared" si="15"/>
        <v>0</v>
      </c>
      <c r="AE311" s="6">
        <f ca="1">(L311-M311)*(Z311+AA311)+($Z$317+$AA$317-$Z$311-$AA$311)*(L311)</f>
        <v>17680.852243221259</v>
      </c>
      <c r="AF311" s="4" t="s">
        <v>854</v>
      </c>
    </row>
    <row r="312" spans="1:32" ht="11.25" customHeight="1" x14ac:dyDescent="0.3">
      <c r="A312" s="4" t="s">
        <v>27</v>
      </c>
      <c r="B312" s="4" t="s">
        <v>22</v>
      </c>
      <c r="C312" s="4" t="s">
        <v>23</v>
      </c>
      <c r="D312" s="4" t="s">
        <v>24</v>
      </c>
      <c r="E312" s="4" t="s">
        <v>31</v>
      </c>
      <c r="F312" s="4" t="s">
        <v>25</v>
      </c>
      <c r="G312" s="4" t="s">
        <v>25</v>
      </c>
      <c r="H312" s="4" t="s">
        <v>25</v>
      </c>
      <c r="I312" s="5">
        <v>44805</v>
      </c>
      <c r="J312" s="6">
        <v>0</v>
      </c>
      <c r="K312" s="6">
        <v>0</v>
      </c>
      <c r="L312" s="6">
        <v>-7.4999999999999997E-2</v>
      </c>
      <c r="M312" s="6">
        <v>-7.4999999999999997E-2</v>
      </c>
      <c r="N312" s="6">
        <v>-7.4999999999999997E-2</v>
      </c>
      <c r="O312" s="6">
        <v>-7.4999999999999997E-2</v>
      </c>
      <c r="P312" s="6">
        <v>0</v>
      </c>
      <c r="Q312" s="4" t="s">
        <v>26</v>
      </c>
      <c r="R312" s="4">
        <v>0</v>
      </c>
      <c r="S312" s="4">
        <v>0</v>
      </c>
      <c r="T312" s="4">
        <v>41</v>
      </c>
      <c r="U312" s="4">
        <v>78</v>
      </c>
      <c r="V312" s="6">
        <f>IF(ISERROR(VLOOKUP($S$312,'TAR FIN'!$A$1:$O$113,15,0)),0,VLOOKUP($S$312,'TAR FIN'!$A$1:$O$113,15,0))</f>
        <v>0</v>
      </c>
      <c r="W312" s="6">
        <f>IF(ISERROR(VLOOKUP($T$312,'TAR FIN'!$A$1:$O$113,15,0)),0,VLOOKUP($T$312,'TAR FIN'!$A$1:$O$113,15,0))</f>
        <v>203.29</v>
      </c>
      <c r="X312" s="6">
        <f>IF(ISERROR(VLOOKUP($U$312,'TAR FIN'!$A$1:$O$113,15,0)),0,VLOOKUP($U$312,'TAR FIN'!$A$1:$O$113,15,0))</f>
        <v>263.12</v>
      </c>
      <c r="Y312" s="6"/>
      <c r="Z312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312" s="6">
        <f>('TE BE'!$AB$21+'TE BF'!$AB$21+'TE CVA'!$AB$21)*(1-CUSTOS!$M$36)</f>
        <v>283.30666040677067</v>
      </c>
      <c r="AB312" s="6">
        <f t="shared" si="14"/>
        <v>0</v>
      </c>
      <c r="AC312" s="6">
        <f>(L312-M312)*(W312+X312)+($W$317+$X$317-$W$312-$X$312)*(L312)</f>
        <v>-3.8865000000000034</v>
      </c>
      <c r="AD312" s="6">
        <f t="shared" si="15"/>
        <v>0</v>
      </c>
      <c r="AE312" s="6">
        <f ca="1">(L312-M312)*(Z312+AA312)+($Z$317+$AA$317-$Z$312-$AA$312)*(L312)</f>
        <v>-4.3105385905985196</v>
      </c>
      <c r="AF312" s="4" t="s">
        <v>854</v>
      </c>
    </row>
    <row r="313" spans="1:32" ht="11.25" customHeight="1" x14ac:dyDescent="0.3">
      <c r="A313" s="4" t="s">
        <v>28</v>
      </c>
      <c r="B313" s="4" t="s">
        <v>22</v>
      </c>
      <c r="C313" s="4" t="s">
        <v>23</v>
      </c>
      <c r="D313" s="4" t="s">
        <v>24</v>
      </c>
      <c r="E313" s="4" t="s">
        <v>31</v>
      </c>
      <c r="F313" s="4" t="s">
        <v>25</v>
      </c>
      <c r="G313" s="4" t="s">
        <v>25</v>
      </c>
      <c r="H313" s="4" t="s">
        <v>25</v>
      </c>
      <c r="I313" s="5">
        <v>44805</v>
      </c>
      <c r="J313" s="6">
        <v>0</v>
      </c>
      <c r="K313" s="6">
        <v>0</v>
      </c>
      <c r="L313" s="6">
        <v>0.114</v>
      </c>
      <c r="M313" s="6">
        <v>0.1026</v>
      </c>
      <c r="N313" s="6">
        <v>0.114</v>
      </c>
      <c r="O313" s="6">
        <v>0.1026</v>
      </c>
      <c r="P313" s="6">
        <v>1</v>
      </c>
      <c r="Q313" s="4" t="s">
        <v>26</v>
      </c>
      <c r="R313" s="4">
        <v>0</v>
      </c>
      <c r="S313" s="4">
        <v>0</v>
      </c>
      <c r="T313" s="4">
        <v>41</v>
      </c>
      <c r="U313" s="4">
        <v>78</v>
      </c>
      <c r="V313" s="6">
        <f>IF(ISERROR(VLOOKUP($S$313,'TAR FIN'!$A$1:$O$113,15,0)),0,VLOOKUP($S$313,'TAR FIN'!$A$1:$O$113,15,0))</f>
        <v>0</v>
      </c>
      <c r="W313" s="6">
        <f>IF(ISERROR(VLOOKUP($T$313,'TAR FIN'!$A$1:$O$113,15,0)),0,VLOOKUP($T$313,'TAR FIN'!$A$1:$O$113,15,0))</f>
        <v>203.29</v>
      </c>
      <c r="X313" s="6">
        <f>IF(ISERROR(VLOOKUP($U$313,'TAR FIN'!$A$1:$O$113,15,0)),0,VLOOKUP($U$313,'TAR FIN'!$A$1:$O$113,15,0))</f>
        <v>263.12</v>
      </c>
      <c r="Y313" s="6"/>
      <c r="Z313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313" s="6">
        <f>('TE BE'!$AB$21+'TE BF'!$AB$21+'TE CVA'!$AB$21)*(1-CUSTOS!$M$36)</f>
        <v>283.30666040677067</v>
      </c>
      <c r="AB313" s="6">
        <f t="shared" si="14"/>
        <v>0</v>
      </c>
      <c r="AC313" s="6">
        <f>(L313-M313)*(W313+X313)+($W$317+$X$317-$W$313-$X$313)*(L313)</f>
        <v>11.224554000000008</v>
      </c>
      <c r="AD313" s="6">
        <f t="shared" si="15"/>
        <v>0</v>
      </c>
      <c r="AE313" s="6">
        <f ca="1">(L313-M313)*(Z313+AA313)+($Z$317+$AA$317-$Z$313-$AA$313)*(L313)</f>
        <v>12.448835449648524</v>
      </c>
      <c r="AF313" s="4" t="s">
        <v>854</v>
      </c>
    </row>
    <row r="314" spans="1:32" ht="11.25" customHeight="1" x14ac:dyDescent="0.3">
      <c r="A314" s="4" t="s">
        <v>53</v>
      </c>
      <c r="B314" s="4" t="s">
        <v>22</v>
      </c>
      <c r="C314" s="4" t="s">
        <v>23</v>
      </c>
      <c r="D314" s="4" t="s">
        <v>24</v>
      </c>
      <c r="E314" s="4" t="s">
        <v>31</v>
      </c>
      <c r="F314" s="4" t="s">
        <v>25</v>
      </c>
      <c r="G314" s="4" t="s">
        <v>25</v>
      </c>
      <c r="H314" s="4" t="s">
        <v>25</v>
      </c>
      <c r="I314" s="5">
        <v>44835</v>
      </c>
      <c r="J314" s="6">
        <v>0</v>
      </c>
      <c r="K314" s="6">
        <v>0</v>
      </c>
      <c r="L314" s="6">
        <v>307.63299999999998</v>
      </c>
      <c r="M314" s="6">
        <v>307.63299999999998</v>
      </c>
      <c r="N314" s="6">
        <v>307.63299999999998</v>
      </c>
      <c r="O314" s="6">
        <v>307.63299999999998</v>
      </c>
      <c r="P314" s="6">
        <v>3223</v>
      </c>
      <c r="Q314" s="4" t="s">
        <v>26</v>
      </c>
      <c r="R314" s="4">
        <v>0</v>
      </c>
      <c r="S314" s="4">
        <v>0</v>
      </c>
      <c r="T314" s="4">
        <v>41</v>
      </c>
      <c r="U314" s="4">
        <v>78</v>
      </c>
      <c r="V314" s="6">
        <f>IF(ISERROR(VLOOKUP($S$314,'TAR FIN'!$A$1:$O$113,15,0)),0,VLOOKUP($S$314,'TAR FIN'!$A$1:$O$113,15,0))</f>
        <v>0</v>
      </c>
      <c r="W314" s="6">
        <f>IF(ISERROR(VLOOKUP($T$314,'TAR FIN'!$A$1:$O$113,15,0)),0,VLOOKUP($T$314,'TAR FIN'!$A$1:$O$113,15,0))</f>
        <v>203.29</v>
      </c>
      <c r="X314" s="6">
        <f>IF(ISERROR(VLOOKUP($U$314,'TAR FIN'!$A$1:$O$113,15,0)),0,VLOOKUP($U$314,'TAR FIN'!$A$1:$O$113,15,0))</f>
        <v>263.12</v>
      </c>
      <c r="Y314" s="6"/>
      <c r="Z314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314" s="6">
        <f>('TE BE'!$AB$21+'TE BF'!$AB$21+'TE CVA'!$AB$21)*(1-CUSTOS!$M$36)</f>
        <v>283.30666040677067</v>
      </c>
      <c r="AB314" s="6">
        <f t="shared" si="14"/>
        <v>0</v>
      </c>
      <c r="AC314" s="6">
        <f>(L314-M314)*(W314+X314)+($W$317+$X$317-$W$314-$X$314)*(L314)</f>
        <v>15941.542060000014</v>
      </c>
      <c r="AD314" s="6">
        <f t="shared" si="15"/>
        <v>0</v>
      </c>
      <c r="AE314" s="6">
        <f ca="1">(L314-M314)*(Z314+AA314)+($Z$317+$AA$317-$Z$314-$AA$314)*(L314)</f>
        <v>17680.852243221259</v>
      </c>
      <c r="AF314" s="4" t="s">
        <v>854</v>
      </c>
    </row>
    <row r="315" spans="1:32" ht="11.25" customHeight="1" x14ac:dyDescent="0.3">
      <c r="A315" s="4" t="s">
        <v>53</v>
      </c>
      <c r="B315" s="4" t="s">
        <v>22</v>
      </c>
      <c r="C315" s="4" t="s">
        <v>23</v>
      </c>
      <c r="D315" s="4" t="s">
        <v>24</v>
      </c>
      <c r="E315" s="4" t="s">
        <v>31</v>
      </c>
      <c r="F315" s="4" t="s">
        <v>25</v>
      </c>
      <c r="G315" s="4" t="s">
        <v>25</v>
      </c>
      <c r="H315" s="4" t="s">
        <v>25</v>
      </c>
      <c r="I315" s="5">
        <v>44835</v>
      </c>
      <c r="J315" s="6">
        <v>0</v>
      </c>
      <c r="K315" s="6">
        <v>0</v>
      </c>
      <c r="L315" s="6">
        <v>-7.4999999999999997E-2</v>
      </c>
      <c r="M315" s="6">
        <v>-7.4999999999999997E-2</v>
      </c>
      <c r="N315" s="6">
        <v>-7.4999999999999997E-2</v>
      </c>
      <c r="O315" s="6">
        <v>-7.4999999999999997E-2</v>
      </c>
      <c r="P315" s="6">
        <v>0</v>
      </c>
      <c r="Q315" s="4" t="s">
        <v>26</v>
      </c>
      <c r="R315" s="4">
        <v>0</v>
      </c>
      <c r="S315" s="4">
        <v>0</v>
      </c>
      <c r="T315" s="4">
        <v>41</v>
      </c>
      <c r="U315" s="4">
        <v>78</v>
      </c>
      <c r="V315" s="6">
        <f>IF(ISERROR(VLOOKUP($S$315,'TAR FIN'!$A$1:$O$113,15,0)),0,VLOOKUP($S$315,'TAR FIN'!$A$1:$O$113,15,0))</f>
        <v>0</v>
      </c>
      <c r="W315" s="6">
        <f>IF(ISERROR(VLOOKUP($T$315,'TAR FIN'!$A$1:$O$113,15,0)),0,VLOOKUP($T$315,'TAR FIN'!$A$1:$O$113,15,0))</f>
        <v>203.29</v>
      </c>
      <c r="X315" s="6">
        <f>IF(ISERROR(VLOOKUP($U$315,'TAR FIN'!$A$1:$O$113,15,0)),0,VLOOKUP($U$315,'TAR FIN'!$A$1:$O$113,15,0))</f>
        <v>263.12</v>
      </c>
      <c r="Y315" s="6"/>
      <c r="Z315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315" s="6">
        <f>('TE BE'!$AB$21+'TE BF'!$AB$21+'TE CVA'!$AB$21)*(1-CUSTOS!$M$36)</f>
        <v>283.30666040677067</v>
      </c>
      <c r="AB315" s="6">
        <f t="shared" si="14"/>
        <v>0</v>
      </c>
      <c r="AC315" s="6">
        <f>(L315-M315)*(W315+X315)+($W$317+$X$317-$W$315-$X$315)*(L315)</f>
        <v>-3.8865000000000034</v>
      </c>
      <c r="AD315" s="6">
        <f t="shared" si="15"/>
        <v>0</v>
      </c>
      <c r="AE315" s="6">
        <f ca="1">(L315-M315)*(Z315+AA315)+($Z$317+$AA$317-$Z$315-$AA$315)*(L315)</f>
        <v>-4.3105385905985196</v>
      </c>
      <c r="AF315" s="4" t="s">
        <v>854</v>
      </c>
    </row>
    <row r="316" spans="1:32" ht="11.25" customHeight="1" x14ac:dyDescent="0.3">
      <c r="A316" s="4" t="s">
        <v>53</v>
      </c>
      <c r="B316" s="4" t="s">
        <v>22</v>
      </c>
      <c r="C316" s="4" t="s">
        <v>23</v>
      </c>
      <c r="D316" s="4" t="s">
        <v>24</v>
      </c>
      <c r="E316" s="4" t="s">
        <v>31</v>
      </c>
      <c r="F316" s="4" t="s">
        <v>25</v>
      </c>
      <c r="G316" s="4" t="s">
        <v>25</v>
      </c>
      <c r="H316" s="4" t="s">
        <v>25</v>
      </c>
      <c r="I316" s="5">
        <v>44835</v>
      </c>
      <c r="J316" s="6">
        <v>0</v>
      </c>
      <c r="K316" s="6">
        <v>0</v>
      </c>
      <c r="L316" s="6">
        <v>0.114</v>
      </c>
      <c r="M316" s="6">
        <v>0.1026</v>
      </c>
      <c r="N316" s="6">
        <v>0.114</v>
      </c>
      <c r="O316" s="6">
        <v>0.1026</v>
      </c>
      <c r="P316" s="6">
        <v>1</v>
      </c>
      <c r="Q316" s="4" t="s">
        <v>26</v>
      </c>
      <c r="R316" s="4">
        <v>0</v>
      </c>
      <c r="S316" s="4">
        <v>0</v>
      </c>
      <c r="T316" s="4">
        <v>41</v>
      </c>
      <c r="U316" s="4">
        <v>78</v>
      </c>
      <c r="V316" s="6">
        <f>IF(ISERROR(VLOOKUP($S$316,'TAR FIN'!$A$1:$O$113,15,0)),0,VLOOKUP($S$316,'TAR FIN'!$A$1:$O$113,15,0))</f>
        <v>0</v>
      </c>
      <c r="W316" s="6">
        <f>IF(ISERROR(VLOOKUP($T$316,'TAR FIN'!$A$1:$O$113,15,0)),0,VLOOKUP($T$316,'TAR FIN'!$A$1:$O$113,15,0))</f>
        <v>203.29</v>
      </c>
      <c r="X316" s="6">
        <f>IF(ISERROR(VLOOKUP($U$316,'TAR FIN'!$A$1:$O$113,15,0)),0,VLOOKUP($U$316,'TAR FIN'!$A$1:$O$113,15,0))</f>
        <v>263.12</v>
      </c>
      <c r="Y316" s="6"/>
      <c r="Z316" s="6">
        <f ca="1">('TUSD BE'!$AM$43+'TUSD BF'!$AM$43+'TUSD CVA'!$AM$43-('TUSD BE'!$P$43+'TUSD BF'!$P$43+'TUSD CVA'!$P$43)-('TUSD BE'!$Q$43+'TUSD BF'!$Q$43+'TUSD CVA'!$Q$43)-('TUSD BE'!$R$43+'TUSD BF'!$R$43+'TUSD CVA'!$R$43))*(1-CUSTOS!$M$36)</f>
        <v>233.95797046505106</v>
      </c>
      <c r="AA316" s="6">
        <f>('TE BE'!$AB$21+'TE BF'!$AB$21+'TE CVA'!$AB$21)*(1-CUSTOS!$M$36)</f>
        <v>283.30666040677067</v>
      </c>
      <c r="AB316" s="6">
        <f t="shared" si="14"/>
        <v>0</v>
      </c>
      <c r="AC316" s="6">
        <f>(L316-M316)*(W316+X316)+($W$317+$X$317-$W$316-$X$316)*(L316)</f>
        <v>11.224554000000008</v>
      </c>
      <c r="AD316" s="6">
        <f t="shared" si="15"/>
        <v>0</v>
      </c>
      <c r="AE316" s="6">
        <f ca="1">(L316-M316)*(Z316+AA316)+($Z$317+$AA$317-$Z$316-$AA$316)*(L316)</f>
        <v>12.448835449648524</v>
      </c>
      <c r="AF316" s="4" t="s">
        <v>854</v>
      </c>
    </row>
    <row r="317" spans="1:32" ht="11.25" customHeight="1" x14ac:dyDescent="0.3">
      <c r="A317" s="4" t="s">
        <v>21</v>
      </c>
      <c r="B317" s="4" t="s">
        <v>22</v>
      </c>
      <c r="C317" s="4" t="s">
        <v>23</v>
      </c>
      <c r="D317" s="4" t="s">
        <v>24</v>
      </c>
      <c r="E317" s="4" t="s">
        <v>32</v>
      </c>
      <c r="F317" s="4" t="s">
        <v>25</v>
      </c>
      <c r="G317" s="4" t="s">
        <v>25</v>
      </c>
      <c r="H317" s="4" t="s">
        <v>25</v>
      </c>
      <c r="I317" s="5">
        <v>44501</v>
      </c>
      <c r="J317" s="6">
        <v>0</v>
      </c>
      <c r="K317" s="6">
        <v>0</v>
      </c>
      <c r="L317" s="6">
        <v>40.136000000000003</v>
      </c>
      <c r="M317" s="6">
        <v>40.136000000000003</v>
      </c>
      <c r="N317" s="6">
        <v>40.136000000000003</v>
      </c>
      <c r="O317" s="6">
        <v>40.136000000000003</v>
      </c>
      <c r="P317" s="6">
        <v>707</v>
      </c>
      <c r="Q317" s="4" t="s">
        <v>26</v>
      </c>
      <c r="R317" s="4">
        <v>0</v>
      </c>
      <c r="S317" s="4">
        <v>0</v>
      </c>
      <c r="T317" s="4">
        <v>49</v>
      </c>
      <c r="U317" s="4">
        <v>55</v>
      </c>
      <c r="V317" s="6">
        <f>IF(ISERROR(VLOOKUP($S$317,'TAR FIN'!$A$1:$O$113,15,0)),0,VLOOKUP($S$317,'TAR FIN'!$A$1:$O$113,15,0))</f>
        <v>0</v>
      </c>
      <c r="W317" s="6">
        <f>IF(ISERROR(VLOOKUP($T$317,'TAR FIN'!$A$1:$O$113,15,0)),0,VLOOKUP($T$317,'TAR FIN'!$A$1:$O$113,15,0))</f>
        <v>225.87</v>
      </c>
      <c r="X317" s="6">
        <f>IF(ISERROR(VLOOKUP($U$317,'TAR FIN'!$A$1:$O$113,15,0)),0,VLOOKUP($U$317,'TAR FIN'!$A$1:$O$113,15,0))</f>
        <v>292.36</v>
      </c>
      <c r="Y317" s="6"/>
      <c r="Z317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317" s="6">
        <f>('TE BE'!$AB$22+'TE BF'!$AB$22+'TE CVA'!$AB$22)*(1-CUSTOS!$M$37)</f>
        <v>314.78517822974521</v>
      </c>
      <c r="AB317" s="6">
        <f t="shared" si="14"/>
        <v>0</v>
      </c>
      <c r="AC317" s="6">
        <f>(L317-M317)*(W317+X317)+($W$317+$X$317-$W$317-$X$317)*(L317)</f>
        <v>0</v>
      </c>
      <c r="AD317" s="6">
        <f t="shared" si="15"/>
        <v>0</v>
      </c>
      <c r="AE317" s="6">
        <f ca="1">(L317-M317)*(Z317+AA317)+($Z$317+$AA$317-$Z$317-$AA$317)*(L317)</f>
        <v>2.2814674593973906E-12</v>
      </c>
      <c r="AF317" s="4" t="s">
        <v>854</v>
      </c>
    </row>
    <row r="318" spans="1:32" ht="11.25" customHeight="1" x14ac:dyDescent="0.3">
      <c r="A318" s="4" t="s">
        <v>27</v>
      </c>
      <c r="B318" s="4" t="s">
        <v>22</v>
      </c>
      <c r="C318" s="4" t="s">
        <v>23</v>
      </c>
      <c r="D318" s="4" t="s">
        <v>24</v>
      </c>
      <c r="E318" s="4" t="s">
        <v>32</v>
      </c>
      <c r="F318" s="4" t="s">
        <v>25</v>
      </c>
      <c r="G318" s="4" t="s">
        <v>25</v>
      </c>
      <c r="H318" s="4" t="s">
        <v>25</v>
      </c>
      <c r="I318" s="5">
        <v>44501</v>
      </c>
      <c r="J318" s="6">
        <v>0</v>
      </c>
      <c r="K318" s="6">
        <v>0</v>
      </c>
      <c r="L318" s="6">
        <v>-0.185</v>
      </c>
      <c r="M318" s="6">
        <v>-0.185</v>
      </c>
      <c r="N318" s="6">
        <v>-0.185</v>
      </c>
      <c r="O318" s="6">
        <v>-0.185</v>
      </c>
      <c r="P318" s="6">
        <v>0</v>
      </c>
      <c r="Q318" s="4" t="s">
        <v>26</v>
      </c>
      <c r="R318" s="4">
        <v>0</v>
      </c>
      <c r="S318" s="4">
        <v>0</v>
      </c>
      <c r="T318" s="4">
        <v>49</v>
      </c>
      <c r="U318" s="4">
        <v>55</v>
      </c>
      <c r="V318" s="6">
        <f>IF(ISERROR(VLOOKUP($S$318,'TAR FIN'!$A$1:$O$113,15,0)),0,VLOOKUP($S$318,'TAR FIN'!$A$1:$O$113,15,0))</f>
        <v>0</v>
      </c>
      <c r="W318" s="6">
        <f>IF(ISERROR(VLOOKUP($T$318,'TAR FIN'!$A$1:$O$113,15,0)),0,VLOOKUP($T$318,'TAR FIN'!$A$1:$O$113,15,0))</f>
        <v>225.87</v>
      </c>
      <c r="X318" s="6">
        <f>IF(ISERROR(VLOOKUP($U$318,'TAR FIN'!$A$1:$O$113,15,0)),0,VLOOKUP($U$318,'TAR FIN'!$A$1:$O$113,15,0))</f>
        <v>292.36</v>
      </c>
      <c r="Y318" s="6"/>
      <c r="Z318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318" s="6">
        <f>('TE BE'!$AB$22+'TE BF'!$AB$22+'TE CVA'!$AB$22)*(1-CUSTOS!$M$37)</f>
        <v>314.78517822974521</v>
      </c>
      <c r="AB318" s="6">
        <f t="shared" si="14"/>
        <v>0</v>
      </c>
      <c r="AC318" s="6">
        <f>(L318-M318)*(W318+X318)+($W$317+$X$317-$W$318-$X$318)*(L318)</f>
        <v>0</v>
      </c>
      <c r="AD318" s="6">
        <f t="shared" si="15"/>
        <v>0</v>
      </c>
      <c r="AE318" s="6">
        <f ca="1">(L318-M318)*(Z318+AA318)+($Z$317+$AA$317-$Z$318-$AA$318)*(L318)</f>
        <v>-1.0516032489249483E-14</v>
      </c>
      <c r="AF318" s="4" t="s">
        <v>854</v>
      </c>
    </row>
    <row r="319" spans="1:32" ht="11.25" customHeight="1" x14ac:dyDescent="0.3">
      <c r="A319" s="4" t="s">
        <v>21</v>
      </c>
      <c r="B319" s="4" t="s">
        <v>22</v>
      </c>
      <c r="C319" s="4" t="s">
        <v>23</v>
      </c>
      <c r="D319" s="4" t="s">
        <v>24</v>
      </c>
      <c r="E319" s="4" t="s">
        <v>32</v>
      </c>
      <c r="F319" s="4" t="s">
        <v>25</v>
      </c>
      <c r="G319" s="4" t="s">
        <v>25</v>
      </c>
      <c r="H319" s="4" t="s">
        <v>25</v>
      </c>
      <c r="I319" s="5">
        <v>44531</v>
      </c>
      <c r="J319" s="6">
        <v>0</v>
      </c>
      <c r="K319" s="6">
        <v>0</v>
      </c>
      <c r="L319" s="6">
        <v>35.610999999999997</v>
      </c>
      <c r="M319" s="6">
        <v>35.610999999999997</v>
      </c>
      <c r="N319" s="6">
        <v>35.610999999999997</v>
      </c>
      <c r="O319" s="6">
        <v>35.610999999999997</v>
      </c>
      <c r="P319" s="6">
        <v>603</v>
      </c>
      <c r="Q319" s="4" t="s">
        <v>26</v>
      </c>
      <c r="R319" s="4">
        <v>0</v>
      </c>
      <c r="S319" s="4">
        <v>0</v>
      </c>
      <c r="T319" s="4">
        <v>49</v>
      </c>
      <c r="U319" s="4">
        <v>55</v>
      </c>
      <c r="V319" s="6">
        <f>IF(ISERROR(VLOOKUP($S$319,'TAR FIN'!$A$1:$O$113,15,0)),0,VLOOKUP($S$319,'TAR FIN'!$A$1:$O$113,15,0))</f>
        <v>0</v>
      </c>
      <c r="W319" s="6">
        <f>IF(ISERROR(VLOOKUP($T$319,'TAR FIN'!$A$1:$O$113,15,0)),0,VLOOKUP($T$319,'TAR FIN'!$A$1:$O$113,15,0))</f>
        <v>225.87</v>
      </c>
      <c r="X319" s="6">
        <f>IF(ISERROR(VLOOKUP($U$319,'TAR FIN'!$A$1:$O$113,15,0)),0,VLOOKUP($U$319,'TAR FIN'!$A$1:$O$113,15,0))</f>
        <v>292.36</v>
      </c>
      <c r="Y319" s="6"/>
      <c r="Z319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319" s="6">
        <f>('TE BE'!$AB$22+'TE BF'!$AB$22+'TE CVA'!$AB$22)*(1-CUSTOS!$M$37)</f>
        <v>314.78517822974521</v>
      </c>
      <c r="AB319" s="6">
        <f t="shared" si="14"/>
        <v>0</v>
      </c>
      <c r="AC319" s="6">
        <f>(L319-M319)*(W319+X319)+($W$317+$X$317-$W$319-$X$319)*(L319)</f>
        <v>0</v>
      </c>
      <c r="AD319" s="6">
        <f t="shared" si="15"/>
        <v>0</v>
      </c>
      <c r="AE319" s="6">
        <f ca="1">(L319-M319)*(Z319+AA319)+($Z$317+$AA$317-$Z$319-$AA$319)*(L319)</f>
        <v>2.0242509890522341E-12</v>
      </c>
      <c r="AF319" s="4" t="s">
        <v>854</v>
      </c>
    </row>
    <row r="320" spans="1:32" ht="11.25" customHeight="1" x14ac:dyDescent="0.3">
      <c r="A320" s="4" t="s">
        <v>27</v>
      </c>
      <c r="B320" s="4" t="s">
        <v>22</v>
      </c>
      <c r="C320" s="4" t="s">
        <v>23</v>
      </c>
      <c r="D320" s="4" t="s">
        <v>24</v>
      </c>
      <c r="E320" s="4" t="s">
        <v>32</v>
      </c>
      <c r="F320" s="4" t="s">
        <v>25</v>
      </c>
      <c r="G320" s="4" t="s">
        <v>25</v>
      </c>
      <c r="H320" s="4" t="s">
        <v>25</v>
      </c>
      <c r="I320" s="5">
        <v>44531</v>
      </c>
      <c r="J320" s="6">
        <v>0</v>
      </c>
      <c r="K320" s="6">
        <v>0</v>
      </c>
      <c r="L320" s="6">
        <v>-3.6999999999999998E-2</v>
      </c>
      <c r="M320" s="6">
        <v>-3.6999999999999998E-2</v>
      </c>
      <c r="N320" s="6">
        <v>-3.6999999999999998E-2</v>
      </c>
      <c r="O320" s="6">
        <v>-3.6999999999999998E-2</v>
      </c>
      <c r="P320" s="6">
        <v>0</v>
      </c>
      <c r="Q320" s="4" t="s">
        <v>26</v>
      </c>
      <c r="R320" s="4">
        <v>0</v>
      </c>
      <c r="S320" s="4">
        <v>0</v>
      </c>
      <c r="T320" s="4">
        <v>49</v>
      </c>
      <c r="U320" s="4">
        <v>55</v>
      </c>
      <c r="V320" s="6">
        <f>IF(ISERROR(VLOOKUP($S$320,'TAR FIN'!$A$1:$O$113,15,0)),0,VLOOKUP($S$320,'TAR FIN'!$A$1:$O$113,15,0))</f>
        <v>0</v>
      </c>
      <c r="W320" s="6">
        <f>IF(ISERROR(VLOOKUP($T$320,'TAR FIN'!$A$1:$O$113,15,0)),0,VLOOKUP($T$320,'TAR FIN'!$A$1:$O$113,15,0))</f>
        <v>225.87</v>
      </c>
      <c r="X320" s="6">
        <f>IF(ISERROR(VLOOKUP($U$320,'TAR FIN'!$A$1:$O$113,15,0)),0,VLOOKUP($U$320,'TAR FIN'!$A$1:$O$113,15,0))</f>
        <v>292.36</v>
      </c>
      <c r="Y320" s="6"/>
      <c r="Z320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320" s="6">
        <f>('TE BE'!$AB$22+'TE BF'!$AB$22+'TE CVA'!$AB$22)*(1-CUSTOS!$M$37)</f>
        <v>314.78517822974521</v>
      </c>
      <c r="AB320" s="6">
        <f t="shared" si="14"/>
        <v>0</v>
      </c>
      <c r="AC320" s="6">
        <f>(L320-M320)*(W320+X320)+($W$317+$X$317-$W$320-$X$320)*(L320)</f>
        <v>0</v>
      </c>
      <c r="AD320" s="6">
        <f t="shared" si="15"/>
        <v>0</v>
      </c>
      <c r="AE320" s="6">
        <f ca="1">(L320-M320)*(Z320+AA320)+($Z$317+$AA$317-$Z$320-$AA$320)*(L320)</f>
        <v>-2.1032064978498964E-15</v>
      </c>
      <c r="AF320" s="4" t="s">
        <v>854</v>
      </c>
    </row>
    <row r="321" spans="1:32" ht="11.25" customHeight="1" x14ac:dyDescent="0.3">
      <c r="A321" s="4" t="s">
        <v>21</v>
      </c>
      <c r="B321" s="4" t="s">
        <v>22</v>
      </c>
      <c r="C321" s="4" t="s">
        <v>23</v>
      </c>
      <c r="D321" s="4" t="s">
        <v>24</v>
      </c>
      <c r="E321" s="4" t="s">
        <v>32</v>
      </c>
      <c r="F321" s="4" t="s">
        <v>25</v>
      </c>
      <c r="G321" s="4" t="s">
        <v>25</v>
      </c>
      <c r="H321" s="4" t="s">
        <v>25</v>
      </c>
      <c r="I321" s="5">
        <v>44562</v>
      </c>
      <c r="J321" s="6">
        <v>0</v>
      </c>
      <c r="K321" s="6">
        <v>0</v>
      </c>
      <c r="L321" s="6">
        <v>54.076999999999998</v>
      </c>
      <c r="M321" s="6">
        <v>54.076999999999998</v>
      </c>
      <c r="N321" s="6">
        <v>54.076999999999998</v>
      </c>
      <c r="O321" s="6">
        <v>54.076999999999998</v>
      </c>
      <c r="P321" s="6">
        <v>842</v>
      </c>
      <c r="Q321" s="4" t="s">
        <v>26</v>
      </c>
      <c r="R321" s="4">
        <v>0</v>
      </c>
      <c r="S321" s="4">
        <v>0</v>
      </c>
      <c r="T321" s="4">
        <v>49</v>
      </c>
      <c r="U321" s="4">
        <v>55</v>
      </c>
      <c r="V321" s="6">
        <f>IF(ISERROR(VLOOKUP($S$321,'TAR FIN'!$A$1:$O$113,15,0)),0,VLOOKUP($S$321,'TAR FIN'!$A$1:$O$113,15,0))</f>
        <v>0</v>
      </c>
      <c r="W321" s="6">
        <f>IF(ISERROR(VLOOKUP($T$321,'TAR FIN'!$A$1:$O$113,15,0)),0,VLOOKUP($T$321,'TAR FIN'!$A$1:$O$113,15,0))</f>
        <v>225.87</v>
      </c>
      <c r="X321" s="6">
        <f>IF(ISERROR(VLOOKUP($U$321,'TAR FIN'!$A$1:$O$113,15,0)),0,VLOOKUP($U$321,'TAR FIN'!$A$1:$O$113,15,0))</f>
        <v>292.36</v>
      </c>
      <c r="Y321" s="6"/>
      <c r="Z321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321" s="6">
        <f>('TE BE'!$AB$22+'TE BF'!$AB$22+'TE CVA'!$AB$22)*(1-CUSTOS!$M$37)</f>
        <v>314.78517822974521</v>
      </c>
      <c r="AB321" s="6">
        <f t="shared" si="14"/>
        <v>0</v>
      </c>
      <c r="AC321" s="6">
        <f>(L321-M321)*(W321+X321)+($W$317+$X$317-$W$321-$X$321)*(L321)</f>
        <v>0</v>
      </c>
      <c r="AD321" s="6">
        <f t="shared" si="15"/>
        <v>0</v>
      </c>
      <c r="AE321" s="6">
        <f ca="1">(L321-M321)*(Z321+AA321)+($Z$317+$AA$317-$Z$321-$AA$321)*(L321)</f>
        <v>3.0739215617359149E-12</v>
      </c>
      <c r="AF321" s="4" t="s">
        <v>854</v>
      </c>
    </row>
    <row r="322" spans="1:32" ht="11.25" customHeight="1" x14ac:dyDescent="0.3">
      <c r="A322" s="4" t="s">
        <v>27</v>
      </c>
      <c r="B322" s="4" t="s">
        <v>22</v>
      </c>
      <c r="C322" s="4" t="s">
        <v>23</v>
      </c>
      <c r="D322" s="4" t="s">
        <v>24</v>
      </c>
      <c r="E322" s="4" t="s">
        <v>32</v>
      </c>
      <c r="F322" s="4" t="s">
        <v>25</v>
      </c>
      <c r="G322" s="4" t="s">
        <v>25</v>
      </c>
      <c r="H322" s="4" t="s">
        <v>25</v>
      </c>
      <c r="I322" s="5">
        <v>44562</v>
      </c>
      <c r="J322" s="6">
        <v>0</v>
      </c>
      <c r="K322" s="6">
        <v>0</v>
      </c>
      <c r="L322" s="6">
        <v>-0.54900000000000004</v>
      </c>
      <c r="M322" s="6">
        <v>-0.54900000000000004</v>
      </c>
      <c r="N322" s="6">
        <v>-0.54900000000000004</v>
      </c>
      <c r="O322" s="6">
        <v>-0.54900000000000004</v>
      </c>
      <c r="P322" s="6">
        <v>0</v>
      </c>
      <c r="Q322" s="4" t="s">
        <v>26</v>
      </c>
      <c r="R322" s="4">
        <v>0</v>
      </c>
      <c r="S322" s="4">
        <v>0</v>
      </c>
      <c r="T322" s="4">
        <v>49</v>
      </c>
      <c r="U322" s="4">
        <v>55</v>
      </c>
      <c r="V322" s="6">
        <f>IF(ISERROR(VLOOKUP($S$322,'TAR FIN'!$A$1:$O$113,15,0)),0,VLOOKUP($S$322,'TAR FIN'!$A$1:$O$113,15,0))</f>
        <v>0</v>
      </c>
      <c r="W322" s="6">
        <f>IF(ISERROR(VLOOKUP($T$322,'TAR FIN'!$A$1:$O$113,15,0)),0,VLOOKUP($T$322,'TAR FIN'!$A$1:$O$113,15,0))</f>
        <v>225.87</v>
      </c>
      <c r="X322" s="6">
        <f>IF(ISERROR(VLOOKUP($U$322,'TAR FIN'!$A$1:$O$113,15,0)),0,VLOOKUP($U$322,'TAR FIN'!$A$1:$O$113,15,0))</f>
        <v>292.36</v>
      </c>
      <c r="Y322" s="6"/>
      <c r="Z322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322" s="6">
        <f>('TE BE'!$AB$22+'TE BF'!$AB$22+'TE CVA'!$AB$22)*(1-CUSTOS!$M$37)</f>
        <v>314.78517822974521</v>
      </c>
      <c r="AB322" s="6">
        <f t="shared" ref="AB322:AB370" si="16">(J322-K322)*V322</f>
        <v>0</v>
      </c>
      <c r="AC322" s="6">
        <f>(L322-M322)*(W322+X322)+($W$317+$X$317-$W$322-$X$322)*(L322)</f>
        <v>0</v>
      </c>
      <c r="AD322" s="6">
        <f t="shared" ref="AD322:AD370" si="17">(J322-K322)*Y322</f>
        <v>0</v>
      </c>
      <c r="AE322" s="6">
        <f ca="1">(L322-M322)*(Z322+AA322)+($Z$317+$AA$317-$Z$322-$AA$322)*(L322)</f>
        <v>-3.1207036954583603E-14</v>
      </c>
      <c r="AF322" s="4" t="s">
        <v>854</v>
      </c>
    </row>
    <row r="323" spans="1:32" ht="11.25" customHeight="1" x14ac:dyDescent="0.3">
      <c r="A323" s="4" t="s">
        <v>21</v>
      </c>
      <c r="B323" s="4" t="s">
        <v>22</v>
      </c>
      <c r="C323" s="4" t="s">
        <v>23</v>
      </c>
      <c r="D323" s="4" t="s">
        <v>24</v>
      </c>
      <c r="E323" s="4" t="s">
        <v>32</v>
      </c>
      <c r="F323" s="4" t="s">
        <v>25</v>
      </c>
      <c r="G323" s="4" t="s">
        <v>25</v>
      </c>
      <c r="H323" s="4" t="s">
        <v>25</v>
      </c>
      <c r="I323" s="5">
        <v>44593</v>
      </c>
      <c r="J323" s="6">
        <v>0</v>
      </c>
      <c r="K323" s="6">
        <v>0</v>
      </c>
      <c r="L323" s="6">
        <v>41.75</v>
      </c>
      <c r="M323" s="6">
        <v>41.75</v>
      </c>
      <c r="N323" s="6">
        <v>41.75</v>
      </c>
      <c r="O323" s="6">
        <v>41.75</v>
      </c>
      <c r="P323" s="6">
        <v>685</v>
      </c>
      <c r="Q323" s="4" t="s">
        <v>26</v>
      </c>
      <c r="R323" s="4">
        <v>0</v>
      </c>
      <c r="S323" s="4">
        <v>0</v>
      </c>
      <c r="T323" s="4">
        <v>49</v>
      </c>
      <c r="U323" s="4">
        <v>55</v>
      </c>
      <c r="V323" s="6">
        <f>IF(ISERROR(VLOOKUP($S$323,'TAR FIN'!$A$1:$O$113,15,0)),0,VLOOKUP($S$323,'TAR FIN'!$A$1:$O$113,15,0))</f>
        <v>0</v>
      </c>
      <c r="W323" s="6">
        <f>IF(ISERROR(VLOOKUP($T$323,'TAR FIN'!$A$1:$O$113,15,0)),0,VLOOKUP($T$323,'TAR FIN'!$A$1:$O$113,15,0))</f>
        <v>225.87</v>
      </c>
      <c r="X323" s="6">
        <f>IF(ISERROR(VLOOKUP($U$323,'TAR FIN'!$A$1:$O$113,15,0)),0,VLOOKUP($U$323,'TAR FIN'!$A$1:$O$113,15,0))</f>
        <v>292.36</v>
      </c>
      <c r="Y323" s="6"/>
      <c r="Z323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323" s="6">
        <f>('TE BE'!$AB$22+'TE BF'!$AB$22+'TE CVA'!$AB$22)*(1-CUSTOS!$M$37)</f>
        <v>314.78517822974521</v>
      </c>
      <c r="AB323" s="6">
        <f t="shared" si="16"/>
        <v>0</v>
      </c>
      <c r="AC323" s="6">
        <f>(L323-M323)*(W323+X323)+($W$317+$X$317-$W$323-$X$323)*(L323)</f>
        <v>0</v>
      </c>
      <c r="AD323" s="6">
        <f t="shared" si="17"/>
        <v>0</v>
      </c>
      <c r="AE323" s="6">
        <f ca="1">(L323-M323)*(Z323+AA323)+($Z$317+$AA$317-$Z$323-$AA$323)*(L323)</f>
        <v>2.3732127374387346E-12</v>
      </c>
      <c r="AF323" s="4" t="s">
        <v>854</v>
      </c>
    </row>
    <row r="324" spans="1:32" ht="11.25" customHeight="1" x14ac:dyDescent="0.3">
      <c r="A324" s="4" t="s">
        <v>21</v>
      </c>
      <c r="B324" s="4" t="s">
        <v>22</v>
      </c>
      <c r="C324" s="4" t="s">
        <v>23</v>
      </c>
      <c r="D324" s="4" t="s">
        <v>24</v>
      </c>
      <c r="E324" s="4" t="s">
        <v>32</v>
      </c>
      <c r="F324" s="4" t="s">
        <v>25</v>
      </c>
      <c r="G324" s="4" t="s">
        <v>25</v>
      </c>
      <c r="H324" s="4" t="s">
        <v>25</v>
      </c>
      <c r="I324" s="5">
        <v>44621</v>
      </c>
      <c r="J324" s="6">
        <v>0</v>
      </c>
      <c r="K324" s="6">
        <v>0</v>
      </c>
      <c r="L324" s="6">
        <v>48.390999999999998</v>
      </c>
      <c r="M324" s="6">
        <v>48.390999999999998</v>
      </c>
      <c r="N324" s="6">
        <v>48.390999999999998</v>
      </c>
      <c r="O324" s="6">
        <v>48.390999999999998</v>
      </c>
      <c r="P324" s="6">
        <v>805</v>
      </c>
      <c r="Q324" s="4" t="s">
        <v>26</v>
      </c>
      <c r="R324" s="4">
        <v>0</v>
      </c>
      <c r="S324" s="4">
        <v>0</v>
      </c>
      <c r="T324" s="4">
        <v>49</v>
      </c>
      <c r="U324" s="4">
        <v>55</v>
      </c>
      <c r="V324" s="6">
        <f>IF(ISERROR(VLOOKUP($S$324,'TAR FIN'!$A$1:$O$113,15,0)),0,VLOOKUP($S$324,'TAR FIN'!$A$1:$O$113,15,0))</f>
        <v>0</v>
      </c>
      <c r="W324" s="6">
        <f>IF(ISERROR(VLOOKUP($T$324,'TAR FIN'!$A$1:$O$113,15,0)),0,VLOOKUP($T$324,'TAR FIN'!$A$1:$O$113,15,0))</f>
        <v>225.87</v>
      </c>
      <c r="X324" s="6">
        <f>IF(ISERROR(VLOOKUP($U$324,'TAR FIN'!$A$1:$O$113,15,0)),0,VLOOKUP($U$324,'TAR FIN'!$A$1:$O$113,15,0))</f>
        <v>292.36</v>
      </c>
      <c r="Y324" s="6"/>
      <c r="Z324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324" s="6">
        <f>('TE BE'!$AB$22+'TE BF'!$AB$22+'TE CVA'!$AB$22)*(1-CUSTOS!$M$37)</f>
        <v>314.78517822974521</v>
      </c>
      <c r="AB324" s="6">
        <f t="shared" si="16"/>
        <v>0</v>
      </c>
      <c r="AC324" s="6">
        <f>(L324-M324)*(W324+X324)+($W$317+$X$317-$W$324-$X$324)*(L324)</f>
        <v>0</v>
      </c>
      <c r="AD324" s="6">
        <f t="shared" si="17"/>
        <v>0</v>
      </c>
      <c r="AE324" s="6">
        <f ca="1">(L324-M324)*(Z324+AA324)+($Z$317+$AA$317-$Z$324-$AA$324)*(L324)</f>
        <v>2.7507098820933605E-12</v>
      </c>
      <c r="AF324" s="4" t="s">
        <v>854</v>
      </c>
    </row>
    <row r="325" spans="1:32" ht="11.25" customHeight="1" x14ac:dyDescent="0.3">
      <c r="A325" s="4" t="s">
        <v>21</v>
      </c>
      <c r="B325" s="4" t="s">
        <v>22</v>
      </c>
      <c r="C325" s="4" t="s">
        <v>23</v>
      </c>
      <c r="D325" s="4" t="s">
        <v>24</v>
      </c>
      <c r="E325" s="4" t="s">
        <v>32</v>
      </c>
      <c r="F325" s="4" t="s">
        <v>25</v>
      </c>
      <c r="G325" s="4" t="s">
        <v>25</v>
      </c>
      <c r="H325" s="4" t="s">
        <v>25</v>
      </c>
      <c r="I325" s="5">
        <v>44652</v>
      </c>
      <c r="J325" s="6">
        <v>0</v>
      </c>
      <c r="K325" s="6">
        <v>0</v>
      </c>
      <c r="L325" s="6">
        <v>49.868000000000002</v>
      </c>
      <c r="M325" s="6">
        <v>49.868000000000002</v>
      </c>
      <c r="N325" s="6">
        <v>49.868000000000002</v>
      </c>
      <c r="O325" s="6">
        <v>49.868000000000002</v>
      </c>
      <c r="P325" s="6">
        <v>805</v>
      </c>
      <c r="Q325" s="4" t="s">
        <v>26</v>
      </c>
      <c r="R325" s="4">
        <v>0</v>
      </c>
      <c r="S325" s="4">
        <v>0</v>
      </c>
      <c r="T325" s="4">
        <v>49</v>
      </c>
      <c r="U325" s="4">
        <v>55</v>
      </c>
      <c r="V325" s="6">
        <f>IF(ISERROR(VLOOKUP($S$325,'TAR FIN'!$A$1:$O$113,15,0)),0,VLOOKUP($S$325,'TAR FIN'!$A$1:$O$113,15,0))</f>
        <v>0</v>
      </c>
      <c r="W325" s="6">
        <f>IF(ISERROR(VLOOKUP($T$325,'TAR FIN'!$A$1:$O$113,15,0)),0,VLOOKUP($T$325,'TAR FIN'!$A$1:$O$113,15,0))</f>
        <v>225.87</v>
      </c>
      <c r="X325" s="6">
        <f>IF(ISERROR(VLOOKUP($U$325,'TAR FIN'!$A$1:$O$113,15,0)),0,VLOOKUP($U$325,'TAR FIN'!$A$1:$O$113,15,0))</f>
        <v>292.36</v>
      </c>
      <c r="Y325" s="6"/>
      <c r="Z325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325" s="6">
        <f>('TE BE'!$AB$22+'TE BF'!$AB$22+'TE CVA'!$AB$22)*(1-CUSTOS!$M$37)</f>
        <v>314.78517822974521</v>
      </c>
      <c r="AB325" s="6">
        <f t="shared" si="16"/>
        <v>0</v>
      </c>
      <c r="AC325" s="6">
        <f>(L325-M325)*(W325+X325)+($W$317+$X$317-$W$325-$X$325)*(L325)</f>
        <v>0</v>
      </c>
      <c r="AD325" s="6">
        <f t="shared" si="17"/>
        <v>0</v>
      </c>
      <c r="AE325" s="6">
        <f ca="1">(L325-M325)*(Z325+AA325)+($Z$317+$AA$317-$Z$325-$AA$325)*(L325)</f>
        <v>2.8346676117507742E-12</v>
      </c>
      <c r="AF325" s="4" t="s">
        <v>854</v>
      </c>
    </row>
    <row r="326" spans="1:32" ht="11.25" customHeight="1" x14ac:dyDescent="0.3">
      <c r="A326" s="4" t="s">
        <v>27</v>
      </c>
      <c r="B326" s="4" t="s">
        <v>22</v>
      </c>
      <c r="C326" s="4" t="s">
        <v>23</v>
      </c>
      <c r="D326" s="4" t="s">
        <v>24</v>
      </c>
      <c r="E326" s="4" t="s">
        <v>32</v>
      </c>
      <c r="F326" s="4" t="s">
        <v>25</v>
      </c>
      <c r="G326" s="4" t="s">
        <v>25</v>
      </c>
      <c r="H326" s="4" t="s">
        <v>25</v>
      </c>
      <c r="I326" s="5">
        <v>44652</v>
      </c>
      <c r="J326" s="6">
        <v>0</v>
      </c>
      <c r="K326" s="6">
        <v>0</v>
      </c>
      <c r="L326" s="6">
        <v>0.316</v>
      </c>
      <c r="M326" s="6">
        <v>0.316</v>
      </c>
      <c r="N326" s="6">
        <v>0.316</v>
      </c>
      <c r="O326" s="6">
        <v>0.316</v>
      </c>
      <c r="P326" s="6">
        <v>0</v>
      </c>
      <c r="Q326" s="4" t="s">
        <v>26</v>
      </c>
      <c r="R326" s="4">
        <v>0</v>
      </c>
      <c r="S326" s="4">
        <v>0</v>
      </c>
      <c r="T326" s="4">
        <v>49</v>
      </c>
      <c r="U326" s="4">
        <v>55</v>
      </c>
      <c r="V326" s="6">
        <f>IF(ISERROR(VLOOKUP($S$326,'TAR FIN'!$A$1:$O$113,15,0)),0,VLOOKUP($S$326,'TAR FIN'!$A$1:$O$113,15,0))</f>
        <v>0</v>
      </c>
      <c r="W326" s="6">
        <f>IF(ISERROR(VLOOKUP($T$326,'TAR FIN'!$A$1:$O$113,15,0)),0,VLOOKUP($T$326,'TAR FIN'!$A$1:$O$113,15,0))</f>
        <v>225.87</v>
      </c>
      <c r="X326" s="6">
        <f>IF(ISERROR(VLOOKUP($U$326,'TAR FIN'!$A$1:$O$113,15,0)),0,VLOOKUP($U$326,'TAR FIN'!$A$1:$O$113,15,0))</f>
        <v>292.36</v>
      </c>
      <c r="Y326" s="6"/>
      <c r="Z326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326" s="6">
        <f>('TE BE'!$AB$22+'TE BF'!$AB$22+'TE CVA'!$AB$22)*(1-CUSTOS!$M$37)</f>
        <v>314.78517822974521</v>
      </c>
      <c r="AB326" s="6">
        <f t="shared" si="16"/>
        <v>0</v>
      </c>
      <c r="AC326" s="6">
        <f>(L326-M326)*(W326+X326)+($W$317+$X$317-$W$326-$X$326)*(L326)</f>
        <v>0</v>
      </c>
      <c r="AD326" s="6">
        <f t="shared" si="17"/>
        <v>0</v>
      </c>
      <c r="AE326" s="6">
        <f ca="1">(L326-M326)*(Z326+AA326)+($Z$317+$AA$317-$Z$326-$AA$326)*(L326)</f>
        <v>1.7962520360015333E-14</v>
      </c>
      <c r="AF326" s="4" t="s">
        <v>854</v>
      </c>
    </row>
    <row r="327" spans="1:32" ht="11.25" customHeight="1" x14ac:dyDescent="0.3">
      <c r="A327" s="4" t="s">
        <v>21</v>
      </c>
      <c r="B327" s="4" t="s">
        <v>22</v>
      </c>
      <c r="C327" s="4" t="s">
        <v>23</v>
      </c>
      <c r="D327" s="4" t="s">
        <v>24</v>
      </c>
      <c r="E327" s="4" t="s">
        <v>32</v>
      </c>
      <c r="F327" s="4" t="s">
        <v>25</v>
      </c>
      <c r="G327" s="4" t="s">
        <v>25</v>
      </c>
      <c r="H327" s="4" t="s">
        <v>25</v>
      </c>
      <c r="I327" s="5">
        <v>44682</v>
      </c>
      <c r="J327" s="6">
        <v>0</v>
      </c>
      <c r="K327" s="6">
        <v>0</v>
      </c>
      <c r="L327" s="6">
        <v>54.363999999999997</v>
      </c>
      <c r="M327" s="6">
        <v>54.363999999999997</v>
      </c>
      <c r="N327" s="6">
        <v>54.363999999999997</v>
      </c>
      <c r="O327" s="6">
        <v>54.363999999999997</v>
      </c>
      <c r="P327" s="6">
        <v>895</v>
      </c>
      <c r="Q327" s="4" t="s">
        <v>26</v>
      </c>
      <c r="R327" s="4">
        <v>0</v>
      </c>
      <c r="S327" s="4">
        <v>0</v>
      </c>
      <c r="T327" s="4">
        <v>49</v>
      </c>
      <c r="U327" s="4">
        <v>55</v>
      </c>
      <c r="V327" s="6">
        <f>IF(ISERROR(VLOOKUP($S$327,'TAR FIN'!$A$1:$O$113,15,0)),0,VLOOKUP($S$327,'TAR FIN'!$A$1:$O$113,15,0))</f>
        <v>0</v>
      </c>
      <c r="W327" s="6">
        <f>IF(ISERROR(VLOOKUP($T$327,'TAR FIN'!$A$1:$O$113,15,0)),0,VLOOKUP($T$327,'TAR FIN'!$A$1:$O$113,15,0))</f>
        <v>225.87</v>
      </c>
      <c r="X327" s="6">
        <f>IF(ISERROR(VLOOKUP($U$327,'TAR FIN'!$A$1:$O$113,15,0)),0,VLOOKUP($U$327,'TAR FIN'!$A$1:$O$113,15,0))</f>
        <v>292.36</v>
      </c>
      <c r="Y327" s="6"/>
      <c r="Z327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327" s="6">
        <f>('TE BE'!$AB$22+'TE BF'!$AB$22+'TE CVA'!$AB$22)*(1-CUSTOS!$M$37)</f>
        <v>314.78517822974521</v>
      </c>
      <c r="AB327" s="6">
        <f t="shared" si="16"/>
        <v>0</v>
      </c>
      <c r="AC327" s="6">
        <f>(L327-M327)*(W327+X327)+($W$317+$X$317-$W$327-$X$327)*(L327)</f>
        <v>0</v>
      </c>
      <c r="AD327" s="6">
        <f t="shared" si="17"/>
        <v>0</v>
      </c>
      <c r="AE327" s="6">
        <f ca="1">(L327-M327)*(Z327+AA327)+($Z$317+$AA$317-$Z$327-$AA$327)*(L327)</f>
        <v>3.0902356229489668E-12</v>
      </c>
      <c r="AF327" s="4" t="s">
        <v>854</v>
      </c>
    </row>
    <row r="328" spans="1:32" ht="11.25" customHeight="1" x14ac:dyDescent="0.3">
      <c r="A328" s="4" t="s">
        <v>27</v>
      </c>
      <c r="B328" s="4" t="s">
        <v>22</v>
      </c>
      <c r="C328" s="4" t="s">
        <v>23</v>
      </c>
      <c r="D328" s="4" t="s">
        <v>24</v>
      </c>
      <c r="E328" s="4" t="s">
        <v>32</v>
      </c>
      <c r="F328" s="4" t="s">
        <v>25</v>
      </c>
      <c r="G328" s="4" t="s">
        <v>25</v>
      </c>
      <c r="H328" s="4" t="s">
        <v>25</v>
      </c>
      <c r="I328" s="5">
        <v>44682</v>
      </c>
      <c r="J328" s="6">
        <v>0</v>
      </c>
      <c r="K328" s="6">
        <v>0</v>
      </c>
      <c r="L328" s="6">
        <v>-0.17899999999999999</v>
      </c>
      <c r="M328" s="6">
        <v>-0.17899999999999999</v>
      </c>
      <c r="N328" s="6">
        <v>-0.17899999999999999</v>
      </c>
      <c r="O328" s="6">
        <v>-0.17899999999999999</v>
      </c>
      <c r="P328" s="6">
        <v>0</v>
      </c>
      <c r="Q328" s="4" t="s">
        <v>26</v>
      </c>
      <c r="R328" s="4">
        <v>0</v>
      </c>
      <c r="S328" s="4">
        <v>0</v>
      </c>
      <c r="T328" s="4">
        <v>49</v>
      </c>
      <c r="U328" s="4">
        <v>55</v>
      </c>
      <c r="V328" s="6">
        <f>IF(ISERROR(VLOOKUP($S$328,'TAR FIN'!$A$1:$O$113,15,0)),0,VLOOKUP($S$328,'TAR FIN'!$A$1:$O$113,15,0))</f>
        <v>0</v>
      </c>
      <c r="W328" s="6">
        <f>IF(ISERROR(VLOOKUP($T$328,'TAR FIN'!$A$1:$O$113,15,0)),0,VLOOKUP($T$328,'TAR FIN'!$A$1:$O$113,15,0))</f>
        <v>225.87</v>
      </c>
      <c r="X328" s="6">
        <f>IF(ISERROR(VLOOKUP($U$328,'TAR FIN'!$A$1:$O$113,15,0)),0,VLOOKUP($U$328,'TAR FIN'!$A$1:$O$113,15,0))</f>
        <v>292.36</v>
      </c>
      <c r="Y328" s="6"/>
      <c r="Z328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328" s="6">
        <f>('TE BE'!$AB$22+'TE BF'!$AB$22+'TE CVA'!$AB$22)*(1-CUSTOS!$M$37)</f>
        <v>314.78517822974521</v>
      </c>
      <c r="AB328" s="6">
        <f t="shared" si="16"/>
        <v>0</v>
      </c>
      <c r="AC328" s="6">
        <f>(L328-M328)*(W328+X328)+($W$317+$X$317-$W$328-$X$328)*(L328)</f>
        <v>0</v>
      </c>
      <c r="AD328" s="6">
        <f t="shared" si="17"/>
        <v>0</v>
      </c>
      <c r="AE328" s="6">
        <f ca="1">(L328-M328)*(Z328+AA328)+($Z$317+$AA$317-$Z$328-$AA$328)*(L328)</f>
        <v>-1.0174971976084634E-14</v>
      </c>
      <c r="AF328" s="4" t="s">
        <v>854</v>
      </c>
    </row>
    <row r="329" spans="1:32" ht="11.25" customHeight="1" x14ac:dyDescent="0.3">
      <c r="A329" s="4" t="s">
        <v>21</v>
      </c>
      <c r="B329" s="4" t="s">
        <v>22</v>
      </c>
      <c r="C329" s="4" t="s">
        <v>23</v>
      </c>
      <c r="D329" s="4" t="s">
        <v>24</v>
      </c>
      <c r="E329" s="4" t="s">
        <v>32</v>
      </c>
      <c r="F329" s="4" t="s">
        <v>25</v>
      </c>
      <c r="G329" s="4" t="s">
        <v>25</v>
      </c>
      <c r="H329" s="4" t="s">
        <v>25</v>
      </c>
      <c r="I329" s="5">
        <v>44713</v>
      </c>
      <c r="J329" s="6">
        <v>0</v>
      </c>
      <c r="K329" s="6">
        <v>0</v>
      </c>
      <c r="L329" s="6">
        <v>53.680999999999997</v>
      </c>
      <c r="M329" s="6">
        <v>53.680999999999997</v>
      </c>
      <c r="N329" s="6">
        <v>53.680999999999997</v>
      </c>
      <c r="O329" s="6">
        <v>53.680999999999997</v>
      </c>
      <c r="P329" s="6">
        <v>833</v>
      </c>
      <c r="Q329" s="4" t="s">
        <v>26</v>
      </c>
      <c r="R329" s="4">
        <v>0</v>
      </c>
      <c r="S329" s="4">
        <v>0</v>
      </c>
      <c r="T329" s="4">
        <v>49</v>
      </c>
      <c r="U329" s="4">
        <v>55</v>
      </c>
      <c r="V329" s="6">
        <f>IF(ISERROR(VLOOKUP($S$329,'TAR FIN'!$A$1:$O$113,15,0)),0,VLOOKUP($S$329,'TAR FIN'!$A$1:$O$113,15,0))</f>
        <v>0</v>
      </c>
      <c r="W329" s="6">
        <f>IF(ISERROR(VLOOKUP($T$329,'TAR FIN'!$A$1:$O$113,15,0)),0,VLOOKUP($T$329,'TAR FIN'!$A$1:$O$113,15,0))</f>
        <v>225.87</v>
      </c>
      <c r="X329" s="6">
        <f>IF(ISERROR(VLOOKUP($U$329,'TAR FIN'!$A$1:$O$113,15,0)),0,VLOOKUP($U$329,'TAR FIN'!$A$1:$O$113,15,0))</f>
        <v>292.36</v>
      </c>
      <c r="Y329" s="6"/>
      <c r="Z329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329" s="6">
        <f>('TE BE'!$AB$22+'TE BF'!$AB$22+'TE CVA'!$AB$22)*(1-CUSTOS!$M$37)</f>
        <v>314.78517822974521</v>
      </c>
      <c r="AB329" s="6">
        <f t="shared" si="16"/>
        <v>0</v>
      </c>
      <c r="AC329" s="6">
        <f>(L329-M329)*(W329+X329)+($W$317+$X$317-$W$329-$X$329)*(L329)</f>
        <v>0</v>
      </c>
      <c r="AD329" s="6">
        <f t="shared" si="17"/>
        <v>0</v>
      </c>
      <c r="AE329" s="6">
        <f ca="1">(L329-M329)*(Z329+AA329)+($Z$317+$AA$317-$Z$329-$AA$329)*(L329)</f>
        <v>3.0514115678670349E-12</v>
      </c>
      <c r="AF329" s="4" t="s">
        <v>854</v>
      </c>
    </row>
    <row r="330" spans="1:32" ht="11.25" customHeight="1" x14ac:dyDescent="0.3">
      <c r="A330" s="4" t="s">
        <v>21</v>
      </c>
      <c r="B330" s="4" t="s">
        <v>22</v>
      </c>
      <c r="C330" s="4" t="s">
        <v>23</v>
      </c>
      <c r="D330" s="4" t="s">
        <v>24</v>
      </c>
      <c r="E330" s="4" t="s">
        <v>32</v>
      </c>
      <c r="F330" s="4" t="s">
        <v>25</v>
      </c>
      <c r="G330" s="4" t="s">
        <v>25</v>
      </c>
      <c r="H330" s="4" t="s">
        <v>25</v>
      </c>
      <c r="I330" s="5">
        <v>44743</v>
      </c>
      <c r="J330" s="6">
        <v>0</v>
      </c>
      <c r="K330" s="6">
        <v>0</v>
      </c>
      <c r="L330" s="6">
        <v>59.723999999999997</v>
      </c>
      <c r="M330" s="6">
        <v>59.723999999999997</v>
      </c>
      <c r="N330" s="6">
        <v>59.723999999999997</v>
      </c>
      <c r="O330" s="6">
        <v>59.723999999999997</v>
      </c>
      <c r="P330" s="6">
        <v>905</v>
      </c>
      <c r="Q330" s="4" t="s">
        <v>26</v>
      </c>
      <c r="R330" s="4">
        <v>0</v>
      </c>
      <c r="S330" s="4">
        <v>0</v>
      </c>
      <c r="T330" s="4">
        <v>49</v>
      </c>
      <c r="U330" s="4">
        <v>55</v>
      </c>
      <c r="V330" s="6">
        <f>IF(ISERROR(VLOOKUP($S$330,'TAR FIN'!$A$1:$O$113,15,0)),0,VLOOKUP($S$330,'TAR FIN'!$A$1:$O$113,15,0))</f>
        <v>0</v>
      </c>
      <c r="W330" s="6">
        <f>IF(ISERROR(VLOOKUP($T$330,'TAR FIN'!$A$1:$O$113,15,0)),0,VLOOKUP($T$330,'TAR FIN'!$A$1:$O$113,15,0))</f>
        <v>225.87</v>
      </c>
      <c r="X330" s="6">
        <f>IF(ISERROR(VLOOKUP($U$330,'TAR FIN'!$A$1:$O$113,15,0)),0,VLOOKUP($U$330,'TAR FIN'!$A$1:$O$113,15,0))</f>
        <v>292.36</v>
      </c>
      <c r="Y330" s="6"/>
      <c r="Z330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330" s="6">
        <f>('TE BE'!$AB$22+'TE BF'!$AB$22+'TE CVA'!$AB$22)*(1-CUSTOS!$M$37)</f>
        <v>314.78517822974521</v>
      </c>
      <c r="AB330" s="6">
        <f t="shared" si="16"/>
        <v>0</v>
      </c>
      <c r="AC330" s="6">
        <f>(L330-M330)*(W330+X330)+($W$317+$X$317-$W$330-$X$330)*(L330)</f>
        <v>0</v>
      </c>
      <c r="AD330" s="6">
        <f t="shared" si="17"/>
        <v>0</v>
      </c>
      <c r="AE330" s="6">
        <f ca="1">(L330-M330)*(Z330+AA330)+($Z$317+$AA$317-$Z$330-$AA$330)*(L330)</f>
        <v>3.3949163480428977E-12</v>
      </c>
      <c r="AF330" s="4" t="s">
        <v>854</v>
      </c>
    </row>
    <row r="331" spans="1:32" ht="11.25" customHeight="1" x14ac:dyDescent="0.3">
      <c r="A331" s="4" t="s">
        <v>21</v>
      </c>
      <c r="B331" s="4" t="s">
        <v>22</v>
      </c>
      <c r="C331" s="4" t="s">
        <v>23</v>
      </c>
      <c r="D331" s="4" t="s">
        <v>24</v>
      </c>
      <c r="E331" s="4" t="s">
        <v>32</v>
      </c>
      <c r="F331" s="4" t="s">
        <v>25</v>
      </c>
      <c r="G331" s="4" t="s">
        <v>25</v>
      </c>
      <c r="H331" s="4" t="s">
        <v>25</v>
      </c>
      <c r="I331" s="5">
        <v>44774</v>
      </c>
      <c r="J331" s="6">
        <v>0</v>
      </c>
      <c r="K331" s="6">
        <v>0</v>
      </c>
      <c r="L331" s="6">
        <v>51.945999999999998</v>
      </c>
      <c r="M331" s="6">
        <v>51.945999999999998</v>
      </c>
      <c r="N331" s="6">
        <v>51.945999999999998</v>
      </c>
      <c r="O331" s="6">
        <v>51.945999999999998</v>
      </c>
      <c r="P331" s="6">
        <v>847</v>
      </c>
      <c r="Q331" s="4" t="s">
        <v>26</v>
      </c>
      <c r="R331" s="4">
        <v>0</v>
      </c>
      <c r="S331" s="4">
        <v>0</v>
      </c>
      <c r="T331" s="4">
        <v>49</v>
      </c>
      <c r="U331" s="4">
        <v>55</v>
      </c>
      <c r="V331" s="6">
        <f>IF(ISERROR(VLOOKUP($S$331,'TAR FIN'!$A$1:$O$113,15,0)),0,VLOOKUP($S$331,'TAR FIN'!$A$1:$O$113,15,0))</f>
        <v>0</v>
      </c>
      <c r="W331" s="6">
        <f>IF(ISERROR(VLOOKUP($T$331,'TAR FIN'!$A$1:$O$113,15,0)),0,VLOOKUP($T$331,'TAR FIN'!$A$1:$O$113,15,0))</f>
        <v>225.87</v>
      </c>
      <c r="X331" s="6">
        <f>IF(ISERROR(VLOOKUP($U$331,'TAR FIN'!$A$1:$O$113,15,0)),0,VLOOKUP($U$331,'TAR FIN'!$A$1:$O$113,15,0))</f>
        <v>292.36</v>
      </c>
      <c r="Y331" s="6"/>
      <c r="Z331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331" s="6">
        <f>('TE BE'!$AB$22+'TE BF'!$AB$22+'TE CVA'!$AB$22)*(1-CUSTOS!$M$37)</f>
        <v>314.78517822974521</v>
      </c>
      <c r="AB331" s="6">
        <f t="shared" si="16"/>
        <v>0</v>
      </c>
      <c r="AC331" s="6">
        <f>(L331-M331)*(W331+X331)+($W$317+$X$317-$W$331-$X$331)*(L331)</f>
        <v>0</v>
      </c>
      <c r="AD331" s="6">
        <f t="shared" si="17"/>
        <v>0</v>
      </c>
      <c r="AE331" s="6">
        <f ca="1">(L331-M331)*(Z331+AA331)+($Z$317+$AA$317-$Z$331-$AA$331)*(L331)</f>
        <v>2.952788236143533E-12</v>
      </c>
      <c r="AF331" s="4" t="s">
        <v>854</v>
      </c>
    </row>
    <row r="332" spans="1:32" ht="11.25" customHeight="1" x14ac:dyDescent="0.3">
      <c r="A332" s="4" t="s">
        <v>27</v>
      </c>
      <c r="B332" s="4" t="s">
        <v>22</v>
      </c>
      <c r="C332" s="4" t="s">
        <v>23</v>
      </c>
      <c r="D332" s="4" t="s">
        <v>24</v>
      </c>
      <c r="E332" s="4" t="s">
        <v>32</v>
      </c>
      <c r="F332" s="4" t="s">
        <v>25</v>
      </c>
      <c r="G332" s="4" t="s">
        <v>25</v>
      </c>
      <c r="H332" s="4" t="s">
        <v>25</v>
      </c>
      <c r="I332" s="5">
        <v>44774</v>
      </c>
      <c r="J332" s="6">
        <v>0</v>
      </c>
      <c r="K332" s="6">
        <v>0</v>
      </c>
      <c r="L332" s="6">
        <v>-0.115</v>
      </c>
      <c r="M332" s="6">
        <v>-0.115</v>
      </c>
      <c r="N332" s="6">
        <v>-0.115</v>
      </c>
      <c r="O332" s="6">
        <v>-0.115</v>
      </c>
      <c r="P332" s="6">
        <v>0</v>
      </c>
      <c r="Q332" s="4" t="s">
        <v>26</v>
      </c>
      <c r="R332" s="4">
        <v>0</v>
      </c>
      <c r="S332" s="4">
        <v>0</v>
      </c>
      <c r="T332" s="4">
        <v>49</v>
      </c>
      <c r="U332" s="4">
        <v>55</v>
      </c>
      <c r="V332" s="6">
        <f>IF(ISERROR(VLOOKUP($S$332,'TAR FIN'!$A$1:$O$113,15,0)),0,VLOOKUP($S$332,'TAR FIN'!$A$1:$O$113,15,0))</f>
        <v>0</v>
      </c>
      <c r="W332" s="6">
        <f>IF(ISERROR(VLOOKUP($T$332,'TAR FIN'!$A$1:$O$113,15,0)),0,VLOOKUP($T$332,'TAR FIN'!$A$1:$O$113,15,0))</f>
        <v>225.87</v>
      </c>
      <c r="X332" s="6">
        <f>IF(ISERROR(VLOOKUP($U$332,'TAR FIN'!$A$1:$O$113,15,0)),0,VLOOKUP($U$332,'TAR FIN'!$A$1:$O$113,15,0))</f>
        <v>292.36</v>
      </c>
      <c r="Y332" s="6"/>
      <c r="Z332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332" s="6">
        <f>('TE BE'!$AB$22+'TE BF'!$AB$22+'TE CVA'!$AB$22)*(1-CUSTOS!$M$37)</f>
        <v>314.78517822974521</v>
      </c>
      <c r="AB332" s="6">
        <f t="shared" si="16"/>
        <v>0</v>
      </c>
      <c r="AC332" s="6">
        <f>(L332-M332)*(W332+X332)+($W$317+$X$317-$W$332-$X$332)*(L332)</f>
        <v>0</v>
      </c>
      <c r="AD332" s="6">
        <f t="shared" si="17"/>
        <v>0</v>
      </c>
      <c r="AE332" s="6">
        <f ca="1">(L332-M332)*(Z332+AA332)+($Z$317+$AA$317-$Z$332-$AA$332)*(L332)</f>
        <v>-6.536993168992922E-15</v>
      </c>
      <c r="AF332" s="4" t="s">
        <v>854</v>
      </c>
    </row>
    <row r="333" spans="1:32" ht="11.25" customHeight="1" x14ac:dyDescent="0.3">
      <c r="A333" s="4" t="s">
        <v>21</v>
      </c>
      <c r="B333" s="4" t="s">
        <v>22</v>
      </c>
      <c r="C333" s="4" t="s">
        <v>23</v>
      </c>
      <c r="D333" s="4" t="s">
        <v>24</v>
      </c>
      <c r="E333" s="4" t="s">
        <v>32</v>
      </c>
      <c r="F333" s="4" t="s">
        <v>25</v>
      </c>
      <c r="G333" s="4" t="s">
        <v>25</v>
      </c>
      <c r="H333" s="4" t="s">
        <v>25</v>
      </c>
      <c r="I333" s="5">
        <v>44805</v>
      </c>
      <c r="J333" s="6">
        <v>0</v>
      </c>
      <c r="K333" s="6">
        <v>0</v>
      </c>
      <c r="L333" s="6">
        <v>72.566999999999993</v>
      </c>
      <c r="M333" s="6">
        <v>72.566999999999993</v>
      </c>
      <c r="N333" s="6">
        <v>72.566999999999993</v>
      </c>
      <c r="O333" s="6">
        <v>72.566999999999993</v>
      </c>
      <c r="P333" s="6">
        <v>1110</v>
      </c>
      <c r="Q333" s="4" t="s">
        <v>26</v>
      </c>
      <c r="R333" s="4">
        <v>0</v>
      </c>
      <c r="S333" s="4">
        <v>0</v>
      </c>
      <c r="T333" s="4">
        <v>49</v>
      </c>
      <c r="U333" s="4">
        <v>55</v>
      </c>
      <c r="V333" s="6">
        <f>IF(ISERROR(VLOOKUP($S$333,'TAR FIN'!$A$1:$O$113,15,0)),0,VLOOKUP($S$333,'TAR FIN'!$A$1:$O$113,15,0))</f>
        <v>0</v>
      </c>
      <c r="W333" s="6">
        <f>IF(ISERROR(VLOOKUP($T$333,'TAR FIN'!$A$1:$O$113,15,0)),0,VLOOKUP($T$333,'TAR FIN'!$A$1:$O$113,15,0))</f>
        <v>225.87</v>
      </c>
      <c r="X333" s="6">
        <f>IF(ISERROR(VLOOKUP($U$333,'TAR FIN'!$A$1:$O$113,15,0)),0,VLOOKUP($U$333,'TAR FIN'!$A$1:$O$113,15,0))</f>
        <v>292.36</v>
      </c>
      <c r="Y333" s="6"/>
      <c r="Z333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333" s="6">
        <f>('TE BE'!$AB$22+'TE BF'!$AB$22+'TE CVA'!$AB$22)*(1-CUSTOS!$M$37)</f>
        <v>314.78517822974521</v>
      </c>
      <c r="AB333" s="6">
        <f t="shared" si="16"/>
        <v>0</v>
      </c>
      <c r="AC333" s="6">
        <f>(L333-M333)*(W333+X333)+($W$317+$X$317-$W$333-$X$333)*(L333)</f>
        <v>0</v>
      </c>
      <c r="AD333" s="6">
        <f t="shared" si="17"/>
        <v>0</v>
      </c>
      <c r="AE333" s="6">
        <f ca="1">(L333-M333)*(Z333+AA333)+($Z$317+$AA$317-$Z$333-$AA$333)*(L333)</f>
        <v>4.1249563764722548E-12</v>
      </c>
      <c r="AF333" s="4" t="s">
        <v>854</v>
      </c>
    </row>
    <row r="334" spans="1:32" ht="11.25" customHeight="1" x14ac:dyDescent="0.3">
      <c r="A334" s="4" t="s">
        <v>53</v>
      </c>
      <c r="B334" s="4" t="s">
        <v>22</v>
      </c>
      <c r="C334" s="4" t="s">
        <v>23</v>
      </c>
      <c r="D334" s="4" t="s">
        <v>24</v>
      </c>
      <c r="E334" s="4" t="s">
        <v>32</v>
      </c>
      <c r="F334" s="4" t="s">
        <v>25</v>
      </c>
      <c r="G334" s="4" t="s">
        <v>25</v>
      </c>
      <c r="H334" s="4" t="s">
        <v>25</v>
      </c>
      <c r="I334" s="5">
        <v>44835</v>
      </c>
      <c r="J334" s="6">
        <v>0</v>
      </c>
      <c r="K334" s="6">
        <v>0</v>
      </c>
      <c r="L334" s="6">
        <v>72.566999999999993</v>
      </c>
      <c r="M334" s="6">
        <v>72.566999999999993</v>
      </c>
      <c r="N334" s="6">
        <v>72.566999999999993</v>
      </c>
      <c r="O334" s="6">
        <v>72.566999999999993</v>
      </c>
      <c r="P334" s="6">
        <v>1110</v>
      </c>
      <c r="Q334" s="4" t="s">
        <v>26</v>
      </c>
      <c r="R334" s="4">
        <v>0</v>
      </c>
      <c r="S334" s="4">
        <v>0</v>
      </c>
      <c r="T334" s="4">
        <v>49</v>
      </c>
      <c r="U334" s="4">
        <v>55</v>
      </c>
      <c r="V334" s="6">
        <f>IF(ISERROR(VLOOKUP($S$334,'TAR FIN'!$A$1:$O$113,15,0)),0,VLOOKUP($S$334,'TAR FIN'!$A$1:$O$113,15,0))</f>
        <v>0</v>
      </c>
      <c r="W334" s="6">
        <f>IF(ISERROR(VLOOKUP($T$334,'TAR FIN'!$A$1:$O$113,15,0)),0,VLOOKUP($T$334,'TAR FIN'!$A$1:$O$113,15,0))</f>
        <v>225.87</v>
      </c>
      <c r="X334" s="6">
        <f>IF(ISERROR(VLOOKUP($U$334,'TAR FIN'!$A$1:$O$113,15,0)),0,VLOOKUP($U$334,'TAR FIN'!$A$1:$O$113,15,0))</f>
        <v>292.36</v>
      </c>
      <c r="Y334" s="6"/>
      <c r="Z334" s="6">
        <f ca="1">('TUSD BE'!$AM$44+'TUSD BF'!$AM$44+'TUSD CVA'!$AM$44-('TUSD BE'!$P$44+'TUSD BF'!$P$44+'TUSD CVA'!$P$44)-('TUSD BE'!$Q$44+'TUSD BF'!$Q$44+'TUSD CVA'!$Q$44)-('TUSD BE'!$R$44+'TUSD BF'!$R$44+'TUSD CVA'!$R$44))*(1-CUSTOS!$M$37)</f>
        <v>259.9533005167234</v>
      </c>
      <c r="AA334" s="6">
        <f>('TE BE'!$AB$22+'TE BF'!$AB$22+'TE CVA'!$AB$22)*(1-CUSTOS!$M$37)</f>
        <v>314.78517822974521</v>
      </c>
      <c r="AB334" s="6">
        <f t="shared" si="16"/>
        <v>0</v>
      </c>
      <c r="AC334" s="6">
        <f>(L334-M334)*(W334+X334)+($W$317+$X$317-$W$334-$X$334)*(L334)</f>
        <v>0</v>
      </c>
      <c r="AD334" s="6">
        <f t="shared" si="17"/>
        <v>0</v>
      </c>
      <c r="AE334" s="6">
        <f ca="1">(L334-M334)*(Z334+AA334)+($Z$317+$AA$317-$Z$334-$AA$334)*(L334)</f>
        <v>4.1249563764722548E-12</v>
      </c>
      <c r="AF334" s="4" t="s">
        <v>854</v>
      </c>
    </row>
    <row r="335" spans="1:32" ht="11.25" customHeight="1" x14ac:dyDescent="0.3">
      <c r="A335" s="4" t="s">
        <v>21</v>
      </c>
      <c r="B335" s="4" t="s">
        <v>44</v>
      </c>
      <c r="C335" s="4" t="s">
        <v>23</v>
      </c>
      <c r="D335" s="4" t="s">
        <v>45</v>
      </c>
      <c r="E335" s="4" t="s">
        <v>25</v>
      </c>
      <c r="F335" s="4" t="s">
        <v>25</v>
      </c>
      <c r="G335" s="4" t="s">
        <v>25</v>
      </c>
      <c r="H335" s="4" t="s">
        <v>25</v>
      </c>
      <c r="I335" s="5">
        <v>44501</v>
      </c>
      <c r="J335" s="6">
        <v>0</v>
      </c>
      <c r="K335" s="6">
        <v>0</v>
      </c>
      <c r="L335" s="6">
        <v>300.41300000000001</v>
      </c>
      <c r="M335" s="6">
        <v>300.41300000000001</v>
      </c>
      <c r="N335" s="6">
        <v>300.41300000000001</v>
      </c>
      <c r="O335" s="6">
        <v>300.41300000000001</v>
      </c>
      <c r="P335" s="6">
        <v>449</v>
      </c>
      <c r="Q335" s="4" t="s">
        <v>26</v>
      </c>
      <c r="R335" s="4">
        <v>0</v>
      </c>
      <c r="S335" s="4">
        <v>0</v>
      </c>
      <c r="T335" s="4">
        <v>47</v>
      </c>
      <c r="U335" s="4">
        <v>109</v>
      </c>
      <c r="V335" s="6">
        <f>IF(ISERROR(VLOOKUP($S$335,'TAR FIN'!$A$1:$O$113,15,0)),0,VLOOKUP($S$335,'TAR FIN'!$A$1:$O$113,15,0))</f>
        <v>0</v>
      </c>
      <c r="W335" s="6">
        <f>IF(ISERROR(VLOOKUP($T$335,'TAR FIN'!$A$1:$O$113,15,0)),0,VLOOKUP($T$335,'TAR FIN'!$A$1:$O$113,15,0))</f>
        <v>264.26</v>
      </c>
      <c r="X335" s="6">
        <f>IF(ISERROR(VLOOKUP($U$335,'TAR FIN'!$A$1:$O$113,15,0)),0,VLOOKUP($U$335,'TAR FIN'!$A$1:$O$113,15,0))</f>
        <v>257.27</v>
      </c>
      <c r="Y335" s="6"/>
      <c r="Z335" s="6">
        <f ca="1">('TUSD BE'!$AM$53+'TUSD BF'!$AM$53+'TUSD CVA'!$AM$53)*(1-CUSTOS!$M$38)</f>
        <v>369.68733431619313</v>
      </c>
      <c r="AA335" s="6">
        <f>('TE BE'!$AB$31+'TE BF'!$AB$31+'TE CVA'!$AB$31)*(1-CUSTOS!$M$38)</f>
        <v>295.89806753596048</v>
      </c>
      <c r="AB335" s="6">
        <f t="shared" si="16"/>
        <v>0</v>
      </c>
      <c r="AC335" s="6">
        <f>(L335-M335)*(W335+X335)+($W$227+$X$227-$W$335-$X$335)*(L335)</f>
        <v>21368.376690000034</v>
      </c>
      <c r="AD335" s="6">
        <f t="shared" si="17"/>
        <v>0</v>
      </c>
      <c r="AE335" s="6">
        <f ca="1">(L335-M335)*(Z335+AA335)+($Z$227+$AA$227-$Z$335-$AA$335)*(L335)</f>
        <v>12762.798339996469</v>
      </c>
      <c r="AF335" s="4" t="s">
        <v>853</v>
      </c>
    </row>
    <row r="336" spans="1:32" ht="11.25" customHeight="1" x14ac:dyDescent="0.3">
      <c r="A336" s="4" t="s">
        <v>27</v>
      </c>
      <c r="B336" s="4" t="s">
        <v>44</v>
      </c>
      <c r="C336" s="4" t="s">
        <v>23</v>
      </c>
      <c r="D336" s="4" t="s">
        <v>45</v>
      </c>
      <c r="E336" s="4" t="s">
        <v>25</v>
      </c>
      <c r="F336" s="4" t="s">
        <v>25</v>
      </c>
      <c r="G336" s="4" t="s">
        <v>25</v>
      </c>
      <c r="H336" s="4" t="s">
        <v>25</v>
      </c>
      <c r="I336" s="5">
        <v>44501</v>
      </c>
      <c r="J336" s="6">
        <v>0</v>
      </c>
      <c r="K336" s="6">
        <v>0</v>
      </c>
      <c r="L336" s="6">
        <v>-2.4</v>
      </c>
      <c r="M336" s="6">
        <v>-2.4</v>
      </c>
      <c r="N336" s="6">
        <v>-2.4</v>
      </c>
      <c r="O336" s="6">
        <v>-2.4</v>
      </c>
      <c r="P336" s="6">
        <v>0</v>
      </c>
      <c r="Q336" s="4" t="s">
        <v>26</v>
      </c>
      <c r="R336" s="4">
        <v>0</v>
      </c>
      <c r="S336" s="4">
        <v>0</v>
      </c>
      <c r="T336" s="4">
        <v>47</v>
      </c>
      <c r="U336" s="4">
        <v>109</v>
      </c>
      <c r="V336" s="6">
        <f>IF(ISERROR(VLOOKUP($S$336,'TAR FIN'!$A$1:$O$113,15,0)),0,VLOOKUP($S$336,'TAR FIN'!$A$1:$O$113,15,0))</f>
        <v>0</v>
      </c>
      <c r="W336" s="6">
        <f>IF(ISERROR(VLOOKUP($T$336,'TAR FIN'!$A$1:$O$113,15,0)),0,VLOOKUP($T$336,'TAR FIN'!$A$1:$O$113,15,0))</f>
        <v>264.26</v>
      </c>
      <c r="X336" s="6">
        <f>IF(ISERROR(VLOOKUP($U$336,'TAR FIN'!$A$1:$O$113,15,0)),0,VLOOKUP($U$336,'TAR FIN'!$A$1:$O$113,15,0))</f>
        <v>257.27</v>
      </c>
      <c r="Y336" s="6"/>
      <c r="Z336" s="6">
        <f ca="1">('TUSD BE'!$AM$53+'TUSD BF'!$AM$53+'TUSD CVA'!$AM$53)*(1-CUSTOS!$M$38)</f>
        <v>369.68733431619313</v>
      </c>
      <c r="AA336" s="6">
        <f>('TE BE'!$AB$31+'TE BF'!$AB$31+'TE CVA'!$AB$31)*(1-CUSTOS!$M$38)</f>
        <v>295.89806753596048</v>
      </c>
      <c r="AB336" s="6">
        <f t="shared" si="16"/>
        <v>0</v>
      </c>
      <c r="AC336" s="6">
        <f>(L336-M336)*(W336+X336)+($W$227+$X$227-$W$336-$X$336)*(L336)</f>
        <v>-170.71200000000024</v>
      </c>
      <c r="AD336" s="6">
        <f t="shared" si="17"/>
        <v>0</v>
      </c>
      <c r="AE336" s="6">
        <f ca="1">(L336-M336)*(Z336+AA336)+($Z$227+$AA$227-$Z$336-$AA$336)*(L336)</f>
        <v>-101.96201900713858</v>
      </c>
      <c r="AF336" s="4" t="s">
        <v>853</v>
      </c>
    </row>
    <row r="337" spans="1:32" ht="11.25" customHeight="1" x14ac:dyDescent="0.3">
      <c r="A337" s="4" t="s">
        <v>28</v>
      </c>
      <c r="B337" s="4" t="s">
        <v>44</v>
      </c>
      <c r="C337" s="4" t="s">
        <v>23</v>
      </c>
      <c r="D337" s="4" t="s">
        <v>45</v>
      </c>
      <c r="E337" s="4" t="s">
        <v>25</v>
      </c>
      <c r="F337" s="4" t="s">
        <v>25</v>
      </c>
      <c r="G337" s="4" t="s">
        <v>25</v>
      </c>
      <c r="H337" s="4" t="s">
        <v>25</v>
      </c>
      <c r="I337" s="5">
        <v>44501</v>
      </c>
      <c r="J337" s="6">
        <v>0</v>
      </c>
      <c r="K337" s="6">
        <v>0</v>
      </c>
      <c r="L337" s="6">
        <v>6.0369999999999999</v>
      </c>
      <c r="M337" s="6">
        <v>6.0369999999999999</v>
      </c>
      <c r="N337" s="6">
        <v>6.0369999999999999</v>
      </c>
      <c r="O337" s="6">
        <v>6.0369999999999999</v>
      </c>
      <c r="P337" s="6">
        <v>25</v>
      </c>
      <c r="Q337" s="4" t="s">
        <v>26</v>
      </c>
      <c r="R337" s="4">
        <v>0</v>
      </c>
      <c r="S337" s="4">
        <v>0</v>
      </c>
      <c r="T337" s="4">
        <v>47</v>
      </c>
      <c r="U337" s="4">
        <v>109</v>
      </c>
      <c r="V337" s="6">
        <f>IF(ISERROR(VLOOKUP($S$337,'TAR FIN'!$A$1:$O$113,15,0)),0,VLOOKUP($S$337,'TAR FIN'!$A$1:$O$113,15,0))</f>
        <v>0</v>
      </c>
      <c r="W337" s="6">
        <f>IF(ISERROR(VLOOKUP($T$337,'TAR FIN'!$A$1:$O$113,15,0)),0,VLOOKUP($T$337,'TAR FIN'!$A$1:$O$113,15,0))</f>
        <v>264.26</v>
      </c>
      <c r="X337" s="6">
        <f>IF(ISERROR(VLOOKUP($U$337,'TAR FIN'!$A$1:$O$113,15,0)),0,VLOOKUP($U$337,'TAR FIN'!$A$1:$O$113,15,0))</f>
        <v>257.27</v>
      </c>
      <c r="Y337" s="6"/>
      <c r="Z337" s="6">
        <f ca="1">('TUSD BE'!$AM$53+'TUSD BF'!$AM$53+'TUSD CVA'!$AM$53)*(1-CUSTOS!$M$38)</f>
        <v>369.68733431619313</v>
      </c>
      <c r="AA337" s="6">
        <f>('TE BE'!$AB$31+'TE BF'!$AB$31+'TE CVA'!$AB$31)*(1-CUSTOS!$M$38)</f>
        <v>295.89806753596048</v>
      </c>
      <c r="AB337" s="6">
        <f t="shared" si="16"/>
        <v>0</v>
      </c>
      <c r="AC337" s="6">
        <f>(L337-M337)*(W337+X337)+($W$227+$X$227-$W$337-$X$337)*(L337)</f>
        <v>429.41181000000063</v>
      </c>
      <c r="AD337" s="6">
        <f t="shared" si="17"/>
        <v>0</v>
      </c>
      <c r="AE337" s="6">
        <f ca="1">(L337-M337)*(Z337+AA337)+($Z$227+$AA$227-$Z$337-$AA$337)*(L337)</f>
        <v>256.47696197753987</v>
      </c>
      <c r="AF337" s="4" t="s">
        <v>853</v>
      </c>
    </row>
    <row r="338" spans="1:32" ht="11.25" customHeight="1" x14ac:dyDescent="0.3">
      <c r="A338" s="4" t="s">
        <v>28</v>
      </c>
      <c r="B338" s="4" t="s">
        <v>44</v>
      </c>
      <c r="C338" s="4" t="s">
        <v>23</v>
      </c>
      <c r="D338" s="4" t="s">
        <v>45</v>
      </c>
      <c r="E338" s="4" t="s">
        <v>25</v>
      </c>
      <c r="F338" s="4" t="s">
        <v>25</v>
      </c>
      <c r="G338" s="4" t="s">
        <v>25</v>
      </c>
      <c r="H338" s="4" t="s">
        <v>25</v>
      </c>
      <c r="I338" s="5">
        <v>44501</v>
      </c>
      <c r="J338" s="6">
        <v>0</v>
      </c>
      <c r="K338" s="6">
        <v>0</v>
      </c>
      <c r="L338" s="6">
        <v>1.08</v>
      </c>
      <c r="M338" s="6">
        <v>1.08</v>
      </c>
      <c r="N338" s="6">
        <v>1.08</v>
      </c>
      <c r="O338" s="6">
        <v>1.08</v>
      </c>
      <c r="P338" s="6">
        <v>1</v>
      </c>
      <c r="Q338" s="4" t="s">
        <v>26</v>
      </c>
      <c r="R338" s="4">
        <v>0</v>
      </c>
      <c r="S338" s="4">
        <v>0</v>
      </c>
      <c r="T338" s="4">
        <v>47</v>
      </c>
      <c r="U338" s="4">
        <v>109</v>
      </c>
      <c r="V338" s="6">
        <f>IF(ISERROR(VLOOKUP($S$338,'TAR FIN'!$A$1:$O$113,15,0)),0,VLOOKUP($S$338,'TAR FIN'!$A$1:$O$113,15,0))</f>
        <v>0</v>
      </c>
      <c r="W338" s="6">
        <f>IF(ISERROR(VLOOKUP($T$338,'TAR FIN'!$A$1:$O$113,15,0)),0,VLOOKUP($T$338,'TAR FIN'!$A$1:$O$113,15,0))</f>
        <v>264.26</v>
      </c>
      <c r="X338" s="6">
        <f>IF(ISERROR(VLOOKUP($U$338,'TAR FIN'!$A$1:$O$113,15,0)),0,VLOOKUP($U$338,'TAR FIN'!$A$1:$O$113,15,0))</f>
        <v>257.27</v>
      </c>
      <c r="Y338" s="6"/>
      <c r="Z338" s="6">
        <f ca="1">('TUSD BE'!$AM$53+'TUSD BF'!$AM$53+'TUSD CVA'!$AM$53)*(1-CUSTOS!$M$38)</f>
        <v>369.68733431619313</v>
      </c>
      <c r="AA338" s="6">
        <f>('TE BE'!$AB$31+'TE BF'!$AB$31+'TE CVA'!$AB$31)*(1-CUSTOS!$M$38)</f>
        <v>295.89806753596048</v>
      </c>
      <c r="AB338" s="6">
        <f t="shared" si="16"/>
        <v>0</v>
      </c>
      <c r="AC338" s="6">
        <f>(L338-M338)*(W338+X338)+($W$227+$X$227-$W$338-$X$338)*(L338)</f>
        <v>76.82040000000012</v>
      </c>
      <c r="AD338" s="6">
        <f t="shared" si="17"/>
        <v>0</v>
      </c>
      <c r="AE338" s="6">
        <f ca="1">(L338-M338)*(Z338+AA338)+($Z$227+$AA$227-$Z$338-$AA$338)*(L338)</f>
        <v>45.882908553212367</v>
      </c>
      <c r="AF338" s="4" t="s">
        <v>853</v>
      </c>
    </row>
    <row r="339" spans="1:32" ht="11.25" customHeight="1" x14ac:dyDescent="0.3">
      <c r="A339" s="4" t="s">
        <v>21</v>
      </c>
      <c r="B339" s="4" t="s">
        <v>44</v>
      </c>
      <c r="C339" s="4" t="s">
        <v>23</v>
      </c>
      <c r="D339" s="4" t="s">
        <v>45</v>
      </c>
      <c r="E339" s="4" t="s">
        <v>25</v>
      </c>
      <c r="F339" s="4" t="s">
        <v>25</v>
      </c>
      <c r="G339" s="4" t="s">
        <v>25</v>
      </c>
      <c r="H339" s="4" t="s">
        <v>25</v>
      </c>
      <c r="I339" s="5">
        <v>44531</v>
      </c>
      <c r="J339" s="6">
        <v>0</v>
      </c>
      <c r="K339" s="6">
        <v>0</v>
      </c>
      <c r="L339" s="6">
        <v>289.67899999999997</v>
      </c>
      <c r="M339" s="6">
        <v>289.67899999999997</v>
      </c>
      <c r="N339" s="6">
        <v>289.67899999999997</v>
      </c>
      <c r="O339" s="6">
        <v>289.67899999999997</v>
      </c>
      <c r="P339" s="6">
        <v>448</v>
      </c>
      <c r="Q339" s="4" t="s">
        <v>26</v>
      </c>
      <c r="R339" s="4">
        <v>0</v>
      </c>
      <c r="S339" s="4">
        <v>0</v>
      </c>
      <c r="T339" s="4">
        <v>47</v>
      </c>
      <c r="U339" s="4">
        <v>109</v>
      </c>
      <c r="V339" s="6">
        <f>IF(ISERROR(VLOOKUP($S$339,'TAR FIN'!$A$1:$O$113,15,0)),0,VLOOKUP($S$339,'TAR FIN'!$A$1:$O$113,15,0))</f>
        <v>0</v>
      </c>
      <c r="W339" s="6">
        <f>IF(ISERROR(VLOOKUP($T$339,'TAR FIN'!$A$1:$O$113,15,0)),0,VLOOKUP($T$339,'TAR FIN'!$A$1:$O$113,15,0))</f>
        <v>264.26</v>
      </c>
      <c r="X339" s="6">
        <f>IF(ISERROR(VLOOKUP($U$339,'TAR FIN'!$A$1:$O$113,15,0)),0,VLOOKUP($U$339,'TAR FIN'!$A$1:$O$113,15,0))</f>
        <v>257.27</v>
      </c>
      <c r="Y339" s="6"/>
      <c r="Z339" s="6">
        <f ca="1">('TUSD BE'!$AM$53+'TUSD BF'!$AM$53+'TUSD CVA'!$AM$53)*(1-CUSTOS!$M$38)</f>
        <v>369.68733431619313</v>
      </c>
      <c r="AA339" s="6">
        <f>('TE BE'!$AB$31+'TE BF'!$AB$31+'TE CVA'!$AB$31)*(1-CUSTOS!$M$38)</f>
        <v>295.89806753596048</v>
      </c>
      <c r="AB339" s="6">
        <f t="shared" si="16"/>
        <v>0</v>
      </c>
      <c r="AC339" s="6">
        <f>(L339-M339)*(W339+X339)+($W$227+$X$227-$W$339-$X$339)*(L339)</f>
        <v>20604.867270000028</v>
      </c>
      <c r="AD339" s="6">
        <f t="shared" si="17"/>
        <v>0</v>
      </c>
      <c r="AE339" s="6">
        <f ca="1">(L339-M339)*(Z339+AA339)+($Z$227+$AA$227-$Z$339-$AA$339)*(L339)</f>
        <v>12306.773209987041</v>
      </c>
      <c r="AF339" s="4" t="s">
        <v>853</v>
      </c>
    </row>
    <row r="340" spans="1:32" ht="11.25" customHeight="1" x14ac:dyDescent="0.3">
      <c r="A340" s="4" t="s">
        <v>27</v>
      </c>
      <c r="B340" s="4" t="s">
        <v>44</v>
      </c>
      <c r="C340" s="4" t="s">
        <v>23</v>
      </c>
      <c r="D340" s="4" t="s">
        <v>45</v>
      </c>
      <c r="E340" s="4" t="s">
        <v>25</v>
      </c>
      <c r="F340" s="4" t="s">
        <v>25</v>
      </c>
      <c r="G340" s="4" t="s">
        <v>25</v>
      </c>
      <c r="H340" s="4" t="s">
        <v>25</v>
      </c>
      <c r="I340" s="5">
        <v>44531</v>
      </c>
      <c r="J340" s="6">
        <v>0</v>
      </c>
      <c r="K340" s="6">
        <v>0</v>
      </c>
      <c r="L340" s="6">
        <v>-0.74</v>
      </c>
      <c r="M340" s="6">
        <v>-0.74</v>
      </c>
      <c r="N340" s="6">
        <v>-0.74</v>
      </c>
      <c r="O340" s="6">
        <v>-0.74</v>
      </c>
      <c r="P340" s="6">
        <v>0</v>
      </c>
      <c r="Q340" s="4" t="s">
        <v>26</v>
      </c>
      <c r="R340" s="4">
        <v>0</v>
      </c>
      <c r="S340" s="4">
        <v>0</v>
      </c>
      <c r="T340" s="4">
        <v>47</v>
      </c>
      <c r="U340" s="4">
        <v>109</v>
      </c>
      <c r="V340" s="6">
        <f>IF(ISERROR(VLOOKUP($S$340,'TAR FIN'!$A$1:$O$113,15,0)),0,VLOOKUP($S$340,'TAR FIN'!$A$1:$O$113,15,0))</f>
        <v>0</v>
      </c>
      <c r="W340" s="6">
        <f>IF(ISERROR(VLOOKUP($T$340,'TAR FIN'!$A$1:$O$113,15,0)),0,VLOOKUP($T$340,'TAR FIN'!$A$1:$O$113,15,0))</f>
        <v>264.26</v>
      </c>
      <c r="X340" s="6">
        <f>IF(ISERROR(VLOOKUP($U$340,'TAR FIN'!$A$1:$O$113,15,0)),0,VLOOKUP($U$340,'TAR FIN'!$A$1:$O$113,15,0))</f>
        <v>257.27</v>
      </c>
      <c r="Y340" s="6"/>
      <c r="Z340" s="6">
        <f ca="1">('TUSD BE'!$AM$53+'TUSD BF'!$AM$53+'TUSD CVA'!$AM$53)*(1-CUSTOS!$M$38)</f>
        <v>369.68733431619313</v>
      </c>
      <c r="AA340" s="6">
        <f>('TE BE'!$AB$31+'TE BF'!$AB$31+'TE CVA'!$AB$31)*(1-CUSTOS!$M$38)</f>
        <v>295.89806753596048</v>
      </c>
      <c r="AB340" s="6">
        <f t="shared" si="16"/>
        <v>0</v>
      </c>
      <c r="AC340" s="6">
        <f>(L340-M340)*(W340+X340)+($W$227+$X$227-$W$340-$X$340)*(L340)</f>
        <v>-52.63620000000008</v>
      </c>
      <c r="AD340" s="6">
        <f t="shared" si="17"/>
        <v>0</v>
      </c>
      <c r="AE340" s="6">
        <f ca="1">(L340-M340)*(Z340+AA340)+($Z$227+$AA$227-$Z$340-$AA$340)*(L340)</f>
        <v>-31.438289193867732</v>
      </c>
      <c r="AF340" s="4" t="s">
        <v>853</v>
      </c>
    </row>
    <row r="341" spans="1:32" ht="11.25" customHeight="1" x14ac:dyDescent="0.3">
      <c r="A341" s="4" t="s">
        <v>28</v>
      </c>
      <c r="B341" s="4" t="s">
        <v>44</v>
      </c>
      <c r="C341" s="4" t="s">
        <v>23</v>
      </c>
      <c r="D341" s="4" t="s">
        <v>45</v>
      </c>
      <c r="E341" s="4" t="s">
        <v>25</v>
      </c>
      <c r="F341" s="4" t="s">
        <v>25</v>
      </c>
      <c r="G341" s="4" t="s">
        <v>25</v>
      </c>
      <c r="H341" s="4" t="s">
        <v>25</v>
      </c>
      <c r="I341" s="5">
        <v>44531</v>
      </c>
      <c r="J341" s="6">
        <v>0</v>
      </c>
      <c r="K341" s="6">
        <v>0</v>
      </c>
      <c r="L341" s="6">
        <v>6.6429999999999998</v>
      </c>
      <c r="M341" s="6">
        <v>6.6429999999999998</v>
      </c>
      <c r="N341" s="6">
        <v>6.6429999999999998</v>
      </c>
      <c r="O341" s="6">
        <v>6.6429999999999998</v>
      </c>
      <c r="P341" s="6">
        <v>26</v>
      </c>
      <c r="Q341" s="4" t="s">
        <v>26</v>
      </c>
      <c r="R341" s="4">
        <v>0</v>
      </c>
      <c r="S341" s="4">
        <v>0</v>
      </c>
      <c r="T341" s="4">
        <v>47</v>
      </c>
      <c r="U341" s="4">
        <v>109</v>
      </c>
      <c r="V341" s="6">
        <f>IF(ISERROR(VLOOKUP($S$341,'TAR FIN'!$A$1:$O$113,15,0)),0,VLOOKUP($S$341,'TAR FIN'!$A$1:$O$113,15,0))</f>
        <v>0</v>
      </c>
      <c r="W341" s="6">
        <f>IF(ISERROR(VLOOKUP($T$341,'TAR FIN'!$A$1:$O$113,15,0)),0,VLOOKUP($T$341,'TAR FIN'!$A$1:$O$113,15,0))</f>
        <v>264.26</v>
      </c>
      <c r="X341" s="6">
        <f>IF(ISERROR(VLOOKUP($U$341,'TAR FIN'!$A$1:$O$113,15,0)),0,VLOOKUP($U$341,'TAR FIN'!$A$1:$O$113,15,0))</f>
        <v>257.27</v>
      </c>
      <c r="Y341" s="6"/>
      <c r="Z341" s="6">
        <f ca="1">('TUSD BE'!$AM$53+'TUSD BF'!$AM$53+'TUSD CVA'!$AM$53)*(1-CUSTOS!$M$38)</f>
        <v>369.68733431619313</v>
      </c>
      <c r="AA341" s="6">
        <f>('TE BE'!$AB$31+'TE BF'!$AB$31+'TE CVA'!$AB$31)*(1-CUSTOS!$M$38)</f>
        <v>295.89806753596048</v>
      </c>
      <c r="AB341" s="6">
        <f t="shared" si="16"/>
        <v>0</v>
      </c>
      <c r="AC341" s="6">
        <f>(L341-M341)*(W341+X341)+($W$227+$X$227-$W$341-$X$341)*(L341)</f>
        <v>472.51659000000069</v>
      </c>
      <c r="AD341" s="6">
        <f t="shared" si="17"/>
        <v>0</v>
      </c>
      <c r="AE341" s="6">
        <f ca="1">(L341-M341)*(Z341+AA341)+($Z$227+$AA$227-$Z$341-$AA$341)*(L341)</f>
        <v>282.22237177684235</v>
      </c>
      <c r="AF341" s="4" t="s">
        <v>853</v>
      </c>
    </row>
    <row r="342" spans="1:32" ht="11.25" customHeight="1" x14ac:dyDescent="0.3">
      <c r="A342" s="4" t="s">
        <v>28</v>
      </c>
      <c r="B342" s="4" t="s">
        <v>44</v>
      </c>
      <c r="C342" s="4" t="s">
        <v>23</v>
      </c>
      <c r="D342" s="4" t="s">
        <v>45</v>
      </c>
      <c r="E342" s="4" t="s">
        <v>25</v>
      </c>
      <c r="F342" s="4" t="s">
        <v>25</v>
      </c>
      <c r="G342" s="4" t="s">
        <v>25</v>
      </c>
      <c r="H342" s="4" t="s">
        <v>25</v>
      </c>
      <c r="I342" s="5">
        <v>44531</v>
      </c>
      <c r="J342" s="6">
        <v>0</v>
      </c>
      <c r="K342" s="6">
        <v>0</v>
      </c>
      <c r="L342" s="6">
        <v>0.05</v>
      </c>
      <c r="M342" s="6">
        <v>0.05</v>
      </c>
      <c r="N342" s="6">
        <v>0.05</v>
      </c>
      <c r="O342" s="6">
        <v>0.05</v>
      </c>
      <c r="P342" s="6">
        <v>1</v>
      </c>
      <c r="Q342" s="4" t="s">
        <v>26</v>
      </c>
      <c r="R342" s="4">
        <v>0</v>
      </c>
      <c r="S342" s="4">
        <v>0</v>
      </c>
      <c r="T342" s="4">
        <v>47</v>
      </c>
      <c r="U342" s="4">
        <v>109</v>
      </c>
      <c r="V342" s="6">
        <f>IF(ISERROR(VLOOKUP($S$342,'TAR FIN'!$A$1:$O$113,15,0)),0,VLOOKUP($S$342,'TAR FIN'!$A$1:$O$113,15,0))</f>
        <v>0</v>
      </c>
      <c r="W342" s="6">
        <f>IF(ISERROR(VLOOKUP($T$342,'TAR FIN'!$A$1:$O$113,15,0)),0,VLOOKUP($T$342,'TAR FIN'!$A$1:$O$113,15,0))</f>
        <v>264.26</v>
      </c>
      <c r="X342" s="6">
        <f>IF(ISERROR(VLOOKUP($U$342,'TAR FIN'!$A$1:$O$113,15,0)),0,VLOOKUP($U$342,'TAR FIN'!$A$1:$O$113,15,0))</f>
        <v>257.27</v>
      </c>
      <c r="Y342" s="6"/>
      <c r="Z342" s="6">
        <f ca="1">('TUSD BE'!$AM$53+'TUSD BF'!$AM$53+'TUSD CVA'!$AM$53)*(1-CUSTOS!$M$38)</f>
        <v>369.68733431619313</v>
      </c>
      <c r="AA342" s="6">
        <f>('TE BE'!$AB$31+'TE BF'!$AB$31+'TE CVA'!$AB$31)*(1-CUSTOS!$M$38)</f>
        <v>295.89806753596048</v>
      </c>
      <c r="AB342" s="6">
        <f t="shared" si="16"/>
        <v>0</v>
      </c>
      <c r="AC342" s="6">
        <f>(L342-M342)*(W342+X342)+($W$227+$X$227-$W$342-$X$342)*(L342)</f>
        <v>3.5565000000000055</v>
      </c>
      <c r="AD342" s="6">
        <f t="shared" si="17"/>
        <v>0</v>
      </c>
      <c r="AE342" s="6">
        <f ca="1">(L342-M342)*(Z342+AA342)+($Z$227+$AA$227-$Z$342-$AA$342)*(L342)</f>
        <v>2.1242087293153875</v>
      </c>
      <c r="AF342" s="4" t="s">
        <v>853</v>
      </c>
    </row>
    <row r="343" spans="1:32" ht="11.25" customHeight="1" x14ac:dyDescent="0.3">
      <c r="A343" s="4" t="s">
        <v>21</v>
      </c>
      <c r="B343" s="4" t="s">
        <v>44</v>
      </c>
      <c r="C343" s="4" t="s">
        <v>23</v>
      </c>
      <c r="D343" s="4" t="s">
        <v>45</v>
      </c>
      <c r="E343" s="4" t="s">
        <v>25</v>
      </c>
      <c r="F343" s="4" t="s">
        <v>25</v>
      </c>
      <c r="G343" s="4" t="s">
        <v>25</v>
      </c>
      <c r="H343" s="4" t="s">
        <v>25</v>
      </c>
      <c r="I343" s="5">
        <v>44562</v>
      </c>
      <c r="J343" s="6">
        <v>0</v>
      </c>
      <c r="K343" s="6">
        <v>0</v>
      </c>
      <c r="L343" s="6">
        <v>317.97500000000002</v>
      </c>
      <c r="M343" s="6">
        <v>317.97500000000002</v>
      </c>
      <c r="N343" s="6">
        <v>317.97500000000002</v>
      </c>
      <c r="O343" s="6">
        <v>317.97500000000002</v>
      </c>
      <c r="P343" s="6">
        <v>444</v>
      </c>
      <c r="Q343" s="4" t="s">
        <v>26</v>
      </c>
      <c r="R343" s="4">
        <v>0</v>
      </c>
      <c r="S343" s="4">
        <v>0</v>
      </c>
      <c r="T343" s="4">
        <v>47</v>
      </c>
      <c r="U343" s="4">
        <v>109</v>
      </c>
      <c r="V343" s="6">
        <f>IF(ISERROR(VLOOKUP($S$343,'TAR FIN'!$A$1:$O$113,15,0)),0,VLOOKUP($S$343,'TAR FIN'!$A$1:$O$113,15,0))</f>
        <v>0</v>
      </c>
      <c r="W343" s="6">
        <f>IF(ISERROR(VLOOKUP($T$343,'TAR FIN'!$A$1:$O$113,15,0)),0,VLOOKUP($T$343,'TAR FIN'!$A$1:$O$113,15,0))</f>
        <v>264.26</v>
      </c>
      <c r="X343" s="6">
        <f>IF(ISERROR(VLOOKUP($U$343,'TAR FIN'!$A$1:$O$113,15,0)),0,VLOOKUP($U$343,'TAR FIN'!$A$1:$O$113,15,0))</f>
        <v>257.27</v>
      </c>
      <c r="Y343" s="6"/>
      <c r="Z343" s="6">
        <f ca="1">('TUSD BE'!$AM$53+'TUSD BF'!$AM$53+'TUSD CVA'!$AM$53)*(1-CUSTOS!$M$38)</f>
        <v>369.68733431619313</v>
      </c>
      <c r="AA343" s="6">
        <f>('TE BE'!$AB$31+'TE BF'!$AB$31+'TE CVA'!$AB$31)*(1-CUSTOS!$M$38)</f>
        <v>295.89806753596048</v>
      </c>
      <c r="AB343" s="6">
        <f t="shared" si="16"/>
        <v>0</v>
      </c>
      <c r="AC343" s="6">
        <f>(L343-M343)*(W343+X343)+($W$227+$X$227-$W$343-$X$343)*(L343)</f>
        <v>22617.561750000037</v>
      </c>
      <c r="AD343" s="6">
        <f t="shared" si="17"/>
        <v>0</v>
      </c>
      <c r="AE343" s="6">
        <f ca="1">(L343-M343)*(Z343+AA343)+($Z$227+$AA$227-$Z$343-$AA$343)*(L343)</f>
        <v>13508.905414081206</v>
      </c>
      <c r="AF343" s="4" t="s">
        <v>853</v>
      </c>
    </row>
    <row r="344" spans="1:32" ht="11.25" customHeight="1" x14ac:dyDescent="0.3">
      <c r="A344" s="4" t="s">
        <v>27</v>
      </c>
      <c r="B344" s="4" t="s">
        <v>44</v>
      </c>
      <c r="C344" s="4" t="s">
        <v>23</v>
      </c>
      <c r="D344" s="4" t="s">
        <v>45</v>
      </c>
      <c r="E344" s="4" t="s">
        <v>25</v>
      </c>
      <c r="F344" s="4" t="s">
        <v>25</v>
      </c>
      <c r="G344" s="4" t="s">
        <v>25</v>
      </c>
      <c r="H344" s="4" t="s">
        <v>25</v>
      </c>
      <c r="I344" s="5">
        <v>44562</v>
      </c>
      <c r="J344" s="6">
        <v>0</v>
      </c>
      <c r="K344" s="6">
        <v>0</v>
      </c>
      <c r="L344" s="6">
        <v>-0.99299999999999999</v>
      </c>
      <c r="M344" s="6">
        <v>-0.99299999999999999</v>
      </c>
      <c r="N344" s="6">
        <v>-0.99299999999999999</v>
      </c>
      <c r="O344" s="6">
        <v>-0.99299999999999999</v>
      </c>
      <c r="P344" s="6">
        <v>0</v>
      </c>
      <c r="Q344" s="4" t="s">
        <v>26</v>
      </c>
      <c r="R344" s="4">
        <v>0</v>
      </c>
      <c r="S344" s="4">
        <v>0</v>
      </c>
      <c r="T344" s="4">
        <v>47</v>
      </c>
      <c r="U344" s="4">
        <v>109</v>
      </c>
      <c r="V344" s="6">
        <f>IF(ISERROR(VLOOKUP($S$344,'TAR FIN'!$A$1:$O$113,15,0)),0,VLOOKUP($S$344,'TAR FIN'!$A$1:$O$113,15,0))</f>
        <v>0</v>
      </c>
      <c r="W344" s="6">
        <f>IF(ISERROR(VLOOKUP($T$344,'TAR FIN'!$A$1:$O$113,15,0)),0,VLOOKUP($T$344,'TAR FIN'!$A$1:$O$113,15,0))</f>
        <v>264.26</v>
      </c>
      <c r="X344" s="6">
        <f>IF(ISERROR(VLOOKUP($U$344,'TAR FIN'!$A$1:$O$113,15,0)),0,VLOOKUP($U$344,'TAR FIN'!$A$1:$O$113,15,0))</f>
        <v>257.27</v>
      </c>
      <c r="Y344" s="6"/>
      <c r="Z344" s="6">
        <f ca="1">('TUSD BE'!$AM$53+'TUSD BF'!$AM$53+'TUSD CVA'!$AM$53)*(1-CUSTOS!$M$38)</f>
        <v>369.68733431619313</v>
      </c>
      <c r="AA344" s="6">
        <f>('TE BE'!$AB$31+'TE BF'!$AB$31+'TE CVA'!$AB$31)*(1-CUSTOS!$M$38)</f>
        <v>295.89806753596048</v>
      </c>
      <c r="AB344" s="6">
        <f t="shared" si="16"/>
        <v>0</v>
      </c>
      <c r="AC344" s="6">
        <f>(L344-M344)*(W344+X344)+($W$227+$X$227-$W$344-$X$344)*(L344)</f>
        <v>-70.632090000000105</v>
      </c>
      <c r="AD344" s="6">
        <f t="shared" si="17"/>
        <v>0</v>
      </c>
      <c r="AE344" s="6">
        <f ca="1">(L344-M344)*(Z344+AA344)+($Z$227+$AA$227-$Z$344-$AA$344)*(L344)</f>
        <v>-42.186785364203594</v>
      </c>
      <c r="AF344" s="4" t="s">
        <v>853</v>
      </c>
    </row>
    <row r="345" spans="1:32" ht="11.25" customHeight="1" x14ac:dyDescent="0.3">
      <c r="A345" s="4" t="s">
        <v>28</v>
      </c>
      <c r="B345" s="4" t="s">
        <v>44</v>
      </c>
      <c r="C345" s="4" t="s">
        <v>23</v>
      </c>
      <c r="D345" s="4" t="s">
        <v>45</v>
      </c>
      <c r="E345" s="4" t="s">
        <v>25</v>
      </c>
      <c r="F345" s="4" t="s">
        <v>25</v>
      </c>
      <c r="G345" s="4" t="s">
        <v>25</v>
      </c>
      <c r="H345" s="4" t="s">
        <v>25</v>
      </c>
      <c r="I345" s="5">
        <v>44562</v>
      </c>
      <c r="J345" s="6">
        <v>0</v>
      </c>
      <c r="K345" s="6">
        <v>0</v>
      </c>
      <c r="L345" s="6">
        <v>8.84</v>
      </c>
      <c r="M345" s="6">
        <v>8.84</v>
      </c>
      <c r="N345" s="6">
        <v>8.84</v>
      </c>
      <c r="O345" s="6">
        <v>8.84</v>
      </c>
      <c r="P345" s="6">
        <v>31</v>
      </c>
      <c r="Q345" s="4" t="s">
        <v>26</v>
      </c>
      <c r="R345" s="4">
        <v>0</v>
      </c>
      <c r="S345" s="4">
        <v>0</v>
      </c>
      <c r="T345" s="4">
        <v>47</v>
      </c>
      <c r="U345" s="4">
        <v>109</v>
      </c>
      <c r="V345" s="6">
        <f>IF(ISERROR(VLOOKUP($S$345,'TAR FIN'!$A$1:$O$113,15,0)),0,VLOOKUP($S$345,'TAR FIN'!$A$1:$O$113,15,0))</f>
        <v>0</v>
      </c>
      <c r="W345" s="6">
        <f>IF(ISERROR(VLOOKUP($T$345,'TAR FIN'!$A$1:$O$113,15,0)),0,VLOOKUP($T$345,'TAR FIN'!$A$1:$O$113,15,0))</f>
        <v>264.26</v>
      </c>
      <c r="X345" s="6">
        <f>IF(ISERROR(VLOOKUP($U$345,'TAR FIN'!$A$1:$O$113,15,0)),0,VLOOKUP($U$345,'TAR FIN'!$A$1:$O$113,15,0))</f>
        <v>257.27</v>
      </c>
      <c r="Y345" s="6"/>
      <c r="Z345" s="6">
        <f ca="1">('TUSD BE'!$AM$53+'TUSD BF'!$AM$53+'TUSD CVA'!$AM$53)*(1-CUSTOS!$M$38)</f>
        <v>369.68733431619313</v>
      </c>
      <c r="AA345" s="6">
        <f>('TE BE'!$AB$31+'TE BF'!$AB$31+'TE CVA'!$AB$31)*(1-CUSTOS!$M$38)</f>
        <v>295.89806753596048</v>
      </c>
      <c r="AB345" s="6">
        <f t="shared" si="16"/>
        <v>0</v>
      </c>
      <c r="AC345" s="6">
        <f>(L345-M345)*(W345+X345)+($W$227+$X$227-$W$345-$X$345)*(L345)</f>
        <v>628.78920000000096</v>
      </c>
      <c r="AD345" s="6">
        <f t="shared" si="17"/>
        <v>0</v>
      </c>
      <c r="AE345" s="6">
        <f ca="1">(L345-M345)*(Z345+AA345)+($Z$227+$AA$227-$Z$345-$AA$345)*(L345)</f>
        <v>375.56010334296047</v>
      </c>
      <c r="AF345" s="4" t="s">
        <v>853</v>
      </c>
    </row>
    <row r="346" spans="1:32" ht="11.25" customHeight="1" x14ac:dyDescent="0.3">
      <c r="A346" s="4" t="s">
        <v>21</v>
      </c>
      <c r="B346" s="4" t="s">
        <v>44</v>
      </c>
      <c r="C346" s="4" t="s">
        <v>23</v>
      </c>
      <c r="D346" s="4" t="s">
        <v>45</v>
      </c>
      <c r="E346" s="4" t="s">
        <v>25</v>
      </c>
      <c r="F346" s="4" t="s">
        <v>25</v>
      </c>
      <c r="G346" s="4" t="s">
        <v>25</v>
      </c>
      <c r="H346" s="4" t="s">
        <v>25</v>
      </c>
      <c r="I346" s="5">
        <v>44593</v>
      </c>
      <c r="J346" s="6">
        <v>0</v>
      </c>
      <c r="K346" s="6">
        <v>0</v>
      </c>
      <c r="L346" s="6">
        <v>277.06900000000002</v>
      </c>
      <c r="M346" s="6">
        <v>277.06900000000002</v>
      </c>
      <c r="N346" s="6">
        <v>277.06900000000002</v>
      </c>
      <c r="O346" s="6">
        <v>277.06900000000002</v>
      </c>
      <c r="P346" s="6">
        <v>440</v>
      </c>
      <c r="Q346" s="4" t="s">
        <v>26</v>
      </c>
      <c r="R346" s="4">
        <v>0</v>
      </c>
      <c r="S346" s="4">
        <v>0</v>
      </c>
      <c r="T346" s="4">
        <v>47</v>
      </c>
      <c r="U346" s="4">
        <v>109</v>
      </c>
      <c r="V346" s="6">
        <f>IF(ISERROR(VLOOKUP($S$346,'TAR FIN'!$A$1:$O$113,15,0)),0,VLOOKUP($S$346,'TAR FIN'!$A$1:$O$113,15,0))</f>
        <v>0</v>
      </c>
      <c r="W346" s="6">
        <f>IF(ISERROR(VLOOKUP($T$346,'TAR FIN'!$A$1:$O$113,15,0)),0,VLOOKUP($T$346,'TAR FIN'!$A$1:$O$113,15,0))</f>
        <v>264.26</v>
      </c>
      <c r="X346" s="6">
        <f>IF(ISERROR(VLOOKUP($U$346,'TAR FIN'!$A$1:$O$113,15,0)),0,VLOOKUP($U$346,'TAR FIN'!$A$1:$O$113,15,0))</f>
        <v>257.27</v>
      </c>
      <c r="Y346" s="6"/>
      <c r="Z346" s="6">
        <f ca="1">('TUSD BE'!$AM$53+'TUSD BF'!$AM$53+'TUSD CVA'!$AM$53)*(1-CUSTOS!$M$38)</f>
        <v>369.68733431619313</v>
      </c>
      <c r="AA346" s="6">
        <f>('TE BE'!$AB$31+'TE BF'!$AB$31+'TE CVA'!$AB$31)*(1-CUSTOS!$M$38)</f>
        <v>295.89806753596048</v>
      </c>
      <c r="AB346" s="6">
        <f t="shared" si="16"/>
        <v>0</v>
      </c>
      <c r="AC346" s="6">
        <f>(L346-M346)*(W346+X346)+($W$227+$X$227-$W$346-$X$346)*(L346)</f>
        <v>19707.917970000031</v>
      </c>
      <c r="AD346" s="6">
        <f t="shared" si="17"/>
        <v>0</v>
      </c>
      <c r="AE346" s="6">
        <f ca="1">(L346-M346)*(Z346+AA346)+($Z$227+$AA$227-$Z$346-$AA$346)*(L346)</f>
        <v>11771.047768453702</v>
      </c>
      <c r="AF346" s="4" t="s">
        <v>853</v>
      </c>
    </row>
    <row r="347" spans="1:32" ht="11.25" customHeight="1" x14ac:dyDescent="0.3">
      <c r="A347" s="4" t="s">
        <v>27</v>
      </c>
      <c r="B347" s="4" t="s">
        <v>44</v>
      </c>
      <c r="C347" s="4" t="s">
        <v>23</v>
      </c>
      <c r="D347" s="4" t="s">
        <v>45</v>
      </c>
      <c r="E347" s="4" t="s">
        <v>25</v>
      </c>
      <c r="F347" s="4" t="s">
        <v>25</v>
      </c>
      <c r="G347" s="4" t="s">
        <v>25</v>
      </c>
      <c r="H347" s="4" t="s">
        <v>25</v>
      </c>
      <c r="I347" s="5">
        <v>44593</v>
      </c>
      <c r="J347" s="6">
        <v>0</v>
      </c>
      <c r="K347" s="6">
        <v>0</v>
      </c>
      <c r="L347" s="6">
        <v>-0.38600000000000001</v>
      </c>
      <c r="M347" s="6">
        <v>-0.38600000000000001</v>
      </c>
      <c r="N347" s="6">
        <v>-0.38600000000000001</v>
      </c>
      <c r="O347" s="6">
        <v>-0.38600000000000001</v>
      </c>
      <c r="P347" s="6">
        <v>0</v>
      </c>
      <c r="Q347" s="4" t="s">
        <v>26</v>
      </c>
      <c r="R347" s="4">
        <v>0</v>
      </c>
      <c r="S347" s="4">
        <v>0</v>
      </c>
      <c r="T347" s="4">
        <v>47</v>
      </c>
      <c r="U347" s="4">
        <v>109</v>
      </c>
      <c r="V347" s="6">
        <f>IF(ISERROR(VLOOKUP($S$347,'TAR FIN'!$A$1:$O$113,15,0)),0,VLOOKUP($S$347,'TAR FIN'!$A$1:$O$113,15,0))</f>
        <v>0</v>
      </c>
      <c r="W347" s="6">
        <f>IF(ISERROR(VLOOKUP($T$347,'TAR FIN'!$A$1:$O$113,15,0)),0,VLOOKUP($T$347,'TAR FIN'!$A$1:$O$113,15,0))</f>
        <v>264.26</v>
      </c>
      <c r="X347" s="6">
        <f>IF(ISERROR(VLOOKUP($U$347,'TAR FIN'!$A$1:$O$113,15,0)),0,VLOOKUP($U$347,'TAR FIN'!$A$1:$O$113,15,0))</f>
        <v>257.27</v>
      </c>
      <c r="Y347" s="6"/>
      <c r="Z347" s="6">
        <f ca="1">('TUSD BE'!$AM$53+'TUSD BF'!$AM$53+'TUSD CVA'!$AM$53)*(1-CUSTOS!$M$38)</f>
        <v>369.68733431619313</v>
      </c>
      <c r="AA347" s="6">
        <f>('TE BE'!$AB$31+'TE BF'!$AB$31+'TE CVA'!$AB$31)*(1-CUSTOS!$M$38)</f>
        <v>295.89806753596048</v>
      </c>
      <c r="AB347" s="6">
        <f t="shared" si="16"/>
        <v>0</v>
      </c>
      <c r="AC347" s="6">
        <f>(L347-M347)*(W347+X347)+($W$227+$X$227-$W$347-$X$347)*(L347)</f>
        <v>-27.456180000000042</v>
      </c>
      <c r="AD347" s="6">
        <f t="shared" si="17"/>
        <v>0</v>
      </c>
      <c r="AE347" s="6">
        <f ca="1">(L347-M347)*(Z347+AA347)+($Z$227+$AA$227-$Z$347-$AA$347)*(L347)</f>
        <v>-16.398891390314791</v>
      </c>
      <c r="AF347" s="4" t="s">
        <v>853</v>
      </c>
    </row>
    <row r="348" spans="1:32" ht="11.25" customHeight="1" x14ac:dyDescent="0.3">
      <c r="A348" s="4" t="s">
        <v>28</v>
      </c>
      <c r="B348" s="4" t="s">
        <v>44</v>
      </c>
      <c r="C348" s="4" t="s">
        <v>23</v>
      </c>
      <c r="D348" s="4" t="s">
        <v>45</v>
      </c>
      <c r="E348" s="4" t="s">
        <v>25</v>
      </c>
      <c r="F348" s="4" t="s">
        <v>25</v>
      </c>
      <c r="G348" s="4" t="s">
        <v>25</v>
      </c>
      <c r="H348" s="4" t="s">
        <v>25</v>
      </c>
      <c r="I348" s="5">
        <v>44593</v>
      </c>
      <c r="J348" s="6">
        <v>0</v>
      </c>
      <c r="K348" s="6">
        <v>0</v>
      </c>
      <c r="L348" s="6">
        <v>7.6260000000000003</v>
      </c>
      <c r="M348" s="6">
        <v>7.6260000000000003</v>
      </c>
      <c r="N348" s="6">
        <v>7.6260000000000003</v>
      </c>
      <c r="O348" s="6">
        <v>7.6260000000000003</v>
      </c>
      <c r="P348" s="6">
        <v>34</v>
      </c>
      <c r="Q348" s="4" t="s">
        <v>26</v>
      </c>
      <c r="R348" s="4">
        <v>0</v>
      </c>
      <c r="S348" s="4">
        <v>0</v>
      </c>
      <c r="T348" s="4">
        <v>47</v>
      </c>
      <c r="U348" s="4">
        <v>109</v>
      </c>
      <c r="V348" s="6">
        <f>IF(ISERROR(VLOOKUP($S$348,'TAR FIN'!$A$1:$O$113,15,0)),0,VLOOKUP($S$348,'TAR FIN'!$A$1:$O$113,15,0))</f>
        <v>0</v>
      </c>
      <c r="W348" s="6">
        <f>IF(ISERROR(VLOOKUP($T$348,'TAR FIN'!$A$1:$O$113,15,0)),0,VLOOKUP($T$348,'TAR FIN'!$A$1:$O$113,15,0))</f>
        <v>264.26</v>
      </c>
      <c r="X348" s="6">
        <f>IF(ISERROR(VLOOKUP($U$348,'TAR FIN'!$A$1:$O$113,15,0)),0,VLOOKUP($U$348,'TAR FIN'!$A$1:$O$113,15,0))</f>
        <v>257.27</v>
      </c>
      <c r="Y348" s="6"/>
      <c r="Z348" s="6">
        <f ca="1">('TUSD BE'!$AM$53+'TUSD BF'!$AM$53+'TUSD CVA'!$AM$53)*(1-CUSTOS!$M$38)</f>
        <v>369.68733431619313</v>
      </c>
      <c r="AA348" s="6">
        <f>('TE BE'!$AB$31+'TE BF'!$AB$31+'TE CVA'!$AB$31)*(1-CUSTOS!$M$38)</f>
        <v>295.89806753596048</v>
      </c>
      <c r="AB348" s="6">
        <f t="shared" si="16"/>
        <v>0</v>
      </c>
      <c r="AC348" s="6">
        <f>(L348-M348)*(W348+X348)+($W$227+$X$227-$W$348-$X$348)*(L348)</f>
        <v>542.43738000000087</v>
      </c>
      <c r="AD348" s="6">
        <f t="shared" si="17"/>
        <v>0</v>
      </c>
      <c r="AE348" s="6">
        <f ca="1">(L348-M348)*(Z348+AA348)+($Z$227+$AA$227-$Z$348-$AA$348)*(L348)</f>
        <v>323.98431539518288</v>
      </c>
      <c r="AF348" s="4" t="s">
        <v>853</v>
      </c>
    </row>
    <row r="349" spans="1:32" ht="11.25" customHeight="1" x14ac:dyDescent="0.3">
      <c r="A349" s="4" t="s">
        <v>28</v>
      </c>
      <c r="B349" s="4" t="s">
        <v>44</v>
      </c>
      <c r="C349" s="4" t="s">
        <v>23</v>
      </c>
      <c r="D349" s="4" t="s">
        <v>45</v>
      </c>
      <c r="E349" s="4" t="s">
        <v>25</v>
      </c>
      <c r="F349" s="4" t="s">
        <v>25</v>
      </c>
      <c r="G349" s="4" t="s">
        <v>25</v>
      </c>
      <c r="H349" s="4" t="s">
        <v>25</v>
      </c>
      <c r="I349" s="5">
        <v>44593</v>
      </c>
      <c r="J349" s="6">
        <v>0</v>
      </c>
      <c r="K349" s="6">
        <v>0</v>
      </c>
      <c r="L349" s="6">
        <v>0.1</v>
      </c>
      <c r="M349" s="6">
        <v>0.1</v>
      </c>
      <c r="N349" s="6">
        <v>0.1</v>
      </c>
      <c r="O349" s="6">
        <v>0.1</v>
      </c>
      <c r="P349" s="6">
        <v>1</v>
      </c>
      <c r="Q349" s="4" t="s">
        <v>26</v>
      </c>
      <c r="R349" s="4">
        <v>0</v>
      </c>
      <c r="S349" s="4">
        <v>0</v>
      </c>
      <c r="T349" s="4">
        <v>47</v>
      </c>
      <c r="U349" s="4">
        <v>109</v>
      </c>
      <c r="V349" s="6">
        <f>IF(ISERROR(VLOOKUP($S$349,'TAR FIN'!$A$1:$O$113,15,0)),0,VLOOKUP($S$349,'TAR FIN'!$A$1:$O$113,15,0))</f>
        <v>0</v>
      </c>
      <c r="W349" s="6">
        <f>IF(ISERROR(VLOOKUP($T$349,'TAR FIN'!$A$1:$O$113,15,0)),0,VLOOKUP($T$349,'TAR FIN'!$A$1:$O$113,15,0))</f>
        <v>264.26</v>
      </c>
      <c r="X349" s="6">
        <f>IF(ISERROR(VLOOKUP($U$349,'TAR FIN'!$A$1:$O$113,15,0)),0,VLOOKUP($U$349,'TAR FIN'!$A$1:$O$113,15,0))</f>
        <v>257.27</v>
      </c>
      <c r="Y349" s="6"/>
      <c r="Z349" s="6">
        <f ca="1">('TUSD BE'!$AM$53+'TUSD BF'!$AM$53+'TUSD CVA'!$AM$53)*(1-CUSTOS!$M$38)</f>
        <v>369.68733431619313</v>
      </c>
      <c r="AA349" s="6">
        <f>('TE BE'!$AB$31+'TE BF'!$AB$31+'TE CVA'!$AB$31)*(1-CUSTOS!$M$38)</f>
        <v>295.89806753596048</v>
      </c>
      <c r="AB349" s="6">
        <f t="shared" si="16"/>
        <v>0</v>
      </c>
      <c r="AC349" s="6">
        <f>(L349-M349)*(W349+X349)+($W$227+$X$227-$W$349-$X$349)*(L349)</f>
        <v>7.1130000000000111</v>
      </c>
      <c r="AD349" s="6">
        <f t="shared" si="17"/>
        <v>0</v>
      </c>
      <c r="AE349" s="6">
        <f ca="1">(L349-M349)*(Z349+AA349)+($Z$227+$AA$227-$Z$349-$AA$349)*(L349)</f>
        <v>4.248417458630775</v>
      </c>
      <c r="AF349" s="4" t="s">
        <v>853</v>
      </c>
    </row>
    <row r="350" spans="1:32" ht="11.25" customHeight="1" x14ac:dyDescent="0.3">
      <c r="A350" s="4" t="s">
        <v>21</v>
      </c>
      <c r="B350" s="4" t="s">
        <v>44</v>
      </c>
      <c r="C350" s="4" t="s">
        <v>23</v>
      </c>
      <c r="D350" s="4" t="s">
        <v>45</v>
      </c>
      <c r="E350" s="4" t="s">
        <v>25</v>
      </c>
      <c r="F350" s="4" t="s">
        <v>25</v>
      </c>
      <c r="G350" s="4" t="s">
        <v>25</v>
      </c>
      <c r="H350" s="4" t="s">
        <v>25</v>
      </c>
      <c r="I350" s="5">
        <v>44621</v>
      </c>
      <c r="J350" s="6">
        <v>0</v>
      </c>
      <c r="K350" s="6">
        <v>0</v>
      </c>
      <c r="L350" s="6">
        <v>287.67899999999997</v>
      </c>
      <c r="M350" s="6">
        <v>287.67899999999997</v>
      </c>
      <c r="N350" s="6">
        <v>287.67899999999997</v>
      </c>
      <c r="O350" s="6">
        <v>287.67899999999997</v>
      </c>
      <c r="P350" s="6">
        <v>437</v>
      </c>
      <c r="Q350" s="4" t="s">
        <v>26</v>
      </c>
      <c r="R350" s="4">
        <v>0</v>
      </c>
      <c r="S350" s="4">
        <v>0</v>
      </c>
      <c r="T350" s="4">
        <v>47</v>
      </c>
      <c r="U350" s="4">
        <v>109</v>
      </c>
      <c r="V350" s="6">
        <f>IF(ISERROR(VLOOKUP($S$350,'TAR FIN'!$A$1:$O$113,15,0)),0,VLOOKUP($S$350,'TAR FIN'!$A$1:$O$113,15,0))</f>
        <v>0</v>
      </c>
      <c r="W350" s="6">
        <f>IF(ISERROR(VLOOKUP($T$350,'TAR FIN'!$A$1:$O$113,15,0)),0,VLOOKUP($T$350,'TAR FIN'!$A$1:$O$113,15,0))</f>
        <v>264.26</v>
      </c>
      <c r="X350" s="6">
        <f>IF(ISERROR(VLOOKUP($U$350,'TAR FIN'!$A$1:$O$113,15,0)),0,VLOOKUP($U$350,'TAR FIN'!$A$1:$O$113,15,0))</f>
        <v>257.27</v>
      </c>
      <c r="Y350" s="6"/>
      <c r="Z350" s="6">
        <f ca="1">('TUSD BE'!$AM$53+'TUSD BF'!$AM$53+'TUSD CVA'!$AM$53)*(1-CUSTOS!$M$38)</f>
        <v>369.68733431619313</v>
      </c>
      <c r="AA350" s="6">
        <f>('TE BE'!$AB$31+'TE BF'!$AB$31+'TE CVA'!$AB$31)*(1-CUSTOS!$M$38)</f>
        <v>295.89806753596048</v>
      </c>
      <c r="AB350" s="6">
        <f t="shared" si="16"/>
        <v>0</v>
      </c>
      <c r="AC350" s="6">
        <f>(L350-M350)*(W350+X350)+($W$227+$X$227-$W$350-$X$350)*(L350)</f>
        <v>20462.60727000003</v>
      </c>
      <c r="AD350" s="6">
        <f t="shared" si="17"/>
        <v>0</v>
      </c>
      <c r="AE350" s="6">
        <f ca="1">(L350-M350)*(Z350+AA350)+($Z$227+$AA$227-$Z$350-$AA$350)*(L350)</f>
        <v>12221.804860814425</v>
      </c>
      <c r="AF350" s="4" t="s">
        <v>853</v>
      </c>
    </row>
    <row r="351" spans="1:32" ht="11.25" customHeight="1" x14ac:dyDescent="0.3">
      <c r="A351" s="4" t="s">
        <v>27</v>
      </c>
      <c r="B351" s="4" t="s">
        <v>44</v>
      </c>
      <c r="C351" s="4" t="s">
        <v>23</v>
      </c>
      <c r="D351" s="4" t="s">
        <v>45</v>
      </c>
      <c r="E351" s="4" t="s">
        <v>25</v>
      </c>
      <c r="F351" s="4" t="s">
        <v>25</v>
      </c>
      <c r="G351" s="4" t="s">
        <v>25</v>
      </c>
      <c r="H351" s="4" t="s">
        <v>25</v>
      </c>
      <c r="I351" s="5">
        <v>44621</v>
      </c>
      <c r="J351" s="6">
        <v>0</v>
      </c>
      <c r="K351" s="6">
        <v>0</v>
      </c>
      <c r="L351" s="6">
        <v>-1.06</v>
      </c>
      <c r="M351" s="6">
        <v>-1.06</v>
      </c>
      <c r="N351" s="6">
        <v>-1.06</v>
      </c>
      <c r="O351" s="6">
        <v>-1.06</v>
      </c>
      <c r="P351" s="6">
        <v>0</v>
      </c>
      <c r="Q351" s="4" t="s">
        <v>26</v>
      </c>
      <c r="R351" s="4">
        <v>0</v>
      </c>
      <c r="S351" s="4">
        <v>0</v>
      </c>
      <c r="T351" s="4">
        <v>47</v>
      </c>
      <c r="U351" s="4">
        <v>109</v>
      </c>
      <c r="V351" s="6">
        <f>IF(ISERROR(VLOOKUP($S$351,'TAR FIN'!$A$1:$O$113,15,0)),0,VLOOKUP($S$351,'TAR FIN'!$A$1:$O$113,15,0))</f>
        <v>0</v>
      </c>
      <c r="W351" s="6">
        <f>IF(ISERROR(VLOOKUP($T$351,'TAR FIN'!$A$1:$O$113,15,0)),0,VLOOKUP($T$351,'TAR FIN'!$A$1:$O$113,15,0))</f>
        <v>264.26</v>
      </c>
      <c r="X351" s="6">
        <f>IF(ISERROR(VLOOKUP($U$351,'TAR FIN'!$A$1:$O$113,15,0)),0,VLOOKUP($U$351,'TAR FIN'!$A$1:$O$113,15,0))</f>
        <v>257.27</v>
      </c>
      <c r="Y351" s="6"/>
      <c r="Z351" s="6">
        <f ca="1">('TUSD BE'!$AM$53+'TUSD BF'!$AM$53+'TUSD CVA'!$AM$53)*(1-CUSTOS!$M$38)</f>
        <v>369.68733431619313</v>
      </c>
      <c r="AA351" s="6">
        <f>('TE BE'!$AB$31+'TE BF'!$AB$31+'TE CVA'!$AB$31)*(1-CUSTOS!$M$38)</f>
        <v>295.89806753596048</v>
      </c>
      <c r="AB351" s="6">
        <f t="shared" si="16"/>
        <v>0</v>
      </c>
      <c r="AC351" s="6">
        <f>(L351-M351)*(W351+X351)+($W$227+$X$227-$W$351-$X$351)*(L351)</f>
        <v>-75.397800000000117</v>
      </c>
      <c r="AD351" s="6">
        <f t="shared" si="17"/>
        <v>0</v>
      </c>
      <c r="AE351" s="6">
        <f ca="1">(L351-M351)*(Z351+AA351)+($Z$227+$AA$227-$Z$351-$AA$351)*(L351)</f>
        <v>-45.033225061486213</v>
      </c>
      <c r="AF351" s="4" t="s">
        <v>853</v>
      </c>
    </row>
    <row r="352" spans="1:32" ht="11.25" customHeight="1" x14ac:dyDescent="0.3">
      <c r="A352" s="4" t="s">
        <v>28</v>
      </c>
      <c r="B352" s="4" t="s">
        <v>44</v>
      </c>
      <c r="C352" s="4" t="s">
        <v>23</v>
      </c>
      <c r="D352" s="4" t="s">
        <v>45</v>
      </c>
      <c r="E352" s="4" t="s">
        <v>25</v>
      </c>
      <c r="F352" s="4" t="s">
        <v>25</v>
      </c>
      <c r="G352" s="4" t="s">
        <v>25</v>
      </c>
      <c r="H352" s="4" t="s">
        <v>25</v>
      </c>
      <c r="I352" s="5">
        <v>44621</v>
      </c>
      <c r="J352" s="6">
        <v>0</v>
      </c>
      <c r="K352" s="6">
        <v>0</v>
      </c>
      <c r="L352" s="6">
        <v>8.6259999999999994</v>
      </c>
      <c r="M352" s="6">
        <v>8.6259999999999994</v>
      </c>
      <c r="N352" s="6">
        <v>8.6259999999999994</v>
      </c>
      <c r="O352" s="6">
        <v>8.6259999999999994</v>
      </c>
      <c r="P352" s="6">
        <v>36</v>
      </c>
      <c r="Q352" s="4" t="s">
        <v>26</v>
      </c>
      <c r="R352" s="4">
        <v>0</v>
      </c>
      <c r="S352" s="4">
        <v>0</v>
      </c>
      <c r="T352" s="4">
        <v>47</v>
      </c>
      <c r="U352" s="4">
        <v>109</v>
      </c>
      <c r="V352" s="6">
        <f>IF(ISERROR(VLOOKUP($S$352,'TAR FIN'!$A$1:$O$113,15,0)),0,VLOOKUP($S$352,'TAR FIN'!$A$1:$O$113,15,0))</f>
        <v>0</v>
      </c>
      <c r="W352" s="6">
        <f>IF(ISERROR(VLOOKUP($T$352,'TAR FIN'!$A$1:$O$113,15,0)),0,VLOOKUP($T$352,'TAR FIN'!$A$1:$O$113,15,0))</f>
        <v>264.26</v>
      </c>
      <c r="X352" s="6">
        <f>IF(ISERROR(VLOOKUP($U$352,'TAR FIN'!$A$1:$O$113,15,0)),0,VLOOKUP($U$352,'TAR FIN'!$A$1:$O$113,15,0))</f>
        <v>257.27</v>
      </c>
      <c r="Y352" s="6"/>
      <c r="Z352" s="6">
        <f ca="1">('TUSD BE'!$AM$53+'TUSD BF'!$AM$53+'TUSD CVA'!$AM$53)*(1-CUSTOS!$M$38)</f>
        <v>369.68733431619313</v>
      </c>
      <c r="AA352" s="6">
        <f>('TE BE'!$AB$31+'TE BF'!$AB$31+'TE CVA'!$AB$31)*(1-CUSTOS!$M$38)</f>
        <v>295.89806753596048</v>
      </c>
      <c r="AB352" s="6">
        <f t="shared" si="16"/>
        <v>0</v>
      </c>
      <c r="AC352" s="6">
        <f>(L352-M352)*(W352+X352)+($W$227+$X$227-$W$352-$X$352)*(L352)</f>
        <v>613.56738000000087</v>
      </c>
      <c r="AD352" s="6">
        <f t="shared" si="17"/>
        <v>0</v>
      </c>
      <c r="AE352" s="6">
        <f ca="1">(L352-M352)*(Z352+AA352)+($Z$227+$AA$227-$Z$352-$AA$352)*(L352)</f>
        <v>366.46848998149056</v>
      </c>
      <c r="AF352" s="4" t="s">
        <v>853</v>
      </c>
    </row>
    <row r="353" spans="1:32" ht="11.25" customHeight="1" x14ac:dyDescent="0.3">
      <c r="A353" s="4" t="s">
        <v>21</v>
      </c>
      <c r="B353" s="4" t="s">
        <v>44</v>
      </c>
      <c r="C353" s="4" t="s">
        <v>23</v>
      </c>
      <c r="D353" s="4" t="s">
        <v>45</v>
      </c>
      <c r="E353" s="4" t="s">
        <v>25</v>
      </c>
      <c r="F353" s="4" t="s">
        <v>25</v>
      </c>
      <c r="G353" s="4" t="s">
        <v>25</v>
      </c>
      <c r="H353" s="4" t="s">
        <v>25</v>
      </c>
      <c r="I353" s="5">
        <v>44652</v>
      </c>
      <c r="J353" s="6">
        <v>0</v>
      </c>
      <c r="K353" s="6">
        <v>0</v>
      </c>
      <c r="L353" s="6">
        <v>277.33300000000003</v>
      </c>
      <c r="M353" s="6">
        <v>277.33300000000003</v>
      </c>
      <c r="N353" s="6">
        <v>277.33300000000003</v>
      </c>
      <c r="O353" s="6">
        <v>277.33300000000003</v>
      </c>
      <c r="P353" s="6">
        <v>435</v>
      </c>
      <c r="Q353" s="4" t="s">
        <v>26</v>
      </c>
      <c r="R353" s="4">
        <v>0</v>
      </c>
      <c r="S353" s="4">
        <v>0</v>
      </c>
      <c r="T353" s="4">
        <v>47</v>
      </c>
      <c r="U353" s="4">
        <v>109</v>
      </c>
      <c r="V353" s="6">
        <f>IF(ISERROR(VLOOKUP($S$353,'TAR FIN'!$A$1:$O$113,15,0)),0,VLOOKUP($S$353,'TAR FIN'!$A$1:$O$113,15,0))</f>
        <v>0</v>
      </c>
      <c r="W353" s="6">
        <f>IF(ISERROR(VLOOKUP($T$353,'TAR FIN'!$A$1:$O$113,15,0)),0,VLOOKUP($T$353,'TAR FIN'!$A$1:$O$113,15,0))</f>
        <v>264.26</v>
      </c>
      <c r="X353" s="6">
        <f>IF(ISERROR(VLOOKUP($U$353,'TAR FIN'!$A$1:$O$113,15,0)),0,VLOOKUP($U$353,'TAR FIN'!$A$1:$O$113,15,0))</f>
        <v>257.27</v>
      </c>
      <c r="Y353" s="6"/>
      <c r="Z353" s="6">
        <f ca="1">('TUSD BE'!$AM$53+'TUSD BF'!$AM$53+'TUSD CVA'!$AM$53)*(1-CUSTOS!$M$38)</f>
        <v>369.68733431619313</v>
      </c>
      <c r="AA353" s="6">
        <f>('TE BE'!$AB$31+'TE BF'!$AB$31+'TE CVA'!$AB$31)*(1-CUSTOS!$M$38)</f>
        <v>295.89806753596048</v>
      </c>
      <c r="AB353" s="6">
        <f t="shared" si="16"/>
        <v>0</v>
      </c>
      <c r="AC353" s="6">
        <f>(L353-M353)*(W353+X353)+($W$227+$X$227-$W$353-$X$353)*(L353)</f>
        <v>19726.696290000033</v>
      </c>
      <c r="AD353" s="6">
        <f t="shared" si="17"/>
        <v>0</v>
      </c>
      <c r="AE353" s="6">
        <f ca="1">(L353-M353)*(Z353+AA353)+($Z$227+$AA$227-$Z$353-$AA$353)*(L353)</f>
        <v>11782.263590544488</v>
      </c>
      <c r="AF353" s="4" t="s">
        <v>853</v>
      </c>
    </row>
    <row r="354" spans="1:32" ht="11.25" customHeight="1" x14ac:dyDescent="0.3">
      <c r="A354" s="4" t="s">
        <v>28</v>
      </c>
      <c r="B354" s="4" t="s">
        <v>44</v>
      </c>
      <c r="C354" s="4" t="s">
        <v>23</v>
      </c>
      <c r="D354" s="4" t="s">
        <v>45</v>
      </c>
      <c r="E354" s="4" t="s">
        <v>25</v>
      </c>
      <c r="F354" s="4" t="s">
        <v>25</v>
      </c>
      <c r="G354" s="4" t="s">
        <v>25</v>
      </c>
      <c r="H354" s="4" t="s">
        <v>25</v>
      </c>
      <c r="I354" s="5">
        <v>44652</v>
      </c>
      <c r="J354" s="6">
        <v>0</v>
      </c>
      <c r="K354" s="6">
        <v>0</v>
      </c>
      <c r="L354" s="6">
        <v>7.6239999999999997</v>
      </c>
      <c r="M354" s="6">
        <v>7.6239999999999997</v>
      </c>
      <c r="N354" s="6">
        <v>7.6239999999999997</v>
      </c>
      <c r="O354" s="6">
        <v>7.6239999999999997</v>
      </c>
      <c r="P354" s="6">
        <v>37</v>
      </c>
      <c r="Q354" s="4" t="s">
        <v>26</v>
      </c>
      <c r="R354" s="4">
        <v>0</v>
      </c>
      <c r="S354" s="4">
        <v>0</v>
      </c>
      <c r="T354" s="4">
        <v>47</v>
      </c>
      <c r="U354" s="4">
        <v>109</v>
      </c>
      <c r="V354" s="6">
        <f>IF(ISERROR(VLOOKUP($S$354,'TAR FIN'!$A$1:$O$113,15,0)),0,VLOOKUP($S$354,'TAR FIN'!$A$1:$O$113,15,0))</f>
        <v>0</v>
      </c>
      <c r="W354" s="6">
        <f>IF(ISERROR(VLOOKUP($T$354,'TAR FIN'!$A$1:$O$113,15,0)),0,VLOOKUP($T$354,'TAR FIN'!$A$1:$O$113,15,0))</f>
        <v>264.26</v>
      </c>
      <c r="X354" s="6">
        <f>IF(ISERROR(VLOOKUP($U$354,'TAR FIN'!$A$1:$O$113,15,0)),0,VLOOKUP($U$354,'TAR FIN'!$A$1:$O$113,15,0))</f>
        <v>257.27</v>
      </c>
      <c r="Y354" s="6"/>
      <c r="Z354" s="6">
        <f ca="1">('TUSD BE'!$AM$53+'TUSD BF'!$AM$53+'TUSD CVA'!$AM$53)*(1-CUSTOS!$M$38)</f>
        <v>369.68733431619313</v>
      </c>
      <c r="AA354" s="6">
        <f>('TE BE'!$AB$31+'TE BF'!$AB$31+'TE CVA'!$AB$31)*(1-CUSTOS!$M$38)</f>
        <v>295.89806753596048</v>
      </c>
      <c r="AB354" s="6">
        <f t="shared" si="16"/>
        <v>0</v>
      </c>
      <c r="AC354" s="6">
        <f>(L354-M354)*(W354+X354)+($W$227+$X$227-$W$354-$X$354)*(L354)</f>
        <v>542.29512000000079</v>
      </c>
      <c r="AD354" s="6">
        <f t="shared" si="17"/>
        <v>0</v>
      </c>
      <c r="AE354" s="6">
        <f ca="1">(L354-M354)*(Z354+AA354)+($Z$227+$AA$227-$Z$354-$AA$354)*(L354)</f>
        <v>323.89934704601023</v>
      </c>
      <c r="AF354" s="4" t="s">
        <v>853</v>
      </c>
    </row>
    <row r="355" spans="1:32" ht="11.25" customHeight="1" x14ac:dyDescent="0.3">
      <c r="A355" s="4" t="s">
        <v>21</v>
      </c>
      <c r="B355" s="4" t="s">
        <v>44</v>
      </c>
      <c r="C355" s="4" t="s">
        <v>23</v>
      </c>
      <c r="D355" s="4" t="s">
        <v>45</v>
      </c>
      <c r="E355" s="4" t="s">
        <v>25</v>
      </c>
      <c r="F355" s="4" t="s">
        <v>25</v>
      </c>
      <c r="G355" s="4" t="s">
        <v>25</v>
      </c>
      <c r="H355" s="4" t="s">
        <v>25</v>
      </c>
      <c r="I355" s="5">
        <v>44682</v>
      </c>
      <c r="J355" s="6">
        <v>0</v>
      </c>
      <c r="K355" s="6">
        <v>0</v>
      </c>
      <c r="L355" s="6">
        <v>296.34100000000001</v>
      </c>
      <c r="M355" s="6">
        <v>296.34100000000001</v>
      </c>
      <c r="N355" s="6">
        <v>296.34100000000001</v>
      </c>
      <c r="O355" s="6">
        <v>296.34100000000001</v>
      </c>
      <c r="P355" s="6">
        <v>435</v>
      </c>
      <c r="Q355" s="4" t="s">
        <v>26</v>
      </c>
      <c r="R355" s="4">
        <v>0</v>
      </c>
      <c r="S355" s="4">
        <v>0</v>
      </c>
      <c r="T355" s="4">
        <v>47</v>
      </c>
      <c r="U355" s="4">
        <v>109</v>
      </c>
      <c r="V355" s="6">
        <f>IF(ISERROR(VLOOKUP($S$355,'TAR FIN'!$A$1:$O$113,15,0)),0,VLOOKUP($S$355,'TAR FIN'!$A$1:$O$113,15,0))</f>
        <v>0</v>
      </c>
      <c r="W355" s="6">
        <f>IF(ISERROR(VLOOKUP($T$355,'TAR FIN'!$A$1:$O$113,15,0)),0,VLOOKUP($T$355,'TAR FIN'!$A$1:$O$113,15,0))</f>
        <v>264.26</v>
      </c>
      <c r="X355" s="6">
        <f>IF(ISERROR(VLOOKUP($U$355,'TAR FIN'!$A$1:$O$113,15,0)),0,VLOOKUP($U$355,'TAR FIN'!$A$1:$O$113,15,0))</f>
        <v>257.27</v>
      </c>
      <c r="Y355" s="6"/>
      <c r="Z355" s="6">
        <f ca="1">('TUSD BE'!$AM$53+'TUSD BF'!$AM$53+'TUSD CVA'!$AM$53)*(1-CUSTOS!$M$38)</f>
        <v>369.68733431619313</v>
      </c>
      <c r="AA355" s="6">
        <f>('TE BE'!$AB$31+'TE BF'!$AB$31+'TE CVA'!$AB$31)*(1-CUSTOS!$M$38)</f>
        <v>295.89806753596048</v>
      </c>
      <c r="AB355" s="6">
        <f t="shared" si="16"/>
        <v>0</v>
      </c>
      <c r="AC355" s="6">
        <f>(L355-M355)*(W355+X355)+($W$227+$X$227-$W$355-$X$355)*(L355)</f>
        <v>21078.735330000032</v>
      </c>
      <c r="AD355" s="6">
        <f t="shared" si="17"/>
        <v>0</v>
      </c>
      <c r="AE355" s="6">
        <f ca="1">(L355-M355)*(Z355+AA355)+($Z$227+$AA$227-$Z$355-$AA$355)*(L355)</f>
        <v>12589.802781081024</v>
      </c>
      <c r="AF355" s="4" t="s">
        <v>853</v>
      </c>
    </row>
    <row r="356" spans="1:32" ht="11.25" customHeight="1" x14ac:dyDescent="0.3">
      <c r="A356" s="4" t="s">
        <v>27</v>
      </c>
      <c r="B356" s="4" t="s">
        <v>44</v>
      </c>
      <c r="C356" s="4" t="s">
        <v>23</v>
      </c>
      <c r="D356" s="4" t="s">
        <v>45</v>
      </c>
      <c r="E356" s="4" t="s">
        <v>25</v>
      </c>
      <c r="F356" s="4" t="s">
        <v>25</v>
      </c>
      <c r="G356" s="4" t="s">
        <v>25</v>
      </c>
      <c r="H356" s="4" t="s">
        <v>25</v>
      </c>
      <c r="I356" s="5">
        <v>44682</v>
      </c>
      <c r="J356" s="6">
        <v>0</v>
      </c>
      <c r="K356" s="6">
        <v>0</v>
      </c>
      <c r="L356" s="6">
        <v>-0.35899999999999999</v>
      </c>
      <c r="M356" s="6">
        <v>-0.35899999999999999</v>
      </c>
      <c r="N356" s="6">
        <v>-0.35899999999999999</v>
      </c>
      <c r="O356" s="6">
        <v>-0.35899999999999999</v>
      </c>
      <c r="P356" s="6">
        <v>0</v>
      </c>
      <c r="Q356" s="4" t="s">
        <v>26</v>
      </c>
      <c r="R356" s="4">
        <v>0</v>
      </c>
      <c r="S356" s="4">
        <v>0</v>
      </c>
      <c r="T356" s="4">
        <v>47</v>
      </c>
      <c r="U356" s="4">
        <v>109</v>
      </c>
      <c r="V356" s="6">
        <f>IF(ISERROR(VLOOKUP($S$356,'TAR FIN'!$A$1:$O$113,15,0)),0,VLOOKUP($S$356,'TAR FIN'!$A$1:$O$113,15,0))</f>
        <v>0</v>
      </c>
      <c r="W356" s="6">
        <f>IF(ISERROR(VLOOKUP($T$356,'TAR FIN'!$A$1:$O$113,15,0)),0,VLOOKUP($T$356,'TAR FIN'!$A$1:$O$113,15,0))</f>
        <v>264.26</v>
      </c>
      <c r="X356" s="6">
        <f>IF(ISERROR(VLOOKUP($U$356,'TAR FIN'!$A$1:$O$113,15,0)),0,VLOOKUP($U$356,'TAR FIN'!$A$1:$O$113,15,0))</f>
        <v>257.27</v>
      </c>
      <c r="Y356" s="6"/>
      <c r="Z356" s="6">
        <f ca="1">('TUSD BE'!$AM$53+'TUSD BF'!$AM$53+'TUSD CVA'!$AM$53)*(1-CUSTOS!$M$38)</f>
        <v>369.68733431619313</v>
      </c>
      <c r="AA356" s="6">
        <f>('TE BE'!$AB$31+'TE BF'!$AB$31+'TE CVA'!$AB$31)*(1-CUSTOS!$M$38)</f>
        <v>295.89806753596048</v>
      </c>
      <c r="AB356" s="6">
        <f t="shared" si="16"/>
        <v>0</v>
      </c>
      <c r="AC356" s="6">
        <f>(L356-M356)*(W356+X356)+($W$227+$X$227-$W$356-$X$356)*(L356)</f>
        <v>-25.535670000000039</v>
      </c>
      <c r="AD356" s="6">
        <f t="shared" si="17"/>
        <v>0</v>
      </c>
      <c r="AE356" s="6">
        <f ca="1">(L356-M356)*(Z356+AA356)+($Z$227+$AA$227-$Z$356-$AA$356)*(L356)</f>
        <v>-15.251818676484479</v>
      </c>
      <c r="AF356" s="4" t="s">
        <v>853</v>
      </c>
    </row>
    <row r="357" spans="1:32" ht="11.25" customHeight="1" x14ac:dyDescent="0.3">
      <c r="A357" s="4" t="s">
        <v>28</v>
      </c>
      <c r="B357" s="4" t="s">
        <v>44</v>
      </c>
      <c r="C357" s="4" t="s">
        <v>23</v>
      </c>
      <c r="D357" s="4" t="s">
        <v>45</v>
      </c>
      <c r="E357" s="4" t="s">
        <v>25</v>
      </c>
      <c r="F357" s="4" t="s">
        <v>25</v>
      </c>
      <c r="G357" s="4" t="s">
        <v>25</v>
      </c>
      <c r="H357" s="4" t="s">
        <v>25</v>
      </c>
      <c r="I357" s="5">
        <v>44682</v>
      </c>
      <c r="J357" s="6">
        <v>0</v>
      </c>
      <c r="K357" s="6">
        <v>0</v>
      </c>
      <c r="L357" s="6">
        <v>7.7039999999999997</v>
      </c>
      <c r="M357" s="6">
        <v>7.7039999999999997</v>
      </c>
      <c r="N357" s="6">
        <v>7.7039999999999997</v>
      </c>
      <c r="O357" s="6">
        <v>7.7039999999999997</v>
      </c>
      <c r="P357" s="6">
        <v>37</v>
      </c>
      <c r="Q357" s="4" t="s">
        <v>26</v>
      </c>
      <c r="R357" s="4">
        <v>0</v>
      </c>
      <c r="S357" s="4">
        <v>0</v>
      </c>
      <c r="T357" s="4">
        <v>47</v>
      </c>
      <c r="U357" s="4">
        <v>109</v>
      </c>
      <c r="V357" s="6">
        <f>IF(ISERROR(VLOOKUP($S$357,'TAR FIN'!$A$1:$O$113,15,0)),0,VLOOKUP($S$357,'TAR FIN'!$A$1:$O$113,15,0))</f>
        <v>0</v>
      </c>
      <c r="W357" s="6">
        <f>IF(ISERROR(VLOOKUP($T$357,'TAR FIN'!$A$1:$O$113,15,0)),0,VLOOKUP($T$357,'TAR FIN'!$A$1:$O$113,15,0))</f>
        <v>264.26</v>
      </c>
      <c r="X357" s="6">
        <f>IF(ISERROR(VLOOKUP($U$357,'TAR FIN'!$A$1:$O$113,15,0)),0,VLOOKUP($U$357,'TAR FIN'!$A$1:$O$113,15,0))</f>
        <v>257.27</v>
      </c>
      <c r="Y357" s="6"/>
      <c r="Z357" s="6">
        <f ca="1">('TUSD BE'!$AM$53+'TUSD BF'!$AM$53+'TUSD CVA'!$AM$53)*(1-CUSTOS!$M$38)</f>
        <v>369.68733431619313</v>
      </c>
      <c r="AA357" s="6">
        <f>('TE BE'!$AB$31+'TE BF'!$AB$31+'TE CVA'!$AB$31)*(1-CUSTOS!$M$38)</f>
        <v>295.89806753596048</v>
      </c>
      <c r="AB357" s="6">
        <f t="shared" si="16"/>
        <v>0</v>
      </c>
      <c r="AC357" s="6">
        <f>(L357-M357)*(W357+X357)+($W$227+$X$227-$W$357-$X$357)*(L357)</f>
        <v>547.98552000000086</v>
      </c>
      <c r="AD357" s="6">
        <f t="shared" si="17"/>
        <v>0</v>
      </c>
      <c r="AE357" s="6">
        <f ca="1">(L357-M357)*(Z357+AA357)+($Z$227+$AA$227-$Z$357-$AA$357)*(L357)</f>
        <v>327.29808101291485</v>
      </c>
      <c r="AF357" s="4" t="s">
        <v>853</v>
      </c>
    </row>
    <row r="358" spans="1:32" ht="11.25" customHeight="1" x14ac:dyDescent="0.3">
      <c r="A358" s="4" t="s">
        <v>28</v>
      </c>
      <c r="B358" s="4" t="s">
        <v>44</v>
      </c>
      <c r="C358" s="4" t="s">
        <v>23</v>
      </c>
      <c r="D358" s="4" t="s">
        <v>45</v>
      </c>
      <c r="E358" s="4" t="s">
        <v>25</v>
      </c>
      <c r="F358" s="4" t="s">
        <v>25</v>
      </c>
      <c r="G358" s="4" t="s">
        <v>25</v>
      </c>
      <c r="H358" s="4" t="s">
        <v>25</v>
      </c>
      <c r="I358" s="5">
        <v>44682</v>
      </c>
      <c r="J358" s="6">
        <v>0</v>
      </c>
      <c r="K358" s="6">
        <v>0</v>
      </c>
      <c r="L358" s="6">
        <v>0.13600000000000001</v>
      </c>
      <c r="M358" s="6">
        <v>0.13600000000000001</v>
      </c>
      <c r="N358" s="6">
        <v>0.13600000000000001</v>
      </c>
      <c r="O358" s="6">
        <v>0.13600000000000001</v>
      </c>
      <c r="P358" s="6">
        <v>1</v>
      </c>
      <c r="Q358" s="4" t="s">
        <v>26</v>
      </c>
      <c r="R358" s="4">
        <v>0</v>
      </c>
      <c r="S358" s="4">
        <v>0</v>
      </c>
      <c r="T358" s="4">
        <v>47</v>
      </c>
      <c r="U358" s="4">
        <v>109</v>
      </c>
      <c r="V358" s="6">
        <f>IF(ISERROR(VLOOKUP($S$358,'TAR FIN'!$A$1:$O$113,15,0)),0,VLOOKUP($S$358,'TAR FIN'!$A$1:$O$113,15,0))</f>
        <v>0</v>
      </c>
      <c r="W358" s="6">
        <f>IF(ISERROR(VLOOKUP($T$358,'TAR FIN'!$A$1:$O$113,15,0)),0,VLOOKUP($T$358,'TAR FIN'!$A$1:$O$113,15,0))</f>
        <v>264.26</v>
      </c>
      <c r="X358" s="6">
        <f>IF(ISERROR(VLOOKUP($U$358,'TAR FIN'!$A$1:$O$113,15,0)),0,VLOOKUP($U$358,'TAR FIN'!$A$1:$O$113,15,0))</f>
        <v>257.27</v>
      </c>
      <c r="Y358" s="6"/>
      <c r="Z358" s="6">
        <f ca="1">('TUSD BE'!$AM$53+'TUSD BF'!$AM$53+'TUSD CVA'!$AM$53)*(1-CUSTOS!$M$38)</f>
        <v>369.68733431619313</v>
      </c>
      <c r="AA358" s="6">
        <f>('TE BE'!$AB$31+'TE BF'!$AB$31+'TE CVA'!$AB$31)*(1-CUSTOS!$M$38)</f>
        <v>295.89806753596048</v>
      </c>
      <c r="AB358" s="6">
        <f t="shared" si="16"/>
        <v>0</v>
      </c>
      <c r="AC358" s="6">
        <f>(L358-M358)*(W358+X358)+($W$227+$X$227-$W$358-$X$358)*(L358)</f>
        <v>9.6736800000000152</v>
      </c>
      <c r="AD358" s="6">
        <f t="shared" si="17"/>
        <v>0</v>
      </c>
      <c r="AE358" s="6">
        <f ca="1">(L358-M358)*(Z358+AA358)+($Z$227+$AA$227-$Z$358-$AA$358)*(L358)</f>
        <v>5.7778477437378539</v>
      </c>
      <c r="AF358" s="4" t="s">
        <v>853</v>
      </c>
    </row>
    <row r="359" spans="1:32" ht="11.25" customHeight="1" x14ac:dyDescent="0.3">
      <c r="A359" s="4" t="s">
        <v>21</v>
      </c>
      <c r="B359" s="4" t="s">
        <v>44</v>
      </c>
      <c r="C359" s="4" t="s">
        <v>23</v>
      </c>
      <c r="D359" s="4" t="s">
        <v>45</v>
      </c>
      <c r="E359" s="4" t="s">
        <v>25</v>
      </c>
      <c r="F359" s="4" t="s">
        <v>25</v>
      </c>
      <c r="G359" s="4" t="s">
        <v>25</v>
      </c>
      <c r="H359" s="4" t="s">
        <v>25</v>
      </c>
      <c r="I359" s="5">
        <v>44713</v>
      </c>
      <c r="J359" s="6">
        <v>0</v>
      </c>
      <c r="K359" s="6">
        <v>0</v>
      </c>
      <c r="L359" s="6">
        <v>313.52600000000001</v>
      </c>
      <c r="M359" s="6">
        <v>313.52600000000001</v>
      </c>
      <c r="N359" s="6">
        <v>313.52600000000001</v>
      </c>
      <c r="O359" s="6">
        <v>313.52600000000001</v>
      </c>
      <c r="P359" s="6">
        <v>430</v>
      </c>
      <c r="Q359" s="4" t="s">
        <v>26</v>
      </c>
      <c r="R359" s="4">
        <v>0</v>
      </c>
      <c r="S359" s="4">
        <v>0</v>
      </c>
      <c r="T359" s="4">
        <v>47</v>
      </c>
      <c r="U359" s="4">
        <v>109</v>
      </c>
      <c r="V359" s="6">
        <f>IF(ISERROR(VLOOKUP($S$359,'TAR FIN'!$A$1:$O$113,15,0)),0,VLOOKUP($S$359,'TAR FIN'!$A$1:$O$113,15,0))</f>
        <v>0</v>
      </c>
      <c r="W359" s="6">
        <f>IF(ISERROR(VLOOKUP($T$359,'TAR FIN'!$A$1:$O$113,15,0)),0,VLOOKUP($T$359,'TAR FIN'!$A$1:$O$113,15,0))</f>
        <v>264.26</v>
      </c>
      <c r="X359" s="6">
        <f>IF(ISERROR(VLOOKUP($U$359,'TAR FIN'!$A$1:$O$113,15,0)),0,VLOOKUP($U$359,'TAR FIN'!$A$1:$O$113,15,0))</f>
        <v>257.27</v>
      </c>
      <c r="Y359" s="6"/>
      <c r="Z359" s="6">
        <f ca="1">('TUSD BE'!$AM$53+'TUSD BF'!$AM$53+'TUSD CVA'!$AM$53)*(1-CUSTOS!$M$38)</f>
        <v>369.68733431619313</v>
      </c>
      <c r="AA359" s="6">
        <f>('TE BE'!$AB$31+'TE BF'!$AB$31+'TE CVA'!$AB$31)*(1-CUSTOS!$M$38)</f>
        <v>295.89806753596048</v>
      </c>
      <c r="AB359" s="6">
        <f t="shared" si="16"/>
        <v>0</v>
      </c>
      <c r="AC359" s="6">
        <f>(L359-M359)*(W359+X359)+($W$227+$X$227-$W$359-$X$359)*(L359)</f>
        <v>22301.104380000033</v>
      </c>
      <c r="AD359" s="6">
        <f t="shared" si="17"/>
        <v>0</v>
      </c>
      <c r="AE359" s="6">
        <f ca="1">(L359-M359)*(Z359+AA359)+($Z$227+$AA$227-$Z$359-$AA$359)*(L359)</f>
        <v>13319.893321346723</v>
      </c>
      <c r="AF359" s="4" t="s">
        <v>853</v>
      </c>
    </row>
    <row r="360" spans="1:32" ht="11.25" customHeight="1" x14ac:dyDescent="0.3">
      <c r="A360" s="4" t="s">
        <v>28</v>
      </c>
      <c r="B360" s="4" t="s">
        <v>44</v>
      </c>
      <c r="C360" s="4" t="s">
        <v>23</v>
      </c>
      <c r="D360" s="4" t="s">
        <v>45</v>
      </c>
      <c r="E360" s="4" t="s">
        <v>25</v>
      </c>
      <c r="F360" s="4" t="s">
        <v>25</v>
      </c>
      <c r="G360" s="4" t="s">
        <v>25</v>
      </c>
      <c r="H360" s="4" t="s">
        <v>25</v>
      </c>
      <c r="I360" s="5">
        <v>44713</v>
      </c>
      <c r="J360" s="6">
        <v>0</v>
      </c>
      <c r="K360" s="6">
        <v>0</v>
      </c>
      <c r="L360" s="6">
        <v>9.5090000000000003</v>
      </c>
      <c r="M360" s="6">
        <v>9.5090000000000003</v>
      </c>
      <c r="N360" s="6">
        <v>9.5090000000000003</v>
      </c>
      <c r="O360" s="6">
        <v>9.5090000000000003</v>
      </c>
      <c r="P360" s="6">
        <v>41</v>
      </c>
      <c r="Q360" s="4" t="s">
        <v>26</v>
      </c>
      <c r="R360" s="4">
        <v>0</v>
      </c>
      <c r="S360" s="4">
        <v>0</v>
      </c>
      <c r="T360" s="4">
        <v>47</v>
      </c>
      <c r="U360" s="4">
        <v>109</v>
      </c>
      <c r="V360" s="6">
        <f>IF(ISERROR(VLOOKUP($S$360,'TAR FIN'!$A$1:$O$113,15,0)),0,VLOOKUP($S$360,'TAR FIN'!$A$1:$O$113,15,0))</f>
        <v>0</v>
      </c>
      <c r="W360" s="6">
        <f>IF(ISERROR(VLOOKUP($T$360,'TAR FIN'!$A$1:$O$113,15,0)),0,VLOOKUP($T$360,'TAR FIN'!$A$1:$O$113,15,0))</f>
        <v>264.26</v>
      </c>
      <c r="X360" s="6">
        <f>IF(ISERROR(VLOOKUP($U$360,'TAR FIN'!$A$1:$O$113,15,0)),0,VLOOKUP($U$360,'TAR FIN'!$A$1:$O$113,15,0))</f>
        <v>257.27</v>
      </c>
      <c r="Y360" s="6"/>
      <c r="Z360" s="6">
        <f ca="1">('TUSD BE'!$AM$53+'TUSD BF'!$AM$53+'TUSD CVA'!$AM$53)*(1-CUSTOS!$M$38)</f>
        <v>369.68733431619313</v>
      </c>
      <c r="AA360" s="6">
        <f>('TE BE'!$AB$31+'TE BF'!$AB$31+'TE CVA'!$AB$31)*(1-CUSTOS!$M$38)</f>
        <v>295.89806753596048</v>
      </c>
      <c r="AB360" s="6">
        <f t="shared" si="16"/>
        <v>0</v>
      </c>
      <c r="AC360" s="6">
        <f>(L360-M360)*(W360+X360)+($W$227+$X$227-$W$360-$X$360)*(L360)</f>
        <v>676.37517000000105</v>
      </c>
      <c r="AD360" s="6">
        <f t="shared" si="17"/>
        <v>0</v>
      </c>
      <c r="AE360" s="6">
        <f ca="1">(L360-M360)*(Z360+AA360)+($Z$227+$AA$227-$Z$360-$AA$360)*(L360)</f>
        <v>403.98201614120035</v>
      </c>
      <c r="AF360" s="4" t="s">
        <v>853</v>
      </c>
    </row>
    <row r="361" spans="1:32" ht="11.25" customHeight="1" x14ac:dyDescent="0.3">
      <c r="A361" s="4" t="s">
        <v>21</v>
      </c>
      <c r="B361" s="4" t="s">
        <v>44</v>
      </c>
      <c r="C361" s="4" t="s">
        <v>23</v>
      </c>
      <c r="D361" s="4" t="s">
        <v>45</v>
      </c>
      <c r="E361" s="4" t="s">
        <v>25</v>
      </c>
      <c r="F361" s="4" t="s">
        <v>25</v>
      </c>
      <c r="G361" s="4" t="s">
        <v>25</v>
      </c>
      <c r="H361" s="4" t="s">
        <v>25</v>
      </c>
      <c r="I361" s="5">
        <v>44743</v>
      </c>
      <c r="J361" s="6">
        <v>0</v>
      </c>
      <c r="K361" s="6">
        <v>0</v>
      </c>
      <c r="L361" s="6">
        <v>338.08600000000001</v>
      </c>
      <c r="M361" s="6">
        <v>338.08600000000001</v>
      </c>
      <c r="N361" s="6">
        <v>338.08600000000001</v>
      </c>
      <c r="O361" s="6">
        <v>338.08600000000001</v>
      </c>
      <c r="P361" s="6">
        <v>435</v>
      </c>
      <c r="Q361" s="4" t="s">
        <v>26</v>
      </c>
      <c r="R361" s="4">
        <v>0</v>
      </c>
      <c r="S361" s="4">
        <v>0</v>
      </c>
      <c r="T361" s="4">
        <v>47</v>
      </c>
      <c r="U361" s="4">
        <v>109</v>
      </c>
      <c r="V361" s="6">
        <f>IF(ISERROR(VLOOKUP($S$361,'TAR FIN'!$A$1:$O$113,15,0)),0,VLOOKUP($S$361,'TAR FIN'!$A$1:$O$113,15,0))</f>
        <v>0</v>
      </c>
      <c r="W361" s="6">
        <f>IF(ISERROR(VLOOKUP($T$361,'TAR FIN'!$A$1:$O$113,15,0)),0,VLOOKUP($T$361,'TAR FIN'!$A$1:$O$113,15,0))</f>
        <v>264.26</v>
      </c>
      <c r="X361" s="6">
        <f>IF(ISERROR(VLOOKUP($U$361,'TAR FIN'!$A$1:$O$113,15,0)),0,VLOOKUP($U$361,'TAR FIN'!$A$1:$O$113,15,0))</f>
        <v>257.27</v>
      </c>
      <c r="Y361" s="6"/>
      <c r="Z361" s="6">
        <f ca="1">('TUSD BE'!$AM$53+'TUSD BF'!$AM$53+'TUSD CVA'!$AM$53)*(1-CUSTOS!$M$38)</f>
        <v>369.68733431619313</v>
      </c>
      <c r="AA361" s="6">
        <f>('TE BE'!$AB$31+'TE BF'!$AB$31+'TE CVA'!$AB$31)*(1-CUSTOS!$M$38)</f>
        <v>295.89806753596048</v>
      </c>
      <c r="AB361" s="6">
        <f t="shared" si="16"/>
        <v>0</v>
      </c>
      <c r="AC361" s="6">
        <f>(L361-M361)*(W361+X361)+($W$227+$X$227-$W$361-$X$361)*(L361)</f>
        <v>24048.057180000036</v>
      </c>
      <c r="AD361" s="6">
        <f t="shared" si="17"/>
        <v>0</v>
      </c>
      <c r="AE361" s="6">
        <f ca="1">(L361-M361)*(Z361+AA361)+($Z$227+$AA$227-$Z$361-$AA$361)*(L361)</f>
        <v>14363.304649186441</v>
      </c>
      <c r="AF361" s="4" t="s">
        <v>853</v>
      </c>
    </row>
    <row r="362" spans="1:32" ht="11.25" customHeight="1" x14ac:dyDescent="0.3">
      <c r="A362" s="4" t="s">
        <v>21</v>
      </c>
      <c r="B362" s="4" t="s">
        <v>44</v>
      </c>
      <c r="C362" s="4" t="s">
        <v>23</v>
      </c>
      <c r="D362" s="4" t="s">
        <v>45</v>
      </c>
      <c r="E362" s="4" t="s">
        <v>25</v>
      </c>
      <c r="F362" s="4" t="s">
        <v>25</v>
      </c>
      <c r="G362" s="4" t="s">
        <v>25</v>
      </c>
      <c r="H362" s="4" t="s">
        <v>25</v>
      </c>
      <c r="I362" s="5">
        <v>44774</v>
      </c>
      <c r="J362" s="6">
        <v>0</v>
      </c>
      <c r="K362" s="6">
        <v>0</v>
      </c>
      <c r="L362" s="6">
        <v>336.291</v>
      </c>
      <c r="M362" s="6">
        <v>336.291</v>
      </c>
      <c r="N362" s="6">
        <v>336.291</v>
      </c>
      <c r="O362" s="6">
        <v>336.291</v>
      </c>
      <c r="P362" s="6">
        <v>433</v>
      </c>
      <c r="Q362" s="4" t="s">
        <v>26</v>
      </c>
      <c r="R362" s="4">
        <v>0</v>
      </c>
      <c r="S362" s="4">
        <v>0</v>
      </c>
      <c r="T362" s="4">
        <v>47</v>
      </c>
      <c r="U362" s="4">
        <v>109</v>
      </c>
      <c r="V362" s="6">
        <f>IF(ISERROR(VLOOKUP($S$362,'TAR FIN'!$A$1:$O$113,15,0)),0,VLOOKUP($S$362,'TAR FIN'!$A$1:$O$113,15,0))</f>
        <v>0</v>
      </c>
      <c r="W362" s="6">
        <f>IF(ISERROR(VLOOKUP($T$362,'TAR FIN'!$A$1:$O$113,15,0)),0,VLOOKUP($T$362,'TAR FIN'!$A$1:$O$113,15,0))</f>
        <v>264.26</v>
      </c>
      <c r="X362" s="6">
        <f>IF(ISERROR(VLOOKUP($U$362,'TAR FIN'!$A$1:$O$113,15,0)),0,VLOOKUP($U$362,'TAR FIN'!$A$1:$O$113,15,0))</f>
        <v>257.27</v>
      </c>
      <c r="Y362" s="6"/>
      <c r="Z362" s="6">
        <f ca="1">('TUSD BE'!$AM$53+'TUSD BF'!$AM$53+'TUSD CVA'!$AM$53)*(1-CUSTOS!$M$38)</f>
        <v>369.68733431619313</v>
      </c>
      <c r="AA362" s="6">
        <f>('TE BE'!$AB$31+'TE BF'!$AB$31+'TE CVA'!$AB$31)*(1-CUSTOS!$M$38)</f>
        <v>295.89806753596048</v>
      </c>
      <c r="AB362" s="6">
        <f t="shared" si="16"/>
        <v>0</v>
      </c>
      <c r="AC362" s="6">
        <f>(L362-M362)*(W362+X362)+($W$227+$X$227-$W$362-$X$362)*(L362)</f>
        <v>23920.378830000038</v>
      </c>
      <c r="AD362" s="6">
        <f t="shared" si="17"/>
        <v>0</v>
      </c>
      <c r="AE362" s="6">
        <f ca="1">(L362-M362)*(Z362+AA362)+($Z$227+$AA$227-$Z$362-$AA$362)*(L362)</f>
        <v>14287.045555804018</v>
      </c>
      <c r="AF362" s="4" t="s">
        <v>853</v>
      </c>
    </row>
    <row r="363" spans="1:32" ht="11.25" customHeight="1" x14ac:dyDescent="0.3">
      <c r="A363" s="4" t="s">
        <v>27</v>
      </c>
      <c r="B363" s="4" t="s">
        <v>44</v>
      </c>
      <c r="C363" s="4" t="s">
        <v>23</v>
      </c>
      <c r="D363" s="4" t="s">
        <v>45</v>
      </c>
      <c r="E363" s="4" t="s">
        <v>25</v>
      </c>
      <c r="F363" s="4" t="s">
        <v>25</v>
      </c>
      <c r="G363" s="4" t="s">
        <v>25</v>
      </c>
      <c r="H363" s="4" t="s">
        <v>25</v>
      </c>
      <c r="I363" s="5">
        <v>44774</v>
      </c>
      <c r="J363" s="6">
        <v>0</v>
      </c>
      <c r="K363" s="6">
        <v>0</v>
      </c>
      <c r="L363" s="6">
        <v>-2.8610000000000002</v>
      </c>
      <c r="M363" s="6">
        <v>-2.8610000000000002</v>
      </c>
      <c r="N363" s="6">
        <v>-2.8610000000000002</v>
      </c>
      <c r="O363" s="6">
        <v>-2.8610000000000002</v>
      </c>
      <c r="P363" s="6">
        <v>0</v>
      </c>
      <c r="Q363" s="4" t="s">
        <v>26</v>
      </c>
      <c r="R363" s="4">
        <v>0</v>
      </c>
      <c r="S363" s="4">
        <v>0</v>
      </c>
      <c r="T363" s="4">
        <v>47</v>
      </c>
      <c r="U363" s="4">
        <v>109</v>
      </c>
      <c r="V363" s="6">
        <f>IF(ISERROR(VLOOKUP($S$363,'TAR FIN'!$A$1:$O$113,15,0)),0,VLOOKUP($S$363,'TAR FIN'!$A$1:$O$113,15,0))</f>
        <v>0</v>
      </c>
      <c r="W363" s="6">
        <f>IF(ISERROR(VLOOKUP($T$363,'TAR FIN'!$A$1:$O$113,15,0)),0,VLOOKUP($T$363,'TAR FIN'!$A$1:$O$113,15,0))</f>
        <v>264.26</v>
      </c>
      <c r="X363" s="6">
        <f>IF(ISERROR(VLOOKUP($U$363,'TAR FIN'!$A$1:$O$113,15,0)),0,VLOOKUP($U$363,'TAR FIN'!$A$1:$O$113,15,0))</f>
        <v>257.27</v>
      </c>
      <c r="Y363" s="6"/>
      <c r="Z363" s="6">
        <f ca="1">('TUSD BE'!$AM$53+'TUSD BF'!$AM$53+'TUSD CVA'!$AM$53)*(1-CUSTOS!$M$38)</f>
        <v>369.68733431619313</v>
      </c>
      <c r="AA363" s="6">
        <f>('TE BE'!$AB$31+'TE BF'!$AB$31+'TE CVA'!$AB$31)*(1-CUSTOS!$M$38)</f>
        <v>295.89806753596048</v>
      </c>
      <c r="AB363" s="6">
        <f t="shared" si="16"/>
        <v>0</v>
      </c>
      <c r="AC363" s="6">
        <f>(L363-M363)*(W363+X363)+($W$227+$X$227-$W$363-$X$363)*(L363)</f>
        <v>-203.50293000000033</v>
      </c>
      <c r="AD363" s="6">
        <f t="shared" si="17"/>
        <v>0</v>
      </c>
      <c r="AE363" s="6">
        <f ca="1">(L363-M363)*(Z363+AA363)+($Z$227+$AA$227-$Z$363-$AA$363)*(L363)</f>
        <v>-121.54722349142646</v>
      </c>
      <c r="AF363" s="4" t="s">
        <v>853</v>
      </c>
    </row>
    <row r="364" spans="1:32" ht="11.25" customHeight="1" x14ac:dyDescent="0.3">
      <c r="A364" s="4" t="s">
        <v>28</v>
      </c>
      <c r="B364" s="4" t="s">
        <v>44</v>
      </c>
      <c r="C364" s="4" t="s">
        <v>23</v>
      </c>
      <c r="D364" s="4" t="s">
        <v>45</v>
      </c>
      <c r="E364" s="4" t="s">
        <v>25</v>
      </c>
      <c r="F364" s="4" t="s">
        <v>25</v>
      </c>
      <c r="G364" s="4" t="s">
        <v>25</v>
      </c>
      <c r="H364" s="4" t="s">
        <v>25</v>
      </c>
      <c r="I364" s="5">
        <v>44774</v>
      </c>
      <c r="J364" s="6">
        <v>0</v>
      </c>
      <c r="K364" s="6">
        <v>0</v>
      </c>
      <c r="L364" s="6">
        <v>9.6790000000000003</v>
      </c>
      <c r="M364" s="6">
        <v>9.6790000000000003</v>
      </c>
      <c r="N364" s="6">
        <v>9.6790000000000003</v>
      </c>
      <c r="O364" s="6">
        <v>9.6790000000000003</v>
      </c>
      <c r="P364" s="6">
        <v>41</v>
      </c>
      <c r="Q364" s="4" t="s">
        <v>26</v>
      </c>
      <c r="R364" s="4">
        <v>0</v>
      </c>
      <c r="S364" s="4">
        <v>0</v>
      </c>
      <c r="T364" s="4">
        <v>47</v>
      </c>
      <c r="U364" s="4">
        <v>109</v>
      </c>
      <c r="V364" s="6">
        <f>IF(ISERROR(VLOOKUP($S$364,'TAR FIN'!$A$1:$O$113,15,0)),0,VLOOKUP($S$364,'TAR FIN'!$A$1:$O$113,15,0))</f>
        <v>0</v>
      </c>
      <c r="W364" s="6">
        <f>IF(ISERROR(VLOOKUP($T$364,'TAR FIN'!$A$1:$O$113,15,0)),0,VLOOKUP($T$364,'TAR FIN'!$A$1:$O$113,15,0))</f>
        <v>264.26</v>
      </c>
      <c r="X364" s="6">
        <f>IF(ISERROR(VLOOKUP($U$364,'TAR FIN'!$A$1:$O$113,15,0)),0,VLOOKUP($U$364,'TAR FIN'!$A$1:$O$113,15,0))</f>
        <v>257.27</v>
      </c>
      <c r="Y364" s="6"/>
      <c r="Z364" s="6">
        <f ca="1">('TUSD BE'!$AM$53+'TUSD BF'!$AM$53+'TUSD CVA'!$AM$53)*(1-CUSTOS!$M$38)</f>
        <v>369.68733431619313</v>
      </c>
      <c r="AA364" s="6">
        <f>('TE BE'!$AB$31+'TE BF'!$AB$31+'TE CVA'!$AB$31)*(1-CUSTOS!$M$38)</f>
        <v>295.89806753596048</v>
      </c>
      <c r="AB364" s="6">
        <f t="shared" si="16"/>
        <v>0</v>
      </c>
      <c r="AC364" s="6">
        <f>(L364-M364)*(W364+X364)+($W$227+$X$227-$W$364-$X$364)*(L364)</f>
        <v>688.46727000000112</v>
      </c>
      <c r="AD364" s="6">
        <f t="shared" si="17"/>
        <v>0</v>
      </c>
      <c r="AE364" s="6">
        <f ca="1">(L364-M364)*(Z364+AA364)+($Z$227+$AA$227-$Z$364-$AA$364)*(L364)</f>
        <v>411.20432582087267</v>
      </c>
      <c r="AF364" s="4" t="s">
        <v>853</v>
      </c>
    </row>
    <row r="365" spans="1:32" ht="11.25" customHeight="1" x14ac:dyDescent="0.3">
      <c r="A365" s="4" t="s">
        <v>21</v>
      </c>
      <c r="B365" s="4" t="s">
        <v>44</v>
      </c>
      <c r="C365" s="4" t="s">
        <v>23</v>
      </c>
      <c r="D365" s="4" t="s">
        <v>45</v>
      </c>
      <c r="E365" s="4" t="s">
        <v>25</v>
      </c>
      <c r="F365" s="4" t="s">
        <v>25</v>
      </c>
      <c r="G365" s="4" t="s">
        <v>25</v>
      </c>
      <c r="H365" s="4" t="s">
        <v>25</v>
      </c>
      <c r="I365" s="5">
        <v>44805</v>
      </c>
      <c r="J365" s="6">
        <v>0</v>
      </c>
      <c r="K365" s="6">
        <v>0</v>
      </c>
      <c r="L365" s="6">
        <v>330.00200000000001</v>
      </c>
      <c r="M365" s="6">
        <v>330.00200000000001</v>
      </c>
      <c r="N365" s="6">
        <v>330.00200000000001</v>
      </c>
      <c r="O365" s="6">
        <v>330.00200000000001</v>
      </c>
      <c r="P365" s="6">
        <v>433</v>
      </c>
      <c r="Q365" s="4" t="s">
        <v>26</v>
      </c>
      <c r="R365" s="4">
        <v>0</v>
      </c>
      <c r="S365" s="4">
        <v>0</v>
      </c>
      <c r="T365" s="4">
        <v>47</v>
      </c>
      <c r="U365" s="4">
        <v>109</v>
      </c>
      <c r="V365" s="6">
        <f>IF(ISERROR(VLOOKUP($S$365,'TAR FIN'!$A$1:$O$113,15,0)),0,VLOOKUP($S$365,'TAR FIN'!$A$1:$O$113,15,0))</f>
        <v>0</v>
      </c>
      <c r="W365" s="6">
        <f>IF(ISERROR(VLOOKUP($T$365,'TAR FIN'!$A$1:$O$113,15,0)),0,VLOOKUP($T$365,'TAR FIN'!$A$1:$O$113,15,0))</f>
        <v>264.26</v>
      </c>
      <c r="X365" s="6">
        <f>IF(ISERROR(VLOOKUP($U$365,'TAR FIN'!$A$1:$O$113,15,0)),0,VLOOKUP($U$365,'TAR FIN'!$A$1:$O$113,15,0))</f>
        <v>257.27</v>
      </c>
      <c r="Y365" s="6"/>
      <c r="Z365" s="6">
        <f ca="1">('TUSD BE'!$AM$53+'TUSD BF'!$AM$53+'TUSD CVA'!$AM$53)*(1-CUSTOS!$M$38)</f>
        <v>369.68733431619313</v>
      </c>
      <c r="AA365" s="6">
        <f>('TE BE'!$AB$31+'TE BF'!$AB$31+'TE CVA'!$AB$31)*(1-CUSTOS!$M$38)</f>
        <v>295.89806753596048</v>
      </c>
      <c r="AB365" s="6">
        <f t="shared" si="16"/>
        <v>0</v>
      </c>
      <c r="AC365" s="6">
        <f>(L365-M365)*(W365+X365)+($W$227+$X$227-$W$365-$X$365)*(L365)</f>
        <v>23473.042260000038</v>
      </c>
      <c r="AD365" s="6">
        <f t="shared" si="17"/>
        <v>0</v>
      </c>
      <c r="AE365" s="6">
        <f ca="1">(L365-M365)*(Z365+AA365)+($Z$227+$AA$227-$Z$365-$AA$365)*(L365)</f>
        <v>14019.862581830728</v>
      </c>
      <c r="AF365" s="4" t="s">
        <v>853</v>
      </c>
    </row>
    <row r="366" spans="1:32" ht="11.25" customHeight="1" x14ac:dyDescent="0.3">
      <c r="A366" s="4" t="s">
        <v>27</v>
      </c>
      <c r="B366" s="4" t="s">
        <v>44</v>
      </c>
      <c r="C366" s="4" t="s">
        <v>23</v>
      </c>
      <c r="D366" s="4" t="s">
        <v>45</v>
      </c>
      <c r="E366" s="4" t="s">
        <v>25</v>
      </c>
      <c r="F366" s="4" t="s">
        <v>25</v>
      </c>
      <c r="G366" s="4" t="s">
        <v>25</v>
      </c>
      <c r="H366" s="4" t="s">
        <v>25</v>
      </c>
      <c r="I366" s="5">
        <v>44805</v>
      </c>
      <c r="J366" s="6">
        <v>0</v>
      </c>
      <c r="K366" s="6">
        <v>0</v>
      </c>
      <c r="L366" s="6">
        <v>-1.2410000000000001</v>
      </c>
      <c r="M366" s="6">
        <v>-1.2410000000000001</v>
      </c>
      <c r="N366" s="6">
        <v>-1.2410000000000001</v>
      </c>
      <c r="O366" s="6">
        <v>-1.2410000000000001</v>
      </c>
      <c r="P366" s="6">
        <v>0</v>
      </c>
      <c r="Q366" s="4" t="s">
        <v>26</v>
      </c>
      <c r="R366" s="4">
        <v>0</v>
      </c>
      <c r="S366" s="4">
        <v>0</v>
      </c>
      <c r="T366" s="4">
        <v>47</v>
      </c>
      <c r="U366" s="4">
        <v>109</v>
      </c>
      <c r="V366" s="6">
        <f>IF(ISERROR(VLOOKUP($S$366,'TAR FIN'!$A$1:$O$113,15,0)),0,VLOOKUP($S$366,'TAR FIN'!$A$1:$O$113,15,0))</f>
        <v>0</v>
      </c>
      <c r="W366" s="6">
        <f>IF(ISERROR(VLOOKUP($T$366,'TAR FIN'!$A$1:$O$113,15,0)),0,VLOOKUP($T$366,'TAR FIN'!$A$1:$O$113,15,0))</f>
        <v>264.26</v>
      </c>
      <c r="X366" s="6">
        <f>IF(ISERROR(VLOOKUP($U$366,'TAR FIN'!$A$1:$O$113,15,0)),0,VLOOKUP($U$366,'TAR FIN'!$A$1:$O$113,15,0))</f>
        <v>257.27</v>
      </c>
      <c r="Y366" s="6"/>
      <c r="Z366" s="6">
        <f ca="1">('TUSD BE'!$AM$53+'TUSD BF'!$AM$53+'TUSD CVA'!$AM$53)*(1-CUSTOS!$M$38)</f>
        <v>369.68733431619313</v>
      </c>
      <c r="AA366" s="6">
        <f>('TE BE'!$AB$31+'TE BF'!$AB$31+'TE CVA'!$AB$31)*(1-CUSTOS!$M$38)</f>
        <v>295.89806753596048</v>
      </c>
      <c r="AB366" s="6">
        <f t="shared" si="16"/>
        <v>0</v>
      </c>
      <c r="AC366" s="6">
        <f>(L366-M366)*(W366+X366)+($W$227+$X$227-$W$366-$X$366)*(L366)</f>
        <v>-88.272330000000139</v>
      </c>
      <c r="AD366" s="6">
        <f t="shared" si="17"/>
        <v>0</v>
      </c>
      <c r="AE366" s="6">
        <f ca="1">(L366-M366)*(Z366+AA366)+($Z$227+$AA$227-$Z$366-$AA$366)*(L366)</f>
        <v>-52.722860661607918</v>
      </c>
      <c r="AF366" s="4" t="s">
        <v>853</v>
      </c>
    </row>
    <row r="367" spans="1:32" ht="11.25" customHeight="1" x14ac:dyDescent="0.3">
      <c r="A367" s="4" t="s">
        <v>28</v>
      </c>
      <c r="B367" s="4" t="s">
        <v>44</v>
      </c>
      <c r="C367" s="4" t="s">
        <v>23</v>
      </c>
      <c r="D367" s="4" t="s">
        <v>45</v>
      </c>
      <c r="E367" s="4" t="s">
        <v>25</v>
      </c>
      <c r="F367" s="4" t="s">
        <v>25</v>
      </c>
      <c r="G367" s="4" t="s">
        <v>25</v>
      </c>
      <c r="H367" s="4" t="s">
        <v>25</v>
      </c>
      <c r="I367" s="5">
        <v>44805</v>
      </c>
      <c r="J367" s="6">
        <v>0</v>
      </c>
      <c r="K367" s="6">
        <v>0</v>
      </c>
      <c r="L367" s="6">
        <v>8.4589999999999996</v>
      </c>
      <c r="M367" s="6">
        <v>8.4589999999999996</v>
      </c>
      <c r="N367" s="6">
        <v>8.4589999999999996</v>
      </c>
      <c r="O367" s="6">
        <v>8.4589999999999996</v>
      </c>
      <c r="P367" s="6">
        <v>40</v>
      </c>
      <c r="Q367" s="4" t="s">
        <v>26</v>
      </c>
      <c r="R367" s="4">
        <v>0</v>
      </c>
      <c r="S367" s="4">
        <v>0</v>
      </c>
      <c r="T367" s="4">
        <v>47</v>
      </c>
      <c r="U367" s="4">
        <v>109</v>
      </c>
      <c r="V367" s="6">
        <f>IF(ISERROR(VLOOKUP($S$367,'TAR FIN'!$A$1:$O$113,15,0)),0,VLOOKUP($S$367,'TAR FIN'!$A$1:$O$113,15,0))</f>
        <v>0</v>
      </c>
      <c r="W367" s="6">
        <f>IF(ISERROR(VLOOKUP($T$367,'TAR FIN'!$A$1:$O$113,15,0)),0,VLOOKUP($T$367,'TAR FIN'!$A$1:$O$113,15,0))</f>
        <v>264.26</v>
      </c>
      <c r="X367" s="6">
        <f>IF(ISERROR(VLOOKUP($U$367,'TAR FIN'!$A$1:$O$113,15,0)),0,VLOOKUP($U$367,'TAR FIN'!$A$1:$O$113,15,0))</f>
        <v>257.27</v>
      </c>
      <c r="Y367" s="6"/>
      <c r="Z367" s="6">
        <f ca="1">('TUSD BE'!$AM$53+'TUSD BF'!$AM$53+'TUSD CVA'!$AM$53)*(1-CUSTOS!$M$38)</f>
        <v>369.68733431619313</v>
      </c>
      <c r="AA367" s="6">
        <f>('TE BE'!$AB$31+'TE BF'!$AB$31+'TE CVA'!$AB$31)*(1-CUSTOS!$M$38)</f>
        <v>295.89806753596048</v>
      </c>
      <c r="AB367" s="6">
        <f t="shared" si="16"/>
        <v>0</v>
      </c>
      <c r="AC367" s="6">
        <f>(L367-M367)*(W367+X367)+($W$227+$X$227-$W$367-$X$367)*(L367)</f>
        <v>601.68867000000091</v>
      </c>
      <c r="AD367" s="6">
        <f t="shared" si="17"/>
        <v>0</v>
      </c>
      <c r="AE367" s="6">
        <f ca="1">(L367-M367)*(Z367+AA367)+($Z$227+$AA$227-$Z$367-$AA$367)*(L367)</f>
        <v>359.3736328255772</v>
      </c>
      <c r="AF367" s="4" t="s">
        <v>853</v>
      </c>
    </row>
    <row r="368" spans="1:32" ht="11.25" customHeight="1" x14ac:dyDescent="0.3">
      <c r="A368" s="4" t="s">
        <v>53</v>
      </c>
      <c r="B368" s="4" t="s">
        <v>44</v>
      </c>
      <c r="C368" s="4" t="s">
        <v>23</v>
      </c>
      <c r="D368" s="4" t="s">
        <v>45</v>
      </c>
      <c r="E368" s="4" t="s">
        <v>25</v>
      </c>
      <c r="F368" s="4" t="s">
        <v>25</v>
      </c>
      <c r="G368" s="4" t="s">
        <v>25</v>
      </c>
      <c r="H368" s="4" t="s">
        <v>25</v>
      </c>
      <c r="I368" s="5">
        <v>44835</v>
      </c>
      <c r="J368" s="6">
        <v>0</v>
      </c>
      <c r="K368" s="6">
        <v>0</v>
      </c>
      <c r="L368" s="6">
        <v>330.00200000000001</v>
      </c>
      <c r="M368" s="6">
        <v>330.00200000000001</v>
      </c>
      <c r="N368" s="6">
        <v>330.00200000000001</v>
      </c>
      <c r="O368" s="6">
        <v>330.00200000000001</v>
      </c>
      <c r="P368" s="6">
        <v>433</v>
      </c>
      <c r="Q368" s="4" t="s">
        <v>26</v>
      </c>
      <c r="R368" s="4">
        <v>0</v>
      </c>
      <c r="S368" s="4">
        <v>0</v>
      </c>
      <c r="T368" s="4">
        <v>47</v>
      </c>
      <c r="U368" s="4">
        <v>109</v>
      </c>
      <c r="V368" s="6">
        <f>IF(ISERROR(VLOOKUP($S$368,'TAR FIN'!$A$1:$O$113,15,0)),0,VLOOKUP($S$368,'TAR FIN'!$A$1:$O$113,15,0))</f>
        <v>0</v>
      </c>
      <c r="W368" s="6">
        <f>IF(ISERROR(VLOOKUP($T$368,'TAR FIN'!$A$1:$O$113,15,0)),0,VLOOKUP($T$368,'TAR FIN'!$A$1:$O$113,15,0))</f>
        <v>264.26</v>
      </c>
      <c r="X368" s="6">
        <f>IF(ISERROR(VLOOKUP($U$368,'TAR FIN'!$A$1:$O$113,15,0)),0,VLOOKUP($U$368,'TAR FIN'!$A$1:$O$113,15,0))</f>
        <v>257.27</v>
      </c>
      <c r="Y368" s="6"/>
      <c r="Z368" s="6">
        <f ca="1">('TUSD BE'!$AM$53+'TUSD BF'!$AM$53+'TUSD CVA'!$AM$53)*(1-CUSTOS!$M$38)</f>
        <v>369.68733431619313</v>
      </c>
      <c r="AA368" s="6">
        <f>('TE BE'!$AB$31+'TE BF'!$AB$31+'TE CVA'!$AB$31)*(1-CUSTOS!$M$38)</f>
        <v>295.89806753596048</v>
      </c>
      <c r="AB368" s="6">
        <f t="shared" si="16"/>
        <v>0</v>
      </c>
      <c r="AC368" s="6">
        <f>(L368-M368)*(W368+X368)+($W$227+$X$227-$W$368-$X$368)*(L368)</f>
        <v>23473.042260000038</v>
      </c>
      <c r="AD368" s="6">
        <f t="shared" si="17"/>
        <v>0</v>
      </c>
      <c r="AE368" s="6">
        <f ca="1">(L368-M368)*(Z368+AA368)+($Z$227+$AA$227-$Z$368-$AA$368)*(L368)</f>
        <v>14019.862581830728</v>
      </c>
      <c r="AF368" s="4" t="s">
        <v>853</v>
      </c>
    </row>
    <row r="369" spans="1:32" ht="11.25" customHeight="1" x14ac:dyDescent="0.3">
      <c r="A369" s="4" t="s">
        <v>53</v>
      </c>
      <c r="B369" s="4" t="s">
        <v>44</v>
      </c>
      <c r="C369" s="4" t="s">
        <v>23</v>
      </c>
      <c r="D369" s="4" t="s">
        <v>45</v>
      </c>
      <c r="E369" s="4" t="s">
        <v>25</v>
      </c>
      <c r="F369" s="4" t="s">
        <v>25</v>
      </c>
      <c r="G369" s="4" t="s">
        <v>25</v>
      </c>
      <c r="H369" s="4" t="s">
        <v>25</v>
      </c>
      <c r="I369" s="5">
        <v>44835</v>
      </c>
      <c r="J369" s="6">
        <v>0</v>
      </c>
      <c r="K369" s="6">
        <v>0</v>
      </c>
      <c r="L369" s="6">
        <v>-1.2410000000000001</v>
      </c>
      <c r="M369" s="6">
        <v>-1.2410000000000001</v>
      </c>
      <c r="N369" s="6">
        <v>-1.2410000000000001</v>
      </c>
      <c r="O369" s="6">
        <v>-1.2410000000000001</v>
      </c>
      <c r="P369" s="6">
        <v>0</v>
      </c>
      <c r="Q369" s="4" t="s">
        <v>26</v>
      </c>
      <c r="R369" s="4">
        <v>0</v>
      </c>
      <c r="S369" s="4">
        <v>0</v>
      </c>
      <c r="T369" s="4">
        <v>47</v>
      </c>
      <c r="U369" s="4">
        <v>109</v>
      </c>
      <c r="V369" s="6">
        <f>IF(ISERROR(VLOOKUP($S$369,'TAR FIN'!$A$1:$O$113,15,0)),0,VLOOKUP($S$369,'TAR FIN'!$A$1:$O$113,15,0))</f>
        <v>0</v>
      </c>
      <c r="W369" s="6">
        <f>IF(ISERROR(VLOOKUP($T$369,'TAR FIN'!$A$1:$O$113,15,0)),0,VLOOKUP($T$369,'TAR FIN'!$A$1:$O$113,15,0))</f>
        <v>264.26</v>
      </c>
      <c r="X369" s="6">
        <f>IF(ISERROR(VLOOKUP($U$369,'TAR FIN'!$A$1:$O$113,15,0)),0,VLOOKUP($U$369,'TAR FIN'!$A$1:$O$113,15,0))</f>
        <v>257.27</v>
      </c>
      <c r="Y369" s="6"/>
      <c r="Z369" s="6">
        <f ca="1">('TUSD BE'!$AM$53+'TUSD BF'!$AM$53+'TUSD CVA'!$AM$53)*(1-CUSTOS!$M$38)</f>
        <v>369.68733431619313</v>
      </c>
      <c r="AA369" s="6">
        <f>('TE BE'!$AB$31+'TE BF'!$AB$31+'TE CVA'!$AB$31)*(1-CUSTOS!$M$38)</f>
        <v>295.89806753596048</v>
      </c>
      <c r="AB369" s="6">
        <f t="shared" si="16"/>
        <v>0</v>
      </c>
      <c r="AC369" s="6">
        <f>(L369-M369)*(W369+X369)+($W$227+$X$227-$W$369-$X$369)*(L369)</f>
        <v>-88.272330000000139</v>
      </c>
      <c r="AD369" s="6">
        <f t="shared" si="17"/>
        <v>0</v>
      </c>
      <c r="AE369" s="6">
        <f ca="1">(L369-M369)*(Z369+AA369)+($Z$227+$AA$227-$Z$369-$AA$369)*(L369)</f>
        <v>-52.722860661607918</v>
      </c>
      <c r="AF369" s="4" t="s">
        <v>853</v>
      </c>
    </row>
    <row r="370" spans="1:32" ht="11.25" customHeight="1" x14ac:dyDescent="0.3">
      <c r="A370" s="4" t="s">
        <v>53</v>
      </c>
      <c r="B370" s="4" t="s">
        <v>44</v>
      </c>
      <c r="C370" s="4" t="s">
        <v>23</v>
      </c>
      <c r="D370" s="4" t="s">
        <v>45</v>
      </c>
      <c r="E370" s="4" t="s">
        <v>25</v>
      </c>
      <c r="F370" s="4" t="s">
        <v>25</v>
      </c>
      <c r="G370" s="4" t="s">
        <v>25</v>
      </c>
      <c r="H370" s="4" t="s">
        <v>25</v>
      </c>
      <c r="I370" s="5">
        <v>44835</v>
      </c>
      <c r="J370" s="6">
        <v>0</v>
      </c>
      <c r="K370" s="6">
        <v>0</v>
      </c>
      <c r="L370" s="6">
        <v>8.4589999999999996</v>
      </c>
      <c r="M370" s="6">
        <v>8.4589999999999996</v>
      </c>
      <c r="N370" s="6">
        <v>8.4589999999999996</v>
      </c>
      <c r="O370" s="6">
        <v>8.4589999999999996</v>
      </c>
      <c r="P370" s="6">
        <v>40</v>
      </c>
      <c r="Q370" s="4" t="s">
        <v>26</v>
      </c>
      <c r="R370" s="4">
        <v>0</v>
      </c>
      <c r="S370" s="4">
        <v>0</v>
      </c>
      <c r="T370" s="4">
        <v>47</v>
      </c>
      <c r="U370" s="4">
        <v>109</v>
      </c>
      <c r="V370" s="6">
        <f>IF(ISERROR(VLOOKUP($S$370,'TAR FIN'!$A$1:$O$113,15,0)),0,VLOOKUP($S$370,'TAR FIN'!$A$1:$O$113,15,0))</f>
        <v>0</v>
      </c>
      <c r="W370" s="6">
        <f>IF(ISERROR(VLOOKUP($T$370,'TAR FIN'!$A$1:$O$113,15,0)),0,VLOOKUP($T$370,'TAR FIN'!$A$1:$O$113,15,0))</f>
        <v>264.26</v>
      </c>
      <c r="X370" s="6">
        <f>IF(ISERROR(VLOOKUP($U$370,'TAR FIN'!$A$1:$O$113,15,0)),0,VLOOKUP($U$370,'TAR FIN'!$A$1:$O$113,15,0))</f>
        <v>257.27</v>
      </c>
      <c r="Y370" s="6"/>
      <c r="Z370" s="6">
        <f ca="1">('TUSD BE'!$AM$53+'TUSD BF'!$AM$53+'TUSD CVA'!$AM$53)*(1-CUSTOS!$M$38)</f>
        <v>369.68733431619313</v>
      </c>
      <c r="AA370" s="6">
        <f>('TE BE'!$AB$31+'TE BF'!$AB$31+'TE CVA'!$AB$31)*(1-CUSTOS!$M$38)</f>
        <v>295.89806753596048</v>
      </c>
      <c r="AB370" s="6">
        <f t="shared" si="16"/>
        <v>0</v>
      </c>
      <c r="AC370" s="6">
        <f>(L370-M370)*(W370+X370)+($W$227+$X$227-$W$370-$X$370)*(L370)</f>
        <v>601.68867000000091</v>
      </c>
      <c r="AD370" s="6">
        <f t="shared" si="17"/>
        <v>0</v>
      </c>
      <c r="AE370" s="6">
        <f ca="1">(L370-M370)*(Z370+AA370)+($Z$227+$AA$227-$Z$370-$AA$370)*(L370)</f>
        <v>359.3736328255772</v>
      </c>
      <c r="AF370" s="4" t="s">
        <v>853</v>
      </c>
    </row>
    <row r="371" spans="1:32" ht="11.25" customHeight="1" x14ac:dyDescent="0.3">
      <c r="A371" s="4" t="s">
        <v>21</v>
      </c>
      <c r="B371" s="4" t="s">
        <v>37</v>
      </c>
      <c r="C371" s="4" t="s">
        <v>33</v>
      </c>
      <c r="D371" s="4" t="s">
        <v>50</v>
      </c>
      <c r="E371" s="4" t="s">
        <v>51</v>
      </c>
      <c r="F371" s="4" t="s">
        <v>25</v>
      </c>
      <c r="G371" s="4" t="s">
        <v>25</v>
      </c>
      <c r="H371" s="4" t="s">
        <v>35</v>
      </c>
      <c r="I371" s="5">
        <v>44682</v>
      </c>
      <c r="J371" s="6">
        <v>0</v>
      </c>
      <c r="K371" s="53">
        <v>0</v>
      </c>
      <c r="L371" s="6">
        <v>10.817</v>
      </c>
      <c r="M371" s="53">
        <v>10.817</v>
      </c>
      <c r="N371" s="6">
        <v>10.817</v>
      </c>
      <c r="O371" s="53">
        <v>10.817</v>
      </c>
      <c r="P371" s="6">
        <v>0</v>
      </c>
      <c r="Q371" s="4" t="s">
        <v>26</v>
      </c>
      <c r="R371" s="4">
        <v>0</v>
      </c>
      <c r="S371" s="4">
        <v>0</v>
      </c>
      <c r="T371" s="4">
        <v>69</v>
      </c>
      <c r="U371" s="4">
        <v>105</v>
      </c>
      <c r="V371" s="53">
        <f>IF(ISERROR(VLOOKUP($S$371,'TAR FIN'!$A$1:$O$113,15,0)),0,VLOOKUP($S$371,'TAR FIN'!$A$1:$O$113,15,0))</f>
        <v>0</v>
      </c>
      <c r="W371" s="53">
        <f>IF(ISERROR(VLOOKUP($T$371,'TAR FIN'!$A$1:$O$113,15,0)),0,VLOOKUP($T$371,'TAR FIN'!$A$1:$O$113,15,0))*(1-0.06)</f>
        <v>220.02579999999998</v>
      </c>
      <c r="X371" s="53">
        <f>IF(ISERROR(VLOOKUP($U$371,'TAR FIN'!$A$1:$O$113,15,0)),0,VLOOKUP($U$371,'TAR FIN'!$A$1:$O$113,15,0))*(1-0.06)</f>
        <v>261.94979999999998</v>
      </c>
      <c r="Y371" s="53"/>
      <c r="Z371" s="53">
        <f ca="1">('TUSD BE'!$AM$67+'TUSD BF'!$AM$67+'TUSD CVA'!$AM$67)*1*(1-0.03)</f>
        <v>307.83530358795292</v>
      </c>
      <c r="AA371" s="53">
        <f>('TE BE'!$AB$45+'TE BF'!$AB$45+'TE CVA'!$AB$45)*1*(1-0.03)</f>
        <v>290.20513391436589</v>
      </c>
      <c r="AB371" s="53">
        <f>(SUBSIDIO!$J$371*SUBSIDIO!$V$371)*(0.06)/(1-0.06)</f>
        <v>0</v>
      </c>
      <c r="AC371" s="53">
        <f>((SUBSIDIO!$L$371*SUBSIDIO!$W$371)+(SUBSIDIO!$N$371*SUBSIDIO!$X$371))*(0.06)/(1-0.06)</f>
        <v>332.77851479999998</v>
      </c>
      <c r="AD371" s="53">
        <f>(SUBSIDIO!$J$371*SUBSIDIO!$Y$371)*(0.03)/(1-0.03)</f>
        <v>0</v>
      </c>
      <c r="AE371" s="53">
        <f ca="1">((SUBSIDIO!$L$371*SUBSIDIO!$Z$371)+(SUBSIDIO!$N$371*SUBSIDIO!$AA$371))*(0.03)/(1-0.03)</f>
        <v>200.07227048853346</v>
      </c>
      <c r="AF371" s="4" t="s">
        <v>852</v>
      </c>
    </row>
    <row r="372" spans="1:32" ht="11.25" customHeight="1" x14ac:dyDescent="0.3">
      <c r="A372" s="4" t="s">
        <v>21</v>
      </c>
      <c r="B372" s="4" t="s">
        <v>37</v>
      </c>
      <c r="C372" s="4" t="s">
        <v>33</v>
      </c>
      <c r="D372" s="4" t="s">
        <v>50</v>
      </c>
      <c r="E372" s="4" t="s">
        <v>51</v>
      </c>
      <c r="F372" s="4" t="s">
        <v>25</v>
      </c>
      <c r="G372" s="4" t="s">
        <v>25</v>
      </c>
      <c r="H372" s="4" t="s">
        <v>35</v>
      </c>
      <c r="I372" s="5">
        <v>44713</v>
      </c>
      <c r="J372" s="6">
        <v>0</v>
      </c>
      <c r="K372" s="53">
        <v>0</v>
      </c>
      <c r="L372" s="6">
        <v>7.1449999999999996</v>
      </c>
      <c r="M372" s="53">
        <v>7.1449999999999996</v>
      </c>
      <c r="N372" s="6">
        <v>7.1449999999999996</v>
      </c>
      <c r="O372" s="53">
        <v>7.1449999999999996</v>
      </c>
      <c r="P372" s="6">
        <v>0</v>
      </c>
      <c r="Q372" s="4" t="s">
        <v>26</v>
      </c>
      <c r="R372" s="4">
        <v>0</v>
      </c>
      <c r="S372" s="4">
        <v>0</v>
      </c>
      <c r="T372" s="4">
        <v>69</v>
      </c>
      <c r="U372" s="4">
        <v>105</v>
      </c>
      <c r="V372" s="53">
        <f>IF(ISERROR(VLOOKUP($S$372,'TAR FIN'!$A$1:$O$113,15,0)),0,VLOOKUP($S$372,'TAR FIN'!$A$1:$O$113,15,0))</f>
        <v>0</v>
      </c>
      <c r="W372" s="53">
        <f>IF(ISERROR(VLOOKUP($T$372,'TAR FIN'!$A$1:$O$113,15,0)),0,VLOOKUP($T$372,'TAR FIN'!$A$1:$O$113,15,0))*(1-0.06)</f>
        <v>220.02579999999998</v>
      </c>
      <c r="X372" s="53">
        <f>IF(ISERROR(VLOOKUP($U$372,'TAR FIN'!$A$1:$O$113,15,0)),0,VLOOKUP($U$372,'TAR FIN'!$A$1:$O$113,15,0))*(1-0.06)</f>
        <v>261.94979999999998</v>
      </c>
      <c r="Y372" s="53"/>
      <c r="Z372" s="53">
        <f ca="1">('TUSD BE'!$AM$67+'TUSD BF'!$AM$67+'TUSD CVA'!$AM$67)*1*(1-0.03)</f>
        <v>307.83530358795292</v>
      </c>
      <c r="AA372" s="53">
        <f>('TE BE'!$AB$45+'TE BF'!$AB$45+'TE CVA'!$AB$45)*1*(1-0.03)</f>
        <v>290.20513391436589</v>
      </c>
      <c r="AB372" s="53">
        <f>(SUBSIDIO!$J$372*SUBSIDIO!$V$372)*(0.06)/(1-0.06)</f>
        <v>0</v>
      </c>
      <c r="AC372" s="53">
        <f>((SUBSIDIO!$L$372*SUBSIDIO!$W$372)+(SUBSIDIO!$N$372*SUBSIDIO!$X$372))*(0.06)/(1-0.06)</f>
        <v>219.81163799999999</v>
      </c>
      <c r="AD372" s="53">
        <f>(SUBSIDIO!$J$372*SUBSIDIO!$Y$372)*(0.03)/(1-0.03)</f>
        <v>0</v>
      </c>
      <c r="AE372" s="53">
        <f ca="1">((SUBSIDIO!$L$372*SUBSIDIO!$Z$372)+(SUBSIDIO!$N$372*SUBSIDIO!$AA$372))*(0.03)/(1-0.03)</f>
        <v>132.15460595734228</v>
      </c>
      <c r="AF372" s="4" t="s">
        <v>852</v>
      </c>
    </row>
    <row r="373" spans="1:32" ht="11.25" customHeight="1" x14ac:dyDescent="0.3">
      <c r="A373" s="4" t="s">
        <v>21</v>
      </c>
      <c r="B373" s="4" t="s">
        <v>37</v>
      </c>
      <c r="C373" s="4" t="s">
        <v>33</v>
      </c>
      <c r="D373" s="4" t="s">
        <v>50</v>
      </c>
      <c r="E373" s="4" t="s">
        <v>51</v>
      </c>
      <c r="F373" s="4" t="s">
        <v>25</v>
      </c>
      <c r="G373" s="4" t="s">
        <v>25</v>
      </c>
      <c r="H373" s="4" t="s">
        <v>35</v>
      </c>
      <c r="I373" s="5">
        <v>44743</v>
      </c>
      <c r="J373" s="6">
        <v>0</v>
      </c>
      <c r="K373" s="53">
        <v>0</v>
      </c>
      <c r="L373" s="6">
        <v>7.2779999999999996</v>
      </c>
      <c r="M373" s="53">
        <v>7.2779999999999996</v>
      </c>
      <c r="N373" s="6">
        <v>7.2779999999999996</v>
      </c>
      <c r="O373" s="53">
        <v>7.2779999999999996</v>
      </c>
      <c r="P373" s="6">
        <v>0</v>
      </c>
      <c r="Q373" s="4" t="s">
        <v>26</v>
      </c>
      <c r="R373" s="4">
        <v>0</v>
      </c>
      <c r="S373" s="4">
        <v>0</v>
      </c>
      <c r="T373" s="4">
        <v>69</v>
      </c>
      <c r="U373" s="4">
        <v>105</v>
      </c>
      <c r="V373" s="53">
        <f>IF(ISERROR(VLOOKUP($S$373,'TAR FIN'!$A$1:$O$113,15,0)),0,VLOOKUP($S$373,'TAR FIN'!$A$1:$O$113,15,0))</f>
        <v>0</v>
      </c>
      <c r="W373" s="53">
        <f>IF(ISERROR(VLOOKUP($T$373,'TAR FIN'!$A$1:$O$113,15,0)),0,VLOOKUP($T$373,'TAR FIN'!$A$1:$O$113,15,0))*(1-0.06)</f>
        <v>220.02579999999998</v>
      </c>
      <c r="X373" s="53">
        <f>IF(ISERROR(VLOOKUP($U$373,'TAR FIN'!$A$1:$O$113,15,0)),0,VLOOKUP($U$373,'TAR FIN'!$A$1:$O$113,15,0))*(1-0.06)</f>
        <v>261.94979999999998</v>
      </c>
      <c r="Y373" s="53"/>
      <c r="Z373" s="53">
        <f ca="1">('TUSD BE'!$AM$67+'TUSD BF'!$AM$67+'TUSD CVA'!$AM$67)*1*(1-0.03)</f>
        <v>307.83530358795292</v>
      </c>
      <c r="AA373" s="53">
        <f>('TE BE'!$AB$45+'TE BF'!$AB$45+'TE CVA'!$AB$45)*1*(1-0.03)</f>
        <v>290.20513391436589</v>
      </c>
      <c r="AB373" s="53">
        <f>(SUBSIDIO!$J$373*SUBSIDIO!$V$373)*(0.06)/(1-0.06)</f>
        <v>0</v>
      </c>
      <c r="AC373" s="53">
        <f>((SUBSIDIO!$L$373*SUBSIDIO!$W$373)+(SUBSIDIO!$N$373*SUBSIDIO!$X$373))*(0.06)/(1-0.06)</f>
        <v>223.90330320000001</v>
      </c>
      <c r="AD373" s="53">
        <f>(SUBSIDIO!$J$373*SUBSIDIO!$Y$373)*(0.03)/(1-0.03)</f>
        <v>0</v>
      </c>
      <c r="AE373" s="53">
        <f ca="1">((SUBSIDIO!$L$373*SUBSIDIO!$Z$373)+(SUBSIDIO!$N$373*SUBSIDIO!$AA$373))*(0.03)/(1-0.03)</f>
        <v>134.6145867260374</v>
      </c>
      <c r="AF373" s="4" t="s">
        <v>852</v>
      </c>
    </row>
    <row r="374" spans="1:32" ht="11.25" customHeight="1" x14ac:dyDescent="0.3">
      <c r="A374" s="4" t="s">
        <v>21</v>
      </c>
      <c r="B374" s="4" t="s">
        <v>37</v>
      </c>
      <c r="C374" s="4" t="s">
        <v>33</v>
      </c>
      <c r="D374" s="4" t="s">
        <v>50</v>
      </c>
      <c r="E374" s="4" t="s">
        <v>51</v>
      </c>
      <c r="F374" s="4" t="s">
        <v>25</v>
      </c>
      <c r="G374" s="4" t="s">
        <v>25</v>
      </c>
      <c r="H374" s="4" t="s">
        <v>35</v>
      </c>
      <c r="I374" s="5">
        <v>44774</v>
      </c>
      <c r="J374" s="6">
        <v>0</v>
      </c>
      <c r="K374" s="53">
        <v>0</v>
      </c>
      <c r="L374" s="6">
        <v>8.3040000000000003</v>
      </c>
      <c r="M374" s="53">
        <v>8.3040000000000003</v>
      </c>
      <c r="N374" s="6">
        <v>8.3040000000000003</v>
      </c>
      <c r="O374" s="53">
        <v>8.3040000000000003</v>
      </c>
      <c r="P374" s="6">
        <v>0</v>
      </c>
      <c r="Q374" s="4" t="s">
        <v>26</v>
      </c>
      <c r="R374" s="4">
        <v>0</v>
      </c>
      <c r="S374" s="4">
        <v>0</v>
      </c>
      <c r="T374" s="4">
        <v>69</v>
      </c>
      <c r="U374" s="4">
        <v>105</v>
      </c>
      <c r="V374" s="53">
        <f>IF(ISERROR(VLOOKUP($S$374,'TAR FIN'!$A$1:$O$113,15,0)),0,VLOOKUP($S$374,'TAR FIN'!$A$1:$O$113,15,0))</f>
        <v>0</v>
      </c>
      <c r="W374" s="53">
        <f>IF(ISERROR(VLOOKUP($T$374,'TAR FIN'!$A$1:$O$113,15,0)),0,VLOOKUP($T$374,'TAR FIN'!$A$1:$O$113,15,0))*(1-0.06)</f>
        <v>220.02579999999998</v>
      </c>
      <c r="X374" s="53">
        <f>IF(ISERROR(VLOOKUP($U$374,'TAR FIN'!$A$1:$O$113,15,0)),0,VLOOKUP($U$374,'TAR FIN'!$A$1:$O$113,15,0))*(1-0.06)</f>
        <v>261.94979999999998</v>
      </c>
      <c r="Y374" s="53"/>
      <c r="Z374" s="53">
        <f ca="1">('TUSD BE'!$AM$67+'TUSD BF'!$AM$67+'TUSD CVA'!$AM$67)*1*(1-0.03)</f>
        <v>307.83530358795292</v>
      </c>
      <c r="AA374" s="53">
        <f>('TE BE'!$AB$45+'TE BF'!$AB$45+'TE CVA'!$AB$45)*1*(1-0.03)</f>
        <v>290.20513391436589</v>
      </c>
      <c r="AB374" s="53">
        <f>(SUBSIDIO!$J$374*SUBSIDIO!$V$374)*(0.06)/(1-0.06)</f>
        <v>0</v>
      </c>
      <c r="AC374" s="53">
        <f>((SUBSIDIO!$L$374*SUBSIDIO!$W$374)+(SUBSIDIO!$N$374*SUBSIDIO!$X$374))*(0.06)/(1-0.06)</f>
        <v>255.46757760000003</v>
      </c>
      <c r="AD374" s="53">
        <f>(SUBSIDIO!$J$374*SUBSIDIO!$Y$374)*(0.03)/(1-0.03)</f>
        <v>0</v>
      </c>
      <c r="AE374" s="53">
        <f ca="1">((SUBSIDIO!$L$374*SUBSIDIO!$Z$374)+(SUBSIDIO!$N$374*SUBSIDIO!$AA$374))*(0.03)/(1-0.03)</f>
        <v>153.59158122739964</v>
      </c>
      <c r="AF374" s="4" t="s">
        <v>852</v>
      </c>
    </row>
    <row r="375" spans="1:32" ht="11.25" customHeight="1" x14ac:dyDescent="0.3">
      <c r="A375" s="4" t="s">
        <v>21</v>
      </c>
      <c r="B375" s="4" t="s">
        <v>37</v>
      </c>
      <c r="C375" s="4" t="s">
        <v>33</v>
      </c>
      <c r="D375" s="4" t="s">
        <v>50</v>
      </c>
      <c r="E375" s="4" t="s">
        <v>51</v>
      </c>
      <c r="F375" s="4" t="s">
        <v>25</v>
      </c>
      <c r="G375" s="4" t="s">
        <v>25</v>
      </c>
      <c r="H375" s="4" t="s">
        <v>35</v>
      </c>
      <c r="I375" s="5">
        <v>44805</v>
      </c>
      <c r="J375" s="6">
        <v>0</v>
      </c>
      <c r="K375" s="53">
        <v>0</v>
      </c>
      <c r="L375" s="6">
        <v>8.2780000000000005</v>
      </c>
      <c r="M375" s="53">
        <v>8.2780000000000005</v>
      </c>
      <c r="N375" s="6">
        <v>8.2780000000000005</v>
      </c>
      <c r="O375" s="53">
        <v>8.2780000000000005</v>
      </c>
      <c r="P375" s="6">
        <v>0</v>
      </c>
      <c r="Q375" s="4" t="s">
        <v>26</v>
      </c>
      <c r="R375" s="4">
        <v>0</v>
      </c>
      <c r="S375" s="4">
        <v>0</v>
      </c>
      <c r="T375" s="4">
        <v>69</v>
      </c>
      <c r="U375" s="4">
        <v>105</v>
      </c>
      <c r="V375" s="53">
        <f>IF(ISERROR(VLOOKUP($S$375,'TAR FIN'!$A$1:$O$113,15,0)),0,VLOOKUP($S$375,'TAR FIN'!$A$1:$O$113,15,0))</f>
        <v>0</v>
      </c>
      <c r="W375" s="53">
        <f>IF(ISERROR(VLOOKUP($T$375,'TAR FIN'!$A$1:$O$113,15,0)),0,VLOOKUP($T$375,'TAR FIN'!$A$1:$O$113,15,0))*(1-0.06)</f>
        <v>220.02579999999998</v>
      </c>
      <c r="X375" s="53">
        <f>IF(ISERROR(VLOOKUP($U$375,'TAR FIN'!$A$1:$O$113,15,0)),0,VLOOKUP($U$375,'TAR FIN'!$A$1:$O$113,15,0))*(1-0.06)</f>
        <v>261.94979999999998</v>
      </c>
      <c r="Y375" s="53"/>
      <c r="Z375" s="53">
        <f ca="1">('TUSD BE'!$AM$67+'TUSD BF'!$AM$67+'TUSD CVA'!$AM$67)*1*(1-0.03)</f>
        <v>307.83530358795292</v>
      </c>
      <c r="AA375" s="53">
        <f>('TE BE'!$AB$45+'TE BF'!$AB$45+'TE CVA'!$AB$45)*1*(1-0.03)</f>
        <v>290.20513391436589</v>
      </c>
      <c r="AB375" s="53">
        <f>(SUBSIDIO!$J$375*SUBSIDIO!$V$375)*(0.06)/(1-0.06)</f>
        <v>0</v>
      </c>
      <c r="AC375" s="53">
        <f>((SUBSIDIO!$L$375*SUBSIDIO!$W$375)+(SUBSIDIO!$N$375*SUBSIDIO!$X$375))*(0.06)/(1-0.06)</f>
        <v>254.66770320000001</v>
      </c>
      <c r="AD375" s="53">
        <f>(SUBSIDIO!$J$375*SUBSIDIO!$Y$375)*(0.03)/(1-0.03)</f>
        <v>0</v>
      </c>
      <c r="AE375" s="53">
        <f ca="1">((SUBSIDIO!$L$375*SUBSIDIO!$Z$375)+(SUBSIDIO!$N$375*SUBSIDIO!$AA$375))*(0.03)/(1-0.03)</f>
        <v>153.11068273126378</v>
      </c>
      <c r="AF375" s="4" t="s">
        <v>852</v>
      </c>
    </row>
    <row r="376" spans="1:32" ht="11.25" customHeight="1" x14ac:dyDescent="0.3">
      <c r="A376" s="4" t="s">
        <v>53</v>
      </c>
      <c r="B376" s="4" t="s">
        <v>37</v>
      </c>
      <c r="C376" s="4" t="s">
        <v>33</v>
      </c>
      <c r="D376" s="4" t="s">
        <v>50</v>
      </c>
      <c r="E376" s="4" t="s">
        <v>51</v>
      </c>
      <c r="F376" s="4" t="s">
        <v>25</v>
      </c>
      <c r="G376" s="4" t="s">
        <v>25</v>
      </c>
      <c r="H376" s="4" t="s">
        <v>35</v>
      </c>
      <c r="I376" s="5">
        <v>44835</v>
      </c>
      <c r="J376" s="6">
        <v>0</v>
      </c>
      <c r="K376" s="53">
        <v>0</v>
      </c>
      <c r="L376" s="6">
        <v>8.2780000000000005</v>
      </c>
      <c r="M376" s="53">
        <v>8.2780000000000005</v>
      </c>
      <c r="N376" s="6">
        <v>8.2780000000000005</v>
      </c>
      <c r="O376" s="53">
        <v>8.2780000000000005</v>
      </c>
      <c r="P376" s="6">
        <v>0</v>
      </c>
      <c r="Q376" s="4" t="s">
        <v>26</v>
      </c>
      <c r="R376" s="4">
        <v>0</v>
      </c>
      <c r="S376" s="4">
        <v>0</v>
      </c>
      <c r="T376" s="4">
        <v>69</v>
      </c>
      <c r="U376" s="4">
        <v>105</v>
      </c>
      <c r="V376" s="53">
        <f>IF(ISERROR(VLOOKUP($S$376,'TAR FIN'!$A$1:$O$113,15,0)),0,VLOOKUP($S$376,'TAR FIN'!$A$1:$O$113,15,0))</f>
        <v>0</v>
      </c>
      <c r="W376" s="53">
        <f>IF(ISERROR(VLOOKUP($T$376,'TAR FIN'!$A$1:$O$113,15,0)),0,VLOOKUP($T$376,'TAR FIN'!$A$1:$O$113,15,0))*(1-0.06)</f>
        <v>220.02579999999998</v>
      </c>
      <c r="X376" s="53">
        <f>IF(ISERROR(VLOOKUP($U$376,'TAR FIN'!$A$1:$O$113,15,0)),0,VLOOKUP($U$376,'TAR FIN'!$A$1:$O$113,15,0))*(1-0.06)</f>
        <v>261.94979999999998</v>
      </c>
      <c r="Y376" s="53"/>
      <c r="Z376" s="53">
        <f ca="1">('TUSD BE'!$AM$67+'TUSD BF'!$AM$67+'TUSD CVA'!$AM$67)*1*(1-0.03)</f>
        <v>307.83530358795292</v>
      </c>
      <c r="AA376" s="53">
        <f>('TE BE'!$AB$45+'TE BF'!$AB$45+'TE CVA'!$AB$45)*1*(1-0.03)</f>
        <v>290.20513391436589</v>
      </c>
      <c r="AB376" s="53">
        <f>(SUBSIDIO!$J$376*SUBSIDIO!$V$376)*(0.06)/(1-0.06)</f>
        <v>0</v>
      </c>
      <c r="AC376" s="53">
        <f>((SUBSIDIO!$L$376*SUBSIDIO!$W$376)+(SUBSIDIO!$N$376*SUBSIDIO!$X$376))*(0.06)/(1-0.06)</f>
        <v>254.66770320000001</v>
      </c>
      <c r="AD376" s="53">
        <f>(SUBSIDIO!$J$376*SUBSIDIO!$Y$376)*(0.03)/(1-0.03)</f>
        <v>0</v>
      </c>
      <c r="AE376" s="53">
        <f ca="1">((SUBSIDIO!$L$376*SUBSIDIO!$Z$376)+(SUBSIDIO!$N$376*SUBSIDIO!$AA$376))*(0.03)/(1-0.03)</f>
        <v>153.11068273126378</v>
      </c>
      <c r="AF376" s="4" t="s">
        <v>852</v>
      </c>
    </row>
    <row r="377" spans="1:32" ht="11.25" customHeight="1" x14ac:dyDescent="0.3">
      <c r="A377" s="4" t="s">
        <v>21</v>
      </c>
      <c r="B377" s="4" t="s">
        <v>37</v>
      </c>
      <c r="C377" s="4" t="s">
        <v>33</v>
      </c>
      <c r="D377" s="4" t="s">
        <v>50</v>
      </c>
      <c r="E377" s="4" t="s">
        <v>51</v>
      </c>
      <c r="F377" s="4" t="s">
        <v>25</v>
      </c>
      <c r="G377" s="4" t="s">
        <v>25</v>
      </c>
      <c r="H377" s="4" t="s">
        <v>36</v>
      </c>
      <c r="I377" s="5">
        <v>44682</v>
      </c>
      <c r="J377" s="6">
        <v>0</v>
      </c>
      <c r="K377" s="53">
        <v>0</v>
      </c>
      <c r="L377" s="6">
        <v>0.219</v>
      </c>
      <c r="M377" s="53">
        <v>0.219</v>
      </c>
      <c r="N377" s="6">
        <v>0.219</v>
      </c>
      <c r="O377" s="53">
        <v>0.219</v>
      </c>
      <c r="P377" s="6">
        <v>0</v>
      </c>
      <c r="Q377" s="4" t="s">
        <v>26</v>
      </c>
      <c r="R377" s="4">
        <v>0</v>
      </c>
      <c r="S377" s="4">
        <v>0</v>
      </c>
      <c r="T377" s="4">
        <v>82</v>
      </c>
      <c r="U377" s="4">
        <v>110</v>
      </c>
      <c r="V377" s="53">
        <f>IF(ISERROR(VLOOKUP($S$377,'TAR FIN'!$A$1:$O$113,15,0)),0,VLOOKUP($S$377,'TAR FIN'!$A$1:$O$113,15,0))</f>
        <v>0</v>
      </c>
      <c r="W377" s="53">
        <f>IF(ISERROR(VLOOKUP($T$377,'TAR FIN'!$A$1:$O$113,15,0)),0,VLOOKUP($T$377,'TAR FIN'!$A$1:$O$113,15,0))*(1-0.06)</f>
        <v>461.70919999999995</v>
      </c>
      <c r="X377" s="53">
        <f>IF(ISERROR(VLOOKUP($U$377,'TAR FIN'!$A$1:$O$113,15,0)),0,VLOOKUP($U$377,'TAR FIN'!$A$1:$O$113,15,0))*(1-0.06)</f>
        <v>261.94979999999998</v>
      </c>
      <c r="Y377" s="53"/>
      <c r="Z377" s="53">
        <f ca="1">('TUSD BE'!$AM$66+'TUSD BF'!$AM$66+'TUSD CVA'!$AM$66)*1*(1-0.03)</f>
        <v>593.77289416677547</v>
      </c>
      <c r="AA377" s="53">
        <f>('TE BE'!$AB$44+'TE BF'!$AB$44+'TE CVA'!$AB$44)*1*(1-0.03)</f>
        <v>290.20513391436589</v>
      </c>
      <c r="AB377" s="53">
        <f>(SUBSIDIO!$J$377*SUBSIDIO!$V$377)*(0.06)/(1-0.06)</f>
        <v>0</v>
      </c>
      <c r="AC377" s="53">
        <f>((SUBSIDIO!$L$377*SUBSIDIO!$W$377)+(SUBSIDIO!$N$377*SUBSIDIO!$X$377))*(0.06)/(1-0.06)</f>
        <v>10.115829</v>
      </c>
      <c r="AD377" s="53">
        <f>(SUBSIDIO!$J$377*SUBSIDIO!$Y$377)*(0.03)/(1-0.03)</f>
        <v>0</v>
      </c>
      <c r="AE377" s="53">
        <f ca="1">((SUBSIDIO!$L$377*SUBSIDIO!$Z$377)+(SUBSIDIO!$N$377*SUBSIDIO!$AA$377))*(0.03)/(1-0.03)</f>
        <v>5.9873563345289673</v>
      </c>
      <c r="AF377" s="4" t="s">
        <v>852</v>
      </c>
    </row>
    <row r="378" spans="1:32" ht="11.25" customHeight="1" x14ac:dyDescent="0.3">
      <c r="A378" s="4" t="s">
        <v>21</v>
      </c>
      <c r="B378" s="4" t="s">
        <v>37</v>
      </c>
      <c r="C378" s="4" t="s">
        <v>33</v>
      </c>
      <c r="D378" s="4" t="s">
        <v>50</v>
      </c>
      <c r="E378" s="4" t="s">
        <v>51</v>
      </c>
      <c r="F378" s="4" t="s">
        <v>25</v>
      </c>
      <c r="G378" s="4" t="s">
        <v>25</v>
      </c>
      <c r="H378" s="4" t="s">
        <v>36</v>
      </c>
      <c r="I378" s="5">
        <v>44713</v>
      </c>
      <c r="J378" s="6">
        <v>0</v>
      </c>
      <c r="K378" s="53">
        <v>0</v>
      </c>
      <c r="L378" s="6">
        <v>5.2999999999999999E-2</v>
      </c>
      <c r="M378" s="53">
        <v>5.2999999999999999E-2</v>
      </c>
      <c r="N378" s="6">
        <v>5.2999999999999999E-2</v>
      </c>
      <c r="O378" s="53">
        <v>5.2999999999999999E-2</v>
      </c>
      <c r="P378" s="6">
        <v>0</v>
      </c>
      <c r="Q378" s="4" t="s">
        <v>26</v>
      </c>
      <c r="R378" s="4">
        <v>0</v>
      </c>
      <c r="S378" s="4">
        <v>0</v>
      </c>
      <c r="T378" s="4">
        <v>82</v>
      </c>
      <c r="U378" s="4">
        <v>110</v>
      </c>
      <c r="V378" s="53">
        <f>IF(ISERROR(VLOOKUP($S$378,'TAR FIN'!$A$1:$O$113,15,0)),0,VLOOKUP($S$378,'TAR FIN'!$A$1:$O$113,15,0))</f>
        <v>0</v>
      </c>
      <c r="W378" s="53">
        <f>IF(ISERROR(VLOOKUP($T$378,'TAR FIN'!$A$1:$O$113,15,0)),0,VLOOKUP($T$378,'TAR FIN'!$A$1:$O$113,15,0))*(1-0.06)</f>
        <v>461.70919999999995</v>
      </c>
      <c r="X378" s="53">
        <f>IF(ISERROR(VLOOKUP($U$378,'TAR FIN'!$A$1:$O$113,15,0)),0,VLOOKUP($U$378,'TAR FIN'!$A$1:$O$113,15,0))*(1-0.06)</f>
        <v>261.94979999999998</v>
      </c>
      <c r="Y378" s="53"/>
      <c r="Z378" s="53">
        <f ca="1">('TUSD BE'!$AM$66+'TUSD BF'!$AM$66+'TUSD CVA'!$AM$66)*1*(1-0.03)</f>
        <v>593.77289416677547</v>
      </c>
      <c r="AA378" s="53">
        <f>('TE BE'!$AB$44+'TE BF'!$AB$44+'TE CVA'!$AB$44)*1*(1-0.03)</f>
        <v>290.20513391436589</v>
      </c>
      <c r="AB378" s="53">
        <f>(SUBSIDIO!$J$378*SUBSIDIO!$V$378)*(0.06)/(1-0.06)</f>
        <v>0</v>
      </c>
      <c r="AC378" s="53">
        <f>((SUBSIDIO!$L$378*SUBSIDIO!$W$378)+(SUBSIDIO!$N$378*SUBSIDIO!$X$378))*(0.06)/(1-0.06)</f>
        <v>2.4481230000000003</v>
      </c>
      <c r="AD378" s="53">
        <f>(SUBSIDIO!$J$378*SUBSIDIO!$Y$378)*(0.03)/(1-0.03)</f>
        <v>0</v>
      </c>
      <c r="AE378" s="53">
        <f ca="1">((SUBSIDIO!$L$378*SUBSIDIO!$Z$378)+(SUBSIDIO!$N$378*SUBSIDIO!$AA$378))*(0.03)/(1-0.03)</f>
        <v>1.4489949120092935</v>
      </c>
      <c r="AF378" s="4" t="s">
        <v>852</v>
      </c>
    </row>
    <row r="379" spans="1:32" ht="11.25" customHeight="1" x14ac:dyDescent="0.3">
      <c r="A379" s="4" t="s">
        <v>21</v>
      </c>
      <c r="B379" s="4" t="s">
        <v>37</v>
      </c>
      <c r="C379" s="4" t="s">
        <v>33</v>
      </c>
      <c r="D379" s="4" t="s">
        <v>50</v>
      </c>
      <c r="E379" s="4" t="s">
        <v>51</v>
      </c>
      <c r="F379" s="4" t="s">
        <v>25</v>
      </c>
      <c r="G379" s="4" t="s">
        <v>25</v>
      </c>
      <c r="H379" s="4" t="s">
        <v>36</v>
      </c>
      <c r="I379" s="5">
        <v>44743</v>
      </c>
      <c r="J379" s="6">
        <v>0</v>
      </c>
      <c r="K379" s="53">
        <v>0</v>
      </c>
      <c r="L379" s="6">
        <v>1.7000000000000001E-2</v>
      </c>
      <c r="M379" s="53">
        <v>1.7000000000000001E-2</v>
      </c>
      <c r="N379" s="6">
        <v>1.7000000000000001E-2</v>
      </c>
      <c r="O379" s="53">
        <v>1.7000000000000001E-2</v>
      </c>
      <c r="P379" s="6">
        <v>0</v>
      </c>
      <c r="Q379" s="4" t="s">
        <v>26</v>
      </c>
      <c r="R379" s="4">
        <v>0</v>
      </c>
      <c r="S379" s="4">
        <v>0</v>
      </c>
      <c r="T379" s="4">
        <v>82</v>
      </c>
      <c r="U379" s="4">
        <v>110</v>
      </c>
      <c r="V379" s="53">
        <f>IF(ISERROR(VLOOKUP($S$379,'TAR FIN'!$A$1:$O$113,15,0)),0,VLOOKUP($S$379,'TAR FIN'!$A$1:$O$113,15,0))</f>
        <v>0</v>
      </c>
      <c r="W379" s="53">
        <f>IF(ISERROR(VLOOKUP($T$379,'TAR FIN'!$A$1:$O$113,15,0)),0,VLOOKUP($T$379,'TAR FIN'!$A$1:$O$113,15,0))*(1-0.06)</f>
        <v>461.70919999999995</v>
      </c>
      <c r="X379" s="53">
        <f>IF(ISERROR(VLOOKUP($U$379,'TAR FIN'!$A$1:$O$113,15,0)),0,VLOOKUP($U$379,'TAR FIN'!$A$1:$O$113,15,0))*(1-0.06)</f>
        <v>261.94979999999998</v>
      </c>
      <c r="Y379" s="53"/>
      <c r="Z379" s="53">
        <f ca="1">('TUSD BE'!$AM$66+'TUSD BF'!$AM$66+'TUSD CVA'!$AM$66)*1*(1-0.03)</f>
        <v>593.77289416677547</v>
      </c>
      <c r="AA379" s="53">
        <f>('TE BE'!$AB$44+'TE BF'!$AB$44+'TE CVA'!$AB$44)*1*(1-0.03)</f>
        <v>290.20513391436589</v>
      </c>
      <c r="AB379" s="53">
        <f>(SUBSIDIO!$J$379*SUBSIDIO!$V$379)*(0.06)/(1-0.06)</f>
        <v>0</v>
      </c>
      <c r="AC379" s="53">
        <f>((SUBSIDIO!$L$379*SUBSIDIO!$W$379)+(SUBSIDIO!$N$379*SUBSIDIO!$X$379))*(0.06)/(1-0.06)</f>
        <v>0.78524699999999992</v>
      </c>
      <c r="AD379" s="53">
        <f>(SUBSIDIO!$J$379*SUBSIDIO!$Y$379)*(0.03)/(1-0.03)</f>
        <v>0</v>
      </c>
      <c r="AE379" s="53">
        <f ca="1">((SUBSIDIO!$L$379*SUBSIDIO!$Z$379)+(SUBSIDIO!$N$379*SUBSIDIO!$AA$379))*(0.03)/(1-0.03)</f>
        <v>0.46477195290864132</v>
      </c>
      <c r="AF379" s="4" t="s">
        <v>852</v>
      </c>
    </row>
    <row r="380" spans="1:32" ht="11.25" customHeight="1" x14ac:dyDescent="0.3">
      <c r="A380" s="4" t="s">
        <v>21</v>
      </c>
      <c r="B380" s="4" t="s">
        <v>37</v>
      </c>
      <c r="C380" s="4" t="s">
        <v>33</v>
      </c>
      <c r="D380" s="4" t="s">
        <v>50</v>
      </c>
      <c r="E380" s="4" t="s">
        <v>51</v>
      </c>
      <c r="F380" s="4" t="s">
        <v>25</v>
      </c>
      <c r="G380" s="4" t="s">
        <v>25</v>
      </c>
      <c r="H380" s="4" t="s">
        <v>36</v>
      </c>
      <c r="I380" s="5">
        <v>44774</v>
      </c>
      <c r="J380" s="6">
        <v>0</v>
      </c>
      <c r="K380" s="53">
        <v>0</v>
      </c>
      <c r="L380" s="6">
        <v>0.02</v>
      </c>
      <c r="M380" s="53">
        <v>0.02</v>
      </c>
      <c r="N380" s="6">
        <v>0.02</v>
      </c>
      <c r="O380" s="53">
        <v>0.02</v>
      </c>
      <c r="P380" s="6">
        <v>0</v>
      </c>
      <c r="Q380" s="4" t="s">
        <v>26</v>
      </c>
      <c r="R380" s="4">
        <v>0</v>
      </c>
      <c r="S380" s="4">
        <v>0</v>
      </c>
      <c r="T380" s="4">
        <v>82</v>
      </c>
      <c r="U380" s="4">
        <v>110</v>
      </c>
      <c r="V380" s="53">
        <f>IF(ISERROR(VLOOKUP($S$380,'TAR FIN'!$A$1:$O$113,15,0)),0,VLOOKUP($S$380,'TAR FIN'!$A$1:$O$113,15,0))</f>
        <v>0</v>
      </c>
      <c r="W380" s="53">
        <f>IF(ISERROR(VLOOKUP($T$380,'TAR FIN'!$A$1:$O$113,15,0)),0,VLOOKUP($T$380,'TAR FIN'!$A$1:$O$113,15,0))*(1-0.06)</f>
        <v>461.70919999999995</v>
      </c>
      <c r="X380" s="53">
        <f>IF(ISERROR(VLOOKUP($U$380,'TAR FIN'!$A$1:$O$113,15,0)),0,VLOOKUP($U$380,'TAR FIN'!$A$1:$O$113,15,0))*(1-0.06)</f>
        <v>261.94979999999998</v>
      </c>
      <c r="Y380" s="53"/>
      <c r="Z380" s="53">
        <f ca="1">('TUSD BE'!$AM$66+'TUSD BF'!$AM$66+'TUSD CVA'!$AM$66)*1*(1-0.03)</f>
        <v>593.77289416677547</v>
      </c>
      <c r="AA380" s="53">
        <f>('TE BE'!$AB$44+'TE BF'!$AB$44+'TE CVA'!$AB$44)*1*(1-0.03)</f>
        <v>290.20513391436589</v>
      </c>
      <c r="AB380" s="53">
        <f>(SUBSIDIO!$J$380*SUBSIDIO!$V$380)*(0.06)/(1-0.06)</f>
        <v>0</v>
      </c>
      <c r="AC380" s="53">
        <f>((SUBSIDIO!$L$380*SUBSIDIO!$W$380)+(SUBSIDIO!$N$380*SUBSIDIO!$X$380))*(0.06)/(1-0.06)</f>
        <v>0.92381999999999997</v>
      </c>
      <c r="AD380" s="53">
        <f>(SUBSIDIO!$J$380*SUBSIDIO!$Y$380)*(0.03)/(1-0.03)</f>
        <v>0</v>
      </c>
      <c r="AE380" s="53">
        <f ca="1">((SUBSIDIO!$L$380*SUBSIDIO!$Z$380)+(SUBSIDIO!$N$380*SUBSIDIO!$AA$380))*(0.03)/(1-0.03)</f>
        <v>0.54679053283369572</v>
      </c>
      <c r="AF380" s="4" t="s">
        <v>852</v>
      </c>
    </row>
    <row r="381" spans="1:32" ht="11.25" customHeight="1" x14ac:dyDescent="0.3">
      <c r="A381" s="4" t="s">
        <v>21</v>
      </c>
      <c r="B381" s="4" t="s">
        <v>37</v>
      </c>
      <c r="C381" s="4" t="s">
        <v>33</v>
      </c>
      <c r="D381" s="4" t="s">
        <v>50</v>
      </c>
      <c r="E381" s="4" t="s">
        <v>51</v>
      </c>
      <c r="F381" s="4" t="s">
        <v>25</v>
      </c>
      <c r="G381" s="4" t="s">
        <v>25</v>
      </c>
      <c r="H381" s="4" t="s">
        <v>36</v>
      </c>
      <c r="I381" s="5">
        <v>44805</v>
      </c>
      <c r="J381" s="6">
        <v>0</v>
      </c>
      <c r="K381" s="53">
        <v>0</v>
      </c>
      <c r="L381" s="6">
        <v>2.1999999999999999E-2</v>
      </c>
      <c r="M381" s="53">
        <v>2.1999999999999999E-2</v>
      </c>
      <c r="N381" s="6">
        <v>2.1999999999999999E-2</v>
      </c>
      <c r="O381" s="53">
        <v>2.1999999999999999E-2</v>
      </c>
      <c r="P381" s="6">
        <v>0</v>
      </c>
      <c r="Q381" s="4" t="s">
        <v>26</v>
      </c>
      <c r="R381" s="4">
        <v>0</v>
      </c>
      <c r="S381" s="4">
        <v>0</v>
      </c>
      <c r="T381" s="4">
        <v>82</v>
      </c>
      <c r="U381" s="4">
        <v>110</v>
      </c>
      <c r="V381" s="53">
        <f>IF(ISERROR(VLOOKUP($S$381,'TAR FIN'!$A$1:$O$113,15,0)),0,VLOOKUP($S$381,'TAR FIN'!$A$1:$O$113,15,0))</f>
        <v>0</v>
      </c>
      <c r="W381" s="53">
        <f>IF(ISERROR(VLOOKUP($T$381,'TAR FIN'!$A$1:$O$113,15,0)),0,VLOOKUP($T$381,'TAR FIN'!$A$1:$O$113,15,0))*(1-0.06)</f>
        <v>461.70919999999995</v>
      </c>
      <c r="X381" s="53">
        <f>IF(ISERROR(VLOOKUP($U$381,'TAR FIN'!$A$1:$O$113,15,0)),0,VLOOKUP($U$381,'TAR FIN'!$A$1:$O$113,15,0))*(1-0.06)</f>
        <v>261.94979999999998</v>
      </c>
      <c r="Y381" s="53"/>
      <c r="Z381" s="53">
        <f ca="1">('TUSD BE'!$AM$66+'TUSD BF'!$AM$66+'TUSD CVA'!$AM$66)*1*(1-0.03)</f>
        <v>593.77289416677547</v>
      </c>
      <c r="AA381" s="53">
        <f>('TE BE'!$AB$44+'TE BF'!$AB$44+'TE CVA'!$AB$44)*1*(1-0.03)</f>
        <v>290.20513391436589</v>
      </c>
      <c r="AB381" s="53">
        <f>(SUBSIDIO!$J$381*SUBSIDIO!$V$381)*(0.06)/(1-0.06)</f>
        <v>0</v>
      </c>
      <c r="AC381" s="53">
        <f>((SUBSIDIO!$L$381*SUBSIDIO!$W$381)+(SUBSIDIO!$N$381*SUBSIDIO!$X$381))*(0.06)/(1-0.06)</f>
        <v>1.0162019999999998</v>
      </c>
      <c r="AD381" s="53">
        <f>(SUBSIDIO!$J$381*SUBSIDIO!$Y$381)*(0.03)/(1-0.03)</f>
        <v>0</v>
      </c>
      <c r="AE381" s="53">
        <f ca="1">((SUBSIDIO!$L$381*SUBSIDIO!$Z$381)+(SUBSIDIO!$N$381*SUBSIDIO!$AA$381))*(0.03)/(1-0.03)</f>
        <v>0.60146958611706514</v>
      </c>
      <c r="AF381" s="4" t="s">
        <v>852</v>
      </c>
    </row>
    <row r="382" spans="1:32" ht="11.25" customHeight="1" x14ac:dyDescent="0.3">
      <c r="A382" s="4" t="s">
        <v>53</v>
      </c>
      <c r="B382" s="4" t="s">
        <v>37</v>
      </c>
      <c r="C382" s="4" t="s">
        <v>33</v>
      </c>
      <c r="D382" s="4" t="s">
        <v>50</v>
      </c>
      <c r="E382" s="4" t="s">
        <v>51</v>
      </c>
      <c r="F382" s="4" t="s">
        <v>25</v>
      </c>
      <c r="G382" s="4" t="s">
        <v>25</v>
      </c>
      <c r="H382" s="4" t="s">
        <v>36</v>
      </c>
      <c r="I382" s="5">
        <v>44835</v>
      </c>
      <c r="J382" s="6">
        <v>0</v>
      </c>
      <c r="K382" s="53">
        <v>0</v>
      </c>
      <c r="L382" s="6">
        <v>2.1999999999999999E-2</v>
      </c>
      <c r="M382" s="53">
        <v>2.1999999999999999E-2</v>
      </c>
      <c r="N382" s="6">
        <v>2.1999999999999999E-2</v>
      </c>
      <c r="O382" s="53">
        <v>2.1999999999999999E-2</v>
      </c>
      <c r="P382" s="6">
        <v>0</v>
      </c>
      <c r="Q382" s="4" t="s">
        <v>26</v>
      </c>
      <c r="R382" s="4">
        <v>0</v>
      </c>
      <c r="S382" s="4">
        <v>0</v>
      </c>
      <c r="T382" s="4">
        <v>82</v>
      </c>
      <c r="U382" s="4">
        <v>110</v>
      </c>
      <c r="V382" s="53">
        <f>IF(ISERROR(VLOOKUP($S$382,'TAR FIN'!$A$1:$O$113,15,0)),0,VLOOKUP($S$382,'TAR FIN'!$A$1:$O$113,15,0))</f>
        <v>0</v>
      </c>
      <c r="W382" s="53">
        <f>IF(ISERROR(VLOOKUP($T$382,'TAR FIN'!$A$1:$O$113,15,0)),0,VLOOKUP($T$382,'TAR FIN'!$A$1:$O$113,15,0))*(1-0.06)</f>
        <v>461.70919999999995</v>
      </c>
      <c r="X382" s="53">
        <f>IF(ISERROR(VLOOKUP($U$382,'TAR FIN'!$A$1:$O$113,15,0)),0,VLOOKUP($U$382,'TAR FIN'!$A$1:$O$113,15,0))*(1-0.06)</f>
        <v>261.94979999999998</v>
      </c>
      <c r="Y382" s="53"/>
      <c r="Z382" s="53">
        <f ca="1">('TUSD BE'!$AM$66+'TUSD BF'!$AM$66+'TUSD CVA'!$AM$66)*1*(1-0.03)</f>
        <v>593.77289416677547</v>
      </c>
      <c r="AA382" s="53">
        <f>('TE BE'!$AB$44+'TE BF'!$AB$44+'TE CVA'!$AB$44)*1*(1-0.03)</f>
        <v>290.20513391436589</v>
      </c>
      <c r="AB382" s="53">
        <f>(SUBSIDIO!$J$382*SUBSIDIO!$V$382)*(0.06)/(1-0.06)</f>
        <v>0</v>
      </c>
      <c r="AC382" s="53">
        <f>((SUBSIDIO!$L$382*SUBSIDIO!$W$382)+(SUBSIDIO!$N$382*SUBSIDIO!$X$382))*(0.06)/(1-0.06)</f>
        <v>1.0162019999999998</v>
      </c>
      <c r="AD382" s="53">
        <f>(SUBSIDIO!$J$382*SUBSIDIO!$Y$382)*(0.03)/(1-0.03)</f>
        <v>0</v>
      </c>
      <c r="AE382" s="53">
        <f ca="1">((SUBSIDIO!$L$382*SUBSIDIO!$Z$382)+(SUBSIDIO!$N$382*SUBSIDIO!$AA$382))*(0.03)/(1-0.03)</f>
        <v>0.60146958611706514</v>
      </c>
      <c r="AF382" s="4" t="s">
        <v>852</v>
      </c>
    </row>
    <row r="383" spans="1:32" ht="11.25" customHeight="1" x14ac:dyDescent="0.3">
      <c r="A383" s="4" t="s">
        <v>21</v>
      </c>
      <c r="B383" s="4" t="s">
        <v>37</v>
      </c>
      <c r="C383" s="4" t="s">
        <v>33</v>
      </c>
      <c r="D383" s="4" t="s">
        <v>50</v>
      </c>
      <c r="E383" s="4" t="s">
        <v>51</v>
      </c>
      <c r="F383" s="4" t="s">
        <v>25</v>
      </c>
      <c r="G383" s="4" t="s">
        <v>25</v>
      </c>
      <c r="H383" s="4" t="s">
        <v>34</v>
      </c>
      <c r="I383" s="5">
        <v>44682</v>
      </c>
      <c r="J383" s="6">
        <v>0</v>
      </c>
      <c r="K383" s="53">
        <v>0</v>
      </c>
      <c r="L383" s="6">
        <v>0.35699999999999998</v>
      </c>
      <c r="M383" s="53">
        <v>0.35699999999999998</v>
      </c>
      <c r="N383" s="6">
        <v>0.35699999999999998</v>
      </c>
      <c r="O383" s="53">
        <v>0.35699999999999998</v>
      </c>
      <c r="P383" s="6">
        <v>0</v>
      </c>
      <c r="Q383" s="4" t="s">
        <v>26</v>
      </c>
      <c r="R383" s="4">
        <v>0</v>
      </c>
      <c r="S383" s="4">
        <v>0</v>
      </c>
      <c r="T383" s="4">
        <v>83</v>
      </c>
      <c r="U383" s="4">
        <v>106</v>
      </c>
      <c r="V383" s="53">
        <f>IF(ISERROR(VLOOKUP($S$383,'TAR FIN'!$A$1:$O$113,15,0)),0,VLOOKUP($S$383,'TAR FIN'!$A$1:$O$113,15,0))</f>
        <v>0</v>
      </c>
      <c r="W383" s="53">
        <f>IF(ISERROR(VLOOKUP($T$383,'TAR FIN'!$A$1:$O$113,15,0)),0,VLOOKUP($T$383,'TAR FIN'!$A$1:$O$113,15,0))*(1-0.06)</f>
        <v>703.3925999999999</v>
      </c>
      <c r="X383" s="53">
        <f>IF(ISERROR(VLOOKUP($U$383,'TAR FIN'!$A$1:$O$113,15,0)),0,VLOOKUP($U$383,'TAR FIN'!$A$1:$O$113,15,0))*(1-0.06)</f>
        <v>416.28839999999997</v>
      </c>
      <c r="Y383" s="53"/>
      <c r="Z383" s="53">
        <f ca="1">('TUSD BE'!$AM$65+'TUSD BF'!$AM$65+'TUSD CVA'!$AM$65)*1*(1-0.03)</f>
        <v>879.71076089743769</v>
      </c>
      <c r="AA383" s="53">
        <f>('TE BE'!$AB$43+'TE BF'!$AB$43+'TE CVA'!$AB$43)*1*(1-0.03)</f>
        <v>471.84300153620904</v>
      </c>
      <c r="AB383" s="53">
        <f>(SUBSIDIO!$J$383*SUBSIDIO!$V$383)*(0.06)/(1-0.06)</f>
        <v>0</v>
      </c>
      <c r="AC383" s="53">
        <f>((SUBSIDIO!$L$383*SUBSIDIO!$W$383)+(SUBSIDIO!$N$383*SUBSIDIO!$X$383))*(0.06)/(1-0.06)</f>
        <v>25.514432999999997</v>
      </c>
      <c r="AD383" s="53">
        <f>(SUBSIDIO!$J$383*SUBSIDIO!$Y$383)*(0.03)/(1-0.03)</f>
        <v>0</v>
      </c>
      <c r="AE383" s="53">
        <f ca="1">((SUBSIDIO!$L$383*SUBSIDIO!$Z$383)+(SUBSIDIO!$N$383*SUBSIDIO!$AA$383))*(0.03)/(1-0.03)</f>
        <v>14.922825562540574</v>
      </c>
      <c r="AF383" s="4" t="s">
        <v>852</v>
      </c>
    </row>
    <row r="384" spans="1:32" ht="11.25" customHeight="1" x14ac:dyDescent="0.3">
      <c r="A384" s="4" t="s">
        <v>21</v>
      </c>
      <c r="B384" s="4" t="s">
        <v>37</v>
      </c>
      <c r="C384" s="4" t="s">
        <v>33</v>
      </c>
      <c r="D384" s="4" t="s">
        <v>50</v>
      </c>
      <c r="E384" s="4" t="s">
        <v>51</v>
      </c>
      <c r="F384" s="4" t="s">
        <v>25</v>
      </c>
      <c r="G384" s="4" t="s">
        <v>25</v>
      </c>
      <c r="H384" s="4" t="s">
        <v>34</v>
      </c>
      <c r="I384" s="5">
        <v>44713</v>
      </c>
      <c r="J384" s="6">
        <v>0</v>
      </c>
      <c r="K384" s="53">
        <v>0</v>
      </c>
      <c r="L384" s="6">
        <v>1.7000000000000001E-2</v>
      </c>
      <c r="M384" s="53">
        <v>1.7000000000000001E-2</v>
      </c>
      <c r="N384" s="6">
        <v>1.7000000000000001E-2</v>
      </c>
      <c r="O384" s="53">
        <v>1.7000000000000001E-2</v>
      </c>
      <c r="P384" s="6">
        <v>0</v>
      </c>
      <c r="Q384" s="4" t="s">
        <v>26</v>
      </c>
      <c r="R384" s="4">
        <v>0</v>
      </c>
      <c r="S384" s="4">
        <v>0</v>
      </c>
      <c r="T384" s="4">
        <v>83</v>
      </c>
      <c r="U384" s="4">
        <v>106</v>
      </c>
      <c r="V384" s="53">
        <f>IF(ISERROR(VLOOKUP($S$384,'TAR FIN'!$A$1:$O$113,15,0)),0,VLOOKUP($S$384,'TAR FIN'!$A$1:$O$113,15,0))</f>
        <v>0</v>
      </c>
      <c r="W384" s="53">
        <f>IF(ISERROR(VLOOKUP($T$384,'TAR FIN'!$A$1:$O$113,15,0)),0,VLOOKUP($T$384,'TAR FIN'!$A$1:$O$113,15,0))*(1-0.06)</f>
        <v>703.3925999999999</v>
      </c>
      <c r="X384" s="53">
        <f>IF(ISERROR(VLOOKUP($U$384,'TAR FIN'!$A$1:$O$113,15,0)),0,VLOOKUP($U$384,'TAR FIN'!$A$1:$O$113,15,0))*(1-0.06)</f>
        <v>416.28839999999997</v>
      </c>
      <c r="Y384" s="53"/>
      <c r="Z384" s="53">
        <f ca="1">('TUSD BE'!$AM$65+'TUSD BF'!$AM$65+'TUSD CVA'!$AM$65)*1*(1-0.03)</f>
        <v>879.71076089743769</v>
      </c>
      <c r="AA384" s="53">
        <f>('TE BE'!$AB$43+'TE BF'!$AB$43+'TE CVA'!$AB$43)*1*(1-0.03)</f>
        <v>471.84300153620904</v>
      </c>
      <c r="AB384" s="53">
        <f>(SUBSIDIO!$J$384*SUBSIDIO!$V$384)*(0.06)/(1-0.06)</f>
        <v>0</v>
      </c>
      <c r="AC384" s="53">
        <f>((SUBSIDIO!$L$384*SUBSIDIO!$W$384)+(SUBSIDIO!$N$384*SUBSIDIO!$X$384))*(0.06)/(1-0.06)</f>
        <v>1.2149729999999999</v>
      </c>
      <c r="AD384" s="53">
        <f>(SUBSIDIO!$J$384*SUBSIDIO!$Y$384)*(0.03)/(1-0.03)</f>
        <v>0</v>
      </c>
      <c r="AE384" s="53">
        <f ca="1">((SUBSIDIO!$L$384*SUBSIDIO!$Z$384)+(SUBSIDIO!$N$384*SUBSIDIO!$AA$384))*(0.03)/(1-0.03)</f>
        <v>0.71061074107336075</v>
      </c>
      <c r="AF384" s="4" t="s">
        <v>852</v>
      </c>
    </row>
    <row r="385" spans="1:32" ht="11.25" customHeight="1" x14ac:dyDescent="0.3">
      <c r="A385" s="4" t="s">
        <v>21</v>
      </c>
      <c r="B385" s="4" t="s">
        <v>37</v>
      </c>
      <c r="C385" s="4" t="s">
        <v>33</v>
      </c>
      <c r="D385" s="4" t="s">
        <v>50</v>
      </c>
      <c r="E385" s="4" t="s">
        <v>51</v>
      </c>
      <c r="F385" s="4" t="s">
        <v>25</v>
      </c>
      <c r="G385" s="4" t="s">
        <v>25</v>
      </c>
      <c r="H385" s="4" t="s">
        <v>34</v>
      </c>
      <c r="I385" s="5">
        <v>44743</v>
      </c>
      <c r="J385" s="6">
        <v>0</v>
      </c>
      <c r="K385" s="53">
        <v>0</v>
      </c>
      <c r="L385" s="6">
        <v>0.03</v>
      </c>
      <c r="M385" s="53">
        <v>0.03</v>
      </c>
      <c r="N385" s="6">
        <v>0.03</v>
      </c>
      <c r="O385" s="53">
        <v>0.03</v>
      </c>
      <c r="P385" s="6">
        <v>0</v>
      </c>
      <c r="Q385" s="4" t="s">
        <v>26</v>
      </c>
      <c r="R385" s="4">
        <v>0</v>
      </c>
      <c r="S385" s="4">
        <v>0</v>
      </c>
      <c r="T385" s="4">
        <v>83</v>
      </c>
      <c r="U385" s="4">
        <v>106</v>
      </c>
      <c r="V385" s="53">
        <f>IF(ISERROR(VLOOKUP($S$385,'TAR FIN'!$A$1:$O$113,15,0)),0,VLOOKUP($S$385,'TAR FIN'!$A$1:$O$113,15,0))</f>
        <v>0</v>
      </c>
      <c r="W385" s="53">
        <f>IF(ISERROR(VLOOKUP($T$385,'TAR FIN'!$A$1:$O$113,15,0)),0,VLOOKUP($T$385,'TAR FIN'!$A$1:$O$113,15,0))*(1-0.06)</f>
        <v>703.3925999999999</v>
      </c>
      <c r="X385" s="53">
        <f>IF(ISERROR(VLOOKUP($U$385,'TAR FIN'!$A$1:$O$113,15,0)),0,VLOOKUP($U$385,'TAR FIN'!$A$1:$O$113,15,0))*(1-0.06)</f>
        <v>416.28839999999997</v>
      </c>
      <c r="Y385" s="53"/>
      <c r="Z385" s="53">
        <f ca="1">('TUSD BE'!$AM$65+'TUSD BF'!$AM$65+'TUSD CVA'!$AM$65)*1*(1-0.03)</f>
        <v>879.71076089743769</v>
      </c>
      <c r="AA385" s="53">
        <f>('TE BE'!$AB$43+'TE BF'!$AB$43+'TE CVA'!$AB$43)*1*(1-0.03)</f>
        <v>471.84300153620904</v>
      </c>
      <c r="AB385" s="53">
        <f>(SUBSIDIO!$J$385*SUBSIDIO!$V$385)*(0.06)/(1-0.06)</f>
        <v>0</v>
      </c>
      <c r="AC385" s="53">
        <f>((SUBSIDIO!$L$385*SUBSIDIO!$W$385)+(SUBSIDIO!$N$385*SUBSIDIO!$X$385))*(0.06)/(1-0.06)</f>
        <v>2.1440699999999997</v>
      </c>
      <c r="AD385" s="53">
        <f>(SUBSIDIO!$J$385*SUBSIDIO!$Y$385)*(0.03)/(1-0.03)</f>
        <v>0</v>
      </c>
      <c r="AE385" s="53">
        <f ca="1">((SUBSIDIO!$L$385*SUBSIDIO!$Z$385)+(SUBSIDIO!$N$385*SUBSIDIO!$AA$385))*(0.03)/(1-0.03)</f>
        <v>1.2540189548353424</v>
      </c>
      <c r="AF385" s="4" t="s">
        <v>852</v>
      </c>
    </row>
    <row r="386" spans="1:32" ht="11.25" customHeight="1" x14ac:dyDescent="0.3">
      <c r="A386" s="4" t="s">
        <v>21</v>
      </c>
      <c r="B386" s="4" t="s">
        <v>37</v>
      </c>
      <c r="C386" s="4" t="s">
        <v>33</v>
      </c>
      <c r="D386" s="4" t="s">
        <v>50</v>
      </c>
      <c r="E386" s="4" t="s">
        <v>51</v>
      </c>
      <c r="F386" s="4" t="s">
        <v>25</v>
      </c>
      <c r="G386" s="4" t="s">
        <v>25</v>
      </c>
      <c r="H386" s="4" t="s">
        <v>34</v>
      </c>
      <c r="I386" s="5">
        <v>44774</v>
      </c>
      <c r="J386" s="6">
        <v>0</v>
      </c>
      <c r="K386" s="53">
        <v>0</v>
      </c>
      <c r="L386" s="6">
        <v>1.6E-2</v>
      </c>
      <c r="M386" s="53">
        <v>1.6E-2</v>
      </c>
      <c r="N386" s="6">
        <v>1.6E-2</v>
      </c>
      <c r="O386" s="53">
        <v>1.6E-2</v>
      </c>
      <c r="P386" s="6">
        <v>0</v>
      </c>
      <c r="Q386" s="4" t="s">
        <v>26</v>
      </c>
      <c r="R386" s="4">
        <v>0</v>
      </c>
      <c r="S386" s="4">
        <v>0</v>
      </c>
      <c r="T386" s="4">
        <v>83</v>
      </c>
      <c r="U386" s="4">
        <v>106</v>
      </c>
      <c r="V386" s="53">
        <f>IF(ISERROR(VLOOKUP($S$386,'TAR FIN'!$A$1:$O$113,15,0)),0,VLOOKUP($S$386,'TAR FIN'!$A$1:$O$113,15,0))</f>
        <v>0</v>
      </c>
      <c r="W386" s="53">
        <f>IF(ISERROR(VLOOKUP($T$386,'TAR FIN'!$A$1:$O$113,15,0)),0,VLOOKUP($T$386,'TAR FIN'!$A$1:$O$113,15,0))*(1-0.06)</f>
        <v>703.3925999999999</v>
      </c>
      <c r="X386" s="53">
        <f>IF(ISERROR(VLOOKUP($U$386,'TAR FIN'!$A$1:$O$113,15,0)),0,VLOOKUP($U$386,'TAR FIN'!$A$1:$O$113,15,0))*(1-0.06)</f>
        <v>416.28839999999997</v>
      </c>
      <c r="Y386" s="53"/>
      <c r="Z386" s="53">
        <f ca="1">('TUSD BE'!$AM$65+'TUSD BF'!$AM$65+'TUSD CVA'!$AM$65)*1*(1-0.03)</f>
        <v>879.71076089743769</v>
      </c>
      <c r="AA386" s="53">
        <f>('TE BE'!$AB$43+'TE BF'!$AB$43+'TE CVA'!$AB$43)*1*(1-0.03)</f>
        <v>471.84300153620904</v>
      </c>
      <c r="AB386" s="53">
        <f>(SUBSIDIO!$J$386*SUBSIDIO!$V$386)*(0.06)/(1-0.06)</f>
        <v>0</v>
      </c>
      <c r="AC386" s="53">
        <f>((SUBSIDIO!$L$386*SUBSIDIO!$W$386)+(SUBSIDIO!$N$386*SUBSIDIO!$X$386))*(0.06)/(1-0.06)</f>
        <v>1.1435040000000001</v>
      </c>
      <c r="AD386" s="53">
        <f>(SUBSIDIO!$J$386*SUBSIDIO!$Y$386)*(0.03)/(1-0.03)</f>
        <v>0</v>
      </c>
      <c r="AE386" s="53">
        <f ca="1">((SUBSIDIO!$L$386*SUBSIDIO!$Z$386)+(SUBSIDIO!$N$386*SUBSIDIO!$AA$386))*(0.03)/(1-0.03)</f>
        <v>0.66881010924551598</v>
      </c>
      <c r="AF386" s="4" t="s">
        <v>852</v>
      </c>
    </row>
    <row r="387" spans="1:32" ht="11.25" customHeight="1" x14ac:dyDescent="0.3">
      <c r="A387" s="4" t="s">
        <v>21</v>
      </c>
      <c r="B387" s="4" t="s">
        <v>37</v>
      </c>
      <c r="C387" s="4" t="s">
        <v>33</v>
      </c>
      <c r="D387" s="4" t="s">
        <v>50</v>
      </c>
      <c r="E387" s="4" t="s">
        <v>51</v>
      </c>
      <c r="F387" s="4" t="s">
        <v>25</v>
      </c>
      <c r="G387" s="4" t="s">
        <v>25</v>
      </c>
      <c r="H387" s="4" t="s">
        <v>34</v>
      </c>
      <c r="I387" s="5">
        <v>44805</v>
      </c>
      <c r="J387" s="6">
        <v>0</v>
      </c>
      <c r="K387" s="53">
        <v>0</v>
      </c>
      <c r="L387" s="6">
        <v>3.4000000000000002E-2</v>
      </c>
      <c r="M387" s="53">
        <v>3.4000000000000002E-2</v>
      </c>
      <c r="N387" s="6">
        <v>3.4000000000000002E-2</v>
      </c>
      <c r="O387" s="53">
        <v>3.4000000000000002E-2</v>
      </c>
      <c r="P387" s="6">
        <v>0</v>
      </c>
      <c r="Q387" s="4" t="s">
        <v>26</v>
      </c>
      <c r="R387" s="4">
        <v>0</v>
      </c>
      <c r="S387" s="4">
        <v>0</v>
      </c>
      <c r="T387" s="4">
        <v>83</v>
      </c>
      <c r="U387" s="4">
        <v>106</v>
      </c>
      <c r="V387" s="53">
        <f>IF(ISERROR(VLOOKUP($S$387,'TAR FIN'!$A$1:$O$113,15,0)),0,VLOOKUP($S$387,'TAR FIN'!$A$1:$O$113,15,0))</f>
        <v>0</v>
      </c>
      <c r="W387" s="53">
        <f>IF(ISERROR(VLOOKUP($T$387,'TAR FIN'!$A$1:$O$113,15,0)),0,VLOOKUP($T$387,'TAR FIN'!$A$1:$O$113,15,0))*(1-0.06)</f>
        <v>703.3925999999999</v>
      </c>
      <c r="X387" s="53">
        <f>IF(ISERROR(VLOOKUP($U$387,'TAR FIN'!$A$1:$O$113,15,0)),0,VLOOKUP($U$387,'TAR FIN'!$A$1:$O$113,15,0))*(1-0.06)</f>
        <v>416.28839999999997</v>
      </c>
      <c r="Y387" s="53"/>
      <c r="Z387" s="53">
        <f ca="1">('TUSD BE'!$AM$65+'TUSD BF'!$AM$65+'TUSD CVA'!$AM$65)*1*(1-0.03)</f>
        <v>879.71076089743769</v>
      </c>
      <c r="AA387" s="53">
        <f>('TE BE'!$AB$43+'TE BF'!$AB$43+'TE CVA'!$AB$43)*1*(1-0.03)</f>
        <v>471.84300153620904</v>
      </c>
      <c r="AB387" s="53">
        <f>(SUBSIDIO!$J$387*SUBSIDIO!$V$387)*(0.06)/(1-0.06)</f>
        <v>0</v>
      </c>
      <c r="AC387" s="53">
        <f>((SUBSIDIO!$L$387*SUBSIDIO!$W$387)+(SUBSIDIO!$N$387*SUBSIDIO!$X$387))*(0.06)/(1-0.06)</f>
        <v>2.4299459999999997</v>
      </c>
      <c r="AD387" s="53">
        <f>(SUBSIDIO!$J$387*SUBSIDIO!$Y$387)*(0.03)/(1-0.03)</f>
        <v>0</v>
      </c>
      <c r="AE387" s="53">
        <f ca="1">((SUBSIDIO!$L$387*SUBSIDIO!$Z$387)+(SUBSIDIO!$N$387*SUBSIDIO!$AA$387))*(0.03)/(1-0.03)</f>
        <v>1.4212214821467215</v>
      </c>
      <c r="AF387" s="4" t="s">
        <v>852</v>
      </c>
    </row>
    <row r="388" spans="1:32" ht="11.25" customHeight="1" x14ac:dyDescent="0.3">
      <c r="A388" s="4" t="s">
        <v>53</v>
      </c>
      <c r="B388" s="4" t="s">
        <v>37</v>
      </c>
      <c r="C388" s="4" t="s">
        <v>33</v>
      </c>
      <c r="D388" s="4" t="s">
        <v>50</v>
      </c>
      <c r="E388" s="4" t="s">
        <v>51</v>
      </c>
      <c r="F388" s="4" t="s">
        <v>25</v>
      </c>
      <c r="G388" s="4" t="s">
        <v>25</v>
      </c>
      <c r="H388" s="4" t="s">
        <v>34</v>
      </c>
      <c r="I388" s="5">
        <v>44835</v>
      </c>
      <c r="J388" s="6">
        <v>0</v>
      </c>
      <c r="K388" s="53">
        <v>0</v>
      </c>
      <c r="L388" s="6">
        <v>3.4000000000000002E-2</v>
      </c>
      <c r="M388" s="53">
        <v>3.4000000000000002E-2</v>
      </c>
      <c r="N388" s="6">
        <v>3.4000000000000002E-2</v>
      </c>
      <c r="O388" s="53">
        <v>3.4000000000000002E-2</v>
      </c>
      <c r="P388" s="6">
        <v>0</v>
      </c>
      <c r="Q388" s="4" t="s">
        <v>26</v>
      </c>
      <c r="R388" s="4">
        <v>0</v>
      </c>
      <c r="S388" s="4">
        <v>0</v>
      </c>
      <c r="T388" s="4">
        <v>83</v>
      </c>
      <c r="U388" s="4">
        <v>106</v>
      </c>
      <c r="V388" s="53">
        <f>IF(ISERROR(VLOOKUP($S$388,'TAR FIN'!$A$1:$O$113,15,0)),0,VLOOKUP($S$388,'TAR FIN'!$A$1:$O$113,15,0))</f>
        <v>0</v>
      </c>
      <c r="W388" s="53">
        <f>IF(ISERROR(VLOOKUP($T$388,'TAR FIN'!$A$1:$O$113,15,0)),0,VLOOKUP($T$388,'TAR FIN'!$A$1:$O$113,15,0))*(1-0.06)</f>
        <v>703.3925999999999</v>
      </c>
      <c r="X388" s="53">
        <f>IF(ISERROR(VLOOKUP($U$388,'TAR FIN'!$A$1:$O$113,15,0)),0,VLOOKUP($U$388,'TAR FIN'!$A$1:$O$113,15,0))*(1-0.06)</f>
        <v>416.28839999999997</v>
      </c>
      <c r="Y388" s="53"/>
      <c r="Z388" s="53">
        <f ca="1">('TUSD BE'!$AM$65+'TUSD BF'!$AM$65+'TUSD CVA'!$AM$65)*1*(1-0.03)</f>
        <v>879.71076089743769</v>
      </c>
      <c r="AA388" s="53">
        <f>('TE BE'!$AB$43+'TE BF'!$AB$43+'TE CVA'!$AB$43)*1*(1-0.03)</f>
        <v>471.84300153620904</v>
      </c>
      <c r="AB388" s="53">
        <f>(SUBSIDIO!$J$388*SUBSIDIO!$V$388)*(0.06)/(1-0.06)</f>
        <v>0</v>
      </c>
      <c r="AC388" s="53">
        <f>((SUBSIDIO!$L$388*SUBSIDIO!$W$388)+(SUBSIDIO!$N$388*SUBSIDIO!$X$388))*(0.06)/(1-0.06)</f>
        <v>2.4299459999999997</v>
      </c>
      <c r="AD388" s="53">
        <f>(SUBSIDIO!$J$388*SUBSIDIO!$Y$388)*(0.03)/(1-0.03)</f>
        <v>0</v>
      </c>
      <c r="AE388" s="53">
        <f ca="1">((SUBSIDIO!$L$388*SUBSIDIO!$Z$388)+(SUBSIDIO!$N$388*SUBSIDIO!$AA$388))*(0.03)/(1-0.03)</f>
        <v>1.4212214821467215</v>
      </c>
      <c r="AF388" s="4" t="s">
        <v>852</v>
      </c>
    </row>
    <row r="389" spans="1:32" ht="11.25" customHeight="1" x14ac:dyDescent="0.3">
      <c r="A389" s="4" t="s">
        <v>21</v>
      </c>
      <c r="B389" s="4" t="s">
        <v>37</v>
      </c>
      <c r="C389" s="4" t="s">
        <v>23</v>
      </c>
      <c r="D389" s="4" t="s">
        <v>50</v>
      </c>
      <c r="E389" s="4" t="s">
        <v>51</v>
      </c>
      <c r="F389" s="4" t="s">
        <v>25</v>
      </c>
      <c r="G389" s="4" t="s">
        <v>25</v>
      </c>
      <c r="H389" s="4" t="s">
        <v>25</v>
      </c>
      <c r="I389" s="5">
        <v>44501</v>
      </c>
      <c r="J389" s="6">
        <v>0</v>
      </c>
      <c r="K389" s="53">
        <v>0</v>
      </c>
      <c r="L389" s="6">
        <v>114.953</v>
      </c>
      <c r="M389" s="53">
        <v>114.953</v>
      </c>
      <c r="N389" s="6">
        <v>114.953</v>
      </c>
      <c r="O389" s="53">
        <v>114.953</v>
      </c>
      <c r="P389" s="6">
        <v>122</v>
      </c>
      <c r="Q389" s="4" t="s">
        <v>26</v>
      </c>
      <c r="R389" s="4">
        <v>0</v>
      </c>
      <c r="S389" s="4">
        <v>0</v>
      </c>
      <c r="T389" s="4">
        <v>63</v>
      </c>
      <c r="U389" s="4">
        <v>91</v>
      </c>
      <c r="V389" s="53">
        <f>IF(ISERROR(VLOOKUP($S$389,'TAR FIN'!$A$1:$O$113,15,0)),0,VLOOKUP($S$389,'TAR FIN'!$A$1:$O$113,15,0))</f>
        <v>0</v>
      </c>
      <c r="W389" s="53">
        <f>IF(ISERROR(VLOOKUP($T$389,'TAR FIN'!$A$1:$O$113,15,0)),0,VLOOKUP($T$389,'TAR FIN'!$A$1:$O$113,15,0))*(1-0.06)</f>
        <v>282.28199999999998</v>
      </c>
      <c r="X389" s="53">
        <f>IF(ISERROR(VLOOKUP($U$389,'TAR FIN'!$A$1:$O$113,15,0)),0,VLOOKUP($U$389,'TAR FIN'!$A$1:$O$113,15,0))*(1-0.06)</f>
        <v>274.8184</v>
      </c>
      <c r="Y389" s="53"/>
      <c r="Z389" s="53">
        <f ca="1">('TUSD BE'!$AM$68+'TUSD BF'!$AM$68+'TUSD CVA'!$AM$68)*1*(1-0.03)</f>
        <v>381.48586626245464</v>
      </c>
      <c r="AA389" s="53">
        <f>('TE BE'!$AB$46+'TE BF'!$AB$46+'TE CVA'!$AB$46)*1*(1-0.03)</f>
        <v>305.34162288285285</v>
      </c>
      <c r="AB389" s="53">
        <f>(SUBSIDIO!$J$389*SUBSIDIO!$V$389)*(0.06)/(1-0.06)</f>
        <v>0</v>
      </c>
      <c r="AC389" s="53">
        <f>((SUBSIDIO!$L$389*SUBSIDIO!$W$389)+(SUBSIDIO!$N$389*SUBSIDIO!$X$389))*(0.06)/(1-0.06)</f>
        <v>4087.6826987999998</v>
      </c>
      <c r="AD389" s="53">
        <f>(SUBSIDIO!$J$389*SUBSIDIO!$Y$389)*(0.03)/(1-0.03)</f>
        <v>0</v>
      </c>
      <c r="AE389" s="53">
        <f ca="1">((SUBSIDIO!$L$389*SUBSIDIO!$Z$389)+(SUBSIDIO!$N$389*SUBSIDIO!$AA$389))*(0.03)/(1-0.03)</f>
        <v>2441.8416606099136</v>
      </c>
      <c r="AF389" s="4" t="s">
        <v>852</v>
      </c>
    </row>
    <row r="390" spans="1:32" ht="11.25" customHeight="1" x14ac:dyDescent="0.3">
      <c r="A390" s="4" t="s">
        <v>21</v>
      </c>
      <c r="B390" s="4" t="s">
        <v>37</v>
      </c>
      <c r="C390" s="4" t="s">
        <v>23</v>
      </c>
      <c r="D390" s="4" t="s">
        <v>50</v>
      </c>
      <c r="E390" s="4" t="s">
        <v>51</v>
      </c>
      <c r="F390" s="4" t="s">
        <v>25</v>
      </c>
      <c r="G390" s="4" t="s">
        <v>25</v>
      </c>
      <c r="H390" s="4" t="s">
        <v>25</v>
      </c>
      <c r="I390" s="5">
        <v>44531</v>
      </c>
      <c r="J390" s="6">
        <v>0</v>
      </c>
      <c r="K390" s="53">
        <v>0</v>
      </c>
      <c r="L390" s="6">
        <v>122.25</v>
      </c>
      <c r="M390" s="53">
        <v>122.25</v>
      </c>
      <c r="N390" s="6">
        <v>122.25</v>
      </c>
      <c r="O390" s="53">
        <v>122.25</v>
      </c>
      <c r="P390" s="6">
        <v>120</v>
      </c>
      <c r="Q390" s="4" t="s">
        <v>26</v>
      </c>
      <c r="R390" s="4">
        <v>0</v>
      </c>
      <c r="S390" s="4">
        <v>0</v>
      </c>
      <c r="T390" s="4">
        <v>63</v>
      </c>
      <c r="U390" s="4">
        <v>91</v>
      </c>
      <c r="V390" s="53">
        <f>IF(ISERROR(VLOOKUP($S$390,'TAR FIN'!$A$1:$O$113,15,0)),0,VLOOKUP($S$390,'TAR FIN'!$A$1:$O$113,15,0))</f>
        <v>0</v>
      </c>
      <c r="W390" s="53">
        <f>IF(ISERROR(VLOOKUP($T$390,'TAR FIN'!$A$1:$O$113,15,0)),0,VLOOKUP($T$390,'TAR FIN'!$A$1:$O$113,15,0))*(1-0.06)</f>
        <v>282.28199999999998</v>
      </c>
      <c r="X390" s="53">
        <f>IF(ISERROR(VLOOKUP($U$390,'TAR FIN'!$A$1:$O$113,15,0)),0,VLOOKUP($U$390,'TAR FIN'!$A$1:$O$113,15,0))*(1-0.06)</f>
        <v>274.8184</v>
      </c>
      <c r="Y390" s="53"/>
      <c r="Z390" s="53">
        <f ca="1">('TUSD BE'!$AM$68+'TUSD BF'!$AM$68+'TUSD CVA'!$AM$68)*1*(1-0.03)</f>
        <v>381.48586626245464</v>
      </c>
      <c r="AA390" s="53">
        <f>('TE BE'!$AB$46+'TE BF'!$AB$46+'TE CVA'!$AB$46)*1*(1-0.03)</f>
        <v>305.34162288285285</v>
      </c>
      <c r="AB390" s="53">
        <f>(SUBSIDIO!$J$390*SUBSIDIO!$V$390)*(0.06)/(1-0.06)</f>
        <v>0</v>
      </c>
      <c r="AC390" s="53">
        <f>((SUBSIDIO!$L$390*SUBSIDIO!$W$390)+(SUBSIDIO!$N$390*SUBSIDIO!$X$390))*(0.06)/(1-0.06)</f>
        <v>4347.1611000000003</v>
      </c>
      <c r="AD390" s="53">
        <f>(SUBSIDIO!$J$390*SUBSIDIO!$Y$390)*(0.03)/(1-0.03)</f>
        <v>0</v>
      </c>
      <c r="AE390" s="53">
        <f ca="1">((SUBSIDIO!$L$390*SUBSIDIO!$Z$390)+(SUBSIDIO!$N$390*SUBSIDIO!$AA$390))*(0.03)/(1-0.03)</f>
        <v>2596.8451715880569</v>
      </c>
      <c r="AF390" s="4" t="s">
        <v>852</v>
      </c>
    </row>
    <row r="391" spans="1:32" ht="11.25" customHeight="1" x14ac:dyDescent="0.3">
      <c r="A391" s="4" t="s">
        <v>21</v>
      </c>
      <c r="B391" s="4" t="s">
        <v>37</v>
      </c>
      <c r="C391" s="4" t="s">
        <v>23</v>
      </c>
      <c r="D391" s="4" t="s">
        <v>50</v>
      </c>
      <c r="E391" s="4" t="s">
        <v>51</v>
      </c>
      <c r="F391" s="4" t="s">
        <v>25</v>
      </c>
      <c r="G391" s="4" t="s">
        <v>25</v>
      </c>
      <c r="H391" s="4" t="s">
        <v>25</v>
      </c>
      <c r="I391" s="5">
        <v>44562</v>
      </c>
      <c r="J391" s="6">
        <v>0</v>
      </c>
      <c r="K391" s="53">
        <v>0</v>
      </c>
      <c r="L391" s="6">
        <v>137.76900000000001</v>
      </c>
      <c r="M391" s="53">
        <v>137.76900000000001</v>
      </c>
      <c r="N391" s="6">
        <v>137.76900000000001</v>
      </c>
      <c r="O391" s="53">
        <v>137.76900000000001</v>
      </c>
      <c r="P391" s="6">
        <v>120</v>
      </c>
      <c r="Q391" s="4" t="s">
        <v>26</v>
      </c>
      <c r="R391" s="4">
        <v>0</v>
      </c>
      <c r="S391" s="4">
        <v>0</v>
      </c>
      <c r="T391" s="4">
        <v>63</v>
      </c>
      <c r="U391" s="4">
        <v>91</v>
      </c>
      <c r="V391" s="53">
        <f>IF(ISERROR(VLOOKUP($S$391,'TAR FIN'!$A$1:$O$113,15,0)),0,VLOOKUP($S$391,'TAR FIN'!$A$1:$O$113,15,0))</f>
        <v>0</v>
      </c>
      <c r="W391" s="53">
        <f>IF(ISERROR(VLOOKUP($T$391,'TAR FIN'!$A$1:$O$113,15,0)),0,VLOOKUP($T$391,'TAR FIN'!$A$1:$O$113,15,0))*(1-0.06)</f>
        <v>282.28199999999998</v>
      </c>
      <c r="X391" s="53">
        <f>IF(ISERROR(VLOOKUP($U$391,'TAR FIN'!$A$1:$O$113,15,0)),0,VLOOKUP($U$391,'TAR FIN'!$A$1:$O$113,15,0))*(1-0.06)</f>
        <v>274.8184</v>
      </c>
      <c r="Y391" s="53"/>
      <c r="Z391" s="53">
        <f ca="1">('TUSD BE'!$AM$68+'TUSD BF'!$AM$68+'TUSD CVA'!$AM$68)*1*(1-0.03)</f>
        <v>381.48586626245464</v>
      </c>
      <c r="AA391" s="53">
        <f>('TE BE'!$AB$46+'TE BF'!$AB$46+'TE CVA'!$AB$46)*1*(1-0.03)</f>
        <v>305.34162288285285</v>
      </c>
      <c r="AB391" s="53">
        <f>(SUBSIDIO!$J$391*SUBSIDIO!$V$391)*(0.06)/(1-0.06)</f>
        <v>0</v>
      </c>
      <c r="AC391" s="53">
        <f>((SUBSIDIO!$L$391*SUBSIDIO!$W$391)+(SUBSIDIO!$N$391*SUBSIDIO!$X$391))*(0.06)/(1-0.06)</f>
        <v>4899.0105324000006</v>
      </c>
      <c r="AD391" s="53">
        <f>(SUBSIDIO!$J$391*SUBSIDIO!$Y$391)*(0.03)/(1-0.03)</f>
        <v>0</v>
      </c>
      <c r="AE391" s="53">
        <f ca="1">((SUBSIDIO!$L$391*SUBSIDIO!$Z$391)+(SUBSIDIO!$N$391*SUBSIDIO!$AA$391))*(0.03)/(1-0.03)</f>
        <v>2926.5011242905111</v>
      </c>
      <c r="AF391" s="4" t="s">
        <v>852</v>
      </c>
    </row>
    <row r="392" spans="1:32" ht="11.25" customHeight="1" x14ac:dyDescent="0.3">
      <c r="A392" s="4" t="s">
        <v>21</v>
      </c>
      <c r="B392" s="4" t="s">
        <v>37</v>
      </c>
      <c r="C392" s="4" t="s">
        <v>23</v>
      </c>
      <c r="D392" s="4" t="s">
        <v>50</v>
      </c>
      <c r="E392" s="4" t="s">
        <v>51</v>
      </c>
      <c r="F392" s="4" t="s">
        <v>25</v>
      </c>
      <c r="G392" s="4" t="s">
        <v>25</v>
      </c>
      <c r="H392" s="4" t="s">
        <v>25</v>
      </c>
      <c r="I392" s="5">
        <v>44593</v>
      </c>
      <c r="J392" s="6">
        <v>0</v>
      </c>
      <c r="K392" s="53">
        <v>0</v>
      </c>
      <c r="L392" s="6">
        <v>125.75700000000001</v>
      </c>
      <c r="M392" s="53">
        <v>125.75700000000001</v>
      </c>
      <c r="N392" s="6">
        <v>125.75700000000001</v>
      </c>
      <c r="O392" s="53">
        <v>125.75700000000001</v>
      </c>
      <c r="P392" s="6">
        <v>120</v>
      </c>
      <c r="Q392" s="4" t="s">
        <v>26</v>
      </c>
      <c r="R392" s="4">
        <v>0</v>
      </c>
      <c r="S392" s="4">
        <v>0</v>
      </c>
      <c r="T392" s="4">
        <v>63</v>
      </c>
      <c r="U392" s="4">
        <v>91</v>
      </c>
      <c r="V392" s="53">
        <f>IF(ISERROR(VLOOKUP($S$392,'TAR FIN'!$A$1:$O$113,15,0)),0,VLOOKUP($S$392,'TAR FIN'!$A$1:$O$113,15,0))</f>
        <v>0</v>
      </c>
      <c r="W392" s="53">
        <f>IF(ISERROR(VLOOKUP($T$392,'TAR FIN'!$A$1:$O$113,15,0)),0,VLOOKUP($T$392,'TAR FIN'!$A$1:$O$113,15,0))*(1-0.06)</f>
        <v>282.28199999999998</v>
      </c>
      <c r="X392" s="53">
        <f>IF(ISERROR(VLOOKUP($U$392,'TAR FIN'!$A$1:$O$113,15,0)),0,VLOOKUP($U$392,'TAR FIN'!$A$1:$O$113,15,0))*(1-0.06)</f>
        <v>274.8184</v>
      </c>
      <c r="Y392" s="53"/>
      <c r="Z392" s="53">
        <f ca="1">('TUSD BE'!$AM$68+'TUSD BF'!$AM$68+'TUSD CVA'!$AM$68)*1*(1-0.03)</f>
        <v>381.48586626245464</v>
      </c>
      <c r="AA392" s="53">
        <f>('TE BE'!$AB$46+'TE BF'!$AB$46+'TE CVA'!$AB$46)*1*(1-0.03)</f>
        <v>305.34162288285285</v>
      </c>
      <c r="AB392" s="53">
        <f>(SUBSIDIO!$J$392*SUBSIDIO!$V$392)*(0.06)/(1-0.06)</f>
        <v>0</v>
      </c>
      <c r="AC392" s="53">
        <f>((SUBSIDIO!$L$392*SUBSIDIO!$W$392)+(SUBSIDIO!$N$392*SUBSIDIO!$X$392))*(0.06)/(1-0.06)</f>
        <v>4471.8686171999998</v>
      </c>
      <c r="AD392" s="53">
        <f>(SUBSIDIO!$J$392*SUBSIDIO!$Y$392)*(0.03)/(1-0.03)</f>
        <v>0</v>
      </c>
      <c r="AE392" s="53">
        <f ca="1">((SUBSIDIO!$L$392*SUBSIDIO!$Z$392)+(SUBSIDIO!$N$392*SUBSIDIO!$AA$392))*(0.03)/(1-0.03)</f>
        <v>2671.3411717251474</v>
      </c>
      <c r="AF392" s="4" t="s">
        <v>852</v>
      </c>
    </row>
    <row r="393" spans="1:32" ht="11.25" customHeight="1" x14ac:dyDescent="0.3">
      <c r="A393" s="4" t="s">
        <v>21</v>
      </c>
      <c r="B393" s="4" t="s">
        <v>37</v>
      </c>
      <c r="C393" s="4" t="s">
        <v>23</v>
      </c>
      <c r="D393" s="4" t="s">
        <v>50</v>
      </c>
      <c r="E393" s="4" t="s">
        <v>51</v>
      </c>
      <c r="F393" s="4" t="s">
        <v>25</v>
      </c>
      <c r="G393" s="4" t="s">
        <v>25</v>
      </c>
      <c r="H393" s="4" t="s">
        <v>25</v>
      </c>
      <c r="I393" s="5">
        <v>44621</v>
      </c>
      <c r="J393" s="6">
        <v>0</v>
      </c>
      <c r="K393" s="53">
        <v>0</v>
      </c>
      <c r="L393" s="6">
        <v>128.351</v>
      </c>
      <c r="M393" s="53">
        <v>128.351</v>
      </c>
      <c r="N393" s="6">
        <v>128.351</v>
      </c>
      <c r="O393" s="53">
        <v>128.351</v>
      </c>
      <c r="P393" s="6">
        <v>121</v>
      </c>
      <c r="Q393" s="4" t="s">
        <v>26</v>
      </c>
      <c r="R393" s="4">
        <v>0</v>
      </c>
      <c r="S393" s="4">
        <v>0</v>
      </c>
      <c r="T393" s="4">
        <v>63</v>
      </c>
      <c r="U393" s="4">
        <v>91</v>
      </c>
      <c r="V393" s="53">
        <f>IF(ISERROR(VLOOKUP($S$393,'TAR FIN'!$A$1:$O$113,15,0)),0,VLOOKUP($S$393,'TAR FIN'!$A$1:$O$113,15,0))</f>
        <v>0</v>
      </c>
      <c r="W393" s="53">
        <f>IF(ISERROR(VLOOKUP($T$393,'TAR FIN'!$A$1:$O$113,15,0)),0,VLOOKUP($T$393,'TAR FIN'!$A$1:$O$113,15,0))*(1-0.06)</f>
        <v>282.28199999999998</v>
      </c>
      <c r="X393" s="53">
        <f>IF(ISERROR(VLOOKUP($U$393,'TAR FIN'!$A$1:$O$113,15,0)),0,VLOOKUP($U$393,'TAR FIN'!$A$1:$O$113,15,0))*(1-0.06)</f>
        <v>274.8184</v>
      </c>
      <c r="Y393" s="53"/>
      <c r="Z393" s="53">
        <f ca="1">('TUSD BE'!$AM$68+'TUSD BF'!$AM$68+'TUSD CVA'!$AM$68)*1*(1-0.03)</f>
        <v>381.48586626245464</v>
      </c>
      <c r="AA393" s="53">
        <f>('TE BE'!$AB$46+'TE BF'!$AB$46+'TE CVA'!$AB$46)*1*(1-0.03)</f>
        <v>305.34162288285285</v>
      </c>
      <c r="AB393" s="53">
        <f>(SUBSIDIO!$J$393*SUBSIDIO!$V$393)*(0.06)/(1-0.06)</f>
        <v>0</v>
      </c>
      <c r="AC393" s="53">
        <f>((SUBSIDIO!$L$393*SUBSIDIO!$W$393)+(SUBSIDIO!$N$393*SUBSIDIO!$X$393))*(0.06)/(1-0.06)</f>
        <v>4564.1102196000002</v>
      </c>
      <c r="AD393" s="53">
        <f>(SUBSIDIO!$J$393*SUBSIDIO!$Y$393)*(0.03)/(1-0.03)</f>
        <v>0</v>
      </c>
      <c r="AE393" s="53">
        <f ca="1">((SUBSIDIO!$L$393*SUBSIDIO!$Z$393)+(SUBSIDIO!$N$393*SUBSIDIO!$AA$393))*(0.03)/(1-0.03)</f>
        <v>2726.4431461635886</v>
      </c>
      <c r="AF393" s="4" t="s">
        <v>852</v>
      </c>
    </row>
    <row r="394" spans="1:32" ht="11.25" customHeight="1" x14ac:dyDescent="0.3">
      <c r="A394" s="4" t="s">
        <v>21</v>
      </c>
      <c r="B394" s="4" t="s">
        <v>37</v>
      </c>
      <c r="C394" s="4" t="s">
        <v>23</v>
      </c>
      <c r="D394" s="4" t="s">
        <v>50</v>
      </c>
      <c r="E394" s="4" t="s">
        <v>51</v>
      </c>
      <c r="F394" s="4" t="s">
        <v>25</v>
      </c>
      <c r="G394" s="4" t="s">
        <v>25</v>
      </c>
      <c r="H394" s="4" t="s">
        <v>25</v>
      </c>
      <c r="I394" s="5">
        <v>44652</v>
      </c>
      <c r="J394" s="6">
        <v>0</v>
      </c>
      <c r="K394" s="53">
        <v>0</v>
      </c>
      <c r="L394" s="6">
        <v>109.29300000000001</v>
      </c>
      <c r="M394" s="53">
        <v>109.29300000000001</v>
      </c>
      <c r="N394" s="6">
        <v>109.29300000000001</v>
      </c>
      <c r="O394" s="53">
        <v>109.29300000000001</v>
      </c>
      <c r="P394" s="6">
        <v>122</v>
      </c>
      <c r="Q394" s="4" t="s">
        <v>26</v>
      </c>
      <c r="R394" s="4">
        <v>0</v>
      </c>
      <c r="S394" s="4">
        <v>0</v>
      </c>
      <c r="T394" s="4">
        <v>63</v>
      </c>
      <c r="U394" s="4">
        <v>91</v>
      </c>
      <c r="V394" s="53">
        <f>IF(ISERROR(VLOOKUP($S$394,'TAR FIN'!$A$1:$O$113,15,0)),0,VLOOKUP($S$394,'TAR FIN'!$A$1:$O$113,15,0))</f>
        <v>0</v>
      </c>
      <c r="W394" s="53">
        <f>IF(ISERROR(VLOOKUP($T$394,'TAR FIN'!$A$1:$O$113,15,0)),0,VLOOKUP($T$394,'TAR FIN'!$A$1:$O$113,15,0))*(1-0.06)</f>
        <v>282.28199999999998</v>
      </c>
      <c r="X394" s="53">
        <f>IF(ISERROR(VLOOKUP($U$394,'TAR FIN'!$A$1:$O$113,15,0)),0,VLOOKUP($U$394,'TAR FIN'!$A$1:$O$113,15,0))*(1-0.06)</f>
        <v>274.8184</v>
      </c>
      <c r="Y394" s="53"/>
      <c r="Z394" s="53">
        <f ca="1">('TUSD BE'!$AM$68+'TUSD BF'!$AM$68+'TUSD CVA'!$AM$68)*1*(1-0.03)</f>
        <v>381.48586626245464</v>
      </c>
      <c r="AA394" s="53">
        <f>('TE BE'!$AB$46+'TE BF'!$AB$46+'TE CVA'!$AB$46)*1*(1-0.03)</f>
        <v>305.34162288285285</v>
      </c>
      <c r="AB394" s="53">
        <f>(SUBSIDIO!$J$394*SUBSIDIO!$V$394)*(0.06)/(1-0.06)</f>
        <v>0</v>
      </c>
      <c r="AC394" s="53">
        <f>((SUBSIDIO!$L$394*SUBSIDIO!$W$394)+(SUBSIDIO!$N$394*SUBSIDIO!$X$394))*(0.06)/(1-0.06)</f>
        <v>3886.4153627999999</v>
      </c>
      <c r="AD394" s="53">
        <f>(SUBSIDIO!$J$394*SUBSIDIO!$Y$394)*(0.03)/(1-0.03)</f>
        <v>0</v>
      </c>
      <c r="AE394" s="53">
        <f ca="1">((SUBSIDIO!$L$394*SUBSIDIO!$Z$394)+(SUBSIDIO!$N$394*SUBSIDIO!$AA$394))*(0.03)/(1-0.03)</f>
        <v>2321.6114465306632</v>
      </c>
      <c r="AF394" s="4" t="s">
        <v>852</v>
      </c>
    </row>
    <row r="395" spans="1:32" ht="11.25" customHeight="1" x14ac:dyDescent="0.3">
      <c r="A395" s="4" t="s">
        <v>21</v>
      </c>
      <c r="B395" s="4" t="s">
        <v>37</v>
      </c>
      <c r="C395" s="4" t="s">
        <v>23</v>
      </c>
      <c r="D395" s="4" t="s">
        <v>50</v>
      </c>
      <c r="E395" s="4" t="s">
        <v>51</v>
      </c>
      <c r="F395" s="4" t="s">
        <v>25</v>
      </c>
      <c r="G395" s="4" t="s">
        <v>25</v>
      </c>
      <c r="H395" s="4" t="s">
        <v>25</v>
      </c>
      <c r="I395" s="5">
        <v>44682</v>
      </c>
      <c r="J395" s="6">
        <v>0</v>
      </c>
      <c r="K395" s="53">
        <v>0</v>
      </c>
      <c r="L395" s="6">
        <v>105.45</v>
      </c>
      <c r="M395" s="53">
        <v>105.45</v>
      </c>
      <c r="N395" s="6">
        <v>105.45</v>
      </c>
      <c r="O395" s="53">
        <v>105.45</v>
      </c>
      <c r="P395" s="6">
        <v>121</v>
      </c>
      <c r="Q395" s="4" t="s">
        <v>26</v>
      </c>
      <c r="R395" s="4">
        <v>0</v>
      </c>
      <c r="S395" s="4">
        <v>0</v>
      </c>
      <c r="T395" s="4">
        <v>63</v>
      </c>
      <c r="U395" s="4">
        <v>91</v>
      </c>
      <c r="V395" s="53">
        <f>IF(ISERROR(VLOOKUP($S$395,'TAR FIN'!$A$1:$O$113,15,0)),0,VLOOKUP($S$395,'TAR FIN'!$A$1:$O$113,15,0))</f>
        <v>0</v>
      </c>
      <c r="W395" s="53">
        <f>IF(ISERROR(VLOOKUP($T$395,'TAR FIN'!$A$1:$O$113,15,0)),0,VLOOKUP($T$395,'TAR FIN'!$A$1:$O$113,15,0))*(1-0.06)</f>
        <v>282.28199999999998</v>
      </c>
      <c r="X395" s="53">
        <f>IF(ISERROR(VLOOKUP($U$395,'TAR FIN'!$A$1:$O$113,15,0)),0,VLOOKUP($U$395,'TAR FIN'!$A$1:$O$113,15,0))*(1-0.06)</f>
        <v>274.8184</v>
      </c>
      <c r="Y395" s="53"/>
      <c r="Z395" s="53">
        <f ca="1">('TUSD BE'!$AM$68+'TUSD BF'!$AM$68+'TUSD CVA'!$AM$68)*1*(1-0.03)</f>
        <v>381.48586626245464</v>
      </c>
      <c r="AA395" s="53">
        <f>('TE BE'!$AB$46+'TE BF'!$AB$46+'TE CVA'!$AB$46)*1*(1-0.03)</f>
        <v>305.34162288285285</v>
      </c>
      <c r="AB395" s="53">
        <f>(SUBSIDIO!$J$395*SUBSIDIO!$V$395)*(0.06)/(1-0.06)</f>
        <v>0</v>
      </c>
      <c r="AC395" s="53">
        <f>((SUBSIDIO!$L$395*SUBSIDIO!$W$395)+(SUBSIDIO!$N$395*SUBSIDIO!$X$395))*(0.06)/(1-0.06)</f>
        <v>3749.7598199999998</v>
      </c>
      <c r="AD395" s="53">
        <f>(SUBSIDIO!$J$395*SUBSIDIO!$Y$395)*(0.03)/(1-0.03)</f>
        <v>0</v>
      </c>
      <c r="AE395" s="53">
        <f ca="1">((SUBSIDIO!$L$395*SUBSIDIO!$Z$395)+(SUBSIDIO!$N$395*SUBSIDIO!$AA$395))*(0.03)/(1-0.03)</f>
        <v>2239.9781050630722</v>
      </c>
      <c r="AF395" s="4" t="s">
        <v>852</v>
      </c>
    </row>
    <row r="396" spans="1:32" ht="11.25" customHeight="1" x14ac:dyDescent="0.3">
      <c r="A396" s="4" t="s">
        <v>21</v>
      </c>
      <c r="B396" s="4" t="s">
        <v>37</v>
      </c>
      <c r="C396" s="4" t="s">
        <v>23</v>
      </c>
      <c r="D396" s="4" t="s">
        <v>50</v>
      </c>
      <c r="E396" s="4" t="s">
        <v>51</v>
      </c>
      <c r="F396" s="4" t="s">
        <v>25</v>
      </c>
      <c r="G396" s="4" t="s">
        <v>25</v>
      </c>
      <c r="H396" s="4" t="s">
        <v>25</v>
      </c>
      <c r="I396" s="5">
        <v>44713</v>
      </c>
      <c r="J396" s="6">
        <v>0</v>
      </c>
      <c r="K396" s="53">
        <v>0</v>
      </c>
      <c r="L396" s="6">
        <v>112.964</v>
      </c>
      <c r="M396" s="53">
        <v>112.964</v>
      </c>
      <c r="N396" s="6">
        <v>112.964</v>
      </c>
      <c r="O396" s="53">
        <v>112.964</v>
      </c>
      <c r="P396" s="6">
        <v>122</v>
      </c>
      <c r="Q396" s="4" t="s">
        <v>26</v>
      </c>
      <c r="R396" s="4">
        <v>0</v>
      </c>
      <c r="S396" s="4">
        <v>0</v>
      </c>
      <c r="T396" s="4">
        <v>63</v>
      </c>
      <c r="U396" s="4">
        <v>91</v>
      </c>
      <c r="V396" s="53">
        <f>IF(ISERROR(VLOOKUP($S$396,'TAR FIN'!$A$1:$O$113,15,0)),0,VLOOKUP($S$396,'TAR FIN'!$A$1:$O$113,15,0))</f>
        <v>0</v>
      </c>
      <c r="W396" s="53">
        <f>IF(ISERROR(VLOOKUP($T$396,'TAR FIN'!$A$1:$O$113,15,0)),0,VLOOKUP($T$396,'TAR FIN'!$A$1:$O$113,15,0))*(1-0.06)</f>
        <v>282.28199999999998</v>
      </c>
      <c r="X396" s="53">
        <f>IF(ISERROR(VLOOKUP($U$396,'TAR FIN'!$A$1:$O$113,15,0)),0,VLOOKUP($U$396,'TAR FIN'!$A$1:$O$113,15,0))*(1-0.06)</f>
        <v>274.8184</v>
      </c>
      <c r="Y396" s="53"/>
      <c r="Z396" s="53">
        <f ca="1">('TUSD BE'!$AM$68+'TUSD BF'!$AM$68+'TUSD CVA'!$AM$68)*1*(1-0.03)</f>
        <v>381.48586626245464</v>
      </c>
      <c r="AA396" s="53">
        <f>('TE BE'!$AB$46+'TE BF'!$AB$46+'TE CVA'!$AB$46)*1*(1-0.03)</f>
        <v>305.34162288285285</v>
      </c>
      <c r="AB396" s="53">
        <f>(SUBSIDIO!$J$396*SUBSIDIO!$V$396)*(0.06)/(1-0.06)</f>
        <v>0</v>
      </c>
      <c r="AC396" s="53">
        <f>((SUBSIDIO!$L$396*SUBSIDIO!$W$396)+(SUBSIDIO!$N$396*SUBSIDIO!$X$396))*(0.06)/(1-0.06)</f>
        <v>4016.9546543999995</v>
      </c>
      <c r="AD396" s="53">
        <f>(SUBSIDIO!$J$396*SUBSIDIO!$Y$396)*(0.03)/(1-0.03)</f>
        <v>0</v>
      </c>
      <c r="AE396" s="53">
        <f ca="1">((SUBSIDIO!$L$396*SUBSIDIO!$Z$396)+(SUBSIDIO!$N$396*SUBSIDIO!$AA$396))*(0.03)/(1-0.03)</f>
        <v>2399.5911489838309</v>
      </c>
      <c r="AF396" s="4" t="s">
        <v>852</v>
      </c>
    </row>
    <row r="397" spans="1:32" ht="11.25" customHeight="1" x14ac:dyDescent="0.3">
      <c r="A397" s="4" t="s">
        <v>21</v>
      </c>
      <c r="B397" s="4" t="s">
        <v>37</v>
      </c>
      <c r="C397" s="4" t="s">
        <v>23</v>
      </c>
      <c r="D397" s="4" t="s">
        <v>50</v>
      </c>
      <c r="E397" s="4" t="s">
        <v>51</v>
      </c>
      <c r="F397" s="4" t="s">
        <v>25</v>
      </c>
      <c r="G397" s="4" t="s">
        <v>25</v>
      </c>
      <c r="H397" s="4" t="s">
        <v>25</v>
      </c>
      <c r="I397" s="5">
        <v>44743</v>
      </c>
      <c r="J397" s="6">
        <v>0</v>
      </c>
      <c r="K397" s="53">
        <v>0</v>
      </c>
      <c r="L397" s="6">
        <v>130.761</v>
      </c>
      <c r="M397" s="53">
        <v>130.761</v>
      </c>
      <c r="N397" s="6">
        <v>130.761</v>
      </c>
      <c r="O397" s="53">
        <v>130.761</v>
      </c>
      <c r="P397" s="6">
        <v>122</v>
      </c>
      <c r="Q397" s="4" t="s">
        <v>26</v>
      </c>
      <c r="R397" s="4">
        <v>0</v>
      </c>
      <c r="S397" s="4">
        <v>0</v>
      </c>
      <c r="T397" s="4">
        <v>63</v>
      </c>
      <c r="U397" s="4">
        <v>91</v>
      </c>
      <c r="V397" s="53">
        <f>IF(ISERROR(VLOOKUP($S$397,'TAR FIN'!$A$1:$O$113,15,0)),0,VLOOKUP($S$397,'TAR FIN'!$A$1:$O$113,15,0))</f>
        <v>0</v>
      </c>
      <c r="W397" s="53">
        <f>IF(ISERROR(VLOOKUP($T$397,'TAR FIN'!$A$1:$O$113,15,0)),0,VLOOKUP($T$397,'TAR FIN'!$A$1:$O$113,15,0))*(1-0.06)</f>
        <v>282.28199999999998</v>
      </c>
      <c r="X397" s="53">
        <f>IF(ISERROR(VLOOKUP($U$397,'TAR FIN'!$A$1:$O$113,15,0)),0,VLOOKUP($U$397,'TAR FIN'!$A$1:$O$113,15,0))*(1-0.06)</f>
        <v>274.8184</v>
      </c>
      <c r="Y397" s="53"/>
      <c r="Z397" s="53">
        <f ca="1">('TUSD BE'!$AM$68+'TUSD BF'!$AM$68+'TUSD CVA'!$AM$68)*1*(1-0.03)</f>
        <v>381.48586626245464</v>
      </c>
      <c r="AA397" s="53">
        <f>('TE BE'!$AB$46+'TE BF'!$AB$46+'TE CVA'!$AB$46)*1*(1-0.03)</f>
        <v>305.34162288285285</v>
      </c>
      <c r="AB397" s="53">
        <f>(SUBSIDIO!$J$397*SUBSIDIO!$V$397)*(0.06)/(1-0.06)</f>
        <v>0</v>
      </c>
      <c r="AC397" s="53">
        <f>((SUBSIDIO!$L$397*SUBSIDIO!$W$397)+(SUBSIDIO!$N$397*SUBSIDIO!$X$397))*(0.06)/(1-0.06)</f>
        <v>4649.8088556000002</v>
      </c>
      <c r="AD397" s="53">
        <f>(SUBSIDIO!$J$397*SUBSIDIO!$Y$397)*(0.03)/(1-0.03)</f>
        <v>0</v>
      </c>
      <c r="AE397" s="53">
        <f ca="1">((SUBSIDIO!$L$397*SUBSIDIO!$Z$397)+(SUBSIDIO!$N$397*SUBSIDIO!$AA$397))*(0.03)/(1-0.03)</f>
        <v>2777.6365765400892</v>
      </c>
      <c r="AF397" s="4" t="s">
        <v>852</v>
      </c>
    </row>
    <row r="398" spans="1:32" ht="11.25" customHeight="1" x14ac:dyDescent="0.3">
      <c r="A398" s="4" t="s">
        <v>21</v>
      </c>
      <c r="B398" s="4" t="s">
        <v>37</v>
      </c>
      <c r="C398" s="4" t="s">
        <v>23</v>
      </c>
      <c r="D398" s="4" t="s">
        <v>50</v>
      </c>
      <c r="E398" s="4" t="s">
        <v>51</v>
      </c>
      <c r="F398" s="4" t="s">
        <v>25</v>
      </c>
      <c r="G398" s="4" t="s">
        <v>25</v>
      </c>
      <c r="H398" s="4" t="s">
        <v>25</v>
      </c>
      <c r="I398" s="5">
        <v>44774</v>
      </c>
      <c r="J398" s="6">
        <v>0</v>
      </c>
      <c r="K398" s="53">
        <v>0</v>
      </c>
      <c r="L398" s="6">
        <v>112.88500000000001</v>
      </c>
      <c r="M398" s="53">
        <v>112.88500000000001</v>
      </c>
      <c r="N398" s="6">
        <v>112.88500000000001</v>
      </c>
      <c r="O398" s="53">
        <v>112.88500000000001</v>
      </c>
      <c r="P398" s="6">
        <v>122</v>
      </c>
      <c r="Q398" s="4" t="s">
        <v>26</v>
      </c>
      <c r="R398" s="4">
        <v>0</v>
      </c>
      <c r="S398" s="4">
        <v>0</v>
      </c>
      <c r="T398" s="4">
        <v>63</v>
      </c>
      <c r="U398" s="4">
        <v>91</v>
      </c>
      <c r="V398" s="53">
        <f>IF(ISERROR(VLOOKUP($S$398,'TAR FIN'!$A$1:$O$113,15,0)),0,VLOOKUP($S$398,'TAR FIN'!$A$1:$O$113,15,0))</f>
        <v>0</v>
      </c>
      <c r="W398" s="53">
        <f>IF(ISERROR(VLOOKUP($T$398,'TAR FIN'!$A$1:$O$113,15,0)),0,VLOOKUP($T$398,'TAR FIN'!$A$1:$O$113,15,0))*(1-0.06)</f>
        <v>282.28199999999998</v>
      </c>
      <c r="X398" s="53">
        <f>IF(ISERROR(VLOOKUP($U$398,'TAR FIN'!$A$1:$O$113,15,0)),0,VLOOKUP($U$398,'TAR FIN'!$A$1:$O$113,15,0))*(1-0.06)</f>
        <v>274.8184</v>
      </c>
      <c r="Y398" s="53"/>
      <c r="Z398" s="53">
        <f ca="1">('TUSD BE'!$AM$68+'TUSD BF'!$AM$68+'TUSD CVA'!$AM$68)*1*(1-0.03)</f>
        <v>381.48586626245464</v>
      </c>
      <c r="AA398" s="53">
        <f>('TE BE'!$AB$46+'TE BF'!$AB$46+'TE CVA'!$AB$46)*1*(1-0.03)</f>
        <v>305.34162288285285</v>
      </c>
      <c r="AB398" s="53">
        <f>(SUBSIDIO!$J$398*SUBSIDIO!$V$398)*(0.06)/(1-0.06)</f>
        <v>0</v>
      </c>
      <c r="AC398" s="53">
        <f>((SUBSIDIO!$L$398*SUBSIDIO!$W$398)+(SUBSIDIO!$N$398*SUBSIDIO!$X$398))*(0.06)/(1-0.06)</f>
        <v>4014.145446</v>
      </c>
      <c r="AD398" s="53">
        <f>(SUBSIDIO!$J$398*SUBSIDIO!$Y$398)*(0.03)/(1-0.03)</f>
        <v>0</v>
      </c>
      <c r="AE398" s="53">
        <f ca="1">((SUBSIDIO!$L$398*SUBSIDIO!$Z$398)+(SUBSIDIO!$N$398*SUBSIDIO!$AA$398))*(0.03)/(1-0.03)</f>
        <v>2397.9130240876707</v>
      </c>
      <c r="AF398" s="4" t="s">
        <v>852</v>
      </c>
    </row>
    <row r="399" spans="1:32" ht="11.25" customHeight="1" x14ac:dyDescent="0.3">
      <c r="A399" s="4" t="s">
        <v>21</v>
      </c>
      <c r="B399" s="4" t="s">
        <v>37</v>
      </c>
      <c r="C399" s="4" t="s">
        <v>23</v>
      </c>
      <c r="D399" s="4" t="s">
        <v>50</v>
      </c>
      <c r="E399" s="4" t="s">
        <v>51</v>
      </c>
      <c r="F399" s="4" t="s">
        <v>25</v>
      </c>
      <c r="G399" s="4" t="s">
        <v>25</v>
      </c>
      <c r="H399" s="4" t="s">
        <v>25</v>
      </c>
      <c r="I399" s="5">
        <v>44805</v>
      </c>
      <c r="J399" s="6">
        <v>0</v>
      </c>
      <c r="K399" s="53">
        <v>0</v>
      </c>
      <c r="L399" s="6">
        <v>129.29</v>
      </c>
      <c r="M399" s="53">
        <v>129.29</v>
      </c>
      <c r="N399" s="6">
        <v>129.29</v>
      </c>
      <c r="O399" s="53">
        <v>129.29</v>
      </c>
      <c r="P399" s="6">
        <v>122</v>
      </c>
      <c r="Q399" s="4" t="s">
        <v>26</v>
      </c>
      <c r="R399" s="4">
        <v>0</v>
      </c>
      <c r="S399" s="4">
        <v>0</v>
      </c>
      <c r="T399" s="4">
        <v>63</v>
      </c>
      <c r="U399" s="4">
        <v>91</v>
      </c>
      <c r="V399" s="53">
        <f>IF(ISERROR(VLOOKUP($S$399,'TAR FIN'!$A$1:$O$113,15,0)),0,VLOOKUP($S$399,'TAR FIN'!$A$1:$O$113,15,0))</f>
        <v>0</v>
      </c>
      <c r="W399" s="53">
        <f>IF(ISERROR(VLOOKUP($T$399,'TAR FIN'!$A$1:$O$113,15,0)),0,VLOOKUP($T$399,'TAR FIN'!$A$1:$O$113,15,0))*(1-0.06)</f>
        <v>282.28199999999998</v>
      </c>
      <c r="X399" s="53">
        <f>IF(ISERROR(VLOOKUP($U$399,'TAR FIN'!$A$1:$O$113,15,0)),0,VLOOKUP($U$399,'TAR FIN'!$A$1:$O$113,15,0))*(1-0.06)</f>
        <v>274.8184</v>
      </c>
      <c r="Y399" s="53"/>
      <c r="Z399" s="53">
        <f ca="1">('TUSD BE'!$AM$68+'TUSD BF'!$AM$68+'TUSD CVA'!$AM$68)*1*(1-0.03)</f>
        <v>381.48586626245464</v>
      </c>
      <c r="AA399" s="53">
        <f>('TE BE'!$AB$46+'TE BF'!$AB$46+'TE CVA'!$AB$46)*1*(1-0.03)</f>
        <v>305.34162288285285</v>
      </c>
      <c r="AB399" s="53">
        <f>(SUBSIDIO!$J$399*SUBSIDIO!$V$399)*(0.06)/(1-0.06)</f>
        <v>0</v>
      </c>
      <c r="AC399" s="53">
        <f>((SUBSIDIO!$L$399*SUBSIDIO!$W$399)+(SUBSIDIO!$N$399*SUBSIDIO!$X$399))*(0.06)/(1-0.06)</f>
        <v>4597.5006839999996</v>
      </c>
      <c r="AD399" s="53">
        <f>(SUBSIDIO!$J$399*SUBSIDIO!$Y$399)*(0.03)/(1-0.03)</f>
        <v>0</v>
      </c>
      <c r="AE399" s="53">
        <f ca="1">((SUBSIDIO!$L$399*SUBSIDIO!$Z$399)+(SUBSIDIO!$N$399*SUBSIDIO!$AA$399))*(0.03)/(1-0.03)</f>
        <v>2746.3894661318595</v>
      </c>
      <c r="AF399" s="4" t="s">
        <v>852</v>
      </c>
    </row>
    <row r="400" spans="1:32" ht="11.25" customHeight="1" x14ac:dyDescent="0.3">
      <c r="A400" s="4" t="s">
        <v>53</v>
      </c>
      <c r="B400" s="4" t="s">
        <v>37</v>
      </c>
      <c r="C400" s="4" t="s">
        <v>23</v>
      </c>
      <c r="D400" s="4" t="s">
        <v>50</v>
      </c>
      <c r="E400" s="4" t="s">
        <v>51</v>
      </c>
      <c r="F400" s="4" t="s">
        <v>25</v>
      </c>
      <c r="G400" s="4" t="s">
        <v>25</v>
      </c>
      <c r="H400" s="4" t="s">
        <v>25</v>
      </c>
      <c r="I400" s="5">
        <v>44835</v>
      </c>
      <c r="J400" s="6">
        <v>0</v>
      </c>
      <c r="K400" s="53">
        <v>0</v>
      </c>
      <c r="L400" s="6">
        <v>129.29</v>
      </c>
      <c r="M400" s="53">
        <v>129.29</v>
      </c>
      <c r="N400" s="6">
        <v>129.29</v>
      </c>
      <c r="O400" s="53">
        <v>129.29</v>
      </c>
      <c r="P400" s="6">
        <v>122</v>
      </c>
      <c r="Q400" s="4" t="s">
        <v>26</v>
      </c>
      <c r="R400" s="4">
        <v>0</v>
      </c>
      <c r="S400" s="4">
        <v>0</v>
      </c>
      <c r="T400" s="4">
        <v>63</v>
      </c>
      <c r="U400" s="4">
        <v>91</v>
      </c>
      <c r="V400" s="53">
        <f>IF(ISERROR(VLOOKUP($S$400,'TAR FIN'!$A$1:$O$113,15,0)),0,VLOOKUP($S$400,'TAR FIN'!$A$1:$O$113,15,0))</f>
        <v>0</v>
      </c>
      <c r="W400" s="53">
        <f>IF(ISERROR(VLOOKUP($T$400,'TAR FIN'!$A$1:$O$113,15,0)),0,VLOOKUP($T$400,'TAR FIN'!$A$1:$O$113,15,0))*(1-0.06)</f>
        <v>282.28199999999998</v>
      </c>
      <c r="X400" s="53">
        <f>IF(ISERROR(VLOOKUP($U$400,'TAR FIN'!$A$1:$O$113,15,0)),0,VLOOKUP($U$400,'TAR FIN'!$A$1:$O$113,15,0))*(1-0.06)</f>
        <v>274.8184</v>
      </c>
      <c r="Y400" s="53"/>
      <c r="Z400" s="53">
        <f ca="1">('TUSD BE'!$AM$68+'TUSD BF'!$AM$68+'TUSD CVA'!$AM$68)*1*(1-0.03)</f>
        <v>381.48586626245464</v>
      </c>
      <c r="AA400" s="53">
        <f>('TE BE'!$AB$46+'TE BF'!$AB$46+'TE CVA'!$AB$46)*1*(1-0.03)</f>
        <v>305.34162288285285</v>
      </c>
      <c r="AB400" s="53">
        <f>(SUBSIDIO!$J$400*SUBSIDIO!$V$400)*(0.06)/(1-0.06)</f>
        <v>0</v>
      </c>
      <c r="AC400" s="53">
        <f>((SUBSIDIO!$L$400*SUBSIDIO!$W$400)+(SUBSIDIO!$N$400*SUBSIDIO!$X$400))*(0.06)/(1-0.06)</f>
        <v>4597.5006839999996</v>
      </c>
      <c r="AD400" s="53">
        <f>(SUBSIDIO!$J$400*SUBSIDIO!$Y$400)*(0.03)/(1-0.03)</f>
        <v>0</v>
      </c>
      <c r="AE400" s="53">
        <f ca="1">((SUBSIDIO!$L$400*SUBSIDIO!$Z$400)+(SUBSIDIO!$N$400*SUBSIDIO!$AA$400))*(0.03)/(1-0.03)</f>
        <v>2746.3894661318595</v>
      </c>
      <c r="AF400" s="4" t="s">
        <v>852</v>
      </c>
    </row>
    <row r="401" spans="22:31" ht="11.25" customHeight="1" x14ac:dyDescent="0.3">
      <c r="V401" s="6"/>
      <c r="W401" s="6"/>
      <c r="X401" s="6"/>
      <c r="Y401" s="6"/>
      <c r="Z401" s="6"/>
      <c r="AA401" s="6"/>
      <c r="AB401" s="6"/>
      <c r="AC401" s="6"/>
      <c r="AD401" s="6"/>
      <c r="AE401" s="6"/>
    </row>
    <row r="402" spans="22:31" ht="11.25" customHeight="1" x14ac:dyDescent="0.3">
      <c r="V402" s="6"/>
      <c r="W402" s="6"/>
      <c r="X402" s="6"/>
      <c r="Y402" s="6"/>
      <c r="Z402" s="6"/>
      <c r="AA402" s="6"/>
      <c r="AB402" s="6"/>
      <c r="AC402" s="6"/>
      <c r="AD402" s="6"/>
      <c r="AE402" s="6"/>
    </row>
    <row r="403" spans="22:31" ht="11.25" customHeight="1" x14ac:dyDescent="0.3">
      <c r="V403" s="6"/>
      <c r="W403" s="6"/>
      <c r="X403" s="6"/>
      <c r="Y403" s="6"/>
      <c r="Z403" s="6"/>
      <c r="AA403" s="6"/>
      <c r="AB403" s="6"/>
      <c r="AC403" s="6"/>
      <c r="AD403" s="6"/>
      <c r="AE403" s="6"/>
    </row>
    <row r="404" spans="22:31" ht="11.25" customHeight="1" x14ac:dyDescent="0.3">
      <c r="V404" s="6"/>
      <c r="W404" s="6"/>
      <c r="X404" s="6"/>
      <c r="Y404" s="6"/>
      <c r="Z404" s="6"/>
      <c r="AA404" s="6"/>
      <c r="AB404" s="6"/>
      <c r="AC404" s="6"/>
      <c r="AD404" s="6"/>
      <c r="AE404" s="6"/>
    </row>
    <row r="405" spans="22:31" ht="11.25" customHeight="1" x14ac:dyDescent="0.3">
      <c r="V405" s="6"/>
      <c r="W405" s="6"/>
      <c r="X405" s="6"/>
      <c r="Y405" s="6"/>
      <c r="Z405" s="6"/>
      <c r="AA405" s="6"/>
      <c r="AB405" s="6"/>
      <c r="AC405" s="6"/>
      <c r="AD405" s="6"/>
      <c r="AE405" s="6"/>
    </row>
    <row r="406" spans="22:31" ht="11.25" customHeight="1" x14ac:dyDescent="0.3">
      <c r="V406" s="6"/>
      <c r="W406" s="6"/>
      <c r="X406" s="6"/>
      <c r="Y406" s="6"/>
      <c r="Z406" s="6"/>
      <c r="AA406" s="6"/>
      <c r="AB406" s="6"/>
      <c r="AC406" s="6"/>
      <c r="AD406" s="6"/>
      <c r="AE406" s="6"/>
    </row>
    <row r="407" spans="22:31" ht="11.25" customHeight="1" x14ac:dyDescent="0.3">
      <c r="V407" s="6"/>
      <c r="W407" s="6"/>
      <c r="X407" s="6"/>
      <c r="Y407" s="6"/>
      <c r="Z407" s="6"/>
      <c r="AA407" s="6"/>
      <c r="AB407" s="6"/>
      <c r="AC407" s="6"/>
      <c r="AD407" s="6"/>
      <c r="AE407" s="6"/>
    </row>
    <row r="408" spans="22:31" ht="11.25" customHeight="1" x14ac:dyDescent="0.3">
      <c r="V408" s="6"/>
      <c r="W408" s="6"/>
      <c r="X408" s="6"/>
      <c r="Y408" s="6"/>
      <c r="Z408" s="6"/>
      <c r="AA408" s="6"/>
      <c r="AB408" s="6"/>
      <c r="AC408" s="6"/>
      <c r="AD408" s="6"/>
      <c r="AE408" s="6"/>
    </row>
    <row r="409" spans="22:31" ht="11.25" customHeight="1" x14ac:dyDescent="0.3">
      <c r="V409" s="6"/>
      <c r="W409" s="6"/>
      <c r="X409" s="6"/>
      <c r="Y409" s="6"/>
      <c r="Z409" s="6"/>
      <c r="AA409" s="6"/>
      <c r="AB409" s="6"/>
      <c r="AC409" s="6"/>
      <c r="AD409" s="6"/>
      <c r="AE409" s="6"/>
    </row>
    <row r="410" spans="22:31" ht="11.25" customHeight="1" x14ac:dyDescent="0.3">
      <c r="V410" s="6"/>
      <c r="W410" s="6"/>
      <c r="X410" s="6"/>
      <c r="Y410" s="6"/>
      <c r="Z410" s="6"/>
      <c r="AA410" s="6"/>
      <c r="AB410" s="6"/>
      <c r="AC410" s="6"/>
      <c r="AD410" s="6"/>
      <c r="AE410" s="6"/>
    </row>
    <row r="411" spans="22:31" ht="11.25" customHeight="1" x14ac:dyDescent="0.3">
      <c r="V411" s="6"/>
      <c r="W411" s="6"/>
      <c r="X411" s="6"/>
      <c r="Y411" s="6"/>
      <c r="Z411" s="6"/>
      <c r="AA411" s="6"/>
      <c r="AB411" s="6"/>
      <c r="AC411" s="6"/>
      <c r="AD411" s="6"/>
      <c r="AE411" s="6"/>
    </row>
    <row r="412" spans="22:31" ht="11.25" customHeight="1" x14ac:dyDescent="0.3">
      <c r="V412" s="6"/>
      <c r="W412" s="6"/>
      <c r="X412" s="6"/>
      <c r="Y412" s="6"/>
      <c r="Z412" s="6"/>
      <c r="AA412" s="6"/>
      <c r="AB412" s="6"/>
      <c r="AC412" s="6"/>
      <c r="AD412" s="6"/>
      <c r="AE412" s="6"/>
    </row>
    <row r="413" spans="22:31" ht="11.25" customHeight="1" x14ac:dyDescent="0.3">
      <c r="V413" s="6"/>
      <c r="W413" s="6"/>
      <c r="X413" s="6"/>
      <c r="Y413" s="6"/>
      <c r="Z413" s="6"/>
      <c r="AA413" s="6"/>
      <c r="AB413" s="6"/>
      <c r="AC413" s="6"/>
      <c r="AD413" s="6"/>
      <c r="AE413" s="6"/>
    </row>
    <row r="414" spans="22:31" ht="11.25" customHeight="1" x14ac:dyDescent="0.3">
      <c r="V414" s="6"/>
      <c r="W414" s="6"/>
      <c r="X414" s="6"/>
      <c r="Y414" s="6"/>
      <c r="Z414" s="6"/>
      <c r="AA414" s="6"/>
      <c r="AB414" s="6"/>
      <c r="AC414" s="6"/>
      <c r="AD414" s="6"/>
      <c r="AE414" s="6"/>
    </row>
    <row r="415" spans="22:31" ht="11.25" customHeight="1" x14ac:dyDescent="0.3">
      <c r="V415" s="6"/>
      <c r="W415" s="6"/>
      <c r="X415" s="6"/>
      <c r="Y415" s="6"/>
      <c r="Z415" s="6"/>
      <c r="AA415" s="6"/>
      <c r="AB415" s="6"/>
      <c r="AC415" s="6"/>
      <c r="AD415" s="6"/>
      <c r="AE415" s="6"/>
    </row>
    <row r="416" spans="22:31" ht="11.25" customHeight="1" x14ac:dyDescent="0.3">
      <c r="V416" s="6"/>
      <c r="W416" s="6"/>
      <c r="X416" s="6"/>
      <c r="Y416" s="6"/>
      <c r="Z416" s="6"/>
      <c r="AA416" s="6"/>
      <c r="AB416" s="6"/>
      <c r="AC416" s="6"/>
      <c r="AD416" s="6"/>
      <c r="AE416" s="6"/>
    </row>
    <row r="417" spans="22:31" ht="11.25" customHeight="1" x14ac:dyDescent="0.3">
      <c r="V417" s="6"/>
      <c r="W417" s="6"/>
      <c r="X417" s="6"/>
      <c r="Y417" s="6"/>
      <c r="Z417" s="6"/>
      <c r="AA417" s="6"/>
      <c r="AB417" s="6"/>
      <c r="AC417" s="6"/>
      <c r="AD417" s="6"/>
      <c r="AE417" s="6"/>
    </row>
    <row r="418" spans="22:31" ht="11.25" customHeight="1" x14ac:dyDescent="0.3">
      <c r="V418" s="6"/>
      <c r="W418" s="6"/>
      <c r="X418" s="6"/>
      <c r="Y418" s="6"/>
      <c r="Z418" s="6"/>
      <c r="AA418" s="6"/>
      <c r="AB418" s="6"/>
      <c r="AC418" s="6"/>
      <c r="AD418" s="6"/>
      <c r="AE418" s="6"/>
    </row>
    <row r="419" spans="22:31" ht="11.25" customHeight="1" x14ac:dyDescent="0.3">
      <c r="V419" s="6"/>
      <c r="W419" s="6"/>
      <c r="X419" s="6"/>
      <c r="Y419" s="6"/>
      <c r="Z419" s="6"/>
      <c r="AA419" s="6"/>
      <c r="AB419" s="6"/>
      <c r="AC419" s="6"/>
      <c r="AD419" s="6"/>
      <c r="AE419" s="6"/>
    </row>
    <row r="420" spans="22:31" ht="11.25" customHeight="1" x14ac:dyDescent="0.3">
      <c r="V420" s="6"/>
      <c r="W420" s="6"/>
      <c r="X420" s="6"/>
      <c r="Y420" s="6"/>
      <c r="Z420" s="6"/>
      <c r="AA420" s="6"/>
      <c r="AB420" s="6"/>
      <c r="AC420" s="6"/>
      <c r="AD420" s="6"/>
      <c r="AE420" s="6"/>
    </row>
    <row r="421" spans="22:31" ht="11.25" customHeight="1" x14ac:dyDescent="0.3">
      <c r="V421" s="6"/>
      <c r="W421" s="6"/>
      <c r="X421" s="6"/>
      <c r="Y421" s="6"/>
      <c r="Z421" s="6"/>
      <c r="AA421" s="6"/>
      <c r="AB421" s="6"/>
      <c r="AC421" s="6"/>
      <c r="AD421" s="6"/>
      <c r="AE421" s="6"/>
    </row>
    <row r="422" spans="22:31" ht="11.25" customHeight="1" x14ac:dyDescent="0.3">
      <c r="V422" s="6"/>
      <c r="W422" s="6"/>
      <c r="X422" s="6"/>
      <c r="Y422" s="6"/>
      <c r="Z422" s="6"/>
      <c r="AA422" s="6"/>
      <c r="AB422" s="6"/>
      <c r="AC422" s="6"/>
      <c r="AD422" s="6"/>
      <c r="AE422" s="6"/>
    </row>
    <row r="423" spans="22:31" ht="11.25" customHeight="1" x14ac:dyDescent="0.3">
      <c r="V423" s="6"/>
      <c r="W423" s="6"/>
      <c r="X423" s="6"/>
      <c r="Y423" s="6"/>
      <c r="Z423" s="6"/>
      <c r="AA423" s="6"/>
      <c r="AB423" s="6"/>
      <c r="AC423" s="6"/>
      <c r="AD423" s="6"/>
      <c r="AE423" s="6"/>
    </row>
    <row r="424" spans="22:31" ht="11.25" customHeight="1" x14ac:dyDescent="0.3">
      <c r="V424" s="6"/>
      <c r="W424" s="6"/>
      <c r="X424" s="6"/>
      <c r="Y424" s="6"/>
      <c r="Z424" s="6"/>
      <c r="AA424" s="6"/>
      <c r="AB424" s="6"/>
      <c r="AC424" s="6"/>
      <c r="AD424" s="6"/>
      <c r="AE424" s="6"/>
    </row>
    <row r="425" spans="22:31" ht="11.25" customHeight="1" x14ac:dyDescent="0.3">
      <c r="V425" s="6"/>
      <c r="W425" s="6"/>
      <c r="X425" s="6"/>
      <c r="Y425" s="6"/>
      <c r="Z425" s="6"/>
      <c r="AA425" s="6"/>
      <c r="AB425" s="6"/>
      <c r="AC425" s="6"/>
      <c r="AD425" s="6"/>
      <c r="AE425" s="6"/>
    </row>
    <row r="426" spans="22:31" ht="11.25" customHeight="1" x14ac:dyDescent="0.3">
      <c r="V426" s="6"/>
      <c r="W426" s="6"/>
      <c r="X426" s="6"/>
      <c r="Y426" s="6"/>
      <c r="Z426" s="6"/>
      <c r="AA426" s="6"/>
      <c r="AB426" s="6"/>
      <c r="AC426" s="6"/>
      <c r="AD426" s="6"/>
      <c r="AE426" s="6"/>
    </row>
    <row r="427" spans="22:31" ht="11.25" customHeight="1" x14ac:dyDescent="0.3">
      <c r="V427" s="6"/>
      <c r="W427" s="6"/>
      <c r="X427" s="6"/>
      <c r="Y427" s="6"/>
      <c r="Z427" s="6"/>
      <c r="AA427" s="6"/>
      <c r="AB427" s="6"/>
      <c r="AC427" s="6"/>
      <c r="AD427" s="6"/>
      <c r="AE427" s="6"/>
    </row>
    <row r="428" spans="22:31" ht="11.25" customHeight="1" x14ac:dyDescent="0.3">
      <c r="V428" s="6"/>
      <c r="W428" s="6"/>
      <c r="X428" s="6"/>
      <c r="Y428" s="6"/>
      <c r="Z428" s="6"/>
      <c r="AA428" s="6"/>
      <c r="AB428" s="6"/>
      <c r="AC428" s="6"/>
      <c r="AD428" s="6"/>
      <c r="AE428" s="6"/>
    </row>
    <row r="429" spans="22:31" ht="11.25" customHeight="1" x14ac:dyDescent="0.3">
      <c r="V429" s="6"/>
      <c r="W429" s="6"/>
      <c r="X429" s="6"/>
      <c r="Y429" s="6"/>
      <c r="Z429" s="6"/>
      <c r="AA429" s="6"/>
      <c r="AB429" s="6"/>
      <c r="AC429" s="6"/>
      <c r="AD429" s="6"/>
      <c r="AE429" s="6"/>
    </row>
    <row r="430" spans="22:31" ht="11.25" customHeight="1" x14ac:dyDescent="0.3">
      <c r="V430" s="6"/>
      <c r="W430" s="6"/>
      <c r="X430" s="6"/>
      <c r="Y430" s="6"/>
      <c r="Z430" s="6"/>
      <c r="AA430" s="6"/>
      <c r="AB430" s="6"/>
      <c r="AC430" s="6"/>
      <c r="AD430" s="6"/>
      <c r="AE430" s="6"/>
    </row>
    <row r="431" spans="22:31" ht="11.25" customHeight="1" x14ac:dyDescent="0.3">
      <c r="V431" s="6"/>
      <c r="W431" s="6"/>
      <c r="X431" s="6"/>
      <c r="Y431" s="6"/>
      <c r="Z431" s="6"/>
      <c r="AA431" s="6"/>
      <c r="AB431" s="6"/>
      <c r="AC431" s="6"/>
      <c r="AD431" s="6"/>
      <c r="AE431" s="6"/>
    </row>
    <row r="432" spans="22:31" ht="11.25" customHeight="1" x14ac:dyDescent="0.3">
      <c r="V432" s="6"/>
      <c r="W432" s="6"/>
      <c r="X432" s="6"/>
      <c r="Y432" s="6"/>
      <c r="Z432" s="6"/>
      <c r="AA432" s="6"/>
      <c r="AB432" s="6"/>
      <c r="AC432" s="6"/>
      <c r="AD432" s="6"/>
      <c r="AE432" s="6"/>
    </row>
    <row r="433" spans="22:31" ht="11.25" customHeight="1" x14ac:dyDescent="0.3">
      <c r="V433" s="6"/>
      <c r="W433" s="6"/>
      <c r="X433" s="6"/>
      <c r="Y433" s="6"/>
      <c r="Z433" s="6"/>
      <c r="AA433" s="6"/>
      <c r="AB433" s="6"/>
      <c r="AC433" s="6"/>
      <c r="AD433" s="6"/>
      <c r="AE433" s="6"/>
    </row>
    <row r="434" spans="22:31" ht="11.25" customHeight="1" x14ac:dyDescent="0.3">
      <c r="V434" s="6"/>
      <c r="W434" s="6"/>
      <c r="X434" s="6"/>
      <c r="Y434" s="6"/>
      <c r="Z434" s="6"/>
      <c r="AA434" s="6"/>
      <c r="AB434" s="6"/>
      <c r="AC434" s="6"/>
      <c r="AD434" s="6"/>
      <c r="AE434" s="6"/>
    </row>
    <row r="435" spans="22:31" ht="11.25" customHeight="1" x14ac:dyDescent="0.3">
      <c r="V435" s="6"/>
      <c r="W435" s="6"/>
      <c r="X435" s="6"/>
      <c r="Y435" s="6"/>
      <c r="Z435" s="6"/>
      <c r="AA435" s="6"/>
      <c r="AB435" s="6"/>
      <c r="AC435" s="6"/>
      <c r="AD435" s="6"/>
      <c r="AE435" s="6"/>
    </row>
    <row r="436" spans="22:31" ht="11.25" customHeight="1" x14ac:dyDescent="0.3">
      <c r="V436" s="6"/>
      <c r="W436" s="6"/>
      <c r="X436" s="6"/>
      <c r="Y436" s="6"/>
      <c r="Z436" s="6"/>
      <c r="AA436" s="6"/>
      <c r="AB436" s="6"/>
      <c r="AC436" s="6"/>
      <c r="AD436" s="6"/>
      <c r="AE436" s="6"/>
    </row>
    <row r="437" spans="22:31" ht="11.25" customHeight="1" x14ac:dyDescent="0.3">
      <c r="V437" s="6"/>
      <c r="W437" s="6"/>
      <c r="X437" s="6"/>
      <c r="Y437" s="6"/>
      <c r="Z437" s="6"/>
      <c r="AA437" s="6"/>
      <c r="AB437" s="6"/>
      <c r="AC437" s="6"/>
      <c r="AD437" s="6"/>
      <c r="AE437" s="6"/>
    </row>
    <row r="438" spans="22:31" ht="11.25" customHeight="1" x14ac:dyDescent="0.3">
      <c r="V438" s="6"/>
      <c r="W438" s="6"/>
      <c r="X438" s="6"/>
      <c r="Y438" s="6"/>
      <c r="Z438" s="6"/>
      <c r="AA438" s="6"/>
      <c r="AB438" s="6"/>
      <c r="AC438" s="6"/>
      <c r="AD438" s="6"/>
      <c r="AE438" s="6"/>
    </row>
    <row r="439" spans="22:31" ht="11.25" customHeight="1" x14ac:dyDescent="0.3">
      <c r="V439" s="6"/>
      <c r="W439" s="6"/>
      <c r="X439" s="6"/>
      <c r="Y439" s="6"/>
      <c r="Z439" s="6"/>
      <c r="AA439" s="6"/>
      <c r="AB439" s="6"/>
      <c r="AC439" s="6"/>
      <c r="AD439" s="6"/>
      <c r="AE439" s="6"/>
    </row>
    <row r="440" spans="22:31" ht="11.25" customHeight="1" x14ac:dyDescent="0.3">
      <c r="V440" s="6"/>
      <c r="W440" s="6"/>
      <c r="X440" s="6"/>
      <c r="Y440" s="6"/>
      <c r="Z440" s="6"/>
      <c r="AA440" s="6"/>
      <c r="AB440" s="6"/>
      <c r="AC440" s="6"/>
      <c r="AD440" s="6"/>
      <c r="AE440" s="6"/>
    </row>
    <row r="441" spans="22:31" ht="11.25" customHeight="1" x14ac:dyDescent="0.3">
      <c r="V441" s="6"/>
      <c r="W441" s="6"/>
      <c r="X441" s="6"/>
      <c r="Y441" s="6"/>
      <c r="Z441" s="6"/>
      <c r="AA441" s="6"/>
      <c r="AB441" s="6"/>
      <c r="AC441" s="6"/>
      <c r="AD441" s="6"/>
      <c r="AE441" s="6"/>
    </row>
    <row r="442" spans="22:31" ht="11.25" customHeight="1" x14ac:dyDescent="0.3">
      <c r="V442" s="6"/>
      <c r="W442" s="6"/>
      <c r="X442" s="6"/>
      <c r="Y442" s="6"/>
      <c r="Z442" s="6"/>
      <c r="AA442" s="6"/>
      <c r="AB442" s="6"/>
      <c r="AC442" s="6"/>
      <c r="AD442" s="6"/>
      <c r="AE442" s="6"/>
    </row>
    <row r="443" spans="22:31" ht="11.25" customHeight="1" x14ac:dyDescent="0.3">
      <c r="V443" s="6"/>
      <c r="W443" s="6"/>
      <c r="X443" s="6"/>
      <c r="Y443" s="6"/>
      <c r="Z443" s="6"/>
      <c r="AA443" s="6"/>
      <c r="AB443" s="6"/>
      <c r="AC443" s="6"/>
      <c r="AD443" s="6"/>
      <c r="AE443" s="6"/>
    </row>
    <row r="444" spans="22:31" ht="11.25" customHeight="1" x14ac:dyDescent="0.3">
      <c r="V444" s="6"/>
      <c r="W444" s="6"/>
      <c r="X444" s="6"/>
      <c r="Y444" s="6"/>
      <c r="Z444" s="6"/>
      <c r="AA444" s="6"/>
      <c r="AB444" s="6"/>
      <c r="AC444" s="6"/>
      <c r="AD444" s="6"/>
      <c r="AE444" s="6"/>
    </row>
    <row r="445" spans="22:31" ht="11.25" customHeight="1" x14ac:dyDescent="0.3">
      <c r="V445" s="6"/>
      <c r="W445" s="6"/>
      <c r="X445" s="6"/>
      <c r="Y445" s="6"/>
      <c r="Z445" s="6"/>
      <c r="AA445" s="6"/>
      <c r="AB445" s="6"/>
      <c r="AC445" s="6"/>
      <c r="AD445" s="6"/>
      <c r="AE445" s="6"/>
    </row>
    <row r="446" spans="22:31" ht="11.25" customHeight="1" x14ac:dyDescent="0.3">
      <c r="V446" s="6"/>
      <c r="W446" s="6"/>
      <c r="X446" s="6"/>
      <c r="Y446" s="6"/>
      <c r="Z446" s="6"/>
      <c r="AA446" s="6"/>
      <c r="AB446" s="6"/>
      <c r="AC446" s="6"/>
      <c r="AD446" s="6"/>
      <c r="AE446" s="6"/>
    </row>
    <row r="447" spans="22:31" ht="11.25" customHeight="1" x14ac:dyDescent="0.3">
      <c r="V447" s="6"/>
      <c r="W447" s="6"/>
      <c r="X447" s="6"/>
      <c r="Y447" s="6"/>
      <c r="Z447" s="6"/>
      <c r="AA447" s="6"/>
      <c r="AB447" s="6"/>
      <c r="AC447" s="6"/>
      <c r="AD447" s="6"/>
      <c r="AE447" s="6"/>
    </row>
    <row r="448" spans="22:31" ht="11.25" customHeight="1" x14ac:dyDescent="0.3">
      <c r="V448" s="6"/>
      <c r="W448" s="6"/>
      <c r="X448" s="6"/>
      <c r="Y448" s="6"/>
      <c r="Z448" s="6"/>
      <c r="AA448" s="6"/>
      <c r="AB448" s="6"/>
      <c r="AC448" s="6"/>
      <c r="AD448" s="6"/>
      <c r="AE448" s="6"/>
    </row>
    <row r="449" spans="22:31" ht="11.25" customHeight="1" x14ac:dyDescent="0.3">
      <c r="V449" s="6"/>
      <c r="W449" s="6"/>
      <c r="X449" s="6"/>
      <c r="Y449" s="6"/>
      <c r="Z449" s="6"/>
      <c r="AA449" s="6"/>
      <c r="AB449" s="6"/>
      <c r="AC449" s="6"/>
      <c r="AD449" s="6"/>
      <c r="AE449" s="6"/>
    </row>
    <row r="450" spans="22:31" ht="11.25" customHeight="1" x14ac:dyDescent="0.3">
      <c r="V450" s="6"/>
      <c r="W450" s="6"/>
      <c r="X450" s="6"/>
      <c r="Y450" s="6"/>
      <c r="Z450" s="6"/>
      <c r="AA450" s="6"/>
      <c r="AB450" s="6"/>
      <c r="AC450" s="6"/>
      <c r="AD450" s="6"/>
      <c r="AE450" s="6"/>
    </row>
    <row r="451" spans="22:31" ht="11.25" customHeight="1" x14ac:dyDescent="0.3">
      <c r="V451" s="6"/>
      <c r="W451" s="6"/>
      <c r="X451" s="6"/>
      <c r="Y451" s="6"/>
      <c r="Z451" s="6"/>
      <c r="AA451" s="6"/>
      <c r="AB451" s="6"/>
      <c r="AC451" s="6"/>
      <c r="AD451" s="6"/>
      <c r="AE451" s="6"/>
    </row>
    <row r="452" spans="22:31" ht="11.25" customHeight="1" x14ac:dyDescent="0.3">
      <c r="V452" s="6"/>
      <c r="W452" s="6"/>
      <c r="X452" s="6"/>
      <c r="Y452" s="6"/>
      <c r="Z452" s="6"/>
      <c r="AA452" s="6"/>
      <c r="AB452" s="6"/>
      <c r="AC452" s="6"/>
      <c r="AD452" s="6"/>
      <c r="AE452" s="6"/>
    </row>
    <row r="453" spans="22:31" ht="11.25" customHeight="1" x14ac:dyDescent="0.3">
      <c r="V453" s="6"/>
      <c r="W453" s="6"/>
      <c r="X453" s="6"/>
      <c r="Y453" s="6"/>
      <c r="Z453" s="6"/>
      <c r="AA453" s="6"/>
      <c r="AB453" s="6"/>
      <c r="AC453" s="6"/>
      <c r="AD453" s="6"/>
      <c r="AE453" s="6"/>
    </row>
    <row r="454" spans="22:31" ht="11.25" customHeight="1" x14ac:dyDescent="0.3">
      <c r="V454" s="6"/>
      <c r="W454" s="6"/>
      <c r="X454" s="6"/>
      <c r="Y454" s="6"/>
      <c r="Z454" s="6"/>
      <c r="AA454" s="6"/>
      <c r="AB454" s="6"/>
      <c r="AC454" s="6"/>
      <c r="AD454" s="6"/>
      <c r="AE454" s="6"/>
    </row>
    <row r="455" spans="22:31" ht="11.25" customHeight="1" x14ac:dyDescent="0.3">
      <c r="V455" s="6"/>
      <c r="W455" s="6"/>
      <c r="X455" s="6"/>
      <c r="Y455" s="6"/>
      <c r="Z455" s="6"/>
      <c r="AA455" s="6"/>
      <c r="AB455" s="6"/>
      <c r="AC455" s="6"/>
      <c r="AD455" s="6"/>
      <c r="AE455" s="6"/>
    </row>
    <row r="456" spans="22:31" ht="11.25" customHeight="1" x14ac:dyDescent="0.3">
      <c r="V456" s="6"/>
      <c r="W456" s="6"/>
      <c r="X456" s="6"/>
      <c r="Y456" s="6"/>
      <c r="Z456" s="6"/>
      <c r="AA456" s="6"/>
      <c r="AB456" s="6"/>
      <c r="AC456" s="6"/>
      <c r="AD456" s="6"/>
      <c r="AE456" s="6"/>
    </row>
    <row r="457" spans="22:31" ht="11.25" customHeight="1" x14ac:dyDescent="0.3">
      <c r="V457" s="6"/>
      <c r="W457" s="6"/>
      <c r="X457" s="6"/>
      <c r="Y457" s="6"/>
      <c r="Z457" s="6"/>
      <c r="AA457" s="6"/>
      <c r="AB457" s="6"/>
      <c r="AC457" s="6"/>
      <c r="AD457" s="6"/>
      <c r="AE457" s="6"/>
    </row>
    <row r="458" spans="22:31" ht="11.25" customHeight="1" x14ac:dyDescent="0.3">
      <c r="V458" s="6"/>
      <c r="W458" s="6"/>
      <c r="X458" s="6"/>
      <c r="Y458" s="6"/>
      <c r="Z458" s="6"/>
      <c r="AA458" s="6"/>
      <c r="AB458" s="6"/>
      <c r="AC458" s="6"/>
      <c r="AD458" s="6"/>
      <c r="AE458" s="6"/>
    </row>
    <row r="459" spans="22:31" ht="11.25" customHeight="1" x14ac:dyDescent="0.3">
      <c r="V459" s="6"/>
      <c r="W459" s="6"/>
      <c r="X459" s="6"/>
      <c r="Y459" s="6"/>
      <c r="Z459" s="6"/>
      <c r="AA459" s="6"/>
      <c r="AB459" s="6"/>
      <c r="AC459" s="6"/>
      <c r="AD459" s="6"/>
      <c r="AE459" s="6"/>
    </row>
    <row r="460" spans="22:31" ht="11.25" customHeight="1" x14ac:dyDescent="0.3">
      <c r="V460" s="6"/>
      <c r="W460" s="6"/>
      <c r="X460" s="6"/>
      <c r="Y460" s="6"/>
      <c r="Z460" s="6"/>
      <c r="AA460" s="6"/>
      <c r="AB460" s="6"/>
      <c r="AC460" s="6"/>
      <c r="AD460" s="6"/>
      <c r="AE460" s="6"/>
    </row>
    <row r="461" spans="22:31" ht="11.25" customHeight="1" x14ac:dyDescent="0.3">
      <c r="V461" s="6"/>
      <c r="W461" s="6"/>
      <c r="X461" s="6"/>
      <c r="Y461" s="6"/>
      <c r="Z461" s="6"/>
      <c r="AA461" s="6"/>
      <c r="AB461" s="6"/>
      <c r="AC461" s="6"/>
      <c r="AD461" s="6"/>
      <c r="AE461" s="6"/>
    </row>
    <row r="462" spans="22:31" ht="11.25" customHeight="1" x14ac:dyDescent="0.3">
      <c r="V462" s="6"/>
      <c r="W462" s="6"/>
      <c r="X462" s="6"/>
      <c r="Y462" s="6"/>
      <c r="Z462" s="6"/>
      <c r="AA462" s="6"/>
      <c r="AB462" s="6"/>
      <c r="AC462" s="6"/>
      <c r="AD462" s="6"/>
      <c r="AE462" s="6"/>
    </row>
    <row r="463" spans="22:31" ht="11.25" customHeight="1" x14ac:dyDescent="0.3">
      <c r="V463" s="6"/>
      <c r="W463" s="6"/>
      <c r="X463" s="6"/>
      <c r="Y463" s="6"/>
      <c r="Z463" s="6"/>
      <c r="AA463" s="6"/>
      <c r="AB463" s="6"/>
      <c r="AC463" s="6"/>
      <c r="AD463" s="6"/>
      <c r="AE463" s="6"/>
    </row>
    <row r="464" spans="22:31" ht="11.25" customHeight="1" x14ac:dyDescent="0.3">
      <c r="V464" s="6"/>
      <c r="W464" s="6"/>
      <c r="X464" s="6"/>
      <c r="Y464" s="6"/>
      <c r="Z464" s="6"/>
      <c r="AA464" s="6"/>
      <c r="AB464" s="6"/>
      <c r="AC464" s="6"/>
      <c r="AD464" s="6"/>
      <c r="AE464" s="6"/>
    </row>
    <row r="465" spans="22:31" ht="11.25" customHeight="1" x14ac:dyDescent="0.3">
      <c r="V465" s="6"/>
      <c r="W465" s="6"/>
      <c r="X465" s="6"/>
      <c r="Y465" s="6"/>
      <c r="Z465" s="6"/>
      <c r="AA465" s="6"/>
      <c r="AB465" s="6"/>
      <c r="AC465" s="6"/>
      <c r="AD465" s="6"/>
      <c r="AE465" s="6"/>
    </row>
    <row r="466" spans="22:31" ht="11.25" customHeight="1" x14ac:dyDescent="0.3">
      <c r="V466" s="6"/>
      <c r="W466" s="6"/>
      <c r="X466" s="6"/>
      <c r="Y466" s="6"/>
      <c r="Z466" s="6"/>
      <c r="AA466" s="6"/>
      <c r="AB466" s="6"/>
      <c r="AC466" s="6"/>
      <c r="AD466" s="6"/>
      <c r="AE466" s="6"/>
    </row>
    <row r="467" spans="22:31" ht="11.25" customHeight="1" x14ac:dyDescent="0.3">
      <c r="V467" s="6"/>
      <c r="W467" s="6"/>
      <c r="X467" s="6"/>
      <c r="Y467" s="6"/>
      <c r="Z467" s="6"/>
      <c r="AA467" s="6"/>
      <c r="AB467" s="6"/>
      <c r="AC467" s="6"/>
      <c r="AD467" s="6"/>
      <c r="AE467" s="6"/>
    </row>
    <row r="468" spans="22:31" ht="11.25" customHeight="1" x14ac:dyDescent="0.3">
      <c r="V468" s="6"/>
      <c r="W468" s="6"/>
      <c r="X468" s="6"/>
      <c r="Y468" s="6"/>
      <c r="Z468" s="6"/>
      <c r="AA468" s="6"/>
      <c r="AB468" s="6"/>
      <c r="AC468" s="6"/>
      <c r="AD468" s="6"/>
      <c r="AE468" s="6"/>
    </row>
    <row r="469" spans="22:31" ht="11.25" customHeight="1" x14ac:dyDescent="0.3">
      <c r="V469" s="6"/>
      <c r="W469" s="6"/>
      <c r="X469" s="6"/>
      <c r="Y469" s="6"/>
      <c r="Z469" s="6"/>
      <c r="AA469" s="6"/>
      <c r="AB469" s="6"/>
      <c r="AC469" s="6"/>
      <c r="AD469" s="6"/>
      <c r="AE469" s="6"/>
    </row>
    <row r="470" spans="22:31" ht="11.25" customHeight="1" x14ac:dyDescent="0.3">
      <c r="V470" s="6"/>
      <c r="W470" s="6"/>
      <c r="X470" s="6"/>
      <c r="Y470" s="6"/>
      <c r="Z470" s="6"/>
      <c r="AA470" s="6"/>
      <c r="AB470" s="6"/>
      <c r="AC470" s="6"/>
      <c r="AD470" s="6"/>
      <c r="AE470" s="6"/>
    </row>
    <row r="471" spans="22:31" ht="11.25" customHeight="1" x14ac:dyDescent="0.3">
      <c r="V471" s="6"/>
      <c r="W471" s="6"/>
      <c r="X471" s="6"/>
      <c r="Y471" s="6"/>
      <c r="Z471" s="6"/>
      <c r="AA471" s="6"/>
      <c r="AB471" s="6"/>
      <c r="AC471" s="6"/>
      <c r="AD471" s="6"/>
      <c r="AE471" s="6"/>
    </row>
    <row r="472" spans="22:31" ht="11.25" customHeight="1" x14ac:dyDescent="0.3">
      <c r="V472" s="6"/>
      <c r="W472" s="6"/>
      <c r="X472" s="6"/>
      <c r="Y472" s="6"/>
      <c r="Z472" s="6"/>
      <c r="AA472" s="6"/>
      <c r="AB472" s="6"/>
      <c r="AC472" s="6"/>
      <c r="AD472" s="6"/>
      <c r="AE472" s="6"/>
    </row>
    <row r="473" spans="22:31" ht="11.25" customHeight="1" x14ac:dyDescent="0.3">
      <c r="V473" s="6"/>
      <c r="W473" s="6"/>
      <c r="X473" s="6"/>
      <c r="Y473" s="6"/>
      <c r="Z473" s="6"/>
      <c r="AA473" s="6"/>
      <c r="AB473" s="6"/>
      <c r="AC473" s="6"/>
      <c r="AD473" s="6"/>
      <c r="AE473" s="6"/>
    </row>
    <row r="474" spans="22:31" ht="11.25" customHeight="1" x14ac:dyDescent="0.3">
      <c r="V474" s="6"/>
      <c r="W474" s="6"/>
      <c r="X474" s="6"/>
      <c r="Y474" s="6"/>
      <c r="Z474" s="6"/>
      <c r="AA474" s="6"/>
      <c r="AB474" s="6"/>
      <c r="AC474" s="6"/>
      <c r="AD474" s="6"/>
      <c r="AE474" s="6"/>
    </row>
    <row r="475" spans="22:31" ht="11.25" customHeight="1" x14ac:dyDescent="0.3">
      <c r="V475" s="6"/>
      <c r="W475" s="6"/>
      <c r="X475" s="6"/>
      <c r="Y475" s="6"/>
      <c r="Z475" s="6"/>
      <c r="AA475" s="6"/>
      <c r="AB475" s="6"/>
      <c r="AC475" s="6"/>
      <c r="AD475" s="6"/>
      <c r="AE475" s="6"/>
    </row>
    <row r="476" spans="22:31" ht="11.25" customHeight="1" x14ac:dyDescent="0.3">
      <c r="V476" s="6"/>
      <c r="W476" s="6"/>
      <c r="X476" s="6"/>
      <c r="Y476" s="6"/>
      <c r="Z476" s="6"/>
      <c r="AA476" s="6"/>
      <c r="AB476" s="6"/>
      <c r="AC476" s="6"/>
      <c r="AD476" s="6"/>
      <c r="AE476" s="6"/>
    </row>
    <row r="477" spans="22:31" ht="11.25" customHeight="1" x14ac:dyDescent="0.3">
      <c r="V477" s="6"/>
      <c r="W477" s="6"/>
      <c r="X477" s="6"/>
      <c r="Y477" s="6"/>
      <c r="Z477" s="6"/>
      <c r="AA477" s="6"/>
      <c r="AB477" s="6"/>
      <c r="AC477" s="6"/>
      <c r="AD477" s="6"/>
      <c r="AE477" s="6"/>
    </row>
    <row r="478" spans="22:31" ht="11.25" customHeight="1" x14ac:dyDescent="0.3">
      <c r="V478" s="6"/>
      <c r="W478" s="6"/>
      <c r="X478" s="6"/>
      <c r="Y478" s="6"/>
      <c r="Z478" s="6"/>
      <c r="AA478" s="6"/>
      <c r="AB478" s="6"/>
      <c r="AC478" s="6"/>
      <c r="AD478" s="6"/>
      <c r="AE478" s="6"/>
    </row>
    <row r="479" spans="22:31" ht="11.25" customHeight="1" x14ac:dyDescent="0.3">
      <c r="V479" s="6"/>
      <c r="W479" s="6"/>
      <c r="X479" s="6"/>
      <c r="Y479" s="6"/>
      <c r="Z479" s="6"/>
      <c r="AA479" s="6"/>
      <c r="AB479" s="6"/>
      <c r="AC479" s="6"/>
      <c r="AD479" s="6"/>
      <c r="AE479" s="6"/>
    </row>
    <row r="480" spans="22:31" ht="11.25" customHeight="1" x14ac:dyDescent="0.3">
      <c r="V480" s="6"/>
      <c r="W480" s="6"/>
      <c r="X480" s="6"/>
      <c r="Y480" s="6"/>
      <c r="Z480" s="6"/>
      <c r="AA480" s="6"/>
      <c r="AB480" s="6"/>
      <c r="AC480" s="6"/>
      <c r="AD480" s="6"/>
      <c r="AE480" s="6"/>
    </row>
    <row r="481" spans="22:31" ht="11.25" customHeight="1" x14ac:dyDescent="0.3">
      <c r="V481" s="6"/>
      <c r="W481" s="6"/>
      <c r="X481" s="6"/>
      <c r="Y481" s="6"/>
      <c r="Z481" s="6"/>
      <c r="AA481" s="6"/>
      <c r="AB481" s="6"/>
      <c r="AC481" s="6"/>
      <c r="AD481" s="6"/>
      <c r="AE481" s="6"/>
    </row>
    <row r="482" spans="22:31" ht="11.25" customHeight="1" x14ac:dyDescent="0.3">
      <c r="V482" s="6"/>
      <c r="W482" s="6"/>
      <c r="X482" s="6"/>
      <c r="Y482" s="6"/>
      <c r="Z482" s="6"/>
      <c r="AA482" s="6"/>
      <c r="AB482" s="6"/>
      <c r="AC482" s="6"/>
      <c r="AD482" s="6"/>
      <c r="AE482" s="6"/>
    </row>
    <row r="483" spans="22:31" ht="11.25" customHeight="1" x14ac:dyDescent="0.3">
      <c r="V483" s="6"/>
      <c r="W483" s="6"/>
      <c r="X483" s="6"/>
      <c r="Y483" s="6"/>
      <c r="Z483" s="6"/>
      <c r="AA483" s="6"/>
      <c r="AB483" s="6"/>
      <c r="AC483" s="6"/>
      <c r="AD483" s="6"/>
      <c r="AE483" s="6"/>
    </row>
    <row r="484" spans="22:31" ht="11.25" customHeight="1" x14ac:dyDescent="0.3">
      <c r="V484" s="6"/>
      <c r="W484" s="6"/>
      <c r="X484" s="6"/>
      <c r="Y484" s="6"/>
      <c r="Z484" s="6"/>
      <c r="AA484" s="6"/>
      <c r="AB484" s="6"/>
      <c r="AC484" s="6"/>
      <c r="AD484" s="6"/>
      <c r="AE484" s="6"/>
    </row>
    <row r="485" spans="22:31" ht="11.25" customHeight="1" x14ac:dyDescent="0.3">
      <c r="V485" s="6"/>
      <c r="W485" s="6"/>
      <c r="X485" s="6"/>
      <c r="Y485" s="6"/>
      <c r="Z485" s="6"/>
      <c r="AA485" s="6"/>
      <c r="AB485" s="6"/>
      <c r="AC485" s="6"/>
      <c r="AD485" s="6"/>
      <c r="AE485" s="6"/>
    </row>
    <row r="486" spans="22:31" ht="11.25" customHeight="1" x14ac:dyDescent="0.3">
      <c r="V486" s="6"/>
      <c r="W486" s="6"/>
      <c r="X486" s="6"/>
      <c r="Y486" s="6"/>
      <c r="Z486" s="6"/>
      <c r="AA486" s="6"/>
      <c r="AB486" s="6"/>
      <c r="AC486" s="6"/>
      <c r="AD486" s="6"/>
      <c r="AE486" s="6"/>
    </row>
    <row r="487" spans="22:31" ht="11.25" customHeight="1" x14ac:dyDescent="0.3">
      <c r="V487" s="6"/>
      <c r="W487" s="6"/>
      <c r="X487" s="6"/>
      <c r="Y487" s="6"/>
      <c r="Z487" s="6"/>
      <c r="AA487" s="6"/>
      <c r="AB487" s="6"/>
      <c r="AC487" s="6"/>
      <c r="AD487" s="6"/>
      <c r="AE487" s="6"/>
    </row>
    <row r="488" spans="22:31" ht="11.25" customHeight="1" x14ac:dyDescent="0.3">
      <c r="V488" s="6"/>
      <c r="W488" s="6"/>
      <c r="X488" s="6"/>
      <c r="Y488" s="6"/>
      <c r="Z488" s="6"/>
      <c r="AA488" s="6"/>
      <c r="AB488" s="6"/>
      <c r="AC488" s="6"/>
      <c r="AD488" s="6"/>
      <c r="AE488" s="6"/>
    </row>
    <row r="489" spans="22:31" ht="11.25" customHeight="1" x14ac:dyDescent="0.3">
      <c r="V489" s="6"/>
      <c r="W489" s="6"/>
      <c r="X489" s="6"/>
      <c r="Y489" s="6"/>
      <c r="Z489" s="6"/>
      <c r="AA489" s="6"/>
      <c r="AB489" s="6"/>
      <c r="AC489" s="6"/>
      <c r="AD489" s="6"/>
      <c r="AE489" s="6"/>
    </row>
    <row r="490" spans="22:31" ht="11.25" customHeight="1" x14ac:dyDescent="0.3">
      <c r="V490" s="6"/>
      <c r="W490" s="6"/>
      <c r="X490" s="6"/>
      <c r="Y490" s="6"/>
      <c r="Z490" s="6"/>
      <c r="AA490" s="6"/>
      <c r="AB490" s="6"/>
      <c r="AC490" s="6"/>
      <c r="AD490" s="6"/>
      <c r="AE490" s="6"/>
    </row>
    <row r="491" spans="22:31" ht="11.25" customHeight="1" x14ac:dyDescent="0.3">
      <c r="V491" s="6"/>
      <c r="W491" s="6"/>
      <c r="X491" s="6"/>
      <c r="Y491" s="6"/>
      <c r="Z491" s="6"/>
      <c r="AA491" s="6"/>
      <c r="AB491" s="6"/>
      <c r="AC491" s="6"/>
      <c r="AD491" s="6"/>
      <c r="AE491" s="6"/>
    </row>
    <row r="492" spans="22:31" ht="11.25" customHeight="1" x14ac:dyDescent="0.3">
      <c r="V492" s="6"/>
      <c r="W492" s="6"/>
      <c r="X492" s="6"/>
      <c r="Y492" s="6"/>
      <c r="Z492" s="6"/>
      <c r="AA492" s="6"/>
      <c r="AB492" s="6"/>
      <c r="AC492" s="6"/>
      <c r="AD492" s="6"/>
      <c r="AE492" s="6"/>
    </row>
    <row r="493" spans="22:31" ht="11.25" customHeight="1" x14ac:dyDescent="0.3">
      <c r="V493" s="6"/>
      <c r="W493" s="6"/>
      <c r="X493" s="6"/>
      <c r="Y493" s="6"/>
      <c r="Z493" s="6"/>
      <c r="AA493" s="6"/>
      <c r="AB493" s="6"/>
      <c r="AC493" s="6"/>
      <c r="AD493" s="6"/>
      <c r="AE493" s="6"/>
    </row>
    <row r="494" spans="22:31" ht="11.25" customHeight="1" x14ac:dyDescent="0.3">
      <c r="V494" s="6"/>
      <c r="W494" s="6"/>
      <c r="X494" s="6"/>
      <c r="Y494" s="6"/>
      <c r="Z494" s="6"/>
      <c r="AA494" s="6"/>
      <c r="AB494" s="6"/>
      <c r="AC494" s="6"/>
      <c r="AD494" s="6"/>
      <c r="AE494" s="6"/>
    </row>
    <row r="495" spans="22:31" ht="11.25" customHeight="1" x14ac:dyDescent="0.3">
      <c r="V495" s="6"/>
      <c r="W495" s="6"/>
      <c r="X495" s="6"/>
      <c r="Y495" s="6"/>
      <c r="Z495" s="6"/>
      <c r="AA495" s="6"/>
      <c r="AB495" s="6"/>
      <c r="AC495" s="6"/>
      <c r="AD495" s="6"/>
      <c r="AE495" s="6"/>
    </row>
    <row r="496" spans="22:31" ht="11.25" customHeight="1" x14ac:dyDescent="0.3">
      <c r="V496" s="6"/>
      <c r="W496" s="6"/>
      <c r="X496" s="6"/>
      <c r="Y496" s="6"/>
      <c r="Z496" s="6"/>
      <c r="AA496" s="6"/>
      <c r="AB496" s="6"/>
      <c r="AC496" s="6"/>
      <c r="AD496" s="6"/>
      <c r="AE496" s="6"/>
    </row>
    <row r="497" spans="22:31" ht="11.25" customHeight="1" x14ac:dyDescent="0.3">
      <c r="V497" s="6"/>
      <c r="W497" s="6"/>
      <c r="X497" s="6"/>
      <c r="Y497" s="6"/>
      <c r="Z497" s="6"/>
      <c r="AA497" s="6"/>
      <c r="AB497" s="6"/>
      <c r="AC497" s="6"/>
      <c r="AD497" s="6"/>
      <c r="AE497" s="6"/>
    </row>
    <row r="498" spans="22:31" ht="11.25" customHeight="1" x14ac:dyDescent="0.3">
      <c r="V498" s="6"/>
      <c r="W498" s="6"/>
      <c r="X498" s="6"/>
      <c r="Y498" s="6"/>
      <c r="Z498" s="6"/>
      <c r="AA498" s="6"/>
      <c r="AB498" s="6"/>
      <c r="AC498" s="6"/>
      <c r="AD498" s="6"/>
      <c r="AE498" s="6"/>
    </row>
    <row r="499" spans="22:31" ht="11.25" customHeight="1" x14ac:dyDescent="0.3">
      <c r="V499" s="6"/>
      <c r="W499" s="6"/>
      <c r="X499" s="6"/>
      <c r="Y499" s="6"/>
      <c r="Z499" s="6"/>
      <c r="AA499" s="6"/>
      <c r="AB499" s="6"/>
      <c r="AC499" s="6"/>
      <c r="AD499" s="6"/>
      <c r="AE499" s="6"/>
    </row>
    <row r="500" spans="22:31" ht="11.25" customHeight="1" x14ac:dyDescent="0.3">
      <c r="V500" s="6"/>
      <c r="W500" s="6"/>
      <c r="X500" s="6"/>
      <c r="Y500" s="6"/>
      <c r="Z500" s="6"/>
      <c r="AA500" s="6"/>
      <c r="AB500" s="6"/>
      <c r="AC500" s="6"/>
      <c r="AD500" s="6"/>
      <c r="AE500" s="6"/>
    </row>
    <row r="501" spans="22:31" ht="11.25" customHeight="1" x14ac:dyDescent="0.3">
      <c r="V501" s="6"/>
      <c r="W501" s="6"/>
      <c r="X501" s="6"/>
      <c r="Y501" s="6"/>
      <c r="Z501" s="6"/>
      <c r="AA501" s="6"/>
      <c r="AB501" s="6"/>
      <c r="AC501" s="6"/>
      <c r="AD501" s="6"/>
      <c r="AE501" s="6"/>
    </row>
    <row r="502" spans="22:31" ht="11.25" customHeight="1" x14ac:dyDescent="0.3">
      <c r="V502" s="6"/>
      <c r="W502" s="6"/>
      <c r="X502" s="6"/>
      <c r="Y502" s="6"/>
      <c r="Z502" s="6"/>
      <c r="AA502" s="6"/>
      <c r="AB502" s="6"/>
      <c r="AC502" s="6"/>
      <c r="AD502" s="6"/>
      <c r="AE502" s="6"/>
    </row>
    <row r="503" spans="22:31" ht="11.25" customHeight="1" x14ac:dyDescent="0.3">
      <c r="V503" s="6"/>
      <c r="W503" s="6"/>
      <c r="X503" s="6"/>
      <c r="Y503" s="6"/>
      <c r="Z503" s="6"/>
      <c r="AA503" s="6"/>
      <c r="AB503" s="6"/>
      <c r="AC503" s="6"/>
      <c r="AD503" s="6"/>
      <c r="AE503" s="6"/>
    </row>
    <row r="504" spans="22:31" ht="11.25" customHeight="1" x14ac:dyDescent="0.3">
      <c r="V504" s="6"/>
      <c r="W504" s="6"/>
      <c r="X504" s="6"/>
      <c r="Y504" s="6"/>
      <c r="Z504" s="6"/>
      <c r="AA504" s="6"/>
      <c r="AB504" s="6"/>
      <c r="AC504" s="6"/>
      <c r="AD504" s="6"/>
      <c r="AE504" s="6"/>
    </row>
    <row r="505" spans="22:31" ht="11.25" customHeight="1" x14ac:dyDescent="0.3">
      <c r="V505" s="6"/>
      <c r="W505" s="6"/>
      <c r="X505" s="6"/>
      <c r="Y505" s="6"/>
      <c r="Z505" s="6"/>
      <c r="AA505" s="6"/>
      <c r="AB505" s="6"/>
      <c r="AC505" s="6"/>
      <c r="AD505" s="6"/>
      <c r="AE505" s="6"/>
    </row>
    <row r="506" spans="22:31" ht="11.25" customHeight="1" x14ac:dyDescent="0.3">
      <c r="V506" s="6"/>
      <c r="W506" s="6"/>
      <c r="X506" s="6"/>
      <c r="Y506" s="6"/>
      <c r="Z506" s="6"/>
      <c r="AA506" s="6"/>
      <c r="AB506" s="6"/>
      <c r="AC506" s="6"/>
      <c r="AD506" s="6"/>
      <c r="AE506" s="6"/>
    </row>
    <row r="507" spans="22:31" ht="11.25" customHeight="1" x14ac:dyDescent="0.3">
      <c r="V507" s="6"/>
      <c r="W507" s="6"/>
      <c r="X507" s="6"/>
      <c r="Y507" s="6"/>
      <c r="Z507" s="6"/>
      <c r="AA507" s="6"/>
      <c r="AB507" s="6"/>
      <c r="AC507" s="6"/>
      <c r="AD507" s="6"/>
      <c r="AE507" s="6"/>
    </row>
    <row r="508" spans="22:31" ht="11.25" customHeight="1" x14ac:dyDescent="0.3">
      <c r="V508" s="6"/>
      <c r="W508" s="6"/>
      <c r="X508" s="6"/>
      <c r="Y508" s="6"/>
      <c r="Z508" s="6"/>
      <c r="AA508" s="6"/>
      <c r="AB508" s="6"/>
      <c r="AC508" s="6"/>
      <c r="AD508" s="6"/>
      <c r="AE508" s="6"/>
    </row>
    <row r="509" spans="22:31" ht="11.25" customHeight="1" x14ac:dyDescent="0.3">
      <c r="V509" s="6"/>
      <c r="W509" s="6"/>
      <c r="X509" s="6"/>
      <c r="Y509" s="6"/>
      <c r="Z509" s="6"/>
      <c r="AA509" s="6"/>
      <c r="AB509" s="6"/>
      <c r="AC509" s="6"/>
      <c r="AD509" s="6"/>
      <c r="AE509" s="6"/>
    </row>
    <row r="510" spans="22:31" ht="11.25" customHeight="1" x14ac:dyDescent="0.3">
      <c r="V510" s="6"/>
      <c r="W510" s="6"/>
      <c r="X510" s="6"/>
      <c r="Y510" s="6"/>
      <c r="Z510" s="6"/>
      <c r="AA510" s="6"/>
      <c r="AB510" s="6"/>
      <c r="AC510" s="6"/>
      <c r="AD510" s="6"/>
      <c r="AE510" s="6"/>
    </row>
    <row r="511" spans="22:31" ht="11.25" customHeight="1" x14ac:dyDescent="0.3">
      <c r="V511" s="6"/>
      <c r="W511" s="6"/>
      <c r="X511" s="6"/>
      <c r="Y511" s="6"/>
      <c r="Z511" s="6"/>
      <c r="AA511" s="6"/>
      <c r="AB511" s="6"/>
      <c r="AC511" s="6"/>
      <c r="AD511" s="6"/>
      <c r="AE511" s="6"/>
    </row>
    <row r="512" spans="22:31" ht="11.25" customHeight="1" x14ac:dyDescent="0.3">
      <c r="V512" s="6"/>
      <c r="W512" s="6"/>
      <c r="X512" s="6"/>
      <c r="Y512" s="6"/>
      <c r="Z512" s="6"/>
      <c r="AA512" s="6"/>
      <c r="AB512" s="6"/>
      <c r="AC512" s="6"/>
      <c r="AD512" s="6"/>
      <c r="AE512" s="6"/>
    </row>
    <row r="513" spans="22:31" ht="11.25" customHeight="1" x14ac:dyDescent="0.3">
      <c r="V513" s="6"/>
      <c r="W513" s="6"/>
      <c r="X513" s="6"/>
      <c r="Y513" s="6"/>
      <c r="Z513" s="6"/>
      <c r="AA513" s="6"/>
      <c r="AB513" s="6"/>
      <c r="AC513" s="6"/>
      <c r="AD513" s="6"/>
      <c r="AE513" s="6"/>
    </row>
    <row r="514" spans="22:31" ht="11.25" customHeight="1" x14ac:dyDescent="0.3">
      <c r="V514" s="6"/>
      <c r="W514" s="6"/>
      <c r="X514" s="6"/>
      <c r="Y514" s="6"/>
      <c r="Z514" s="6"/>
      <c r="AA514" s="6"/>
      <c r="AB514" s="6"/>
      <c r="AC514" s="6"/>
      <c r="AD514" s="6"/>
      <c r="AE514" s="6"/>
    </row>
    <row r="515" spans="22:31" ht="11.25" customHeight="1" x14ac:dyDescent="0.3">
      <c r="V515" s="6"/>
      <c r="W515" s="6"/>
      <c r="X515" s="6"/>
      <c r="Y515" s="6"/>
      <c r="Z515" s="6"/>
      <c r="AA515" s="6"/>
      <c r="AB515" s="6"/>
      <c r="AC515" s="6"/>
      <c r="AD515" s="6"/>
      <c r="AE515" s="6"/>
    </row>
    <row r="516" spans="22:31" ht="11.25" customHeight="1" x14ac:dyDescent="0.3">
      <c r="V516" s="6"/>
      <c r="W516" s="6"/>
      <c r="X516" s="6"/>
      <c r="Y516" s="6"/>
      <c r="Z516" s="6"/>
      <c r="AA516" s="6"/>
      <c r="AB516" s="6"/>
      <c r="AC516" s="6"/>
      <c r="AD516" s="6"/>
      <c r="AE516" s="6"/>
    </row>
    <row r="517" spans="22:31" ht="11.25" customHeight="1" x14ac:dyDescent="0.3">
      <c r="V517" s="6"/>
      <c r="W517" s="6"/>
      <c r="X517" s="6"/>
      <c r="Y517" s="6"/>
      <c r="Z517" s="6"/>
      <c r="AA517" s="6"/>
      <c r="AB517" s="6"/>
      <c r="AC517" s="6"/>
      <c r="AD517" s="6"/>
      <c r="AE517" s="6"/>
    </row>
    <row r="518" spans="22:31" ht="11.25" customHeight="1" x14ac:dyDescent="0.3">
      <c r="V518" s="6"/>
      <c r="W518" s="6"/>
      <c r="X518" s="6"/>
      <c r="Y518" s="6"/>
      <c r="Z518" s="6"/>
      <c r="AA518" s="6"/>
      <c r="AB518" s="6"/>
      <c r="AC518" s="6"/>
      <c r="AD518" s="6"/>
      <c r="AE518" s="6"/>
    </row>
    <row r="519" spans="22:31" ht="11.25" customHeight="1" x14ac:dyDescent="0.3">
      <c r="V519" s="6"/>
      <c r="W519" s="6"/>
      <c r="X519" s="6"/>
      <c r="Y519" s="6"/>
      <c r="Z519" s="6"/>
      <c r="AA519" s="6"/>
      <c r="AB519" s="6"/>
      <c r="AC519" s="6"/>
      <c r="AD519" s="6"/>
      <c r="AE519" s="6"/>
    </row>
    <row r="520" spans="22:31" ht="11.25" customHeight="1" x14ac:dyDescent="0.3">
      <c r="V520" s="6"/>
      <c r="W520" s="6"/>
      <c r="X520" s="6"/>
      <c r="Y520" s="6"/>
      <c r="Z520" s="6"/>
      <c r="AA520" s="6"/>
      <c r="AB520" s="6"/>
      <c r="AC520" s="6"/>
      <c r="AD520" s="6"/>
      <c r="AE520" s="6"/>
    </row>
    <row r="521" spans="22:31" ht="11.25" customHeight="1" x14ac:dyDescent="0.3">
      <c r="V521" s="6"/>
      <c r="W521" s="6"/>
      <c r="X521" s="6"/>
      <c r="Y521" s="6"/>
      <c r="Z521" s="6"/>
      <c r="AA521" s="6"/>
      <c r="AB521" s="6"/>
      <c r="AC521" s="6"/>
      <c r="AD521" s="6"/>
      <c r="AE521" s="6"/>
    </row>
    <row r="522" spans="22:31" ht="11.25" customHeight="1" x14ac:dyDescent="0.3">
      <c r="V522" s="6"/>
      <c r="W522" s="6"/>
      <c r="X522" s="6"/>
      <c r="Y522" s="6"/>
      <c r="Z522" s="6"/>
      <c r="AA522" s="6"/>
      <c r="AB522" s="6"/>
      <c r="AC522" s="6"/>
      <c r="AD522" s="6"/>
      <c r="AE522" s="6"/>
    </row>
    <row r="523" spans="22:31" ht="11.25" customHeight="1" x14ac:dyDescent="0.3">
      <c r="V523" s="6"/>
      <c r="W523" s="6"/>
      <c r="X523" s="6"/>
      <c r="Y523" s="6"/>
      <c r="Z523" s="6"/>
      <c r="AA523" s="6"/>
      <c r="AB523" s="6"/>
      <c r="AC523" s="6"/>
      <c r="AD523" s="6"/>
      <c r="AE523" s="6"/>
    </row>
    <row r="524" spans="22:31" ht="11.25" customHeight="1" x14ac:dyDescent="0.3">
      <c r="V524" s="6"/>
      <c r="W524" s="6"/>
      <c r="X524" s="6"/>
      <c r="Y524" s="6"/>
      <c r="Z524" s="6"/>
      <c r="AA524" s="6"/>
      <c r="AB524" s="6"/>
      <c r="AC524" s="6"/>
      <c r="AD524" s="6"/>
      <c r="AE524" s="6"/>
    </row>
    <row r="525" spans="22:31" ht="11.25" customHeight="1" x14ac:dyDescent="0.3">
      <c r="V525" s="6"/>
      <c r="W525" s="6"/>
      <c r="X525" s="6"/>
      <c r="Y525" s="6"/>
      <c r="Z525" s="6"/>
      <c r="AA525" s="6"/>
      <c r="AB525" s="6"/>
      <c r="AC525" s="6"/>
      <c r="AD525" s="6"/>
      <c r="AE525" s="6"/>
    </row>
    <row r="526" spans="22:31" ht="11.25" customHeight="1" x14ac:dyDescent="0.3">
      <c r="V526" s="6"/>
      <c r="W526" s="6"/>
      <c r="X526" s="6"/>
      <c r="Y526" s="6"/>
      <c r="Z526" s="6"/>
      <c r="AA526" s="6"/>
      <c r="AB526" s="6"/>
      <c r="AC526" s="6"/>
      <c r="AD526" s="6"/>
      <c r="AE526" s="6"/>
    </row>
    <row r="527" spans="22:31" ht="11.25" customHeight="1" x14ac:dyDescent="0.3">
      <c r="V527" s="6"/>
      <c r="W527" s="6"/>
      <c r="X527" s="6"/>
      <c r="Y527" s="6"/>
      <c r="Z527" s="6"/>
      <c r="AA527" s="6"/>
      <c r="AB527" s="6"/>
      <c r="AC527" s="6"/>
      <c r="AD527" s="6"/>
      <c r="AE527" s="6"/>
    </row>
    <row r="528" spans="22:31" ht="11.25" customHeight="1" x14ac:dyDescent="0.3">
      <c r="V528" s="6"/>
      <c r="W528" s="6"/>
      <c r="X528" s="6"/>
      <c r="Y528" s="6"/>
      <c r="Z528" s="6"/>
      <c r="AA528" s="6"/>
      <c r="AB528" s="6"/>
      <c r="AC528" s="6"/>
      <c r="AD528" s="6"/>
      <c r="AE528" s="6"/>
    </row>
    <row r="529" spans="22:31" ht="11.25" customHeight="1" x14ac:dyDescent="0.3">
      <c r="V529" s="6"/>
      <c r="W529" s="6"/>
      <c r="X529" s="6"/>
      <c r="Y529" s="6"/>
      <c r="Z529" s="6"/>
      <c r="AA529" s="6"/>
      <c r="AB529" s="6"/>
      <c r="AC529" s="6"/>
      <c r="AD529" s="6"/>
      <c r="AE529" s="6"/>
    </row>
    <row r="530" spans="22:31" ht="11.25" customHeight="1" x14ac:dyDescent="0.3">
      <c r="V530" s="6"/>
      <c r="W530" s="6"/>
      <c r="X530" s="6"/>
      <c r="Y530" s="6"/>
      <c r="Z530" s="6"/>
      <c r="AA530" s="6"/>
      <c r="AB530" s="6"/>
      <c r="AC530" s="6"/>
      <c r="AD530" s="6"/>
      <c r="AE530" s="6"/>
    </row>
    <row r="531" spans="22:31" ht="11.25" customHeight="1" x14ac:dyDescent="0.3">
      <c r="V531" s="6"/>
      <c r="W531" s="6"/>
      <c r="X531" s="6"/>
      <c r="Y531" s="6"/>
      <c r="Z531" s="6"/>
      <c r="AA531" s="6"/>
      <c r="AB531" s="6"/>
      <c r="AC531" s="6"/>
      <c r="AD531" s="6"/>
      <c r="AE531" s="6"/>
    </row>
    <row r="532" spans="22:31" ht="11.25" customHeight="1" x14ac:dyDescent="0.3">
      <c r="V532" s="6"/>
      <c r="W532" s="6"/>
      <c r="X532" s="6"/>
      <c r="Y532" s="6"/>
      <c r="Z532" s="6"/>
      <c r="AA532" s="6"/>
      <c r="AB532" s="6"/>
      <c r="AC532" s="6"/>
      <c r="AD532" s="6"/>
      <c r="AE532" s="6"/>
    </row>
    <row r="533" spans="22:31" ht="11.25" customHeight="1" x14ac:dyDescent="0.3">
      <c r="V533" s="6"/>
      <c r="W533" s="6"/>
      <c r="X533" s="6"/>
      <c r="Y533" s="6"/>
      <c r="Z533" s="6"/>
      <c r="AA533" s="6"/>
      <c r="AB533" s="6"/>
      <c r="AC533" s="6"/>
      <c r="AD533" s="6"/>
      <c r="AE533" s="6"/>
    </row>
    <row r="534" spans="22:31" ht="11.25" customHeight="1" x14ac:dyDescent="0.3">
      <c r="V534" s="6"/>
      <c r="W534" s="6"/>
      <c r="X534" s="6"/>
      <c r="Y534" s="6"/>
      <c r="Z534" s="6"/>
      <c r="AA534" s="6"/>
      <c r="AB534" s="6"/>
      <c r="AC534" s="6"/>
      <c r="AD534" s="6"/>
      <c r="AE534" s="6"/>
    </row>
    <row r="535" spans="22:31" ht="11.25" customHeight="1" x14ac:dyDescent="0.3">
      <c r="V535" s="6"/>
      <c r="W535" s="6"/>
      <c r="X535" s="6"/>
      <c r="Y535" s="6"/>
      <c r="Z535" s="6"/>
      <c r="AA535" s="6"/>
      <c r="AB535" s="6"/>
      <c r="AC535" s="6"/>
      <c r="AD535" s="6"/>
      <c r="AE535" s="6"/>
    </row>
    <row r="536" spans="22:31" ht="11.25" customHeight="1" x14ac:dyDescent="0.3">
      <c r="V536" s="6"/>
      <c r="W536" s="6"/>
      <c r="X536" s="6"/>
      <c r="Y536" s="6"/>
      <c r="Z536" s="6"/>
      <c r="AA536" s="6"/>
      <c r="AB536" s="6"/>
      <c r="AC536" s="6"/>
      <c r="AD536" s="6"/>
      <c r="AE536" s="6"/>
    </row>
    <row r="537" spans="22:31" ht="11.25" customHeight="1" x14ac:dyDescent="0.3">
      <c r="V537" s="6"/>
      <c r="W537" s="6"/>
      <c r="X537" s="6"/>
      <c r="Y537" s="6"/>
      <c r="Z537" s="6"/>
      <c r="AA537" s="6"/>
      <c r="AB537" s="6"/>
      <c r="AC537" s="6"/>
      <c r="AD537" s="6"/>
      <c r="AE537" s="6"/>
    </row>
    <row r="538" spans="22:31" ht="11.25" customHeight="1" x14ac:dyDescent="0.3">
      <c r="V538" s="6"/>
      <c r="W538" s="6"/>
      <c r="X538" s="6"/>
      <c r="Y538" s="6"/>
      <c r="Z538" s="6"/>
      <c r="AA538" s="6"/>
      <c r="AB538" s="6"/>
      <c r="AC538" s="6"/>
      <c r="AD538" s="6"/>
      <c r="AE538" s="6"/>
    </row>
    <row r="539" spans="22:31" ht="11.25" customHeight="1" x14ac:dyDescent="0.3">
      <c r="V539" s="6"/>
      <c r="W539" s="6"/>
      <c r="X539" s="6"/>
      <c r="Y539" s="6"/>
      <c r="Z539" s="6"/>
      <c r="AA539" s="6"/>
      <c r="AB539" s="6"/>
      <c r="AC539" s="6"/>
      <c r="AD539" s="6"/>
      <c r="AE539" s="6"/>
    </row>
    <row r="540" spans="22:31" ht="11.25" customHeight="1" x14ac:dyDescent="0.3">
      <c r="V540" s="6"/>
      <c r="W540" s="6"/>
      <c r="X540" s="6"/>
      <c r="Y540" s="6"/>
      <c r="Z540" s="6"/>
      <c r="AA540" s="6"/>
      <c r="AB540" s="6"/>
      <c r="AC540" s="6"/>
      <c r="AD540" s="6"/>
      <c r="AE540" s="6"/>
    </row>
    <row r="541" spans="22:31" ht="11.25" customHeight="1" x14ac:dyDescent="0.3">
      <c r="V541" s="6"/>
      <c r="W541" s="6"/>
      <c r="X541" s="6"/>
      <c r="Y541" s="6"/>
      <c r="Z541" s="6"/>
      <c r="AA541" s="6"/>
      <c r="AB541" s="6"/>
      <c r="AC541" s="6"/>
      <c r="AD541" s="6"/>
      <c r="AE541" s="6"/>
    </row>
    <row r="542" spans="22:31" ht="11.25" customHeight="1" x14ac:dyDescent="0.3">
      <c r="V542" s="6"/>
      <c r="W542" s="6"/>
      <c r="X542" s="6"/>
      <c r="Y542" s="6"/>
      <c r="Z542" s="6"/>
      <c r="AA542" s="6"/>
      <c r="AB542" s="6"/>
      <c r="AC542" s="6"/>
      <c r="AD542" s="6"/>
      <c r="AE542" s="6"/>
    </row>
    <row r="543" spans="22:31" ht="11.25" customHeight="1" x14ac:dyDescent="0.3">
      <c r="V543" s="6"/>
      <c r="W543" s="6"/>
      <c r="X543" s="6"/>
      <c r="Y543" s="6"/>
      <c r="Z543" s="6"/>
      <c r="AA543" s="6"/>
      <c r="AB543" s="6"/>
      <c r="AC543" s="6"/>
      <c r="AD543" s="6"/>
      <c r="AE543" s="6"/>
    </row>
    <row r="544" spans="22:31" ht="11.25" customHeight="1" x14ac:dyDescent="0.3">
      <c r="V544" s="6"/>
      <c r="W544" s="6"/>
      <c r="X544" s="6"/>
      <c r="Y544" s="6"/>
      <c r="Z544" s="6"/>
      <c r="AA544" s="6"/>
      <c r="AB544" s="6"/>
      <c r="AC544" s="6"/>
      <c r="AD544" s="6"/>
      <c r="AE544" s="6"/>
    </row>
    <row r="545" spans="22:31" ht="11.25" customHeight="1" x14ac:dyDescent="0.3">
      <c r="V545" s="6"/>
      <c r="W545" s="6"/>
      <c r="X545" s="6"/>
      <c r="Y545" s="6"/>
      <c r="Z545" s="6"/>
      <c r="AA545" s="6"/>
      <c r="AB545" s="6"/>
      <c r="AC545" s="6"/>
      <c r="AD545" s="6"/>
      <c r="AE545" s="6"/>
    </row>
    <row r="546" spans="22:31" ht="11.25" customHeight="1" x14ac:dyDescent="0.3">
      <c r="V546" s="6"/>
      <c r="W546" s="6"/>
      <c r="X546" s="6"/>
      <c r="Y546" s="6"/>
      <c r="Z546" s="6"/>
      <c r="AA546" s="6"/>
      <c r="AB546" s="6"/>
      <c r="AC546" s="6"/>
      <c r="AD546" s="6"/>
      <c r="AE546" s="6"/>
    </row>
    <row r="547" spans="22:31" ht="11.25" customHeight="1" x14ac:dyDescent="0.3">
      <c r="V547" s="6"/>
      <c r="W547" s="6"/>
      <c r="X547" s="6"/>
      <c r="Y547" s="6"/>
      <c r="Z547" s="6"/>
      <c r="AA547" s="6"/>
      <c r="AB547" s="6"/>
      <c r="AC547" s="6"/>
      <c r="AD547" s="6"/>
      <c r="AE547" s="6"/>
    </row>
    <row r="548" spans="22:31" ht="11.25" customHeight="1" x14ac:dyDescent="0.3">
      <c r="V548" s="6"/>
      <c r="W548" s="6"/>
      <c r="X548" s="6"/>
      <c r="Y548" s="6"/>
      <c r="Z548" s="6"/>
      <c r="AA548" s="6"/>
      <c r="AB548" s="6"/>
      <c r="AC548" s="6"/>
      <c r="AD548" s="6"/>
      <c r="AE548" s="6"/>
    </row>
    <row r="549" spans="22:31" ht="11.25" customHeight="1" x14ac:dyDescent="0.3">
      <c r="V549" s="6"/>
      <c r="W549" s="6"/>
      <c r="X549" s="6"/>
      <c r="Y549" s="6"/>
      <c r="Z549" s="6"/>
      <c r="AA549" s="6"/>
      <c r="AB549" s="6"/>
      <c r="AC549" s="6"/>
      <c r="AD549" s="6"/>
      <c r="AE549" s="6"/>
    </row>
    <row r="550" spans="22:31" ht="11.25" customHeight="1" x14ac:dyDescent="0.3">
      <c r="V550" s="6"/>
      <c r="W550" s="6"/>
      <c r="X550" s="6"/>
      <c r="Y550" s="6"/>
      <c r="Z550" s="6"/>
      <c r="AA550" s="6"/>
      <c r="AB550" s="6"/>
      <c r="AC550" s="6"/>
      <c r="AD550" s="6"/>
      <c r="AE550" s="6"/>
    </row>
    <row r="551" spans="22:31" ht="11.25" customHeight="1" x14ac:dyDescent="0.3">
      <c r="V551" s="6"/>
      <c r="W551" s="6"/>
      <c r="X551" s="6"/>
      <c r="Y551" s="6"/>
      <c r="Z551" s="6"/>
      <c r="AA551" s="6"/>
      <c r="AB551" s="6"/>
      <c r="AC551" s="6"/>
      <c r="AD551" s="6"/>
      <c r="AE551" s="6"/>
    </row>
    <row r="552" spans="22:31" ht="11.25" customHeight="1" x14ac:dyDescent="0.3">
      <c r="V552" s="6"/>
      <c r="W552" s="6"/>
      <c r="X552" s="6"/>
      <c r="Y552" s="6"/>
      <c r="Z552" s="6"/>
      <c r="AA552" s="6"/>
      <c r="AB552" s="6"/>
      <c r="AC552" s="6"/>
      <c r="AD552" s="6"/>
      <c r="AE552" s="6"/>
    </row>
    <row r="553" spans="22:31" ht="11.25" customHeight="1" x14ac:dyDescent="0.3">
      <c r="V553" s="6"/>
      <c r="W553" s="6"/>
      <c r="X553" s="6"/>
      <c r="Y553" s="6"/>
      <c r="Z553" s="6"/>
      <c r="AA553" s="6"/>
      <c r="AB553" s="6"/>
      <c r="AC553" s="6"/>
      <c r="AD553" s="6"/>
      <c r="AE553" s="6"/>
    </row>
    <row r="554" spans="22:31" ht="11.25" customHeight="1" x14ac:dyDescent="0.3">
      <c r="V554" s="6"/>
      <c r="W554" s="6"/>
      <c r="X554" s="6"/>
      <c r="Y554" s="6"/>
      <c r="Z554" s="6"/>
      <c r="AA554" s="6"/>
      <c r="AB554" s="6"/>
      <c r="AC554" s="6"/>
      <c r="AD554" s="6"/>
      <c r="AE554" s="6"/>
    </row>
    <row r="555" spans="22:31" ht="11.25" customHeight="1" x14ac:dyDescent="0.3">
      <c r="V555" s="6"/>
      <c r="W555" s="6"/>
      <c r="X555" s="6"/>
      <c r="Y555" s="6"/>
      <c r="Z555" s="6"/>
      <c r="AA555" s="6"/>
      <c r="AB555" s="6"/>
      <c r="AC555" s="6"/>
      <c r="AD555" s="6"/>
      <c r="AE555" s="6"/>
    </row>
    <row r="556" spans="22:31" ht="11.25" customHeight="1" x14ac:dyDescent="0.3">
      <c r="V556" s="6"/>
      <c r="W556" s="6"/>
      <c r="X556" s="6"/>
      <c r="Y556" s="6"/>
      <c r="Z556" s="6"/>
      <c r="AA556" s="6"/>
      <c r="AB556" s="6"/>
      <c r="AC556" s="6"/>
      <c r="AD556" s="6"/>
      <c r="AE556" s="6"/>
    </row>
    <row r="557" spans="22:31" ht="11.25" customHeight="1" x14ac:dyDescent="0.3">
      <c r="V557" s="6"/>
      <c r="W557" s="6"/>
      <c r="X557" s="6"/>
      <c r="Y557" s="6"/>
      <c r="Z557" s="6"/>
      <c r="AA557" s="6"/>
      <c r="AB557" s="6"/>
      <c r="AC557" s="6"/>
      <c r="AD557" s="6"/>
      <c r="AE557" s="6"/>
    </row>
    <row r="558" spans="22:31" ht="11.25" customHeight="1" x14ac:dyDescent="0.3">
      <c r="V558" s="6"/>
      <c r="W558" s="6"/>
      <c r="X558" s="6"/>
      <c r="Y558" s="6"/>
      <c r="Z558" s="6"/>
      <c r="AA558" s="6"/>
      <c r="AB558" s="6"/>
      <c r="AC558" s="6"/>
      <c r="AD558" s="6"/>
      <c r="AE558" s="6"/>
    </row>
    <row r="559" spans="22:31" ht="11.25" customHeight="1" x14ac:dyDescent="0.3">
      <c r="V559" s="6"/>
      <c r="W559" s="6"/>
      <c r="X559" s="6"/>
      <c r="Y559" s="6"/>
      <c r="Z559" s="6"/>
      <c r="AA559" s="6"/>
      <c r="AB559" s="6"/>
      <c r="AC559" s="6"/>
      <c r="AD559" s="6"/>
      <c r="AE559" s="6"/>
    </row>
    <row r="560" spans="22:31" ht="11.25" customHeight="1" x14ac:dyDescent="0.3">
      <c r="V560" s="6"/>
      <c r="W560" s="6"/>
      <c r="X560" s="6"/>
      <c r="Y560" s="6"/>
      <c r="Z560" s="6"/>
      <c r="AA560" s="6"/>
      <c r="AB560" s="6"/>
      <c r="AC560" s="6"/>
      <c r="AD560" s="6"/>
      <c r="AE560" s="6"/>
    </row>
    <row r="561" spans="22:31" ht="11.25" customHeight="1" x14ac:dyDescent="0.3">
      <c r="V561" s="6"/>
      <c r="W561" s="6"/>
      <c r="X561" s="6"/>
      <c r="Y561" s="6"/>
      <c r="Z561" s="6"/>
      <c r="AA561" s="6"/>
      <c r="AB561" s="6"/>
      <c r="AC561" s="6"/>
      <c r="AD561" s="6"/>
      <c r="AE561" s="6"/>
    </row>
    <row r="562" spans="22:31" ht="11.25" customHeight="1" x14ac:dyDescent="0.3">
      <c r="V562" s="6"/>
      <c r="W562" s="6"/>
      <c r="X562" s="6"/>
      <c r="Y562" s="6"/>
      <c r="Z562" s="6"/>
      <c r="AA562" s="6"/>
      <c r="AB562" s="6"/>
      <c r="AC562" s="6"/>
      <c r="AD562" s="6"/>
      <c r="AE562" s="6"/>
    </row>
    <row r="563" spans="22:31" ht="11.25" customHeight="1" x14ac:dyDescent="0.3">
      <c r="V563" s="6"/>
      <c r="W563" s="6"/>
      <c r="X563" s="6"/>
      <c r="Y563" s="6"/>
      <c r="Z563" s="6"/>
      <c r="AA563" s="6"/>
      <c r="AB563" s="6"/>
      <c r="AC563" s="6"/>
      <c r="AD563" s="6"/>
      <c r="AE563" s="6"/>
    </row>
    <row r="564" spans="22:31" ht="11.25" customHeight="1" x14ac:dyDescent="0.3">
      <c r="V564" s="6"/>
      <c r="W564" s="6"/>
      <c r="X564" s="6"/>
      <c r="Y564" s="6"/>
      <c r="Z564" s="6"/>
      <c r="AA564" s="6"/>
      <c r="AB564" s="6"/>
      <c r="AC564" s="6"/>
      <c r="AD564" s="6"/>
      <c r="AE564" s="6"/>
    </row>
    <row r="565" spans="22:31" ht="11.25" customHeight="1" x14ac:dyDescent="0.3">
      <c r="V565" s="6"/>
      <c r="W565" s="6"/>
      <c r="X565" s="6"/>
      <c r="Y565" s="6"/>
      <c r="Z565" s="6"/>
      <c r="AA565" s="6"/>
      <c r="AB565" s="6"/>
      <c r="AC565" s="6"/>
      <c r="AD565" s="6"/>
      <c r="AE565" s="6"/>
    </row>
    <row r="566" spans="22:31" ht="11.25" customHeight="1" x14ac:dyDescent="0.3">
      <c r="V566" s="6"/>
      <c r="W566" s="6"/>
      <c r="X566" s="6"/>
      <c r="Y566" s="6"/>
      <c r="Z566" s="6"/>
      <c r="AA566" s="6"/>
      <c r="AB566" s="6"/>
      <c r="AC566" s="6"/>
      <c r="AD566" s="6"/>
      <c r="AE566" s="6"/>
    </row>
    <row r="567" spans="22:31" ht="11.25" customHeight="1" x14ac:dyDescent="0.3">
      <c r="V567" s="6"/>
      <c r="W567" s="6"/>
      <c r="X567" s="6"/>
      <c r="Y567" s="6"/>
      <c r="Z567" s="6"/>
      <c r="AA567" s="6"/>
      <c r="AB567" s="6"/>
      <c r="AC567" s="6"/>
      <c r="AD567" s="6"/>
      <c r="AE567" s="6"/>
    </row>
    <row r="568" spans="22:31" ht="11.25" customHeight="1" x14ac:dyDescent="0.3">
      <c r="V568" s="6"/>
      <c r="W568" s="6"/>
      <c r="X568" s="6"/>
      <c r="Y568" s="6"/>
      <c r="Z568" s="6"/>
      <c r="AA568" s="6"/>
      <c r="AB568" s="6"/>
      <c r="AC568" s="6"/>
      <c r="AD568" s="6"/>
      <c r="AE568" s="6"/>
    </row>
    <row r="569" spans="22:31" ht="11.25" customHeight="1" x14ac:dyDescent="0.3">
      <c r="V569" s="6"/>
      <c r="W569" s="6"/>
      <c r="X569" s="6"/>
      <c r="Y569" s="6"/>
      <c r="Z569" s="6"/>
      <c r="AA569" s="6"/>
      <c r="AB569" s="6"/>
      <c r="AC569" s="6"/>
      <c r="AD569" s="6"/>
      <c r="AE569" s="6"/>
    </row>
    <row r="570" spans="22:31" ht="11.25" customHeight="1" x14ac:dyDescent="0.3">
      <c r="V570" s="6"/>
      <c r="W570" s="6"/>
      <c r="X570" s="6"/>
      <c r="Y570" s="6"/>
      <c r="Z570" s="6"/>
      <c r="AA570" s="6"/>
      <c r="AB570" s="6"/>
      <c r="AC570" s="6"/>
      <c r="AD570" s="6"/>
      <c r="AE570" s="6"/>
    </row>
    <row r="571" spans="22:31" ht="11.25" customHeight="1" x14ac:dyDescent="0.3">
      <c r="V571" s="6"/>
      <c r="W571" s="6"/>
      <c r="X571" s="6"/>
      <c r="Y571" s="6"/>
      <c r="Z571" s="6"/>
      <c r="AA571" s="6"/>
      <c r="AB571" s="6"/>
      <c r="AC571" s="6"/>
      <c r="AD571" s="6"/>
      <c r="AE571" s="6"/>
    </row>
    <row r="572" spans="22:31" ht="11.25" customHeight="1" x14ac:dyDescent="0.3">
      <c r="V572" s="6"/>
      <c r="W572" s="6"/>
      <c r="X572" s="6"/>
      <c r="Y572" s="6"/>
      <c r="Z572" s="6"/>
      <c r="AA572" s="6"/>
      <c r="AB572" s="6"/>
      <c r="AC572" s="6"/>
      <c r="AD572" s="6"/>
      <c r="AE572" s="6"/>
    </row>
    <row r="573" spans="22:31" ht="11.25" customHeight="1" x14ac:dyDescent="0.3">
      <c r="V573" s="6"/>
      <c r="W573" s="6"/>
      <c r="X573" s="6"/>
      <c r="Y573" s="6"/>
      <c r="Z573" s="6"/>
      <c r="AA573" s="6"/>
      <c r="AB573" s="6"/>
      <c r="AC573" s="6"/>
      <c r="AD573" s="6"/>
      <c r="AE573" s="6"/>
    </row>
    <row r="574" spans="22:31" ht="11.25" customHeight="1" x14ac:dyDescent="0.3">
      <c r="V574" s="6"/>
      <c r="W574" s="6"/>
      <c r="X574" s="6"/>
      <c r="Y574" s="6"/>
      <c r="Z574" s="6"/>
      <c r="AA574" s="6"/>
      <c r="AB574" s="6"/>
      <c r="AC574" s="6"/>
      <c r="AD574" s="6"/>
      <c r="AE574" s="6"/>
    </row>
    <row r="575" spans="22:31" ht="11.25" customHeight="1" x14ac:dyDescent="0.3">
      <c r="V575" s="6"/>
      <c r="W575" s="6"/>
      <c r="X575" s="6"/>
      <c r="Y575" s="6"/>
      <c r="Z575" s="6"/>
      <c r="AA575" s="6"/>
      <c r="AB575" s="6"/>
      <c r="AC575" s="6"/>
      <c r="AD575" s="6"/>
      <c r="AE575" s="6"/>
    </row>
    <row r="576" spans="22:31" ht="11.25" customHeight="1" x14ac:dyDescent="0.3">
      <c r="V576" s="6"/>
      <c r="W576" s="6"/>
      <c r="X576" s="6"/>
      <c r="Y576" s="6"/>
      <c r="Z576" s="6"/>
      <c r="AA576" s="6"/>
      <c r="AB576" s="6"/>
      <c r="AC576" s="6"/>
      <c r="AD576" s="6"/>
      <c r="AE576" s="6"/>
    </row>
    <row r="577" spans="22:31" ht="11.25" customHeight="1" x14ac:dyDescent="0.3">
      <c r="V577" s="6"/>
      <c r="W577" s="6"/>
      <c r="X577" s="6"/>
      <c r="Y577" s="6"/>
      <c r="Z577" s="6"/>
      <c r="AA577" s="6"/>
      <c r="AB577" s="6"/>
      <c r="AC577" s="6"/>
      <c r="AD577" s="6"/>
      <c r="AE577" s="6"/>
    </row>
    <row r="578" spans="22:31" ht="11.25" customHeight="1" x14ac:dyDescent="0.3">
      <c r="V578" s="6"/>
      <c r="W578" s="6"/>
      <c r="X578" s="6"/>
      <c r="Y578" s="6"/>
      <c r="Z578" s="6"/>
      <c r="AA578" s="6"/>
      <c r="AB578" s="6"/>
      <c r="AC578" s="6"/>
      <c r="AD578" s="6"/>
      <c r="AE578" s="6"/>
    </row>
    <row r="579" spans="22:31" ht="11.25" customHeight="1" x14ac:dyDescent="0.3">
      <c r="V579" s="6"/>
      <c r="W579" s="6"/>
      <c r="X579" s="6"/>
      <c r="Y579" s="6"/>
      <c r="Z579" s="6"/>
      <c r="AA579" s="6"/>
      <c r="AB579" s="6"/>
      <c r="AC579" s="6"/>
      <c r="AD579" s="6"/>
      <c r="AE579" s="6"/>
    </row>
    <row r="580" spans="22:31" ht="11.25" customHeight="1" x14ac:dyDescent="0.3">
      <c r="V580" s="6"/>
      <c r="W580" s="6"/>
      <c r="X580" s="6"/>
      <c r="Y580" s="6"/>
      <c r="Z580" s="6"/>
      <c r="AA580" s="6"/>
      <c r="AB580" s="6"/>
      <c r="AC580" s="6"/>
      <c r="AD580" s="6"/>
      <c r="AE580" s="6"/>
    </row>
    <row r="581" spans="22:31" ht="11.25" customHeight="1" x14ac:dyDescent="0.3">
      <c r="V581" s="6"/>
      <c r="W581" s="6"/>
      <c r="X581" s="6"/>
      <c r="Y581" s="6"/>
      <c r="Z581" s="6"/>
      <c r="AA581" s="6"/>
      <c r="AB581" s="6"/>
      <c r="AC581" s="6"/>
      <c r="AD581" s="6"/>
      <c r="AE581" s="6"/>
    </row>
    <row r="582" spans="22:31" ht="11.25" customHeight="1" x14ac:dyDescent="0.3">
      <c r="V582" s="6"/>
      <c r="W582" s="6"/>
      <c r="X582" s="6"/>
      <c r="Y582" s="6"/>
      <c r="Z582" s="6"/>
      <c r="AA582" s="6"/>
      <c r="AB582" s="6"/>
      <c r="AC582" s="6"/>
      <c r="AD582" s="6"/>
      <c r="AE582" s="6"/>
    </row>
    <row r="583" spans="22:31" ht="11.25" customHeight="1" x14ac:dyDescent="0.3">
      <c r="V583" s="6"/>
      <c r="W583" s="6"/>
      <c r="X583" s="6"/>
      <c r="Y583" s="6"/>
      <c r="Z583" s="6"/>
      <c r="AA583" s="6"/>
      <c r="AB583" s="6"/>
      <c r="AC583" s="6"/>
      <c r="AD583" s="6"/>
      <c r="AE583" s="6"/>
    </row>
    <row r="584" spans="22:31" ht="11.25" customHeight="1" x14ac:dyDescent="0.3">
      <c r="V584" s="6"/>
      <c r="W584" s="6"/>
      <c r="X584" s="6"/>
      <c r="Y584" s="6"/>
      <c r="Z584" s="6"/>
      <c r="AA584" s="6"/>
      <c r="AB584" s="6"/>
      <c r="AC584" s="6"/>
      <c r="AD584" s="6"/>
      <c r="AE584" s="6"/>
    </row>
    <row r="585" spans="22:31" ht="11.25" customHeight="1" x14ac:dyDescent="0.3">
      <c r="V585" s="6"/>
      <c r="W585" s="6"/>
      <c r="X585" s="6"/>
      <c r="Y585" s="6"/>
      <c r="Z585" s="6"/>
      <c r="AA585" s="6"/>
      <c r="AB585" s="6"/>
      <c r="AC585" s="6"/>
      <c r="AD585" s="6"/>
      <c r="AE585" s="6"/>
    </row>
    <row r="586" spans="22:31" ht="11.25" customHeight="1" x14ac:dyDescent="0.3">
      <c r="V586" s="6"/>
      <c r="W586" s="6"/>
      <c r="X586" s="6"/>
      <c r="Y586" s="6"/>
      <c r="Z586" s="6"/>
      <c r="AA586" s="6"/>
      <c r="AB586" s="6"/>
      <c r="AC586" s="6"/>
      <c r="AD586" s="6"/>
      <c r="AE586" s="6"/>
    </row>
    <row r="587" spans="22:31" ht="11.25" customHeight="1" x14ac:dyDescent="0.3">
      <c r="V587" s="6"/>
      <c r="W587" s="6"/>
      <c r="X587" s="6"/>
      <c r="Y587" s="6"/>
      <c r="Z587" s="6"/>
      <c r="AA587" s="6"/>
      <c r="AB587" s="6"/>
      <c r="AC587" s="6"/>
      <c r="AD587" s="6"/>
      <c r="AE587" s="6"/>
    </row>
    <row r="588" spans="22:31" ht="11.25" customHeight="1" x14ac:dyDescent="0.3">
      <c r="V588" s="6"/>
      <c r="W588" s="6"/>
      <c r="X588" s="6"/>
      <c r="Y588" s="6"/>
      <c r="Z588" s="6"/>
      <c r="AA588" s="6"/>
      <c r="AB588" s="6"/>
      <c r="AC588" s="6"/>
      <c r="AD588" s="6"/>
      <c r="AE588" s="6"/>
    </row>
    <row r="589" spans="22:31" ht="11.25" customHeight="1" x14ac:dyDescent="0.3">
      <c r="V589" s="6"/>
      <c r="W589" s="6"/>
      <c r="X589" s="6"/>
      <c r="Y589" s="6"/>
      <c r="Z589" s="6"/>
      <c r="AA589" s="6"/>
      <c r="AB589" s="6"/>
      <c r="AC589" s="6"/>
      <c r="AD589" s="6"/>
      <c r="AE589" s="6"/>
    </row>
    <row r="590" spans="22:31" ht="11.25" customHeight="1" x14ac:dyDescent="0.3">
      <c r="V590" s="6"/>
      <c r="W590" s="6"/>
      <c r="X590" s="6"/>
      <c r="Y590" s="6"/>
      <c r="Z590" s="6"/>
      <c r="AA590" s="6"/>
      <c r="AB590" s="6"/>
      <c r="AC590" s="6"/>
      <c r="AD590" s="6"/>
      <c r="AE590" s="6"/>
    </row>
    <row r="591" spans="22:31" ht="11.25" customHeight="1" x14ac:dyDescent="0.3">
      <c r="V591" s="6"/>
      <c r="W591" s="6"/>
      <c r="X591" s="6"/>
      <c r="Y591" s="6"/>
      <c r="Z591" s="6"/>
      <c r="AA591" s="6"/>
      <c r="AB591" s="6"/>
      <c r="AC591" s="6"/>
      <c r="AD591" s="6"/>
      <c r="AE591" s="6"/>
    </row>
    <row r="592" spans="22:31" ht="11.25" customHeight="1" x14ac:dyDescent="0.3">
      <c r="V592" s="6"/>
      <c r="W592" s="6"/>
      <c r="X592" s="6"/>
      <c r="Y592" s="6"/>
      <c r="Z592" s="6"/>
      <c r="AA592" s="6"/>
      <c r="AB592" s="6"/>
      <c r="AC592" s="6"/>
      <c r="AD592" s="6"/>
      <c r="AE592" s="6"/>
    </row>
    <row r="593" spans="22:31" ht="11.25" customHeight="1" x14ac:dyDescent="0.3">
      <c r="V593" s="6"/>
      <c r="W593" s="6"/>
      <c r="X593" s="6"/>
      <c r="Y593" s="6"/>
      <c r="Z593" s="6"/>
      <c r="AA593" s="6"/>
      <c r="AB593" s="6"/>
      <c r="AC593" s="6"/>
      <c r="AD593" s="6"/>
      <c r="AE593" s="6"/>
    </row>
    <row r="594" spans="22:31" ht="11.25" customHeight="1" x14ac:dyDescent="0.3">
      <c r="V594" s="6"/>
      <c r="W594" s="6"/>
      <c r="X594" s="6"/>
      <c r="Y594" s="6"/>
      <c r="Z594" s="6"/>
      <c r="AA594" s="6"/>
      <c r="AB594" s="6"/>
      <c r="AC594" s="6"/>
      <c r="AD594" s="6"/>
      <c r="AE594" s="6"/>
    </row>
    <row r="595" spans="22:31" ht="11.25" customHeight="1" x14ac:dyDescent="0.3">
      <c r="V595" s="6"/>
      <c r="W595" s="6"/>
      <c r="X595" s="6"/>
      <c r="Y595" s="6"/>
      <c r="Z595" s="6"/>
      <c r="AA595" s="6"/>
      <c r="AB595" s="6"/>
      <c r="AC595" s="6"/>
      <c r="AD595" s="6"/>
      <c r="AE595" s="6"/>
    </row>
    <row r="596" spans="22:31" ht="11.25" customHeight="1" x14ac:dyDescent="0.3">
      <c r="V596" s="6"/>
      <c r="W596" s="6"/>
      <c r="X596" s="6"/>
      <c r="Y596" s="6"/>
      <c r="Z596" s="6"/>
      <c r="AA596" s="6"/>
      <c r="AB596" s="6"/>
      <c r="AC596" s="6"/>
      <c r="AD596" s="6"/>
      <c r="AE596" s="6"/>
    </row>
    <row r="597" spans="22:31" ht="11.25" customHeight="1" x14ac:dyDescent="0.3">
      <c r="V597" s="6"/>
      <c r="W597" s="6"/>
      <c r="X597" s="6"/>
      <c r="Y597" s="6"/>
      <c r="Z597" s="6"/>
      <c r="AA597" s="6"/>
      <c r="AB597" s="6"/>
      <c r="AC597" s="6"/>
      <c r="AD597" s="6"/>
      <c r="AE597" s="6"/>
    </row>
    <row r="598" spans="22:31" ht="11.25" customHeight="1" x14ac:dyDescent="0.3">
      <c r="V598" s="6"/>
      <c r="W598" s="6"/>
      <c r="X598" s="6"/>
      <c r="Y598" s="6"/>
      <c r="Z598" s="6"/>
      <c r="AA598" s="6"/>
      <c r="AB598" s="6"/>
      <c r="AC598" s="6"/>
      <c r="AD598" s="6"/>
      <c r="AE598" s="6"/>
    </row>
    <row r="599" spans="22:31" ht="11.25" customHeight="1" x14ac:dyDescent="0.3">
      <c r="V599" s="6"/>
      <c r="W599" s="6"/>
      <c r="X599" s="6"/>
      <c r="Y599" s="6"/>
      <c r="Z599" s="6"/>
      <c r="AA599" s="6"/>
      <c r="AB599" s="6"/>
      <c r="AC599" s="6"/>
      <c r="AD599" s="6"/>
      <c r="AE599" s="6"/>
    </row>
    <row r="600" spans="22:31" ht="11.25" customHeight="1" x14ac:dyDescent="0.3">
      <c r="V600" s="6"/>
      <c r="W600" s="6"/>
      <c r="X600" s="6"/>
      <c r="Y600" s="6"/>
      <c r="Z600" s="6"/>
      <c r="AA600" s="6"/>
      <c r="AB600" s="6"/>
      <c r="AC600" s="6"/>
      <c r="AD600" s="6"/>
      <c r="AE600" s="6"/>
    </row>
    <row r="601" spans="22:31" ht="11.25" customHeight="1" x14ac:dyDescent="0.3">
      <c r="V601" s="6"/>
      <c r="W601" s="6"/>
      <c r="X601" s="6"/>
      <c r="Y601" s="6"/>
      <c r="Z601" s="6"/>
      <c r="AA601" s="6"/>
      <c r="AB601" s="6"/>
      <c r="AC601" s="6"/>
      <c r="AD601" s="6"/>
      <c r="AE601" s="6"/>
    </row>
    <row r="602" spans="22:31" ht="11.25" customHeight="1" x14ac:dyDescent="0.3">
      <c r="V602" s="6"/>
      <c r="W602" s="6"/>
      <c r="X602" s="6"/>
      <c r="Y602" s="6"/>
      <c r="Z602" s="6"/>
      <c r="AA602" s="6"/>
      <c r="AB602" s="6"/>
      <c r="AC602" s="6"/>
      <c r="AD602" s="6"/>
      <c r="AE602" s="6"/>
    </row>
    <row r="603" spans="22:31" ht="11.25" customHeight="1" x14ac:dyDescent="0.3">
      <c r="V603" s="6"/>
      <c r="W603" s="6"/>
      <c r="X603" s="6"/>
      <c r="Y603" s="6"/>
      <c r="Z603" s="6"/>
      <c r="AA603" s="6"/>
      <c r="AB603" s="6"/>
      <c r="AC603" s="6"/>
      <c r="AD603" s="6"/>
      <c r="AE603" s="6"/>
    </row>
    <row r="604" spans="22:31" ht="11.25" customHeight="1" x14ac:dyDescent="0.3">
      <c r="V604" s="6"/>
      <c r="W604" s="6"/>
      <c r="X604" s="6"/>
      <c r="Y604" s="6"/>
      <c r="Z604" s="6"/>
      <c r="AA604" s="6"/>
      <c r="AB604" s="6"/>
      <c r="AC604" s="6"/>
      <c r="AD604" s="6"/>
      <c r="AE604" s="6"/>
    </row>
    <row r="605" spans="22:31" ht="11.25" customHeight="1" x14ac:dyDescent="0.3">
      <c r="V605" s="6"/>
      <c r="W605" s="6"/>
      <c r="X605" s="6"/>
      <c r="Y605" s="6"/>
      <c r="Z605" s="6"/>
      <c r="AA605" s="6"/>
      <c r="AB605" s="6"/>
      <c r="AC605" s="6"/>
      <c r="AD605" s="6"/>
      <c r="AE605" s="6"/>
    </row>
    <row r="606" spans="22:31" ht="11.25" customHeight="1" x14ac:dyDescent="0.3">
      <c r="V606" s="6"/>
      <c r="W606" s="6"/>
      <c r="X606" s="6"/>
      <c r="Y606" s="6"/>
      <c r="Z606" s="6"/>
      <c r="AA606" s="6"/>
      <c r="AB606" s="6"/>
      <c r="AC606" s="6"/>
      <c r="AD606" s="6"/>
      <c r="AE606" s="6"/>
    </row>
    <row r="607" spans="22:31" ht="11.25" customHeight="1" x14ac:dyDescent="0.3">
      <c r="V607" s="6"/>
      <c r="W607" s="6"/>
      <c r="X607" s="6"/>
      <c r="Y607" s="6"/>
      <c r="Z607" s="6"/>
      <c r="AA607" s="6"/>
      <c r="AB607" s="6"/>
      <c r="AC607" s="6"/>
      <c r="AD607" s="6"/>
      <c r="AE607" s="6"/>
    </row>
    <row r="608" spans="22:31" ht="11.25" customHeight="1" x14ac:dyDescent="0.3">
      <c r="V608" s="6"/>
      <c r="W608" s="6"/>
      <c r="X608" s="6"/>
      <c r="Y608" s="6"/>
      <c r="Z608" s="6"/>
      <c r="AA608" s="6"/>
      <c r="AB608" s="6"/>
      <c r="AC608" s="6"/>
      <c r="AD608" s="6"/>
      <c r="AE608" s="6"/>
    </row>
    <row r="609" spans="22:31" ht="11.25" customHeight="1" x14ac:dyDescent="0.3">
      <c r="V609" s="6"/>
      <c r="W609" s="6"/>
      <c r="X609" s="6"/>
      <c r="Y609" s="6"/>
      <c r="Z609" s="6"/>
      <c r="AA609" s="6"/>
      <c r="AB609" s="6"/>
      <c r="AC609" s="6"/>
      <c r="AD609" s="6"/>
      <c r="AE609" s="6"/>
    </row>
    <row r="610" spans="22:31" ht="11.25" customHeight="1" x14ac:dyDescent="0.3">
      <c r="V610" s="6"/>
      <c r="W610" s="6"/>
      <c r="X610" s="6"/>
      <c r="Y610" s="6"/>
      <c r="Z610" s="6"/>
      <c r="AA610" s="6"/>
      <c r="AB610" s="6"/>
      <c r="AC610" s="6"/>
      <c r="AD610" s="6"/>
      <c r="AE610" s="6"/>
    </row>
    <row r="611" spans="22:31" ht="11.25" customHeight="1" x14ac:dyDescent="0.3">
      <c r="V611" s="6"/>
      <c r="W611" s="6"/>
      <c r="X611" s="6"/>
      <c r="Y611" s="6"/>
      <c r="Z611" s="6"/>
      <c r="AA611" s="6"/>
      <c r="AB611" s="6"/>
      <c r="AC611" s="6"/>
      <c r="AD611" s="6"/>
      <c r="AE611" s="6"/>
    </row>
    <row r="612" spans="22:31" ht="11.25" customHeight="1" x14ac:dyDescent="0.3">
      <c r="V612" s="6"/>
      <c r="W612" s="6"/>
      <c r="X612" s="6"/>
      <c r="Y612" s="6"/>
      <c r="Z612" s="6"/>
      <c r="AA612" s="6"/>
      <c r="AB612" s="6"/>
      <c r="AC612" s="6"/>
      <c r="AD612" s="6"/>
      <c r="AE612" s="6"/>
    </row>
    <row r="613" spans="22:31" ht="11.25" customHeight="1" x14ac:dyDescent="0.3">
      <c r="V613" s="6"/>
      <c r="W613" s="6"/>
      <c r="X613" s="6"/>
      <c r="Y613" s="6"/>
      <c r="Z613" s="6"/>
      <c r="AA613" s="6"/>
      <c r="AB613" s="6"/>
      <c r="AC613" s="6"/>
      <c r="AD613" s="6"/>
      <c r="AE613" s="6"/>
    </row>
    <row r="614" spans="22:31" ht="11.25" customHeight="1" x14ac:dyDescent="0.3">
      <c r="V614" s="6"/>
      <c r="W614" s="6"/>
      <c r="X614" s="6"/>
      <c r="Y614" s="6"/>
      <c r="Z614" s="6"/>
      <c r="AA614" s="6"/>
      <c r="AB614" s="6"/>
      <c r="AC614" s="6"/>
      <c r="AD614" s="6"/>
      <c r="AE614" s="6"/>
    </row>
    <row r="615" spans="22:31" ht="11.25" customHeight="1" x14ac:dyDescent="0.3">
      <c r="V615" s="6"/>
      <c r="W615" s="6"/>
      <c r="X615" s="6"/>
      <c r="Y615" s="6"/>
      <c r="Z615" s="6"/>
      <c r="AA615" s="6"/>
      <c r="AB615" s="6"/>
      <c r="AC615" s="6"/>
      <c r="AD615" s="6"/>
      <c r="AE615" s="6"/>
    </row>
    <row r="616" spans="22:31" ht="11.25" customHeight="1" x14ac:dyDescent="0.3">
      <c r="V616" s="6"/>
      <c r="W616" s="6"/>
      <c r="X616" s="6"/>
      <c r="Y616" s="6"/>
      <c r="Z616" s="6"/>
      <c r="AA616" s="6"/>
      <c r="AB616" s="6"/>
      <c r="AC616" s="6"/>
      <c r="AD616" s="6"/>
      <c r="AE616" s="6"/>
    </row>
    <row r="617" spans="22:31" ht="11.25" customHeight="1" x14ac:dyDescent="0.3">
      <c r="V617" s="6"/>
      <c r="W617" s="6"/>
      <c r="X617" s="6"/>
      <c r="Y617" s="6"/>
      <c r="Z617" s="6"/>
      <c r="AA617" s="6"/>
      <c r="AB617" s="6"/>
      <c r="AC617" s="6"/>
      <c r="AD617" s="6"/>
      <c r="AE617" s="6"/>
    </row>
    <row r="618" spans="22:31" ht="11.25" customHeight="1" x14ac:dyDescent="0.3">
      <c r="V618" s="6"/>
      <c r="W618" s="6"/>
      <c r="X618" s="6"/>
      <c r="Y618" s="6"/>
      <c r="Z618" s="6"/>
      <c r="AA618" s="6"/>
      <c r="AB618" s="6"/>
      <c r="AC618" s="6"/>
      <c r="AD618" s="6"/>
      <c r="AE618" s="6"/>
    </row>
    <row r="619" spans="22:31" ht="11.25" customHeight="1" x14ac:dyDescent="0.3">
      <c r="V619" s="6"/>
      <c r="W619" s="6"/>
      <c r="X619" s="6"/>
      <c r="Y619" s="6"/>
      <c r="Z619" s="6"/>
      <c r="AA619" s="6"/>
      <c r="AB619" s="6"/>
      <c r="AC619" s="6"/>
      <c r="AD619" s="6"/>
      <c r="AE619" s="6"/>
    </row>
    <row r="620" spans="22:31" ht="11.25" customHeight="1" x14ac:dyDescent="0.3">
      <c r="V620" s="6"/>
      <c r="W620" s="6"/>
      <c r="X620" s="6"/>
      <c r="Y620" s="6"/>
      <c r="Z620" s="6"/>
      <c r="AA620" s="6"/>
      <c r="AB620" s="6"/>
      <c r="AC620" s="6"/>
      <c r="AD620" s="6"/>
      <c r="AE620" s="6"/>
    </row>
    <row r="621" spans="22:31" ht="11.25" customHeight="1" x14ac:dyDescent="0.3">
      <c r="V621" s="6"/>
      <c r="W621" s="6"/>
      <c r="X621" s="6"/>
      <c r="Y621" s="6"/>
      <c r="Z621" s="6"/>
      <c r="AA621" s="6"/>
      <c r="AB621" s="6"/>
      <c r="AC621" s="6"/>
      <c r="AD621" s="6"/>
      <c r="AE621" s="6"/>
    </row>
    <row r="622" spans="22:31" ht="11.25" customHeight="1" x14ac:dyDescent="0.3">
      <c r="V622" s="6"/>
      <c r="W622" s="6"/>
      <c r="X622" s="6"/>
      <c r="Y622" s="6"/>
      <c r="Z622" s="6"/>
      <c r="AA622" s="6"/>
      <c r="AB622" s="6"/>
      <c r="AC622" s="6"/>
      <c r="AD622" s="6"/>
      <c r="AE622" s="6"/>
    </row>
    <row r="623" spans="22:31" ht="11.25" customHeight="1" x14ac:dyDescent="0.3">
      <c r="V623" s="6"/>
      <c r="W623" s="6"/>
      <c r="X623" s="6"/>
      <c r="Y623" s="6"/>
      <c r="Z623" s="6"/>
      <c r="AA623" s="6"/>
      <c r="AB623" s="6"/>
      <c r="AC623" s="6"/>
      <c r="AD623" s="6"/>
      <c r="AE623" s="6"/>
    </row>
    <row r="624" spans="22:31" ht="11.25" customHeight="1" x14ac:dyDescent="0.3">
      <c r="V624" s="6"/>
      <c r="W624" s="6"/>
      <c r="X624" s="6"/>
      <c r="Y624" s="6"/>
      <c r="Z624" s="6"/>
      <c r="AA624" s="6"/>
      <c r="AB624" s="6"/>
      <c r="AC624" s="6"/>
      <c r="AD624" s="6"/>
      <c r="AE624" s="6"/>
    </row>
    <row r="625" spans="22:31" ht="11.25" customHeight="1" x14ac:dyDescent="0.3">
      <c r="V625" s="6"/>
      <c r="W625" s="6"/>
      <c r="X625" s="6"/>
      <c r="Y625" s="6"/>
      <c r="Z625" s="6"/>
      <c r="AA625" s="6"/>
      <c r="AB625" s="6"/>
      <c r="AC625" s="6"/>
      <c r="AD625" s="6"/>
      <c r="AE625" s="6"/>
    </row>
    <row r="626" spans="22:31" ht="11.25" customHeight="1" x14ac:dyDescent="0.3">
      <c r="V626" s="6"/>
      <c r="W626" s="6"/>
      <c r="X626" s="6"/>
      <c r="Y626" s="6"/>
      <c r="Z626" s="6"/>
      <c r="AA626" s="6"/>
      <c r="AB626" s="6"/>
      <c r="AC626" s="6"/>
      <c r="AD626" s="6"/>
      <c r="AE626" s="6"/>
    </row>
    <row r="627" spans="22:31" ht="11.25" customHeight="1" x14ac:dyDescent="0.3">
      <c r="V627" s="6"/>
      <c r="W627" s="6"/>
      <c r="X627" s="6"/>
      <c r="Y627" s="6"/>
      <c r="Z627" s="6"/>
      <c r="AA627" s="6"/>
      <c r="AB627" s="6"/>
      <c r="AC627" s="6"/>
      <c r="AD627" s="6"/>
      <c r="AE627" s="6"/>
    </row>
    <row r="628" spans="22:31" ht="11.25" customHeight="1" x14ac:dyDescent="0.3">
      <c r="V628" s="6"/>
      <c r="W628" s="6"/>
      <c r="X628" s="6"/>
      <c r="Y628" s="6"/>
      <c r="Z628" s="6"/>
      <c r="AA628" s="6"/>
      <c r="AB628" s="6"/>
      <c r="AC628" s="6"/>
      <c r="AD628" s="6"/>
      <c r="AE628" s="6"/>
    </row>
    <row r="629" spans="22:31" ht="11.25" customHeight="1" x14ac:dyDescent="0.3">
      <c r="V629" s="6"/>
      <c r="W629" s="6"/>
      <c r="X629" s="6"/>
      <c r="Y629" s="6"/>
      <c r="Z629" s="6"/>
      <c r="AA629" s="6"/>
      <c r="AB629" s="6"/>
      <c r="AC629" s="6"/>
      <c r="AD629" s="6"/>
      <c r="AE629" s="6"/>
    </row>
    <row r="630" spans="22:31" ht="11.25" customHeight="1" x14ac:dyDescent="0.3">
      <c r="V630" s="6"/>
      <c r="W630" s="6"/>
      <c r="X630" s="6"/>
      <c r="Y630" s="6"/>
      <c r="Z630" s="6"/>
      <c r="AA630" s="6"/>
      <c r="AB630" s="6"/>
      <c r="AC630" s="6"/>
      <c r="AD630" s="6"/>
      <c r="AE630" s="6"/>
    </row>
    <row r="631" spans="22:31" ht="11.25" customHeight="1" x14ac:dyDescent="0.3">
      <c r="V631" s="6"/>
      <c r="W631" s="6"/>
      <c r="X631" s="6"/>
      <c r="Y631" s="6"/>
      <c r="Z631" s="6"/>
      <c r="AA631" s="6"/>
      <c r="AB631" s="6"/>
      <c r="AC631" s="6"/>
      <c r="AD631" s="6"/>
      <c r="AE631" s="6"/>
    </row>
    <row r="632" spans="22:31" ht="11.25" customHeight="1" x14ac:dyDescent="0.3">
      <c r="V632" s="6"/>
      <c r="W632" s="6"/>
      <c r="X632" s="6"/>
      <c r="Y632" s="6"/>
      <c r="Z632" s="6"/>
      <c r="AA632" s="6"/>
      <c r="AB632" s="6"/>
      <c r="AC632" s="6"/>
      <c r="AD632" s="6"/>
      <c r="AE632" s="6"/>
    </row>
    <row r="633" spans="22:31" ht="11.25" customHeight="1" x14ac:dyDescent="0.3">
      <c r="V633" s="6"/>
      <c r="W633" s="6"/>
      <c r="X633" s="6"/>
      <c r="Y633" s="6"/>
      <c r="Z633" s="6"/>
      <c r="AA633" s="6"/>
      <c r="AB633" s="6"/>
      <c r="AC633" s="6"/>
      <c r="AD633" s="6"/>
      <c r="AE633" s="6"/>
    </row>
    <row r="634" spans="22:31" ht="11.25" customHeight="1" x14ac:dyDescent="0.3">
      <c r="V634" s="6"/>
      <c r="W634" s="6"/>
      <c r="X634" s="6"/>
      <c r="Y634" s="6"/>
      <c r="Z634" s="6"/>
      <c r="AA634" s="6"/>
      <c r="AB634" s="6"/>
      <c r="AC634" s="6"/>
      <c r="AD634" s="6"/>
      <c r="AE634" s="6"/>
    </row>
    <row r="635" spans="22:31" ht="11.25" customHeight="1" x14ac:dyDescent="0.3">
      <c r="V635" s="6"/>
      <c r="W635" s="6"/>
      <c r="X635" s="6"/>
      <c r="Y635" s="6"/>
      <c r="Z635" s="6"/>
      <c r="AA635" s="6"/>
      <c r="AB635" s="6"/>
      <c r="AC635" s="6"/>
      <c r="AD635" s="6"/>
      <c r="AE635" s="6"/>
    </row>
    <row r="636" spans="22:31" ht="11.25" customHeight="1" x14ac:dyDescent="0.3">
      <c r="V636" s="6"/>
      <c r="W636" s="6"/>
      <c r="X636" s="6"/>
      <c r="Y636" s="6"/>
      <c r="Z636" s="6"/>
      <c r="AA636" s="6"/>
      <c r="AB636" s="6"/>
      <c r="AC636" s="6"/>
      <c r="AD636" s="6"/>
      <c r="AE636" s="6"/>
    </row>
    <row r="637" spans="22:31" ht="11.25" customHeight="1" x14ac:dyDescent="0.3">
      <c r="V637" s="6"/>
      <c r="W637" s="6"/>
      <c r="X637" s="6"/>
      <c r="Y637" s="6"/>
      <c r="Z637" s="6"/>
      <c r="AA637" s="6"/>
      <c r="AB637" s="6"/>
      <c r="AC637" s="6"/>
      <c r="AD637" s="6"/>
      <c r="AE637" s="6"/>
    </row>
    <row r="638" spans="22:31" ht="11.25" customHeight="1" x14ac:dyDescent="0.3">
      <c r="V638" s="6"/>
      <c r="W638" s="6"/>
      <c r="X638" s="6"/>
      <c r="Y638" s="6"/>
      <c r="Z638" s="6"/>
      <c r="AA638" s="6"/>
      <c r="AB638" s="6"/>
      <c r="AC638" s="6"/>
      <c r="AD638" s="6"/>
      <c r="AE638" s="6"/>
    </row>
    <row r="639" spans="22:31" ht="11.25" customHeight="1" x14ac:dyDescent="0.3">
      <c r="V639" s="6"/>
      <c r="W639" s="6"/>
      <c r="X639" s="6"/>
      <c r="Y639" s="6"/>
      <c r="Z639" s="6"/>
      <c r="AA639" s="6"/>
      <c r="AB639" s="6"/>
      <c r="AC639" s="6"/>
      <c r="AD639" s="6"/>
      <c r="AE639" s="6"/>
    </row>
    <row r="640" spans="22:31" ht="11.25" customHeight="1" x14ac:dyDescent="0.3">
      <c r="V640" s="6"/>
      <c r="W640" s="6"/>
      <c r="X640" s="6"/>
      <c r="Y640" s="6"/>
      <c r="Z640" s="6"/>
      <c r="AA640" s="6"/>
      <c r="AB640" s="6"/>
      <c r="AC640" s="6"/>
      <c r="AD640" s="6"/>
      <c r="AE640" s="6"/>
    </row>
    <row r="641" spans="22:31" ht="11.25" customHeight="1" x14ac:dyDescent="0.3">
      <c r="V641" s="6"/>
      <c r="W641" s="6"/>
      <c r="X641" s="6"/>
      <c r="Y641" s="6"/>
      <c r="Z641" s="6"/>
      <c r="AA641" s="6"/>
      <c r="AB641" s="6"/>
      <c r="AC641" s="6"/>
      <c r="AD641" s="6"/>
      <c r="AE641" s="6"/>
    </row>
    <row r="642" spans="22:31" ht="11.25" customHeight="1" x14ac:dyDescent="0.3">
      <c r="V642" s="6"/>
      <c r="W642" s="6"/>
      <c r="X642" s="6"/>
      <c r="Y642" s="6"/>
      <c r="Z642" s="6"/>
      <c r="AA642" s="6"/>
      <c r="AB642" s="6"/>
      <c r="AC642" s="6"/>
      <c r="AD642" s="6"/>
      <c r="AE642" s="6"/>
    </row>
    <row r="643" spans="22:31" ht="11.25" customHeight="1" x14ac:dyDescent="0.3">
      <c r="V643" s="6"/>
      <c r="W643" s="6"/>
      <c r="X643" s="6"/>
      <c r="Y643" s="6"/>
      <c r="Z643" s="6"/>
      <c r="AA643" s="6"/>
      <c r="AB643" s="6"/>
      <c r="AC643" s="6"/>
      <c r="AD643" s="6"/>
      <c r="AE643" s="6"/>
    </row>
    <row r="644" spans="22:31" ht="11.25" customHeight="1" x14ac:dyDescent="0.3">
      <c r="V644" s="6"/>
      <c r="W644" s="6"/>
      <c r="X644" s="6"/>
      <c r="Y644" s="6"/>
      <c r="Z644" s="6"/>
      <c r="AA644" s="6"/>
      <c r="AB644" s="6"/>
      <c r="AC644" s="6"/>
      <c r="AD644" s="6"/>
      <c r="AE644" s="6"/>
    </row>
    <row r="645" spans="22:31" ht="11.25" customHeight="1" x14ac:dyDescent="0.3">
      <c r="V645" s="6"/>
      <c r="W645" s="6"/>
      <c r="X645" s="6"/>
      <c r="Y645" s="6"/>
      <c r="Z645" s="6"/>
      <c r="AA645" s="6"/>
      <c r="AB645" s="6"/>
      <c r="AC645" s="6"/>
      <c r="AD645" s="6"/>
      <c r="AE645" s="6"/>
    </row>
    <row r="646" spans="22:31" ht="11.25" customHeight="1" x14ac:dyDescent="0.3">
      <c r="V646" s="6"/>
      <c r="W646" s="6"/>
      <c r="X646" s="6"/>
      <c r="Y646" s="6"/>
      <c r="Z646" s="6"/>
      <c r="AA646" s="6"/>
      <c r="AB646" s="6"/>
      <c r="AC646" s="6"/>
      <c r="AD646" s="6"/>
      <c r="AE646" s="6"/>
    </row>
    <row r="647" spans="22:31" ht="11.25" customHeight="1" x14ac:dyDescent="0.3">
      <c r="V647" s="6"/>
      <c r="W647" s="6"/>
      <c r="X647" s="6"/>
      <c r="Y647" s="6"/>
      <c r="Z647" s="6"/>
      <c r="AA647" s="6"/>
      <c r="AB647" s="6"/>
      <c r="AC647" s="6"/>
      <c r="AD647" s="6"/>
      <c r="AE647" s="6"/>
    </row>
    <row r="648" spans="22:31" ht="11.25" customHeight="1" x14ac:dyDescent="0.3">
      <c r="V648" s="6"/>
      <c r="W648" s="6"/>
      <c r="X648" s="6"/>
      <c r="Y648" s="6"/>
      <c r="Z648" s="6"/>
      <c r="AA648" s="6"/>
      <c r="AB648" s="6"/>
      <c r="AC648" s="6"/>
      <c r="AD648" s="6"/>
      <c r="AE648" s="6"/>
    </row>
    <row r="649" spans="22:31" ht="11.25" customHeight="1" x14ac:dyDescent="0.3">
      <c r="V649" s="6"/>
      <c r="W649" s="6"/>
      <c r="X649" s="6"/>
      <c r="Y649" s="6"/>
      <c r="Z649" s="6"/>
      <c r="AA649" s="6"/>
      <c r="AB649" s="6"/>
      <c r="AC649" s="6"/>
      <c r="AD649" s="6"/>
      <c r="AE649" s="6"/>
    </row>
    <row r="650" spans="22:31" ht="11.25" customHeight="1" x14ac:dyDescent="0.3">
      <c r="V650" s="6"/>
      <c r="W650" s="6"/>
      <c r="X650" s="6"/>
      <c r="Y650" s="6"/>
      <c r="Z650" s="6"/>
      <c r="AA650" s="6"/>
      <c r="AB650" s="6"/>
      <c r="AC650" s="6"/>
      <c r="AD650" s="6"/>
      <c r="AE650" s="6"/>
    </row>
    <row r="651" spans="22:31" ht="11.25" customHeight="1" x14ac:dyDescent="0.3">
      <c r="V651" s="6"/>
      <c r="W651" s="6"/>
      <c r="X651" s="6"/>
      <c r="Y651" s="6"/>
      <c r="Z651" s="6"/>
      <c r="AA651" s="6"/>
      <c r="AB651" s="6"/>
      <c r="AC651" s="6"/>
      <c r="AD651" s="6"/>
      <c r="AE651" s="6"/>
    </row>
    <row r="652" spans="22:31" ht="11.25" customHeight="1" x14ac:dyDescent="0.3">
      <c r="V652" s="6"/>
      <c r="W652" s="6"/>
      <c r="X652" s="6"/>
      <c r="Y652" s="6"/>
      <c r="Z652" s="6"/>
      <c r="AA652" s="6"/>
      <c r="AB652" s="6"/>
      <c r="AC652" s="6"/>
      <c r="AD652" s="6"/>
      <c r="AE652" s="6"/>
    </row>
    <row r="653" spans="22:31" ht="11.25" customHeight="1" x14ac:dyDescent="0.3">
      <c r="V653" s="6"/>
      <c r="W653" s="6"/>
      <c r="X653" s="6"/>
      <c r="Y653" s="6"/>
      <c r="Z653" s="6"/>
      <c r="AA653" s="6"/>
      <c r="AB653" s="6"/>
      <c r="AC653" s="6"/>
      <c r="AD653" s="6"/>
      <c r="AE653" s="6"/>
    </row>
    <row r="654" spans="22:31" ht="11.25" customHeight="1" x14ac:dyDescent="0.3">
      <c r="V654" s="6"/>
      <c r="W654" s="6"/>
      <c r="X654" s="6"/>
      <c r="Y654" s="6"/>
      <c r="Z654" s="6"/>
      <c r="AA654" s="6"/>
      <c r="AB654" s="6"/>
      <c r="AC654" s="6"/>
      <c r="AD654" s="6"/>
      <c r="AE654" s="6"/>
    </row>
    <row r="655" spans="22:31" ht="11.25" customHeight="1" x14ac:dyDescent="0.3">
      <c r="V655" s="6"/>
      <c r="W655" s="6"/>
      <c r="X655" s="6"/>
      <c r="Y655" s="6"/>
      <c r="Z655" s="6"/>
      <c r="AA655" s="6"/>
      <c r="AB655" s="6"/>
      <c r="AC655" s="6"/>
      <c r="AD655" s="6"/>
      <c r="AE655" s="6"/>
    </row>
    <row r="656" spans="22:31" ht="11.25" customHeight="1" x14ac:dyDescent="0.3">
      <c r="V656" s="6"/>
      <c r="W656" s="6"/>
      <c r="X656" s="6"/>
      <c r="Y656" s="6"/>
      <c r="Z656" s="6"/>
      <c r="AA656" s="6"/>
      <c r="AB656" s="6"/>
      <c r="AC656" s="6"/>
      <c r="AD656" s="6"/>
      <c r="AE656" s="6"/>
    </row>
    <row r="657" spans="22:31" ht="11.25" customHeight="1" x14ac:dyDescent="0.3">
      <c r="V657" s="6"/>
      <c r="W657" s="6"/>
      <c r="X657" s="6"/>
      <c r="Y657" s="6"/>
      <c r="Z657" s="6"/>
      <c r="AA657" s="6"/>
      <c r="AB657" s="6"/>
      <c r="AC657" s="6"/>
      <c r="AD657" s="6"/>
      <c r="AE657" s="6"/>
    </row>
    <row r="658" spans="22:31" ht="11.25" customHeight="1" x14ac:dyDescent="0.3">
      <c r="V658" s="6"/>
      <c r="W658" s="6"/>
      <c r="X658" s="6"/>
      <c r="Y658" s="6"/>
      <c r="Z658" s="6"/>
      <c r="AA658" s="6"/>
      <c r="AB658" s="6"/>
      <c r="AC658" s="6"/>
      <c r="AD658" s="6"/>
      <c r="AE658" s="6"/>
    </row>
    <row r="659" spans="22:31" ht="11.25" customHeight="1" x14ac:dyDescent="0.3">
      <c r="V659" s="6"/>
      <c r="W659" s="6"/>
      <c r="X659" s="6"/>
      <c r="Y659" s="6"/>
      <c r="Z659" s="6"/>
      <c r="AA659" s="6"/>
      <c r="AB659" s="6"/>
      <c r="AC659" s="6"/>
      <c r="AD659" s="6"/>
      <c r="AE659" s="6"/>
    </row>
    <row r="660" spans="22:31" ht="11.25" customHeight="1" x14ac:dyDescent="0.3">
      <c r="V660" s="6"/>
      <c r="W660" s="6"/>
      <c r="X660" s="6"/>
      <c r="Y660" s="6"/>
      <c r="Z660" s="6"/>
      <c r="AA660" s="6"/>
      <c r="AB660" s="6"/>
      <c r="AC660" s="6"/>
      <c r="AD660" s="6"/>
      <c r="AE660" s="6"/>
    </row>
    <row r="661" spans="22:31" ht="11.25" customHeight="1" x14ac:dyDescent="0.3">
      <c r="V661" s="6"/>
      <c r="W661" s="6"/>
      <c r="X661" s="6"/>
      <c r="Y661" s="6"/>
      <c r="Z661" s="6"/>
      <c r="AA661" s="6"/>
      <c r="AB661" s="6"/>
      <c r="AC661" s="6"/>
      <c r="AD661" s="6"/>
      <c r="AE661" s="6"/>
    </row>
    <row r="662" spans="22:31" ht="11.25" customHeight="1" x14ac:dyDescent="0.3">
      <c r="V662" s="6"/>
      <c r="W662" s="6"/>
      <c r="X662" s="6"/>
      <c r="Y662" s="6"/>
      <c r="Z662" s="6"/>
      <c r="AA662" s="6"/>
      <c r="AB662" s="6"/>
      <c r="AC662" s="6"/>
      <c r="AD662" s="6"/>
      <c r="AE662" s="6"/>
    </row>
    <row r="663" spans="22:31" ht="11.25" customHeight="1" x14ac:dyDescent="0.3">
      <c r="V663" s="6"/>
      <c r="W663" s="6"/>
      <c r="X663" s="6"/>
      <c r="Y663" s="6"/>
      <c r="Z663" s="6"/>
      <c r="AA663" s="6"/>
      <c r="AB663" s="6"/>
      <c r="AC663" s="6"/>
      <c r="AD663" s="6"/>
      <c r="AE663" s="6"/>
    </row>
    <row r="664" spans="22:31" ht="11.25" customHeight="1" x14ac:dyDescent="0.3">
      <c r="V664" s="6"/>
      <c r="W664" s="6"/>
      <c r="X664" s="6"/>
      <c r="Y664" s="6"/>
      <c r="Z664" s="6"/>
      <c r="AA664" s="6"/>
      <c r="AB664" s="6"/>
      <c r="AC664" s="6"/>
      <c r="AD664" s="6"/>
      <c r="AE664" s="6"/>
    </row>
    <row r="665" spans="22:31" ht="11.25" customHeight="1" x14ac:dyDescent="0.3">
      <c r="V665" s="6"/>
      <c r="W665" s="6"/>
      <c r="X665" s="6"/>
      <c r="Y665" s="6"/>
      <c r="Z665" s="6"/>
      <c r="AA665" s="6"/>
      <c r="AB665" s="6"/>
      <c r="AC665" s="6"/>
      <c r="AD665" s="6"/>
      <c r="AE665" s="6"/>
    </row>
    <row r="666" spans="22:31" ht="11.25" customHeight="1" x14ac:dyDescent="0.3">
      <c r="V666" s="6"/>
      <c r="W666" s="6"/>
      <c r="X666" s="6"/>
      <c r="Y666" s="6"/>
      <c r="Z666" s="6"/>
      <c r="AA666" s="6"/>
      <c r="AB666" s="6"/>
      <c r="AC666" s="6"/>
      <c r="AD666" s="6"/>
      <c r="AE666" s="6"/>
    </row>
    <row r="667" spans="22:31" ht="11.25" customHeight="1" x14ac:dyDescent="0.3">
      <c r="V667" s="6"/>
      <c r="W667" s="6"/>
      <c r="X667" s="6"/>
      <c r="Y667" s="6"/>
      <c r="Z667" s="6"/>
      <c r="AA667" s="6"/>
      <c r="AB667" s="6"/>
      <c r="AC667" s="6"/>
      <c r="AD667" s="6"/>
      <c r="AE667" s="6"/>
    </row>
    <row r="668" spans="22:31" ht="11.25" customHeight="1" x14ac:dyDescent="0.3">
      <c r="V668" s="6"/>
      <c r="W668" s="6"/>
      <c r="X668" s="6"/>
      <c r="Y668" s="6"/>
      <c r="Z668" s="6"/>
      <c r="AA668" s="6"/>
      <c r="AB668" s="6"/>
      <c r="AC668" s="6"/>
      <c r="AD668" s="6"/>
      <c r="AE668" s="6"/>
    </row>
    <row r="669" spans="22:31" ht="11.25" customHeight="1" x14ac:dyDescent="0.3">
      <c r="V669" s="6"/>
      <c r="W669" s="6"/>
      <c r="X669" s="6"/>
      <c r="Y669" s="6"/>
      <c r="Z669" s="6"/>
      <c r="AA669" s="6"/>
      <c r="AB669" s="6"/>
      <c r="AC669" s="6"/>
      <c r="AD669" s="6"/>
      <c r="AE669" s="6"/>
    </row>
    <row r="670" spans="22:31" ht="11.25" customHeight="1" x14ac:dyDescent="0.3">
      <c r="V670" s="6"/>
      <c r="W670" s="6"/>
      <c r="X670" s="6"/>
      <c r="Y670" s="6"/>
      <c r="Z670" s="6"/>
      <c r="AA670" s="6"/>
      <c r="AB670" s="6"/>
      <c r="AC670" s="6"/>
      <c r="AD670" s="6"/>
      <c r="AE670" s="6"/>
    </row>
    <row r="671" spans="22:31" ht="11.25" customHeight="1" x14ac:dyDescent="0.3">
      <c r="V671" s="6"/>
      <c r="W671" s="6"/>
      <c r="X671" s="6"/>
      <c r="Y671" s="6"/>
      <c r="Z671" s="6"/>
      <c r="AA671" s="6"/>
      <c r="AB671" s="6"/>
      <c r="AC671" s="6"/>
      <c r="AD671" s="6"/>
      <c r="AE671" s="6"/>
    </row>
    <row r="672" spans="22:31" ht="11.25" customHeight="1" x14ac:dyDescent="0.3">
      <c r="V672" s="6"/>
      <c r="W672" s="6"/>
      <c r="X672" s="6"/>
      <c r="Y672" s="6"/>
      <c r="Z672" s="6"/>
      <c r="AA672" s="6"/>
      <c r="AB672" s="6"/>
      <c r="AC672" s="6"/>
      <c r="AD672" s="6"/>
      <c r="AE672" s="6"/>
    </row>
    <row r="673" spans="22:31" ht="11.25" customHeight="1" x14ac:dyDescent="0.3">
      <c r="V673" s="6"/>
      <c r="W673" s="6"/>
      <c r="X673" s="6"/>
      <c r="Y673" s="6"/>
      <c r="Z673" s="6"/>
      <c r="AA673" s="6"/>
      <c r="AB673" s="6"/>
      <c r="AC673" s="6"/>
      <c r="AD673" s="6"/>
      <c r="AE673" s="6"/>
    </row>
    <row r="674" spans="22:31" ht="11.25" customHeight="1" x14ac:dyDescent="0.3">
      <c r="V674" s="6"/>
      <c r="W674" s="6"/>
      <c r="X674" s="6"/>
      <c r="Y674" s="6"/>
      <c r="Z674" s="6"/>
      <c r="AA674" s="6"/>
      <c r="AB674" s="6"/>
      <c r="AC674" s="6"/>
      <c r="AD674" s="6"/>
      <c r="AE674" s="6"/>
    </row>
    <row r="675" spans="22:31" ht="11.25" customHeight="1" x14ac:dyDescent="0.3">
      <c r="V675" s="6"/>
      <c r="W675" s="6"/>
      <c r="X675" s="6"/>
      <c r="Y675" s="6"/>
      <c r="Z675" s="6"/>
      <c r="AA675" s="6"/>
      <c r="AB675" s="6"/>
      <c r="AC675" s="6"/>
      <c r="AD675" s="6"/>
      <c r="AE675" s="6"/>
    </row>
    <row r="676" spans="22:31" ht="11.25" customHeight="1" x14ac:dyDescent="0.3">
      <c r="V676" s="6"/>
      <c r="W676" s="6"/>
      <c r="X676" s="6"/>
      <c r="Y676" s="6"/>
      <c r="Z676" s="6"/>
      <c r="AA676" s="6"/>
      <c r="AB676" s="6"/>
      <c r="AC676" s="6"/>
      <c r="AD676" s="6"/>
      <c r="AE676" s="6"/>
    </row>
    <row r="677" spans="22:31" ht="11.25" customHeight="1" x14ac:dyDescent="0.3">
      <c r="V677" s="6"/>
      <c r="W677" s="6"/>
      <c r="X677" s="6"/>
      <c r="Y677" s="6"/>
      <c r="Z677" s="6"/>
      <c r="AA677" s="6"/>
      <c r="AB677" s="6"/>
      <c r="AC677" s="6"/>
      <c r="AD677" s="6"/>
      <c r="AE677" s="6"/>
    </row>
    <row r="678" spans="22:31" ht="11.25" customHeight="1" x14ac:dyDescent="0.3">
      <c r="V678" s="6"/>
      <c r="W678" s="6"/>
      <c r="X678" s="6"/>
      <c r="Y678" s="6"/>
      <c r="Z678" s="6"/>
      <c r="AA678" s="6"/>
      <c r="AB678" s="6"/>
      <c r="AC678" s="6"/>
      <c r="AD678" s="6"/>
      <c r="AE678" s="6"/>
    </row>
    <row r="679" spans="22:31" ht="11.25" customHeight="1" x14ac:dyDescent="0.3">
      <c r="V679" s="6"/>
      <c r="W679" s="6"/>
      <c r="X679" s="6"/>
      <c r="Y679" s="6"/>
      <c r="Z679" s="6"/>
      <c r="AA679" s="6"/>
      <c r="AB679" s="6"/>
      <c r="AC679" s="6"/>
      <c r="AD679" s="6"/>
      <c r="AE679" s="6"/>
    </row>
    <row r="680" spans="22:31" ht="11.25" customHeight="1" x14ac:dyDescent="0.3">
      <c r="V680" s="6"/>
      <c r="W680" s="6"/>
      <c r="X680" s="6"/>
      <c r="Y680" s="6"/>
      <c r="Z680" s="6"/>
      <c r="AA680" s="6"/>
      <c r="AB680" s="6"/>
      <c r="AC680" s="6"/>
      <c r="AD680" s="6"/>
      <c r="AE680" s="6"/>
    </row>
    <row r="681" spans="22:31" ht="11.25" customHeight="1" x14ac:dyDescent="0.3">
      <c r="V681" s="6"/>
      <c r="W681" s="6"/>
      <c r="X681" s="6"/>
      <c r="Y681" s="6"/>
      <c r="Z681" s="6"/>
      <c r="AA681" s="6"/>
      <c r="AB681" s="6"/>
      <c r="AC681" s="6"/>
      <c r="AD681" s="6"/>
      <c r="AE681" s="6"/>
    </row>
    <row r="682" spans="22:31" ht="11.25" customHeight="1" x14ac:dyDescent="0.3">
      <c r="V682" s="6"/>
      <c r="W682" s="6"/>
      <c r="X682" s="6"/>
      <c r="Y682" s="6"/>
      <c r="Z682" s="6"/>
      <c r="AA682" s="6"/>
      <c r="AB682" s="6"/>
      <c r="AC682" s="6"/>
      <c r="AD682" s="6"/>
      <c r="AE682" s="6"/>
    </row>
    <row r="683" spans="22:31" ht="11.25" customHeight="1" x14ac:dyDescent="0.3">
      <c r="V683" s="6"/>
      <c r="W683" s="6"/>
      <c r="X683" s="6"/>
      <c r="Y683" s="6"/>
      <c r="Z683" s="6"/>
      <c r="AA683" s="6"/>
      <c r="AB683" s="6"/>
      <c r="AC683" s="6"/>
      <c r="AD683" s="6"/>
      <c r="AE683" s="6"/>
    </row>
    <row r="684" spans="22:31" ht="11.25" customHeight="1" x14ac:dyDescent="0.3">
      <c r="V684" s="6"/>
      <c r="W684" s="6"/>
      <c r="X684" s="6"/>
      <c r="Y684" s="6"/>
      <c r="Z684" s="6"/>
      <c r="AA684" s="6"/>
      <c r="AB684" s="6"/>
      <c r="AC684" s="6"/>
      <c r="AD684" s="6"/>
      <c r="AE684" s="6"/>
    </row>
    <row r="685" spans="22:31" ht="11.25" customHeight="1" x14ac:dyDescent="0.3">
      <c r="V685" s="6"/>
      <c r="W685" s="6"/>
      <c r="X685" s="6"/>
      <c r="Y685" s="6"/>
      <c r="Z685" s="6"/>
      <c r="AA685" s="6"/>
      <c r="AB685" s="6"/>
      <c r="AC685" s="6"/>
      <c r="AD685" s="6"/>
      <c r="AE685" s="6"/>
    </row>
    <row r="686" spans="22:31" ht="11.25" customHeight="1" x14ac:dyDescent="0.3">
      <c r="V686" s="6"/>
      <c r="W686" s="6"/>
      <c r="X686" s="6"/>
      <c r="Y686" s="6"/>
      <c r="Z686" s="6"/>
      <c r="AA686" s="6"/>
      <c r="AB686" s="6"/>
      <c r="AC686" s="6"/>
      <c r="AD686" s="6"/>
      <c r="AE686" s="6"/>
    </row>
    <row r="687" spans="22:31" ht="11.25" customHeight="1" x14ac:dyDescent="0.3">
      <c r="V687" s="6"/>
      <c r="W687" s="6"/>
      <c r="X687" s="6"/>
      <c r="Y687" s="6"/>
      <c r="Z687" s="6"/>
      <c r="AA687" s="6"/>
      <c r="AB687" s="6"/>
      <c r="AC687" s="6"/>
      <c r="AD687" s="6"/>
      <c r="AE687" s="6"/>
    </row>
    <row r="688" spans="22:31" ht="11.25" customHeight="1" x14ac:dyDescent="0.3">
      <c r="V688" s="6"/>
      <c r="W688" s="6"/>
      <c r="X688" s="6"/>
      <c r="Y688" s="6"/>
      <c r="Z688" s="6"/>
      <c r="AA688" s="6"/>
      <c r="AB688" s="6"/>
      <c r="AC688" s="6"/>
      <c r="AD688" s="6"/>
      <c r="AE688" s="6"/>
    </row>
    <row r="689" spans="22:31" ht="11.25" customHeight="1" x14ac:dyDescent="0.3">
      <c r="V689" s="6"/>
      <c r="W689" s="6"/>
      <c r="X689" s="6"/>
      <c r="Y689" s="6"/>
      <c r="Z689" s="6"/>
      <c r="AA689" s="6"/>
      <c r="AB689" s="6"/>
      <c r="AC689" s="6"/>
      <c r="AD689" s="6"/>
      <c r="AE689" s="6"/>
    </row>
    <row r="690" spans="22:31" ht="11.25" customHeight="1" x14ac:dyDescent="0.3">
      <c r="V690" s="6"/>
      <c r="W690" s="6"/>
      <c r="X690" s="6"/>
      <c r="Y690" s="6"/>
      <c r="Z690" s="6"/>
      <c r="AA690" s="6"/>
      <c r="AB690" s="6"/>
      <c r="AC690" s="6"/>
      <c r="AD690" s="6"/>
      <c r="AE690" s="6"/>
    </row>
    <row r="691" spans="22:31" ht="11.25" customHeight="1" x14ac:dyDescent="0.3">
      <c r="V691" s="6"/>
      <c r="W691" s="6"/>
      <c r="X691" s="6"/>
      <c r="Y691" s="6"/>
      <c r="Z691" s="6"/>
      <c r="AA691" s="6"/>
      <c r="AB691" s="6"/>
      <c r="AC691" s="6"/>
      <c r="AD691" s="6"/>
      <c r="AE691" s="6"/>
    </row>
    <row r="692" spans="22:31" ht="11.25" customHeight="1" x14ac:dyDescent="0.3">
      <c r="V692" s="6"/>
      <c r="W692" s="6"/>
      <c r="X692" s="6"/>
      <c r="Y692" s="6"/>
      <c r="Z692" s="6"/>
      <c r="AA692" s="6"/>
      <c r="AB692" s="6"/>
      <c r="AC692" s="6"/>
      <c r="AD692" s="6"/>
      <c r="AE692" s="6"/>
    </row>
    <row r="693" spans="22:31" ht="11.25" customHeight="1" x14ac:dyDescent="0.3">
      <c r="V693" s="6"/>
      <c r="W693" s="6"/>
      <c r="X693" s="6"/>
      <c r="Y693" s="6"/>
      <c r="Z693" s="6"/>
      <c r="AA693" s="6"/>
      <c r="AB693" s="6"/>
      <c r="AC693" s="6"/>
      <c r="AD693" s="6"/>
      <c r="AE693" s="6"/>
    </row>
    <row r="694" spans="22:31" ht="11.25" customHeight="1" x14ac:dyDescent="0.3">
      <c r="V694" s="6"/>
      <c r="W694" s="6"/>
      <c r="X694" s="6"/>
      <c r="Y694" s="6"/>
      <c r="Z694" s="6"/>
      <c r="AA694" s="6"/>
      <c r="AB694" s="6"/>
      <c r="AC694" s="6"/>
      <c r="AD694" s="6"/>
      <c r="AE694" s="6"/>
    </row>
    <row r="695" spans="22:31" ht="11.25" customHeight="1" x14ac:dyDescent="0.3">
      <c r="V695" s="6"/>
      <c r="W695" s="6"/>
      <c r="X695" s="6"/>
      <c r="Y695" s="6"/>
      <c r="Z695" s="6"/>
      <c r="AA695" s="6"/>
      <c r="AB695" s="6"/>
      <c r="AC695" s="6"/>
      <c r="AD695" s="6"/>
      <c r="AE695" s="6"/>
    </row>
    <row r="696" spans="22:31" ht="11.25" customHeight="1" x14ac:dyDescent="0.3">
      <c r="V696" s="6"/>
      <c r="W696" s="6"/>
      <c r="X696" s="6"/>
      <c r="Y696" s="6"/>
      <c r="Z696" s="6"/>
      <c r="AA696" s="6"/>
      <c r="AB696" s="6"/>
      <c r="AC696" s="6"/>
      <c r="AD696" s="6"/>
      <c r="AE696" s="6"/>
    </row>
    <row r="697" spans="22:31" ht="11.25" customHeight="1" x14ac:dyDescent="0.3">
      <c r="V697" s="6"/>
      <c r="W697" s="6"/>
      <c r="X697" s="6"/>
      <c r="Y697" s="6"/>
      <c r="Z697" s="6"/>
      <c r="AA697" s="6"/>
      <c r="AB697" s="6"/>
      <c r="AC697" s="6"/>
      <c r="AD697" s="6"/>
      <c r="AE697" s="6"/>
    </row>
    <row r="698" spans="22:31" ht="11.25" customHeight="1" x14ac:dyDescent="0.3">
      <c r="V698" s="6"/>
      <c r="W698" s="6"/>
      <c r="X698" s="6"/>
      <c r="Y698" s="6"/>
      <c r="Z698" s="6"/>
      <c r="AA698" s="6"/>
      <c r="AB698" s="6"/>
      <c r="AC698" s="6"/>
      <c r="AD698" s="6"/>
      <c r="AE698" s="6"/>
    </row>
    <row r="699" spans="22:31" ht="11.25" customHeight="1" x14ac:dyDescent="0.3">
      <c r="V699" s="6"/>
      <c r="W699" s="6"/>
      <c r="X699" s="6"/>
      <c r="Y699" s="6"/>
      <c r="Z699" s="6"/>
      <c r="AA699" s="6"/>
      <c r="AB699" s="6"/>
      <c r="AC699" s="6"/>
      <c r="AD699" s="6"/>
      <c r="AE699" s="6"/>
    </row>
    <row r="700" spans="22:31" ht="11.25" customHeight="1" x14ac:dyDescent="0.3">
      <c r="V700" s="6"/>
      <c r="W700" s="6"/>
      <c r="X700" s="6"/>
      <c r="Y700" s="6"/>
      <c r="Z700" s="6"/>
      <c r="AA700" s="6"/>
      <c r="AB700" s="6"/>
      <c r="AC700" s="6"/>
      <c r="AD700" s="6"/>
      <c r="AE700" s="6"/>
    </row>
    <row r="701" spans="22:31" ht="11.25" customHeight="1" x14ac:dyDescent="0.3">
      <c r="V701" s="6"/>
      <c r="W701" s="6"/>
      <c r="X701" s="6"/>
      <c r="Y701" s="6"/>
      <c r="Z701" s="6"/>
      <c r="AA701" s="6"/>
      <c r="AB701" s="6"/>
      <c r="AC701" s="6"/>
      <c r="AD701" s="6"/>
      <c r="AE701" s="6"/>
    </row>
    <row r="702" spans="22:31" ht="11.25" customHeight="1" x14ac:dyDescent="0.3">
      <c r="V702" s="6"/>
      <c r="W702" s="6"/>
      <c r="X702" s="6"/>
      <c r="Y702" s="6"/>
      <c r="Z702" s="6"/>
      <c r="AA702" s="6"/>
      <c r="AB702" s="6"/>
      <c r="AC702" s="6"/>
      <c r="AD702" s="6"/>
      <c r="AE702" s="6"/>
    </row>
    <row r="703" spans="22:31" ht="11.25" customHeight="1" x14ac:dyDescent="0.3">
      <c r="V703" s="6"/>
      <c r="W703" s="6"/>
      <c r="X703" s="6"/>
      <c r="Y703" s="6"/>
      <c r="Z703" s="6"/>
      <c r="AA703" s="6"/>
      <c r="AB703" s="6"/>
      <c r="AC703" s="6"/>
      <c r="AD703" s="6"/>
      <c r="AE703" s="6"/>
    </row>
    <row r="704" spans="22:31" ht="11.25" customHeight="1" x14ac:dyDescent="0.3">
      <c r="V704" s="6"/>
      <c r="W704" s="6"/>
      <c r="X704" s="6"/>
      <c r="Y704" s="6"/>
      <c r="Z704" s="6"/>
      <c r="AA704" s="6"/>
      <c r="AB704" s="6"/>
      <c r="AC704" s="6"/>
      <c r="AD704" s="6"/>
      <c r="AE704" s="6"/>
    </row>
    <row r="705" spans="22:31" ht="11.25" customHeight="1" x14ac:dyDescent="0.3">
      <c r="V705" s="6"/>
      <c r="W705" s="6"/>
      <c r="X705" s="6"/>
      <c r="Y705" s="6"/>
      <c r="Z705" s="6"/>
      <c r="AA705" s="6"/>
      <c r="AB705" s="6"/>
      <c r="AC705" s="6"/>
      <c r="AD705" s="6"/>
      <c r="AE705" s="6"/>
    </row>
    <row r="706" spans="22:31" ht="11.25" customHeight="1" x14ac:dyDescent="0.3">
      <c r="V706" s="6"/>
      <c r="W706" s="6"/>
      <c r="X706" s="6"/>
      <c r="Y706" s="6"/>
      <c r="Z706" s="6"/>
      <c r="AA706" s="6"/>
      <c r="AB706" s="6"/>
      <c r="AC706" s="6"/>
      <c r="AD706" s="6"/>
      <c r="AE706" s="6"/>
    </row>
    <row r="707" spans="22:31" ht="11.25" customHeight="1" x14ac:dyDescent="0.3">
      <c r="V707" s="6"/>
      <c r="W707" s="6"/>
      <c r="X707" s="6"/>
      <c r="Y707" s="6"/>
      <c r="Z707" s="6"/>
      <c r="AA707" s="6"/>
      <c r="AB707" s="6"/>
      <c r="AC707" s="6"/>
      <c r="AD707" s="6"/>
      <c r="AE707" s="6"/>
    </row>
    <row r="708" spans="22:31" ht="11.25" customHeight="1" x14ac:dyDescent="0.3">
      <c r="V708" s="6"/>
      <c r="W708" s="6"/>
      <c r="X708" s="6"/>
      <c r="Y708" s="6"/>
      <c r="Z708" s="6"/>
      <c r="AA708" s="6"/>
      <c r="AB708" s="6"/>
      <c r="AC708" s="6"/>
      <c r="AD708" s="6"/>
      <c r="AE708" s="6"/>
    </row>
    <row r="709" spans="22:31" ht="11.25" customHeight="1" x14ac:dyDescent="0.3">
      <c r="V709" s="6"/>
      <c r="W709" s="6"/>
      <c r="X709" s="6"/>
      <c r="Y709" s="6"/>
      <c r="Z709" s="6"/>
      <c r="AA709" s="6"/>
      <c r="AB709" s="6"/>
      <c r="AC709" s="6"/>
      <c r="AD709" s="6"/>
      <c r="AE709" s="6"/>
    </row>
    <row r="710" spans="22:31" ht="11.25" customHeight="1" x14ac:dyDescent="0.3">
      <c r="V710" s="6"/>
      <c r="W710" s="6"/>
      <c r="X710" s="6"/>
      <c r="Y710" s="6"/>
      <c r="Z710" s="6"/>
      <c r="AA710" s="6"/>
      <c r="AB710" s="6"/>
      <c r="AC710" s="6"/>
      <c r="AD710" s="6"/>
      <c r="AE710" s="6"/>
    </row>
    <row r="711" spans="22:31" ht="11.25" customHeight="1" x14ac:dyDescent="0.3">
      <c r="V711" s="6"/>
      <c r="W711" s="6"/>
      <c r="X711" s="6"/>
      <c r="Y711" s="6"/>
      <c r="Z711" s="6"/>
      <c r="AA711" s="6"/>
      <c r="AB711" s="6"/>
      <c r="AC711" s="6"/>
      <c r="AD711" s="6"/>
      <c r="AE711" s="6"/>
    </row>
    <row r="712" spans="22:31" ht="11.25" customHeight="1" x14ac:dyDescent="0.3">
      <c r="V712" s="6"/>
      <c r="W712" s="6"/>
      <c r="X712" s="6"/>
      <c r="Y712" s="6"/>
      <c r="Z712" s="6"/>
      <c r="AA712" s="6"/>
      <c r="AB712" s="6"/>
      <c r="AC712" s="6"/>
      <c r="AD712" s="6"/>
      <c r="AE712" s="6"/>
    </row>
    <row r="713" spans="22:31" ht="11.25" customHeight="1" x14ac:dyDescent="0.3">
      <c r="V713" s="6"/>
      <c r="W713" s="6"/>
      <c r="X713" s="6"/>
      <c r="Y713" s="6"/>
      <c r="Z713" s="6"/>
      <c r="AA713" s="6"/>
      <c r="AB713" s="6"/>
      <c r="AC713" s="6"/>
      <c r="AD713" s="6"/>
      <c r="AE713" s="6"/>
    </row>
    <row r="714" spans="22:31" ht="11.25" customHeight="1" x14ac:dyDescent="0.3">
      <c r="V714" s="6"/>
      <c r="W714" s="6"/>
      <c r="X714" s="6"/>
      <c r="Y714" s="6"/>
      <c r="Z714" s="6"/>
      <c r="AA714" s="6"/>
      <c r="AB714" s="6"/>
      <c r="AC714" s="6"/>
      <c r="AD714" s="6"/>
      <c r="AE714" s="6"/>
    </row>
    <row r="715" spans="22:31" ht="11.25" customHeight="1" x14ac:dyDescent="0.3">
      <c r="V715" s="6"/>
      <c r="W715" s="6"/>
      <c r="X715" s="6"/>
      <c r="Y715" s="6"/>
      <c r="Z715" s="6"/>
      <c r="AA715" s="6"/>
      <c r="AB715" s="6"/>
      <c r="AC715" s="6"/>
      <c r="AD715" s="6"/>
      <c r="AE715" s="6"/>
    </row>
    <row r="716" spans="22:31" ht="11.25" customHeight="1" x14ac:dyDescent="0.3">
      <c r="V716" s="6"/>
      <c r="W716" s="6"/>
      <c r="X716" s="6"/>
      <c r="Y716" s="6"/>
      <c r="Z716" s="6"/>
      <c r="AA716" s="6"/>
      <c r="AB716" s="6"/>
      <c r="AC716" s="6"/>
      <c r="AD716" s="6"/>
      <c r="AE716" s="6"/>
    </row>
    <row r="717" spans="22:31" ht="11.25" customHeight="1" x14ac:dyDescent="0.3">
      <c r="V717" s="6"/>
      <c r="W717" s="6"/>
      <c r="X717" s="6"/>
      <c r="Y717" s="6"/>
      <c r="Z717" s="6"/>
      <c r="AA717" s="6"/>
      <c r="AB717" s="6"/>
      <c r="AC717" s="6"/>
      <c r="AD717" s="6"/>
      <c r="AE717" s="6"/>
    </row>
    <row r="718" spans="22:31" ht="11.25" customHeight="1" x14ac:dyDescent="0.3">
      <c r="V718" s="6"/>
      <c r="W718" s="6"/>
      <c r="X718" s="6"/>
      <c r="Y718" s="6"/>
      <c r="Z718" s="6"/>
      <c r="AA718" s="6"/>
      <c r="AB718" s="6"/>
      <c r="AC718" s="6"/>
      <c r="AD718" s="6"/>
      <c r="AE718" s="6"/>
    </row>
    <row r="719" spans="22:31" ht="11.25" customHeight="1" x14ac:dyDescent="0.3">
      <c r="V719" s="6"/>
      <c r="W719" s="6"/>
      <c r="X719" s="6"/>
      <c r="Y719" s="6"/>
      <c r="Z719" s="6"/>
      <c r="AA719" s="6"/>
      <c r="AB719" s="6"/>
      <c r="AC719" s="6"/>
      <c r="AD719" s="6"/>
      <c r="AE719" s="6"/>
    </row>
    <row r="720" spans="22:31" ht="11.25" customHeight="1" x14ac:dyDescent="0.3">
      <c r="V720" s="6"/>
      <c r="W720" s="6"/>
      <c r="X720" s="6"/>
      <c r="Y720" s="6"/>
      <c r="Z720" s="6"/>
      <c r="AA720" s="6"/>
      <c r="AB720" s="6"/>
      <c r="AC720" s="6"/>
      <c r="AD720" s="6"/>
      <c r="AE720" s="6"/>
    </row>
    <row r="721" spans="22:31" ht="11.25" customHeight="1" x14ac:dyDescent="0.3">
      <c r="V721" s="6"/>
      <c r="W721" s="6"/>
      <c r="X721" s="6"/>
      <c r="Y721" s="6"/>
      <c r="Z721" s="6"/>
      <c r="AA721" s="6"/>
      <c r="AB721" s="6"/>
      <c r="AC721" s="6"/>
      <c r="AD721" s="6"/>
      <c r="AE721" s="6"/>
    </row>
    <row r="722" spans="22:31" ht="11.25" customHeight="1" x14ac:dyDescent="0.3">
      <c r="V722" s="6"/>
      <c r="W722" s="6"/>
      <c r="X722" s="6"/>
      <c r="Y722" s="6"/>
      <c r="Z722" s="6"/>
      <c r="AA722" s="6"/>
      <c r="AB722" s="6"/>
      <c r="AC722" s="6"/>
      <c r="AD722" s="6"/>
      <c r="AE722" s="6"/>
    </row>
    <row r="723" spans="22:31" ht="11.25" customHeight="1" x14ac:dyDescent="0.3">
      <c r="V723" s="6"/>
      <c r="W723" s="6"/>
      <c r="X723" s="6"/>
      <c r="Y723" s="6"/>
      <c r="Z723" s="6"/>
      <c r="AA723" s="6"/>
      <c r="AB723" s="6"/>
      <c r="AC723" s="6"/>
      <c r="AD723" s="6"/>
      <c r="AE723" s="6"/>
    </row>
    <row r="724" spans="22:31" ht="11.25" customHeight="1" x14ac:dyDescent="0.3">
      <c r="V724" s="6"/>
      <c r="W724" s="6"/>
      <c r="X724" s="6"/>
      <c r="Y724" s="6"/>
      <c r="Z724" s="6"/>
      <c r="AA724" s="6"/>
      <c r="AB724" s="6"/>
      <c r="AC724" s="6"/>
      <c r="AD724" s="6"/>
      <c r="AE724" s="6"/>
    </row>
    <row r="725" spans="22:31" ht="11.25" customHeight="1" x14ac:dyDescent="0.3">
      <c r="V725" s="6"/>
      <c r="W725" s="6"/>
      <c r="X725" s="6"/>
      <c r="Y725" s="6"/>
      <c r="Z725" s="6"/>
      <c r="AA725" s="6"/>
      <c r="AB725" s="6"/>
      <c r="AC725" s="6"/>
      <c r="AD725" s="6"/>
      <c r="AE725" s="6"/>
    </row>
    <row r="726" spans="22:31" ht="11.25" customHeight="1" x14ac:dyDescent="0.3">
      <c r="V726" s="6"/>
      <c r="W726" s="6"/>
      <c r="X726" s="6"/>
      <c r="Y726" s="6"/>
      <c r="Z726" s="6"/>
      <c r="AA726" s="6"/>
      <c r="AB726" s="6"/>
      <c r="AC726" s="6"/>
      <c r="AD726" s="6"/>
      <c r="AE726" s="6"/>
    </row>
    <row r="727" spans="22:31" ht="11.25" customHeight="1" x14ac:dyDescent="0.3">
      <c r="V727" s="6"/>
      <c r="W727" s="6"/>
      <c r="X727" s="6"/>
      <c r="Y727" s="6"/>
      <c r="Z727" s="6"/>
      <c r="AA727" s="6"/>
      <c r="AB727" s="6"/>
      <c r="AC727" s="6"/>
      <c r="AD727" s="6"/>
      <c r="AE727" s="6"/>
    </row>
    <row r="728" spans="22:31" ht="11.25" customHeight="1" x14ac:dyDescent="0.3">
      <c r="V728" s="6"/>
      <c r="W728" s="6"/>
      <c r="X728" s="6"/>
      <c r="Y728" s="6"/>
      <c r="Z728" s="6"/>
      <c r="AA728" s="6"/>
      <c r="AB728" s="6"/>
      <c r="AC728" s="6"/>
      <c r="AD728" s="6"/>
      <c r="AE728" s="6"/>
    </row>
    <row r="729" spans="22:31" ht="11.25" customHeight="1" x14ac:dyDescent="0.3">
      <c r="V729" s="6"/>
      <c r="W729" s="6"/>
      <c r="X729" s="6"/>
      <c r="Y729" s="6"/>
      <c r="Z729" s="6"/>
      <c r="AA729" s="6"/>
      <c r="AB729" s="6"/>
      <c r="AC729" s="6"/>
      <c r="AD729" s="6"/>
      <c r="AE729" s="6"/>
    </row>
    <row r="730" spans="22:31" ht="11.25" customHeight="1" x14ac:dyDescent="0.3">
      <c r="V730" s="6"/>
      <c r="W730" s="6"/>
      <c r="X730" s="6"/>
      <c r="Y730" s="6"/>
      <c r="Z730" s="6"/>
      <c r="AA730" s="6"/>
      <c r="AB730" s="6"/>
      <c r="AC730" s="6"/>
      <c r="AD730" s="6"/>
      <c r="AE730" s="6"/>
    </row>
    <row r="731" spans="22:31" ht="11.25" customHeight="1" x14ac:dyDescent="0.3">
      <c r="V731" s="6"/>
      <c r="W731" s="6"/>
      <c r="X731" s="6"/>
      <c r="Y731" s="6"/>
      <c r="Z731" s="6"/>
      <c r="AA731" s="6"/>
      <c r="AB731" s="6"/>
      <c r="AC731" s="6"/>
      <c r="AD731" s="6"/>
      <c r="AE731" s="6"/>
    </row>
    <row r="732" spans="22:31" ht="11.25" customHeight="1" x14ac:dyDescent="0.3">
      <c r="V732" s="6"/>
      <c r="W732" s="6"/>
      <c r="X732" s="6"/>
      <c r="Y732" s="6"/>
      <c r="Z732" s="6"/>
      <c r="AA732" s="6"/>
      <c r="AB732" s="6"/>
      <c r="AC732" s="6"/>
      <c r="AD732" s="6"/>
      <c r="AE732" s="6"/>
    </row>
    <row r="733" spans="22:31" ht="11.25" customHeight="1" x14ac:dyDescent="0.3">
      <c r="V733" s="6"/>
      <c r="W733" s="6"/>
      <c r="X733" s="6"/>
      <c r="Y733" s="6"/>
      <c r="Z733" s="6"/>
      <c r="AA733" s="6"/>
      <c r="AB733" s="6"/>
      <c r="AC733" s="6"/>
      <c r="AD733" s="6"/>
      <c r="AE733" s="6"/>
    </row>
    <row r="734" spans="22:31" ht="11.25" customHeight="1" x14ac:dyDescent="0.3">
      <c r="V734" s="6"/>
      <c r="W734" s="6"/>
      <c r="X734" s="6"/>
      <c r="Y734" s="6"/>
      <c r="Z734" s="6"/>
      <c r="AA734" s="6"/>
      <c r="AB734" s="6"/>
      <c r="AC734" s="6"/>
      <c r="AD734" s="6"/>
      <c r="AE734" s="6"/>
    </row>
    <row r="735" spans="22:31" ht="11.25" customHeight="1" x14ac:dyDescent="0.3">
      <c r="V735" s="6"/>
      <c r="W735" s="6"/>
      <c r="X735" s="6"/>
      <c r="Y735" s="6"/>
      <c r="Z735" s="6"/>
      <c r="AA735" s="6"/>
      <c r="AB735" s="6"/>
      <c r="AC735" s="6"/>
      <c r="AD735" s="6"/>
      <c r="AE735" s="6"/>
    </row>
    <row r="736" spans="22:31" ht="11.25" customHeight="1" x14ac:dyDescent="0.3">
      <c r="V736" s="6"/>
      <c r="W736" s="6"/>
      <c r="X736" s="6"/>
      <c r="Y736" s="6"/>
      <c r="Z736" s="6"/>
      <c r="AA736" s="6"/>
      <c r="AB736" s="6"/>
      <c r="AC736" s="6"/>
      <c r="AD736" s="6"/>
      <c r="AE736" s="6"/>
    </row>
    <row r="737" spans="22:31" ht="11.25" customHeight="1" x14ac:dyDescent="0.3">
      <c r="V737" s="6"/>
      <c r="W737" s="6"/>
      <c r="X737" s="6"/>
      <c r="Y737" s="6"/>
      <c r="Z737" s="6"/>
      <c r="AA737" s="6"/>
      <c r="AB737" s="6"/>
      <c r="AC737" s="6"/>
      <c r="AD737" s="6"/>
      <c r="AE737" s="6"/>
    </row>
    <row r="738" spans="22:31" ht="11.25" customHeight="1" x14ac:dyDescent="0.3">
      <c r="V738" s="6"/>
      <c r="W738" s="6"/>
      <c r="X738" s="6"/>
      <c r="Y738" s="6"/>
      <c r="Z738" s="6"/>
      <c r="AA738" s="6"/>
      <c r="AB738" s="6"/>
      <c r="AC738" s="6"/>
      <c r="AD738" s="6"/>
      <c r="AE738" s="6"/>
    </row>
    <row r="739" spans="22:31" ht="11.25" customHeight="1" x14ac:dyDescent="0.3">
      <c r="V739" s="6"/>
      <c r="W739" s="6"/>
      <c r="X739" s="6"/>
      <c r="Y739" s="6"/>
      <c r="Z739" s="6"/>
      <c r="AA739" s="6"/>
      <c r="AB739" s="6"/>
      <c r="AC739" s="6"/>
      <c r="AD739" s="6"/>
      <c r="AE739" s="6"/>
    </row>
    <row r="740" spans="22:31" ht="11.25" customHeight="1" x14ac:dyDescent="0.3">
      <c r="V740" s="6"/>
      <c r="W740" s="6"/>
      <c r="X740" s="6"/>
      <c r="Y740" s="6"/>
      <c r="Z740" s="6"/>
      <c r="AA740" s="6"/>
      <c r="AB740" s="6"/>
      <c r="AC740" s="6"/>
      <c r="AD740" s="6"/>
      <c r="AE740" s="6"/>
    </row>
    <row r="741" spans="22:31" ht="11.25" customHeight="1" x14ac:dyDescent="0.3">
      <c r="V741" s="6"/>
      <c r="W741" s="6"/>
      <c r="X741" s="6"/>
      <c r="Y741" s="6"/>
      <c r="Z741" s="6"/>
      <c r="AA741" s="6"/>
      <c r="AB741" s="6"/>
      <c r="AC741" s="6"/>
      <c r="AD741" s="6"/>
      <c r="AE741" s="6"/>
    </row>
    <row r="742" spans="22:31" ht="11.25" customHeight="1" x14ac:dyDescent="0.3">
      <c r="V742" s="6"/>
      <c r="W742" s="6"/>
      <c r="X742" s="6"/>
      <c r="Y742" s="6"/>
      <c r="Z742" s="6"/>
      <c r="AA742" s="6"/>
      <c r="AB742" s="6"/>
      <c r="AC742" s="6"/>
      <c r="AD742" s="6"/>
      <c r="AE742" s="6"/>
    </row>
    <row r="743" spans="22:31" ht="11.25" customHeight="1" x14ac:dyDescent="0.3">
      <c r="V743" s="6"/>
      <c r="W743" s="6"/>
      <c r="X743" s="6"/>
      <c r="Y743" s="6"/>
      <c r="Z743" s="6"/>
      <c r="AA743" s="6"/>
      <c r="AB743" s="6"/>
      <c r="AC743" s="6"/>
      <c r="AD743" s="6"/>
      <c r="AE743" s="6"/>
    </row>
    <row r="744" spans="22:31" ht="11.25" customHeight="1" x14ac:dyDescent="0.3">
      <c r="V744" s="6"/>
      <c r="W744" s="6"/>
      <c r="X744" s="6"/>
      <c r="Y744" s="6"/>
      <c r="Z744" s="6"/>
      <c r="AA744" s="6"/>
      <c r="AB744" s="6"/>
      <c r="AC744" s="6"/>
      <c r="AD744" s="6"/>
      <c r="AE744" s="6"/>
    </row>
    <row r="745" spans="22:31" ht="11.25" customHeight="1" x14ac:dyDescent="0.3">
      <c r="V745" s="6"/>
      <c r="W745" s="6"/>
      <c r="X745" s="6"/>
      <c r="Y745" s="6"/>
      <c r="Z745" s="6"/>
      <c r="AA745" s="6"/>
      <c r="AB745" s="6"/>
      <c r="AC745" s="6"/>
      <c r="AD745" s="6"/>
      <c r="AE745" s="6"/>
    </row>
    <row r="746" spans="22:31" ht="11.25" customHeight="1" x14ac:dyDescent="0.3">
      <c r="V746" s="6"/>
      <c r="W746" s="6"/>
      <c r="X746" s="6"/>
      <c r="Y746" s="6"/>
      <c r="Z746" s="6"/>
      <c r="AA746" s="6"/>
      <c r="AB746" s="6"/>
      <c r="AC746" s="6"/>
      <c r="AD746" s="6"/>
      <c r="AE746" s="6"/>
    </row>
    <row r="747" spans="22:31" ht="11.25" customHeight="1" x14ac:dyDescent="0.3">
      <c r="V747" s="6"/>
      <c r="W747" s="6"/>
      <c r="X747" s="6"/>
      <c r="Y747" s="6"/>
      <c r="Z747" s="6"/>
      <c r="AA747" s="6"/>
      <c r="AB747" s="6"/>
      <c r="AC747" s="6"/>
      <c r="AD747" s="6"/>
      <c r="AE747" s="6"/>
    </row>
    <row r="748" spans="22:31" ht="11.25" customHeight="1" x14ac:dyDescent="0.3">
      <c r="V748" s="6"/>
      <c r="W748" s="6"/>
      <c r="X748" s="6"/>
      <c r="Y748" s="6"/>
      <c r="Z748" s="6"/>
      <c r="AA748" s="6"/>
      <c r="AB748" s="6"/>
      <c r="AC748" s="6"/>
      <c r="AD748" s="6"/>
      <c r="AE748" s="6"/>
    </row>
    <row r="749" spans="22:31" ht="11.25" customHeight="1" x14ac:dyDescent="0.3">
      <c r="V749" s="6"/>
      <c r="W749" s="6"/>
      <c r="X749" s="6"/>
      <c r="Y749" s="6"/>
      <c r="Z749" s="6"/>
      <c r="AA749" s="6"/>
      <c r="AB749" s="6"/>
      <c r="AC749" s="6"/>
      <c r="AD749" s="6"/>
      <c r="AE749" s="6"/>
    </row>
    <row r="750" spans="22:31" ht="11.25" customHeight="1" x14ac:dyDescent="0.3">
      <c r="V750" s="6"/>
      <c r="W750" s="6"/>
      <c r="X750" s="6"/>
      <c r="Y750" s="6"/>
      <c r="Z750" s="6"/>
      <c r="AA750" s="6"/>
      <c r="AB750" s="6"/>
      <c r="AC750" s="6"/>
      <c r="AD750" s="6"/>
      <c r="AE750" s="6"/>
    </row>
    <row r="751" spans="22:31" ht="11.25" customHeight="1" x14ac:dyDescent="0.3">
      <c r="V751" s="6"/>
      <c r="W751" s="6"/>
      <c r="X751" s="6"/>
      <c r="Y751" s="6"/>
      <c r="Z751" s="6"/>
      <c r="AA751" s="6"/>
      <c r="AB751" s="6"/>
      <c r="AC751" s="6"/>
      <c r="AD751" s="6"/>
      <c r="AE751" s="6"/>
    </row>
    <row r="752" spans="22:31" ht="11.25" customHeight="1" x14ac:dyDescent="0.3">
      <c r="V752" s="6"/>
      <c r="W752" s="6"/>
      <c r="X752" s="6"/>
      <c r="Y752" s="6"/>
      <c r="Z752" s="6"/>
      <c r="AA752" s="6"/>
      <c r="AB752" s="6"/>
      <c r="AC752" s="6"/>
      <c r="AD752" s="6"/>
      <c r="AE752" s="6"/>
    </row>
    <row r="753" spans="22:31" ht="11.25" customHeight="1" x14ac:dyDescent="0.3">
      <c r="V753" s="6"/>
      <c r="W753" s="6"/>
      <c r="X753" s="6"/>
      <c r="Y753" s="6"/>
      <c r="Z753" s="6"/>
      <c r="AA753" s="6"/>
      <c r="AB753" s="6"/>
      <c r="AC753" s="6"/>
      <c r="AD753" s="6"/>
      <c r="AE753" s="6"/>
    </row>
    <row r="754" spans="22:31" ht="11.25" customHeight="1" x14ac:dyDescent="0.3">
      <c r="V754" s="6"/>
      <c r="W754" s="6"/>
      <c r="X754" s="6"/>
      <c r="Y754" s="6"/>
      <c r="Z754" s="6"/>
      <c r="AA754" s="6"/>
      <c r="AB754" s="6"/>
      <c r="AC754" s="6"/>
      <c r="AD754" s="6"/>
      <c r="AE754" s="6"/>
    </row>
    <row r="755" spans="22:31" ht="11.25" customHeight="1" x14ac:dyDescent="0.3">
      <c r="V755" s="6"/>
      <c r="W755" s="6"/>
      <c r="X755" s="6"/>
      <c r="Y755" s="6"/>
      <c r="Z755" s="6"/>
      <c r="AA755" s="6"/>
      <c r="AB755" s="6"/>
      <c r="AC755" s="6"/>
      <c r="AD755" s="6"/>
      <c r="AE755" s="6"/>
    </row>
    <row r="756" spans="22:31" ht="11.25" customHeight="1" x14ac:dyDescent="0.3">
      <c r="V756" s="6"/>
      <c r="W756" s="6"/>
      <c r="X756" s="6"/>
      <c r="Y756" s="6"/>
      <c r="Z756" s="6"/>
      <c r="AA756" s="6"/>
      <c r="AB756" s="6"/>
      <c r="AC756" s="6"/>
      <c r="AD756" s="6"/>
      <c r="AE756" s="6"/>
    </row>
    <row r="757" spans="22:31" ht="11.25" customHeight="1" x14ac:dyDescent="0.3">
      <c r="V757" s="6"/>
      <c r="W757" s="6"/>
      <c r="X757" s="6"/>
      <c r="Y757" s="6"/>
      <c r="Z757" s="6"/>
      <c r="AA757" s="6"/>
      <c r="AB757" s="6"/>
      <c r="AC757" s="6"/>
      <c r="AD757" s="6"/>
      <c r="AE757" s="6"/>
    </row>
    <row r="758" spans="22:31" ht="11.25" customHeight="1" x14ac:dyDescent="0.3">
      <c r="V758" s="6"/>
      <c r="W758" s="6"/>
      <c r="X758" s="6"/>
      <c r="Y758" s="6"/>
      <c r="Z758" s="6"/>
      <c r="AA758" s="6"/>
      <c r="AB758" s="6"/>
      <c r="AC758" s="6"/>
      <c r="AD758" s="6"/>
      <c r="AE758" s="6"/>
    </row>
    <row r="759" spans="22:31" ht="11.25" customHeight="1" x14ac:dyDescent="0.3">
      <c r="V759" s="6"/>
      <c r="W759" s="6"/>
      <c r="X759" s="6"/>
      <c r="Y759" s="6"/>
      <c r="Z759" s="6"/>
      <c r="AA759" s="6"/>
      <c r="AB759" s="6"/>
      <c r="AC759" s="6"/>
      <c r="AD759" s="6"/>
      <c r="AE759" s="6"/>
    </row>
    <row r="760" spans="22:31" ht="11.25" customHeight="1" x14ac:dyDescent="0.3">
      <c r="V760" s="6"/>
      <c r="W760" s="6"/>
      <c r="X760" s="6"/>
      <c r="Y760" s="6"/>
      <c r="Z760" s="6"/>
      <c r="AA760" s="6"/>
      <c r="AB760" s="6"/>
      <c r="AC760" s="6"/>
      <c r="AD760" s="6"/>
      <c r="AE760" s="6"/>
    </row>
    <row r="761" spans="22:31" ht="11.25" customHeight="1" x14ac:dyDescent="0.3">
      <c r="V761" s="6"/>
      <c r="W761" s="6"/>
      <c r="X761" s="6"/>
      <c r="Y761" s="6"/>
      <c r="Z761" s="6"/>
      <c r="AA761" s="6"/>
      <c r="AB761" s="6"/>
      <c r="AC761" s="6"/>
      <c r="AD761" s="6"/>
      <c r="AE761" s="6"/>
    </row>
    <row r="762" spans="22:31" ht="11.25" customHeight="1" x14ac:dyDescent="0.3">
      <c r="V762" s="6"/>
      <c r="W762" s="6"/>
      <c r="X762" s="6"/>
      <c r="Y762" s="6"/>
      <c r="Z762" s="6"/>
      <c r="AA762" s="6"/>
      <c r="AB762" s="6"/>
      <c r="AC762" s="6"/>
      <c r="AD762" s="6"/>
      <c r="AE762" s="6"/>
    </row>
    <row r="763" spans="22:31" ht="11.25" customHeight="1" x14ac:dyDescent="0.3">
      <c r="V763" s="6"/>
      <c r="W763" s="6"/>
      <c r="X763" s="6"/>
      <c r="Y763" s="6"/>
      <c r="Z763" s="6"/>
      <c r="AA763" s="6"/>
      <c r="AB763" s="6"/>
      <c r="AC763" s="6"/>
      <c r="AD763" s="6"/>
      <c r="AE763" s="6"/>
    </row>
    <row r="764" spans="22:31" ht="11.25" customHeight="1" x14ac:dyDescent="0.3">
      <c r="V764" s="6"/>
      <c r="W764" s="6"/>
      <c r="X764" s="6"/>
      <c r="Y764" s="6"/>
      <c r="Z764" s="6"/>
      <c r="AA764" s="6"/>
      <c r="AB764" s="6"/>
      <c r="AC764" s="6"/>
      <c r="AD764" s="6"/>
      <c r="AE764" s="6"/>
    </row>
    <row r="765" spans="22:31" ht="11.25" customHeight="1" x14ac:dyDescent="0.3">
      <c r="V765" s="6"/>
      <c r="W765" s="6"/>
      <c r="X765" s="6"/>
      <c r="Y765" s="6"/>
      <c r="Z765" s="6"/>
      <c r="AA765" s="6"/>
      <c r="AB765" s="6"/>
      <c r="AC765" s="6"/>
      <c r="AD765" s="6"/>
      <c r="AE765" s="6"/>
    </row>
    <row r="766" spans="22:31" ht="11.25" customHeight="1" x14ac:dyDescent="0.3">
      <c r="V766" s="6"/>
      <c r="W766" s="6"/>
      <c r="X766" s="6"/>
      <c r="Y766" s="6"/>
      <c r="Z766" s="6"/>
      <c r="AA766" s="6"/>
      <c r="AB766" s="6"/>
      <c r="AC766" s="6"/>
      <c r="AD766" s="6"/>
      <c r="AE766" s="6"/>
    </row>
    <row r="767" spans="22:31" ht="11.25" customHeight="1" x14ac:dyDescent="0.3">
      <c r="V767" s="6"/>
      <c r="W767" s="6"/>
      <c r="X767" s="6"/>
      <c r="Y767" s="6"/>
      <c r="Z767" s="6"/>
      <c r="AA767" s="6"/>
      <c r="AB767" s="6"/>
      <c r="AC767" s="6"/>
      <c r="AD767" s="6"/>
      <c r="AE767" s="6"/>
    </row>
    <row r="768" spans="22:31" ht="11.25" customHeight="1" x14ac:dyDescent="0.3">
      <c r="V768" s="6"/>
      <c r="W768" s="6"/>
      <c r="X768" s="6"/>
      <c r="Y768" s="6"/>
      <c r="Z768" s="6"/>
      <c r="AA768" s="6"/>
      <c r="AB768" s="6"/>
      <c r="AC768" s="6"/>
      <c r="AD768" s="6"/>
      <c r="AE768" s="6"/>
    </row>
    <row r="769" spans="22:31" ht="11.25" customHeight="1" x14ac:dyDescent="0.3">
      <c r="V769" s="6"/>
      <c r="W769" s="6"/>
      <c r="X769" s="6"/>
      <c r="Y769" s="6"/>
      <c r="Z769" s="6"/>
      <c r="AA769" s="6"/>
      <c r="AB769" s="6"/>
      <c r="AC769" s="6"/>
      <c r="AD769" s="6"/>
      <c r="AE769" s="6"/>
    </row>
    <row r="770" spans="22:31" ht="11.25" customHeight="1" x14ac:dyDescent="0.3">
      <c r="V770" s="6"/>
      <c r="W770" s="6"/>
      <c r="X770" s="6"/>
      <c r="Y770" s="6"/>
      <c r="Z770" s="6"/>
      <c r="AA770" s="6"/>
      <c r="AB770" s="6"/>
      <c r="AC770" s="6"/>
      <c r="AD770" s="6"/>
      <c r="AE770" s="6"/>
    </row>
    <row r="771" spans="22:31" ht="11.25" customHeight="1" x14ac:dyDescent="0.3">
      <c r="V771" s="6"/>
      <c r="W771" s="6"/>
      <c r="X771" s="6"/>
      <c r="Y771" s="6"/>
      <c r="Z771" s="6"/>
      <c r="AA771" s="6"/>
      <c r="AB771" s="6"/>
      <c r="AC771" s="6"/>
      <c r="AD771" s="6"/>
      <c r="AE771" s="6"/>
    </row>
    <row r="772" spans="22:31" ht="11.25" customHeight="1" x14ac:dyDescent="0.3">
      <c r="V772" s="6"/>
      <c r="W772" s="6"/>
      <c r="X772" s="6"/>
      <c r="Y772" s="6"/>
      <c r="Z772" s="6"/>
      <c r="AA772" s="6"/>
      <c r="AB772" s="6"/>
      <c r="AC772" s="6"/>
      <c r="AD772" s="6"/>
      <c r="AE772" s="6"/>
    </row>
    <row r="773" spans="22:31" ht="11.25" customHeight="1" x14ac:dyDescent="0.3">
      <c r="V773" s="6"/>
      <c r="W773" s="6"/>
      <c r="X773" s="6"/>
      <c r="Y773" s="6"/>
      <c r="Z773" s="6"/>
      <c r="AA773" s="6"/>
      <c r="AB773" s="6"/>
      <c r="AC773" s="6"/>
      <c r="AD773" s="6"/>
      <c r="AE773" s="6"/>
    </row>
    <row r="774" spans="22:31" ht="11.25" customHeight="1" x14ac:dyDescent="0.3">
      <c r="V774" s="6"/>
      <c r="W774" s="6"/>
      <c r="X774" s="6"/>
      <c r="Y774" s="6"/>
      <c r="Z774" s="6"/>
      <c r="AA774" s="6"/>
      <c r="AB774" s="6"/>
      <c r="AC774" s="6"/>
      <c r="AD774" s="6"/>
      <c r="AE774" s="6"/>
    </row>
    <row r="775" spans="22:31" ht="11.25" customHeight="1" x14ac:dyDescent="0.3">
      <c r="V775" s="6"/>
      <c r="W775" s="6"/>
      <c r="X775" s="6"/>
      <c r="Y775" s="6"/>
      <c r="Z775" s="6"/>
      <c r="AA775" s="6"/>
      <c r="AB775" s="6"/>
      <c r="AC775" s="6"/>
      <c r="AD775" s="6"/>
      <c r="AE775" s="6"/>
    </row>
    <row r="776" spans="22:31" ht="11.25" customHeight="1" x14ac:dyDescent="0.3">
      <c r="V776" s="6"/>
      <c r="W776" s="6"/>
      <c r="X776" s="6"/>
      <c r="Y776" s="6"/>
      <c r="Z776" s="6"/>
      <c r="AA776" s="6"/>
      <c r="AB776" s="6"/>
      <c r="AC776" s="6"/>
      <c r="AD776" s="6"/>
      <c r="AE776" s="6"/>
    </row>
    <row r="777" spans="22:31" ht="11.25" customHeight="1" x14ac:dyDescent="0.3">
      <c r="V777" s="6"/>
      <c r="W777" s="6"/>
      <c r="X777" s="6"/>
      <c r="Y777" s="6"/>
      <c r="Z777" s="6"/>
      <c r="AA777" s="6"/>
      <c r="AB777" s="6"/>
      <c r="AC777" s="6"/>
      <c r="AD777" s="6"/>
      <c r="AE777" s="6"/>
    </row>
    <row r="778" spans="22:31" ht="11.25" customHeight="1" x14ac:dyDescent="0.3">
      <c r="V778" s="6"/>
      <c r="W778" s="6"/>
      <c r="X778" s="6"/>
      <c r="Y778" s="6"/>
      <c r="Z778" s="6"/>
      <c r="AA778" s="6"/>
      <c r="AB778" s="6"/>
      <c r="AC778" s="6"/>
      <c r="AD778" s="6"/>
      <c r="AE778" s="6"/>
    </row>
    <row r="779" spans="22:31" ht="11.25" customHeight="1" x14ac:dyDescent="0.3">
      <c r="V779" s="6"/>
      <c r="W779" s="6"/>
      <c r="X779" s="6"/>
      <c r="Y779" s="6"/>
      <c r="Z779" s="6"/>
      <c r="AA779" s="6"/>
      <c r="AB779" s="6"/>
      <c r="AC779" s="6"/>
      <c r="AD779" s="6"/>
      <c r="AE779" s="6"/>
    </row>
    <row r="780" spans="22:31" ht="11.25" customHeight="1" x14ac:dyDescent="0.3">
      <c r="V780" s="6"/>
      <c r="W780" s="6"/>
      <c r="X780" s="6"/>
      <c r="Y780" s="6"/>
      <c r="Z780" s="6"/>
      <c r="AA780" s="6"/>
      <c r="AB780" s="6"/>
      <c r="AC780" s="6"/>
      <c r="AD780" s="6"/>
      <c r="AE780" s="6"/>
    </row>
    <row r="781" spans="22:31" ht="11.25" customHeight="1" x14ac:dyDescent="0.3">
      <c r="V781" s="6"/>
      <c r="W781" s="6"/>
      <c r="X781" s="6"/>
      <c r="Y781" s="6"/>
      <c r="Z781" s="6"/>
      <c r="AA781" s="6"/>
      <c r="AB781" s="6"/>
      <c r="AC781" s="6"/>
      <c r="AD781" s="6"/>
      <c r="AE781" s="6"/>
    </row>
    <row r="782" spans="22:31" ht="11.25" customHeight="1" x14ac:dyDescent="0.3">
      <c r="V782" s="6"/>
      <c r="W782" s="6"/>
      <c r="X782" s="6"/>
      <c r="Y782" s="6"/>
      <c r="Z782" s="6"/>
      <c r="AA782" s="6"/>
      <c r="AB782" s="6"/>
      <c r="AC782" s="6"/>
      <c r="AD782" s="6"/>
      <c r="AE782" s="6"/>
    </row>
    <row r="783" spans="22:31" ht="11.25" customHeight="1" x14ac:dyDescent="0.3">
      <c r="V783" s="6"/>
      <c r="W783" s="6"/>
      <c r="X783" s="6"/>
      <c r="Y783" s="6"/>
      <c r="Z783" s="6"/>
      <c r="AA783" s="6"/>
      <c r="AB783" s="6"/>
      <c r="AC783" s="6"/>
      <c r="AD783" s="6"/>
      <c r="AE783" s="6"/>
    </row>
    <row r="784" spans="22:31" ht="11.25" customHeight="1" x14ac:dyDescent="0.3">
      <c r="V784" s="6"/>
      <c r="W784" s="6"/>
      <c r="X784" s="6"/>
      <c r="Y784" s="6"/>
      <c r="Z784" s="6"/>
      <c r="AA784" s="6"/>
      <c r="AB784" s="6"/>
      <c r="AC784" s="6"/>
      <c r="AD784" s="6"/>
      <c r="AE784" s="6"/>
    </row>
    <row r="785" spans="22:31" ht="11.25" customHeight="1" x14ac:dyDescent="0.3">
      <c r="V785" s="6"/>
      <c r="W785" s="6"/>
      <c r="X785" s="6"/>
      <c r="Y785" s="6"/>
      <c r="Z785" s="6"/>
      <c r="AA785" s="6"/>
      <c r="AB785" s="6"/>
      <c r="AC785" s="6"/>
      <c r="AD785" s="6"/>
      <c r="AE785" s="6"/>
    </row>
    <row r="786" spans="22:31" ht="11.25" customHeight="1" x14ac:dyDescent="0.3">
      <c r="V786" s="6"/>
      <c r="W786" s="6"/>
      <c r="X786" s="6"/>
      <c r="Y786" s="6"/>
      <c r="Z786" s="6"/>
      <c r="AA786" s="6"/>
      <c r="AB786" s="6"/>
      <c r="AC786" s="6"/>
      <c r="AD786" s="6"/>
      <c r="AE786" s="6"/>
    </row>
    <row r="787" spans="22:31" ht="11.25" customHeight="1" x14ac:dyDescent="0.3">
      <c r="V787" s="6"/>
      <c r="W787" s="6"/>
      <c r="X787" s="6"/>
      <c r="Y787" s="6"/>
      <c r="Z787" s="6"/>
      <c r="AA787" s="6"/>
      <c r="AB787" s="6"/>
      <c r="AC787" s="6"/>
      <c r="AD787" s="6"/>
      <c r="AE787" s="6"/>
    </row>
    <row r="788" spans="22:31" ht="11.25" customHeight="1" x14ac:dyDescent="0.3">
      <c r="V788" s="6"/>
      <c r="W788" s="6"/>
      <c r="X788" s="6"/>
      <c r="Y788" s="6"/>
      <c r="Z788" s="6"/>
      <c r="AA788" s="6"/>
      <c r="AB788" s="6"/>
      <c r="AC788" s="6"/>
      <c r="AD788" s="6"/>
      <c r="AE788" s="6"/>
    </row>
    <row r="789" spans="22:31" ht="11.25" customHeight="1" x14ac:dyDescent="0.3">
      <c r="V789" s="6"/>
      <c r="W789" s="6"/>
      <c r="X789" s="6"/>
      <c r="Y789" s="6"/>
      <c r="Z789" s="6"/>
      <c r="AA789" s="6"/>
      <c r="AB789" s="6"/>
      <c r="AC789" s="6"/>
      <c r="AD789" s="6"/>
      <c r="AE789" s="6"/>
    </row>
    <row r="790" spans="22:31" ht="11.25" customHeight="1" x14ac:dyDescent="0.3">
      <c r="V790" s="6"/>
      <c r="W790" s="6"/>
      <c r="X790" s="6"/>
      <c r="Y790" s="6"/>
      <c r="Z790" s="6"/>
      <c r="AA790" s="6"/>
      <c r="AB790" s="6"/>
      <c r="AC790" s="6"/>
      <c r="AD790" s="6"/>
      <c r="AE790" s="6"/>
    </row>
    <row r="791" spans="22:31" ht="11.25" customHeight="1" x14ac:dyDescent="0.3">
      <c r="V791" s="6"/>
      <c r="W791" s="6"/>
      <c r="X791" s="6"/>
      <c r="Y791" s="6"/>
      <c r="Z791" s="6"/>
      <c r="AA791" s="6"/>
      <c r="AB791" s="6"/>
      <c r="AC791" s="6"/>
      <c r="AD791" s="6"/>
      <c r="AE791" s="6"/>
    </row>
    <row r="792" spans="22:31" ht="11.25" customHeight="1" x14ac:dyDescent="0.3">
      <c r="V792" s="6"/>
      <c r="W792" s="6"/>
      <c r="X792" s="6"/>
      <c r="Y792" s="6"/>
      <c r="Z792" s="6"/>
      <c r="AA792" s="6"/>
      <c r="AB792" s="6"/>
      <c r="AC792" s="6"/>
      <c r="AD792" s="6"/>
      <c r="AE792" s="6"/>
    </row>
    <row r="793" spans="22:31" ht="11.25" customHeight="1" x14ac:dyDescent="0.3">
      <c r="V793" s="6"/>
      <c r="W793" s="6"/>
      <c r="X793" s="6"/>
      <c r="Y793" s="6"/>
      <c r="Z793" s="6"/>
      <c r="AA793" s="6"/>
      <c r="AB793" s="6"/>
      <c r="AC793" s="6"/>
      <c r="AD793" s="6"/>
      <c r="AE793" s="6"/>
    </row>
    <row r="794" spans="22:31" ht="11.25" customHeight="1" x14ac:dyDescent="0.3">
      <c r="V794" s="6"/>
      <c r="W794" s="6"/>
      <c r="X794" s="6"/>
      <c r="Y794" s="6"/>
      <c r="Z794" s="6"/>
      <c r="AA794" s="6"/>
      <c r="AB794" s="6"/>
      <c r="AC794" s="6"/>
      <c r="AD794" s="6"/>
      <c r="AE794" s="6"/>
    </row>
    <row r="795" spans="22:31" ht="11.25" customHeight="1" x14ac:dyDescent="0.3">
      <c r="V795" s="6"/>
      <c r="W795" s="6"/>
      <c r="X795" s="6"/>
      <c r="Y795" s="6"/>
      <c r="Z795" s="6"/>
      <c r="AA795" s="6"/>
      <c r="AB795" s="6"/>
      <c r="AC795" s="6"/>
      <c r="AD795" s="6"/>
      <c r="AE795" s="6"/>
    </row>
    <row r="796" spans="22:31" ht="11.25" customHeight="1" x14ac:dyDescent="0.3">
      <c r="V796" s="6"/>
      <c r="W796" s="6"/>
      <c r="X796" s="6"/>
      <c r="Y796" s="6"/>
      <c r="Z796" s="6"/>
      <c r="AA796" s="6"/>
      <c r="AB796" s="6"/>
      <c r="AC796" s="6"/>
      <c r="AD796" s="6"/>
      <c r="AE796" s="6"/>
    </row>
    <row r="797" spans="22:31" ht="11.25" customHeight="1" x14ac:dyDescent="0.3">
      <c r="V797" s="6"/>
      <c r="W797" s="6"/>
      <c r="X797" s="6"/>
      <c r="Y797" s="6"/>
      <c r="Z797" s="6"/>
      <c r="AA797" s="6"/>
      <c r="AB797" s="6"/>
      <c r="AC797" s="6"/>
      <c r="AD797" s="6"/>
      <c r="AE797" s="6"/>
    </row>
    <row r="798" spans="22:31" ht="11.25" customHeight="1" x14ac:dyDescent="0.3">
      <c r="V798" s="6"/>
      <c r="W798" s="6"/>
      <c r="X798" s="6"/>
      <c r="Y798" s="6"/>
      <c r="Z798" s="6"/>
      <c r="AA798" s="6"/>
      <c r="AB798" s="6"/>
      <c r="AC798" s="6"/>
      <c r="AD798" s="6"/>
      <c r="AE798" s="6"/>
    </row>
    <row r="799" spans="22:31" ht="11.25" customHeight="1" x14ac:dyDescent="0.3">
      <c r="V799" s="6"/>
      <c r="W799" s="6"/>
      <c r="X799" s="6"/>
      <c r="Y799" s="6"/>
      <c r="Z799" s="6"/>
      <c r="AA799" s="6"/>
      <c r="AB799" s="6"/>
      <c r="AC799" s="6"/>
      <c r="AD799" s="6"/>
      <c r="AE799" s="6"/>
    </row>
    <row r="800" spans="22:31" ht="11.25" customHeight="1" x14ac:dyDescent="0.3">
      <c r="V800" s="6"/>
      <c r="W800" s="6"/>
      <c r="X800" s="6"/>
      <c r="Y800" s="6"/>
      <c r="Z800" s="6"/>
      <c r="AA800" s="6"/>
      <c r="AB800" s="6"/>
      <c r="AC800" s="6"/>
      <c r="AD800" s="6"/>
      <c r="AE800" s="6"/>
    </row>
    <row r="801" spans="22:31" ht="11.25" customHeight="1" x14ac:dyDescent="0.3">
      <c r="V801" s="6"/>
      <c r="W801" s="6"/>
      <c r="X801" s="6"/>
      <c r="Y801" s="6"/>
      <c r="Z801" s="6"/>
      <c r="AA801" s="6"/>
      <c r="AB801" s="6"/>
      <c r="AC801" s="6"/>
      <c r="AD801" s="6"/>
      <c r="AE801" s="6"/>
    </row>
    <row r="802" spans="22:31" ht="11.25" customHeight="1" x14ac:dyDescent="0.3">
      <c r="V802" s="6"/>
      <c r="W802" s="6"/>
      <c r="X802" s="6"/>
      <c r="Y802" s="6"/>
      <c r="Z802" s="6"/>
      <c r="AA802" s="6"/>
      <c r="AB802" s="6"/>
      <c r="AC802" s="6"/>
      <c r="AD802" s="6"/>
      <c r="AE802" s="6"/>
    </row>
    <row r="803" spans="22:31" ht="11.25" customHeight="1" x14ac:dyDescent="0.3">
      <c r="V803" s="6"/>
      <c r="W803" s="6"/>
      <c r="X803" s="6"/>
      <c r="Y803" s="6"/>
      <c r="Z803" s="6"/>
      <c r="AA803" s="6"/>
      <c r="AB803" s="6"/>
      <c r="AC803" s="6"/>
      <c r="AD803" s="6"/>
      <c r="AE803" s="6"/>
    </row>
    <row r="804" spans="22:31" ht="11.25" customHeight="1" x14ac:dyDescent="0.3">
      <c r="V804" s="6"/>
      <c r="W804" s="6"/>
      <c r="X804" s="6"/>
      <c r="Y804" s="6"/>
      <c r="Z804" s="6"/>
      <c r="AA804" s="6"/>
      <c r="AB804" s="6"/>
      <c r="AC804" s="6"/>
      <c r="AD804" s="6"/>
      <c r="AE804" s="6"/>
    </row>
    <row r="805" spans="22:31" ht="11.25" customHeight="1" x14ac:dyDescent="0.3">
      <c r="V805" s="6"/>
      <c r="W805" s="6"/>
      <c r="X805" s="6"/>
      <c r="Y805" s="6"/>
      <c r="Z805" s="6"/>
      <c r="AA805" s="6"/>
      <c r="AB805" s="6"/>
      <c r="AC805" s="6"/>
      <c r="AD805" s="6"/>
      <c r="AE805" s="6"/>
    </row>
    <row r="806" spans="22:31" ht="11.25" customHeight="1" x14ac:dyDescent="0.3">
      <c r="V806" s="6"/>
      <c r="W806" s="6"/>
      <c r="X806" s="6"/>
      <c r="Y806" s="6"/>
      <c r="Z806" s="6"/>
      <c r="AA806" s="6"/>
      <c r="AB806" s="6"/>
      <c r="AC806" s="6"/>
      <c r="AD806" s="6"/>
      <c r="AE806" s="6"/>
    </row>
    <row r="807" spans="22:31" ht="11.25" customHeight="1" x14ac:dyDescent="0.3">
      <c r="V807" s="6"/>
      <c r="W807" s="6"/>
      <c r="X807" s="6"/>
      <c r="Y807" s="6"/>
      <c r="Z807" s="6"/>
      <c r="AA807" s="6"/>
      <c r="AB807" s="6"/>
      <c r="AC807" s="6"/>
      <c r="AD807" s="6"/>
      <c r="AE807" s="6"/>
    </row>
    <row r="808" spans="22:31" ht="11.25" customHeight="1" x14ac:dyDescent="0.3">
      <c r="V808" s="6"/>
      <c r="W808" s="6"/>
      <c r="X808" s="6"/>
      <c r="Y808" s="6"/>
      <c r="Z808" s="6"/>
      <c r="AA808" s="6"/>
      <c r="AB808" s="6"/>
      <c r="AC808" s="6"/>
      <c r="AD808" s="6"/>
      <c r="AE808" s="6"/>
    </row>
    <row r="809" spans="22:31" ht="11.25" customHeight="1" x14ac:dyDescent="0.3">
      <c r="V809" s="6"/>
      <c r="W809" s="6"/>
      <c r="X809" s="6"/>
      <c r="Y809" s="6"/>
      <c r="Z809" s="6"/>
      <c r="AA809" s="6"/>
      <c r="AB809" s="6"/>
      <c r="AC809" s="6"/>
      <c r="AD809" s="6"/>
      <c r="AE809" s="6"/>
    </row>
    <row r="810" spans="22:31" ht="11.25" customHeight="1" x14ac:dyDescent="0.3">
      <c r="V810" s="6"/>
      <c r="W810" s="6"/>
      <c r="X810" s="6"/>
      <c r="Y810" s="6"/>
      <c r="Z810" s="6"/>
      <c r="AA810" s="6"/>
      <c r="AB810" s="6"/>
      <c r="AC810" s="6"/>
      <c r="AD810" s="6"/>
      <c r="AE810" s="6"/>
    </row>
    <row r="811" spans="22:31" ht="11.25" customHeight="1" x14ac:dyDescent="0.3">
      <c r="V811" s="6"/>
      <c r="W811" s="6"/>
      <c r="X811" s="6"/>
      <c r="Y811" s="6"/>
      <c r="Z811" s="6"/>
      <c r="AA811" s="6"/>
      <c r="AB811" s="6"/>
      <c r="AC811" s="6"/>
      <c r="AD811" s="6"/>
      <c r="AE811" s="6"/>
    </row>
    <row r="812" spans="22:31" ht="11.25" customHeight="1" x14ac:dyDescent="0.3">
      <c r="V812" s="6"/>
      <c r="W812" s="6"/>
      <c r="X812" s="6"/>
      <c r="Y812" s="6"/>
      <c r="Z812" s="6"/>
      <c r="AA812" s="6"/>
      <c r="AB812" s="6"/>
      <c r="AC812" s="6"/>
      <c r="AD812" s="6"/>
      <c r="AE812" s="6"/>
    </row>
    <row r="813" spans="22:31" ht="11.25" customHeight="1" x14ac:dyDescent="0.3">
      <c r="V813" s="6"/>
      <c r="W813" s="6"/>
      <c r="X813" s="6"/>
      <c r="Y813" s="6"/>
      <c r="Z813" s="6"/>
      <c r="AA813" s="6"/>
      <c r="AB813" s="6"/>
      <c r="AC813" s="6"/>
      <c r="AD813" s="6"/>
      <c r="AE813" s="6"/>
    </row>
    <row r="814" spans="22:31" ht="11.25" customHeight="1" x14ac:dyDescent="0.3">
      <c r="V814" s="6"/>
      <c r="W814" s="6"/>
      <c r="X814" s="6"/>
      <c r="Y814" s="6"/>
      <c r="Z814" s="6"/>
      <c r="AA814" s="6"/>
      <c r="AB814" s="6"/>
      <c r="AC814" s="6"/>
      <c r="AD814" s="6"/>
      <c r="AE814" s="6"/>
    </row>
    <row r="815" spans="22:31" ht="11.25" customHeight="1" x14ac:dyDescent="0.3">
      <c r="V815" s="6"/>
      <c r="W815" s="6"/>
      <c r="X815" s="6"/>
      <c r="Y815" s="6"/>
      <c r="Z815" s="6"/>
      <c r="AA815" s="6"/>
      <c r="AB815" s="6"/>
      <c r="AC815" s="6"/>
      <c r="AD815" s="6"/>
      <c r="AE815" s="6"/>
    </row>
    <row r="816" spans="22:31" ht="11.25" customHeight="1" x14ac:dyDescent="0.3">
      <c r="V816" s="6"/>
      <c r="W816" s="6"/>
      <c r="X816" s="6"/>
      <c r="Y816" s="6"/>
      <c r="Z816" s="6"/>
      <c r="AA816" s="6"/>
      <c r="AB816" s="6"/>
      <c r="AC816" s="6"/>
      <c r="AD816" s="6"/>
      <c r="AE816" s="6"/>
    </row>
    <row r="817" spans="22:31" ht="11.25" customHeight="1" x14ac:dyDescent="0.3">
      <c r="V817" s="6"/>
      <c r="W817" s="6"/>
      <c r="X817" s="6"/>
      <c r="Y817" s="6"/>
      <c r="Z817" s="6"/>
      <c r="AA817" s="6"/>
      <c r="AB817" s="6"/>
      <c r="AC817" s="6"/>
      <c r="AD817" s="6"/>
      <c r="AE817" s="6"/>
    </row>
    <row r="818" spans="22:31" ht="11.25" customHeight="1" x14ac:dyDescent="0.3">
      <c r="V818" s="6"/>
      <c r="W818" s="6"/>
      <c r="X818" s="6"/>
      <c r="Y818" s="6"/>
      <c r="Z818" s="6"/>
      <c r="AA818" s="6"/>
      <c r="AB818" s="6"/>
      <c r="AC818" s="6"/>
      <c r="AD818" s="6"/>
      <c r="AE818" s="6"/>
    </row>
    <row r="819" spans="22:31" ht="11.25" customHeight="1" x14ac:dyDescent="0.3">
      <c r="V819" s="6"/>
      <c r="W819" s="6"/>
      <c r="X819" s="6"/>
      <c r="Y819" s="6"/>
      <c r="Z819" s="6"/>
      <c r="AA819" s="6"/>
      <c r="AB819" s="6"/>
      <c r="AC819" s="6"/>
      <c r="AD819" s="6"/>
      <c r="AE819" s="6"/>
    </row>
    <row r="820" spans="22:31" ht="11.25" customHeight="1" x14ac:dyDescent="0.3">
      <c r="V820" s="6"/>
      <c r="W820" s="6"/>
      <c r="X820" s="6"/>
      <c r="Y820" s="6"/>
      <c r="Z820" s="6"/>
      <c r="AA820" s="6"/>
      <c r="AB820" s="6"/>
      <c r="AC820" s="6"/>
      <c r="AD820" s="6"/>
      <c r="AE820" s="6"/>
    </row>
    <row r="821" spans="22:31" ht="11.25" customHeight="1" x14ac:dyDescent="0.3">
      <c r="V821" s="6"/>
      <c r="W821" s="6"/>
      <c r="X821" s="6"/>
      <c r="Y821" s="6"/>
      <c r="Z821" s="6"/>
      <c r="AA821" s="6"/>
      <c r="AB821" s="6"/>
      <c r="AC821" s="6"/>
      <c r="AD821" s="6"/>
      <c r="AE821" s="6"/>
    </row>
    <row r="822" spans="22:31" ht="11.25" customHeight="1" x14ac:dyDescent="0.3">
      <c r="V822" s="6"/>
      <c r="W822" s="6"/>
      <c r="X822" s="6"/>
      <c r="Y822" s="6"/>
      <c r="Z822" s="6"/>
      <c r="AA822" s="6"/>
      <c r="AB822" s="6"/>
      <c r="AC822" s="6"/>
      <c r="AD822" s="6"/>
      <c r="AE822" s="6"/>
    </row>
    <row r="823" spans="22:31" ht="11.25" customHeight="1" x14ac:dyDescent="0.3">
      <c r="V823" s="6"/>
      <c r="W823" s="6"/>
      <c r="X823" s="6"/>
      <c r="Y823" s="6"/>
      <c r="Z823" s="6"/>
      <c r="AA823" s="6"/>
      <c r="AB823" s="6"/>
      <c r="AC823" s="6"/>
      <c r="AD823" s="6"/>
      <c r="AE823" s="6"/>
    </row>
    <row r="824" spans="22:31" ht="11.25" customHeight="1" x14ac:dyDescent="0.3">
      <c r="V824" s="6"/>
      <c r="W824" s="6"/>
      <c r="X824" s="6"/>
      <c r="Y824" s="6"/>
      <c r="Z824" s="6"/>
      <c r="AA824" s="6"/>
      <c r="AB824" s="6"/>
      <c r="AC824" s="6"/>
      <c r="AD824" s="6"/>
      <c r="AE824" s="6"/>
    </row>
    <row r="825" spans="22:31" ht="11.25" customHeight="1" x14ac:dyDescent="0.3">
      <c r="V825" s="6"/>
      <c r="W825" s="6"/>
      <c r="X825" s="6"/>
      <c r="Y825" s="6"/>
      <c r="Z825" s="6"/>
      <c r="AA825" s="6"/>
      <c r="AB825" s="6"/>
      <c r="AC825" s="6"/>
      <c r="AD825" s="6"/>
      <c r="AE825" s="6"/>
    </row>
    <row r="826" spans="22:31" ht="11.25" customHeight="1" x14ac:dyDescent="0.3">
      <c r="V826" s="6"/>
      <c r="W826" s="6"/>
      <c r="X826" s="6"/>
      <c r="Y826" s="6"/>
      <c r="Z826" s="6"/>
      <c r="AA826" s="6"/>
      <c r="AB826" s="6"/>
      <c r="AC826" s="6"/>
      <c r="AD826" s="6"/>
      <c r="AE826" s="6"/>
    </row>
    <row r="827" spans="22:31" ht="11.25" customHeight="1" x14ac:dyDescent="0.3">
      <c r="V827" s="6"/>
      <c r="W827" s="6"/>
      <c r="X827" s="6"/>
      <c r="Y827" s="6"/>
      <c r="Z827" s="6"/>
      <c r="AA827" s="6"/>
      <c r="AB827" s="6"/>
      <c r="AC827" s="6"/>
      <c r="AD827" s="6"/>
      <c r="AE827" s="6"/>
    </row>
    <row r="828" spans="22:31" ht="11.25" customHeight="1" x14ac:dyDescent="0.3">
      <c r="V828" s="6"/>
      <c r="W828" s="6"/>
      <c r="X828" s="6"/>
      <c r="Y828" s="6"/>
      <c r="Z828" s="6"/>
      <c r="AA828" s="6"/>
      <c r="AB828" s="6"/>
      <c r="AC828" s="6"/>
      <c r="AD828" s="6"/>
      <c r="AE828" s="6"/>
    </row>
    <row r="829" spans="22:31" ht="11.25" customHeight="1" x14ac:dyDescent="0.3">
      <c r="V829" s="6"/>
      <c r="W829" s="6"/>
      <c r="X829" s="6"/>
      <c r="Y829" s="6"/>
      <c r="Z829" s="6"/>
      <c r="AA829" s="6"/>
      <c r="AB829" s="6"/>
      <c r="AC829" s="6"/>
      <c r="AD829" s="6"/>
      <c r="AE829" s="6"/>
    </row>
    <row r="830" spans="22:31" ht="11.25" customHeight="1" x14ac:dyDescent="0.3">
      <c r="V830" s="6"/>
      <c r="W830" s="6"/>
      <c r="X830" s="6"/>
      <c r="Y830" s="6"/>
      <c r="Z830" s="6"/>
      <c r="AA830" s="6"/>
      <c r="AB830" s="6"/>
      <c r="AC830" s="6"/>
      <c r="AD830" s="6"/>
      <c r="AE830" s="6"/>
    </row>
    <row r="831" spans="22:31" ht="11.25" customHeight="1" x14ac:dyDescent="0.3">
      <c r="V831" s="6"/>
      <c r="W831" s="6"/>
      <c r="X831" s="6"/>
      <c r="Y831" s="6"/>
      <c r="Z831" s="6"/>
      <c r="AA831" s="6"/>
      <c r="AB831" s="6"/>
      <c r="AC831" s="6"/>
      <c r="AD831" s="6"/>
      <c r="AE831" s="6"/>
    </row>
    <row r="832" spans="22:31" ht="11.25" customHeight="1" x14ac:dyDescent="0.3">
      <c r="V832" s="6"/>
      <c r="W832" s="6"/>
      <c r="X832" s="6"/>
      <c r="Y832" s="6"/>
      <c r="Z832" s="6"/>
      <c r="AA832" s="6"/>
      <c r="AB832" s="6"/>
      <c r="AC832" s="6"/>
      <c r="AD832" s="6"/>
      <c r="AE832" s="6"/>
    </row>
    <row r="833" spans="22:31" ht="11.25" customHeight="1" x14ac:dyDescent="0.3">
      <c r="V833" s="6"/>
      <c r="W833" s="6"/>
      <c r="X833" s="6"/>
      <c r="Y833" s="6"/>
      <c r="Z833" s="6"/>
      <c r="AA833" s="6"/>
      <c r="AB833" s="6"/>
      <c r="AC833" s="6"/>
      <c r="AD833" s="6"/>
      <c r="AE833" s="6"/>
    </row>
    <row r="834" spans="22:31" ht="11.25" customHeight="1" x14ac:dyDescent="0.3">
      <c r="V834" s="6"/>
      <c r="W834" s="6"/>
      <c r="X834" s="6"/>
      <c r="Y834" s="6"/>
      <c r="Z834" s="6"/>
      <c r="AA834" s="6"/>
      <c r="AB834" s="6"/>
      <c r="AC834" s="6"/>
      <c r="AD834" s="6"/>
      <c r="AE834" s="6"/>
    </row>
    <row r="835" spans="22:31" ht="11.25" customHeight="1" x14ac:dyDescent="0.3">
      <c r="V835" s="6"/>
      <c r="W835" s="6"/>
      <c r="X835" s="6"/>
      <c r="Y835" s="6"/>
      <c r="Z835" s="6"/>
      <c r="AA835" s="6"/>
      <c r="AB835" s="6"/>
      <c r="AC835" s="6"/>
      <c r="AD835" s="6"/>
      <c r="AE835" s="6"/>
    </row>
    <row r="836" spans="22:31" ht="11.25" customHeight="1" x14ac:dyDescent="0.3">
      <c r="V836" s="6"/>
      <c r="W836" s="6"/>
      <c r="X836" s="6"/>
      <c r="Y836" s="6"/>
      <c r="Z836" s="6"/>
      <c r="AA836" s="6"/>
      <c r="AB836" s="6"/>
      <c r="AC836" s="6"/>
      <c r="AD836" s="6"/>
      <c r="AE836" s="6"/>
    </row>
    <row r="837" spans="22:31" ht="11.25" customHeight="1" x14ac:dyDescent="0.3">
      <c r="V837" s="6"/>
      <c r="W837" s="6"/>
      <c r="X837" s="6"/>
      <c r="Y837" s="6"/>
      <c r="Z837" s="6"/>
      <c r="AA837" s="6"/>
      <c r="AB837" s="6"/>
      <c r="AC837" s="6"/>
      <c r="AD837" s="6"/>
      <c r="AE837" s="6"/>
    </row>
    <row r="838" spans="22:31" ht="11.25" customHeight="1" x14ac:dyDescent="0.3">
      <c r="V838" s="6"/>
      <c r="W838" s="6"/>
      <c r="X838" s="6"/>
      <c r="Y838" s="6"/>
      <c r="Z838" s="6"/>
      <c r="AA838" s="6"/>
      <c r="AB838" s="6"/>
      <c r="AC838" s="6"/>
      <c r="AD838" s="6"/>
      <c r="AE838" s="6"/>
    </row>
    <row r="839" spans="22:31" ht="11.25" customHeight="1" x14ac:dyDescent="0.3">
      <c r="V839" s="6"/>
      <c r="W839" s="6"/>
      <c r="X839" s="6"/>
      <c r="Y839" s="6"/>
      <c r="Z839" s="6"/>
      <c r="AA839" s="6"/>
      <c r="AB839" s="6"/>
      <c r="AC839" s="6"/>
      <c r="AD839" s="6"/>
      <c r="AE839" s="6"/>
    </row>
    <row r="840" spans="22:31" ht="11.25" customHeight="1" x14ac:dyDescent="0.3">
      <c r="V840" s="6"/>
      <c r="W840" s="6"/>
      <c r="X840" s="6"/>
      <c r="Y840" s="6"/>
      <c r="Z840" s="6"/>
      <c r="AA840" s="6"/>
      <c r="AB840" s="6"/>
      <c r="AC840" s="6"/>
      <c r="AD840" s="6"/>
      <c r="AE840" s="6"/>
    </row>
    <row r="841" spans="22:31" ht="11.25" customHeight="1" x14ac:dyDescent="0.3">
      <c r="V841" s="6"/>
      <c r="W841" s="6"/>
      <c r="X841" s="6"/>
      <c r="Y841" s="6"/>
      <c r="Z841" s="6"/>
      <c r="AA841" s="6"/>
      <c r="AB841" s="6"/>
      <c r="AC841" s="6"/>
      <c r="AD841" s="6"/>
      <c r="AE841" s="6"/>
    </row>
    <row r="842" spans="22:31" ht="11.25" customHeight="1" x14ac:dyDescent="0.3">
      <c r="V842" s="6"/>
      <c r="W842" s="6"/>
      <c r="X842" s="6"/>
      <c r="Y842" s="6"/>
      <c r="Z842" s="6"/>
      <c r="AA842" s="6"/>
      <c r="AB842" s="6"/>
      <c r="AC842" s="6"/>
      <c r="AD842" s="6"/>
      <c r="AE842" s="6"/>
    </row>
    <row r="843" spans="22:31" ht="11.25" customHeight="1" x14ac:dyDescent="0.3">
      <c r="V843" s="6"/>
      <c r="W843" s="6"/>
      <c r="X843" s="6"/>
      <c r="Y843" s="6"/>
      <c r="Z843" s="6"/>
      <c r="AA843" s="6"/>
      <c r="AB843" s="6"/>
      <c r="AC843" s="6"/>
      <c r="AD843" s="6"/>
      <c r="AE843" s="6"/>
    </row>
    <row r="844" spans="22:31" ht="11.25" customHeight="1" x14ac:dyDescent="0.3">
      <c r="V844" s="6"/>
      <c r="W844" s="6"/>
      <c r="X844" s="6"/>
      <c r="Y844" s="6"/>
      <c r="Z844" s="6"/>
      <c r="AA844" s="6"/>
      <c r="AB844" s="6"/>
      <c r="AC844" s="6"/>
      <c r="AD844" s="6"/>
      <c r="AE844" s="6"/>
    </row>
    <row r="845" spans="22:31" ht="11.25" customHeight="1" x14ac:dyDescent="0.3">
      <c r="V845" s="6"/>
      <c r="W845" s="6"/>
      <c r="X845" s="6"/>
      <c r="Y845" s="6"/>
      <c r="Z845" s="6"/>
      <c r="AA845" s="6"/>
      <c r="AB845" s="6"/>
      <c r="AC845" s="6"/>
      <c r="AD845" s="6"/>
      <c r="AE845" s="6"/>
    </row>
    <row r="846" spans="22:31" ht="11.25" customHeight="1" x14ac:dyDescent="0.3">
      <c r="V846" s="6"/>
      <c r="W846" s="6"/>
      <c r="X846" s="6"/>
      <c r="Y846" s="6"/>
      <c r="Z846" s="6"/>
      <c r="AA846" s="6"/>
      <c r="AB846" s="6"/>
      <c r="AC846" s="6"/>
      <c r="AD846" s="6"/>
      <c r="AE846" s="6"/>
    </row>
    <row r="847" spans="22:31" ht="11.25" customHeight="1" x14ac:dyDescent="0.3">
      <c r="V847" s="6"/>
      <c r="W847" s="6"/>
      <c r="X847" s="6"/>
      <c r="Y847" s="6"/>
      <c r="Z847" s="6"/>
      <c r="AA847" s="6"/>
      <c r="AB847" s="6"/>
      <c r="AC847" s="6"/>
      <c r="AD847" s="6"/>
      <c r="AE847" s="6"/>
    </row>
    <row r="848" spans="22:31" ht="11.25" customHeight="1" x14ac:dyDescent="0.3">
      <c r="V848" s="6"/>
      <c r="W848" s="6"/>
      <c r="X848" s="6"/>
      <c r="Y848" s="6"/>
      <c r="Z848" s="6"/>
      <c r="AA848" s="6"/>
      <c r="AB848" s="6"/>
      <c r="AC848" s="6"/>
      <c r="AD848" s="6"/>
      <c r="AE848" s="6"/>
    </row>
    <row r="849" spans="22:31" ht="11.25" customHeight="1" x14ac:dyDescent="0.3">
      <c r="V849" s="6"/>
      <c r="W849" s="6"/>
      <c r="X849" s="6"/>
      <c r="Y849" s="6"/>
      <c r="Z849" s="6"/>
      <c r="AA849" s="6"/>
      <c r="AB849" s="6"/>
      <c r="AC849" s="6"/>
      <c r="AD849" s="6"/>
      <c r="AE849" s="6"/>
    </row>
    <row r="850" spans="22:31" ht="11.25" customHeight="1" x14ac:dyDescent="0.3">
      <c r="V850" s="6"/>
      <c r="W850" s="6"/>
      <c r="X850" s="6"/>
      <c r="Y850" s="6"/>
      <c r="Z850" s="6"/>
      <c r="AA850" s="6"/>
      <c r="AB850" s="6"/>
      <c r="AC850" s="6"/>
      <c r="AD850" s="6"/>
      <c r="AE850" s="6"/>
    </row>
    <row r="851" spans="22:31" ht="11.25" customHeight="1" x14ac:dyDescent="0.3">
      <c r="V851" s="6"/>
      <c r="W851" s="6"/>
      <c r="X851" s="6"/>
      <c r="Y851" s="6"/>
      <c r="Z851" s="6"/>
      <c r="AA851" s="6"/>
      <c r="AB851" s="6"/>
      <c r="AC851" s="6"/>
      <c r="AD851" s="6"/>
      <c r="AE851" s="6"/>
    </row>
    <row r="852" spans="22:31" ht="11.25" customHeight="1" x14ac:dyDescent="0.3">
      <c r="V852" s="6"/>
      <c r="W852" s="6"/>
      <c r="X852" s="6"/>
      <c r="Y852" s="6"/>
      <c r="Z852" s="6"/>
      <c r="AA852" s="6"/>
      <c r="AB852" s="6"/>
      <c r="AC852" s="6"/>
      <c r="AD852" s="6"/>
      <c r="AE852" s="6"/>
    </row>
    <row r="853" spans="22:31" ht="11.25" customHeight="1" x14ac:dyDescent="0.3">
      <c r="V853" s="6"/>
      <c r="W853" s="6"/>
      <c r="X853" s="6"/>
      <c r="Y853" s="6"/>
      <c r="Z853" s="6"/>
      <c r="AA853" s="6"/>
      <c r="AB853" s="6"/>
      <c r="AC853" s="6"/>
      <c r="AD853" s="6"/>
      <c r="AE853" s="6"/>
    </row>
    <row r="854" spans="22:31" ht="11.25" customHeight="1" x14ac:dyDescent="0.3">
      <c r="V854" s="6"/>
      <c r="W854" s="6"/>
      <c r="X854" s="6"/>
      <c r="Y854" s="6"/>
      <c r="Z854" s="6"/>
      <c r="AA854" s="6"/>
      <c r="AB854" s="6"/>
      <c r="AC854" s="6"/>
      <c r="AD854" s="6"/>
      <c r="AE854" s="6"/>
    </row>
    <row r="855" spans="22:31" ht="11.25" customHeight="1" x14ac:dyDescent="0.3">
      <c r="V855" s="6"/>
      <c r="W855" s="6"/>
      <c r="X855" s="6"/>
      <c r="Y855" s="6"/>
      <c r="Z855" s="6"/>
      <c r="AA855" s="6"/>
      <c r="AB855" s="6"/>
      <c r="AC855" s="6"/>
      <c r="AD855" s="6"/>
      <c r="AE855" s="6"/>
    </row>
    <row r="856" spans="22:31" ht="11.25" customHeight="1" x14ac:dyDescent="0.3">
      <c r="V856" s="6"/>
      <c r="W856" s="6"/>
      <c r="X856" s="6"/>
      <c r="Y856" s="6"/>
      <c r="Z856" s="6"/>
      <c r="AA856" s="6"/>
      <c r="AB856" s="6"/>
      <c r="AC856" s="6"/>
      <c r="AD856" s="6"/>
      <c r="AE856" s="6"/>
    </row>
    <row r="857" spans="22:31" ht="11.25" customHeight="1" x14ac:dyDescent="0.3">
      <c r="V857" s="6"/>
      <c r="W857" s="6"/>
      <c r="X857" s="6"/>
      <c r="Y857" s="6"/>
      <c r="Z857" s="6"/>
      <c r="AA857" s="6"/>
      <c r="AB857" s="6"/>
      <c r="AC857" s="6"/>
      <c r="AD857" s="6"/>
      <c r="AE857" s="6"/>
    </row>
    <row r="858" spans="22:31" ht="11.25" customHeight="1" x14ac:dyDescent="0.3">
      <c r="V858" s="6"/>
      <c r="W858" s="6"/>
      <c r="X858" s="6"/>
      <c r="Y858" s="6"/>
      <c r="Z858" s="6"/>
      <c r="AA858" s="6"/>
      <c r="AB858" s="6"/>
      <c r="AC858" s="6"/>
      <c r="AD858" s="6"/>
      <c r="AE858" s="6"/>
    </row>
    <row r="859" spans="22:31" ht="11.25" customHeight="1" x14ac:dyDescent="0.3">
      <c r="V859" s="6"/>
      <c r="W859" s="6"/>
      <c r="X859" s="6"/>
      <c r="Y859" s="6"/>
      <c r="Z859" s="6"/>
      <c r="AA859" s="6"/>
      <c r="AB859" s="6"/>
      <c r="AC859" s="6"/>
      <c r="AD859" s="6"/>
      <c r="AE859" s="6"/>
    </row>
    <row r="860" spans="22:31" ht="11.25" customHeight="1" x14ac:dyDescent="0.3">
      <c r="V860" s="6"/>
      <c r="W860" s="6"/>
      <c r="X860" s="6"/>
      <c r="Y860" s="6"/>
      <c r="Z860" s="6"/>
      <c r="AA860" s="6"/>
      <c r="AB860" s="6"/>
      <c r="AC860" s="6"/>
      <c r="AD860" s="6"/>
      <c r="AE860" s="6"/>
    </row>
    <row r="861" spans="22:31" ht="11.25" customHeight="1" x14ac:dyDescent="0.3">
      <c r="V861" s="6"/>
      <c r="W861" s="6"/>
      <c r="X861" s="6"/>
      <c r="Y861" s="6"/>
      <c r="Z861" s="6"/>
      <c r="AA861" s="6"/>
      <c r="AB861" s="6"/>
      <c r="AC861" s="6"/>
      <c r="AD861" s="6"/>
      <c r="AE861" s="6"/>
    </row>
    <row r="862" spans="22:31" ht="11.25" customHeight="1" x14ac:dyDescent="0.3">
      <c r="V862" s="6"/>
      <c r="W862" s="6"/>
      <c r="X862" s="6"/>
      <c r="Y862" s="6"/>
      <c r="Z862" s="6"/>
      <c r="AA862" s="6"/>
      <c r="AB862" s="6"/>
      <c r="AC862" s="6"/>
      <c r="AD862" s="6"/>
      <c r="AE862" s="6"/>
    </row>
    <row r="863" spans="22:31" ht="11.25" customHeight="1" x14ac:dyDescent="0.3">
      <c r="V863" s="6"/>
      <c r="W863" s="6"/>
      <c r="X863" s="6"/>
      <c r="Y863" s="6"/>
      <c r="Z863" s="6"/>
      <c r="AA863" s="6"/>
      <c r="AB863" s="6"/>
      <c r="AC863" s="6"/>
      <c r="AD863" s="6"/>
      <c r="AE863" s="6"/>
    </row>
    <row r="864" spans="22:31" ht="11.25" customHeight="1" x14ac:dyDescent="0.3">
      <c r="V864" s="6"/>
      <c r="W864" s="6"/>
      <c r="X864" s="6"/>
      <c r="Y864" s="6"/>
      <c r="Z864" s="6"/>
      <c r="AA864" s="6"/>
      <c r="AB864" s="6"/>
      <c r="AC864" s="6"/>
      <c r="AD864" s="6"/>
      <c r="AE864" s="6"/>
    </row>
    <row r="865" spans="22:31" ht="11.25" customHeight="1" x14ac:dyDescent="0.3">
      <c r="V865" s="6"/>
      <c r="W865" s="6"/>
      <c r="X865" s="6"/>
      <c r="Y865" s="6"/>
      <c r="Z865" s="6"/>
      <c r="AA865" s="6"/>
      <c r="AB865" s="6"/>
      <c r="AC865" s="6"/>
      <c r="AD865" s="6"/>
      <c r="AE865" s="6"/>
    </row>
    <row r="866" spans="22:31" ht="11.25" customHeight="1" x14ac:dyDescent="0.3">
      <c r="V866" s="6"/>
      <c r="W866" s="6"/>
      <c r="X866" s="6"/>
      <c r="Y866" s="6"/>
      <c r="Z866" s="6"/>
      <c r="AA866" s="6"/>
      <c r="AB866" s="6"/>
      <c r="AC866" s="6"/>
      <c r="AD866" s="6"/>
      <c r="AE866" s="6"/>
    </row>
    <row r="867" spans="22:31" ht="11.25" customHeight="1" x14ac:dyDescent="0.3">
      <c r="V867" s="6"/>
      <c r="W867" s="6"/>
      <c r="X867" s="6"/>
      <c r="Y867" s="6"/>
      <c r="Z867" s="6"/>
      <c r="AA867" s="6"/>
      <c r="AB867" s="6"/>
      <c r="AC867" s="6"/>
      <c r="AD867" s="6"/>
      <c r="AE867" s="6"/>
    </row>
    <row r="868" spans="22:31" ht="11.25" customHeight="1" x14ac:dyDescent="0.3">
      <c r="V868" s="6"/>
      <c r="W868" s="6"/>
      <c r="X868" s="6"/>
      <c r="Y868" s="6"/>
      <c r="Z868" s="6"/>
      <c r="AA868" s="6"/>
      <c r="AB868" s="6"/>
      <c r="AC868" s="6"/>
      <c r="AD868" s="6"/>
      <c r="AE868" s="6"/>
    </row>
    <row r="869" spans="22:31" ht="11.25" customHeight="1" x14ac:dyDescent="0.3">
      <c r="V869" s="6"/>
      <c r="W869" s="6"/>
      <c r="X869" s="6"/>
      <c r="Y869" s="6"/>
      <c r="Z869" s="6"/>
      <c r="AA869" s="6"/>
      <c r="AB869" s="6"/>
      <c r="AC869" s="6"/>
      <c r="AD869" s="6"/>
      <c r="AE869" s="6"/>
    </row>
    <row r="870" spans="22:31" ht="11.25" customHeight="1" x14ac:dyDescent="0.3">
      <c r="V870" s="6"/>
      <c r="W870" s="6"/>
      <c r="X870" s="6"/>
      <c r="Y870" s="6"/>
      <c r="Z870" s="6"/>
      <c r="AA870" s="6"/>
      <c r="AB870" s="6"/>
      <c r="AC870" s="6"/>
      <c r="AD870" s="6"/>
      <c r="AE870" s="6"/>
    </row>
    <row r="871" spans="22:31" ht="11.25" customHeight="1" x14ac:dyDescent="0.3">
      <c r="V871" s="6"/>
      <c r="W871" s="6"/>
      <c r="X871" s="6"/>
      <c r="Y871" s="6"/>
      <c r="Z871" s="6"/>
      <c r="AA871" s="6"/>
      <c r="AB871" s="6"/>
      <c r="AC871" s="6"/>
      <c r="AD871" s="6"/>
      <c r="AE871" s="6"/>
    </row>
    <row r="872" spans="22:31" ht="11.25" customHeight="1" x14ac:dyDescent="0.3">
      <c r="V872" s="6"/>
      <c r="W872" s="6"/>
      <c r="X872" s="6"/>
      <c r="Y872" s="6"/>
      <c r="Z872" s="6"/>
      <c r="AA872" s="6"/>
      <c r="AB872" s="6"/>
      <c r="AC872" s="6"/>
      <c r="AD872" s="6"/>
      <c r="AE872" s="6"/>
    </row>
    <row r="873" spans="22:31" ht="11.25" customHeight="1" x14ac:dyDescent="0.3">
      <c r="V873" s="6"/>
      <c r="W873" s="6"/>
      <c r="X873" s="6"/>
      <c r="Y873" s="6"/>
      <c r="Z873" s="6"/>
      <c r="AA873" s="6"/>
      <c r="AB873" s="6"/>
      <c r="AC873" s="6"/>
      <c r="AD873" s="6"/>
      <c r="AE873" s="6"/>
    </row>
    <row r="874" spans="22:31" ht="11.25" customHeight="1" x14ac:dyDescent="0.3">
      <c r="V874" s="6"/>
      <c r="W874" s="6"/>
      <c r="X874" s="6"/>
      <c r="Y874" s="6"/>
      <c r="Z874" s="6"/>
      <c r="AA874" s="6"/>
      <c r="AB874" s="6"/>
      <c r="AC874" s="6"/>
      <c r="AD874" s="6"/>
      <c r="AE874" s="6"/>
    </row>
    <row r="875" spans="22:31" ht="11.25" customHeight="1" x14ac:dyDescent="0.3">
      <c r="V875" s="6"/>
      <c r="W875" s="6"/>
      <c r="X875" s="6"/>
      <c r="Y875" s="6"/>
      <c r="Z875" s="6"/>
      <c r="AA875" s="6"/>
      <c r="AB875" s="6"/>
      <c r="AC875" s="6"/>
      <c r="AD875" s="6"/>
      <c r="AE875" s="6"/>
    </row>
    <row r="876" spans="22:31" ht="11.25" customHeight="1" x14ac:dyDescent="0.3">
      <c r="V876" s="6"/>
      <c r="W876" s="6"/>
      <c r="X876" s="6"/>
      <c r="Y876" s="6"/>
      <c r="Z876" s="6"/>
      <c r="AA876" s="6"/>
      <c r="AB876" s="6"/>
      <c r="AC876" s="6"/>
      <c r="AD876" s="6"/>
      <c r="AE876" s="6"/>
    </row>
    <row r="877" spans="22:31" ht="11.25" customHeight="1" x14ac:dyDescent="0.3">
      <c r="V877" s="6"/>
      <c r="W877" s="6"/>
      <c r="X877" s="6"/>
      <c r="Y877" s="6"/>
      <c r="Z877" s="6"/>
      <c r="AA877" s="6"/>
      <c r="AB877" s="6"/>
      <c r="AC877" s="6"/>
      <c r="AD877" s="6"/>
      <c r="AE877" s="6"/>
    </row>
    <row r="878" spans="22:31" ht="11.25" customHeight="1" x14ac:dyDescent="0.3">
      <c r="V878" s="6"/>
      <c r="W878" s="6"/>
      <c r="X878" s="6"/>
      <c r="Y878" s="6"/>
      <c r="Z878" s="6"/>
      <c r="AA878" s="6"/>
      <c r="AB878" s="6"/>
      <c r="AC878" s="6"/>
      <c r="AD878" s="6"/>
      <c r="AE878" s="6"/>
    </row>
    <row r="879" spans="22:31" ht="11.25" customHeight="1" x14ac:dyDescent="0.3">
      <c r="V879" s="6"/>
      <c r="W879" s="6"/>
      <c r="X879" s="6"/>
      <c r="Y879" s="6"/>
      <c r="Z879" s="6"/>
      <c r="AA879" s="6"/>
      <c r="AB879" s="6"/>
      <c r="AC879" s="6"/>
      <c r="AD879" s="6"/>
      <c r="AE879" s="6"/>
    </row>
    <row r="880" spans="22:31" ht="11.25" customHeight="1" x14ac:dyDescent="0.3">
      <c r="V880" s="6"/>
      <c r="W880" s="6"/>
      <c r="X880" s="6"/>
      <c r="Y880" s="6"/>
      <c r="Z880" s="6"/>
      <c r="AA880" s="6"/>
      <c r="AB880" s="6"/>
      <c r="AC880" s="6"/>
      <c r="AD880" s="6"/>
      <c r="AE880" s="6"/>
    </row>
    <row r="881" spans="22:31" ht="11.25" customHeight="1" x14ac:dyDescent="0.3">
      <c r="V881" s="6"/>
      <c r="W881" s="6"/>
      <c r="X881" s="6"/>
      <c r="Y881" s="6"/>
      <c r="Z881" s="6"/>
      <c r="AA881" s="6"/>
      <c r="AB881" s="6"/>
      <c r="AC881" s="6"/>
      <c r="AD881" s="6"/>
      <c r="AE881" s="6"/>
    </row>
    <row r="882" spans="22:31" ht="11.25" customHeight="1" x14ac:dyDescent="0.3">
      <c r="V882" s="6"/>
      <c r="W882" s="6"/>
      <c r="X882" s="6"/>
      <c r="Y882" s="6"/>
      <c r="Z882" s="6"/>
      <c r="AA882" s="6"/>
      <c r="AB882" s="6"/>
      <c r="AC882" s="6"/>
      <c r="AD882" s="6"/>
      <c r="AE882" s="6"/>
    </row>
    <row r="883" spans="22:31" ht="11.25" customHeight="1" x14ac:dyDescent="0.3">
      <c r="V883" s="6"/>
      <c r="W883" s="6"/>
      <c r="X883" s="6"/>
      <c r="Y883" s="6"/>
      <c r="Z883" s="6"/>
      <c r="AA883" s="6"/>
      <c r="AB883" s="6"/>
      <c r="AC883" s="6"/>
      <c r="AD883" s="6"/>
      <c r="AE883" s="6"/>
    </row>
    <row r="884" spans="22:31" ht="11.25" customHeight="1" x14ac:dyDescent="0.3">
      <c r="V884" s="6"/>
      <c r="W884" s="6"/>
      <c r="X884" s="6"/>
      <c r="Y884" s="6"/>
      <c r="Z884" s="6"/>
      <c r="AA884" s="6"/>
      <c r="AB884" s="6"/>
      <c r="AC884" s="6"/>
      <c r="AD884" s="6"/>
      <c r="AE884" s="6"/>
    </row>
    <row r="885" spans="22:31" ht="11.25" customHeight="1" x14ac:dyDescent="0.3">
      <c r="V885" s="6"/>
      <c r="W885" s="6"/>
      <c r="X885" s="6"/>
      <c r="Y885" s="6"/>
      <c r="Z885" s="6"/>
      <c r="AA885" s="6"/>
      <c r="AB885" s="6"/>
      <c r="AC885" s="6"/>
      <c r="AD885" s="6"/>
      <c r="AE885" s="6"/>
    </row>
    <row r="886" spans="22:31" ht="11.25" customHeight="1" x14ac:dyDescent="0.3">
      <c r="V886" s="6"/>
      <c r="W886" s="6"/>
      <c r="X886" s="6"/>
      <c r="Y886" s="6"/>
      <c r="Z886" s="6"/>
      <c r="AA886" s="6"/>
      <c r="AB886" s="6"/>
      <c r="AC886" s="6"/>
      <c r="AD886" s="6"/>
      <c r="AE886" s="6"/>
    </row>
    <row r="887" spans="22:31" ht="11.25" customHeight="1" x14ac:dyDescent="0.3">
      <c r="V887" s="6"/>
      <c r="W887" s="6"/>
      <c r="X887" s="6"/>
      <c r="Y887" s="6"/>
      <c r="Z887" s="6"/>
      <c r="AA887" s="6"/>
      <c r="AB887" s="6"/>
      <c r="AC887" s="6"/>
      <c r="AD887" s="6"/>
      <c r="AE887" s="6"/>
    </row>
    <row r="888" spans="22:31" ht="11.25" customHeight="1" x14ac:dyDescent="0.3">
      <c r="V888" s="6"/>
      <c r="W888" s="6"/>
      <c r="X888" s="6"/>
      <c r="Y888" s="6"/>
      <c r="Z888" s="6"/>
      <c r="AA888" s="6"/>
      <c r="AB888" s="6"/>
      <c r="AC888" s="6"/>
      <c r="AD888" s="6"/>
      <c r="AE888" s="6"/>
    </row>
    <row r="889" spans="22:31" ht="11.25" customHeight="1" x14ac:dyDescent="0.3">
      <c r="V889" s="6"/>
      <c r="W889" s="6"/>
      <c r="X889" s="6"/>
      <c r="Y889" s="6"/>
      <c r="Z889" s="6"/>
      <c r="AA889" s="6"/>
      <c r="AB889" s="6"/>
      <c r="AC889" s="6"/>
      <c r="AD889" s="6"/>
      <c r="AE889" s="6"/>
    </row>
    <row r="890" spans="22:31" ht="11.25" customHeight="1" x14ac:dyDescent="0.3">
      <c r="V890" s="6"/>
      <c r="W890" s="6"/>
      <c r="X890" s="6"/>
      <c r="Y890" s="6"/>
      <c r="Z890" s="6"/>
      <c r="AA890" s="6"/>
      <c r="AB890" s="6"/>
      <c r="AC890" s="6"/>
      <c r="AD890" s="6"/>
      <c r="AE890" s="6"/>
    </row>
    <row r="891" spans="22:31" ht="11.25" customHeight="1" x14ac:dyDescent="0.3">
      <c r="V891" s="6"/>
      <c r="W891" s="6"/>
      <c r="X891" s="6"/>
      <c r="Y891" s="6"/>
      <c r="Z891" s="6"/>
      <c r="AA891" s="6"/>
      <c r="AB891" s="6"/>
      <c r="AC891" s="6"/>
      <c r="AD891" s="6"/>
      <c r="AE891" s="6"/>
    </row>
    <row r="892" spans="22:31" ht="11.25" customHeight="1" x14ac:dyDescent="0.3">
      <c r="V892" s="6"/>
      <c r="W892" s="6"/>
      <c r="X892" s="6"/>
      <c r="Y892" s="6"/>
      <c r="Z892" s="6"/>
      <c r="AA892" s="6"/>
      <c r="AB892" s="6"/>
      <c r="AC892" s="6"/>
      <c r="AD892" s="6"/>
      <c r="AE892" s="6"/>
    </row>
    <row r="893" spans="22:31" ht="11.25" customHeight="1" x14ac:dyDescent="0.3">
      <c r="V893" s="6"/>
      <c r="W893" s="6"/>
      <c r="X893" s="6"/>
      <c r="Y893" s="6"/>
      <c r="Z893" s="6"/>
      <c r="AA893" s="6"/>
      <c r="AB893" s="6"/>
      <c r="AC893" s="6"/>
      <c r="AD893" s="6"/>
      <c r="AE893" s="6"/>
    </row>
    <row r="894" spans="22:31" ht="11.25" customHeight="1" x14ac:dyDescent="0.3">
      <c r="V894" s="6"/>
      <c r="W894" s="6"/>
      <c r="X894" s="6"/>
      <c r="Y894" s="6"/>
      <c r="Z894" s="6"/>
      <c r="AA894" s="6"/>
      <c r="AB894" s="6"/>
      <c r="AC894" s="6"/>
      <c r="AD894" s="6"/>
      <c r="AE894" s="6"/>
    </row>
    <row r="895" spans="22:31" ht="11.25" customHeight="1" x14ac:dyDescent="0.3">
      <c r="V895" s="6"/>
      <c r="W895" s="6"/>
      <c r="X895" s="6"/>
      <c r="Y895" s="6"/>
      <c r="Z895" s="6"/>
      <c r="AA895" s="6"/>
      <c r="AB895" s="6"/>
      <c r="AC895" s="6"/>
      <c r="AD895" s="6"/>
      <c r="AE895" s="6"/>
    </row>
    <row r="896" spans="22:31" ht="11.25" customHeight="1" x14ac:dyDescent="0.3">
      <c r="V896" s="6"/>
      <c r="W896" s="6"/>
      <c r="X896" s="6"/>
      <c r="Y896" s="6"/>
      <c r="Z896" s="6"/>
      <c r="AA896" s="6"/>
      <c r="AB896" s="6"/>
      <c r="AC896" s="6"/>
      <c r="AD896" s="6"/>
      <c r="AE896" s="6"/>
    </row>
    <row r="897" spans="22:31" ht="11.25" customHeight="1" x14ac:dyDescent="0.3">
      <c r="V897" s="6"/>
      <c r="W897" s="6"/>
      <c r="X897" s="6"/>
      <c r="Y897" s="6"/>
      <c r="Z897" s="6"/>
      <c r="AA897" s="6"/>
      <c r="AB897" s="6"/>
      <c r="AC897" s="6"/>
      <c r="AD897" s="6"/>
      <c r="AE897" s="6"/>
    </row>
    <row r="898" spans="22:31" ht="11.25" customHeight="1" x14ac:dyDescent="0.3">
      <c r="V898" s="6"/>
      <c r="W898" s="6"/>
      <c r="X898" s="6"/>
      <c r="Y898" s="6"/>
      <c r="Z898" s="6"/>
      <c r="AA898" s="6"/>
      <c r="AB898" s="6"/>
      <c r="AC898" s="6"/>
      <c r="AD898" s="6"/>
      <c r="AE898" s="6"/>
    </row>
    <row r="899" spans="22:31" ht="11.25" customHeight="1" x14ac:dyDescent="0.3">
      <c r="V899" s="6"/>
      <c r="W899" s="6"/>
      <c r="X899" s="6"/>
      <c r="Y899" s="6"/>
      <c r="Z899" s="6"/>
      <c r="AA899" s="6"/>
      <c r="AB899" s="6"/>
      <c r="AC899" s="6"/>
      <c r="AD899" s="6"/>
      <c r="AE899" s="6"/>
    </row>
    <row r="900" spans="22:31" ht="11.25" customHeight="1" x14ac:dyDescent="0.3">
      <c r="V900" s="6"/>
      <c r="W900" s="6"/>
      <c r="X900" s="6"/>
      <c r="Y900" s="6"/>
      <c r="Z900" s="6"/>
      <c r="AA900" s="6"/>
      <c r="AB900" s="6"/>
      <c r="AC900" s="6"/>
      <c r="AD900" s="6"/>
      <c r="AE900" s="6"/>
    </row>
    <row r="901" spans="22:31" ht="11.25" customHeight="1" x14ac:dyDescent="0.3">
      <c r="V901" s="6"/>
      <c r="W901" s="6"/>
      <c r="X901" s="6"/>
      <c r="Y901" s="6"/>
      <c r="Z901" s="6"/>
      <c r="AA901" s="6"/>
      <c r="AB901" s="6"/>
      <c r="AC901" s="6"/>
      <c r="AD901" s="6"/>
      <c r="AE901" s="6"/>
    </row>
    <row r="902" spans="22:31" ht="11.25" customHeight="1" x14ac:dyDescent="0.3">
      <c r="V902" s="6"/>
      <c r="W902" s="6"/>
      <c r="X902" s="6"/>
      <c r="Y902" s="6"/>
      <c r="Z902" s="6"/>
      <c r="AA902" s="6"/>
      <c r="AB902" s="6"/>
      <c r="AC902" s="6"/>
      <c r="AD902" s="6"/>
      <c r="AE902" s="6"/>
    </row>
    <row r="903" spans="22:31" ht="11.25" customHeight="1" x14ac:dyDescent="0.3">
      <c r="V903" s="6"/>
      <c r="W903" s="6"/>
      <c r="X903" s="6"/>
      <c r="Y903" s="6"/>
      <c r="Z903" s="6"/>
      <c r="AA903" s="6"/>
      <c r="AB903" s="6"/>
      <c r="AC903" s="6"/>
      <c r="AD903" s="6"/>
      <c r="AE903" s="6"/>
    </row>
    <row r="904" spans="22:31" ht="11.25" customHeight="1" x14ac:dyDescent="0.3">
      <c r="V904" s="6"/>
      <c r="W904" s="6"/>
      <c r="X904" s="6"/>
      <c r="Y904" s="6"/>
      <c r="Z904" s="6"/>
      <c r="AA904" s="6"/>
      <c r="AB904" s="6"/>
      <c r="AC904" s="6"/>
      <c r="AD904" s="6"/>
      <c r="AE904" s="6"/>
    </row>
    <row r="905" spans="22:31" ht="11.25" customHeight="1" x14ac:dyDescent="0.3">
      <c r="V905" s="6"/>
      <c r="W905" s="6"/>
      <c r="X905" s="6"/>
      <c r="Y905" s="6"/>
      <c r="Z905" s="6"/>
      <c r="AA905" s="6"/>
      <c r="AB905" s="6"/>
      <c r="AC905" s="6"/>
      <c r="AD905" s="6"/>
      <c r="AE905" s="6"/>
    </row>
    <row r="906" spans="22:31" ht="11.25" customHeight="1" x14ac:dyDescent="0.3">
      <c r="V906" s="6"/>
      <c r="W906" s="6"/>
      <c r="X906" s="6"/>
      <c r="Y906" s="6"/>
      <c r="Z906" s="6"/>
      <c r="AA906" s="6"/>
      <c r="AB906" s="6"/>
      <c r="AC906" s="6"/>
      <c r="AD906" s="6"/>
      <c r="AE906" s="6"/>
    </row>
    <row r="907" spans="22:31" ht="11.25" customHeight="1" x14ac:dyDescent="0.3">
      <c r="V907" s="6"/>
      <c r="W907" s="6"/>
      <c r="X907" s="6"/>
      <c r="Y907" s="6"/>
      <c r="Z907" s="6"/>
      <c r="AA907" s="6"/>
      <c r="AB907" s="6"/>
      <c r="AC907" s="6"/>
      <c r="AD907" s="6"/>
      <c r="AE907" s="6"/>
    </row>
    <row r="908" spans="22:31" ht="11.25" customHeight="1" x14ac:dyDescent="0.3">
      <c r="V908" s="6"/>
      <c r="W908" s="6"/>
      <c r="X908" s="6"/>
      <c r="Y908" s="6"/>
      <c r="Z908" s="6"/>
      <c r="AA908" s="6"/>
      <c r="AB908" s="6"/>
      <c r="AC908" s="6"/>
      <c r="AD908" s="6"/>
      <c r="AE908" s="6"/>
    </row>
    <row r="909" spans="22:31" ht="11.25" customHeight="1" x14ac:dyDescent="0.3">
      <c r="V909" s="6"/>
      <c r="W909" s="6"/>
      <c r="X909" s="6"/>
      <c r="Y909" s="6"/>
      <c r="Z909" s="6"/>
      <c r="AA909" s="6"/>
      <c r="AB909" s="6"/>
      <c r="AC909" s="6"/>
      <c r="AD909" s="6"/>
      <c r="AE909" s="6"/>
    </row>
    <row r="910" spans="22:31" ht="11.25" customHeight="1" x14ac:dyDescent="0.3">
      <c r="V910" s="6"/>
      <c r="W910" s="6"/>
      <c r="X910" s="6"/>
      <c r="Y910" s="6"/>
      <c r="Z910" s="6"/>
      <c r="AA910" s="6"/>
      <c r="AB910" s="6"/>
      <c r="AC910" s="6"/>
      <c r="AD910" s="6"/>
      <c r="AE910" s="6"/>
    </row>
    <row r="911" spans="22:31" ht="11.25" customHeight="1" x14ac:dyDescent="0.3">
      <c r="V911" s="6"/>
      <c r="W911" s="6"/>
      <c r="X911" s="6"/>
      <c r="Y911" s="6"/>
      <c r="Z911" s="6"/>
      <c r="AA911" s="6"/>
      <c r="AB911" s="6"/>
      <c r="AC911" s="6"/>
      <c r="AD911" s="6"/>
      <c r="AE911" s="6"/>
    </row>
    <row r="912" spans="22:31" ht="11.25" customHeight="1" x14ac:dyDescent="0.3">
      <c r="V912" s="6"/>
      <c r="W912" s="6"/>
      <c r="X912" s="6"/>
      <c r="Y912" s="6"/>
      <c r="Z912" s="6"/>
      <c r="AA912" s="6"/>
      <c r="AB912" s="6"/>
      <c r="AC912" s="6"/>
      <c r="AD912" s="6"/>
      <c r="AE912" s="6"/>
    </row>
    <row r="913" spans="22:31" ht="11.25" customHeight="1" x14ac:dyDescent="0.3">
      <c r="V913" s="6"/>
      <c r="W913" s="6"/>
      <c r="X913" s="6"/>
      <c r="Y913" s="6"/>
      <c r="Z913" s="6"/>
      <c r="AA913" s="6"/>
      <c r="AB913" s="6"/>
      <c r="AC913" s="6"/>
      <c r="AD913" s="6"/>
      <c r="AE913" s="6"/>
    </row>
    <row r="914" spans="22:31" ht="11.25" customHeight="1" x14ac:dyDescent="0.3">
      <c r="V914" s="6"/>
      <c r="W914" s="6"/>
      <c r="X914" s="6"/>
      <c r="Y914" s="6"/>
      <c r="Z914" s="6"/>
      <c r="AA914" s="6"/>
      <c r="AB914" s="6"/>
      <c r="AC914" s="6"/>
      <c r="AD914" s="6"/>
      <c r="AE914" s="6"/>
    </row>
    <row r="915" spans="22:31" ht="11.25" customHeight="1" x14ac:dyDescent="0.3">
      <c r="V915" s="6"/>
      <c r="W915" s="6"/>
      <c r="X915" s="6"/>
      <c r="Y915" s="6"/>
      <c r="Z915" s="6"/>
      <c r="AA915" s="6"/>
      <c r="AB915" s="6"/>
      <c r="AC915" s="6"/>
      <c r="AD915" s="6"/>
      <c r="AE915" s="6"/>
    </row>
    <row r="916" spans="22:31" ht="11.25" customHeight="1" x14ac:dyDescent="0.3">
      <c r="V916" s="6"/>
      <c r="W916" s="6"/>
      <c r="X916" s="6"/>
      <c r="Y916" s="6"/>
      <c r="Z916" s="6"/>
      <c r="AA916" s="6"/>
      <c r="AB916" s="6"/>
      <c r="AC916" s="6"/>
      <c r="AD916" s="6"/>
      <c r="AE916" s="6"/>
    </row>
    <row r="917" spans="22:31" ht="11.25" customHeight="1" x14ac:dyDescent="0.3">
      <c r="V917" s="6"/>
      <c r="W917" s="6"/>
      <c r="X917" s="6"/>
      <c r="Y917" s="6"/>
      <c r="Z917" s="6"/>
      <c r="AA917" s="6"/>
      <c r="AB917" s="6"/>
      <c r="AC917" s="6"/>
      <c r="AD917" s="6"/>
      <c r="AE917" s="6"/>
    </row>
    <row r="918" spans="22:31" ht="11.25" customHeight="1" x14ac:dyDescent="0.3">
      <c r="V918" s="6"/>
      <c r="W918" s="6"/>
      <c r="X918" s="6"/>
      <c r="Y918" s="6"/>
      <c r="Z918" s="6"/>
      <c r="AA918" s="6"/>
      <c r="AB918" s="6"/>
      <c r="AC918" s="6"/>
      <c r="AD918" s="6"/>
      <c r="AE918" s="6"/>
    </row>
    <row r="919" spans="22:31" ht="11.25" customHeight="1" x14ac:dyDescent="0.3">
      <c r="V919" s="6"/>
      <c r="W919" s="6"/>
      <c r="X919" s="6"/>
      <c r="Y919" s="6"/>
      <c r="Z919" s="6"/>
      <c r="AA919" s="6"/>
      <c r="AB919" s="6"/>
      <c r="AC919" s="6"/>
      <c r="AD919" s="6"/>
      <c r="AE919" s="6"/>
    </row>
    <row r="920" spans="22:31" ht="11.25" customHeight="1" x14ac:dyDescent="0.3">
      <c r="V920" s="6"/>
      <c r="W920" s="6"/>
      <c r="X920" s="6"/>
      <c r="Y920" s="6"/>
      <c r="Z920" s="6"/>
      <c r="AA920" s="6"/>
      <c r="AB920" s="6"/>
      <c r="AC920" s="6"/>
      <c r="AD920" s="6"/>
      <c r="AE920" s="6"/>
    </row>
    <row r="921" spans="22:31" ht="11.25" customHeight="1" x14ac:dyDescent="0.3">
      <c r="V921" s="6"/>
      <c r="W921" s="6"/>
      <c r="X921" s="6"/>
      <c r="Y921" s="6"/>
      <c r="Z921" s="6"/>
      <c r="AA921" s="6"/>
      <c r="AB921" s="6"/>
      <c r="AC921" s="6"/>
      <c r="AD921" s="6"/>
      <c r="AE921" s="6"/>
    </row>
    <row r="922" spans="22:31" ht="11.25" customHeight="1" x14ac:dyDescent="0.3">
      <c r="V922" s="6"/>
      <c r="W922" s="6"/>
      <c r="X922" s="6"/>
      <c r="Y922" s="6"/>
      <c r="Z922" s="6"/>
      <c r="AA922" s="6"/>
      <c r="AB922" s="6"/>
      <c r="AC922" s="6"/>
      <c r="AD922" s="6"/>
      <c r="AE922" s="6"/>
    </row>
    <row r="923" spans="22:31" ht="11.25" customHeight="1" x14ac:dyDescent="0.3">
      <c r="V923" s="6"/>
      <c r="W923" s="6"/>
      <c r="X923" s="6"/>
      <c r="Y923" s="6"/>
      <c r="Z923" s="6"/>
      <c r="AA923" s="6"/>
      <c r="AB923" s="6"/>
      <c r="AC923" s="6"/>
      <c r="AD923" s="6"/>
      <c r="AE923" s="6"/>
    </row>
    <row r="924" spans="22:31" ht="11.25" customHeight="1" x14ac:dyDescent="0.3">
      <c r="V924" s="6"/>
      <c r="W924" s="6"/>
      <c r="X924" s="6"/>
      <c r="Y924" s="6"/>
      <c r="Z924" s="6"/>
      <c r="AA924" s="6"/>
      <c r="AB924" s="6"/>
      <c r="AC924" s="6"/>
      <c r="AD924" s="6"/>
      <c r="AE924" s="6"/>
    </row>
    <row r="925" spans="22:31" ht="11.25" customHeight="1" x14ac:dyDescent="0.3">
      <c r="V925" s="6"/>
      <c r="W925" s="6"/>
      <c r="X925" s="6"/>
      <c r="Y925" s="6"/>
      <c r="Z925" s="6"/>
      <c r="AA925" s="6"/>
      <c r="AB925" s="6"/>
      <c r="AC925" s="6"/>
      <c r="AD925" s="6"/>
      <c r="AE925" s="6"/>
    </row>
    <row r="926" spans="22:31" ht="11.25" customHeight="1" x14ac:dyDescent="0.3">
      <c r="V926" s="6"/>
      <c r="W926" s="6"/>
      <c r="X926" s="6"/>
      <c r="Y926" s="6"/>
      <c r="Z926" s="6"/>
      <c r="AA926" s="6"/>
      <c r="AB926" s="6"/>
      <c r="AC926" s="6"/>
      <c r="AD926" s="6"/>
      <c r="AE926" s="6"/>
    </row>
    <row r="927" spans="22:31" ht="11.25" customHeight="1" x14ac:dyDescent="0.3">
      <c r="V927" s="6"/>
      <c r="W927" s="6"/>
      <c r="X927" s="6"/>
      <c r="Y927" s="6"/>
      <c r="Z927" s="6"/>
      <c r="AA927" s="6"/>
      <c r="AB927" s="6"/>
      <c r="AC927" s="6"/>
      <c r="AD927" s="6"/>
      <c r="AE927" s="6"/>
    </row>
    <row r="928" spans="22:31" ht="11.25" customHeight="1" x14ac:dyDescent="0.3">
      <c r="V928" s="6"/>
      <c r="W928" s="6"/>
      <c r="X928" s="6"/>
      <c r="Y928" s="6"/>
      <c r="Z928" s="6"/>
      <c r="AA928" s="6"/>
      <c r="AB928" s="6"/>
      <c r="AC928" s="6"/>
      <c r="AD928" s="6"/>
      <c r="AE928" s="6"/>
    </row>
    <row r="929" spans="22:31" ht="11.25" customHeight="1" x14ac:dyDescent="0.3">
      <c r="V929" s="6"/>
      <c r="W929" s="6"/>
      <c r="X929" s="6"/>
      <c r="Y929" s="6"/>
      <c r="Z929" s="6"/>
      <c r="AA929" s="6"/>
      <c r="AB929" s="6"/>
      <c r="AC929" s="6"/>
      <c r="AD929" s="6"/>
      <c r="AE929" s="6"/>
    </row>
    <row r="930" spans="22:31" ht="11.25" customHeight="1" x14ac:dyDescent="0.3">
      <c r="V930" s="6"/>
      <c r="W930" s="6"/>
      <c r="X930" s="6"/>
      <c r="Y930" s="6"/>
      <c r="Z930" s="6"/>
      <c r="AA930" s="6"/>
      <c r="AB930" s="6"/>
      <c r="AC930" s="6"/>
      <c r="AD930" s="6"/>
      <c r="AE930" s="6"/>
    </row>
    <row r="931" spans="22:31" ht="11.25" customHeight="1" x14ac:dyDescent="0.3">
      <c r="V931" s="6"/>
      <c r="W931" s="6"/>
      <c r="X931" s="6"/>
      <c r="Y931" s="6"/>
      <c r="Z931" s="6"/>
      <c r="AA931" s="6"/>
      <c r="AB931" s="6"/>
      <c r="AC931" s="6"/>
      <c r="AD931" s="6"/>
      <c r="AE931" s="6"/>
    </row>
    <row r="932" spans="22:31" ht="11.25" customHeight="1" x14ac:dyDescent="0.3">
      <c r="V932" s="6"/>
      <c r="W932" s="6"/>
      <c r="X932" s="6"/>
      <c r="Y932" s="6"/>
      <c r="Z932" s="6"/>
      <c r="AA932" s="6"/>
      <c r="AB932" s="6"/>
      <c r="AC932" s="6"/>
      <c r="AD932" s="6"/>
      <c r="AE932" s="6"/>
    </row>
    <row r="933" spans="22:31" ht="11.25" customHeight="1" x14ac:dyDescent="0.3">
      <c r="V933" s="6"/>
      <c r="W933" s="6"/>
      <c r="X933" s="6"/>
      <c r="Y933" s="6"/>
      <c r="Z933" s="6"/>
      <c r="AA933" s="6"/>
      <c r="AB933" s="6"/>
      <c r="AC933" s="6"/>
      <c r="AD933" s="6"/>
      <c r="AE933" s="6"/>
    </row>
    <row r="934" spans="22:31" ht="11.25" customHeight="1" x14ac:dyDescent="0.3">
      <c r="V934" s="6"/>
      <c r="W934" s="6"/>
      <c r="X934" s="6"/>
      <c r="Y934" s="6"/>
      <c r="Z934" s="6"/>
      <c r="AA934" s="6"/>
      <c r="AB934" s="6"/>
      <c r="AC934" s="6"/>
      <c r="AD934" s="6"/>
      <c r="AE934" s="6"/>
    </row>
    <row r="935" spans="22:31" ht="11.25" customHeight="1" x14ac:dyDescent="0.3">
      <c r="V935" s="6"/>
      <c r="W935" s="6"/>
      <c r="X935" s="6"/>
      <c r="Y935" s="6"/>
      <c r="Z935" s="6"/>
      <c r="AA935" s="6"/>
      <c r="AB935" s="6"/>
      <c r="AC935" s="6"/>
      <c r="AD935" s="6"/>
      <c r="AE935" s="6"/>
    </row>
    <row r="936" spans="22:31" ht="11.25" customHeight="1" x14ac:dyDescent="0.3">
      <c r="V936" s="6"/>
      <c r="W936" s="6"/>
      <c r="X936" s="6"/>
      <c r="Y936" s="6"/>
      <c r="Z936" s="6"/>
      <c r="AA936" s="6"/>
      <c r="AB936" s="6"/>
      <c r="AC936" s="6"/>
      <c r="AD936" s="6"/>
      <c r="AE936" s="6"/>
    </row>
    <row r="937" spans="22:31" ht="11.25" customHeight="1" x14ac:dyDescent="0.3">
      <c r="V937" s="6"/>
      <c r="W937" s="6"/>
      <c r="X937" s="6"/>
      <c r="Y937" s="6"/>
      <c r="Z937" s="6"/>
      <c r="AA937" s="6"/>
      <c r="AB937" s="6"/>
      <c r="AC937" s="6"/>
      <c r="AD937" s="6"/>
      <c r="AE937" s="6"/>
    </row>
    <row r="938" spans="22:31" ht="11.25" customHeight="1" x14ac:dyDescent="0.3">
      <c r="V938" s="6"/>
      <c r="W938" s="6"/>
      <c r="X938" s="6"/>
      <c r="Y938" s="6"/>
      <c r="Z938" s="6"/>
      <c r="AA938" s="6"/>
      <c r="AB938" s="6"/>
      <c r="AC938" s="6"/>
      <c r="AD938" s="6"/>
      <c r="AE938" s="6"/>
    </row>
    <row r="939" spans="22:31" ht="11.25" customHeight="1" x14ac:dyDescent="0.3">
      <c r="V939" s="6"/>
      <c r="W939" s="6"/>
      <c r="X939" s="6"/>
      <c r="Y939" s="6"/>
      <c r="Z939" s="6"/>
      <c r="AA939" s="6"/>
      <c r="AB939" s="6"/>
      <c r="AC939" s="6"/>
      <c r="AD939" s="6"/>
      <c r="AE939" s="6"/>
    </row>
    <row r="940" spans="22:31" ht="11.25" customHeight="1" x14ac:dyDescent="0.3">
      <c r="V940" s="6"/>
      <c r="W940" s="6"/>
      <c r="X940" s="6"/>
      <c r="Y940" s="6"/>
      <c r="Z940" s="6"/>
      <c r="AA940" s="6"/>
      <c r="AB940" s="6"/>
      <c r="AC940" s="6"/>
      <c r="AD940" s="6"/>
      <c r="AE940" s="6"/>
    </row>
    <row r="941" spans="22:31" ht="11.25" customHeight="1" x14ac:dyDescent="0.3">
      <c r="V941" s="6"/>
      <c r="W941" s="6"/>
      <c r="X941" s="6"/>
      <c r="Y941" s="6"/>
      <c r="Z941" s="6"/>
      <c r="AA941" s="6"/>
      <c r="AB941" s="6"/>
      <c r="AC941" s="6"/>
      <c r="AD941" s="6"/>
      <c r="AE941" s="6"/>
    </row>
    <row r="942" spans="22:31" ht="11.25" customHeight="1" x14ac:dyDescent="0.3">
      <c r="V942" s="6"/>
      <c r="W942" s="6"/>
      <c r="X942" s="6"/>
      <c r="Y942" s="6"/>
      <c r="Z942" s="6"/>
      <c r="AA942" s="6"/>
      <c r="AB942" s="6"/>
      <c r="AC942" s="6"/>
      <c r="AD942" s="6"/>
      <c r="AE942" s="6"/>
    </row>
    <row r="943" spans="22:31" ht="11.25" customHeight="1" x14ac:dyDescent="0.3">
      <c r="V943" s="6"/>
      <c r="W943" s="6"/>
      <c r="X943" s="6"/>
      <c r="Y943" s="6"/>
      <c r="Z943" s="6"/>
      <c r="AA943" s="6"/>
      <c r="AB943" s="6"/>
      <c r="AC943" s="6"/>
      <c r="AD943" s="6"/>
      <c r="AE943" s="6"/>
    </row>
    <row r="944" spans="22:31" ht="11.25" customHeight="1" x14ac:dyDescent="0.3">
      <c r="V944" s="6"/>
      <c r="W944" s="6"/>
      <c r="X944" s="6"/>
      <c r="Y944" s="6"/>
      <c r="Z944" s="6"/>
      <c r="AA944" s="6"/>
      <c r="AB944" s="6"/>
      <c r="AC944" s="6"/>
      <c r="AD944" s="6"/>
      <c r="AE944" s="6"/>
    </row>
    <row r="945" spans="22:31" ht="11.25" customHeight="1" x14ac:dyDescent="0.3">
      <c r="V945" s="6"/>
      <c r="W945" s="6"/>
      <c r="X945" s="6"/>
      <c r="Y945" s="6"/>
      <c r="Z945" s="6"/>
      <c r="AA945" s="6"/>
      <c r="AB945" s="6"/>
      <c r="AC945" s="6"/>
      <c r="AD945" s="6"/>
      <c r="AE945" s="6"/>
    </row>
    <row r="946" spans="22:31" ht="11.25" customHeight="1" x14ac:dyDescent="0.3">
      <c r="V946" s="6"/>
      <c r="W946" s="6"/>
      <c r="X946" s="6"/>
      <c r="Y946" s="6"/>
      <c r="Z946" s="6"/>
      <c r="AA946" s="6"/>
      <c r="AB946" s="6"/>
      <c r="AC946" s="6"/>
      <c r="AD946" s="6"/>
      <c r="AE946" s="6"/>
    </row>
    <row r="947" spans="22:31" ht="11.25" customHeight="1" x14ac:dyDescent="0.3">
      <c r="V947" s="6"/>
      <c r="W947" s="6"/>
      <c r="X947" s="6"/>
      <c r="Y947" s="6"/>
      <c r="Z947" s="6"/>
      <c r="AA947" s="6"/>
      <c r="AB947" s="6"/>
      <c r="AC947" s="6"/>
      <c r="AD947" s="6"/>
      <c r="AE947" s="6"/>
    </row>
    <row r="948" spans="22:31" ht="11.25" customHeight="1" x14ac:dyDescent="0.3">
      <c r="V948" s="6"/>
      <c r="W948" s="6"/>
      <c r="X948" s="6"/>
      <c r="Y948" s="6"/>
      <c r="Z948" s="6"/>
      <c r="AA948" s="6"/>
      <c r="AB948" s="6"/>
      <c r="AC948" s="6"/>
      <c r="AD948" s="6"/>
      <c r="AE948" s="6"/>
    </row>
    <row r="949" spans="22:31" ht="11.25" customHeight="1" x14ac:dyDescent="0.3">
      <c r="V949" s="6"/>
      <c r="W949" s="6"/>
      <c r="X949" s="6"/>
      <c r="Y949" s="6"/>
      <c r="Z949" s="6"/>
      <c r="AA949" s="6"/>
      <c r="AB949" s="6"/>
      <c r="AC949" s="6"/>
      <c r="AD949" s="6"/>
      <c r="AE949" s="6"/>
    </row>
    <row r="950" spans="22:31" ht="11.25" customHeight="1" x14ac:dyDescent="0.3">
      <c r="V950" s="6"/>
      <c r="W950" s="6"/>
      <c r="X950" s="6"/>
      <c r="Y950" s="6"/>
      <c r="Z950" s="6"/>
      <c r="AA950" s="6"/>
      <c r="AB950" s="6"/>
      <c r="AC950" s="6"/>
      <c r="AD950" s="6"/>
      <c r="AE950" s="6"/>
    </row>
    <row r="951" spans="22:31" ht="11.25" customHeight="1" x14ac:dyDescent="0.3">
      <c r="V951" s="6"/>
      <c r="W951" s="6"/>
      <c r="X951" s="6"/>
      <c r="Y951" s="6"/>
      <c r="Z951" s="6"/>
      <c r="AA951" s="6"/>
      <c r="AB951" s="6"/>
      <c r="AC951" s="6"/>
      <c r="AD951" s="6"/>
      <c r="AE951" s="6"/>
    </row>
    <row r="952" spans="22:31" ht="11.25" customHeight="1" x14ac:dyDescent="0.3">
      <c r="V952" s="6"/>
      <c r="W952" s="6"/>
      <c r="X952" s="6"/>
      <c r="Y952" s="6"/>
      <c r="Z952" s="6"/>
      <c r="AA952" s="6"/>
      <c r="AB952" s="6"/>
      <c r="AC952" s="6"/>
      <c r="AD952" s="6"/>
      <c r="AE952" s="6"/>
    </row>
    <row r="953" spans="22:31" ht="11.25" customHeight="1" x14ac:dyDescent="0.3">
      <c r="V953" s="6"/>
      <c r="W953" s="6"/>
      <c r="X953" s="6"/>
      <c r="Y953" s="6"/>
      <c r="Z953" s="6"/>
      <c r="AA953" s="6"/>
      <c r="AB953" s="6"/>
      <c r="AC953" s="6"/>
      <c r="AD953" s="6"/>
      <c r="AE953" s="6"/>
    </row>
    <row r="954" spans="22:31" ht="11.25" customHeight="1" x14ac:dyDescent="0.3">
      <c r="V954" s="6"/>
      <c r="W954" s="6"/>
      <c r="X954" s="6"/>
      <c r="Y954" s="6"/>
      <c r="Z954" s="6"/>
      <c r="AA954" s="6"/>
      <c r="AB954" s="6"/>
      <c r="AC954" s="6"/>
      <c r="AD954" s="6"/>
      <c r="AE954" s="6"/>
    </row>
    <row r="955" spans="22:31" ht="11.25" customHeight="1" x14ac:dyDescent="0.3">
      <c r="V955" s="6"/>
      <c r="W955" s="6"/>
      <c r="X955" s="6"/>
      <c r="Y955" s="6"/>
      <c r="Z955" s="6"/>
      <c r="AA955" s="6"/>
      <c r="AB955" s="6"/>
      <c r="AC955" s="6"/>
      <c r="AD955" s="6"/>
      <c r="AE955" s="6"/>
    </row>
    <row r="956" spans="22:31" ht="11.25" customHeight="1" x14ac:dyDescent="0.3">
      <c r="V956" s="6"/>
      <c r="W956" s="6"/>
      <c r="X956" s="6"/>
      <c r="Y956" s="6"/>
      <c r="Z956" s="6"/>
      <c r="AA956" s="6"/>
      <c r="AB956" s="6"/>
      <c r="AC956" s="6"/>
      <c r="AD956" s="6"/>
      <c r="AE956" s="6"/>
    </row>
    <row r="957" spans="22:31" ht="11.25" customHeight="1" x14ac:dyDescent="0.3">
      <c r="V957" s="6"/>
      <c r="W957" s="6"/>
      <c r="X957" s="6"/>
      <c r="Y957" s="6"/>
      <c r="Z957" s="6"/>
      <c r="AA957" s="6"/>
      <c r="AB957" s="6"/>
      <c r="AC957" s="6"/>
      <c r="AD957" s="6"/>
      <c r="AE957" s="6"/>
    </row>
    <row r="958" spans="22:31" ht="11.25" customHeight="1" x14ac:dyDescent="0.3">
      <c r="V958" s="6"/>
      <c r="W958" s="6"/>
      <c r="X958" s="6"/>
      <c r="Y958" s="6"/>
      <c r="Z958" s="6"/>
      <c r="AA958" s="6"/>
      <c r="AB958" s="6"/>
      <c r="AC958" s="6"/>
      <c r="AD958" s="6"/>
      <c r="AE958" s="6"/>
    </row>
    <row r="959" spans="22:31" ht="11.25" customHeight="1" x14ac:dyDescent="0.3">
      <c r="V959" s="6"/>
      <c r="W959" s="6"/>
      <c r="X959" s="6"/>
      <c r="Y959" s="6"/>
      <c r="Z959" s="6"/>
      <c r="AA959" s="6"/>
      <c r="AB959" s="6"/>
      <c r="AC959" s="6"/>
      <c r="AD959" s="6"/>
      <c r="AE959" s="6"/>
    </row>
    <row r="960" spans="22:31" ht="11.25" customHeight="1" x14ac:dyDescent="0.3">
      <c r="V960" s="6"/>
      <c r="W960" s="6"/>
      <c r="X960" s="6"/>
      <c r="Y960" s="6"/>
      <c r="Z960" s="6"/>
      <c r="AA960" s="6"/>
      <c r="AB960" s="6"/>
      <c r="AC960" s="6"/>
      <c r="AD960" s="6"/>
      <c r="AE960" s="6"/>
    </row>
    <row r="961" spans="22:31" ht="11.25" customHeight="1" x14ac:dyDescent="0.3">
      <c r="V961" s="6"/>
      <c r="W961" s="6"/>
      <c r="X961" s="6"/>
      <c r="Y961" s="6"/>
      <c r="Z961" s="6"/>
      <c r="AA961" s="6"/>
      <c r="AB961" s="6"/>
      <c r="AC961" s="6"/>
      <c r="AD961" s="6"/>
      <c r="AE961" s="6"/>
    </row>
    <row r="962" spans="22:31" ht="11.25" customHeight="1" x14ac:dyDescent="0.3">
      <c r="V962" s="6"/>
      <c r="W962" s="6"/>
      <c r="X962" s="6"/>
      <c r="Y962" s="6"/>
      <c r="Z962" s="6"/>
      <c r="AA962" s="6"/>
      <c r="AB962" s="6"/>
      <c r="AC962" s="6"/>
      <c r="AD962" s="6"/>
      <c r="AE962" s="6"/>
    </row>
    <row r="963" spans="22:31" ht="11.25" customHeight="1" x14ac:dyDescent="0.3">
      <c r="V963" s="6"/>
      <c r="W963" s="6"/>
      <c r="X963" s="6"/>
      <c r="Y963" s="6"/>
      <c r="Z963" s="6"/>
      <c r="AA963" s="6"/>
      <c r="AB963" s="6"/>
      <c r="AC963" s="6"/>
      <c r="AD963" s="6"/>
      <c r="AE963" s="6"/>
    </row>
    <row r="964" spans="22:31" ht="11.25" customHeight="1" x14ac:dyDescent="0.3">
      <c r="V964" s="6"/>
      <c r="W964" s="6"/>
      <c r="X964" s="6"/>
      <c r="Y964" s="6"/>
      <c r="Z964" s="6"/>
      <c r="AA964" s="6"/>
      <c r="AB964" s="6"/>
      <c r="AC964" s="6"/>
      <c r="AD964" s="6"/>
      <c r="AE964" s="6"/>
    </row>
    <row r="965" spans="22:31" ht="11.25" customHeight="1" x14ac:dyDescent="0.3">
      <c r="V965" s="6"/>
      <c r="W965" s="6"/>
      <c r="X965" s="6"/>
      <c r="Y965" s="6"/>
      <c r="Z965" s="6"/>
      <c r="AA965" s="6"/>
      <c r="AB965" s="6"/>
      <c r="AC965" s="6"/>
      <c r="AD965" s="6"/>
      <c r="AE965" s="6"/>
    </row>
    <row r="966" spans="22:31" ht="11.25" customHeight="1" x14ac:dyDescent="0.3">
      <c r="V966" s="6"/>
      <c r="W966" s="6"/>
      <c r="X966" s="6"/>
      <c r="Y966" s="6"/>
      <c r="Z966" s="6"/>
      <c r="AA966" s="6"/>
      <c r="AB966" s="6"/>
      <c r="AC966" s="6"/>
      <c r="AD966" s="6"/>
      <c r="AE966" s="6"/>
    </row>
    <row r="967" spans="22:31" ht="11.25" customHeight="1" x14ac:dyDescent="0.3">
      <c r="V967" s="6"/>
      <c r="W967" s="6"/>
      <c r="X967" s="6"/>
      <c r="Y967" s="6"/>
      <c r="Z967" s="6"/>
      <c r="AA967" s="6"/>
      <c r="AB967" s="6"/>
      <c r="AC967" s="6"/>
      <c r="AD967" s="6"/>
      <c r="AE967" s="6"/>
    </row>
    <row r="968" spans="22:31" ht="11.25" customHeight="1" x14ac:dyDescent="0.3">
      <c r="V968" s="6"/>
      <c r="W968" s="6"/>
      <c r="X968" s="6"/>
      <c r="Y968" s="6"/>
      <c r="Z968" s="6"/>
      <c r="AA968" s="6"/>
      <c r="AB968" s="6"/>
      <c r="AC968" s="6"/>
      <c r="AD968" s="6"/>
      <c r="AE968" s="6"/>
    </row>
    <row r="969" spans="22:31" ht="11.25" customHeight="1" x14ac:dyDescent="0.3">
      <c r="V969" s="6"/>
      <c r="W969" s="6"/>
      <c r="X969" s="6"/>
      <c r="Y969" s="6"/>
      <c r="Z969" s="6"/>
      <c r="AA969" s="6"/>
      <c r="AB969" s="6"/>
      <c r="AC969" s="6"/>
      <c r="AD969" s="6"/>
      <c r="AE969" s="6"/>
    </row>
    <row r="970" spans="22:31" ht="11.25" customHeight="1" x14ac:dyDescent="0.3">
      <c r="V970" s="6"/>
      <c r="W970" s="6"/>
      <c r="X970" s="6"/>
      <c r="Y970" s="6"/>
      <c r="Z970" s="6"/>
      <c r="AA970" s="6"/>
      <c r="AB970" s="6"/>
      <c r="AC970" s="6"/>
      <c r="AD970" s="6"/>
      <c r="AE970" s="6"/>
    </row>
    <row r="971" spans="22:31" ht="11.25" customHeight="1" x14ac:dyDescent="0.3">
      <c r="V971" s="6"/>
      <c r="W971" s="6"/>
      <c r="X971" s="6"/>
      <c r="Y971" s="6"/>
      <c r="Z971" s="6"/>
      <c r="AA971" s="6"/>
      <c r="AB971" s="6"/>
      <c r="AC971" s="6"/>
      <c r="AD971" s="6"/>
      <c r="AE971" s="6"/>
    </row>
    <row r="972" spans="22:31" ht="11.25" customHeight="1" x14ac:dyDescent="0.3">
      <c r="V972" s="6"/>
      <c r="W972" s="6"/>
      <c r="X972" s="6"/>
      <c r="Y972" s="6"/>
      <c r="Z972" s="6"/>
      <c r="AA972" s="6"/>
      <c r="AB972" s="6"/>
      <c r="AC972" s="6"/>
      <c r="AD972" s="6"/>
      <c r="AE972" s="6"/>
    </row>
    <row r="973" spans="22:31" ht="11.25" customHeight="1" x14ac:dyDescent="0.3">
      <c r="V973" s="6"/>
      <c r="W973" s="6"/>
      <c r="X973" s="6"/>
      <c r="Y973" s="6"/>
      <c r="Z973" s="6"/>
      <c r="AA973" s="6"/>
      <c r="AB973" s="6"/>
      <c r="AC973" s="6"/>
      <c r="AD973" s="6"/>
      <c r="AE973" s="6"/>
    </row>
    <row r="974" spans="22:31" ht="11.25" customHeight="1" x14ac:dyDescent="0.3">
      <c r="V974" s="6"/>
      <c r="W974" s="6"/>
      <c r="X974" s="6"/>
      <c r="Y974" s="6"/>
      <c r="Z974" s="6"/>
      <c r="AA974" s="6"/>
      <c r="AB974" s="6"/>
      <c r="AC974" s="6"/>
      <c r="AD974" s="6"/>
      <c r="AE974" s="6"/>
    </row>
    <row r="975" spans="22:31" ht="11.25" customHeight="1" x14ac:dyDescent="0.3">
      <c r="V975" s="6"/>
      <c r="W975" s="6"/>
      <c r="X975" s="6"/>
      <c r="Y975" s="6"/>
      <c r="Z975" s="6"/>
      <c r="AA975" s="6"/>
      <c r="AB975" s="6"/>
      <c r="AC975" s="6"/>
      <c r="AD975" s="6"/>
      <c r="AE975" s="6"/>
    </row>
    <row r="976" spans="22:31" ht="11.25" customHeight="1" x14ac:dyDescent="0.3">
      <c r="V976" s="6"/>
      <c r="W976" s="6"/>
      <c r="X976" s="6"/>
      <c r="Y976" s="6"/>
      <c r="Z976" s="6"/>
      <c r="AA976" s="6"/>
      <c r="AB976" s="6"/>
      <c r="AC976" s="6"/>
      <c r="AD976" s="6"/>
      <c r="AE976" s="6"/>
    </row>
    <row r="977" spans="22:31" ht="11.25" customHeight="1" x14ac:dyDescent="0.3">
      <c r="V977" s="6"/>
      <c r="W977" s="6"/>
      <c r="X977" s="6"/>
      <c r="Y977" s="6"/>
      <c r="Z977" s="6"/>
      <c r="AA977" s="6"/>
      <c r="AB977" s="6"/>
      <c r="AC977" s="6"/>
      <c r="AD977" s="6"/>
      <c r="AE977" s="6"/>
    </row>
    <row r="978" spans="22:31" ht="11.25" customHeight="1" x14ac:dyDescent="0.3">
      <c r="V978" s="6"/>
      <c r="W978" s="6"/>
      <c r="X978" s="6"/>
      <c r="Y978" s="6"/>
      <c r="Z978" s="6"/>
      <c r="AA978" s="6"/>
      <c r="AB978" s="6"/>
      <c r="AC978" s="6"/>
      <c r="AD978" s="6"/>
      <c r="AE978" s="6"/>
    </row>
    <row r="979" spans="22:31" ht="11.25" customHeight="1" x14ac:dyDescent="0.3">
      <c r="V979" s="6"/>
      <c r="W979" s="6"/>
      <c r="X979" s="6"/>
      <c r="Y979" s="6"/>
      <c r="Z979" s="6"/>
      <c r="AA979" s="6"/>
      <c r="AB979" s="6"/>
      <c r="AC979" s="6"/>
      <c r="AD979" s="6"/>
      <c r="AE979" s="6"/>
    </row>
    <row r="980" spans="22:31" ht="11.25" customHeight="1" x14ac:dyDescent="0.3">
      <c r="V980" s="6"/>
      <c r="W980" s="6"/>
      <c r="X980" s="6"/>
      <c r="Y980" s="6"/>
      <c r="Z980" s="6"/>
      <c r="AA980" s="6"/>
      <c r="AB980" s="6"/>
      <c r="AC980" s="6"/>
      <c r="AD980" s="6"/>
      <c r="AE980" s="6"/>
    </row>
    <row r="981" spans="22:31" ht="11.25" customHeight="1" x14ac:dyDescent="0.3">
      <c r="V981" s="6"/>
      <c r="W981" s="6"/>
      <c r="X981" s="6"/>
      <c r="Y981" s="6"/>
      <c r="Z981" s="6"/>
      <c r="AA981" s="6"/>
      <c r="AB981" s="6"/>
      <c r="AC981" s="6"/>
      <c r="AD981" s="6"/>
      <c r="AE981" s="6"/>
    </row>
    <row r="982" spans="22:31" ht="11.25" customHeight="1" x14ac:dyDescent="0.3">
      <c r="V982" s="6"/>
      <c r="W982" s="6"/>
      <c r="X982" s="6"/>
      <c r="Y982" s="6"/>
      <c r="Z982" s="6"/>
      <c r="AA982" s="6"/>
      <c r="AB982" s="6"/>
      <c r="AC982" s="6"/>
      <c r="AD982" s="6"/>
      <c r="AE982" s="6"/>
    </row>
    <row r="983" spans="22:31" ht="11.25" customHeight="1" x14ac:dyDescent="0.3">
      <c r="V983" s="6"/>
      <c r="W983" s="6"/>
      <c r="X983" s="6"/>
      <c r="Y983" s="6"/>
      <c r="Z983" s="6"/>
      <c r="AA983" s="6"/>
      <c r="AB983" s="6"/>
      <c r="AC983" s="6"/>
      <c r="AD983" s="6"/>
      <c r="AE983" s="6"/>
    </row>
    <row r="984" spans="22:31" ht="11.25" customHeight="1" x14ac:dyDescent="0.3">
      <c r="V984" s="6"/>
      <c r="W984" s="6"/>
      <c r="X984" s="6"/>
      <c r="Y984" s="6"/>
      <c r="Z984" s="6"/>
      <c r="AA984" s="6"/>
      <c r="AB984" s="6"/>
      <c r="AC984" s="6"/>
      <c r="AD984" s="6"/>
      <c r="AE984" s="6"/>
    </row>
    <row r="985" spans="22:31" ht="11.25" customHeight="1" x14ac:dyDescent="0.3">
      <c r="V985" s="6"/>
      <c r="W985" s="6"/>
      <c r="X985" s="6"/>
      <c r="Y985" s="6"/>
      <c r="Z985" s="6"/>
      <c r="AA985" s="6"/>
      <c r="AB985" s="6"/>
      <c r="AC985" s="6"/>
      <c r="AD985" s="6"/>
      <c r="AE985" s="6"/>
    </row>
    <row r="986" spans="22:31" ht="11.25" customHeight="1" x14ac:dyDescent="0.3">
      <c r="V986" s="6"/>
      <c r="W986" s="6"/>
      <c r="X986" s="6"/>
      <c r="Y986" s="6"/>
      <c r="Z986" s="6"/>
      <c r="AA986" s="6"/>
      <c r="AB986" s="6"/>
      <c r="AC986" s="6"/>
      <c r="AD986" s="6"/>
      <c r="AE986" s="6"/>
    </row>
    <row r="987" spans="22:31" ht="11.25" customHeight="1" x14ac:dyDescent="0.3">
      <c r="V987" s="6"/>
      <c r="W987" s="6"/>
      <c r="X987" s="6"/>
      <c r="Y987" s="6"/>
      <c r="Z987" s="6"/>
      <c r="AA987" s="6"/>
      <c r="AB987" s="6"/>
      <c r="AC987" s="6"/>
      <c r="AD987" s="6"/>
      <c r="AE987" s="6"/>
    </row>
    <row r="988" spans="22:31" ht="11.25" customHeight="1" x14ac:dyDescent="0.3">
      <c r="V988" s="6"/>
      <c r="W988" s="6"/>
      <c r="X988" s="6"/>
      <c r="Y988" s="6"/>
      <c r="Z988" s="6"/>
      <c r="AA988" s="6"/>
      <c r="AB988" s="6"/>
      <c r="AC988" s="6"/>
      <c r="AD988" s="6"/>
      <c r="AE988" s="6"/>
    </row>
    <row r="989" spans="22:31" ht="11.25" customHeight="1" x14ac:dyDescent="0.3">
      <c r="V989" s="6"/>
      <c r="W989" s="6"/>
      <c r="X989" s="6"/>
      <c r="Y989" s="6"/>
      <c r="Z989" s="6"/>
      <c r="AA989" s="6"/>
      <c r="AB989" s="6"/>
      <c r="AC989" s="6"/>
      <c r="AD989" s="6"/>
      <c r="AE989" s="6"/>
    </row>
    <row r="990" spans="22:31" ht="11.25" customHeight="1" x14ac:dyDescent="0.3">
      <c r="V990" s="6"/>
      <c r="W990" s="6"/>
      <c r="X990" s="6"/>
      <c r="Y990" s="6"/>
      <c r="Z990" s="6"/>
      <c r="AA990" s="6"/>
      <c r="AB990" s="6"/>
      <c r="AC990" s="6"/>
      <c r="AD990" s="6"/>
      <c r="AE990" s="6"/>
    </row>
    <row r="991" spans="22:31" ht="11.25" customHeight="1" x14ac:dyDescent="0.3">
      <c r="V991" s="6"/>
      <c r="W991" s="6"/>
      <c r="X991" s="6"/>
      <c r="Y991" s="6"/>
      <c r="Z991" s="6"/>
      <c r="AA991" s="6"/>
      <c r="AB991" s="6"/>
      <c r="AC991" s="6"/>
      <c r="AD991" s="6"/>
      <c r="AE991" s="6"/>
    </row>
    <row r="992" spans="22:31" ht="11.25" customHeight="1" x14ac:dyDescent="0.3">
      <c r="V992" s="6"/>
      <c r="W992" s="6"/>
      <c r="X992" s="6"/>
      <c r="Y992" s="6"/>
      <c r="Z992" s="6"/>
      <c r="AA992" s="6"/>
      <c r="AB992" s="6"/>
      <c r="AC992" s="6"/>
      <c r="AD992" s="6"/>
      <c r="AE992" s="6"/>
    </row>
    <row r="993" spans="22:31" ht="11.25" customHeight="1" x14ac:dyDescent="0.3">
      <c r="V993" s="6"/>
      <c r="W993" s="6"/>
      <c r="X993" s="6"/>
      <c r="Y993" s="6"/>
      <c r="Z993" s="6"/>
      <c r="AA993" s="6"/>
      <c r="AB993" s="6"/>
      <c r="AC993" s="6"/>
      <c r="AD993" s="6"/>
      <c r="AE993" s="6"/>
    </row>
    <row r="994" spans="22:31" ht="11.25" customHeight="1" x14ac:dyDescent="0.3">
      <c r="V994" s="6"/>
      <c r="W994" s="6"/>
      <c r="X994" s="6"/>
      <c r="Y994" s="6"/>
      <c r="Z994" s="6"/>
      <c r="AA994" s="6"/>
      <c r="AB994" s="6"/>
      <c r="AC994" s="6"/>
      <c r="AD994" s="6"/>
      <c r="AE994" s="6"/>
    </row>
    <row r="995" spans="22:31" ht="11.25" customHeight="1" x14ac:dyDescent="0.3">
      <c r="V995" s="6"/>
      <c r="W995" s="6"/>
      <c r="X995" s="6"/>
      <c r="Y995" s="6"/>
      <c r="Z995" s="6"/>
      <c r="AA995" s="6"/>
      <c r="AB995" s="6"/>
      <c r="AC995" s="6"/>
      <c r="AD995" s="6"/>
      <c r="AE995" s="6"/>
    </row>
    <row r="996" spans="22:31" ht="11.25" customHeight="1" x14ac:dyDescent="0.3">
      <c r="V996" s="6"/>
      <c r="W996" s="6"/>
      <c r="X996" s="6"/>
      <c r="Y996" s="6"/>
      <c r="Z996" s="6"/>
      <c r="AA996" s="6"/>
      <c r="AB996" s="6"/>
      <c r="AC996" s="6"/>
      <c r="AD996" s="6"/>
      <c r="AE996" s="6"/>
    </row>
    <row r="997" spans="22:31" ht="11.25" customHeight="1" x14ac:dyDescent="0.3">
      <c r="V997" s="6"/>
      <c r="W997" s="6"/>
      <c r="X997" s="6"/>
      <c r="Y997" s="6"/>
      <c r="Z997" s="6"/>
      <c r="AA997" s="6"/>
      <c r="AB997" s="6"/>
      <c r="AC997" s="6"/>
      <c r="AD997" s="6"/>
      <c r="AE997" s="6"/>
    </row>
    <row r="998" spans="22:31" ht="11.25" customHeight="1" x14ac:dyDescent="0.3">
      <c r="V998" s="6"/>
      <c r="W998" s="6"/>
      <c r="X998" s="6"/>
      <c r="Y998" s="6"/>
      <c r="Z998" s="6"/>
      <c r="AA998" s="6"/>
      <c r="AB998" s="6"/>
      <c r="AC998" s="6"/>
      <c r="AD998" s="6"/>
      <c r="AE998" s="6"/>
    </row>
    <row r="999" spans="22:31" ht="11.25" customHeight="1" x14ac:dyDescent="0.3">
      <c r="V999" s="6"/>
      <c r="W999" s="6"/>
      <c r="X999" s="6"/>
      <c r="Y999" s="6"/>
      <c r="Z999" s="6"/>
      <c r="AA999" s="6"/>
      <c r="AB999" s="6"/>
      <c r="AC999" s="6"/>
      <c r="AD999" s="6"/>
      <c r="AE999" s="6"/>
    </row>
    <row r="1000" spans="22:31" ht="11.25" customHeight="1" x14ac:dyDescent="0.3"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</row>
    <row r="1001" spans="22:31" ht="11.25" customHeight="1" x14ac:dyDescent="0.3"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</row>
    <row r="1002" spans="22:31" ht="11.25" customHeight="1" x14ac:dyDescent="0.3"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</row>
    <row r="1003" spans="22:31" ht="11.25" customHeight="1" x14ac:dyDescent="0.3"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</row>
    <row r="1004" spans="22:31" ht="11.25" customHeight="1" x14ac:dyDescent="0.3"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</row>
    <row r="1005" spans="22:31" ht="11.25" customHeight="1" x14ac:dyDescent="0.3"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</row>
    <row r="1006" spans="22:31" ht="11.25" customHeight="1" x14ac:dyDescent="0.3"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</row>
    <row r="1007" spans="22:31" ht="11.25" customHeight="1" x14ac:dyDescent="0.3"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</row>
    <row r="1008" spans="22:31" ht="11.25" customHeight="1" x14ac:dyDescent="0.3"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</row>
    <row r="1009" spans="22:31" ht="11.25" customHeight="1" x14ac:dyDescent="0.3"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</row>
    <row r="1010" spans="22:31" ht="11.25" customHeight="1" x14ac:dyDescent="0.3"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</row>
    <row r="1011" spans="22:31" ht="11.25" customHeight="1" x14ac:dyDescent="0.3"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</row>
    <row r="1012" spans="22:31" ht="11.25" customHeight="1" x14ac:dyDescent="0.3"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</row>
    <row r="1013" spans="22:31" ht="11.25" customHeight="1" x14ac:dyDescent="0.3"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</row>
    <row r="1014" spans="22:31" ht="11.25" customHeight="1" x14ac:dyDescent="0.3"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</row>
    <row r="1015" spans="22:31" ht="11.25" customHeight="1" x14ac:dyDescent="0.3"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</row>
    <row r="1016" spans="22:31" ht="11.25" customHeight="1" x14ac:dyDescent="0.3"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</row>
    <row r="1017" spans="22:31" ht="11.25" customHeight="1" x14ac:dyDescent="0.3"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</row>
    <row r="1018" spans="22:31" ht="11.25" customHeight="1" x14ac:dyDescent="0.3"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</row>
    <row r="1019" spans="22:31" ht="11.25" customHeight="1" x14ac:dyDescent="0.3"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</row>
    <row r="1020" spans="22:31" ht="11.25" customHeight="1" x14ac:dyDescent="0.3"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</row>
    <row r="1021" spans="22:31" ht="11.25" customHeight="1" x14ac:dyDescent="0.3"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</row>
    <row r="1022" spans="22:31" ht="11.25" customHeight="1" x14ac:dyDescent="0.3"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</row>
    <row r="1023" spans="22:31" ht="11.25" customHeight="1" x14ac:dyDescent="0.3"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</row>
    <row r="1024" spans="22:31" ht="11.25" customHeight="1" x14ac:dyDescent="0.3"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</row>
    <row r="1025" spans="22:31" ht="11.25" customHeight="1" x14ac:dyDescent="0.3"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</row>
    <row r="1026" spans="22:31" ht="11.25" customHeight="1" x14ac:dyDescent="0.3"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</row>
    <row r="1027" spans="22:31" ht="11.25" customHeight="1" x14ac:dyDescent="0.3"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</row>
    <row r="1028" spans="22:31" ht="11.25" customHeight="1" x14ac:dyDescent="0.3"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</row>
    <row r="1029" spans="22:31" ht="11.25" customHeight="1" x14ac:dyDescent="0.3"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</row>
    <row r="1030" spans="22:31" ht="11.25" customHeight="1" x14ac:dyDescent="0.3"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</row>
    <row r="1031" spans="22:31" ht="11.25" customHeight="1" x14ac:dyDescent="0.3"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</row>
    <row r="1032" spans="22:31" ht="11.25" customHeight="1" x14ac:dyDescent="0.3"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</row>
    <row r="1033" spans="22:31" ht="11.25" customHeight="1" x14ac:dyDescent="0.3"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</row>
    <row r="1034" spans="22:31" ht="11.25" customHeight="1" x14ac:dyDescent="0.3"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</row>
    <row r="1035" spans="22:31" ht="11.25" customHeight="1" x14ac:dyDescent="0.3"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</row>
    <row r="1036" spans="22:31" ht="11.25" customHeight="1" x14ac:dyDescent="0.3"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</row>
    <row r="1037" spans="22:31" ht="11.25" customHeight="1" x14ac:dyDescent="0.3"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</row>
    <row r="1038" spans="22:31" ht="11.25" customHeight="1" x14ac:dyDescent="0.3"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</row>
    <row r="1039" spans="22:31" ht="11.25" customHeight="1" x14ac:dyDescent="0.3"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</row>
    <row r="1040" spans="22:31" ht="11.25" customHeight="1" x14ac:dyDescent="0.3"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</row>
    <row r="1041" spans="22:31" ht="11.25" customHeight="1" x14ac:dyDescent="0.3"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</row>
    <row r="1042" spans="22:31" ht="11.25" customHeight="1" x14ac:dyDescent="0.3"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</row>
    <row r="1043" spans="22:31" ht="11.25" customHeight="1" x14ac:dyDescent="0.3"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</row>
    <row r="1044" spans="22:31" ht="11.25" customHeight="1" x14ac:dyDescent="0.3"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</row>
    <row r="1045" spans="22:31" ht="11.25" customHeight="1" x14ac:dyDescent="0.3"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</row>
    <row r="1046" spans="22:31" ht="11.25" customHeight="1" x14ac:dyDescent="0.3"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</row>
    <row r="1047" spans="22:31" ht="11.25" customHeight="1" x14ac:dyDescent="0.3"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</row>
    <row r="1048" spans="22:31" ht="11.25" customHeight="1" x14ac:dyDescent="0.3"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</row>
    <row r="1049" spans="22:31" ht="11.25" customHeight="1" x14ac:dyDescent="0.3"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</row>
    <row r="1050" spans="22:31" ht="11.25" customHeight="1" x14ac:dyDescent="0.3"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</row>
    <row r="1051" spans="22:31" ht="11.25" customHeight="1" x14ac:dyDescent="0.3"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</row>
    <row r="1052" spans="22:31" ht="11.25" customHeight="1" x14ac:dyDescent="0.3"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</row>
    <row r="1053" spans="22:31" ht="11.25" customHeight="1" x14ac:dyDescent="0.3"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</row>
    <row r="1054" spans="22:31" ht="11.25" customHeight="1" x14ac:dyDescent="0.3"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</row>
    <row r="1055" spans="22:31" ht="11.25" customHeight="1" x14ac:dyDescent="0.3"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</row>
    <row r="1056" spans="22:31" ht="11.25" customHeight="1" x14ac:dyDescent="0.3"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</row>
    <row r="1057" spans="22:31" ht="11.25" customHeight="1" x14ac:dyDescent="0.3"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</row>
    <row r="1058" spans="22:31" ht="11.25" customHeight="1" x14ac:dyDescent="0.3"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</row>
    <row r="1059" spans="22:31" ht="11.25" customHeight="1" x14ac:dyDescent="0.3"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</row>
    <row r="1060" spans="22:31" ht="11.25" customHeight="1" x14ac:dyDescent="0.3"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</row>
    <row r="1061" spans="22:31" ht="11.25" customHeight="1" x14ac:dyDescent="0.3"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</row>
    <row r="1062" spans="22:31" ht="11.25" customHeight="1" x14ac:dyDescent="0.3"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</row>
    <row r="1063" spans="22:31" ht="11.25" customHeight="1" x14ac:dyDescent="0.3"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</row>
    <row r="1064" spans="22:31" ht="11.25" customHeight="1" x14ac:dyDescent="0.3"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</row>
    <row r="1065" spans="22:31" ht="11.25" customHeight="1" x14ac:dyDescent="0.3"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</row>
    <row r="1066" spans="22:31" ht="11.25" customHeight="1" x14ac:dyDescent="0.3"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</row>
    <row r="1067" spans="22:31" ht="11.25" customHeight="1" x14ac:dyDescent="0.3"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</row>
    <row r="1068" spans="22:31" ht="11.25" customHeight="1" x14ac:dyDescent="0.3"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</row>
    <row r="1069" spans="22:31" ht="11.25" customHeight="1" x14ac:dyDescent="0.3"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</row>
    <row r="1070" spans="22:31" ht="11.25" customHeight="1" x14ac:dyDescent="0.3"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</row>
    <row r="1071" spans="22:31" ht="11.25" customHeight="1" x14ac:dyDescent="0.3"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</row>
    <row r="1072" spans="22:31" ht="11.25" customHeight="1" x14ac:dyDescent="0.3"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</row>
    <row r="1073" spans="22:31" ht="11.25" customHeight="1" x14ac:dyDescent="0.3"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</row>
    <row r="1074" spans="22:31" ht="11.25" customHeight="1" x14ac:dyDescent="0.3"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</row>
    <row r="1075" spans="22:31" ht="11.25" customHeight="1" x14ac:dyDescent="0.3"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</row>
    <row r="1076" spans="22:31" ht="11.25" customHeight="1" x14ac:dyDescent="0.3"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</row>
    <row r="1077" spans="22:31" ht="11.25" customHeight="1" x14ac:dyDescent="0.3"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</row>
    <row r="1078" spans="22:31" ht="11.25" customHeight="1" x14ac:dyDescent="0.3"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</row>
    <row r="1079" spans="22:31" ht="11.25" customHeight="1" x14ac:dyDescent="0.3"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</row>
    <row r="1080" spans="22:31" ht="11.25" customHeight="1" x14ac:dyDescent="0.3"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</row>
    <row r="1081" spans="22:31" ht="11.25" customHeight="1" x14ac:dyDescent="0.3"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</row>
    <row r="1082" spans="22:31" ht="11.25" customHeight="1" x14ac:dyDescent="0.3"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</row>
    <row r="1083" spans="22:31" ht="11.25" customHeight="1" x14ac:dyDescent="0.3"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</row>
    <row r="1084" spans="22:31" ht="11.25" customHeight="1" x14ac:dyDescent="0.3"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</row>
    <row r="1085" spans="22:31" ht="11.25" customHeight="1" x14ac:dyDescent="0.3"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</row>
    <row r="1086" spans="22:31" ht="11.25" customHeight="1" x14ac:dyDescent="0.3"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</row>
    <row r="1087" spans="22:31" ht="11.25" customHeight="1" x14ac:dyDescent="0.3"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</row>
    <row r="1088" spans="22:31" ht="11.25" customHeight="1" x14ac:dyDescent="0.3"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</row>
    <row r="1089" spans="22:31" ht="11.25" customHeight="1" x14ac:dyDescent="0.3"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</row>
    <row r="1090" spans="22:31" ht="11.25" customHeight="1" x14ac:dyDescent="0.3"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</row>
    <row r="1091" spans="22:31" ht="11.25" customHeight="1" x14ac:dyDescent="0.3"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</row>
    <row r="1092" spans="22:31" ht="11.25" customHeight="1" x14ac:dyDescent="0.3"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</row>
    <row r="1093" spans="22:31" ht="11.25" customHeight="1" x14ac:dyDescent="0.3"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</row>
    <row r="1094" spans="22:31" ht="11.25" customHeight="1" x14ac:dyDescent="0.3"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</row>
    <row r="1095" spans="22:31" ht="11.25" customHeight="1" x14ac:dyDescent="0.3"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</row>
    <row r="1096" spans="22:31" ht="11.25" customHeight="1" x14ac:dyDescent="0.3"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</row>
    <row r="1097" spans="22:31" ht="11.25" customHeight="1" x14ac:dyDescent="0.3"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</row>
    <row r="1098" spans="22:31" ht="11.25" customHeight="1" x14ac:dyDescent="0.3"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</row>
    <row r="1099" spans="22:31" ht="11.25" customHeight="1" x14ac:dyDescent="0.3"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</row>
    <row r="1100" spans="22:31" ht="11.25" customHeight="1" x14ac:dyDescent="0.3"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</row>
    <row r="1101" spans="22:31" ht="11.25" customHeight="1" x14ac:dyDescent="0.3"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</row>
    <row r="1102" spans="22:31" ht="11.25" customHeight="1" x14ac:dyDescent="0.3"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</row>
    <row r="1103" spans="22:31" ht="11.25" customHeight="1" x14ac:dyDescent="0.3"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</row>
    <row r="1104" spans="22:31" ht="11.25" customHeight="1" x14ac:dyDescent="0.3"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</row>
    <row r="1105" spans="22:31" ht="11.25" customHeight="1" x14ac:dyDescent="0.3"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</row>
    <row r="1106" spans="22:31" ht="11.25" customHeight="1" x14ac:dyDescent="0.3"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</row>
    <row r="1107" spans="22:31" ht="11.25" customHeight="1" x14ac:dyDescent="0.3"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</row>
    <row r="1108" spans="22:31" ht="11.25" customHeight="1" x14ac:dyDescent="0.3"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</row>
    <row r="1109" spans="22:31" ht="11.25" customHeight="1" x14ac:dyDescent="0.3"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</row>
    <row r="1110" spans="22:31" ht="11.25" customHeight="1" x14ac:dyDescent="0.3"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</row>
    <row r="1111" spans="22:31" ht="11.25" customHeight="1" x14ac:dyDescent="0.3"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</row>
    <row r="1112" spans="22:31" ht="11.25" customHeight="1" x14ac:dyDescent="0.3"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</row>
    <row r="1113" spans="22:31" ht="11.25" customHeight="1" x14ac:dyDescent="0.3"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</row>
    <row r="1114" spans="22:31" ht="11.25" customHeight="1" x14ac:dyDescent="0.3"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</row>
    <row r="1115" spans="22:31" ht="11.25" customHeight="1" x14ac:dyDescent="0.3"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</row>
    <row r="1116" spans="22:31" ht="11.25" customHeight="1" x14ac:dyDescent="0.3"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</row>
    <row r="1117" spans="22:31" ht="11.25" customHeight="1" x14ac:dyDescent="0.3"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</row>
    <row r="1118" spans="22:31" ht="11.25" customHeight="1" x14ac:dyDescent="0.3"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</row>
    <row r="1119" spans="22:31" ht="11.25" customHeight="1" x14ac:dyDescent="0.3"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</row>
    <row r="1120" spans="22:31" ht="11.25" customHeight="1" x14ac:dyDescent="0.3"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</row>
    <row r="1121" spans="22:31" ht="11.25" customHeight="1" x14ac:dyDescent="0.3"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</row>
    <row r="1122" spans="22:31" ht="11.25" customHeight="1" x14ac:dyDescent="0.3"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</row>
    <row r="1123" spans="22:31" ht="11.25" customHeight="1" x14ac:dyDescent="0.3"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</row>
    <row r="1124" spans="22:31" ht="11.25" customHeight="1" x14ac:dyDescent="0.3"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</row>
    <row r="1125" spans="22:31" ht="11.25" customHeight="1" x14ac:dyDescent="0.3"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</row>
    <row r="1126" spans="22:31" ht="11.25" customHeight="1" x14ac:dyDescent="0.3"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</row>
    <row r="1127" spans="22:31" ht="11.25" customHeight="1" x14ac:dyDescent="0.3"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</row>
    <row r="1128" spans="22:31" ht="11.25" customHeight="1" x14ac:dyDescent="0.3"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</row>
    <row r="1129" spans="22:31" ht="11.25" customHeight="1" x14ac:dyDescent="0.3"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</row>
    <row r="1130" spans="22:31" ht="11.25" customHeight="1" x14ac:dyDescent="0.3"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</row>
    <row r="1131" spans="22:31" ht="11.25" customHeight="1" x14ac:dyDescent="0.3"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</row>
    <row r="1132" spans="22:31" ht="11.25" customHeight="1" x14ac:dyDescent="0.3"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</row>
    <row r="1133" spans="22:31" ht="11.25" customHeight="1" x14ac:dyDescent="0.3"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</row>
    <row r="1134" spans="22:31" ht="11.25" customHeight="1" x14ac:dyDescent="0.3"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</row>
    <row r="1135" spans="22:31" ht="11.25" customHeight="1" x14ac:dyDescent="0.3"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</row>
    <row r="1136" spans="22:31" ht="11.25" customHeight="1" x14ac:dyDescent="0.3"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</row>
    <row r="1137" spans="22:31" ht="11.25" customHeight="1" x14ac:dyDescent="0.3"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</row>
    <row r="1138" spans="22:31" ht="11.25" customHeight="1" x14ac:dyDescent="0.3"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</row>
    <row r="1139" spans="22:31" ht="11.25" customHeight="1" x14ac:dyDescent="0.3"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</row>
    <row r="1140" spans="22:31" ht="11.25" customHeight="1" x14ac:dyDescent="0.3"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</row>
    <row r="1141" spans="22:31" ht="11.25" customHeight="1" x14ac:dyDescent="0.3"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</row>
    <row r="1142" spans="22:31" ht="11.25" customHeight="1" x14ac:dyDescent="0.3"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</row>
    <row r="1143" spans="22:31" ht="11.25" customHeight="1" x14ac:dyDescent="0.3"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</row>
    <row r="1144" spans="22:31" ht="11.25" customHeight="1" x14ac:dyDescent="0.3"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</row>
    <row r="1145" spans="22:31" ht="11.25" customHeight="1" x14ac:dyDescent="0.3"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</row>
    <row r="1146" spans="22:31" ht="11.25" customHeight="1" x14ac:dyDescent="0.3"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</row>
    <row r="1147" spans="22:31" ht="11.25" customHeight="1" x14ac:dyDescent="0.3"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</row>
    <row r="1148" spans="22:31" ht="11.25" customHeight="1" x14ac:dyDescent="0.3"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</row>
    <row r="1149" spans="22:31" ht="11.25" customHeight="1" x14ac:dyDescent="0.3"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</row>
    <row r="1150" spans="22:31" ht="11.25" customHeight="1" x14ac:dyDescent="0.3"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</row>
    <row r="1151" spans="22:31" ht="11.25" customHeight="1" x14ac:dyDescent="0.3"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</row>
    <row r="1152" spans="22:31" ht="11.25" customHeight="1" x14ac:dyDescent="0.3"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</row>
    <row r="1153" spans="22:31" ht="11.25" customHeight="1" x14ac:dyDescent="0.3"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</row>
    <row r="1154" spans="22:31" ht="11.25" customHeight="1" x14ac:dyDescent="0.3"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</row>
    <row r="1155" spans="22:31" ht="11.25" customHeight="1" x14ac:dyDescent="0.3"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</row>
    <row r="1156" spans="22:31" ht="11.25" customHeight="1" x14ac:dyDescent="0.3"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</row>
    <row r="1157" spans="22:31" ht="11.25" customHeight="1" x14ac:dyDescent="0.3"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</row>
    <row r="1158" spans="22:31" ht="11.25" customHeight="1" x14ac:dyDescent="0.3"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94F2A-31EB-4BC4-B5FC-21F8EBCDF24B}">
  <sheetPr codeName="Planilha18"/>
  <dimension ref="A1:J1057"/>
  <sheetViews>
    <sheetView showGridLines="0" workbookViewId="0"/>
  </sheetViews>
  <sheetFormatPr defaultRowHeight="11.25" customHeight="1" x14ac:dyDescent="0.2"/>
  <cols>
    <col min="1" max="1" width="32.33203125" style="14" bestFit="1" customWidth="1"/>
    <col min="2" max="2" width="23.21875" style="39" bestFit="1" customWidth="1"/>
    <col min="3" max="3" width="24.21875" style="39" bestFit="1" customWidth="1"/>
    <col min="4" max="4" width="24.44140625" style="39" bestFit="1" customWidth="1"/>
    <col min="5" max="5" width="25.5546875" style="39" bestFit="1" customWidth="1"/>
    <col min="6" max="6" width="22.44140625" style="39" bestFit="1" customWidth="1"/>
    <col min="7" max="7" width="23.44140625" style="39" bestFit="1" customWidth="1"/>
    <col min="8" max="8" width="17.109375" style="40" bestFit="1" customWidth="1"/>
    <col min="9" max="9" width="15" style="40" bestFit="1" customWidth="1"/>
    <col min="10" max="10" width="12.6640625" style="40" bestFit="1" customWidth="1"/>
    <col min="11" max="16384" width="8.88671875" style="14"/>
  </cols>
  <sheetData>
    <row r="1" spans="1:10" ht="11.25" customHeight="1" x14ac:dyDescent="0.2">
      <c r="A1" s="38" t="s">
        <v>835</v>
      </c>
      <c r="B1" s="39" t="s">
        <v>836</v>
      </c>
      <c r="C1" s="39" t="s">
        <v>837</v>
      </c>
      <c r="D1" s="39" t="s">
        <v>838</v>
      </c>
      <c r="E1" s="39" t="s">
        <v>839</v>
      </c>
      <c r="F1" s="39" t="s">
        <v>840</v>
      </c>
      <c r="G1" s="39" t="s">
        <v>841</v>
      </c>
      <c r="H1" s="40" t="s">
        <v>842</v>
      </c>
      <c r="I1" s="40" t="s">
        <v>843</v>
      </c>
      <c r="J1" s="40" t="s">
        <v>844</v>
      </c>
    </row>
    <row r="2" spans="1:10" ht="11.25" customHeight="1" x14ac:dyDescent="0.2">
      <c r="A2" s="41" t="s">
        <v>26</v>
      </c>
      <c r="B2" s="39">
        <v>4858092.1799999969</v>
      </c>
      <c r="C2" s="39">
        <v>5529015.3591115149</v>
      </c>
      <c r="D2" s="39">
        <v>66707149.397436455</v>
      </c>
      <c r="E2" s="39">
        <v>86711874.664368987</v>
      </c>
      <c r="F2" s="39">
        <v>76934882.319761917</v>
      </c>
      <c r="G2" s="39">
        <v>81898164.195180342</v>
      </c>
      <c r="H2" s="40">
        <v>0.28890629012510405</v>
      </c>
      <c r="I2" s="40">
        <v>6.4512763596487943E-2</v>
      </c>
      <c r="J2" s="40">
        <v>0.17265258538916362</v>
      </c>
    </row>
    <row r="3" spans="1:10" ht="11.25" customHeight="1" x14ac:dyDescent="0.2">
      <c r="A3" s="42" t="s">
        <v>39</v>
      </c>
      <c r="B3" s="39">
        <v>4837183.2400000012</v>
      </c>
      <c r="C3" s="39">
        <v>5505271.1379834199</v>
      </c>
      <c r="D3" s="39">
        <v>8357182.9565569982</v>
      </c>
      <c r="E3" s="39">
        <v>11910929.123296959</v>
      </c>
      <c r="F3" s="39">
        <v>19586793.071164194</v>
      </c>
      <c r="G3" s="39">
        <v>20831618.39275419</v>
      </c>
      <c r="H3" s="40">
        <v>0.31997247930143358</v>
      </c>
      <c r="I3" s="40">
        <v>6.3554320355925675E-2</v>
      </c>
      <c r="J3" s="40">
        <v>0.16676223502859022</v>
      </c>
    </row>
    <row r="4" spans="1:10" ht="11.25" customHeight="1" x14ac:dyDescent="0.2">
      <c r="A4" s="43" t="s">
        <v>40</v>
      </c>
      <c r="B4" s="39">
        <v>1652420.959999999</v>
      </c>
      <c r="C4" s="39">
        <v>1882424.8967803272</v>
      </c>
      <c r="D4" s="39">
        <v>939621.90741900005</v>
      </c>
      <c r="E4" s="39">
        <v>1532849.4958659078</v>
      </c>
      <c r="F4" s="39">
        <v>3839935.0954169999</v>
      </c>
      <c r="G4" s="39">
        <v>4085577.5068000741</v>
      </c>
      <c r="H4" s="40">
        <v>0.31759950252943181</v>
      </c>
      <c r="I4" s="40">
        <v>6.397045920808675E-2</v>
      </c>
      <c r="J4" s="40">
        <v>0.16618121871472025</v>
      </c>
    </row>
    <row r="5" spans="1:10" ht="11.25" customHeight="1" x14ac:dyDescent="0.2">
      <c r="A5" s="44" t="s">
        <v>42</v>
      </c>
      <c r="B5" s="39">
        <v>1154124.7999999998</v>
      </c>
      <c r="C5" s="39">
        <v>1314773.0497724253</v>
      </c>
      <c r="D5" s="39">
        <v>601036.9169999999</v>
      </c>
      <c r="E5" s="39">
        <v>980499.84567826788</v>
      </c>
      <c r="F5" s="39">
        <v>2459489.4398999996</v>
      </c>
      <c r="G5" s="39">
        <v>2616948.963506774</v>
      </c>
      <c r="H5" s="40">
        <v>0.30772730126194614</v>
      </c>
      <c r="I5" s="40">
        <v>6.4021223694774809E-2</v>
      </c>
      <c r="J5" s="40">
        <v>0.1655108990255203</v>
      </c>
    </row>
    <row r="6" spans="1:10" ht="11.25" customHeight="1" x14ac:dyDescent="0.2">
      <c r="A6" s="45" t="s">
        <v>25</v>
      </c>
      <c r="B6" s="39">
        <v>1154124.7999999998</v>
      </c>
      <c r="C6" s="39">
        <v>1314773.0497724253</v>
      </c>
      <c r="D6" s="39">
        <v>601036.9169999999</v>
      </c>
      <c r="E6" s="39">
        <v>980499.84567826788</v>
      </c>
      <c r="F6" s="39">
        <v>2459489.4398999996</v>
      </c>
      <c r="G6" s="39">
        <v>2616948.963506774</v>
      </c>
      <c r="H6" s="40">
        <v>0.30772730126194614</v>
      </c>
      <c r="I6" s="40">
        <v>6.4021223694774809E-2</v>
      </c>
      <c r="J6" s="40">
        <v>0.1655108990255203</v>
      </c>
    </row>
    <row r="7" spans="1:10" ht="11.25" customHeight="1" x14ac:dyDescent="0.2">
      <c r="A7" s="46" t="s">
        <v>25</v>
      </c>
      <c r="B7" s="39">
        <v>1154124.7999999998</v>
      </c>
      <c r="C7" s="39">
        <v>1314773.0497724253</v>
      </c>
      <c r="D7" s="39">
        <v>601036.9169999999</v>
      </c>
      <c r="E7" s="39">
        <v>980499.84567826788</v>
      </c>
      <c r="F7" s="39">
        <v>2459489.4398999996</v>
      </c>
      <c r="G7" s="39">
        <v>2616948.963506774</v>
      </c>
      <c r="H7" s="40">
        <v>0.30772730126194614</v>
      </c>
      <c r="I7" s="40">
        <v>6.4021223694774809E-2</v>
      </c>
      <c r="J7" s="40">
        <v>0.1655108990255203</v>
      </c>
    </row>
    <row r="8" spans="1:10" ht="11.25" customHeight="1" x14ac:dyDescent="0.2">
      <c r="A8" s="47" t="s">
        <v>25</v>
      </c>
      <c r="B8" s="39">
        <v>1154124.7999999998</v>
      </c>
      <c r="C8" s="39">
        <v>1314773.0497724253</v>
      </c>
      <c r="D8" s="39">
        <v>601036.9169999999</v>
      </c>
      <c r="E8" s="39">
        <v>980499.84567826788</v>
      </c>
      <c r="F8" s="39">
        <v>2459489.4398999996</v>
      </c>
      <c r="G8" s="39">
        <v>2616948.963506774</v>
      </c>
      <c r="H8" s="40">
        <v>0.30772730126194614</v>
      </c>
      <c r="I8" s="40">
        <v>6.4021223694774809E-2</v>
      </c>
      <c r="J8" s="40">
        <v>0.1655108990255203</v>
      </c>
    </row>
    <row r="9" spans="1:10" ht="11.25" customHeight="1" x14ac:dyDescent="0.2">
      <c r="A9" s="48" t="s">
        <v>35</v>
      </c>
      <c r="B9" s="39">
        <v>332360</v>
      </c>
      <c r="C9" s="39">
        <v>378078.19575351791</v>
      </c>
      <c r="D9" s="39">
        <v>540368.14650000003</v>
      </c>
      <c r="E9" s="39">
        <v>881528.02143549803</v>
      </c>
      <c r="F9" s="39">
        <v>2087101.7516999999</v>
      </c>
      <c r="G9" s="39">
        <v>2215948.3597474215</v>
      </c>
      <c r="H9" s="40">
        <v>0.4432973455027851</v>
      </c>
      <c r="I9" s="40">
        <v>6.1734703611106889E-2</v>
      </c>
      <c r="J9" s="40">
        <v>0.17424132347945798</v>
      </c>
    </row>
    <row r="10" spans="1:10" ht="11.25" customHeight="1" x14ac:dyDescent="0.2">
      <c r="A10" s="49">
        <v>44501</v>
      </c>
      <c r="B10" s="39">
        <v>27678</v>
      </c>
      <c r="C10" s="39">
        <v>31485.281929431545</v>
      </c>
      <c r="D10" s="39">
        <v>46117.774949999999</v>
      </c>
      <c r="E10" s="39">
        <v>75234.09950790109</v>
      </c>
      <c r="F10" s="39">
        <v>178123.91331</v>
      </c>
      <c r="G10" s="39">
        <v>189120.34030424335</v>
      </c>
      <c r="H10" s="40">
        <v>0.4461448708905067</v>
      </c>
      <c r="I10" s="40">
        <v>6.1734703611106889E-2</v>
      </c>
      <c r="J10" s="40">
        <v>0.17434140929964648</v>
      </c>
    </row>
    <row r="11" spans="1:10" ht="11.25" customHeight="1" x14ac:dyDescent="0.2">
      <c r="A11" s="49">
        <v>44531</v>
      </c>
      <c r="B11" s="39">
        <v>27706</v>
      </c>
      <c r="C11" s="39">
        <v>31517.133504473964</v>
      </c>
      <c r="D11" s="39">
        <v>46035.01890000001</v>
      </c>
      <c r="E11" s="39">
        <v>75099.09566377959</v>
      </c>
      <c r="F11" s="39">
        <v>177804.27882000004</v>
      </c>
      <c r="G11" s="39">
        <v>188780.97327373934</v>
      </c>
      <c r="H11" s="40">
        <v>0.44581985384329359</v>
      </c>
      <c r="I11" s="40">
        <v>6.1734703611106889E-2</v>
      </c>
      <c r="J11" s="40">
        <v>0.17433005156313941</v>
      </c>
    </row>
    <row r="12" spans="1:10" ht="11.25" customHeight="1" x14ac:dyDescent="0.2">
      <c r="A12" s="49">
        <v>44562</v>
      </c>
      <c r="B12" s="39">
        <v>27846</v>
      </c>
      <c r="C12" s="39">
        <v>31676.391379686058</v>
      </c>
      <c r="D12" s="39">
        <v>46324.556850000001</v>
      </c>
      <c r="E12" s="39">
        <v>75571.432565662428</v>
      </c>
      <c r="F12" s="39">
        <v>178922.58153</v>
      </c>
      <c r="G12" s="39">
        <v>189968.31407008864</v>
      </c>
      <c r="H12" s="40">
        <v>0.4459622321865917</v>
      </c>
      <c r="I12" s="40">
        <v>6.1734703611106889E-2</v>
      </c>
      <c r="J12" s="40">
        <v>0.17433502906424048</v>
      </c>
    </row>
    <row r="13" spans="1:10" ht="11.25" customHeight="1" x14ac:dyDescent="0.2">
      <c r="A13" s="49">
        <v>44593</v>
      </c>
      <c r="B13" s="39">
        <v>27552</v>
      </c>
      <c r="C13" s="39">
        <v>31341.949841740658</v>
      </c>
      <c r="D13" s="39">
        <v>46422.753000000004</v>
      </c>
      <c r="E13" s="39">
        <v>75731.624572505825</v>
      </c>
      <c r="F13" s="39">
        <v>179301.85139999999</v>
      </c>
      <c r="G13" s="39">
        <v>190370.99805310174</v>
      </c>
      <c r="H13" s="40">
        <v>0.44743402406827215</v>
      </c>
      <c r="I13" s="40">
        <v>6.1734703611107111E-2</v>
      </c>
      <c r="J13" s="40">
        <v>0.17438629269363415</v>
      </c>
    </row>
    <row r="14" spans="1:10" ht="11.25" customHeight="1" x14ac:dyDescent="0.2">
      <c r="A14" s="49">
        <v>44621</v>
      </c>
      <c r="B14" s="39">
        <v>27874</v>
      </c>
      <c r="C14" s="39">
        <v>31708.242954728477</v>
      </c>
      <c r="D14" s="39">
        <v>43387.907550000004</v>
      </c>
      <c r="E14" s="39">
        <v>70780.738177315579</v>
      </c>
      <c r="F14" s="39">
        <v>167580.15518999999</v>
      </c>
      <c r="G14" s="39">
        <v>177925.66640175795</v>
      </c>
      <c r="H14" s="40">
        <v>0.43820148317155239</v>
      </c>
      <c r="I14" s="40">
        <v>6.1734703611106889E-2</v>
      </c>
      <c r="J14" s="40">
        <v>0.17405889195931668</v>
      </c>
    </row>
    <row r="15" spans="1:10" ht="11.25" customHeight="1" x14ac:dyDescent="0.2">
      <c r="A15" s="49">
        <v>44652</v>
      </c>
      <c r="B15" s="39">
        <v>28084</v>
      </c>
      <c r="C15" s="39">
        <v>31947.129767546623</v>
      </c>
      <c r="D15" s="39">
        <v>49674.481350000009</v>
      </c>
      <c r="E15" s="39">
        <v>81036.322262752132</v>
      </c>
      <c r="F15" s="39">
        <v>191861.22963000002</v>
      </c>
      <c r="G15" s="39">
        <v>203705.72577567058</v>
      </c>
      <c r="H15" s="40">
        <v>0.45300486929196859</v>
      </c>
      <c r="I15" s="40">
        <v>6.1734703611106889E-2</v>
      </c>
      <c r="J15" s="40">
        <v>0.17457724680025644</v>
      </c>
    </row>
    <row r="16" spans="1:10" ht="11.25" customHeight="1" x14ac:dyDescent="0.2">
      <c r="A16" s="49">
        <v>44682</v>
      </c>
      <c r="B16" s="39">
        <v>27888</v>
      </c>
      <c r="C16" s="39">
        <v>31724.168742249687</v>
      </c>
      <c r="D16" s="39">
        <v>45853.778100000003</v>
      </c>
      <c r="E16" s="39">
        <v>74803.429006034814</v>
      </c>
      <c r="F16" s="39">
        <v>177104.25978000002</v>
      </c>
      <c r="G16" s="39">
        <v>188037.73876578279</v>
      </c>
      <c r="H16" s="40">
        <v>0.4446030526118343</v>
      </c>
      <c r="I16" s="40">
        <v>6.1734703611106889E-2</v>
      </c>
      <c r="J16" s="40">
        <v>0.17428737963555863</v>
      </c>
    </row>
    <row r="17" spans="1:10" ht="11.25" customHeight="1" x14ac:dyDescent="0.2">
      <c r="A17" s="49">
        <v>44713</v>
      </c>
      <c r="B17" s="39">
        <v>27664</v>
      </c>
      <c r="C17" s="39">
        <v>31469.356141910335</v>
      </c>
      <c r="D17" s="39">
        <v>43890.215850000001</v>
      </c>
      <c r="E17" s="39">
        <v>71600.177377641623</v>
      </c>
      <c r="F17" s="39">
        <v>169520.25573</v>
      </c>
      <c r="G17" s="39">
        <v>179985.53847357057</v>
      </c>
      <c r="H17" s="40">
        <v>0.44043970428825463</v>
      </c>
      <c r="I17" s="40">
        <v>6.1734703611106667E-2</v>
      </c>
      <c r="J17" s="40">
        <v>0.17413955172433648</v>
      </c>
    </row>
    <row r="18" spans="1:10" ht="11.25" customHeight="1" x14ac:dyDescent="0.2">
      <c r="A18" s="49">
        <v>44743</v>
      </c>
      <c r="B18" s="39">
        <v>27468</v>
      </c>
      <c r="C18" s="39">
        <v>31246.395116613399</v>
      </c>
      <c r="D18" s="39">
        <v>42025.426950000001</v>
      </c>
      <c r="E18" s="39">
        <v>68558.059369651528</v>
      </c>
      <c r="F18" s="39">
        <v>162317.75091</v>
      </c>
      <c r="G18" s="39">
        <v>172338.38915325032</v>
      </c>
      <c r="H18" s="40">
        <v>0.436171144043213</v>
      </c>
      <c r="I18" s="40">
        <v>6.1734703611106889E-2</v>
      </c>
      <c r="J18" s="40">
        <v>0.17398499137031753</v>
      </c>
    </row>
    <row r="19" spans="1:10" ht="11.25" customHeight="1" x14ac:dyDescent="0.2">
      <c r="A19" s="49">
        <v>44774</v>
      </c>
      <c r="B19" s="39">
        <v>27412</v>
      </c>
      <c r="C19" s="39">
        <v>31182.69196652856</v>
      </c>
      <c r="D19" s="39">
        <v>44435.742000000006</v>
      </c>
      <c r="E19" s="39">
        <v>72490.119893249968</v>
      </c>
      <c r="F19" s="39">
        <v>171627.27960000001</v>
      </c>
      <c r="G19" s="39">
        <v>182222.63883768657</v>
      </c>
      <c r="H19" s="40">
        <v>0.44295156638017286</v>
      </c>
      <c r="I19" s="40">
        <v>6.1734703611106889E-2</v>
      </c>
      <c r="J19" s="40">
        <v>0.17422908033316342</v>
      </c>
    </row>
    <row r="20" spans="1:10" ht="11.25" customHeight="1" x14ac:dyDescent="0.2">
      <c r="A20" s="49">
        <v>44805</v>
      </c>
      <c r="B20" s="39">
        <v>27594</v>
      </c>
      <c r="C20" s="39">
        <v>31389.727204304287</v>
      </c>
      <c r="D20" s="39">
        <v>43100.245500000005</v>
      </c>
      <c r="E20" s="39">
        <v>70311.46151950174</v>
      </c>
      <c r="F20" s="39">
        <v>166469.09790000002</v>
      </c>
      <c r="G20" s="39">
        <v>176746.01831926484</v>
      </c>
      <c r="H20" s="40">
        <v>0.43860632509057651</v>
      </c>
      <c r="I20" s="40">
        <v>6.1734703611106667E-2</v>
      </c>
      <c r="J20" s="40">
        <v>0.174073543791468</v>
      </c>
    </row>
    <row r="21" spans="1:10" ht="11.25" customHeight="1" x14ac:dyDescent="0.2">
      <c r="A21" s="49">
        <v>44835</v>
      </c>
      <c r="B21" s="39">
        <v>27594</v>
      </c>
      <c r="C21" s="39">
        <v>31389.727204304287</v>
      </c>
      <c r="D21" s="39">
        <v>43100.245500000005</v>
      </c>
      <c r="E21" s="39">
        <v>70311.46151950174</v>
      </c>
      <c r="F21" s="39">
        <v>166469.09790000002</v>
      </c>
      <c r="G21" s="39">
        <v>176746.01831926484</v>
      </c>
      <c r="H21" s="40">
        <v>0.43860632509057651</v>
      </c>
      <c r="I21" s="40">
        <v>6.1734703611106667E-2</v>
      </c>
      <c r="J21" s="40">
        <v>0.174073543791468</v>
      </c>
    </row>
    <row r="22" spans="1:10" ht="11.25" customHeight="1" x14ac:dyDescent="0.2">
      <c r="A22" s="48" t="s">
        <v>34</v>
      </c>
      <c r="B22" s="39">
        <v>821764.79999999993</v>
      </c>
      <c r="C22" s="39">
        <v>936694.85401890776</v>
      </c>
      <c r="D22" s="39">
        <v>60668.770500000013</v>
      </c>
      <c r="E22" s="39">
        <v>98971.824242769857</v>
      </c>
      <c r="F22" s="39">
        <v>372387.68819999998</v>
      </c>
      <c r="G22" s="39">
        <v>401000.60375935223</v>
      </c>
      <c r="H22" s="40">
        <v>0.1736483208303754</v>
      </c>
      <c r="I22" s="40">
        <v>7.6836362925041035E-2</v>
      </c>
      <c r="J22" s="40">
        <v>0.14491786942582019</v>
      </c>
    </row>
    <row r="23" spans="1:10" ht="11.25" customHeight="1" x14ac:dyDescent="0.2">
      <c r="A23" s="49">
        <v>44501</v>
      </c>
      <c r="B23" s="39">
        <v>68051.28</v>
      </c>
      <c r="C23" s="39">
        <v>77568.768807570988</v>
      </c>
      <c r="D23" s="39">
        <v>4700.2117500000004</v>
      </c>
      <c r="E23" s="39">
        <v>7667.6769183051392</v>
      </c>
      <c r="F23" s="39">
        <v>28850.114699999998</v>
      </c>
      <c r="G23" s="39">
        <v>31066.852583518266</v>
      </c>
      <c r="H23" s="40">
        <v>0.17161096873145731</v>
      </c>
      <c r="I23" s="40">
        <v>7.6836362925041257E-2</v>
      </c>
      <c r="J23" s="40">
        <v>0.1446994036125735</v>
      </c>
    </row>
    <row r="24" spans="1:10" ht="11.25" customHeight="1" x14ac:dyDescent="0.2">
      <c r="A24" s="49">
        <v>44531</v>
      </c>
      <c r="B24" s="39">
        <v>68694.959999999992</v>
      </c>
      <c r="C24" s="39">
        <v>78302.472348577969</v>
      </c>
      <c r="D24" s="39">
        <v>4914.0643499999996</v>
      </c>
      <c r="E24" s="39">
        <v>8016.544742172764</v>
      </c>
      <c r="F24" s="39">
        <v>30162.75174</v>
      </c>
      <c r="G24" s="39">
        <v>32480.347879512556</v>
      </c>
      <c r="H24" s="40">
        <v>0.1726689472246854</v>
      </c>
      <c r="I24" s="40">
        <v>7.6836362925041035E-2</v>
      </c>
      <c r="J24" s="40">
        <v>0.14481383519185442</v>
      </c>
    </row>
    <row r="25" spans="1:10" ht="11.25" customHeight="1" x14ac:dyDescent="0.2">
      <c r="A25" s="49">
        <v>44562</v>
      </c>
      <c r="B25" s="39">
        <v>68802.239999999991</v>
      </c>
      <c r="C25" s="39">
        <v>78424.756272079132</v>
      </c>
      <c r="D25" s="39">
        <v>5386.4304000000011</v>
      </c>
      <c r="E25" s="39">
        <v>8787.1377390895468</v>
      </c>
      <c r="F25" s="39">
        <v>33062.156160000006</v>
      </c>
      <c r="G25" s="39">
        <v>35602.531989794152</v>
      </c>
      <c r="H25" s="40">
        <v>0.175541946512209</v>
      </c>
      <c r="I25" s="40">
        <v>7.6836362925041257E-2</v>
      </c>
      <c r="J25" s="40">
        <v>0.14511402793018102</v>
      </c>
    </row>
    <row r="26" spans="1:10" ht="11.25" customHeight="1" x14ac:dyDescent="0.2">
      <c r="A26" s="49">
        <v>44593</v>
      </c>
      <c r="B26" s="39">
        <v>68408.87999999999</v>
      </c>
      <c r="C26" s="39">
        <v>77976.381885908195</v>
      </c>
      <c r="D26" s="39">
        <v>5029.9372500000009</v>
      </c>
      <c r="E26" s="39">
        <v>8205.5736642818756</v>
      </c>
      <c r="F26" s="39">
        <v>30873.984900000003</v>
      </c>
      <c r="G26" s="39">
        <v>33246.229608718641</v>
      </c>
      <c r="H26" s="40">
        <v>0.17352047292387573</v>
      </c>
      <c r="I26" s="40">
        <v>7.6836362925041035E-2</v>
      </c>
      <c r="J26" s="40">
        <v>0.14490439042345971</v>
      </c>
    </row>
    <row r="27" spans="1:10" ht="11.25" customHeight="1" x14ac:dyDescent="0.2">
      <c r="A27" s="49">
        <v>44621</v>
      </c>
      <c r="B27" s="39">
        <v>68551.92</v>
      </c>
      <c r="C27" s="39">
        <v>78139.427117243089</v>
      </c>
      <c r="D27" s="39">
        <v>4933.8334500000001</v>
      </c>
      <c r="E27" s="39">
        <v>8048.795006592376</v>
      </c>
      <c r="F27" s="39">
        <v>30284.095379999999</v>
      </c>
      <c r="G27" s="39">
        <v>32611.015123474241</v>
      </c>
      <c r="H27" s="40">
        <v>0.17285620786998224</v>
      </c>
      <c r="I27" s="40">
        <v>7.6836362925041257E-2</v>
      </c>
      <c r="J27" s="40">
        <v>0.1448338663568014</v>
      </c>
    </row>
    <row r="28" spans="1:10" ht="11.25" customHeight="1" x14ac:dyDescent="0.2">
      <c r="A28" s="49">
        <v>44652</v>
      </c>
      <c r="B28" s="39">
        <v>69231.360000000001</v>
      </c>
      <c r="C28" s="39">
        <v>78913.891966083786</v>
      </c>
      <c r="D28" s="39">
        <v>5740.2540000000008</v>
      </c>
      <c r="E28" s="39">
        <v>9364.3468511836199</v>
      </c>
      <c r="F28" s="39">
        <v>35233.941600000006</v>
      </c>
      <c r="G28" s="39">
        <v>37941.189524057307</v>
      </c>
      <c r="H28" s="40">
        <v>0.17748884020647338</v>
      </c>
      <c r="I28" s="40">
        <v>7.6836362925041035E-2</v>
      </c>
      <c r="J28" s="40">
        <v>0.14530912397418838</v>
      </c>
    </row>
    <row r="29" spans="1:10" ht="11.25" customHeight="1" x14ac:dyDescent="0.2">
      <c r="A29" s="49">
        <v>44682</v>
      </c>
      <c r="B29" s="39">
        <v>69052.56</v>
      </c>
      <c r="C29" s="39">
        <v>78710.085426915175</v>
      </c>
      <c r="D29" s="39">
        <v>4847.7584999999999</v>
      </c>
      <c r="E29" s="39">
        <v>7908.3768845026061</v>
      </c>
      <c r="F29" s="39">
        <v>29755.7634</v>
      </c>
      <c r="G29" s="39">
        <v>32042.088035714056</v>
      </c>
      <c r="H29" s="40">
        <v>0.17209863326120556</v>
      </c>
      <c r="I29" s="40">
        <v>7.6836362925041035E-2</v>
      </c>
      <c r="J29" s="40">
        <v>0.14475241753404378</v>
      </c>
    </row>
    <row r="30" spans="1:10" ht="11.25" customHeight="1" x14ac:dyDescent="0.2">
      <c r="A30" s="49">
        <v>44713</v>
      </c>
      <c r="B30" s="39">
        <v>68659.199999999997</v>
      </c>
      <c r="C30" s="39">
        <v>78261.711040744252</v>
      </c>
      <c r="D30" s="39">
        <v>5119.6197000000002</v>
      </c>
      <c r="E30" s="39">
        <v>8351.8768711197499</v>
      </c>
      <c r="F30" s="39">
        <v>31424.459879999999</v>
      </c>
      <c r="G30" s="39">
        <v>33839.001084063078</v>
      </c>
      <c r="H30" s="40">
        <v>0.1739627750085031</v>
      </c>
      <c r="I30" s="40">
        <v>7.6836362925041257E-2</v>
      </c>
      <c r="J30" s="40">
        <v>0.14495089389614524</v>
      </c>
    </row>
    <row r="31" spans="1:10" ht="11.25" customHeight="1" x14ac:dyDescent="0.2">
      <c r="A31" s="49">
        <v>44743</v>
      </c>
      <c r="B31" s="39">
        <v>68301.599999999991</v>
      </c>
      <c r="C31" s="39">
        <v>77854.097962407046</v>
      </c>
      <c r="D31" s="39">
        <v>4949.9228999999996</v>
      </c>
      <c r="E31" s="39">
        <v>8075.0424845689213</v>
      </c>
      <c r="F31" s="39">
        <v>30382.853159999999</v>
      </c>
      <c r="G31" s="39">
        <v>32717.361092099993</v>
      </c>
      <c r="H31" s="40">
        <v>0.17306967889640945</v>
      </c>
      <c r="I31" s="40">
        <v>7.6836362925041257E-2</v>
      </c>
      <c r="J31" s="40">
        <v>0.14485662045559655</v>
      </c>
    </row>
    <row r="32" spans="1:10" ht="11.25" customHeight="1" x14ac:dyDescent="0.2">
      <c r="A32" s="49">
        <v>44774</v>
      </c>
      <c r="B32" s="39">
        <v>67765.2</v>
      </c>
      <c r="C32" s="39">
        <v>77242.678344901229</v>
      </c>
      <c r="D32" s="39">
        <v>4833.3284999999996</v>
      </c>
      <c r="E32" s="39">
        <v>7884.8365455101884</v>
      </c>
      <c r="F32" s="39">
        <v>29667.1914</v>
      </c>
      <c r="G32" s="39">
        <v>31946.710485377058</v>
      </c>
      <c r="H32" s="40">
        <v>0.17257906805110257</v>
      </c>
      <c r="I32" s="40">
        <v>7.6836362925041035E-2</v>
      </c>
      <c r="J32" s="40">
        <v>0.14480419724487237</v>
      </c>
    </row>
    <row r="33" spans="1:10" ht="11.25" customHeight="1" x14ac:dyDescent="0.2">
      <c r="A33" s="49">
        <v>44805</v>
      </c>
      <c r="B33" s="39">
        <v>68122.8</v>
      </c>
      <c r="C33" s="39">
        <v>77650.291423238436</v>
      </c>
      <c r="D33" s="39">
        <v>5106.7048500000001</v>
      </c>
      <c r="E33" s="39">
        <v>8330.8082677215352</v>
      </c>
      <c r="F33" s="39">
        <v>31345.18794</v>
      </c>
      <c r="G33" s="39">
        <v>33753.638176511464</v>
      </c>
      <c r="H33" s="40">
        <v>0.17413192765784435</v>
      </c>
      <c r="I33" s="40">
        <v>7.6836362925041257E-2</v>
      </c>
      <c r="J33" s="40">
        <v>0.14496858344030539</v>
      </c>
    </row>
    <row r="34" spans="1:10" ht="11.25" customHeight="1" x14ac:dyDescent="0.2">
      <c r="A34" s="49">
        <v>44835</v>
      </c>
      <c r="B34" s="39">
        <v>68122.8</v>
      </c>
      <c r="C34" s="39">
        <v>77650.291423238436</v>
      </c>
      <c r="D34" s="39">
        <v>5106.7048500000001</v>
      </c>
      <c r="E34" s="39">
        <v>8330.8082677215352</v>
      </c>
      <c r="F34" s="39">
        <v>31345.18794</v>
      </c>
      <c r="G34" s="39">
        <v>33753.638176511464</v>
      </c>
      <c r="H34" s="40">
        <v>0.17413192765784435</v>
      </c>
      <c r="I34" s="40">
        <v>7.6836362925041257E-2</v>
      </c>
      <c r="J34" s="40">
        <v>0.14496858344030539</v>
      </c>
    </row>
    <row r="35" spans="1:10" ht="11.25" customHeight="1" x14ac:dyDescent="0.2">
      <c r="A35" s="44" t="s">
        <v>38</v>
      </c>
      <c r="B35" s="39">
        <v>391710.24000000005</v>
      </c>
      <c r="C35" s="39">
        <v>446228.08875764062</v>
      </c>
      <c r="D35" s="39">
        <v>250347.22440000001</v>
      </c>
      <c r="E35" s="39">
        <v>408403.22440656798</v>
      </c>
      <c r="F35" s="39">
        <v>1020791.22852</v>
      </c>
      <c r="G35" s="39">
        <v>1086003.2442566729</v>
      </c>
      <c r="H35" s="40">
        <v>0.33108227931413881</v>
      </c>
      <c r="I35" s="40">
        <v>6.3883793193659111E-2</v>
      </c>
      <c r="J35" s="40">
        <v>0.16705420383924596</v>
      </c>
    </row>
    <row r="36" spans="1:10" ht="11.25" customHeight="1" x14ac:dyDescent="0.2">
      <c r="A36" s="45" t="s">
        <v>25</v>
      </c>
      <c r="B36" s="39">
        <v>391710.24000000005</v>
      </c>
      <c r="C36" s="39">
        <v>446228.08875764062</v>
      </c>
      <c r="D36" s="39">
        <v>250347.22440000001</v>
      </c>
      <c r="E36" s="39">
        <v>408403.22440656798</v>
      </c>
      <c r="F36" s="39">
        <v>1020791.22852</v>
      </c>
      <c r="G36" s="39">
        <v>1086003.2442566729</v>
      </c>
      <c r="H36" s="40">
        <v>0.33108227931413881</v>
      </c>
      <c r="I36" s="40">
        <v>6.3883793193659111E-2</v>
      </c>
      <c r="J36" s="40">
        <v>0.16705420383924596</v>
      </c>
    </row>
    <row r="37" spans="1:10" ht="11.25" customHeight="1" x14ac:dyDescent="0.2">
      <c r="A37" s="46" t="s">
        <v>25</v>
      </c>
      <c r="B37" s="39">
        <v>391710.24000000005</v>
      </c>
      <c r="C37" s="39">
        <v>446228.08875764062</v>
      </c>
      <c r="D37" s="39">
        <v>250347.22440000001</v>
      </c>
      <c r="E37" s="39">
        <v>408403.22440656798</v>
      </c>
      <c r="F37" s="39">
        <v>1020791.22852</v>
      </c>
      <c r="G37" s="39">
        <v>1086003.2442566729</v>
      </c>
      <c r="H37" s="40">
        <v>0.33108227931413881</v>
      </c>
      <c r="I37" s="40">
        <v>6.3883793193659111E-2</v>
      </c>
      <c r="J37" s="40">
        <v>0.16705420383924596</v>
      </c>
    </row>
    <row r="38" spans="1:10" ht="11.25" customHeight="1" x14ac:dyDescent="0.2">
      <c r="A38" s="47" t="s">
        <v>25</v>
      </c>
      <c r="B38" s="39">
        <v>391710.24000000005</v>
      </c>
      <c r="C38" s="39">
        <v>446228.08875764062</v>
      </c>
      <c r="D38" s="39">
        <v>250347.22440000001</v>
      </c>
      <c r="E38" s="39">
        <v>408403.22440656798</v>
      </c>
      <c r="F38" s="39">
        <v>1020791.22852</v>
      </c>
      <c r="G38" s="39">
        <v>1086003.2442566729</v>
      </c>
      <c r="H38" s="40">
        <v>0.33108227931413881</v>
      </c>
      <c r="I38" s="40">
        <v>6.3883793193659111E-2</v>
      </c>
      <c r="J38" s="40">
        <v>0.16705420383924596</v>
      </c>
    </row>
    <row r="39" spans="1:10" ht="11.25" customHeight="1" x14ac:dyDescent="0.2">
      <c r="A39" s="48" t="s">
        <v>35</v>
      </c>
      <c r="B39" s="39">
        <v>115500</v>
      </c>
      <c r="C39" s="39">
        <v>131387.74704997987</v>
      </c>
      <c r="D39" s="39">
        <v>226680.58140000002</v>
      </c>
      <c r="E39" s="39">
        <v>369794.7144251042</v>
      </c>
      <c r="F39" s="39">
        <v>875524.29132000008</v>
      </c>
      <c r="G39" s="39">
        <v>929574.52394896466</v>
      </c>
      <c r="H39" s="40">
        <v>0.46467242362071692</v>
      </c>
      <c r="I39" s="40">
        <v>6.1734703611106889E-2</v>
      </c>
      <c r="J39" s="40">
        <v>0.17496202690570817</v>
      </c>
    </row>
    <row r="40" spans="1:10" ht="11.25" customHeight="1" x14ac:dyDescent="0.2">
      <c r="A40" s="49">
        <v>44501</v>
      </c>
      <c r="B40" s="39">
        <v>9170</v>
      </c>
      <c r="C40" s="39">
        <v>10431.390826392342</v>
      </c>
      <c r="D40" s="39">
        <v>17705.465700000001</v>
      </c>
      <c r="E40" s="39">
        <v>28883.760540306157</v>
      </c>
      <c r="F40" s="39">
        <v>68385.060660000003</v>
      </c>
      <c r="G40" s="39">
        <v>72606.792111272662</v>
      </c>
      <c r="H40" s="40">
        <v>0.46286400412769391</v>
      </c>
      <c r="I40" s="40">
        <v>6.1734703611106889E-2</v>
      </c>
      <c r="J40" s="40">
        <v>0.17490368523690325</v>
      </c>
    </row>
    <row r="41" spans="1:10" ht="11.25" customHeight="1" x14ac:dyDescent="0.2">
      <c r="A41" s="49">
        <v>44531</v>
      </c>
      <c r="B41" s="39">
        <v>9016</v>
      </c>
      <c r="C41" s="39">
        <v>10256.207163659035</v>
      </c>
      <c r="D41" s="39">
        <v>14160.664050000001</v>
      </c>
      <c r="E41" s="39">
        <v>23100.958565123874</v>
      </c>
      <c r="F41" s="39">
        <v>54693.724890000005</v>
      </c>
      <c r="G41" s="39">
        <v>58070.225785471572</v>
      </c>
      <c r="H41" s="40">
        <v>0.43925655809740705</v>
      </c>
      <c r="I41" s="40">
        <v>6.1734703611106889E-2</v>
      </c>
      <c r="J41" s="40">
        <v>0.174097018889944</v>
      </c>
    </row>
    <row r="42" spans="1:10" ht="11.25" customHeight="1" x14ac:dyDescent="0.2">
      <c r="A42" s="49">
        <v>44562</v>
      </c>
      <c r="B42" s="39">
        <v>9422</v>
      </c>
      <c r="C42" s="39">
        <v>10718.055001774117</v>
      </c>
      <c r="D42" s="39">
        <v>18237.211200000002</v>
      </c>
      <c r="E42" s="39">
        <v>29751.222032176735</v>
      </c>
      <c r="F42" s="39">
        <v>70438.858560000008</v>
      </c>
      <c r="G42" s="39">
        <v>74787.380615906281</v>
      </c>
      <c r="H42" s="40">
        <v>0.46313923203821683</v>
      </c>
      <c r="I42" s="40">
        <v>6.1734703611106889E-2</v>
      </c>
      <c r="J42" s="40">
        <v>0.17491259442551876</v>
      </c>
    </row>
    <row r="43" spans="1:10" ht="11.25" customHeight="1" x14ac:dyDescent="0.2">
      <c r="A43" s="49">
        <v>44593</v>
      </c>
      <c r="B43" s="39">
        <v>10010</v>
      </c>
      <c r="C43" s="39">
        <v>11386.938077664923</v>
      </c>
      <c r="D43" s="39">
        <v>22004.95635</v>
      </c>
      <c r="E43" s="39">
        <v>35897.722244791861</v>
      </c>
      <c r="F43" s="39">
        <v>84991.284629999995</v>
      </c>
      <c r="G43" s="39">
        <v>90238.196396160274</v>
      </c>
      <c r="H43" s="40">
        <v>0.4769553269266531</v>
      </c>
      <c r="I43" s="40">
        <v>6.1734703611106889E-2</v>
      </c>
      <c r="J43" s="40">
        <v>0.17534633680030787</v>
      </c>
    </row>
    <row r="44" spans="1:10" ht="11.25" customHeight="1" x14ac:dyDescent="0.2">
      <c r="A44" s="49">
        <v>44621</v>
      </c>
      <c r="B44" s="39">
        <v>9338</v>
      </c>
      <c r="C44" s="39">
        <v>10622.500276646859</v>
      </c>
      <c r="D44" s="39">
        <v>17005.610700000001</v>
      </c>
      <c r="E44" s="39">
        <v>27742.054099173918</v>
      </c>
      <c r="F44" s="39">
        <v>65681.961660000001</v>
      </c>
      <c r="G44" s="39">
        <v>69736.818095676193</v>
      </c>
      <c r="H44" s="40">
        <v>0.45631344209853419</v>
      </c>
      <c r="I44" s="40">
        <v>6.1734703611106889E-2</v>
      </c>
      <c r="J44" s="40">
        <v>0.17468840126969432</v>
      </c>
    </row>
    <row r="45" spans="1:10" ht="11.25" customHeight="1" x14ac:dyDescent="0.2">
      <c r="A45" s="49">
        <v>44652</v>
      </c>
      <c r="B45" s="39">
        <v>9716</v>
      </c>
      <c r="C45" s="39">
        <v>11052.496539719519</v>
      </c>
      <c r="D45" s="39">
        <v>22744.638150000002</v>
      </c>
      <c r="E45" s="39">
        <v>37104.400021543181</v>
      </c>
      <c r="F45" s="39">
        <v>87848.209470000002</v>
      </c>
      <c r="G45" s="39">
        <v>93271.492644396887</v>
      </c>
      <c r="H45" s="40">
        <v>0.48354743793792898</v>
      </c>
      <c r="I45" s="40">
        <v>6.1734703611106889E-2</v>
      </c>
      <c r="J45" s="40">
        <v>0.17554437602433404</v>
      </c>
    </row>
    <row r="46" spans="1:10" ht="11.25" customHeight="1" x14ac:dyDescent="0.2">
      <c r="A46" s="49">
        <v>44682</v>
      </c>
      <c r="B46" s="39">
        <v>9646</v>
      </c>
      <c r="C46" s="39">
        <v>10972.867602113472</v>
      </c>
      <c r="D46" s="39">
        <v>18931.65495</v>
      </c>
      <c r="E46" s="39">
        <v>30884.100846186819</v>
      </c>
      <c r="F46" s="39">
        <v>73121.057309999989</v>
      </c>
      <c r="G46" s="39">
        <v>77635.16411076361</v>
      </c>
      <c r="H46" s="40">
        <v>0.46467470901772834</v>
      </c>
      <c r="I46" s="40">
        <v>6.1734703611107111E-2</v>
      </c>
      <c r="J46" s="40">
        <v>0.17496210034177984</v>
      </c>
    </row>
    <row r="47" spans="1:10" ht="11.25" customHeight="1" x14ac:dyDescent="0.2">
      <c r="A47" s="49">
        <v>44713</v>
      </c>
      <c r="B47" s="39">
        <v>9842</v>
      </c>
      <c r="C47" s="39">
        <v>11195.828627410407</v>
      </c>
      <c r="D47" s="39">
        <v>22016.716800000002</v>
      </c>
      <c r="E47" s="39">
        <v>35916.907621070684</v>
      </c>
      <c r="F47" s="39">
        <v>85036.707840000003</v>
      </c>
      <c r="G47" s="39">
        <v>90286.423794566683</v>
      </c>
      <c r="H47" s="40">
        <v>0.47880206677003034</v>
      </c>
      <c r="I47" s="40">
        <v>6.1734703611106667E-2</v>
      </c>
      <c r="J47" s="40">
        <v>0.17540237751984411</v>
      </c>
    </row>
    <row r="48" spans="1:10" ht="11.25" customHeight="1" x14ac:dyDescent="0.2">
      <c r="A48" s="49">
        <v>44743</v>
      </c>
      <c r="B48" s="39">
        <v>9660</v>
      </c>
      <c r="C48" s="39">
        <v>10988.793389634682</v>
      </c>
      <c r="D48" s="39">
        <v>10801.576500000001</v>
      </c>
      <c r="E48" s="39">
        <v>17621.120752774004</v>
      </c>
      <c r="F48" s="39">
        <v>41719.685700000002</v>
      </c>
      <c r="G48" s="39">
        <v>44295.23813143804</v>
      </c>
      <c r="H48" s="40">
        <v>0.39822628732486387</v>
      </c>
      <c r="I48" s="40">
        <v>6.1734703611106889E-2</v>
      </c>
      <c r="J48" s="40">
        <v>0.17246176250579115</v>
      </c>
    </row>
    <row r="49" spans="1:10" ht="11.25" customHeight="1" x14ac:dyDescent="0.2">
      <c r="A49" s="49">
        <v>44774</v>
      </c>
      <c r="B49" s="39">
        <v>9576</v>
      </c>
      <c r="C49" s="39">
        <v>10893.238664507424</v>
      </c>
      <c r="D49" s="39">
        <v>21340.671300000002</v>
      </c>
      <c r="E49" s="39">
        <v>34814.04273927593</v>
      </c>
      <c r="F49" s="39">
        <v>82425.569940000001</v>
      </c>
      <c r="G49" s="39">
        <v>87514.088070222453</v>
      </c>
      <c r="H49" s="40">
        <v>0.47840241144535334</v>
      </c>
      <c r="I49" s="40">
        <v>6.1734703611106667E-2</v>
      </c>
      <c r="J49" s="40">
        <v>0.17539028712086369</v>
      </c>
    </row>
    <row r="50" spans="1:10" ht="11.25" customHeight="1" x14ac:dyDescent="0.2">
      <c r="A50" s="49">
        <v>44805</v>
      </c>
      <c r="B50" s="39">
        <v>10052</v>
      </c>
      <c r="C50" s="39">
        <v>11434.715440228552</v>
      </c>
      <c r="D50" s="39">
        <v>20865.707850000003</v>
      </c>
      <c r="E50" s="39">
        <v>34039.212481340517</v>
      </c>
      <c r="F50" s="39">
        <v>80591.085330000002</v>
      </c>
      <c r="G50" s="39">
        <v>85566.352096544986</v>
      </c>
      <c r="H50" s="40">
        <v>0.4708052790391144</v>
      </c>
      <c r="I50" s="40">
        <v>6.1734703611107111E-2</v>
      </c>
      <c r="J50" s="40">
        <v>0.17515647224865827</v>
      </c>
    </row>
    <row r="51" spans="1:10" ht="11.25" customHeight="1" x14ac:dyDescent="0.2">
      <c r="A51" s="49">
        <v>44835</v>
      </c>
      <c r="B51" s="39">
        <v>10052</v>
      </c>
      <c r="C51" s="39">
        <v>11434.715440228552</v>
      </c>
      <c r="D51" s="39">
        <v>20865.707850000003</v>
      </c>
      <c r="E51" s="39">
        <v>34039.212481340517</v>
      </c>
      <c r="F51" s="39">
        <v>80591.085330000002</v>
      </c>
      <c r="G51" s="39">
        <v>85566.352096544986</v>
      </c>
      <c r="H51" s="40">
        <v>0.4708052790391144</v>
      </c>
      <c r="I51" s="40">
        <v>6.1734703611107111E-2</v>
      </c>
      <c r="J51" s="40">
        <v>0.17515647224865827</v>
      </c>
    </row>
    <row r="52" spans="1:10" ht="11.25" customHeight="1" x14ac:dyDescent="0.2">
      <c r="A52" s="48" t="s">
        <v>34</v>
      </c>
      <c r="B52" s="39">
        <v>276210.24</v>
      </c>
      <c r="C52" s="39">
        <v>314840.3417076607</v>
      </c>
      <c r="D52" s="39">
        <v>23666.643000000004</v>
      </c>
      <c r="E52" s="39">
        <v>38608.509981463685</v>
      </c>
      <c r="F52" s="39">
        <v>145266.93719999999</v>
      </c>
      <c r="G52" s="39">
        <v>156428.7203077084</v>
      </c>
      <c r="H52" s="40">
        <v>0.17864654371882471</v>
      </c>
      <c r="I52" s="40">
        <v>7.6836362925041479E-2</v>
      </c>
      <c r="J52" s="40">
        <v>0.14542210597857652</v>
      </c>
    </row>
    <row r="53" spans="1:10" ht="11.25" customHeight="1" x14ac:dyDescent="0.2">
      <c r="A53" s="49">
        <v>44501</v>
      </c>
      <c r="B53" s="39">
        <v>21777.84</v>
      </c>
      <c r="C53" s="39">
        <v>24823.636470736066</v>
      </c>
      <c r="D53" s="39">
        <v>1684.34175</v>
      </c>
      <c r="E53" s="39">
        <v>2747.7460688899141</v>
      </c>
      <c r="F53" s="39">
        <v>10338.566699999999</v>
      </c>
      <c r="G53" s="39">
        <v>11132.944563085945</v>
      </c>
      <c r="H53" s="40">
        <v>0.17514146098650785</v>
      </c>
      <c r="I53" s="40">
        <v>7.6836362925041257E-2</v>
      </c>
      <c r="J53" s="40">
        <v>0.14507307907591405</v>
      </c>
    </row>
    <row r="54" spans="1:10" ht="11.25" customHeight="1" x14ac:dyDescent="0.2">
      <c r="A54" s="49">
        <v>44531</v>
      </c>
      <c r="B54" s="39">
        <v>21670.559999999998</v>
      </c>
      <c r="C54" s="39">
        <v>24701.352547234903</v>
      </c>
      <c r="D54" s="39">
        <v>1417.0260000000001</v>
      </c>
      <c r="E54" s="39">
        <v>2311.6612890553833</v>
      </c>
      <c r="F54" s="39">
        <v>8697.7704000000012</v>
      </c>
      <c r="G54" s="39">
        <v>9366.075443093081</v>
      </c>
      <c r="H54" s="40">
        <v>0.17002331193440012</v>
      </c>
      <c r="I54" s="40">
        <v>7.6836362925041035E-2</v>
      </c>
      <c r="J54" s="40">
        <v>0.14452356052183113</v>
      </c>
    </row>
    <row r="55" spans="1:10" ht="11.25" customHeight="1" x14ac:dyDescent="0.2">
      <c r="A55" s="49">
        <v>44562</v>
      </c>
      <c r="B55" s="39">
        <v>21563.279999999999</v>
      </c>
      <c r="C55" s="39">
        <v>24579.06862373374</v>
      </c>
      <c r="D55" s="39">
        <v>1844.6590500000002</v>
      </c>
      <c r="E55" s="39">
        <v>3009.2792350956711</v>
      </c>
      <c r="F55" s="39">
        <v>11322.601620000001</v>
      </c>
      <c r="G55" s="39">
        <v>12192.58914732998</v>
      </c>
      <c r="H55" s="40">
        <v>0.17858935807633225</v>
      </c>
      <c r="I55" s="40">
        <v>7.6836362925041035E-2</v>
      </c>
      <c r="J55" s="40">
        <v>0.14541657684361597</v>
      </c>
    </row>
    <row r="56" spans="1:10" ht="11.25" customHeight="1" x14ac:dyDescent="0.2">
      <c r="A56" s="49">
        <v>44593</v>
      </c>
      <c r="B56" s="39">
        <v>24638.639999999999</v>
      </c>
      <c r="C56" s="39">
        <v>28084.541097433743</v>
      </c>
      <c r="D56" s="39">
        <v>2230.3729500000004</v>
      </c>
      <c r="E56" s="39">
        <v>3638.5124963629869</v>
      </c>
      <c r="F56" s="39">
        <v>13690.13118</v>
      </c>
      <c r="G56" s="39">
        <v>14742.031067837903</v>
      </c>
      <c r="H56" s="40">
        <v>0.18065571120269719</v>
      </c>
      <c r="I56" s="40">
        <v>7.6836362925041257E-2</v>
      </c>
      <c r="J56" s="40">
        <v>0.14561304628877125</v>
      </c>
    </row>
    <row r="57" spans="1:10" ht="11.25" customHeight="1" x14ac:dyDescent="0.2">
      <c r="A57" s="49">
        <v>44621</v>
      </c>
      <c r="B57" s="39">
        <v>22135.439999999999</v>
      </c>
      <c r="C57" s="39">
        <v>25231.249549073276</v>
      </c>
      <c r="D57" s="39">
        <v>1698.6996000000001</v>
      </c>
      <c r="E57" s="39">
        <v>2771.1687061873699</v>
      </c>
      <c r="F57" s="39">
        <v>10426.69584</v>
      </c>
      <c r="G57" s="39">
        <v>11227.845225671257</v>
      </c>
      <c r="H57" s="40">
        <v>0.17488689439666816</v>
      </c>
      <c r="I57" s="40">
        <v>7.6836362925041257E-2</v>
      </c>
      <c r="J57" s="40">
        <v>0.14504690201249537</v>
      </c>
    </row>
    <row r="58" spans="1:10" ht="11.25" customHeight="1" x14ac:dyDescent="0.2">
      <c r="A58" s="49">
        <v>44652</v>
      </c>
      <c r="B58" s="39">
        <v>23172.48</v>
      </c>
      <c r="C58" s="39">
        <v>26413.327476251183</v>
      </c>
      <c r="D58" s="39">
        <v>2371.1376</v>
      </c>
      <c r="E58" s="39">
        <v>3868.1485032340174</v>
      </c>
      <c r="F58" s="39">
        <v>14554.151039999999</v>
      </c>
      <c r="G58" s="39">
        <v>15672.439071375306</v>
      </c>
      <c r="H58" s="40">
        <v>0.18548110348650071</v>
      </c>
      <c r="I58" s="40">
        <v>7.6836362925041257E-2</v>
      </c>
      <c r="J58" s="40">
        <v>0.14604669061356823</v>
      </c>
    </row>
    <row r="59" spans="1:10" ht="11.25" customHeight="1" x14ac:dyDescent="0.2">
      <c r="A59" s="49">
        <v>44682</v>
      </c>
      <c r="B59" s="39">
        <v>23351.279999999999</v>
      </c>
      <c r="C59" s="39">
        <v>26617.13401541979</v>
      </c>
      <c r="D59" s="39">
        <v>1751.0083500000001</v>
      </c>
      <c r="E59" s="39">
        <v>2856.5024350348822</v>
      </c>
      <c r="F59" s="39">
        <v>10747.769339999999</v>
      </c>
      <c r="G59" s="39">
        <v>11573.588845642869</v>
      </c>
      <c r="H59" s="40">
        <v>0.17414141848365294</v>
      </c>
      <c r="I59" s="40">
        <v>7.6836362925041257E-2</v>
      </c>
      <c r="J59" s="40">
        <v>0.14496957441569869</v>
      </c>
    </row>
    <row r="60" spans="1:10" ht="11.25" customHeight="1" x14ac:dyDescent="0.2">
      <c r="A60" s="49">
        <v>44713</v>
      </c>
      <c r="B60" s="39">
        <v>24209.52</v>
      </c>
      <c r="C60" s="39">
        <v>27595.405403429093</v>
      </c>
      <c r="D60" s="39">
        <v>2318.0352000000003</v>
      </c>
      <c r="E60" s="39">
        <v>3781.5200557419221</v>
      </c>
      <c r="F60" s="39">
        <v>14228.20608</v>
      </c>
      <c r="G60" s="39">
        <v>15321.449686135158</v>
      </c>
      <c r="H60" s="40">
        <v>0.18280502001070231</v>
      </c>
      <c r="I60" s="40">
        <v>7.6836362925041257E-2</v>
      </c>
      <c r="J60" s="40">
        <v>0.14581040026413072</v>
      </c>
    </row>
    <row r="61" spans="1:10" ht="11.25" customHeight="1" x14ac:dyDescent="0.2">
      <c r="A61" s="49">
        <v>44743</v>
      </c>
      <c r="B61" s="39">
        <v>23387.039999999997</v>
      </c>
      <c r="C61" s="39">
        <v>26657.89532325351</v>
      </c>
      <c r="D61" s="39">
        <v>1282.6105500000001</v>
      </c>
      <c r="E61" s="39">
        <v>2092.3830313410158</v>
      </c>
      <c r="F61" s="39">
        <v>7872.7222200000006</v>
      </c>
      <c r="G61" s="39">
        <v>8477.6335617039567</v>
      </c>
      <c r="H61" s="40">
        <v>0.16541084748338797</v>
      </c>
      <c r="I61" s="40">
        <v>7.6836362925041257E-2</v>
      </c>
      <c r="J61" s="40">
        <v>0.14398271384248784</v>
      </c>
    </row>
    <row r="62" spans="1:10" ht="11.25" customHeight="1" x14ac:dyDescent="0.2">
      <c r="A62" s="49">
        <v>44774</v>
      </c>
      <c r="B62" s="39">
        <v>23244</v>
      </c>
      <c r="C62" s="39">
        <v>26494.850091918626</v>
      </c>
      <c r="D62" s="39">
        <v>2203.3888500000003</v>
      </c>
      <c r="E62" s="39">
        <v>3594.4920624471665</v>
      </c>
      <c r="F62" s="39">
        <v>13524.501540000001</v>
      </c>
      <c r="G62" s="39">
        <v>14563.675048707719</v>
      </c>
      <c r="H62" s="40">
        <v>0.18241373728864096</v>
      </c>
      <c r="I62" s="40">
        <v>7.6836362925041035E-2</v>
      </c>
      <c r="J62" s="40">
        <v>0.14577498695139668</v>
      </c>
    </row>
    <row r="63" spans="1:10" ht="11.25" customHeight="1" x14ac:dyDescent="0.2">
      <c r="A63" s="49">
        <v>44805</v>
      </c>
      <c r="B63" s="39">
        <v>23530.079999999998</v>
      </c>
      <c r="C63" s="39">
        <v>26820.940554588393</v>
      </c>
      <c r="D63" s="39">
        <v>2432.6815500000002</v>
      </c>
      <c r="E63" s="39">
        <v>3968.5480490366776</v>
      </c>
      <c r="F63" s="39">
        <v>14931.910620000001</v>
      </c>
      <c r="G63" s="39">
        <v>16079.224323562597</v>
      </c>
      <c r="H63" s="40">
        <v>0.1859096169076464</v>
      </c>
      <c r="I63" s="40">
        <v>7.6836362925041257E-2</v>
      </c>
      <c r="J63" s="40">
        <v>0.14608359573964691</v>
      </c>
    </row>
    <row r="64" spans="1:10" ht="11.25" customHeight="1" x14ac:dyDescent="0.2">
      <c r="A64" s="49">
        <v>44835</v>
      </c>
      <c r="B64" s="39">
        <v>23530.079999999998</v>
      </c>
      <c r="C64" s="39">
        <v>26820.940554588393</v>
      </c>
      <c r="D64" s="39">
        <v>2432.6815500000002</v>
      </c>
      <c r="E64" s="39">
        <v>3968.5480490366776</v>
      </c>
      <c r="F64" s="39">
        <v>14931.910620000001</v>
      </c>
      <c r="G64" s="39">
        <v>16079.224323562597</v>
      </c>
      <c r="H64" s="40">
        <v>0.1859096169076464</v>
      </c>
      <c r="I64" s="40">
        <v>7.6836362925041257E-2</v>
      </c>
      <c r="J64" s="40">
        <v>0.14608359573964691</v>
      </c>
    </row>
    <row r="65" spans="1:10" ht="11.25" customHeight="1" x14ac:dyDescent="0.2">
      <c r="A65" s="44" t="s">
        <v>50</v>
      </c>
      <c r="B65" s="39">
        <v>106585.92000000004</v>
      </c>
      <c r="C65" s="39">
        <v>121423.75825026148</v>
      </c>
      <c r="D65" s="39">
        <v>88237.766019000046</v>
      </c>
      <c r="E65" s="39">
        <v>143946.42578107159</v>
      </c>
      <c r="F65" s="39">
        <v>359654.426997</v>
      </c>
      <c r="G65" s="39">
        <v>382625.29903662571</v>
      </c>
      <c r="H65" s="40">
        <v>0.36210431828834722</v>
      </c>
      <c r="I65" s="40">
        <v>6.3869287614294556E-2</v>
      </c>
      <c r="J65" s="40">
        <v>0.16865836154160396</v>
      </c>
    </row>
    <row r="66" spans="1:10" ht="11.25" customHeight="1" x14ac:dyDescent="0.2">
      <c r="A66" s="45" t="s">
        <v>51</v>
      </c>
      <c r="B66" s="39">
        <v>106585.92000000004</v>
      </c>
      <c r="C66" s="39">
        <v>121423.75825026148</v>
      </c>
      <c r="D66" s="39">
        <v>88237.766019000046</v>
      </c>
      <c r="E66" s="39">
        <v>143946.42578107159</v>
      </c>
      <c r="F66" s="39">
        <v>359654.426997</v>
      </c>
      <c r="G66" s="39">
        <v>382625.29903662571</v>
      </c>
      <c r="H66" s="40">
        <v>0.36210431828834722</v>
      </c>
      <c r="I66" s="40">
        <v>6.3869287614294556E-2</v>
      </c>
      <c r="J66" s="40">
        <v>0.16865836154160396</v>
      </c>
    </row>
    <row r="67" spans="1:10" ht="11.25" customHeight="1" x14ac:dyDescent="0.2">
      <c r="A67" s="46" t="s">
        <v>25</v>
      </c>
      <c r="B67" s="39">
        <v>106585.92000000004</v>
      </c>
      <c r="C67" s="39">
        <v>121423.75825026148</v>
      </c>
      <c r="D67" s="39">
        <v>88237.766019000046</v>
      </c>
      <c r="E67" s="39">
        <v>143946.42578107159</v>
      </c>
      <c r="F67" s="39">
        <v>359654.426997</v>
      </c>
      <c r="G67" s="39">
        <v>382625.29903662571</v>
      </c>
      <c r="H67" s="40">
        <v>0.36210431828834722</v>
      </c>
      <c r="I67" s="40">
        <v>6.3869287614294556E-2</v>
      </c>
      <c r="J67" s="40">
        <v>0.16865836154160396</v>
      </c>
    </row>
    <row r="68" spans="1:10" ht="11.25" customHeight="1" x14ac:dyDescent="0.2">
      <c r="A68" s="47" t="s">
        <v>25</v>
      </c>
      <c r="B68" s="39">
        <v>106585.92000000004</v>
      </c>
      <c r="C68" s="39">
        <v>121423.75825026148</v>
      </c>
      <c r="D68" s="39">
        <v>88237.766019000046</v>
      </c>
      <c r="E68" s="39">
        <v>143946.42578107159</v>
      </c>
      <c r="F68" s="39">
        <v>359654.426997</v>
      </c>
      <c r="G68" s="39">
        <v>382625.29903662571</v>
      </c>
      <c r="H68" s="40">
        <v>0.36210431828834722</v>
      </c>
      <c r="I68" s="40">
        <v>6.3869287614294556E-2</v>
      </c>
      <c r="J68" s="40">
        <v>0.16865836154160396</v>
      </c>
    </row>
    <row r="69" spans="1:10" ht="11.25" customHeight="1" x14ac:dyDescent="0.2">
      <c r="A69" s="48" t="s">
        <v>35</v>
      </c>
      <c r="B69" s="39">
        <v>29988</v>
      </c>
      <c r="C69" s="39">
        <v>34113.03687043114</v>
      </c>
      <c r="D69" s="39">
        <v>79955.601141000021</v>
      </c>
      <c r="E69" s="39">
        <v>130435.33993081431</v>
      </c>
      <c r="F69" s="39">
        <v>308818.12016579998</v>
      </c>
      <c r="G69" s="39">
        <v>327882.9152839749</v>
      </c>
      <c r="H69" s="40">
        <v>0.49666169830307916</v>
      </c>
      <c r="I69" s="40">
        <v>6.1734703611107111E-2</v>
      </c>
      <c r="J69" s="40">
        <v>0.17592240892630984</v>
      </c>
    </row>
    <row r="70" spans="1:10" ht="11.25" customHeight="1" x14ac:dyDescent="0.2">
      <c r="A70" s="49">
        <v>44501</v>
      </c>
      <c r="B70" s="39">
        <v>2499</v>
      </c>
      <c r="C70" s="39">
        <v>2842.7530725359284</v>
      </c>
      <c r="D70" s="39">
        <v>6584.5374270000002</v>
      </c>
      <c r="E70" s="39">
        <v>10741.666191257067</v>
      </c>
      <c r="F70" s="39">
        <v>25431.920232600001</v>
      </c>
      <c r="G70" s="39">
        <v>27001.952290420875</v>
      </c>
      <c r="H70" s="40">
        <v>0.49549879361035365</v>
      </c>
      <c r="I70" s="40">
        <v>6.1734703611106889E-2</v>
      </c>
      <c r="J70" s="40">
        <v>0.17588971163258882</v>
      </c>
    </row>
    <row r="71" spans="1:10" ht="11.25" customHeight="1" x14ac:dyDescent="0.2">
      <c r="A71" s="49">
        <v>44531</v>
      </c>
      <c r="B71" s="39">
        <v>2499</v>
      </c>
      <c r="C71" s="39">
        <v>2842.7530725359284</v>
      </c>
      <c r="D71" s="39">
        <v>6352.3861440000001</v>
      </c>
      <c r="E71" s="39">
        <v>10362.946863513156</v>
      </c>
      <c r="F71" s="39">
        <v>24535.266067199998</v>
      </c>
      <c r="G71" s="39">
        <v>26049.943445878238</v>
      </c>
      <c r="H71" s="40">
        <v>0.49193580770405099</v>
      </c>
      <c r="I71" s="40">
        <v>6.1734703611106889E-2</v>
      </c>
      <c r="J71" s="40">
        <v>0.17578854967550472</v>
      </c>
    </row>
    <row r="72" spans="1:10" ht="11.25" customHeight="1" x14ac:dyDescent="0.2">
      <c r="A72" s="49">
        <v>44562</v>
      </c>
      <c r="B72" s="39">
        <v>2499</v>
      </c>
      <c r="C72" s="39">
        <v>2842.7530725359284</v>
      </c>
      <c r="D72" s="39">
        <v>7191.8066610000005</v>
      </c>
      <c r="E72" s="39">
        <v>11732.33310934616</v>
      </c>
      <c r="F72" s="39">
        <v>27777.4187418</v>
      </c>
      <c r="G72" s="39">
        <v>29492.249454906629</v>
      </c>
      <c r="H72" s="40">
        <v>0.50401165679411841</v>
      </c>
      <c r="I72" s="40">
        <v>6.1734703611106889E-2</v>
      </c>
      <c r="J72" s="40">
        <v>0.1761255080283457</v>
      </c>
    </row>
    <row r="73" spans="1:10" ht="11.25" customHeight="1" x14ac:dyDescent="0.2">
      <c r="A73" s="49">
        <v>44593</v>
      </c>
      <c r="B73" s="39">
        <v>2499</v>
      </c>
      <c r="C73" s="39">
        <v>2842.7530725359284</v>
      </c>
      <c r="D73" s="39">
        <v>7020.6264570000012</v>
      </c>
      <c r="E73" s="39">
        <v>11453.078775946911</v>
      </c>
      <c r="F73" s="39">
        <v>27116.257446600004</v>
      </c>
      <c r="G73" s="39">
        <v>28790.271563108323</v>
      </c>
      <c r="H73" s="40">
        <v>0.50172193342426619</v>
      </c>
      <c r="I73" s="40">
        <v>6.1734703611106889E-2</v>
      </c>
      <c r="J73" s="40">
        <v>0.17606288754936594</v>
      </c>
    </row>
    <row r="74" spans="1:10" ht="11.25" customHeight="1" x14ac:dyDescent="0.2">
      <c r="A74" s="49">
        <v>44621</v>
      </c>
      <c r="B74" s="39">
        <v>2499</v>
      </c>
      <c r="C74" s="39">
        <v>2842.7530725359284</v>
      </c>
      <c r="D74" s="39">
        <v>6234.1063199999999</v>
      </c>
      <c r="E74" s="39">
        <v>10169.99141286011</v>
      </c>
      <c r="F74" s="39">
        <v>24078.425616</v>
      </c>
      <c r="G74" s="39">
        <v>25564.900084825844</v>
      </c>
      <c r="H74" s="40">
        <v>0.49004764268071344</v>
      </c>
      <c r="I74" s="40">
        <v>6.1734703611106889E-2</v>
      </c>
      <c r="J74" s="40">
        <v>0.17573433162062901</v>
      </c>
    </row>
    <row r="75" spans="1:10" ht="11.25" customHeight="1" x14ac:dyDescent="0.2">
      <c r="A75" s="49">
        <v>44652</v>
      </c>
      <c r="B75" s="39">
        <v>2499</v>
      </c>
      <c r="C75" s="39">
        <v>2842.7530725359284</v>
      </c>
      <c r="D75" s="39">
        <v>6720.6541740000002</v>
      </c>
      <c r="E75" s="39">
        <v>10963.719854938639</v>
      </c>
      <c r="F75" s="39">
        <v>25957.653481199999</v>
      </c>
      <c r="G75" s="39">
        <v>27560.1415253017</v>
      </c>
      <c r="H75" s="40">
        <v>0.49750442553579544</v>
      </c>
      <c r="I75" s="40">
        <v>6.1734703611106889E-2</v>
      </c>
      <c r="J75" s="40">
        <v>0.17594600639259972</v>
      </c>
    </row>
    <row r="76" spans="1:10" ht="11.25" customHeight="1" x14ac:dyDescent="0.2">
      <c r="A76" s="49">
        <v>44682</v>
      </c>
      <c r="B76" s="39">
        <v>2499</v>
      </c>
      <c r="C76" s="39">
        <v>2842.7530725359284</v>
      </c>
      <c r="D76" s="39">
        <v>6824.8272300000008</v>
      </c>
      <c r="E76" s="39">
        <v>11133.662270192701</v>
      </c>
      <c r="F76" s="39">
        <v>26360.008374000005</v>
      </c>
      <c r="G76" s="39">
        <v>27987.335678155188</v>
      </c>
      <c r="H76" s="40">
        <v>0.49899982034830437</v>
      </c>
      <c r="I76" s="40">
        <v>6.1734703611106889E-2</v>
      </c>
      <c r="J76" s="40">
        <v>0.17598767931157777</v>
      </c>
    </row>
    <row r="77" spans="1:10" ht="11.25" customHeight="1" x14ac:dyDescent="0.2">
      <c r="A77" s="49">
        <v>44713</v>
      </c>
      <c r="B77" s="39">
        <v>2499</v>
      </c>
      <c r="C77" s="39">
        <v>2842.7530725359284</v>
      </c>
      <c r="D77" s="39">
        <v>6708.7854990000014</v>
      </c>
      <c r="E77" s="39">
        <v>10944.357926117378</v>
      </c>
      <c r="F77" s="39">
        <v>25911.812266200002</v>
      </c>
      <c r="G77" s="39">
        <v>27511.470316480503</v>
      </c>
      <c r="H77" s="40">
        <v>0.49733190463120969</v>
      </c>
      <c r="I77" s="40">
        <v>6.1734703611106889E-2</v>
      </c>
      <c r="J77" s="40">
        <v>0.17594118222095823</v>
      </c>
    </row>
    <row r="78" spans="1:10" ht="11.25" customHeight="1" x14ac:dyDescent="0.2">
      <c r="A78" s="49">
        <v>44743</v>
      </c>
      <c r="B78" s="39">
        <v>2499</v>
      </c>
      <c r="C78" s="39">
        <v>2842.7530725359284</v>
      </c>
      <c r="D78" s="39">
        <v>6369.9517830000004</v>
      </c>
      <c r="E78" s="39">
        <v>10391.602518168627</v>
      </c>
      <c r="F78" s="39">
        <v>24603.111065400004</v>
      </c>
      <c r="G78" s="39">
        <v>26121.976834933615</v>
      </c>
      <c r="H78" s="40">
        <v>0.49221192250386991</v>
      </c>
      <c r="I78" s="40">
        <v>6.1734703611106889E-2</v>
      </c>
      <c r="J78" s="40">
        <v>0.17579644265992544</v>
      </c>
    </row>
    <row r="79" spans="1:10" ht="11.25" customHeight="1" x14ac:dyDescent="0.2">
      <c r="A79" s="49">
        <v>44774</v>
      </c>
      <c r="B79" s="39">
        <v>2499</v>
      </c>
      <c r="C79" s="39">
        <v>2842.7530725359284</v>
      </c>
      <c r="D79" s="39">
        <v>6682.5387720000008</v>
      </c>
      <c r="E79" s="39">
        <v>10901.54040352407</v>
      </c>
      <c r="F79" s="39">
        <v>25810.437693600001</v>
      </c>
      <c r="G79" s="39">
        <v>27403.837414687339</v>
      </c>
      <c r="H79" s="40">
        <v>0.49694880317606072</v>
      </c>
      <c r="I79" s="40">
        <v>6.1734703611106889E-2</v>
      </c>
      <c r="J79" s="40">
        <v>0.17593045740640978</v>
      </c>
    </row>
    <row r="80" spans="1:10" ht="11.25" customHeight="1" x14ac:dyDescent="0.2">
      <c r="A80" s="49">
        <v>44805</v>
      </c>
      <c r="B80" s="39">
        <v>2499</v>
      </c>
      <c r="C80" s="39">
        <v>2842.7530725359284</v>
      </c>
      <c r="D80" s="39">
        <v>6632.6903370000009</v>
      </c>
      <c r="E80" s="39">
        <v>10820.220302474763</v>
      </c>
      <c r="F80" s="39">
        <v>25617.904590600003</v>
      </c>
      <c r="G80" s="39">
        <v>27199.418337638308</v>
      </c>
      <c r="H80" s="40">
        <v>0.49621514427079627</v>
      </c>
      <c r="I80" s="40">
        <v>6.1734703611106889E-2</v>
      </c>
      <c r="J80" s="40">
        <v>0.17590987169159433</v>
      </c>
    </row>
    <row r="81" spans="1:10" ht="11.25" customHeight="1" x14ac:dyDescent="0.2">
      <c r="A81" s="49">
        <v>44835</v>
      </c>
      <c r="B81" s="39">
        <v>2499</v>
      </c>
      <c r="C81" s="39">
        <v>2842.7530725359284</v>
      </c>
      <c r="D81" s="39">
        <v>6632.6903370000009</v>
      </c>
      <c r="E81" s="39">
        <v>10820.220302474763</v>
      </c>
      <c r="F81" s="39">
        <v>25617.904590600003</v>
      </c>
      <c r="G81" s="39">
        <v>27199.418337638308</v>
      </c>
      <c r="H81" s="40">
        <v>0.49621514427079627</v>
      </c>
      <c r="I81" s="40">
        <v>6.1734703611106889E-2</v>
      </c>
      <c r="J81" s="40">
        <v>0.17590987169159433</v>
      </c>
    </row>
    <row r="82" spans="1:10" ht="11.25" customHeight="1" x14ac:dyDescent="0.2">
      <c r="A82" s="48" t="s">
        <v>34</v>
      </c>
      <c r="B82" s="39">
        <v>76597.920000000013</v>
      </c>
      <c r="C82" s="39">
        <v>87310.721379830298</v>
      </c>
      <c r="D82" s="39">
        <v>8282.1648780000014</v>
      </c>
      <c r="E82" s="39">
        <v>13511.085850257299</v>
      </c>
      <c r="F82" s="39">
        <v>50836.306831200003</v>
      </c>
      <c r="G82" s="39">
        <v>54742.383752650843</v>
      </c>
      <c r="H82" s="40">
        <v>0.18781463726150793</v>
      </c>
      <c r="I82" s="40">
        <v>7.6836362925041257E-2</v>
      </c>
      <c r="J82" s="40">
        <v>0.14624467261159113</v>
      </c>
    </row>
    <row r="83" spans="1:10" ht="11.25" customHeight="1" x14ac:dyDescent="0.2">
      <c r="A83" s="49">
        <v>44501</v>
      </c>
      <c r="B83" s="39">
        <v>6383.16</v>
      </c>
      <c r="C83" s="39">
        <v>7275.8934483191915</v>
      </c>
      <c r="D83" s="39">
        <v>581.90418</v>
      </c>
      <c r="E83" s="39">
        <v>949.28771020822171</v>
      </c>
      <c r="F83" s="39">
        <v>3571.7544719999996</v>
      </c>
      <c r="G83" s="39">
        <v>3846.1950948897306</v>
      </c>
      <c r="H83" s="40">
        <v>0.1809196506969466</v>
      </c>
      <c r="I83" s="40">
        <v>7.6836362925041257E-2</v>
      </c>
      <c r="J83" s="40">
        <v>0.14563765896510628</v>
      </c>
    </row>
    <row r="84" spans="1:10" ht="11.25" customHeight="1" x14ac:dyDescent="0.2">
      <c r="A84" s="49">
        <v>44531</v>
      </c>
      <c r="B84" s="39">
        <v>6383.16</v>
      </c>
      <c r="C84" s="39">
        <v>7275.8934483191915</v>
      </c>
      <c r="D84" s="39">
        <v>591.19565699999998</v>
      </c>
      <c r="E84" s="39">
        <v>964.44533448543928</v>
      </c>
      <c r="F84" s="39">
        <v>3628.7859828000001</v>
      </c>
      <c r="G84" s="39">
        <v>3907.608699551723</v>
      </c>
      <c r="H84" s="40">
        <v>0.18151972570168429</v>
      </c>
      <c r="I84" s="40">
        <v>7.6836362925041257E-2</v>
      </c>
      <c r="J84" s="40">
        <v>0.14569321952257663</v>
      </c>
    </row>
    <row r="85" spans="1:10" ht="11.25" customHeight="1" x14ac:dyDescent="0.2">
      <c r="A85" s="49">
        <v>44562</v>
      </c>
      <c r="B85" s="39">
        <v>6383.16</v>
      </c>
      <c r="C85" s="39">
        <v>7275.8934483191915</v>
      </c>
      <c r="D85" s="39">
        <v>756.00068700000008</v>
      </c>
      <c r="E85" s="39">
        <v>1233.2995461178377</v>
      </c>
      <c r="F85" s="39">
        <v>4640.3667948000002</v>
      </c>
      <c r="G85" s="39">
        <v>4996.9157019505628</v>
      </c>
      <c r="H85" s="40">
        <v>0.19190383400835609</v>
      </c>
      <c r="I85" s="40">
        <v>7.6836362925041035E-2</v>
      </c>
      <c r="J85" s="40">
        <v>0.14657474310877516</v>
      </c>
    </row>
    <row r="86" spans="1:10" ht="11.25" customHeight="1" x14ac:dyDescent="0.2">
      <c r="A86" s="49">
        <v>44593</v>
      </c>
      <c r="B86" s="39">
        <v>6383.16</v>
      </c>
      <c r="C86" s="39">
        <v>7275.8934483191915</v>
      </c>
      <c r="D86" s="39">
        <v>662.00078100000007</v>
      </c>
      <c r="E86" s="39">
        <v>1079.9530698534327</v>
      </c>
      <c r="F86" s="39">
        <v>4063.3910724000002</v>
      </c>
      <c r="G86" s="39">
        <v>4375.6072635452992</v>
      </c>
      <c r="H86" s="40">
        <v>0.18604057138162067</v>
      </c>
      <c r="I86" s="40">
        <v>7.6836362925041257E-2</v>
      </c>
      <c r="J86" s="40">
        <v>0.14609482403606</v>
      </c>
    </row>
    <row r="87" spans="1:10" ht="11.25" customHeight="1" x14ac:dyDescent="0.2">
      <c r="A87" s="49">
        <v>44621</v>
      </c>
      <c r="B87" s="39">
        <v>6383.16</v>
      </c>
      <c r="C87" s="39">
        <v>7275.8934483191915</v>
      </c>
      <c r="D87" s="39">
        <v>710.69625900000005</v>
      </c>
      <c r="E87" s="39">
        <v>1159.3922978172443</v>
      </c>
      <c r="F87" s="39">
        <v>4362.2861436000003</v>
      </c>
      <c r="G87" s="39">
        <v>4697.4683449125287</v>
      </c>
      <c r="H87" s="40">
        <v>0.18909735948406903</v>
      </c>
      <c r="I87" s="40">
        <v>7.6836362925041257E-2</v>
      </c>
      <c r="J87" s="40">
        <v>0.14635045807989044</v>
      </c>
    </row>
    <row r="88" spans="1:10" ht="11.25" customHeight="1" x14ac:dyDescent="0.2">
      <c r="A88" s="49">
        <v>44652</v>
      </c>
      <c r="B88" s="39">
        <v>6383.16</v>
      </c>
      <c r="C88" s="39">
        <v>7275.8934483191915</v>
      </c>
      <c r="D88" s="39">
        <v>664.3066950000001</v>
      </c>
      <c r="E88" s="39">
        <v>1083.714816024421</v>
      </c>
      <c r="F88" s="39">
        <v>4077.5448780000002</v>
      </c>
      <c r="G88" s="39">
        <v>4390.8485960891512</v>
      </c>
      <c r="H88" s="40">
        <v>0.18618627460482284</v>
      </c>
      <c r="I88" s="40">
        <v>7.6836362925041257E-2</v>
      </c>
      <c r="J88" s="40">
        <v>0.14610728957600916</v>
      </c>
    </row>
    <row r="89" spans="1:10" ht="11.25" customHeight="1" x14ac:dyDescent="0.2">
      <c r="A89" s="49">
        <v>44682</v>
      </c>
      <c r="B89" s="39">
        <v>6383.16</v>
      </c>
      <c r="C89" s="39">
        <v>7275.8934483191915</v>
      </c>
      <c r="D89" s="39">
        <v>690.41778000000011</v>
      </c>
      <c r="E89" s="39">
        <v>1126.3110594312002</v>
      </c>
      <c r="F89" s="39">
        <v>4237.815912</v>
      </c>
      <c r="G89" s="39">
        <v>4563.4342734239472</v>
      </c>
      <c r="H89" s="40">
        <v>0.18782952122290686</v>
      </c>
      <c r="I89" s="40">
        <v>7.6836362925041257E-2</v>
      </c>
      <c r="J89" s="40">
        <v>0.14624591223841032</v>
      </c>
    </row>
    <row r="90" spans="1:10" ht="11.25" customHeight="1" x14ac:dyDescent="0.2">
      <c r="A90" s="49">
        <v>44713</v>
      </c>
      <c r="B90" s="39">
        <v>6383.16</v>
      </c>
      <c r="C90" s="39">
        <v>7275.8934483191915</v>
      </c>
      <c r="D90" s="39">
        <v>740.19839400000001</v>
      </c>
      <c r="E90" s="39">
        <v>1207.5205208872414</v>
      </c>
      <c r="F90" s="39">
        <v>4543.3715976000003</v>
      </c>
      <c r="G90" s="39">
        <v>4892.467746576518</v>
      </c>
      <c r="H90" s="40">
        <v>0.190928983209943</v>
      </c>
      <c r="I90" s="40">
        <v>7.6836362925041257E-2</v>
      </c>
      <c r="J90" s="40">
        <v>0.14649792404671502</v>
      </c>
    </row>
    <row r="91" spans="1:10" ht="11.25" customHeight="1" x14ac:dyDescent="0.2">
      <c r="A91" s="49">
        <v>44743</v>
      </c>
      <c r="B91" s="39">
        <v>6383.16</v>
      </c>
      <c r="C91" s="39">
        <v>7275.8934483191915</v>
      </c>
      <c r="D91" s="39">
        <v>729.88960200000008</v>
      </c>
      <c r="E91" s="39">
        <v>1190.7033027110585</v>
      </c>
      <c r="F91" s="39">
        <v>4480.0957607999999</v>
      </c>
      <c r="G91" s="39">
        <v>4824.3300246157669</v>
      </c>
      <c r="H91" s="40">
        <v>0.19029069453552938</v>
      </c>
      <c r="I91" s="40">
        <v>7.6836362925041035E-2</v>
      </c>
      <c r="J91" s="40">
        <v>0.14644700464930316</v>
      </c>
    </row>
    <row r="92" spans="1:10" ht="11.25" customHeight="1" x14ac:dyDescent="0.2">
      <c r="A92" s="49">
        <v>44774</v>
      </c>
      <c r="B92" s="39">
        <v>6383.16</v>
      </c>
      <c r="C92" s="39">
        <v>7275.8934483191915</v>
      </c>
      <c r="D92" s="39">
        <v>688.99353900000006</v>
      </c>
      <c r="E92" s="39">
        <v>1123.9876279726486</v>
      </c>
      <c r="F92" s="39">
        <v>4229.0738555999997</v>
      </c>
      <c r="G92" s="39">
        <v>4554.0205092056849</v>
      </c>
      <c r="H92" s="40">
        <v>0.18774020246732093</v>
      </c>
      <c r="I92" s="40">
        <v>7.6836362925041257E-2</v>
      </c>
      <c r="J92" s="40">
        <v>0.1462384689018128</v>
      </c>
    </row>
    <row r="93" spans="1:10" ht="11.25" customHeight="1" x14ac:dyDescent="0.2">
      <c r="A93" s="49">
        <v>44805</v>
      </c>
      <c r="B93" s="39">
        <v>6383.16</v>
      </c>
      <c r="C93" s="39">
        <v>7275.8934483191915</v>
      </c>
      <c r="D93" s="39">
        <v>733.28065200000003</v>
      </c>
      <c r="E93" s="39">
        <v>1196.2352823742767</v>
      </c>
      <c r="F93" s="39">
        <v>4500.9101808000005</v>
      </c>
      <c r="G93" s="39">
        <v>4846.7437489449621</v>
      </c>
      <c r="H93" s="40">
        <v>0.19050086201624783</v>
      </c>
      <c r="I93" s="40">
        <v>7.6836362925041257E-2</v>
      </c>
      <c r="J93" s="40">
        <v>0.14646382564555216</v>
      </c>
    </row>
    <row r="94" spans="1:10" ht="11.25" customHeight="1" x14ac:dyDescent="0.2">
      <c r="A94" s="49">
        <v>44835</v>
      </c>
      <c r="B94" s="39">
        <v>6383.16</v>
      </c>
      <c r="C94" s="39">
        <v>7275.8934483191915</v>
      </c>
      <c r="D94" s="39">
        <v>733.28065200000003</v>
      </c>
      <c r="E94" s="39">
        <v>1196.2352823742767</v>
      </c>
      <c r="F94" s="39">
        <v>4500.9101808000005</v>
      </c>
      <c r="G94" s="39">
        <v>4846.7437489449621</v>
      </c>
      <c r="H94" s="40">
        <v>0.19050086201624783</v>
      </c>
      <c r="I94" s="40">
        <v>7.6836362925041257E-2</v>
      </c>
      <c r="J94" s="40">
        <v>0.14646382564555216</v>
      </c>
    </row>
    <row r="95" spans="1:10" ht="11.25" customHeight="1" x14ac:dyDescent="0.2">
      <c r="A95" s="43" t="s">
        <v>41</v>
      </c>
      <c r="B95" s="39">
        <v>3184762.28</v>
      </c>
      <c r="C95" s="39">
        <v>3622846.241203093</v>
      </c>
      <c r="D95" s="39">
        <v>7417561.0491379974</v>
      </c>
      <c r="E95" s="39">
        <v>10378079.627431056</v>
      </c>
      <c r="F95" s="39">
        <v>15746857.9757472</v>
      </c>
      <c r="G95" s="39">
        <v>16746040.885954106</v>
      </c>
      <c r="H95" s="40">
        <v>0.32055262172168364</v>
      </c>
      <c r="I95" s="40">
        <v>6.345284321137834E-2</v>
      </c>
      <c r="J95" s="40">
        <v>0.16690406425977722</v>
      </c>
    </row>
    <row r="96" spans="1:10" ht="11.25" customHeight="1" x14ac:dyDescent="0.2">
      <c r="A96" s="44" t="s">
        <v>42</v>
      </c>
      <c r="B96" s="39">
        <v>1185562</v>
      </c>
      <c r="C96" s="39">
        <v>1348643.4646585996</v>
      </c>
      <c r="D96" s="39">
        <v>2202008.3179700002</v>
      </c>
      <c r="E96" s="39">
        <v>3069492.1322973473</v>
      </c>
      <c r="F96" s="39">
        <v>4589376.3947399994</v>
      </c>
      <c r="G96" s="39">
        <v>4880910.8062026426</v>
      </c>
      <c r="H96" s="40">
        <v>0.30421959760336814</v>
      </c>
      <c r="I96" s="40">
        <v>6.3523752768845032E-2</v>
      </c>
      <c r="J96" s="40">
        <v>0.16574006798140295</v>
      </c>
    </row>
    <row r="97" spans="1:10" ht="11.25" customHeight="1" x14ac:dyDescent="0.2">
      <c r="A97" s="45" t="s">
        <v>25</v>
      </c>
      <c r="B97" s="39">
        <v>1185562</v>
      </c>
      <c r="C97" s="39">
        <v>1348643.4646585996</v>
      </c>
      <c r="D97" s="39">
        <v>2202008.3179700002</v>
      </c>
      <c r="E97" s="39">
        <v>3069492.1322973473</v>
      </c>
      <c r="F97" s="39">
        <v>4589376.3947399994</v>
      </c>
      <c r="G97" s="39">
        <v>4880910.8062026426</v>
      </c>
      <c r="H97" s="40">
        <v>0.30421959760336814</v>
      </c>
      <c r="I97" s="40">
        <v>6.3523752768845032E-2</v>
      </c>
      <c r="J97" s="40">
        <v>0.16574006798140295</v>
      </c>
    </row>
    <row r="98" spans="1:10" ht="11.25" customHeight="1" x14ac:dyDescent="0.2">
      <c r="A98" s="46" t="s">
        <v>25</v>
      </c>
      <c r="B98" s="39">
        <v>1185562</v>
      </c>
      <c r="C98" s="39">
        <v>1348643.4646585996</v>
      </c>
      <c r="D98" s="39">
        <v>2202008.3179700002</v>
      </c>
      <c r="E98" s="39">
        <v>3069492.1322973473</v>
      </c>
      <c r="F98" s="39">
        <v>4589376.3947399994</v>
      </c>
      <c r="G98" s="39">
        <v>4880910.8062026426</v>
      </c>
      <c r="H98" s="40">
        <v>0.30421959760336814</v>
      </c>
      <c r="I98" s="40">
        <v>6.3523752768845032E-2</v>
      </c>
      <c r="J98" s="40">
        <v>0.16574006798140295</v>
      </c>
    </row>
    <row r="99" spans="1:10" ht="11.25" customHeight="1" x14ac:dyDescent="0.2">
      <c r="A99" s="47" t="s">
        <v>25</v>
      </c>
      <c r="B99" s="39">
        <v>1185562</v>
      </c>
      <c r="C99" s="39">
        <v>1348643.4646585996</v>
      </c>
      <c r="D99" s="39">
        <v>2202008.3179700002</v>
      </c>
      <c r="E99" s="39">
        <v>3069492.1322973473</v>
      </c>
      <c r="F99" s="39">
        <v>4589376.3947399994</v>
      </c>
      <c r="G99" s="39">
        <v>4880910.8062026426</v>
      </c>
      <c r="H99" s="40">
        <v>0.30421959760336814</v>
      </c>
      <c r="I99" s="40">
        <v>6.3523752768845032E-2</v>
      </c>
      <c r="J99" s="40">
        <v>0.16574006798140295</v>
      </c>
    </row>
    <row r="100" spans="1:10" ht="11.25" customHeight="1" x14ac:dyDescent="0.2">
      <c r="A100" s="48" t="s">
        <v>35</v>
      </c>
      <c r="B100" s="39">
        <v>0</v>
      </c>
      <c r="C100" s="39">
        <v>0</v>
      </c>
      <c r="D100" s="39">
        <v>1047462.156</v>
      </c>
      <c r="E100" s="39">
        <v>1708774.3751883812</v>
      </c>
      <c r="F100" s="39">
        <v>4045686.4728000001</v>
      </c>
      <c r="G100" s="39">
        <v>4295445.7281017732</v>
      </c>
      <c r="H100" s="40">
        <v>0.63134712352164524</v>
      </c>
      <c r="I100" s="40">
        <v>6.1734703611107111E-2</v>
      </c>
      <c r="J100" s="40">
        <v>0.17888177645913572</v>
      </c>
    </row>
    <row r="101" spans="1:10" ht="11.25" customHeight="1" x14ac:dyDescent="0.2">
      <c r="A101" s="49">
        <v>44501</v>
      </c>
      <c r="B101" s="39">
        <v>0</v>
      </c>
      <c r="C101" s="39">
        <v>0</v>
      </c>
      <c r="D101" s="39">
        <v>104537.12490000001</v>
      </c>
      <c r="E101" s="39">
        <v>170536.33800683799</v>
      </c>
      <c r="F101" s="39">
        <v>403761.06162000005</v>
      </c>
      <c r="G101" s="39">
        <v>428687.13108881656</v>
      </c>
      <c r="H101" s="40">
        <v>0.63134712352164546</v>
      </c>
      <c r="I101" s="40">
        <v>6.1734703611106667E-2</v>
      </c>
      <c r="J101" s="40">
        <v>0.17888177645913528</v>
      </c>
    </row>
    <row r="102" spans="1:10" ht="11.25" customHeight="1" x14ac:dyDescent="0.2">
      <c r="A102" s="49">
        <v>44531</v>
      </c>
      <c r="B102" s="39">
        <v>0</v>
      </c>
      <c r="C102" s="39">
        <v>0</v>
      </c>
      <c r="D102" s="39">
        <v>104466.63435000001</v>
      </c>
      <c r="E102" s="39">
        <v>170421.34345086</v>
      </c>
      <c r="F102" s="39">
        <v>403488.80102999997</v>
      </c>
      <c r="G102" s="39">
        <v>428398.06257198792</v>
      </c>
      <c r="H102" s="40">
        <v>0.63134712352164524</v>
      </c>
      <c r="I102" s="40">
        <v>6.1734703611106889E-2</v>
      </c>
      <c r="J102" s="40">
        <v>0.17888177645913528</v>
      </c>
    </row>
    <row r="103" spans="1:10" ht="11.25" customHeight="1" x14ac:dyDescent="0.2">
      <c r="A103" s="49">
        <v>44562</v>
      </c>
      <c r="B103" s="39">
        <v>0</v>
      </c>
      <c r="C103" s="39">
        <v>0</v>
      </c>
      <c r="D103" s="39">
        <v>103049.82480000002</v>
      </c>
      <c r="E103" s="39">
        <v>168110.03526688952</v>
      </c>
      <c r="F103" s="39">
        <v>398016.55824000004</v>
      </c>
      <c r="G103" s="39">
        <v>422587.99249525933</v>
      </c>
      <c r="H103" s="40">
        <v>0.63134712352164524</v>
      </c>
      <c r="I103" s="40">
        <v>6.1734703611106889E-2</v>
      </c>
      <c r="J103" s="40">
        <v>0.1788817764591355</v>
      </c>
    </row>
    <row r="104" spans="1:10" ht="11.25" customHeight="1" x14ac:dyDescent="0.2">
      <c r="A104" s="49">
        <v>44593</v>
      </c>
      <c r="B104" s="39">
        <v>0</v>
      </c>
      <c r="C104" s="39">
        <v>0</v>
      </c>
      <c r="D104" s="39">
        <v>104261.87264999999</v>
      </c>
      <c r="E104" s="39">
        <v>170087.3060405576</v>
      </c>
      <c r="F104" s="39">
        <v>402697.93556999997</v>
      </c>
      <c r="G104" s="39">
        <v>427558.37326721859</v>
      </c>
      <c r="H104" s="40">
        <v>0.63134712352164546</v>
      </c>
      <c r="I104" s="40">
        <v>6.1734703611107111E-2</v>
      </c>
      <c r="J104" s="40">
        <v>0.1788817764591355</v>
      </c>
    </row>
    <row r="105" spans="1:10" ht="11.25" customHeight="1" x14ac:dyDescent="0.2">
      <c r="A105" s="49">
        <v>44621</v>
      </c>
      <c r="B105" s="39">
        <v>0</v>
      </c>
      <c r="C105" s="39">
        <v>0</v>
      </c>
      <c r="D105" s="39">
        <v>90179.635650000011</v>
      </c>
      <c r="E105" s="39">
        <v>147114.28921785756</v>
      </c>
      <c r="F105" s="39">
        <v>348307.12497</v>
      </c>
      <c r="G105" s="39">
        <v>369809.76209565974</v>
      </c>
      <c r="H105" s="40">
        <v>0.63134712352164546</v>
      </c>
      <c r="I105" s="40">
        <v>6.1734703611106889E-2</v>
      </c>
      <c r="J105" s="40">
        <v>0.17888177645913528</v>
      </c>
    </row>
    <row r="106" spans="1:10" ht="11.25" customHeight="1" x14ac:dyDescent="0.2">
      <c r="A106" s="49">
        <v>44652</v>
      </c>
      <c r="B106" s="39">
        <v>0</v>
      </c>
      <c r="C106" s="39">
        <v>0</v>
      </c>
      <c r="D106" s="39">
        <v>88961.382900000011</v>
      </c>
      <c r="E106" s="39">
        <v>145126.89609842267</v>
      </c>
      <c r="F106" s="39">
        <v>343601.78201999998</v>
      </c>
      <c r="G106" s="39">
        <v>364813.93619325286</v>
      </c>
      <c r="H106" s="40">
        <v>0.63134712352164502</v>
      </c>
      <c r="I106" s="40">
        <v>6.1734703611106889E-2</v>
      </c>
      <c r="J106" s="40">
        <v>0.17888177645913528</v>
      </c>
    </row>
    <row r="107" spans="1:10" ht="11.25" customHeight="1" x14ac:dyDescent="0.2">
      <c r="A107" s="49">
        <v>44682</v>
      </c>
      <c r="B107" s="39">
        <v>0</v>
      </c>
      <c r="C107" s="39">
        <v>0</v>
      </c>
      <c r="D107" s="39">
        <v>80488.519799999995</v>
      </c>
      <c r="E107" s="39">
        <v>131304.71525224499</v>
      </c>
      <c r="F107" s="39">
        <v>310876.44923999999</v>
      </c>
      <c r="G107" s="39">
        <v>330068.31469350471</v>
      </c>
      <c r="H107" s="40">
        <v>0.63134712352164546</v>
      </c>
      <c r="I107" s="40">
        <v>6.1734703611106889E-2</v>
      </c>
      <c r="J107" s="40">
        <v>0.17888177645913528</v>
      </c>
    </row>
    <row r="108" spans="1:10" ht="11.25" customHeight="1" x14ac:dyDescent="0.2">
      <c r="A108" s="49">
        <v>44713</v>
      </c>
      <c r="B108" s="39">
        <v>0</v>
      </c>
      <c r="C108" s="39">
        <v>0</v>
      </c>
      <c r="D108" s="39">
        <v>75614.787300000011</v>
      </c>
      <c r="E108" s="39">
        <v>123353.96575755604</v>
      </c>
      <c r="F108" s="39">
        <v>292052.29074000003</v>
      </c>
      <c r="G108" s="39">
        <v>310082.05234777869</v>
      </c>
      <c r="H108" s="40">
        <v>0.63134712352164524</v>
      </c>
      <c r="I108" s="40">
        <v>6.1734703611106667E-2</v>
      </c>
      <c r="J108" s="40">
        <v>0.17888177645913506</v>
      </c>
    </row>
    <row r="109" spans="1:10" ht="11.25" customHeight="1" x14ac:dyDescent="0.2">
      <c r="A109" s="49">
        <v>44743</v>
      </c>
      <c r="B109" s="39">
        <v>0</v>
      </c>
      <c r="C109" s="39">
        <v>0</v>
      </c>
      <c r="D109" s="39">
        <v>69993.075750000004</v>
      </c>
      <c r="E109" s="39">
        <v>114183.00279119513</v>
      </c>
      <c r="F109" s="39">
        <v>270339.16035000002</v>
      </c>
      <c r="G109" s="39">
        <v>287028.46828868275</v>
      </c>
      <c r="H109" s="40">
        <v>0.63134712352164524</v>
      </c>
      <c r="I109" s="40">
        <v>6.1734703611106889E-2</v>
      </c>
      <c r="J109" s="40">
        <v>0.17888177645913528</v>
      </c>
    </row>
    <row r="110" spans="1:10" ht="11.25" customHeight="1" x14ac:dyDescent="0.2">
      <c r="A110" s="49">
        <v>44774</v>
      </c>
      <c r="B110" s="39">
        <v>0</v>
      </c>
      <c r="C110" s="39">
        <v>0</v>
      </c>
      <c r="D110" s="39">
        <v>75656.778600000005</v>
      </c>
      <c r="E110" s="39">
        <v>123422.46814402398</v>
      </c>
      <c r="F110" s="39">
        <v>292214.47668000002</v>
      </c>
      <c r="G110" s="39">
        <v>310254.2507887145</v>
      </c>
      <c r="H110" s="40">
        <v>0.63134712352164524</v>
      </c>
      <c r="I110" s="40">
        <v>6.1734703611106889E-2</v>
      </c>
      <c r="J110" s="40">
        <v>0.17888177645913528</v>
      </c>
    </row>
    <row r="111" spans="1:10" ht="11.25" customHeight="1" x14ac:dyDescent="0.2">
      <c r="A111" s="49">
        <v>44805</v>
      </c>
      <c r="B111" s="39">
        <v>0</v>
      </c>
      <c r="C111" s="39">
        <v>0</v>
      </c>
      <c r="D111" s="39">
        <v>75126.259650000007</v>
      </c>
      <c r="E111" s="39">
        <v>122557.00758096777</v>
      </c>
      <c r="F111" s="39">
        <v>290165.41617000004</v>
      </c>
      <c r="G111" s="39">
        <v>308078.69213544845</v>
      </c>
      <c r="H111" s="40">
        <v>0.63134712352164546</v>
      </c>
      <c r="I111" s="40">
        <v>6.1734703611106889E-2</v>
      </c>
      <c r="J111" s="40">
        <v>0.17888177645913528</v>
      </c>
    </row>
    <row r="112" spans="1:10" ht="11.25" customHeight="1" x14ac:dyDescent="0.2">
      <c r="A112" s="49">
        <v>44835</v>
      </c>
      <c r="B112" s="39">
        <v>0</v>
      </c>
      <c r="C112" s="39">
        <v>0</v>
      </c>
      <c r="D112" s="39">
        <v>75126.259650000007</v>
      </c>
      <c r="E112" s="39">
        <v>122557.00758096777</v>
      </c>
      <c r="F112" s="39">
        <v>290165.41617000004</v>
      </c>
      <c r="G112" s="39">
        <v>308078.69213544845</v>
      </c>
      <c r="H112" s="40">
        <v>0.63134712352164546</v>
      </c>
      <c r="I112" s="40">
        <v>6.1734703611106889E-2</v>
      </c>
      <c r="J112" s="40">
        <v>0.17888177645913528</v>
      </c>
    </row>
    <row r="113" spans="1:10" ht="11.25" customHeight="1" x14ac:dyDescent="0.2">
      <c r="A113" s="48" t="s">
        <v>25</v>
      </c>
      <c r="B113" s="39">
        <v>1185562</v>
      </c>
      <c r="C113" s="39">
        <v>1348643.4646585996</v>
      </c>
      <c r="D113" s="39">
        <v>0</v>
      </c>
      <c r="E113" s="39">
        <v>0</v>
      </c>
      <c r="F113" s="39">
        <v>0</v>
      </c>
      <c r="G113" s="39">
        <v>0</v>
      </c>
      <c r="H113" s="40">
        <v>0.13755625151497708</v>
      </c>
      <c r="I113" s="40">
        <v>0</v>
      </c>
      <c r="J113" s="40">
        <v>0.13755625151497708</v>
      </c>
    </row>
    <row r="114" spans="1:10" ht="11.25" customHeight="1" x14ac:dyDescent="0.2">
      <c r="A114" s="49">
        <v>44501</v>
      </c>
      <c r="B114" s="39">
        <v>105308</v>
      </c>
      <c r="C114" s="39">
        <v>119793.77373453922</v>
      </c>
      <c r="D114" s="39">
        <v>0</v>
      </c>
      <c r="E114" s="39">
        <v>0</v>
      </c>
      <c r="F114" s="39">
        <v>0</v>
      </c>
      <c r="G114" s="39">
        <v>0</v>
      </c>
      <c r="H114" s="40">
        <v>0.1375562515149773</v>
      </c>
      <c r="I114" s="40">
        <v>0</v>
      </c>
      <c r="J114" s="40">
        <v>0.1375562515149773</v>
      </c>
    </row>
    <row r="115" spans="1:10" ht="11.25" customHeight="1" x14ac:dyDescent="0.2">
      <c r="A115" s="49">
        <v>44531</v>
      </c>
      <c r="B115" s="39">
        <v>107170</v>
      </c>
      <c r="C115" s="39">
        <v>121911.90347486011</v>
      </c>
      <c r="D115" s="39">
        <v>0</v>
      </c>
      <c r="E115" s="39">
        <v>0</v>
      </c>
      <c r="F115" s="39">
        <v>0</v>
      </c>
      <c r="G115" s="39">
        <v>0</v>
      </c>
      <c r="H115" s="40">
        <v>0.1375562515149773</v>
      </c>
      <c r="I115" s="40">
        <v>0</v>
      </c>
      <c r="J115" s="40">
        <v>0.1375562515149773</v>
      </c>
    </row>
    <row r="116" spans="1:10" ht="11.25" customHeight="1" x14ac:dyDescent="0.2">
      <c r="A116" s="49">
        <v>44562</v>
      </c>
      <c r="B116" s="39">
        <v>101934</v>
      </c>
      <c r="C116" s="39">
        <v>115955.6589419277</v>
      </c>
      <c r="D116" s="39">
        <v>0</v>
      </c>
      <c r="E116" s="39">
        <v>0</v>
      </c>
      <c r="F116" s="39">
        <v>0</v>
      </c>
      <c r="G116" s="39">
        <v>0</v>
      </c>
      <c r="H116" s="40">
        <v>0.1375562515149773</v>
      </c>
      <c r="I116" s="40">
        <v>0</v>
      </c>
      <c r="J116" s="40">
        <v>0.1375562515149773</v>
      </c>
    </row>
    <row r="117" spans="1:10" ht="11.25" customHeight="1" x14ac:dyDescent="0.2">
      <c r="A117" s="49">
        <v>44593</v>
      </c>
      <c r="B117" s="39">
        <v>102312</v>
      </c>
      <c r="C117" s="39">
        <v>116385.65520500037</v>
      </c>
      <c r="D117" s="39">
        <v>0</v>
      </c>
      <c r="E117" s="39">
        <v>0</v>
      </c>
      <c r="F117" s="39">
        <v>0</v>
      </c>
      <c r="G117" s="39">
        <v>0</v>
      </c>
      <c r="H117" s="40">
        <v>0.1375562515149773</v>
      </c>
      <c r="I117" s="40">
        <v>0</v>
      </c>
      <c r="J117" s="40">
        <v>0.1375562515149773</v>
      </c>
    </row>
    <row r="118" spans="1:10" ht="11.25" customHeight="1" x14ac:dyDescent="0.2">
      <c r="A118" s="49">
        <v>44621</v>
      </c>
      <c r="B118" s="39">
        <v>101318</v>
      </c>
      <c r="C118" s="39">
        <v>115254.92429099447</v>
      </c>
      <c r="D118" s="39">
        <v>0</v>
      </c>
      <c r="E118" s="39">
        <v>0</v>
      </c>
      <c r="F118" s="39">
        <v>0</v>
      </c>
      <c r="G118" s="39">
        <v>0</v>
      </c>
      <c r="H118" s="40">
        <v>0.1375562515149773</v>
      </c>
      <c r="I118" s="40">
        <v>0</v>
      </c>
      <c r="J118" s="40">
        <v>0.1375562515149773</v>
      </c>
    </row>
    <row r="119" spans="1:10" ht="11.25" customHeight="1" x14ac:dyDescent="0.2">
      <c r="A119" s="49">
        <v>44652</v>
      </c>
      <c r="B119" s="39">
        <v>96754</v>
      </c>
      <c r="C119" s="39">
        <v>110063.11755908011</v>
      </c>
      <c r="D119" s="39">
        <v>0</v>
      </c>
      <c r="E119" s="39">
        <v>0</v>
      </c>
      <c r="F119" s="39">
        <v>0</v>
      </c>
      <c r="G119" s="39">
        <v>0</v>
      </c>
      <c r="H119" s="40">
        <v>0.1375562515149773</v>
      </c>
      <c r="I119" s="40">
        <v>0</v>
      </c>
      <c r="J119" s="40">
        <v>0.1375562515149773</v>
      </c>
    </row>
    <row r="120" spans="1:10" ht="11.25" customHeight="1" x14ac:dyDescent="0.2">
      <c r="A120" s="49">
        <v>44682</v>
      </c>
      <c r="B120" s="39">
        <v>95998</v>
      </c>
      <c r="C120" s="39">
        <v>109203.1250329348</v>
      </c>
      <c r="D120" s="39">
        <v>0</v>
      </c>
      <c r="E120" s="39">
        <v>0</v>
      </c>
      <c r="F120" s="39">
        <v>0</v>
      </c>
      <c r="G120" s="39">
        <v>0</v>
      </c>
      <c r="H120" s="40">
        <v>0.1375562515149773</v>
      </c>
      <c r="I120" s="40">
        <v>0</v>
      </c>
      <c r="J120" s="40">
        <v>0.1375562515149773</v>
      </c>
    </row>
    <row r="121" spans="1:10" ht="11.25" customHeight="1" x14ac:dyDescent="0.2">
      <c r="A121" s="49">
        <v>44713</v>
      </c>
      <c r="B121" s="39">
        <v>95284</v>
      </c>
      <c r="C121" s="39">
        <v>108390.90986935311</v>
      </c>
      <c r="D121" s="39">
        <v>0</v>
      </c>
      <c r="E121" s="39">
        <v>0</v>
      </c>
      <c r="F121" s="39">
        <v>0</v>
      </c>
      <c r="G121" s="39">
        <v>0</v>
      </c>
      <c r="H121" s="40">
        <v>0.13755625151497752</v>
      </c>
      <c r="I121" s="40">
        <v>0</v>
      </c>
      <c r="J121" s="40">
        <v>0.13755625151497752</v>
      </c>
    </row>
    <row r="122" spans="1:10" ht="11.25" customHeight="1" x14ac:dyDescent="0.2">
      <c r="A122" s="49">
        <v>44743</v>
      </c>
      <c r="B122" s="39">
        <v>90020</v>
      </c>
      <c r="C122" s="39">
        <v>102402.81376137826</v>
      </c>
      <c r="D122" s="39">
        <v>0</v>
      </c>
      <c r="E122" s="39">
        <v>0</v>
      </c>
      <c r="F122" s="39">
        <v>0</v>
      </c>
      <c r="G122" s="39">
        <v>0</v>
      </c>
      <c r="H122" s="40">
        <v>0.1375562515149773</v>
      </c>
      <c r="I122" s="40">
        <v>0</v>
      </c>
      <c r="J122" s="40">
        <v>0.1375562515149773</v>
      </c>
    </row>
    <row r="123" spans="1:10" ht="11.25" customHeight="1" x14ac:dyDescent="0.2">
      <c r="A123" s="49">
        <v>44774</v>
      </c>
      <c r="B123" s="39">
        <v>96488</v>
      </c>
      <c r="C123" s="39">
        <v>109760.52759617714</v>
      </c>
      <c r="D123" s="39">
        <v>0</v>
      </c>
      <c r="E123" s="39">
        <v>0</v>
      </c>
      <c r="F123" s="39">
        <v>0</v>
      </c>
      <c r="G123" s="39">
        <v>0</v>
      </c>
      <c r="H123" s="40">
        <v>0.1375562515149773</v>
      </c>
      <c r="I123" s="40">
        <v>0</v>
      </c>
      <c r="J123" s="40">
        <v>0.1375562515149773</v>
      </c>
    </row>
    <row r="124" spans="1:10" ht="11.25" customHeight="1" x14ac:dyDescent="0.2">
      <c r="A124" s="49">
        <v>44805</v>
      </c>
      <c r="B124" s="39">
        <v>96488</v>
      </c>
      <c r="C124" s="39">
        <v>109760.52759617714</v>
      </c>
      <c r="D124" s="39">
        <v>0</v>
      </c>
      <c r="E124" s="39">
        <v>0</v>
      </c>
      <c r="F124" s="39">
        <v>0</v>
      </c>
      <c r="G124" s="39">
        <v>0</v>
      </c>
      <c r="H124" s="40">
        <v>0.1375562515149773</v>
      </c>
      <c r="I124" s="40">
        <v>0</v>
      </c>
      <c r="J124" s="40">
        <v>0.1375562515149773</v>
      </c>
    </row>
    <row r="125" spans="1:10" ht="11.25" customHeight="1" x14ac:dyDescent="0.2">
      <c r="A125" s="49">
        <v>44835</v>
      </c>
      <c r="B125" s="39">
        <v>96488</v>
      </c>
      <c r="C125" s="39">
        <v>109760.52759617714</v>
      </c>
      <c r="D125" s="39">
        <v>0</v>
      </c>
      <c r="E125" s="39">
        <v>0</v>
      </c>
      <c r="F125" s="39">
        <v>0</v>
      </c>
      <c r="G125" s="39">
        <v>0</v>
      </c>
      <c r="H125" s="40">
        <v>0.1375562515149773</v>
      </c>
      <c r="I125" s="40">
        <v>0</v>
      </c>
      <c r="J125" s="40">
        <v>0.1375562515149773</v>
      </c>
    </row>
    <row r="126" spans="1:10" ht="11.25" customHeight="1" x14ac:dyDescent="0.2">
      <c r="A126" s="48" t="s">
        <v>34</v>
      </c>
      <c r="B126" s="39">
        <v>0</v>
      </c>
      <c r="C126" s="39">
        <v>0</v>
      </c>
      <c r="D126" s="39">
        <v>1154546.16197</v>
      </c>
      <c r="E126" s="39">
        <v>1360717.7571089654</v>
      </c>
      <c r="F126" s="39">
        <v>543689.92194000003</v>
      </c>
      <c r="G126" s="39">
        <v>585465.07810086908</v>
      </c>
      <c r="H126" s="40">
        <v>0.17857371314385051</v>
      </c>
      <c r="I126" s="40">
        <v>7.6836362925041701E-2</v>
      </c>
      <c r="J126" s="40">
        <v>0.1460025220574539</v>
      </c>
    </row>
    <row r="127" spans="1:10" ht="11.25" customHeight="1" x14ac:dyDescent="0.2">
      <c r="A127" s="49">
        <v>44501</v>
      </c>
      <c r="B127" s="39">
        <v>0</v>
      </c>
      <c r="C127" s="39">
        <v>0</v>
      </c>
      <c r="D127" s="39">
        <v>107242.87548</v>
      </c>
      <c r="E127" s="39">
        <v>126393.63396268731</v>
      </c>
      <c r="F127" s="39">
        <v>50501.982960000001</v>
      </c>
      <c r="G127" s="39">
        <v>54382.371651148802</v>
      </c>
      <c r="H127" s="40">
        <v>0.1785737131438514</v>
      </c>
      <c r="I127" s="40">
        <v>7.6836362925041035E-2</v>
      </c>
      <c r="J127" s="40">
        <v>0.14600252205745434</v>
      </c>
    </row>
    <row r="128" spans="1:10" ht="11.25" customHeight="1" x14ac:dyDescent="0.2">
      <c r="A128" s="49">
        <v>44531</v>
      </c>
      <c r="B128" s="39">
        <v>0</v>
      </c>
      <c r="C128" s="39">
        <v>0</v>
      </c>
      <c r="D128" s="39">
        <v>122002.92432999999</v>
      </c>
      <c r="E128" s="39">
        <v>143789.43954201645</v>
      </c>
      <c r="F128" s="39">
        <v>57452.670660000003</v>
      </c>
      <c r="G128" s="39">
        <v>61867.124913844629</v>
      </c>
      <c r="H128" s="40">
        <v>0.17857371314385162</v>
      </c>
      <c r="I128" s="40">
        <v>7.6836362925041257E-2</v>
      </c>
      <c r="J128" s="40">
        <v>0.14600252205745434</v>
      </c>
    </row>
    <row r="129" spans="1:10" ht="11.25" customHeight="1" x14ac:dyDescent="0.2">
      <c r="A129" s="49">
        <v>44562</v>
      </c>
      <c r="B129" s="39">
        <v>0</v>
      </c>
      <c r="C129" s="39">
        <v>0</v>
      </c>
      <c r="D129" s="39">
        <v>126735.16808999999</v>
      </c>
      <c r="E129" s="39">
        <v>149366.73764174146</v>
      </c>
      <c r="F129" s="39">
        <v>59681.142179999995</v>
      </c>
      <c r="G129" s="39">
        <v>64266.824080323458</v>
      </c>
      <c r="H129" s="40">
        <v>0.17857371314385162</v>
      </c>
      <c r="I129" s="40">
        <v>7.6836362925041257E-2</v>
      </c>
      <c r="J129" s="40">
        <v>0.14600252205745434</v>
      </c>
    </row>
    <row r="130" spans="1:10" ht="11.25" customHeight="1" x14ac:dyDescent="0.2">
      <c r="A130" s="49">
        <v>44593</v>
      </c>
      <c r="B130" s="39">
        <v>0</v>
      </c>
      <c r="C130" s="39">
        <v>0</v>
      </c>
      <c r="D130" s="39">
        <v>120730.52253999999</v>
      </c>
      <c r="E130" s="39">
        <v>142289.82023976525</v>
      </c>
      <c r="F130" s="39">
        <v>56853.481079999998</v>
      </c>
      <c r="G130" s="39">
        <v>61221.895785814842</v>
      </c>
      <c r="H130" s="40">
        <v>0.17857371314385162</v>
      </c>
      <c r="I130" s="40">
        <v>7.6836362925041257E-2</v>
      </c>
      <c r="J130" s="40">
        <v>0.14600252205745456</v>
      </c>
    </row>
    <row r="131" spans="1:10" ht="11.25" customHeight="1" x14ac:dyDescent="0.2">
      <c r="A131" s="49">
        <v>44621</v>
      </c>
      <c r="B131" s="39">
        <v>0</v>
      </c>
      <c r="C131" s="39">
        <v>0</v>
      </c>
      <c r="D131" s="39">
        <v>100877.10480999999</v>
      </c>
      <c r="E131" s="39">
        <v>118891.10398712319</v>
      </c>
      <c r="F131" s="39">
        <v>47504.263620000005</v>
      </c>
      <c r="G131" s="39">
        <v>51154.318459993156</v>
      </c>
      <c r="H131" s="40">
        <v>0.17857371314385162</v>
      </c>
      <c r="I131" s="40">
        <v>7.6836362925041257E-2</v>
      </c>
      <c r="J131" s="40">
        <v>0.14600252205745434</v>
      </c>
    </row>
    <row r="132" spans="1:10" ht="11.25" customHeight="1" x14ac:dyDescent="0.2">
      <c r="A132" s="49">
        <v>44652</v>
      </c>
      <c r="B132" s="39">
        <v>0</v>
      </c>
      <c r="C132" s="39">
        <v>0</v>
      </c>
      <c r="D132" s="39">
        <v>92815.738849999994</v>
      </c>
      <c r="E132" s="39">
        <v>109390.18997463452</v>
      </c>
      <c r="F132" s="39">
        <v>43708.0677</v>
      </c>
      <c r="G132" s="39">
        <v>47066.43665254947</v>
      </c>
      <c r="H132" s="40">
        <v>0.1785737131438514</v>
      </c>
      <c r="I132" s="40">
        <v>7.6836362925041257E-2</v>
      </c>
      <c r="J132" s="40">
        <v>0.14600252205745434</v>
      </c>
    </row>
    <row r="133" spans="1:10" ht="11.25" customHeight="1" x14ac:dyDescent="0.2">
      <c r="A133" s="49">
        <v>44682</v>
      </c>
      <c r="B133" s="39">
        <v>0</v>
      </c>
      <c r="C133" s="39">
        <v>0</v>
      </c>
      <c r="D133" s="39">
        <v>79676.050889999999</v>
      </c>
      <c r="E133" s="39">
        <v>93904.099146065768</v>
      </c>
      <c r="F133" s="39">
        <v>37520.427780000005</v>
      </c>
      <c r="G133" s="39">
        <v>40403.360986006883</v>
      </c>
      <c r="H133" s="40">
        <v>0.1785737131438514</v>
      </c>
      <c r="I133" s="40">
        <v>7.6836362925041257E-2</v>
      </c>
      <c r="J133" s="40">
        <v>0.14600252205745412</v>
      </c>
    </row>
    <row r="134" spans="1:10" ht="11.25" customHeight="1" x14ac:dyDescent="0.2">
      <c r="A134" s="49">
        <v>44713</v>
      </c>
      <c r="B134" s="39">
        <v>0</v>
      </c>
      <c r="C134" s="39">
        <v>0</v>
      </c>
      <c r="D134" s="39">
        <v>83273.195639999991</v>
      </c>
      <c r="E134" s="39">
        <v>98143.599390789183</v>
      </c>
      <c r="F134" s="39">
        <v>39214.367279999999</v>
      </c>
      <c r="G134" s="39">
        <v>42227.45663620194</v>
      </c>
      <c r="H134" s="40">
        <v>0.17857371314385162</v>
      </c>
      <c r="I134" s="40">
        <v>7.6836362925041257E-2</v>
      </c>
      <c r="J134" s="40">
        <v>0.14600252205745412</v>
      </c>
    </row>
    <row r="135" spans="1:10" ht="11.25" customHeight="1" x14ac:dyDescent="0.2">
      <c r="A135" s="49">
        <v>44743</v>
      </c>
      <c r="B135" s="39">
        <v>0</v>
      </c>
      <c r="C135" s="39">
        <v>0</v>
      </c>
      <c r="D135" s="39">
        <v>77070.119359999997</v>
      </c>
      <c r="E135" s="39">
        <v>90832.816746555036</v>
      </c>
      <c r="F135" s="39">
        <v>36293.262719999999</v>
      </c>
      <c r="G135" s="39">
        <v>39081.905026087785</v>
      </c>
      <c r="H135" s="40">
        <v>0.17857371314385162</v>
      </c>
      <c r="I135" s="40">
        <v>7.6836362925041257E-2</v>
      </c>
      <c r="J135" s="40">
        <v>0.14600252205745434</v>
      </c>
    </row>
    <row r="136" spans="1:10" ht="11.25" customHeight="1" x14ac:dyDescent="0.2">
      <c r="A136" s="49">
        <v>44774</v>
      </c>
      <c r="B136" s="39">
        <v>0</v>
      </c>
      <c r="C136" s="39">
        <v>0</v>
      </c>
      <c r="D136" s="39">
        <v>82473.830139999991</v>
      </c>
      <c r="E136" s="39">
        <v>97201.488225295092</v>
      </c>
      <c r="F136" s="39">
        <v>38837.936279999994</v>
      </c>
      <c r="G136" s="39">
        <v>41822.102047269706</v>
      </c>
      <c r="H136" s="40">
        <v>0.17857371314385162</v>
      </c>
      <c r="I136" s="40">
        <v>7.6836362925041479E-2</v>
      </c>
      <c r="J136" s="40">
        <v>0.14600252205745434</v>
      </c>
    </row>
    <row r="137" spans="1:10" ht="11.25" customHeight="1" x14ac:dyDescent="0.2">
      <c r="A137" s="49">
        <v>44805</v>
      </c>
      <c r="B137" s="39">
        <v>0</v>
      </c>
      <c r="C137" s="39">
        <v>0</v>
      </c>
      <c r="D137" s="39">
        <v>80824.315919999979</v>
      </c>
      <c r="E137" s="39">
        <v>95257.414126146105</v>
      </c>
      <c r="F137" s="39">
        <v>38061.15984</v>
      </c>
      <c r="G137" s="39">
        <v>40985.640930814247</v>
      </c>
      <c r="H137" s="40">
        <v>0.17857371314385184</v>
      </c>
      <c r="I137" s="40">
        <v>7.6836362925041257E-2</v>
      </c>
      <c r="J137" s="40">
        <v>0.14600252205745456</v>
      </c>
    </row>
    <row r="138" spans="1:10" ht="11.25" customHeight="1" x14ac:dyDescent="0.2">
      <c r="A138" s="49">
        <v>44835</v>
      </c>
      <c r="B138" s="39">
        <v>0</v>
      </c>
      <c r="C138" s="39">
        <v>0</v>
      </c>
      <c r="D138" s="39">
        <v>80824.315919999979</v>
      </c>
      <c r="E138" s="39">
        <v>95257.414126146105</v>
      </c>
      <c r="F138" s="39">
        <v>38061.15984</v>
      </c>
      <c r="G138" s="39">
        <v>40985.640930814247</v>
      </c>
      <c r="H138" s="40">
        <v>0.17857371314385184</v>
      </c>
      <c r="I138" s="40">
        <v>7.6836362925041257E-2</v>
      </c>
      <c r="J138" s="40">
        <v>0.14600252205745456</v>
      </c>
    </row>
    <row r="139" spans="1:10" ht="11.25" customHeight="1" x14ac:dyDescent="0.2">
      <c r="A139" s="44" t="s">
        <v>52</v>
      </c>
      <c r="B139" s="39">
        <v>43260</v>
      </c>
      <c r="C139" s="39">
        <v>49210.683440537912</v>
      </c>
      <c r="D139" s="39">
        <v>94498.889830000015</v>
      </c>
      <c r="E139" s="39">
        <v>129150.6035475425</v>
      </c>
      <c r="F139" s="39">
        <v>177655.40019000004</v>
      </c>
      <c r="G139" s="39">
        <v>189015.72538432182</v>
      </c>
      <c r="H139" s="40">
        <v>0.29473522331796809</v>
      </c>
      <c r="I139" s="40">
        <v>6.3945847872747263E-2</v>
      </c>
      <c r="J139" s="40">
        <v>0.16474435051470637</v>
      </c>
    </row>
    <row r="140" spans="1:10" ht="11.25" customHeight="1" x14ac:dyDescent="0.2">
      <c r="A140" s="45" t="s">
        <v>25</v>
      </c>
      <c r="B140" s="39">
        <v>43260</v>
      </c>
      <c r="C140" s="39">
        <v>49210.683440537912</v>
      </c>
      <c r="D140" s="39">
        <v>94498.889830000015</v>
      </c>
      <c r="E140" s="39">
        <v>129150.6035475425</v>
      </c>
      <c r="F140" s="39">
        <v>177655.40019000004</v>
      </c>
      <c r="G140" s="39">
        <v>189015.72538432182</v>
      </c>
      <c r="H140" s="40">
        <v>0.29473522331796809</v>
      </c>
      <c r="I140" s="40">
        <v>6.3945847872747263E-2</v>
      </c>
      <c r="J140" s="40">
        <v>0.16474435051470637</v>
      </c>
    </row>
    <row r="141" spans="1:10" ht="11.25" customHeight="1" x14ac:dyDescent="0.2">
      <c r="A141" s="46" t="s">
        <v>25</v>
      </c>
      <c r="B141" s="39">
        <v>43260</v>
      </c>
      <c r="C141" s="39">
        <v>49210.683440537912</v>
      </c>
      <c r="D141" s="39">
        <v>94498.889830000015</v>
      </c>
      <c r="E141" s="39">
        <v>129150.6035475425</v>
      </c>
      <c r="F141" s="39">
        <v>177655.40019000004</v>
      </c>
      <c r="G141" s="39">
        <v>189015.72538432182</v>
      </c>
      <c r="H141" s="40">
        <v>0.29473522331796809</v>
      </c>
      <c r="I141" s="40">
        <v>6.3945847872747263E-2</v>
      </c>
      <c r="J141" s="40">
        <v>0.16474435051470637</v>
      </c>
    </row>
    <row r="142" spans="1:10" ht="11.25" customHeight="1" x14ac:dyDescent="0.2">
      <c r="A142" s="47" t="s">
        <v>25</v>
      </c>
      <c r="B142" s="39">
        <v>43260</v>
      </c>
      <c r="C142" s="39">
        <v>49210.683440537912</v>
      </c>
      <c r="D142" s="39">
        <v>94498.889830000015</v>
      </c>
      <c r="E142" s="39">
        <v>129150.6035475425</v>
      </c>
      <c r="F142" s="39">
        <v>177655.40019000004</v>
      </c>
      <c r="G142" s="39">
        <v>189015.72538432182</v>
      </c>
      <c r="H142" s="40">
        <v>0.29473522331796809</v>
      </c>
      <c r="I142" s="40">
        <v>6.3945847872747263E-2</v>
      </c>
      <c r="J142" s="40">
        <v>0.16474435051470637</v>
      </c>
    </row>
    <row r="143" spans="1:10" ht="11.25" customHeight="1" x14ac:dyDescent="0.2">
      <c r="A143" s="48" t="s">
        <v>35</v>
      </c>
      <c r="B143" s="39">
        <v>0</v>
      </c>
      <c r="C143" s="39">
        <v>0</v>
      </c>
      <c r="D143" s="39">
        <v>39261.793350000007</v>
      </c>
      <c r="E143" s="39">
        <v>64049.61364582376</v>
      </c>
      <c r="F143" s="39">
        <v>151643.57523000005</v>
      </c>
      <c r="G143" s="39">
        <v>161005.24640135263</v>
      </c>
      <c r="H143" s="40">
        <v>0.63134712352164502</v>
      </c>
      <c r="I143" s="40">
        <v>6.1734703611106445E-2</v>
      </c>
      <c r="J143" s="40">
        <v>0.17888177645913483</v>
      </c>
    </row>
    <row r="144" spans="1:10" ht="11.25" customHeight="1" x14ac:dyDescent="0.2">
      <c r="A144" s="49">
        <v>44501</v>
      </c>
      <c r="B144" s="39">
        <v>0</v>
      </c>
      <c r="C144" s="39">
        <v>0</v>
      </c>
      <c r="D144" s="39">
        <v>3202.2334500000006</v>
      </c>
      <c r="E144" s="39">
        <v>5223.9543275022952</v>
      </c>
      <c r="F144" s="39">
        <v>12368.210610000002</v>
      </c>
      <c r="G144" s="39">
        <v>13131.758426208098</v>
      </c>
      <c r="H144" s="40">
        <v>0.63134712352164524</v>
      </c>
      <c r="I144" s="40">
        <v>6.1734703611106667E-2</v>
      </c>
      <c r="J144" s="40">
        <v>0.1788817764591355</v>
      </c>
    </row>
    <row r="145" spans="1:10" ht="11.25" customHeight="1" x14ac:dyDescent="0.2">
      <c r="A145" s="49">
        <v>44531</v>
      </c>
      <c r="B145" s="39">
        <v>0</v>
      </c>
      <c r="C145" s="39">
        <v>0</v>
      </c>
      <c r="D145" s="39">
        <v>3028.0633500000004</v>
      </c>
      <c r="E145" s="39">
        <v>4939.8224358638181</v>
      </c>
      <c r="F145" s="39">
        <v>11695.501230000002</v>
      </c>
      <c r="G145" s="39">
        <v>12417.519532017386</v>
      </c>
      <c r="H145" s="40">
        <v>0.63134712352164546</v>
      </c>
      <c r="I145" s="40">
        <v>6.1734703611106667E-2</v>
      </c>
      <c r="J145" s="40">
        <v>0.1788817764591355</v>
      </c>
    </row>
    <row r="146" spans="1:10" ht="11.25" customHeight="1" x14ac:dyDescent="0.2">
      <c r="A146" s="49">
        <v>44562</v>
      </c>
      <c r="B146" s="39">
        <v>0</v>
      </c>
      <c r="C146" s="39">
        <v>0</v>
      </c>
      <c r="D146" s="39">
        <v>3319.9101000000005</v>
      </c>
      <c r="E146" s="39">
        <v>5415.925791985459</v>
      </c>
      <c r="F146" s="39">
        <v>12822.721380000001</v>
      </c>
      <c r="G146" s="39">
        <v>13614.328283882105</v>
      </c>
      <c r="H146" s="40">
        <v>0.63134712352164546</v>
      </c>
      <c r="I146" s="40">
        <v>6.1734703611106889E-2</v>
      </c>
      <c r="J146" s="40">
        <v>0.1788817764591355</v>
      </c>
    </row>
    <row r="147" spans="1:10" ht="11.25" customHeight="1" x14ac:dyDescent="0.2">
      <c r="A147" s="49">
        <v>44593</v>
      </c>
      <c r="B147" s="39">
        <v>0</v>
      </c>
      <c r="C147" s="39">
        <v>0</v>
      </c>
      <c r="D147" s="39">
        <v>3376.5478500000004</v>
      </c>
      <c r="E147" s="39">
        <v>5508.321622530696</v>
      </c>
      <c r="F147" s="39">
        <v>13041.47733</v>
      </c>
      <c r="G147" s="39">
        <v>13846.589067618519</v>
      </c>
      <c r="H147" s="40">
        <v>0.63134712352164524</v>
      </c>
      <c r="I147" s="40">
        <v>6.1734703611106889E-2</v>
      </c>
      <c r="J147" s="40">
        <v>0.17888177645913528</v>
      </c>
    </row>
    <row r="148" spans="1:10" ht="11.25" customHeight="1" x14ac:dyDescent="0.2">
      <c r="A148" s="49">
        <v>44621</v>
      </c>
      <c r="B148" s="39">
        <v>0</v>
      </c>
      <c r="C148" s="39">
        <v>0</v>
      </c>
      <c r="D148" s="39">
        <v>3000.3577500000001</v>
      </c>
      <c r="E148" s="39">
        <v>4894.624984998376</v>
      </c>
      <c r="F148" s="39">
        <v>11588.491950000001</v>
      </c>
      <c r="G148" s="39">
        <v>12303.904065832949</v>
      </c>
      <c r="H148" s="40">
        <v>0.63134712352164524</v>
      </c>
      <c r="I148" s="40">
        <v>6.1734703611106889E-2</v>
      </c>
      <c r="J148" s="40">
        <v>0.17888177645913528</v>
      </c>
    </row>
    <row r="149" spans="1:10" ht="11.25" customHeight="1" x14ac:dyDescent="0.2">
      <c r="A149" s="49">
        <v>44652</v>
      </c>
      <c r="B149" s="39">
        <v>0</v>
      </c>
      <c r="C149" s="39">
        <v>0</v>
      </c>
      <c r="D149" s="39">
        <v>3423.5175000000004</v>
      </c>
      <c r="E149" s="39">
        <v>5584.9454259510148</v>
      </c>
      <c r="F149" s="39">
        <v>13222.891500000002</v>
      </c>
      <c r="G149" s="39">
        <v>14039.202787634325</v>
      </c>
      <c r="H149" s="40">
        <v>0.63134712352164524</v>
      </c>
      <c r="I149" s="40">
        <v>6.1734703611106889E-2</v>
      </c>
      <c r="J149" s="40">
        <v>0.17888177645913528</v>
      </c>
    </row>
    <row r="150" spans="1:10" ht="11.25" customHeight="1" x14ac:dyDescent="0.2">
      <c r="A150" s="49">
        <v>44682</v>
      </c>
      <c r="B150" s="39">
        <v>0</v>
      </c>
      <c r="C150" s="39">
        <v>0</v>
      </c>
      <c r="D150" s="39">
        <v>3356.4901500000005</v>
      </c>
      <c r="E150" s="39">
        <v>5475.6005513312366</v>
      </c>
      <c r="F150" s="39">
        <v>12964.007070000001</v>
      </c>
      <c r="G150" s="39">
        <v>13764.336204078745</v>
      </c>
      <c r="H150" s="40">
        <v>0.63134712352164524</v>
      </c>
      <c r="I150" s="40">
        <v>6.1734703611106889E-2</v>
      </c>
      <c r="J150" s="40">
        <v>0.17888177645913528</v>
      </c>
    </row>
    <row r="151" spans="1:10" ht="11.25" customHeight="1" x14ac:dyDescent="0.2">
      <c r="A151" s="49">
        <v>44713</v>
      </c>
      <c r="B151" s="39">
        <v>0</v>
      </c>
      <c r="C151" s="39">
        <v>0</v>
      </c>
      <c r="D151" s="39">
        <v>3312.1900500000002</v>
      </c>
      <c r="E151" s="39">
        <v>5403.3317106245149</v>
      </c>
      <c r="F151" s="39">
        <v>12792.903689999999</v>
      </c>
      <c r="G151" s="39">
        <v>13582.669807627584</v>
      </c>
      <c r="H151" s="40">
        <v>0.63134712352164524</v>
      </c>
      <c r="I151" s="40">
        <v>6.1734703611106889E-2</v>
      </c>
      <c r="J151" s="40">
        <v>0.17888177645913528</v>
      </c>
    </row>
    <row r="152" spans="1:10" ht="11.25" customHeight="1" x14ac:dyDescent="0.2">
      <c r="A152" s="49">
        <v>44743</v>
      </c>
      <c r="B152" s="39">
        <v>0</v>
      </c>
      <c r="C152" s="39">
        <v>0</v>
      </c>
      <c r="D152" s="39">
        <v>3049.9248000000002</v>
      </c>
      <c r="E152" s="39">
        <v>4975.4860494373297</v>
      </c>
      <c r="F152" s="39">
        <v>11779.938239999999</v>
      </c>
      <c r="G152" s="39">
        <v>12507.169235803543</v>
      </c>
      <c r="H152" s="40">
        <v>0.63134712352164524</v>
      </c>
      <c r="I152" s="40">
        <v>6.1734703611106889E-2</v>
      </c>
      <c r="J152" s="40">
        <v>0.17888177645913528</v>
      </c>
    </row>
    <row r="153" spans="1:10" ht="11.25" customHeight="1" x14ac:dyDescent="0.2">
      <c r="A153" s="49">
        <v>44774</v>
      </c>
      <c r="B153" s="39">
        <v>0</v>
      </c>
      <c r="C153" s="39">
        <v>0</v>
      </c>
      <c r="D153" s="39">
        <v>3419.1163500000007</v>
      </c>
      <c r="E153" s="39">
        <v>5577.7656225583278</v>
      </c>
      <c r="F153" s="39">
        <v>13205.892630000002</v>
      </c>
      <c r="G153" s="39">
        <v>14021.154497433152</v>
      </c>
      <c r="H153" s="40">
        <v>0.63134712352164524</v>
      </c>
      <c r="I153" s="40">
        <v>6.1734703611106889E-2</v>
      </c>
      <c r="J153" s="40">
        <v>0.17888177645913528</v>
      </c>
    </row>
    <row r="154" spans="1:10" ht="11.25" customHeight="1" x14ac:dyDescent="0.2">
      <c r="A154" s="49">
        <v>44805</v>
      </c>
      <c r="B154" s="39">
        <v>0</v>
      </c>
      <c r="C154" s="39">
        <v>0</v>
      </c>
      <c r="D154" s="39">
        <v>3386.721</v>
      </c>
      <c r="E154" s="39">
        <v>5524.9175615203503</v>
      </c>
      <c r="F154" s="39">
        <v>13080.7698</v>
      </c>
      <c r="G154" s="39">
        <v>13888.307246608118</v>
      </c>
      <c r="H154" s="40">
        <v>0.63134712352164546</v>
      </c>
      <c r="I154" s="40">
        <v>6.1734703611106889E-2</v>
      </c>
      <c r="J154" s="40">
        <v>0.17888177645913528</v>
      </c>
    </row>
    <row r="155" spans="1:10" ht="11.25" customHeight="1" x14ac:dyDescent="0.2">
      <c r="A155" s="49">
        <v>44835</v>
      </c>
      <c r="B155" s="39">
        <v>0</v>
      </c>
      <c r="C155" s="39">
        <v>0</v>
      </c>
      <c r="D155" s="39">
        <v>3386.721</v>
      </c>
      <c r="E155" s="39">
        <v>5524.9175615203503</v>
      </c>
      <c r="F155" s="39">
        <v>13080.7698</v>
      </c>
      <c r="G155" s="39">
        <v>13888.307246608118</v>
      </c>
      <c r="H155" s="40">
        <v>0.63134712352164546</v>
      </c>
      <c r="I155" s="40">
        <v>6.1734703611106889E-2</v>
      </c>
      <c r="J155" s="40">
        <v>0.17888177645913528</v>
      </c>
    </row>
    <row r="156" spans="1:10" ht="11.25" customHeight="1" x14ac:dyDescent="0.2">
      <c r="A156" s="48" t="s">
        <v>25</v>
      </c>
      <c r="B156" s="39">
        <v>43260</v>
      </c>
      <c r="C156" s="39">
        <v>49210.683440537912</v>
      </c>
      <c r="D156" s="39">
        <v>0</v>
      </c>
      <c r="E156" s="39">
        <v>0</v>
      </c>
      <c r="F156" s="39">
        <v>0</v>
      </c>
      <c r="G156" s="39">
        <v>0</v>
      </c>
      <c r="H156" s="40">
        <v>0.13755625151497708</v>
      </c>
      <c r="I156" s="40">
        <v>0</v>
      </c>
      <c r="J156" s="40">
        <v>0.13755625151497708</v>
      </c>
    </row>
    <row r="157" spans="1:10" ht="11.25" customHeight="1" x14ac:dyDescent="0.2">
      <c r="A157" s="49">
        <v>44501</v>
      </c>
      <c r="B157" s="39">
        <v>3598</v>
      </c>
      <c r="C157" s="39">
        <v>4092.9273929508886</v>
      </c>
      <c r="D157" s="39">
        <v>0</v>
      </c>
      <c r="E157" s="39">
        <v>0</v>
      </c>
      <c r="F157" s="39">
        <v>0</v>
      </c>
      <c r="G157" s="39">
        <v>0</v>
      </c>
      <c r="H157" s="40">
        <v>0.1375562515149773</v>
      </c>
      <c r="I157" s="40">
        <v>0</v>
      </c>
      <c r="J157" s="40">
        <v>0.1375562515149773</v>
      </c>
    </row>
    <row r="158" spans="1:10" ht="11.25" customHeight="1" x14ac:dyDescent="0.2">
      <c r="A158" s="49">
        <v>44531</v>
      </c>
      <c r="B158" s="39">
        <v>3682</v>
      </c>
      <c r="C158" s="39">
        <v>4188.4821180781464</v>
      </c>
      <c r="D158" s="39">
        <v>0</v>
      </c>
      <c r="E158" s="39">
        <v>0</v>
      </c>
      <c r="F158" s="39">
        <v>0</v>
      </c>
      <c r="G158" s="39">
        <v>0</v>
      </c>
      <c r="H158" s="40">
        <v>0.1375562515149773</v>
      </c>
      <c r="I158" s="40">
        <v>0</v>
      </c>
      <c r="J158" s="40">
        <v>0.1375562515149773</v>
      </c>
    </row>
    <row r="159" spans="1:10" ht="11.25" customHeight="1" x14ac:dyDescent="0.2">
      <c r="A159" s="49">
        <v>44562</v>
      </c>
      <c r="B159" s="39">
        <v>3584</v>
      </c>
      <c r="C159" s="39">
        <v>4077.0016054296789</v>
      </c>
      <c r="D159" s="39">
        <v>0</v>
      </c>
      <c r="E159" s="39">
        <v>0</v>
      </c>
      <c r="F159" s="39">
        <v>0</v>
      </c>
      <c r="G159" s="39">
        <v>0</v>
      </c>
      <c r="H159" s="40">
        <v>0.1375562515149773</v>
      </c>
      <c r="I159" s="40">
        <v>0</v>
      </c>
      <c r="J159" s="40">
        <v>0.1375562515149773</v>
      </c>
    </row>
    <row r="160" spans="1:10" ht="11.25" customHeight="1" x14ac:dyDescent="0.2">
      <c r="A160" s="49">
        <v>44593</v>
      </c>
      <c r="B160" s="39">
        <v>3640</v>
      </c>
      <c r="C160" s="39">
        <v>4140.7047555145173</v>
      </c>
      <c r="D160" s="39">
        <v>0</v>
      </c>
      <c r="E160" s="39">
        <v>0</v>
      </c>
      <c r="F160" s="39">
        <v>0</v>
      </c>
      <c r="G160" s="39">
        <v>0</v>
      </c>
      <c r="H160" s="40">
        <v>0.1375562515149773</v>
      </c>
      <c r="I160" s="40">
        <v>0</v>
      </c>
      <c r="J160" s="40">
        <v>0.1375562515149773</v>
      </c>
    </row>
    <row r="161" spans="1:10" ht="11.25" customHeight="1" x14ac:dyDescent="0.2">
      <c r="A161" s="49">
        <v>44621</v>
      </c>
      <c r="B161" s="39">
        <v>3612</v>
      </c>
      <c r="C161" s="39">
        <v>4108.8531804720978</v>
      </c>
      <c r="D161" s="39">
        <v>0</v>
      </c>
      <c r="E161" s="39">
        <v>0</v>
      </c>
      <c r="F161" s="39">
        <v>0</v>
      </c>
      <c r="G161" s="39">
        <v>0</v>
      </c>
      <c r="H161" s="40">
        <v>0.1375562515149773</v>
      </c>
      <c r="I161" s="40">
        <v>0</v>
      </c>
      <c r="J161" s="40">
        <v>0.1375562515149773</v>
      </c>
    </row>
    <row r="162" spans="1:10" ht="11.25" customHeight="1" x14ac:dyDescent="0.2">
      <c r="A162" s="49">
        <v>44652</v>
      </c>
      <c r="B162" s="39">
        <v>3542</v>
      </c>
      <c r="C162" s="39">
        <v>4029.2242428660497</v>
      </c>
      <c r="D162" s="39">
        <v>0</v>
      </c>
      <c r="E162" s="39">
        <v>0</v>
      </c>
      <c r="F162" s="39">
        <v>0</v>
      </c>
      <c r="G162" s="39">
        <v>0</v>
      </c>
      <c r="H162" s="40">
        <v>0.1375562515149773</v>
      </c>
      <c r="I162" s="40">
        <v>0</v>
      </c>
      <c r="J162" s="40">
        <v>0.1375562515149773</v>
      </c>
    </row>
    <row r="163" spans="1:10" ht="11.25" customHeight="1" x14ac:dyDescent="0.2">
      <c r="A163" s="49">
        <v>44682</v>
      </c>
      <c r="B163" s="39">
        <v>3486</v>
      </c>
      <c r="C163" s="39">
        <v>3965.5210927812109</v>
      </c>
      <c r="D163" s="39">
        <v>0</v>
      </c>
      <c r="E163" s="39">
        <v>0</v>
      </c>
      <c r="F163" s="39">
        <v>0</v>
      </c>
      <c r="G163" s="39">
        <v>0</v>
      </c>
      <c r="H163" s="40">
        <v>0.1375562515149773</v>
      </c>
      <c r="I163" s="40">
        <v>0</v>
      </c>
      <c r="J163" s="40">
        <v>0.1375562515149773</v>
      </c>
    </row>
    <row r="164" spans="1:10" ht="11.25" customHeight="1" x14ac:dyDescent="0.2">
      <c r="A164" s="49">
        <v>44713</v>
      </c>
      <c r="B164" s="39">
        <v>3486</v>
      </c>
      <c r="C164" s="39">
        <v>3965.5210927812109</v>
      </c>
      <c r="D164" s="39">
        <v>0</v>
      </c>
      <c r="E164" s="39">
        <v>0</v>
      </c>
      <c r="F164" s="39">
        <v>0</v>
      </c>
      <c r="G164" s="39">
        <v>0</v>
      </c>
      <c r="H164" s="40">
        <v>0.1375562515149773</v>
      </c>
      <c r="I164" s="40">
        <v>0</v>
      </c>
      <c r="J164" s="40">
        <v>0.1375562515149773</v>
      </c>
    </row>
    <row r="165" spans="1:10" ht="11.25" customHeight="1" x14ac:dyDescent="0.2">
      <c r="A165" s="49">
        <v>44743</v>
      </c>
      <c r="B165" s="39">
        <v>3556</v>
      </c>
      <c r="C165" s="39">
        <v>4045.1500303872594</v>
      </c>
      <c r="D165" s="39">
        <v>0</v>
      </c>
      <c r="E165" s="39">
        <v>0</v>
      </c>
      <c r="F165" s="39">
        <v>0</v>
      </c>
      <c r="G165" s="39">
        <v>0</v>
      </c>
      <c r="H165" s="40">
        <v>0.1375562515149773</v>
      </c>
      <c r="I165" s="40">
        <v>0</v>
      </c>
      <c r="J165" s="40">
        <v>0.1375562515149773</v>
      </c>
    </row>
    <row r="166" spans="1:10" ht="11.25" customHeight="1" x14ac:dyDescent="0.2">
      <c r="A166" s="49">
        <v>44774</v>
      </c>
      <c r="B166" s="39">
        <v>3990</v>
      </c>
      <c r="C166" s="39">
        <v>4538.8494435447601</v>
      </c>
      <c r="D166" s="39">
        <v>0</v>
      </c>
      <c r="E166" s="39">
        <v>0</v>
      </c>
      <c r="F166" s="39">
        <v>0</v>
      </c>
      <c r="G166" s="39">
        <v>0</v>
      </c>
      <c r="H166" s="40">
        <v>0.13755625151497752</v>
      </c>
      <c r="I166" s="40">
        <v>0</v>
      </c>
      <c r="J166" s="40">
        <v>0.13755625151497752</v>
      </c>
    </row>
    <row r="167" spans="1:10" ht="11.25" customHeight="1" x14ac:dyDescent="0.2">
      <c r="A167" s="49">
        <v>44805</v>
      </c>
      <c r="B167" s="39">
        <v>3542</v>
      </c>
      <c r="C167" s="39">
        <v>4029.2242428660497</v>
      </c>
      <c r="D167" s="39">
        <v>0</v>
      </c>
      <c r="E167" s="39">
        <v>0</v>
      </c>
      <c r="F167" s="39">
        <v>0</v>
      </c>
      <c r="G167" s="39">
        <v>0</v>
      </c>
      <c r="H167" s="40">
        <v>0.1375562515149773</v>
      </c>
      <c r="I167" s="40">
        <v>0</v>
      </c>
      <c r="J167" s="40">
        <v>0.1375562515149773</v>
      </c>
    </row>
    <row r="168" spans="1:10" ht="11.25" customHeight="1" x14ac:dyDescent="0.2">
      <c r="A168" s="49">
        <v>44835</v>
      </c>
      <c r="B168" s="39">
        <v>3542</v>
      </c>
      <c r="C168" s="39">
        <v>4029.2242428660497</v>
      </c>
      <c r="D168" s="39">
        <v>0</v>
      </c>
      <c r="E168" s="39">
        <v>0</v>
      </c>
      <c r="F168" s="39">
        <v>0</v>
      </c>
      <c r="G168" s="39">
        <v>0</v>
      </c>
      <c r="H168" s="40">
        <v>0.1375562515149773</v>
      </c>
      <c r="I168" s="40">
        <v>0</v>
      </c>
      <c r="J168" s="40">
        <v>0.1375562515149773</v>
      </c>
    </row>
    <row r="169" spans="1:10" ht="11.25" customHeight="1" x14ac:dyDescent="0.2">
      <c r="A169" s="48" t="s">
        <v>34</v>
      </c>
      <c r="B169" s="39">
        <v>0</v>
      </c>
      <c r="C169" s="39">
        <v>0</v>
      </c>
      <c r="D169" s="39">
        <v>55237.096479999986</v>
      </c>
      <c r="E169" s="39">
        <v>65100.989901718771</v>
      </c>
      <c r="F169" s="39">
        <v>26011.824960000002</v>
      </c>
      <c r="G169" s="39">
        <v>28010.478982969202</v>
      </c>
      <c r="H169" s="40">
        <v>0.17857371314385184</v>
      </c>
      <c r="I169" s="40">
        <v>7.6836362925041035E-2</v>
      </c>
      <c r="J169" s="40">
        <v>0.14600252205745434</v>
      </c>
    </row>
    <row r="170" spans="1:10" ht="11.25" customHeight="1" x14ac:dyDescent="0.2">
      <c r="A170" s="49">
        <v>44501</v>
      </c>
      <c r="B170" s="39">
        <v>0</v>
      </c>
      <c r="C170" s="39">
        <v>0</v>
      </c>
      <c r="D170" s="39">
        <v>4208.4242499999991</v>
      </c>
      <c r="E170" s="39">
        <v>4959.9381948071277</v>
      </c>
      <c r="F170" s="39">
        <v>1981.7984999999999</v>
      </c>
      <c r="G170" s="39">
        <v>2134.072688790302</v>
      </c>
      <c r="H170" s="40">
        <v>0.17857371314385162</v>
      </c>
      <c r="I170" s="40">
        <v>7.6836362925041035E-2</v>
      </c>
      <c r="J170" s="40">
        <v>0.14600252205745434</v>
      </c>
    </row>
    <row r="171" spans="1:10" ht="11.25" customHeight="1" x14ac:dyDescent="0.2">
      <c r="A171" s="49">
        <v>44531</v>
      </c>
      <c r="B171" s="39">
        <v>0</v>
      </c>
      <c r="C171" s="39">
        <v>0</v>
      </c>
      <c r="D171" s="39">
        <v>4001.5296499999995</v>
      </c>
      <c r="E171" s="39">
        <v>4716.0976578557165</v>
      </c>
      <c r="F171" s="39">
        <v>1884.3693000000001</v>
      </c>
      <c r="G171" s="39">
        <v>2029.1573834196058</v>
      </c>
      <c r="H171" s="40">
        <v>0.17857371314385162</v>
      </c>
      <c r="I171" s="40">
        <v>7.6836362925041257E-2</v>
      </c>
      <c r="J171" s="40">
        <v>0.14600252205745434</v>
      </c>
    </row>
    <row r="172" spans="1:10" ht="11.25" customHeight="1" x14ac:dyDescent="0.2">
      <c r="A172" s="49">
        <v>44562</v>
      </c>
      <c r="B172" s="39">
        <v>0</v>
      </c>
      <c r="C172" s="39">
        <v>0</v>
      </c>
      <c r="D172" s="39">
        <v>4866.7252499999995</v>
      </c>
      <c r="E172" s="39">
        <v>5735.7944487434388</v>
      </c>
      <c r="F172" s="39">
        <v>2291.8004999999998</v>
      </c>
      <c r="G172" s="39">
        <v>2467.8941149697907</v>
      </c>
      <c r="H172" s="40">
        <v>0.17857371314385162</v>
      </c>
      <c r="I172" s="40">
        <v>7.6836362925041257E-2</v>
      </c>
      <c r="J172" s="40">
        <v>0.14600252205745434</v>
      </c>
    </row>
    <row r="173" spans="1:10" ht="11.25" customHeight="1" x14ac:dyDescent="0.2">
      <c r="A173" s="49">
        <v>44593</v>
      </c>
      <c r="B173" s="39">
        <v>0</v>
      </c>
      <c r="C173" s="39">
        <v>0</v>
      </c>
      <c r="D173" s="39">
        <v>4508.4214199999997</v>
      </c>
      <c r="E173" s="39">
        <v>5313.5069733866749</v>
      </c>
      <c r="F173" s="39">
        <v>2123.0708399999999</v>
      </c>
      <c r="G173" s="39">
        <v>2286.199881577812</v>
      </c>
      <c r="H173" s="40">
        <v>0.1785737131438514</v>
      </c>
      <c r="I173" s="40">
        <v>7.6836362925041257E-2</v>
      </c>
      <c r="J173" s="40">
        <v>0.14600252205745434</v>
      </c>
    </row>
    <row r="174" spans="1:10" ht="11.25" customHeight="1" x14ac:dyDescent="0.2">
      <c r="A174" s="49">
        <v>44621</v>
      </c>
      <c r="B174" s="39">
        <v>0</v>
      </c>
      <c r="C174" s="39">
        <v>0</v>
      </c>
      <c r="D174" s="39">
        <v>4296.82467</v>
      </c>
      <c r="E174" s="39">
        <v>5064.1246060500043</v>
      </c>
      <c r="F174" s="39">
        <v>2023.42734</v>
      </c>
      <c r="G174" s="39">
        <v>2178.9001374486907</v>
      </c>
      <c r="H174" s="40">
        <v>0.1785737131438514</v>
      </c>
      <c r="I174" s="40">
        <v>7.6836362925041257E-2</v>
      </c>
      <c r="J174" s="40">
        <v>0.14600252205745434</v>
      </c>
    </row>
    <row r="175" spans="1:10" ht="11.25" customHeight="1" x14ac:dyDescent="0.2">
      <c r="A175" s="49">
        <v>44652</v>
      </c>
      <c r="B175" s="39">
        <v>0</v>
      </c>
      <c r="C175" s="39">
        <v>0</v>
      </c>
      <c r="D175" s="39">
        <v>4959.8278199999995</v>
      </c>
      <c r="E175" s="39">
        <v>5845.5226903715738</v>
      </c>
      <c r="F175" s="39">
        <v>2335.6436400000002</v>
      </c>
      <c r="G175" s="39">
        <v>2515.1060023866044</v>
      </c>
      <c r="H175" s="40">
        <v>0.17857371314385162</v>
      </c>
      <c r="I175" s="40">
        <v>7.6836362925041035E-2</v>
      </c>
      <c r="J175" s="40">
        <v>0.14600252205745434</v>
      </c>
    </row>
    <row r="176" spans="1:10" ht="11.25" customHeight="1" x14ac:dyDescent="0.2">
      <c r="A176" s="49">
        <v>44682</v>
      </c>
      <c r="B176" s="39">
        <v>0</v>
      </c>
      <c r="C176" s="39">
        <v>0</v>
      </c>
      <c r="D176" s="39">
        <v>4341.024879999999</v>
      </c>
      <c r="E176" s="39">
        <v>5116.2178116714422</v>
      </c>
      <c r="F176" s="39">
        <v>2044.2417599999999</v>
      </c>
      <c r="G176" s="39">
        <v>2201.313861777885</v>
      </c>
      <c r="H176" s="40">
        <v>0.17857371314385162</v>
      </c>
      <c r="I176" s="40">
        <v>7.6836362925041257E-2</v>
      </c>
      <c r="J176" s="40">
        <v>0.14600252205745456</v>
      </c>
    </row>
    <row r="177" spans="1:10" ht="11.25" customHeight="1" x14ac:dyDescent="0.2">
      <c r="A177" s="49">
        <v>44713</v>
      </c>
      <c r="B177" s="39">
        <v>0</v>
      </c>
      <c r="C177" s="39">
        <v>0</v>
      </c>
      <c r="D177" s="39">
        <v>4785.8482700000004</v>
      </c>
      <c r="E177" s="39">
        <v>5640.4749661169781</v>
      </c>
      <c r="F177" s="39">
        <v>2253.7145400000004</v>
      </c>
      <c r="G177" s="39">
        <v>2426.8817683248826</v>
      </c>
      <c r="H177" s="40">
        <v>0.1785737131438514</v>
      </c>
      <c r="I177" s="40">
        <v>7.6836362925041257E-2</v>
      </c>
      <c r="J177" s="40">
        <v>0.14600252205745412</v>
      </c>
    </row>
    <row r="178" spans="1:10" ht="11.25" customHeight="1" x14ac:dyDescent="0.2">
      <c r="A178" s="49">
        <v>44743</v>
      </c>
      <c r="B178" s="39">
        <v>0</v>
      </c>
      <c r="C178" s="39">
        <v>0</v>
      </c>
      <c r="D178" s="39">
        <v>4479.2680899999996</v>
      </c>
      <c r="E178" s="39">
        <v>5279.1476249980678</v>
      </c>
      <c r="F178" s="39">
        <v>2109.3421800000001</v>
      </c>
      <c r="G178" s="39">
        <v>2271.4163612755774</v>
      </c>
      <c r="H178" s="40">
        <v>0.17857371314385162</v>
      </c>
      <c r="I178" s="40">
        <v>7.6836362925041035E-2</v>
      </c>
      <c r="J178" s="40">
        <v>0.14600252205745456</v>
      </c>
    </row>
    <row r="179" spans="1:10" ht="11.25" customHeight="1" x14ac:dyDescent="0.2">
      <c r="A179" s="49">
        <v>44774</v>
      </c>
      <c r="B179" s="39">
        <v>0</v>
      </c>
      <c r="C179" s="39">
        <v>0</v>
      </c>
      <c r="D179" s="39">
        <v>4651.3667799999994</v>
      </c>
      <c r="E179" s="39">
        <v>5481.9786170985599</v>
      </c>
      <c r="F179" s="39">
        <v>2190.3855600000002</v>
      </c>
      <c r="G179" s="39">
        <v>2358.6868198339293</v>
      </c>
      <c r="H179" s="40">
        <v>0.17857371314385162</v>
      </c>
      <c r="I179" s="40">
        <v>7.6836362925041035E-2</v>
      </c>
      <c r="J179" s="40">
        <v>0.14600252205745456</v>
      </c>
    </row>
    <row r="180" spans="1:10" ht="11.25" customHeight="1" x14ac:dyDescent="0.2">
      <c r="A180" s="49">
        <v>44805</v>
      </c>
      <c r="B180" s="39">
        <v>0</v>
      </c>
      <c r="C180" s="39">
        <v>0</v>
      </c>
      <c r="D180" s="39">
        <v>5068.9176999999991</v>
      </c>
      <c r="E180" s="39">
        <v>5974.0931553095907</v>
      </c>
      <c r="F180" s="39">
        <v>2387.0153999999998</v>
      </c>
      <c r="G180" s="39">
        <v>2570.4249815820622</v>
      </c>
      <c r="H180" s="40">
        <v>0.17857371314385162</v>
      </c>
      <c r="I180" s="40">
        <v>7.6836362925041257E-2</v>
      </c>
      <c r="J180" s="40">
        <v>0.14600252205745434</v>
      </c>
    </row>
    <row r="181" spans="1:10" ht="11.25" customHeight="1" x14ac:dyDescent="0.2">
      <c r="A181" s="49">
        <v>44835</v>
      </c>
      <c r="B181" s="39">
        <v>0</v>
      </c>
      <c r="C181" s="39">
        <v>0</v>
      </c>
      <c r="D181" s="39">
        <v>5068.9176999999991</v>
      </c>
      <c r="E181" s="39">
        <v>5974.0931553095907</v>
      </c>
      <c r="F181" s="39">
        <v>2387.0153999999998</v>
      </c>
      <c r="G181" s="39">
        <v>2570.4249815820622</v>
      </c>
      <c r="H181" s="40">
        <v>0.17857371314385162</v>
      </c>
      <c r="I181" s="40">
        <v>7.6836362925041257E-2</v>
      </c>
      <c r="J181" s="40">
        <v>0.14600252205745434</v>
      </c>
    </row>
    <row r="182" spans="1:10" ht="11.25" customHeight="1" x14ac:dyDescent="0.2">
      <c r="A182" s="44" t="s">
        <v>38</v>
      </c>
      <c r="B182" s="39">
        <v>1447768</v>
      </c>
      <c r="C182" s="39">
        <v>1646917.5391433358</v>
      </c>
      <c r="D182" s="39">
        <v>3606379.8207399999</v>
      </c>
      <c r="E182" s="39">
        <v>4997232.9925586078</v>
      </c>
      <c r="F182" s="39">
        <v>7292489.0622000014</v>
      </c>
      <c r="G182" s="39">
        <v>7756605.1928748628</v>
      </c>
      <c r="H182" s="40">
        <v>0.31459363029258292</v>
      </c>
      <c r="I182" s="40">
        <v>6.3643034184387215E-2</v>
      </c>
      <c r="J182" s="40">
        <v>0.16637071788148972</v>
      </c>
    </row>
    <row r="183" spans="1:10" ht="11.25" customHeight="1" x14ac:dyDescent="0.2">
      <c r="A183" s="45" t="s">
        <v>25</v>
      </c>
      <c r="B183" s="39">
        <v>1447768</v>
      </c>
      <c r="C183" s="39">
        <v>1646917.5391433358</v>
      </c>
      <c r="D183" s="39">
        <v>3606379.8207399999</v>
      </c>
      <c r="E183" s="39">
        <v>4997232.9925586078</v>
      </c>
      <c r="F183" s="39">
        <v>7292489.0622000014</v>
      </c>
      <c r="G183" s="39">
        <v>7756605.1928748628</v>
      </c>
      <c r="H183" s="40">
        <v>0.31459363029258292</v>
      </c>
      <c r="I183" s="40">
        <v>6.3643034184387215E-2</v>
      </c>
      <c r="J183" s="40">
        <v>0.16637071788148972</v>
      </c>
    </row>
    <row r="184" spans="1:10" ht="11.25" customHeight="1" x14ac:dyDescent="0.2">
      <c r="A184" s="46" t="s">
        <v>25</v>
      </c>
      <c r="B184" s="39">
        <v>1447768</v>
      </c>
      <c r="C184" s="39">
        <v>1646917.5391433358</v>
      </c>
      <c r="D184" s="39">
        <v>3606379.8207399999</v>
      </c>
      <c r="E184" s="39">
        <v>4997232.9925586078</v>
      </c>
      <c r="F184" s="39">
        <v>7292489.0622000014</v>
      </c>
      <c r="G184" s="39">
        <v>7756605.1928748628</v>
      </c>
      <c r="H184" s="40">
        <v>0.31459363029258292</v>
      </c>
      <c r="I184" s="40">
        <v>6.3643034184387215E-2</v>
      </c>
      <c r="J184" s="40">
        <v>0.16637071788148972</v>
      </c>
    </row>
    <row r="185" spans="1:10" ht="11.25" customHeight="1" x14ac:dyDescent="0.2">
      <c r="A185" s="47" t="s">
        <v>25</v>
      </c>
      <c r="B185" s="39">
        <v>1447768</v>
      </c>
      <c r="C185" s="39">
        <v>1646917.5391433358</v>
      </c>
      <c r="D185" s="39">
        <v>3606379.8207399999</v>
      </c>
      <c r="E185" s="39">
        <v>4997232.9925586078</v>
      </c>
      <c r="F185" s="39">
        <v>7292489.0622000014</v>
      </c>
      <c r="G185" s="39">
        <v>7756605.1928748628</v>
      </c>
      <c r="H185" s="40">
        <v>0.31459363029258292</v>
      </c>
      <c r="I185" s="40">
        <v>6.3643034184387215E-2</v>
      </c>
      <c r="J185" s="40">
        <v>0.16637071788148972</v>
      </c>
    </row>
    <row r="186" spans="1:10" ht="11.25" customHeight="1" x14ac:dyDescent="0.2">
      <c r="A186" s="48" t="s">
        <v>35</v>
      </c>
      <c r="B186" s="39">
        <v>0</v>
      </c>
      <c r="C186" s="39">
        <v>0</v>
      </c>
      <c r="D186" s="39">
        <v>1649497.3404000001</v>
      </c>
      <c r="E186" s="39">
        <v>2690902.7415181445</v>
      </c>
      <c r="F186" s="39">
        <v>6370969.1455200016</v>
      </c>
      <c r="G186" s="39">
        <v>6764279.0374341849</v>
      </c>
      <c r="H186" s="40">
        <v>0.6313471235216459</v>
      </c>
      <c r="I186" s="40">
        <v>6.1734703611106889E-2</v>
      </c>
      <c r="J186" s="40">
        <v>0.1788817764591355</v>
      </c>
    </row>
    <row r="187" spans="1:10" ht="11.25" customHeight="1" x14ac:dyDescent="0.2">
      <c r="A187" s="49">
        <v>44501</v>
      </c>
      <c r="B187" s="39">
        <v>0</v>
      </c>
      <c r="C187" s="39">
        <v>0</v>
      </c>
      <c r="D187" s="39">
        <v>142736.00445000001</v>
      </c>
      <c r="E187" s="39">
        <v>232851.9702824803</v>
      </c>
      <c r="F187" s="39">
        <v>551299.27041000011</v>
      </c>
      <c r="G187" s="39">
        <v>585333.56746978092</v>
      </c>
      <c r="H187" s="40">
        <v>0.63134712352164546</v>
      </c>
      <c r="I187" s="40">
        <v>6.1734703611106889E-2</v>
      </c>
      <c r="J187" s="40">
        <v>0.17888177645913528</v>
      </c>
    </row>
    <row r="188" spans="1:10" ht="11.25" customHeight="1" x14ac:dyDescent="0.2">
      <c r="A188" s="49">
        <v>44531</v>
      </c>
      <c r="B188" s="39">
        <v>0</v>
      </c>
      <c r="C188" s="39">
        <v>0</v>
      </c>
      <c r="D188" s="39">
        <v>140081.10090000002</v>
      </c>
      <c r="E188" s="39">
        <v>228520.90101296038</v>
      </c>
      <c r="F188" s="39">
        <v>541045.0504200001</v>
      </c>
      <c r="G188" s="39">
        <v>574446.30624793516</v>
      </c>
      <c r="H188" s="40">
        <v>0.63134712352164524</v>
      </c>
      <c r="I188" s="40">
        <v>6.1734703611106889E-2</v>
      </c>
      <c r="J188" s="40">
        <v>0.17888177645913506</v>
      </c>
    </row>
    <row r="189" spans="1:10" ht="11.25" customHeight="1" x14ac:dyDescent="0.2">
      <c r="A189" s="49">
        <v>44562</v>
      </c>
      <c r="B189" s="39">
        <v>0</v>
      </c>
      <c r="C189" s="39">
        <v>0</v>
      </c>
      <c r="D189" s="39">
        <v>128112.13740000001</v>
      </c>
      <c r="E189" s="39">
        <v>208995.36683569982</v>
      </c>
      <c r="F189" s="39">
        <v>494816.48412000004</v>
      </c>
      <c r="G189" s="39">
        <v>525363.83310903818</v>
      </c>
      <c r="H189" s="40">
        <v>0.63134712352164546</v>
      </c>
      <c r="I189" s="40">
        <v>6.1734703611106889E-2</v>
      </c>
      <c r="J189" s="40">
        <v>0.1788817764591355</v>
      </c>
    </row>
    <row r="190" spans="1:10" ht="11.25" customHeight="1" x14ac:dyDescent="0.2">
      <c r="A190" s="49">
        <v>44593</v>
      </c>
      <c r="B190" s="39">
        <v>0</v>
      </c>
      <c r="C190" s="39">
        <v>0</v>
      </c>
      <c r="D190" s="39">
        <v>126121.15815</v>
      </c>
      <c r="E190" s="39">
        <v>205747.38856322103</v>
      </c>
      <c r="F190" s="39">
        <v>487126.58547000005</v>
      </c>
      <c r="G190" s="39">
        <v>517199.20084508095</v>
      </c>
      <c r="H190" s="40">
        <v>0.63134712352164546</v>
      </c>
      <c r="I190" s="40">
        <v>6.1734703611106667E-2</v>
      </c>
      <c r="J190" s="40">
        <v>0.17888177645913528</v>
      </c>
    </row>
    <row r="191" spans="1:10" ht="11.25" customHeight="1" x14ac:dyDescent="0.2">
      <c r="A191" s="49">
        <v>44621</v>
      </c>
      <c r="B191" s="39">
        <v>0</v>
      </c>
      <c r="C191" s="39">
        <v>0</v>
      </c>
      <c r="D191" s="39">
        <v>127436.09190000001</v>
      </c>
      <c r="E191" s="39">
        <v>207892.50195390504</v>
      </c>
      <c r="F191" s="39">
        <v>492205.34622000001</v>
      </c>
      <c r="G191" s="39">
        <v>522591.49738469394</v>
      </c>
      <c r="H191" s="40">
        <v>0.63134712352164502</v>
      </c>
      <c r="I191" s="40">
        <v>6.1734703611106889E-2</v>
      </c>
      <c r="J191" s="40">
        <v>0.17888177645913506</v>
      </c>
    </row>
    <row r="192" spans="1:10" ht="11.25" customHeight="1" x14ac:dyDescent="0.2">
      <c r="A192" s="49">
        <v>44652</v>
      </c>
      <c r="B192" s="39">
        <v>0</v>
      </c>
      <c r="C192" s="39">
        <v>0</v>
      </c>
      <c r="D192" s="39">
        <v>143464.71945</v>
      </c>
      <c r="E192" s="39">
        <v>234040.75740159737</v>
      </c>
      <c r="F192" s="39">
        <v>554113.83741000004</v>
      </c>
      <c r="G192" s="39">
        <v>588321.89092931943</v>
      </c>
      <c r="H192" s="40">
        <v>0.63134712352164546</v>
      </c>
      <c r="I192" s="40">
        <v>6.1734703611106889E-2</v>
      </c>
      <c r="J192" s="40">
        <v>0.17888177645913528</v>
      </c>
    </row>
    <row r="193" spans="1:10" ht="11.25" customHeight="1" x14ac:dyDescent="0.2">
      <c r="A193" s="49">
        <v>44682</v>
      </c>
      <c r="B193" s="39">
        <v>0</v>
      </c>
      <c r="C193" s="39">
        <v>0</v>
      </c>
      <c r="D193" s="39">
        <v>131043.30330000003</v>
      </c>
      <c r="E193" s="39">
        <v>213777.11589522957</v>
      </c>
      <c r="F193" s="39">
        <v>506137.73154000007</v>
      </c>
      <c r="G193" s="39">
        <v>537383.99438301998</v>
      </c>
      <c r="H193" s="40">
        <v>0.63134712352164524</v>
      </c>
      <c r="I193" s="40">
        <v>6.1734703611106889E-2</v>
      </c>
      <c r="J193" s="40">
        <v>0.17888177645913528</v>
      </c>
    </row>
    <row r="194" spans="1:10" ht="11.25" customHeight="1" x14ac:dyDescent="0.2">
      <c r="A194" s="49">
        <v>44713</v>
      </c>
      <c r="B194" s="39">
        <v>0</v>
      </c>
      <c r="C194" s="39">
        <v>0</v>
      </c>
      <c r="D194" s="39">
        <v>139284.63705000002</v>
      </c>
      <c r="E194" s="39">
        <v>227221.59200227389</v>
      </c>
      <c r="F194" s="39">
        <v>537968.81229000003</v>
      </c>
      <c r="G194" s="39">
        <v>571180.15746874246</v>
      </c>
      <c r="H194" s="40">
        <v>0.63134712352164502</v>
      </c>
      <c r="I194" s="40">
        <v>6.1734703611107111E-2</v>
      </c>
      <c r="J194" s="40">
        <v>0.1788817764591355</v>
      </c>
    </row>
    <row r="195" spans="1:10" ht="11.25" customHeight="1" x14ac:dyDescent="0.2">
      <c r="A195" s="49">
        <v>44743</v>
      </c>
      <c r="B195" s="39">
        <v>0</v>
      </c>
      <c r="C195" s="39">
        <v>0</v>
      </c>
      <c r="D195" s="39">
        <v>130042.43850000002</v>
      </c>
      <c r="E195" s="39">
        <v>212144.3579827155</v>
      </c>
      <c r="F195" s="39">
        <v>502272.02130000008</v>
      </c>
      <c r="G195" s="39">
        <v>533279.63566710707</v>
      </c>
      <c r="H195" s="40">
        <v>0.63134712352164546</v>
      </c>
      <c r="I195" s="40">
        <v>6.1734703611106667E-2</v>
      </c>
      <c r="J195" s="40">
        <v>0.17888177645913528</v>
      </c>
    </row>
    <row r="196" spans="1:10" ht="11.25" customHeight="1" x14ac:dyDescent="0.2">
      <c r="A196" s="49">
        <v>44774</v>
      </c>
      <c r="B196" s="39">
        <v>0</v>
      </c>
      <c r="C196" s="39">
        <v>0</v>
      </c>
      <c r="D196" s="39">
        <v>141772.00830000002</v>
      </c>
      <c r="E196" s="39">
        <v>231279.35793609187</v>
      </c>
      <c r="F196" s="39">
        <v>547575.96054</v>
      </c>
      <c r="G196" s="39">
        <v>581380.4001685041</v>
      </c>
      <c r="H196" s="40">
        <v>0.63134712352164546</v>
      </c>
      <c r="I196" s="40">
        <v>6.1734703611106889E-2</v>
      </c>
      <c r="J196" s="40">
        <v>0.1788817764591355</v>
      </c>
    </row>
    <row r="197" spans="1:10" ht="11.25" customHeight="1" x14ac:dyDescent="0.2">
      <c r="A197" s="49">
        <v>44805</v>
      </c>
      <c r="B197" s="39">
        <v>0</v>
      </c>
      <c r="C197" s="39">
        <v>0</v>
      </c>
      <c r="D197" s="39">
        <v>149701.87050000002</v>
      </c>
      <c r="E197" s="39">
        <v>244215.71582598487</v>
      </c>
      <c r="F197" s="39">
        <v>578204.02289999998</v>
      </c>
      <c r="G197" s="39">
        <v>613899.27688048116</v>
      </c>
      <c r="H197" s="40">
        <v>0.63134712352164524</v>
      </c>
      <c r="I197" s="40">
        <v>6.1734703611106889E-2</v>
      </c>
      <c r="J197" s="40">
        <v>0.1788817764591355</v>
      </c>
    </row>
    <row r="198" spans="1:10" ht="11.25" customHeight="1" x14ac:dyDescent="0.2">
      <c r="A198" s="49">
        <v>44835</v>
      </c>
      <c r="B198" s="39">
        <v>0</v>
      </c>
      <c r="C198" s="39">
        <v>0</v>
      </c>
      <c r="D198" s="39">
        <v>149701.87050000002</v>
      </c>
      <c r="E198" s="39">
        <v>244215.71582598487</v>
      </c>
      <c r="F198" s="39">
        <v>578204.02289999998</v>
      </c>
      <c r="G198" s="39">
        <v>613899.27688048116</v>
      </c>
      <c r="H198" s="40">
        <v>0.63134712352164524</v>
      </c>
      <c r="I198" s="40">
        <v>6.1734703611106889E-2</v>
      </c>
      <c r="J198" s="40">
        <v>0.1788817764591355</v>
      </c>
    </row>
    <row r="199" spans="1:10" ht="11.25" customHeight="1" x14ac:dyDescent="0.2">
      <c r="A199" s="48" t="s">
        <v>25</v>
      </c>
      <c r="B199" s="39">
        <v>1447768</v>
      </c>
      <c r="C199" s="39">
        <v>1646917.5391433358</v>
      </c>
      <c r="D199" s="39">
        <v>0</v>
      </c>
      <c r="E199" s="39">
        <v>0</v>
      </c>
      <c r="F199" s="39">
        <v>0</v>
      </c>
      <c r="G199" s="39">
        <v>0</v>
      </c>
      <c r="H199" s="40">
        <v>0.1375562515149773</v>
      </c>
      <c r="I199" s="40">
        <v>0</v>
      </c>
      <c r="J199" s="40">
        <v>0.1375562515149773</v>
      </c>
    </row>
    <row r="200" spans="1:10" ht="11.25" customHeight="1" x14ac:dyDescent="0.2">
      <c r="A200" s="49">
        <v>44501</v>
      </c>
      <c r="B200" s="39">
        <v>127526</v>
      </c>
      <c r="C200" s="39">
        <v>145067.998530699</v>
      </c>
      <c r="D200" s="39">
        <v>0</v>
      </c>
      <c r="E200" s="39">
        <v>0</v>
      </c>
      <c r="F200" s="39">
        <v>0</v>
      </c>
      <c r="G200" s="39">
        <v>0</v>
      </c>
      <c r="H200" s="40">
        <v>0.1375562515149773</v>
      </c>
      <c r="I200" s="40">
        <v>0</v>
      </c>
      <c r="J200" s="40">
        <v>0.1375562515149773</v>
      </c>
    </row>
    <row r="201" spans="1:10" ht="11.25" customHeight="1" x14ac:dyDescent="0.2">
      <c r="A201" s="49">
        <v>44531</v>
      </c>
      <c r="B201" s="39">
        <v>126896</v>
      </c>
      <c r="C201" s="39">
        <v>144351.33809224458</v>
      </c>
      <c r="D201" s="39">
        <v>0</v>
      </c>
      <c r="E201" s="39">
        <v>0</v>
      </c>
      <c r="F201" s="39">
        <v>0</v>
      </c>
      <c r="G201" s="39">
        <v>0</v>
      </c>
      <c r="H201" s="40">
        <v>0.13755625151497752</v>
      </c>
      <c r="I201" s="40">
        <v>0</v>
      </c>
      <c r="J201" s="40">
        <v>0.13755625151497752</v>
      </c>
    </row>
    <row r="202" spans="1:10" ht="11.25" customHeight="1" x14ac:dyDescent="0.2">
      <c r="A202" s="49">
        <v>44562</v>
      </c>
      <c r="B202" s="39">
        <v>125972</v>
      </c>
      <c r="C202" s="39">
        <v>143300.23611584472</v>
      </c>
      <c r="D202" s="39">
        <v>0</v>
      </c>
      <c r="E202" s="39">
        <v>0</v>
      </c>
      <c r="F202" s="39">
        <v>0</v>
      </c>
      <c r="G202" s="39">
        <v>0</v>
      </c>
      <c r="H202" s="40">
        <v>0.1375562515149773</v>
      </c>
      <c r="I202" s="40">
        <v>0</v>
      </c>
      <c r="J202" s="40">
        <v>0.1375562515149773</v>
      </c>
    </row>
    <row r="203" spans="1:10" ht="11.25" customHeight="1" x14ac:dyDescent="0.2">
      <c r="A203" s="49">
        <v>44593</v>
      </c>
      <c r="B203" s="39">
        <v>120022</v>
      </c>
      <c r="C203" s="39">
        <v>136531.77641933062</v>
      </c>
      <c r="D203" s="39">
        <v>0</v>
      </c>
      <c r="E203" s="39">
        <v>0</v>
      </c>
      <c r="F203" s="39">
        <v>0</v>
      </c>
      <c r="G203" s="39">
        <v>0</v>
      </c>
      <c r="H203" s="40">
        <v>0.13755625151497752</v>
      </c>
      <c r="I203" s="40">
        <v>0</v>
      </c>
      <c r="J203" s="40">
        <v>0.13755625151497752</v>
      </c>
    </row>
    <row r="204" spans="1:10" ht="11.25" customHeight="1" x14ac:dyDescent="0.2">
      <c r="A204" s="49">
        <v>44621</v>
      </c>
      <c r="B204" s="39">
        <v>118538</v>
      </c>
      <c r="C204" s="39">
        <v>134843.6429420824</v>
      </c>
      <c r="D204" s="39">
        <v>0</v>
      </c>
      <c r="E204" s="39">
        <v>0</v>
      </c>
      <c r="F204" s="39">
        <v>0</v>
      </c>
      <c r="G204" s="39">
        <v>0</v>
      </c>
      <c r="H204" s="40">
        <v>0.13755625151497752</v>
      </c>
      <c r="I204" s="40">
        <v>0</v>
      </c>
      <c r="J204" s="40">
        <v>0.13755625151497752</v>
      </c>
    </row>
    <row r="205" spans="1:10" ht="11.25" customHeight="1" x14ac:dyDescent="0.2">
      <c r="A205" s="49">
        <v>44652</v>
      </c>
      <c r="B205" s="39">
        <v>118902</v>
      </c>
      <c r="C205" s="39">
        <v>135257.71341763384</v>
      </c>
      <c r="D205" s="39">
        <v>0</v>
      </c>
      <c r="E205" s="39">
        <v>0</v>
      </c>
      <c r="F205" s="39">
        <v>0</v>
      </c>
      <c r="G205" s="39">
        <v>0</v>
      </c>
      <c r="H205" s="40">
        <v>0.1375562515149773</v>
      </c>
      <c r="I205" s="40">
        <v>0</v>
      </c>
      <c r="J205" s="40">
        <v>0.1375562515149773</v>
      </c>
    </row>
    <row r="206" spans="1:10" ht="11.25" customHeight="1" x14ac:dyDescent="0.2">
      <c r="A206" s="49">
        <v>44682</v>
      </c>
      <c r="B206" s="39">
        <v>118636</v>
      </c>
      <c r="C206" s="39">
        <v>134955.12345473087</v>
      </c>
      <c r="D206" s="39">
        <v>0</v>
      </c>
      <c r="E206" s="39">
        <v>0</v>
      </c>
      <c r="F206" s="39">
        <v>0</v>
      </c>
      <c r="G206" s="39">
        <v>0</v>
      </c>
      <c r="H206" s="40">
        <v>0.13755625151497752</v>
      </c>
      <c r="I206" s="40">
        <v>0</v>
      </c>
      <c r="J206" s="40">
        <v>0.13755625151497752</v>
      </c>
    </row>
    <row r="207" spans="1:10" ht="11.25" customHeight="1" x14ac:dyDescent="0.2">
      <c r="A207" s="49">
        <v>44713</v>
      </c>
      <c r="B207" s="39">
        <v>118356</v>
      </c>
      <c r="C207" s="39">
        <v>134636.60770430666</v>
      </c>
      <c r="D207" s="39">
        <v>0</v>
      </c>
      <c r="E207" s="39">
        <v>0</v>
      </c>
      <c r="F207" s="39">
        <v>0</v>
      </c>
      <c r="G207" s="39">
        <v>0</v>
      </c>
      <c r="H207" s="40">
        <v>0.1375562515149773</v>
      </c>
      <c r="I207" s="40">
        <v>0</v>
      </c>
      <c r="J207" s="40">
        <v>0.1375562515149773</v>
      </c>
    </row>
    <row r="208" spans="1:10" ht="11.25" customHeight="1" x14ac:dyDescent="0.2">
      <c r="A208" s="49">
        <v>44743</v>
      </c>
      <c r="B208" s="39">
        <v>113428</v>
      </c>
      <c r="C208" s="39">
        <v>129030.73049684086</v>
      </c>
      <c r="D208" s="39">
        <v>0</v>
      </c>
      <c r="E208" s="39">
        <v>0</v>
      </c>
      <c r="F208" s="39">
        <v>0</v>
      </c>
      <c r="G208" s="39">
        <v>0</v>
      </c>
      <c r="H208" s="40">
        <v>0.1375562515149773</v>
      </c>
      <c r="I208" s="40">
        <v>0</v>
      </c>
      <c r="J208" s="40">
        <v>0.1375562515149773</v>
      </c>
    </row>
    <row r="209" spans="1:10" ht="11.25" customHeight="1" x14ac:dyDescent="0.2">
      <c r="A209" s="49">
        <v>44774</v>
      </c>
      <c r="B209" s="39">
        <v>119812</v>
      </c>
      <c r="C209" s="39">
        <v>136292.88960651247</v>
      </c>
      <c r="D209" s="39">
        <v>0</v>
      </c>
      <c r="E209" s="39">
        <v>0</v>
      </c>
      <c r="F209" s="39">
        <v>0</v>
      </c>
      <c r="G209" s="39">
        <v>0</v>
      </c>
      <c r="H209" s="40">
        <v>0.1375562515149773</v>
      </c>
      <c r="I209" s="40">
        <v>0</v>
      </c>
      <c r="J209" s="40">
        <v>0.1375562515149773</v>
      </c>
    </row>
    <row r="210" spans="1:10" ht="11.25" customHeight="1" x14ac:dyDescent="0.2">
      <c r="A210" s="49">
        <v>44805</v>
      </c>
      <c r="B210" s="39">
        <v>119840</v>
      </c>
      <c r="C210" s="39">
        <v>136324.74118155488</v>
      </c>
      <c r="D210" s="39">
        <v>0</v>
      </c>
      <c r="E210" s="39">
        <v>0</v>
      </c>
      <c r="F210" s="39">
        <v>0</v>
      </c>
      <c r="G210" s="39">
        <v>0</v>
      </c>
      <c r="H210" s="40">
        <v>0.1375562515149773</v>
      </c>
      <c r="I210" s="40">
        <v>0</v>
      </c>
      <c r="J210" s="40">
        <v>0.1375562515149773</v>
      </c>
    </row>
    <row r="211" spans="1:10" ht="11.25" customHeight="1" x14ac:dyDescent="0.2">
      <c r="A211" s="49">
        <v>44835</v>
      </c>
      <c r="B211" s="39">
        <v>119840</v>
      </c>
      <c r="C211" s="39">
        <v>136324.74118155488</v>
      </c>
      <c r="D211" s="39">
        <v>0</v>
      </c>
      <c r="E211" s="39">
        <v>0</v>
      </c>
      <c r="F211" s="39">
        <v>0</v>
      </c>
      <c r="G211" s="39">
        <v>0</v>
      </c>
      <c r="H211" s="40">
        <v>0.1375562515149773</v>
      </c>
      <c r="I211" s="40">
        <v>0</v>
      </c>
      <c r="J211" s="40">
        <v>0.1375562515149773</v>
      </c>
    </row>
    <row r="212" spans="1:10" ht="11.25" customHeight="1" x14ac:dyDescent="0.2">
      <c r="A212" s="48" t="s">
        <v>34</v>
      </c>
      <c r="B212" s="39">
        <v>0</v>
      </c>
      <c r="C212" s="39">
        <v>0</v>
      </c>
      <c r="D212" s="39">
        <v>1956882.4803399998</v>
      </c>
      <c r="E212" s="39">
        <v>2306330.2510404633</v>
      </c>
      <c r="F212" s="39">
        <v>921519.91667999979</v>
      </c>
      <c r="G212" s="39">
        <v>992326.15544067824</v>
      </c>
      <c r="H212" s="40">
        <v>0.17857371314385184</v>
      </c>
      <c r="I212" s="40">
        <v>7.6836362925041257E-2</v>
      </c>
      <c r="J212" s="40">
        <v>0.14600252205745479</v>
      </c>
    </row>
    <row r="213" spans="1:10" ht="11.25" customHeight="1" x14ac:dyDescent="0.2">
      <c r="A213" s="49">
        <v>44501</v>
      </c>
      <c r="B213" s="39">
        <v>0</v>
      </c>
      <c r="C213" s="39">
        <v>0</v>
      </c>
      <c r="D213" s="39">
        <v>146499.24497</v>
      </c>
      <c r="E213" s="39">
        <v>172660.15911706359</v>
      </c>
      <c r="F213" s="39">
        <v>68988.287939999995</v>
      </c>
      <c r="G213" s="39">
        <v>74289.097069735086</v>
      </c>
      <c r="H213" s="40">
        <v>0.1785737131438514</v>
      </c>
      <c r="I213" s="40">
        <v>7.6836362925041257E-2</v>
      </c>
      <c r="J213" s="40">
        <v>0.14600252205745434</v>
      </c>
    </row>
    <row r="214" spans="1:10" ht="11.25" customHeight="1" x14ac:dyDescent="0.2">
      <c r="A214" s="49">
        <v>44531</v>
      </c>
      <c r="B214" s="39">
        <v>0</v>
      </c>
      <c r="C214" s="39">
        <v>0</v>
      </c>
      <c r="D214" s="39">
        <v>154721.42445999998</v>
      </c>
      <c r="E214" s="39">
        <v>182350.60372872811</v>
      </c>
      <c r="F214" s="39">
        <v>72860.212920000005</v>
      </c>
      <c r="G214" s="39">
        <v>78458.526682716896</v>
      </c>
      <c r="H214" s="40">
        <v>0.1785737131438514</v>
      </c>
      <c r="I214" s="40">
        <v>7.6836362925041035E-2</v>
      </c>
      <c r="J214" s="40">
        <v>0.14600252205745434</v>
      </c>
    </row>
    <row r="215" spans="1:10" ht="11.25" customHeight="1" x14ac:dyDescent="0.2">
      <c r="A215" s="49">
        <v>44562</v>
      </c>
      <c r="B215" s="39">
        <v>0</v>
      </c>
      <c r="C215" s="39">
        <v>0</v>
      </c>
      <c r="D215" s="39">
        <v>146235.92456999997</v>
      </c>
      <c r="E215" s="39">
        <v>172349.81661548908</v>
      </c>
      <c r="F215" s="39">
        <v>68864.28714</v>
      </c>
      <c r="G215" s="39">
        <v>74155.568499263289</v>
      </c>
      <c r="H215" s="40">
        <v>0.17857371314385162</v>
      </c>
      <c r="I215" s="40">
        <v>7.6836362925041257E-2</v>
      </c>
      <c r="J215" s="40">
        <v>0.14600252205745434</v>
      </c>
    </row>
    <row r="216" spans="1:10" ht="11.25" customHeight="1" x14ac:dyDescent="0.2">
      <c r="A216" s="49">
        <v>44593</v>
      </c>
      <c r="B216" s="39">
        <v>0</v>
      </c>
      <c r="C216" s="39">
        <v>0</v>
      </c>
      <c r="D216" s="39">
        <v>143319.65114</v>
      </c>
      <c r="E216" s="39">
        <v>168912.77341055125</v>
      </c>
      <c r="F216" s="39">
        <v>67490.978279999996</v>
      </c>
      <c r="G216" s="39">
        <v>72676.739581288159</v>
      </c>
      <c r="H216" s="40">
        <v>0.17857371314385162</v>
      </c>
      <c r="I216" s="40">
        <v>7.6836362925041257E-2</v>
      </c>
      <c r="J216" s="40">
        <v>0.14600252205745434</v>
      </c>
    </row>
    <row r="217" spans="1:10" ht="11.25" customHeight="1" x14ac:dyDescent="0.2">
      <c r="A217" s="49">
        <v>44621</v>
      </c>
      <c r="B217" s="39">
        <v>0</v>
      </c>
      <c r="C217" s="39">
        <v>0</v>
      </c>
      <c r="D217" s="39">
        <v>156077.52452000001</v>
      </c>
      <c r="E217" s="39">
        <v>183948.86761183693</v>
      </c>
      <c r="F217" s="39">
        <v>73498.817040000009</v>
      </c>
      <c r="G217" s="39">
        <v>79146.198820646649</v>
      </c>
      <c r="H217" s="40">
        <v>0.1785737131438514</v>
      </c>
      <c r="I217" s="40">
        <v>7.6836362925041257E-2</v>
      </c>
      <c r="J217" s="40">
        <v>0.14600252205745434</v>
      </c>
    </row>
    <row r="218" spans="1:10" ht="11.25" customHeight="1" x14ac:dyDescent="0.2">
      <c r="A218" s="49">
        <v>44652</v>
      </c>
      <c r="B218" s="39">
        <v>0</v>
      </c>
      <c r="C218" s="39">
        <v>0</v>
      </c>
      <c r="D218" s="39">
        <v>176473.57036000001</v>
      </c>
      <c r="E218" s="39">
        <v>207987.11109093795</v>
      </c>
      <c r="F218" s="39">
        <v>83103.564720000009</v>
      </c>
      <c r="G218" s="39">
        <v>89488.940379190579</v>
      </c>
      <c r="H218" s="40">
        <v>0.1785737131438514</v>
      </c>
      <c r="I218" s="40">
        <v>7.6836362925041257E-2</v>
      </c>
      <c r="J218" s="40">
        <v>0.14600252205745434</v>
      </c>
    </row>
    <row r="219" spans="1:10" ht="11.25" customHeight="1" x14ac:dyDescent="0.2">
      <c r="A219" s="49">
        <v>44682</v>
      </c>
      <c r="B219" s="39">
        <v>0</v>
      </c>
      <c r="C219" s="39">
        <v>0</v>
      </c>
      <c r="D219" s="39">
        <v>148672.57869999998</v>
      </c>
      <c r="E219" s="39">
        <v>175221.59312113049</v>
      </c>
      <c r="F219" s="39">
        <v>70011.737399999998</v>
      </c>
      <c r="G219" s="39">
        <v>75391.184663879074</v>
      </c>
      <c r="H219" s="40">
        <v>0.17857371314385162</v>
      </c>
      <c r="I219" s="40">
        <v>7.6836362925041035E-2</v>
      </c>
      <c r="J219" s="40">
        <v>0.14600252205745434</v>
      </c>
    </row>
    <row r="220" spans="1:10" ht="11.25" customHeight="1" x14ac:dyDescent="0.2">
      <c r="A220" s="49">
        <v>44713</v>
      </c>
      <c r="B220" s="39">
        <v>0</v>
      </c>
      <c r="C220" s="39">
        <v>0</v>
      </c>
      <c r="D220" s="39">
        <v>171133.80882000001</v>
      </c>
      <c r="E220" s="39">
        <v>201693.8085054374</v>
      </c>
      <c r="F220" s="39">
        <v>80589.005640000003</v>
      </c>
      <c r="G220" s="39">
        <v>86781.171725123248</v>
      </c>
      <c r="H220" s="40">
        <v>0.1785737131438514</v>
      </c>
      <c r="I220" s="40">
        <v>7.6836362925041257E-2</v>
      </c>
      <c r="J220" s="40">
        <v>0.14600252205745434</v>
      </c>
    </row>
    <row r="221" spans="1:10" ht="11.25" customHeight="1" x14ac:dyDescent="0.2">
      <c r="A221" s="49">
        <v>44743</v>
      </c>
      <c r="B221" s="39">
        <v>0</v>
      </c>
      <c r="C221" s="39">
        <v>0</v>
      </c>
      <c r="D221" s="39">
        <v>170316.57514999999</v>
      </c>
      <c r="E221" s="39">
        <v>200730.6383844793</v>
      </c>
      <c r="F221" s="39">
        <v>80204.160300000003</v>
      </c>
      <c r="G221" s="39">
        <v>86366.756268908983</v>
      </c>
      <c r="H221" s="40">
        <v>0.1785737131438514</v>
      </c>
      <c r="I221" s="40">
        <v>7.6836362925041257E-2</v>
      </c>
      <c r="J221" s="40">
        <v>0.14600252205745434</v>
      </c>
    </row>
    <row r="222" spans="1:10" ht="11.25" customHeight="1" x14ac:dyDescent="0.2">
      <c r="A222" s="49">
        <v>44774</v>
      </c>
      <c r="B222" s="39">
        <v>0</v>
      </c>
      <c r="C222" s="39">
        <v>0</v>
      </c>
      <c r="D222" s="39">
        <v>164585.59472999998</v>
      </c>
      <c r="E222" s="39">
        <v>193976.2555109252</v>
      </c>
      <c r="F222" s="39">
        <v>77505.371459999995</v>
      </c>
      <c r="G222" s="39">
        <v>83460.60231014069</v>
      </c>
      <c r="H222" s="40">
        <v>0.17857371314385162</v>
      </c>
      <c r="I222" s="40">
        <v>7.6836362925041257E-2</v>
      </c>
      <c r="J222" s="40">
        <v>0.14600252205745434</v>
      </c>
    </row>
    <row r="223" spans="1:10" ht="11.25" customHeight="1" x14ac:dyDescent="0.2">
      <c r="A223" s="49">
        <v>44805</v>
      </c>
      <c r="B223" s="39">
        <v>0</v>
      </c>
      <c r="C223" s="39">
        <v>0</v>
      </c>
      <c r="D223" s="39">
        <v>189423.29145999998</v>
      </c>
      <c r="E223" s="39">
        <v>223249.3119719422</v>
      </c>
      <c r="F223" s="39">
        <v>89201.74691999999</v>
      </c>
      <c r="G223" s="39">
        <v>96055.684719892801</v>
      </c>
      <c r="H223" s="40">
        <v>0.17857371314385162</v>
      </c>
      <c r="I223" s="40">
        <v>7.6836362925041257E-2</v>
      </c>
      <c r="J223" s="40">
        <v>0.14600252205745434</v>
      </c>
    </row>
    <row r="224" spans="1:10" ht="11.25" customHeight="1" x14ac:dyDescent="0.2">
      <c r="A224" s="49">
        <v>44835</v>
      </c>
      <c r="B224" s="39">
        <v>0</v>
      </c>
      <c r="C224" s="39">
        <v>0</v>
      </c>
      <c r="D224" s="39">
        <v>189423.29145999998</v>
      </c>
      <c r="E224" s="39">
        <v>223249.3119719422</v>
      </c>
      <c r="F224" s="39">
        <v>89201.74691999999</v>
      </c>
      <c r="G224" s="39">
        <v>96055.684719892801</v>
      </c>
      <c r="H224" s="40">
        <v>0.17857371314385162</v>
      </c>
      <c r="I224" s="40">
        <v>7.6836362925041257E-2</v>
      </c>
      <c r="J224" s="40">
        <v>0.14600252205745434</v>
      </c>
    </row>
    <row r="225" spans="1:10" ht="11.25" customHeight="1" x14ac:dyDescent="0.2">
      <c r="A225" s="44" t="s">
        <v>46</v>
      </c>
      <c r="B225" s="39">
        <v>136822</v>
      </c>
      <c r="C225" s="39">
        <v>155642.72144478225</v>
      </c>
      <c r="D225" s="39">
        <v>113897.25810000004</v>
      </c>
      <c r="E225" s="39">
        <v>154643.66708677201</v>
      </c>
      <c r="F225" s="39">
        <v>206495.02209000001</v>
      </c>
      <c r="G225" s="39">
        <v>219732.3865628464</v>
      </c>
      <c r="H225" s="40">
        <v>0.23758498203514833</v>
      </c>
      <c r="I225" s="40">
        <v>6.4105005238706658E-2</v>
      </c>
      <c r="J225" s="40">
        <v>0.15923495406605803</v>
      </c>
    </row>
    <row r="226" spans="1:10" ht="11.25" customHeight="1" x14ac:dyDescent="0.2">
      <c r="A226" s="45" t="s">
        <v>25</v>
      </c>
      <c r="B226" s="39">
        <v>136822</v>
      </c>
      <c r="C226" s="39">
        <v>155642.72144478225</v>
      </c>
      <c r="D226" s="39">
        <v>113897.25810000004</v>
      </c>
      <c r="E226" s="39">
        <v>154643.66708677201</v>
      </c>
      <c r="F226" s="39">
        <v>206495.02209000001</v>
      </c>
      <c r="G226" s="39">
        <v>219732.3865628464</v>
      </c>
      <c r="H226" s="40">
        <v>0.23758498203514833</v>
      </c>
      <c r="I226" s="40">
        <v>6.4105005238706658E-2</v>
      </c>
      <c r="J226" s="40">
        <v>0.15923495406605803</v>
      </c>
    </row>
    <row r="227" spans="1:10" ht="11.25" customHeight="1" x14ac:dyDescent="0.2">
      <c r="A227" s="46" t="s">
        <v>25</v>
      </c>
      <c r="B227" s="39">
        <v>136822</v>
      </c>
      <c r="C227" s="39">
        <v>155642.72144478225</v>
      </c>
      <c r="D227" s="39">
        <v>113897.25810000004</v>
      </c>
      <c r="E227" s="39">
        <v>154643.66708677201</v>
      </c>
      <c r="F227" s="39">
        <v>206495.02209000001</v>
      </c>
      <c r="G227" s="39">
        <v>219732.3865628464</v>
      </c>
      <c r="H227" s="40">
        <v>0.23758498203514833</v>
      </c>
      <c r="I227" s="40">
        <v>6.4105005238706658E-2</v>
      </c>
      <c r="J227" s="40">
        <v>0.15923495406605803</v>
      </c>
    </row>
    <row r="228" spans="1:10" ht="11.25" customHeight="1" x14ac:dyDescent="0.2">
      <c r="A228" s="47" t="s">
        <v>25</v>
      </c>
      <c r="B228" s="39">
        <v>136822</v>
      </c>
      <c r="C228" s="39">
        <v>155642.72144478225</v>
      </c>
      <c r="D228" s="39">
        <v>113897.25810000004</v>
      </c>
      <c r="E228" s="39">
        <v>154643.66708677201</v>
      </c>
      <c r="F228" s="39">
        <v>206495.02209000001</v>
      </c>
      <c r="G228" s="39">
        <v>219732.3865628464</v>
      </c>
      <c r="H228" s="40">
        <v>0.23758498203514833</v>
      </c>
      <c r="I228" s="40">
        <v>6.4105005238706658E-2</v>
      </c>
      <c r="J228" s="40">
        <v>0.15923495406605803</v>
      </c>
    </row>
    <row r="229" spans="1:10" ht="11.25" customHeight="1" x14ac:dyDescent="0.2">
      <c r="A229" s="48" t="s">
        <v>35</v>
      </c>
      <c r="B229" s="39">
        <v>0</v>
      </c>
      <c r="C229" s="39">
        <v>0</v>
      </c>
      <c r="D229" s="39">
        <v>45071.888550000003</v>
      </c>
      <c r="E229" s="39">
        <v>73527.895737730694</v>
      </c>
      <c r="F229" s="39">
        <v>174084.31299000001</v>
      </c>
      <c r="G229" s="39">
        <v>184831.35645578086</v>
      </c>
      <c r="H229" s="40">
        <v>0.63134712352164524</v>
      </c>
      <c r="I229" s="40">
        <v>6.1734703611106223E-2</v>
      </c>
      <c r="J229" s="40">
        <v>0.17888177645913506</v>
      </c>
    </row>
    <row r="230" spans="1:10" ht="11.25" customHeight="1" x14ac:dyDescent="0.2">
      <c r="A230" s="49">
        <v>44501</v>
      </c>
      <c r="B230" s="39">
        <v>0</v>
      </c>
      <c r="C230" s="39">
        <v>0</v>
      </c>
      <c r="D230" s="39">
        <v>3575.9704500000003</v>
      </c>
      <c r="E230" s="39">
        <v>5833.649107405904</v>
      </c>
      <c r="F230" s="39">
        <v>13811.72121</v>
      </c>
      <c r="G230" s="39">
        <v>14664.383725258589</v>
      </c>
      <c r="H230" s="40">
        <v>0.63134712352164524</v>
      </c>
      <c r="I230" s="40">
        <v>6.1734703611106889E-2</v>
      </c>
      <c r="J230" s="40">
        <v>0.17888177645913528</v>
      </c>
    </row>
    <row r="231" spans="1:10" ht="11.25" customHeight="1" x14ac:dyDescent="0.2">
      <c r="A231" s="49">
        <v>44531</v>
      </c>
      <c r="B231" s="39">
        <v>0</v>
      </c>
      <c r="C231" s="39">
        <v>0</v>
      </c>
      <c r="D231" s="39">
        <v>3484.0513500000002</v>
      </c>
      <c r="E231" s="39">
        <v>5683.6971480242055</v>
      </c>
      <c r="F231" s="39">
        <v>13456.695630000002</v>
      </c>
      <c r="G231" s="39">
        <v>14287.440746302927</v>
      </c>
      <c r="H231" s="40">
        <v>0.63134712352164524</v>
      </c>
      <c r="I231" s="40">
        <v>6.1734703611106667E-2</v>
      </c>
      <c r="J231" s="40">
        <v>0.17888177645913528</v>
      </c>
    </row>
    <row r="232" spans="1:10" ht="11.25" customHeight="1" x14ac:dyDescent="0.2">
      <c r="A232" s="49">
        <v>44562</v>
      </c>
      <c r="B232" s="39">
        <v>0</v>
      </c>
      <c r="C232" s="39">
        <v>0</v>
      </c>
      <c r="D232" s="39">
        <v>3364.5709500000003</v>
      </c>
      <c r="E232" s="39">
        <v>5488.7831411669904</v>
      </c>
      <c r="F232" s="39">
        <v>12995.218110000002</v>
      </c>
      <c r="G232" s="39">
        <v>13797.474048382539</v>
      </c>
      <c r="H232" s="40">
        <v>0.63134712352164546</v>
      </c>
      <c r="I232" s="40">
        <v>6.1734703611106889E-2</v>
      </c>
      <c r="J232" s="40">
        <v>0.17888177645913506</v>
      </c>
    </row>
    <row r="233" spans="1:10" ht="11.25" customHeight="1" x14ac:dyDescent="0.2">
      <c r="A233" s="49">
        <v>44593</v>
      </c>
      <c r="B233" s="39">
        <v>0</v>
      </c>
      <c r="C233" s="39">
        <v>0</v>
      </c>
      <c r="D233" s="39">
        <v>3289.6071000000002</v>
      </c>
      <c r="E233" s="39">
        <v>5366.4910801013821</v>
      </c>
      <c r="F233" s="39">
        <v>12705.679980000001</v>
      </c>
      <c r="G233" s="39">
        <v>13490.061367742874</v>
      </c>
      <c r="H233" s="40">
        <v>0.63134712352164546</v>
      </c>
      <c r="I233" s="40">
        <v>6.1734703611106667E-2</v>
      </c>
      <c r="J233" s="40">
        <v>0.17888177645913528</v>
      </c>
    </row>
    <row r="234" spans="1:10" ht="11.25" customHeight="1" x14ac:dyDescent="0.2">
      <c r="A234" s="49">
        <v>44621</v>
      </c>
      <c r="B234" s="39">
        <v>0</v>
      </c>
      <c r="C234" s="39">
        <v>0</v>
      </c>
      <c r="D234" s="39">
        <v>3294.5133000000005</v>
      </c>
      <c r="E234" s="39">
        <v>5374.4947953588044</v>
      </c>
      <c r="F234" s="39">
        <v>12724.629540000002</v>
      </c>
      <c r="G234" s="39">
        <v>13510.180773213036</v>
      </c>
      <c r="H234" s="40">
        <v>0.63134712352164546</v>
      </c>
      <c r="I234" s="40">
        <v>6.1734703611106889E-2</v>
      </c>
      <c r="J234" s="40">
        <v>0.17888177645913528</v>
      </c>
    </row>
    <row r="235" spans="1:10" ht="11.25" customHeight="1" x14ac:dyDescent="0.2">
      <c r="A235" s="49">
        <v>44652</v>
      </c>
      <c r="B235" s="39">
        <v>0</v>
      </c>
      <c r="C235" s="39">
        <v>0</v>
      </c>
      <c r="D235" s="39">
        <v>4057.5717</v>
      </c>
      <c r="E235" s="39">
        <v>6619.307921277833</v>
      </c>
      <c r="F235" s="39">
        <v>15671.84346</v>
      </c>
      <c r="G235" s="39">
        <v>16639.340071042763</v>
      </c>
      <c r="H235" s="40">
        <v>0.63134712352164546</v>
      </c>
      <c r="I235" s="40">
        <v>6.1734703611106889E-2</v>
      </c>
      <c r="J235" s="40">
        <v>0.17888177645913528</v>
      </c>
    </row>
    <row r="236" spans="1:10" ht="11.25" customHeight="1" x14ac:dyDescent="0.2">
      <c r="A236" s="49">
        <v>44682</v>
      </c>
      <c r="B236" s="39">
        <v>0</v>
      </c>
      <c r="C236" s="39">
        <v>0</v>
      </c>
      <c r="D236" s="39">
        <v>3734.3397</v>
      </c>
      <c r="E236" s="39">
        <v>6092.0043278476842</v>
      </c>
      <c r="F236" s="39">
        <v>14423.40186</v>
      </c>
      <c r="G236" s="39">
        <v>15313.826298890988</v>
      </c>
      <c r="H236" s="40">
        <v>0.63134712352164546</v>
      </c>
      <c r="I236" s="40">
        <v>6.1734703611106889E-2</v>
      </c>
      <c r="J236" s="40">
        <v>0.1788817764591355</v>
      </c>
    </row>
    <row r="237" spans="1:10" ht="11.25" customHeight="1" x14ac:dyDescent="0.2">
      <c r="A237" s="49">
        <v>44713</v>
      </c>
      <c r="B237" s="39">
        <v>0</v>
      </c>
      <c r="C237" s="39">
        <v>0</v>
      </c>
      <c r="D237" s="39">
        <v>3972.3625500000003</v>
      </c>
      <c r="E237" s="39">
        <v>6480.3022195276089</v>
      </c>
      <c r="F237" s="39">
        <v>15342.734190000001</v>
      </c>
      <c r="G237" s="39">
        <v>16289.913337803646</v>
      </c>
      <c r="H237" s="40">
        <v>0.63134712352164546</v>
      </c>
      <c r="I237" s="40">
        <v>6.1734703611106889E-2</v>
      </c>
      <c r="J237" s="40">
        <v>0.17888177645913528</v>
      </c>
    </row>
    <row r="238" spans="1:10" ht="11.25" customHeight="1" x14ac:dyDescent="0.2">
      <c r="A238" s="49">
        <v>44743</v>
      </c>
      <c r="B238" s="39">
        <v>0</v>
      </c>
      <c r="C238" s="39">
        <v>0</v>
      </c>
      <c r="D238" s="39">
        <v>3335.7109500000001</v>
      </c>
      <c r="E238" s="39">
        <v>5441.702463182155</v>
      </c>
      <c r="F238" s="39">
        <v>12883.750109999999</v>
      </c>
      <c r="G238" s="39">
        <v>13679.124604440416</v>
      </c>
      <c r="H238" s="40">
        <v>0.63134712352164524</v>
      </c>
      <c r="I238" s="40">
        <v>6.1734703611106889E-2</v>
      </c>
      <c r="J238" s="40">
        <v>0.1788817764591355</v>
      </c>
    </row>
    <row r="239" spans="1:10" ht="11.25" customHeight="1" x14ac:dyDescent="0.2">
      <c r="A239" s="49">
        <v>44774</v>
      </c>
      <c r="B239" s="39">
        <v>0</v>
      </c>
      <c r="C239" s="39">
        <v>0</v>
      </c>
      <c r="D239" s="39">
        <v>4238.3796000000002</v>
      </c>
      <c r="E239" s="39">
        <v>6914.2683688528223</v>
      </c>
      <c r="F239" s="39">
        <v>16370.190479999999</v>
      </c>
      <c r="G239" s="39">
        <v>17380.799337340162</v>
      </c>
      <c r="H239" s="40">
        <v>0.63134712352164546</v>
      </c>
      <c r="I239" s="40">
        <v>6.1734703611106889E-2</v>
      </c>
      <c r="J239" s="40">
        <v>0.1788817764591355</v>
      </c>
    </row>
    <row r="240" spans="1:10" ht="11.25" customHeight="1" x14ac:dyDescent="0.2">
      <c r="A240" s="49">
        <v>44805</v>
      </c>
      <c r="B240" s="39">
        <v>0</v>
      </c>
      <c r="C240" s="39">
        <v>0</v>
      </c>
      <c r="D240" s="39">
        <v>4362.4054500000002</v>
      </c>
      <c r="E240" s="39">
        <v>7116.59758249265</v>
      </c>
      <c r="F240" s="39">
        <v>16849.22421</v>
      </c>
      <c r="G240" s="39">
        <v>17889.406072681439</v>
      </c>
      <c r="H240" s="40">
        <v>0.63134712352164546</v>
      </c>
      <c r="I240" s="40">
        <v>6.1734703611106889E-2</v>
      </c>
      <c r="J240" s="40">
        <v>0.1788817764591355</v>
      </c>
    </row>
    <row r="241" spans="1:10" ht="11.25" customHeight="1" x14ac:dyDescent="0.2">
      <c r="A241" s="49">
        <v>44835</v>
      </c>
      <c r="B241" s="39">
        <v>0</v>
      </c>
      <c r="C241" s="39">
        <v>0</v>
      </c>
      <c r="D241" s="39">
        <v>4362.4054500000002</v>
      </c>
      <c r="E241" s="39">
        <v>7116.59758249265</v>
      </c>
      <c r="F241" s="39">
        <v>16849.22421</v>
      </c>
      <c r="G241" s="39">
        <v>17889.406072681439</v>
      </c>
      <c r="H241" s="40">
        <v>0.63134712352164546</v>
      </c>
      <c r="I241" s="40">
        <v>6.1734703611106889E-2</v>
      </c>
      <c r="J241" s="40">
        <v>0.1788817764591355</v>
      </c>
    </row>
    <row r="242" spans="1:10" ht="11.25" customHeight="1" x14ac:dyDescent="0.2">
      <c r="A242" s="48" t="s">
        <v>25</v>
      </c>
      <c r="B242" s="39">
        <v>136822</v>
      </c>
      <c r="C242" s="39">
        <v>155642.72144478225</v>
      </c>
      <c r="D242" s="39">
        <v>0</v>
      </c>
      <c r="E242" s="39">
        <v>0</v>
      </c>
      <c r="F242" s="39">
        <v>0</v>
      </c>
      <c r="G242" s="39">
        <v>0</v>
      </c>
      <c r="H242" s="40">
        <v>0.13755625151497752</v>
      </c>
      <c r="I242" s="40">
        <v>0</v>
      </c>
      <c r="J242" s="40">
        <v>0.13755625151497752</v>
      </c>
    </row>
    <row r="243" spans="1:10" ht="11.25" customHeight="1" x14ac:dyDescent="0.2">
      <c r="A243" s="49">
        <v>44501</v>
      </c>
      <c r="B243" s="39">
        <v>11186</v>
      </c>
      <c r="C243" s="39">
        <v>12724.704229446537</v>
      </c>
      <c r="D243" s="39">
        <v>0</v>
      </c>
      <c r="E243" s="39">
        <v>0</v>
      </c>
      <c r="F243" s="39">
        <v>0</v>
      </c>
      <c r="G243" s="39">
        <v>0</v>
      </c>
      <c r="H243" s="40">
        <v>0.1375562515149773</v>
      </c>
      <c r="I243" s="40">
        <v>0</v>
      </c>
      <c r="J243" s="40">
        <v>0.1375562515149773</v>
      </c>
    </row>
    <row r="244" spans="1:10" ht="11.25" customHeight="1" x14ac:dyDescent="0.2">
      <c r="A244" s="49">
        <v>44531</v>
      </c>
      <c r="B244" s="39">
        <v>11186</v>
      </c>
      <c r="C244" s="39">
        <v>12724.704229446537</v>
      </c>
      <c r="D244" s="39">
        <v>0</v>
      </c>
      <c r="E244" s="39">
        <v>0</v>
      </c>
      <c r="F244" s="39">
        <v>0</v>
      </c>
      <c r="G244" s="39">
        <v>0</v>
      </c>
      <c r="H244" s="40">
        <v>0.1375562515149773</v>
      </c>
      <c r="I244" s="40">
        <v>0</v>
      </c>
      <c r="J244" s="40">
        <v>0.1375562515149773</v>
      </c>
    </row>
    <row r="245" spans="1:10" ht="11.25" customHeight="1" x14ac:dyDescent="0.2">
      <c r="A245" s="49">
        <v>44562</v>
      </c>
      <c r="B245" s="39">
        <v>11186</v>
      </c>
      <c r="C245" s="39">
        <v>12724.704229446537</v>
      </c>
      <c r="D245" s="39">
        <v>0</v>
      </c>
      <c r="E245" s="39">
        <v>0</v>
      </c>
      <c r="F245" s="39">
        <v>0</v>
      </c>
      <c r="G245" s="39">
        <v>0</v>
      </c>
      <c r="H245" s="40">
        <v>0.1375562515149773</v>
      </c>
      <c r="I245" s="40">
        <v>0</v>
      </c>
      <c r="J245" s="40">
        <v>0.1375562515149773</v>
      </c>
    </row>
    <row r="246" spans="1:10" ht="11.25" customHeight="1" x14ac:dyDescent="0.2">
      <c r="A246" s="49">
        <v>44593</v>
      </c>
      <c r="B246" s="39">
        <v>11928</v>
      </c>
      <c r="C246" s="39">
        <v>13568.77096807065</v>
      </c>
      <c r="D246" s="39">
        <v>0</v>
      </c>
      <c r="E246" s="39">
        <v>0</v>
      </c>
      <c r="F246" s="39">
        <v>0</v>
      </c>
      <c r="G246" s="39">
        <v>0</v>
      </c>
      <c r="H246" s="40">
        <v>0.1375562515149773</v>
      </c>
      <c r="I246" s="40">
        <v>0</v>
      </c>
      <c r="J246" s="40">
        <v>0.1375562515149773</v>
      </c>
    </row>
    <row r="247" spans="1:10" ht="11.25" customHeight="1" x14ac:dyDescent="0.2">
      <c r="A247" s="49">
        <v>44621</v>
      </c>
      <c r="B247" s="39">
        <v>11914</v>
      </c>
      <c r="C247" s="39">
        <v>13552.845180549441</v>
      </c>
      <c r="D247" s="39">
        <v>0</v>
      </c>
      <c r="E247" s="39">
        <v>0</v>
      </c>
      <c r="F247" s="39">
        <v>0</v>
      </c>
      <c r="G247" s="39">
        <v>0</v>
      </c>
      <c r="H247" s="40">
        <v>0.1375562515149773</v>
      </c>
      <c r="I247" s="40">
        <v>0</v>
      </c>
      <c r="J247" s="40">
        <v>0.1375562515149773</v>
      </c>
    </row>
    <row r="248" spans="1:10" ht="11.25" customHeight="1" x14ac:dyDescent="0.2">
      <c r="A248" s="49">
        <v>44652</v>
      </c>
      <c r="B248" s="39">
        <v>12012</v>
      </c>
      <c r="C248" s="39">
        <v>13664.325693197909</v>
      </c>
      <c r="D248" s="39">
        <v>0</v>
      </c>
      <c r="E248" s="39">
        <v>0</v>
      </c>
      <c r="F248" s="39">
        <v>0</v>
      </c>
      <c r="G248" s="39">
        <v>0</v>
      </c>
      <c r="H248" s="40">
        <v>0.1375562515149773</v>
      </c>
      <c r="I248" s="40">
        <v>0</v>
      </c>
      <c r="J248" s="40">
        <v>0.1375562515149773</v>
      </c>
    </row>
    <row r="249" spans="1:10" ht="11.25" customHeight="1" x14ac:dyDescent="0.2">
      <c r="A249" s="49">
        <v>44682</v>
      </c>
      <c r="B249" s="39">
        <v>11970</v>
      </c>
      <c r="C249" s="39">
        <v>13616.548330634279</v>
      </c>
      <c r="D249" s="39">
        <v>0</v>
      </c>
      <c r="E249" s="39">
        <v>0</v>
      </c>
      <c r="F249" s="39">
        <v>0</v>
      </c>
      <c r="G249" s="39">
        <v>0</v>
      </c>
      <c r="H249" s="40">
        <v>0.1375562515149773</v>
      </c>
      <c r="I249" s="40">
        <v>0</v>
      </c>
      <c r="J249" s="40">
        <v>0.1375562515149773</v>
      </c>
    </row>
    <row r="250" spans="1:10" ht="11.25" customHeight="1" x14ac:dyDescent="0.2">
      <c r="A250" s="49">
        <v>44713</v>
      </c>
      <c r="B250" s="39">
        <v>11956</v>
      </c>
      <c r="C250" s="39">
        <v>13600.62254311307</v>
      </c>
      <c r="D250" s="39">
        <v>0</v>
      </c>
      <c r="E250" s="39">
        <v>0</v>
      </c>
      <c r="F250" s="39">
        <v>0</v>
      </c>
      <c r="G250" s="39">
        <v>0</v>
      </c>
      <c r="H250" s="40">
        <v>0.1375562515149773</v>
      </c>
      <c r="I250" s="40">
        <v>0</v>
      </c>
      <c r="J250" s="40">
        <v>0.1375562515149773</v>
      </c>
    </row>
    <row r="251" spans="1:10" ht="11.25" customHeight="1" x14ac:dyDescent="0.2">
      <c r="A251" s="49">
        <v>44743</v>
      </c>
      <c r="B251" s="39">
        <v>7826</v>
      </c>
      <c r="C251" s="39">
        <v>8902.5152243562134</v>
      </c>
      <c r="D251" s="39">
        <v>0</v>
      </c>
      <c r="E251" s="39">
        <v>0</v>
      </c>
      <c r="F251" s="39">
        <v>0</v>
      </c>
      <c r="G251" s="39">
        <v>0</v>
      </c>
      <c r="H251" s="40">
        <v>0.13755625151497752</v>
      </c>
      <c r="I251" s="40">
        <v>0</v>
      </c>
      <c r="J251" s="40">
        <v>0.13755625151497752</v>
      </c>
    </row>
    <row r="252" spans="1:10" ht="11.25" customHeight="1" x14ac:dyDescent="0.2">
      <c r="A252" s="49">
        <v>44774</v>
      </c>
      <c r="B252" s="39">
        <v>11886</v>
      </c>
      <c r="C252" s="39">
        <v>13520.993605507021</v>
      </c>
      <c r="D252" s="39">
        <v>0</v>
      </c>
      <c r="E252" s="39">
        <v>0</v>
      </c>
      <c r="F252" s="39">
        <v>0</v>
      </c>
      <c r="G252" s="39">
        <v>0</v>
      </c>
      <c r="H252" s="40">
        <v>0.1375562515149773</v>
      </c>
      <c r="I252" s="40">
        <v>0</v>
      </c>
      <c r="J252" s="40">
        <v>0.1375562515149773</v>
      </c>
    </row>
    <row r="253" spans="1:10" ht="11.25" customHeight="1" x14ac:dyDescent="0.2">
      <c r="A253" s="49">
        <v>44805</v>
      </c>
      <c r="B253" s="39">
        <v>11886</v>
      </c>
      <c r="C253" s="39">
        <v>13520.993605507021</v>
      </c>
      <c r="D253" s="39">
        <v>0</v>
      </c>
      <c r="E253" s="39">
        <v>0</v>
      </c>
      <c r="F253" s="39">
        <v>0</v>
      </c>
      <c r="G253" s="39">
        <v>0</v>
      </c>
      <c r="H253" s="40">
        <v>0.1375562515149773</v>
      </c>
      <c r="I253" s="40">
        <v>0</v>
      </c>
      <c r="J253" s="40">
        <v>0.1375562515149773</v>
      </c>
    </row>
    <row r="254" spans="1:10" ht="11.25" customHeight="1" x14ac:dyDescent="0.2">
      <c r="A254" s="49">
        <v>44835</v>
      </c>
      <c r="B254" s="39">
        <v>11886</v>
      </c>
      <c r="C254" s="39">
        <v>13520.993605507021</v>
      </c>
      <c r="D254" s="39">
        <v>0</v>
      </c>
      <c r="E254" s="39">
        <v>0</v>
      </c>
      <c r="F254" s="39">
        <v>0</v>
      </c>
      <c r="G254" s="39">
        <v>0</v>
      </c>
      <c r="H254" s="40">
        <v>0.1375562515149773</v>
      </c>
      <c r="I254" s="40">
        <v>0</v>
      </c>
      <c r="J254" s="40">
        <v>0.1375562515149773</v>
      </c>
    </row>
    <row r="255" spans="1:10" ht="11.25" customHeight="1" x14ac:dyDescent="0.2">
      <c r="A255" s="48" t="s">
        <v>34</v>
      </c>
      <c r="B255" s="39">
        <v>0</v>
      </c>
      <c r="C255" s="39">
        <v>0</v>
      </c>
      <c r="D255" s="39">
        <v>68825.369550000003</v>
      </c>
      <c r="E255" s="39">
        <v>81115.771349041257</v>
      </c>
      <c r="F255" s="39">
        <v>32410.709099999993</v>
      </c>
      <c r="G255" s="39">
        <v>34901.030107065541</v>
      </c>
      <c r="H255" s="40">
        <v>0.1785737131438514</v>
      </c>
      <c r="I255" s="40">
        <v>7.6836362925041035E-2</v>
      </c>
      <c r="J255" s="40">
        <v>0.14600252205745412</v>
      </c>
    </row>
    <row r="256" spans="1:10" ht="11.25" customHeight="1" x14ac:dyDescent="0.2">
      <c r="A256" s="49">
        <v>44501</v>
      </c>
      <c r="B256" s="39">
        <v>0</v>
      </c>
      <c r="C256" s="39">
        <v>0</v>
      </c>
      <c r="D256" s="39">
        <v>5033.1813599999987</v>
      </c>
      <c r="E256" s="39">
        <v>5931.9752443816196</v>
      </c>
      <c r="F256" s="39">
        <v>2370.1867199999997</v>
      </c>
      <c r="G256" s="39">
        <v>2552.3032470180328</v>
      </c>
      <c r="H256" s="40">
        <v>0.17857371314385162</v>
      </c>
      <c r="I256" s="40">
        <v>7.6836362925041257E-2</v>
      </c>
      <c r="J256" s="40">
        <v>0.14600252205745456</v>
      </c>
    </row>
    <row r="257" spans="1:10" ht="11.25" customHeight="1" x14ac:dyDescent="0.2">
      <c r="A257" s="49">
        <v>44531</v>
      </c>
      <c r="B257" s="39">
        <v>0</v>
      </c>
      <c r="C257" s="39">
        <v>0</v>
      </c>
      <c r="D257" s="39">
        <v>4625.0347400000001</v>
      </c>
      <c r="E257" s="39">
        <v>5450.9443669411075</v>
      </c>
      <c r="F257" s="39">
        <v>2177.9854799999998</v>
      </c>
      <c r="G257" s="39">
        <v>2345.3339627867499</v>
      </c>
      <c r="H257" s="40">
        <v>0.1785737131438514</v>
      </c>
      <c r="I257" s="40">
        <v>7.6836362925041257E-2</v>
      </c>
      <c r="J257" s="40">
        <v>0.14600252205745412</v>
      </c>
    </row>
    <row r="258" spans="1:10" ht="11.25" customHeight="1" x14ac:dyDescent="0.2">
      <c r="A258" s="49">
        <v>44562</v>
      </c>
      <c r="B258" s="39">
        <v>0</v>
      </c>
      <c r="C258" s="39">
        <v>0</v>
      </c>
      <c r="D258" s="39">
        <v>4564.8472199999997</v>
      </c>
      <c r="E258" s="39">
        <v>5380.0089380097879</v>
      </c>
      <c r="F258" s="39">
        <v>2149.6424400000001</v>
      </c>
      <c r="G258" s="39">
        <v>2314.8131466789109</v>
      </c>
      <c r="H258" s="40">
        <v>0.17857371314385162</v>
      </c>
      <c r="I258" s="40">
        <v>7.6836362925041035E-2</v>
      </c>
      <c r="J258" s="40">
        <v>0.14600252205745434</v>
      </c>
    </row>
    <row r="259" spans="1:10" ht="11.25" customHeight="1" x14ac:dyDescent="0.2">
      <c r="A259" s="49">
        <v>44593</v>
      </c>
      <c r="B259" s="39">
        <v>0</v>
      </c>
      <c r="C259" s="39">
        <v>0</v>
      </c>
      <c r="D259" s="39">
        <v>4209.3646799999997</v>
      </c>
      <c r="E259" s="39">
        <v>4961.0465608841805</v>
      </c>
      <c r="F259" s="39">
        <v>1982.24136</v>
      </c>
      <c r="G259" s="39">
        <v>2134.5495765419873</v>
      </c>
      <c r="H259" s="40">
        <v>0.17857371314385162</v>
      </c>
      <c r="I259" s="40">
        <v>7.6836362925041257E-2</v>
      </c>
      <c r="J259" s="40">
        <v>0.14600252205745456</v>
      </c>
    </row>
    <row r="260" spans="1:10" ht="11.25" customHeight="1" x14ac:dyDescent="0.2">
      <c r="A260" s="49">
        <v>44621</v>
      </c>
      <c r="B260" s="39">
        <v>0</v>
      </c>
      <c r="C260" s="39">
        <v>0</v>
      </c>
      <c r="D260" s="39">
        <v>4736.0054799999998</v>
      </c>
      <c r="E260" s="39">
        <v>5581.731564033229</v>
      </c>
      <c r="F260" s="39">
        <v>2230.2429599999996</v>
      </c>
      <c r="G260" s="39">
        <v>2401.606717485578</v>
      </c>
      <c r="H260" s="40">
        <v>0.17857371314385162</v>
      </c>
      <c r="I260" s="40">
        <v>7.6836362925041257E-2</v>
      </c>
      <c r="J260" s="40">
        <v>0.14600252205745434</v>
      </c>
    </row>
    <row r="261" spans="1:10" ht="11.25" customHeight="1" x14ac:dyDescent="0.2">
      <c r="A261" s="49">
        <v>44652</v>
      </c>
      <c r="B261" s="39">
        <v>0</v>
      </c>
      <c r="C261" s="39">
        <v>0</v>
      </c>
      <c r="D261" s="39">
        <v>6098.6885499999999</v>
      </c>
      <c r="E261" s="39">
        <v>7187.7540096813918</v>
      </c>
      <c r="F261" s="39">
        <v>2871.9471000000003</v>
      </c>
      <c r="G261" s="39">
        <v>3092.6170696771196</v>
      </c>
      <c r="H261" s="40">
        <v>0.17857371314385162</v>
      </c>
      <c r="I261" s="40">
        <v>7.6836362925041035E-2</v>
      </c>
      <c r="J261" s="40">
        <v>0.14600252205745434</v>
      </c>
    </row>
    <row r="262" spans="1:10" ht="11.25" customHeight="1" x14ac:dyDescent="0.2">
      <c r="A262" s="49">
        <v>44682</v>
      </c>
      <c r="B262" s="39">
        <v>0</v>
      </c>
      <c r="C262" s="39">
        <v>0</v>
      </c>
      <c r="D262" s="39">
        <v>5713.1122500000001</v>
      </c>
      <c r="E262" s="39">
        <v>6733.3239180901237</v>
      </c>
      <c r="F262" s="39">
        <v>2690.3744999999999</v>
      </c>
      <c r="G262" s="39">
        <v>2897.0930914862761</v>
      </c>
      <c r="H262" s="40">
        <v>0.1785737131438514</v>
      </c>
      <c r="I262" s="40">
        <v>7.6836362925041257E-2</v>
      </c>
      <c r="J262" s="40">
        <v>0.14600252205745434</v>
      </c>
    </row>
    <row r="263" spans="1:10" ht="11.25" customHeight="1" x14ac:dyDescent="0.2">
      <c r="A263" s="49">
        <v>44713</v>
      </c>
      <c r="B263" s="39">
        <v>0</v>
      </c>
      <c r="C263" s="39">
        <v>0</v>
      </c>
      <c r="D263" s="39">
        <v>6710.9084799999991</v>
      </c>
      <c r="E263" s="39">
        <v>7909.3003258421595</v>
      </c>
      <c r="F263" s="39">
        <v>3160.2489599999999</v>
      </c>
      <c r="G263" s="39">
        <v>3403.0709960240438</v>
      </c>
      <c r="H263" s="40">
        <v>0.1785737131438514</v>
      </c>
      <c r="I263" s="40">
        <v>7.6836362925041257E-2</v>
      </c>
      <c r="J263" s="40">
        <v>0.14600252205745434</v>
      </c>
    </row>
    <row r="264" spans="1:10" ht="11.25" customHeight="1" x14ac:dyDescent="0.2">
      <c r="A264" s="49">
        <v>44743</v>
      </c>
      <c r="B264" s="39">
        <v>0</v>
      </c>
      <c r="C264" s="39">
        <v>0</v>
      </c>
      <c r="D264" s="39">
        <v>4167.9857600000005</v>
      </c>
      <c r="E264" s="39">
        <v>4912.2784534938983</v>
      </c>
      <c r="F264" s="39">
        <v>1962.7555200000002</v>
      </c>
      <c r="G264" s="39">
        <v>2113.5665154678481</v>
      </c>
      <c r="H264" s="40">
        <v>0.1785737131438514</v>
      </c>
      <c r="I264" s="40">
        <v>7.6836362925041257E-2</v>
      </c>
      <c r="J264" s="40">
        <v>0.14600252205745434</v>
      </c>
    </row>
    <row r="265" spans="1:10" ht="11.25" customHeight="1" x14ac:dyDescent="0.2">
      <c r="A265" s="49">
        <v>44774</v>
      </c>
      <c r="B265" s="39">
        <v>0</v>
      </c>
      <c r="C265" s="39">
        <v>0</v>
      </c>
      <c r="D265" s="39">
        <v>7306.2006700000002</v>
      </c>
      <c r="E265" s="39">
        <v>8610.8960526159954</v>
      </c>
      <c r="F265" s="39">
        <v>3440.5793400000002</v>
      </c>
      <c r="G265" s="39">
        <v>3704.9409428406389</v>
      </c>
      <c r="H265" s="40">
        <v>0.1785737131438514</v>
      </c>
      <c r="I265" s="40">
        <v>7.6836362925041257E-2</v>
      </c>
      <c r="J265" s="40">
        <v>0.14600252205745412</v>
      </c>
    </row>
    <row r="266" spans="1:10" ht="11.25" customHeight="1" x14ac:dyDescent="0.2">
      <c r="A266" s="49">
        <v>44805</v>
      </c>
      <c r="B266" s="39">
        <v>0</v>
      </c>
      <c r="C266" s="39">
        <v>0</v>
      </c>
      <c r="D266" s="39">
        <v>7830.0201800000004</v>
      </c>
      <c r="E266" s="39">
        <v>9228.2559575338892</v>
      </c>
      <c r="F266" s="39">
        <v>3687.2523600000004</v>
      </c>
      <c r="G266" s="39">
        <v>3970.5674205291753</v>
      </c>
      <c r="H266" s="40">
        <v>0.17857371314385162</v>
      </c>
      <c r="I266" s="40">
        <v>7.6836362925041257E-2</v>
      </c>
      <c r="J266" s="40">
        <v>0.14600252205745434</v>
      </c>
    </row>
    <row r="267" spans="1:10" ht="11.25" customHeight="1" x14ac:dyDescent="0.2">
      <c r="A267" s="49">
        <v>44835</v>
      </c>
      <c r="B267" s="39">
        <v>0</v>
      </c>
      <c r="C267" s="39">
        <v>0</v>
      </c>
      <c r="D267" s="39">
        <v>7830.0201800000004</v>
      </c>
      <c r="E267" s="39">
        <v>9228.2559575338892</v>
      </c>
      <c r="F267" s="39">
        <v>3687.2523600000004</v>
      </c>
      <c r="G267" s="39">
        <v>3970.5674205291753</v>
      </c>
      <c r="H267" s="40">
        <v>0.17857371314385162</v>
      </c>
      <c r="I267" s="40">
        <v>7.6836362925041257E-2</v>
      </c>
      <c r="J267" s="40">
        <v>0.14600252205745434</v>
      </c>
    </row>
    <row r="268" spans="1:10" ht="11.25" customHeight="1" x14ac:dyDescent="0.2">
      <c r="A268" s="44" t="s">
        <v>45</v>
      </c>
      <c r="B268" s="39">
        <v>76634.880000000005</v>
      </c>
      <c r="C268" s="39">
        <v>87176.486828100111</v>
      </c>
      <c r="D268" s="39">
        <v>214517.86160639999</v>
      </c>
      <c r="E268" s="39">
        <v>296096.47136300936</v>
      </c>
      <c r="F268" s="39">
        <v>425139.24179520004</v>
      </c>
      <c r="G268" s="39">
        <v>452230.99437040935</v>
      </c>
      <c r="H268" s="40">
        <v>0.3163982453898504</v>
      </c>
      <c r="I268" s="40">
        <v>6.3724422287651405E-2</v>
      </c>
      <c r="J268" s="40">
        <v>0.16642929409009022</v>
      </c>
    </row>
    <row r="269" spans="1:10" ht="11.25" customHeight="1" x14ac:dyDescent="0.2">
      <c r="A269" s="45" t="s">
        <v>25</v>
      </c>
      <c r="B269" s="39">
        <v>76634.880000000005</v>
      </c>
      <c r="C269" s="39">
        <v>87176.486828100111</v>
      </c>
      <c r="D269" s="39">
        <v>214517.86160639999</v>
      </c>
      <c r="E269" s="39">
        <v>296096.47136300936</v>
      </c>
      <c r="F269" s="39">
        <v>425139.24179520004</v>
      </c>
      <c r="G269" s="39">
        <v>452230.99437040935</v>
      </c>
      <c r="H269" s="40">
        <v>0.3163982453898504</v>
      </c>
      <c r="I269" s="40">
        <v>6.3724422287651405E-2</v>
      </c>
      <c r="J269" s="40">
        <v>0.16642929409009022</v>
      </c>
    </row>
    <row r="270" spans="1:10" ht="11.25" customHeight="1" x14ac:dyDescent="0.2">
      <c r="A270" s="46" t="s">
        <v>25</v>
      </c>
      <c r="B270" s="39">
        <v>76634.880000000005</v>
      </c>
      <c r="C270" s="39">
        <v>87176.486828100111</v>
      </c>
      <c r="D270" s="39">
        <v>214517.86160639999</v>
      </c>
      <c r="E270" s="39">
        <v>296096.47136300936</v>
      </c>
      <c r="F270" s="39">
        <v>425139.24179520004</v>
      </c>
      <c r="G270" s="39">
        <v>452230.99437040935</v>
      </c>
      <c r="H270" s="40">
        <v>0.3163982453898504</v>
      </c>
      <c r="I270" s="40">
        <v>6.3724422287651405E-2</v>
      </c>
      <c r="J270" s="40">
        <v>0.16642929409009022</v>
      </c>
    </row>
    <row r="271" spans="1:10" ht="11.25" customHeight="1" x14ac:dyDescent="0.2">
      <c r="A271" s="47" t="s">
        <v>25</v>
      </c>
      <c r="B271" s="39">
        <v>76634.880000000005</v>
      </c>
      <c r="C271" s="39">
        <v>87176.486828100111</v>
      </c>
      <c r="D271" s="39">
        <v>214517.86160639999</v>
      </c>
      <c r="E271" s="39">
        <v>296096.47136300936</v>
      </c>
      <c r="F271" s="39">
        <v>425139.24179520004</v>
      </c>
      <c r="G271" s="39">
        <v>452230.99437040935</v>
      </c>
      <c r="H271" s="40">
        <v>0.3163982453898504</v>
      </c>
      <c r="I271" s="40">
        <v>6.3724422287651405E-2</v>
      </c>
      <c r="J271" s="40">
        <v>0.16642929409009022</v>
      </c>
    </row>
    <row r="272" spans="1:10" ht="11.25" customHeight="1" x14ac:dyDescent="0.2">
      <c r="A272" s="48" t="s">
        <v>35</v>
      </c>
      <c r="B272" s="39">
        <v>0</v>
      </c>
      <c r="C272" s="39">
        <v>0</v>
      </c>
      <c r="D272" s="39">
        <v>95569.566768000019</v>
      </c>
      <c r="E272" s="39">
        <v>155907.13784318662</v>
      </c>
      <c r="F272" s="39">
        <v>369125.0335584</v>
      </c>
      <c r="G272" s="39">
        <v>391912.85810056771</v>
      </c>
      <c r="H272" s="40">
        <v>0.63134712352164502</v>
      </c>
      <c r="I272" s="40">
        <v>6.1734703611106889E-2</v>
      </c>
      <c r="J272" s="40">
        <v>0.17888177645913528</v>
      </c>
    </row>
    <row r="273" spans="1:10" ht="11.25" customHeight="1" x14ac:dyDescent="0.2">
      <c r="A273" s="49">
        <v>44501</v>
      </c>
      <c r="B273" s="39">
        <v>0</v>
      </c>
      <c r="C273" s="39">
        <v>0</v>
      </c>
      <c r="D273" s="39">
        <v>7891.5938400000005</v>
      </c>
      <c r="E273" s="39">
        <v>12873.928910885137</v>
      </c>
      <c r="F273" s="39">
        <v>30480.255792000004</v>
      </c>
      <c r="G273" s="39">
        <v>32361.945349309844</v>
      </c>
      <c r="H273" s="40">
        <v>0.63134712352164546</v>
      </c>
      <c r="I273" s="40">
        <v>6.1734703611106667E-2</v>
      </c>
      <c r="J273" s="40">
        <v>0.17888177645913528</v>
      </c>
    </row>
    <row r="274" spans="1:10" ht="11.25" customHeight="1" x14ac:dyDescent="0.2">
      <c r="A274" s="49">
        <v>44531</v>
      </c>
      <c r="B274" s="39">
        <v>0</v>
      </c>
      <c r="C274" s="39">
        <v>0</v>
      </c>
      <c r="D274" s="39">
        <v>7637.533488</v>
      </c>
      <c r="E274" s="39">
        <v>12459.468286449039</v>
      </c>
      <c r="F274" s="39">
        <v>29498.980694400001</v>
      </c>
      <c r="G274" s="39">
        <v>31320.091524398547</v>
      </c>
      <c r="H274" s="40">
        <v>0.63134712352164524</v>
      </c>
      <c r="I274" s="40">
        <v>6.1734703611106889E-2</v>
      </c>
      <c r="J274" s="40">
        <v>0.17888177645913528</v>
      </c>
    </row>
    <row r="275" spans="1:10" ht="11.25" customHeight="1" x14ac:dyDescent="0.2">
      <c r="A275" s="49">
        <v>44562</v>
      </c>
      <c r="B275" s="39">
        <v>0</v>
      </c>
      <c r="C275" s="39">
        <v>0</v>
      </c>
      <c r="D275" s="39">
        <v>7719.4728000000014</v>
      </c>
      <c r="E275" s="39">
        <v>12593.139747383582</v>
      </c>
      <c r="F275" s="39">
        <v>29815.460640000001</v>
      </c>
      <c r="G275" s="39">
        <v>31656.109265639025</v>
      </c>
      <c r="H275" s="40">
        <v>0.63134712352164524</v>
      </c>
      <c r="I275" s="40">
        <v>6.1734703611106889E-2</v>
      </c>
      <c r="J275" s="40">
        <v>0.1788817764591355</v>
      </c>
    </row>
    <row r="276" spans="1:10" ht="11.25" customHeight="1" x14ac:dyDescent="0.2">
      <c r="A276" s="49">
        <v>44593</v>
      </c>
      <c r="B276" s="39">
        <v>0</v>
      </c>
      <c r="C276" s="39">
        <v>0</v>
      </c>
      <c r="D276" s="39">
        <v>7457.5163520000006</v>
      </c>
      <c r="E276" s="39">
        <v>12165.797849450833</v>
      </c>
      <c r="F276" s="39">
        <v>28803.687897600001</v>
      </c>
      <c r="G276" s="39">
        <v>30581.875032865162</v>
      </c>
      <c r="H276" s="40">
        <v>0.63134712352164524</v>
      </c>
      <c r="I276" s="40">
        <v>6.1734703611106889E-2</v>
      </c>
      <c r="J276" s="40">
        <v>0.17888177645913528</v>
      </c>
    </row>
    <row r="277" spans="1:10" ht="11.25" customHeight="1" x14ac:dyDescent="0.2">
      <c r="A277" s="49">
        <v>44621</v>
      </c>
      <c r="B277" s="39">
        <v>0</v>
      </c>
      <c r="C277" s="39">
        <v>0</v>
      </c>
      <c r="D277" s="39">
        <v>6498.3484800000006</v>
      </c>
      <c r="E277" s="39">
        <v>10601.062100489256</v>
      </c>
      <c r="F277" s="39">
        <v>25099.026624000002</v>
      </c>
      <c r="G277" s="39">
        <v>26648.50759355992</v>
      </c>
      <c r="H277" s="40">
        <v>0.63134712352164524</v>
      </c>
      <c r="I277" s="40">
        <v>6.1734703611106667E-2</v>
      </c>
      <c r="J277" s="40">
        <v>0.17888177645913528</v>
      </c>
    </row>
    <row r="278" spans="1:10" ht="11.25" customHeight="1" x14ac:dyDescent="0.2">
      <c r="A278" s="49">
        <v>44652</v>
      </c>
      <c r="B278" s="39">
        <v>0</v>
      </c>
      <c r="C278" s="39">
        <v>0</v>
      </c>
      <c r="D278" s="39">
        <v>7386.6592800000008</v>
      </c>
      <c r="E278" s="39">
        <v>12050.205368862469</v>
      </c>
      <c r="F278" s="39">
        <v>28530.011664000001</v>
      </c>
      <c r="G278" s="39">
        <v>30291.303478098464</v>
      </c>
      <c r="H278" s="40">
        <v>0.63134712352164546</v>
      </c>
      <c r="I278" s="40">
        <v>6.1734703611106889E-2</v>
      </c>
      <c r="J278" s="40">
        <v>0.17888177645913528</v>
      </c>
    </row>
    <row r="279" spans="1:10" ht="11.25" customHeight="1" x14ac:dyDescent="0.2">
      <c r="A279" s="49">
        <v>44682</v>
      </c>
      <c r="B279" s="39">
        <v>0</v>
      </c>
      <c r="C279" s="39">
        <v>0</v>
      </c>
      <c r="D279" s="39">
        <v>7153.2396000000008</v>
      </c>
      <c r="E279" s="39">
        <v>11669.416845321126</v>
      </c>
      <c r="F279" s="39">
        <v>27628.458480000005</v>
      </c>
      <c r="G279" s="39">
        <v>29334.093175494574</v>
      </c>
      <c r="H279" s="40">
        <v>0.63134712352164524</v>
      </c>
      <c r="I279" s="40">
        <v>6.1734703611106667E-2</v>
      </c>
      <c r="J279" s="40">
        <v>0.1788817764591355</v>
      </c>
    </row>
    <row r="280" spans="1:10" ht="11.25" customHeight="1" x14ac:dyDescent="0.2">
      <c r="A280" s="49">
        <v>44713</v>
      </c>
      <c r="B280" s="39">
        <v>0</v>
      </c>
      <c r="C280" s="39">
        <v>0</v>
      </c>
      <c r="D280" s="39">
        <v>6945.1705440000005</v>
      </c>
      <c r="E280" s="39">
        <v>11329.983989321661</v>
      </c>
      <c r="F280" s="39">
        <v>26824.818787200002</v>
      </c>
      <c r="G280" s="39">
        <v>28480.841024449444</v>
      </c>
      <c r="H280" s="40">
        <v>0.63134712352164524</v>
      </c>
      <c r="I280" s="40">
        <v>6.1734703611106889E-2</v>
      </c>
      <c r="J280" s="40">
        <v>0.17888177645913528</v>
      </c>
    </row>
    <row r="281" spans="1:10" ht="11.25" customHeight="1" x14ac:dyDescent="0.2">
      <c r="A281" s="49">
        <v>44743</v>
      </c>
      <c r="B281" s="39">
        <v>0</v>
      </c>
      <c r="C281" s="39">
        <v>0</v>
      </c>
      <c r="D281" s="39">
        <v>7477.5336480000014</v>
      </c>
      <c r="E281" s="39">
        <v>12198.453007701117</v>
      </c>
      <c r="F281" s="39">
        <v>28881.002102400005</v>
      </c>
      <c r="G281" s="39">
        <v>30663.96220718342</v>
      </c>
      <c r="H281" s="40">
        <v>0.63134712352164524</v>
      </c>
      <c r="I281" s="40">
        <v>6.1734703611106667E-2</v>
      </c>
      <c r="J281" s="40">
        <v>0.17888177645913528</v>
      </c>
    </row>
    <row r="282" spans="1:10" ht="11.25" customHeight="1" x14ac:dyDescent="0.2">
      <c r="A282" s="49">
        <v>44774</v>
      </c>
      <c r="B282" s="39">
        <v>0</v>
      </c>
      <c r="C282" s="39">
        <v>0</v>
      </c>
      <c r="D282" s="39">
        <v>7107.8024160000004</v>
      </c>
      <c r="E282" s="39">
        <v>11595.293025901801</v>
      </c>
      <c r="F282" s="39">
        <v>27452.963260800003</v>
      </c>
      <c r="G282" s="39">
        <v>29147.763810952096</v>
      </c>
      <c r="H282" s="40">
        <v>0.63134712352164524</v>
      </c>
      <c r="I282" s="40">
        <v>6.1734703611106889E-2</v>
      </c>
      <c r="J282" s="40">
        <v>0.17888177645913528</v>
      </c>
    </row>
    <row r="283" spans="1:10" ht="11.25" customHeight="1" x14ac:dyDescent="0.2">
      <c r="A283" s="49">
        <v>44805</v>
      </c>
      <c r="B283" s="39">
        <v>0</v>
      </c>
      <c r="C283" s="39">
        <v>0</v>
      </c>
      <c r="D283" s="39">
        <v>11147.348160000001</v>
      </c>
      <c r="E283" s="39">
        <v>18185.194355710308</v>
      </c>
      <c r="F283" s="39">
        <v>43055.183808000002</v>
      </c>
      <c r="G283" s="39">
        <v>45713.182819308611</v>
      </c>
      <c r="H283" s="40">
        <v>0.63134712352164524</v>
      </c>
      <c r="I283" s="40">
        <v>6.1734703611106889E-2</v>
      </c>
      <c r="J283" s="40">
        <v>0.17888177645913528</v>
      </c>
    </row>
    <row r="284" spans="1:10" ht="11.25" customHeight="1" x14ac:dyDescent="0.2">
      <c r="A284" s="49">
        <v>44835</v>
      </c>
      <c r="B284" s="39">
        <v>0</v>
      </c>
      <c r="C284" s="39">
        <v>0</v>
      </c>
      <c r="D284" s="39">
        <v>11147.348160000001</v>
      </c>
      <c r="E284" s="39">
        <v>18185.194355710308</v>
      </c>
      <c r="F284" s="39">
        <v>43055.183808000002</v>
      </c>
      <c r="G284" s="39">
        <v>45713.182819308611</v>
      </c>
      <c r="H284" s="40">
        <v>0.63134712352164524</v>
      </c>
      <c r="I284" s="40">
        <v>6.1734703611106889E-2</v>
      </c>
      <c r="J284" s="40">
        <v>0.17888177645913528</v>
      </c>
    </row>
    <row r="285" spans="1:10" ht="11.25" customHeight="1" x14ac:dyDescent="0.2">
      <c r="A285" s="48" t="s">
        <v>25</v>
      </c>
      <c r="B285" s="39">
        <v>76634.880000000005</v>
      </c>
      <c r="C285" s="39">
        <v>87176.486828100111</v>
      </c>
      <c r="D285" s="39">
        <v>0</v>
      </c>
      <c r="E285" s="39">
        <v>0</v>
      </c>
      <c r="F285" s="39">
        <v>0</v>
      </c>
      <c r="G285" s="39">
        <v>0</v>
      </c>
      <c r="H285" s="40">
        <v>0.1375562515149773</v>
      </c>
      <c r="I285" s="40">
        <v>0</v>
      </c>
      <c r="J285" s="40">
        <v>0.1375562515149773</v>
      </c>
    </row>
    <row r="286" spans="1:10" ht="11.25" customHeight="1" x14ac:dyDescent="0.2">
      <c r="A286" s="49">
        <v>44501</v>
      </c>
      <c r="B286" s="39">
        <v>6948.48</v>
      </c>
      <c r="C286" s="39">
        <v>7904.2868625267902</v>
      </c>
      <c r="D286" s="39">
        <v>0</v>
      </c>
      <c r="E286" s="39">
        <v>0</v>
      </c>
      <c r="F286" s="39">
        <v>0</v>
      </c>
      <c r="G286" s="39">
        <v>0</v>
      </c>
      <c r="H286" s="40">
        <v>0.13755625151497752</v>
      </c>
      <c r="I286" s="40">
        <v>0</v>
      </c>
      <c r="J286" s="40">
        <v>0.13755625151497752</v>
      </c>
    </row>
    <row r="287" spans="1:10" ht="11.25" customHeight="1" x14ac:dyDescent="0.2">
      <c r="A287" s="49">
        <v>44531</v>
      </c>
      <c r="B287" s="39">
        <v>5053.4399999999996</v>
      </c>
      <c r="C287" s="39">
        <v>5748.5722636558467</v>
      </c>
      <c r="D287" s="39">
        <v>0</v>
      </c>
      <c r="E287" s="39">
        <v>0</v>
      </c>
      <c r="F287" s="39">
        <v>0</v>
      </c>
      <c r="G287" s="39">
        <v>0</v>
      </c>
      <c r="H287" s="40">
        <v>0.1375562515149773</v>
      </c>
      <c r="I287" s="40">
        <v>0</v>
      </c>
      <c r="J287" s="40">
        <v>0.1375562515149773</v>
      </c>
    </row>
    <row r="288" spans="1:10" ht="11.25" customHeight="1" x14ac:dyDescent="0.2">
      <c r="A288" s="49">
        <v>44562</v>
      </c>
      <c r="B288" s="39">
        <v>5389.44</v>
      </c>
      <c r="C288" s="39">
        <v>6130.7911641648789</v>
      </c>
      <c r="D288" s="39">
        <v>0</v>
      </c>
      <c r="E288" s="39">
        <v>0</v>
      </c>
      <c r="F288" s="39">
        <v>0</v>
      </c>
      <c r="G288" s="39">
        <v>0</v>
      </c>
      <c r="H288" s="40">
        <v>0.1375562515149773</v>
      </c>
      <c r="I288" s="40">
        <v>0</v>
      </c>
      <c r="J288" s="40">
        <v>0.1375562515149773</v>
      </c>
    </row>
    <row r="289" spans="1:10" ht="11.25" customHeight="1" x14ac:dyDescent="0.2">
      <c r="A289" s="49">
        <v>44593</v>
      </c>
      <c r="B289" s="39">
        <v>5308.8</v>
      </c>
      <c r="C289" s="39">
        <v>6039.0586280427115</v>
      </c>
      <c r="D289" s="39">
        <v>0</v>
      </c>
      <c r="E289" s="39">
        <v>0</v>
      </c>
      <c r="F289" s="39">
        <v>0</v>
      </c>
      <c r="G289" s="39">
        <v>0</v>
      </c>
      <c r="H289" s="40">
        <v>0.1375562515149773</v>
      </c>
      <c r="I289" s="40">
        <v>0</v>
      </c>
      <c r="J289" s="40">
        <v>0.1375562515149773</v>
      </c>
    </row>
    <row r="290" spans="1:10" ht="11.25" customHeight="1" x14ac:dyDescent="0.2">
      <c r="A290" s="49">
        <v>44621</v>
      </c>
      <c r="B290" s="39">
        <v>4905.5999999999995</v>
      </c>
      <c r="C290" s="39">
        <v>5580.3959474318726</v>
      </c>
      <c r="D290" s="39">
        <v>0</v>
      </c>
      <c r="E290" s="39">
        <v>0</v>
      </c>
      <c r="F290" s="39">
        <v>0</v>
      </c>
      <c r="G290" s="39">
        <v>0</v>
      </c>
      <c r="H290" s="40">
        <v>0.13755625151497752</v>
      </c>
      <c r="I290" s="40">
        <v>0</v>
      </c>
      <c r="J290" s="40">
        <v>0.13755625151497752</v>
      </c>
    </row>
    <row r="291" spans="1:10" ht="11.25" customHeight="1" x14ac:dyDescent="0.2">
      <c r="A291" s="49">
        <v>44652</v>
      </c>
      <c r="B291" s="39">
        <v>5671.68</v>
      </c>
      <c r="C291" s="39">
        <v>6451.855040592467</v>
      </c>
      <c r="D291" s="39">
        <v>0</v>
      </c>
      <c r="E291" s="39">
        <v>0</v>
      </c>
      <c r="F291" s="39">
        <v>0</v>
      </c>
      <c r="G291" s="39">
        <v>0</v>
      </c>
      <c r="H291" s="40">
        <v>0.1375562515149773</v>
      </c>
      <c r="I291" s="40">
        <v>0</v>
      </c>
      <c r="J291" s="40">
        <v>0.1375562515149773</v>
      </c>
    </row>
    <row r="292" spans="1:10" ht="11.25" customHeight="1" x14ac:dyDescent="0.2">
      <c r="A292" s="49">
        <v>44682</v>
      </c>
      <c r="B292" s="39">
        <v>5416.32</v>
      </c>
      <c r="C292" s="39">
        <v>6161.3686762056022</v>
      </c>
      <c r="D292" s="39">
        <v>0</v>
      </c>
      <c r="E292" s="39">
        <v>0</v>
      </c>
      <c r="F292" s="39">
        <v>0</v>
      </c>
      <c r="G292" s="39">
        <v>0</v>
      </c>
      <c r="H292" s="40">
        <v>0.13755625151497752</v>
      </c>
      <c r="I292" s="40">
        <v>0</v>
      </c>
      <c r="J292" s="40">
        <v>0.13755625151497752</v>
      </c>
    </row>
    <row r="293" spans="1:10" ht="11.25" customHeight="1" x14ac:dyDescent="0.2">
      <c r="A293" s="49">
        <v>44713</v>
      </c>
      <c r="B293" s="39">
        <v>4905.5999999999995</v>
      </c>
      <c r="C293" s="39">
        <v>5580.3959474318726</v>
      </c>
      <c r="D293" s="39">
        <v>0</v>
      </c>
      <c r="E293" s="39">
        <v>0</v>
      </c>
      <c r="F293" s="39">
        <v>0</v>
      </c>
      <c r="G293" s="39">
        <v>0</v>
      </c>
      <c r="H293" s="40">
        <v>0.13755625151497752</v>
      </c>
      <c r="I293" s="40">
        <v>0</v>
      </c>
      <c r="J293" s="40">
        <v>0.13755625151497752</v>
      </c>
    </row>
    <row r="294" spans="1:10" ht="11.25" customHeight="1" x14ac:dyDescent="0.2">
      <c r="A294" s="49">
        <v>44743</v>
      </c>
      <c r="B294" s="39">
        <v>5591.04</v>
      </c>
      <c r="C294" s="39">
        <v>6360.1225044702996</v>
      </c>
      <c r="D294" s="39">
        <v>0</v>
      </c>
      <c r="E294" s="39">
        <v>0</v>
      </c>
      <c r="F294" s="39">
        <v>0</v>
      </c>
      <c r="G294" s="39">
        <v>0</v>
      </c>
      <c r="H294" s="40">
        <v>0.13755625151497752</v>
      </c>
      <c r="I294" s="40">
        <v>0</v>
      </c>
      <c r="J294" s="40">
        <v>0.13755625151497752</v>
      </c>
    </row>
    <row r="295" spans="1:10" ht="11.25" customHeight="1" x14ac:dyDescent="0.2">
      <c r="A295" s="49">
        <v>44774</v>
      </c>
      <c r="B295" s="39">
        <v>4919.04</v>
      </c>
      <c r="C295" s="39">
        <v>5595.6847034522343</v>
      </c>
      <c r="D295" s="39">
        <v>0</v>
      </c>
      <c r="E295" s="39">
        <v>0</v>
      </c>
      <c r="F295" s="39">
        <v>0</v>
      </c>
      <c r="G295" s="39">
        <v>0</v>
      </c>
      <c r="H295" s="40">
        <v>0.1375562515149773</v>
      </c>
      <c r="I295" s="40">
        <v>0</v>
      </c>
      <c r="J295" s="40">
        <v>0.1375562515149773</v>
      </c>
    </row>
    <row r="296" spans="1:10" ht="11.25" customHeight="1" x14ac:dyDescent="0.2">
      <c r="A296" s="49">
        <v>44805</v>
      </c>
      <c r="B296" s="39">
        <v>11262.720000000001</v>
      </c>
      <c r="C296" s="39">
        <v>12811.977545062766</v>
      </c>
      <c r="D296" s="39">
        <v>0</v>
      </c>
      <c r="E296" s="39">
        <v>0</v>
      </c>
      <c r="F296" s="39">
        <v>0</v>
      </c>
      <c r="G296" s="39">
        <v>0</v>
      </c>
      <c r="H296" s="40">
        <v>0.1375562515149773</v>
      </c>
      <c r="I296" s="40">
        <v>0</v>
      </c>
      <c r="J296" s="40">
        <v>0.1375562515149773</v>
      </c>
    </row>
    <row r="297" spans="1:10" ht="11.25" customHeight="1" x14ac:dyDescent="0.2">
      <c r="A297" s="49">
        <v>44835</v>
      </c>
      <c r="B297" s="39">
        <v>11262.720000000001</v>
      </c>
      <c r="C297" s="39">
        <v>12811.977545062766</v>
      </c>
      <c r="D297" s="39">
        <v>0</v>
      </c>
      <c r="E297" s="39">
        <v>0</v>
      </c>
      <c r="F297" s="39">
        <v>0</v>
      </c>
      <c r="G297" s="39">
        <v>0</v>
      </c>
      <c r="H297" s="40">
        <v>0.1375562515149773</v>
      </c>
      <c r="I297" s="40">
        <v>0</v>
      </c>
      <c r="J297" s="40">
        <v>0.1375562515149773</v>
      </c>
    </row>
    <row r="298" spans="1:10" ht="11.25" customHeight="1" x14ac:dyDescent="0.2">
      <c r="A298" s="48" t="s">
        <v>34</v>
      </c>
      <c r="B298" s="39">
        <v>0</v>
      </c>
      <c r="C298" s="39">
        <v>0</v>
      </c>
      <c r="D298" s="39">
        <v>118948.29483839999</v>
      </c>
      <c r="E298" s="39">
        <v>140189.33351982271</v>
      </c>
      <c r="F298" s="39">
        <v>56014.208236800005</v>
      </c>
      <c r="G298" s="39">
        <v>60318.136269841605</v>
      </c>
      <c r="H298" s="40">
        <v>0.17857371314385162</v>
      </c>
      <c r="I298" s="40">
        <v>7.6836362925041257E-2</v>
      </c>
      <c r="J298" s="40">
        <v>0.14600252205745456</v>
      </c>
    </row>
    <row r="299" spans="1:10" ht="11.25" customHeight="1" x14ac:dyDescent="0.2">
      <c r="A299" s="49">
        <v>44501</v>
      </c>
      <c r="B299" s="39">
        <v>0</v>
      </c>
      <c r="C299" s="39">
        <v>0</v>
      </c>
      <c r="D299" s="39">
        <v>8343.7958975999991</v>
      </c>
      <c r="E299" s="39">
        <v>9833.7785127488678</v>
      </c>
      <c r="F299" s="39">
        <v>3929.1956352000002</v>
      </c>
      <c r="G299" s="39">
        <v>4231.1007370297148</v>
      </c>
      <c r="H299" s="40">
        <v>0.17857371314385162</v>
      </c>
      <c r="I299" s="40">
        <v>7.6836362925041035E-2</v>
      </c>
      <c r="J299" s="40">
        <v>0.14600252205745456</v>
      </c>
    </row>
    <row r="300" spans="1:10" ht="11.25" customHeight="1" x14ac:dyDescent="0.2">
      <c r="A300" s="49">
        <v>44531</v>
      </c>
      <c r="B300" s="39">
        <v>0</v>
      </c>
      <c r="C300" s="39">
        <v>0</v>
      </c>
      <c r="D300" s="39">
        <v>8909.8595231999989</v>
      </c>
      <c r="E300" s="39">
        <v>10500.926221847931</v>
      </c>
      <c r="F300" s="39">
        <v>4195.7619264000004</v>
      </c>
      <c r="G300" s="39">
        <v>4518.1490125239407</v>
      </c>
      <c r="H300" s="40">
        <v>0.17857371314385162</v>
      </c>
      <c r="I300" s="40">
        <v>7.6836362925041035E-2</v>
      </c>
      <c r="J300" s="40">
        <v>0.14600252205745434</v>
      </c>
    </row>
    <row r="301" spans="1:10" ht="11.25" customHeight="1" x14ac:dyDescent="0.2">
      <c r="A301" s="49">
        <v>44562</v>
      </c>
      <c r="B301" s="39">
        <v>0</v>
      </c>
      <c r="C301" s="39">
        <v>0</v>
      </c>
      <c r="D301" s="39">
        <v>10225.2577728</v>
      </c>
      <c r="E301" s="39">
        <v>12051.220021141926</v>
      </c>
      <c r="F301" s="39">
        <v>4815.1990656000007</v>
      </c>
      <c r="G301" s="39">
        <v>5185.1814485607611</v>
      </c>
      <c r="H301" s="40">
        <v>0.17857371314385162</v>
      </c>
      <c r="I301" s="40">
        <v>7.6836362925041035E-2</v>
      </c>
      <c r="J301" s="40">
        <v>0.14600252205745434</v>
      </c>
    </row>
    <row r="302" spans="1:10" ht="11.25" customHeight="1" x14ac:dyDescent="0.2">
      <c r="A302" s="49">
        <v>44593</v>
      </c>
      <c r="B302" s="39">
        <v>0</v>
      </c>
      <c r="C302" s="39">
        <v>0</v>
      </c>
      <c r="D302" s="39">
        <v>9319.7365344000009</v>
      </c>
      <c r="E302" s="39">
        <v>10983.996492870219</v>
      </c>
      <c r="F302" s="39">
        <v>4388.7780288000004</v>
      </c>
      <c r="G302" s="39">
        <v>4725.9957702183237</v>
      </c>
      <c r="H302" s="40">
        <v>0.1785737131438514</v>
      </c>
      <c r="I302" s="40">
        <v>7.6836362925041035E-2</v>
      </c>
      <c r="J302" s="40">
        <v>0.14600252205745434</v>
      </c>
    </row>
    <row r="303" spans="1:10" ht="11.25" customHeight="1" x14ac:dyDescent="0.2">
      <c r="A303" s="49">
        <v>44621</v>
      </c>
      <c r="B303" s="39">
        <v>0</v>
      </c>
      <c r="C303" s="39">
        <v>0</v>
      </c>
      <c r="D303" s="39">
        <v>8803.3276127999998</v>
      </c>
      <c r="E303" s="39">
        <v>10375.370512639494</v>
      </c>
      <c r="F303" s="39">
        <v>4145.5947456000004</v>
      </c>
      <c r="G303" s="39">
        <v>4464.1271680130658</v>
      </c>
      <c r="H303" s="40">
        <v>0.17857371314385162</v>
      </c>
      <c r="I303" s="40">
        <v>7.6836362925041257E-2</v>
      </c>
      <c r="J303" s="40">
        <v>0.14600252205745434</v>
      </c>
    </row>
    <row r="304" spans="1:10" ht="11.25" customHeight="1" x14ac:dyDescent="0.2">
      <c r="A304" s="49">
        <v>44652</v>
      </c>
      <c r="B304" s="39">
        <v>0</v>
      </c>
      <c r="C304" s="39">
        <v>0</v>
      </c>
      <c r="D304" s="39">
        <v>9775.6569983999998</v>
      </c>
      <c r="E304" s="39">
        <v>11521.332367024967</v>
      </c>
      <c r="F304" s="39">
        <v>4603.4765568000003</v>
      </c>
      <c r="G304" s="39">
        <v>4957.1909522352043</v>
      </c>
      <c r="H304" s="40">
        <v>0.17857371314385162</v>
      </c>
      <c r="I304" s="40">
        <v>7.6836362925041257E-2</v>
      </c>
      <c r="J304" s="40">
        <v>0.14600252205745434</v>
      </c>
    </row>
    <row r="305" spans="1:10" ht="11.25" customHeight="1" x14ac:dyDescent="0.2">
      <c r="A305" s="49">
        <v>44682</v>
      </c>
      <c r="B305" s="39">
        <v>0</v>
      </c>
      <c r="C305" s="39">
        <v>0</v>
      </c>
      <c r="D305" s="39">
        <v>8286.9186912000005</v>
      </c>
      <c r="E305" s="39">
        <v>9766.7445324087694</v>
      </c>
      <c r="F305" s="39">
        <v>3902.4114624000003</v>
      </c>
      <c r="G305" s="39">
        <v>4202.2585658078069</v>
      </c>
      <c r="H305" s="40">
        <v>0.1785737131438514</v>
      </c>
      <c r="I305" s="40">
        <v>7.6836362925041035E-2</v>
      </c>
      <c r="J305" s="40">
        <v>0.14600252205745434</v>
      </c>
    </row>
    <row r="306" spans="1:10" ht="11.25" customHeight="1" x14ac:dyDescent="0.2">
      <c r="A306" s="49">
        <v>44713</v>
      </c>
      <c r="B306" s="39">
        <v>0</v>
      </c>
      <c r="C306" s="39">
        <v>0</v>
      </c>
      <c r="D306" s="39">
        <v>9177.9949247999994</v>
      </c>
      <c r="E306" s="39">
        <v>10816.943557736959</v>
      </c>
      <c r="F306" s="39">
        <v>4322.0301695999997</v>
      </c>
      <c r="G306" s="39">
        <v>4654.1192482843626</v>
      </c>
      <c r="H306" s="40">
        <v>0.1785737131438514</v>
      </c>
      <c r="I306" s="40">
        <v>7.6836362925041257E-2</v>
      </c>
      <c r="J306" s="40">
        <v>0.14600252205745412</v>
      </c>
    </row>
    <row r="307" spans="1:10" ht="11.25" customHeight="1" x14ac:dyDescent="0.2">
      <c r="A307" s="49">
        <v>44743</v>
      </c>
      <c r="B307" s="39">
        <v>0</v>
      </c>
      <c r="C307" s="39">
        <v>0</v>
      </c>
      <c r="D307" s="39">
        <v>10561.104134399999</v>
      </c>
      <c r="E307" s="39">
        <v>12447.039714578688</v>
      </c>
      <c r="F307" s="39">
        <v>4973.3532287999997</v>
      </c>
      <c r="G307" s="39">
        <v>5355.4876024425021</v>
      </c>
      <c r="H307" s="40">
        <v>0.17857371314385162</v>
      </c>
      <c r="I307" s="40">
        <v>7.6836362925041257E-2</v>
      </c>
      <c r="J307" s="40">
        <v>0.14600252205745434</v>
      </c>
    </row>
    <row r="308" spans="1:10" ht="11.25" customHeight="1" x14ac:dyDescent="0.2">
      <c r="A308" s="49">
        <v>44774</v>
      </c>
      <c r="B308" s="39">
        <v>0</v>
      </c>
      <c r="C308" s="39">
        <v>0</v>
      </c>
      <c r="D308" s="39">
        <v>10464.503164799999</v>
      </c>
      <c r="E308" s="39">
        <v>12333.188351143921</v>
      </c>
      <c r="F308" s="39">
        <v>4927.8626495999997</v>
      </c>
      <c r="G308" s="39">
        <v>5306.5016925894206</v>
      </c>
      <c r="H308" s="40">
        <v>0.17857371314385162</v>
      </c>
      <c r="I308" s="40">
        <v>7.6836362925041257E-2</v>
      </c>
      <c r="J308" s="40">
        <v>0.14600252205745456</v>
      </c>
    </row>
    <row r="309" spans="1:10" ht="11.25" customHeight="1" x14ac:dyDescent="0.2">
      <c r="A309" s="49">
        <v>44805</v>
      </c>
      <c r="B309" s="39">
        <v>0</v>
      </c>
      <c r="C309" s="39">
        <v>0</v>
      </c>
      <c r="D309" s="39">
        <v>12540.069792</v>
      </c>
      <c r="E309" s="39">
        <v>14779.396617840486</v>
      </c>
      <c r="F309" s="39">
        <v>5905.2723840000008</v>
      </c>
      <c r="G309" s="39">
        <v>6359.0120360682477</v>
      </c>
      <c r="H309" s="40">
        <v>0.17857371314385162</v>
      </c>
      <c r="I309" s="40">
        <v>7.6836362925041035E-2</v>
      </c>
      <c r="J309" s="40">
        <v>0.14600252205745412</v>
      </c>
    </row>
    <row r="310" spans="1:10" ht="11.25" customHeight="1" x14ac:dyDescent="0.2">
      <c r="A310" s="49">
        <v>44835</v>
      </c>
      <c r="B310" s="39">
        <v>0</v>
      </c>
      <c r="C310" s="39">
        <v>0</v>
      </c>
      <c r="D310" s="39">
        <v>12540.069792</v>
      </c>
      <c r="E310" s="39">
        <v>14779.396617840486</v>
      </c>
      <c r="F310" s="39">
        <v>5905.2723840000008</v>
      </c>
      <c r="G310" s="39">
        <v>6359.0120360682477</v>
      </c>
      <c r="H310" s="40">
        <v>0.17857371314385162</v>
      </c>
      <c r="I310" s="40">
        <v>7.6836362925041035E-2</v>
      </c>
      <c r="J310" s="40">
        <v>0.14600252205745412</v>
      </c>
    </row>
    <row r="311" spans="1:10" ht="11.25" customHeight="1" x14ac:dyDescent="0.2">
      <c r="A311" s="44" t="s">
        <v>50</v>
      </c>
      <c r="B311" s="39">
        <v>294715.40000000002</v>
      </c>
      <c r="C311" s="39">
        <v>335255.34568773716</v>
      </c>
      <c r="D311" s="39">
        <v>1186258.9008916002</v>
      </c>
      <c r="E311" s="39">
        <v>1731463.7605777772</v>
      </c>
      <c r="F311" s="39">
        <v>3055702.8547319993</v>
      </c>
      <c r="G311" s="39">
        <v>3247545.7805590229</v>
      </c>
      <c r="H311" s="40">
        <v>0.39551314632622248</v>
      </c>
      <c r="I311" s="40">
        <v>6.2781931014640247E-2</v>
      </c>
      <c r="J311" s="40">
        <v>0.1714002792191307</v>
      </c>
    </row>
    <row r="312" spans="1:10" ht="11.25" customHeight="1" x14ac:dyDescent="0.2">
      <c r="A312" s="45" t="s">
        <v>51</v>
      </c>
      <c r="B312" s="39">
        <v>294715.40000000002</v>
      </c>
      <c r="C312" s="39">
        <v>335255.34568773716</v>
      </c>
      <c r="D312" s="39">
        <v>1186258.9008916002</v>
      </c>
      <c r="E312" s="39">
        <v>1731463.7605777772</v>
      </c>
      <c r="F312" s="39">
        <v>3055702.8547319993</v>
      </c>
      <c r="G312" s="39">
        <v>3247545.7805590229</v>
      </c>
      <c r="H312" s="40">
        <v>0.39551314632622248</v>
      </c>
      <c r="I312" s="40">
        <v>6.2781931014640247E-2</v>
      </c>
      <c r="J312" s="40">
        <v>0.1714002792191307</v>
      </c>
    </row>
    <row r="313" spans="1:10" ht="11.25" customHeight="1" x14ac:dyDescent="0.2">
      <c r="A313" s="46" t="s">
        <v>25</v>
      </c>
      <c r="B313" s="39">
        <v>294715.40000000002</v>
      </c>
      <c r="C313" s="39">
        <v>335255.34568773716</v>
      </c>
      <c r="D313" s="39">
        <v>1186258.9008916002</v>
      </c>
      <c r="E313" s="39">
        <v>1731463.7605777772</v>
      </c>
      <c r="F313" s="39">
        <v>3055702.8547319993</v>
      </c>
      <c r="G313" s="39">
        <v>3247545.7805590229</v>
      </c>
      <c r="H313" s="40">
        <v>0.39551314632622248</v>
      </c>
      <c r="I313" s="40">
        <v>6.2781931014640247E-2</v>
      </c>
      <c r="J313" s="40">
        <v>0.1714002792191307</v>
      </c>
    </row>
    <row r="314" spans="1:10" ht="11.25" customHeight="1" x14ac:dyDescent="0.2">
      <c r="A314" s="47" t="s">
        <v>25</v>
      </c>
      <c r="B314" s="39">
        <v>294715.40000000002</v>
      </c>
      <c r="C314" s="39">
        <v>335255.34568773716</v>
      </c>
      <c r="D314" s="39">
        <v>1186258.9008916002</v>
      </c>
      <c r="E314" s="39">
        <v>1731463.7605777772</v>
      </c>
      <c r="F314" s="39">
        <v>3055702.8547319993</v>
      </c>
      <c r="G314" s="39">
        <v>3247545.7805590229</v>
      </c>
      <c r="H314" s="40">
        <v>0.39551314632622248</v>
      </c>
      <c r="I314" s="40">
        <v>6.2781931014640247E-2</v>
      </c>
      <c r="J314" s="40">
        <v>0.1714002792191307</v>
      </c>
    </row>
    <row r="315" spans="1:10" ht="11.25" customHeight="1" x14ac:dyDescent="0.2">
      <c r="A315" s="48" t="s">
        <v>35</v>
      </c>
      <c r="B315" s="39">
        <v>0</v>
      </c>
      <c r="C315" s="39">
        <v>0</v>
      </c>
      <c r="D315" s="39">
        <v>736284.85101600015</v>
      </c>
      <c r="E315" s="39">
        <v>1201136.1737975148</v>
      </c>
      <c r="F315" s="39">
        <v>2843804.5659408001</v>
      </c>
      <c r="G315" s="39">
        <v>3019365.9979470675</v>
      </c>
      <c r="H315" s="40">
        <v>0.63134712352164502</v>
      </c>
      <c r="I315" s="40">
        <v>6.1734703611106667E-2</v>
      </c>
      <c r="J315" s="40">
        <v>0.17888177645913528</v>
      </c>
    </row>
    <row r="316" spans="1:10" ht="11.25" customHeight="1" x14ac:dyDescent="0.2">
      <c r="A316" s="49">
        <v>44501</v>
      </c>
      <c r="B316" s="39">
        <v>0</v>
      </c>
      <c r="C316" s="39">
        <v>0</v>
      </c>
      <c r="D316" s="39">
        <v>63672.321608999999</v>
      </c>
      <c r="E316" s="39">
        <v>103871.65870478725</v>
      </c>
      <c r="F316" s="39">
        <v>245926.0687842</v>
      </c>
      <c r="G316" s="39">
        <v>261108.24175083727</v>
      </c>
      <c r="H316" s="40">
        <v>0.63134712352164524</v>
      </c>
      <c r="I316" s="40">
        <v>6.1734703611106889E-2</v>
      </c>
      <c r="J316" s="40">
        <v>0.17888177645913528</v>
      </c>
    </row>
    <row r="317" spans="1:10" ht="11.25" customHeight="1" x14ac:dyDescent="0.2">
      <c r="A317" s="49">
        <v>44531</v>
      </c>
      <c r="B317" s="39">
        <v>0</v>
      </c>
      <c r="C317" s="39">
        <v>0</v>
      </c>
      <c r="D317" s="39">
        <v>60528.546974999997</v>
      </c>
      <c r="E317" s="39">
        <v>98743.070998611031</v>
      </c>
      <c r="F317" s="39">
        <v>233783.64775499998</v>
      </c>
      <c r="G317" s="39">
        <v>248216.21195827832</v>
      </c>
      <c r="H317" s="40">
        <v>0.63134712352164524</v>
      </c>
      <c r="I317" s="40">
        <v>6.1734703611106889E-2</v>
      </c>
      <c r="J317" s="40">
        <v>0.17888177645913528</v>
      </c>
    </row>
    <row r="318" spans="1:10" ht="11.25" customHeight="1" x14ac:dyDescent="0.2">
      <c r="A318" s="49">
        <v>44562</v>
      </c>
      <c r="B318" s="39">
        <v>0</v>
      </c>
      <c r="C318" s="39">
        <v>0</v>
      </c>
      <c r="D318" s="39">
        <v>60759.341838</v>
      </c>
      <c r="E318" s="39">
        <v>99119.577534489668</v>
      </c>
      <c r="F318" s="39">
        <v>234675.0629244</v>
      </c>
      <c r="G318" s="39">
        <v>249162.6583789557</v>
      </c>
      <c r="H318" s="40">
        <v>0.63134712352164546</v>
      </c>
      <c r="I318" s="40">
        <v>6.1734703611106889E-2</v>
      </c>
      <c r="J318" s="40">
        <v>0.17888177645913528</v>
      </c>
    </row>
    <row r="319" spans="1:10" ht="11.25" customHeight="1" x14ac:dyDescent="0.2">
      <c r="A319" s="49">
        <v>44593</v>
      </c>
      <c r="B319" s="39">
        <v>0</v>
      </c>
      <c r="C319" s="39">
        <v>0</v>
      </c>
      <c r="D319" s="39">
        <v>60371.541360000003</v>
      </c>
      <c r="E319" s="39">
        <v>98486.940340204048</v>
      </c>
      <c r="F319" s="39">
        <v>233177.23396800002</v>
      </c>
      <c r="G319" s="39">
        <v>247572.36139587223</v>
      </c>
      <c r="H319" s="40">
        <v>0.63134712352164546</v>
      </c>
      <c r="I319" s="40">
        <v>6.1734703611106889E-2</v>
      </c>
      <c r="J319" s="40">
        <v>0.17888177645913528</v>
      </c>
    </row>
    <row r="320" spans="1:10" ht="11.25" customHeight="1" x14ac:dyDescent="0.2">
      <c r="A320" s="49">
        <v>44621</v>
      </c>
      <c r="B320" s="39">
        <v>0</v>
      </c>
      <c r="C320" s="39">
        <v>0</v>
      </c>
      <c r="D320" s="39">
        <v>57081.40900800001</v>
      </c>
      <c r="E320" s="39">
        <v>93119.592391763348</v>
      </c>
      <c r="F320" s="39">
        <v>220469.52527040002</v>
      </c>
      <c r="G320" s="39">
        <v>234080.1460682496</v>
      </c>
      <c r="H320" s="40">
        <v>0.63134712352164524</v>
      </c>
      <c r="I320" s="40">
        <v>6.1734703611106889E-2</v>
      </c>
      <c r="J320" s="40">
        <v>0.17888177645913528</v>
      </c>
    </row>
    <row r="321" spans="1:10" ht="11.25" customHeight="1" x14ac:dyDescent="0.2">
      <c r="A321" s="49">
        <v>44652</v>
      </c>
      <c r="B321" s="39">
        <v>0</v>
      </c>
      <c r="C321" s="39">
        <v>0</v>
      </c>
      <c r="D321" s="39">
        <v>63537.832566000005</v>
      </c>
      <c r="E321" s="39">
        <v>103652.26039134403</v>
      </c>
      <c r="F321" s="39">
        <v>245406.62233079999</v>
      </c>
      <c r="G321" s="39">
        <v>260556.72742459478</v>
      </c>
      <c r="H321" s="40">
        <v>0.63134712352164524</v>
      </c>
      <c r="I321" s="40">
        <v>6.1734703611106889E-2</v>
      </c>
      <c r="J321" s="40">
        <v>0.17888177645913528</v>
      </c>
    </row>
    <row r="322" spans="1:10" ht="11.25" customHeight="1" x14ac:dyDescent="0.2">
      <c r="A322" s="49">
        <v>44682</v>
      </c>
      <c r="B322" s="39">
        <v>0</v>
      </c>
      <c r="C322" s="39">
        <v>0</v>
      </c>
      <c r="D322" s="39">
        <v>60810.682335000005</v>
      </c>
      <c r="E322" s="39">
        <v>99203.33170659079</v>
      </c>
      <c r="F322" s="39">
        <v>234873.35892300002</v>
      </c>
      <c r="G322" s="39">
        <v>249373.19612225654</v>
      </c>
      <c r="H322" s="40">
        <v>0.63134712352164546</v>
      </c>
      <c r="I322" s="40">
        <v>6.1734703611106889E-2</v>
      </c>
      <c r="J322" s="40">
        <v>0.1788817764591355</v>
      </c>
    </row>
    <row r="323" spans="1:10" ht="11.25" customHeight="1" x14ac:dyDescent="0.2">
      <c r="A323" s="49">
        <v>44713</v>
      </c>
      <c r="B323" s="39">
        <v>0</v>
      </c>
      <c r="C323" s="39">
        <v>0</v>
      </c>
      <c r="D323" s="39">
        <v>61193.396238000001</v>
      </c>
      <c r="E323" s="39">
        <v>99827.670931381581</v>
      </c>
      <c r="F323" s="39">
        <v>236351.54164439999</v>
      </c>
      <c r="G323" s="39">
        <v>250942.63401584522</v>
      </c>
      <c r="H323" s="40">
        <v>0.63134712352164546</v>
      </c>
      <c r="I323" s="40">
        <v>6.1734703611106889E-2</v>
      </c>
      <c r="J323" s="40">
        <v>0.17888177645913528</v>
      </c>
    </row>
    <row r="324" spans="1:10" ht="11.25" customHeight="1" x14ac:dyDescent="0.2">
      <c r="A324" s="49">
        <v>44743</v>
      </c>
      <c r="B324" s="39">
        <v>0</v>
      </c>
      <c r="C324" s="39">
        <v>0</v>
      </c>
      <c r="D324" s="39">
        <v>59615.744136000001</v>
      </c>
      <c r="E324" s="39">
        <v>97253.972712866002</v>
      </c>
      <c r="F324" s="39">
        <v>230258.0653968</v>
      </c>
      <c r="G324" s="39">
        <v>244472.97881813833</v>
      </c>
      <c r="H324" s="40">
        <v>0.63134712352164546</v>
      </c>
      <c r="I324" s="40">
        <v>6.1734703611106889E-2</v>
      </c>
      <c r="J324" s="40">
        <v>0.1788817764591355</v>
      </c>
    </row>
    <row r="325" spans="1:10" ht="11.25" customHeight="1" x14ac:dyDescent="0.2">
      <c r="A325" s="49">
        <v>44774</v>
      </c>
      <c r="B325" s="39">
        <v>0</v>
      </c>
      <c r="C325" s="39">
        <v>0</v>
      </c>
      <c r="D325" s="39">
        <v>62807.196932999999</v>
      </c>
      <c r="E325" s="39">
        <v>102460.34005310705</v>
      </c>
      <c r="F325" s="39">
        <v>242584.6371354</v>
      </c>
      <c r="G325" s="39">
        <v>257560.52780956181</v>
      </c>
      <c r="H325" s="40">
        <v>0.63134712352164524</v>
      </c>
      <c r="I325" s="40">
        <v>6.1734703611106889E-2</v>
      </c>
      <c r="J325" s="40">
        <v>0.1788817764591355</v>
      </c>
    </row>
    <row r="326" spans="1:10" ht="11.25" customHeight="1" x14ac:dyDescent="0.2">
      <c r="A326" s="49">
        <v>44805</v>
      </c>
      <c r="B326" s="39">
        <v>0</v>
      </c>
      <c r="C326" s="39">
        <v>0</v>
      </c>
      <c r="D326" s="39">
        <v>62953.419009000005</v>
      </c>
      <c r="E326" s="39">
        <v>102698.87901618502</v>
      </c>
      <c r="F326" s="39">
        <v>243149.40090420001</v>
      </c>
      <c r="G326" s="39">
        <v>258160.157102239</v>
      </c>
      <c r="H326" s="40">
        <v>0.63134712352164524</v>
      </c>
      <c r="I326" s="40">
        <v>6.1734703611106889E-2</v>
      </c>
      <c r="J326" s="40">
        <v>0.1788817764591355</v>
      </c>
    </row>
    <row r="327" spans="1:10" ht="11.25" customHeight="1" x14ac:dyDescent="0.2">
      <c r="A327" s="49">
        <v>44835</v>
      </c>
      <c r="B327" s="39">
        <v>0</v>
      </c>
      <c r="C327" s="39">
        <v>0</v>
      </c>
      <c r="D327" s="39">
        <v>62953.419009000005</v>
      </c>
      <c r="E327" s="39">
        <v>102698.87901618502</v>
      </c>
      <c r="F327" s="39">
        <v>243149.40090420001</v>
      </c>
      <c r="G327" s="39">
        <v>258160.157102239</v>
      </c>
      <c r="H327" s="40">
        <v>0.63134712352164524</v>
      </c>
      <c r="I327" s="40">
        <v>6.1734703611106889E-2</v>
      </c>
      <c r="J327" s="40">
        <v>0.1788817764591355</v>
      </c>
    </row>
    <row r="328" spans="1:10" ht="11.25" customHeight="1" x14ac:dyDescent="0.2">
      <c r="A328" s="48" t="s">
        <v>25</v>
      </c>
      <c r="B328" s="39">
        <v>294715.40000000002</v>
      </c>
      <c r="C328" s="39">
        <v>335255.34568773716</v>
      </c>
      <c r="D328" s="39">
        <v>0</v>
      </c>
      <c r="E328" s="39">
        <v>0</v>
      </c>
      <c r="F328" s="39">
        <v>0</v>
      </c>
      <c r="G328" s="39">
        <v>0</v>
      </c>
      <c r="H328" s="40">
        <v>0.1375562515149773</v>
      </c>
      <c r="I328" s="40">
        <v>0</v>
      </c>
      <c r="J328" s="40">
        <v>0.1375562515149773</v>
      </c>
    </row>
    <row r="329" spans="1:10" ht="11.25" customHeight="1" x14ac:dyDescent="0.2">
      <c r="A329" s="49">
        <v>44501</v>
      </c>
      <c r="B329" s="39">
        <v>24430.7</v>
      </c>
      <c r="C329" s="39">
        <v>27791.295513886958</v>
      </c>
      <c r="D329" s="39">
        <v>0</v>
      </c>
      <c r="E329" s="39">
        <v>0</v>
      </c>
      <c r="F329" s="39">
        <v>0</v>
      </c>
      <c r="G329" s="39">
        <v>0</v>
      </c>
      <c r="H329" s="40">
        <v>0.1375562515149773</v>
      </c>
      <c r="I329" s="40">
        <v>0</v>
      </c>
      <c r="J329" s="40">
        <v>0.1375562515149773</v>
      </c>
    </row>
    <row r="330" spans="1:10" ht="11.25" customHeight="1" x14ac:dyDescent="0.2">
      <c r="A330" s="49">
        <v>44531</v>
      </c>
      <c r="B330" s="39">
        <v>24359.3</v>
      </c>
      <c r="C330" s="39">
        <v>27710.073997528791</v>
      </c>
      <c r="D330" s="39">
        <v>0</v>
      </c>
      <c r="E330" s="39">
        <v>0</v>
      </c>
      <c r="F330" s="39">
        <v>0</v>
      </c>
      <c r="G330" s="39">
        <v>0</v>
      </c>
      <c r="H330" s="40">
        <v>0.13755625151497752</v>
      </c>
      <c r="I330" s="40">
        <v>0</v>
      </c>
      <c r="J330" s="40">
        <v>0.13755625151497752</v>
      </c>
    </row>
    <row r="331" spans="1:10" ht="11.25" customHeight="1" x14ac:dyDescent="0.2">
      <c r="A331" s="49">
        <v>44562</v>
      </c>
      <c r="B331" s="39">
        <v>24109.399999999998</v>
      </c>
      <c r="C331" s="39">
        <v>27425.798690275195</v>
      </c>
      <c r="D331" s="39">
        <v>0</v>
      </c>
      <c r="E331" s="39">
        <v>0</v>
      </c>
      <c r="F331" s="39">
        <v>0</v>
      </c>
      <c r="G331" s="39">
        <v>0</v>
      </c>
      <c r="H331" s="40">
        <v>0.13755625151497752</v>
      </c>
      <c r="I331" s="40">
        <v>0</v>
      </c>
      <c r="J331" s="40">
        <v>0.13755625151497752</v>
      </c>
    </row>
    <row r="332" spans="1:10" ht="11.25" customHeight="1" x14ac:dyDescent="0.2">
      <c r="A332" s="49">
        <v>44593</v>
      </c>
      <c r="B332" s="39">
        <v>24371.200000000001</v>
      </c>
      <c r="C332" s="39">
        <v>27723.610916921814</v>
      </c>
      <c r="D332" s="39">
        <v>0</v>
      </c>
      <c r="E332" s="39">
        <v>0</v>
      </c>
      <c r="F332" s="39">
        <v>0</v>
      </c>
      <c r="G332" s="39">
        <v>0</v>
      </c>
      <c r="H332" s="40">
        <v>0.1375562515149773</v>
      </c>
      <c r="I332" s="40">
        <v>0</v>
      </c>
      <c r="J332" s="40">
        <v>0.1375562515149773</v>
      </c>
    </row>
    <row r="333" spans="1:10" ht="11.25" customHeight="1" x14ac:dyDescent="0.2">
      <c r="A333" s="49">
        <v>44621</v>
      </c>
      <c r="B333" s="39">
        <v>24466.399999999998</v>
      </c>
      <c r="C333" s="39">
        <v>27831.90627206604</v>
      </c>
      <c r="D333" s="39">
        <v>0</v>
      </c>
      <c r="E333" s="39">
        <v>0</v>
      </c>
      <c r="F333" s="39">
        <v>0</v>
      </c>
      <c r="G333" s="39">
        <v>0</v>
      </c>
      <c r="H333" s="40">
        <v>0.1375562515149773</v>
      </c>
      <c r="I333" s="40">
        <v>0</v>
      </c>
      <c r="J333" s="40">
        <v>0.1375562515149773</v>
      </c>
    </row>
    <row r="334" spans="1:10" ht="11.25" customHeight="1" x14ac:dyDescent="0.2">
      <c r="A334" s="49">
        <v>44652</v>
      </c>
      <c r="B334" s="39">
        <v>24395</v>
      </c>
      <c r="C334" s="39">
        <v>27750.684755707873</v>
      </c>
      <c r="D334" s="39">
        <v>0</v>
      </c>
      <c r="E334" s="39">
        <v>0</v>
      </c>
      <c r="F334" s="39">
        <v>0</v>
      </c>
      <c r="G334" s="39">
        <v>0</v>
      </c>
      <c r="H334" s="40">
        <v>0.1375562515149773</v>
      </c>
      <c r="I334" s="40">
        <v>0</v>
      </c>
      <c r="J334" s="40">
        <v>0.1375562515149773</v>
      </c>
    </row>
    <row r="335" spans="1:10" ht="11.25" customHeight="1" x14ac:dyDescent="0.2">
      <c r="A335" s="49">
        <v>44682</v>
      </c>
      <c r="B335" s="39">
        <v>24656.799999999999</v>
      </c>
      <c r="C335" s="39">
        <v>28048.496982354496</v>
      </c>
      <c r="D335" s="39">
        <v>0</v>
      </c>
      <c r="E335" s="39">
        <v>0</v>
      </c>
      <c r="F335" s="39">
        <v>0</v>
      </c>
      <c r="G335" s="39">
        <v>0</v>
      </c>
      <c r="H335" s="40">
        <v>0.13755625151497752</v>
      </c>
      <c r="I335" s="40">
        <v>0</v>
      </c>
      <c r="J335" s="40">
        <v>0.13755625151497752</v>
      </c>
    </row>
    <row r="336" spans="1:10" ht="11.25" customHeight="1" x14ac:dyDescent="0.2">
      <c r="A336" s="49">
        <v>44713</v>
      </c>
      <c r="B336" s="39">
        <v>24525.899999999998</v>
      </c>
      <c r="C336" s="39">
        <v>27899.590869031181</v>
      </c>
      <c r="D336" s="39">
        <v>0</v>
      </c>
      <c r="E336" s="39">
        <v>0</v>
      </c>
      <c r="F336" s="39">
        <v>0</v>
      </c>
      <c r="G336" s="39">
        <v>0</v>
      </c>
      <c r="H336" s="40">
        <v>0.1375562515149773</v>
      </c>
      <c r="I336" s="40">
        <v>0</v>
      </c>
      <c r="J336" s="40">
        <v>0.1375562515149773</v>
      </c>
    </row>
    <row r="337" spans="1:10" ht="11.25" customHeight="1" x14ac:dyDescent="0.2">
      <c r="A337" s="49">
        <v>44743</v>
      </c>
      <c r="B337" s="39">
        <v>24763.899999999998</v>
      </c>
      <c r="C337" s="39">
        <v>28170.329256891746</v>
      </c>
      <c r="D337" s="39">
        <v>0</v>
      </c>
      <c r="E337" s="39">
        <v>0</v>
      </c>
      <c r="F337" s="39">
        <v>0</v>
      </c>
      <c r="G337" s="39">
        <v>0</v>
      </c>
      <c r="H337" s="40">
        <v>0.1375562515149773</v>
      </c>
      <c r="I337" s="40">
        <v>0</v>
      </c>
      <c r="J337" s="40">
        <v>0.1375562515149773</v>
      </c>
    </row>
    <row r="338" spans="1:10" ht="11.25" customHeight="1" x14ac:dyDescent="0.2">
      <c r="A338" s="49">
        <v>44774</v>
      </c>
      <c r="B338" s="39">
        <v>24871</v>
      </c>
      <c r="C338" s="39">
        <v>28292.161531429003</v>
      </c>
      <c r="D338" s="39">
        <v>0</v>
      </c>
      <c r="E338" s="39">
        <v>0</v>
      </c>
      <c r="F338" s="39">
        <v>0</v>
      </c>
      <c r="G338" s="39">
        <v>0</v>
      </c>
      <c r="H338" s="40">
        <v>0.1375562515149773</v>
      </c>
      <c r="I338" s="40">
        <v>0</v>
      </c>
      <c r="J338" s="40">
        <v>0.1375562515149773</v>
      </c>
    </row>
    <row r="339" spans="1:10" ht="11.25" customHeight="1" x14ac:dyDescent="0.2">
      <c r="A339" s="49">
        <v>44805</v>
      </c>
      <c r="B339" s="39">
        <v>24882.899999999998</v>
      </c>
      <c r="C339" s="39">
        <v>28305.69845082203</v>
      </c>
      <c r="D339" s="39">
        <v>0</v>
      </c>
      <c r="E339" s="39">
        <v>0</v>
      </c>
      <c r="F339" s="39">
        <v>0</v>
      </c>
      <c r="G339" s="39">
        <v>0</v>
      </c>
      <c r="H339" s="40">
        <v>0.13755625151497752</v>
      </c>
      <c r="I339" s="40">
        <v>0</v>
      </c>
      <c r="J339" s="40">
        <v>0.13755625151497752</v>
      </c>
    </row>
    <row r="340" spans="1:10" ht="11.25" customHeight="1" x14ac:dyDescent="0.2">
      <c r="A340" s="49">
        <v>44835</v>
      </c>
      <c r="B340" s="39">
        <v>24882.899999999998</v>
      </c>
      <c r="C340" s="39">
        <v>28305.69845082203</v>
      </c>
      <c r="D340" s="39">
        <v>0</v>
      </c>
      <c r="E340" s="39">
        <v>0</v>
      </c>
      <c r="F340" s="39">
        <v>0</v>
      </c>
      <c r="G340" s="39">
        <v>0</v>
      </c>
      <c r="H340" s="40">
        <v>0.13755625151497752</v>
      </c>
      <c r="I340" s="40">
        <v>0</v>
      </c>
      <c r="J340" s="40">
        <v>0.13755625151497752</v>
      </c>
    </row>
    <row r="341" spans="1:10" ht="11.25" customHeight="1" x14ac:dyDescent="0.2">
      <c r="A341" s="48" t="s">
        <v>34</v>
      </c>
      <c r="B341" s="39">
        <v>0</v>
      </c>
      <c r="C341" s="39">
        <v>0</v>
      </c>
      <c r="D341" s="39">
        <v>449974.04987559997</v>
      </c>
      <c r="E341" s="39">
        <v>530327.58678026253</v>
      </c>
      <c r="F341" s="39">
        <v>211898.28879119997</v>
      </c>
      <c r="G341" s="39">
        <v>228179.78261195589</v>
      </c>
      <c r="H341" s="40">
        <v>0.17857371314385162</v>
      </c>
      <c r="I341" s="40">
        <v>7.6836362925041701E-2</v>
      </c>
      <c r="J341" s="40">
        <v>0.14600252205745456</v>
      </c>
    </row>
    <row r="342" spans="1:10" ht="11.25" customHeight="1" x14ac:dyDescent="0.2">
      <c r="A342" s="49">
        <v>44501</v>
      </c>
      <c r="B342" s="39">
        <v>0</v>
      </c>
      <c r="C342" s="39">
        <v>0</v>
      </c>
      <c r="D342" s="39">
        <v>44064.073353199994</v>
      </c>
      <c r="E342" s="39">
        <v>51932.758548123958</v>
      </c>
      <c r="F342" s="39">
        <v>20750.311586399999</v>
      </c>
      <c r="G342" s="39">
        <v>22344.690058260316</v>
      </c>
      <c r="H342" s="40">
        <v>0.1785737131438514</v>
      </c>
      <c r="I342" s="40">
        <v>7.6836362925041035E-2</v>
      </c>
      <c r="J342" s="40">
        <v>0.14600252205745434</v>
      </c>
    </row>
    <row r="343" spans="1:10" ht="11.25" customHeight="1" x14ac:dyDescent="0.2">
      <c r="A343" s="49">
        <v>44531</v>
      </c>
      <c r="B343" s="39">
        <v>0</v>
      </c>
      <c r="C343" s="39">
        <v>0</v>
      </c>
      <c r="D343" s="39">
        <v>36256.548258799994</v>
      </c>
      <c r="E343" s="39">
        <v>42731.014707153161</v>
      </c>
      <c r="F343" s="39">
        <v>17073.652437600002</v>
      </c>
      <c r="G343" s="39">
        <v>18385.529792751448</v>
      </c>
      <c r="H343" s="40">
        <v>0.17857371314385162</v>
      </c>
      <c r="I343" s="40">
        <v>7.6836362925041035E-2</v>
      </c>
      <c r="J343" s="40">
        <v>0.14600252205745434</v>
      </c>
    </row>
    <row r="344" spans="1:10" ht="11.25" customHeight="1" x14ac:dyDescent="0.2">
      <c r="A344" s="49">
        <v>44562</v>
      </c>
      <c r="B344" s="39">
        <v>0</v>
      </c>
      <c r="C344" s="39">
        <v>0</v>
      </c>
      <c r="D344" s="39">
        <v>44805.752876999999</v>
      </c>
      <c r="E344" s="39">
        <v>52806.882538451697</v>
      </c>
      <c r="F344" s="39">
        <v>21099.577554000003</v>
      </c>
      <c r="G344" s="39">
        <v>22720.792352504199</v>
      </c>
      <c r="H344" s="40">
        <v>0.17857371314385162</v>
      </c>
      <c r="I344" s="40">
        <v>7.6836362925041035E-2</v>
      </c>
      <c r="J344" s="40">
        <v>0.14600252205745412</v>
      </c>
    </row>
    <row r="345" spans="1:10" ht="11.25" customHeight="1" x14ac:dyDescent="0.2">
      <c r="A345" s="49">
        <v>44593</v>
      </c>
      <c r="B345" s="39">
        <v>0</v>
      </c>
      <c r="C345" s="39">
        <v>0</v>
      </c>
      <c r="D345" s="39">
        <v>38025.440663000001</v>
      </c>
      <c r="E345" s="39">
        <v>44815.784796123109</v>
      </c>
      <c r="F345" s="39">
        <v>17906.645526</v>
      </c>
      <c r="G345" s="39">
        <v>19282.527040405803</v>
      </c>
      <c r="H345" s="40">
        <v>0.1785737131438514</v>
      </c>
      <c r="I345" s="40">
        <v>7.6836362925041257E-2</v>
      </c>
      <c r="J345" s="40">
        <v>0.14600252205745434</v>
      </c>
    </row>
    <row r="346" spans="1:10" ht="11.25" customHeight="1" x14ac:dyDescent="0.2">
      <c r="A346" s="49">
        <v>44621</v>
      </c>
      <c r="B346" s="39">
        <v>0</v>
      </c>
      <c r="C346" s="39">
        <v>0</v>
      </c>
      <c r="D346" s="39">
        <v>34088.085956199997</v>
      </c>
      <c r="E346" s="39">
        <v>40175.322039365412</v>
      </c>
      <c r="F346" s="39">
        <v>16052.496992400002</v>
      </c>
      <c r="G346" s="39">
        <v>17285.912477161179</v>
      </c>
      <c r="H346" s="40">
        <v>0.17857371314385162</v>
      </c>
      <c r="I346" s="40">
        <v>7.6836362925041035E-2</v>
      </c>
      <c r="J346" s="40">
        <v>0.14600252205745434</v>
      </c>
    </row>
    <row r="347" spans="1:10" ht="11.25" customHeight="1" x14ac:dyDescent="0.2">
      <c r="A347" s="49">
        <v>44652</v>
      </c>
      <c r="B347" s="39">
        <v>0</v>
      </c>
      <c r="C347" s="39">
        <v>0</v>
      </c>
      <c r="D347" s="39">
        <v>39043.813501399993</v>
      </c>
      <c r="E347" s="39">
        <v>46016.012253641034</v>
      </c>
      <c r="F347" s="39">
        <v>18386.209762799997</v>
      </c>
      <c r="G347" s="39">
        <v>19798.939248950435</v>
      </c>
      <c r="H347" s="40">
        <v>0.17857371314385162</v>
      </c>
      <c r="I347" s="40">
        <v>7.6836362925041257E-2</v>
      </c>
      <c r="J347" s="40">
        <v>0.14600252205745456</v>
      </c>
    </row>
    <row r="348" spans="1:10" ht="11.25" customHeight="1" x14ac:dyDescent="0.2">
      <c r="A348" s="49">
        <v>44682</v>
      </c>
      <c r="B348" s="39">
        <v>0</v>
      </c>
      <c r="C348" s="39">
        <v>0</v>
      </c>
      <c r="D348" s="39">
        <v>33979.353439599996</v>
      </c>
      <c r="E348" s="39">
        <v>40047.172753536674</v>
      </c>
      <c r="F348" s="39">
        <v>16001.2935192</v>
      </c>
      <c r="G348" s="39">
        <v>17230.774715311363</v>
      </c>
      <c r="H348" s="40">
        <v>0.17857371314385162</v>
      </c>
      <c r="I348" s="40">
        <v>7.6836362925041257E-2</v>
      </c>
      <c r="J348" s="40">
        <v>0.14600252205745456</v>
      </c>
    </row>
    <row r="349" spans="1:10" ht="11.25" customHeight="1" x14ac:dyDescent="0.2">
      <c r="A349" s="49">
        <v>44713</v>
      </c>
      <c r="B349" s="39">
        <v>0</v>
      </c>
      <c r="C349" s="39">
        <v>0</v>
      </c>
      <c r="D349" s="39">
        <v>37701.895125800002</v>
      </c>
      <c r="E349" s="39">
        <v>44434.462530974182</v>
      </c>
      <c r="F349" s="39">
        <v>17754.283971600002</v>
      </c>
      <c r="G349" s="39">
        <v>19118.458578316102</v>
      </c>
      <c r="H349" s="40">
        <v>0.1785737131438514</v>
      </c>
      <c r="I349" s="40">
        <v>7.6836362925041257E-2</v>
      </c>
      <c r="J349" s="40">
        <v>0.14600252205745434</v>
      </c>
    </row>
    <row r="350" spans="1:10" ht="11.25" customHeight="1" x14ac:dyDescent="0.2">
      <c r="A350" s="49">
        <v>44743</v>
      </c>
      <c r="B350" s="39">
        <v>0</v>
      </c>
      <c r="C350" s="39">
        <v>0</v>
      </c>
      <c r="D350" s="39">
        <v>33715.920187999996</v>
      </c>
      <c r="E350" s="39">
        <v>39736.697248032899</v>
      </c>
      <c r="F350" s="39">
        <v>15877.239576</v>
      </c>
      <c r="G350" s="39">
        <v>17097.188918309363</v>
      </c>
      <c r="H350" s="40">
        <v>0.1785737131438514</v>
      </c>
      <c r="I350" s="40">
        <v>7.6836362925041257E-2</v>
      </c>
      <c r="J350" s="40">
        <v>0.14600252205745434</v>
      </c>
    </row>
    <row r="351" spans="1:10" ht="11.25" customHeight="1" x14ac:dyDescent="0.2">
      <c r="A351" s="49">
        <v>44774</v>
      </c>
      <c r="B351" s="39">
        <v>0</v>
      </c>
      <c r="C351" s="39">
        <v>0</v>
      </c>
      <c r="D351" s="39">
        <v>37187.404681399996</v>
      </c>
      <c r="E351" s="39">
        <v>43828.097617540647</v>
      </c>
      <c r="F351" s="39">
        <v>17512.004122800001</v>
      </c>
      <c r="G351" s="39">
        <v>18857.562827124279</v>
      </c>
      <c r="H351" s="40">
        <v>0.17857371314385162</v>
      </c>
      <c r="I351" s="40">
        <v>7.6836362925041035E-2</v>
      </c>
      <c r="J351" s="40">
        <v>0.14600252205745456</v>
      </c>
    </row>
    <row r="352" spans="1:10" ht="11.25" customHeight="1" x14ac:dyDescent="0.2">
      <c r="A352" s="49">
        <v>44805</v>
      </c>
      <c r="B352" s="39">
        <v>0</v>
      </c>
      <c r="C352" s="39">
        <v>0</v>
      </c>
      <c r="D352" s="39">
        <v>35552.880915599999</v>
      </c>
      <c r="E352" s="39">
        <v>41901.690873659871</v>
      </c>
      <c r="F352" s="39">
        <v>16742.286871200002</v>
      </c>
      <c r="G352" s="39">
        <v>18028.703301430676</v>
      </c>
      <c r="H352" s="40">
        <v>0.17857371314385162</v>
      </c>
      <c r="I352" s="40">
        <v>7.6836362925041035E-2</v>
      </c>
      <c r="J352" s="40">
        <v>0.14600252205745456</v>
      </c>
    </row>
    <row r="353" spans="1:10" ht="11.25" customHeight="1" x14ac:dyDescent="0.2">
      <c r="A353" s="49">
        <v>44835</v>
      </c>
      <c r="B353" s="39">
        <v>0</v>
      </c>
      <c r="C353" s="39">
        <v>0</v>
      </c>
      <c r="D353" s="39">
        <v>35552.880915599999</v>
      </c>
      <c r="E353" s="39">
        <v>41901.690873659871</v>
      </c>
      <c r="F353" s="39">
        <v>16742.286871200002</v>
      </c>
      <c r="G353" s="39">
        <v>18028.703301430676</v>
      </c>
      <c r="H353" s="40">
        <v>0.17857371314385162</v>
      </c>
      <c r="I353" s="40">
        <v>7.6836362925041035E-2</v>
      </c>
      <c r="J353" s="40">
        <v>0.14600252205745456</v>
      </c>
    </row>
    <row r="354" spans="1:10" ht="11.25" customHeight="1" x14ac:dyDescent="0.2">
      <c r="A354" s="42" t="s">
        <v>43</v>
      </c>
      <c r="B354" s="39">
        <v>20908.939999999999</v>
      </c>
      <c r="C354" s="39">
        <v>23744.221128096582</v>
      </c>
      <c r="D354" s="39">
        <v>55245.529029999991</v>
      </c>
      <c r="E354" s="39">
        <v>74400.491423238112</v>
      </c>
      <c r="F354" s="39">
        <v>76814.326289999997</v>
      </c>
      <c r="G354" s="39">
        <v>81677.962166252109</v>
      </c>
      <c r="H354" s="40">
        <v>0.28875841170492511</v>
      </c>
      <c r="I354" s="40">
        <v>6.3316781011529599E-2</v>
      </c>
      <c r="J354" s="40">
        <v>0.17555135569584901</v>
      </c>
    </row>
    <row r="355" spans="1:10" ht="11.25" customHeight="1" x14ac:dyDescent="0.2">
      <c r="A355" s="43" t="s">
        <v>41</v>
      </c>
      <c r="B355" s="39">
        <v>20908.939999999999</v>
      </c>
      <c r="C355" s="39">
        <v>23744.221128096582</v>
      </c>
      <c r="D355" s="39">
        <v>55245.529029999991</v>
      </c>
      <c r="E355" s="39">
        <v>74400.491423238112</v>
      </c>
      <c r="F355" s="39">
        <v>76814.326289999997</v>
      </c>
      <c r="G355" s="39">
        <v>81677.962166252109</v>
      </c>
      <c r="H355" s="40">
        <v>0.28875841170492511</v>
      </c>
      <c r="I355" s="40">
        <v>6.3316781011529599E-2</v>
      </c>
      <c r="J355" s="40">
        <v>0.17555135569584901</v>
      </c>
    </row>
    <row r="356" spans="1:10" ht="11.25" customHeight="1" x14ac:dyDescent="0.2">
      <c r="A356" s="44" t="s">
        <v>42</v>
      </c>
      <c r="B356" s="39">
        <v>20908.939999999999</v>
      </c>
      <c r="C356" s="39">
        <v>23744.221128096582</v>
      </c>
      <c r="D356" s="39">
        <v>55245.529029999991</v>
      </c>
      <c r="E356" s="39">
        <v>74400.491423238112</v>
      </c>
      <c r="F356" s="39">
        <v>76814.326289999997</v>
      </c>
      <c r="G356" s="39">
        <v>81677.962166252109</v>
      </c>
      <c r="H356" s="40">
        <v>0.28875841170492511</v>
      </c>
      <c r="I356" s="40">
        <v>6.3316781011529599E-2</v>
      </c>
      <c r="J356" s="40">
        <v>0.17555135569584901</v>
      </c>
    </row>
    <row r="357" spans="1:10" ht="11.25" customHeight="1" x14ac:dyDescent="0.2">
      <c r="A357" s="45" t="s">
        <v>25</v>
      </c>
      <c r="B357" s="39">
        <v>20908.939999999999</v>
      </c>
      <c r="C357" s="39">
        <v>23744.221128096582</v>
      </c>
      <c r="D357" s="39">
        <v>55245.529029999991</v>
      </c>
      <c r="E357" s="39">
        <v>74400.491423238112</v>
      </c>
      <c r="F357" s="39">
        <v>76814.326289999997</v>
      </c>
      <c r="G357" s="39">
        <v>81677.962166252109</v>
      </c>
      <c r="H357" s="40">
        <v>0.28875841170492511</v>
      </c>
      <c r="I357" s="40">
        <v>6.3316781011529599E-2</v>
      </c>
      <c r="J357" s="40">
        <v>0.17555135569584901</v>
      </c>
    </row>
    <row r="358" spans="1:10" ht="11.25" customHeight="1" x14ac:dyDescent="0.2">
      <c r="A358" s="46" t="s">
        <v>25</v>
      </c>
      <c r="B358" s="39">
        <v>20908.939999999999</v>
      </c>
      <c r="C358" s="39">
        <v>23744.221128096582</v>
      </c>
      <c r="D358" s="39">
        <v>55245.529029999991</v>
      </c>
      <c r="E358" s="39">
        <v>74400.491423238112</v>
      </c>
      <c r="F358" s="39">
        <v>76814.326289999997</v>
      </c>
      <c r="G358" s="39">
        <v>81677.962166252109</v>
      </c>
      <c r="H358" s="40">
        <v>0.28875841170492511</v>
      </c>
      <c r="I358" s="40">
        <v>6.3316781011529599E-2</v>
      </c>
      <c r="J358" s="40">
        <v>0.17555135569584901</v>
      </c>
    </row>
    <row r="359" spans="1:10" ht="11.25" customHeight="1" x14ac:dyDescent="0.2">
      <c r="A359" s="47" t="s">
        <v>25</v>
      </c>
      <c r="B359" s="39">
        <v>20908.939999999999</v>
      </c>
      <c r="C359" s="39">
        <v>23744.221128096582</v>
      </c>
      <c r="D359" s="39">
        <v>55245.529029999991</v>
      </c>
      <c r="E359" s="39">
        <v>74400.491423238112</v>
      </c>
      <c r="F359" s="39">
        <v>76814.326289999997</v>
      </c>
      <c r="G359" s="39">
        <v>81677.962166252109</v>
      </c>
      <c r="H359" s="40">
        <v>0.28875841170492511</v>
      </c>
      <c r="I359" s="40">
        <v>6.3316781011529599E-2</v>
      </c>
      <c r="J359" s="40">
        <v>0.17555135569584901</v>
      </c>
    </row>
    <row r="360" spans="1:10" ht="11.25" customHeight="1" x14ac:dyDescent="0.2">
      <c r="A360" s="48" t="s">
        <v>35</v>
      </c>
      <c r="B360" s="39">
        <v>0</v>
      </c>
      <c r="C360" s="39">
        <v>0</v>
      </c>
      <c r="D360" s="39">
        <v>26090.88637</v>
      </c>
      <c r="E360" s="39">
        <v>40337.621854526093</v>
      </c>
      <c r="F360" s="39">
        <v>68767.117230000003</v>
      </c>
      <c r="G360" s="39">
        <v>73012.4348303843</v>
      </c>
      <c r="H360" s="40">
        <v>0.54604260209830846</v>
      </c>
      <c r="I360" s="40">
        <v>6.1734703611106889E-2</v>
      </c>
      <c r="J360" s="40">
        <v>0.19494457381675701</v>
      </c>
    </row>
    <row r="361" spans="1:10" ht="11.25" customHeight="1" x14ac:dyDescent="0.2">
      <c r="A361" s="49">
        <v>44501</v>
      </c>
      <c r="B361" s="39">
        <v>0</v>
      </c>
      <c r="C361" s="39">
        <v>0</v>
      </c>
      <c r="D361" s="39">
        <v>5162.1615199999997</v>
      </c>
      <c r="E361" s="39">
        <v>7980.9216288325615</v>
      </c>
      <c r="F361" s="39">
        <v>13605.784079999999</v>
      </c>
      <c r="G361" s="39">
        <v>14445.733127575517</v>
      </c>
      <c r="H361" s="40">
        <v>0.5460426020983089</v>
      </c>
      <c r="I361" s="40">
        <v>6.1734703611106889E-2</v>
      </c>
      <c r="J361" s="40">
        <v>0.19494457381675701</v>
      </c>
    </row>
    <row r="362" spans="1:10" ht="11.25" customHeight="1" x14ac:dyDescent="0.2">
      <c r="A362" s="49">
        <v>44531</v>
      </c>
      <c r="B362" s="39">
        <v>0</v>
      </c>
      <c r="C362" s="39">
        <v>0</v>
      </c>
      <c r="D362" s="39">
        <v>2223.60763</v>
      </c>
      <c r="E362" s="39">
        <v>3437.7921263308535</v>
      </c>
      <c r="F362" s="39">
        <v>5860.7087700000002</v>
      </c>
      <c r="G362" s="39">
        <v>6222.5178888669643</v>
      </c>
      <c r="H362" s="40">
        <v>0.5460426020983089</v>
      </c>
      <c r="I362" s="40">
        <v>6.1734703611106667E-2</v>
      </c>
      <c r="J362" s="40">
        <v>0.19494457381675678</v>
      </c>
    </row>
    <row r="363" spans="1:10" ht="11.25" customHeight="1" x14ac:dyDescent="0.2">
      <c r="A363" s="49">
        <v>44562</v>
      </c>
      <c r="B363" s="39">
        <v>0</v>
      </c>
      <c r="C363" s="39">
        <v>0</v>
      </c>
      <c r="D363" s="39">
        <v>2250.0401299999999</v>
      </c>
      <c r="E363" s="39">
        <v>3478.657897410817</v>
      </c>
      <c r="F363" s="39">
        <v>5930.3762699999997</v>
      </c>
      <c r="G363" s="39">
        <v>6296.4862913307916</v>
      </c>
      <c r="H363" s="40">
        <v>0.5460426020983089</v>
      </c>
      <c r="I363" s="40">
        <v>6.1734703611106889E-2</v>
      </c>
      <c r="J363" s="40">
        <v>0.19494457381675678</v>
      </c>
    </row>
    <row r="364" spans="1:10" ht="11.25" customHeight="1" x14ac:dyDescent="0.2">
      <c r="A364" s="49">
        <v>44593</v>
      </c>
      <c r="B364" s="39">
        <v>0</v>
      </c>
      <c r="C364" s="39">
        <v>0</v>
      </c>
      <c r="D364" s="39">
        <v>2309.7775799999999</v>
      </c>
      <c r="E364" s="39">
        <v>3571.0145400515348</v>
      </c>
      <c r="F364" s="39">
        <v>6087.8248200000007</v>
      </c>
      <c r="G364" s="39">
        <v>6463.6548808990401</v>
      </c>
      <c r="H364" s="40">
        <v>0.5460426020983089</v>
      </c>
      <c r="I364" s="40">
        <v>6.1734703611106667E-2</v>
      </c>
      <c r="J364" s="40">
        <v>0.19494457381675701</v>
      </c>
    </row>
    <row r="365" spans="1:10" ht="11.25" customHeight="1" x14ac:dyDescent="0.2">
      <c r="A365" s="49">
        <v>44621</v>
      </c>
      <c r="B365" s="39">
        <v>0</v>
      </c>
      <c r="C365" s="39">
        <v>0</v>
      </c>
      <c r="D365" s="39">
        <v>1966.4722700000002</v>
      </c>
      <c r="E365" s="39">
        <v>3040.2499052649682</v>
      </c>
      <c r="F365" s="39">
        <v>5182.98333</v>
      </c>
      <c r="G365" s="39">
        <v>5502.9532696988581</v>
      </c>
      <c r="H365" s="40">
        <v>0.54604260209830868</v>
      </c>
      <c r="I365" s="40">
        <v>6.1734703611106889E-2</v>
      </c>
      <c r="J365" s="40">
        <v>0.19494457381675701</v>
      </c>
    </row>
    <row r="366" spans="1:10" ht="11.25" customHeight="1" x14ac:dyDescent="0.2">
      <c r="A366" s="49">
        <v>44652</v>
      </c>
      <c r="B366" s="39">
        <v>0</v>
      </c>
      <c r="C366" s="39">
        <v>0</v>
      </c>
      <c r="D366" s="39">
        <v>2533.7137199999997</v>
      </c>
      <c r="E366" s="39">
        <v>3917.2293526409858</v>
      </c>
      <c r="F366" s="39">
        <v>6678.0478800000001</v>
      </c>
      <c r="G366" s="39">
        <v>7090.3151865725804</v>
      </c>
      <c r="H366" s="40">
        <v>0.5460426020983089</v>
      </c>
      <c r="I366" s="40">
        <v>6.1734703611106889E-2</v>
      </c>
      <c r="J366" s="40">
        <v>0.19494457381675678</v>
      </c>
    </row>
    <row r="367" spans="1:10" ht="11.25" customHeight="1" x14ac:dyDescent="0.2">
      <c r="A367" s="49">
        <v>44682</v>
      </c>
      <c r="B367" s="39">
        <v>0</v>
      </c>
      <c r="C367" s="39">
        <v>0</v>
      </c>
      <c r="D367" s="39">
        <v>2206.5851000000002</v>
      </c>
      <c r="E367" s="39">
        <v>3411.4745697553576</v>
      </c>
      <c r="F367" s="39">
        <v>5815.8429000000006</v>
      </c>
      <c r="G367" s="39">
        <v>6174.8822376802609</v>
      </c>
      <c r="H367" s="40">
        <v>0.5460426020983089</v>
      </c>
      <c r="I367" s="40">
        <v>6.1734703611106889E-2</v>
      </c>
      <c r="J367" s="40">
        <v>0.19494457381675701</v>
      </c>
    </row>
    <row r="368" spans="1:10" ht="11.25" customHeight="1" x14ac:dyDescent="0.2">
      <c r="A368" s="49">
        <v>44713</v>
      </c>
      <c r="B368" s="39">
        <v>0</v>
      </c>
      <c r="C368" s="39">
        <v>0</v>
      </c>
      <c r="D368" s="39">
        <v>1523.8864900000001</v>
      </c>
      <c r="E368" s="39">
        <v>2355.9934343020586</v>
      </c>
      <c r="F368" s="39">
        <v>4016.4707100000005</v>
      </c>
      <c r="G368" s="39">
        <v>4264.4263388445424</v>
      </c>
      <c r="H368" s="40">
        <v>0.5460426020983089</v>
      </c>
      <c r="I368" s="40">
        <v>6.1734703611106889E-2</v>
      </c>
      <c r="J368" s="40">
        <v>0.19494457381675701</v>
      </c>
    </row>
    <row r="369" spans="1:10" ht="11.25" customHeight="1" x14ac:dyDescent="0.2">
      <c r="A369" s="49">
        <v>44743</v>
      </c>
      <c r="B369" s="39">
        <v>0</v>
      </c>
      <c r="C369" s="39">
        <v>0</v>
      </c>
      <c r="D369" s="39">
        <v>1381.4681800000001</v>
      </c>
      <c r="E369" s="39">
        <v>2135.808659723215</v>
      </c>
      <c r="F369" s="39">
        <v>3641.1022200000002</v>
      </c>
      <c r="G369" s="39">
        <v>3865.8845863694437</v>
      </c>
      <c r="H369" s="40">
        <v>0.5460426020983089</v>
      </c>
      <c r="I369" s="40">
        <v>6.1734703611106889E-2</v>
      </c>
      <c r="J369" s="40">
        <v>0.19494457381675678</v>
      </c>
    </row>
    <row r="370" spans="1:10" ht="11.25" customHeight="1" x14ac:dyDescent="0.2">
      <c r="A370" s="49">
        <v>44774</v>
      </c>
      <c r="B370" s="39">
        <v>0</v>
      </c>
      <c r="C370" s="39">
        <v>0</v>
      </c>
      <c r="D370" s="39">
        <v>1463.62039</v>
      </c>
      <c r="E370" s="39">
        <v>2262.8194762397416</v>
      </c>
      <c r="F370" s="39">
        <v>3857.6288100000002</v>
      </c>
      <c r="G370" s="39">
        <v>4095.7783812270172</v>
      </c>
      <c r="H370" s="40">
        <v>0.54604260209830868</v>
      </c>
      <c r="I370" s="40">
        <v>6.1734703611106889E-2</v>
      </c>
      <c r="J370" s="40">
        <v>0.19494457381675678</v>
      </c>
    </row>
    <row r="371" spans="1:10" ht="11.25" customHeight="1" x14ac:dyDescent="0.2">
      <c r="A371" s="49">
        <v>44805</v>
      </c>
      <c r="B371" s="39">
        <v>0</v>
      </c>
      <c r="C371" s="39">
        <v>0</v>
      </c>
      <c r="D371" s="39">
        <v>1534.7766800000002</v>
      </c>
      <c r="E371" s="39">
        <v>2372.8301319870038</v>
      </c>
      <c r="F371" s="39">
        <v>4045.1737200000002</v>
      </c>
      <c r="G371" s="39">
        <v>4294.9013206596392</v>
      </c>
      <c r="H371" s="40">
        <v>0.5460426020983089</v>
      </c>
      <c r="I371" s="40">
        <v>6.1734703611106889E-2</v>
      </c>
      <c r="J371" s="40">
        <v>0.19494457381675701</v>
      </c>
    </row>
    <row r="372" spans="1:10" ht="11.25" customHeight="1" x14ac:dyDescent="0.2">
      <c r="A372" s="49">
        <v>44835</v>
      </c>
      <c r="B372" s="39">
        <v>0</v>
      </c>
      <c r="C372" s="39">
        <v>0</v>
      </c>
      <c r="D372" s="39">
        <v>1534.7766800000002</v>
      </c>
      <c r="E372" s="39">
        <v>2372.8301319870038</v>
      </c>
      <c r="F372" s="39">
        <v>4045.1737200000002</v>
      </c>
      <c r="G372" s="39">
        <v>4294.9013206596392</v>
      </c>
      <c r="H372" s="40">
        <v>0.5460426020983089</v>
      </c>
      <c r="I372" s="40">
        <v>6.1734703611106889E-2</v>
      </c>
      <c r="J372" s="40">
        <v>0.19494457381675701</v>
      </c>
    </row>
    <row r="373" spans="1:10" ht="11.25" customHeight="1" x14ac:dyDescent="0.2">
      <c r="A373" s="48" t="s">
        <v>25</v>
      </c>
      <c r="B373" s="39">
        <v>20908.939999999999</v>
      </c>
      <c r="C373" s="39">
        <v>23744.221128096582</v>
      </c>
      <c r="D373" s="39">
        <v>0</v>
      </c>
      <c r="E373" s="39">
        <v>0</v>
      </c>
      <c r="F373" s="39">
        <v>0</v>
      </c>
      <c r="G373" s="39">
        <v>0</v>
      </c>
      <c r="H373" s="40">
        <v>0.1356013804667564</v>
      </c>
      <c r="I373" s="40">
        <v>0</v>
      </c>
      <c r="J373" s="40">
        <v>0.1356013804667564</v>
      </c>
    </row>
    <row r="374" spans="1:10" ht="11.25" customHeight="1" x14ac:dyDescent="0.2">
      <c r="A374" s="49">
        <v>44501</v>
      </c>
      <c r="B374" s="39">
        <v>2829.34</v>
      </c>
      <c r="C374" s="39">
        <v>3213.002409809812</v>
      </c>
      <c r="D374" s="39">
        <v>0</v>
      </c>
      <c r="E374" s="39">
        <v>0</v>
      </c>
      <c r="F374" s="39">
        <v>0</v>
      </c>
      <c r="G374" s="39">
        <v>0</v>
      </c>
      <c r="H374" s="40">
        <v>0.13560138046675618</v>
      </c>
      <c r="I374" s="40">
        <v>0</v>
      </c>
      <c r="J374" s="40">
        <v>0.13560138046675618</v>
      </c>
    </row>
    <row r="375" spans="1:10" ht="11.25" customHeight="1" x14ac:dyDescent="0.2">
      <c r="A375" s="49">
        <v>44531</v>
      </c>
      <c r="B375" s="39">
        <v>1643.6000000000001</v>
      </c>
      <c r="C375" s="39">
        <v>1866.4744289351604</v>
      </c>
      <c r="D375" s="39">
        <v>0</v>
      </c>
      <c r="E375" s="39">
        <v>0</v>
      </c>
      <c r="F375" s="39">
        <v>0</v>
      </c>
      <c r="G375" s="39">
        <v>0</v>
      </c>
      <c r="H375" s="40">
        <v>0.13560138046675596</v>
      </c>
      <c r="I375" s="40">
        <v>0</v>
      </c>
      <c r="J375" s="40">
        <v>0.13560138046675596</v>
      </c>
    </row>
    <row r="376" spans="1:10" ht="11.25" customHeight="1" x14ac:dyDescent="0.2">
      <c r="A376" s="49">
        <v>44562</v>
      </c>
      <c r="B376" s="39">
        <v>1643.6000000000001</v>
      </c>
      <c r="C376" s="39">
        <v>1866.4744289351604</v>
      </c>
      <c r="D376" s="39">
        <v>0</v>
      </c>
      <c r="E376" s="39">
        <v>0</v>
      </c>
      <c r="F376" s="39">
        <v>0</v>
      </c>
      <c r="G376" s="39">
        <v>0</v>
      </c>
      <c r="H376" s="40">
        <v>0.13560138046675596</v>
      </c>
      <c r="I376" s="40">
        <v>0</v>
      </c>
      <c r="J376" s="40">
        <v>0.13560138046675596</v>
      </c>
    </row>
    <row r="377" spans="1:10" ht="11.25" customHeight="1" x14ac:dyDescent="0.2">
      <c r="A377" s="49">
        <v>44593</v>
      </c>
      <c r="B377" s="39">
        <v>1643.6000000000001</v>
      </c>
      <c r="C377" s="39">
        <v>1866.4744289351604</v>
      </c>
      <c r="D377" s="39">
        <v>0</v>
      </c>
      <c r="E377" s="39">
        <v>0</v>
      </c>
      <c r="F377" s="39">
        <v>0</v>
      </c>
      <c r="G377" s="39">
        <v>0</v>
      </c>
      <c r="H377" s="40">
        <v>0.13560138046675596</v>
      </c>
      <c r="I377" s="40">
        <v>0</v>
      </c>
      <c r="J377" s="40">
        <v>0.13560138046675596</v>
      </c>
    </row>
    <row r="378" spans="1:10" ht="11.25" customHeight="1" x14ac:dyDescent="0.2">
      <c r="A378" s="49">
        <v>44621</v>
      </c>
      <c r="B378" s="39">
        <v>1643.6000000000001</v>
      </c>
      <c r="C378" s="39">
        <v>1866.4744289351604</v>
      </c>
      <c r="D378" s="39">
        <v>0</v>
      </c>
      <c r="E378" s="39">
        <v>0</v>
      </c>
      <c r="F378" s="39">
        <v>0</v>
      </c>
      <c r="G378" s="39">
        <v>0</v>
      </c>
      <c r="H378" s="40">
        <v>0.13560138046675596</v>
      </c>
      <c r="I378" s="40">
        <v>0</v>
      </c>
      <c r="J378" s="40">
        <v>0.13560138046675596</v>
      </c>
    </row>
    <row r="379" spans="1:10" ht="11.25" customHeight="1" x14ac:dyDescent="0.2">
      <c r="A379" s="49">
        <v>44652</v>
      </c>
      <c r="B379" s="39">
        <v>1643.6000000000001</v>
      </c>
      <c r="C379" s="39">
        <v>1866.4744289351604</v>
      </c>
      <c r="D379" s="39">
        <v>0</v>
      </c>
      <c r="E379" s="39">
        <v>0</v>
      </c>
      <c r="F379" s="39">
        <v>0</v>
      </c>
      <c r="G379" s="39">
        <v>0</v>
      </c>
      <c r="H379" s="40">
        <v>0.13560138046675596</v>
      </c>
      <c r="I379" s="40">
        <v>0</v>
      </c>
      <c r="J379" s="40">
        <v>0.13560138046675596</v>
      </c>
    </row>
    <row r="380" spans="1:10" ht="11.25" customHeight="1" x14ac:dyDescent="0.2">
      <c r="A380" s="49">
        <v>44682</v>
      </c>
      <c r="B380" s="39">
        <v>1643.6000000000001</v>
      </c>
      <c r="C380" s="39">
        <v>1866.4744289351604</v>
      </c>
      <c r="D380" s="39">
        <v>0</v>
      </c>
      <c r="E380" s="39">
        <v>0</v>
      </c>
      <c r="F380" s="39">
        <v>0</v>
      </c>
      <c r="G380" s="39">
        <v>0</v>
      </c>
      <c r="H380" s="40">
        <v>0.13560138046675596</v>
      </c>
      <c r="I380" s="40">
        <v>0</v>
      </c>
      <c r="J380" s="40">
        <v>0.13560138046675596</v>
      </c>
    </row>
    <row r="381" spans="1:10" ht="11.25" customHeight="1" x14ac:dyDescent="0.2">
      <c r="A381" s="49">
        <v>44713</v>
      </c>
      <c r="B381" s="39">
        <v>1643.6000000000001</v>
      </c>
      <c r="C381" s="39">
        <v>1866.4744289351604</v>
      </c>
      <c r="D381" s="39">
        <v>0</v>
      </c>
      <c r="E381" s="39">
        <v>0</v>
      </c>
      <c r="F381" s="39">
        <v>0</v>
      </c>
      <c r="G381" s="39">
        <v>0</v>
      </c>
      <c r="H381" s="40">
        <v>0.13560138046675596</v>
      </c>
      <c r="I381" s="40">
        <v>0</v>
      </c>
      <c r="J381" s="40">
        <v>0.13560138046675596</v>
      </c>
    </row>
    <row r="382" spans="1:10" ht="11.25" customHeight="1" x14ac:dyDescent="0.2">
      <c r="A382" s="49">
        <v>44743</v>
      </c>
      <c r="B382" s="39">
        <v>1643.6000000000001</v>
      </c>
      <c r="C382" s="39">
        <v>1866.4744289351604</v>
      </c>
      <c r="D382" s="39">
        <v>0</v>
      </c>
      <c r="E382" s="39">
        <v>0</v>
      </c>
      <c r="F382" s="39">
        <v>0</v>
      </c>
      <c r="G382" s="39">
        <v>0</v>
      </c>
      <c r="H382" s="40">
        <v>0.13560138046675596</v>
      </c>
      <c r="I382" s="40">
        <v>0</v>
      </c>
      <c r="J382" s="40">
        <v>0.13560138046675596</v>
      </c>
    </row>
    <row r="383" spans="1:10" ht="11.25" customHeight="1" x14ac:dyDescent="0.2">
      <c r="A383" s="49">
        <v>44774</v>
      </c>
      <c r="B383" s="39">
        <v>1643.6000000000001</v>
      </c>
      <c r="C383" s="39">
        <v>1866.4744289351604</v>
      </c>
      <c r="D383" s="39">
        <v>0</v>
      </c>
      <c r="E383" s="39">
        <v>0</v>
      </c>
      <c r="F383" s="39">
        <v>0</v>
      </c>
      <c r="G383" s="39">
        <v>0</v>
      </c>
      <c r="H383" s="40">
        <v>0.13560138046675596</v>
      </c>
      <c r="I383" s="40">
        <v>0</v>
      </c>
      <c r="J383" s="40">
        <v>0.13560138046675596</v>
      </c>
    </row>
    <row r="384" spans="1:10" ht="11.25" customHeight="1" x14ac:dyDescent="0.2">
      <c r="A384" s="49">
        <v>44805</v>
      </c>
      <c r="B384" s="39">
        <v>1643.6000000000001</v>
      </c>
      <c r="C384" s="39">
        <v>1866.4744289351604</v>
      </c>
      <c r="D384" s="39">
        <v>0</v>
      </c>
      <c r="E384" s="39">
        <v>0</v>
      </c>
      <c r="F384" s="39">
        <v>0</v>
      </c>
      <c r="G384" s="39">
        <v>0</v>
      </c>
      <c r="H384" s="40">
        <v>0.13560138046675596</v>
      </c>
      <c r="I384" s="40">
        <v>0</v>
      </c>
      <c r="J384" s="40">
        <v>0.13560138046675596</v>
      </c>
    </row>
    <row r="385" spans="1:10" ht="11.25" customHeight="1" x14ac:dyDescent="0.2">
      <c r="A385" s="49">
        <v>44835</v>
      </c>
      <c r="B385" s="39">
        <v>1643.6000000000001</v>
      </c>
      <c r="C385" s="39">
        <v>1866.4744289351604</v>
      </c>
      <c r="D385" s="39">
        <v>0</v>
      </c>
      <c r="E385" s="39">
        <v>0</v>
      </c>
      <c r="F385" s="39">
        <v>0</v>
      </c>
      <c r="G385" s="39">
        <v>0</v>
      </c>
      <c r="H385" s="40">
        <v>0.13560138046675596</v>
      </c>
      <c r="I385" s="40">
        <v>0</v>
      </c>
      <c r="J385" s="40">
        <v>0.13560138046675596</v>
      </c>
    </row>
    <row r="386" spans="1:10" ht="11.25" customHeight="1" x14ac:dyDescent="0.2">
      <c r="A386" s="48" t="s">
        <v>34</v>
      </c>
      <c r="B386" s="39">
        <v>0</v>
      </c>
      <c r="C386" s="39">
        <v>0</v>
      </c>
      <c r="D386" s="39">
        <v>29154.642660000001</v>
      </c>
      <c r="E386" s="39">
        <v>34062.869568711991</v>
      </c>
      <c r="F386" s="39">
        <v>8047.2090599999992</v>
      </c>
      <c r="G386" s="39">
        <v>8665.5273358678405</v>
      </c>
      <c r="H386" s="40">
        <v>0.16835146861347217</v>
      </c>
      <c r="I386" s="40">
        <v>7.6836362925041479E-2</v>
      </c>
      <c r="J386" s="40">
        <v>0.14855564787945008</v>
      </c>
    </row>
    <row r="387" spans="1:10" ht="11.25" customHeight="1" x14ac:dyDescent="0.2">
      <c r="A387" s="49">
        <v>44501</v>
      </c>
      <c r="B387" s="39">
        <v>0</v>
      </c>
      <c r="C387" s="39">
        <v>0</v>
      </c>
      <c r="D387" s="39">
        <v>7810.5112800000006</v>
      </c>
      <c r="E387" s="39">
        <v>9125.4223246100937</v>
      </c>
      <c r="F387" s="39">
        <v>2155.8424800000003</v>
      </c>
      <c r="G387" s="39">
        <v>2321.4895752025009</v>
      </c>
      <c r="H387" s="40">
        <v>0.16835146861347261</v>
      </c>
      <c r="I387" s="40">
        <v>7.6836362925041035E-2</v>
      </c>
      <c r="J387" s="40">
        <v>0.14855564787944986</v>
      </c>
    </row>
    <row r="388" spans="1:10" ht="11.25" customHeight="1" x14ac:dyDescent="0.2">
      <c r="A388" s="49">
        <v>44531</v>
      </c>
      <c r="B388" s="39">
        <v>0</v>
      </c>
      <c r="C388" s="39">
        <v>0</v>
      </c>
      <c r="D388" s="39">
        <v>2013.5972999999999</v>
      </c>
      <c r="E388" s="39">
        <v>2352.5893626511229</v>
      </c>
      <c r="F388" s="39">
        <v>555.78930000000003</v>
      </c>
      <c r="G388" s="39">
        <v>598.49412836465456</v>
      </c>
      <c r="H388" s="40">
        <v>0.16835146861347261</v>
      </c>
      <c r="I388" s="40">
        <v>7.6836362925041035E-2</v>
      </c>
      <c r="J388" s="40">
        <v>0.14855564787945008</v>
      </c>
    </row>
    <row r="389" spans="1:10" ht="11.25" customHeight="1" x14ac:dyDescent="0.2">
      <c r="A389" s="49">
        <v>44562</v>
      </c>
      <c r="B389" s="39">
        <v>0</v>
      </c>
      <c r="C389" s="39">
        <v>0</v>
      </c>
      <c r="D389" s="39">
        <v>2162.8120800000002</v>
      </c>
      <c r="E389" s="39">
        <v>2526.9246700029594</v>
      </c>
      <c r="F389" s="39">
        <v>596.97528000000011</v>
      </c>
      <c r="G389" s="39">
        <v>642.84468927135811</v>
      </c>
      <c r="H389" s="40">
        <v>0.16835146861347261</v>
      </c>
      <c r="I389" s="40">
        <v>7.6836362925041035E-2</v>
      </c>
      <c r="J389" s="40">
        <v>0.14855564787945008</v>
      </c>
    </row>
    <row r="390" spans="1:10" ht="11.25" customHeight="1" x14ac:dyDescent="0.2">
      <c r="A390" s="49">
        <v>44593</v>
      </c>
      <c r="B390" s="39">
        <v>0</v>
      </c>
      <c r="C390" s="39">
        <v>0</v>
      </c>
      <c r="D390" s="39">
        <v>2166.0210000000002</v>
      </c>
      <c r="E390" s="39">
        <v>2530.6738163976224</v>
      </c>
      <c r="F390" s="39">
        <v>597.8610000000001</v>
      </c>
      <c r="G390" s="39">
        <v>643.79846477472813</v>
      </c>
      <c r="H390" s="40">
        <v>0.16835146861347239</v>
      </c>
      <c r="I390" s="40">
        <v>7.6836362925041035E-2</v>
      </c>
      <c r="J390" s="40">
        <v>0.14855564787944986</v>
      </c>
    </row>
    <row r="391" spans="1:10" ht="11.25" customHeight="1" x14ac:dyDescent="0.2">
      <c r="A391" s="49">
        <v>44621</v>
      </c>
      <c r="B391" s="39">
        <v>0</v>
      </c>
      <c r="C391" s="39">
        <v>0</v>
      </c>
      <c r="D391" s="39">
        <v>1910.9118600000002</v>
      </c>
      <c r="E391" s="39">
        <v>2232.6166780219023</v>
      </c>
      <c r="F391" s="39">
        <v>527.44626000000005</v>
      </c>
      <c r="G391" s="39">
        <v>567.97331225681569</v>
      </c>
      <c r="H391" s="40">
        <v>0.16835146861347239</v>
      </c>
      <c r="I391" s="40">
        <v>7.6836362925041257E-2</v>
      </c>
      <c r="J391" s="40">
        <v>0.14855564787944986</v>
      </c>
    </row>
    <row r="392" spans="1:10" ht="11.25" customHeight="1" x14ac:dyDescent="0.2">
      <c r="A392" s="49">
        <v>44652</v>
      </c>
      <c r="B392" s="39">
        <v>0</v>
      </c>
      <c r="C392" s="39">
        <v>0</v>
      </c>
      <c r="D392" s="39">
        <v>2210.9458799999998</v>
      </c>
      <c r="E392" s="39">
        <v>2583.1618659229061</v>
      </c>
      <c r="F392" s="39">
        <v>610.26107999999999</v>
      </c>
      <c r="G392" s="39">
        <v>657.15132182190757</v>
      </c>
      <c r="H392" s="40">
        <v>0.16835146861347261</v>
      </c>
      <c r="I392" s="40">
        <v>7.6836362925041257E-2</v>
      </c>
      <c r="J392" s="40">
        <v>0.1485556478794503</v>
      </c>
    </row>
    <row r="393" spans="1:10" ht="11.25" customHeight="1" x14ac:dyDescent="0.2">
      <c r="A393" s="49">
        <v>44682</v>
      </c>
      <c r="B393" s="39">
        <v>0</v>
      </c>
      <c r="C393" s="39">
        <v>0</v>
      </c>
      <c r="D393" s="39">
        <v>1970.2768800000001</v>
      </c>
      <c r="E393" s="39">
        <v>2301.9758863231705</v>
      </c>
      <c r="F393" s="39">
        <v>543.83208000000002</v>
      </c>
      <c r="G393" s="39">
        <v>585.61815906916001</v>
      </c>
      <c r="H393" s="40">
        <v>0.16835146861347239</v>
      </c>
      <c r="I393" s="40">
        <v>7.6836362925041035E-2</v>
      </c>
      <c r="J393" s="40">
        <v>0.14855564787945008</v>
      </c>
    </row>
    <row r="394" spans="1:10" ht="11.25" customHeight="1" x14ac:dyDescent="0.2">
      <c r="A394" s="49">
        <v>44713</v>
      </c>
      <c r="B394" s="39">
        <v>0</v>
      </c>
      <c r="C394" s="39">
        <v>0</v>
      </c>
      <c r="D394" s="39">
        <v>1806.6219599999999</v>
      </c>
      <c r="E394" s="39">
        <v>2110.76942019535</v>
      </c>
      <c r="F394" s="39">
        <v>498.66035999999997</v>
      </c>
      <c r="G394" s="39">
        <v>536.97560839729169</v>
      </c>
      <c r="H394" s="40">
        <v>0.16835146861347239</v>
      </c>
      <c r="I394" s="40">
        <v>7.6836362925041257E-2</v>
      </c>
      <c r="J394" s="40">
        <v>0.14855564787945008</v>
      </c>
    </row>
    <row r="395" spans="1:10" ht="11.25" customHeight="1" x14ac:dyDescent="0.2">
      <c r="A395" s="49">
        <v>44743</v>
      </c>
      <c r="B395" s="39">
        <v>0</v>
      </c>
      <c r="C395" s="39">
        <v>0</v>
      </c>
      <c r="D395" s="39">
        <v>1541.88606</v>
      </c>
      <c r="E395" s="39">
        <v>1801.4648426356407</v>
      </c>
      <c r="F395" s="39">
        <v>425.58846</v>
      </c>
      <c r="G395" s="39">
        <v>458.28912936926935</v>
      </c>
      <c r="H395" s="40">
        <v>0.16835146861347239</v>
      </c>
      <c r="I395" s="40">
        <v>7.6836362925041035E-2</v>
      </c>
      <c r="J395" s="40">
        <v>0.14855564787945008</v>
      </c>
    </row>
    <row r="396" spans="1:10" ht="11.25" customHeight="1" x14ac:dyDescent="0.2">
      <c r="A396" s="49">
        <v>44774</v>
      </c>
      <c r="B396" s="39">
        <v>0</v>
      </c>
      <c r="C396" s="39">
        <v>0</v>
      </c>
      <c r="D396" s="39">
        <v>1659.0116400000002</v>
      </c>
      <c r="E396" s="39">
        <v>1938.3086860408457</v>
      </c>
      <c r="F396" s="39">
        <v>457.91724000000005</v>
      </c>
      <c r="G396" s="39">
        <v>493.10193524227321</v>
      </c>
      <c r="H396" s="40">
        <v>0.16835146861347239</v>
      </c>
      <c r="I396" s="40">
        <v>7.6836362925041035E-2</v>
      </c>
      <c r="J396" s="40">
        <v>0.14855564787945008</v>
      </c>
    </row>
    <row r="397" spans="1:10" ht="11.25" customHeight="1" x14ac:dyDescent="0.2">
      <c r="A397" s="49">
        <v>44805</v>
      </c>
      <c r="B397" s="39">
        <v>0</v>
      </c>
      <c r="C397" s="39">
        <v>0</v>
      </c>
      <c r="D397" s="39">
        <v>1951.0233599999999</v>
      </c>
      <c r="E397" s="39">
        <v>2279.4810079551917</v>
      </c>
      <c r="F397" s="39">
        <v>538.51775999999995</v>
      </c>
      <c r="G397" s="39">
        <v>579.89550604894021</v>
      </c>
      <c r="H397" s="40">
        <v>0.16835146861347261</v>
      </c>
      <c r="I397" s="40">
        <v>7.6836362925041257E-2</v>
      </c>
      <c r="J397" s="40">
        <v>0.14855564787945008</v>
      </c>
    </row>
    <row r="398" spans="1:10" ht="11.25" customHeight="1" x14ac:dyDescent="0.2">
      <c r="A398" s="49">
        <v>44835</v>
      </c>
      <c r="B398" s="39">
        <v>0</v>
      </c>
      <c r="C398" s="39">
        <v>0</v>
      </c>
      <c r="D398" s="39">
        <v>1951.0233599999999</v>
      </c>
      <c r="E398" s="39">
        <v>2279.4810079551917</v>
      </c>
      <c r="F398" s="39">
        <v>538.51775999999995</v>
      </c>
      <c r="G398" s="39">
        <v>579.89550604894021</v>
      </c>
      <c r="H398" s="40">
        <v>0.16835146861347261</v>
      </c>
      <c r="I398" s="40">
        <v>7.6836362925041257E-2</v>
      </c>
      <c r="J398" s="40">
        <v>0.14855564787945008</v>
      </c>
    </row>
    <row r="399" spans="1:10" ht="11.25" customHeight="1" x14ac:dyDescent="0.2">
      <c r="A399" s="42" t="s">
        <v>22</v>
      </c>
      <c r="B399" s="39">
        <v>0</v>
      </c>
      <c r="C399" s="39">
        <v>0</v>
      </c>
      <c r="D399" s="39">
        <v>39605220.734357022</v>
      </c>
      <c r="E399" s="39">
        <v>50631345.2660124</v>
      </c>
      <c r="F399" s="39">
        <v>39063626.949199982</v>
      </c>
      <c r="G399" s="39">
        <v>41548693.62207564</v>
      </c>
      <c r="H399" s="40">
        <v>0.27840078472508867</v>
      </c>
      <c r="I399" s="40">
        <v>6.3615871514115518E-2</v>
      </c>
      <c r="J399" s="40">
        <v>0.17174766889785076</v>
      </c>
    </row>
    <row r="400" spans="1:10" ht="11.25" customHeight="1" x14ac:dyDescent="0.2">
      <c r="A400" s="43" t="s">
        <v>33</v>
      </c>
      <c r="B400" s="39">
        <v>0</v>
      </c>
      <c r="C400" s="39">
        <v>0</v>
      </c>
      <c r="D400" s="39">
        <v>41762.502099999998</v>
      </c>
      <c r="E400" s="39">
        <v>54356.450357998328</v>
      </c>
      <c r="F400" s="39">
        <v>46168.459920000008</v>
      </c>
      <c r="G400" s="39">
        <v>49132.317324082323</v>
      </c>
      <c r="H400" s="40">
        <v>0.30156115234288938</v>
      </c>
      <c r="I400" s="40">
        <v>6.4196583754754899E-2</v>
      </c>
      <c r="J400" s="40">
        <v>0.17693205333682149</v>
      </c>
    </row>
    <row r="401" spans="1:10" ht="11.25" customHeight="1" x14ac:dyDescent="0.2">
      <c r="A401" s="44" t="s">
        <v>24</v>
      </c>
      <c r="B401" s="39">
        <v>0</v>
      </c>
      <c r="C401" s="39">
        <v>0</v>
      </c>
      <c r="D401" s="39">
        <v>41762.502099999998</v>
      </c>
      <c r="E401" s="39">
        <v>54356.450357998328</v>
      </c>
      <c r="F401" s="39">
        <v>46168.459920000008</v>
      </c>
      <c r="G401" s="39">
        <v>49132.317324082323</v>
      </c>
      <c r="H401" s="40">
        <v>0.30156115234288938</v>
      </c>
      <c r="I401" s="40">
        <v>6.4196583754754899E-2</v>
      </c>
      <c r="J401" s="40">
        <v>0.17693205333682149</v>
      </c>
    </row>
    <row r="402" spans="1:10" ht="11.25" customHeight="1" x14ac:dyDescent="0.2">
      <c r="A402" s="45" t="s">
        <v>24</v>
      </c>
      <c r="B402" s="39">
        <v>0</v>
      </c>
      <c r="C402" s="39">
        <v>0</v>
      </c>
      <c r="D402" s="39">
        <v>41762.502099999998</v>
      </c>
      <c r="E402" s="39">
        <v>54356.450357998328</v>
      </c>
      <c r="F402" s="39">
        <v>46168.459920000008</v>
      </c>
      <c r="G402" s="39">
        <v>49132.317324082323</v>
      </c>
      <c r="H402" s="40">
        <v>0.30156115234288938</v>
      </c>
      <c r="I402" s="40">
        <v>6.4196583754754899E-2</v>
      </c>
      <c r="J402" s="40">
        <v>0.17693205333682149</v>
      </c>
    </row>
    <row r="403" spans="1:10" ht="11.25" customHeight="1" x14ac:dyDescent="0.2">
      <c r="A403" s="46" t="s">
        <v>25</v>
      </c>
      <c r="B403" s="39">
        <v>0</v>
      </c>
      <c r="C403" s="39">
        <v>0</v>
      </c>
      <c r="D403" s="39">
        <v>41762.502099999998</v>
      </c>
      <c r="E403" s="39">
        <v>54356.450357998328</v>
      </c>
      <c r="F403" s="39">
        <v>46168.459920000008</v>
      </c>
      <c r="G403" s="39">
        <v>49132.317324082323</v>
      </c>
      <c r="H403" s="40">
        <v>0.30156115234288938</v>
      </c>
      <c r="I403" s="40">
        <v>6.4196583754754899E-2</v>
      </c>
      <c r="J403" s="40">
        <v>0.17693205333682149</v>
      </c>
    </row>
    <row r="404" spans="1:10" ht="11.25" customHeight="1" x14ac:dyDescent="0.2">
      <c r="A404" s="47" t="s">
        <v>25</v>
      </c>
      <c r="B404" s="39">
        <v>0</v>
      </c>
      <c r="C404" s="39">
        <v>0</v>
      </c>
      <c r="D404" s="39">
        <v>41762.502099999998</v>
      </c>
      <c r="E404" s="39">
        <v>54356.450357998328</v>
      </c>
      <c r="F404" s="39">
        <v>46168.459920000008</v>
      </c>
      <c r="G404" s="39">
        <v>49132.317324082323</v>
      </c>
      <c r="H404" s="40">
        <v>0.30156115234288938</v>
      </c>
      <c r="I404" s="40">
        <v>6.4196583754754899E-2</v>
      </c>
      <c r="J404" s="40">
        <v>0.17693205333682149</v>
      </c>
    </row>
    <row r="405" spans="1:10" ht="11.25" customHeight="1" x14ac:dyDescent="0.2">
      <c r="A405" s="48" t="s">
        <v>35</v>
      </c>
      <c r="B405" s="39">
        <v>0</v>
      </c>
      <c r="C405" s="39">
        <v>0</v>
      </c>
      <c r="D405" s="39">
        <v>26671.1525</v>
      </c>
      <c r="E405" s="39">
        <v>35935.484588690517</v>
      </c>
      <c r="F405" s="39">
        <v>35604.551220000001</v>
      </c>
      <c r="G405" s="39">
        <v>37802.587636773176</v>
      </c>
      <c r="H405" s="40">
        <v>0.34735402186652897</v>
      </c>
      <c r="I405" s="40">
        <v>6.1734703611106667E-2</v>
      </c>
      <c r="J405" s="40">
        <v>0.18405843404034528</v>
      </c>
    </row>
    <row r="406" spans="1:10" ht="11.25" customHeight="1" x14ac:dyDescent="0.2">
      <c r="A406" s="49">
        <v>44501</v>
      </c>
      <c r="B406" s="39">
        <v>0</v>
      </c>
      <c r="C406" s="39">
        <v>0</v>
      </c>
      <c r="D406" s="39">
        <v>2561.57125</v>
      </c>
      <c r="E406" s="39">
        <v>3451.3433259851713</v>
      </c>
      <c r="F406" s="39">
        <v>3419.5595700000003</v>
      </c>
      <c r="G406" s="39">
        <v>3630.6650665344746</v>
      </c>
      <c r="H406" s="40">
        <v>0.34735402186652875</v>
      </c>
      <c r="I406" s="40">
        <v>6.1734703611106889E-2</v>
      </c>
      <c r="J406" s="40">
        <v>0.18405843404034505</v>
      </c>
    </row>
    <row r="407" spans="1:10" ht="11.25" customHeight="1" x14ac:dyDescent="0.2">
      <c r="A407" s="49">
        <v>44531</v>
      </c>
      <c r="B407" s="39">
        <v>0</v>
      </c>
      <c r="C407" s="39">
        <v>0</v>
      </c>
      <c r="D407" s="39">
        <v>2545.4974999999995</v>
      </c>
      <c r="E407" s="39">
        <v>3429.6862942761936</v>
      </c>
      <c r="F407" s="39">
        <v>3398.1019799999999</v>
      </c>
      <c r="G407" s="39">
        <v>3607.8827985756152</v>
      </c>
      <c r="H407" s="40">
        <v>0.34735402186652875</v>
      </c>
      <c r="I407" s="40">
        <v>6.1734703611106889E-2</v>
      </c>
      <c r="J407" s="40">
        <v>0.18405843404034528</v>
      </c>
    </row>
    <row r="408" spans="1:10" ht="11.25" customHeight="1" x14ac:dyDescent="0.2">
      <c r="A408" s="49">
        <v>44562</v>
      </c>
      <c r="B408" s="39">
        <v>0</v>
      </c>
      <c r="C408" s="39">
        <v>0</v>
      </c>
      <c r="D408" s="39">
        <v>2844.4274999999998</v>
      </c>
      <c r="E408" s="39">
        <v>3832.450832032755</v>
      </c>
      <c r="F408" s="39">
        <v>3797.15742</v>
      </c>
      <c r="G408" s="39">
        <v>4031.5738078884151</v>
      </c>
      <c r="H408" s="40">
        <v>0.34735402186652853</v>
      </c>
      <c r="I408" s="40">
        <v>6.1734703611106889E-2</v>
      </c>
      <c r="J408" s="40">
        <v>0.18405843404034505</v>
      </c>
    </row>
    <row r="409" spans="1:10" ht="11.25" customHeight="1" x14ac:dyDescent="0.2">
      <c r="A409" s="49">
        <v>44593</v>
      </c>
      <c r="B409" s="39">
        <v>0</v>
      </c>
      <c r="C409" s="39">
        <v>0</v>
      </c>
      <c r="D409" s="39">
        <v>2626.0749999999998</v>
      </c>
      <c r="E409" s="39">
        <v>3538.2527129731443</v>
      </c>
      <c r="F409" s="39">
        <v>3505.6686000000004</v>
      </c>
      <c r="G409" s="39">
        <v>3722.0900119797643</v>
      </c>
      <c r="H409" s="40">
        <v>0.34735402186652875</v>
      </c>
      <c r="I409" s="40">
        <v>6.1734703611106889E-2</v>
      </c>
      <c r="J409" s="40">
        <v>0.18405843404034528</v>
      </c>
    </row>
    <row r="410" spans="1:10" ht="11.25" customHeight="1" x14ac:dyDescent="0.2">
      <c r="A410" s="49">
        <v>44621</v>
      </c>
      <c r="B410" s="39">
        <v>0</v>
      </c>
      <c r="C410" s="39">
        <v>0</v>
      </c>
      <c r="D410" s="39">
        <v>2804.3474999999999</v>
      </c>
      <c r="E410" s="39">
        <v>3778.4488828363446</v>
      </c>
      <c r="F410" s="39">
        <v>3743.6527799999999</v>
      </c>
      <c r="G410" s="39">
        <v>3974.7660747961963</v>
      </c>
      <c r="H410" s="40">
        <v>0.34735402186652853</v>
      </c>
      <c r="I410" s="40">
        <v>6.1734703611106889E-2</v>
      </c>
      <c r="J410" s="40">
        <v>0.18405843404034505</v>
      </c>
    </row>
    <row r="411" spans="1:10" ht="11.25" customHeight="1" x14ac:dyDescent="0.2">
      <c r="A411" s="49">
        <v>44652</v>
      </c>
      <c r="B411" s="39">
        <v>0</v>
      </c>
      <c r="C411" s="39">
        <v>0</v>
      </c>
      <c r="D411" s="39">
        <v>2136.3474999999999</v>
      </c>
      <c r="E411" s="39">
        <v>2878.4163962295038</v>
      </c>
      <c r="F411" s="39">
        <v>2851.9087800000002</v>
      </c>
      <c r="G411" s="39">
        <v>3027.9705232592137</v>
      </c>
      <c r="H411" s="40">
        <v>0.34735402186652875</v>
      </c>
      <c r="I411" s="40">
        <v>6.1734703611106889E-2</v>
      </c>
      <c r="J411" s="40">
        <v>0.18405843404034528</v>
      </c>
    </row>
    <row r="412" spans="1:10" ht="11.25" customHeight="1" x14ac:dyDescent="0.2">
      <c r="A412" s="49">
        <v>44682</v>
      </c>
      <c r="B412" s="39">
        <v>0</v>
      </c>
      <c r="C412" s="39">
        <v>0</v>
      </c>
      <c r="D412" s="39">
        <v>2094.8062500000001</v>
      </c>
      <c r="E412" s="39">
        <v>2822.4456259686413</v>
      </c>
      <c r="F412" s="39">
        <v>2796.4534500000004</v>
      </c>
      <c r="G412" s="39">
        <v>2969.0916748980076</v>
      </c>
      <c r="H412" s="40">
        <v>0.34735402186652875</v>
      </c>
      <c r="I412" s="40">
        <v>6.1734703611106889E-2</v>
      </c>
      <c r="J412" s="40">
        <v>0.18405843404034505</v>
      </c>
    </row>
    <row r="413" spans="1:10" ht="11.25" customHeight="1" x14ac:dyDescent="0.2">
      <c r="A413" s="49">
        <v>44713</v>
      </c>
      <c r="B413" s="39">
        <v>0</v>
      </c>
      <c r="C413" s="39">
        <v>0</v>
      </c>
      <c r="D413" s="39">
        <v>1798.59</v>
      </c>
      <c r="E413" s="39">
        <v>2423.3374701889197</v>
      </c>
      <c r="F413" s="39">
        <v>2401.02072</v>
      </c>
      <c r="G413" s="39">
        <v>2549.2470225133266</v>
      </c>
      <c r="H413" s="40">
        <v>0.34735402186652875</v>
      </c>
      <c r="I413" s="40">
        <v>6.1734703611106889E-2</v>
      </c>
      <c r="J413" s="40">
        <v>0.18405843404034528</v>
      </c>
    </row>
    <row r="414" spans="1:10" ht="11.25" customHeight="1" x14ac:dyDescent="0.2">
      <c r="A414" s="49">
        <v>44743</v>
      </c>
      <c r="B414" s="39">
        <v>0</v>
      </c>
      <c r="C414" s="39">
        <v>0</v>
      </c>
      <c r="D414" s="39">
        <v>1888.5612500000002</v>
      </c>
      <c r="E414" s="39">
        <v>2544.5605957287789</v>
      </c>
      <c r="F414" s="39">
        <v>2521.1274900000003</v>
      </c>
      <c r="G414" s="39">
        <v>2676.7685483609639</v>
      </c>
      <c r="H414" s="40">
        <v>0.34735402186652875</v>
      </c>
      <c r="I414" s="40">
        <v>6.1734703611106889E-2</v>
      </c>
      <c r="J414" s="40">
        <v>0.18405843404034505</v>
      </c>
    </row>
    <row r="415" spans="1:10" ht="11.25" customHeight="1" x14ac:dyDescent="0.2">
      <c r="A415" s="49">
        <v>44774</v>
      </c>
      <c r="B415" s="39">
        <v>0</v>
      </c>
      <c r="C415" s="39">
        <v>0</v>
      </c>
      <c r="D415" s="39">
        <v>1744.10625</v>
      </c>
      <c r="E415" s="39">
        <v>2349.9285705000493</v>
      </c>
      <c r="F415" s="39">
        <v>2328.2878500000002</v>
      </c>
      <c r="G415" s="39">
        <v>2472.0240103410911</v>
      </c>
      <c r="H415" s="40">
        <v>0.34735402186652853</v>
      </c>
      <c r="I415" s="40">
        <v>6.1734703611106667E-2</v>
      </c>
      <c r="J415" s="40">
        <v>0.18405843404034483</v>
      </c>
    </row>
    <row r="416" spans="1:10" ht="11.25" customHeight="1" x14ac:dyDescent="0.2">
      <c r="A416" s="49">
        <v>44805</v>
      </c>
      <c r="B416" s="39">
        <v>0</v>
      </c>
      <c r="C416" s="39">
        <v>0</v>
      </c>
      <c r="D416" s="39">
        <v>1813.4112499999999</v>
      </c>
      <c r="E416" s="39">
        <v>2443.3069409855088</v>
      </c>
      <c r="F416" s="39">
        <v>2420.80629</v>
      </c>
      <c r="G416" s="39">
        <v>2570.254048813053</v>
      </c>
      <c r="H416" s="40">
        <v>0.34735402186652853</v>
      </c>
      <c r="I416" s="40">
        <v>6.1734703611106889E-2</v>
      </c>
      <c r="J416" s="40">
        <v>0.18405843404034505</v>
      </c>
    </row>
    <row r="417" spans="1:10" ht="11.25" customHeight="1" x14ac:dyDescent="0.2">
      <c r="A417" s="49">
        <v>44835</v>
      </c>
      <c r="B417" s="39">
        <v>0</v>
      </c>
      <c r="C417" s="39">
        <v>0</v>
      </c>
      <c r="D417" s="39">
        <v>1813.4112499999999</v>
      </c>
      <c r="E417" s="39">
        <v>2443.3069409855088</v>
      </c>
      <c r="F417" s="39">
        <v>2420.80629</v>
      </c>
      <c r="G417" s="39">
        <v>2570.254048813053</v>
      </c>
      <c r="H417" s="40">
        <v>0.34735402186652853</v>
      </c>
      <c r="I417" s="40">
        <v>6.1734703611106889E-2</v>
      </c>
      <c r="J417" s="40">
        <v>0.18405843404034505</v>
      </c>
    </row>
    <row r="418" spans="1:10" ht="11.25" customHeight="1" x14ac:dyDescent="0.2">
      <c r="A418" s="48" t="s">
        <v>36</v>
      </c>
      <c r="B418" s="39">
        <v>0</v>
      </c>
      <c r="C418" s="39">
        <v>0</v>
      </c>
      <c r="D418" s="39">
        <v>4525.8980000000001</v>
      </c>
      <c r="E418" s="39">
        <v>5633.5643321382886</v>
      </c>
      <c r="F418" s="39">
        <v>3037.5030000000002</v>
      </c>
      <c r="G418" s="39">
        <v>3225.0223474228478</v>
      </c>
      <c r="H418" s="40">
        <v>0.2447395703876416</v>
      </c>
      <c r="I418" s="40">
        <v>6.1734703611106667E-2</v>
      </c>
      <c r="J418" s="40">
        <v>0.17124382001709737</v>
      </c>
    </row>
    <row r="419" spans="1:10" ht="11.25" customHeight="1" x14ac:dyDescent="0.2">
      <c r="A419" s="49">
        <v>44501</v>
      </c>
      <c r="B419" s="39">
        <v>0</v>
      </c>
      <c r="C419" s="39">
        <v>0</v>
      </c>
      <c r="D419" s="39">
        <v>301.03450000000004</v>
      </c>
      <c r="E419" s="39">
        <v>374.70955420185862</v>
      </c>
      <c r="F419" s="39">
        <v>202.03575000000001</v>
      </c>
      <c r="G419" s="39">
        <v>214.50836714509768</v>
      </c>
      <c r="H419" s="40">
        <v>0.24473957038764182</v>
      </c>
      <c r="I419" s="40">
        <v>6.1734703611106889E-2</v>
      </c>
      <c r="J419" s="40">
        <v>0.17124382001709737</v>
      </c>
    </row>
    <row r="420" spans="1:10" ht="11.25" customHeight="1" x14ac:dyDescent="0.2">
      <c r="A420" s="49">
        <v>44531</v>
      </c>
      <c r="B420" s="39">
        <v>0</v>
      </c>
      <c r="C420" s="39">
        <v>0</v>
      </c>
      <c r="D420" s="39">
        <v>324.70204000000001</v>
      </c>
      <c r="E420" s="39">
        <v>404.16947777359098</v>
      </c>
      <c r="F420" s="39">
        <v>217.91994000000003</v>
      </c>
      <c r="G420" s="39">
        <v>231.37316290685021</v>
      </c>
      <c r="H420" s="40">
        <v>0.24473957038764205</v>
      </c>
      <c r="I420" s="40">
        <v>6.1734703611106889E-2</v>
      </c>
      <c r="J420" s="40">
        <v>0.17124382001709759</v>
      </c>
    </row>
    <row r="421" spans="1:10" ht="11.25" customHeight="1" x14ac:dyDescent="0.2">
      <c r="A421" s="49">
        <v>44562</v>
      </c>
      <c r="B421" s="39">
        <v>0</v>
      </c>
      <c r="C421" s="39">
        <v>0</v>
      </c>
      <c r="D421" s="39">
        <v>409.82214000000005</v>
      </c>
      <c r="E421" s="39">
        <v>510.12183447894409</v>
      </c>
      <c r="F421" s="39">
        <v>275.04729000000003</v>
      </c>
      <c r="G421" s="39">
        <v>292.02725292718821</v>
      </c>
      <c r="H421" s="40">
        <v>0.24473957038764182</v>
      </c>
      <c r="I421" s="40">
        <v>6.1734703611106889E-2</v>
      </c>
      <c r="J421" s="40">
        <v>0.17124382001709759</v>
      </c>
    </row>
    <row r="422" spans="1:10" ht="11.25" customHeight="1" x14ac:dyDescent="0.2">
      <c r="A422" s="49">
        <v>44593</v>
      </c>
      <c r="B422" s="39">
        <v>0</v>
      </c>
      <c r="C422" s="39">
        <v>0</v>
      </c>
      <c r="D422" s="39">
        <v>392.38290000000006</v>
      </c>
      <c r="E422" s="39">
        <v>488.41452237345709</v>
      </c>
      <c r="F422" s="39">
        <v>263.34315000000004</v>
      </c>
      <c r="G422" s="39">
        <v>279.60056131326525</v>
      </c>
      <c r="H422" s="40">
        <v>0.24473957038764182</v>
      </c>
      <c r="I422" s="40">
        <v>6.1734703611106667E-2</v>
      </c>
      <c r="J422" s="40">
        <v>0.17124382001709759</v>
      </c>
    </row>
    <row r="423" spans="1:10" ht="11.25" customHeight="1" x14ac:dyDescent="0.2">
      <c r="A423" s="49">
        <v>44621</v>
      </c>
      <c r="B423" s="39">
        <v>0</v>
      </c>
      <c r="C423" s="39">
        <v>0</v>
      </c>
      <c r="D423" s="39">
        <v>382.00239999999997</v>
      </c>
      <c r="E423" s="39">
        <v>475.49350326304818</v>
      </c>
      <c r="F423" s="39">
        <v>256.37639999999999</v>
      </c>
      <c r="G423" s="39">
        <v>272.20372106688262</v>
      </c>
      <c r="H423" s="40">
        <v>0.24473957038764205</v>
      </c>
      <c r="I423" s="40">
        <v>6.1734703611107111E-2</v>
      </c>
      <c r="J423" s="40">
        <v>0.17124382001709781</v>
      </c>
    </row>
    <row r="424" spans="1:10" ht="11.25" customHeight="1" x14ac:dyDescent="0.2">
      <c r="A424" s="49">
        <v>44652</v>
      </c>
      <c r="B424" s="39">
        <v>0</v>
      </c>
      <c r="C424" s="39">
        <v>0</v>
      </c>
      <c r="D424" s="39">
        <v>362.48705999999999</v>
      </c>
      <c r="E424" s="39">
        <v>451.20198733547943</v>
      </c>
      <c r="F424" s="39">
        <v>243.27891000000002</v>
      </c>
      <c r="G424" s="39">
        <v>258.29766140368315</v>
      </c>
      <c r="H424" s="40">
        <v>0.24473957038764205</v>
      </c>
      <c r="I424" s="40">
        <v>6.1734703611106889E-2</v>
      </c>
      <c r="J424" s="40">
        <v>0.17124382001709759</v>
      </c>
    </row>
    <row r="425" spans="1:10" ht="11.25" customHeight="1" x14ac:dyDescent="0.2">
      <c r="A425" s="49">
        <v>44682</v>
      </c>
      <c r="B425" s="39">
        <v>0</v>
      </c>
      <c r="C425" s="39">
        <v>0</v>
      </c>
      <c r="D425" s="39">
        <v>577.98624000000007</v>
      </c>
      <c r="E425" s="39">
        <v>719.44234406756857</v>
      </c>
      <c r="F425" s="39">
        <v>387.90864000000005</v>
      </c>
      <c r="G425" s="39">
        <v>411.85606491858761</v>
      </c>
      <c r="H425" s="40">
        <v>0.24473957038764182</v>
      </c>
      <c r="I425" s="40">
        <v>6.1734703611106889E-2</v>
      </c>
      <c r="J425" s="40">
        <v>0.17124382001709759</v>
      </c>
    </row>
    <row r="426" spans="1:10" ht="11.25" customHeight="1" x14ac:dyDescent="0.2">
      <c r="A426" s="49">
        <v>44713</v>
      </c>
      <c r="B426" s="39">
        <v>0</v>
      </c>
      <c r="C426" s="39">
        <v>0</v>
      </c>
      <c r="D426" s="39">
        <v>306.43236000000002</v>
      </c>
      <c r="E426" s="39">
        <v>381.42848413927123</v>
      </c>
      <c r="F426" s="39">
        <v>205.65845999999999</v>
      </c>
      <c r="G426" s="39">
        <v>218.35472407321669</v>
      </c>
      <c r="H426" s="40">
        <v>0.24473957038764182</v>
      </c>
      <c r="I426" s="40">
        <v>6.1734703611106889E-2</v>
      </c>
      <c r="J426" s="40">
        <v>0.17124382001709759</v>
      </c>
    </row>
    <row r="427" spans="1:10" ht="11.25" customHeight="1" x14ac:dyDescent="0.2">
      <c r="A427" s="49">
        <v>44743</v>
      </c>
      <c r="B427" s="39">
        <v>0</v>
      </c>
      <c r="C427" s="39">
        <v>0</v>
      </c>
      <c r="D427" s="39">
        <v>424.77006</v>
      </c>
      <c r="E427" s="39">
        <v>528.72810199793287</v>
      </c>
      <c r="F427" s="39">
        <v>285.07941</v>
      </c>
      <c r="G427" s="39">
        <v>302.67870288197918</v>
      </c>
      <c r="H427" s="40">
        <v>0.24473957038764182</v>
      </c>
      <c r="I427" s="40">
        <v>6.1734703611106667E-2</v>
      </c>
      <c r="J427" s="40">
        <v>0.17124382001709737</v>
      </c>
    </row>
    <row r="428" spans="1:10" ht="11.25" customHeight="1" x14ac:dyDescent="0.2">
      <c r="A428" s="49">
        <v>44774</v>
      </c>
      <c r="B428" s="39">
        <v>0</v>
      </c>
      <c r="C428" s="39">
        <v>0</v>
      </c>
      <c r="D428" s="39">
        <v>331.76078000000001</v>
      </c>
      <c r="E428" s="39">
        <v>412.95577076866903</v>
      </c>
      <c r="F428" s="39">
        <v>222.65733</v>
      </c>
      <c r="G428" s="39">
        <v>236.40301427439042</v>
      </c>
      <c r="H428" s="40">
        <v>0.24473957038764205</v>
      </c>
      <c r="I428" s="40">
        <v>6.1734703611106889E-2</v>
      </c>
      <c r="J428" s="40">
        <v>0.17124382001709759</v>
      </c>
    </row>
    <row r="429" spans="1:10" ht="11.25" customHeight="1" x14ac:dyDescent="0.2">
      <c r="A429" s="49">
        <v>44805</v>
      </c>
      <c r="B429" s="39">
        <v>0</v>
      </c>
      <c r="C429" s="39">
        <v>0</v>
      </c>
      <c r="D429" s="39">
        <v>356.25876000000005</v>
      </c>
      <c r="E429" s="39">
        <v>443.44937586923407</v>
      </c>
      <c r="F429" s="39">
        <v>239.09886</v>
      </c>
      <c r="G429" s="39">
        <v>253.85955725585353</v>
      </c>
      <c r="H429" s="40">
        <v>0.24473957038764182</v>
      </c>
      <c r="I429" s="40">
        <v>6.1734703611106889E-2</v>
      </c>
      <c r="J429" s="40">
        <v>0.17124382001709759</v>
      </c>
    </row>
    <row r="430" spans="1:10" ht="11.25" customHeight="1" x14ac:dyDescent="0.2">
      <c r="A430" s="49">
        <v>44835</v>
      </c>
      <c r="B430" s="39">
        <v>0</v>
      </c>
      <c r="C430" s="39">
        <v>0</v>
      </c>
      <c r="D430" s="39">
        <v>356.25876000000005</v>
      </c>
      <c r="E430" s="39">
        <v>443.44937586923407</v>
      </c>
      <c r="F430" s="39">
        <v>239.09886</v>
      </c>
      <c r="G430" s="39">
        <v>253.85955725585353</v>
      </c>
      <c r="H430" s="40">
        <v>0.24473957038764182</v>
      </c>
      <c r="I430" s="40">
        <v>6.1734703611106889E-2</v>
      </c>
      <c r="J430" s="40">
        <v>0.17124382001709759</v>
      </c>
    </row>
    <row r="431" spans="1:10" ht="11.25" customHeight="1" x14ac:dyDescent="0.2">
      <c r="A431" s="48" t="s">
        <v>34</v>
      </c>
      <c r="B431" s="39">
        <v>0</v>
      </c>
      <c r="C431" s="39">
        <v>0</v>
      </c>
      <c r="D431" s="39">
        <v>10565.4516</v>
      </c>
      <c r="E431" s="39">
        <v>12787.401437169519</v>
      </c>
      <c r="F431" s="39">
        <v>7526.4056999999993</v>
      </c>
      <c r="G431" s="39">
        <v>8104.7073398862976</v>
      </c>
      <c r="H431" s="40">
        <v>0.21030334729558797</v>
      </c>
      <c r="I431" s="40">
        <v>7.6836362925041035E-2</v>
      </c>
      <c r="J431" s="40">
        <v>0.15477965753443224</v>
      </c>
    </row>
    <row r="432" spans="1:10" ht="11.25" customHeight="1" x14ac:dyDescent="0.2">
      <c r="A432" s="49">
        <v>44501</v>
      </c>
      <c r="B432" s="39">
        <v>0</v>
      </c>
      <c r="C432" s="39">
        <v>0</v>
      </c>
      <c r="D432" s="39">
        <v>982.87607999999989</v>
      </c>
      <c r="E432" s="39">
        <v>1189.5782096007656</v>
      </c>
      <c r="F432" s="39">
        <v>700.16165999999998</v>
      </c>
      <c r="G432" s="39">
        <v>753.95953541395932</v>
      </c>
      <c r="H432" s="40">
        <v>0.21030334729558753</v>
      </c>
      <c r="I432" s="40">
        <v>7.6836362925041257E-2</v>
      </c>
      <c r="J432" s="40">
        <v>0.15477965753443246</v>
      </c>
    </row>
    <row r="433" spans="1:10" ht="11.25" customHeight="1" x14ac:dyDescent="0.2">
      <c r="A433" s="49">
        <v>44531</v>
      </c>
      <c r="B433" s="39">
        <v>0</v>
      </c>
      <c r="C433" s="39">
        <v>0</v>
      </c>
      <c r="D433" s="39">
        <v>989.09287999999992</v>
      </c>
      <c r="E433" s="39">
        <v>1197.1024234502327</v>
      </c>
      <c r="F433" s="39">
        <v>704.59026000000006</v>
      </c>
      <c r="G433" s="39">
        <v>758.7284129308091</v>
      </c>
      <c r="H433" s="40">
        <v>0.21030334729558731</v>
      </c>
      <c r="I433" s="40">
        <v>7.6836362925041035E-2</v>
      </c>
      <c r="J433" s="40">
        <v>0.15477965753443201</v>
      </c>
    </row>
    <row r="434" spans="1:10" ht="11.25" customHeight="1" x14ac:dyDescent="0.2">
      <c r="A434" s="49">
        <v>44562</v>
      </c>
      <c r="B434" s="39">
        <v>0</v>
      </c>
      <c r="C434" s="39">
        <v>0</v>
      </c>
      <c r="D434" s="39">
        <v>1092.9134399999998</v>
      </c>
      <c r="E434" s="39">
        <v>1322.756794736335</v>
      </c>
      <c r="F434" s="39">
        <v>778.54788000000008</v>
      </c>
      <c r="G434" s="39">
        <v>838.36866746220142</v>
      </c>
      <c r="H434" s="40">
        <v>0.21030334729558753</v>
      </c>
      <c r="I434" s="40">
        <v>7.6836362925041035E-2</v>
      </c>
      <c r="J434" s="40">
        <v>0.15477965753443224</v>
      </c>
    </row>
    <row r="435" spans="1:10" ht="11.25" customHeight="1" x14ac:dyDescent="0.2">
      <c r="A435" s="49">
        <v>44593</v>
      </c>
      <c r="B435" s="39">
        <v>0</v>
      </c>
      <c r="C435" s="39">
        <v>0</v>
      </c>
      <c r="D435" s="39">
        <v>1074.88472</v>
      </c>
      <c r="E435" s="39">
        <v>1300.9365745728801</v>
      </c>
      <c r="F435" s="39">
        <v>765.70494000000008</v>
      </c>
      <c r="G435" s="39">
        <v>824.53892266333696</v>
      </c>
      <c r="H435" s="40">
        <v>0.21030334729558731</v>
      </c>
      <c r="I435" s="40">
        <v>7.6836362925041257E-2</v>
      </c>
      <c r="J435" s="40">
        <v>0.15477965753443224</v>
      </c>
    </row>
    <row r="436" spans="1:10" ht="11.25" customHeight="1" x14ac:dyDescent="0.2">
      <c r="A436" s="49">
        <v>44621</v>
      </c>
      <c r="B436" s="39">
        <v>0</v>
      </c>
      <c r="C436" s="39">
        <v>0</v>
      </c>
      <c r="D436" s="39">
        <v>1176.84024</v>
      </c>
      <c r="E436" s="39">
        <v>1424.3336817041422</v>
      </c>
      <c r="F436" s="39">
        <v>838.33398</v>
      </c>
      <c r="G436" s="39">
        <v>902.74851393967424</v>
      </c>
      <c r="H436" s="40">
        <v>0.21030334729558731</v>
      </c>
      <c r="I436" s="40">
        <v>7.6836362925041257E-2</v>
      </c>
      <c r="J436" s="40">
        <v>0.15477965753443246</v>
      </c>
    </row>
    <row r="437" spans="1:10" ht="11.25" customHeight="1" x14ac:dyDescent="0.2">
      <c r="A437" s="49">
        <v>44652</v>
      </c>
      <c r="B437" s="39">
        <v>0</v>
      </c>
      <c r="C437" s="39">
        <v>0</v>
      </c>
      <c r="D437" s="39">
        <v>785.18183999999997</v>
      </c>
      <c r="E437" s="39">
        <v>950.30820918770826</v>
      </c>
      <c r="F437" s="39">
        <v>559.33217999999999</v>
      </c>
      <c r="G437" s="39">
        <v>602.30923037813443</v>
      </c>
      <c r="H437" s="40">
        <v>0.21030334729558731</v>
      </c>
      <c r="I437" s="40">
        <v>7.6836362925041035E-2</v>
      </c>
      <c r="J437" s="40">
        <v>0.15477965753443201</v>
      </c>
    </row>
    <row r="438" spans="1:10" ht="11.25" customHeight="1" x14ac:dyDescent="0.2">
      <c r="A438" s="49">
        <v>44682</v>
      </c>
      <c r="B438" s="39">
        <v>0</v>
      </c>
      <c r="C438" s="39">
        <v>0</v>
      </c>
      <c r="D438" s="39">
        <v>672.65775999999994</v>
      </c>
      <c r="E438" s="39">
        <v>814.11993851235184</v>
      </c>
      <c r="F438" s="39">
        <v>479.17451999999997</v>
      </c>
      <c r="G438" s="39">
        <v>515.99254732315239</v>
      </c>
      <c r="H438" s="40">
        <v>0.21030334729558753</v>
      </c>
      <c r="I438" s="40">
        <v>7.6836362925041257E-2</v>
      </c>
      <c r="J438" s="40">
        <v>0.15477965753443246</v>
      </c>
    </row>
    <row r="439" spans="1:10" ht="11.25" customHeight="1" x14ac:dyDescent="0.2">
      <c r="A439" s="49">
        <v>44713</v>
      </c>
      <c r="B439" s="39">
        <v>0</v>
      </c>
      <c r="C439" s="39">
        <v>0</v>
      </c>
      <c r="D439" s="39">
        <v>706.22847999999999</v>
      </c>
      <c r="E439" s="39">
        <v>854.75069329947473</v>
      </c>
      <c r="F439" s="39">
        <v>503.08895999999999</v>
      </c>
      <c r="G439" s="39">
        <v>541.74448591414148</v>
      </c>
      <c r="H439" s="40">
        <v>0.21030334729558731</v>
      </c>
      <c r="I439" s="40">
        <v>7.6836362925041035E-2</v>
      </c>
      <c r="J439" s="40">
        <v>0.15477965753443224</v>
      </c>
    </row>
    <row r="440" spans="1:10" ht="11.25" customHeight="1" x14ac:dyDescent="0.2">
      <c r="A440" s="49">
        <v>44743</v>
      </c>
      <c r="B440" s="39">
        <v>0</v>
      </c>
      <c r="C440" s="39">
        <v>0</v>
      </c>
      <c r="D440" s="39">
        <v>998.41808000000003</v>
      </c>
      <c r="E440" s="39">
        <v>1208.3887442244336</v>
      </c>
      <c r="F440" s="39">
        <v>711.23316000000011</v>
      </c>
      <c r="G440" s="39">
        <v>765.88172920608395</v>
      </c>
      <c r="H440" s="40">
        <v>0.21030334729558731</v>
      </c>
      <c r="I440" s="40">
        <v>7.6836362925041035E-2</v>
      </c>
      <c r="J440" s="40">
        <v>0.15477965753443224</v>
      </c>
    </row>
    <row r="441" spans="1:10" ht="11.25" customHeight="1" x14ac:dyDescent="0.2">
      <c r="A441" s="49">
        <v>44774</v>
      </c>
      <c r="B441" s="39">
        <v>0</v>
      </c>
      <c r="C441" s="39">
        <v>0</v>
      </c>
      <c r="D441" s="39">
        <v>741.04255999999998</v>
      </c>
      <c r="E441" s="39">
        <v>896.88629085649109</v>
      </c>
      <c r="F441" s="39">
        <v>527.88912000000005</v>
      </c>
      <c r="G441" s="39">
        <v>568.4502000085007</v>
      </c>
      <c r="H441" s="40">
        <v>0.21030334729558731</v>
      </c>
      <c r="I441" s="40">
        <v>7.6836362925041257E-2</v>
      </c>
      <c r="J441" s="40">
        <v>0.15477965753443224</v>
      </c>
    </row>
    <row r="442" spans="1:10" ht="11.25" customHeight="1" x14ac:dyDescent="0.2">
      <c r="A442" s="49">
        <v>44805</v>
      </c>
      <c r="B442" s="39">
        <v>0</v>
      </c>
      <c r="C442" s="39">
        <v>0</v>
      </c>
      <c r="D442" s="39">
        <v>672.65775999999994</v>
      </c>
      <c r="E442" s="39">
        <v>814.11993851235184</v>
      </c>
      <c r="F442" s="39">
        <v>479.17452000000003</v>
      </c>
      <c r="G442" s="39">
        <v>515.99254732315239</v>
      </c>
      <c r="H442" s="40">
        <v>0.21030334729558753</v>
      </c>
      <c r="I442" s="40">
        <v>7.6836362925041035E-2</v>
      </c>
      <c r="J442" s="40">
        <v>0.15477965753443224</v>
      </c>
    </row>
    <row r="443" spans="1:10" ht="11.25" customHeight="1" x14ac:dyDescent="0.2">
      <c r="A443" s="49">
        <v>44835</v>
      </c>
      <c r="B443" s="39">
        <v>0</v>
      </c>
      <c r="C443" s="39">
        <v>0</v>
      </c>
      <c r="D443" s="39">
        <v>672.65775999999994</v>
      </c>
      <c r="E443" s="39">
        <v>814.11993851235184</v>
      </c>
      <c r="F443" s="39">
        <v>479.17452000000003</v>
      </c>
      <c r="G443" s="39">
        <v>515.99254732315239</v>
      </c>
      <c r="H443" s="40">
        <v>0.21030334729558753</v>
      </c>
      <c r="I443" s="40">
        <v>7.6836362925041035E-2</v>
      </c>
      <c r="J443" s="40">
        <v>0.15477965753443224</v>
      </c>
    </row>
    <row r="444" spans="1:10" ht="11.25" customHeight="1" x14ac:dyDescent="0.2">
      <c r="A444" s="43" t="s">
        <v>23</v>
      </c>
      <c r="B444" s="39">
        <v>0</v>
      </c>
      <c r="C444" s="39">
        <v>0</v>
      </c>
      <c r="D444" s="39">
        <v>39563458.232257016</v>
      </c>
      <c r="E444" s="39">
        <v>50576988.815654404</v>
      </c>
      <c r="F444" s="39">
        <v>39017458.489279978</v>
      </c>
      <c r="G444" s="39">
        <v>41499561.30475156</v>
      </c>
      <c r="H444" s="40">
        <v>0.27837633704168341</v>
      </c>
      <c r="I444" s="40">
        <v>6.3615184370697353E-2</v>
      </c>
      <c r="J444" s="40">
        <v>0.17174186764316679</v>
      </c>
    </row>
    <row r="445" spans="1:10" ht="11.25" customHeight="1" x14ac:dyDescent="0.2">
      <c r="A445" s="44" t="s">
        <v>24</v>
      </c>
      <c r="B445" s="39">
        <v>0</v>
      </c>
      <c r="C445" s="39">
        <v>0</v>
      </c>
      <c r="D445" s="39">
        <v>39563458.232257016</v>
      </c>
      <c r="E445" s="39">
        <v>50576988.815654404</v>
      </c>
      <c r="F445" s="39">
        <v>39017458.489279978</v>
      </c>
      <c r="G445" s="39">
        <v>41499561.30475156</v>
      </c>
      <c r="H445" s="40">
        <v>0.27837633704168341</v>
      </c>
      <c r="I445" s="40">
        <v>6.3615184370697353E-2</v>
      </c>
      <c r="J445" s="40">
        <v>0.17174186764316679</v>
      </c>
    </row>
    <row r="446" spans="1:10" ht="11.25" customHeight="1" x14ac:dyDescent="0.2">
      <c r="A446" s="45" t="s">
        <v>24</v>
      </c>
      <c r="B446" s="39">
        <v>0</v>
      </c>
      <c r="C446" s="39">
        <v>0</v>
      </c>
      <c r="D446" s="39">
        <v>38004443.076599993</v>
      </c>
      <c r="E446" s="39">
        <v>48814215.023367763</v>
      </c>
      <c r="F446" s="39">
        <v>36999596.995920002</v>
      </c>
      <c r="G446" s="39">
        <v>39353280.833776131</v>
      </c>
      <c r="H446" s="40">
        <v>0.28443442586384138</v>
      </c>
      <c r="I446" s="40">
        <v>6.3613769580130652E-2</v>
      </c>
      <c r="J446" s="40">
        <v>0.17550328984807217</v>
      </c>
    </row>
    <row r="447" spans="1:10" ht="11.25" customHeight="1" x14ac:dyDescent="0.2">
      <c r="A447" s="46" t="s">
        <v>25</v>
      </c>
      <c r="B447" s="39">
        <v>0</v>
      </c>
      <c r="C447" s="39">
        <v>0</v>
      </c>
      <c r="D447" s="39">
        <v>38004443.076599993</v>
      </c>
      <c r="E447" s="39">
        <v>48814215.023367763</v>
      </c>
      <c r="F447" s="39">
        <v>36999596.995920002</v>
      </c>
      <c r="G447" s="39">
        <v>39353280.833776131</v>
      </c>
      <c r="H447" s="40">
        <v>0.28443442586384138</v>
      </c>
      <c r="I447" s="40">
        <v>6.3613769580130652E-2</v>
      </c>
      <c r="J447" s="40">
        <v>0.17550328984807217</v>
      </c>
    </row>
    <row r="448" spans="1:10" ht="11.25" customHeight="1" x14ac:dyDescent="0.2">
      <c r="A448" s="47" t="s">
        <v>25</v>
      </c>
      <c r="B448" s="39">
        <v>0</v>
      </c>
      <c r="C448" s="39">
        <v>0</v>
      </c>
      <c r="D448" s="39">
        <v>38004443.076599993</v>
      </c>
      <c r="E448" s="39">
        <v>48814215.023367763</v>
      </c>
      <c r="F448" s="39">
        <v>36999596.995920002</v>
      </c>
      <c r="G448" s="39">
        <v>39353280.833776131</v>
      </c>
      <c r="H448" s="40">
        <v>0.28443442586384138</v>
      </c>
      <c r="I448" s="40">
        <v>6.3613769580130652E-2</v>
      </c>
      <c r="J448" s="40">
        <v>0.17550328984807217</v>
      </c>
    </row>
    <row r="449" spans="1:10" ht="11.25" customHeight="1" x14ac:dyDescent="0.2">
      <c r="A449" s="48" t="s">
        <v>25</v>
      </c>
      <c r="B449" s="39">
        <v>0</v>
      </c>
      <c r="C449" s="39">
        <v>0</v>
      </c>
      <c r="D449" s="39">
        <v>38004443.076599993</v>
      </c>
      <c r="E449" s="39">
        <v>48814215.023367763</v>
      </c>
      <c r="F449" s="39">
        <v>36999596.995920002</v>
      </c>
      <c r="G449" s="39">
        <v>39353280.833776131</v>
      </c>
      <c r="H449" s="40">
        <v>0.28443442586384138</v>
      </c>
      <c r="I449" s="40">
        <v>6.3613769580130652E-2</v>
      </c>
      <c r="J449" s="40">
        <v>0.17550328984807217</v>
      </c>
    </row>
    <row r="450" spans="1:10" ht="11.25" customHeight="1" x14ac:dyDescent="0.2">
      <c r="A450" s="49">
        <v>44501</v>
      </c>
      <c r="B450" s="39">
        <v>0</v>
      </c>
      <c r="C450" s="39">
        <v>0</v>
      </c>
      <c r="D450" s="39">
        <v>3144259.0179000003</v>
      </c>
      <c r="E450" s="39">
        <v>4038594.5264235921</v>
      </c>
      <c r="F450" s="39">
        <v>3061124.0974800005</v>
      </c>
      <c r="G450" s="39">
        <v>3255853.7404732769</v>
      </c>
      <c r="H450" s="40">
        <v>0.28443442586384116</v>
      </c>
      <c r="I450" s="40">
        <v>6.3613769580130208E-2</v>
      </c>
      <c r="J450" s="40">
        <v>0.17550328984807217</v>
      </c>
    </row>
    <row r="451" spans="1:10" ht="11.25" customHeight="1" x14ac:dyDescent="0.2">
      <c r="A451" s="49">
        <v>44531</v>
      </c>
      <c r="B451" s="39">
        <v>0</v>
      </c>
      <c r="C451" s="39">
        <v>0</v>
      </c>
      <c r="D451" s="39">
        <v>3018462.4470000002</v>
      </c>
      <c r="E451" s="39">
        <v>3877017.0801040106</v>
      </c>
      <c r="F451" s="39">
        <v>2938653.6164000006</v>
      </c>
      <c r="G451" s="39">
        <v>3125592.4504294866</v>
      </c>
      <c r="H451" s="40">
        <v>0.28443442586384138</v>
      </c>
      <c r="I451" s="40">
        <v>6.3613769580130208E-2</v>
      </c>
      <c r="J451" s="40">
        <v>0.17550328984807217</v>
      </c>
    </row>
    <row r="452" spans="1:10" ht="11.25" customHeight="1" x14ac:dyDescent="0.2">
      <c r="A452" s="49">
        <v>44562</v>
      </c>
      <c r="B452" s="39">
        <v>0</v>
      </c>
      <c r="C452" s="39">
        <v>0</v>
      </c>
      <c r="D452" s="39">
        <v>3310468.7616000003</v>
      </c>
      <c r="E452" s="39">
        <v>4252080.0431458773</v>
      </c>
      <c r="F452" s="39">
        <v>3222939.2179200002</v>
      </c>
      <c r="G452" s="39">
        <v>3427962.5306995283</v>
      </c>
      <c r="H452" s="40">
        <v>0.28443442586384116</v>
      </c>
      <c r="I452" s="40">
        <v>6.3613769580130208E-2</v>
      </c>
      <c r="J452" s="40">
        <v>0.17550328984807195</v>
      </c>
    </row>
    <row r="453" spans="1:10" ht="11.25" customHeight="1" x14ac:dyDescent="0.2">
      <c r="A453" s="49">
        <v>44593</v>
      </c>
      <c r="B453" s="39">
        <v>0</v>
      </c>
      <c r="C453" s="39">
        <v>0</v>
      </c>
      <c r="D453" s="39">
        <v>3052119.1701000002</v>
      </c>
      <c r="E453" s="39">
        <v>3920246.9339154167</v>
      </c>
      <c r="F453" s="39">
        <v>2971420.4481200003</v>
      </c>
      <c r="G453" s="39">
        <v>3160443.703832393</v>
      </c>
      <c r="H453" s="40">
        <v>0.28443442586384093</v>
      </c>
      <c r="I453" s="40">
        <v>6.3613769580130208E-2</v>
      </c>
      <c r="J453" s="40">
        <v>0.17550328984807195</v>
      </c>
    </row>
    <row r="454" spans="1:10" ht="11.25" customHeight="1" x14ac:dyDescent="0.2">
      <c r="A454" s="49">
        <v>44621</v>
      </c>
      <c r="B454" s="39">
        <v>0</v>
      </c>
      <c r="C454" s="39">
        <v>0</v>
      </c>
      <c r="D454" s="39">
        <v>3090691.2036000001</v>
      </c>
      <c r="E454" s="39">
        <v>3969790.1816183906</v>
      </c>
      <c r="F454" s="39">
        <v>3008972.6283200006</v>
      </c>
      <c r="G454" s="39">
        <v>3200384.7197708674</v>
      </c>
      <c r="H454" s="40">
        <v>0.28443442586384116</v>
      </c>
      <c r="I454" s="40">
        <v>6.3613769580129986E-2</v>
      </c>
      <c r="J454" s="40">
        <v>0.17550328984807195</v>
      </c>
    </row>
    <row r="455" spans="1:10" ht="11.25" customHeight="1" x14ac:dyDescent="0.2">
      <c r="A455" s="49">
        <v>44652</v>
      </c>
      <c r="B455" s="39">
        <v>0</v>
      </c>
      <c r="C455" s="39">
        <v>0</v>
      </c>
      <c r="D455" s="39">
        <v>3161458.4001000007</v>
      </c>
      <c r="E455" s="39">
        <v>4060686.005024862</v>
      </c>
      <c r="F455" s="39">
        <v>3077868.7241200004</v>
      </c>
      <c r="G455" s="39">
        <v>3273663.5559340594</v>
      </c>
      <c r="H455" s="40">
        <v>0.28443442586384116</v>
      </c>
      <c r="I455" s="40">
        <v>6.3613769580130208E-2</v>
      </c>
      <c r="J455" s="40">
        <v>0.17550328984807217</v>
      </c>
    </row>
    <row r="456" spans="1:10" ht="11.25" customHeight="1" x14ac:dyDescent="0.2">
      <c r="A456" s="49">
        <v>44682</v>
      </c>
      <c r="B456" s="39">
        <v>0</v>
      </c>
      <c r="C456" s="39">
        <v>0</v>
      </c>
      <c r="D456" s="39">
        <v>3099687.2907000002</v>
      </c>
      <c r="E456" s="39">
        <v>3981345.0655877003</v>
      </c>
      <c r="F456" s="39">
        <v>3017730.85684</v>
      </c>
      <c r="G456" s="39">
        <v>3209700.0922218687</v>
      </c>
      <c r="H456" s="40">
        <v>0.28443442586384116</v>
      </c>
      <c r="I456" s="40">
        <v>6.3613769580130208E-2</v>
      </c>
      <c r="J456" s="40">
        <v>0.17550328984807195</v>
      </c>
    </row>
    <row r="457" spans="1:10" ht="11.25" customHeight="1" x14ac:dyDescent="0.2">
      <c r="A457" s="49">
        <v>44713</v>
      </c>
      <c r="B457" s="39">
        <v>0</v>
      </c>
      <c r="C457" s="39">
        <v>0</v>
      </c>
      <c r="D457" s="39">
        <v>3131260.2321000001</v>
      </c>
      <c r="E457" s="39">
        <v>4021898.4384476412</v>
      </c>
      <c r="F457" s="39">
        <v>3048469.0025200006</v>
      </c>
      <c r="G457" s="39">
        <v>3242393.6072184774</v>
      </c>
      <c r="H457" s="40">
        <v>0.28443442586384093</v>
      </c>
      <c r="I457" s="40">
        <v>6.3613769580130208E-2</v>
      </c>
      <c r="J457" s="40">
        <v>0.17550328984807195</v>
      </c>
    </row>
    <row r="458" spans="1:10" ht="11.25" customHeight="1" x14ac:dyDescent="0.2">
      <c r="A458" s="49">
        <v>44743</v>
      </c>
      <c r="B458" s="39">
        <v>0</v>
      </c>
      <c r="C458" s="39">
        <v>0</v>
      </c>
      <c r="D458" s="39">
        <v>3220912.9953000001</v>
      </c>
      <c r="E458" s="39">
        <v>4137051.5338755404</v>
      </c>
      <c r="F458" s="39">
        <v>3135751.3263600003</v>
      </c>
      <c r="G458" s="39">
        <v>3335228.288695653</v>
      </c>
      <c r="H458" s="40">
        <v>0.28443442586384116</v>
      </c>
      <c r="I458" s="40">
        <v>6.3613769580130208E-2</v>
      </c>
      <c r="J458" s="40">
        <v>0.17550328984807195</v>
      </c>
    </row>
    <row r="459" spans="1:10" ht="11.25" customHeight="1" x14ac:dyDescent="0.2">
      <c r="A459" s="49">
        <v>44774</v>
      </c>
      <c r="B459" s="39">
        <v>0</v>
      </c>
      <c r="C459" s="39">
        <v>0</v>
      </c>
      <c r="D459" s="39">
        <v>3059019.1632000003</v>
      </c>
      <c r="E459" s="39">
        <v>3929109.5225912794</v>
      </c>
      <c r="F459" s="39">
        <v>2978138.0038400004</v>
      </c>
      <c r="G459" s="39">
        <v>3167588.5885941065</v>
      </c>
      <c r="H459" s="40">
        <v>0.28443442586384093</v>
      </c>
      <c r="I459" s="40">
        <v>6.3613769580129986E-2</v>
      </c>
      <c r="J459" s="40">
        <v>0.17550328984807173</v>
      </c>
    </row>
    <row r="460" spans="1:10" ht="11.25" customHeight="1" x14ac:dyDescent="0.2">
      <c r="A460" s="49">
        <v>44805</v>
      </c>
      <c r="B460" s="39">
        <v>0</v>
      </c>
      <c r="C460" s="39">
        <v>0</v>
      </c>
      <c r="D460" s="39">
        <v>3358052.1975000002</v>
      </c>
      <c r="E460" s="39">
        <v>4313197.8463167222</v>
      </c>
      <c r="F460" s="39">
        <v>3269264.537</v>
      </c>
      <c r="G460" s="39">
        <v>3477234.7779532089</v>
      </c>
      <c r="H460" s="40">
        <v>0.28443442586384093</v>
      </c>
      <c r="I460" s="40">
        <v>6.3613769580130208E-2</v>
      </c>
      <c r="J460" s="40">
        <v>0.17550328984807173</v>
      </c>
    </row>
    <row r="461" spans="1:10" ht="11.25" customHeight="1" x14ac:dyDescent="0.2">
      <c r="A461" s="49">
        <v>44835</v>
      </c>
      <c r="B461" s="39">
        <v>0</v>
      </c>
      <c r="C461" s="39">
        <v>0</v>
      </c>
      <c r="D461" s="39">
        <v>3358052.1975000002</v>
      </c>
      <c r="E461" s="39">
        <v>4313197.8463167222</v>
      </c>
      <c r="F461" s="39">
        <v>3269264.537</v>
      </c>
      <c r="G461" s="39">
        <v>3477234.7779532089</v>
      </c>
      <c r="H461" s="40">
        <v>0.28443442586384093</v>
      </c>
      <c r="I461" s="40">
        <v>6.3613769580130208E-2</v>
      </c>
      <c r="J461" s="40">
        <v>0.17550328984807173</v>
      </c>
    </row>
    <row r="462" spans="1:10" ht="11.25" customHeight="1" x14ac:dyDescent="0.2">
      <c r="A462" s="45" t="s">
        <v>29</v>
      </c>
      <c r="B462" s="39">
        <v>0</v>
      </c>
      <c r="C462" s="39">
        <v>0</v>
      </c>
      <c r="D462" s="39">
        <v>170984.98711099999</v>
      </c>
      <c r="E462" s="39">
        <v>193321.97788475055</v>
      </c>
      <c r="F462" s="39">
        <v>221289.95549200001</v>
      </c>
      <c r="G462" s="39">
        <v>235380.84555145612</v>
      </c>
      <c r="H462" s="40">
        <v>0.13063714628495338</v>
      </c>
      <c r="I462" s="40">
        <v>6.3676139425883571E-2</v>
      </c>
      <c r="J462" s="40">
        <v>9.2863134697016125E-2</v>
      </c>
    </row>
    <row r="463" spans="1:10" ht="11.25" customHeight="1" x14ac:dyDescent="0.2">
      <c r="A463" s="46" t="s">
        <v>25</v>
      </c>
      <c r="B463" s="39">
        <v>0</v>
      </c>
      <c r="C463" s="39">
        <v>0</v>
      </c>
      <c r="D463" s="39">
        <v>170984.98711099999</v>
      </c>
      <c r="E463" s="39">
        <v>193321.97788475055</v>
      </c>
      <c r="F463" s="39">
        <v>221289.95549200001</v>
      </c>
      <c r="G463" s="39">
        <v>235380.84555145612</v>
      </c>
      <c r="H463" s="40">
        <v>0.13063714628495338</v>
      </c>
      <c r="I463" s="40">
        <v>6.3676139425883571E-2</v>
      </c>
      <c r="J463" s="40">
        <v>9.2863134697016125E-2</v>
      </c>
    </row>
    <row r="464" spans="1:10" ht="11.25" customHeight="1" x14ac:dyDescent="0.2">
      <c r="A464" s="47" t="s">
        <v>25</v>
      </c>
      <c r="B464" s="39">
        <v>0</v>
      </c>
      <c r="C464" s="39">
        <v>0</v>
      </c>
      <c r="D464" s="39">
        <v>170984.98711099999</v>
      </c>
      <c r="E464" s="39">
        <v>193321.97788475055</v>
      </c>
      <c r="F464" s="39">
        <v>221289.95549200001</v>
      </c>
      <c r="G464" s="39">
        <v>235380.84555145612</v>
      </c>
      <c r="H464" s="40">
        <v>0.13063714628495338</v>
      </c>
      <c r="I464" s="40">
        <v>6.3676139425883571E-2</v>
      </c>
      <c r="J464" s="40">
        <v>9.2863134697016125E-2</v>
      </c>
    </row>
    <row r="465" spans="1:10" ht="11.25" customHeight="1" x14ac:dyDescent="0.2">
      <c r="A465" s="48" t="s">
        <v>25</v>
      </c>
      <c r="B465" s="39">
        <v>0</v>
      </c>
      <c r="C465" s="39">
        <v>0</v>
      </c>
      <c r="D465" s="39">
        <v>170984.98711099999</v>
      </c>
      <c r="E465" s="39">
        <v>193321.97788475055</v>
      </c>
      <c r="F465" s="39">
        <v>221289.95549200001</v>
      </c>
      <c r="G465" s="39">
        <v>235380.84555145612</v>
      </c>
      <c r="H465" s="40">
        <v>0.13063714628495338</v>
      </c>
      <c r="I465" s="40">
        <v>6.3676139425883571E-2</v>
      </c>
      <c r="J465" s="40">
        <v>9.2863134697016125E-2</v>
      </c>
    </row>
    <row r="466" spans="1:10" ht="11.25" customHeight="1" x14ac:dyDescent="0.2">
      <c r="A466" s="49">
        <v>44501</v>
      </c>
      <c r="B466" s="39">
        <v>0</v>
      </c>
      <c r="C466" s="39">
        <v>0</v>
      </c>
      <c r="D466" s="39">
        <v>12752.298940000001</v>
      </c>
      <c r="E466" s="39">
        <v>14418.222882094233</v>
      </c>
      <c r="F466" s="39">
        <v>16504.113680000002</v>
      </c>
      <c r="G466" s="39">
        <v>17555.031923788309</v>
      </c>
      <c r="H466" s="40">
        <v>0.13063714628495315</v>
      </c>
      <c r="I466" s="40">
        <v>6.3676139425883127E-2</v>
      </c>
      <c r="J466" s="40">
        <v>9.2863134697015903E-2</v>
      </c>
    </row>
    <row r="467" spans="1:10" ht="11.25" customHeight="1" x14ac:dyDescent="0.2">
      <c r="A467" s="49">
        <v>44531</v>
      </c>
      <c r="B467" s="39">
        <v>0</v>
      </c>
      <c r="C467" s="39">
        <v>0</v>
      </c>
      <c r="D467" s="39">
        <v>13407.785400000001</v>
      </c>
      <c r="E467" s="39">
        <v>15159.340222657058</v>
      </c>
      <c r="F467" s="39">
        <v>17352.448800000002</v>
      </c>
      <c r="G467" s="39">
        <v>18457.385749169302</v>
      </c>
      <c r="H467" s="40">
        <v>0.13063714628495293</v>
      </c>
      <c r="I467" s="40">
        <v>6.3676139425883127E-2</v>
      </c>
      <c r="J467" s="40">
        <v>9.2863134697015903E-2</v>
      </c>
    </row>
    <row r="468" spans="1:10" ht="11.25" customHeight="1" x14ac:dyDescent="0.2">
      <c r="A468" s="49">
        <v>44562</v>
      </c>
      <c r="B468" s="39">
        <v>0</v>
      </c>
      <c r="C468" s="39">
        <v>0</v>
      </c>
      <c r="D468" s="39">
        <v>12959.83144</v>
      </c>
      <c r="E468" s="39">
        <v>14652.866835655614</v>
      </c>
      <c r="F468" s="39">
        <v>16772.703679999999</v>
      </c>
      <c r="G468" s="39">
        <v>17840.724698076709</v>
      </c>
      <c r="H468" s="40">
        <v>0.13063714628495315</v>
      </c>
      <c r="I468" s="40">
        <v>6.3676139425883571E-2</v>
      </c>
      <c r="J468" s="40">
        <v>9.2863134697016125E-2</v>
      </c>
    </row>
    <row r="469" spans="1:10" ht="11.25" customHeight="1" x14ac:dyDescent="0.2">
      <c r="A469" s="49">
        <v>44593</v>
      </c>
      <c r="B469" s="39">
        <v>0</v>
      </c>
      <c r="C469" s="39">
        <v>0</v>
      </c>
      <c r="D469" s="39">
        <v>14406.234139999999</v>
      </c>
      <c r="E469" s="39">
        <v>16288.223456762464</v>
      </c>
      <c r="F469" s="39">
        <v>18644.648079999999</v>
      </c>
      <c r="G469" s="39">
        <v>19831.86729068861</v>
      </c>
      <c r="H469" s="40">
        <v>0.13063714628495315</v>
      </c>
      <c r="I469" s="40">
        <v>6.3676139425883571E-2</v>
      </c>
      <c r="J469" s="40">
        <v>9.2863134697016125E-2</v>
      </c>
    </row>
    <row r="470" spans="1:10" ht="11.25" customHeight="1" x14ac:dyDescent="0.2">
      <c r="A470" s="49">
        <v>44621</v>
      </c>
      <c r="B470" s="39">
        <v>0</v>
      </c>
      <c r="C470" s="39">
        <v>0</v>
      </c>
      <c r="D470" s="39">
        <v>14863.042819999999</v>
      </c>
      <c r="E470" s="39">
        <v>16804.70831911586</v>
      </c>
      <c r="F470" s="39">
        <v>19235.853039999998</v>
      </c>
      <c r="G470" s="39">
        <v>20460.717900150841</v>
      </c>
      <c r="H470" s="40">
        <v>0.13063714628495315</v>
      </c>
      <c r="I470" s="40">
        <v>6.3676139425883349E-2</v>
      </c>
      <c r="J470" s="40">
        <v>9.2863134697016125E-2</v>
      </c>
    </row>
    <row r="471" spans="1:10" ht="11.25" customHeight="1" x14ac:dyDescent="0.2">
      <c r="A471" s="49">
        <v>44652</v>
      </c>
      <c r="B471" s="39">
        <v>0</v>
      </c>
      <c r="C471" s="39">
        <v>0</v>
      </c>
      <c r="D471" s="39">
        <v>14963.528080000002</v>
      </c>
      <c r="E471" s="39">
        <v>16918.320686725961</v>
      </c>
      <c r="F471" s="39">
        <v>19365.901759999997</v>
      </c>
      <c r="G471" s="39">
        <v>20599.047620577727</v>
      </c>
      <c r="H471" s="40">
        <v>0.13063714628495293</v>
      </c>
      <c r="I471" s="40">
        <v>6.3676139425883793E-2</v>
      </c>
      <c r="J471" s="40">
        <v>9.2863134697016347E-2</v>
      </c>
    </row>
    <row r="472" spans="1:10" ht="11.25" customHeight="1" x14ac:dyDescent="0.2">
      <c r="A472" s="49">
        <v>44682</v>
      </c>
      <c r="B472" s="39">
        <v>0</v>
      </c>
      <c r="C472" s="39">
        <v>0</v>
      </c>
      <c r="D472" s="39">
        <v>15309.787162000001</v>
      </c>
      <c r="E472" s="39">
        <v>17309.81406707369</v>
      </c>
      <c r="F472" s="39">
        <v>19814.032664000002</v>
      </c>
      <c r="G472" s="39">
        <v>21075.713770501876</v>
      </c>
      <c r="H472" s="40">
        <v>0.13063714628495293</v>
      </c>
      <c r="I472" s="40">
        <v>6.3676139425883571E-2</v>
      </c>
      <c r="J472" s="40">
        <v>9.2863134697015903E-2</v>
      </c>
    </row>
    <row r="473" spans="1:10" ht="11.25" customHeight="1" x14ac:dyDescent="0.2">
      <c r="A473" s="49">
        <v>44713</v>
      </c>
      <c r="B473" s="39">
        <v>0</v>
      </c>
      <c r="C473" s="39">
        <v>0</v>
      </c>
      <c r="D473" s="39">
        <v>14804.949532000001</v>
      </c>
      <c r="E473" s="39">
        <v>16739.025889753233</v>
      </c>
      <c r="F473" s="39">
        <v>19160.668304000003</v>
      </c>
      <c r="G473" s="39">
        <v>20380.745690418615</v>
      </c>
      <c r="H473" s="40">
        <v>0.13063714628495315</v>
      </c>
      <c r="I473" s="40">
        <v>6.3676139425883571E-2</v>
      </c>
      <c r="J473" s="40">
        <v>9.2863134697016125E-2</v>
      </c>
    </row>
    <row r="474" spans="1:10" ht="11.25" customHeight="1" x14ac:dyDescent="0.2">
      <c r="A474" s="49">
        <v>44743</v>
      </c>
      <c r="B474" s="39">
        <v>0</v>
      </c>
      <c r="C474" s="39">
        <v>0</v>
      </c>
      <c r="D474" s="39">
        <v>14047.697040000001</v>
      </c>
      <c r="E474" s="39">
        <v>15882.848093181183</v>
      </c>
      <c r="F474" s="39">
        <v>18180.62688</v>
      </c>
      <c r="G474" s="39">
        <v>19338.299012060845</v>
      </c>
      <c r="H474" s="40">
        <v>0.13063714628495293</v>
      </c>
      <c r="I474" s="40">
        <v>6.3676139425883571E-2</v>
      </c>
      <c r="J474" s="40">
        <v>9.2863134697015903E-2</v>
      </c>
    </row>
    <row r="475" spans="1:10" ht="11.25" customHeight="1" x14ac:dyDescent="0.2">
      <c r="A475" s="49">
        <v>44774</v>
      </c>
      <c r="B475" s="39">
        <v>0</v>
      </c>
      <c r="C475" s="39">
        <v>0</v>
      </c>
      <c r="D475" s="39">
        <v>14510.273147</v>
      </c>
      <c r="E475" s="39">
        <v>16405.853822739267</v>
      </c>
      <c r="F475" s="39">
        <v>18779.296083999998</v>
      </c>
      <c r="G475" s="39">
        <v>19975.089159764731</v>
      </c>
      <c r="H475" s="40">
        <v>0.13063714628495315</v>
      </c>
      <c r="I475" s="40">
        <v>6.3676139425883571E-2</v>
      </c>
      <c r="J475" s="40">
        <v>9.2863134697016125E-2</v>
      </c>
    </row>
    <row r="476" spans="1:10" ht="11.25" customHeight="1" x14ac:dyDescent="0.2">
      <c r="A476" s="49">
        <v>44805</v>
      </c>
      <c r="B476" s="39">
        <v>0</v>
      </c>
      <c r="C476" s="39">
        <v>0</v>
      </c>
      <c r="D476" s="39">
        <v>14479.779705000001</v>
      </c>
      <c r="E476" s="39">
        <v>16371.37680449598</v>
      </c>
      <c r="F476" s="39">
        <v>18739.831259999999</v>
      </c>
      <c r="G476" s="39">
        <v>19933.111368129292</v>
      </c>
      <c r="H476" s="40">
        <v>0.13063714628495293</v>
      </c>
      <c r="I476" s="40">
        <v>6.3676139425883571E-2</v>
      </c>
      <c r="J476" s="40">
        <v>9.2863134697016125E-2</v>
      </c>
    </row>
    <row r="477" spans="1:10" ht="11.25" customHeight="1" x14ac:dyDescent="0.2">
      <c r="A477" s="49">
        <v>44835</v>
      </c>
      <c r="B477" s="39">
        <v>0</v>
      </c>
      <c r="C477" s="39">
        <v>0</v>
      </c>
      <c r="D477" s="39">
        <v>14479.779705000001</v>
      </c>
      <c r="E477" s="39">
        <v>16371.37680449598</v>
      </c>
      <c r="F477" s="39">
        <v>18739.831259999999</v>
      </c>
      <c r="G477" s="39">
        <v>19933.111368129292</v>
      </c>
      <c r="H477" s="40">
        <v>0.13063714628495293</v>
      </c>
      <c r="I477" s="40">
        <v>6.3676139425883571E-2</v>
      </c>
      <c r="J477" s="40">
        <v>9.2863134697016125E-2</v>
      </c>
    </row>
    <row r="478" spans="1:10" ht="11.25" customHeight="1" x14ac:dyDescent="0.2">
      <c r="A478" s="45" t="s">
        <v>30</v>
      </c>
      <c r="B478" s="39">
        <v>0</v>
      </c>
      <c r="C478" s="39">
        <v>0</v>
      </c>
      <c r="D478" s="39">
        <v>586630.14009600005</v>
      </c>
      <c r="E478" s="39">
        <v>663321.76156129839</v>
      </c>
      <c r="F478" s="39">
        <v>759303.37126799999</v>
      </c>
      <c r="G478" s="39">
        <v>807633.14558088745</v>
      </c>
      <c r="H478" s="40">
        <v>0.13073249433237155</v>
      </c>
      <c r="I478" s="40">
        <v>6.3650151101237729E-2</v>
      </c>
      <c r="J478" s="40">
        <v>9.2888240557653212E-2</v>
      </c>
    </row>
    <row r="479" spans="1:10" ht="11.25" customHeight="1" x14ac:dyDescent="0.2">
      <c r="A479" s="46" t="s">
        <v>25</v>
      </c>
      <c r="B479" s="39">
        <v>0</v>
      </c>
      <c r="C479" s="39">
        <v>0</v>
      </c>
      <c r="D479" s="39">
        <v>586630.14009600005</v>
      </c>
      <c r="E479" s="39">
        <v>663321.76156129839</v>
      </c>
      <c r="F479" s="39">
        <v>759303.37126799999</v>
      </c>
      <c r="G479" s="39">
        <v>807633.14558088745</v>
      </c>
      <c r="H479" s="40">
        <v>0.13073249433237155</v>
      </c>
      <c r="I479" s="40">
        <v>6.3650151101237729E-2</v>
      </c>
      <c r="J479" s="40">
        <v>9.2888240557653212E-2</v>
      </c>
    </row>
    <row r="480" spans="1:10" ht="11.25" customHeight="1" x14ac:dyDescent="0.2">
      <c r="A480" s="47" t="s">
        <v>25</v>
      </c>
      <c r="B480" s="39">
        <v>0</v>
      </c>
      <c r="C480" s="39">
        <v>0</v>
      </c>
      <c r="D480" s="39">
        <v>586630.14009600005</v>
      </c>
      <c r="E480" s="39">
        <v>663321.76156129839</v>
      </c>
      <c r="F480" s="39">
        <v>759303.37126799999</v>
      </c>
      <c r="G480" s="39">
        <v>807633.14558088745</v>
      </c>
      <c r="H480" s="40">
        <v>0.13073249433237155</v>
      </c>
      <c r="I480" s="40">
        <v>6.3650151101237729E-2</v>
      </c>
      <c r="J480" s="40">
        <v>9.2888240557653212E-2</v>
      </c>
    </row>
    <row r="481" spans="1:10" ht="11.25" customHeight="1" x14ac:dyDescent="0.2">
      <c r="A481" s="48" t="s">
        <v>25</v>
      </c>
      <c r="B481" s="39">
        <v>0</v>
      </c>
      <c r="C481" s="39">
        <v>0</v>
      </c>
      <c r="D481" s="39">
        <v>586630.14009600005</v>
      </c>
      <c r="E481" s="39">
        <v>663321.76156129839</v>
      </c>
      <c r="F481" s="39">
        <v>759303.37126799999</v>
      </c>
      <c r="G481" s="39">
        <v>807633.14558088745</v>
      </c>
      <c r="H481" s="40">
        <v>0.13073249433237155</v>
      </c>
      <c r="I481" s="40">
        <v>6.3650151101237729E-2</v>
      </c>
      <c r="J481" s="40">
        <v>9.2888240557653212E-2</v>
      </c>
    </row>
    <row r="482" spans="1:10" ht="11.25" customHeight="1" x14ac:dyDescent="0.2">
      <c r="A482" s="49">
        <v>44501</v>
      </c>
      <c r="B482" s="39">
        <v>0</v>
      </c>
      <c r="C482" s="39">
        <v>0</v>
      </c>
      <c r="D482" s="39">
        <v>44337.40080000001</v>
      </c>
      <c r="E482" s="39">
        <v>50133.73979879808</v>
      </c>
      <c r="F482" s="39">
        <v>57388.012649999997</v>
      </c>
      <c r="G482" s="39">
        <v>61040.768326572252</v>
      </c>
      <c r="H482" s="40">
        <v>0.13073249433237111</v>
      </c>
      <c r="I482" s="40">
        <v>6.3650151101237951E-2</v>
      </c>
      <c r="J482" s="40">
        <v>9.2888240557653212E-2</v>
      </c>
    </row>
    <row r="483" spans="1:10" ht="11.25" customHeight="1" x14ac:dyDescent="0.2">
      <c r="A483" s="49">
        <v>44531</v>
      </c>
      <c r="B483" s="39">
        <v>0</v>
      </c>
      <c r="C483" s="39">
        <v>0</v>
      </c>
      <c r="D483" s="39">
        <v>46072.761504000002</v>
      </c>
      <c r="E483" s="39">
        <v>52095.968536198372</v>
      </c>
      <c r="F483" s="39">
        <v>59634.172781999994</v>
      </c>
      <c r="G483" s="39">
        <v>63429.896890371616</v>
      </c>
      <c r="H483" s="40">
        <v>0.13073249433237111</v>
      </c>
      <c r="I483" s="40">
        <v>6.3650151101237729E-2</v>
      </c>
      <c r="J483" s="40">
        <v>9.288824055765299E-2</v>
      </c>
    </row>
    <row r="484" spans="1:10" ht="11.25" customHeight="1" x14ac:dyDescent="0.2">
      <c r="A484" s="49">
        <v>44562</v>
      </c>
      <c r="B484" s="39">
        <v>0</v>
      </c>
      <c r="C484" s="39">
        <v>0</v>
      </c>
      <c r="D484" s="39">
        <v>45523.119488000011</v>
      </c>
      <c r="E484" s="39">
        <v>51474.470448456821</v>
      </c>
      <c r="F484" s="39">
        <v>58922.744903999999</v>
      </c>
      <c r="G484" s="39">
        <v>62673.186520439289</v>
      </c>
      <c r="H484" s="40">
        <v>0.13073249433237111</v>
      </c>
      <c r="I484" s="40">
        <v>6.3650151101237729E-2</v>
      </c>
      <c r="J484" s="40">
        <v>9.2888240557652768E-2</v>
      </c>
    </row>
    <row r="485" spans="1:10" ht="11.25" customHeight="1" x14ac:dyDescent="0.2">
      <c r="A485" s="49">
        <v>44593</v>
      </c>
      <c r="B485" s="39">
        <v>0</v>
      </c>
      <c r="C485" s="39">
        <v>0</v>
      </c>
      <c r="D485" s="39">
        <v>49225.986656000001</v>
      </c>
      <c r="E485" s="39">
        <v>55661.422677510913</v>
      </c>
      <c r="F485" s="39">
        <v>63715.542497999995</v>
      </c>
      <c r="G485" s="39">
        <v>67771.046405495028</v>
      </c>
      <c r="H485" s="40">
        <v>0.13073249433237133</v>
      </c>
      <c r="I485" s="40">
        <v>6.3650151101237729E-2</v>
      </c>
      <c r="J485" s="40">
        <v>9.2888240557653212E-2</v>
      </c>
    </row>
    <row r="486" spans="1:10" ht="11.25" customHeight="1" x14ac:dyDescent="0.2">
      <c r="A486" s="49">
        <v>44621</v>
      </c>
      <c r="B486" s="39">
        <v>0</v>
      </c>
      <c r="C486" s="39">
        <v>0</v>
      </c>
      <c r="D486" s="39">
        <v>51514.756832000006</v>
      </c>
      <c r="E486" s="39">
        <v>58249.409487572928</v>
      </c>
      <c r="F486" s="39">
        <v>66678.00690600001</v>
      </c>
      <c r="G486" s="39">
        <v>70922.072120696277</v>
      </c>
      <c r="H486" s="40">
        <v>0.13073249433237111</v>
      </c>
      <c r="I486" s="40">
        <v>6.3650151101237729E-2</v>
      </c>
      <c r="J486" s="40">
        <v>9.2888240557653212E-2</v>
      </c>
    </row>
    <row r="487" spans="1:10" ht="11.25" customHeight="1" x14ac:dyDescent="0.2">
      <c r="A487" s="49">
        <v>44652</v>
      </c>
      <c r="B487" s="39">
        <v>0</v>
      </c>
      <c r="C487" s="39">
        <v>0</v>
      </c>
      <c r="D487" s="39">
        <v>51510.393088000004</v>
      </c>
      <c r="E487" s="39">
        <v>58244.475260435174</v>
      </c>
      <c r="F487" s="39">
        <v>66672.358703999998</v>
      </c>
      <c r="G487" s="39">
        <v>70916.064409785526</v>
      </c>
      <c r="H487" s="40">
        <v>0.13073249433237111</v>
      </c>
      <c r="I487" s="40">
        <v>6.3650151101237729E-2</v>
      </c>
      <c r="J487" s="40">
        <v>9.288824055765299E-2</v>
      </c>
    </row>
    <row r="488" spans="1:10" ht="11.25" customHeight="1" x14ac:dyDescent="0.2">
      <c r="A488" s="49">
        <v>44682</v>
      </c>
      <c r="B488" s="39">
        <v>0</v>
      </c>
      <c r="C488" s="39">
        <v>0</v>
      </c>
      <c r="D488" s="39">
        <v>52603.226368000011</v>
      </c>
      <c r="E488" s="39">
        <v>59480.177361019007</v>
      </c>
      <c r="F488" s="39">
        <v>68086.864944000001</v>
      </c>
      <c r="G488" s="39">
        <v>72420.604185695178</v>
      </c>
      <c r="H488" s="40">
        <v>0.13073249433237111</v>
      </c>
      <c r="I488" s="40">
        <v>6.3650151101237951E-2</v>
      </c>
      <c r="J488" s="40">
        <v>9.2888240557653212E-2</v>
      </c>
    </row>
    <row r="489" spans="1:10" ht="11.25" customHeight="1" x14ac:dyDescent="0.2">
      <c r="A489" s="49">
        <v>44713</v>
      </c>
      <c r="B489" s="39">
        <v>0</v>
      </c>
      <c r="C489" s="39">
        <v>0</v>
      </c>
      <c r="D489" s="39">
        <v>49793.707040000001</v>
      </c>
      <c r="E489" s="39">
        <v>56303.362563394563</v>
      </c>
      <c r="F489" s="39">
        <v>64450.370069999997</v>
      </c>
      <c r="G489" s="39">
        <v>68552.645863486192</v>
      </c>
      <c r="H489" s="40">
        <v>0.13073249433237133</v>
      </c>
      <c r="I489" s="40">
        <v>6.3650151101237729E-2</v>
      </c>
      <c r="J489" s="40">
        <v>9.2888240557653212E-2</v>
      </c>
    </row>
    <row r="490" spans="1:10" ht="11.25" customHeight="1" x14ac:dyDescent="0.2">
      <c r="A490" s="49">
        <v>44743</v>
      </c>
      <c r="B490" s="39">
        <v>0</v>
      </c>
      <c r="C490" s="39">
        <v>0</v>
      </c>
      <c r="D490" s="39">
        <v>47092.251360000002</v>
      </c>
      <c r="E490" s="39">
        <v>53248.738844019805</v>
      </c>
      <c r="F490" s="39">
        <v>60953.747129999996</v>
      </c>
      <c r="G490" s="39">
        <v>64833.462345011139</v>
      </c>
      <c r="H490" s="40">
        <v>0.13073249433237133</v>
      </c>
      <c r="I490" s="40">
        <v>6.3650151101237951E-2</v>
      </c>
      <c r="J490" s="40">
        <v>9.2888240557653212E-2</v>
      </c>
    </row>
    <row r="491" spans="1:10" ht="11.25" customHeight="1" x14ac:dyDescent="0.2">
      <c r="A491" s="49">
        <v>44774</v>
      </c>
      <c r="B491" s="39">
        <v>0</v>
      </c>
      <c r="C491" s="39">
        <v>0</v>
      </c>
      <c r="D491" s="39">
        <v>48614.005440000001</v>
      </c>
      <c r="E491" s="39">
        <v>54969.435630658671</v>
      </c>
      <c r="F491" s="39">
        <v>62923.426019999999</v>
      </c>
      <c r="G491" s="39">
        <v>66928.511593980555</v>
      </c>
      <c r="H491" s="40">
        <v>0.13073249433237133</v>
      </c>
      <c r="I491" s="40">
        <v>6.3650151101237729E-2</v>
      </c>
      <c r="J491" s="40">
        <v>9.2888240557653212E-2</v>
      </c>
    </row>
    <row r="492" spans="1:10" ht="11.25" customHeight="1" x14ac:dyDescent="0.2">
      <c r="A492" s="49">
        <v>44805</v>
      </c>
      <c r="B492" s="39">
        <v>0</v>
      </c>
      <c r="C492" s="39">
        <v>0</v>
      </c>
      <c r="D492" s="39">
        <v>50171.265760000002</v>
      </c>
      <c r="E492" s="39">
        <v>56730.280476617096</v>
      </c>
      <c r="F492" s="39">
        <v>64939.062329999993</v>
      </c>
      <c r="G492" s="39">
        <v>69072.443459677204</v>
      </c>
      <c r="H492" s="40">
        <v>0.13073249433237133</v>
      </c>
      <c r="I492" s="40">
        <v>6.3650151101237951E-2</v>
      </c>
      <c r="J492" s="40">
        <v>9.2888240557653212E-2</v>
      </c>
    </row>
    <row r="493" spans="1:10" ht="11.25" customHeight="1" x14ac:dyDescent="0.2">
      <c r="A493" s="49">
        <v>44835</v>
      </c>
      <c r="B493" s="39">
        <v>0</v>
      </c>
      <c r="C493" s="39">
        <v>0</v>
      </c>
      <c r="D493" s="39">
        <v>50171.265760000002</v>
      </c>
      <c r="E493" s="39">
        <v>56730.280476617096</v>
      </c>
      <c r="F493" s="39">
        <v>64939.062329999993</v>
      </c>
      <c r="G493" s="39">
        <v>69072.443459677204</v>
      </c>
      <c r="H493" s="40">
        <v>0.13073249433237133</v>
      </c>
      <c r="I493" s="40">
        <v>6.3650151101237951E-2</v>
      </c>
      <c r="J493" s="40">
        <v>9.2888240557653212E-2</v>
      </c>
    </row>
    <row r="494" spans="1:10" ht="11.25" customHeight="1" x14ac:dyDescent="0.2">
      <c r="A494" s="45" t="s">
        <v>31</v>
      </c>
      <c r="B494" s="39">
        <v>0</v>
      </c>
      <c r="C494" s="39">
        <v>0</v>
      </c>
      <c r="D494" s="39">
        <v>658213.58174000005</v>
      </c>
      <c r="E494" s="39">
        <v>744226.87415976892</v>
      </c>
      <c r="F494" s="39">
        <v>851931.51472000009</v>
      </c>
      <c r="G494" s="39">
        <v>906139.86489562877</v>
      </c>
      <c r="H494" s="40">
        <v>0.13067687268377415</v>
      </c>
      <c r="I494" s="40">
        <v>6.3629938837801214E-2</v>
      </c>
      <c r="J494" s="40">
        <v>9.2853092675728721E-2</v>
      </c>
    </row>
    <row r="495" spans="1:10" ht="11.25" customHeight="1" x14ac:dyDescent="0.2">
      <c r="A495" s="46" t="s">
        <v>25</v>
      </c>
      <c r="B495" s="39">
        <v>0</v>
      </c>
      <c r="C495" s="39">
        <v>0</v>
      </c>
      <c r="D495" s="39">
        <v>658213.58174000005</v>
      </c>
      <c r="E495" s="39">
        <v>744226.87415976892</v>
      </c>
      <c r="F495" s="39">
        <v>851931.51472000009</v>
      </c>
      <c r="G495" s="39">
        <v>906139.86489562877</v>
      </c>
      <c r="H495" s="40">
        <v>0.13067687268377415</v>
      </c>
      <c r="I495" s="40">
        <v>6.3629938837801214E-2</v>
      </c>
      <c r="J495" s="40">
        <v>9.2853092675728721E-2</v>
      </c>
    </row>
    <row r="496" spans="1:10" ht="11.25" customHeight="1" x14ac:dyDescent="0.2">
      <c r="A496" s="47" t="s">
        <v>25</v>
      </c>
      <c r="B496" s="39">
        <v>0</v>
      </c>
      <c r="C496" s="39">
        <v>0</v>
      </c>
      <c r="D496" s="39">
        <v>658213.58174000005</v>
      </c>
      <c r="E496" s="39">
        <v>744226.87415976892</v>
      </c>
      <c r="F496" s="39">
        <v>851931.51472000009</v>
      </c>
      <c r="G496" s="39">
        <v>906139.86489562877</v>
      </c>
      <c r="H496" s="40">
        <v>0.13067687268377415</v>
      </c>
      <c r="I496" s="40">
        <v>6.3629938837801214E-2</v>
      </c>
      <c r="J496" s="40">
        <v>9.2853092675728721E-2</v>
      </c>
    </row>
    <row r="497" spans="1:10" ht="11.25" customHeight="1" x14ac:dyDescent="0.2">
      <c r="A497" s="48" t="s">
        <v>25</v>
      </c>
      <c r="B497" s="39">
        <v>0</v>
      </c>
      <c r="C497" s="39">
        <v>0</v>
      </c>
      <c r="D497" s="39">
        <v>658213.58174000005</v>
      </c>
      <c r="E497" s="39">
        <v>744226.87415976892</v>
      </c>
      <c r="F497" s="39">
        <v>851931.51472000009</v>
      </c>
      <c r="G497" s="39">
        <v>906139.86489562877</v>
      </c>
      <c r="H497" s="40">
        <v>0.13067687268377415</v>
      </c>
      <c r="I497" s="40">
        <v>6.3629938837801214E-2</v>
      </c>
      <c r="J497" s="40">
        <v>9.2853092675728721E-2</v>
      </c>
    </row>
    <row r="498" spans="1:10" ht="11.25" customHeight="1" x14ac:dyDescent="0.2">
      <c r="A498" s="49">
        <v>44501</v>
      </c>
      <c r="B498" s="39">
        <v>0</v>
      </c>
      <c r="C498" s="39">
        <v>0</v>
      </c>
      <c r="D498" s="39">
        <v>48800.577660000003</v>
      </c>
      <c r="E498" s="39">
        <v>55177.684533770451</v>
      </c>
      <c r="F498" s="39">
        <v>63163.008480000004</v>
      </c>
      <c r="G498" s="39">
        <v>67182.066846393893</v>
      </c>
      <c r="H498" s="40">
        <v>0.13067687268377415</v>
      </c>
      <c r="I498" s="40">
        <v>6.362993883780077E-2</v>
      </c>
      <c r="J498" s="40">
        <v>9.2853092675728721E-2</v>
      </c>
    </row>
    <row r="499" spans="1:10" ht="11.25" customHeight="1" x14ac:dyDescent="0.2">
      <c r="A499" s="49">
        <v>44531</v>
      </c>
      <c r="B499" s="39">
        <v>0</v>
      </c>
      <c r="C499" s="39">
        <v>0</v>
      </c>
      <c r="D499" s="39">
        <v>46985.502894999998</v>
      </c>
      <c r="E499" s="39">
        <v>53125.421474793009</v>
      </c>
      <c r="F499" s="39">
        <v>60813.741560000002</v>
      </c>
      <c r="G499" s="39">
        <v>64683.316215960629</v>
      </c>
      <c r="H499" s="40">
        <v>0.13067687268377415</v>
      </c>
      <c r="I499" s="40">
        <v>6.362993883780077E-2</v>
      </c>
      <c r="J499" s="40">
        <v>9.2853092675728499E-2</v>
      </c>
    </row>
    <row r="500" spans="1:10" ht="11.25" customHeight="1" x14ac:dyDescent="0.2">
      <c r="A500" s="49">
        <v>44562</v>
      </c>
      <c r="B500" s="39">
        <v>0</v>
      </c>
      <c r="C500" s="39">
        <v>0</v>
      </c>
      <c r="D500" s="39">
        <v>53818.892955000003</v>
      </c>
      <c r="E500" s="39">
        <v>60851.777577662207</v>
      </c>
      <c r="F500" s="39">
        <v>69658.257239999992</v>
      </c>
      <c r="G500" s="39">
        <v>74090.607887729013</v>
      </c>
      <c r="H500" s="40">
        <v>0.13067687268377415</v>
      </c>
      <c r="I500" s="40">
        <v>6.3629938837801214E-2</v>
      </c>
      <c r="J500" s="40">
        <v>9.2853092675728721E-2</v>
      </c>
    </row>
    <row r="501" spans="1:10" ht="11.25" customHeight="1" x14ac:dyDescent="0.2">
      <c r="A501" s="49">
        <v>44593</v>
      </c>
      <c r="B501" s="39">
        <v>0</v>
      </c>
      <c r="C501" s="39">
        <v>0</v>
      </c>
      <c r="D501" s="39">
        <v>50873.708750999991</v>
      </c>
      <c r="E501" s="39">
        <v>57521.72591240584</v>
      </c>
      <c r="F501" s="39">
        <v>65846.279928000004</v>
      </c>
      <c r="G501" s="39">
        <v>70036.074692515365</v>
      </c>
      <c r="H501" s="40">
        <v>0.13067687268377437</v>
      </c>
      <c r="I501" s="40">
        <v>6.3629938837800992E-2</v>
      </c>
      <c r="J501" s="40">
        <v>9.2853092675728943E-2</v>
      </c>
    </row>
    <row r="502" spans="1:10" ht="11.25" customHeight="1" x14ac:dyDescent="0.2">
      <c r="A502" s="49">
        <v>44621</v>
      </c>
      <c r="B502" s="39">
        <v>0</v>
      </c>
      <c r="C502" s="39">
        <v>0</v>
      </c>
      <c r="D502" s="39">
        <v>55717.093001000001</v>
      </c>
      <c r="E502" s="39">
        <v>62998.028469401681</v>
      </c>
      <c r="F502" s="39">
        <v>72115.113928000006</v>
      </c>
      <c r="G502" s="39">
        <v>76703.794216519687</v>
      </c>
      <c r="H502" s="40">
        <v>0.13067687268377415</v>
      </c>
      <c r="I502" s="40">
        <v>6.362993883780077E-2</v>
      </c>
      <c r="J502" s="40">
        <v>9.2853092675728499E-2</v>
      </c>
    </row>
    <row r="503" spans="1:10" ht="11.25" customHeight="1" x14ac:dyDescent="0.2">
      <c r="A503" s="49">
        <v>44652</v>
      </c>
      <c r="B503" s="39">
        <v>0</v>
      </c>
      <c r="C503" s="39">
        <v>0</v>
      </c>
      <c r="D503" s="39">
        <v>55810.830019999994</v>
      </c>
      <c r="E503" s="39">
        <v>63104.014748899303</v>
      </c>
      <c r="F503" s="39">
        <v>72236.43856000001</v>
      </c>
      <c r="G503" s="39">
        <v>76832.838727433365</v>
      </c>
      <c r="H503" s="40">
        <v>0.13067687268377437</v>
      </c>
      <c r="I503" s="40">
        <v>6.362993883780077E-2</v>
      </c>
      <c r="J503" s="40">
        <v>9.2853092675728721E-2</v>
      </c>
    </row>
    <row r="504" spans="1:10" ht="11.25" customHeight="1" x14ac:dyDescent="0.2">
      <c r="A504" s="49">
        <v>44682</v>
      </c>
      <c r="B504" s="39">
        <v>0</v>
      </c>
      <c r="C504" s="39">
        <v>0</v>
      </c>
      <c r="D504" s="39">
        <v>58410.502539999994</v>
      </c>
      <c r="E504" s="39">
        <v>66043.404343814851</v>
      </c>
      <c r="F504" s="39">
        <v>75601.217119999987</v>
      </c>
      <c r="G504" s="39">
        <v>80411.717941408919</v>
      </c>
      <c r="H504" s="40">
        <v>0.13067687268377437</v>
      </c>
      <c r="I504" s="40">
        <v>6.3629938837801214E-2</v>
      </c>
      <c r="J504" s="40">
        <v>9.2853092675728943E-2</v>
      </c>
    </row>
    <row r="505" spans="1:10" ht="11.25" customHeight="1" x14ac:dyDescent="0.2">
      <c r="A505" s="49">
        <v>44713</v>
      </c>
      <c r="B505" s="39">
        <v>0</v>
      </c>
      <c r="C505" s="39">
        <v>0</v>
      </c>
      <c r="D505" s="39">
        <v>54483.956189999997</v>
      </c>
      <c r="E505" s="39">
        <v>61603.749196348959</v>
      </c>
      <c r="F505" s="39">
        <v>70519.05432000001</v>
      </c>
      <c r="G505" s="39">
        <v>75006.177433281176</v>
      </c>
      <c r="H505" s="40">
        <v>0.13067687268377415</v>
      </c>
      <c r="I505" s="40">
        <v>6.3629938837800992E-2</v>
      </c>
      <c r="J505" s="40">
        <v>9.2853092675728943E-2</v>
      </c>
    </row>
    <row r="506" spans="1:10" ht="11.25" customHeight="1" x14ac:dyDescent="0.2">
      <c r="A506" s="49">
        <v>44743</v>
      </c>
      <c r="B506" s="39">
        <v>0</v>
      </c>
      <c r="C506" s="39">
        <v>0</v>
      </c>
      <c r="D506" s="39">
        <v>54185.729759999995</v>
      </c>
      <c r="E506" s="39">
        <v>61266.551469124905</v>
      </c>
      <c r="F506" s="39">
        <v>70133.057279999994</v>
      </c>
      <c r="G506" s="39">
        <v>74595.619425234385</v>
      </c>
      <c r="H506" s="40">
        <v>0.13067687268377415</v>
      </c>
      <c r="I506" s="40">
        <v>6.3629938837800992E-2</v>
      </c>
      <c r="J506" s="40">
        <v>9.2853092675728721E-2</v>
      </c>
    </row>
    <row r="507" spans="1:10" ht="11.25" customHeight="1" x14ac:dyDescent="0.2">
      <c r="A507" s="49">
        <v>44774</v>
      </c>
      <c r="B507" s="39">
        <v>0</v>
      </c>
      <c r="C507" s="39">
        <v>0</v>
      </c>
      <c r="D507" s="39">
        <v>54038.141220000005</v>
      </c>
      <c r="E507" s="39">
        <v>61099.676520273759</v>
      </c>
      <c r="F507" s="39">
        <v>69942.032160000002</v>
      </c>
      <c r="G507" s="39">
        <v>74392.439388532308</v>
      </c>
      <c r="H507" s="40">
        <v>0.13067687268377415</v>
      </c>
      <c r="I507" s="40">
        <v>6.3629938837800992E-2</v>
      </c>
      <c r="J507" s="40">
        <v>9.2853092675728721E-2</v>
      </c>
    </row>
    <row r="508" spans="1:10" ht="11.25" customHeight="1" x14ac:dyDescent="0.2">
      <c r="A508" s="49">
        <v>44805</v>
      </c>
      <c r="B508" s="39">
        <v>0</v>
      </c>
      <c r="C508" s="39">
        <v>0</v>
      </c>
      <c r="D508" s="39">
        <v>62544.323374</v>
      </c>
      <c r="E508" s="39">
        <v>70717.419956636993</v>
      </c>
      <c r="F508" s="39">
        <v>80951.657071999987</v>
      </c>
      <c r="G508" s="39">
        <v>86102.606060309976</v>
      </c>
      <c r="H508" s="40">
        <v>0.13067687268377415</v>
      </c>
      <c r="I508" s="40">
        <v>6.362993883780077E-2</v>
      </c>
      <c r="J508" s="40">
        <v>9.2853092675728499E-2</v>
      </c>
    </row>
    <row r="509" spans="1:10" ht="11.25" customHeight="1" x14ac:dyDescent="0.2">
      <c r="A509" s="49">
        <v>44835</v>
      </c>
      <c r="B509" s="39">
        <v>0</v>
      </c>
      <c r="C509" s="39">
        <v>0</v>
      </c>
      <c r="D509" s="39">
        <v>62544.323374</v>
      </c>
      <c r="E509" s="39">
        <v>70717.419956636993</v>
      </c>
      <c r="F509" s="39">
        <v>80951.657071999987</v>
      </c>
      <c r="G509" s="39">
        <v>86102.606060309976</v>
      </c>
      <c r="H509" s="40">
        <v>0.13067687268377415</v>
      </c>
      <c r="I509" s="40">
        <v>6.362993883780077E-2</v>
      </c>
      <c r="J509" s="40">
        <v>9.2853092675728499E-2</v>
      </c>
    </row>
    <row r="510" spans="1:10" ht="11.25" customHeight="1" x14ac:dyDescent="0.2">
      <c r="A510" s="45" t="s">
        <v>32</v>
      </c>
      <c r="B510" s="39">
        <v>0</v>
      </c>
      <c r="C510" s="39">
        <v>0</v>
      </c>
      <c r="D510" s="39">
        <v>143186.44670999999</v>
      </c>
      <c r="E510" s="39">
        <v>161903.17868084635</v>
      </c>
      <c r="F510" s="39">
        <v>185336.65188000002</v>
      </c>
      <c r="G510" s="39">
        <v>197126.61494744709</v>
      </c>
      <c r="H510" s="40">
        <v>0.13071580726319665</v>
      </c>
      <c r="I510" s="40">
        <v>6.3613769580130208E-2</v>
      </c>
      <c r="J510" s="40">
        <v>9.286012207125216E-2</v>
      </c>
    </row>
    <row r="511" spans="1:10" ht="11.25" customHeight="1" x14ac:dyDescent="0.2">
      <c r="A511" s="46" t="s">
        <v>25</v>
      </c>
      <c r="B511" s="39">
        <v>0</v>
      </c>
      <c r="C511" s="39">
        <v>0</v>
      </c>
      <c r="D511" s="39">
        <v>143186.44670999999</v>
      </c>
      <c r="E511" s="39">
        <v>161903.17868084635</v>
      </c>
      <c r="F511" s="39">
        <v>185336.65188000002</v>
      </c>
      <c r="G511" s="39">
        <v>197126.61494744709</v>
      </c>
      <c r="H511" s="40">
        <v>0.13071580726319665</v>
      </c>
      <c r="I511" s="40">
        <v>6.3613769580130208E-2</v>
      </c>
      <c r="J511" s="40">
        <v>9.286012207125216E-2</v>
      </c>
    </row>
    <row r="512" spans="1:10" ht="11.25" customHeight="1" x14ac:dyDescent="0.2">
      <c r="A512" s="47" t="s">
        <v>25</v>
      </c>
      <c r="B512" s="39">
        <v>0</v>
      </c>
      <c r="C512" s="39">
        <v>0</v>
      </c>
      <c r="D512" s="39">
        <v>143186.44670999999</v>
      </c>
      <c r="E512" s="39">
        <v>161903.17868084635</v>
      </c>
      <c r="F512" s="39">
        <v>185336.65188000002</v>
      </c>
      <c r="G512" s="39">
        <v>197126.61494744709</v>
      </c>
      <c r="H512" s="40">
        <v>0.13071580726319665</v>
      </c>
      <c r="I512" s="40">
        <v>6.3613769580130208E-2</v>
      </c>
      <c r="J512" s="40">
        <v>9.286012207125216E-2</v>
      </c>
    </row>
    <row r="513" spans="1:10" ht="11.25" customHeight="1" x14ac:dyDescent="0.2">
      <c r="A513" s="48" t="s">
        <v>25</v>
      </c>
      <c r="B513" s="39">
        <v>0</v>
      </c>
      <c r="C513" s="39">
        <v>0</v>
      </c>
      <c r="D513" s="39">
        <v>143186.44670999999</v>
      </c>
      <c r="E513" s="39">
        <v>161903.17868084635</v>
      </c>
      <c r="F513" s="39">
        <v>185336.65188000002</v>
      </c>
      <c r="G513" s="39">
        <v>197126.61494744709</v>
      </c>
      <c r="H513" s="40">
        <v>0.13071580726319665</v>
      </c>
      <c r="I513" s="40">
        <v>6.3613769580130208E-2</v>
      </c>
      <c r="J513" s="40">
        <v>9.286012207125216E-2</v>
      </c>
    </row>
    <row r="514" spans="1:10" ht="11.25" customHeight="1" x14ac:dyDescent="0.2">
      <c r="A514" s="49">
        <v>44501</v>
      </c>
      <c r="B514" s="39">
        <v>0</v>
      </c>
      <c r="C514" s="39">
        <v>0</v>
      </c>
      <c r="D514" s="39">
        <v>9023.7323700000015</v>
      </c>
      <c r="E514" s="39">
        <v>10203.276831271591</v>
      </c>
      <c r="F514" s="39">
        <v>11680.074360000001</v>
      </c>
      <c r="G514" s="39">
        <v>12423.087919015828</v>
      </c>
      <c r="H514" s="40">
        <v>0.13071580726319665</v>
      </c>
      <c r="I514" s="40">
        <v>6.3613769580130208E-2</v>
      </c>
      <c r="J514" s="40">
        <v>9.2860122071252382E-2</v>
      </c>
    </row>
    <row r="515" spans="1:10" ht="11.25" customHeight="1" x14ac:dyDescent="0.2">
      <c r="A515" s="49">
        <v>44531</v>
      </c>
      <c r="B515" s="39">
        <v>0</v>
      </c>
      <c r="C515" s="39">
        <v>0</v>
      </c>
      <c r="D515" s="39">
        <v>8035.0993799999997</v>
      </c>
      <c r="E515" s="39">
        <v>9085.4138818967112</v>
      </c>
      <c r="F515" s="39">
        <v>10400.414639999999</v>
      </c>
      <c r="G515" s="39">
        <v>11062.024220446772</v>
      </c>
      <c r="H515" s="40">
        <v>0.13071580726319665</v>
      </c>
      <c r="I515" s="40">
        <v>6.3613769580130208E-2</v>
      </c>
      <c r="J515" s="40">
        <v>9.2860122071252382E-2</v>
      </c>
    </row>
    <row r="516" spans="1:10" ht="11.25" customHeight="1" x14ac:dyDescent="0.2">
      <c r="A516" s="49">
        <v>44562</v>
      </c>
      <c r="B516" s="39">
        <v>0</v>
      </c>
      <c r="C516" s="39">
        <v>0</v>
      </c>
      <c r="D516" s="39">
        <v>12090.369359999999</v>
      </c>
      <c r="E516" s="39">
        <v>13670.77175100262</v>
      </c>
      <c r="F516" s="39">
        <v>15649.446080000002</v>
      </c>
      <c r="G516" s="39">
        <v>16644.966336989793</v>
      </c>
      <c r="H516" s="40">
        <v>0.13071580726319687</v>
      </c>
      <c r="I516" s="40">
        <v>6.3613769580130208E-2</v>
      </c>
      <c r="J516" s="40">
        <v>9.2860122071252604E-2</v>
      </c>
    </row>
    <row r="517" spans="1:10" ht="11.25" customHeight="1" x14ac:dyDescent="0.2">
      <c r="A517" s="49">
        <v>44593</v>
      </c>
      <c r="B517" s="39">
        <v>0</v>
      </c>
      <c r="C517" s="39">
        <v>0</v>
      </c>
      <c r="D517" s="39">
        <v>9430.0725000000002</v>
      </c>
      <c r="E517" s="39">
        <v>10662.732039387973</v>
      </c>
      <c r="F517" s="39">
        <v>12206.03</v>
      </c>
      <c r="G517" s="39">
        <v>12982.501579908158</v>
      </c>
      <c r="H517" s="40">
        <v>0.13071580726319687</v>
      </c>
      <c r="I517" s="40">
        <v>6.3613769580130208E-2</v>
      </c>
      <c r="J517" s="40">
        <v>9.2860122071252382E-2</v>
      </c>
    </row>
    <row r="518" spans="1:10" ht="11.25" customHeight="1" x14ac:dyDescent="0.2">
      <c r="A518" s="49">
        <v>44621</v>
      </c>
      <c r="B518" s="39">
        <v>0</v>
      </c>
      <c r="C518" s="39">
        <v>0</v>
      </c>
      <c r="D518" s="39">
        <v>10930.07517</v>
      </c>
      <c r="E518" s="39">
        <v>12358.808769293972</v>
      </c>
      <c r="F518" s="39">
        <v>14147.59276</v>
      </c>
      <c r="G518" s="39">
        <v>15047.574465948159</v>
      </c>
      <c r="H518" s="40">
        <v>0.13071580726319665</v>
      </c>
      <c r="I518" s="40">
        <v>6.3613769580130208E-2</v>
      </c>
      <c r="J518" s="40">
        <v>9.2860122071252382E-2</v>
      </c>
    </row>
    <row r="519" spans="1:10" ht="11.25" customHeight="1" x14ac:dyDescent="0.2">
      <c r="A519" s="49">
        <v>44652</v>
      </c>
      <c r="B519" s="39">
        <v>0</v>
      </c>
      <c r="C519" s="39">
        <v>0</v>
      </c>
      <c r="D519" s="39">
        <v>11335.060080000001</v>
      </c>
      <c r="E519" s="39">
        <v>12816.731608734037</v>
      </c>
      <c r="F519" s="39">
        <v>14671.794240000001</v>
      </c>
      <c r="G519" s="39">
        <v>15605.122378110442</v>
      </c>
      <c r="H519" s="40">
        <v>0.13071580726319665</v>
      </c>
      <c r="I519" s="40">
        <v>6.3613769580130208E-2</v>
      </c>
      <c r="J519" s="40">
        <v>9.2860122071252382E-2</v>
      </c>
    </row>
    <row r="520" spans="1:10" ht="11.25" customHeight="1" x14ac:dyDescent="0.2">
      <c r="A520" s="49">
        <v>44682</v>
      </c>
      <c r="B520" s="39">
        <v>0</v>
      </c>
      <c r="C520" s="39">
        <v>0</v>
      </c>
      <c r="D520" s="39">
        <v>12238.765949999999</v>
      </c>
      <c r="E520" s="39">
        <v>13838.566121059575</v>
      </c>
      <c r="F520" s="39">
        <v>15841.526599999999</v>
      </c>
      <c r="G520" s="39">
        <v>16849.265822929901</v>
      </c>
      <c r="H520" s="40">
        <v>0.13071580726319687</v>
      </c>
      <c r="I520" s="40">
        <v>6.3613769580130208E-2</v>
      </c>
      <c r="J520" s="40">
        <v>9.2860122071252382E-2</v>
      </c>
    </row>
    <row r="521" spans="1:10" ht="11.25" customHeight="1" x14ac:dyDescent="0.2">
      <c r="A521" s="49">
        <v>44713</v>
      </c>
      <c r="B521" s="39">
        <v>0</v>
      </c>
      <c r="C521" s="39">
        <v>0</v>
      </c>
      <c r="D521" s="39">
        <v>12124.927470000001</v>
      </c>
      <c r="E521" s="39">
        <v>13709.84715224876</v>
      </c>
      <c r="F521" s="39">
        <v>15694.177159999999</v>
      </c>
      <c r="G521" s="39">
        <v>16692.542929605981</v>
      </c>
      <c r="H521" s="40">
        <v>0.13071580726319665</v>
      </c>
      <c r="I521" s="40">
        <v>6.3613769580130208E-2</v>
      </c>
      <c r="J521" s="40">
        <v>9.286012207125216E-2</v>
      </c>
    </row>
    <row r="522" spans="1:10" ht="11.25" customHeight="1" x14ac:dyDescent="0.2">
      <c r="A522" s="49">
        <v>44743</v>
      </c>
      <c r="B522" s="39">
        <v>0</v>
      </c>
      <c r="C522" s="39">
        <v>0</v>
      </c>
      <c r="D522" s="39">
        <v>13489.85988</v>
      </c>
      <c r="E522" s="39">
        <v>15253.19780408161</v>
      </c>
      <c r="F522" s="39">
        <v>17460.908640000001</v>
      </c>
      <c r="G522" s="39">
        <v>18571.662858884665</v>
      </c>
      <c r="H522" s="40">
        <v>0.13071580726319665</v>
      </c>
      <c r="I522" s="40">
        <v>6.3613769580130208E-2</v>
      </c>
      <c r="J522" s="40">
        <v>9.2860122071252382E-2</v>
      </c>
    </row>
    <row r="523" spans="1:10" ht="11.25" customHeight="1" x14ac:dyDescent="0.2">
      <c r="A523" s="49">
        <v>44774</v>
      </c>
      <c r="B523" s="39">
        <v>0</v>
      </c>
      <c r="C523" s="39">
        <v>0</v>
      </c>
      <c r="D523" s="39">
        <v>11707.06797</v>
      </c>
      <c r="E523" s="39">
        <v>13237.366810383664</v>
      </c>
      <c r="F523" s="39">
        <v>15153.311159999999</v>
      </c>
      <c r="G523" s="39">
        <v>16117.270404508256</v>
      </c>
      <c r="H523" s="40">
        <v>0.13071580726319687</v>
      </c>
      <c r="I523" s="40">
        <v>6.3613769580130208E-2</v>
      </c>
      <c r="J523" s="40">
        <v>9.286012207125216E-2</v>
      </c>
    </row>
    <row r="524" spans="1:10" ht="11.25" customHeight="1" x14ac:dyDescent="0.2">
      <c r="A524" s="49">
        <v>44805</v>
      </c>
      <c r="B524" s="39">
        <v>0</v>
      </c>
      <c r="C524" s="39">
        <v>0</v>
      </c>
      <c r="D524" s="39">
        <v>16390.708289999999</v>
      </c>
      <c r="E524" s="39">
        <v>18533.232955742918</v>
      </c>
      <c r="F524" s="39">
        <v>21215.688119999999</v>
      </c>
      <c r="G524" s="39">
        <v>22565.298015549586</v>
      </c>
      <c r="H524" s="40">
        <v>0.13071580726319665</v>
      </c>
      <c r="I524" s="40">
        <v>6.3613769580130208E-2</v>
      </c>
      <c r="J524" s="40">
        <v>9.2860122071252382E-2</v>
      </c>
    </row>
    <row r="525" spans="1:10" ht="11.25" customHeight="1" x14ac:dyDescent="0.2">
      <c r="A525" s="49">
        <v>44835</v>
      </c>
      <c r="B525" s="39">
        <v>0</v>
      </c>
      <c r="C525" s="39">
        <v>0</v>
      </c>
      <c r="D525" s="39">
        <v>16390.708289999999</v>
      </c>
      <c r="E525" s="39">
        <v>18533.232955742918</v>
      </c>
      <c r="F525" s="39">
        <v>21215.688119999999</v>
      </c>
      <c r="G525" s="39">
        <v>22565.298015549586</v>
      </c>
      <c r="H525" s="40">
        <v>0.13071580726319665</v>
      </c>
      <c r="I525" s="40">
        <v>6.3613769580130208E-2</v>
      </c>
      <c r="J525" s="40">
        <v>9.2860122071252382E-2</v>
      </c>
    </row>
    <row r="526" spans="1:10" ht="11.25" customHeight="1" x14ac:dyDescent="0.2">
      <c r="A526" s="42" t="s">
        <v>44</v>
      </c>
      <c r="B526" s="39">
        <v>0</v>
      </c>
      <c r="C526" s="39">
        <v>0</v>
      </c>
      <c r="D526" s="39">
        <v>997234.5266199999</v>
      </c>
      <c r="E526" s="39">
        <v>1368235.9547418817</v>
      </c>
      <c r="F526" s="39">
        <v>970856.45448999992</v>
      </c>
      <c r="G526" s="39">
        <v>1103051.1040288417</v>
      </c>
      <c r="H526" s="40">
        <v>0.37203026792438032</v>
      </c>
      <c r="I526" s="40">
        <v>0.1361629197884715</v>
      </c>
      <c r="J526" s="40">
        <v>0.25567724383194967</v>
      </c>
    </row>
    <row r="527" spans="1:10" ht="11.25" customHeight="1" x14ac:dyDescent="0.2">
      <c r="A527" s="43" t="s">
        <v>23</v>
      </c>
      <c r="B527" s="39">
        <v>0</v>
      </c>
      <c r="C527" s="39">
        <v>0</v>
      </c>
      <c r="D527" s="39">
        <v>997234.5266199999</v>
      </c>
      <c r="E527" s="39">
        <v>1368235.9547418817</v>
      </c>
      <c r="F527" s="39">
        <v>970856.45448999992</v>
      </c>
      <c r="G527" s="39">
        <v>1103051.1040288417</v>
      </c>
      <c r="H527" s="40">
        <v>0.37203026792438032</v>
      </c>
      <c r="I527" s="40">
        <v>0.1361629197884715</v>
      </c>
      <c r="J527" s="40">
        <v>0.25567724383194967</v>
      </c>
    </row>
    <row r="528" spans="1:10" ht="11.25" customHeight="1" x14ac:dyDescent="0.2">
      <c r="A528" s="44" t="s">
        <v>45</v>
      </c>
      <c r="B528" s="39">
        <v>0</v>
      </c>
      <c r="C528" s="39">
        <v>0</v>
      </c>
      <c r="D528" s="39">
        <v>997234.5266199999</v>
      </c>
      <c r="E528" s="39">
        <v>1368235.9547418817</v>
      </c>
      <c r="F528" s="39">
        <v>970856.45448999992</v>
      </c>
      <c r="G528" s="39">
        <v>1103051.1040288417</v>
      </c>
      <c r="H528" s="40">
        <v>0.37203026792438032</v>
      </c>
      <c r="I528" s="40">
        <v>0.1361629197884715</v>
      </c>
      <c r="J528" s="40">
        <v>0.25567724383194967</v>
      </c>
    </row>
    <row r="529" spans="1:10" ht="11.25" customHeight="1" x14ac:dyDescent="0.2">
      <c r="A529" s="45" t="s">
        <v>25</v>
      </c>
      <c r="B529" s="39">
        <v>0</v>
      </c>
      <c r="C529" s="39">
        <v>0</v>
      </c>
      <c r="D529" s="39">
        <v>997234.5266199999</v>
      </c>
      <c r="E529" s="39">
        <v>1368235.9547418817</v>
      </c>
      <c r="F529" s="39">
        <v>970856.45448999992</v>
      </c>
      <c r="G529" s="39">
        <v>1103051.1040288417</v>
      </c>
      <c r="H529" s="40">
        <v>0.37203026792438032</v>
      </c>
      <c r="I529" s="40">
        <v>0.1361629197884715</v>
      </c>
      <c r="J529" s="40">
        <v>0.25567724383194967</v>
      </c>
    </row>
    <row r="530" spans="1:10" ht="11.25" customHeight="1" x14ac:dyDescent="0.2">
      <c r="A530" s="46" t="s">
        <v>25</v>
      </c>
      <c r="B530" s="39">
        <v>0</v>
      </c>
      <c r="C530" s="39">
        <v>0</v>
      </c>
      <c r="D530" s="39">
        <v>997234.5266199999</v>
      </c>
      <c r="E530" s="39">
        <v>1368235.9547418817</v>
      </c>
      <c r="F530" s="39">
        <v>970856.45448999992</v>
      </c>
      <c r="G530" s="39">
        <v>1103051.1040288417</v>
      </c>
      <c r="H530" s="40">
        <v>0.37203026792438032</v>
      </c>
      <c r="I530" s="40">
        <v>0.1361629197884715</v>
      </c>
      <c r="J530" s="40">
        <v>0.25567724383194967</v>
      </c>
    </row>
    <row r="531" spans="1:10" ht="11.25" customHeight="1" x14ac:dyDescent="0.2">
      <c r="A531" s="47" t="s">
        <v>25</v>
      </c>
      <c r="B531" s="39">
        <v>0</v>
      </c>
      <c r="C531" s="39">
        <v>0</v>
      </c>
      <c r="D531" s="39">
        <v>997234.5266199999</v>
      </c>
      <c r="E531" s="39">
        <v>1368235.9547418817</v>
      </c>
      <c r="F531" s="39">
        <v>970856.45448999992</v>
      </c>
      <c r="G531" s="39">
        <v>1103051.1040288417</v>
      </c>
      <c r="H531" s="40">
        <v>0.37203026792438032</v>
      </c>
      <c r="I531" s="40">
        <v>0.1361629197884715</v>
      </c>
      <c r="J531" s="40">
        <v>0.25567724383194967</v>
      </c>
    </row>
    <row r="532" spans="1:10" ht="11.25" customHeight="1" x14ac:dyDescent="0.2">
      <c r="A532" s="48" t="s">
        <v>25</v>
      </c>
      <c r="B532" s="39">
        <v>0</v>
      </c>
      <c r="C532" s="39">
        <v>0</v>
      </c>
      <c r="D532" s="39">
        <v>997234.5266199999</v>
      </c>
      <c r="E532" s="39">
        <v>1368235.9547418817</v>
      </c>
      <c r="F532" s="39">
        <v>970856.45448999992</v>
      </c>
      <c r="G532" s="39">
        <v>1103051.1040288417</v>
      </c>
      <c r="H532" s="40">
        <v>0.37203026792438032</v>
      </c>
      <c r="I532" s="40">
        <v>0.1361629197884715</v>
      </c>
      <c r="J532" s="40">
        <v>0.25567724383194967</v>
      </c>
    </row>
    <row r="533" spans="1:10" ht="11.25" customHeight="1" x14ac:dyDescent="0.2">
      <c r="A533" s="49">
        <v>44501</v>
      </c>
      <c r="B533" s="39">
        <v>0</v>
      </c>
      <c r="C533" s="39">
        <v>0</v>
      </c>
      <c r="D533" s="39">
        <v>80633.6538</v>
      </c>
      <c r="E533" s="39">
        <v>110631.81362693575</v>
      </c>
      <c r="F533" s="39">
        <v>78500.795099999988</v>
      </c>
      <c r="G533" s="39">
        <v>89189.692566532525</v>
      </c>
      <c r="H533" s="40">
        <v>0.37203026792438054</v>
      </c>
      <c r="I533" s="40">
        <v>0.1361629197884715</v>
      </c>
      <c r="J533" s="40">
        <v>0.25567724383195012</v>
      </c>
    </row>
    <row r="534" spans="1:10" ht="11.25" customHeight="1" x14ac:dyDescent="0.2">
      <c r="A534" s="49">
        <v>44531</v>
      </c>
      <c r="B534" s="39">
        <v>0</v>
      </c>
      <c r="C534" s="39">
        <v>0</v>
      </c>
      <c r="D534" s="39">
        <v>78123.712319999991</v>
      </c>
      <c r="E534" s="39">
        <v>107188.09794565682</v>
      </c>
      <c r="F534" s="39">
        <v>76057.24463999999</v>
      </c>
      <c r="G534" s="39">
        <v>86413.421141248473</v>
      </c>
      <c r="H534" s="40">
        <v>0.37203026792438054</v>
      </c>
      <c r="I534" s="40">
        <v>0.13616291978847173</v>
      </c>
      <c r="J534" s="40">
        <v>0.25567724383195012</v>
      </c>
    </row>
    <row r="535" spans="1:10" ht="11.25" customHeight="1" x14ac:dyDescent="0.2">
      <c r="A535" s="49">
        <v>44562</v>
      </c>
      <c r="B535" s="39">
        <v>0</v>
      </c>
      <c r="C535" s="39">
        <v>0</v>
      </c>
      <c r="D535" s="39">
        <v>86101.721719999987</v>
      </c>
      <c r="E535" s="39">
        <v>118134.16832024207</v>
      </c>
      <c r="F535" s="39">
        <v>83824.225939999989</v>
      </c>
      <c r="G535" s="39">
        <v>95237.977292998941</v>
      </c>
      <c r="H535" s="40">
        <v>0.37203026792438099</v>
      </c>
      <c r="I535" s="40">
        <v>0.13616291978847173</v>
      </c>
      <c r="J535" s="40">
        <v>0.25567724383195034</v>
      </c>
    </row>
    <row r="536" spans="1:10" ht="11.25" customHeight="1" x14ac:dyDescent="0.2">
      <c r="A536" s="49">
        <v>44593</v>
      </c>
      <c r="B536" s="39">
        <v>0</v>
      </c>
      <c r="C536" s="39">
        <v>0</v>
      </c>
      <c r="D536" s="39">
        <v>75157.92233999999</v>
      </c>
      <c r="E536" s="39">
        <v>103118.94432479001</v>
      </c>
      <c r="F536" s="39">
        <v>73169.903429999991</v>
      </c>
      <c r="G536" s="39">
        <v>83132.931121669302</v>
      </c>
      <c r="H536" s="40">
        <v>0.37203026792438099</v>
      </c>
      <c r="I536" s="40">
        <v>0.13616291978847173</v>
      </c>
      <c r="J536" s="40">
        <v>0.25567724383195012</v>
      </c>
    </row>
    <row r="537" spans="1:10" ht="11.25" customHeight="1" x14ac:dyDescent="0.2">
      <c r="A537" s="49">
        <v>44621</v>
      </c>
      <c r="B537" s="39">
        <v>0</v>
      </c>
      <c r="C537" s="39">
        <v>0</v>
      </c>
      <c r="D537" s="39">
        <v>78021.443699999989</v>
      </c>
      <c r="E537" s="39">
        <v>107047.78230355796</v>
      </c>
      <c r="F537" s="39">
        <v>75957.681149999989</v>
      </c>
      <c r="G537" s="39">
        <v>86300.30079574573</v>
      </c>
      <c r="H537" s="40">
        <v>0.37203026792438054</v>
      </c>
      <c r="I537" s="40">
        <v>0.1361629197884715</v>
      </c>
      <c r="J537" s="40">
        <v>0.25567724383195012</v>
      </c>
    </row>
    <row r="538" spans="1:10" ht="11.25" customHeight="1" x14ac:dyDescent="0.2">
      <c r="A538" s="49">
        <v>44652</v>
      </c>
      <c r="B538" s="39">
        <v>0</v>
      </c>
      <c r="C538" s="39">
        <v>0</v>
      </c>
      <c r="D538" s="39">
        <v>75302.736820000006</v>
      </c>
      <c r="E538" s="39">
        <v>103317.63417458373</v>
      </c>
      <c r="F538" s="39">
        <v>73310.887390000004</v>
      </c>
      <c r="G538" s="39">
        <v>83293.11186930626</v>
      </c>
      <c r="H538" s="40">
        <v>0.37203026792438054</v>
      </c>
      <c r="I538" s="40">
        <v>0.13616291978847173</v>
      </c>
      <c r="J538" s="40">
        <v>0.25567724383195012</v>
      </c>
    </row>
    <row r="539" spans="1:10" ht="11.25" customHeight="1" x14ac:dyDescent="0.2">
      <c r="A539" s="49">
        <v>44682</v>
      </c>
      <c r="B539" s="39">
        <v>0</v>
      </c>
      <c r="C539" s="39">
        <v>0</v>
      </c>
      <c r="D539" s="39">
        <v>80288.00172</v>
      </c>
      <c r="E539" s="39">
        <v>110157.56851100473</v>
      </c>
      <c r="F539" s="39">
        <v>78164.285939999987</v>
      </c>
      <c r="G539" s="39">
        <v>88807.363336771377</v>
      </c>
      <c r="H539" s="40">
        <v>0.37203026792438054</v>
      </c>
      <c r="I539" s="40">
        <v>0.13616291978847173</v>
      </c>
      <c r="J539" s="40">
        <v>0.25567724383195034</v>
      </c>
    </row>
    <row r="540" spans="1:10" ht="11.25" customHeight="1" x14ac:dyDescent="0.2">
      <c r="A540" s="49">
        <v>44713</v>
      </c>
      <c r="B540" s="39">
        <v>0</v>
      </c>
      <c r="C540" s="39">
        <v>0</v>
      </c>
      <c r="D540" s="39">
        <v>85365.229099999997</v>
      </c>
      <c r="E540" s="39">
        <v>117123.67815349913</v>
      </c>
      <c r="F540" s="39">
        <v>83107.214449999999</v>
      </c>
      <c r="G540" s="39">
        <v>94423.335424998659</v>
      </c>
      <c r="H540" s="40">
        <v>0.37203026792438054</v>
      </c>
      <c r="I540" s="40">
        <v>0.13616291978847173</v>
      </c>
      <c r="J540" s="40">
        <v>0.25567724383195012</v>
      </c>
    </row>
    <row r="541" spans="1:10" ht="11.25" customHeight="1" x14ac:dyDescent="0.2">
      <c r="A541" s="49">
        <v>44743</v>
      </c>
      <c r="B541" s="39">
        <v>0</v>
      </c>
      <c r="C541" s="39">
        <v>0</v>
      </c>
      <c r="D541" s="39">
        <v>89342.606360000005</v>
      </c>
      <c r="E541" s="39">
        <v>122580.76014117328</v>
      </c>
      <c r="F541" s="39">
        <v>86979.385219999996</v>
      </c>
      <c r="G541" s="39">
        <v>98822.752272961428</v>
      </c>
      <c r="H541" s="40">
        <v>0.37203026792438054</v>
      </c>
      <c r="I541" s="40">
        <v>0.1361629197884715</v>
      </c>
      <c r="J541" s="40">
        <v>0.2556772438319499</v>
      </c>
    </row>
    <row r="542" spans="1:10" ht="11.25" customHeight="1" x14ac:dyDescent="0.2">
      <c r="A542" s="49">
        <v>44774</v>
      </c>
      <c r="B542" s="39">
        <v>0</v>
      </c>
      <c r="C542" s="39">
        <v>0</v>
      </c>
      <c r="D542" s="39">
        <v>90669.984339999995</v>
      </c>
      <c r="E542" s="39">
        <v>124401.96290670958</v>
      </c>
      <c r="F542" s="39">
        <v>88271.652430000002</v>
      </c>
      <c r="G542" s="39">
        <v>100290.97835942192</v>
      </c>
      <c r="H542" s="40">
        <v>0.37203026792438054</v>
      </c>
      <c r="I542" s="40">
        <v>0.1361629197884715</v>
      </c>
      <c r="J542" s="40">
        <v>0.25567724383195012</v>
      </c>
    </row>
    <row r="543" spans="1:10" ht="11.25" customHeight="1" x14ac:dyDescent="0.2">
      <c r="A543" s="49">
        <v>44805</v>
      </c>
      <c r="B543" s="39">
        <v>0</v>
      </c>
      <c r="C543" s="39">
        <v>0</v>
      </c>
      <c r="D543" s="39">
        <v>89113.757199999993</v>
      </c>
      <c r="E543" s="39">
        <v>122266.7721668642</v>
      </c>
      <c r="F543" s="39">
        <v>86756.589399999983</v>
      </c>
      <c r="G543" s="39">
        <v>98569.619923593564</v>
      </c>
      <c r="H543" s="40">
        <v>0.37203026792438076</v>
      </c>
      <c r="I543" s="40">
        <v>0.13616291978847173</v>
      </c>
      <c r="J543" s="40">
        <v>0.25567724383195012</v>
      </c>
    </row>
    <row r="544" spans="1:10" ht="11.25" customHeight="1" x14ac:dyDescent="0.2">
      <c r="A544" s="49">
        <v>44835</v>
      </c>
      <c r="B544" s="39">
        <v>0</v>
      </c>
      <c r="C544" s="39">
        <v>0</v>
      </c>
      <c r="D544" s="39">
        <v>89113.757199999993</v>
      </c>
      <c r="E544" s="39">
        <v>122266.7721668642</v>
      </c>
      <c r="F544" s="39">
        <v>86756.589399999983</v>
      </c>
      <c r="G544" s="39">
        <v>98569.619923593564</v>
      </c>
      <c r="H544" s="40">
        <v>0.37203026792438076</v>
      </c>
      <c r="I544" s="40">
        <v>0.13616291978847173</v>
      </c>
      <c r="J544" s="40">
        <v>0.25567724383195012</v>
      </c>
    </row>
    <row r="545" spans="1:10" ht="11.25" customHeight="1" x14ac:dyDescent="0.2">
      <c r="A545" s="42" t="s">
        <v>37</v>
      </c>
      <c r="B545" s="39">
        <v>0</v>
      </c>
      <c r="C545" s="39">
        <v>0</v>
      </c>
      <c r="D545" s="39">
        <v>14446154.030672396</v>
      </c>
      <c r="E545" s="39">
        <v>18557420.090126276</v>
      </c>
      <c r="F545" s="39">
        <v>14076372.842617804</v>
      </c>
      <c r="G545" s="39">
        <v>14971700.101987567</v>
      </c>
      <c r="H545" s="40">
        <v>0.28459242859550993</v>
      </c>
      <c r="I545" s="40">
        <v>6.3604969076910045E-2</v>
      </c>
      <c r="J545" s="40">
        <v>0.17553119823727936</v>
      </c>
    </row>
    <row r="546" spans="1:10" ht="11.25" customHeight="1" x14ac:dyDescent="0.2">
      <c r="A546" s="43" t="s">
        <v>33</v>
      </c>
      <c r="B546" s="39">
        <v>0</v>
      </c>
      <c r="C546" s="39">
        <v>0</v>
      </c>
      <c r="D546" s="39">
        <v>136628.93480640004</v>
      </c>
      <c r="E546" s="39">
        <v>177773.43923339128</v>
      </c>
      <c r="F546" s="39">
        <v>145194.83053859998</v>
      </c>
      <c r="G546" s="39">
        <v>154307.34186817994</v>
      </c>
      <c r="H546" s="40">
        <v>0.3011404903748387</v>
      </c>
      <c r="I546" s="40">
        <v>6.2760576914324684E-2</v>
      </c>
      <c r="J546" s="40">
        <v>0.17832781311060897</v>
      </c>
    </row>
    <row r="547" spans="1:10" ht="11.25" customHeight="1" x14ac:dyDescent="0.2">
      <c r="A547" s="44" t="s">
        <v>42</v>
      </c>
      <c r="B547" s="39">
        <v>0</v>
      </c>
      <c r="C547" s="39">
        <v>0</v>
      </c>
      <c r="D547" s="39">
        <v>113199.59761</v>
      </c>
      <c r="E547" s="39">
        <v>147117.81935114862</v>
      </c>
      <c r="F547" s="39">
        <v>119400.84389999999</v>
      </c>
      <c r="G547" s="39">
        <v>126903.93884772586</v>
      </c>
      <c r="H547" s="40">
        <v>0.29963199920555428</v>
      </c>
      <c r="I547" s="40">
        <v>6.2839547047170541E-2</v>
      </c>
      <c r="J547" s="40">
        <v>0.17807926941141972</v>
      </c>
    </row>
    <row r="548" spans="1:10" ht="11.25" customHeight="1" x14ac:dyDescent="0.2">
      <c r="A548" s="45" t="s">
        <v>25</v>
      </c>
      <c r="B548" s="39">
        <v>0</v>
      </c>
      <c r="C548" s="39">
        <v>0</v>
      </c>
      <c r="D548" s="39">
        <v>113199.59761</v>
      </c>
      <c r="E548" s="39">
        <v>147117.81935114862</v>
      </c>
      <c r="F548" s="39">
        <v>119400.84389999999</v>
      </c>
      <c r="G548" s="39">
        <v>126903.93884772586</v>
      </c>
      <c r="H548" s="40">
        <v>0.29963199920555428</v>
      </c>
      <c r="I548" s="40">
        <v>6.2839547047170541E-2</v>
      </c>
      <c r="J548" s="40">
        <v>0.17807926941141972</v>
      </c>
    </row>
    <row r="549" spans="1:10" ht="11.25" customHeight="1" x14ac:dyDescent="0.2">
      <c r="A549" s="46" t="s">
        <v>25</v>
      </c>
      <c r="B549" s="39">
        <v>0</v>
      </c>
      <c r="C549" s="39">
        <v>0</v>
      </c>
      <c r="D549" s="39">
        <v>113199.59761</v>
      </c>
      <c r="E549" s="39">
        <v>147117.81935114862</v>
      </c>
      <c r="F549" s="39">
        <v>119400.84389999999</v>
      </c>
      <c r="G549" s="39">
        <v>126903.93884772586</v>
      </c>
      <c r="H549" s="40">
        <v>0.29963199920555428</v>
      </c>
      <c r="I549" s="40">
        <v>6.2839547047170541E-2</v>
      </c>
      <c r="J549" s="40">
        <v>0.17807926941141972</v>
      </c>
    </row>
    <row r="550" spans="1:10" ht="11.25" customHeight="1" x14ac:dyDescent="0.2">
      <c r="A550" s="47" t="s">
        <v>25</v>
      </c>
      <c r="B550" s="39">
        <v>0</v>
      </c>
      <c r="C550" s="39">
        <v>0</v>
      </c>
      <c r="D550" s="39">
        <v>113199.59761</v>
      </c>
      <c r="E550" s="39">
        <v>147117.81935114862</v>
      </c>
      <c r="F550" s="39">
        <v>119400.84389999999</v>
      </c>
      <c r="G550" s="39">
        <v>126903.93884772586</v>
      </c>
      <c r="H550" s="40">
        <v>0.29963199920555428</v>
      </c>
      <c r="I550" s="40">
        <v>6.2839547047170541E-2</v>
      </c>
      <c r="J550" s="40">
        <v>0.17807926941141972</v>
      </c>
    </row>
    <row r="551" spans="1:10" ht="11.25" customHeight="1" x14ac:dyDescent="0.2">
      <c r="A551" s="48" t="s">
        <v>35</v>
      </c>
      <c r="B551" s="39">
        <v>0</v>
      </c>
      <c r="C551" s="39">
        <v>0</v>
      </c>
      <c r="D551" s="39">
        <v>87959.760880000002</v>
      </c>
      <c r="E551" s="39">
        <v>116550.20974654755</v>
      </c>
      <c r="F551" s="39">
        <v>104719.72728000001</v>
      </c>
      <c r="G551" s="39">
        <v>111184.56860586675</v>
      </c>
      <c r="H551" s="40">
        <v>0.32504009311203474</v>
      </c>
      <c r="I551" s="40">
        <v>6.1734703611106667E-2</v>
      </c>
      <c r="J551" s="40">
        <v>0.18193576559277802</v>
      </c>
    </row>
    <row r="552" spans="1:10" ht="11.25" customHeight="1" x14ac:dyDescent="0.2">
      <c r="A552" s="49">
        <v>44501</v>
      </c>
      <c r="B552" s="39">
        <v>0</v>
      </c>
      <c r="C552" s="39">
        <v>0</v>
      </c>
      <c r="D552" s="39">
        <v>7256.4040699999996</v>
      </c>
      <c r="E552" s="39">
        <v>9615.0263245713486</v>
      </c>
      <c r="F552" s="39">
        <v>8639.0486700000001</v>
      </c>
      <c r="G552" s="39">
        <v>9172.3777791243774</v>
      </c>
      <c r="H552" s="40">
        <v>0.32504009311203497</v>
      </c>
      <c r="I552" s="40">
        <v>6.1734703611106889E-2</v>
      </c>
      <c r="J552" s="40">
        <v>0.18193576559277846</v>
      </c>
    </row>
    <row r="553" spans="1:10" ht="11.25" customHeight="1" x14ac:dyDescent="0.2">
      <c r="A553" s="49">
        <v>44531</v>
      </c>
      <c r="B553" s="39">
        <v>0</v>
      </c>
      <c r="C553" s="39">
        <v>0</v>
      </c>
      <c r="D553" s="39">
        <v>7095.83205</v>
      </c>
      <c r="E553" s="39">
        <v>9402.2619602393625</v>
      </c>
      <c r="F553" s="39">
        <v>8447.88105</v>
      </c>
      <c r="G553" s="39">
        <v>8969.4084827636361</v>
      </c>
      <c r="H553" s="40">
        <v>0.32504009311203497</v>
      </c>
      <c r="I553" s="40">
        <v>6.1734703611106889E-2</v>
      </c>
      <c r="J553" s="40">
        <v>0.18193576559277846</v>
      </c>
    </row>
    <row r="554" spans="1:10" ht="11.25" customHeight="1" x14ac:dyDescent="0.2">
      <c r="A554" s="49">
        <v>44562</v>
      </c>
      <c r="B554" s="39">
        <v>0</v>
      </c>
      <c r="C554" s="39">
        <v>0</v>
      </c>
      <c r="D554" s="39">
        <v>7573.5689199999997</v>
      </c>
      <c r="E554" s="39">
        <v>10035.282466947214</v>
      </c>
      <c r="F554" s="39">
        <v>9016.6465200000002</v>
      </c>
      <c r="G554" s="39">
        <v>9573.2865204783193</v>
      </c>
      <c r="H554" s="40">
        <v>0.32504009311203497</v>
      </c>
      <c r="I554" s="40">
        <v>6.1734703611106889E-2</v>
      </c>
      <c r="J554" s="40">
        <v>0.18193576559277846</v>
      </c>
    </row>
    <row r="555" spans="1:10" ht="11.25" customHeight="1" x14ac:dyDescent="0.2">
      <c r="A555" s="49">
        <v>44593</v>
      </c>
      <c r="B555" s="39">
        <v>0</v>
      </c>
      <c r="C555" s="39">
        <v>0</v>
      </c>
      <c r="D555" s="39">
        <v>6991.2027600000001</v>
      </c>
      <c r="E555" s="39">
        <v>9263.6239560755148</v>
      </c>
      <c r="F555" s="39">
        <v>8323.3155600000009</v>
      </c>
      <c r="G555" s="39">
        <v>8837.1529791583143</v>
      </c>
      <c r="H555" s="40">
        <v>0.32504009311203474</v>
      </c>
      <c r="I555" s="40">
        <v>6.1734703611106889E-2</v>
      </c>
      <c r="J555" s="40">
        <v>0.18193576559277824</v>
      </c>
    </row>
    <row r="556" spans="1:10" ht="11.25" customHeight="1" x14ac:dyDescent="0.2">
      <c r="A556" s="49">
        <v>44621</v>
      </c>
      <c r="B556" s="39">
        <v>0</v>
      </c>
      <c r="C556" s="39">
        <v>0</v>
      </c>
      <c r="D556" s="39">
        <v>7310.2401700000009</v>
      </c>
      <c r="E556" s="39">
        <v>9686.3613155281382</v>
      </c>
      <c r="F556" s="39">
        <v>8703.1427700000004</v>
      </c>
      <c r="G556" s="39">
        <v>9240.4287093910989</v>
      </c>
      <c r="H556" s="40">
        <v>0.32504009311203474</v>
      </c>
      <c r="I556" s="40">
        <v>6.1734703611106889E-2</v>
      </c>
      <c r="J556" s="40">
        <v>0.18193576559277846</v>
      </c>
    </row>
    <row r="557" spans="1:10" ht="11.25" customHeight="1" x14ac:dyDescent="0.2">
      <c r="A557" s="49">
        <v>44652</v>
      </c>
      <c r="B557" s="39">
        <v>0</v>
      </c>
      <c r="C557" s="39">
        <v>0</v>
      </c>
      <c r="D557" s="39">
        <v>8647.2480099999993</v>
      </c>
      <c r="E557" s="39">
        <v>11457.950308333258</v>
      </c>
      <c r="F557" s="39">
        <v>10294.90581</v>
      </c>
      <c r="G557" s="39">
        <v>10930.458768884611</v>
      </c>
      <c r="H557" s="40">
        <v>0.32504009311203497</v>
      </c>
      <c r="I557" s="40">
        <v>6.1734703611106667E-2</v>
      </c>
      <c r="J557" s="40">
        <v>0.18193576559277824</v>
      </c>
    </row>
    <row r="558" spans="1:10" ht="11.25" customHeight="1" x14ac:dyDescent="0.2">
      <c r="A558" s="49">
        <v>44682</v>
      </c>
      <c r="B558" s="39">
        <v>0</v>
      </c>
      <c r="C558" s="39">
        <v>0</v>
      </c>
      <c r="D558" s="39">
        <v>7601.4232499999989</v>
      </c>
      <c r="E558" s="39">
        <v>10072.190570963989</v>
      </c>
      <c r="F558" s="39">
        <v>9049.80825</v>
      </c>
      <c r="G558" s="39">
        <v>9608.4954800511005</v>
      </c>
      <c r="H558" s="40">
        <v>0.32504009311203541</v>
      </c>
      <c r="I558" s="40">
        <v>6.1734703611106889E-2</v>
      </c>
      <c r="J558" s="40">
        <v>0.18193576559277846</v>
      </c>
    </row>
    <row r="559" spans="1:10" ht="11.25" customHeight="1" x14ac:dyDescent="0.2">
      <c r="A559" s="49">
        <v>44713</v>
      </c>
      <c r="B559" s="39">
        <v>0</v>
      </c>
      <c r="C559" s="39">
        <v>0</v>
      </c>
      <c r="D559" s="39">
        <v>7134.9217399999998</v>
      </c>
      <c r="E559" s="39">
        <v>9454.0573667166846</v>
      </c>
      <c r="F559" s="39">
        <v>8494.4189400000014</v>
      </c>
      <c r="G559" s="39">
        <v>9018.8193756094734</v>
      </c>
      <c r="H559" s="40">
        <v>0.32504009311203519</v>
      </c>
      <c r="I559" s="40">
        <v>6.1734703611106889E-2</v>
      </c>
      <c r="J559" s="40">
        <v>0.18193576559277846</v>
      </c>
    </row>
    <row r="560" spans="1:10" ht="11.25" customHeight="1" x14ac:dyDescent="0.2">
      <c r="A560" s="49">
        <v>44743</v>
      </c>
      <c r="B560" s="39">
        <v>0</v>
      </c>
      <c r="C560" s="39">
        <v>0</v>
      </c>
      <c r="D560" s="39">
        <v>7696.2216000000008</v>
      </c>
      <c r="E560" s="39">
        <v>10197.802185474857</v>
      </c>
      <c r="F560" s="39">
        <v>9162.6696000000011</v>
      </c>
      <c r="G560" s="39">
        <v>9728.3242920425</v>
      </c>
      <c r="H560" s="40">
        <v>0.32504009311203519</v>
      </c>
      <c r="I560" s="40">
        <v>6.1734703611106889E-2</v>
      </c>
      <c r="J560" s="40">
        <v>0.18193576559277824</v>
      </c>
    </row>
    <row r="561" spans="1:10" ht="11.25" customHeight="1" x14ac:dyDescent="0.2">
      <c r="A561" s="49">
        <v>44774</v>
      </c>
      <c r="B561" s="39">
        <v>0</v>
      </c>
      <c r="C561" s="39">
        <v>0</v>
      </c>
      <c r="D561" s="39">
        <v>7349.5639299999993</v>
      </c>
      <c r="E561" s="39">
        <v>9738.4668741400528</v>
      </c>
      <c r="F561" s="39">
        <v>8749.9593300000015</v>
      </c>
      <c r="G561" s="39">
        <v>9290.1354758467896</v>
      </c>
      <c r="H561" s="40">
        <v>0.32504009311203497</v>
      </c>
      <c r="I561" s="40">
        <v>6.1734703611106667E-2</v>
      </c>
      <c r="J561" s="40">
        <v>0.18193576559277824</v>
      </c>
    </row>
    <row r="562" spans="1:10" ht="11.25" customHeight="1" x14ac:dyDescent="0.2">
      <c r="A562" s="49">
        <v>44805</v>
      </c>
      <c r="B562" s="39">
        <v>0</v>
      </c>
      <c r="C562" s="39">
        <v>0</v>
      </c>
      <c r="D562" s="39">
        <v>6651.5671899999988</v>
      </c>
      <c r="E562" s="39">
        <v>8813.5932087785568</v>
      </c>
      <c r="F562" s="39">
        <v>7918.9653900000003</v>
      </c>
      <c r="G562" s="39">
        <v>8407.840371258264</v>
      </c>
      <c r="H562" s="40">
        <v>0.32504009311203519</v>
      </c>
      <c r="I562" s="40">
        <v>6.1734703611106889E-2</v>
      </c>
      <c r="J562" s="40">
        <v>0.18193576559277846</v>
      </c>
    </row>
    <row r="563" spans="1:10" ht="11.25" customHeight="1" x14ac:dyDescent="0.2">
      <c r="A563" s="49">
        <v>44835</v>
      </c>
      <c r="B563" s="39">
        <v>0</v>
      </c>
      <c r="C563" s="39">
        <v>0</v>
      </c>
      <c r="D563" s="39">
        <v>6651.5671899999988</v>
      </c>
      <c r="E563" s="39">
        <v>8813.5932087785568</v>
      </c>
      <c r="F563" s="39">
        <v>7918.9653900000003</v>
      </c>
      <c r="G563" s="39">
        <v>8407.840371258264</v>
      </c>
      <c r="H563" s="40">
        <v>0.32504009311203519</v>
      </c>
      <c r="I563" s="40">
        <v>6.1734703611106889E-2</v>
      </c>
      <c r="J563" s="40">
        <v>0.18193576559277846</v>
      </c>
    </row>
    <row r="564" spans="1:10" ht="11.25" customHeight="1" x14ac:dyDescent="0.2">
      <c r="A564" s="48" t="s">
        <v>36</v>
      </c>
      <c r="B564" s="39">
        <v>0</v>
      </c>
      <c r="C564" s="39">
        <v>0</v>
      </c>
      <c r="D564" s="39">
        <v>10479.81648</v>
      </c>
      <c r="E564" s="39">
        <v>12876.6283668205</v>
      </c>
      <c r="F564" s="39">
        <v>5945.7031200000001</v>
      </c>
      <c r="G564" s="39">
        <v>6312.7593398728341</v>
      </c>
      <c r="H564" s="40">
        <v>0.22870742931373322</v>
      </c>
      <c r="I564" s="40">
        <v>6.1734703611106889E-2</v>
      </c>
      <c r="J564" s="40">
        <v>0.16826670778155051</v>
      </c>
    </row>
    <row r="565" spans="1:10" ht="11.25" customHeight="1" x14ac:dyDescent="0.2">
      <c r="A565" s="49">
        <v>44501</v>
      </c>
      <c r="B565" s="39">
        <v>0</v>
      </c>
      <c r="C565" s="39">
        <v>0</v>
      </c>
      <c r="D565" s="39">
        <v>866.44152000000008</v>
      </c>
      <c r="E565" s="39">
        <v>1064.603132689884</v>
      </c>
      <c r="F565" s="39">
        <v>491.57388000000009</v>
      </c>
      <c r="G565" s="39">
        <v>521.92104778476187</v>
      </c>
      <c r="H565" s="40">
        <v>0.22870742931373367</v>
      </c>
      <c r="I565" s="40">
        <v>6.1734703611106889E-2</v>
      </c>
      <c r="J565" s="40">
        <v>0.16826670778155073</v>
      </c>
    </row>
    <row r="566" spans="1:10" ht="11.25" customHeight="1" x14ac:dyDescent="0.2">
      <c r="A566" s="49">
        <v>44531</v>
      </c>
      <c r="B566" s="39">
        <v>0</v>
      </c>
      <c r="C566" s="39">
        <v>0</v>
      </c>
      <c r="D566" s="39">
        <v>894.92995999999994</v>
      </c>
      <c r="E566" s="39">
        <v>1099.6070905674426</v>
      </c>
      <c r="F566" s="39">
        <v>507.73674</v>
      </c>
      <c r="G566" s="39">
        <v>539.08171715636968</v>
      </c>
      <c r="H566" s="40">
        <v>0.22870742931373389</v>
      </c>
      <c r="I566" s="40">
        <v>6.1734703611106889E-2</v>
      </c>
      <c r="J566" s="40">
        <v>0.16826670778155095</v>
      </c>
    </row>
    <row r="567" spans="1:10" ht="11.25" customHeight="1" x14ac:dyDescent="0.2">
      <c r="A567" s="49">
        <v>44562</v>
      </c>
      <c r="B567" s="39">
        <v>0</v>
      </c>
      <c r="C567" s="39">
        <v>0</v>
      </c>
      <c r="D567" s="39">
        <v>910.64771999999994</v>
      </c>
      <c r="E567" s="39">
        <v>1118.9196190516127</v>
      </c>
      <c r="F567" s="39">
        <v>516.65418</v>
      </c>
      <c r="G567" s="39">
        <v>548.54967267173947</v>
      </c>
      <c r="H567" s="40">
        <v>0.22870742931373367</v>
      </c>
      <c r="I567" s="40">
        <v>6.1734703611106889E-2</v>
      </c>
      <c r="J567" s="40">
        <v>0.16826670778155073</v>
      </c>
    </row>
    <row r="568" spans="1:10" ht="11.25" customHeight="1" x14ac:dyDescent="0.2">
      <c r="A568" s="49">
        <v>44593</v>
      </c>
      <c r="B568" s="39">
        <v>0</v>
      </c>
      <c r="C568" s="39">
        <v>0</v>
      </c>
      <c r="D568" s="39">
        <v>966.64224000000002</v>
      </c>
      <c r="E568" s="39">
        <v>1187.7205017764691</v>
      </c>
      <c r="F568" s="39">
        <v>548.42255999999998</v>
      </c>
      <c r="G568" s="39">
        <v>582.27926419524454</v>
      </c>
      <c r="H568" s="40">
        <v>0.22870742931373345</v>
      </c>
      <c r="I568" s="40">
        <v>6.1734703611107111E-2</v>
      </c>
      <c r="J568" s="40">
        <v>0.16826670778155073</v>
      </c>
    </row>
    <row r="569" spans="1:10" ht="11.25" customHeight="1" x14ac:dyDescent="0.2">
      <c r="A569" s="49">
        <v>44621</v>
      </c>
      <c r="B569" s="39">
        <v>0</v>
      </c>
      <c r="C569" s="39">
        <v>0</v>
      </c>
      <c r="D569" s="39">
        <v>929.31255999999996</v>
      </c>
      <c r="E569" s="39">
        <v>1141.8532466265649</v>
      </c>
      <c r="F569" s="39">
        <v>527.24364000000003</v>
      </c>
      <c r="G569" s="39">
        <v>559.79286984624116</v>
      </c>
      <c r="H569" s="40">
        <v>0.22870742931373367</v>
      </c>
      <c r="I569" s="40">
        <v>6.1734703611106889E-2</v>
      </c>
      <c r="J569" s="40">
        <v>0.16826670778155095</v>
      </c>
    </row>
    <row r="570" spans="1:10" ht="11.25" customHeight="1" x14ac:dyDescent="0.2">
      <c r="A570" s="49">
        <v>44652</v>
      </c>
      <c r="B570" s="39">
        <v>0</v>
      </c>
      <c r="C570" s="39">
        <v>0</v>
      </c>
      <c r="D570" s="39">
        <v>940.60969999999998</v>
      </c>
      <c r="E570" s="39">
        <v>1155.7341264745623</v>
      </c>
      <c r="F570" s="39">
        <v>533.65305000000001</v>
      </c>
      <c r="G570" s="39">
        <v>566.59796287291329</v>
      </c>
      <c r="H570" s="40">
        <v>0.22870742931373389</v>
      </c>
      <c r="I570" s="40">
        <v>6.1734703611107111E-2</v>
      </c>
      <c r="J570" s="40">
        <v>0.16826670778155095</v>
      </c>
    </row>
    <row r="571" spans="1:10" ht="11.25" customHeight="1" x14ac:dyDescent="0.2">
      <c r="A571" s="49">
        <v>44682</v>
      </c>
      <c r="B571" s="39">
        <v>0</v>
      </c>
      <c r="C571" s="39">
        <v>0</v>
      </c>
      <c r="D571" s="39">
        <v>939.13616000000002</v>
      </c>
      <c r="E571" s="39">
        <v>1153.9235769291713</v>
      </c>
      <c r="F571" s="39">
        <v>532.81704000000002</v>
      </c>
      <c r="G571" s="39">
        <v>565.71034204334728</v>
      </c>
      <c r="H571" s="40">
        <v>0.22870742931373367</v>
      </c>
      <c r="I571" s="40">
        <v>6.1734703611106889E-2</v>
      </c>
      <c r="J571" s="40">
        <v>0.16826670778155095</v>
      </c>
    </row>
    <row r="572" spans="1:10" ht="11.25" customHeight="1" x14ac:dyDescent="0.2">
      <c r="A572" s="49">
        <v>44713</v>
      </c>
      <c r="B572" s="39">
        <v>0</v>
      </c>
      <c r="C572" s="39">
        <v>0</v>
      </c>
      <c r="D572" s="39">
        <v>601.69550000000004</v>
      </c>
      <c r="E572" s="39">
        <v>739.30773103464162</v>
      </c>
      <c r="F572" s="39">
        <v>341.37075000000004</v>
      </c>
      <c r="G572" s="39">
        <v>362.44517207275135</v>
      </c>
      <c r="H572" s="40">
        <v>0.22870742931373367</v>
      </c>
      <c r="I572" s="40">
        <v>6.1734703611106889E-2</v>
      </c>
      <c r="J572" s="40">
        <v>0.16826670778155073</v>
      </c>
    </row>
    <row r="573" spans="1:10" ht="11.25" customHeight="1" x14ac:dyDescent="0.2">
      <c r="A573" s="49">
        <v>44743</v>
      </c>
      <c r="B573" s="39">
        <v>0</v>
      </c>
      <c r="C573" s="39">
        <v>0</v>
      </c>
      <c r="D573" s="39">
        <v>994.14832000000001</v>
      </c>
      <c r="E573" s="39">
        <v>1221.5174266237671</v>
      </c>
      <c r="F573" s="39">
        <v>564.02808000000005</v>
      </c>
      <c r="G573" s="39">
        <v>598.84818634714168</v>
      </c>
      <c r="H573" s="40">
        <v>0.22870742931373367</v>
      </c>
      <c r="I573" s="40">
        <v>6.1734703611106889E-2</v>
      </c>
      <c r="J573" s="40">
        <v>0.16826670778155073</v>
      </c>
    </row>
    <row r="574" spans="1:10" ht="11.25" customHeight="1" x14ac:dyDescent="0.2">
      <c r="A574" s="49">
        <v>44774</v>
      </c>
      <c r="B574" s="39">
        <v>0</v>
      </c>
      <c r="C574" s="39">
        <v>0</v>
      </c>
      <c r="D574" s="39">
        <v>799.64103999999998</v>
      </c>
      <c r="E574" s="39">
        <v>982.52488663216047</v>
      </c>
      <c r="F574" s="39">
        <v>453.67475999999999</v>
      </c>
      <c r="G574" s="39">
        <v>481.68223684444001</v>
      </c>
      <c r="H574" s="40">
        <v>0.22870742931373367</v>
      </c>
      <c r="I574" s="40">
        <v>6.1734703611106889E-2</v>
      </c>
      <c r="J574" s="40">
        <v>0.16826670778155073</v>
      </c>
    </row>
    <row r="575" spans="1:10" ht="11.25" customHeight="1" x14ac:dyDescent="0.2">
      <c r="A575" s="49">
        <v>44805</v>
      </c>
      <c r="B575" s="39">
        <v>0</v>
      </c>
      <c r="C575" s="39">
        <v>0</v>
      </c>
      <c r="D575" s="39">
        <v>818.30588</v>
      </c>
      <c r="E575" s="39">
        <v>1005.4585142071126</v>
      </c>
      <c r="F575" s="39">
        <v>464.26422000000002</v>
      </c>
      <c r="G575" s="39">
        <v>492.9254340189417</v>
      </c>
      <c r="H575" s="40">
        <v>0.22870742931373367</v>
      </c>
      <c r="I575" s="40">
        <v>6.1734703611106889E-2</v>
      </c>
      <c r="J575" s="40">
        <v>0.16826670778155073</v>
      </c>
    </row>
    <row r="576" spans="1:10" ht="11.25" customHeight="1" x14ac:dyDescent="0.2">
      <c r="A576" s="49">
        <v>44835</v>
      </c>
      <c r="B576" s="39">
        <v>0</v>
      </c>
      <c r="C576" s="39">
        <v>0</v>
      </c>
      <c r="D576" s="39">
        <v>818.30588</v>
      </c>
      <c r="E576" s="39">
        <v>1005.4585142071126</v>
      </c>
      <c r="F576" s="39">
        <v>464.26422000000002</v>
      </c>
      <c r="G576" s="39">
        <v>492.9254340189417</v>
      </c>
      <c r="H576" s="40">
        <v>0.22870742931373367</v>
      </c>
      <c r="I576" s="40">
        <v>6.1734703611106889E-2</v>
      </c>
      <c r="J576" s="40">
        <v>0.16826670778155073</v>
      </c>
    </row>
    <row r="577" spans="1:10" ht="11.25" customHeight="1" x14ac:dyDescent="0.2">
      <c r="A577" s="48" t="s">
        <v>34</v>
      </c>
      <c r="B577" s="39">
        <v>0</v>
      </c>
      <c r="C577" s="39">
        <v>0</v>
      </c>
      <c r="D577" s="39">
        <v>14760.020249999998</v>
      </c>
      <c r="E577" s="39">
        <v>17690.981237780561</v>
      </c>
      <c r="F577" s="39">
        <v>8735.4135000000006</v>
      </c>
      <c r="G577" s="39">
        <v>9406.6109019863015</v>
      </c>
      <c r="H577" s="40">
        <v>0.19857432023377908</v>
      </c>
      <c r="I577" s="40">
        <v>7.6836362925040591E-2</v>
      </c>
      <c r="J577" s="40">
        <v>0.15331312577989187</v>
      </c>
    </row>
    <row r="578" spans="1:10" ht="11.25" customHeight="1" x14ac:dyDescent="0.2">
      <c r="A578" s="49">
        <v>44501</v>
      </c>
      <c r="B578" s="39">
        <v>0</v>
      </c>
      <c r="C578" s="39">
        <v>0</v>
      </c>
      <c r="D578" s="39">
        <v>1391.0711100000001</v>
      </c>
      <c r="E578" s="39">
        <v>1667.3021100650983</v>
      </c>
      <c r="F578" s="39">
        <v>823.27674000000002</v>
      </c>
      <c r="G578" s="39">
        <v>886.53433038238484</v>
      </c>
      <c r="H578" s="40">
        <v>0.19857432023377886</v>
      </c>
      <c r="I578" s="40">
        <v>7.6836362925041257E-2</v>
      </c>
      <c r="J578" s="40">
        <v>0.15331312577989187</v>
      </c>
    </row>
    <row r="579" spans="1:10" ht="11.25" customHeight="1" x14ac:dyDescent="0.2">
      <c r="A579" s="49">
        <v>44531</v>
      </c>
      <c r="B579" s="39">
        <v>0</v>
      </c>
      <c r="C579" s="39">
        <v>0</v>
      </c>
      <c r="D579" s="39">
        <v>1150.1217299999998</v>
      </c>
      <c r="E579" s="39">
        <v>1378.5063707208476</v>
      </c>
      <c r="F579" s="39">
        <v>680.67581999999993</v>
      </c>
      <c r="G579" s="39">
        <v>732.9764743398199</v>
      </c>
      <c r="H579" s="40">
        <v>0.19857432023377886</v>
      </c>
      <c r="I579" s="40">
        <v>7.6836362925041035E-2</v>
      </c>
      <c r="J579" s="40">
        <v>0.15331312577989165</v>
      </c>
    </row>
    <row r="580" spans="1:10" ht="11.25" customHeight="1" x14ac:dyDescent="0.2">
      <c r="A580" s="49">
        <v>44562</v>
      </c>
      <c r="B580" s="39">
        <v>0</v>
      </c>
      <c r="C580" s="39">
        <v>0</v>
      </c>
      <c r="D580" s="39">
        <v>1251.1408799999999</v>
      </c>
      <c r="E580" s="39">
        <v>1499.5853297626918</v>
      </c>
      <c r="F580" s="39">
        <v>740.46192000000008</v>
      </c>
      <c r="G580" s="39">
        <v>797.35632081729284</v>
      </c>
      <c r="H580" s="40">
        <v>0.19857432023377886</v>
      </c>
      <c r="I580" s="40">
        <v>7.6836362925041035E-2</v>
      </c>
      <c r="J580" s="40">
        <v>0.15331312577989165</v>
      </c>
    </row>
    <row r="581" spans="1:10" ht="11.25" customHeight="1" x14ac:dyDescent="0.2">
      <c r="A581" s="49">
        <v>44593</v>
      </c>
      <c r="B581" s="39">
        <v>0</v>
      </c>
      <c r="C581" s="39">
        <v>0</v>
      </c>
      <c r="D581" s="39">
        <v>1171.07385</v>
      </c>
      <c r="E581" s="39">
        <v>1403.6190437073042</v>
      </c>
      <c r="F581" s="39">
        <v>693.07590000000005</v>
      </c>
      <c r="G581" s="39">
        <v>746.32933138699957</v>
      </c>
      <c r="H581" s="40">
        <v>0.19857432023377886</v>
      </c>
      <c r="I581" s="40">
        <v>7.6836362925041035E-2</v>
      </c>
      <c r="J581" s="40">
        <v>0.15331312577989165</v>
      </c>
    </row>
    <row r="582" spans="1:10" ht="11.25" customHeight="1" x14ac:dyDescent="0.2">
      <c r="A582" s="49">
        <v>44621</v>
      </c>
      <c r="B582" s="39">
        <v>0</v>
      </c>
      <c r="C582" s="39">
        <v>0</v>
      </c>
      <c r="D582" s="39">
        <v>1126.9247399999999</v>
      </c>
      <c r="E582" s="39">
        <v>1350.703054200128</v>
      </c>
      <c r="F582" s="39">
        <v>666.94716000000005</v>
      </c>
      <c r="G582" s="39">
        <v>718.19295403758554</v>
      </c>
      <c r="H582" s="40">
        <v>0.19857432023377886</v>
      </c>
      <c r="I582" s="40">
        <v>7.6836362925041035E-2</v>
      </c>
      <c r="J582" s="40">
        <v>0.15331312577989165</v>
      </c>
    </row>
    <row r="583" spans="1:10" ht="11.25" customHeight="1" x14ac:dyDescent="0.2">
      <c r="A583" s="49">
        <v>44652</v>
      </c>
      <c r="B583" s="39">
        <v>0</v>
      </c>
      <c r="C583" s="39">
        <v>0</v>
      </c>
      <c r="D583" s="39">
        <v>1050.59916</v>
      </c>
      <c r="E583" s="39">
        <v>1259.221174035179</v>
      </c>
      <c r="F583" s="39">
        <v>621.77544</v>
      </c>
      <c r="G583" s="39">
        <v>669.5504033657171</v>
      </c>
      <c r="H583" s="40">
        <v>0.19857432023377886</v>
      </c>
      <c r="I583" s="40">
        <v>7.6836362925041035E-2</v>
      </c>
      <c r="J583" s="40">
        <v>0.15331312577989165</v>
      </c>
    </row>
    <row r="584" spans="1:10" ht="11.25" customHeight="1" x14ac:dyDescent="0.2">
      <c r="A584" s="49">
        <v>44682</v>
      </c>
      <c r="B584" s="39">
        <v>0</v>
      </c>
      <c r="C584" s="39">
        <v>0</v>
      </c>
      <c r="D584" s="39">
        <v>1322.9767199999999</v>
      </c>
      <c r="E584" s="39">
        <v>1585.6859228591145</v>
      </c>
      <c r="F584" s="39">
        <v>782.97648000000004</v>
      </c>
      <c r="G584" s="39">
        <v>843.1375449790512</v>
      </c>
      <c r="H584" s="40">
        <v>0.19857432023377908</v>
      </c>
      <c r="I584" s="40">
        <v>7.6836362925041035E-2</v>
      </c>
      <c r="J584" s="40">
        <v>0.15331312577989209</v>
      </c>
    </row>
    <row r="585" spans="1:10" ht="11.25" customHeight="1" x14ac:dyDescent="0.2">
      <c r="A585" s="49">
        <v>44713</v>
      </c>
      <c r="B585" s="39">
        <v>0</v>
      </c>
      <c r="C585" s="39">
        <v>0</v>
      </c>
      <c r="D585" s="39">
        <v>926.38301999999999</v>
      </c>
      <c r="E585" s="39">
        <v>1110.338898472615</v>
      </c>
      <c r="F585" s="39">
        <v>548.26067999999998</v>
      </c>
      <c r="G585" s="39">
        <v>590.3870365860098</v>
      </c>
      <c r="H585" s="40">
        <v>0.19857432023377863</v>
      </c>
      <c r="I585" s="40">
        <v>7.6836362925041035E-2</v>
      </c>
      <c r="J585" s="40">
        <v>0.15331312577989165</v>
      </c>
    </row>
    <row r="586" spans="1:10" ht="11.25" customHeight="1" x14ac:dyDescent="0.2">
      <c r="A586" s="49">
        <v>44743</v>
      </c>
      <c r="B586" s="39">
        <v>0</v>
      </c>
      <c r="C586" s="39">
        <v>0</v>
      </c>
      <c r="D586" s="39">
        <v>1488.34881</v>
      </c>
      <c r="E586" s="39">
        <v>1783.8966632165038</v>
      </c>
      <c r="F586" s="39">
        <v>880.84854000000007</v>
      </c>
      <c r="G586" s="39">
        <v>948.52973810143271</v>
      </c>
      <c r="H586" s="40">
        <v>0.19857432023377908</v>
      </c>
      <c r="I586" s="40">
        <v>7.6836362925041257E-2</v>
      </c>
      <c r="J586" s="40">
        <v>0.15331312577989187</v>
      </c>
    </row>
    <row r="587" spans="1:10" ht="11.25" customHeight="1" x14ac:dyDescent="0.2">
      <c r="A587" s="49">
        <v>44774</v>
      </c>
      <c r="B587" s="39">
        <v>0</v>
      </c>
      <c r="C587" s="39">
        <v>0</v>
      </c>
      <c r="D587" s="39">
        <v>1374.6087300000002</v>
      </c>
      <c r="E587" s="39">
        <v>1647.5707241471682</v>
      </c>
      <c r="F587" s="39">
        <v>813.53382000000011</v>
      </c>
      <c r="G587" s="39">
        <v>876.04279984531513</v>
      </c>
      <c r="H587" s="40">
        <v>0.19857432023377886</v>
      </c>
      <c r="I587" s="40">
        <v>7.6836362925041035E-2</v>
      </c>
      <c r="J587" s="40">
        <v>0.15331312577989165</v>
      </c>
    </row>
    <row r="588" spans="1:10" ht="11.25" customHeight="1" x14ac:dyDescent="0.2">
      <c r="A588" s="49">
        <v>44805</v>
      </c>
      <c r="B588" s="39">
        <v>0</v>
      </c>
      <c r="C588" s="39">
        <v>0</v>
      </c>
      <c r="D588" s="39">
        <v>1253.3857499999999</v>
      </c>
      <c r="E588" s="39">
        <v>1502.2759732969548</v>
      </c>
      <c r="F588" s="39">
        <v>741.79050000000007</v>
      </c>
      <c r="G588" s="39">
        <v>798.78698407234765</v>
      </c>
      <c r="H588" s="40">
        <v>0.19857432023377863</v>
      </c>
      <c r="I588" s="40">
        <v>7.6836362925041035E-2</v>
      </c>
      <c r="J588" s="40">
        <v>0.15331312577989142</v>
      </c>
    </row>
    <row r="589" spans="1:10" ht="11.25" customHeight="1" x14ac:dyDescent="0.2">
      <c r="A589" s="49">
        <v>44835</v>
      </c>
      <c r="B589" s="39">
        <v>0</v>
      </c>
      <c r="C589" s="39">
        <v>0</v>
      </c>
      <c r="D589" s="39">
        <v>1253.3857499999999</v>
      </c>
      <c r="E589" s="39">
        <v>1502.2759732969548</v>
      </c>
      <c r="F589" s="39">
        <v>741.79050000000007</v>
      </c>
      <c r="G589" s="39">
        <v>798.78698407234765</v>
      </c>
      <c r="H589" s="40">
        <v>0.19857432023377863</v>
      </c>
      <c r="I589" s="40">
        <v>7.6836362925041035E-2</v>
      </c>
      <c r="J589" s="40">
        <v>0.15331312577989142</v>
      </c>
    </row>
    <row r="590" spans="1:10" ht="11.25" customHeight="1" x14ac:dyDescent="0.2">
      <c r="A590" s="44" t="s">
        <v>38</v>
      </c>
      <c r="B590" s="39">
        <v>0</v>
      </c>
      <c r="C590" s="39">
        <v>0</v>
      </c>
      <c r="D590" s="39">
        <v>11899.805680000001</v>
      </c>
      <c r="E590" s="39">
        <v>15437.639071575266</v>
      </c>
      <c r="F590" s="39">
        <v>12374.684640000001</v>
      </c>
      <c r="G590" s="39">
        <v>13152.596507253105</v>
      </c>
      <c r="H590" s="40">
        <v>0.29730177842494521</v>
      </c>
      <c r="I590" s="40">
        <v>6.2863167012642052E-2</v>
      </c>
      <c r="J590" s="40">
        <v>0.17778932541675552</v>
      </c>
    </row>
    <row r="591" spans="1:10" ht="11.25" customHeight="1" x14ac:dyDescent="0.2">
      <c r="A591" s="45" t="s">
        <v>25</v>
      </c>
      <c r="B591" s="39">
        <v>0</v>
      </c>
      <c r="C591" s="39">
        <v>0</v>
      </c>
      <c r="D591" s="39">
        <v>11899.805680000001</v>
      </c>
      <c r="E591" s="39">
        <v>15437.639071575266</v>
      </c>
      <c r="F591" s="39">
        <v>12374.684640000001</v>
      </c>
      <c r="G591" s="39">
        <v>13152.596507253105</v>
      </c>
      <c r="H591" s="40">
        <v>0.29730177842494521</v>
      </c>
      <c r="I591" s="40">
        <v>6.2863167012642052E-2</v>
      </c>
      <c r="J591" s="40">
        <v>0.17778932541675552</v>
      </c>
    </row>
    <row r="592" spans="1:10" ht="11.25" customHeight="1" x14ac:dyDescent="0.2">
      <c r="A592" s="46" t="s">
        <v>25</v>
      </c>
      <c r="B592" s="39">
        <v>0</v>
      </c>
      <c r="C592" s="39">
        <v>0</v>
      </c>
      <c r="D592" s="39">
        <v>11899.805680000001</v>
      </c>
      <c r="E592" s="39">
        <v>15437.639071575266</v>
      </c>
      <c r="F592" s="39">
        <v>12374.684640000001</v>
      </c>
      <c r="G592" s="39">
        <v>13152.596507253105</v>
      </c>
      <c r="H592" s="40">
        <v>0.29730177842494521</v>
      </c>
      <c r="I592" s="40">
        <v>6.2863167012642052E-2</v>
      </c>
      <c r="J592" s="40">
        <v>0.17778932541675552</v>
      </c>
    </row>
    <row r="593" spans="1:10" ht="11.25" customHeight="1" x14ac:dyDescent="0.2">
      <c r="A593" s="47" t="s">
        <v>25</v>
      </c>
      <c r="B593" s="39">
        <v>0</v>
      </c>
      <c r="C593" s="39">
        <v>0</v>
      </c>
      <c r="D593" s="39">
        <v>11899.805680000001</v>
      </c>
      <c r="E593" s="39">
        <v>15437.639071575266</v>
      </c>
      <c r="F593" s="39">
        <v>12374.684640000001</v>
      </c>
      <c r="G593" s="39">
        <v>13152.596507253105</v>
      </c>
      <c r="H593" s="40">
        <v>0.29730177842494521</v>
      </c>
      <c r="I593" s="40">
        <v>6.2863167012642052E-2</v>
      </c>
      <c r="J593" s="40">
        <v>0.17778932541675552</v>
      </c>
    </row>
    <row r="594" spans="1:10" ht="11.25" customHeight="1" x14ac:dyDescent="0.2">
      <c r="A594" s="48" t="s">
        <v>35</v>
      </c>
      <c r="B594" s="39">
        <v>0</v>
      </c>
      <c r="C594" s="39">
        <v>0</v>
      </c>
      <c r="D594" s="39">
        <v>8962.0721599999997</v>
      </c>
      <c r="E594" s="39">
        <v>11875.104929363179</v>
      </c>
      <c r="F594" s="39">
        <v>10669.71696</v>
      </c>
      <c r="G594" s="39">
        <v>11328.40877414</v>
      </c>
      <c r="H594" s="40">
        <v>0.32504009311203519</v>
      </c>
      <c r="I594" s="40">
        <v>6.1734703611106667E-2</v>
      </c>
      <c r="J594" s="40">
        <v>0.18193576559277824</v>
      </c>
    </row>
    <row r="595" spans="1:10" ht="11.25" customHeight="1" x14ac:dyDescent="0.2">
      <c r="A595" s="49">
        <v>44501</v>
      </c>
      <c r="B595" s="39">
        <v>0</v>
      </c>
      <c r="C595" s="39">
        <v>0</v>
      </c>
      <c r="D595" s="39">
        <v>1559.1402699999999</v>
      </c>
      <c r="E595" s="39">
        <v>2065.9233685355234</v>
      </c>
      <c r="F595" s="39">
        <v>1856.2208700000003</v>
      </c>
      <c r="G595" s="39">
        <v>1970.8141152462013</v>
      </c>
      <c r="H595" s="40">
        <v>0.32504009311203519</v>
      </c>
      <c r="I595" s="40">
        <v>6.1734703611106889E-2</v>
      </c>
      <c r="J595" s="40">
        <v>0.18193576559277846</v>
      </c>
    </row>
    <row r="596" spans="1:10" ht="11.25" customHeight="1" x14ac:dyDescent="0.2">
      <c r="A596" s="49">
        <v>44531</v>
      </c>
      <c r="B596" s="39">
        <v>0</v>
      </c>
      <c r="C596" s="39">
        <v>0</v>
      </c>
      <c r="D596" s="39">
        <v>1737.7356799999998</v>
      </c>
      <c r="E596" s="39">
        <v>2302.5694472313057</v>
      </c>
      <c r="F596" s="39">
        <v>2068.8460799999998</v>
      </c>
      <c r="G596" s="39">
        <v>2196.5656795658006</v>
      </c>
      <c r="H596" s="40">
        <v>0.32504009311203541</v>
      </c>
      <c r="I596" s="40">
        <v>6.1734703611107111E-2</v>
      </c>
      <c r="J596" s="40">
        <v>0.18193576559277846</v>
      </c>
    </row>
    <row r="597" spans="1:10" ht="11.25" customHeight="1" x14ac:dyDescent="0.2">
      <c r="A597" s="49">
        <v>44562</v>
      </c>
      <c r="B597" s="39">
        <v>0</v>
      </c>
      <c r="C597" s="39">
        <v>0</v>
      </c>
      <c r="D597" s="39">
        <v>1783.6134</v>
      </c>
      <c r="E597" s="39">
        <v>2363.3592656118735</v>
      </c>
      <c r="F597" s="39">
        <v>2123.4654000000005</v>
      </c>
      <c r="G597" s="39">
        <v>2254.5569070974407</v>
      </c>
      <c r="H597" s="40">
        <v>0.32504009311203519</v>
      </c>
      <c r="I597" s="40">
        <v>6.1734703611106667E-2</v>
      </c>
      <c r="J597" s="40">
        <v>0.18193576559277846</v>
      </c>
    </row>
    <row r="598" spans="1:10" ht="11.25" customHeight="1" x14ac:dyDescent="0.2">
      <c r="A598" s="49">
        <v>44593</v>
      </c>
      <c r="B598" s="39">
        <v>0</v>
      </c>
      <c r="C598" s="39">
        <v>0</v>
      </c>
      <c r="D598" s="39">
        <v>1934.35448</v>
      </c>
      <c r="E598" s="39">
        <v>2563.0972402908824</v>
      </c>
      <c r="F598" s="39">
        <v>2302.9288800000004</v>
      </c>
      <c r="G598" s="39">
        <v>2445.0995118442584</v>
      </c>
      <c r="H598" s="40">
        <v>0.32504009311203519</v>
      </c>
      <c r="I598" s="40">
        <v>6.1734703611106667E-2</v>
      </c>
      <c r="J598" s="40">
        <v>0.18193576559277846</v>
      </c>
    </row>
    <row r="599" spans="1:10" ht="11.25" customHeight="1" x14ac:dyDescent="0.2">
      <c r="A599" s="49">
        <v>44621</v>
      </c>
      <c r="B599" s="39">
        <v>0</v>
      </c>
      <c r="C599" s="39">
        <v>0</v>
      </c>
      <c r="D599" s="39">
        <v>1633.5745299999999</v>
      </c>
      <c r="E599" s="39">
        <v>2164.551747336649</v>
      </c>
      <c r="F599" s="39">
        <v>1944.8379300000001</v>
      </c>
      <c r="G599" s="39">
        <v>2064.9019231801885</v>
      </c>
      <c r="H599" s="40">
        <v>0.32504009311203519</v>
      </c>
      <c r="I599" s="40">
        <v>6.1734703611106667E-2</v>
      </c>
      <c r="J599" s="40">
        <v>0.18193576559277846</v>
      </c>
    </row>
    <row r="600" spans="1:10" ht="11.25" customHeight="1" x14ac:dyDescent="0.2">
      <c r="A600" s="49">
        <v>44652</v>
      </c>
      <c r="B600" s="39">
        <v>0</v>
      </c>
      <c r="C600" s="39">
        <v>0</v>
      </c>
      <c r="D600" s="39">
        <v>39.089690000000004</v>
      </c>
      <c r="E600" s="39">
        <v>51.79540647732059</v>
      </c>
      <c r="F600" s="39">
        <v>46.537890000000004</v>
      </c>
      <c r="G600" s="39">
        <v>49.410892845836301</v>
      </c>
      <c r="H600" s="40">
        <v>0.32504009311203497</v>
      </c>
      <c r="I600" s="40">
        <v>6.1734703611106889E-2</v>
      </c>
      <c r="J600" s="40">
        <v>0.18193576559277824</v>
      </c>
    </row>
    <row r="601" spans="1:10" ht="11.25" customHeight="1" x14ac:dyDescent="0.2">
      <c r="A601" s="49">
        <v>44682</v>
      </c>
      <c r="B601" s="39">
        <v>0</v>
      </c>
      <c r="C601" s="39">
        <v>0</v>
      </c>
      <c r="D601" s="39">
        <v>36.514919999999996</v>
      </c>
      <c r="E601" s="39">
        <v>48.383732996778512</v>
      </c>
      <c r="F601" s="39">
        <v>43.472520000000003</v>
      </c>
      <c r="G601" s="39">
        <v>46.15628313742792</v>
      </c>
      <c r="H601" s="40">
        <v>0.32504009311203519</v>
      </c>
      <c r="I601" s="40">
        <v>6.1734703611106889E-2</v>
      </c>
      <c r="J601" s="40">
        <v>0.18193576559277869</v>
      </c>
    </row>
    <row r="602" spans="1:10" ht="11.25" customHeight="1" x14ac:dyDescent="0.2">
      <c r="A602" s="49">
        <v>44713</v>
      </c>
      <c r="B602" s="39">
        <v>0</v>
      </c>
      <c r="C602" s="39">
        <v>0</v>
      </c>
      <c r="D602" s="39">
        <v>33.706079999999993</v>
      </c>
      <c r="E602" s="39">
        <v>44.661907381641697</v>
      </c>
      <c r="F602" s="39">
        <v>40.128479999999996</v>
      </c>
      <c r="G602" s="39">
        <v>42.605799819164226</v>
      </c>
      <c r="H602" s="40">
        <v>0.32504009311203519</v>
      </c>
      <c r="I602" s="40">
        <v>6.1734703611106889E-2</v>
      </c>
      <c r="J602" s="40">
        <v>0.18193576559277846</v>
      </c>
    </row>
    <row r="603" spans="1:10" ht="11.25" customHeight="1" x14ac:dyDescent="0.2">
      <c r="A603" s="49">
        <v>44774</v>
      </c>
      <c r="B603" s="39">
        <v>0</v>
      </c>
      <c r="C603" s="39">
        <v>0</v>
      </c>
      <c r="D603" s="39">
        <v>55.474589999999999</v>
      </c>
      <c r="E603" s="39">
        <v>73.506055898951956</v>
      </c>
      <c r="F603" s="39">
        <v>66.044790000000006</v>
      </c>
      <c r="G603" s="39">
        <v>70.122045535707798</v>
      </c>
      <c r="H603" s="40">
        <v>0.32504009311203474</v>
      </c>
      <c r="I603" s="40">
        <v>6.1734703611106889E-2</v>
      </c>
      <c r="J603" s="40">
        <v>0.18193576559277824</v>
      </c>
    </row>
    <row r="604" spans="1:10" ht="11.25" customHeight="1" x14ac:dyDescent="0.2">
      <c r="A604" s="49">
        <v>44805</v>
      </c>
      <c r="B604" s="39">
        <v>0</v>
      </c>
      <c r="C604" s="39">
        <v>0</v>
      </c>
      <c r="D604" s="39">
        <v>74.434259999999995</v>
      </c>
      <c r="E604" s="39">
        <v>98.628378801125422</v>
      </c>
      <c r="F604" s="39">
        <v>88.617060000000009</v>
      </c>
      <c r="G604" s="39">
        <v>94.087807933987676</v>
      </c>
      <c r="H604" s="40">
        <v>0.32504009311203519</v>
      </c>
      <c r="I604" s="40">
        <v>6.1734703611106889E-2</v>
      </c>
      <c r="J604" s="40">
        <v>0.18193576559277846</v>
      </c>
    </row>
    <row r="605" spans="1:10" ht="11.25" customHeight="1" x14ac:dyDescent="0.2">
      <c r="A605" s="49">
        <v>44835</v>
      </c>
      <c r="B605" s="39">
        <v>0</v>
      </c>
      <c r="C605" s="39">
        <v>0</v>
      </c>
      <c r="D605" s="39">
        <v>74.434259999999995</v>
      </c>
      <c r="E605" s="39">
        <v>98.628378801125422</v>
      </c>
      <c r="F605" s="39">
        <v>88.617060000000009</v>
      </c>
      <c r="G605" s="39">
        <v>94.087807933987676</v>
      </c>
      <c r="H605" s="40">
        <v>0.32504009311203519</v>
      </c>
      <c r="I605" s="40">
        <v>6.1734703611106889E-2</v>
      </c>
      <c r="J605" s="40">
        <v>0.18193576559277846</v>
      </c>
    </row>
    <row r="606" spans="1:10" ht="11.25" customHeight="1" x14ac:dyDescent="0.2">
      <c r="A606" s="48" t="s">
        <v>36</v>
      </c>
      <c r="B606" s="39">
        <v>0</v>
      </c>
      <c r="C606" s="39">
        <v>0</v>
      </c>
      <c r="D606" s="39">
        <v>1375.3040000000003</v>
      </c>
      <c r="E606" s="39">
        <v>1689.8462423648957</v>
      </c>
      <c r="F606" s="39">
        <v>780.27600000000018</v>
      </c>
      <c r="G606" s="39">
        <v>828.44610759486</v>
      </c>
      <c r="H606" s="40">
        <v>0.22870742931373389</v>
      </c>
      <c r="I606" s="40">
        <v>6.1734703611106445E-2</v>
      </c>
      <c r="J606" s="40">
        <v>0.16826670778155073</v>
      </c>
    </row>
    <row r="607" spans="1:10" ht="11.25" customHeight="1" x14ac:dyDescent="0.2">
      <c r="A607" s="49">
        <v>44501</v>
      </c>
      <c r="B607" s="39">
        <v>0</v>
      </c>
      <c r="C607" s="39">
        <v>0</v>
      </c>
      <c r="D607" s="39">
        <v>217.59273999999999</v>
      </c>
      <c r="E607" s="39">
        <v>267.35781620273167</v>
      </c>
      <c r="F607" s="39">
        <v>123.45081000000002</v>
      </c>
      <c r="G607" s="39">
        <v>131.07200916590108</v>
      </c>
      <c r="H607" s="40">
        <v>0.22870742931373389</v>
      </c>
      <c r="I607" s="40">
        <v>6.1734703611106889E-2</v>
      </c>
      <c r="J607" s="40">
        <v>0.16826670778155095</v>
      </c>
    </row>
    <row r="608" spans="1:10" ht="11.25" customHeight="1" x14ac:dyDescent="0.2">
      <c r="A608" s="49">
        <v>44531</v>
      </c>
      <c r="B608" s="39">
        <v>0</v>
      </c>
      <c r="C608" s="39">
        <v>0</v>
      </c>
      <c r="D608" s="39">
        <v>269.65782000000002</v>
      </c>
      <c r="E608" s="39">
        <v>331.33056680654551</v>
      </c>
      <c r="F608" s="39">
        <v>152.98983000000001</v>
      </c>
      <c r="G608" s="39">
        <v>162.43461181056364</v>
      </c>
      <c r="H608" s="40">
        <v>0.22870742931373345</v>
      </c>
      <c r="I608" s="40">
        <v>6.1734703611106889E-2</v>
      </c>
      <c r="J608" s="40">
        <v>0.16826670778155073</v>
      </c>
    </row>
    <row r="609" spans="1:10" ht="11.25" customHeight="1" x14ac:dyDescent="0.2">
      <c r="A609" s="49">
        <v>44562</v>
      </c>
      <c r="B609" s="39">
        <v>0</v>
      </c>
      <c r="C609" s="39">
        <v>0</v>
      </c>
      <c r="D609" s="39">
        <v>222.99572000000001</v>
      </c>
      <c r="E609" s="39">
        <v>273.99649786916518</v>
      </c>
      <c r="F609" s="39">
        <v>126.51618000000002</v>
      </c>
      <c r="G609" s="39">
        <v>134.32661887430947</v>
      </c>
      <c r="H609" s="40">
        <v>0.22870742931373389</v>
      </c>
      <c r="I609" s="40">
        <v>6.1734703611106889E-2</v>
      </c>
      <c r="J609" s="40">
        <v>0.16826670778155095</v>
      </c>
    </row>
    <row r="610" spans="1:10" ht="11.25" customHeight="1" x14ac:dyDescent="0.2">
      <c r="A610" s="49">
        <v>44593</v>
      </c>
      <c r="B610" s="39">
        <v>0</v>
      </c>
      <c r="C610" s="39">
        <v>0</v>
      </c>
      <c r="D610" s="39">
        <v>241.66056</v>
      </c>
      <c r="E610" s="39">
        <v>296.93012544411732</v>
      </c>
      <c r="F610" s="39">
        <v>137.10564000000002</v>
      </c>
      <c r="G610" s="39">
        <v>145.56981604881113</v>
      </c>
      <c r="H610" s="40">
        <v>0.22870742931373367</v>
      </c>
      <c r="I610" s="40">
        <v>6.1734703611106889E-2</v>
      </c>
      <c r="J610" s="40">
        <v>0.16826670778155073</v>
      </c>
    </row>
    <row r="611" spans="1:10" ht="11.25" customHeight="1" x14ac:dyDescent="0.2">
      <c r="A611" s="49">
        <v>44621</v>
      </c>
      <c r="B611" s="39">
        <v>0</v>
      </c>
      <c r="C611" s="39">
        <v>0</v>
      </c>
      <c r="D611" s="39">
        <v>246.57236</v>
      </c>
      <c r="E611" s="39">
        <v>302.96529059542053</v>
      </c>
      <c r="F611" s="39">
        <v>139.89234000000002</v>
      </c>
      <c r="G611" s="39">
        <v>148.52855214736419</v>
      </c>
      <c r="H611" s="40">
        <v>0.22870742931373389</v>
      </c>
      <c r="I611" s="40">
        <v>6.1734703611106667E-2</v>
      </c>
      <c r="J611" s="40">
        <v>0.16826670778155095</v>
      </c>
    </row>
    <row r="612" spans="1:10" ht="11.25" customHeight="1" x14ac:dyDescent="0.2">
      <c r="A612" s="49">
        <v>44652</v>
      </c>
      <c r="B612" s="39">
        <v>0</v>
      </c>
      <c r="C612" s="39">
        <v>0</v>
      </c>
      <c r="D612" s="39">
        <v>25.050179999999997</v>
      </c>
      <c r="E612" s="39">
        <v>30.779342271646303</v>
      </c>
      <c r="F612" s="39">
        <v>14.21217</v>
      </c>
      <c r="G612" s="39">
        <v>15.089554102620664</v>
      </c>
      <c r="H612" s="40">
        <v>0.22870742931373367</v>
      </c>
      <c r="I612" s="40">
        <v>6.1734703611106667E-2</v>
      </c>
      <c r="J612" s="40">
        <v>0.16826670778155073</v>
      </c>
    </row>
    <row r="613" spans="1:10" ht="11.25" customHeight="1" x14ac:dyDescent="0.2">
      <c r="A613" s="49">
        <v>44682</v>
      </c>
      <c r="B613" s="39">
        <v>0</v>
      </c>
      <c r="C613" s="39">
        <v>0</v>
      </c>
      <c r="D613" s="39">
        <v>27.997260000000001</v>
      </c>
      <c r="E613" s="39">
        <v>34.400441362428225</v>
      </c>
      <c r="F613" s="39">
        <v>15.884190000000002</v>
      </c>
      <c r="G613" s="39">
        <v>16.864795761752507</v>
      </c>
      <c r="H613" s="40">
        <v>0.22870742931373367</v>
      </c>
      <c r="I613" s="40">
        <v>6.1734703611106667E-2</v>
      </c>
      <c r="J613" s="40">
        <v>0.16826670778155073</v>
      </c>
    </row>
    <row r="614" spans="1:10" ht="11.25" customHeight="1" x14ac:dyDescent="0.2">
      <c r="A614" s="49">
        <v>44713</v>
      </c>
      <c r="B614" s="39">
        <v>0</v>
      </c>
      <c r="C614" s="39">
        <v>0</v>
      </c>
      <c r="D614" s="39">
        <v>29.470800000000001</v>
      </c>
      <c r="E614" s="39">
        <v>36.210990907819181</v>
      </c>
      <c r="F614" s="39">
        <v>16.720200000000002</v>
      </c>
      <c r="G614" s="39">
        <v>17.752416591318429</v>
      </c>
      <c r="H614" s="40">
        <v>0.22870742931373367</v>
      </c>
      <c r="I614" s="40">
        <v>6.1734703611106667E-2</v>
      </c>
      <c r="J614" s="40">
        <v>0.16826670778155073</v>
      </c>
    </row>
    <row r="615" spans="1:10" ht="11.25" customHeight="1" x14ac:dyDescent="0.2">
      <c r="A615" s="49">
        <v>44774</v>
      </c>
      <c r="B615" s="39">
        <v>0</v>
      </c>
      <c r="C615" s="39">
        <v>0</v>
      </c>
      <c r="D615" s="39">
        <v>30.45316</v>
      </c>
      <c r="E615" s="39">
        <v>37.41802393807982</v>
      </c>
      <c r="F615" s="39">
        <v>17.277540000000002</v>
      </c>
      <c r="G615" s="39">
        <v>18.344163811029045</v>
      </c>
      <c r="H615" s="40">
        <v>0.22870742931373367</v>
      </c>
      <c r="I615" s="40">
        <v>6.1734703611106889E-2</v>
      </c>
      <c r="J615" s="40">
        <v>0.16826670778155073</v>
      </c>
    </row>
    <row r="616" spans="1:10" ht="11.25" customHeight="1" x14ac:dyDescent="0.2">
      <c r="A616" s="49">
        <v>44805</v>
      </c>
      <c r="B616" s="39">
        <v>0</v>
      </c>
      <c r="C616" s="39">
        <v>0</v>
      </c>
      <c r="D616" s="39">
        <v>31.9267</v>
      </c>
      <c r="E616" s="39">
        <v>39.228573483470782</v>
      </c>
      <c r="F616" s="39">
        <v>18.11355</v>
      </c>
      <c r="G616" s="39">
        <v>19.231784640594967</v>
      </c>
      <c r="H616" s="40">
        <v>0.22870742931373367</v>
      </c>
      <c r="I616" s="40">
        <v>6.1734703611106889E-2</v>
      </c>
      <c r="J616" s="40">
        <v>0.16826670778155073</v>
      </c>
    </row>
    <row r="617" spans="1:10" ht="11.25" customHeight="1" x14ac:dyDescent="0.2">
      <c r="A617" s="49">
        <v>44835</v>
      </c>
      <c r="B617" s="39">
        <v>0</v>
      </c>
      <c r="C617" s="39">
        <v>0</v>
      </c>
      <c r="D617" s="39">
        <v>31.9267</v>
      </c>
      <c r="E617" s="39">
        <v>39.228573483470782</v>
      </c>
      <c r="F617" s="39">
        <v>18.11355</v>
      </c>
      <c r="G617" s="39">
        <v>19.231784640594967</v>
      </c>
      <c r="H617" s="40">
        <v>0.22870742931373367</v>
      </c>
      <c r="I617" s="40">
        <v>6.1734703611106889E-2</v>
      </c>
      <c r="J617" s="40">
        <v>0.16826670778155073</v>
      </c>
    </row>
    <row r="618" spans="1:10" ht="11.25" customHeight="1" x14ac:dyDescent="0.2">
      <c r="A618" s="48" t="s">
        <v>34</v>
      </c>
      <c r="B618" s="39">
        <v>0</v>
      </c>
      <c r="C618" s="39">
        <v>0</v>
      </c>
      <c r="D618" s="39">
        <v>1562.4295199999997</v>
      </c>
      <c r="E618" s="39">
        <v>1872.6878998471896</v>
      </c>
      <c r="F618" s="39">
        <v>924.69167999999991</v>
      </c>
      <c r="G618" s="39">
        <v>995.74162551824611</v>
      </c>
      <c r="H618" s="40">
        <v>0.1985743202337793</v>
      </c>
      <c r="I618" s="40">
        <v>7.6836362925041257E-2</v>
      </c>
      <c r="J618" s="40">
        <v>0.15331312577989209</v>
      </c>
    </row>
    <row r="619" spans="1:10" ht="11.25" customHeight="1" x14ac:dyDescent="0.2">
      <c r="A619" s="49">
        <v>44501</v>
      </c>
      <c r="B619" s="39">
        <v>0</v>
      </c>
      <c r="C619" s="39">
        <v>0</v>
      </c>
      <c r="D619" s="39">
        <v>248.43227999999999</v>
      </c>
      <c r="E619" s="39">
        <v>297.76455112512781</v>
      </c>
      <c r="F619" s="39">
        <v>147.02951999999999</v>
      </c>
      <c r="G619" s="39">
        <v>158.32673355941461</v>
      </c>
      <c r="H619" s="40">
        <v>0.19857432023377886</v>
      </c>
      <c r="I619" s="40">
        <v>7.6836362925041257E-2</v>
      </c>
      <c r="J619" s="40">
        <v>0.15331312577989187</v>
      </c>
    </row>
    <row r="620" spans="1:10" ht="11.25" customHeight="1" x14ac:dyDescent="0.2">
      <c r="A620" s="49">
        <v>44531</v>
      </c>
      <c r="B620" s="39">
        <v>0</v>
      </c>
      <c r="C620" s="39">
        <v>0</v>
      </c>
      <c r="D620" s="39">
        <v>297.81941999999998</v>
      </c>
      <c r="E620" s="39">
        <v>356.95870887891829</v>
      </c>
      <c r="F620" s="39">
        <v>176.25828000000001</v>
      </c>
      <c r="G620" s="39">
        <v>189.80132517062353</v>
      </c>
      <c r="H620" s="40">
        <v>0.19857432023377886</v>
      </c>
      <c r="I620" s="40">
        <v>7.6836362925041035E-2</v>
      </c>
      <c r="J620" s="40">
        <v>0.15331312577989187</v>
      </c>
    </row>
    <row r="621" spans="1:10" ht="11.25" customHeight="1" x14ac:dyDescent="0.2">
      <c r="A621" s="49">
        <v>44562</v>
      </c>
      <c r="B621" s="39">
        <v>0</v>
      </c>
      <c r="C621" s="39">
        <v>0</v>
      </c>
      <c r="D621" s="39">
        <v>225.23528999999999</v>
      </c>
      <c r="E621" s="39">
        <v>269.96123460440805</v>
      </c>
      <c r="F621" s="39">
        <v>133.30086</v>
      </c>
      <c r="G621" s="39">
        <v>143.54321325718013</v>
      </c>
      <c r="H621" s="40">
        <v>0.19857432023377886</v>
      </c>
      <c r="I621" s="40">
        <v>7.6836362925041257E-2</v>
      </c>
      <c r="J621" s="40">
        <v>0.15331312577989187</v>
      </c>
    </row>
    <row r="622" spans="1:10" ht="11.25" customHeight="1" x14ac:dyDescent="0.2">
      <c r="A622" s="49">
        <v>44593</v>
      </c>
      <c r="B622" s="39">
        <v>0</v>
      </c>
      <c r="C622" s="39">
        <v>0</v>
      </c>
      <c r="D622" s="39">
        <v>139.93022999999999</v>
      </c>
      <c r="E622" s="39">
        <v>167.71678030240633</v>
      </c>
      <c r="F622" s="39">
        <v>82.814819999999997</v>
      </c>
      <c r="G622" s="39">
        <v>89.178009565091969</v>
      </c>
      <c r="H622" s="40">
        <v>0.19857432023377886</v>
      </c>
      <c r="I622" s="40">
        <v>7.6836362925041257E-2</v>
      </c>
      <c r="J622" s="40">
        <v>0.15331312577989187</v>
      </c>
    </row>
    <row r="623" spans="1:10" ht="11.25" customHeight="1" x14ac:dyDescent="0.2">
      <c r="A623" s="49">
        <v>44621</v>
      </c>
      <c r="B623" s="39">
        <v>0</v>
      </c>
      <c r="C623" s="39">
        <v>0</v>
      </c>
      <c r="D623" s="39">
        <v>192.31052999999997</v>
      </c>
      <c r="E623" s="39">
        <v>230.49846276854771</v>
      </c>
      <c r="F623" s="39">
        <v>113.81502</v>
      </c>
      <c r="G623" s="39">
        <v>122.56015218304083</v>
      </c>
      <c r="H623" s="40">
        <v>0.19857432023377886</v>
      </c>
      <c r="I623" s="40">
        <v>7.6836362925041257E-2</v>
      </c>
      <c r="J623" s="40">
        <v>0.15331312577989187</v>
      </c>
    </row>
    <row r="624" spans="1:10" ht="11.25" customHeight="1" x14ac:dyDescent="0.2">
      <c r="A624" s="49">
        <v>44652</v>
      </c>
      <c r="B624" s="39">
        <v>0</v>
      </c>
      <c r="C624" s="39">
        <v>0</v>
      </c>
      <c r="D624" s="39">
        <v>74.080709999999996</v>
      </c>
      <c r="E624" s="39">
        <v>88.791236630685702</v>
      </c>
      <c r="F624" s="39">
        <v>43.843140000000005</v>
      </c>
      <c r="G624" s="39">
        <v>47.211887416813397</v>
      </c>
      <c r="H624" s="40">
        <v>0.19857432023377886</v>
      </c>
      <c r="I624" s="40">
        <v>7.6836362925041257E-2</v>
      </c>
      <c r="J624" s="40">
        <v>0.15331312577989187</v>
      </c>
    </row>
    <row r="625" spans="1:10" ht="11.25" customHeight="1" x14ac:dyDescent="0.2">
      <c r="A625" s="49">
        <v>44682</v>
      </c>
      <c r="B625" s="39">
        <v>0</v>
      </c>
      <c r="C625" s="39">
        <v>0</v>
      </c>
      <c r="D625" s="39">
        <v>72.584130000000002</v>
      </c>
      <c r="E625" s="39">
        <v>86.997474274510239</v>
      </c>
      <c r="F625" s="39">
        <v>42.957419999999999</v>
      </c>
      <c r="G625" s="39">
        <v>46.258111913443429</v>
      </c>
      <c r="H625" s="40">
        <v>0.19857432023377886</v>
      </c>
      <c r="I625" s="40">
        <v>7.6836362925041257E-2</v>
      </c>
      <c r="J625" s="40">
        <v>0.15331312577989187</v>
      </c>
    </row>
    <row r="626" spans="1:10" ht="11.25" customHeight="1" x14ac:dyDescent="0.2">
      <c r="A626" s="49">
        <v>44713</v>
      </c>
      <c r="B626" s="39">
        <v>0</v>
      </c>
      <c r="C626" s="39">
        <v>0</v>
      </c>
      <c r="D626" s="39">
        <v>67.346099999999993</v>
      </c>
      <c r="E626" s="39">
        <v>80.719306027896096</v>
      </c>
      <c r="F626" s="39">
        <v>39.857399999999998</v>
      </c>
      <c r="G626" s="39">
        <v>42.919897651648533</v>
      </c>
      <c r="H626" s="40">
        <v>0.19857432023377908</v>
      </c>
      <c r="I626" s="40">
        <v>7.6836362925041035E-2</v>
      </c>
      <c r="J626" s="40">
        <v>0.15331312577989187</v>
      </c>
    </row>
    <row r="627" spans="1:10" ht="11.25" customHeight="1" x14ac:dyDescent="0.2">
      <c r="A627" s="49">
        <v>44774</v>
      </c>
      <c r="B627" s="39">
        <v>0</v>
      </c>
      <c r="C627" s="39">
        <v>0</v>
      </c>
      <c r="D627" s="39">
        <v>77.073869999999985</v>
      </c>
      <c r="E627" s="39">
        <v>92.378761343036643</v>
      </c>
      <c r="F627" s="39">
        <v>45.614579999999997</v>
      </c>
      <c r="G627" s="39">
        <v>49.119438423553326</v>
      </c>
      <c r="H627" s="40">
        <v>0.19857432023377908</v>
      </c>
      <c r="I627" s="40">
        <v>7.6836362925041257E-2</v>
      </c>
      <c r="J627" s="40">
        <v>0.15331312577989209</v>
      </c>
    </row>
    <row r="628" spans="1:10" ht="11.25" customHeight="1" x14ac:dyDescent="0.2">
      <c r="A628" s="49">
        <v>44805</v>
      </c>
      <c r="B628" s="39">
        <v>0</v>
      </c>
      <c r="C628" s="39">
        <v>0</v>
      </c>
      <c r="D628" s="39">
        <v>83.808480000000003</v>
      </c>
      <c r="E628" s="39">
        <v>100.45069194582625</v>
      </c>
      <c r="F628" s="39">
        <v>49.600320000000004</v>
      </c>
      <c r="G628" s="39">
        <v>53.411428188718183</v>
      </c>
      <c r="H628" s="40">
        <v>0.19857432023377886</v>
      </c>
      <c r="I628" s="40">
        <v>7.6836362925041257E-2</v>
      </c>
      <c r="J628" s="40">
        <v>0.15331312577989165</v>
      </c>
    </row>
    <row r="629" spans="1:10" ht="11.25" customHeight="1" x14ac:dyDescent="0.2">
      <c r="A629" s="49">
        <v>44835</v>
      </c>
      <c r="B629" s="39">
        <v>0</v>
      </c>
      <c r="C629" s="39">
        <v>0</v>
      </c>
      <c r="D629" s="39">
        <v>83.808480000000003</v>
      </c>
      <c r="E629" s="39">
        <v>100.45069194582625</v>
      </c>
      <c r="F629" s="39">
        <v>49.600320000000004</v>
      </c>
      <c r="G629" s="39">
        <v>53.411428188718183</v>
      </c>
      <c r="H629" s="40">
        <v>0.19857432023377886</v>
      </c>
      <c r="I629" s="40">
        <v>7.6836362925041257E-2</v>
      </c>
      <c r="J629" s="40">
        <v>0.15331312577989165</v>
      </c>
    </row>
    <row r="630" spans="1:10" ht="11.25" customHeight="1" x14ac:dyDescent="0.2">
      <c r="A630" s="44" t="s">
        <v>50</v>
      </c>
      <c r="B630" s="39">
        <v>0</v>
      </c>
      <c r="C630" s="39">
        <v>0</v>
      </c>
      <c r="D630" s="39">
        <v>11529.531516400004</v>
      </c>
      <c r="E630" s="39">
        <v>15217.980810667357</v>
      </c>
      <c r="F630" s="39">
        <v>13419.301998600005</v>
      </c>
      <c r="G630" s="39">
        <v>14250.80651320096</v>
      </c>
      <c r="H630" s="40">
        <v>0.31991319760224224</v>
      </c>
      <c r="I630" s="40">
        <v>6.196332079624578E-2</v>
      </c>
      <c r="J630" s="40">
        <v>0.18116894347588519</v>
      </c>
    </row>
    <row r="631" spans="1:10" ht="11.25" customHeight="1" x14ac:dyDescent="0.2">
      <c r="A631" s="45" t="s">
        <v>51</v>
      </c>
      <c r="B631" s="39">
        <v>0</v>
      </c>
      <c r="C631" s="39">
        <v>0</v>
      </c>
      <c r="D631" s="39">
        <v>11529.531516400004</v>
      </c>
      <c r="E631" s="39">
        <v>15217.980810667357</v>
      </c>
      <c r="F631" s="39">
        <v>13419.301998600005</v>
      </c>
      <c r="G631" s="39">
        <v>14250.80651320096</v>
      </c>
      <c r="H631" s="40">
        <v>0.31991319760224224</v>
      </c>
      <c r="I631" s="40">
        <v>6.196332079624578E-2</v>
      </c>
      <c r="J631" s="40">
        <v>0.18116894347588519</v>
      </c>
    </row>
    <row r="632" spans="1:10" ht="11.25" customHeight="1" x14ac:dyDescent="0.2">
      <c r="A632" s="46" t="s">
        <v>25</v>
      </c>
      <c r="B632" s="39">
        <v>0</v>
      </c>
      <c r="C632" s="39">
        <v>0</v>
      </c>
      <c r="D632" s="39">
        <v>11529.531516400004</v>
      </c>
      <c r="E632" s="39">
        <v>15217.980810667357</v>
      </c>
      <c r="F632" s="39">
        <v>13419.301998600005</v>
      </c>
      <c r="G632" s="39">
        <v>14250.80651320096</v>
      </c>
      <c r="H632" s="40">
        <v>0.31991319760224224</v>
      </c>
      <c r="I632" s="40">
        <v>6.196332079624578E-2</v>
      </c>
      <c r="J632" s="40">
        <v>0.18116894347588519</v>
      </c>
    </row>
    <row r="633" spans="1:10" ht="11.25" customHeight="1" x14ac:dyDescent="0.2">
      <c r="A633" s="47" t="s">
        <v>25</v>
      </c>
      <c r="B633" s="39">
        <v>0</v>
      </c>
      <c r="C633" s="39">
        <v>0</v>
      </c>
      <c r="D633" s="39">
        <v>11529.531516400004</v>
      </c>
      <c r="E633" s="39">
        <v>15217.980810667357</v>
      </c>
      <c r="F633" s="39">
        <v>13419.301998600005</v>
      </c>
      <c r="G633" s="39">
        <v>14250.80651320096</v>
      </c>
      <c r="H633" s="40">
        <v>0.31991319760224224</v>
      </c>
      <c r="I633" s="40">
        <v>6.196332079624578E-2</v>
      </c>
      <c r="J633" s="40">
        <v>0.18116894347588519</v>
      </c>
    </row>
    <row r="634" spans="1:10" ht="11.25" customHeight="1" x14ac:dyDescent="0.2">
      <c r="A634" s="48" t="s">
        <v>35</v>
      </c>
      <c r="B634" s="39">
        <v>0</v>
      </c>
      <c r="C634" s="39">
        <v>0</v>
      </c>
      <c r="D634" s="39">
        <v>11023.292580000001</v>
      </c>
      <c r="E634" s="39">
        <v>14606.304626604406</v>
      </c>
      <c r="F634" s="39">
        <v>13123.684980000002</v>
      </c>
      <c r="G634" s="39">
        <v>13933.871782525835</v>
      </c>
      <c r="H634" s="40">
        <v>0.32504009311203497</v>
      </c>
      <c r="I634" s="40">
        <v>6.1734703611106667E-2</v>
      </c>
      <c r="J634" s="40">
        <v>0.18193576559277824</v>
      </c>
    </row>
    <row r="635" spans="1:10" ht="11.25" customHeight="1" x14ac:dyDescent="0.2">
      <c r="A635" s="49">
        <v>44682</v>
      </c>
      <c r="B635" s="39">
        <v>0</v>
      </c>
      <c r="C635" s="39">
        <v>0</v>
      </c>
      <c r="D635" s="39">
        <v>2380.0190785999998</v>
      </c>
      <c r="E635" s="39">
        <v>3153.6207015165637</v>
      </c>
      <c r="F635" s="39">
        <v>2833.5109866000003</v>
      </c>
      <c r="G635" s="39">
        <v>3008.4369475365661</v>
      </c>
      <c r="H635" s="40">
        <v>0.32504009311203519</v>
      </c>
      <c r="I635" s="40">
        <v>6.1734703611106889E-2</v>
      </c>
      <c r="J635" s="40">
        <v>0.18193576559277824</v>
      </c>
    </row>
    <row r="636" spans="1:10" ht="11.25" customHeight="1" x14ac:dyDescent="0.2">
      <c r="A636" s="49">
        <v>44713</v>
      </c>
      <c r="B636" s="39">
        <v>0</v>
      </c>
      <c r="C636" s="39">
        <v>0</v>
      </c>
      <c r="D636" s="39">
        <v>1572.084341</v>
      </c>
      <c r="E636" s="39">
        <v>2083.0747815786121</v>
      </c>
      <c r="F636" s="39">
        <v>1871.6313210000003</v>
      </c>
      <c r="G636" s="39">
        <v>1987.1759258711995</v>
      </c>
      <c r="H636" s="40">
        <v>0.32504009311203497</v>
      </c>
      <c r="I636" s="40">
        <v>6.1734703611106667E-2</v>
      </c>
      <c r="J636" s="40">
        <v>0.18193576559277824</v>
      </c>
    </row>
    <row r="637" spans="1:10" ht="11.25" customHeight="1" x14ac:dyDescent="0.2">
      <c r="A637" s="49">
        <v>44743</v>
      </c>
      <c r="B637" s="39">
        <v>0</v>
      </c>
      <c r="C637" s="39">
        <v>0</v>
      </c>
      <c r="D637" s="39">
        <v>1601.3477723999999</v>
      </c>
      <c r="E637" s="39">
        <v>2121.8500014456458</v>
      </c>
      <c r="F637" s="39">
        <v>1906.4706444000001</v>
      </c>
      <c r="G637" s="39">
        <v>2024.1660445753098</v>
      </c>
      <c r="H637" s="40">
        <v>0.32504009311203497</v>
      </c>
      <c r="I637" s="40">
        <v>6.1734703611106667E-2</v>
      </c>
      <c r="J637" s="40">
        <v>0.18193576559277824</v>
      </c>
    </row>
    <row r="638" spans="1:10" ht="11.25" customHeight="1" x14ac:dyDescent="0.2">
      <c r="A638" s="49">
        <v>44774</v>
      </c>
      <c r="B638" s="39">
        <v>0</v>
      </c>
      <c r="C638" s="39">
        <v>0</v>
      </c>
      <c r="D638" s="39">
        <v>1827.0942431999999</v>
      </c>
      <c r="E638" s="39">
        <v>2420.9731261341913</v>
      </c>
      <c r="F638" s="39">
        <v>2175.2311392000001</v>
      </c>
      <c r="G638" s="39">
        <v>2309.5183888641627</v>
      </c>
      <c r="H638" s="40">
        <v>0.32504009311203519</v>
      </c>
      <c r="I638" s="40">
        <v>6.1734703611106889E-2</v>
      </c>
      <c r="J638" s="40">
        <v>0.18193576559277824</v>
      </c>
    </row>
    <row r="639" spans="1:10" ht="11.25" customHeight="1" x14ac:dyDescent="0.2">
      <c r="A639" s="49">
        <v>44805</v>
      </c>
      <c r="B639" s="39">
        <v>0</v>
      </c>
      <c r="C639" s="39">
        <v>0</v>
      </c>
      <c r="D639" s="39">
        <v>1821.3735724000001</v>
      </c>
      <c r="E639" s="39">
        <v>2413.3930079646957</v>
      </c>
      <c r="F639" s="39">
        <v>2168.4204444000002</v>
      </c>
      <c r="G639" s="39">
        <v>2302.2872378392985</v>
      </c>
      <c r="H639" s="40">
        <v>0.32504009311203497</v>
      </c>
      <c r="I639" s="40">
        <v>6.1734703611106667E-2</v>
      </c>
      <c r="J639" s="40">
        <v>0.18193576559277824</v>
      </c>
    </row>
    <row r="640" spans="1:10" ht="11.25" customHeight="1" x14ac:dyDescent="0.2">
      <c r="A640" s="49">
        <v>44835</v>
      </c>
      <c r="B640" s="39">
        <v>0</v>
      </c>
      <c r="C640" s="39">
        <v>0</v>
      </c>
      <c r="D640" s="39">
        <v>1821.3735724000001</v>
      </c>
      <c r="E640" s="39">
        <v>2413.3930079646957</v>
      </c>
      <c r="F640" s="39">
        <v>2168.4204444000002</v>
      </c>
      <c r="G640" s="39">
        <v>2302.2872378392985</v>
      </c>
      <c r="H640" s="40">
        <v>0.32504009311203497</v>
      </c>
      <c r="I640" s="40">
        <v>6.1734703611106667E-2</v>
      </c>
      <c r="J640" s="40">
        <v>0.18193576559277824</v>
      </c>
    </row>
    <row r="641" spans="1:10" ht="11.25" customHeight="1" x14ac:dyDescent="0.2">
      <c r="A641" s="48" t="s">
        <v>36</v>
      </c>
      <c r="B641" s="39">
        <v>0</v>
      </c>
      <c r="C641" s="39">
        <v>0</v>
      </c>
      <c r="D641" s="39">
        <v>162.9833476</v>
      </c>
      <c r="E641" s="39">
        <v>200.25885005054269</v>
      </c>
      <c r="F641" s="39">
        <v>92.4682794</v>
      </c>
      <c r="G641" s="39">
        <v>98.176781222188026</v>
      </c>
      <c r="H641" s="40">
        <v>0.22870742931373367</v>
      </c>
      <c r="I641" s="40">
        <v>6.1734703611106889E-2</v>
      </c>
      <c r="J641" s="40">
        <v>0.16826670778155073</v>
      </c>
    </row>
    <row r="642" spans="1:10" ht="11.25" customHeight="1" x14ac:dyDescent="0.2">
      <c r="A642" s="49">
        <v>44682</v>
      </c>
      <c r="B642" s="39">
        <v>0</v>
      </c>
      <c r="C642" s="39">
        <v>0</v>
      </c>
      <c r="D642" s="39">
        <v>101.11431479999999</v>
      </c>
      <c r="E642" s="39">
        <v>124.2399098047276</v>
      </c>
      <c r="F642" s="39">
        <v>57.367006199999999</v>
      </c>
      <c r="G642" s="39">
        <v>60.908541324813527</v>
      </c>
      <c r="H642" s="40">
        <v>0.22870742931373367</v>
      </c>
      <c r="I642" s="40">
        <v>6.1734703611106889E-2</v>
      </c>
      <c r="J642" s="40">
        <v>0.16826670778155073</v>
      </c>
    </row>
    <row r="643" spans="1:10" ht="11.25" customHeight="1" x14ac:dyDescent="0.2">
      <c r="A643" s="49">
        <v>44713</v>
      </c>
      <c r="B643" s="39">
        <v>0</v>
      </c>
      <c r="C643" s="39">
        <v>0</v>
      </c>
      <c r="D643" s="39">
        <v>24.470587600000002</v>
      </c>
      <c r="E643" s="39">
        <v>30.067192783792528</v>
      </c>
      <c r="F643" s="39">
        <v>13.883339400000002</v>
      </c>
      <c r="G643" s="39">
        <v>14.740423242991405</v>
      </c>
      <c r="H643" s="40">
        <v>0.22870742931373367</v>
      </c>
      <c r="I643" s="40">
        <v>6.1734703611106889E-2</v>
      </c>
      <c r="J643" s="40">
        <v>0.16826670778155073</v>
      </c>
    </row>
    <row r="644" spans="1:10" ht="11.25" customHeight="1" x14ac:dyDescent="0.2">
      <c r="A644" s="49">
        <v>44743</v>
      </c>
      <c r="B644" s="39">
        <v>0</v>
      </c>
      <c r="C644" s="39">
        <v>0</v>
      </c>
      <c r="D644" s="39">
        <v>7.8490564000000003</v>
      </c>
      <c r="E644" s="39">
        <v>9.6441939117825104</v>
      </c>
      <c r="F644" s="39">
        <v>4.4531466000000002</v>
      </c>
      <c r="G644" s="39">
        <v>4.7280602854878087</v>
      </c>
      <c r="H644" s="40">
        <v>0.22870742931373389</v>
      </c>
      <c r="I644" s="40">
        <v>6.1734703611106889E-2</v>
      </c>
      <c r="J644" s="40">
        <v>0.16826670778155095</v>
      </c>
    </row>
    <row r="645" spans="1:10" ht="11.25" customHeight="1" x14ac:dyDescent="0.2">
      <c r="A645" s="49">
        <v>44774</v>
      </c>
      <c r="B645" s="39">
        <v>0</v>
      </c>
      <c r="C645" s="39">
        <v>0</v>
      </c>
      <c r="D645" s="39">
        <v>9.2341840000000008</v>
      </c>
      <c r="E645" s="39">
        <v>11.34611048445001</v>
      </c>
      <c r="F645" s="39">
        <v>5.2389960000000002</v>
      </c>
      <c r="G645" s="39">
        <v>5.5624238652797748</v>
      </c>
      <c r="H645" s="40">
        <v>0.22870742931373345</v>
      </c>
      <c r="I645" s="40">
        <v>6.1734703611106889E-2</v>
      </c>
      <c r="J645" s="40">
        <v>0.16826670778155073</v>
      </c>
    </row>
    <row r="646" spans="1:10" ht="11.25" customHeight="1" x14ac:dyDescent="0.2">
      <c r="A646" s="49">
        <v>44805</v>
      </c>
      <c r="B646" s="39">
        <v>0</v>
      </c>
      <c r="C646" s="39">
        <v>0</v>
      </c>
      <c r="D646" s="39">
        <v>10.1576024</v>
      </c>
      <c r="E646" s="39">
        <v>12.480721532895013</v>
      </c>
      <c r="F646" s="39">
        <v>5.7628956000000002</v>
      </c>
      <c r="G646" s="39">
        <v>6.1186662518077526</v>
      </c>
      <c r="H646" s="40">
        <v>0.22870742931373367</v>
      </c>
      <c r="I646" s="40">
        <v>6.1734703611106889E-2</v>
      </c>
      <c r="J646" s="40">
        <v>0.16826670778155073</v>
      </c>
    </row>
    <row r="647" spans="1:10" ht="11.25" customHeight="1" x14ac:dyDescent="0.2">
      <c r="A647" s="49">
        <v>44835</v>
      </c>
      <c r="B647" s="39">
        <v>0</v>
      </c>
      <c r="C647" s="39">
        <v>0</v>
      </c>
      <c r="D647" s="39">
        <v>10.1576024</v>
      </c>
      <c r="E647" s="39">
        <v>12.480721532895013</v>
      </c>
      <c r="F647" s="39">
        <v>5.7628956000000002</v>
      </c>
      <c r="G647" s="39">
        <v>6.1186662518077526</v>
      </c>
      <c r="H647" s="40">
        <v>0.22870742931373367</v>
      </c>
      <c r="I647" s="40">
        <v>6.1734703611106889E-2</v>
      </c>
      <c r="J647" s="40">
        <v>0.16826670778155073</v>
      </c>
    </row>
    <row r="648" spans="1:10" ht="11.25" customHeight="1" x14ac:dyDescent="0.2">
      <c r="A648" s="48" t="s">
        <v>34</v>
      </c>
      <c r="B648" s="39">
        <v>0</v>
      </c>
      <c r="C648" s="39">
        <v>0</v>
      </c>
      <c r="D648" s="39">
        <v>343.25558879999994</v>
      </c>
      <c r="E648" s="39">
        <v>411.41733401240549</v>
      </c>
      <c r="F648" s="39">
        <v>203.14873920000002</v>
      </c>
      <c r="G648" s="39">
        <v>218.75794945293575</v>
      </c>
      <c r="H648" s="40">
        <v>0.19857432023377908</v>
      </c>
      <c r="I648" s="40">
        <v>7.6836362925041035E-2</v>
      </c>
      <c r="J648" s="40">
        <v>0.15331312577989165</v>
      </c>
    </row>
    <row r="649" spans="1:10" ht="11.25" customHeight="1" x14ac:dyDescent="0.2">
      <c r="A649" s="49">
        <v>44682</v>
      </c>
      <c r="B649" s="39">
        <v>0</v>
      </c>
      <c r="C649" s="39">
        <v>0</v>
      </c>
      <c r="D649" s="39">
        <v>251.11115819999998</v>
      </c>
      <c r="E649" s="39">
        <v>300.97538574268191</v>
      </c>
      <c r="F649" s="39">
        <v>148.61495880000001</v>
      </c>
      <c r="G649" s="39">
        <v>160.03399171044686</v>
      </c>
      <c r="H649" s="40">
        <v>0.19857432023377908</v>
      </c>
      <c r="I649" s="40">
        <v>7.6836362925041257E-2</v>
      </c>
      <c r="J649" s="40">
        <v>0.15331312577989187</v>
      </c>
    </row>
    <row r="650" spans="1:10" ht="11.25" customHeight="1" x14ac:dyDescent="0.2">
      <c r="A650" s="49">
        <v>44713</v>
      </c>
      <c r="B650" s="39">
        <v>0</v>
      </c>
      <c r="C650" s="39">
        <v>0</v>
      </c>
      <c r="D650" s="39">
        <v>11.9576742</v>
      </c>
      <c r="E650" s="39">
        <v>14.332161225841997</v>
      </c>
      <c r="F650" s="39">
        <v>7.0769028000000009</v>
      </c>
      <c r="G650" s="39">
        <v>7.6206662719260407</v>
      </c>
      <c r="H650" s="40">
        <v>0.19857432023377908</v>
      </c>
      <c r="I650" s="40">
        <v>7.6836362925041035E-2</v>
      </c>
      <c r="J650" s="40">
        <v>0.15331312577989209</v>
      </c>
    </row>
    <row r="651" spans="1:10" ht="11.25" customHeight="1" x14ac:dyDescent="0.2">
      <c r="A651" s="49">
        <v>44743</v>
      </c>
      <c r="B651" s="39">
        <v>0</v>
      </c>
      <c r="C651" s="39">
        <v>0</v>
      </c>
      <c r="D651" s="39">
        <v>21.101777999999999</v>
      </c>
      <c r="E651" s="39">
        <v>25.292049222074109</v>
      </c>
      <c r="F651" s="39">
        <v>12.488652</v>
      </c>
      <c r="G651" s="39">
        <v>13.448234597516542</v>
      </c>
      <c r="H651" s="40">
        <v>0.19857432023377886</v>
      </c>
      <c r="I651" s="40">
        <v>7.6836362925041257E-2</v>
      </c>
      <c r="J651" s="40">
        <v>0.15331312577989187</v>
      </c>
    </row>
    <row r="652" spans="1:10" ht="11.25" customHeight="1" x14ac:dyDescent="0.2">
      <c r="A652" s="49">
        <v>44774</v>
      </c>
      <c r="B652" s="39">
        <v>0</v>
      </c>
      <c r="C652" s="39">
        <v>0</v>
      </c>
      <c r="D652" s="39">
        <v>11.254281599999999</v>
      </c>
      <c r="E652" s="39">
        <v>13.489092918439525</v>
      </c>
      <c r="F652" s="39">
        <v>6.6606144</v>
      </c>
      <c r="G652" s="39">
        <v>7.172391785342155</v>
      </c>
      <c r="H652" s="40">
        <v>0.19857432023377886</v>
      </c>
      <c r="I652" s="40">
        <v>7.6836362925041035E-2</v>
      </c>
      <c r="J652" s="40">
        <v>0.15331312577989187</v>
      </c>
    </row>
    <row r="653" spans="1:10" ht="11.25" customHeight="1" x14ac:dyDescent="0.2">
      <c r="A653" s="49">
        <v>44805</v>
      </c>
      <c r="B653" s="39">
        <v>0</v>
      </c>
      <c r="C653" s="39">
        <v>0</v>
      </c>
      <c r="D653" s="39">
        <v>23.915348399999999</v>
      </c>
      <c r="E653" s="39">
        <v>28.664322451683994</v>
      </c>
      <c r="F653" s="39">
        <v>14.153805600000002</v>
      </c>
      <c r="G653" s="39">
        <v>15.241332543852081</v>
      </c>
      <c r="H653" s="40">
        <v>0.19857432023377908</v>
      </c>
      <c r="I653" s="40">
        <v>7.6836362925041035E-2</v>
      </c>
      <c r="J653" s="40">
        <v>0.15331312577989209</v>
      </c>
    </row>
    <row r="654" spans="1:10" ht="11.25" customHeight="1" x14ac:dyDescent="0.2">
      <c r="A654" s="49">
        <v>44835</v>
      </c>
      <c r="B654" s="39">
        <v>0</v>
      </c>
      <c r="C654" s="39">
        <v>0</v>
      </c>
      <c r="D654" s="39">
        <v>23.915348399999999</v>
      </c>
      <c r="E654" s="39">
        <v>28.664322451683994</v>
      </c>
      <c r="F654" s="39">
        <v>14.153805600000002</v>
      </c>
      <c r="G654" s="39">
        <v>15.241332543852081</v>
      </c>
      <c r="H654" s="40">
        <v>0.19857432023377908</v>
      </c>
      <c r="I654" s="40">
        <v>7.6836362925041035E-2</v>
      </c>
      <c r="J654" s="40">
        <v>0.15331312577989209</v>
      </c>
    </row>
    <row r="655" spans="1:10" ht="11.25" customHeight="1" x14ac:dyDescent="0.2">
      <c r="A655" s="43" t="s">
        <v>23</v>
      </c>
      <c r="B655" s="39">
        <v>0</v>
      </c>
      <c r="C655" s="39">
        <v>0</v>
      </c>
      <c r="D655" s="39">
        <v>14309525.095865995</v>
      </c>
      <c r="E655" s="39">
        <v>18379646.650892884</v>
      </c>
      <c r="F655" s="39">
        <v>13931178.012079204</v>
      </c>
      <c r="G655" s="39">
        <v>14817392.760119386</v>
      </c>
      <c r="H655" s="40">
        <v>0.2844344258638416</v>
      </c>
      <c r="I655" s="40">
        <v>6.3613769580129764E-2</v>
      </c>
      <c r="J655" s="40">
        <v>0.17550328984807217</v>
      </c>
    </row>
    <row r="656" spans="1:10" ht="11.25" customHeight="1" x14ac:dyDescent="0.2">
      <c r="A656" s="44" t="s">
        <v>42</v>
      </c>
      <c r="B656" s="39">
        <v>0</v>
      </c>
      <c r="C656" s="39">
        <v>0</v>
      </c>
      <c r="D656" s="39">
        <v>11977351.085699998</v>
      </c>
      <c r="E656" s="39">
        <v>15384122.065130735</v>
      </c>
      <c r="F656" s="39">
        <v>11660667.210840002</v>
      </c>
      <c r="G656" s="39">
        <v>12402446.207940957</v>
      </c>
      <c r="H656" s="40">
        <v>0.28443442586384116</v>
      </c>
      <c r="I656" s="40">
        <v>6.3613769580129986E-2</v>
      </c>
      <c r="J656" s="40">
        <v>0.17550328984807173</v>
      </c>
    </row>
    <row r="657" spans="1:10" ht="11.25" customHeight="1" x14ac:dyDescent="0.2">
      <c r="A657" s="45" t="s">
        <v>25</v>
      </c>
      <c r="B657" s="39">
        <v>0</v>
      </c>
      <c r="C657" s="39">
        <v>0</v>
      </c>
      <c r="D657" s="39">
        <v>11977351.085699998</v>
      </c>
      <c r="E657" s="39">
        <v>15384122.065130735</v>
      </c>
      <c r="F657" s="39">
        <v>11660667.210840002</v>
      </c>
      <c r="G657" s="39">
        <v>12402446.207940957</v>
      </c>
      <c r="H657" s="40">
        <v>0.28443442586384116</v>
      </c>
      <c r="I657" s="40">
        <v>6.3613769580129986E-2</v>
      </c>
      <c r="J657" s="40">
        <v>0.17550328984807173</v>
      </c>
    </row>
    <row r="658" spans="1:10" ht="11.25" customHeight="1" x14ac:dyDescent="0.2">
      <c r="A658" s="46" t="s">
        <v>25</v>
      </c>
      <c r="B658" s="39">
        <v>0</v>
      </c>
      <c r="C658" s="39">
        <v>0</v>
      </c>
      <c r="D658" s="39">
        <v>11977351.085699998</v>
      </c>
      <c r="E658" s="39">
        <v>15384122.065130735</v>
      </c>
      <c r="F658" s="39">
        <v>11660667.210840002</v>
      </c>
      <c r="G658" s="39">
        <v>12402446.207940957</v>
      </c>
      <c r="H658" s="40">
        <v>0.28443442586384116</v>
      </c>
      <c r="I658" s="40">
        <v>6.3613769580129986E-2</v>
      </c>
      <c r="J658" s="40">
        <v>0.17550328984807173</v>
      </c>
    </row>
    <row r="659" spans="1:10" ht="11.25" customHeight="1" x14ac:dyDescent="0.2">
      <c r="A659" s="47" t="s">
        <v>25</v>
      </c>
      <c r="B659" s="39">
        <v>0</v>
      </c>
      <c r="C659" s="39">
        <v>0</v>
      </c>
      <c r="D659" s="39">
        <v>11977351.085699998</v>
      </c>
      <c r="E659" s="39">
        <v>15384122.065130735</v>
      </c>
      <c r="F659" s="39">
        <v>11660667.210840002</v>
      </c>
      <c r="G659" s="39">
        <v>12402446.207940957</v>
      </c>
      <c r="H659" s="40">
        <v>0.28443442586384116</v>
      </c>
      <c r="I659" s="40">
        <v>6.3613769580129986E-2</v>
      </c>
      <c r="J659" s="40">
        <v>0.17550328984807173</v>
      </c>
    </row>
    <row r="660" spans="1:10" ht="11.25" customHeight="1" x14ac:dyDescent="0.2">
      <c r="A660" s="48" t="s">
        <v>25</v>
      </c>
      <c r="B660" s="39">
        <v>0</v>
      </c>
      <c r="C660" s="39">
        <v>0</v>
      </c>
      <c r="D660" s="39">
        <v>11977351.085699998</v>
      </c>
      <c r="E660" s="39">
        <v>15384122.065130735</v>
      </c>
      <c r="F660" s="39">
        <v>11660667.210840002</v>
      </c>
      <c r="G660" s="39">
        <v>12402446.207940957</v>
      </c>
      <c r="H660" s="40">
        <v>0.28443442586384116</v>
      </c>
      <c r="I660" s="40">
        <v>6.3613769580129986E-2</v>
      </c>
      <c r="J660" s="40">
        <v>0.17550328984807173</v>
      </c>
    </row>
    <row r="661" spans="1:10" ht="11.25" customHeight="1" x14ac:dyDescent="0.2">
      <c r="A661" s="49">
        <v>44501</v>
      </c>
      <c r="B661" s="39">
        <v>0</v>
      </c>
      <c r="C661" s="39">
        <v>0</v>
      </c>
      <c r="D661" s="39">
        <v>975223.04879999999</v>
      </c>
      <c r="E661" s="39">
        <v>1252610.0567746127</v>
      </c>
      <c r="F661" s="39">
        <v>949437.93056000001</v>
      </c>
      <c r="G661" s="39">
        <v>1009835.2563052796</v>
      </c>
      <c r="H661" s="40">
        <v>0.28443442586384116</v>
      </c>
      <c r="I661" s="40">
        <v>6.3613769580130208E-2</v>
      </c>
      <c r="J661" s="40">
        <v>0.17550328984807195</v>
      </c>
    </row>
    <row r="662" spans="1:10" ht="11.25" customHeight="1" x14ac:dyDescent="0.2">
      <c r="A662" s="49">
        <v>44531</v>
      </c>
      <c r="B662" s="39">
        <v>0</v>
      </c>
      <c r="C662" s="39">
        <v>0</v>
      </c>
      <c r="D662" s="39">
        <v>987309.22290000017</v>
      </c>
      <c r="E662" s="39">
        <v>1268133.9548656368</v>
      </c>
      <c r="F662" s="39">
        <v>961204.54348000011</v>
      </c>
      <c r="G662" s="39">
        <v>1022350.3878283111</v>
      </c>
      <c r="H662" s="40">
        <v>0.28443442586384093</v>
      </c>
      <c r="I662" s="40">
        <v>6.3613769580130208E-2</v>
      </c>
      <c r="J662" s="40">
        <v>0.17550328984807173</v>
      </c>
    </row>
    <row r="663" spans="1:10" ht="11.25" customHeight="1" x14ac:dyDescent="0.2">
      <c r="A663" s="49">
        <v>44562</v>
      </c>
      <c r="B663" s="39">
        <v>0</v>
      </c>
      <c r="C663" s="39">
        <v>0</v>
      </c>
      <c r="D663" s="39">
        <v>1078695.3177000002</v>
      </c>
      <c r="E663" s="39">
        <v>1385513.4010720134</v>
      </c>
      <c r="F663" s="39">
        <v>1050174.3692400001</v>
      </c>
      <c r="G663" s="39">
        <v>1116979.9195837921</v>
      </c>
      <c r="H663" s="40">
        <v>0.28443442586384093</v>
      </c>
      <c r="I663" s="40">
        <v>6.3613769580130208E-2</v>
      </c>
      <c r="J663" s="40">
        <v>0.17550328984807195</v>
      </c>
    </row>
    <row r="664" spans="1:10" ht="11.25" customHeight="1" x14ac:dyDescent="0.2">
      <c r="A664" s="49">
        <v>44593</v>
      </c>
      <c r="B664" s="39">
        <v>0</v>
      </c>
      <c r="C664" s="39">
        <v>0</v>
      </c>
      <c r="D664" s="39">
        <v>997639.8432</v>
      </c>
      <c r="E664" s="39">
        <v>1281402.9592194846</v>
      </c>
      <c r="F664" s="39">
        <v>971262.01983999996</v>
      </c>
      <c r="G664" s="39">
        <v>1033047.6581720336</v>
      </c>
      <c r="H664" s="40">
        <v>0.28443442586384116</v>
      </c>
      <c r="I664" s="40">
        <v>6.3613769580130208E-2</v>
      </c>
      <c r="J664" s="40">
        <v>0.17550328984807217</v>
      </c>
    </row>
    <row r="665" spans="1:10" ht="11.25" customHeight="1" x14ac:dyDescent="0.2">
      <c r="A665" s="49">
        <v>44621</v>
      </c>
      <c r="B665" s="39">
        <v>0</v>
      </c>
      <c r="C665" s="39">
        <v>0</v>
      </c>
      <c r="D665" s="39">
        <v>1025564.4399</v>
      </c>
      <c r="E665" s="39">
        <v>1317270.2725493286</v>
      </c>
      <c r="F665" s="39">
        <v>998448.28388000012</v>
      </c>
      <c r="G665" s="39">
        <v>1061963.3429484188</v>
      </c>
      <c r="H665" s="40">
        <v>0.28443442586384138</v>
      </c>
      <c r="I665" s="40">
        <v>6.3613769580130208E-2</v>
      </c>
      <c r="J665" s="40">
        <v>0.17550328984807217</v>
      </c>
    </row>
    <row r="666" spans="1:10" ht="11.25" customHeight="1" x14ac:dyDescent="0.2">
      <c r="A666" s="49">
        <v>44652</v>
      </c>
      <c r="B666" s="39">
        <v>0</v>
      </c>
      <c r="C666" s="39">
        <v>0</v>
      </c>
      <c r="D666" s="39">
        <v>1095590.7962999998</v>
      </c>
      <c r="E666" s="39">
        <v>1407214.5354272991</v>
      </c>
      <c r="F666" s="39">
        <v>1066623.1275599999</v>
      </c>
      <c r="G666" s="39">
        <v>1134475.0454254397</v>
      </c>
      <c r="H666" s="40">
        <v>0.28443442586384138</v>
      </c>
      <c r="I666" s="40">
        <v>6.3613769580130208E-2</v>
      </c>
      <c r="J666" s="40">
        <v>0.17550328984807217</v>
      </c>
    </row>
    <row r="667" spans="1:10" ht="11.25" customHeight="1" x14ac:dyDescent="0.2">
      <c r="A667" s="49">
        <v>44682</v>
      </c>
      <c r="B667" s="39">
        <v>0</v>
      </c>
      <c r="C667" s="39">
        <v>0</v>
      </c>
      <c r="D667" s="39">
        <v>994054.56150000007</v>
      </c>
      <c r="E667" s="39">
        <v>1276797.8999775848</v>
      </c>
      <c r="F667" s="39">
        <v>967771.53380000009</v>
      </c>
      <c r="G667" s="39">
        <v>1029335.1291573624</v>
      </c>
      <c r="H667" s="40">
        <v>0.28443442586384093</v>
      </c>
      <c r="I667" s="40">
        <v>6.3613769580130208E-2</v>
      </c>
      <c r="J667" s="40">
        <v>0.17550328984807195</v>
      </c>
    </row>
    <row r="668" spans="1:10" ht="11.25" customHeight="1" x14ac:dyDescent="0.2">
      <c r="A668" s="49">
        <v>44713</v>
      </c>
      <c r="B668" s="39">
        <v>0</v>
      </c>
      <c r="C668" s="39">
        <v>0</v>
      </c>
      <c r="D668" s="39">
        <v>931880.14919999999</v>
      </c>
      <c r="E668" s="39">
        <v>1196938.9444116128</v>
      </c>
      <c r="F668" s="39">
        <v>907241.02703999996</v>
      </c>
      <c r="G668" s="39">
        <v>964954.0486877634</v>
      </c>
      <c r="H668" s="40">
        <v>0.28443442586384138</v>
      </c>
      <c r="I668" s="40">
        <v>6.361376958013043E-2</v>
      </c>
      <c r="J668" s="40">
        <v>0.17550328984807217</v>
      </c>
    </row>
    <row r="669" spans="1:10" ht="11.25" customHeight="1" x14ac:dyDescent="0.2">
      <c r="A669" s="49">
        <v>44743</v>
      </c>
      <c r="B669" s="39">
        <v>0</v>
      </c>
      <c r="C669" s="39">
        <v>0</v>
      </c>
      <c r="D669" s="39">
        <v>950709.86010000005</v>
      </c>
      <c r="E669" s="39">
        <v>1221124.4733206364</v>
      </c>
      <c r="F669" s="39">
        <v>925572.87612000015</v>
      </c>
      <c r="G669" s="39">
        <v>984452.0557911162</v>
      </c>
      <c r="H669" s="40">
        <v>0.28443442586384138</v>
      </c>
      <c r="I669" s="40">
        <v>6.3613769580130208E-2</v>
      </c>
      <c r="J669" s="40">
        <v>0.17550328984807195</v>
      </c>
    </row>
    <row r="670" spans="1:10" ht="11.25" customHeight="1" x14ac:dyDescent="0.2">
      <c r="A670" s="49">
        <v>44774</v>
      </c>
      <c r="B670" s="39">
        <v>0</v>
      </c>
      <c r="C670" s="39">
        <v>0</v>
      </c>
      <c r="D670" s="39">
        <v>924578.95530000003</v>
      </c>
      <c r="E670" s="39">
        <v>1187561.0396165454</v>
      </c>
      <c r="F670" s="39">
        <v>900132.87835999997</v>
      </c>
      <c r="G670" s="39">
        <v>957393.72387549235</v>
      </c>
      <c r="H670" s="40">
        <v>0.28443442586384093</v>
      </c>
      <c r="I670" s="40">
        <v>6.3613769580130208E-2</v>
      </c>
      <c r="J670" s="40">
        <v>0.17550328984807173</v>
      </c>
    </row>
    <row r="671" spans="1:10" ht="11.25" customHeight="1" x14ac:dyDescent="0.2">
      <c r="A671" s="49">
        <v>44805</v>
      </c>
      <c r="B671" s="39">
        <v>0</v>
      </c>
      <c r="C671" s="39">
        <v>0</v>
      </c>
      <c r="D671" s="39">
        <v>1008052.4454000002</v>
      </c>
      <c r="E671" s="39">
        <v>1294777.26394799</v>
      </c>
      <c r="F671" s="39">
        <v>981399.31047999999</v>
      </c>
      <c r="G671" s="39">
        <v>1043829.8200829736</v>
      </c>
      <c r="H671" s="40">
        <v>0.28443442586384093</v>
      </c>
      <c r="I671" s="40">
        <v>6.361376958013043E-2</v>
      </c>
      <c r="J671" s="40">
        <v>0.17550328984807195</v>
      </c>
    </row>
    <row r="672" spans="1:10" ht="11.25" customHeight="1" x14ac:dyDescent="0.2">
      <c r="A672" s="49">
        <v>44835</v>
      </c>
      <c r="B672" s="39">
        <v>0</v>
      </c>
      <c r="C672" s="39">
        <v>0</v>
      </c>
      <c r="D672" s="39">
        <v>1008052.4454000002</v>
      </c>
      <c r="E672" s="39">
        <v>1294777.26394799</v>
      </c>
      <c r="F672" s="39">
        <v>981399.31047999999</v>
      </c>
      <c r="G672" s="39">
        <v>1043829.8200829736</v>
      </c>
      <c r="H672" s="40">
        <v>0.28443442586384093</v>
      </c>
      <c r="I672" s="40">
        <v>6.361376958013043E-2</v>
      </c>
      <c r="J672" s="40">
        <v>0.17550328984807195</v>
      </c>
    </row>
    <row r="673" spans="1:10" ht="11.25" customHeight="1" x14ac:dyDescent="0.2">
      <c r="A673" s="44" t="s">
        <v>52</v>
      </c>
      <c r="B673" s="39">
        <v>0</v>
      </c>
      <c r="C673" s="39">
        <v>0</v>
      </c>
      <c r="D673" s="39">
        <v>68026.058099999995</v>
      </c>
      <c r="E673" s="39">
        <v>87375.01087945381</v>
      </c>
      <c r="F673" s="39">
        <v>66227.433720000001</v>
      </c>
      <c r="G673" s="39">
        <v>70440.410428547431</v>
      </c>
      <c r="H673" s="40">
        <v>0.28443442586384116</v>
      </c>
      <c r="I673" s="40">
        <v>6.3613769580130652E-2</v>
      </c>
      <c r="J673" s="40">
        <v>0.17550328984807217</v>
      </c>
    </row>
    <row r="674" spans="1:10" ht="11.25" customHeight="1" x14ac:dyDescent="0.2">
      <c r="A674" s="45" t="s">
        <v>25</v>
      </c>
      <c r="B674" s="39">
        <v>0</v>
      </c>
      <c r="C674" s="39">
        <v>0</v>
      </c>
      <c r="D674" s="39">
        <v>68026.058099999995</v>
      </c>
      <c r="E674" s="39">
        <v>87375.01087945381</v>
      </c>
      <c r="F674" s="39">
        <v>66227.433720000001</v>
      </c>
      <c r="G674" s="39">
        <v>70440.410428547431</v>
      </c>
      <c r="H674" s="40">
        <v>0.28443442586384116</v>
      </c>
      <c r="I674" s="40">
        <v>6.3613769580130652E-2</v>
      </c>
      <c r="J674" s="40">
        <v>0.17550328984807217</v>
      </c>
    </row>
    <row r="675" spans="1:10" ht="11.25" customHeight="1" x14ac:dyDescent="0.2">
      <c r="A675" s="46" t="s">
        <v>25</v>
      </c>
      <c r="B675" s="39">
        <v>0</v>
      </c>
      <c r="C675" s="39">
        <v>0</v>
      </c>
      <c r="D675" s="39">
        <v>68026.058099999995</v>
      </c>
      <c r="E675" s="39">
        <v>87375.01087945381</v>
      </c>
      <c r="F675" s="39">
        <v>66227.433720000001</v>
      </c>
      <c r="G675" s="39">
        <v>70440.410428547431</v>
      </c>
      <c r="H675" s="40">
        <v>0.28443442586384116</v>
      </c>
      <c r="I675" s="40">
        <v>6.3613769580130652E-2</v>
      </c>
      <c r="J675" s="40">
        <v>0.17550328984807217</v>
      </c>
    </row>
    <row r="676" spans="1:10" ht="11.25" customHeight="1" x14ac:dyDescent="0.2">
      <c r="A676" s="47" t="s">
        <v>25</v>
      </c>
      <c r="B676" s="39">
        <v>0</v>
      </c>
      <c r="C676" s="39">
        <v>0</v>
      </c>
      <c r="D676" s="39">
        <v>68026.058099999995</v>
      </c>
      <c r="E676" s="39">
        <v>87375.01087945381</v>
      </c>
      <c r="F676" s="39">
        <v>66227.433720000001</v>
      </c>
      <c r="G676" s="39">
        <v>70440.410428547431</v>
      </c>
      <c r="H676" s="40">
        <v>0.28443442586384116</v>
      </c>
      <c r="I676" s="40">
        <v>6.3613769580130652E-2</v>
      </c>
      <c r="J676" s="40">
        <v>0.17550328984807217</v>
      </c>
    </row>
    <row r="677" spans="1:10" ht="11.25" customHeight="1" x14ac:dyDescent="0.2">
      <c r="A677" s="48" t="s">
        <v>25</v>
      </c>
      <c r="B677" s="39">
        <v>0</v>
      </c>
      <c r="C677" s="39">
        <v>0</v>
      </c>
      <c r="D677" s="39">
        <v>68026.058099999995</v>
      </c>
      <c r="E677" s="39">
        <v>87375.01087945381</v>
      </c>
      <c r="F677" s="39">
        <v>66227.433720000001</v>
      </c>
      <c r="G677" s="39">
        <v>70440.410428547431</v>
      </c>
      <c r="H677" s="40">
        <v>0.28443442586384116</v>
      </c>
      <c r="I677" s="40">
        <v>6.3613769580130652E-2</v>
      </c>
      <c r="J677" s="40">
        <v>0.17550328984807217</v>
      </c>
    </row>
    <row r="678" spans="1:10" ht="11.25" customHeight="1" x14ac:dyDescent="0.2">
      <c r="A678" s="49">
        <v>44501</v>
      </c>
      <c r="B678" s="39">
        <v>0</v>
      </c>
      <c r="C678" s="39">
        <v>0</v>
      </c>
      <c r="D678" s="39">
        <v>5842.3365000000003</v>
      </c>
      <c r="E678" s="39">
        <v>7504.0981280808637</v>
      </c>
      <c r="F678" s="39">
        <v>5687.8638000000001</v>
      </c>
      <c r="G678" s="39">
        <v>6049.6902571763649</v>
      </c>
      <c r="H678" s="40">
        <v>0.28443442586384116</v>
      </c>
      <c r="I678" s="40">
        <v>6.361376958013043E-2</v>
      </c>
      <c r="J678" s="40">
        <v>0.17550328984807217</v>
      </c>
    </row>
    <row r="679" spans="1:10" ht="11.25" customHeight="1" x14ac:dyDescent="0.2">
      <c r="A679" s="49">
        <v>44531</v>
      </c>
      <c r="B679" s="39">
        <v>0</v>
      </c>
      <c r="C679" s="39">
        <v>0</v>
      </c>
      <c r="D679" s="39">
        <v>5484.9795000000013</v>
      </c>
      <c r="E679" s="39">
        <v>7045.0964949574391</v>
      </c>
      <c r="F679" s="39">
        <v>5339.9554000000007</v>
      </c>
      <c r="G679" s="39">
        <v>5679.650092383773</v>
      </c>
      <c r="H679" s="40">
        <v>0.28443442586384093</v>
      </c>
      <c r="I679" s="40">
        <v>6.3613769580130208E-2</v>
      </c>
      <c r="J679" s="40">
        <v>0.17550328984807195</v>
      </c>
    </row>
    <row r="680" spans="1:10" ht="11.25" customHeight="1" x14ac:dyDescent="0.2">
      <c r="A680" s="49">
        <v>44562</v>
      </c>
      <c r="B680" s="39">
        <v>0</v>
      </c>
      <c r="C680" s="39">
        <v>0</v>
      </c>
      <c r="D680" s="39">
        <v>5673.2676000000001</v>
      </c>
      <c r="E680" s="39">
        <v>7286.9402125779325</v>
      </c>
      <c r="F680" s="39">
        <v>5523.26512</v>
      </c>
      <c r="G680" s="39">
        <v>5874.6208346736503</v>
      </c>
      <c r="H680" s="40">
        <v>0.28443442586384116</v>
      </c>
      <c r="I680" s="40">
        <v>6.3613769580130208E-2</v>
      </c>
      <c r="J680" s="40">
        <v>0.17550328984807217</v>
      </c>
    </row>
    <row r="681" spans="1:10" ht="11.25" customHeight="1" x14ac:dyDescent="0.2">
      <c r="A681" s="49">
        <v>44593</v>
      </c>
      <c r="B681" s="39">
        <v>0</v>
      </c>
      <c r="C681" s="39">
        <v>0</v>
      </c>
      <c r="D681" s="39">
        <v>4999.6947000000009</v>
      </c>
      <c r="E681" s="39">
        <v>6421.7799914889893</v>
      </c>
      <c r="F681" s="39">
        <v>4867.5016400000004</v>
      </c>
      <c r="G681" s="39">
        <v>5177.1417677578665</v>
      </c>
      <c r="H681" s="40">
        <v>0.28443442586384093</v>
      </c>
      <c r="I681" s="40">
        <v>6.3613769580130208E-2</v>
      </c>
      <c r="J681" s="40">
        <v>0.17550328984807173</v>
      </c>
    </row>
    <row r="682" spans="1:10" ht="11.25" customHeight="1" x14ac:dyDescent="0.2">
      <c r="A682" s="49">
        <v>44621</v>
      </c>
      <c r="B682" s="39">
        <v>0</v>
      </c>
      <c r="C682" s="39">
        <v>0</v>
      </c>
      <c r="D682" s="39">
        <v>5681.0753999999997</v>
      </c>
      <c r="E682" s="39">
        <v>7296.9688196881916</v>
      </c>
      <c r="F682" s="39">
        <v>5530.8664800000006</v>
      </c>
      <c r="G682" s="39">
        <v>5882.7057458371855</v>
      </c>
      <c r="H682" s="40">
        <v>0.28443442586384116</v>
      </c>
      <c r="I682" s="40">
        <v>6.3613769580129986E-2</v>
      </c>
      <c r="J682" s="40">
        <v>0.17550328984807195</v>
      </c>
    </row>
    <row r="683" spans="1:10" ht="11.25" customHeight="1" x14ac:dyDescent="0.2">
      <c r="A683" s="49">
        <v>44652</v>
      </c>
      <c r="B683" s="39">
        <v>0</v>
      </c>
      <c r="C683" s="39">
        <v>0</v>
      </c>
      <c r="D683" s="39">
        <v>6035.1291000000001</v>
      </c>
      <c r="E683" s="39">
        <v>7751.7275805726604</v>
      </c>
      <c r="F683" s="39">
        <v>5875.5589199999995</v>
      </c>
      <c r="G683" s="39">
        <v>6249.3253712913584</v>
      </c>
      <c r="H683" s="40">
        <v>0.28443442586384116</v>
      </c>
      <c r="I683" s="40">
        <v>6.3613769580130208E-2</v>
      </c>
      <c r="J683" s="40">
        <v>0.17550328984807195</v>
      </c>
    </row>
    <row r="684" spans="1:10" ht="11.25" customHeight="1" x14ac:dyDescent="0.2">
      <c r="A684" s="49">
        <v>44682</v>
      </c>
      <c r="B684" s="39">
        <v>0</v>
      </c>
      <c r="C684" s="39">
        <v>0</v>
      </c>
      <c r="D684" s="39">
        <v>5726.1203999999998</v>
      </c>
      <c r="E684" s="39">
        <v>7354.8261684012286</v>
      </c>
      <c r="F684" s="39">
        <v>5574.72048</v>
      </c>
      <c r="G684" s="39">
        <v>5929.3494640883537</v>
      </c>
      <c r="H684" s="40">
        <v>0.28443442586384116</v>
      </c>
      <c r="I684" s="40">
        <v>6.361376958013043E-2</v>
      </c>
      <c r="J684" s="40">
        <v>0.17550328984807217</v>
      </c>
    </row>
    <row r="685" spans="1:10" ht="11.25" customHeight="1" x14ac:dyDescent="0.2">
      <c r="A685" s="49">
        <v>44713</v>
      </c>
      <c r="B685" s="39">
        <v>0</v>
      </c>
      <c r="C685" s="39">
        <v>0</v>
      </c>
      <c r="D685" s="39">
        <v>6517.4109000000008</v>
      </c>
      <c r="E685" s="39">
        <v>8371.1869274602413</v>
      </c>
      <c r="F685" s="39">
        <v>6345.0890799999997</v>
      </c>
      <c r="G685" s="39">
        <v>6748.7241147005207</v>
      </c>
      <c r="H685" s="40">
        <v>0.28443442586384116</v>
      </c>
      <c r="I685" s="40">
        <v>6.3613769580130208E-2</v>
      </c>
      <c r="J685" s="40">
        <v>0.17550328984807217</v>
      </c>
    </row>
    <row r="686" spans="1:10" ht="11.25" customHeight="1" x14ac:dyDescent="0.2">
      <c r="A686" s="49">
        <v>44743</v>
      </c>
      <c r="B686" s="39">
        <v>0</v>
      </c>
      <c r="C686" s="39">
        <v>0</v>
      </c>
      <c r="D686" s="39">
        <v>2278.6764000000003</v>
      </c>
      <c r="E686" s="39">
        <v>2926.8104135634844</v>
      </c>
      <c r="F686" s="39">
        <v>2218.4276800000002</v>
      </c>
      <c r="G686" s="39">
        <v>2359.5502272657031</v>
      </c>
      <c r="H686" s="40">
        <v>0.28443442586384093</v>
      </c>
      <c r="I686" s="40">
        <v>6.3613769580130208E-2</v>
      </c>
      <c r="J686" s="40">
        <v>0.17550328984807173</v>
      </c>
    </row>
    <row r="687" spans="1:10" ht="11.25" customHeight="1" x14ac:dyDescent="0.2">
      <c r="A687" s="49">
        <v>44774</v>
      </c>
      <c r="B687" s="39">
        <v>0</v>
      </c>
      <c r="C687" s="39">
        <v>0</v>
      </c>
      <c r="D687" s="39">
        <v>6456.4500000000007</v>
      </c>
      <c r="E687" s="39">
        <v>8292.8866488685981</v>
      </c>
      <c r="F687" s="39">
        <v>6285.7400000000007</v>
      </c>
      <c r="G687" s="39">
        <v>6685.5996160006089</v>
      </c>
      <c r="H687" s="40">
        <v>0.28443442586384116</v>
      </c>
      <c r="I687" s="40">
        <v>6.3613769580130208E-2</v>
      </c>
      <c r="J687" s="40">
        <v>0.17550328984807195</v>
      </c>
    </row>
    <row r="688" spans="1:10" ht="11.25" customHeight="1" x14ac:dyDescent="0.2">
      <c r="A688" s="49">
        <v>44805</v>
      </c>
      <c r="B688" s="39">
        <v>0</v>
      </c>
      <c r="C688" s="39">
        <v>0</v>
      </c>
      <c r="D688" s="39">
        <v>6665.4588000000003</v>
      </c>
      <c r="E688" s="39">
        <v>8561.344746897088</v>
      </c>
      <c r="F688" s="39">
        <v>6489.2225600000002</v>
      </c>
      <c r="G688" s="39">
        <v>6902.0264686860228</v>
      </c>
      <c r="H688" s="40">
        <v>0.28443442586384116</v>
      </c>
      <c r="I688" s="40">
        <v>6.3613769580130208E-2</v>
      </c>
      <c r="J688" s="40">
        <v>0.17550328984807195</v>
      </c>
    </row>
    <row r="689" spans="1:10" ht="11.25" customHeight="1" x14ac:dyDescent="0.2">
      <c r="A689" s="49">
        <v>44835</v>
      </c>
      <c r="B689" s="39">
        <v>0</v>
      </c>
      <c r="C689" s="39">
        <v>0</v>
      </c>
      <c r="D689" s="39">
        <v>6665.4588000000003</v>
      </c>
      <c r="E689" s="39">
        <v>8561.344746897088</v>
      </c>
      <c r="F689" s="39">
        <v>6489.2225600000002</v>
      </c>
      <c r="G689" s="39">
        <v>6902.0264686860228</v>
      </c>
      <c r="H689" s="40">
        <v>0.28443442586384116</v>
      </c>
      <c r="I689" s="40">
        <v>6.3613769580130208E-2</v>
      </c>
      <c r="J689" s="40">
        <v>0.17550328984807195</v>
      </c>
    </row>
    <row r="690" spans="1:10" ht="11.25" customHeight="1" x14ac:dyDescent="0.2">
      <c r="A690" s="44" t="s">
        <v>38</v>
      </c>
      <c r="B690" s="39">
        <v>0</v>
      </c>
      <c r="C690" s="39">
        <v>0</v>
      </c>
      <c r="D690" s="39">
        <v>685734.44940000016</v>
      </c>
      <c r="E690" s="39">
        <v>880780.93381014629</v>
      </c>
      <c r="F690" s="39">
        <v>667603.4752799999</v>
      </c>
      <c r="G690" s="39">
        <v>710072.24892735609</v>
      </c>
      <c r="H690" s="40">
        <v>0.28443442586384116</v>
      </c>
      <c r="I690" s="40">
        <v>6.3613769580130652E-2</v>
      </c>
      <c r="J690" s="40">
        <v>0.17550328984807217</v>
      </c>
    </row>
    <row r="691" spans="1:10" ht="11.25" customHeight="1" x14ac:dyDescent="0.2">
      <c r="A691" s="45" t="s">
        <v>25</v>
      </c>
      <c r="B691" s="39">
        <v>0</v>
      </c>
      <c r="C691" s="39">
        <v>0</v>
      </c>
      <c r="D691" s="39">
        <v>685734.44940000016</v>
      </c>
      <c r="E691" s="39">
        <v>880780.93381014629</v>
      </c>
      <c r="F691" s="39">
        <v>667603.4752799999</v>
      </c>
      <c r="G691" s="39">
        <v>710072.24892735609</v>
      </c>
      <c r="H691" s="40">
        <v>0.28443442586384116</v>
      </c>
      <c r="I691" s="40">
        <v>6.3613769580130652E-2</v>
      </c>
      <c r="J691" s="40">
        <v>0.17550328984807217</v>
      </c>
    </row>
    <row r="692" spans="1:10" ht="11.25" customHeight="1" x14ac:dyDescent="0.2">
      <c r="A692" s="46" t="s">
        <v>25</v>
      </c>
      <c r="B692" s="39">
        <v>0</v>
      </c>
      <c r="C692" s="39">
        <v>0</v>
      </c>
      <c r="D692" s="39">
        <v>685734.44940000016</v>
      </c>
      <c r="E692" s="39">
        <v>880780.93381014629</v>
      </c>
      <c r="F692" s="39">
        <v>667603.4752799999</v>
      </c>
      <c r="G692" s="39">
        <v>710072.24892735609</v>
      </c>
      <c r="H692" s="40">
        <v>0.28443442586384116</v>
      </c>
      <c r="I692" s="40">
        <v>6.3613769580130652E-2</v>
      </c>
      <c r="J692" s="40">
        <v>0.17550328984807217</v>
      </c>
    </row>
    <row r="693" spans="1:10" ht="11.25" customHeight="1" x14ac:dyDescent="0.2">
      <c r="A693" s="47" t="s">
        <v>25</v>
      </c>
      <c r="B693" s="39">
        <v>0</v>
      </c>
      <c r="C693" s="39">
        <v>0</v>
      </c>
      <c r="D693" s="39">
        <v>685734.44940000016</v>
      </c>
      <c r="E693" s="39">
        <v>880780.93381014629</v>
      </c>
      <c r="F693" s="39">
        <v>667603.4752799999</v>
      </c>
      <c r="G693" s="39">
        <v>710072.24892735609</v>
      </c>
      <c r="H693" s="40">
        <v>0.28443442586384116</v>
      </c>
      <c r="I693" s="40">
        <v>6.3613769580130652E-2</v>
      </c>
      <c r="J693" s="40">
        <v>0.17550328984807217</v>
      </c>
    </row>
    <row r="694" spans="1:10" ht="11.25" customHeight="1" x14ac:dyDescent="0.2">
      <c r="A694" s="48" t="s">
        <v>25</v>
      </c>
      <c r="B694" s="39">
        <v>0</v>
      </c>
      <c r="C694" s="39">
        <v>0</v>
      </c>
      <c r="D694" s="39">
        <v>685734.44940000016</v>
      </c>
      <c r="E694" s="39">
        <v>880780.93381014629</v>
      </c>
      <c r="F694" s="39">
        <v>667603.4752799999</v>
      </c>
      <c r="G694" s="39">
        <v>710072.24892735609</v>
      </c>
      <c r="H694" s="40">
        <v>0.28443442586384116</v>
      </c>
      <c r="I694" s="40">
        <v>6.3613769580130652E-2</v>
      </c>
      <c r="J694" s="40">
        <v>0.17550328984807217</v>
      </c>
    </row>
    <row r="695" spans="1:10" ht="11.25" customHeight="1" x14ac:dyDescent="0.2">
      <c r="A695" s="49">
        <v>44501</v>
      </c>
      <c r="B695" s="39">
        <v>0</v>
      </c>
      <c r="C695" s="39">
        <v>0</v>
      </c>
      <c r="D695" s="39">
        <v>56794.537800000006</v>
      </c>
      <c r="E695" s="39">
        <v>72948.859551345231</v>
      </c>
      <c r="F695" s="39">
        <v>55292.877360000006</v>
      </c>
      <c r="G695" s="39">
        <v>58810.265719801449</v>
      </c>
      <c r="H695" s="40">
        <v>0.28443442586384116</v>
      </c>
      <c r="I695" s="40">
        <v>6.3613769580130208E-2</v>
      </c>
      <c r="J695" s="40">
        <v>0.17550328984807217</v>
      </c>
    </row>
    <row r="696" spans="1:10" ht="11.25" customHeight="1" x14ac:dyDescent="0.2">
      <c r="A696" s="49">
        <v>44531</v>
      </c>
      <c r="B696" s="39">
        <v>0</v>
      </c>
      <c r="C696" s="39">
        <v>0</v>
      </c>
      <c r="D696" s="39">
        <v>56942.885999999999</v>
      </c>
      <c r="E696" s="39">
        <v>73139.403086440157</v>
      </c>
      <c r="F696" s="39">
        <v>55437.303200000002</v>
      </c>
      <c r="G696" s="39">
        <v>58963.879031908611</v>
      </c>
      <c r="H696" s="40">
        <v>0.28443442586384116</v>
      </c>
      <c r="I696" s="40">
        <v>6.3613769580129986E-2</v>
      </c>
      <c r="J696" s="40">
        <v>0.17550328984807195</v>
      </c>
    </row>
    <row r="697" spans="1:10" ht="11.25" customHeight="1" x14ac:dyDescent="0.2">
      <c r="A697" s="49">
        <v>44562</v>
      </c>
      <c r="B697" s="39">
        <v>0</v>
      </c>
      <c r="C697" s="39">
        <v>0</v>
      </c>
      <c r="D697" s="39">
        <v>55357.902600000001</v>
      </c>
      <c r="E697" s="39">
        <v>71103.595843057439</v>
      </c>
      <c r="F697" s="39">
        <v>53894.227120000003</v>
      </c>
      <c r="G697" s="39">
        <v>57322.64206571089</v>
      </c>
      <c r="H697" s="40">
        <v>0.28443442586384116</v>
      </c>
      <c r="I697" s="40">
        <v>6.3613769580130208E-2</v>
      </c>
      <c r="J697" s="40">
        <v>0.17550328984807195</v>
      </c>
    </row>
    <row r="698" spans="1:10" ht="11.25" customHeight="1" x14ac:dyDescent="0.2">
      <c r="A698" s="49">
        <v>44593</v>
      </c>
      <c r="B698" s="39">
        <v>0</v>
      </c>
      <c r="C698" s="39">
        <v>0</v>
      </c>
      <c r="D698" s="39">
        <v>53566.3128</v>
      </c>
      <c r="E698" s="39">
        <v>68802.416226910937</v>
      </c>
      <c r="F698" s="39">
        <v>52150.007359999996</v>
      </c>
      <c r="G698" s="39">
        <v>55467.465911801133</v>
      </c>
      <c r="H698" s="40">
        <v>0.28443442586384138</v>
      </c>
      <c r="I698" s="40">
        <v>6.3613769580130208E-2</v>
      </c>
      <c r="J698" s="40">
        <v>0.17550328984807217</v>
      </c>
    </row>
    <row r="699" spans="1:10" ht="11.25" customHeight="1" x14ac:dyDescent="0.2">
      <c r="A699" s="49">
        <v>44621</v>
      </c>
      <c r="B699" s="39">
        <v>0</v>
      </c>
      <c r="C699" s="39">
        <v>0</v>
      </c>
      <c r="D699" s="39">
        <v>58297.539299999997</v>
      </c>
      <c r="E699" s="39">
        <v>74879.366420070219</v>
      </c>
      <c r="F699" s="39">
        <v>56756.139159999999</v>
      </c>
      <c r="G699" s="39">
        <v>60366.611118782042</v>
      </c>
      <c r="H699" s="40">
        <v>0.28443442586384138</v>
      </c>
      <c r="I699" s="40">
        <v>6.3613769580130208E-2</v>
      </c>
      <c r="J699" s="40">
        <v>0.17550328984807195</v>
      </c>
    </row>
    <row r="700" spans="1:10" ht="11.25" customHeight="1" x14ac:dyDescent="0.2">
      <c r="A700" s="49">
        <v>44652</v>
      </c>
      <c r="B700" s="39">
        <v>0</v>
      </c>
      <c r="C700" s="39">
        <v>0</v>
      </c>
      <c r="D700" s="39">
        <v>58719.160500000005</v>
      </c>
      <c r="E700" s="39">
        <v>75420.911204024233</v>
      </c>
      <c r="F700" s="39">
        <v>57166.6126</v>
      </c>
      <c r="G700" s="39">
        <v>60803.196321612973</v>
      </c>
      <c r="H700" s="40">
        <v>0.28443442586384093</v>
      </c>
      <c r="I700" s="40">
        <v>6.3613769580130208E-2</v>
      </c>
      <c r="J700" s="40">
        <v>0.17550328984807195</v>
      </c>
    </row>
    <row r="701" spans="1:10" ht="11.25" customHeight="1" x14ac:dyDescent="0.2">
      <c r="A701" s="49">
        <v>44682</v>
      </c>
      <c r="B701" s="39">
        <v>0</v>
      </c>
      <c r="C701" s="39">
        <v>0</v>
      </c>
      <c r="D701" s="39">
        <v>56583.126600000003</v>
      </c>
      <c r="E701" s="39">
        <v>72677.315728052039</v>
      </c>
      <c r="F701" s="39">
        <v>55087.055920000006</v>
      </c>
      <c r="G701" s="39">
        <v>58591.351202142629</v>
      </c>
      <c r="H701" s="40">
        <v>0.28443442586384116</v>
      </c>
      <c r="I701" s="40">
        <v>6.3613769580130208E-2</v>
      </c>
      <c r="J701" s="40">
        <v>0.17550328984807195</v>
      </c>
    </row>
    <row r="702" spans="1:10" ht="11.25" customHeight="1" x14ac:dyDescent="0.2">
      <c r="A702" s="49">
        <v>44713</v>
      </c>
      <c r="B702" s="39">
        <v>0</v>
      </c>
      <c r="C702" s="39">
        <v>0</v>
      </c>
      <c r="D702" s="39">
        <v>54526.071599999996</v>
      </c>
      <c r="E702" s="39">
        <v>70035.163470156695</v>
      </c>
      <c r="F702" s="39">
        <v>53084.389920000001</v>
      </c>
      <c r="G702" s="39">
        <v>56461.288068672664</v>
      </c>
      <c r="H702" s="40">
        <v>0.28443442586384116</v>
      </c>
      <c r="I702" s="40">
        <v>6.3613769580130208E-2</v>
      </c>
      <c r="J702" s="40">
        <v>0.17550328984807217</v>
      </c>
    </row>
    <row r="703" spans="1:10" ht="11.25" customHeight="1" x14ac:dyDescent="0.2">
      <c r="A703" s="49">
        <v>44743</v>
      </c>
      <c r="B703" s="39">
        <v>0</v>
      </c>
      <c r="C703" s="39">
        <v>0</v>
      </c>
      <c r="D703" s="39">
        <v>56458.802400000008</v>
      </c>
      <c r="E703" s="39">
        <v>72517.629445604063</v>
      </c>
      <c r="F703" s="39">
        <v>54966.018880000003</v>
      </c>
      <c r="G703" s="39">
        <v>58462.614539769413</v>
      </c>
      <c r="H703" s="40">
        <v>0.28443442586384116</v>
      </c>
      <c r="I703" s="40">
        <v>6.3613769580130208E-2</v>
      </c>
      <c r="J703" s="40">
        <v>0.17550328984807195</v>
      </c>
    </row>
    <row r="704" spans="1:10" ht="11.25" customHeight="1" x14ac:dyDescent="0.2">
      <c r="A704" s="49">
        <v>44774</v>
      </c>
      <c r="B704" s="39">
        <v>0</v>
      </c>
      <c r="C704" s="39">
        <v>0</v>
      </c>
      <c r="D704" s="39">
        <v>55729.073400000001</v>
      </c>
      <c r="E704" s="39">
        <v>71580.34039645287</v>
      </c>
      <c r="F704" s="39">
        <v>54255.584080000008</v>
      </c>
      <c r="G704" s="39">
        <v>57706.986304100501</v>
      </c>
      <c r="H704" s="40">
        <v>0.28443442586384116</v>
      </c>
      <c r="I704" s="40">
        <v>6.3613769580129986E-2</v>
      </c>
      <c r="J704" s="40">
        <v>0.17550328984807195</v>
      </c>
    </row>
    <row r="705" spans="1:10" ht="11.25" customHeight="1" x14ac:dyDescent="0.2">
      <c r="A705" s="49">
        <v>44805</v>
      </c>
      <c r="B705" s="39">
        <v>0</v>
      </c>
      <c r="C705" s="39">
        <v>0</v>
      </c>
      <c r="D705" s="39">
        <v>61379.518200000006</v>
      </c>
      <c r="E705" s="39">
        <v>78837.966219016191</v>
      </c>
      <c r="F705" s="39">
        <v>59756.629840000001</v>
      </c>
      <c r="G705" s="39">
        <v>63557.974321526905</v>
      </c>
      <c r="H705" s="40">
        <v>0.28443442586384116</v>
      </c>
      <c r="I705" s="40">
        <v>6.361376958013043E-2</v>
      </c>
      <c r="J705" s="40">
        <v>0.17550328984807217</v>
      </c>
    </row>
    <row r="706" spans="1:10" ht="11.25" customHeight="1" x14ac:dyDescent="0.2">
      <c r="A706" s="49">
        <v>44835</v>
      </c>
      <c r="B706" s="39">
        <v>0</v>
      </c>
      <c r="C706" s="39">
        <v>0</v>
      </c>
      <c r="D706" s="39">
        <v>61379.518200000006</v>
      </c>
      <c r="E706" s="39">
        <v>78837.966219016191</v>
      </c>
      <c r="F706" s="39">
        <v>59756.629840000001</v>
      </c>
      <c r="G706" s="39">
        <v>63557.974321526905</v>
      </c>
      <c r="H706" s="40">
        <v>0.28443442586384116</v>
      </c>
      <c r="I706" s="40">
        <v>6.361376958013043E-2</v>
      </c>
      <c r="J706" s="40">
        <v>0.17550328984807217</v>
      </c>
    </row>
    <row r="707" spans="1:10" ht="11.25" customHeight="1" x14ac:dyDescent="0.2">
      <c r="A707" s="44" t="s">
        <v>46</v>
      </c>
      <c r="B707" s="39">
        <v>0</v>
      </c>
      <c r="C707" s="39">
        <v>0</v>
      </c>
      <c r="D707" s="39">
        <v>1166560.395</v>
      </c>
      <c r="E707" s="39">
        <v>1498370.3311873209</v>
      </c>
      <c r="F707" s="39">
        <v>1135716.2740000002</v>
      </c>
      <c r="G707" s="39">
        <v>1207963.46736264</v>
      </c>
      <c r="H707" s="40">
        <v>0.28443442586384116</v>
      </c>
      <c r="I707" s="40">
        <v>6.3613769580129764E-2</v>
      </c>
      <c r="J707" s="40">
        <v>0.17550328984807173</v>
      </c>
    </row>
    <row r="708" spans="1:10" ht="11.25" customHeight="1" x14ac:dyDescent="0.2">
      <c r="A708" s="45" t="s">
        <v>25</v>
      </c>
      <c r="B708" s="39">
        <v>0</v>
      </c>
      <c r="C708" s="39">
        <v>0</v>
      </c>
      <c r="D708" s="39">
        <v>1166560.395</v>
      </c>
      <c r="E708" s="39">
        <v>1498370.3311873209</v>
      </c>
      <c r="F708" s="39">
        <v>1135716.2740000002</v>
      </c>
      <c r="G708" s="39">
        <v>1207963.46736264</v>
      </c>
      <c r="H708" s="40">
        <v>0.28443442586384116</v>
      </c>
      <c r="I708" s="40">
        <v>6.3613769580129764E-2</v>
      </c>
      <c r="J708" s="40">
        <v>0.17550328984807173</v>
      </c>
    </row>
    <row r="709" spans="1:10" ht="11.25" customHeight="1" x14ac:dyDescent="0.2">
      <c r="A709" s="46" t="s">
        <v>25</v>
      </c>
      <c r="B709" s="39">
        <v>0</v>
      </c>
      <c r="C709" s="39">
        <v>0</v>
      </c>
      <c r="D709" s="39">
        <v>1166560.395</v>
      </c>
      <c r="E709" s="39">
        <v>1498370.3311873209</v>
      </c>
      <c r="F709" s="39">
        <v>1135716.2740000002</v>
      </c>
      <c r="G709" s="39">
        <v>1207963.46736264</v>
      </c>
      <c r="H709" s="40">
        <v>0.28443442586384116</v>
      </c>
      <c r="I709" s="40">
        <v>6.3613769580129764E-2</v>
      </c>
      <c r="J709" s="40">
        <v>0.17550328984807173</v>
      </c>
    </row>
    <row r="710" spans="1:10" ht="11.25" customHeight="1" x14ac:dyDescent="0.2">
      <c r="A710" s="47" t="s">
        <v>25</v>
      </c>
      <c r="B710" s="39">
        <v>0</v>
      </c>
      <c r="C710" s="39">
        <v>0</v>
      </c>
      <c r="D710" s="39">
        <v>1166560.395</v>
      </c>
      <c r="E710" s="39">
        <v>1498370.3311873209</v>
      </c>
      <c r="F710" s="39">
        <v>1135716.2740000002</v>
      </c>
      <c r="G710" s="39">
        <v>1207963.46736264</v>
      </c>
      <c r="H710" s="40">
        <v>0.28443442586384116</v>
      </c>
      <c r="I710" s="40">
        <v>6.3613769580129764E-2</v>
      </c>
      <c r="J710" s="40">
        <v>0.17550328984807173</v>
      </c>
    </row>
    <row r="711" spans="1:10" ht="11.25" customHeight="1" x14ac:dyDescent="0.2">
      <c r="A711" s="48" t="s">
        <v>25</v>
      </c>
      <c r="B711" s="39">
        <v>0</v>
      </c>
      <c r="C711" s="39">
        <v>0</v>
      </c>
      <c r="D711" s="39">
        <v>1166560.395</v>
      </c>
      <c r="E711" s="39">
        <v>1498370.3311873209</v>
      </c>
      <c r="F711" s="39">
        <v>1135716.2740000002</v>
      </c>
      <c r="G711" s="39">
        <v>1207963.46736264</v>
      </c>
      <c r="H711" s="40">
        <v>0.28443442586384116</v>
      </c>
      <c r="I711" s="40">
        <v>6.3613769580129764E-2</v>
      </c>
      <c r="J711" s="40">
        <v>0.17550328984807173</v>
      </c>
    </row>
    <row r="712" spans="1:10" ht="11.25" customHeight="1" x14ac:dyDescent="0.2">
      <c r="A712" s="49">
        <v>44501</v>
      </c>
      <c r="B712" s="39">
        <v>0</v>
      </c>
      <c r="C712" s="39">
        <v>0</v>
      </c>
      <c r="D712" s="39">
        <v>86119.733699999997</v>
      </c>
      <c r="E712" s="39">
        <v>110615.15071050639</v>
      </c>
      <c r="F712" s="39">
        <v>83842.708440000002</v>
      </c>
      <c r="G712" s="39">
        <v>89176.259175676198</v>
      </c>
      <c r="H712" s="40">
        <v>0.28443442586384116</v>
      </c>
      <c r="I712" s="40">
        <v>6.3613769580130208E-2</v>
      </c>
      <c r="J712" s="40">
        <v>0.17550328984807195</v>
      </c>
    </row>
    <row r="713" spans="1:10" ht="11.25" customHeight="1" x14ac:dyDescent="0.2">
      <c r="A713" s="49">
        <v>44531</v>
      </c>
      <c r="B713" s="39">
        <v>0</v>
      </c>
      <c r="C713" s="39">
        <v>0</v>
      </c>
      <c r="D713" s="39">
        <v>94245.251099999994</v>
      </c>
      <c r="E713" s="39">
        <v>121051.84498702204</v>
      </c>
      <c r="F713" s="39">
        <v>91753.385320000001</v>
      </c>
      <c r="G713" s="39">
        <v>97590.164031943379</v>
      </c>
      <c r="H713" s="40">
        <v>0.28443442586384116</v>
      </c>
      <c r="I713" s="40">
        <v>6.3613769580130208E-2</v>
      </c>
      <c r="J713" s="40">
        <v>0.17550328984807195</v>
      </c>
    </row>
    <row r="714" spans="1:10" ht="11.25" customHeight="1" x14ac:dyDescent="0.2">
      <c r="A714" s="49">
        <v>44562</v>
      </c>
      <c r="B714" s="39">
        <v>0</v>
      </c>
      <c r="C714" s="39">
        <v>0</v>
      </c>
      <c r="D714" s="39">
        <v>92968.9761</v>
      </c>
      <c r="E714" s="39">
        <v>119412.55344015268</v>
      </c>
      <c r="F714" s="39">
        <v>90510.855320000017</v>
      </c>
      <c r="G714" s="39">
        <v>96268.592014826994</v>
      </c>
      <c r="H714" s="40">
        <v>0.28443442586384138</v>
      </c>
      <c r="I714" s="40">
        <v>6.3613769580130208E-2</v>
      </c>
      <c r="J714" s="40">
        <v>0.17550328984807217</v>
      </c>
    </row>
    <row r="715" spans="1:10" ht="11.25" customHeight="1" x14ac:dyDescent="0.2">
      <c r="A715" s="49">
        <v>44593</v>
      </c>
      <c r="B715" s="39">
        <v>0</v>
      </c>
      <c r="C715" s="39">
        <v>0</v>
      </c>
      <c r="D715" s="39">
        <v>83377.394100000005</v>
      </c>
      <c r="E715" s="39">
        <v>107092.79532085672</v>
      </c>
      <c r="F715" s="39">
        <v>81172.876919999995</v>
      </c>
      <c r="G715" s="39">
        <v>86336.589608545153</v>
      </c>
      <c r="H715" s="40">
        <v>0.28443442586384116</v>
      </c>
      <c r="I715" s="40">
        <v>6.3613769580130208E-2</v>
      </c>
      <c r="J715" s="40">
        <v>0.17550328984807217</v>
      </c>
    </row>
    <row r="716" spans="1:10" ht="11.25" customHeight="1" x14ac:dyDescent="0.2">
      <c r="A716" s="49">
        <v>44621</v>
      </c>
      <c r="B716" s="39">
        <v>0</v>
      </c>
      <c r="C716" s="39">
        <v>0</v>
      </c>
      <c r="D716" s="39">
        <v>89608.318800000008</v>
      </c>
      <c r="E716" s="39">
        <v>115096.00951050204</v>
      </c>
      <c r="F716" s="39">
        <v>87239.054560000004</v>
      </c>
      <c r="G716" s="39">
        <v>92788.659675168252</v>
      </c>
      <c r="H716" s="40">
        <v>0.28443442586384116</v>
      </c>
      <c r="I716" s="40">
        <v>6.3613769580130208E-2</v>
      </c>
      <c r="J716" s="40">
        <v>0.17550328984807195</v>
      </c>
    </row>
    <row r="717" spans="1:10" ht="11.25" customHeight="1" x14ac:dyDescent="0.2">
      <c r="A717" s="49">
        <v>44652</v>
      </c>
      <c r="B717" s="39">
        <v>0</v>
      </c>
      <c r="C717" s="39">
        <v>0</v>
      </c>
      <c r="D717" s="39">
        <v>94756.061400000006</v>
      </c>
      <c r="E717" s="39">
        <v>121707.94732142788</v>
      </c>
      <c r="F717" s="39">
        <v>92250.689679999996</v>
      </c>
      <c r="G717" s="39">
        <v>98119.103796911615</v>
      </c>
      <c r="H717" s="40">
        <v>0.28443442586384116</v>
      </c>
      <c r="I717" s="40">
        <v>6.3613769580130208E-2</v>
      </c>
      <c r="J717" s="40">
        <v>0.17550328984807195</v>
      </c>
    </row>
    <row r="718" spans="1:10" ht="11.25" customHeight="1" x14ac:dyDescent="0.2">
      <c r="A718" s="49">
        <v>44682</v>
      </c>
      <c r="B718" s="39">
        <v>0</v>
      </c>
      <c r="C718" s="39">
        <v>0</v>
      </c>
      <c r="D718" s="39">
        <v>92454.261899999998</v>
      </c>
      <c r="E718" s="39">
        <v>118751.4368021917</v>
      </c>
      <c r="F718" s="39">
        <v>90009.750280000007</v>
      </c>
      <c r="G718" s="39">
        <v>95735.609794276985</v>
      </c>
      <c r="H718" s="40">
        <v>0.28443442586384116</v>
      </c>
      <c r="I718" s="40">
        <v>6.3613769580130208E-2</v>
      </c>
      <c r="J718" s="40">
        <v>0.17550328984807195</v>
      </c>
    </row>
    <row r="719" spans="1:10" ht="11.25" customHeight="1" x14ac:dyDescent="0.2">
      <c r="A719" s="49">
        <v>44713</v>
      </c>
      <c r="B719" s="39">
        <v>0</v>
      </c>
      <c r="C719" s="39">
        <v>0</v>
      </c>
      <c r="D719" s="39">
        <v>93100.207200000004</v>
      </c>
      <c r="E719" s="39">
        <v>119581.11118273665</v>
      </c>
      <c r="F719" s="39">
        <v>90638.616640000007</v>
      </c>
      <c r="G719" s="39">
        <v>96404.480713998724</v>
      </c>
      <c r="H719" s="40">
        <v>0.28443442586384116</v>
      </c>
      <c r="I719" s="40">
        <v>6.3613769580130208E-2</v>
      </c>
      <c r="J719" s="40">
        <v>0.17550328984807195</v>
      </c>
    </row>
    <row r="720" spans="1:10" ht="11.25" customHeight="1" x14ac:dyDescent="0.2">
      <c r="A720" s="49">
        <v>44743</v>
      </c>
      <c r="B720" s="39">
        <v>0</v>
      </c>
      <c r="C720" s="39">
        <v>0</v>
      </c>
      <c r="D720" s="39">
        <v>142102.26030000002</v>
      </c>
      <c r="E720" s="39">
        <v>182521.03512238461</v>
      </c>
      <c r="F720" s="39">
        <v>138345.04436</v>
      </c>
      <c r="G720" s="39">
        <v>147145.69413446996</v>
      </c>
      <c r="H720" s="40">
        <v>0.28443442586384093</v>
      </c>
      <c r="I720" s="40">
        <v>6.361376958013043E-2</v>
      </c>
      <c r="J720" s="40">
        <v>0.17550328984807195</v>
      </c>
    </row>
    <row r="721" spans="1:10" ht="11.25" customHeight="1" x14ac:dyDescent="0.2">
      <c r="A721" s="49">
        <v>44774</v>
      </c>
      <c r="B721" s="39">
        <v>0</v>
      </c>
      <c r="C721" s="39">
        <v>0</v>
      </c>
      <c r="D721" s="39">
        <v>89659.3698</v>
      </c>
      <c r="E721" s="39">
        <v>115161.58117237683</v>
      </c>
      <c r="F721" s="39">
        <v>87288.755760000015</v>
      </c>
      <c r="G721" s="39">
        <v>92841.52255585292</v>
      </c>
      <c r="H721" s="40">
        <v>0.28443442586384116</v>
      </c>
      <c r="I721" s="40">
        <v>6.3613769580130208E-2</v>
      </c>
      <c r="J721" s="40">
        <v>0.17550328984807217</v>
      </c>
    </row>
    <row r="722" spans="1:10" ht="11.25" customHeight="1" x14ac:dyDescent="0.2">
      <c r="A722" s="49">
        <v>44805</v>
      </c>
      <c r="B722" s="39">
        <v>0</v>
      </c>
      <c r="C722" s="39">
        <v>0</v>
      </c>
      <c r="D722" s="39">
        <v>104084.2803</v>
      </c>
      <c r="E722" s="39">
        <v>133689.43280858162</v>
      </c>
      <c r="F722" s="39">
        <v>101332.26836</v>
      </c>
      <c r="G722" s="39">
        <v>107778.39593048497</v>
      </c>
      <c r="H722" s="40">
        <v>0.28443442586384138</v>
      </c>
      <c r="I722" s="40">
        <v>6.3613769580130208E-2</v>
      </c>
      <c r="J722" s="40">
        <v>0.17550328984807217</v>
      </c>
    </row>
    <row r="723" spans="1:10" ht="11.25" customHeight="1" x14ac:dyDescent="0.2">
      <c r="A723" s="49">
        <v>44835</v>
      </c>
      <c r="B723" s="39">
        <v>0</v>
      </c>
      <c r="C723" s="39">
        <v>0</v>
      </c>
      <c r="D723" s="39">
        <v>104084.2803</v>
      </c>
      <c r="E723" s="39">
        <v>133689.43280858162</v>
      </c>
      <c r="F723" s="39">
        <v>101332.26836</v>
      </c>
      <c r="G723" s="39">
        <v>107778.39593048497</v>
      </c>
      <c r="H723" s="40">
        <v>0.28443442586384138</v>
      </c>
      <c r="I723" s="40">
        <v>6.3613769580130208E-2</v>
      </c>
      <c r="J723" s="40">
        <v>0.17550328984807217</v>
      </c>
    </row>
    <row r="724" spans="1:10" ht="11.25" customHeight="1" x14ac:dyDescent="0.2">
      <c r="A724" s="44" t="s">
        <v>50</v>
      </c>
      <c r="B724" s="39">
        <v>0</v>
      </c>
      <c r="C724" s="39">
        <v>0</v>
      </c>
      <c r="D724" s="39">
        <v>411853.10766600003</v>
      </c>
      <c r="E724" s="39">
        <v>528998.30988521746</v>
      </c>
      <c r="F724" s="39">
        <v>400963.61823919998</v>
      </c>
      <c r="G724" s="39">
        <v>426470.42545988382</v>
      </c>
      <c r="H724" s="40">
        <v>0.28443442586384116</v>
      </c>
      <c r="I724" s="40">
        <v>6.361376958013043E-2</v>
      </c>
      <c r="J724" s="40">
        <v>0.17550328984807195</v>
      </c>
    </row>
    <row r="725" spans="1:10" ht="11.25" customHeight="1" x14ac:dyDescent="0.2">
      <c r="A725" s="45" t="s">
        <v>51</v>
      </c>
      <c r="B725" s="39">
        <v>0</v>
      </c>
      <c r="C725" s="39">
        <v>0</v>
      </c>
      <c r="D725" s="39">
        <v>411853.10766600003</v>
      </c>
      <c r="E725" s="39">
        <v>528998.30988521746</v>
      </c>
      <c r="F725" s="39">
        <v>400963.61823919998</v>
      </c>
      <c r="G725" s="39">
        <v>426470.42545988382</v>
      </c>
      <c r="H725" s="40">
        <v>0.28443442586384116</v>
      </c>
      <c r="I725" s="40">
        <v>6.361376958013043E-2</v>
      </c>
      <c r="J725" s="40">
        <v>0.17550328984807195</v>
      </c>
    </row>
    <row r="726" spans="1:10" ht="11.25" customHeight="1" x14ac:dyDescent="0.2">
      <c r="A726" s="46" t="s">
        <v>25</v>
      </c>
      <c r="B726" s="39">
        <v>0</v>
      </c>
      <c r="C726" s="39">
        <v>0</v>
      </c>
      <c r="D726" s="39">
        <v>411853.10766600003</v>
      </c>
      <c r="E726" s="39">
        <v>528998.30988521746</v>
      </c>
      <c r="F726" s="39">
        <v>400963.61823919998</v>
      </c>
      <c r="G726" s="39">
        <v>426470.42545988382</v>
      </c>
      <c r="H726" s="40">
        <v>0.28443442586384116</v>
      </c>
      <c r="I726" s="40">
        <v>6.361376958013043E-2</v>
      </c>
      <c r="J726" s="40">
        <v>0.17550328984807195</v>
      </c>
    </row>
    <row r="727" spans="1:10" ht="11.25" customHeight="1" x14ac:dyDescent="0.2">
      <c r="A727" s="47" t="s">
        <v>25</v>
      </c>
      <c r="B727" s="39">
        <v>0</v>
      </c>
      <c r="C727" s="39">
        <v>0</v>
      </c>
      <c r="D727" s="39">
        <v>411853.10766600003</v>
      </c>
      <c r="E727" s="39">
        <v>528998.30988521746</v>
      </c>
      <c r="F727" s="39">
        <v>400963.61823919998</v>
      </c>
      <c r="G727" s="39">
        <v>426470.42545988382</v>
      </c>
      <c r="H727" s="40">
        <v>0.28443442586384116</v>
      </c>
      <c r="I727" s="40">
        <v>6.361376958013043E-2</v>
      </c>
      <c r="J727" s="40">
        <v>0.17550328984807195</v>
      </c>
    </row>
    <row r="728" spans="1:10" ht="11.25" customHeight="1" x14ac:dyDescent="0.2">
      <c r="A728" s="48" t="s">
        <v>25</v>
      </c>
      <c r="B728" s="39">
        <v>0</v>
      </c>
      <c r="C728" s="39">
        <v>0</v>
      </c>
      <c r="D728" s="39">
        <v>411853.10766600003</v>
      </c>
      <c r="E728" s="39">
        <v>528998.30988521746</v>
      </c>
      <c r="F728" s="39">
        <v>400963.61823919998</v>
      </c>
      <c r="G728" s="39">
        <v>426470.42545988382</v>
      </c>
      <c r="H728" s="40">
        <v>0.28443442586384116</v>
      </c>
      <c r="I728" s="40">
        <v>6.361376958013043E-2</v>
      </c>
      <c r="J728" s="40">
        <v>0.17550328984807195</v>
      </c>
    </row>
    <row r="729" spans="1:10" ht="11.25" customHeight="1" x14ac:dyDescent="0.2">
      <c r="A729" s="49">
        <v>44501</v>
      </c>
      <c r="B729" s="39">
        <v>0</v>
      </c>
      <c r="C729" s="39">
        <v>0</v>
      </c>
      <c r="D729" s="39">
        <v>32449.162746000002</v>
      </c>
      <c r="E729" s="39">
        <v>41678.821721420856</v>
      </c>
      <c r="F729" s="39">
        <v>31591.199535200001</v>
      </c>
      <c r="G729" s="39">
        <v>33600.834823192134</v>
      </c>
      <c r="H729" s="40">
        <v>0.28443442586384116</v>
      </c>
      <c r="I729" s="40">
        <v>6.3613769580130208E-2</v>
      </c>
      <c r="J729" s="40">
        <v>0.17550328984807195</v>
      </c>
    </row>
    <row r="730" spans="1:10" ht="11.25" customHeight="1" x14ac:dyDescent="0.2">
      <c r="A730" s="49">
        <v>44531</v>
      </c>
      <c r="B730" s="39">
        <v>0</v>
      </c>
      <c r="C730" s="39">
        <v>0</v>
      </c>
      <c r="D730" s="39">
        <v>34508.974499999997</v>
      </c>
      <c r="E730" s="39">
        <v>44324.514849057436</v>
      </c>
      <c r="F730" s="39">
        <v>33596.549399999996</v>
      </c>
      <c r="G730" s="39">
        <v>35733.752552219063</v>
      </c>
      <c r="H730" s="40">
        <v>0.28443442586384138</v>
      </c>
      <c r="I730" s="40">
        <v>6.361376958013043E-2</v>
      </c>
      <c r="J730" s="40">
        <v>0.17550328984807217</v>
      </c>
    </row>
    <row r="731" spans="1:10" ht="11.25" customHeight="1" x14ac:dyDescent="0.2">
      <c r="A731" s="49">
        <v>44562</v>
      </c>
      <c r="B731" s="39">
        <v>0</v>
      </c>
      <c r="C731" s="39">
        <v>0</v>
      </c>
      <c r="D731" s="39">
        <v>38889.708857999998</v>
      </c>
      <c r="E731" s="39">
        <v>49951.280869037168</v>
      </c>
      <c r="F731" s="39">
        <v>37861.456149600002</v>
      </c>
      <c r="G731" s="39">
        <v>40269.966097068864</v>
      </c>
      <c r="H731" s="40">
        <v>0.28443442586384116</v>
      </c>
      <c r="I731" s="40">
        <v>6.3613769580130208E-2</v>
      </c>
      <c r="J731" s="40">
        <v>0.17550328984807195</v>
      </c>
    </row>
    <row r="732" spans="1:10" ht="11.25" customHeight="1" x14ac:dyDescent="0.2">
      <c r="A732" s="49">
        <v>44593</v>
      </c>
      <c r="B732" s="39">
        <v>0</v>
      </c>
      <c r="C732" s="39">
        <v>0</v>
      </c>
      <c r="D732" s="39">
        <v>35498.937473999998</v>
      </c>
      <c r="E732" s="39">
        <v>45596.057373193587</v>
      </c>
      <c r="F732" s="39">
        <v>34560.337528800002</v>
      </c>
      <c r="G732" s="39">
        <v>36758.850876968609</v>
      </c>
      <c r="H732" s="40">
        <v>0.28443442586384116</v>
      </c>
      <c r="I732" s="40">
        <v>6.3613769580129986E-2</v>
      </c>
      <c r="J732" s="40">
        <v>0.17550328984807217</v>
      </c>
    </row>
    <row r="733" spans="1:10" ht="11.25" customHeight="1" x14ac:dyDescent="0.2">
      <c r="A733" s="49">
        <v>44621</v>
      </c>
      <c r="B733" s="39">
        <v>0</v>
      </c>
      <c r="C733" s="39">
        <v>0</v>
      </c>
      <c r="D733" s="39">
        <v>36231.176982000005</v>
      </c>
      <c r="E733" s="39">
        <v>46536.571005246391</v>
      </c>
      <c r="F733" s="39">
        <v>35273.216458399998</v>
      </c>
      <c r="G733" s="39">
        <v>37517.078722534716</v>
      </c>
      <c r="H733" s="40">
        <v>0.28443442586384116</v>
      </c>
      <c r="I733" s="40">
        <v>6.3613769580130208E-2</v>
      </c>
      <c r="J733" s="40">
        <v>0.17550328984807195</v>
      </c>
    </row>
    <row r="734" spans="1:10" ht="11.25" customHeight="1" x14ac:dyDescent="0.2">
      <c r="A734" s="49">
        <v>44652</v>
      </c>
      <c r="B734" s="39">
        <v>0</v>
      </c>
      <c r="C734" s="39">
        <v>0</v>
      </c>
      <c r="D734" s="39">
        <v>30851.446626000001</v>
      </c>
      <c r="E734" s="39">
        <v>39626.660134135251</v>
      </c>
      <c r="F734" s="39">
        <v>30035.727391200002</v>
      </c>
      <c r="G734" s="39">
        <v>31946.413232635405</v>
      </c>
      <c r="H734" s="40">
        <v>0.28443442586384116</v>
      </c>
      <c r="I734" s="40">
        <v>6.3613769580130208E-2</v>
      </c>
      <c r="J734" s="40">
        <v>0.17550328984807195</v>
      </c>
    </row>
    <row r="735" spans="1:10" ht="11.25" customHeight="1" x14ac:dyDescent="0.2">
      <c r="A735" s="49">
        <v>44682</v>
      </c>
      <c r="B735" s="39">
        <v>0</v>
      </c>
      <c r="C735" s="39">
        <v>0</v>
      </c>
      <c r="D735" s="39">
        <v>29766.636900000001</v>
      </c>
      <c r="E735" s="39">
        <v>38233.293176548934</v>
      </c>
      <c r="F735" s="39">
        <v>28979.600280000002</v>
      </c>
      <c r="G735" s="39">
        <v>30823.101894736199</v>
      </c>
      <c r="H735" s="40">
        <v>0.28443442586384138</v>
      </c>
      <c r="I735" s="40">
        <v>6.3613769580130208E-2</v>
      </c>
      <c r="J735" s="40">
        <v>0.17550328984807217</v>
      </c>
    </row>
    <row r="736" spans="1:10" ht="11.25" customHeight="1" x14ac:dyDescent="0.2">
      <c r="A736" s="49">
        <v>44713</v>
      </c>
      <c r="B736" s="39">
        <v>0</v>
      </c>
      <c r="C736" s="39">
        <v>0</v>
      </c>
      <c r="D736" s="39">
        <v>31887.703848000001</v>
      </c>
      <c r="E736" s="39">
        <v>40957.664584122082</v>
      </c>
      <c r="F736" s="39">
        <v>31044.585737600002</v>
      </c>
      <c r="G736" s="39">
        <v>33019.448861422286</v>
      </c>
      <c r="H736" s="40">
        <v>0.28443442586384116</v>
      </c>
      <c r="I736" s="40">
        <v>6.3613769580130208E-2</v>
      </c>
      <c r="J736" s="40">
        <v>0.17550328984807217</v>
      </c>
    </row>
    <row r="737" spans="1:10" ht="11.25" customHeight="1" x14ac:dyDescent="0.2">
      <c r="A737" s="49">
        <v>44743</v>
      </c>
      <c r="B737" s="39">
        <v>0</v>
      </c>
      <c r="C737" s="39">
        <v>0</v>
      </c>
      <c r="D737" s="39">
        <v>36911.476602000002</v>
      </c>
      <c r="E737" s="39">
        <v>47410.371257076476</v>
      </c>
      <c r="F737" s="39">
        <v>35935.528802400004</v>
      </c>
      <c r="G737" s="39">
        <v>38221.523251376006</v>
      </c>
      <c r="H737" s="40">
        <v>0.28443442586384116</v>
      </c>
      <c r="I737" s="40">
        <v>6.3613769580129986E-2</v>
      </c>
      <c r="J737" s="40">
        <v>0.17550328984807195</v>
      </c>
    </row>
    <row r="738" spans="1:10" ht="11.25" customHeight="1" x14ac:dyDescent="0.2">
      <c r="A738" s="49">
        <v>44774</v>
      </c>
      <c r="B738" s="39">
        <v>0</v>
      </c>
      <c r="C738" s="39">
        <v>0</v>
      </c>
      <c r="D738" s="39">
        <v>31865.403570000002</v>
      </c>
      <c r="E738" s="39">
        <v>40929.021339352548</v>
      </c>
      <c r="F738" s="39">
        <v>31022.875084000003</v>
      </c>
      <c r="G738" s="39">
        <v>32996.357111306745</v>
      </c>
      <c r="H738" s="40">
        <v>0.28443442586384116</v>
      </c>
      <c r="I738" s="40">
        <v>6.3613769580130208E-2</v>
      </c>
      <c r="J738" s="40">
        <v>0.17550328984807195</v>
      </c>
    </row>
    <row r="739" spans="1:10" ht="11.25" customHeight="1" x14ac:dyDescent="0.2">
      <c r="A739" s="49">
        <v>44805</v>
      </c>
      <c r="B739" s="39">
        <v>0</v>
      </c>
      <c r="C739" s="39">
        <v>0</v>
      </c>
      <c r="D739" s="39">
        <v>36496.239780000004</v>
      </c>
      <c r="E739" s="39">
        <v>46877.026788013383</v>
      </c>
      <c r="F739" s="39">
        <v>35531.270936000001</v>
      </c>
      <c r="G739" s="39">
        <v>37791.549018211881</v>
      </c>
      <c r="H739" s="40">
        <v>0.28443442586384116</v>
      </c>
      <c r="I739" s="40">
        <v>6.3613769580130208E-2</v>
      </c>
      <c r="J739" s="40">
        <v>0.17550328984807217</v>
      </c>
    </row>
    <row r="740" spans="1:10" ht="11.25" customHeight="1" x14ac:dyDescent="0.2">
      <c r="A740" s="49">
        <v>44835</v>
      </c>
      <c r="B740" s="39">
        <v>0</v>
      </c>
      <c r="C740" s="39">
        <v>0</v>
      </c>
      <c r="D740" s="39">
        <v>36496.239780000004</v>
      </c>
      <c r="E740" s="39">
        <v>46877.026788013383</v>
      </c>
      <c r="F740" s="39">
        <v>35531.270936000001</v>
      </c>
      <c r="G740" s="39">
        <v>37791.549018211881</v>
      </c>
      <c r="H740" s="40">
        <v>0.28443442586384116</v>
      </c>
      <c r="I740" s="40">
        <v>6.3613769580130208E-2</v>
      </c>
      <c r="J740" s="40">
        <v>0.17550328984807217</v>
      </c>
    </row>
    <row r="741" spans="1:10" ht="11.25" customHeight="1" x14ac:dyDescent="0.2">
      <c r="A741" s="42" t="s">
        <v>47</v>
      </c>
      <c r="B741" s="39">
        <v>0</v>
      </c>
      <c r="C741" s="39">
        <v>0</v>
      </c>
      <c r="D741" s="39">
        <v>3246111.6201999998</v>
      </c>
      <c r="E741" s="39">
        <v>4169543.7387682102</v>
      </c>
      <c r="F741" s="39">
        <v>3160418.676</v>
      </c>
      <c r="G741" s="39">
        <v>3361423.012167857</v>
      </c>
      <c r="H741" s="40">
        <v>0.28447331041294133</v>
      </c>
      <c r="I741" s="40">
        <v>6.3600540553145679E-2</v>
      </c>
      <c r="J741" s="40">
        <v>0.17551410869047479</v>
      </c>
    </row>
    <row r="742" spans="1:10" ht="11.25" customHeight="1" x14ac:dyDescent="0.2">
      <c r="A742" s="43" t="s">
        <v>23</v>
      </c>
      <c r="B742" s="39">
        <v>0</v>
      </c>
      <c r="C742" s="39">
        <v>0</v>
      </c>
      <c r="D742" s="39">
        <v>3246111.6201999998</v>
      </c>
      <c r="E742" s="39">
        <v>4169543.7387682102</v>
      </c>
      <c r="F742" s="39">
        <v>3160418.676</v>
      </c>
      <c r="G742" s="39">
        <v>3361423.012167857</v>
      </c>
      <c r="H742" s="40">
        <v>0.28447331041294133</v>
      </c>
      <c r="I742" s="40">
        <v>6.3600540553145679E-2</v>
      </c>
      <c r="J742" s="40">
        <v>0.17551410869047479</v>
      </c>
    </row>
    <row r="743" spans="1:10" ht="11.25" customHeight="1" x14ac:dyDescent="0.2">
      <c r="A743" s="44" t="s">
        <v>48</v>
      </c>
      <c r="B743" s="39">
        <v>0</v>
      </c>
      <c r="C743" s="39">
        <v>0</v>
      </c>
      <c r="D743" s="39">
        <v>3246111.6201999998</v>
      </c>
      <c r="E743" s="39">
        <v>4169543.7387682102</v>
      </c>
      <c r="F743" s="39">
        <v>3160418.676</v>
      </c>
      <c r="G743" s="39">
        <v>3361423.012167857</v>
      </c>
      <c r="H743" s="40">
        <v>0.28447331041294133</v>
      </c>
      <c r="I743" s="40">
        <v>6.3600540553145679E-2</v>
      </c>
      <c r="J743" s="40">
        <v>0.17551410869047479</v>
      </c>
    </row>
    <row r="744" spans="1:10" ht="11.25" customHeight="1" x14ac:dyDescent="0.2">
      <c r="A744" s="45" t="s">
        <v>49</v>
      </c>
      <c r="B744" s="39">
        <v>0</v>
      </c>
      <c r="C744" s="39">
        <v>0</v>
      </c>
      <c r="D744" s="39">
        <v>3246111.6201999998</v>
      </c>
      <c r="E744" s="39">
        <v>4169543.7387682102</v>
      </c>
      <c r="F744" s="39">
        <v>3160418.676</v>
      </c>
      <c r="G744" s="39">
        <v>3361423.012167857</v>
      </c>
      <c r="H744" s="40">
        <v>0.28447331041294133</v>
      </c>
      <c r="I744" s="40">
        <v>6.3600540553145679E-2</v>
      </c>
      <c r="J744" s="40">
        <v>0.17551410869047479</v>
      </c>
    </row>
    <row r="745" spans="1:10" ht="11.25" customHeight="1" x14ac:dyDescent="0.2">
      <c r="A745" s="46" t="s">
        <v>25</v>
      </c>
      <c r="B745" s="39">
        <v>0</v>
      </c>
      <c r="C745" s="39">
        <v>0</v>
      </c>
      <c r="D745" s="39">
        <v>3246111.6201999998</v>
      </c>
      <c r="E745" s="39">
        <v>4169543.7387682102</v>
      </c>
      <c r="F745" s="39">
        <v>3160418.676</v>
      </c>
      <c r="G745" s="39">
        <v>3361423.012167857</v>
      </c>
      <c r="H745" s="40">
        <v>0.28447331041294133</v>
      </c>
      <c r="I745" s="40">
        <v>6.3600540553145679E-2</v>
      </c>
      <c r="J745" s="40">
        <v>0.17551410869047479</v>
      </c>
    </row>
    <row r="746" spans="1:10" ht="11.25" customHeight="1" x14ac:dyDescent="0.2">
      <c r="A746" s="47" t="s">
        <v>25</v>
      </c>
      <c r="B746" s="39">
        <v>0</v>
      </c>
      <c r="C746" s="39">
        <v>0</v>
      </c>
      <c r="D746" s="39">
        <v>3246111.6201999998</v>
      </c>
      <c r="E746" s="39">
        <v>4169543.7387682102</v>
      </c>
      <c r="F746" s="39">
        <v>3160418.676</v>
      </c>
      <c r="G746" s="39">
        <v>3361423.012167857</v>
      </c>
      <c r="H746" s="40">
        <v>0.28447331041294133</v>
      </c>
      <c r="I746" s="40">
        <v>6.3600540553145679E-2</v>
      </c>
      <c r="J746" s="40">
        <v>0.17551410869047479</v>
      </c>
    </row>
    <row r="747" spans="1:10" ht="11.25" customHeight="1" x14ac:dyDescent="0.2">
      <c r="A747" s="48" t="s">
        <v>25</v>
      </c>
      <c r="B747" s="39">
        <v>0</v>
      </c>
      <c r="C747" s="39">
        <v>0</v>
      </c>
      <c r="D747" s="39">
        <v>3246111.6201999998</v>
      </c>
      <c r="E747" s="39">
        <v>4169543.7387682102</v>
      </c>
      <c r="F747" s="39">
        <v>3160418.676</v>
      </c>
      <c r="G747" s="39">
        <v>3361423.012167857</v>
      </c>
      <c r="H747" s="40">
        <v>0.28447331041294133</v>
      </c>
      <c r="I747" s="40">
        <v>6.3600540553145679E-2</v>
      </c>
      <c r="J747" s="40">
        <v>0.17551410869047479</v>
      </c>
    </row>
    <row r="748" spans="1:10" ht="11.25" customHeight="1" x14ac:dyDescent="0.2">
      <c r="A748" s="49">
        <v>44501</v>
      </c>
      <c r="B748" s="39">
        <v>0</v>
      </c>
      <c r="C748" s="39">
        <v>0</v>
      </c>
      <c r="D748" s="39">
        <v>273476.38731999998</v>
      </c>
      <c r="E748" s="39">
        <v>351273.12054069206</v>
      </c>
      <c r="F748" s="39">
        <v>266256.9816</v>
      </c>
      <c r="G748" s="39">
        <v>283191.06955580896</v>
      </c>
      <c r="H748" s="40">
        <v>0.2844733104129411</v>
      </c>
      <c r="I748" s="40">
        <v>6.3600540553145679E-2</v>
      </c>
      <c r="J748" s="40">
        <v>0.17551410869047479</v>
      </c>
    </row>
    <row r="749" spans="1:10" ht="11.25" customHeight="1" x14ac:dyDescent="0.2">
      <c r="A749" s="49">
        <v>44531</v>
      </c>
      <c r="B749" s="39">
        <v>0</v>
      </c>
      <c r="C749" s="39">
        <v>0</v>
      </c>
      <c r="D749" s="39">
        <v>251144.93855999998</v>
      </c>
      <c r="E749" s="39">
        <v>322588.97062561789</v>
      </c>
      <c r="F749" s="39">
        <v>244515.0528</v>
      </c>
      <c r="G749" s="39">
        <v>260066.34233146094</v>
      </c>
      <c r="H749" s="40">
        <v>0.2844733104129411</v>
      </c>
      <c r="I749" s="40">
        <v>6.3600540553145679E-2</v>
      </c>
      <c r="J749" s="40">
        <v>0.17551410869047479</v>
      </c>
    </row>
    <row r="750" spans="1:10" ht="11.25" customHeight="1" x14ac:dyDescent="0.2">
      <c r="A750" s="49">
        <v>44562</v>
      </c>
      <c r="B750" s="39">
        <v>0</v>
      </c>
      <c r="C750" s="39">
        <v>0</v>
      </c>
      <c r="D750" s="39">
        <v>261171.47184000001</v>
      </c>
      <c r="E750" s="39">
        <v>335467.78501974506</v>
      </c>
      <c r="F750" s="39">
        <v>254276.89920000004</v>
      </c>
      <c r="G750" s="39">
        <v>270449.04743929772</v>
      </c>
      <c r="H750" s="40">
        <v>0.2844733104129411</v>
      </c>
      <c r="I750" s="40">
        <v>6.3600540553145457E-2</v>
      </c>
      <c r="J750" s="40">
        <v>0.17551410869047479</v>
      </c>
    </row>
    <row r="751" spans="1:10" ht="11.25" customHeight="1" x14ac:dyDescent="0.2">
      <c r="A751" s="49">
        <v>44593</v>
      </c>
      <c r="B751" s="39">
        <v>0</v>
      </c>
      <c r="C751" s="39">
        <v>0</v>
      </c>
      <c r="D751" s="39">
        <v>253216.37527999998</v>
      </c>
      <c r="E751" s="39">
        <v>325249.67580666719</v>
      </c>
      <c r="F751" s="39">
        <v>246531.8064</v>
      </c>
      <c r="G751" s="39">
        <v>262211.36255058344</v>
      </c>
      <c r="H751" s="40">
        <v>0.2844733104129411</v>
      </c>
      <c r="I751" s="40">
        <v>6.3600540553145679E-2</v>
      </c>
      <c r="J751" s="40">
        <v>0.17551410869047479</v>
      </c>
    </row>
    <row r="752" spans="1:10" ht="11.25" customHeight="1" x14ac:dyDescent="0.2">
      <c r="A752" s="49">
        <v>44621</v>
      </c>
      <c r="B752" s="39">
        <v>0</v>
      </c>
      <c r="C752" s="39">
        <v>0</v>
      </c>
      <c r="D752" s="39">
        <v>236894.10795999996</v>
      </c>
      <c r="E752" s="39">
        <v>304284.15906870185</v>
      </c>
      <c r="F752" s="39">
        <v>230640.42480000001</v>
      </c>
      <c r="G752" s="39">
        <v>245309.28049068712</v>
      </c>
      <c r="H752" s="40">
        <v>0.28447331041294133</v>
      </c>
      <c r="I752" s="40">
        <v>6.3600540553145457E-2</v>
      </c>
      <c r="J752" s="40">
        <v>0.17551410869047479</v>
      </c>
    </row>
    <row r="753" spans="1:10" ht="11.25" customHeight="1" x14ac:dyDescent="0.2">
      <c r="A753" s="49">
        <v>44652</v>
      </c>
      <c r="B753" s="39">
        <v>0</v>
      </c>
      <c r="C753" s="39">
        <v>0</v>
      </c>
      <c r="D753" s="39">
        <v>270800.13468000002</v>
      </c>
      <c r="E753" s="39">
        <v>347835.54545268993</v>
      </c>
      <c r="F753" s="39">
        <v>263651.37840000005</v>
      </c>
      <c r="G753" s="39">
        <v>280419.74858382199</v>
      </c>
      <c r="H753" s="40">
        <v>0.2844733104129411</v>
      </c>
      <c r="I753" s="40">
        <v>6.3600540553145679E-2</v>
      </c>
      <c r="J753" s="40">
        <v>0.17551410869047479</v>
      </c>
    </row>
    <row r="754" spans="1:10" ht="11.25" customHeight="1" x14ac:dyDescent="0.2">
      <c r="A754" s="49">
        <v>44682</v>
      </c>
      <c r="B754" s="39">
        <v>0</v>
      </c>
      <c r="C754" s="39">
        <v>0</v>
      </c>
      <c r="D754" s="39">
        <v>274029.67332</v>
      </c>
      <c r="E754" s="39">
        <v>351983.8016407172</v>
      </c>
      <c r="F754" s="39">
        <v>266795.66159999999</v>
      </c>
      <c r="G754" s="39">
        <v>283764.00989499409</v>
      </c>
      <c r="H754" s="40">
        <v>0.2844733104129411</v>
      </c>
      <c r="I754" s="40">
        <v>6.3600540553145457E-2</v>
      </c>
      <c r="J754" s="40">
        <v>0.17551410869047457</v>
      </c>
    </row>
    <row r="755" spans="1:10" ht="11.25" customHeight="1" x14ac:dyDescent="0.2">
      <c r="A755" s="49">
        <v>44713</v>
      </c>
      <c r="B755" s="39">
        <v>0</v>
      </c>
      <c r="C755" s="39">
        <v>0</v>
      </c>
      <c r="D755" s="39">
        <v>293439.44167999999</v>
      </c>
      <c r="E755" s="39">
        <v>376915.1310604348</v>
      </c>
      <c r="F755" s="39">
        <v>285693.03840000002</v>
      </c>
      <c r="G755" s="39">
        <v>303863.2700745106</v>
      </c>
      <c r="H755" s="40">
        <v>0.28447331041294133</v>
      </c>
      <c r="I755" s="40">
        <v>6.3600540553145679E-2</v>
      </c>
      <c r="J755" s="40">
        <v>0.17551410869047501</v>
      </c>
    </row>
    <row r="756" spans="1:10" ht="11.25" customHeight="1" x14ac:dyDescent="0.2">
      <c r="A756" s="49">
        <v>44743</v>
      </c>
      <c r="B756" s="39">
        <v>0</v>
      </c>
      <c r="C756" s="39">
        <v>0</v>
      </c>
      <c r="D756" s="39">
        <v>286007.73716000002</v>
      </c>
      <c r="E756" s="39">
        <v>367369.30495361955</v>
      </c>
      <c r="F756" s="39">
        <v>278457.5208</v>
      </c>
      <c r="G756" s="39">
        <v>296167.56964396883</v>
      </c>
      <c r="H756" s="40">
        <v>0.2844733104129411</v>
      </c>
      <c r="I756" s="40">
        <v>6.3600540553145679E-2</v>
      </c>
      <c r="J756" s="40">
        <v>0.17551410869047457</v>
      </c>
    </row>
    <row r="757" spans="1:10" ht="11.25" customHeight="1" x14ac:dyDescent="0.2">
      <c r="A757" s="49">
        <v>44774</v>
      </c>
      <c r="B757" s="39">
        <v>0</v>
      </c>
      <c r="C757" s="39">
        <v>0</v>
      </c>
      <c r="D757" s="39">
        <v>292535.35583999997</v>
      </c>
      <c r="E757" s="39">
        <v>375753.85692863248</v>
      </c>
      <c r="F757" s="39">
        <v>284812.81920000003</v>
      </c>
      <c r="G757" s="39">
        <v>302927.06845758535</v>
      </c>
      <c r="H757" s="40">
        <v>0.2844733104129411</v>
      </c>
      <c r="I757" s="40">
        <v>6.3600540553145679E-2</v>
      </c>
      <c r="J757" s="40">
        <v>0.17551410869047479</v>
      </c>
    </row>
    <row r="758" spans="1:10" ht="11.25" customHeight="1" x14ac:dyDescent="0.2">
      <c r="A758" s="49">
        <v>44805</v>
      </c>
      <c r="B758" s="39">
        <v>0</v>
      </c>
      <c r="C758" s="39">
        <v>0</v>
      </c>
      <c r="D758" s="39">
        <v>276697.99828</v>
      </c>
      <c r="E758" s="39">
        <v>355411.19383534591</v>
      </c>
      <c r="F758" s="39">
        <v>269393.54640000005</v>
      </c>
      <c r="G758" s="39">
        <v>286527.12157256895</v>
      </c>
      <c r="H758" s="40">
        <v>0.2844733104129411</v>
      </c>
      <c r="I758" s="40">
        <v>6.3600540553145457E-2</v>
      </c>
      <c r="J758" s="40">
        <v>0.17551410869047479</v>
      </c>
    </row>
    <row r="759" spans="1:10" ht="11.25" customHeight="1" x14ac:dyDescent="0.2">
      <c r="A759" s="49">
        <v>44835</v>
      </c>
      <c r="B759" s="39">
        <v>0</v>
      </c>
      <c r="C759" s="39">
        <v>0</v>
      </c>
      <c r="D759" s="39">
        <v>276697.99828</v>
      </c>
      <c r="E759" s="39">
        <v>355411.19383534591</v>
      </c>
      <c r="F759" s="39">
        <v>269393.54640000005</v>
      </c>
      <c r="G759" s="39">
        <v>286527.12157256895</v>
      </c>
      <c r="H759" s="40">
        <v>0.2844733104129411</v>
      </c>
      <c r="I759" s="40">
        <v>6.3600540553145457E-2</v>
      </c>
      <c r="J759" s="40">
        <v>0.17551410869047479</v>
      </c>
    </row>
    <row r="760" spans="1:10" ht="11.25" customHeight="1" x14ac:dyDescent="0.2">
      <c r="A760" s="41" t="s">
        <v>59</v>
      </c>
      <c r="B760" s="39">
        <v>344527.19999999995</v>
      </c>
      <c r="C760" s="39">
        <v>393286.89109787048</v>
      </c>
      <c r="D760" s="39">
        <v>0</v>
      </c>
      <c r="E760" s="39">
        <v>0</v>
      </c>
      <c r="F760" s="39">
        <v>0</v>
      </c>
      <c r="G760" s="39">
        <v>0</v>
      </c>
      <c r="H760" s="40">
        <v>0.14152639065325046</v>
      </c>
      <c r="I760" s="40">
        <v>0</v>
      </c>
      <c r="J760" s="40">
        <v>0.14152639065325046</v>
      </c>
    </row>
    <row r="761" spans="1:10" ht="11.25" customHeight="1" x14ac:dyDescent="0.2">
      <c r="A761" s="42" t="s">
        <v>60</v>
      </c>
      <c r="B761" s="39">
        <v>0</v>
      </c>
      <c r="C761" s="39">
        <v>0</v>
      </c>
      <c r="D761" s="39">
        <v>0</v>
      </c>
      <c r="E761" s="39">
        <v>0</v>
      </c>
      <c r="F761" s="39">
        <v>0</v>
      </c>
      <c r="G761" s="39">
        <v>0</v>
      </c>
      <c r="H761" s="40">
        <v>0</v>
      </c>
      <c r="I761" s="40">
        <v>0</v>
      </c>
      <c r="J761" s="40">
        <v>0</v>
      </c>
    </row>
    <row r="762" spans="1:10" ht="11.25" customHeight="1" x14ac:dyDescent="0.2">
      <c r="A762" s="43" t="s">
        <v>57</v>
      </c>
      <c r="B762" s="39">
        <v>0</v>
      </c>
      <c r="C762" s="39">
        <v>0</v>
      </c>
      <c r="D762" s="39">
        <v>0</v>
      </c>
      <c r="E762" s="39">
        <v>0</v>
      </c>
      <c r="F762" s="39">
        <v>0</v>
      </c>
      <c r="G762" s="39">
        <v>0</v>
      </c>
      <c r="H762" s="40">
        <v>0</v>
      </c>
      <c r="I762" s="40">
        <v>0</v>
      </c>
      <c r="J762" s="40">
        <v>0</v>
      </c>
    </row>
    <row r="763" spans="1:10" ht="11.25" customHeight="1" x14ac:dyDescent="0.2">
      <c r="A763" s="44" t="s">
        <v>25</v>
      </c>
      <c r="B763" s="39">
        <v>0</v>
      </c>
      <c r="C763" s="39">
        <v>0</v>
      </c>
      <c r="D763" s="39">
        <v>0</v>
      </c>
      <c r="E763" s="39">
        <v>0</v>
      </c>
      <c r="F763" s="39">
        <v>0</v>
      </c>
      <c r="G763" s="39">
        <v>0</v>
      </c>
      <c r="H763" s="40">
        <v>0</v>
      </c>
      <c r="I763" s="40">
        <v>0</v>
      </c>
      <c r="J763" s="40">
        <v>0</v>
      </c>
    </row>
    <row r="764" spans="1:10" ht="11.25" customHeight="1" x14ac:dyDescent="0.2">
      <c r="A764" s="45" t="s">
        <v>25</v>
      </c>
      <c r="B764" s="39">
        <v>0</v>
      </c>
      <c r="C764" s="39">
        <v>0</v>
      </c>
      <c r="D764" s="39">
        <v>0</v>
      </c>
      <c r="E764" s="39">
        <v>0</v>
      </c>
      <c r="F764" s="39">
        <v>0</v>
      </c>
      <c r="G764" s="39">
        <v>0</v>
      </c>
      <c r="H764" s="40">
        <v>0</v>
      </c>
      <c r="I764" s="40">
        <v>0</v>
      </c>
      <c r="J764" s="40">
        <v>0</v>
      </c>
    </row>
    <row r="765" spans="1:10" ht="11.25" customHeight="1" x14ac:dyDescent="0.2">
      <c r="A765" s="46" t="s">
        <v>25</v>
      </c>
      <c r="B765" s="39">
        <v>0</v>
      </c>
      <c r="C765" s="39">
        <v>0</v>
      </c>
      <c r="D765" s="39">
        <v>0</v>
      </c>
      <c r="E765" s="39">
        <v>0</v>
      </c>
      <c r="F765" s="39">
        <v>0</v>
      </c>
      <c r="G765" s="39">
        <v>0</v>
      </c>
      <c r="H765" s="40">
        <v>0</v>
      </c>
      <c r="I765" s="40">
        <v>0</v>
      </c>
      <c r="J765" s="40">
        <v>0</v>
      </c>
    </row>
    <row r="766" spans="1:10" ht="11.25" customHeight="1" x14ac:dyDescent="0.2">
      <c r="A766" s="47" t="s">
        <v>61</v>
      </c>
      <c r="B766" s="39">
        <v>0</v>
      </c>
      <c r="C766" s="39">
        <v>0</v>
      </c>
      <c r="D766" s="39">
        <v>0</v>
      </c>
      <c r="E766" s="39">
        <v>0</v>
      </c>
      <c r="F766" s="39">
        <v>0</v>
      </c>
      <c r="G766" s="39">
        <v>0</v>
      </c>
      <c r="H766" s="40">
        <v>0</v>
      </c>
      <c r="I766" s="40">
        <v>0</v>
      </c>
      <c r="J766" s="40">
        <v>0</v>
      </c>
    </row>
    <row r="767" spans="1:10" ht="11.25" customHeight="1" x14ac:dyDescent="0.2">
      <c r="A767" s="48" t="s">
        <v>25</v>
      </c>
      <c r="B767" s="39">
        <v>0</v>
      </c>
      <c r="C767" s="39">
        <v>0</v>
      </c>
      <c r="D767" s="39">
        <v>0</v>
      </c>
      <c r="E767" s="39">
        <v>0</v>
      </c>
      <c r="F767" s="39">
        <v>0</v>
      </c>
      <c r="G767" s="39">
        <v>0</v>
      </c>
      <c r="H767" s="40">
        <v>0</v>
      </c>
      <c r="I767" s="40">
        <v>0</v>
      </c>
      <c r="J767" s="40">
        <v>0</v>
      </c>
    </row>
    <row r="768" spans="1:10" ht="11.25" customHeight="1" x14ac:dyDescent="0.2">
      <c r="A768" s="49">
        <v>44501</v>
      </c>
      <c r="B768" s="39">
        <v>0</v>
      </c>
      <c r="C768" s="39">
        <v>0</v>
      </c>
      <c r="D768" s="39">
        <v>0</v>
      </c>
      <c r="E768" s="39">
        <v>0</v>
      </c>
      <c r="F768" s="39">
        <v>0</v>
      </c>
      <c r="G768" s="39">
        <v>0</v>
      </c>
      <c r="H768" s="40">
        <v>0</v>
      </c>
      <c r="I768" s="40">
        <v>0</v>
      </c>
      <c r="J768" s="40">
        <v>0</v>
      </c>
    </row>
    <row r="769" spans="1:10" ht="11.25" customHeight="1" x14ac:dyDescent="0.2">
      <c r="A769" s="49">
        <v>44531</v>
      </c>
      <c r="B769" s="39">
        <v>0</v>
      </c>
      <c r="C769" s="39">
        <v>0</v>
      </c>
      <c r="D769" s="39">
        <v>0</v>
      </c>
      <c r="E769" s="39">
        <v>0</v>
      </c>
      <c r="F769" s="39">
        <v>0</v>
      </c>
      <c r="G769" s="39">
        <v>0</v>
      </c>
      <c r="H769" s="40">
        <v>0</v>
      </c>
      <c r="I769" s="40">
        <v>0</v>
      </c>
      <c r="J769" s="40">
        <v>0</v>
      </c>
    </row>
    <row r="770" spans="1:10" ht="11.25" customHeight="1" x14ac:dyDescent="0.2">
      <c r="A770" s="49">
        <v>44562</v>
      </c>
      <c r="B770" s="39">
        <v>0</v>
      </c>
      <c r="C770" s="39">
        <v>0</v>
      </c>
      <c r="D770" s="39">
        <v>0</v>
      </c>
      <c r="E770" s="39">
        <v>0</v>
      </c>
      <c r="F770" s="39">
        <v>0</v>
      </c>
      <c r="G770" s="39">
        <v>0</v>
      </c>
      <c r="H770" s="40">
        <v>0</v>
      </c>
      <c r="I770" s="40">
        <v>0</v>
      </c>
      <c r="J770" s="40">
        <v>0</v>
      </c>
    </row>
    <row r="771" spans="1:10" ht="11.25" customHeight="1" x14ac:dyDescent="0.2">
      <c r="A771" s="49">
        <v>44593</v>
      </c>
      <c r="B771" s="39">
        <v>0</v>
      </c>
      <c r="C771" s="39">
        <v>0</v>
      </c>
      <c r="D771" s="39">
        <v>0</v>
      </c>
      <c r="E771" s="39">
        <v>0</v>
      </c>
      <c r="F771" s="39">
        <v>0</v>
      </c>
      <c r="G771" s="39">
        <v>0</v>
      </c>
      <c r="H771" s="40">
        <v>0</v>
      </c>
      <c r="I771" s="40">
        <v>0</v>
      </c>
      <c r="J771" s="40">
        <v>0</v>
      </c>
    </row>
    <row r="772" spans="1:10" ht="11.25" customHeight="1" x14ac:dyDescent="0.2">
      <c r="A772" s="49">
        <v>44621</v>
      </c>
      <c r="B772" s="39">
        <v>0</v>
      </c>
      <c r="C772" s="39">
        <v>0</v>
      </c>
      <c r="D772" s="39">
        <v>0</v>
      </c>
      <c r="E772" s="39">
        <v>0</v>
      </c>
      <c r="F772" s="39">
        <v>0</v>
      </c>
      <c r="G772" s="39">
        <v>0</v>
      </c>
      <c r="H772" s="40">
        <v>0</v>
      </c>
      <c r="I772" s="40">
        <v>0</v>
      </c>
      <c r="J772" s="40">
        <v>0</v>
      </c>
    </row>
    <row r="773" spans="1:10" ht="11.25" customHeight="1" x14ac:dyDescent="0.2">
      <c r="A773" s="49">
        <v>44652</v>
      </c>
      <c r="B773" s="39">
        <v>0</v>
      </c>
      <c r="C773" s="39">
        <v>0</v>
      </c>
      <c r="D773" s="39">
        <v>0</v>
      </c>
      <c r="E773" s="39">
        <v>0</v>
      </c>
      <c r="F773" s="39">
        <v>0</v>
      </c>
      <c r="G773" s="39">
        <v>0</v>
      </c>
      <c r="H773" s="40">
        <v>0</v>
      </c>
      <c r="I773" s="40">
        <v>0</v>
      </c>
      <c r="J773" s="40">
        <v>0</v>
      </c>
    </row>
    <row r="774" spans="1:10" ht="11.25" customHeight="1" x14ac:dyDescent="0.2">
      <c r="A774" s="49">
        <v>44682</v>
      </c>
      <c r="B774" s="39">
        <v>0</v>
      </c>
      <c r="C774" s="39">
        <v>0</v>
      </c>
      <c r="D774" s="39">
        <v>0</v>
      </c>
      <c r="E774" s="39">
        <v>0</v>
      </c>
      <c r="F774" s="39">
        <v>0</v>
      </c>
      <c r="G774" s="39">
        <v>0</v>
      </c>
      <c r="H774" s="40">
        <v>0</v>
      </c>
      <c r="I774" s="40">
        <v>0</v>
      </c>
      <c r="J774" s="40">
        <v>0</v>
      </c>
    </row>
    <row r="775" spans="1:10" ht="11.25" customHeight="1" x14ac:dyDescent="0.2">
      <c r="A775" s="49">
        <v>44713</v>
      </c>
      <c r="B775" s="39">
        <v>0</v>
      </c>
      <c r="C775" s="39">
        <v>0</v>
      </c>
      <c r="D775" s="39">
        <v>0</v>
      </c>
      <c r="E775" s="39">
        <v>0</v>
      </c>
      <c r="F775" s="39">
        <v>0</v>
      </c>
      <c r="G775" s="39">
        <v>0</v>
      </c>
      <c r="H775" s="40">
        <v>0</v>
      </c>
      <c r="I775" s="40">
        <v>0</v>
      </c>
      <c r="J775" s="40">
        <v>0</v>
      </c>
    </row>
    <row r="776" spans="1:10" ht="11.25" customHeight="1" x14ac:dyDescent="0.2">
      <c r="A776" s="49">
        <v>44743</v>
      </c>
      <c r="B776" s="39">
        <v>0</v>
      </c>
      <c r="C776" s="39">
        <v>0</v>
      </c>
      <c r="D776" s="39">
        <v>0</v>
      </c>
      <c r="E776" s="39">
        <v>0</v>
      </c>
      <c r="F776" s="39">
        <v>0</v>
      </c>
      <c r="G776" s="39">
        <v>0</v>
      </c>
      <c r="H776" s="40">
        <v>0</v>
      </c>
      <c r="I776" s="40">
        <v>0</v>
      </c>
      <c r="J776" s="40">
        <v>0</v>
      </c>
    </row>
    <row r="777" spans="1:10" ht="11.25" customHeight="1" x14ac:dyDescent="0.2">
      <c r="A777" s="49">
        <v>44774</v>
      </c>
      <c r="B777" s="39">
        <v>0</v>
      </c>
      <c r="C777" s="39">
        <v>0</v>
      </c>
      <c r="D777" s="39">
        <v>0</v>
      </c>
      <c r="E777" s="39">
        <v>0</v>
      </c>
      <c r="F777" s="39">
        <v>0</v>
      </c>
      <c r="G777" s="39">
        <v>0</v>
      </c>
      <c r="H777" s="40">
        <v>0</v>
      </c>
      <c r="I777" s="40">
        <v>0</v>
      </c>
      <c r="J777" s="40">
        <v>0</v>
      </c>
    </row>
    <row r="778" spans="1:10" ht="11.25" customHeight="1" x14ac:dyDescent="0.2">
      <c r="A778" s="49">
        <v>44805</v>
      </c>
      <c r="B778" s="39">
        <v>0</v>
      </c>
      <c r="C778" s="39">
        <v>0</v>
      </c>
      <c r="D778" s="39">
        <v>0</v>
      </c>
      <c r="E778" s="39">
        <v>0</v>
      </c>
      <c r="F778" s="39">
        <v>0</v>
      </c>
      <c r="G778" s="39">
        <v>0</v>
      </c>
      <c r="H778" s="40">
        <v>0</v>
      </c>
      <c r="I778" s="40">
        <v>0</v>
      </c>
      <c r="J778" s="40">
        <v>0</v>
      </c>
    </row>
    <row r="779" spans="1:10" ht="11.25" customHeight="1" x14ac:dyDescent="0.2">
      <c r="A779" s="49">
        <v>44835</v>
      </c>
      <c r="B779" s="39">
        <v>0</v>
      </c>
      <c r="C779" s="39">
        <v>0</v>
      </c>
      <c r="D779" s="39">
        <v>0</v>
      </c>
      <c r="E779" s="39">
        <v>0</v>
      </c>
      <c r="F779" s="39">
        <v>0</v>
      </c>
      <c r="G779" s="39">
        <v>0</v>
      </c>
      <c r="H779" s="40">
        <v>0</v>
      </c>
      <c r="I779" s="40">
        <v>0</v>
      </c>
      <c r="J779" s="40">
        <v>0</v>
      </c>
    </row>
    <row r="780" spans="1:10" ht="11.25" customHeight="1" x14ac:dyDescent="0.2">
      <c r="A780" s="42" t="s">
        <v>39</v>
      </c>
      <c r="B780" s="39">
        <v>344527.19999999995</v>
      </c>
      <c r="C780" s="39">
        <v>393286.89109787048</v>
      </c>
      <c r="D780" s="39">
        <v>0</v>
      </c>
      <c r="E780" s="39">
        <v>0</v>
      </c>
      <c r="F780" s="39">
        <v>0</v>
      </c>
      <c r="G780" s="39">
        <v>0</v>
      </c>
      <c r="H780" s="40">
        <v>0.14152639065325046</v>
      </c>
      <c r="I780" s="40">
        <v>0</v>
      </c>
      <c r="J780" s="40">
        <v>0.14152639065325046</v>
      </c>
    </row>
    <row r="781" spans="1:10" ht="11.25" customHeight="1" x14ac:dyDescent="0.2">
      <c r="A781" s="43" t="s">
        <v>57</v>
      </c>
      <c r="B781" s="39">
        <v>344527.19999999995</v>
      </c>
      <c r="C781" s="39">
        <v>393286.89109787048</v>
      </c>
      <c r="D781" s="39">
        <v>0</v>
      </c>
      <c r="E781" s="39">
        <v>0</v>
      </c>
      <c r="F781" s="39">
        <v>0</v>
      </c>
      <c r="G781" s="39">
        <v>0</v>
      </c>
      <c r="H781" s="40">
        <v>0.14152639065325046</v>
      </c>
      <c r="I781" s="40">
        <v>0</v>
      </c>
      <c r="J781" s="40">
        <v>0.14152639065325046</v>
      </c>
    </row>
    <row r="782" spans="1:10" ht="11.25" customHeight="1" x14ac:dyDescent="0.2">
      <c r="A782" s="44" t="s">
        <v>25</v>
      </c>
      <c r="B782" s="39">
        <v>344527.19999999995</v>
      </c>
      <c r="C782" s="39">
        <v>393286.89109787048</v>
      </c>
      <c r="D782" s="39">
        <v>0</v>
      </c>
      <c r="E782" s="39">
        <v>0</v>
      </c>
      <c r="F782" s="39">
        <v>0</v>
      </c>
      <c r="G782" s="39">
        <v>0</v>
      </c>
      <c r="H782" s="40">
        <v>0.14152639065325046</v>
      </c>
      <c r="I782" s="40">
        <v>0</v>
      </c>
      <c r="J782" s="40">
        <v>0.14152639065325046</v>
      </c>
    </row>
    <row r="783" spans="1:10" ht="11.25" customHeight="1" x14ac:dyDescent="0.2">
      <c r="A783" s="45" t="s">
        <v>25</v>
      </c>
      <c r="B783" s="39">
        <v>344527.19999999995</v>
      </c>
      <c r="C783" s="39">
        <v>393286.89109787048</v>
      </c>
      <c r="D783" s="39">
        <v>0</v>
      </c>
      <c r="E783" s="39">
        <v>0</v>
      </c>
      <c r="F783" s="39">
        <v>0</v>
      </c>
      <c r="G783" s="39">
        <v>0</v>
      </c>
      <c r="H783" s="40">
        <v>0.14152639065325046</v>
      </c>
      <c r="I783" s="40">
        <v>0</v>
      </c>
      <c r="J783" s="40">
        <v>0.14152639065325046</v>
      </c>
    </row>
    <row r="784" spans="1:10" ht="11.25" customHeight="1" x14ac:dyDescent="0.2">
      <c r="A784" s="46" t="s">
        <v>25</v>
      </c>
      <c r="B784" s="39">
        <v>344527.19999999995</v>
      </c>
      <c r="C784" s="39">
        <v>393286.89109787048</v>
      </c>
      <c r="D784" s="39">
        <v>0</v>
      </c>
      <c r="E784" s="39">
        <v>0</v>
      </c>
      <c r="F784" s="39">
        <v>0</v>
      </c>
      <c r="G784" s="39">
        <v>0</v>
      </c>
      <c r="H784" s="40">
        <v>0.14152639065325046</v>
      </c>
      <c r="I784" s="40">
        <v>0</v>
      </c>
      <c r="J784" s="40">
        <v>0.14152639065325046</v>
      </c>
    </row>
    <row r="785" spans="1:10" ht="11.25" customHeight="1" x14ac:dyDescent="0.2">
      <c r="A785" s="47" t="s">
        <v>58</v>
      </c>
      <c r="B785" s="39">
        <v>344527.19999999995</v>
      </c>
      <c r="C785" s="39">
        <v>393286.89109787048</v>
      </c>
      <c r="D785" s="39">
        <v>0</v>
      </c>
      <c r="E785" s="39">
        <v>0</v>
      </c>
      <c r="F785" s="39">
        <v>0</v>
      </c>
      <c r="G785" s="39">
        <v>0</v>
      </c>
      <c r="H785" s="40">
        <v>0.14152639065325046</v>
      </c>
      <c r="I785" s="40">
        <v>0</v>
      </c>
      <c r="J785" s="40">
        <v>0.14152639065325046</v>
      </c>
    </row>
    <row r="786" spans="1:10" ht="11.25" customHeight="1" x14ac:dyDescent="0.2">
      <c r="A786" s="48" t="s">
        <v>25</v>
      </c>
      <c r="B786" s="39">
        <v>344527.19999999995</v>
      </c>
      <c r="C786" s="39">
        <v>393286.89109787048</v>
      </c>
      <c r="D786" s="39">
        <v>0</v>
      </c>
      <c r="E786" s="39">
        <v>0</v>
      </c>
      <c r="F786" s="39">
        <v>0</v>
      </c>
      <c r="G786" s="39">
        <v>0</v>
      </c>
      <c r="H786" s="40">
        <v>0.14152639065325046</v>
      </c>
      <c r="I786" s="40">
        <v>0</v>
      </c>
      <c r="J786" s="40">
        <v>0.14152639065325046</v>
      </c>
    </row>
    <row r="787" spans="1:10" ht="11.25" customHeight="1" x14ac:dyDescent="0.2">
      <c r="A787" s="49">
        <v>44501</v>
      </c>
      <c r="B787" s="39">
        <v>28710.6</v>
      </c>
      <c r="C787" s="39">
        <v>32773.907591489209</v>
      </c>
      <c r="D787" s="39">
        <v>0</v>
      </c>
      <c r="E787" s="39">
        <v>0</v>
      </c>
      <c r="F787" s="39">
        <v>0</v>
      </c>
      <c r="G787" s="39">
        <v>0</v>
      </c>
      <c r="H787" s="40">
        <v>0.14152639065325046</v>
      </c>
      <c r="I787" s="40">
        <v>0</v>
      </c>
      <c r="J787" s="40">
        <v>0.14152639065325046</v>
      </c>
    </row>
    <row r="788" spans="1:10" ht="11.25" customHeight="1" x14ac:dyDescent="0.2">
      <c r="A788" s="49">
        <v>44531</v>
      </c>
      <c r="B788" s="39">
        <v>28710.6</v>
      </c>
      <c r="C788" s="39">
        <v>32773.907591489209</v>
      </c>
      <c r="D788" s="39">
        <v>0</v>
      </c>
      <c r="E788" s="39">
        <v>0</v>
      </c>
      <c r="F788" s="39">
        <v>0</v>
      </c>
      <c r="G788" s="39">
        <v>0</v>
      </c>
      <c r="H788" s="40">
        <v>0.14152639065325046</v>
      </c>
      <c r="I788" s="40">
        <v>0</v>
      </c>
      <c r="J788" s="40">
        <v>0.14152639065325046</v>
      </c>
    </row>
    <row r="789" spans="1:10" ht="11.25" customHeight="1" x14ac:dyDescent="0.2">
      <c r="A789" s="49">
        <v>44562</v>
      </c>
      <c r="B789" s="39">
        <v>28710.6</v>
      </c>
      <c r="C789" s="39">
        <v>32773.907591489209</v>
      </c>
      <c r="D789" s="39">
        <v>0</v>
      </c>
      <c r="E789" s="39">
        <v>0</v>
      </c>
      <c r="F789" s="39">
        <v>0</v>
      </c>
      <c r="G789" s="39">
        <v>0</v>
      </c>
      <c r="H789" s="40">
        <v>0.14152639065325046</v>
      </c>
      <c r="I789" s="40">
        <v>0</v>
      </c>
      <c r="J789" s="40">
        <v>0.14152639065325046</v>
      </c>
    </row>
    <row r="790" spans="1:10" ht="11.25" customHeight="1" x14ac:dyDescent="0.2">
      <c r="A790" s="49">
        <v>44593</v>
      </c>
      <c r="B790" s="39">
        <v>28710.6</v>
      </c>
      <c r="C790" s="39">
        <v>32773.907591489209</v>
      </c>
      <c r="D790" s="39">
        <v>0</v>
      </c>
      <c r="E790" s="39">
        <v>0</v>
      </c>
      <c r="F790" s="39">
        <v>0</v>
      </c>
      <c r="G790" s="39">
        <v>0</v>
      </c>
      <c r="H790" s="40">
        <v>0.14152639065325046</v>
      </c>
      <c r="I790" s="40">
        <v>0</v>
      </c>
      <c r="J790" s="40">
        <v>0.14152639065325046</v>
      </c>
    </row>
    <row r="791" spans="1:10" ht="11.25" customHeight="1" x14ac:dyDescent="0.2">
      <c r="A791" s="49">
        <v>44621</v>
      </c>
      <c r="B791" s="39">
        <v>28710.6</v>
      </c>
      <c r="C791" s="39">
        <v>32773.907591489209</v>
      </c>
      <c r="D791" s="39">
        <v>0</v>
      </c>
      <c r="E791" s="39">
        <v>0</v>
      </c>
      <c r="F791" s="39">
        <v>0</v>
      </c>
      <c r="G791" s="39">
        <v>0</v>
      </c>
      <c r="H791" s="40">
        <v>0.14152639065325046</v>
      </c>
      <c r="I791" s="40">
        <v>0</v>
      </c>
      <c r="J791" s="40">
        <v>0.14152639065325046</v>
      </c>
    </row>
    <row r="792" spans="1:10" ht="11.25" customHeight="1" x14ac:dyDescent="0.2">
      <c r="A792" s="49">
        <v>44652</v>
      </c>
      <c r="B792" s="39">
        <v>28710.6</v>
      </c>
      <c r="C792" s="39">
        <v>32773.907591489209</v>
      </c>
      <c r="D792" s="39">
        <v>0</v>
      </c>
      <c r="E792" s="39">
        <v>0</v>
      </c>
      <c r="F792" s="39">
        <v>0</v>
      </c>
      <c r="G792" s="39">
        <v>0</v>
      </c>
      <c r="H792" s="40">
        <v>0.14152639065325046</v>
      </c>
      <c r="I792" s="40">
        <v>0</v>
      </c>
      <c r="J792" s="40">
        <v>0.14152639065325046</v>
      </c>
    </row>
    <row r="793" spans="1:10" ht="11.25" customHeight="1" x14ac:dyDescent="0.2">
      <c r="A793" s="49">
        <v>44682</v>
      </c>
      <c r="B793" s="39">
        <v>28710.6</v>
      </c>
      <c r="C793" s="39">
        <v>32773.907591489209</v>
      </c>
      <c r="D793" s="39">
        <v>0</v>
      </c>
      <c r="E793" s="39">
        <v>0</v>
      </c>
      <c r="F793" s="39">
        <v>0</v>
      </c>
      <c r="G793" s="39">
        <v>0</v>
      </c>
      <c r="H793" s="40">
        <v>0.14152639065325046</v>
      </c>
      <c r="I793" s="40">
        <v>0</v>
      </c>
      <c r="J793" s="40">
        <v>0.14152639065325046</v>
      </c>
    </row>
    <row r="794" spans="1:10" ht="11.25" customHeight="1" x14ac:dyDescent="0.2">
      <c r="A794" s="49">
        <v>44713</v>
      </c>
      <c r="B794" s="39">
        <v>28710.6</v>
      </c>
      <c r="C794" s="39">
        <v>32773.907591489209</v>
      </c>
      <c r="D794" s="39">
        <v>0</v>
      </c>
      <c r="E794" s="39">
        <v>0</v>
      </c>
      <c r="F794" s="39">
        <v>0</v>
      </c>
      <c r="G794" s="39">
        <v>0</v>
      </c>
      <c r="H794" s="40">
        <v>0.14152639065325046</v>
      </c>
      <c r="I794" s="40">
        <v>0</v>
      </c>
      <c r="J794" s="40">
        <v>0.14152639065325046</v>
      </c>
    </row>
    <row r="795" spans="1:10" ht="11.25" customHeight="1" x14ac:dyDescent="0.2">
      <c r="A795" s="49">
        <v>44743</v>
      </c>
      <c r="B795" s="39">
        <v>28710.6</v>
      </c>
      <c r="C795" s="39">
        <v>32773.907591489209</v>
      </c>
      <c r="D795" s="39">
        <v>0</v>
      </c>
      <c r="E795" s="39">
        <v>0</v>
      </c>
      <c r="F795" s="39">
        <v>0</v>
      </c>
      <c r="G795" s="39">
        <v>0</v>
      </c>
      <c r="H795" s="40">
        <v>0.14152639065325046</v>
      </c>
      <c r="I795" s="40">
        <v>0</v>
      </c>
      <c r="J795" s="40">
        <v>0.14152639065325046</v>
      </c>
    </row>
    <row r="796" spans="1:10" ht="11.25" customHeight="1" x14ac:dyDescent="0.2">
      <c r="A796" s="49">
        <v>44774</v>
      </c>
      <c r="B796" s="39">
        <v>28710.6</v>
      </c>
      <c r="C796" s="39">
        <v>32773.907591489209</v>
      </c>
      <c r="D796" s="39">
        <v>0</v>
      </c>
      <c r="E796" s="39">
        <v>0</v>
      </c>
      <c r="F796" s="39">
        <v>0</v>
      </c>
      <c r="G796" s="39">
        <v>0</v>
      </c>
      <c r="H796" s="40">
        <v>0.14152639065325046</v>
      </c>
      <c r="I796" s="40">
        <v>0</v>
      </c>
      <c r="J796" s="40">
        <v>0.14152639065325046</v>
      </c>
    </row>
    <row r="797" spans="1:10" ht="11.25" customHeight="1" x14ac:dyDescent="0.2">
      <c r="A797" s="49">
        <v>44805</v>
      </c>
      <c r="B797" s="39">
        <v>28710.6</v>
      </c>
      <c r="C797" s="39">
        <v>32773.907591489209</v>
      </c>
      <c r="D797" s="39">
        <v>0</v>
      </c>
      <c r="E797" s="39">
        <v>0</v>
      </c>
      <c r="F797" s="39">
        <v>0</v>
      </c>
      <c r="G797" s="39">
        <v>0</v>
      </c>
      <c r="H797" s="40">
        <v>0.14152639065325046</v>
      </c>
      <c r="I797" s="40">
        <v>0</v>
      </c>
      <c r="J797" s="40">
        <v>0.14152639065325046</v>
      </c>
    </row>
    <row r="798" spans="1:10" ht="11.25" customHeight="1" x14ac:dyDescent="0.2">
      <c r="A798" s="49">
        <v>44835</v>
      </c>
      <c r="B798" s="39">
        <v>28710.6</v>
      </c>
      <c r="C798" s="39">
        <v>32773.907591489209</v>
      </c>
      <c r="D798" s="39">
        <v>0</v>
      </c>
      <c r="E798" s="39">
        <v>0</v>
      </c>
      <c r="F798" s="39">
        <v>0</v>
      </c>
      <c r="G798" s="39">
        <v>0</v>
      </c>
      <c r="H798" s="40">
        <v>0.14152639065325046</v>
      </c>
      <c r="I798" s="40">
        <v>0</v>
      </c>
      <c r="J798" s="40">
        <v>0.14152639065325046</v>
      </c>
    </row>
    <row r="799" spans="1:10" ht="11.25" customHeight="1" x14ac:dyDescent="0.2">
      <c r="A799" s="41" t="s">
        <v>55</v>
      </c>
      <c r="B799" s="39">
        <v>15664836.634860413</v>
      </c>
      <c r="C799" s="39">
        <v>17831172.233816549</v>
      </c>
      <c r="D799" s="39">
        <v>22289581.690700356</v>
      </c>
      <c r="E799" s="39">
        <v>35398551.457894698</v>
      </c>
      <c r="F799" s="39">
        <v>0</v>
      </c>
      <c r="G799" s="39">
        <v>0</v>
      </c>
      <c r="H799" s="40">
        <v>0.40246448345285724</v>
      </c>
      <c r="I799" s="40">
        <v>0</v>
      </c>
      <c r="J799" s="40">
        <v>0.40246448345285724</v>
      </c>
    </row>
    <row r="800" spans="1:10" ht="11.25" customHeight="1" x14ac:dyDescent="0.2">
      <c r="A800" s="42" t="s">
        <v>54</v>
      </c>
      <c r="B800" s="39">
        <v>2500452.1599999992</v>
      </c>
      <c r="C800" s="39">
        <v>2835872.5260599735</v>
      </c>
      <c r="D800" s="39">
        <v>6343670.6190799996</v>
      </c>
      <c r="E800" s="39">
        <v>10312933.459263831</v>
      </c>
      <c r="F800" s="39">
        <v>0</v>
      </c>
      <c r="G800" s="39">
        <v>0</v>
      </c>
      <c r="H800" s="40">
        <v>0.48672811467816324</v>
      </c>
      <c r="I800" s="40">
        <v>0</v>
      </c>
      <c r="J800" s="40">
        <v>0.48672811467816324</v>
      </c>
    </row>
    <row r="801" spans="1:10" ht="11.25" customHeight="1" x14ac:dyDescent="0.2">
      <c r="A801" s="43" t="s">
        <v>40</v>
      </c>
      <c r="B801" s="39">
        <v>2500452.1599999992</v>
      </c>
      <c r="C801" s="39">
        <v>2835872.5260599735</v>
      </c>
      <c r="D801" s="39">
        <v>6343670.6190799996</v>
      </c>
      <c r="E801" s="39">
        <v>10312933.459263831</v>
      </c>
      <c r="F801" s="39">
        <v>0</v>
      </c>
      <c r="G801" s="39">
        <v>0</v>
      </c>
      <c r="H801" s="40">
        <v>0.48672811467816324</v>
      </c>
      <c r="I801" s="40">
        <v>0</v>
      </c>
      <c r="J801" s="40">
        <v>0.48672811467816324</v>
      </c>
    </row>
    <row r="802" spans="1:10" ht="11.25" customHeight="1" x14ac:dyDescent="0.2">
      <c r="A802" s="44" t="s">
        <v>38</v>
      </c>
      <c r="B802" s="39">
        <v>2500452.1599999992</v>
      </c>
      <c r="C802" s="39">
        <v>2835872.5260599735</v>
      </c>
      <c r="D802" s="39">
        <v>6343670.6190799996</v>
      </c>
      <c r="E802" s="39">
        <v>10312933.459263831</v>
      </c>
      <c r="F802" s="39">
        <v>0</v>
      </c>
      <c r="G802" s="39">
        <v>0</v>
      </c>
      <c r="H802" s="40">
        <v>0.48672811467816324</v>
      </c>
      <c r="I802" s="40">
        <v>0</v>
      </c>
      <c r="J802" s="40">
        <v>0.48672811467816324</v>
      </c>
    </row>
    <row r="803" spans="1:10" ht="11.25" customHeight="1" x14ac:dyDescent="0.2">
      <c r="A803" s="45" t="s">
        <v>25</v>
      </c>
      <c r="B803" s="39">
        <v>2500452.1599999992</v>
      </c>
      <c r="C803" s="39">
        <v>2835872.5260599735</v>
      </c>
      <c r="D803" s="39">
        <v>6343670.6190799996</v>
      </c>
      <c r="E803" s="39">
        <v>10312933.459263831</v>
      </c>
      <c r="F803" s="39">
        <v>0</v>
      </c>
      <c r="G803" s="39">
        <v>0</v>
      </c>
      <c r="H803" s="40">
        <v>0.48672811467816324</v>
      </c>
      <c r="I803" s="40">
        <v>0</v>
      </c>
      <c r="J803" s="40">
        <v>0.48672811467816324</v>
      </c>
    </row>
    <row r="804" spans="1:10" ht="11.25" customHeight="1" x14ac:dyDescent="0.2">
      <c r="A804" s="46" t="s">
        <v>25</v>
      </c>
      <c r="B804" s="39">
        <v>2500452.1599999992</v>
      </c>
      <c r="C804" s="39">
        <v>2835872.5260599735</v>
      </c>
      <c r="D804" s="39">
        <v>6343670.6190799996</v>
      </c>
      <c r="E804" s="39">
        <v>10312933.459263831</v>
      </c>
      <c r="F804" s="39">
        <v>0</v>
      </c>
      <c r="G804" s="39">
        <v>0</v>
      </c>
      <c r="H804" s="40">
        <v>0.48672811467816324</v>
      </c>
      <c r="I804" s="40">
        <v>0</v>
      </c>
      <c r="J804" s="40">
        <v>0.48672811467816324</v>
      </c>
    </row>
    <row r="805" spans="1:10" ht="11.25" customHeight="1" x14ac:dyDescent="0.2">
      <c r="A805" s="47" t="s">
        <v>25</v>
      </c>
      <c r="B805" s="39">
        <v>2500452.1599999992</v>
      </c>
      <c r="C805" s="39">
        <v>2835872.5260599735</v>
      </c>
      <c r="D805" s="39">
        <v>6343670.6190799996</v>
      </c>
      <c r="E805" s="39">
        <v>10312933.459263831</v>
      </c>
      <c r="F805" s="39">
        <v>0</v>
      </c>
      <c r="G805" s="39">
        <v>0</v>
      </c>
      <c r="H805" s="40">
        <v>0.48672811467816324</v>
      </c>
      <c r="I805" s="40">
        <v>0</v>
      </c>
      <c r="J805" s="40">
        <v>0.48672811467816324</v>
      </c>
    </row>
    <row r="806" spans="1:10" ht="11.25" customHeight="1" x14ac:dyDescent="0.2">
      <c r="A806" s="48" t="s">
        <v>35</v>
      </c>
      <c r="B806" s="39">
        <v>1663200</v>
      </c>
      <c r="C806" s="39">
        <v>1883695.4328307742</v>
      </c>
      <c r="D806" s="39">
        <v>0</v>
      </c>
      <c r="E806" s="39">
        <v>0</v>
      </c>
      <c r="F806" s="39">
        <v>0</v>
      </c>
      <c r="G806" s="39">
        <v>0</v>
      </c>
      <c r="H806" s="40">
        <v>0.13257301156251455</v>
      </c>
      <c r="I806" s="40">
        <v>0</v>
      </c>
      <c r="J806" s="40">
        <v>0.13257301156251455</v>
      </c>
    </row>
    <row r="807" spans="1:10" ht="11.25" customHeight="1" x14ac:dyDescent="0.2">
      <c r="A807" s="49">
        <v>44501</v>
      </c>
      <c r="B807" s="39">
        <v>138600</v>
      </c>
      <c r="C807" s="39">
        <v>156974.61940256448</v>
      </c>
      <c r="D807" s="39">
        <v>0</v>
      </c>
      <c r="E807" s="39">
        <v>0</v>
      </c>
      <c r="F807" s="39">
        <v>0</v>
      </c>
      <c r="G807" s="39">
        <v>0</v>
      </c>
      <c r="H807" s="40">
        <v>0.13257301156251433</v>
      </c>
      <c r="I807" s="40">
        <v>0</v>
      </c>
      <c r="J807" s="40">
        <v>0.13257301156251433</v>
      </c>
    </row>
    <row r="808" spans="1:10" ht="11.25" customHeight="1" x14ac:dyDescent="0.2">
      <c r="A808" s="49">
        <v>44531</v>
      </c>
      <c r="B808" s="39">
        <v>138600</v>
      </c>
      <c r="C808" s="39">
        <v>156974.61940256448</v>
      </c>
      <c r="D808" s="39">
        <v>0</v>
      </c>
      <c r="E808" s="39">
        <v>0</v>
      </c>
      <c r="F808" s="39">
        <v>0</v>
      </c>
      <c r="G808" s="39">
        <v>0</v>
      </c>
      <c r="H808" s="40">
        <v>0.13257301156251433</v>
      </c>
      <c r="I808" s="40">
        <v>0</v>
      </c>
      <c r="J808" s="40">
        <v>0.13257301156251433</v>
      </c>
    </row>
    <row r="809" spans="1:10" ht="11.25" customHeight="1" x14ac:dyDescent="0.2">
      <c r="A809" s="49">
        <v>44562</v>
      </c>
      <c r="B809" s="39">
        <v>138600</v>
      </c>
      <c r="C809" s="39">
        <v>156974.61940256448</v>
      </c>
      <c r="D809" s="39">
        <v>0</v>
      </c>
      <c r="E809" s="39">
        <v>0</v>
      </c>
      <c r="F809" s="39">
        <v>0</v>
      </c>
      <c r="G809" s="39">
        <v>0</v>
      </c>
      <c r="H809" s="40">
        <v>0.13257301156251433</v>
      </c>
      <c r="I809" s="40">
        <v>0</v>
      </c>
      <c r="J809" s="40">
        <v>0.13257301156251433</v>
      </c>
    </row>
    <row r="810" spans="1:10" ht="11.25" customHeight="1" x14ac:dyDescent="0.2">
      <c r="A810" s="49">
        <v>44593</v>
      </c>
      <c r="B810" s="39">
        <v>138600</v>
      </c>
      <c r="C810" s="39">
        <v>156974.61940256448</v>
      </c>
      <c r="D810" s="39">
        <v>0</v>
      </c>
      <c r="E810" s="39">
        <v>0</v>
      </c>
      <c r="F810" s="39">
        <v>0</v>
      </c>
      <c r="G810" s="39">
        <v>0</v>
      </c>
      <c r="H810" s="40">
        <v>0.13257301156251433</v>
      </c>
      <c r="I810" s="40">
        <v>0</v>
      </c>
      <c r="J810" s="40">
        <v>0.13257301156251433</v>
      </c>
    </row>
    <row r="811" spans="1:10" ht="11.25" customHeight="1" x14ac:dyDescent="0.2">
      <c r="A811" s="49">
        <v>44621</v>
      </c>
      <c r="B811" s="39">
        <v>138600</v>
      </c>
      <c r="C811" s="39">
        <v>156974.61940256448</v>
      </c>
      <c r="D811" s="39">
        <v>0</v>
      </c>
      <c r="E811" s="39">
        <v>0</v>
      </c>
      <c r="F811" s="39">
        <v>0</v>
      </c>
      <c r="G811" s="39">
        <v>0</v>
      </c>
      <c r="H811" s="40">
        <v>0.13257301156251433</v>
      </c>
      <c r="I811" s="40">
        <v>0</v>
      </c>
      <c r="J811" s="40">
        <v>0.13257301156251433</v>
      </c>
    </row>
    <row r="812" spans="1:10" ht="11.25" customHeight="1" x14ac:dyDescent="0.2">
      <c r="A812" s="49">
        <v>44652</v>
      </c>
      <c r="B812" s="39">
        <v>138600</v>
      </c>
      <c r="C812" s="39">
        <v>156974.61940256448</v>
      </c>
      <c r="D812" s="39">
        <v>0</v>
      </c>
      <c r="E812" s="39">
        <v>0</v>
      </c>
      <c r="F812" s="39">
        <v>0</v>
      </c>
      <c r="G812" s="39">
        <v>0</v>
      </c>
      <c r="H812" s="40">
        <v>0.13257301156251433</v>
      </c>
      <c r="I812" s="40">
        <v>0</v>
      </c>
      <c r="J812" s="40">
        <v>0.13257301156251433</v>
      </c>
    </row>
    <row r="813" spans="1:10" ht="11.25" customHeight="1" x14ac:dyDescent="0.2">
      <c r="A813" s="49">
        <v>44682</v>
      </c>
      <c r="B813" s="39">
        <v>138600</v>
      </c>
      <c r="C813" s="39">
        <v>156974.61940256448</v>
      </c>
      <c r="D813" s="39">
        <v>0</v>
      </c>
      <c r="E813" s="39">
        <v>0</v>
      </c>
      <c r="F813" s="39">
        <v>0</v>
      </c>
      <c r="G813" s="39">
        <v>0</v>
      </c>
      <c r="H813" s="40">
        <v>0.13257301156251433</v>
      </c>
      <c r="I813" s="40">
        <v>0</v>
      </c>
      <c r="J813" s="40">
        <v>0.13257301156251433</v>
      </c>
    </row>
    <row r="814" spans="1:10" ht="11.25" customHeight="1" x14ac:dyDescent="0.2">
      <c r="A814" s="49">
        <v>44713</v>
      </c>
      <c r="B814" s="39">
        <v>138600</v>
      </c>
      <c r="C814" s="39">
        <v>156974.61940256448</v>
      </c>
      <c r="D814" s="39">
        <v>0</v>
      </c>
      <c r="E814" s="39">
        <v>0</v>
      </c>
      <c r="F814" s="39">
        <v>0</v>
      </c>
      <c r="G814" s="39">
        <v>0</v>
      </c>
      <c r="H814" s="40">
        <v>0.13257301156251433</v>
      </c>
      <c r="I814" s="40">
        <v>0</v>
      </c>
      <c r="J814" s="40">
        <v>0.13257301156251433</v>
      </c>
    </row>
    <row r="815" spans="1:10" ht="11.25" customHeight="1" x14ac:dyDescent="0.2">
      <c r="A815" s="49">
        <v>44743</v>
      </c>
      <c r="B815" s="39">
        <v>138600</v>
      </c>
      <c r="C815" s="39">
        <v>156974.61940256448</v>
      </c>
      <c r="D815" s="39">
        <v>0</v>
      </c>
      <c r="E815" s="39">
        <v>0</v>
      </c>
      <c r="F815" s="39">
        <v>0</v>
      </c>
      <c r="G815" s="39">
        <v>0</v>
      </c>
      <c r="H815" s="40">
        <v>0.13257301156251433</v>
      </c>
      <c r="I815" s="40">
        <v>0</v>
      </c>
      <c r="J815" s="40">
        <v>0.13257301156251433</v>
      </c>
    </row>
    <row r="816" spans="1:10" ht="11.25" customHeight="1" x14ac:dyDescent="0.2">
      <c r="A816" s="49">
        <v>44774</v>
      </c>
      <c r="B816" s="39">
        <v>138600</v>
      </c>
      <c r="C816" s="39">
        <v>156974.61940256448</v>
      </c>
      <c r="D816" s="39">
        <v>0</v>
      </c>
      <c r="E816" s="39">
        <v>0</v>
      </c>
      <c r="F816" s="39">
        <v>0</v>
      </c>
      <c r="G816" s="39">
        <v>0</v>
      </c>
      <c r="H816" s="40">
        <v>0.13257301156251433</v>
      </c>
      <c r="I816" s="40">
        <v>0</v>
      </c>
      <c r="J816" s="40">
        <v>0.13257301156251433</v>
      </c>
    </row>
    <row r="817" spans="1:10" ht="11.25" customHeight="1" x14ac:dyDescent="0.2">
      <c r="A817" s="49">
        <v>44805</v>
      </c>
      <c r="B817" s="39">
        <v>138600</v>
      </c>
      <c r="C817" s="39">
        <v>156974.61940256448</v>
      </c>
      <c r="D817" s="39">
        <v>0</v>
      </c>
      <c r="E817" s="39">
        <v>0</v>
      </c>
      <c r="F817" s="39">
        <v>0</v>
      </c>
      <c r="G817" s="39">
        <v>0</v>
      </c>
      <c r="H817" s="40">
        <v>0.13257301156251433</v>
      </c>
      <c r="I817" s="40">
        <v>0</v>
      </c>
      <c r="J817" s="40">
        <v>0.13257301156251433</v>
      </c>
    </row>
    <row r="818" spans="1:10" ht="11.25" customHeight="1" x14ac:dyDescent="0.2">
      <c r="A818" s="49">
        <v>44835</v>
      </c>
      <c r="B818" s="39">
        <v>138600</v>
      </c>
      <c r="C818" s="39">
        <v>156974.61940256448</v>
      </c>
      <c r="D818" s="39">
        <v>0</v>
      </c>
      <c r="E818" s="39">
        <v>0</v>
      </c>
      <c r="F818" s="39">
        <v>0</v>
      </c>
      <c r="G818" s="39">
        <v>0</v>
      </c>
      <c r="H818" s="40">
        <v>0.13257301156251433</v>
      </c>
      <c r="I818" s="40">
        <v>0</v>
      </c>
      <c r="J818" s="40">
        <v>0.13257301156251433</v>
      </c>
    </row>
    <row r="819" spans="1:10" ht="11.25" customHeight="1" x14ac:dyDescent="0.2">
      <c r="A819" s="48" t="s">
        <v>25</v>
      </c>
      <c r="B819" s="39">
        <v>0</v>
      </c>
      <c r="C819" s="39">
        <v>0</v>
      </c>
      <c r="D819" s="39">
        <v>6343670.6190799996</v>
      </c>
      <c r="E819" s="39">
        <v>10312933.459263831</v>
      </c>
      <c r="F819" s="39">
        <v>0</v>
      </c>
      <c r="G819" s="39">
        <v>0</v>
      </c>
      <c r="H819" s="40">
        <v>0.62570443494424044</v>
      </c>
      <c r="I819" s="40">
        <v>0</v>
      </c>
      <c r="J819" s="40">
        <v>0.62570443494424044</v>
      </c>
    </row>
    <row r="820" spans="1:10" ht="11.25" customHeight="1" x14ac:dyDescent="0.2">
      <c r="A820" s="49">
        <v>44501</v>
      </c>
      <c r="B820" s="39">
        <v>0</v>
      </c>
      <c r="C820" s="39">
        <v>0</v>
      </c>
      <c r="D820" s="39">
        <v>546007.71377000003</v>
      </c>
      <c r="E820" s="39">
        <v>887647.16178965429</v>
      </c>
      <c r="F820" s="39">
        <v>0</v>
      </c>
      <c r="G820" s="39">
        <v>0</v>
      </c>
      <c r="H820" s="40">
        <v>0.62570443494424</v>
      </c>
      <c r="I820" s="40">
        <v>0</v>
      </c>
      <c r="J820" s="40">
        <v>0.62570443494424</v>
      </c>
    </row>
    <row r="821" spans="1:10" ht="11.25" customHeight="1" x14ac:dyDescent="0.2">
      <c r="A821" s="49">
        <v>44531</v>
      </c>
      <c r="B821" s="39">
        <v>0</v>
      </c>
      <c r="C821" s="39">
        <v>0</v>
      </c>
      <c r="D821" s="39">
        <v>572982.24549</v>
      </c>
      <c r="E821" s="39">
        <v>931499.77763740241</v>
      </c>
      <c r="F821" s="39">
        <v>0</v>
      </c>
      <c r="G821" s="39">
        <v>0</v>
      </c>
      <c r="H821" s="40">
        <v>0.62570443494424022</v>
      </c>
      <c r="I821" s="40">
        <v>0</v>
      </c>
      <c r="J821" s="40">
        <v>0.62570443494424022</v>
      </c>
    </row>
    <row r="822" spans="1:10" ht="11.25" customHeight="1" x14ac:dyDescent="0.2">
      <c r="A822" s="49">
        <v>44562</v>
      </c>
      <c r="B822" s="39">
        <v>0</v>
      </c>
      <c r="C822" s="39">
        <v>0</v>
      </c>
      <c r="D822" s="39">
        <v>537442.65272999997</v>
      </c>
      <c r="E822" s="39">
        <v>873722.90407135815</v>
      </c>
      <c r="F822" s="39">
        <v>0</v>
      </c>
      <c r="G822" s="39">
        <v>0</v>
      </c>
      <c r="H822" s="40">
        <v>0.62570443494424022</v>
      </c>
      <c r="I822" s="40">
        <v>0</v>
      </c>
      <c r="J822" s="40">
        <v>0.62570443494424022</v>
      </c>
    </row>
    <row r="823" spans="1:10" ht="11.25" customHeight="1" x14ac:dyDescent="0.2">
      <c r="A823" s="49">
        <v>44593</v>
      </c>
      <c r="B823" s="39">
        <v>0</v>
      </c>
      <c r="C823" s="39">
        <v>0</v>
      </c>
      <c r="D823" s="39">
        <v>491675.33075999998</v>
      </c>
      <c r="E823" s="39">
        <v>799318.76576920808</v>
      </c>
      <c r="F823" s="39">
        <v>0</v>
      </c>
      <c r="G823" s="39">
        <v>0</v>
      </c>
      <c r="H823" s="40">
        <v>0.62570443494424</v>
      </c>
      <c r="I823" s="40">
        <v>0</v>
      </c>
      <c r="J823" s="40">
        <v>0.62570443494424</v>
      </c>
    </row>
    <row r="824" spans="1:10" ht="11.25" customHeight="1" x14ac:dyDescent="0.2">
      <c r="A824" s="49">
        <v>44621</v>
      </c>
      <c r="B824" s="39">
        <v>0</v>
      </c>
      <c r="C824" s="39">
        <v>0</v>
      </c>
      <c r="D824" s="39">
        <v>512168.35051000002</v>
      </c>
      <c r="E824" s="39">
        <v>832634.35886218317</v>
      </c>
      <c r="F824" s="39">
        <v>0</v>
      </c>
      <c r="G824" s="39">
        <v>0</v>
      </c>
      <c r="H824" s="40">
        <v>0.62570443494424022</v>
      </c>
      <c r="I824" s="40">
        <v>0</v>
      </c>
      <c r="J824" s="40">
        <v>0.62570443494424022</v>
      </c>
    </row>
    <row r="825" spans="1:10" ht="11.25" customHeight="1" x14ac:dyDescent="0.2">
      <c r="A825" s="49">
        <v>44652</v>
      </c>
      <c r="B825" s="39">
        <v>0</v>
      </c>
      <c r="C825" s="39">
        <v>0</v>
      </c>
      <c r="D825" s="39">
        <v>561985.12875000003</v>
      </c>
      <c r="E825" s="39">
        <v>913621.71618158487</v>
      </c>
      <c r="F825" s="39">
        <v>0</v>
      </c>
      <c r="G825" s="39">
        <v>0</v>
      </c>
      <c r="H825" s="40">
        <v>0.62570443494424022</v>
      </c>
      <c r="I825" s="40">
        <v>0</v>
      </c>
      <c r="J825" s="40">
        <v>0.62570443494424022</v>
      </c>
    </row>
    <row r="826" spans="1:10" ht="11.25" customHeight="1" x14ac:dyDescent="0.2">
      <c r="A826" s="49">
        <v>44682</v>
      </c>
      <c r="B826" s="39">
        <v>0</v>
      </c>
      <c r="C826" s="39">
        <v>0</v>
      </c>
      <c r="D826" s="39">
        <v>558225.27734000003</v>
      </c>
      <c r="E826" s="39">
        <v>907509.30906961649</v>
      </c>
      <c r="F826" s="39">
        <v>0</v>
      </c>
      <c r="G826" s="39">
        <v>0</v>
      </c>
      <c r="H826" s="40">
        <v>0.62570443494424022</v>
      </c>
      <c r="I826" s="40">
        <v>0</v>
      </c>
      <c r="J826" s="40">
        <v>0.62570443494424022</v>
      </c>
    </row>
    <row r="827" spans="1:10" ht="11.25" customHeight="1" x14ac:dyDescent="0.2">
      <c r="A827" s="49">
        <v>44713</v>
      </c>
      <c r="B827" s="39">
        <v>0</v>
      </c>
      <c r="C827" s="39">
        <v>0</v>
      </c>
      <c r="D827" s="39">
        <v>484841.64764000004</v>
      </c>
      <c r="E827" s="39">
        <v>788209.21681402065</v>
      </c>
      <c r="F827" s="39">
        <v>0</v>
      </c>
      <c r="G827" s="39">
        <v>0</v>
      </c>
      <c r="H827" s="40">
        <v>0.62570443494424022</v>
      </c>
      <c r="I827" s="40">
        <v>0</v>
      </c>
      <c r="J827" s="40">
        <v>0.62570443494424022</v>
      </c>
    </row>
    <row r="828" spans="1:10" ht="11.25" customHeight="1" x14ac:dyDescent="0.2">
      <c r="A828" s="49">
        <v>44743</v>
      </c>
      <c r="B828" s="39">
        <v>0</v>
      </c>
      <c r="C828" s="39">
        <v>0</v>
      </c>
      <c r="D828" s="39">
        <v>457050.14351999998</v>
      </c>
      <c r="E828" s="39">
        <v>743028.44531236542</v>
      </c>
      <c r="F828" s="39">
        <v>0</v>
      </c>
      <c r="G828" s="39">
        <v>0</v>
      </c>
      <c r="H828" s="40">
        <v>0.62570443494424022</v>
      </c>
      <c r="I828" s="40">
        <v>0</v>
      </c>
      <c r="J828" s="40">
        <v>0.62570443494424022</v>
      </c>
    </row>
    <row r="829" spans="1:10" ht="11.25" customHeight="1" x14ac:dyDescent="0.2">
      <c r="A829" s="49">
        <v>44774</v>
      </c>
      <c r="B829" s="39">
        <v>0</v>
      </c>
      <c r="C829" s="39">
        <v>0</v>
      </c>
      <c r="D829" s="39">
        <v>524346.73604999995</v>
      </c>
      <c r="E829" s="39">
        <v>852432.8142450219</v>
      </c>
      <c r="F829" s="39">
        <v>0</v>
      </c>
      <c r="G829" s="39">
        <v>0</v>
      </c>
      <c r="H829" s="40">
        <v>0.62570443494424044</v>
      </c>
      <c r="I829" s="40">
        <v>0</v>
      </c>
      <c r="J829" s="40">
        <v>0.62570443494424044</v>
      </c>
    </row>
    <row r="830" spans="1:10" ht="11.25" customHeight="1" x14ac:dyDescent="0.2">
      <c r="A830" s="49">
        <v>44805</v>
      </c>
      <c r="B830" s="39">
        <v>0</v>
      </c>
      <c r="C830" s="39">
        <v>0</v>
      </c>
      <c r="D830" s="39">
        <v>548472.69626</v>
      </c>
      <c r="E830" s="39">
        <v>891654.49475570722</v>
      </c>
      <c r="F830" s="39">
        <v>0</v>
      </c>
      <c r="G830" s="39">
        <v>0</v>
      </c>
      <c r="H830" s="40">
        <v>0.62570443494424022</v>
      </c>
      <c r="I830" s="40">
        <v>0</v>
      </c>
      <c r="J830" s="40">
        <v>0.62570443494424022</v>
      </c>
    </row>
    <row r="831" spans="1:10" ht="11.25" customHeight="1" x14ac:dyDescent="0.2">
      <c r="A831" s="49">
        <v>44835</v>
      </c>
      <c r="B831" s="39">
        <v>0</v>
      </c>
      <c r="C831" s="39">
        <v>0</v>
      </c>
      <c r="D831" s="39">
        <v>548472.69626</v>
      </c>
      <c r="E831" s="39">
        <v>891654.49475570722</v>
      </c>
      <c r="F831" s="39">
        <v>0</v>
      </c>
      <c r="G831" s="39">
        <v>0</v>
      </c>
      <c r="H831" s="40">
        <v>0.62570443494424022</v>
      </c>
      <c r="I831" s="40">
        <v>0</v>
      </c>
      <c r="J831" s="40">
        <v>0.62570443494424022</v>
      </c>
    </row>
    <row r="832" spans="1:10" ht="11.25" customHeight="1" x14ac:dyDescent="0.2">
      <c r="A832" s="48" t="s">
        <v>34</v>
      </c>
      <c r="B832" s="39">
        <v>837252.1599999998</v>
      </c>
      <c r="C832" s="39">
        <v>952177.09322919929</v>
      </c>
      <c r="D832" s="39">
        <v>0</v>
      </c>
      <c r="E832" s="39">
        <v>0</v>
      </c>
      <c r="F832" s="39">
        <v>0</v>
      </c>
      <c r="G832" s="39">
        <v>0</v>
      </c>
      <c r="H832" s="40">
        <v>0.13726442130552341</v>
      </c>
      <c r="I832" s="40">
        <v>0</v>
      </c>
      <c r="J832" s="40">
        <v>0.13726442130552341</v>
      </c>
    </row>
    <row r="833" spans="1:10" ht="11.25" customHeight="1" x14ac:dyDescent="0.2">
      <c r="A833" s="49">
        <v>44501</v>
      </c>
      <c r="B833" s="39">
        <v>69227.759999999995</v>
      </c>
      <c r="C833" s="39">
        <v>78730.268414677645</v>
      </c>
      <c r="D833" s="39">
        <v>0</v>
      </c>
      <c r="E833" s="39">
        <v>0</v>
      </c>
      <c r="F833" s="39">
        <v>0</v>
      </c>
      <c r="G833" s="39">
        <v>0</v>
      </c>
      <c r="H833" s="40">
        <v>0.13726442130552319</v>
      </c>
      <c r="I833" s="40">
        <v>0</v>
      </c>
      <c r="J833" s="40">
        <v>0.13726442130552319</v>
      </c>
    </row>
    <row r="834" spans="1:10" ht="11.25" customHeight="1" x14ac:dyDescent="0.2">
      <c r="A834" s="49">
        <v>44531</v>
      </c>
      <c r="B834" s="39">
        <v>71913.16</v>
      </c>
      <c r="C834" s="39">
        <v>81784.278291651499</v>
      </c>
      <c r="D834" s="39">
        <v>0</v>
      </c>
      <c r="E834" s="39">
        <v>0</v>
      </c>
      <c r="F834" s="39">
        <v>0</v>
      </c>
      <c r="G834" s="39">
        <v>0</v>
      </c>
      <c r="H834" s="40">
        <v>0.13726442130552319</v>
      </c>
      <c r="I834" s="40">
        <v>0</v>
      </c>
      <c r="J834" s="40">
        <v>0.13726442130552319</v>
      </c>
    </row>
    <row r="835" spans="1:10" ht="11.25" customHeight="1" x14ac:dyDescent="0.2">
      <c r="A835" s="49">
        <v>44562</v>
      </c>
      <c r="B835" s="39">
        <v>73061.399999999994</v>
      </c>
      <c r="C835" s="39">
        <v>83090.130790771349</v>
      </c>
      <c r="D835" s="39">
        <v>0</v>
      </c>
      <c r="E835" s="39">
        <v>0</v>
      </c>
      <c r="F835" s="39">
        <v>0</v>
      </c>
      <c r="G835" s="39">
        <v>0</v>
      </c>
      <c r="H835" s="40">
        <v>0.13726442130552319</v>
      </c>
      <c r="I835" s="40">
        <v>0</v>
      </c>
      <c r="J835" s="40">
        <v>0.13726442130552319</v>
      </c>
    </row>
    <row r="836" spans="1:10" ht="11.25" customHeight="1" x14ac:dyDescent="0.2">
      <c r="A836" s="49">
        <v>44593</v>
      </c>
      <c r="B836" s="39">
        <v>70264.88</v>
      </c>
      <c r="C836" s="39">
        <v>79909.748091302026</v>
      </c>
      <c r="D836" s="39">
        <v>0</v>
      </c>
      <c r="E836" s="39">
        <v>0</v>
      </c>
      <c r="F836" s="39">
        <v>0</v>
      </c>
      <c r="G836" s="39">
        <v>0</v>
      </c>
      <c r="H836" s="40">
        <v>0.13726442130552297</v>
      </c>
      <c r="I836" s="40">
        <v>0</v>
      </c>
      <c r="J836" s="40">
        <v>0.13726442130552297</v>
      </c>
    </row>
    <row r="837" spans="1:10" ht="11.25" customHeight="1" x14ac:dyDescent="0.2">
      <c r="A837" s="49">
        <v>44621</v>
      </c>
      <c r="B837" s="39">
        <v>68524</v>
      </c>
      <c r="C837" s="39">
        <v>77929.907205539668</v>
      </c>
      <c r="D837" s="39">
        <v>0</v>
      </c>
      <c r="E837" s="39">
        <v>0</v>
      </c>
      <c r="F837" s="39">
        <v>0</v>
      </c>
      <c r="G837" s="39">
        <v>0</v>
      </c>
      <c r="H837" s="40">
        <v>0.13726442130552319</v>
      </c>
      <c r="I837" s="40">
        <v>0</v>
      </c>
      <c r="J837" s="40">
        <v>0.13726442130552319</v>
      </c>
    </row>
    <row r="838" spans="1:10" ht="11.25" customHeight="1" x14ac:dyDescent="0.2">
      <c r="A838" s="49">
        <v>44652</v>
      </c>
      <c r="B838" s="39">
        <v>68524</v>
      </c>
      <c r="C838" s="39">
        <v>77929.907205539668</v>
      </c>
      <c r="D838" s="39">
        <v>0</v>
      </c>
      <c r="E838" s="39">
        <v>0</v>
      </c>
      <c r="F838" s="39">
        <v>0</v>
      </c>
      <c r="G838" s="39">
        <v>0</v>
      </c>
      <c r="H838" s="40">
        <v>0.13726442130552319</v>
      </c>
      <c r="I838" s="40">
        <v>0</v>
      </c>
      <c r="J838" s="40">
        <v>0.13726442130552319</v>
      </c>
    </row>
    <row r="839" spans="1:10" ht="11.25" customHeight="1" x14ac:dyDescent="0.2">
      <c r="A839" s="49">
        <v>44682</v>
      </c>
      <c r="B839" s="39">
        <v>68524</v>
      </c>
      <c r="C839" s="39">
        <v>77929.907205539668</v>
      </c>
      <c r="D839" s="39">
        <v>0</v>
      </c>
      <c r="E839" s="39">
        <v>0</v>
      </c>
      <c r="F839" s="39">
        <v>0</v>
      </c>
      <c r="G839" s="39">
        <v>0</v>
      </c>
      <c r="H839" s="40">
        <v>0.13726442130552319</v>
      </c>
      <c r="I839" s="40">
        <v>0</v>
      </c>
      <c r="J839" s="40">
        <v>0.13726442130552319</v>
      </c>
    </row>
    <row r="840" spans="1:10" ht="11.25" customHeight="1" x14ac:dyDescent="0.2">
      <c r="A840" s="49">
        <v>44713</v>
      </c>
      <c r="B840" s="39">
        <v>68838.84</v>
      </c>
      <c r="C840" s="39">
        <v>78287.963535943505</v>
      </c>
      <c r="D840" s="39">
        <v>0</v>
      </c>
      <c r="E840" s="39">
        <v>0</v>
      </c>
      <c r="F840" s="39">
        <v>0</v>
      </c>
      <c r="G840" s="39">
        <v>0</v>
      </c>
      <c r="H840" s="40">
        <v>0.13726442130552319</v>
      </c>
      <c r="I840" s="40">
        <v>0</v>
      </c>
      <c r="J840" s="40">
        <v>0.13726442130552319</v>
      </c>
    </row>
    <row r="841" spans="1:10" ht="11.25" customHeight="1" x14ac:dyDescent="0.2">
      <c r="A841" s="49">
        <v>44743</v>
      </c>
      <c r="B841" s="39">
        <v>68635.12</v>
      </c>
      <c r="C841" s="39">
        <v>78056.280028035137</v>
      </c>
      <c r="D841" s="39">
        <v>0</v>
      </c>
      <c r="E841" s="39">
        <v>0</v>
      </c>
      <c r="F841" s="39">
        <v>0</v>
      </c>
      <c r="G841" s="39">
        <v>0</v>
      </c>
      <c r="H841" s="40">
        <v>0.13726442130552319</v>
      </c>
      <c r="I841" s="40">
        <v>0</v>
      </c>
      <c r="J841" s="40">
        <v>0.13726442130552319</v>
      </c>
    </row>
    <row r="842" spans="1:10" ht="11.25" customHeight="1" x14ac:dyDescent="0.2">
      <c r="A842" s="49">
        <v>44774</v>
      </c>
      <c r="B842" s="39">
        <v>69283.319999999992</v>
      </c>
      <c r="C842" s="39">
        <v>78793.454825925379</v>
      </c>
      <c r="D842" s="39">
        <v>0</v>
      </c>
      <c r="E842" s="39">
        <v>0</v>
      </c>
      <c r="F842" s="39">
        <v>0</v>
      </c>
      <c r="G842" s="39">
        <v>0</v>
      </c>
      <c r="H842" s="40">
        <v>0.13726442130552319</v>
      </c>
      <c r="I842" s="40">
        <v>0</v>
      </c>
      <c r="J842" s="40">
        <v>0.13726442130552319</v>
      </c>
    </row>
    <row r="843" spans="1:10" ht="11.25" customHeight="1" x14ac:dyDescent="0.2">
      <c r="A843" s="49">
        <v>44805</v>
      </c>
      <c r="B843" s="39">
        <v>70227.839999999997</v>
      </c>
      <c r="C843" s="39">
        <v>79867.623817136875</v>
      </c>
      <c r="D843" s="39">
        <v>0</v>
      </c>
      <c r="E843" s="39">
        <v>0</v>
      </c>
      <c r="F843" s="39">
        <v>0</v>
      </c>
      <c r="G843" s="39">
        <v>0</v>
      </c>
      <c r="H843" s="40">
        <v>0.13726442130552319</v>
      </c>
      <c r="I843" s="40">
        <v>0</v>
      </c>
      <c r="J843" s="40">
        <v>0.13726442130552319</v>
      </c>
    </row>
    <row r="844" spans="1:10" ht="11.25" customHeight="1" x14ac:dyDescent="0.2">
      <c r="A844" s="49">
        <v>44835</v>
      </c>
      <c r="B844" s="39">
        <v>70227.839999999997</v>
      </c>
      <c r="C844" s="39">
        <v>79867.623817136875</v>
      </c>
      <c r="D844" s="39">
        <v>0</v>
      </c>
      <c r="E844" s="39">
        <v>0</v>
      </c>
      <c r="F844" s="39">
        <v>0</v>
      </c>
      <c r="G844" s="39">
        <v>0</v>
      </c>
      <c r="H844" s="40">
        <v>0.13726442130552319</v>
      </c>
      <c r="I844" s="40">
        <v>0</v>
      </c>
      <c r="J844" s="40">
        <v>0.13726442130552319</v>
      </c>
    </row>
    <row r="845" spans="1:10" ht="11.25" customHeight="1" x14ac:dyDescent="0.2">
      <c r="A845" s="42" t="s">
        <v>39</v>
      </c>
      <c r="B845" s="39">
        <v>13157822.314857744</v>
      </c>
      <c r="C845" s="39">
        <v>14987847.709798694</v>
      </c>
      <c r="D845" s="39">
        <v>15886145.049059182</v>
      </c>
      <c r="E845" s="39">
        <v>25005282.753299423</v>
      </c>
      <c r="F845" s="39">
        <v>0</v>
      </c>
      <c r="G845" s="39">
        <v>0</v>
      </c>
      <c r="H845" s="40">
        <v>0.37698579405456822</v>
      </c>
      <c r="I845" s="40">
        <v>0</v>
      </c>
      <c r="J845" s="40">
        <v>0.37698579405456822</v>
      </c>
    </row>
    <row r="846" spans="1:10" ht="11.25" customHeight="1" x14ac:dyDescent="0.2">
      <c r="A846" s="43" t="s">
        <v>40</v>
      </c>
      <c r="B846" s="39">
        <v>12277953.947326584</v>
      </c>
      <c r="C846" s="39">
        <v>13986947.947803348</v>
      </c>
      <c r="D846" s="39">
        <v>11709703.586100003</v>
      </c>
      <c r="E846" s="39">
        <v>19102591.26247533</v>
      </c>
      <c r="F846" s="39">
        <v>0</v>
      </c>
      <c r="G846" s="39">
        <v>0</v>
      </c>
      <c r="H846" s="40">
        <v>0.37944020437046433</v>
      </c>
      <c r="I846" s="40">
        <v>0</v>
      </c>
      <c r="J846" s="40">
        <v>0.37944020437046433</v>
      </c>
    </row>
    <row r="847" spans="1:10" ht="11.25" customHeight="1" x14ac:dyDescent="0.2">
      <c r="A847" s="44" t="s">
        <v>38</v>
      </c>
      <c r="B847" s="39">
        <v>12277953.947326584</v>
      </c>
      <c r="C847" s="39">
        <v>13986947.947803348</v>
      </c>
      <c r="D847" s="39">
        <v>11709703.586100003</v>
      </c>
      <c r="E847" s="39">
        <v>19102591.26247533</v>
      </c>
      <c r="F847" s="39">
        <v>0</v>
      </c>
      <c r="G847" s="39">
        <v>0</v>
      </c>
      <c r="H847" s="40">
        <v>0.37944020437046433</v>
      </c>
      <c r="I847" s="40">
        <v>0</v>
      </c>
      <c r="J847" s="40">
        <v>0.37944020437046433</v>
      </c>
    </row>
    <row r="848" spans="1:10" ht="11.25" customHeight="1" x14ac:dyDescent="0.2">
      <c r="A848" s="45" t="s">
        <v>25</v>
      </c>
      <c r="B848" s="39">
        <v>12277953.947326584</v>
      </c>
      <c r="C848" s="39">
        <v>13986947.947803348</v>
      </c>
      <c r="D848" s="39">
        <v>11709703.586100003</v>
      </c>
      <c r="E848" s="39">
        <v>19102591.26247533</v>
      </c>
      <c r="F848" s="39">
        <v>0</v>
      </c>
      <c r="G848" s="39">
        <v>0</v>
      </c>
      <c r="H848" s="40">
        <v>0.37944020437046433</v>
      </c>
      <c r="I848" s="40">
        <v>0</v>
      </c>
      <c r="J848" s="40">
        <v>0.37944020437046433</v>
      </c>
    </row>
    <row r="849" spans="1:10" ht="11.25" customHeight="1" x14ac:dyDescent="0.2">
      <c r="A849" s="46" t="s">
        <v>56</v>
      </c>
      <c r="B849" s="39">
        <v>5346814.8273265827</v>
      </c>
      <c r="C849" s="39">
        <v>6091019.1505597699</v>
      </c>
      <c r="D849" s="39">
        <v>6484050.2259</v>
      </c>
      <c r="E849" s="39">
        <v>10577736.684791841</v>
      </c>
      <c r="F849" s="39">
        <v>0</v>
      </c>
      <c r="G849" s="39">
        <v>0</v>
      </c>
      <c r="H849" s="40">
        <v>0.40892113639700511</v>
      </c>
      <c r="I849" s="40">
        <v>0</v>
      </c>
      <c r="J849" s="40">
        <v>0.40892113639700511</v>
      </c>
    </row>
    <row r="850" spans="1:10" ht="11.25" customHeight="1" x14ac:dyDescent="0.2">
      <c r="A850" s="47" t="s">
        <v>25</v>
      </c>
      <c r="B850" s="39">
        <v>5346814.8273265827</v>
      </c>
      <c r="C850" s="39">
        <v>6091019.1505597699</v>
      </c>
      <c r="D850" s="39">
        <v>6484050.2259</v>
      </c>
      <c r="E850" s="39">
        <v>10577736.684791841</v>
      </c>
      <c r="F850" s="39">
        <v>0</v>
      </c>
      <c r="G850" s="39">
        <v>0</v>
      </c>
      <c r="H850" s="40">
        <v>0.40892113639700511</v>
      </c>
      <c r="I850" s="40">
        <v>0</v>
      </c>
      <c r="J850" s="40">
        <v>0.40892113639700511</v>
      </c>
    </row>
    <row r="851" spans="1:10" ht="11.25" customHeight="1" x14ac:dyDescent="0.2">
      <c r="A851" s="48" t="s">
        <v>35</v>
      </c>
      <c r="B851" s="39">
        <v>1559247.6750337202</v>
      </c>
      <c r="C851" s="39">
        <v>1773731.9403948023</v>
      </c>
      <c r="D851" s="39">
        <v>0</v>
      </c>
      <c r="E851" s="39">
        <v>0</v>
      </c>
      <c r="F851" s="39">
        <v>0</v>
      </c>
      <c r="G851" s="39">
        <v>0</v>
      </c>
      <c r="H851" s="40">
        <v>0.1375562515149773</v>
      </c>
      <c r="I851" s="40">
        <v>0</v>
      </c>
      <c r="J851" s="40">
        <v>0.1375562515149773</v>
      </c>
    </row>
    <row r="852" spans="1:10" ht="11.25" customHeight="1" x14ac:dyDescent="0.2">
      <c r="A852" s="49">
        <v>44501</v>
      </c>
      <c r="B852" s="39">
        <v>144695.06328718</v>
      </c>
      <c r="C852" s="39">
        <v>164598.77380568691</v>
      </c>
      <c r="D852" s="39">
        <v>0</v>
      </c>
      <c r="E852" s="39">
        <v>0</v>
      </c>
      <c r="F852" s="39">
        <v>0</v>
      </c>
      <c r="G852" s="39">
        <v>0</v>
      </c>
      <c r="H852" s="40">
        <v>0.13755625151497752</v>
      </c>
      <c r="I852" s="40">
        <v>0</v>
      </c>
      <c r="J852" s="40">
        <v>0.13755625151497752</v>
      </c>
    </row>
    <row r="853" spans="1:10" ht="11.25" customHeight="1" x14ac:dyDescent="0.2">
      <c r="A853" s="49">
        <v>44531</v>
      </c>
      <c r="B853" s="39">
        <v>146645.96262512001</v>
      </c>
      <c r="C853" s="39">
        <v>166818.03154363699</v>
      </c>
      <c r="D853" s="39">
        <v>0</v>
      </c>
      <c r="E853" s="39">
        <v>0</v>
      </c>
      <c r="F853" s="39">
        <v>0</v>
      </c>
      <c r="G853" s="39">
        <v>0</v>
      </c>
      <c r="H853" s="40">
        <v>0.1375562515149773</v>
      </c>
      <c r="I853" s="40">
        <v>0</v>
      </c>
      <c r="J853" s="40">
        <v>0.1375562515149773</v>
      </c>
    </row>
    <row r="854" spans="1:10" ht="11.25" customHeight="1" x14ac:dyDescent="0.2">
      <c r="A854" s="49">
        <v>44562</v>
      </c>
      <c r="B854" s="39">
        <v>128999.34891354002</v>
      </c>
      <c r="C854" s="39">
        <v>146744.01579795923</v>
      </c>
      <c r="D854" s="39">
        <v>0</v>
      </c>
      <c r="E854" s="39">
        <v>0</v>
      </c>
      <c r="F854" s="39">
        <v>0</v>
      </c>
      <c r="G854" s="39">
        <v>0</v>
      </c>
      <c r="H854" s="40">
        <v>0.1375562515149773</v>
      </c>
      <c r="I854" s="40">
        <v>0</v>
      </c>
      <c r="J854" s="40">
        <v>0.1375562515149773</v>
      </c>
    </row>
    <row r="855" spans="1:10" ht="11.25" customHeight="1" x14ac:dyDescent="0.2">
      <c r="A855" s="49">
        <v>44593</v>
      </c>
      <c r="B855" s="39">
        <v>134040.33051080001</v>
      </c>
      <c r="C855" s="39">
        <v>152478.4159276943</v>
      </c>
      <c r="D855" s="39">
        <v>0</v>
      </c>
      <c r="E855" s="39">
        <v>0</v>
      </c>
      <c r="F855" s="39">
        <v>0</v>
      </c>
      <c r="G855" s="39">
        <v>0</v>
      </c>
      <c r="H855" s="40">
        <v>0.1375562515149773</v>
      </c>
      <c r="I855" s="40">
        <v>0</v>
      </c>
      <c r="J855" s="40">
        <v>0.1375562515149773</v>
      </c>
    </row>
    <row r="856" spans="1:10" ht="11.25" customHeight="1" x14ac:dyDescent="0.2">
      <c r="A856" s="49">
        <v>44621</v>
      </c>
      <c r="B856" s="39">
        <v>123350.95994550001</v>
      </c>
      <c r="C856" s="39">
        <v>140318.6556163771</v>
      </c>
      <c r="D856" s="39">
        <v>0</v>
      </c>
      <c r="E856" s="39">
        <v>0</v>
      </c>
      <c r="F856" s="39">
        <v>0</v>
      </c>
      <c r="G856" s="39">
        <v>0</v>
      </c>
      <c r="H856" s="40">
        <v>0.1375562515149773</v>
      </c>
      <c r="I856" s="40">
        <v>0</v>
      </c>
      <c r="J856" s="40">
        <v>0.1375562515149773</v>
      </c>
    </row>
    <row r="857" spans="1:10" ht="11.25" customHeight="1" x14ac:dyDescent="0.2">
      <c r="A857" s="49">
        <v>44652</v>
      </c>
      <c r="B857" s="39">
        <v>112027.50077735999</v>
      </c>
      <c r="C857" s="39">
        <v>127437.58385088485</v>
      </c>
      <c r="D857" s="39">
        <v>0</v>
      </c>
      <c r="E857" s="39">
        <v>0</v>
      </c>
      <c r="F857" s="39">
        <v>0</v>
      </c>
      <c r="G857" s="39">
        <v>0</v>
      </c>
      <c r="H857" s="40">
        <v>0.13755625151497752</v>
      </c>
      <c r="I857" s="40">
        <v>0</v>
      </c>
      <c r="J857" s="40">
        <v>0.13755625151497752</v>
      </c>
    </row>
    <row r="858" spans="1:10" ht="11.25" customHeight="1" x14ac:dyDescent="0.2">
      <c r="A858" s="49">
        <v>44682</v>
      </c>
      <c r="B858" s="39">
        <v>148323.04028080002</v>
      </c>
      <c r="C858" s="39">
        <v>168725.80171513185</v>
      </c>
      <c r="D858" s="39">
        <v>0</v>
      </c>
      <c r="E858" s="39">
        <v>0</v>
      </c>
      <c r="F858" s="39">
        <v>0</v>
      </c>
      <c r="G858" s="39">
        <v>0</v>
      </c>
      <c r="H858" s="40">
        <v>0.1375562515149773</v>
      </c>
      <c r="I858" s="40">
        <v>0</v>
      </c>
      <c r="J858" s="40">
        <v>0.1375562515149773</v>
      </c>
    </row>
    <row r="859" spans="1:10" ht="11.25" customHeight="1" x14ac:dyDescent="0.2">
      <c r="A859" s="49">
        <v>44713</v>
      </c>
      <c r="B859" s="39">
        <v>136926.73030805998</v>
      </c>
      <c r="C859" s="39">
        <v>155761.85806143895</v>
      </c>
      <c r="D859" s="39">
        <v>0</v>
      </c>
      <c r="E859" s="39">
        <v>0</v>
      </c>
      <c r="F859" s="39">
        <v>0</v>
      </c>
      <c r="G859" s="39">
        <v>0</v>
      </c>
      <c r="H859" s="40">
        <v>0.1375562515149773</v>
      </c>
      <c r="I859" s="40">
        <v>0</v>
      </c>
      <c r="J859" s="40">
        <v>0.1375562515149773</v>
      </c>
    </row>
    <row r="860" spans="1:10" ht="11.25" customHeight="1" x14ac:dyDescent="0.2">
      <c r="A860" s="49">
        <v>44743</v>
      </c>
      <c r="B860" s="39">
        <v>112158.54994119999</v>
      </c>
      <c r="C860" s="39">
        <v>127586.65964646685</v>
      </c>
      <c r="D860" s="39">
        <v>0</v>
      </c>
      <c r="E860" s="39">
        <v>0</v>
      </c>
      <c r="F860" s="39">
        <v>0</v>
      </c>
      <c r="G860" s="39">
        <v>0</v>
      </c>
      <c r="H860" s="40">
        <v>0.13755625151497752</v>
      </c>
      <c r="I860" s="40">
        <v>0</v>
      </c>
      <c r="J860" s="40">
        <v>0.13755625151497752</v>
      </c>
    </row>
    <row r="861" spans="1:10" ht="11.25" customHeight="1" x14ac:dyDescent="0.2">
      <c r="A861" s="49">
        <v>44774</v>
      </c>
      <c r="B861" s="39">
        <v>118886.75001168001</v>
      </c>
      <c r="C861" s="39">
        <v>135240.3656980849</v>
      </c>
      <c r="D861" s="39">
        <v>0</v>
      </c>
      <c r="E861" s="39">
        <v>0</v>
      </c>
      <c r="F861" s="39">
        <v>0</v>
      </c>
      <c r="G861" s="39">
        <v>0</v>
      </c>
      <c r="H861" s="40">
        <v>0.1375562515149773</v>
      </c>
      <c r="I861" s="40">
        <v>0</v>
      </c>
      <c r="J861" s="40">
        <v>0.1375562515149773</v>
      </c>
    </row>
    <row r="862" spans="1:10" ht="11.25" customHeight="1" x14ac:dyDescent="0.2">
      <c r="A862" s="49">
        <v>44805</v>
      </c>
      <c r="B862" s="39">
        <v>126596.71921623999</v>
      </c>
      <c r="C862" s="39">
        <v>144010.88936572007</v>
      </c>
      <c r="D862" s="39">
        <v>0</v>
      </c>
      <c r="E862" s="39">
        <v>0</v>
      </c>
      <c r="F862" s="39">
        <v>0</v>
      </c>
      <c r="G862" s="39">
        <v>0</v>
      </c>
      <c r="H862" s="40">
        <v>0.1375562515149773</v>
      </c>
      <c r="I862" s="40">
        <v>0</v>
      </c>
      <c r="J862" s="40">
        <v>0.1375562515149773</v>
      </c>
    </row>
    <row r="863" spans="1:10" ht="11.25" customHeight="1" x14ac:dyDescent="0.2">
      <c r="A863" s="49">
        <v>44835</v>
      </c>
      <c r="B863" s="39">
        <v>126596.71921623999</v>
      </c>
      <c r="C863" s="39">
        <v>144010.88936572007</v>
      </c>
      <c r="D863" s="39">
        <v>0</v>
      </c>
      <c r="E863" s="39">
        <v>0</v>
      </c>
      <c r="F863" s="39">
        <v>0</v>
      </c>
      <c r="G863" s="39">
        <v>0</v>
      </c>
      <c r="H863" s="40">
        <v>0.1375562515149773</v>
      </c>
      <c r="I863" s="40">
        <v>0</v>
      </c>
      <c r="J863" s="40">
        <v>0.1375562515149773</v>
      </c>
    </row>
    <row r="864" spans="1:10" ht="11.25" customHeight="1" x14ac:dyDescent="0.2">
      <c r="A864" s="48" t="s">
        <v>25</v>
      </c>
      <c r="B864" s="39">
        <v>0</v>
      </c>
      <c r="C864" s="39">
        <v>0</v>
      </c>
      <c r="D864" s="39">
        <v>6484050.2259</v>
      </c>
      <c r="E864" s="39">
        <v>10577736.684791841</v>
      </c>
      <c r="F864" s="39">
        <v>0</v>
      </c>
      <c r="G864" s="39">
        <v>0</v>
      </c>
      <c r="H864" s="40">
        <v>0.63134712352164546</v>
      </c>
      <c r="I864" s="40">
        <v>0</v>
      </c>
      <c r="J864" s="40">
        <v>0.63134712352164546</v>
      </c>
    </row>
    <row r="865" spans="1:10" ht="11.25" customHeight="1" x14ac:dyDescent="0.2">
      <c r="A865" s="49">
        <v>44501</v>
      </c>
      <c r="B865" s="39">
        <v>0</v>
      </c>
      <c r="C865" s="39">
        <v>0</v>
      </c>
      <c r="D865" s="39">
        <v>569120.64300000004</v>
      </c>
      <c r="E865" s="39">
        <v>928433.32389483938</v>
      </c>
      <c r="F865" s="39">
        <v>0</v>
      </c>
      <c r="G865" s="39">
        <v>0</v>
      </c>
      <c r="H865" s="40">
        <v>0.63134712352164546</v>
      </c>
      <c r="I865" s="40">
        <v>0</v>
      </c>
      <c r="J865" s="40">
        <v>0.63134712352164546</v>
      </c>
    </row>
    <row r="866" spans="1:10" ht="11.25" customHeight="1" x14ac:dyDescent="0.2">
      <c r="A866" s="49">
        <v>44531</v>
      </c>
      <c r="B866" s="39">
        <v>0</v>
      </c>
      <c r="C866" s="39">
        <v>0</v>
      </c>
      <c r="D866" s="39">
        <v>552026.50425000011</v>
      </c>
      <c r="E866" s="39">
        <v>900546.84981594689</v>
      </c>
      <c r="F866" s="39">
        <v>0</v>
      </c>
      <c r="G866" s="39">
        <v>0</v>
      </c>
      <c r="H866" s="40">
        <v>0.63134712352164502</v>
      </c>
      <c r="I866" s="40">
        <v>0</v>
      </c>
      <c r="J866" s="40">
        <v>0.63134712352164502</v>
      </c>
    </row>
    <row r="867" spans="1:10" ht="11.25" customHeight="1" x14ac:dyDescent="0.2">
      <c r="A867" s="49">
        <v>44562</v>
      </c>
      <c r="B867" s="39">
        <v>0</v>
      </c>
      <c r="C867" s="39">
        <v>0</v>
      </c>
      <c r="D867" s="39">
        <v>516263.91375000007</v>
      </c>
      <c r="E867" s="39">
        <v>842205.65067408944</v>
      </c>
      <c r="F867" s="39">
        <v>0</v>
      </c>
      <c r="G867" s="39">
        <v>0</v>
      </c>
      <c r="H867" s="40">
        <v>0.63134712352164546</v>
      </c>
      <c r="I867" s="40">
        <v>0</v>
      </c>
      <c r="J867" s="40">
        <v>0.63134712352164546</v>
      </c>
    </row>
    <row r="868" spans="1:10" ht="11.25" customHeight="1" x14ac:dyDescent="0.2">
      <c r="A868" s="49">
        <v>44593</v>
      </c>
      <c r="B868" s="39">
        <v>0</v>
      </c>
      <c r="C868" s="39">
        <v>0</v>
      </c>
      <c r="D868" s="39">
        <v>544187.04599999997</v>
      </c>
      <c r="E868" s="39">
        <v>887757.97214984125</v>
      </c>
      <c r="F868" s="39">
        <v>0</v>
      </c>
      <c r="G868" s="39">
        <v>0</v>
      </c>
      <c r="H868" s="40">
        <v>0.63134712352164524</v>
      </c>
      <c r="I868" s="40">
        <v>0</v>
      </c>
      <c r="J868" s="40">
        <v>0.63134712352164524</v>
      </c>
    </row>
    <row r="869" spans="1:10" ht="11.25" customHeight="1" x14ac:dyDescent="0.2">
      <c r="A869" s="49">
        <v>44621</v>
      </c>
      <c r="B869" s="39">
        <v>0</v>
      </c>
      <c r="C869" s="39">
        <v>0</v>
      </c>
      <c r="D869" s="39">
        <v>534750.33105000004</v>
      </c>
      <c r="E869" s="39">
        <v>872363.41436066513</v>
      </c>
      <c r="F869" s="39">
        <v>0</v>
      </c>
      <c r="G869" s="39">
        <v>0</v>
      </c>
      <c r="H869" s="40">
        <v>0.63134712352164524</v>
      </c>
      <c r="I869" s="40">
        <v>0</v>
      </c>
      <c r="J869" s="40">
        <v>0.63134712352164524</v>
      </c>
    </row>
    <row r="870" spans="1:10" ht="11.25" customHeight="1" x14ac:dyDescent="0.2">
      <c r="A870" s="49">
        <v>44652</v>
      </c>
      <c r="B870" s="39">
        <v>0</v>
      </c>
      <c r="C870" s="39">
        <v>0</v>
      </c>
      <c r="D870" s="39">
        <v>575202.31080000009</v>
      </c>
      <c r="E870" s="39">
        <v>938354.63516658347</v>
      </c>
      <c r="F870" s="39">
        <v>0</v>
      </c>
      <c r="G870" s="39">
        <v>0</v>
      </c>
      <c r="H870" s="40">
        <v>0.63134712352164524</v>
      </c>
      <c r="I870" s="40">
        <v>0</v>
      </c>
      <c r="J870" s="40">
        <v>0.63134712352164524</v>
      </c>
    </row>
    <row r="871" spans="1:10" ht="11.25" customHeight="1" x14ac:dyDescent="0.2">
      <c r="A871" s="49">
        <v>44682</v>
      </c>
      <c r="B871" s="39">
        <v>0</v>
      </c>
      <c r="C871" s="39">
        <v>0</v>
      </c>
      <c r="D871" s="39">
        <v>522313.3305000001</v>
      </c>
      <c r="E871" s="39">
        <v>852074.34928818559</v>
      </c>
      <c r="F871" s="39">
        <v>0</v>
      </c>
      <c r="G871" s="39">
        <v>0</v>
      </c>
      <c r="H871" s="40">
        <v>0.63134712352164524</v>
      </c>
      <c r="I871" s="40">
        <v>0</v>
      </c>
      <c r="J871" s="40">
        <v>0.63134712352164524</v>
      </c>
    </row>
    <row r="872" spans="1:10" ht="11.25" customHeight="1" x14ac:dyDescent="0.2">
      <c r="A872" s="49">
        <v>44713</v>
      </c>
      <c r="B872" s="39">
        <v>0</v>
      </c>
      <c r="C872" s="39">
        <v>0</v>
      </c>
      <c r="D872" s="39">
        <v>533753.07374999998</v>
      </c>
      <c r="E872" s="39">
        <v>870736.54153289914</v>
      </c>
      <c r="F872" s="39">
        <v>0</v>
      </c>
      <c r="G872" s="39">
        <v>0</v>
      </c>
      <c r="H872" s="40">
        <v>0.63134712352164546</v>
      </c>
      <c r="I872" s="40">
        <v>0</v>
      </c>
      <c r="J872" s="40">
        <v>0.63134712352164546</v>
      </c>
    </row>
    <row r="873" spans="1:10" ht="11.25" customHeight="1" x14ac:dyDescent="0.2">
      <c r="A873" s="49">
        <v>44743</v>
      </c>
      <c r="B873" s="39">
        <v>0</v>
      </c>
      <c r="C873" s="39">
        <v>0</v>
      </c>
      <c r="D873" s="39">
        <v>507421.06545000005</v>
      </c>
      <c r="E873" s="39">
        <v>827779.89553614613</v>
      </c>
      <c r="F873" s="39">
        <v>0</v>
      </c>
      <c r="G873" s="39">
        <v>0</v>
      </c>
      <c r="H873" s="40">
        <v>0.63134712352164546</v>
      </c>
      <c r="I873" s="40">
        <v>0</v>
      </c>
      <c r="J873" s="40">
        <v>0.63134712352164546</v>
      </c>
    </row>
    <row r="874" spans="1:10" ht="11.25" customHeight="1" x14ac:dyDescent="0.2">
      <c r="A874" s="49">
        <v>44774</v>
      </c>
      <c r="B874" s="39">
        <v>0</v>
      </c>
      <c r="C874" s="39">
        <v>0</v>
      </c>
      <c r="D874" s="39">
        <v>533042.10765000002</v>
      </c>
      <c r="E874" s="39">
        <v>869576.70903074276</v>
      </c>
      <c r="F874" s="39">
        <v>0</v>
      </c>
      <c r="G874" s="39">
        <v>0</v>
      </c>
      <c r="H874" s="40">
        <v>0.63134712352164524</v>
      </c>
      <c r="I874" s="40">
        <v>0</v>
      </c>
      <c r="J874" s="40">
        <v>0.63134712352164524</v>
      </c>
    </row>
    <row r="875" spans="1:10" ht="11.25" customHeight="1" x14ac:dyDescent="0.2">
      <c r="A875" s="49">
        <v>44805</v>
      </c>
      <c r="B875" s="39">
        <v>0</v>
      </c>
      <c r="C875" s="39">
        <v>0</v>
      </c>
      <c r="D875" s="39">
        <v>547984.94984999998</v>
      </c>
      <c r="E875" s="39">
        <v>893953.6716709506</v>
      </c>
      <c r="F875" s="39">
        <v>0</v>
      </c>
      <c r="G875" s="39">
        <v>0</v>
      </c>
      <c r="H875" s="40">
        <v>0.63134712352164546</v>
      </c>
      <c r="I875" s="40">
        <v>0</v>
      </c>
      <c r="J875" s="40">
        <v>0.63134712352164546</v>
      </c>
    </row>
    <row r="876" spans="1:10" ht="11.25" customHeight="1" x14ac:dyDescent="0.2">
      <c r="A876" s="49">
        <v>44835</v>
      </c>
      <c r="B876" s="39">
        <v>0</v>
      </c>
      <c r="C876" s="39">
        <v>0</v>
      </c>
      <c r="D876" s="39">
        <v>547984.94984999998</v>
      </c>
      <c r="E876" s="39">
        <v>893953.6716709506</v>
      </c>
      <c r="F876" s="39">
        <v>0</v>
      </c>
      <c r="G876" s="39">
        <v>0</v>
      </c>
      <c r="H876" s="40">
        <v>0.63134712352164546</v>
      </c>
      <c r="I876" s="40">
        <v>0</v>
      </c>
      <c r="J876" s="40">
        <v>0.63134712352164546</v>
      </c>
    </row>
    <row r="877" spans="1:10" ht="11.25" customHeight="1" x14ac:dyDescent="0.2">
      <c r="A877" s="48" t="s">
        <v>34</v>
      </c>
      <c r="B877" s="39">
        <v>3787567.1522928625</v>
      </c>
      <c r="C877" s="39">
        <v>4317287.2101649679</v>
      </c>
      <c r="D877" s="39">
        <v>0</v>
      </c>
      <c r="E877" s="39">
        <v>0</v>
      </c>
      <c r="F877" s="39">
        <v>0</v>
      </c>
      <c r="G877" s="39">
        <v>0</v>
      </c>
      <c r="H877" s="40">
        <v>0.13985760161412086</v>
      </c>
      <c r="I877" s="40">
        <v>0</v>
      </c>
      <c r="J877" s="40">
        <v>0.13985760161412086</v>
      </c>
    </row>
    <row r="878" spans="1:10" ht="11.25" customHeight="1" x14ac:dyDescent="0.2">
      <c r="A878" s="49">
        <v>44501</v>
      </c>
      <c r="B878" s="39">
        <v>348373.59124473121</v>
      </c>
      <c r="C878" s="39">
        <v>397096.28618191741</v>
      </c>
      <c r="D878" s="39">
        <v>0</v>
      </c>
      <c r="E878" s="39">
        <v>0</v>
      </c>
      <c r="F878" s="39">
        <v>0</v>
      </c>
      <c r="G878" s="39">
        <v>0</v>
      </c>
      <c r="H878" s="40">
        <v>0.13985760161412086</v>
      </c>
      <c r="I878" s="40">
        <v>0</v>
      </c>
      <c r="J878" s="40">
        <v>0.13985760161412086</v>
      </c>
    </row>
    <row r="879" spans="1:10" ht="11.25" customHeight="1" x14ac:dyDescent="0.2">
      <c r="A879" s="49">
        <v>44531</v>
      </c>
      <c r="B879" s="39">
        <v>349102.14446714881</v>
      </c>
      <c r="C879" s="39">
        <v>397926.73311067058</v>
      </c>
      <c r="D879" s="39">
        <v>0</v>
      </c>
      <c r="E879" s="39">
        <v>0</v>
      </c>
      <c r="F879" s="39">
        <v>0</v>
      </c>
      <c r="G879" s="39">
        <v>0</v>
      </c>
      <c r="H879" s="40">
        <v>0.13985760161412086</v>
      </c>
      <c r="I879" s="40">
        <v>0</v>
      </c>
      <c r="J879" s="40">
        <v>0.13985760161412086</v>
      </c>
    </row>
    <row r="880" spans="1:10" ht="11.25" customHeight="1" x14ac:dyDescent="0.2">
      <c r="A880" s="49">
        <v>44562</v>
      </c>
      <c r="B880" s="39">
        <v>311808.76886866795</v>
      </c>
      <c r="C880" s="39">
        <v>355417.59544489166</v>
      </c>
      <c r="D880" s="39">
        <v>0</v>
      </c>
      <c r="E880" s="39">
        <v>0</v>
      </c>
      <c r="F880" s="39">
        <v>0</v>
      </c>
      <c r="G880" s="39">
        <v>0</v>
      </c>
      <c r="H880" s="40">
        <v>0.13985760161412109</v>
      </c>
      <c r="I880" s="40">
        <v>0</v>
      </c>
      <c r="J880" s="40">
        <v>0.13985760161412109</v>
      </c>
    </row>
    <row r="881" spans="1:10" ht="11.25" customHeight="1" x14ac:dyDescent="0.2">
      <c r="A881" s="49">
        <v>44593</v>
      </c>
      <c r="B881" s="39">
        <v>323145.42030191998</v>
      </c>
      <c r="C881" s="39">
        <v>368339.76375793363</v>
      </c>
      <c r="D881" s="39">
        <v>0</v>
      </c>
      <c r="E881" s="39">
        <v>0</v>
      </c>
      <c r="F881" s="39">
        <v>0</v>
      </c>
      <c r="G881" s="39">
        <v>0</v>
      </c>
      <c r="H881" s="40">
        <v>0.13985760161412109</v>
      </c>
      <c r="I881" s="40">
        <v>0</v>
      </c>
      <c r="J881" s="40">
        <v>0.13985760161412109</v>
      </c>
    </row>
    <row r="882" spans="1:10" ht="11.25" customHeight="1" x14ac:dyDescent="0.2">
      <c r="A882" s="49">
        <v>44621</v>
      </c>
      <c r="B882" s="39">
        <v>298009.48909646878</v>
      </c>
      <c r="C882" s="39">
        <v>339688.38149975042</v>
      </c>
      <c r="D882" s="39">
        <v>0</v>
      </c>
      <c r="E882" s="39">
        <v>0</v>
      </c>
      <c r="F882" s="39">
        <v>0</v>
      </c>
      <c r="G882" s="39">
        <v>0</v>
      </c>
      <c r="H882" s="40">
        <v>0.13985760161412086</v>
      </c>
      <c r="I882" s="40">
        <v>0</v>
      </c>
      <c r="J882" s="40">
        <v>0.13985760161412086</v>
      </c>
    </row>
    <row r="883" spans="1:10" ht="11.25" customHeight="1" x14ac:dyDescent="0.2">
      <c r="A883" s="49">
        <v>44652</v>
      </c>
      <c r="B883" s="39">
        <v>270149.28000450239</v>
      </c>
      <c r="C883" s="39">
        <v>307931.71038371371</v>
      </c>
      <c r="D883" s="39">
        <v>0</v>
      </c>
      <c r="E883" s="39">
        <v>0</v>
      </c>
      <c r="F883" s="39">
        <v>0</v>
      </c>
      <c r="G883" s="39">
        <v>0</v>
      </c>
      <c r="H883" s="40">
        <v>0.13985760161412109</v>
      </c>
      <c r="I883" s="40">
        <v>0</v>
      </c>
      <c r="J883" s="40">
        <v>0.13985760161412109</v>
      </c>
    </row>
    <row r="884" spans="1:10" ht="11.25" customHeight="1" x14ac:dyDescent="0.2">
      <c r="A884" s="49">
        <v>44682</v>
      </c>
      <c r="B884" s="39">
        <v>358920.34804214397</v>
      </c>
      <c r="C884" s="39">
        <v>409118.08708982379</v>
      </c>
      <c r="D884" s="39">
        <v>0</v>
      </c>
      <c r="E884" s="39">
        <v>0</v>
      </c>
      <c r="F884" s="39">
        <v>0</v>
      </c>
      <c r="G884" s="39">
        <v>0</v>
      </c>
      <c r="H884" s="40">
        <v>0.13985760161412109</v>
      </c>
      <c r="I884" s="40">
        <v>0</v>
      </c>
      <c r="J884" s="40">
        <v>0.13985760161412109</v>
      </c>
    </row>
    <row r="885" spans="1:10" ht="11.25" customHeight="1" x14ac:dyDescent="0.2">
      <c r="A885" s="49">
        <v>44713</v>
      </c>
      <c r="B885" s="39">
        <v>336817.35083476076</v>
      </c>
      <c r="C885" s="39">
        <v>383923.81770453235</v>
      </c>
      <c r="D885" s="39">
        <v>0</v>
      </c>
      <c r="E885" s="39">
        <v>0</v>
      </c>
      <c r="F885" s="39">
        <v>0</v>
      </c>
      <c r="G885" s="39">
        <v>0</v>
      </c>
      <c r="H885" s="40">
        <v>0.13985760161412109</v>
      </c>
      <c r="I885" s="40">
        <v>0</v>
      </c>
      <c r="J885" s="40">
        <v>0.13985760161412109</v>
      </c>
    </row>
    <row r="886" spans="1:10" ht="11.25" customHeight="1" x14ac:dyDescent="0.2">
      <c r="A886" s="49">
        <v>44743</v>
      </c>
      <c r="B886" s="39">
        <v>275179.47226502158</v>
      </c>
      <c r="C886" s="39">
        <v>313665.41326944699</v>
      </c>
      <c r="D886" s="39">
        <v>0</v>
      </c>
      <c r="E886" s="39">
        <v>0</v>
      </c>
      <c r="F886" s="39">
        <v>0</v>
      </c>
      <c r="G886" s="39">
        <v>0</v>
      </c>
      <c r="H886" s="40">
        <v>0.13985760161412086</v>
      </c>
      <c r="I886" s="40">
        <v>0</v>
      </c>
      <c r="J886" s="40">
        <v>0.13985760161412086</v>
      </c>
    </row>
    <row r="887" spans="1:10" ht="11.25" customHeight="1" x14ac:dyDescent="0.2">
      <c r="A887" s="49">
        <v>44774</v>
      </c>
      <c r="B887" s="39">
        <v>292573.42963362479</v>
      </c>
      <c r="C887" s="39">
        <v>333492.04779820133</v>
      </c>
      <c r="D887" s="39">
        <v>0</v>
      </c>
      <c r="E887" s="39">
        <v>0</v>
      </c>
      <c r="F887" s="39">
        <v>0</v>
      </c>
      <c r="G887" s="39">
        <v>0</v>
      </c>
      <c r="H887" s="40">
        <v>0.13985760161412086</v>
      </c>
      <c r="I887" s="40">
        <v>0</v>
      </c>
      <c r="J887" s="40">
        <v>0.13985760161412086</v>
      </c>
    </row>
    <row r="888" spans="1:10" ht="11.25" customHeight="1" x14ac:dyDescent="0.2">
      <c r="A888" s="49">
        <v>44805</v>
      </c>
      <c r="B888" s="39">
        <v>311743.92876693601</v>
      </c>
      <c r="C888" s="39">
        <v>355343.68696204305</v>
      </c>
      <c r="D888" s="39">
        <v>0</v>
      </c>
      <c r="E888" s="39">
        <v>0</v>
      </c>
      <c r="F888" s="39">
        <v>0</v>
      </c>
      <c r="G888" s="39">
        <v>0</v>
      </c>
      <c r="H888" s="40">
        <v>0.13985760161412109</v>
      </c>
      <c r="I888" s="40">
        <v>0</v>
      </c>
      <c r="J888" s="40">
        <v>0.13985760161412109</v>
      </c>
    </row>
    <row r="889" spans="1:10" ht="11.25" customHeight="1" x14ac:dyDescent="0.2">
      <c r="A889" s="49">
        <v>44835</v>
      </c>
      <c r="B889" s="39">
        <v>311743.92876693601</v>
      </c>
      <c r="C889" s="39">
        <v>355343.68696204305</v>
      </c>
      <c r="D889" s="39">
        <v>0</v>
      </c>
      <c r="E889" s="39">
        <v>0</v>
      </c>
      <c r="F889" s="39">
        <v>0</v>
      </c>
      <c r="G889" s="39">
        <v>0</v>
      </c>
      <c r="H889" s="40">
        <v>0.13985760161412109</v>
      </c>
      <c r="I889" s="40">
        <v>0</v>
      </c>
      <c r="J889" s="40">
        <v>0.13985760161412109</v>
      </c>
    </row>
    <row r="890" spans="1:10" ht="11.25" customHeight="1" x14ac:dyDescent="0.2">
      <c r="A890" s="46" t="s">
        <v>25</v>
      </c>
      <c r="B890" s="39">
        <v>6931139.1199999992</v>
      </c>
      <c r="C890" s="39">
        <v>7895928.7972435774</v>
      </c>
      <c r="D890" s="39">
        <v>5225653.3602</v>
      </c>
      <c r="E890" s="39">
        <v>8524854.5776834916</v>
      </c>
      <c r="F890" s="39">
        <v>0</v>
      </c>
      <c r="G890" s="39">
        <v>0</v>
      </c>
      <c r="H890" s="40">
        <v>0.35074966539668373</v>
      </c>
      <c r="I890" s="40">
        <v>0</v>
      </c>
      <c r="J890" s="40">
        <v>0.35074966539668373</v>
      </c>
    </row>
    <row r="891" spans="1:10" ht="11.25" customHeight="1" x14ac:dyDescent="0.2">
      <c r="A891" s="47" t="s">
        <v>25</v>
      </c>
      <c r="B891" s="39">
        <v>6931139.1199999992</v>
      </c>
      <c r="C891" s="39">
        <v>7895928.7972435774</v>
      </c>
      <c r="D891" s="39">
        <v>5225653.3602</v>
      </c>
      <c r="E891" s="39">
        <v>8524854.5776834916</v>
      </c>
      <c r="F891" s="39">
        <v>0</v>
      </c>
      <c r="G891" s="39">
        <v>0</v>
      </c>
      <c r="H891" s="40">
        <v>0.35074966539668373</v>
      </c>
      <c r="I891" s="40">
        <v>0</v>
      </c>
      <c r="J891" s="40">
        <v>0.35074966539668373</v>
      </c>
    </row>
    <row r="892" spans="1:10" ht="11.25" customHeight="1" x14ac:dyDescent="0.2">
      <c r="A892" s="48" t="s">
        <v>35</v>
      </c>
      <c r="B892" s="39">
        <v>1991360</v>
      </c>
      <c r="C892" s="39">
        <v>2265284.0170168653</v>
      </c>
      <c r="D892" s="39">
        <v>0</v>
      </c>
      <c r="E892" s="39">
        <v>0</v>
      </c>
      <c r="F892" s="39">
        <v>0</v>
      </c>
      <c r="G892" s="39">
        <v>0</v>
      </c>
      <c r="H892" s="40">
        <v>0.1375562515149773</v>
      </c>
      <c r="I892" s="40">
        <v>0</v>
      </c>
      <c r="J892" s="40">
        <v>0.1375562515149773</v>
      </c>
    </row>
    <row r="893" spans="1:10" ht="11.25" customHeight="1" x14ac:dyDescent="0.2">
      <c r="A893" s="49">
        <v>44501</v>
      </c>
      <c r="B893" s="39">
        <v>180866</v>
      </c>
      <c r="C893" s="39">
        <v>205745.24898650788</v>
      </c>
      <c r="D893" s="39">
        <v>0</v>
      </c>
      <c r="E893" s="39">
        <v>0</v>
      </c>
      <c r="F893" s="39">
        <v>0</v>
      </c>
      <c r="G893" s="39">
        <v>0</v>
      </c>
      <c r="H893" s="40">
        <v>0.1375562515149773</v>
      </c>
      <c r="I893" s="40">
        <v>0</v>
      </c>
      <c r="J893" s="40">
        <v>0.1375562515149773</v>
      </c>
    </row>
    <row r="894" spans="1:10" ht="11.25" customHeight="1" x14ac:dyDescent="0.2">
      <c r="A894" s="49">
        <v>44531</v>
      </c>
      <c r="B894" s="39">
        <v>180712</v>
      </c>
      <c r="C894" s="39">
        <v>205570.06532377459</v>
      </c>
      <c r="D894" s="39">
        <v>0</v>
      </c>
      <c r="E894" s="39">
        <v>0</v>
      </c>
      <c r="F894" s="39">
        <v>0</v>
      </c>
      <c r="G894" s="39">
        <v>0</v>
      </c>
      <c r="H894" s="40">
        <v>0.1375562515149773</v>
      </c>
      <c r="I894" s="40">
        <v>0</v>
      </c>
      <c r="J894" s="40">
        <v>0.1375562515149773</v>
      </c>
    </row>
    <row r="895" spans="1:10" ht="11.25" customHeight="1" x14ac:dyDescent="0.2">
      <c r="A895" s="49">
        <v>44562</v>
      </c>
      <c r="B895" s="39">
        <v>182686</v>
      </c>
      <c r="C895" s="39">
        <v>207815.60136426517</v>
      </c>
      <c r="D895" s="39">
        <v>0</v>
      </c>
      <c r="E895" s="39">
        <v>0</v>
      </c>
      <c r="F895" s="39">
        <v>0</v>
      </c>
      <c r="G895" s="39">
        <v>0</v>
      </c>
      <c r="H895" s="40">
        <v>0.13755625151497752</v>
      </c>
      <c r="I895" s="40">
        <v>0</v>
      </c>
      <c r="J895" s="40">
        <v>0.13755625151497752</v>
      </c>
    </row>
    <row r="896" spans="1:10" ht="11.25" customHeight="1" x14ac:dyDescent="0.2">
      <c r="A896" s="49">
        <v>44593</v>
      </c>
      <c r="B896" s="39">
        <v>182140</v>
      </c>
      <c r="C896" s="39">
        <v>207194.49565093798</v>
      </c>
      <c r="D896" s="39">
        <v>0</v>
      </c>
      <c r="E896" s="39">
        <v>0</v>
      </c>
      <c r="F896" s="39">
        <v>0</v>
      </c>
      <c r="G896" s="39">
        <v>0</v>
      </c>
      <c r="H896" s="40">
        <v>0.1375562515149773</v>
      </c>
      <c r="I896" s="40">
        <v>0</v>
      </c>
      <c r="J896" s="40">
        <v>0.1375562515149773</v>
      </c>
    </row>
    <row r="897" spans="1:10" ht="11.25" customHeight="1" x14ac:dyDescent="0.2">
      <c r="A897" s="49">
        <v>44621</v>
      </c>
      <c r="B897" s="39">
        <v>151928</v>
      </c>
      <c r="C897" s="39">
        <v>172826.64618016747</v>
      </c>
      <c r="D897" s="39">
        <v>0</v>
      </c>
      <c r="E897" s="39">
        <v>0</v>
      </c>
      <c r="F897" s="39">
        <v>0</v>
      </c>
      <c r="G897" s="39">
        <v>0</v>
      </c>
      <c r="H897" s="40">
        <v>0.1375562515149773</v>
      </c>
      <c r="I897" s="40">
        <v>0</v>
      </c>
      <c r="J897" s="40">
        <v>0.1375562515149773</v>
      </c>
    </row>
    <row r="898" spans="1:10" ht="11.25" customHeight="1" x14ac:dyDescent="0.2">
      <c r="A898" s="49">
        <v>44652</v>
      </c>
      <c r="B898" s="39">
        <v>143710</v>
      </c>
      <c r="C898" s="39">
        <v>163478.20890521738</v>
      </c>
      <c r="D898" s="39">
        <v>0</v>
      </c>
      <c r="E898" s="39">
        <v>0</v>
      </c>
      <c r="F898" s="39">
        <v>0</v>
      </c>
      <c r="G898" s="39">
        <v>0</v>
      </c>
      <c r="H898" s="40">
        <v>0.1375562515149773</v>
      </c>
      <c r="I898" s="40">
        <v>0</v>
      </c>
      <c r="J898" s="40">
        <v>0.1375562515149773</v>
      </c>
    </row>
    <row r="899" spans="1:10" ht="11.25" customHeight="1" x14ac:dyDescent="0.2">
      <c r="A899" s="49">
        <v>44682</v>
      </c>
      <c r="B899" s="39">
        <v>159922</v>
      </c>
      <c r="C899" s="39">
        <v>181920.27085477821</v>
      </c>
      <c r="D899" s="39">
        <v>0</v>
      </c>
      <c r="E899" s="39">
        <v>0</v>
      </c>
      <c r="F899" s="39">
        <v>0</v>
      </c>
      <c r="G899" s="39">
        <v>0</v>
      </c>
      <c r="H899" s="40">
        <v>0.1375562515149773</v>
      </c>
      <c r="I899" s="40">
        <v>0</v>
      </c>
      <c r="J899" s="40">
        <v>0.1375562515149773</v>
      </c>
    </row>
    <row r="900" spans="1:10" ht="11.25" customHeight="1" x14ac:dyDescent="0.2">
      <c r="A900" s="49">
        <v>44713</v>
      </c>
      <c r="B900" s="39">
        <v>156716</v>
      </c>
      <c r="C900" s="39">
        <v>178273.2655124212</v>
      </c>
      <c r="D900" s="39">
        <v>0</v>
      </c>
      <c r="E900" s="39">
        <v>0</v>
      </c>
      <c r="F900" s="39">
        <v>0</v>
      </c>
      <c r="G900" s="39">
        <v>0</v>
      </c>
      <c r="H900" s="40">
        <v>0.13755625151497752</v>
      </c>
      <c r="I900" s="40">
        <v>0</v>
      </c>
      <c r="J900" s="40">
        <v>0.13755625151497752</v>
      </c>
    </row>
    <row r="901" spans="1:10" ht="11.25" customHeight="1" x14ac:dyDescent="0.2">
      <c r="A901" s="49">
        <v>44743</v>
      </c>
      <c r="B901" s="39">
        <v>157668</v>
      </c>
      <c r="C901" s="39">
        <v>179356.21906386345</v>
      </c>
      <c r="D901" s="39">
        <v>0</v>
      </c>
      <c r="E901" s="39">
        <v>0</v>
      </c>
      <c r="F901" s="39">
        <v>0</v>
      </c>
      <c r="G901" s="39">
        <v>0</v>
      </c>
      <c r="H901" s="40">
        <v>0.1375562515149773</v>
      </c>
      <c r="I901" s="40">
        <v>0</v>
      </c>
      <c r="J901" s="40">
        <v>0.1375562515149773</v>
      </c>
    </row>
    <row r="902" spans="1:10" ht="11.25" customHeight="1" x14ac:dyDescent="0.2">
      <c r="A902" s="49">
        <v>44774</v>
      </c>
      <c r="B902" s="39">
        <v>154196</v>
      </c>
      <c r="C902" s="39">
        <v>175406.62375860344</v>
      </c>
      <c r="D902" s="39">
        <v>0</v>
      </c>
      <c r="E902" s="39">
        <v>0</v>
      </c>
      <c r="F902" s="39">
        <v>0</v>
      </c>
      <c r="G902" s="39">
        <v>0</v>
      </c>
      <c r="H902" s="40">
        <v>0.1375562515149773</v>
      </c>
      <c r="I902" s="40">
        <v>0</v>
      </c>
      <c r="J902" s="40">
        <v>0.1375562515149773</v>
      </c>
    </row>
    <row r="903" spans="1:10" ht="11.25" customHeight="1" x14ac:dyDescent="0.2">
      <c r="A903" s="49">
        <v>44805</v>
      </c>
      <c r="B903" s="39">
        <v>170408</v>
      </c>
      <c r="C903" s="39">
        <v>193848.68570816427</v>
      </c>
      <c r="D903" s="39">
        <v>0</v>
      </c>
      <c r="E903" s="39">
        <v>0</v>
      </c>
      <c r="F903" s="39">
        <v>0</v>
      </c>
      <c r="G903" s="39">
        <v>0</v>
      </c>
      <c r="H903" s="40">
        <v>0.1375562515149773</v>
      </c>
      <c r="I903" s="40">
        <v>0</v>
      </c>
      <c r="J903" s="40">
        <v>0.1375562515149773</v>
      </c>
    </row>
    <row r="904" spans="1:10" ht="11.25" customHeight="1" x14ac:dyDescent="0.2">
      <c r="A904" s="49">
        <v>44835</v>
      </c>
      <c r="B904" s="39">
        <v>170408</v>
      </c>
      <c r="C904" s="39">
        <v>193848.68570816427</v>
      </c>
      <c r="D904" s="39">
        <v>0</v>
      </c>
      <c r="E904" s="39">
        <v>0</v>
      </c>
      <c r="F904" s="39">
        <v>0</v>
      </c>
      <c r="G904" s="39">
        <v>0</v>
      </c>
      <c r="H904" s="40">
        <v>0.1375562515149773</v>
      </c>
      <c r="I904" s="40">
        <v>0</v>
      </c>
      <c r="J904" s="40">
        <v>0.1375562515149773</v>
      </c>
    </row>
    <row r="905" spans="1:10" ht="11.25" customHeight="1" x14ac:dyDescent="0.2">
      <c r="A905" s="48" t="s">
        <v>25</v>
      </c>
      <c r="B905" s="39">
        <v>0</v>
      </c>
      <c r="C905" s="39">
        <v>0</v>
      </c>
      <c r="D905" s="39">
        <v>5225653.3602</v>
      </c>
      <c r="E905" s="39">
        <v>8524854.5776834916</v>
      </c>
      <c r="F905" s="39">
        <v>0</v>
      </c>
      <c r="G905" s="39">
        <v>0</v>
      </c>
      <c r="H905" s="40">
        <v>0.63134712352164568</v>
      </c>
      <c r="I905" s="40">
        <v>0</v>
      </c>
      <c r="J905" s="40">
        <v>0.63134712352164568</v>
      </c>
    </row>
    <row r="906" spans="1:10" ht="11.25" customHeight="1" x14ac:dyDescent="0.2">
      <c r="A906" s="49">
        <v>44501</v>
      </c>
      <c r="B906" s="39">
        <v>0</v>
      </c>
      <c r="C906" s="39">
        <v>0</v>
      </c>
      <c r="D906" s="39">
        <v>516784.47600000008</v>
      </c>
      <c r="E906" s="39">
        <v>843054.86840324081</v>
      </c>
      <c r="F906" s="39">
        <v>0</v>
      </c>
      <c r="G906" s="39">
        <v>0</v>
      </c>
      <c r="H906" s="40">
        <v>0.63134712352164524</v>
      </c>
      <c r="I906" s="40">
        <v>0</v>
      </c>
      <c r="J906" s="40">
        <v>0.63134712352164524</v>
      </c>
    </row>
    <row r="907" spans="1:10" ht="11.25" customHeight="1" x14ac:dyDescent="0.2">
      <c r="A907" s="49">
        <v>44531</v>
      </c>
      <c r="B907" s="39">
        <v>0</v>
      </c>
      <c r="C907" s="39">
        <v>0</v>
      </c>
      <c r="D907" s="39">
        <v>419815.95825000003</v>
      </c>
      <c r="E907" s="39">
        <v>684865.55589962064</v>
      </c>
      <c r="F907" s="39">
        <v>0</v>
      </c>
      <c r="G907" s="39">
        <v>0</v>
      </c>
      <c r="H907" s="40">
        <v>0.63134712352164524</v>
      </c>
      <c r="I907" s="40">
        <v>0</v>
      </c>
      <c r="J907" s="40">
        <v>0.63134712352164524</v>
      </c>
    </row>
    <row r="908" spans="1:10" ht="11.25" customHeight="1" x14ac:dyDescent="0.2">
      <c r="A908" s="49">
        <v>44562</v>
      </c>
      <c r="B908" s="39">
        <v>0</v>
      </c>
      <c r="C908" s="39">
        <v>0</v>
      </c>
      <c r="D908" s="39">
        <v>448152.36570000002</v>
      </c>
      <c r="E908" s="39">
        <v>731092.0726841155</v>
      </c>
      <c r="F908" s="39">
        <v>0</v>
      </c>
      <c r="G908" s="39">
        <v>0</v>
      </c>
      <c r="H908" s="40">
        <v>0.63134712352164524</v>
      </c>
      <c r="I908" s="40">
        <v>0</v>
      </c>
      <c r="J908" s="40">
        <v>0.63134712352164524</v>
      </c>
    </row>
    <row r="909" spans="1:10" ht="11.25" customHeight="1" x14ac:dyDescent="0.2">
      <c r="A909" s="49">
        <v>44593</v>
      </c>
      <c r="B909" s="39">
        <v>0</v>
      </c>
      <c r="C909" s="39">
        <v>0</v>
      </c>
      <c r="D909" s="39">
        <v>426052.0992</v>
      </c>
      <c r="E909" s="39">
        <v>695038.8665002787</v>
      </c>
      <c r="F909" s="39">
        <v>0</v>
      </c>
      <c r="G909" s="39">
        <v>0</v>
      </c>
      <c r="H909" s="40">
        <v>0.63134712352164546</v>
      </c>
      <c r="I909" s="40">
        <v>0</v>
      </c>
      <c r="J909" s="40">
        <v>0.63134712352164546</v>
      </c>
    </row>
    <row r="910" spans="1:10" ht="11.25" customHeight="1" x14ac:dyDescent="0.2">
      <c r="A910" s="49">
        <v>44621</v>
      </c>
      <c r="B910" s="39">
        <v>0</v>
      </c>
      <c r="C910" s="39">
        <v>0</v>
      </c>
      <c r="D910" s="39">
        <v>386634.89475000004</v>
      </c>
      <c r="E910" s="39">
        <v>630735.72340350668</v>
      </c>
      <c r="F910" s="39">
        <v>0</v>
      </c>
      <c r="G910" s="39">
        <v>0</v>
      </c>
      <c r="H910" s="40">
        <v>0.63134712352164546</v>
      </c>
      <c r="I910" s="40">
        <v>0</v>
      </c>
      <c r="J910" s="40">
        <v>0.63134712352164546</v>
      </c>
    </row>
    <row r="911" spans="1:10" ht="11.25" customHeight="1" x14ac:dyDescent="0.2">
      <c r="A911" s="49">
        <v>44652</v>
      </c>
      <c r="B911" s="39">
        <v>0</v>
      </c>
      <c r="C911" s="39">
        <v>0</v>
      </c>
      <c r="D911" s="39">
        <v>421213.64805000002</v>
      </c>
      <c r="E911" s="39">
        <v>687145.67313442624</v>
      </c>
      <c r="F911" s="39">
        <v>0</v>
      </c>
      <c r="G911" s="39">
        <v>0</v>
      </c>
      <c r="H911" s="40">
        <v>0.63134712352164546</v>
      </c>
      <c r="I911" s="40">
        <v>0</v>
      </c>
      <c r="J911" s="40">
        <v>0.63134712352164546</v>
      </c>
    </row>
    <row r="912" spans="1:10" ht="11.25" customHeight="1" x14ac:dyDescent="0.2">
      <c r="A912" s="49">
        <v>44682</v>
      </c>
      <c r="B912" s="39">
        <v>0</v>
      </c>
      <c r="C912" s="39">
        <v>0</v>
      </c>
      <c r="D912" s="39">
        <v>445109.80020000006</v>
      </c>
      <c r="E912" s="39">
        <v>726128.59220756439</v>
      </c>
      <c r="F912" s="39">
        <v>0</v>
      </c>
      <c r="G912" s="39">
        <v>0</v>
      </c>
      <c r="H912" s="40">
        <v>0.63134712352164546</v>
      </c>
      <c r="I912" s="40">
        <v>0</v>
      </c>
      <c r="J912" s="40">
        <v>0.63134712352164546</v>
      </c>
    </row>
    <row r="913" spans="1:10" ht="11.25" customHeight="1" x14ac:dyDescent="0.2">
      <c r="A913" s="49">
        <v>44713</v>
      </c>
      <c r="B913" s="39">
        <v>0</v>
      </c>
      <c r="C913" s="39">
        <v>0</v>
      </c>
      <c r="D913" s="39">
        <v>465877.09545000002</v>
      </c>
      <c r="E913" s="39">
        <v>760007.25957697653</v>
      </c>
      <c r="F913" s="39">
        <v>0</v>
      </c>
      <c r="G913" s="39">
        <v>0</v>
      </c>
      <c r="H913" s="40">
        <v>0.63134712352164524</v>
      </c>
      <c r="I913" s="40">
        <v>0</v>
      </c>
      <c r="J913" s="40">
        <v>0.63134712352164524</v>
      </c>
    </row>
    <row r="914" spans="1:10" ht="11.25" customHeight="1" x14ac:dyDescent="0.2">
      <c r="A914" s="49">
        <v>44743</v>
      </c>
      <c r="B914" s="39">
        <v>0</v>
      </c>
      <c r="C914" s="39">
        <v>0</v>
      </c>
      <c r="D914" s="39">
        <v>447950.41785000003</v>
      </c>
      <c r="E914" s="39">
        <v>730762.62563991663</v>
      </c>
      <c r="F914" s="39">
        <v>0</v>
      </c>
      <c r="G914" s="39">
        <v>0</v>
      </c>
      <c r="H914" s="40">
        <v>0.63134712352164524</v>
      </c>
      <c r="I914" s="40">
        <v>0</v>
      </c>
      <c r="J914" s="40">
        <v>0.63134712352164524</v>
      </c>
    </row>
    <row r="915" spans="1:10" ht="11.25" customHeight="1" x14ac:dyDescent="0.2">
      <c r="A915" s="49">
        <v>44774</v>
      </c>
      <c r="B915" s="39">
        <v>0</v>
      </c>
      <c r="C915" s="39">
        <v>0</v>
      </c>
      <c r="D915" s="39">
        <v>446251.57395000005</v>
      </c>
      <c r="E915" s="39">
        <v>727991.22153033933</v>
      </c>
      <c r="F915" s="39">
        <v>0</v>
      </c>
      <c r="G915" s="39">
        <v>0</v>
      </c>
      <c r="H915" s="40">
        <v>0.63134712352164524</v>
      </c>
      <c r="I915" s="40">
        <v>0</v>
      </c>
      <c r="J915" s="40">
        <v>0.63134712352164524</v>
      </c>
    </row>
    <row r="916" spans="1:10" ht="11.25" customHeight="1" x14ac:dyDescent="0.2">
      <c r="A916" s="49">
        <v>44805</v>
      </c>
      <c r="B916" s="39">
        <v>0</v>
      </c>
      <c r="C916" s="39">
        <v>0</v>
      </c>
      <c r="D916" s="39">
        <v>400905.51539999997</v>
      </c>
      <c r="E916" s="39">
        <v>654016.05935175263</v>
      </c>
      <c r="F916" s="39">
        <v>0</v>
      </c>
      <c r="G916" s="39">
        <v>0</v>
      </c>
      <c r="H916" s="40">
        <v>0.63134712352164524</v>
      </c>
      <c r="I916" s="40">
        <v>0</v>
      </c>
      <c r="J916" s="40">
        <v>0.63134712352164524</v>
      </c>
    </row>
    <row r="917" spans="1:10" ht="11.25" customHeight="1" x14ac:dyDescent="0.2">
      <c r="A917" s="49">
        <v>44835</v>
      </c>
      <c r="B917" s="39">
        <v>0</v>
      </c>
      <c r="C917" s="39">
        <v>0</v>
      </c>
      <c r="D917" s="39">
        <v>400905.51539999997</v>
      </c>
      <c r="E917" s="39">
        <v>654016.05935175263</v>
      </c>
      <c r="F917" s="39">
        <v>0</v>
      </c>
      <c r="G917" s="39">
        <v>0</v>
      </c>
      <c r="H917" s="40">
        <v>0.63134712352164524</v>
      </c>
      <c r="I917" s="40">
        <v>0</v>
      </c>
      <c r="J917" s="40">
        <v>0.63134712352164524</v>
      </c>
    </row>
    <row r="918" spans="1:10" ht="11.25" customHeight="1" x14ac:dyDescent="0.2">
      <c r="A918" s="48" t="s">
        <v>34</v>
      </c>
      <c r="B918" s="39">
        <v>4939779.1199999982</v>
      </c>
      <c r="C918" s="39">
        <v>5630644.780226713</v>
      </c>
      <c r="D918" s="39">
        <v>0</v>
      </c>
      <c r="E918" s="39">
        <v>0</v>
      </c>
      <c r="F918" s="39">
        <v>0</v>
      </c>
      <c r="G918" s="39">
        <v>0</v>
      </c>
      <c r="H918" s="40">
        <v>0.13985760161412131</v>
      </c>
      <c r="I918" s="40">
        <v>0</v>
      </c>
      <c r="J918" s="40">
        <v>0.13985760161412131</v>
      </c>
    </row>
    <row r="919" spans="1:10" ht="11.25" customHeight="1" x14ac:dyDescent="0.2">
      <c r="A919" s="49">
        <v>44501</v>
      </c>
      <c r="B919" s="39">
        <v>444675.6</v>
      </c>
      <c r="C919" s="39">
        <v>506866.86291232018</v>
      </c>
      <c r="D919" s="39">
        <v>0</v>
      </c>
      <c r="E919" s="39">
        <v>0</v>
      </c>
      <c r="F919" s="39">
        <v>0</v>
      </c>
      <c r="G919" s="39">
        <v>0</v>
      </c>
      <c r="H919" s="40">
        <v>0.13985760161412086</v>
      </c>
      <c r="I919" s="40">
        <v>0</v>
      </c>
      <c r="J919" s="40">
        <v>0.13985760161412086</v>
      </c>
    </row>
    <row r="920" spans="1:10" ht="11.25" customHeight="1" x14ac:dyDescent="0.2">
      <c r="A920" s="49">
        <v>44531</v>
      </c>
      <c r="B920" s="39">
        <v>443567.04</v>
      </c>
      <c r="C920" s="39">
        <v>505603.2623694748</v>
      </c>
      <c r="D920" s="39">
        <v>0</v>
      </c>
      <c r="E920" s="39">
        <v>0</v>
      </c>
      <c r="F920" s="39">
        <v>0</v>
      </c>
      <c r="G920" s="39">
        <v>0</v>
      </c>
      <c r="H920" s="40">
        <v>0.13985760161412086</v>
      </c>
      <c r="I920" s="40">
        <v>0</v>
      </c>
      <c r="J920" s="40">
        <v>0.13985760161412086</v>
      </c>
    </row>
    <row r="921" spans="1:10" ht="11.25" customHeight="1" x14ac:dyDescent="0.2">
      <c r="A921" s="49">
        <v>44562</v>
      </c>
      <c r="B921" s="39">
        <v>448823.75999999995</v>
      </c>
      <c r="C921" s="39">
        <v>511595.17462103179</v>
      </c>
      <c r="D921" s="39">
        <v>0</v>
      </c>
      <c r="E921" s="39">
        <v>0</v>
      </c>
      <c r="F921" s="39">
        <v>0</v>
      </c>
      <c r="G921" s="39">
        <v>0</v>
      </c>
      <c r="H921" s="40">
        <v>0.13985760161412109</v>
      </c>
      <c r="I921" s="40">
        <v>0</v>
      </c>
      <c r="J921" s="40">
        <v>0.13985760161412109</v>
      </c>
    </row>
    <row r="922" spans="1:10" ht="11.25" customHeight="1" x14ac:dyDescent="0.2">
      <c r="A922" s="49">
        <v>44593</v>
      </c>
      <c r="B922" s="39">
        <v>450003.83999999997</v>
      </c>
      <c r="C922" s="39">
        <v>512940.29777954461</v>
      </c>
      <c r="D922" s="39">
        <v>0</v>
      </c>
      <c r="E922" s="39">
        <v>0</v>
      </c>
      <c r="F922" s="39">
        <v>0</v>
      </c>
      <c r="G922" s="39">
        <v>0</v>
      </c>
      <c r="H922" s="40">
        <v>0.13985760161412109</v>
      </c>
      <c r="I922" s="40">
        <v>0</v>
      </c>
      <c r="J922" s="40">
        <v>0.13985760161412109</v>
      </c>
    </row>
    <row r="923" spans="1:10" ht="11.25" customHeight="1" x14ac:dyDescent="0.2">
      <c r="A923" s="49">
        <v>44621</v>
      </c>
      <c r="B923" s="39">
        <v>371331.83999999997</v>
      </c>
      <c r="C923" s="39">
        <v>423265.4205453585</v>
      </c>
      <c r="D923" s="39">
        <v>0</v>
      </c>
      <c r="E923" s="39">
        <v>0</v>
      </c>
      <c r="F923" s="39">
        <v>0</v>
      </c>
      <c r="G923" s="39">
        <v>0</v>
      </c>
      <c r="H923" s="40">
        <v>0.13985760161412109</v>
      </c>
      <c r="I923" s="40">
        <v>0</v>
      </c>
      <c r="J923" s="40">
        <v>0.13985760161412109</v>
      </c>
    </row>
    <row r="924" spans="1:10" ht="11.25" customHeight="1" x14ac:dyDescent="0.2">
      <c r="A924" s="49">
        <v>44652</v>
      </c>
      <c r="B924" s="39">
        <v>370402.07999999996</v>
      </c>
      <c r="C924" s="39">
        <v>422205.62654168176</v>
      </c>
      <c r="D924" s="39">
        <v>0</v>
      </c>
      <c r="E924" s="39">
        <v>0</v>
      </c>
      <c r="F924" s="39">
        <v>0</v>
      </c>
      <c r="G924" s="39">
        <v>0</v>
      </c>
      <c r="H924" s="40">
        <v>0.13985760161412109</v>
      </c>
      <c r="I924" s="40">
        <v>0</v>
      </c>
      <c r="J924" s="40">
        <v>0.13985760161412109</v>
      </c>
    </row>
    <row r="925" spans="1:10" ht="11.25" customHeight="1" x14ac:dyDescent="0.2">
      <c r="A925" s="49">
        <v>44682</v>
      </c>
      <c r="B925" s="39">
        <v>401227.19999999995</v>
      </c>
      <c r="C925" s="39">
        <v>457341.87389434921</v>
      </c>
      <c r="D925" s="39">
        <v>0</v>
      </c>
      <c r="E925" s="39">
        <v>0</v>
      </c>
      <c r="F925" s="39">
        <v>0</v>
      </c>
      <c r="G925" s="39">
        <v>0</v>
      </c>
      <c r="H925" s="40">
        <v>0.13985760161412109</v>
      </c>
      <c r="I925" s="40">
        <v>0</v>
      </c>
      <c r="J925" s="40">
        <v>0.13985760161412109</v>
      </c>
    </row>
    <row r="926" spans="1:10" ht="11.25" customHeight="1" x14ac:dyDescent="0.2">
      <c r="A926" s="49">
        <v>44713</v>
      </c>
      <c r="B926" s="39">
        <v>393002.39999999997</v>
      </c>
      <c r="C926" s="39">
        <v>447966.77309259336</v>
      </c>
      <c r="D926" s="39">
        <v>0</v>
      </c>
      <c r="E926" s="39">
        <v>0</v>
      </c>
      <c r="F926" s="39">
        <v>0</v>
      </c>
      <c r="G926" s="39">
        <v>0</v>
      </c>
      <c r="H926" s="40">
        <v>0.13985760161412086</v>
      </c>
      <c r="I926" s="40">
        <v>0</v>
      </c>
      <c r="J926" s="40">
        <v>0.13985760161412086</v>
      </c>
    </row>
    <row r="927" spans="1:10" ht="11.25" customHeight="1" x14ac:dyDescent="0.2">
      <c r="A927" s="49">
        <v>44743</v>
      </c>
      <c r="B927" s="39">
        <v>393538.8</v>
      </c>
      <c r="C927" s="39">
        <v>448578.19271009922</v>
      </c>
      <c r="D927" s="39">
        <v>0</v>
      </c>
      <c r="E927" s="39">
        <v>0</v>
      </c>
      <c r="F927" s="39">
        <v>0</v>
      </c>
      <c r="G927" s="39">
        <v>0</v>
      </c>
      <c r="H927" s="40">
        <v>0.13985760161412086</v>
      </c>
      <c r="I927" s="40">
        <v>0</v>
      </c>
      <c r="J927" s="40">
        <v>0.13985760161412086</v>
      </c>
    </row>
    <row r="928" spans="1:10" ht="11.25" customHeight="1" x14ac:dyDescent="0.2">
      <c r="A928" s="49">
        <v>44774</v>
      </c>
      <c r="B928" s="39">
        <v>374693.27999999997</v>
      </c>
      <c r="C928" s="39">
        <v>427096.98348172824</v>
      </c>
      <c r="D928" s="39">
        <v>0</v>
      </c>
      <c r="E928" s="39">
        <v>0</v>
      </c>
      <c r="F928" s="39">
        <v>0</v>
      </c>
      <c r="G928" s="39">
        <v>0</v>
      </c>
      <c r="H928" s="40">
        <v>0.13985760161412086</v>
      </c>
      <c r="I928" s="40">
        <v>0</v>
      </c>
      <c r="J928" s="40">
        <v>0.13985760161412086</v>
      </c>
    </row>
    <row r="929" spans="1:10" ht="11.25" customHeight="1" x14ac:dyDescent="0.2">
      <c r="A929" s="49">
        <v>44805</v>
      </c>
      <c r="B929" s="39">
        <v>424256.63999999996</v>
      </c>
      <c r="C929" s="39">
        <v>483592.15613926551</v>
      </c>
      <c r="D929" s="39">
        <v>0</v>
      </c>
      <c r="E929" s="39">
        <v>0</v>
      </c>
      <c r="F929" s="39">
        <v>0</v>
      </c>
      <c r="G929" s="39">
        <v>0</v>
      </c>
      <c r="H929" s="40">
        <v>0.13985760161412109</v>
      </c>
      <c r="I929" s="40">
        <v>0</v>
      </c>
      <c r="J929" s="40">
        <v>0.13985760161412109</v>
      </c>
    </row>
    <row r="930" spans="1:10" ht="11.25" customHeight="1" x14ac:dyDescent="0.2">
      <c r="A930" s="49">
        <v>44835</v>
      </c>
      <c r="B930" s="39">
        <v>424256.63999999996</v>
      </c>
      <c r="C930" s="39">
        <v>483592.15613926551</v>
      </c>
      <c r="D930" s="39">
        <v>0</v>
      </c>
      <c r="E930" s="39">
        <v>0</v>
      </c>
      <c r="F930" s="39">
        <v>0</v>
      </c>
      <c r="G930" s="39">
        <v>0</v>
      </c>
      <c r="H930" s="40">
        <v>0.13985760161412109</v>
      </c>
      <c r="I930" s="40">
        <v>0</v>
      </c>
      <c r="J930" s="40">
        <v>0.13985760161412109</v>
      </c>
    </row>
    <row r="931" spans="1:10" ht="11.25" customHeight="1" x14ac:dyDescent="0.2">
      <c r="A931" s="43" t="s">
        <v>41</v>
      </c>
      <c r="B931" s="39">
        <v>879868.36753116001</v>
      </c>
      <c r="C931" s="39">
        <v>1000899.761995349</v>
      </c>
      <c r="D931" s="39">
        <v>4176441.4629591824</v>
      </c>
      <c r="E931" s="39">
        <v>5902691.4908240847</v>
      </c>
      <c r="F931" s="39">
        <v>0</v>
      </c>
      <c r="G931" s="39">
        <v>0</v>
      </c>
      <c r="H931" s="40">
        <v>0.36534181730512127</v>
      </c>
      <c r="I931" s="40">
        <v>0</v>
      </c>
      <c r="J931" s="40">
        <v>0.36534181730512127</v>
      </c>
    </row>
    <row r="932" spans="1:10" ht="11.25" customHeight="1" x14ac:dyDescent="0.2">
      <c r="A932" s="44" t="s">
        <v>38</v>
      </c>
      <c r="B932" s="39">
        <v>879868.36753116001</v>
      </c>
      <c r="C932" s="39">
        <v>1000899.761995349</v>
      </c>
      <c r="D932" s="39">
        <v>4176441.4629591824</v>
      </c>
      <c r="E932" s="39">
        <v>5902691.4908240847</v>
      </c>
      <c r="F932" s="39">
        <v>0</v>
      </c>
      <c r="G932" s="39">
        <v>0</v>
      </c>
      <c r="H932" s="40">
        <v>0.36534181730512127</v>
      </c>
      <c r="I932" s="40">
        <v>0</v>
      </c>
      <c r="J932" s="40">
        <v>0.36534181730512127</v>
      </c>
    </row>
    <row r="933" spans="1:10" ht="11.25" customHeight="1" x14ac:dyDescent="0.2">
      <c r="A933" s="45" t="s">
        <v>25</v>
      </c>
      <c r="B933" s="39">
        <v>879868.36753116001</v>
      </c>
      <c r="C933" s="39">
        <v>1000899.761995349</v>
      </c>
      <c r="D933" s="39">
        <v>4176441.4629591824</v>
      </c>
      <c r="E933" s="39">
        <v>5902691.4908240847</v>
      </c>
      <c r="F933" s="39">
        <v>0</v>
      </c>
      <c r="G933" s="39">
        <v>0</v>
      </c>
      <c r="H933" s="40">
        <v>0.36534181730512127</v>
      </c>
      <c r="I933" s="40">
        <v>0</v>
      </c>
      <c r="J933" s="40">
        <v>0.36534181730512127</v>
      </c>
    </row>
    <row r="934" spans="1:10" ht="11.25" customHeight="1" x14ac:dyDescent="0.2">
      <c r="A934" s="46" t="s">
        <v>56</v>
      </c>
      <c r="B934" s="39">
        <v>537428.36753116001</v>
      </c>
      <c r="C934" s="39">
        <v>611354.99922656</v>
      </c>
      <c r="D934" s="39">
        <v>2695601.1208891822</v>
      </c>
      <c r="E934" s="39">
        <v>3902295.9893043926</v>
      </c>
      <c r="F934" s="39">
        <v>0</v>
      </c>
      <c r="G934" s="39">
        <v>0</v>
      </c>
      <c r="H934" s="40">
        <v>0.39610572829520407</v>
      </c>
      <c r="I934" s="40">
        <v>0</v>
      </c>
      <c r="J934" s="40">
        <v>0.39610572829520407</v>
      </c>
    </row>
    <row r="935" spans="1:10" ht="11.25" customHeight="1" x14ac:dyDescent="0.2">
      <c r="A935" s="47" t="s">
        <v>25</v>
      </c>
      <c r="B935" s="39">
        <v>537428.36753116001</v>
      </c>
      <c r="C935" s="39">
        <v>611354.99922656</v>
      </c>
      <c r="D935" s="39">
        <v>2695601.1208891822</v>
      </c>
      <c r="E935" s="39">
        <v>3902295.9893043926</v>
      </c>
      <c r="F935" s="39">
        <v>0</v>
      </c>
      <c r="G935" s="39">
        <v>0</v>
      </c>
      <c r="H935" s="40">
        <v>0.39610572829520407</v>
      </c>
      <c r="I935" s="40">
        <v>0</v>
      </c>
      <c r="J935" s="40">
        <v>0.39610572829520407</v>
      </c>
    </row>
    <row r="936" spans="1:10" ht="11.25" customHeight="1" x14ac:dyDescent="0.2">
      <c r="A936" s="48" t="s">
        <v>35</v>
      </c>
      <c r="B936" s="39">
        <v>0</v>
      </c>
      <c r="C936" s="39">
        <v>0</v>
      </c>
      <c r="D936" s="39">
        <v>1601974.2999</v>
      </c>
      <c r="E936" s="39">
        <v>2613376.1660974668</v>
      </c>
      <c r="F936" s="39">
        <v>0</v>
      </c>
      <c r="G936" s="39">
        <v>0</v>
      </c>
      <c r="H936" s="40">
        <v>0.63134712352164546</v>
      </c>
      <c r="I936" s="40">
        <v>0</v>
      </c>
      <c r="J936" s="40">
        <v>0.63134712352164546</v>
      </c>
    </row>
    <row r="937" spans="1:10" ht="11.25" customHeight="1" x14ac:dyDescent="0.2">
      <c r="A937" s="49">
        <v>44501</v>
      </c>
      <c r="B937" s="39">
        <v>0</v>
      </c>
      <c r="C937" s="39">
        <v>0</v>
      </c>
      <c r="D937" s="39">
        <v>126530.82585000001</v>
      </c>
      <c r="E937" s="39">
        <v>206415.69878721578</v>
      </c>
      <c r="F937" s="39">
        <v>0</v>
      </c>
      <c r="G937" s="39">
        <v>0</v>
      </c>
      <c r="H937" s="40">
        <v>0.63134712352164546</v>
      </c>
      <c r="I937" s="40">
        <v>0</v>
      </c>
      <c r="J937" s="40">
        <v>0.63134712352164546</v>
      </c>
    </row>
    <row r="938" spans="1:10" ht="11.25" customHeight="1" x14ac:dyDescent="0.2">
      <c r="A938" s="49">
        <v>44531</v>
      </c>
      <c r="B938" s="39">
        <v>0</v>
      </c>
      <c r="C938" s="39">
        <v>0</v>
      </c>
      <c r="D938" s="39">
        <v>121125.78075000002</v>
      </c>
      <c r="E938" s="39">
        <v>197598.194010826</v>
      </c>
      <c r="F938" s="39">
        <v>0</v>
      </c>
      <c r="G938" s="39">
        <v>0</v>
      </c>
      <c r="H938" s="40">
        <v>0.63134712352164524</v>
      </c>
      <c r="I938" s="40">
        <v>0</v>
      </c>
      <c r="J938" s="40">
        <v>0.63134712352164524</v>
      </c>
    </row>
    <row r="939" spans="1:10" ht="11.25" customHeight="1" x14ac:dyDescent="0.2">
      <c r="A939" s="49">
        <v>44562</v>
      </c>
      <c r="B939" s="39">
        <v>0</v>
      </c>
      <c r="C939" s="39">
        <v>0</v>
      </c>
      <c r="D939" s="39">
        <v>122210.19525000002</v>
      </c>
      <c r="E939" s="39">
        <v>199367.25048610618</v>
      </c>
      <c r="F939" s="39">
        <v>0</v>
      </c>
      <c r="G939" s="39">
        <v>0</v>
      </c>
      <c r="H939" s="40">
        <v>0.63134712352164524</v>
      </c>
      <c r="I939" s="40">
        <v>0</v>
      </c>
      <c r="J939" s="40">
        <v>0.63134712352164524</v>
      </c>
    </row>
    <row r="940" spans="1:10" ht="11.25" customHeight="1" x14ac:dyDescent="0.2">
      <c r="A940" s="49">
        <v>44593</v>
      </c>
      <c r="B940" s="39">
        <v>0</v>
      </c>
      <c r="C940" s="39">
        <v>0</v>
      </c>
      <c r="D940" s="39">
        <v>131385.00570000001</v>
      </c>
      <c r="E940" s="39">
        <v>214334.55112257</v>
      </c>
      <c r="F940" s="39">
        <v>0</v>
      </c>
      <c r="G940" s="39">
        <v>0</v>
      </c>
      <c r="H940" s="40">
        <v>0.63134712352164546</v>
      </c>
      <c r="I940" s="40">
        <v>0</v>
      </c>
      <c r="J940" s="40">
        <v>0.63134712352164546</v>
      </c>
    </row>
    <row r="941" spans="1:10" ht="11.25" customHeight="1" x14ac:dyDescent="0.2">
      <c r="A941" s="49">
        <v>44621</v>
      </c>
      <c r="B941" s="39">
        <v>0</v>
      </c>
      <c r="C941" s="39">
        <v>0</v>
      </c>
      <c r="D941" s="39">
        <v>128318.91930000001</v>
      </c>
      <c r="E941" s="39">
        <v>209332.69989346116</v>
      </c>
      <c r="F941" s="39">
        <v>0</v>
      </c>
      <c r="G941" s="39">
        <v>0</v>
      </c>
      <c r="H941" s="40">
        <v>0.63134712352164546</v>
      </c>
      <c r="I941" s="40">
        <v>0</v>
      </c>
      <c r="J941" s="40">
        <v>0.63134712352164546</v>
      </c>
    </row>
    <row r="942" spans="1:10" ht="11.25" customHeight="1" x14ac:dyDescent="0.2">
      <c r="A942" s="49">
        <v>44652</v>
      </c>
      <c r="B942" s="39">
        <v>0</v>
      </c>
      <c r="C942" s="39">
        <v>0</v>
      </c>
      <c r="D942" s="39">
        <v>154023.94409999999</v>
      </c>
      <c r="E942" s="39">
        <v>251266.5181609937</v>
      </c>
      <c r="F942" s="39">
        <v>0</v>
      </c>
      <c r="G942" s="39">
        <v>0</v>
      </c>
      <c r="H942" s="40">
        <v>0.63134712352164546</v>
      </c>
      <c r="I942" s="40">
        <v>0</v>
      </c>
      <c r="J942" s="40">
        <v>0.63134712352164546</v>
      </c>
    </row>
    <row r="943" spans="1:10" ht="11.25" customHeight="1" x14ac:dyDescent="0.2">
      <c r="A943" s="49">
        <v>44682</v>
      </c>
      <c r="B943" s="39">
        <v>0</v>
      </c>
      <c r="C943" s="39">
        <v>0</v>
      </c>
      <c r="D943" s="39">
        <v>137226.2697</v>
      </c>
      <c r="E943" s="39">
        <v>223863.68034670054</v>
      </c>
      <c r="F943" s="39">
        <v>0</v>
      </c>
      <c r="G943" s="39">
        <v>0</v>
      </c>
      <c r="H943" s="40">
        <v>0.63134712352164546</v>
      </c>
      <c r="I943" s="40">
        <v>0</v>
      </c>
      <c r="J943" s="40">
        <v>0.63134712352164546</v>
      </c>
    </row>
    <row r="944" spans="1:10" ht="11.25" customHeight="1" x14ac:dyDescent="0.2">
      <c r="A944" s="49">
        <v>44713</v>
      </c>
      <c r="B944" s="39">
        <v>0</v>
      </c>
      <c r="C944" s="39">
        <v>0</v>
      </c>
      <c r="D944" s="39">
        <v>133411.48275000002</v>
      </c>
      <c r="E944" s="39">
        <v>217640.43862897012</v>
      </c>
      <c r="F944" s="39">
        <v>0</v>
      </c>
      <c r="G944" s="39">
        <v>0</v>
      </c>
      <c r="H944" s="40">
        <v>0.63134712352164524</v>
      </c>
      <c r="I944" s="40">
        <v>0</v>
      </c>
      <c r="J944" s="40">
        <v>0.63134712352164524</v>
      </c>
    </row>
    <row r="945" spans="1:10" ht="11.25" customHeight="1" x14ac:dyDescent="0.2">
      <c r="A945" s="49">
        <v>44743</v>
      </c>
      <c r="B945" s="39">
        <v>0</v>
      </c>
      <c r="C945" s="39">
        <v>0</v>
      </c>
      <c r="D945" s="39">
        <v>131097.2715</v>
      </c>
      <c r="E945" s="39">
        <v>213865.15676306118</v>
      </c>
      <c r="F945" s="39">
        <v>0</v>
      </c>
      <c r="G945" s="39">
        <v>0</v>
      </c>
      <c r="H945" s="40">
        <v>0.63134712352164546</v>
      </c>
      <c r="I945" s="40">
        <v>0</v>
      </c>
      <c r="J945" s="40">
        <v>0.63134712352164546</v>
      </c>
    </row>
    <row r="946" spans="1:10" ht="11.25" customHeight="1" x14ac:dyDescent="0.2">
      <c r="A946" s="49">
        <v>44774</v>
      </c>
      <c r="B946" s="39">
        <v>0</v>
      </c>
      <c r="C946" s="39">
        <v>0</v>
      </c>
      <c r="D946" s="39">
        <v>134464.6563</v>
      </c>
      <c r="E946" s="39">
        <v>219358.53027033171</v>
      </c>
      <c r="F946" s="39">
        <v>0</v>
      </c>
      <c r="G946" s="39">
        <v>0</v>
      </c>
      <c r="H946" s="40">
        <v>0.63134712352164546</v>
      </c>
      <c r="I946" s="40">
        <v>0</v>
      </c>
      <c r="J946" s="40">
        <v>0.63134712352164546</v>
      </c>
    </row>
    <row r="947" spans="1:10" ht="11.25" customHeight="1" x14ac:dyDescent="0.2">
      <c r="A947" s="49">
        <v>44805</v>
      </c>
      <c r="B947" s="39">
        <v>0</v>
      </c>
      <c r="C947" s="39">
        <v>0</v>
      </c>
      <c r="D947" s="39">
        <v>141089.97435</v>
      </c>
      <c r="E947" s="39">
        <v>230166.72381361524</v>
      </c>
      <c r="F947" s="39">
        <v>0</v>
      </c>
      <c r="G947" s="39">
        <v>0</v>
      </c>
      <c r="H947" s="40">
        <v>0.63134712352164546</v>
      </c>
      <c r="I947" s="40">
        <v>0</v>
      </c>
      <c r="J947" s="40">
        <v>0.63134712352164546</v>
      </c>
    </row>
    <row r="948" spans="1:10" ht="11.25" customHeight="1" x14ac:dyDescent="0.2">
      <c r="A948" s="49">
        <v>44835</v>
      </c>
      <c r="B948" s="39">
        <v>0</v>
      </c>
      <c r="C948" s="39">
        <v>0</v>
      </c>
      <c r="D948" s="39">
        <v>141089.97435</v>
      </c>
      <c r="E948" s="39">
        <v>230166.72381361524</v>
      </c>
      <c r="F948" s="39">
        <v>0</v>
      </c>
      <c r="G948" s="39">
        <v>0</v>
      </c>
      <c r="H948" s="40">
        <v>0.63134712352164546</v>
      </c>
      <c r="I948" s="40">
        <v>0</v>
      </c>
      <c r="J948" s="40">
        <v>0.63134712352164546</v>
      </c>
    </row>
    <row r="949" spans="1:10" ht="11.25" customHeight="1" x14ac:dyDescent="0.2">
      <c r="A949" s="48" t="s">
        <v>25</v>
      </c>
      <c r="B949" s="39">
        <v>537428.36753116001</v>
      </c>
      <c r="C949" s="39">
        <v>611354.99922656</v>
      </c>
      <c r="D949" s="39">
        <v>0</v>
      </c>
      <c r="E949" s="39">
        <v>0</v>
      </c>
      <c r="F949" s="39">
        <v>0</v>
      </c>
      <c r="G949" s="39">
        <v>0</v>
      </c>
      <c r="H949" s="40">
        <v>0.13755625151497752</v>
      </c>
      <c r="I949" s="40">
        <v>0</v>
      </c>
      <c r="J949" s="40">
        <v>0.13755625151497752</v>
      </c>
    </row>
    <row r="950" spans="1:10" ht="11.25" customHeight="1" x14ac:dyDescent="0.2">
      <c r="A950" s="49">
        <v>44501</v>
      </c>
      <c r="B950" s="39">
        <v>61356.771205800003</v>
      </c>
      <c r="C950" s="39">
        <v>69796.778657931951</v>
      </c>
      <c r="D950" s="39">
        <v>0</v>
      </c>
      <c r="E950" s="39">
        <v>0</v>
      </c>
      <c r="F950" s="39">
        <v>0</v>
      </c>
      <c r="G950" s="39">
        <v>0</v>
      </c>
      <c r="H950" s="40">
        <v>0.1375562515149773</v>
      </c>
      <c r="I950" s="40">
        <v>0</v>
      </c>
      <c r="J950" s="40">
        <v>0.1375562515149773</v>
      </c>
    </row>
    <row r="951" spans="1:10" ht="11.25" customHeight="1" x14ac:dyDescent="0.2">
      <c r="A951" s="49">
        <v>44531</v>
      </c>
      <c r="B951" s="39">
        <v>36955.606199680005</v>
      </c>
      <c r="C951" s="39">
        <v>42039.080860971641</v>
      </c>
      <c r="D951" s="39">
        <v>0</v>
      </c>
      <c r="E951" s="39">
        <v>0</v>
      </c>
      <c r="F951" s="39">
        <v>0</v>
      </c>
      <c r="G951" s="39">
        <v>0</v>
      </c>
      <c r="H951" s="40">
        <v>0.1375562515149773</v>
      </c>
      <c r="I951" s="40">
        <v>0</v>
      </c>
      <c r="J951" s="40">
        <v>0.1375562515149773</v>
      </c>
    </row>
    <row r="952" spans="1:10" ht="11.25" customHeight="1" x14ac:dyDescent="0.2">
      <c r="A952" s="49">
        <v>44562</v>
      </c>
      <c r="B952" s="39">
        <v>25432.94998202</v>
      </c>
      <c r="C952" s="39">
        <v>28931.411246514584</v>
      </c>
      <c r="D952" s="39">
        <v>0</v>
      </c>
      <c r="E952" s="39">
        <v>0</v>
      </c>
      <c r="F952" s="39">
        <v>0</v>
      </c>
      <c r="G952" s="39">
        <v>0</v>
      </c>
      <c r="H952" s="40">
        <v>0.13755625151497752</v>
      </c>
      <c r="I952" s="40">
        <v>0</v>
      </c>
      <c r="J952" s="40">
        <v>0.13755625151497752</v>
      </c>
    </row>
    <row r="953" spans="1:10" ht="11.25" customHeight="1" x14ac:dyDescent="0.2">
      <c r="A953" s="49">
        <v>44593</v>
      </c>
      <c r="B953" s="39">
        <v>42292.239975999997</v>
      </c>
      <c r="C953" s="39">
        <v>48109.801975270435</v>
      </c>
      <c r="D953" s="39">
        <v>0</v>
      </c>
      <c r="E953" s="39">
        <v>0</v>
      </c>
      <c r="F953" s="39">
        <v>0</v>
      </c>
      <c r="G953" s="39">
        <v>0</v>
      </c>
      <c r="H953" s="40">
        <v>0.1375562515149773</v>
      </c>
      <c r="I953" s="40">
        <v>0</v>
      </c>
      <c r="J953" s="40">
        <v>0.1375562515149773</v>
      </c>
    </row>
    <row r="954" spans="1:10" ht="11.25" customHeight="1" x14ac:dyDescent="0.2">
      <c r="A954" s="49">
        <v>44621</v>
      </c>
      <c r="B954" s="39">
        <v>44832.740215760001</v>
      </c>
      <c r="C954" s="39">
        <v>50999.763904984728</v>
      </c>
      <c r="D954" s="39">
        <v>0</v>
      </c>
      <c r="E954" s="39">
        <v>0</v>
      </c>
      <c r="F954" s="39">
        <v>0</v>
      </c>
      <c r="G954" s="39">
        <v>0</v>
      </c>
      <c r="H954" s="40">
        <v>0.13755625151497752</v>
      </c>
      <c r="I954" s="40">
        <v>0</v>
      </c>
      <c r="J954" s="40">
        <v>0.13755625151497752</v>
      </c>
    </row>
    <row r="955" spans="1:10" ht="11.25" customHeight="1" x14ac:dyDescent="0.2">
      <c r="A955" s="49">
        <v>44652</v>
      </c>
      <c r="B955" s="39">
        <v>44621.179742439999</v>
      </c>
      <c r="C955" s="39">
        <v>50759.10196598609</v>
      </c>
      <c r="D955" s="39">
        <v>0</v>
      </c>
      <c r="E955" s="39">
        <v>0</v>
      </c>
      <c r="F955" s="39">
        <v>0</v>
      </c>
      <c r="G955" s="39">
        <v>0</v>
      </c>
      <c r="H955" s="40">
        <v>0.1375562515149773</v>
      </c>
      <c r="I955" s="40">
        <v>0</v>
      </c>
      <c r="J955" s="40">
        <v>0.1375562515149773</v>
      </c>
    </row>
    <row r="956" spans="1:10" ht="11.25" customHeight="1" x14ac:dyDescent="0.2">
      <c r="A956" s="49">
        <v>44682</v>
      </c>
      <c r="B956" s="39">
        <v>48448.74987806</v>
      </c>
      <c r="C956" s="39">
        <v>55113.178301872649</v>
      </c>
      <c r="D956" s="39">
        <v>0</v>
      </c>
      <c r="E956" s="39">
        <v>0</v>
      </c>
      <c r="F956" s="39">
        <v>0</v>
      </c>
      <c r="G956" s="39">
        <v>0</v>
      </c>
      <c r="H956" s="40">
        <v>0.1375562515149773</v>
      </c>
      <c r="I956" s="40">
        <v>0</v>
      </c>
      <c r="J956" s="40">
        <v>0.1375562515149773</v>
      </c>
    </row>
    <row r="957" spans="1:10" ht="11.25" customHeight="1" x14ac:dyDescent="0.2">
      <c r="A957" s="49">
        <v>44713</v>
      </c>
      <c r="B957" s="39">
        <v>45321.760193920003</v>
      </c>
      <c r="C957" s="39">
        <v>51556.051638256351</v>
      </c>
      <c r="D957" s="39">
        <v>0</v>
      </c>
      <c r="E957" s="39">
        <v>0</v>
      </c>
      <c r="F957" s="39">
        <v>0</v>
      </c>
      <c r="G957" s="39">
        <v>0</v>
      </c>
      <c r="H957" s="40">
        <v>0.1375562515149773</v>
      </c>
      <c r="I957" s="40">
        <v>0</v>
      </c>
      <c r="J957" s="40">
        <v>0.1375562515149773</v>
      </c>
    </row>
    <row r="958" spans="1:10" ht="11.25" customHeight="1" x14ac:dyDescent="0.2">
      <c r="A958" s="49">
        <v>44743</v>
      </c>
      <c r="B958" s="39">
        <v>45869.199719839999</v>
      </c>
      <c r="C958" s="39">
        <v>52178.794893293038</v>
      </c>
      <c r="D958" s="39">
        <v>0</v>
      </c>
      <c r="E958" s="39">
        <v>0</v>
      </c>
      <c r="F958" s="39">
        <v>0</v>
      </c>
      <c r="G958" s="39">
        <v>0</v>
      </c>
      <c r="H958" s="40">
        <v>0.1375562515149773</v>
      </c>
      <c r="I958" s="40">
        <v>0</v>
      </c>
      <c r="J958" s="40">
        <v>0.1375562515149773</v>
      </c>
    </row>
    <row r="959" spans="1:10" ht="11.25" customHeight="1" x14ac:dyDescent="0.2">
      <c r="A959" s="49">
        <v>44774</v>
      </c>
      <c r="B959" s="39">
        <v>47367.64997916</v>
      </c>
      <c r="C959" s="39">
        <v>53883.36635336675</v>
      </c>
      <c r="D959" s="39">
        <v>0</v>
      </c>
      <c r="E959" s="39">
        <v>0</v>
      </c>
      <c r="F959" s="39">
        <v>0</v>
      </c>
      <c r="G959" s="39">
        <v>0</v>
      </c>
      <c r="H959" s="40">
        <v>0.13755625151497752</v>
      </c>
      <c r="I959" s="40">
        <v>0</v>
      </c>
      <c r="J959" s="40">
        <v>0.13755625151497752</v>
      </c>
    </row>
    <row r="960" spans="1:10" ht="11.25" customHeight="1" x14ac:dyDescent="0.2">
      <c r="A960" s="49">
        <v>44805</v>
      </c>
      <c r="B960" s="39">
        <v>47464.760219240001</v>
      </c>
      <c r="C960" s="39">
        <v>53993.834714055869</v>
      </c>
      <c r="D960" s="39">
        <v>0</v>
      </c>
      <c r="E960" s="39">
        <v>0</v>
      </c>
      <c r="F960" s="39">
        <v>0</v>
      </c>
      <c r="G960" s="39">
        <v>0</v>
      </c>
      <c r="H960" s="40">
        <v>0.1375562515149773</v>
      </c>
      <c r="I960" s="40">
        <v>0</v>
      </c>
      <c r="J960" s="40">
        <v>0.1375562515149773</v>
      </c>
    </row>
    <row r="961" spans="1:10" ht="11.25" customHeight="1" x14ac:dyDescent="0.2">
      <c r="A961" s="49">
        <v>44835</v>
      </c>
      <c r="B961" s="39">
        <v>47464.760219240001</v>
      </c>
      <c r="C961" s="39">
        <v>53993.834714055869</v>
      </c>
      <c r="D961" s="39">
        <v>0</v>
      </c>
      <c r="E961" s="39">
        <v>0</v>
      </c>
      <c r="F961" s="39">
        <v>0</v>
      </c>
      <c r="G961" s="39">
        <v>0</v>
      </c>
      <c r="H961" s="40">
        <v>0.1375562515149773</v>
      </c>
      <c r="I961" s="40">
        <v>0</v>
      </c>
      <c r="J961" s="40">
        <v>0.1375562515149773</v>
      </c>
    </row>
    <row r="962" spans="1:10" ht="11.25" customHeight="1" x14ac:dyDescent="0.2">
      <c r="A962" s="48" t="s">
        <v>34</v>
      </c>
      <c r="B962" s="39">
        <v>0</v>
      </c>
      <c r="C962" s="39">
        <v>0</v>
      </c>
      <c r="D962" s="39">
        <v>1093626.8209891813</v>
      </c>
      <c r="E962" s="39">
        <v>1288919.8232069255</v>
      </c>
      <c r="F962" s="39">
        <v>0</v>
      </c>
      <c r="G962" s="39">
        <v>0</v>
      </c>
      <c r="H962" s="40">
        <v>0.1785737131438514</v>
      </c>
      <c r="I962" s="40">
        <v>0</v>
      </c>
      <c r="J962" s="40">
        <v>0.1785737131438514</v>
      </c>
    </row>
    <row r="963" spans="1:10" ht="11.25" customHeight="1" x14ac:dyDescent="0.2">
      <c r="A963" s="49">
        <v>44501</v>
      </c>
      <c r="B963" s="39">
        <v>0</v>
      </c>
      <c r="C963" s="39">
        <v>0</v>
      </c>
      <c r="D963" s="39">
        <v>101626.88765495669</v>
      </c>
      <c r="E963" s="39">
        <v>119774.77833875536</v>
      </c>
      <c r="F963" s="39">
        <v>0</v>
      </c>
      <c r="G963" s="39">
        <v>0</v>
      </c>
      <c r="H963" s="40">
        <v>0.17857371314385162</v>
      </c>
      <c r="I963" s="40">
        <v>0</v>
      </c>
      <c r="J963" s="40">
        <v>0.17857371314385162</v>
      </c>
    </row>
    <row r="964" spans="1:10" ht="11.25" customHeight="1" x14ac:dyDescent="0.2">
      <c r="A964" s="49">
        <v>44531</v>
      </c>
      <c r="B964" s="39">
        <v>0</v>
      </c>
      <c r="C964" s="39">
        <v>0</v>
      </c>
      <c r="D964" s="39">
        <v>69165.506093072472</v>
      </c>
      <c r="E964" s="39">
        <v>81516.64733758611</v>
      </c>
      <c r="F964" s="39">
        <v>0</v>
      </c>
      <c r="G964" s="39">
        <v>0</v>
      </c>
      <c r="H964" s="40">
        <v>0.17857371314385162</v>
      </c>
      <c r="I964" s="40">
        <v>0</v>
      </c>
      <c r="J964" s="40">
        <v>0.17857371314385162</v>
      </c>
    </row>
    <row r="965" spans="1:10" ht="11.25" customHeight="1" x14ac:dyDescent="0.2">
      <c r="A965" s="49">
        <v>44562</v>
      </c>
      <c r="B965" s="39">
        <v>0</v>
      </c>
      <c r="C965" s="39">
        <v>0</v>
      </c>
      <c r="D965" s="39">
        <v>77971.537948609854</v>
      </c>
      <c r="E965" s="39">
        <v>91895.204999629859</v>
      </c>
      <c r="F965" s="39">
        <v>0</v>
      </c>
      <c r="G965" s="39">
        <v>0</v>
      </c>
      <c r="H965" s="40">
        <v>0.17857371314385184</v>
      </c>
      <c r="I965" s="40">
        <v>0</v>
      </c>
      <c r="J965" s="40">
        <v>0.17857371314385184</v>
      </c>
    </row>
    <row r="966" spans="1:10" ht="11.25" customHeight="1" x14ac:dyDescent="0.2">
      <c r="A966" s="49">
        <v>44593</v>
      </c>
      <c r="B966" s="39">
        <v>0</v>
      </c>
      <c r="C966" s="39">
        <v>0</v>
      </c>
      <c r="D966" s="39">
        <v>89133.082090821365</v>
      </c>
      <c r="E966" s="39">
        <v>105049.90752373508</v>
      </c>
      <c r="F966" s="39">
        <v>0</v>
      </c>
      <c r="G966" s="39">
        <v>0</v>
      </c>
      <c r="H966" s="40">
        <v>0.17857371314385162</v>
      </c>
      <c r="I966" s="40">
        <v>0</v>
      </c>
      <c r="J966" s="40">
        <v>0.17857371314385162</v>
      </c>
    </row>
    <row r="967" spans="1:10" ht="11.25" customHeight="1" x14ac:dyDescent="0.2">
      <c r="A967" s="49">
        <v>44621</v>
      </c>
      <c r="B967" s="39">
        <v>0</v>
      </c>
      <c r="C967" s="39">
        <v>0</v>
      </c>
      <c r="D967" s="39">
        <v>92408.055834905608</v>
      </c>
      <c r="E967" s="39">
        <v>108909.70548974906</v>
      </c>
      <c r="F967" s="39">
        <v>0</v>
      </c>
      <c r="G967" s="39">
        <v>0</v>
      </c>
      <c r="H967" s="40">
        <v>0.17857371314385162</v>
      </c>
      <c r="I967" s="40">
        <v>0</v>
      </c>
      <c r="J967" s="40">
        <v>0.17857371314385162</v>
      </c>
    </row>
    <row r="968" spans="1:10" ht="11.25" customHeight="1" x14ac:dyDescent="0.2">
      <c r="A968" s="49">
        <v>44652</v>
      </c>
      <c r="B968" s="39">
        <v>0</v>
      </c>
      <c r="C968" s="39">
        <v>0</v>
      </c>
      <c r="D968" s="39">
        <v>106830.80905104618</v>
      </c>
      <c r="E968" s="39">
        <v>125907.98330145328</v>
      </c>
      <c r="F968" s="39">
        <v>0</v>
      </c>
      <c r="G968" s="39">
        <v>0</v>
      </c>
      <c r="H968" s="40">
        <v>0.17857371314385162</v>
      </c>
      <c r="I968" s="40">
        <v>0</v>
      </c>
      <c r="J968" s="40">
        <v>0.17857371314385162</v>
      </c>
    </row>
    <row r="969" spans="1:10" ht="11.25" customHeight="1" x14ac:dyDescent="0.2">
      <c r="A969" s="49">
        <v>44682</v>
      </c>
      <c r="B969" s="39">
        <v>0</v>
      </c>
      <c r="C969" s="39">
        <v>0</v>
      </c>
      <c r="D969" s="39">
        <v>92834.567716774327</v>
      </c>
      <c r="E969" s="39">
        <v>109412.38118206305</v>
      </c>
      <c r="F969" s="39">
        <v>0</v>
      </c>
      <c r="G969" s="39">
        <v>0</v>
      </c>
      <c r="H969" s="40">
        <v>0.17857371314385162</v>
      </c>
      <c r="I969" s="40">
        <v>0</v>
      </c>
      <c r="J969" s="40">
        <v>0.17857371314385162</v>
      </c>
    </row>
    <row r="970" spans="1:10" ht="11.25" customHeight="1" x14ac:dyDescent="0.2">
      <c r="A970" s="49">
        <v>44713</v>
      </c>
      <c r="B970" s="39">
        <v>0</v>
      </c>
      <c r="C970" s="39">
        <v>0</v>
      </c>
      <c r="D970" s="39">
        <v>94278.953094819386</v>
      </c>
      <c r="E970" s="39">
        <v>111114.69582027631</v>
      </c>
      <c r="F970" s="39">
        <v>0</v>
      </c>
      <c r="G970" s="39">
        <v>0</v>
      </c>
      <c r="H970" s="40">
        <v>0.17857371314385162</v>
      </c>
      <c r="I970" s="40">
        <v>0</v>
      </c>
      <c r="J970" s="40">
        <v>0.17857371314385162</v>
      </c>
    </row>
    <row r="971" spans="1:10" ht="11.25" customHeight="1" x14ac:dyDescent="0.2">
      <c r="A971" s="49">
        <v>44743</v>
      </c>
      <c r="B971" s="39">
        <v>0</v>
      </c>
      <c r="C971" s="39">
        <v>0</v>
      </c>
      <c r="D971" s="39">
        <v>87107.811158116936</v>
      </c>
      <c r="E971" s="39">
        <v>102662.97644045531</v>
      </c>
      <c r="F971" s="39">
        <v>0</v>
      </c>
      <c r="G971" s="39">
        <v>0</v>
      </c>
      <c r="H971" s="40">
        <v>0.17857371314385162</v>
      </c>
      <c r="I971" s="40">
        <v>0</v>
      </c>
      <c r="J971" s="40">
        <v>0.17857371314385162</v>
      </c>
    </row>
    <row r="972" spans="1:10" ht="11.25" customHeight="1" x14ac:dyDescent="0.2">
      <c r="A972" s="49">
        <v>44774</v>
      </c>
      <c r="B972" s="39">
        <v>0</v>
      </c>
      <c r="C972" s="39">
        <v>0</v>
      </c>
      <c r="D972" s="39">
        <v>82788.606330163195</v>
      </c>
      <c r="E972" s="39">
        <v>97572.475168545003</v>
      </c>
      <c r="F972" s="39">
        <v>0</v>
      </c>
      <c r="G972" s="39">
        <v>0</v>
      </c>
      <c r="H972" s="40">
        <v>0.1785737131438514</v>
      </c>
      <c r="I972" s="40">
        <v>0</v>
      </c>
      <c r="J972" s="40">
        <v>0.1785737131438514</v>
      </c>
    </row>
    <row r="973" spans="1:10" ht="11.25" customHeight="1" x14ac:dyDescent="0.2">
      <c r="A973" s="49">
        <v>44805</v>
      </c>
      <c r="B973" s="39">
        <v>0</v>
      </c>
      <c r="C973" s="39">
        <v>0</v>
      </c>
      <c r="D973" s="39">
        <v>99740.502007947653</v>
      </c>
      <c r="E973" s="39">
        <v>117551.53380233864</v>
      </c>
      <c r="F973" s="39">
        <v>0</v>
      </c>
      <c r="G973" s="39">
        <v>0</v>
      </c>
      <c r="H973" s="40">
        <v>0.17857371314385162</v>
      </c>
      <c r="I973" s="40">
        <v>0</v>
      </c>
      <c r="J973" s="40">
        <v>0.17857371314385162</v>
      </c>
    </row>
    <row r="974" spans="1:10" ht="11.25" customHeight="1" x14ac:dyDescent="0.2">
      <c r="A974" s="49">
        <v>44835</v>
      </c>
      <c r="B974" s="39">
        <v>0</v>
      </c>
      <c r="C974" s="39">
        <v>0</v>
      </c>
      <c r="D974" s="39">
        <v>99740.502007947653</v>
      </c>
      <c r="E974" s="39">
        <v>117551.53380233864</v>
      </c>
      <c r="F974" s="39">
        <v>0</v>
      </c>
      <c r="G974" s="39">
        <v>0</v>
      </c>
      <c r="H974" s="40">
        <v>0.17857371314385162</v>
      </c>
      <c r="I974" s="40">
        <v>0</v>
      </c>
      <c r="J974" s="40">
        <v>0.17857371314385162</v>
      </c>
    </row>
    <row r="975" spans="1:10" ht="11.25" customHeight="1" x14ac:dyDescent="0.2">
      <c r="A975" s="46" t="s">
        <v>25</v>
      </c>
      <c r="B975" s="39">
        <v>342440</v>
      </c>
      <c r="C975" s="39">
        <v>389544.76276878885</v>
      </c>
      <c r="D975" s="39">
        <v>1480840.3420699998</v>
      </c>
      <c r="E975" s="39">
        <v>2000395.5015196926</v>
      </c>
      <c r="F975" s="39">
        <v>0</v>
      </c>
      <c r="G975" s="39">
        <v>0</v>
      </c>
      <c r="H975" s="40">
        <v>0.31079143955182631</v>
      </c>
      <c r="I975" s="40">
        <v>0</v>
      </c>
      <c r="J975" s="40">
        <v>0.31079143955182631</v>
      </c>
    </row>
    <row r="976" spans="1:10" ht="11.25" customHeight="1" x14ac:dyDescent="0.2">
      <c r="A976" s="47" t="s">
        <v>25</v>
      </c>
      <c r="B976" s="39">
        <v>342440</v>
      </c>
      <c r="C976" s="39">
        <v>389544.76276878885</v>
      </c>
      <c r="D976" s="39">
        <v>1480840.3420699998</v>
      </c>
      <c r="E976" s="39">
        <v>2000395.5015196926</v>
      </c>
      <c r="F976" s="39">
        <v>0</v>
      </c>
      <c r="G976" s="39">
        <v>0</v>
      </c>
      <c r="H976" s="40">
        <v>0.31079143955182631</v>
      </c>
      <c r="I976" s="40">
        <v>0</v>
      </c>
      <c r="J976" s="40">
        <v>0.31079143955182631</v>
      </c>
    </row>
    <row r="977" spans="1:10" ht="11.25" customHeight="1" x14ac:dyDescent="0.2">
      <c r="A977" s="48" t="s">
        <v>35</v>
      </c>
      <c r="B977" s="39">
        <v>0</v>
      </c>
      <c r="C977" s="39">
        <v>0</v>
      </c>
      <c r="D977" s="39">
        <v>563451.81750000012</v>
      </c>
      <c r="E977" s="39">
        <v>919185.50172166817</v>
      </c>
      <c r="F977" s="39">
        <v>0</v>
      </c>
      <c r="G977" s="39">
        <v>0</v>
      </c>
      <c r="H977" s="40">
        <v>0.63134712352164524</v>
      </c>
      <c r="I977" s="40">
        <v>0</v>
      </c>
      <c r="J977" s="40">
        <v>0.63134712352164524</v>
      </c>
    </row>
    <row r="978" spans="1:10" ht="11.25" customHeight="1" x14ac:dyDescent="0.2">
      <c r="A978" s="49">
        <v>44501</v>
      </c>
      <c r="B978" s="39">
        <v>0</v>
      </c>
      <c r="C978" s="39">
        <v>0</v>
      </c>
      <c r="D978" s="39">
        <v>49442.879850000005</v>
      </c>
      <c r="E978" s="39">
        <v>80658.499821923819</v>
      </c>
      <c r="F978" s="39">
        <v>0</v>
      </c>
      <c r="G978" s="39">
        <v>0</v>
      </c>
      <c r="H978" s="40">
        <v>0.63134712352164524</v>
      </c>
      <c r="I978" s="40">
        <v>0</v>
      </c>
      <c r="J978" s="40">
        <v>0.63134712352164524</v>
      </c>
    </row>
    <row r="979" spans="1:10" ht="11.25" customHeight="1" x14ac:dyDescent="0.2">
      <c r="A979" s="49">
        <v>44531</v>
      </c>
      <c r="B979" s="39">
        <v>0</v>
      </c>
      <c r="C979" s="39">
        <v>0</v>
      </c>
      <c r="D979" s="39">
        <v>50038.766700000007</v>
      </c>
      <c r="E979" s="39">
        <v>81630.598120615701</v>
      </c>
      <c r="F979" s="39">
        <v>0</v>
      </c>
      <c r="G979" s="39">
        <v>0</v>
      </c>
      <c r="H979" s="40">
        <v>0.63134712352164524</v>
      </c>
      <c r="I979" s="40">
        <v>0</v>
      </c>
      <c r="J979" s="40">
        <v>0.63134712352164524</v>
      </c>
    </row>
    <row r="980" spans="1:10" ht="11.25" customHeight="1" x14ac:dyDescent="0.2">
      <c r="A980" s="49">
        <v>44562</v>
      </c>
      <c r="B980" s="39">
        <v>0</v>
      </c>
      <c r="C980" s="39">
        <v>0</v>
      </c>
      <c r="D980" s="39">
        <v>39383.799000000006</v>
      </c>
      <c r="E980" s="39">
        <v>64248.64721200466</v>
      </c>
      <c r="F980" s="39">
        <v>0</v>
      </c>
      <c r="G980" s="39">
        <v>0</v>
      </c>
      <c r="H980" s="40">
        <v>0.63134712352164524</v>
      </c>
      <c r="I980" s="40">
        <v>0</v>
      </c>
      <c r="J980" s="40">
        <v>0.63134712352164524</v>
      </c>
    </row>
    <row r="981" spans="1:10" ht="11.25" customHeight="1" x14ac:dyDescent="0.2">
      <c r="A981" s="49">
        <v>44593</v>
      </c>
      <c r="B981" s="39">
        <v>0</v>
      </c>
      <c r="C981" s="39">
        <v>0</v>
      </c>
      <c r="D981" s="39">
        <v>47025.061200000004</v>
      </c>
      <c r="E981" s="39">
        <v>76714.198322049342</v>
      </c>
      <c r="F981" s="39">
        <v>0</v>
      </c>
      <c r="G981" s="39">
        <v>0</v>
      </c>
      <c r="H981" s="40">
        <v>0.63134712352164546</v>
      </c>
      <c r="I981" s="40">
        <v>0</v>
      </c>
      <c r="J981" s="40">
        <v>0.63134712352164546</v>
      </c>
    </row>
    <row r="982" spans="1:10" ht="11.25" customHeight="1" x14ac:dyDescent="0.2">
      <c r="A982" s="49">
        <v>44621</v>
      </c>
      <c r="B982" s="39">
        <v>0</v>
      </c>
      <c r="C982" s="39">
        <v>0</v>
      </c>
      <c r="D982" s="39">
        <v>47091.872100000001</v>
      </c>
      <c r="E982" s="39">
        <v>76823.190091584227</v>
      </c>
      <c r="F982" s="39">
        <v>0</v>
      </c>
      <c r="G982" s="39">
        <v>0</v>
      </c>
      <c r="H982" s="40">
        <v>0.63134712352164546</v>
      </c>
      <c r="I982" s="40">
        <v>0</v>
      </c>
      <c r="J982" s="40">
        <v>0.63134712352164546</v>
      </c>
    </row>
    <row r="983" spans="1:10" ht="11.25" customHeight="1" x14ac:dyDescent="0.2">
      <c r="A983" s="49">
        <v>44652</v>
      </c>
      <c r="B983" s="39">
        <v>0</v>
      </c>
      <c r="C983" s="39">
        <v>0</v>
      </c>
      <c r="D983" s="39">
        <v>54506.150400000006</v>
      </c>
      <c r="E983" s="39">
        <v>88918.451669278191</v>
      </c>
      <c r="F983" s="39">
        <v>0</v>
      </c>
      <c r="G983" s="39">
        <v>0</v>
      </c>
      <c r="H983" s="40">
        <v>0.63134712352164546</v>
      </c>
      <c r="I983" s="40">
        <v>0</v>
      </c>
      <c r="J983" s="40">
        <v>0.63134712352164546</v>
      </c>
    </row>
    <row r="984" spans="1:10" ht="11.25" customHeight="1" x14ac:dyDescent="0.2">
      <c r="A984" s="49">
        <v>44682</v>
      </c>
      <c r="B984" s="39">
        <v>0</v>
      </c>
      <c r="C984" s="39">
        <v>0</v>
      </c>
      <c r="D984" s="39">
        <v>48845.189250000003</v>
      </c>
      <c r="E984" s="39">
        <v>79683.458980857904</v>
      </c>
      <c r="F984" s="39">
        <v>0</v>
      </c>
      <c r="G984" s="39">
        <v>0</v>
      </c>
      <c r="H984" s="40">
        <v>0.63134712352164546</v>
      </c>
      <c r="I984" s="40">
        <v>0</v>
      </c>
      <c r="J984" s="40">
        <v>0.63134712352164546</v>
      </c>
    </row>
    <row r="985" spans="1:10" ht="11.25" customHeight="1" x14ac:dyDescent="0.2">
      <c r="A985" s="49">
        <v>44713</v>
      </c>
      <c r="B985" s="39">
        <v>0</v>
      </c>
      <c r="C985" s="39">
        <v>0</v>
      </c>
      <c r="D985" s="39">
        <v>50009.257350000007</v>
      </c>
      <c r="E985" s="39">
        <v>81582.458127376201</v>
      </c>
      <c r="F985" s="39">
        <v>0</v>
      </c>
      <c r="G985" s="39">
        <v>0</v>
      </c>
      <c r="H985" s="40">
        <v>0.63134712352164524</v>
      </c>
      <c r="I985" s="40">
        <v>0</v>
      </c>
      <c r="J985" s="40">
        <v>0.63134712352164524</v>
      </c>
    </row>
    <row r="986" spans="1:10" ht="11.25" customHeight="1" x14ac:dyDescent="0.2">
      <c r="A986" s="49">
        <v>44743</v>
      </c>
      <c r="B986" s="39">
        <v>0</v>
      </c>
      <c r="C986" s="39">
        <v>0</v>
      </c>
      <c r="D986" s="39">
        <v>32804.729100000004</v>
      </c>
      <c r="E986" s="39">
        <v>53515.900455191811</v>
      </c>
      <c r="F986" s="39">
        <v>0</v>
      </c>
      <c r="G986" s="39">
        <v>0</v>
      </c>
      <c r="H986" s="40">
        <v>0.63134712352164502</v>
      </c>
      <c r="I986" s="40">
        <v>0</v>
      </c>
      <c r="J986" s="40">
        <v>0.63134712352164502</v>
      </c>
    </row>
    <row r="987" spans="1:10" ht="11.25" customHeight="1" x14ac:dyDescent="0.2">
      <c r="A987" s="49">
        <v>44774</v>
      </c>
      <c r="B987" s="39">
        <v>0</v>
      </c>
      <c r="C987" s="39">
        <v>0</v>
      </c>
      <c r="D987" s="39">
        <v>47685.738750000004</v>
      </c>
      <c r="E987" s="39">
        <v>77791.992742817165</v>
      </c>
      <c r="F987" s="39">
        <v>0</v>
      </c>
      <c r="G987" s="39">
        <v>0</v>
      </c>
      <c r="H987" s="40">
        <v>0.63134712352164524</v>
      </c>
      <c r="I987" s="40">
        <v>0</v>
      </c>
      <c r="J987" s="40">
        <v>0.63134712352164524</v>
      </c>
    </row>
    <row r="988" spans="1:10" ht="11.25" customHeight="1" x14ac:dyDescent="0.2">
      <c r="A988" s="49">
        <v>44805</v>
      </c>
      <c r="B988" s="39">
        <v>0</v>
      </c>
      <c r="C988" s="39">
        <v>0</v>
      </c>
      <c r="D988" s="39">
        <v>48309.186900000008</v>
      </c>
      <c r="E988" s="39">
        <v>78809.053088984554</v>
      </c>
      <c r="F988" s="39">
        <v>0</v>
      </c>
      <c r="G988" s="39">
        <v>0</v>
      </c>
      <c r="H988" s="40">
        <v>0.63134712352164524</v>
      </c>
      <c r="I988" s="40">
        <v>0</v>
      </c>
      <c r="J988" s="40">
        <v>0.63134712352164524</v>
      </c>
    </row>
    <row r="989" spans="1:10" ht="11.25" customHeight="1" x14ac:dyDescent="0.2">
      <c r="A989" s="49">
        <v>44835</v>
      </c>
      <c r="B989" s="39">
        <v>0</v>
      </c>
      <c r="C989" s="39">
        <v>0</v>
      </c>
      <c r="D989" s="39">
        <v>48309.186900000008</v>
      </c>
      <c r="E989" s="39">
        <v>78809.053088984554</v>
      </c>
      <c r="F989" s="39">
        <v>0</v>
      </c>
      <c r="G989" s="39">
        <v>0</v>
      </c>
      <c r="H989" s="40">
        <v>0.63134712352164524</v>
      </c>
      <c r="I989" s="40">
        <v>0</v>
      </c>
      <c r="J989" s="40">
        <v>0.63134712352164524</v>
      </c>
    </row>
    <row r="990" spans="1:10" ht="11.25" customHeight="1" x14ac:dyDescent="0.2">
      <c r="A990" s="48" t="s">
        <v>25</v>
      </c>
      <c r="B990" s="39">
        <v>342440</v>
      </c>
      <c r="C990" s="39">
        <v>389544.76276878885</v>
      </c>
      <c r="D990" s="39">
        <v>0</v>
      </c>
      <c r="E990" s="39">
        <v>0</v>
      </c>
      <c r="F990" s="39">
        <v>0</v>
      </c>
      <c r="G990" s="39">
        <v>0</v>
      </c>
      <c r="H990" s="40">
        <v>0.1375562515149773</v>
      </c>
      <c r="I990" s="40">
        <v>0</v>
      </c>
      <c r="J990" s="40">
        <v>0.1375562515149773</v>
      </c>
    </row>
    <row r="991" spans="1:10" ht="11.25" customHeight="1" x14ac:dyDescent="0.2">
      <c r="A991" s="49">
        <v>44501</v>
      </c>
      <c r="B991" s="39">
        <v>28000</v>
      </c>
      <c r="C991" s="39">
        <v>31851.575042419365</v>
      </c>
      <c r="D991" s="39">
        <v>0</v>
      </c>
      <c r="E991" s="39">
        <v>0</v>
      </c>
      <c r="F991" s="39">
        <v>0</v>
      </c>
      <c r="G991" s="39">
        <v>0</v>
      </c>
      <c r="H991" s="40">
        <v>0.1375562515149773</v>
      </c>
      <c r="I991" s="40">
        <v>0</v>
      </c>
      <c r="J991" s="40">
        <v>0.1375562515149773</v>
      </c>
    </row>
    <row r="992" spans="1:10" ht="11.25" customHeight="1" x14ac:dyDescent="0.2">
      <c r="A992" s="49">
        <v>44531</v>
      </c>
      <c r="B992" s="39">
        <v>28000</v>
      </c>
      <c r="C992" s="39">
        <v>31851.575042419365</v>
      </c>
      <c r="D992" s="39">
        <v>0</v>
      </c>
      <c r="E992" s="39">
        <v>0</v>
      </c>
      <c r="F992" s="39">
        <v>0</v>
      </c>
      <c r="G992" s="39">
        <v>0</v>
      </c>
      <c r="H992" s="40">
        <v>0.1375562515149773</v>
      </c>
      <c r="I992" s="40">
        <v>0</v>
      </c>
      <c r="J992" s="40">
        <v>0.1375562515149773</v>
      </c>
    </row>
    <row r="993" spans="1:10" ht="11.25" customHeight="1" x14ac:dyDescent="0.2">
      <c r="A993" s="49">
        <v>44562</v>
      </c>
      <c r="B993" s="39">
        <v>28000</v>
      </c>
      <c r="C993" s="39">
        <v>31851.575042419365</v>
      </c>
      <c r="D993" s="39">
        <v>0</v>
      </c>
      <c r="E993" s="39">
        <v>0</v>
      </c>
      <c r="F993" s="39">
        <v>0</v>
      </c>
      <c r="G993" s="39">
        <v>0</v>
      </c>
      <c r="H993" s="40">
        <v>0.1375562515149773</v>
      </c>
      <c r="I993" s="40">
        <v>0</v>
      </c>
      <c r="J993" s="40">
        <v>0.1375562515149773</v>
      </c>
    </row>
    <row r="994" spans="1:10" ht="11.25" customHeight="1" x14ac:dyDescent="0.2">
      <c r="A994" s="49">
        <v>44593</v>
      </c>
      <c r="B994" s="39">
        <v>28000</v>
      </c>
      <c r="C994" s="39">
        <v>31851.575042419365</v>
      </c>
      <c r="D994" s="39">
        <v>0</v>
      </c>
      <c r="E994" s="39">
        <v>0</v>
      </c>
      <c r="F994" s="39">
        <v>0</v>
      </c>
      <c r="G994" s="39">
        <v>0</v>
      </c>
      <c r="H994" s="40">
        <v>0.1375562515149773</v>
      </c>
      <c r="I994" s="40">
        <v>0</v>
      </c>
      <c r="J994" s="40">
        <v>0.1375562515149773</v>
      </c>
    </row>
    <row r="995" spans="1:10" ht="11.25" customHeight="1" x14ac:dyDescent="0.2">
      <c r="A995" s="49">
        <v>44621</v>
      </c>
      <c r="B995" s="39">
        <v>28000</v>
      </c>
      <c r="C995" s="39">
        <v>31851.575042419365</v>
      </c>
      <c r="D995" s="39">
        <v>0</v>
      </c>
      <c r="E995" s="39">
        <v>0</v>
      </c>
      <c r="F995" s="39">
        <v>0</v>
      </c>
      <c r="G995" s="39">
        <v>0</v>
      </c>
      <c r="H995" s="40">
        <v>0.1375562515149773</v>
      </c>
      <c r="I995" s="40">
        <v>0</v>
      </c>
      <c r="J995" s="40">
        <v>0.1375562515149773</v>
      </c>
    </row>
    <row r="996" spans="1:10" ht="11.25" customHeight="1" x14ac:dyDescent="0.2">
      <c r="A996" s="49">
        <v>44652</v>
      </c>
      <c r="B996" s="39">
        <v>31220</v>
      </c>
      <c r="C996" s="39">
        <v>35514.506172297595</v>
      </c>
      <c r="D996" s="39">
        <v>0</v>
      </c>
      <c r="E996" s="39">
        <v>0</v>
      </c>
      <c r="F996" s="39">
        <v>0</v>
      </c>
      <c r="G996" s="39">
        <v>0</v>
      </c>
      <c r="H996" s="40">
        <v>0.13755625151497752</v>
      </c>
      <c r="I996" s="40">
        <v>0</v>
      </c>
      <c r="J996" s="40">
        <v>0.13755625151497752</v>
      </c>
    </row>
    <row r="997" spans="1:10" ht="11.25" customHeight="1" x14ac:dyDescent="0.2">
      <c r="A997" s="49">
        <v>44682</v>
      </c>
      <c r="B997" s="39">
        <v>31220</v>
      </c>
      <c r="C997" s="39">
        <v>35514.506172297595</v>
      </c>
      <c r="D997" s="39">
        <v>0</v>
      </c>
      <c r="E997" s="39">
        <v>0</v>
      </c>
      <c r="F997" s="39">
        <v>0</v>
      </c>
      <c r="G997" s="39">
        <v>0</v>
      </c>
      <c r="H997" s="40">
        <v>0.13755625151497752</v>
      </c>
      <c r="I997" s="40">
        <v>0</v>
      </c>
      <c r="J997" s="40">
        <v>0.13755625151497752</v>
      </c>
    </row>
    <row r="998" spans="1:10" ht="11.25" customHeight="1" x14ac:dyDescent="0.2">
      <c r="A998" s="49">
        <v>44713</v>
      </c>
      <c r="B998" s="39">
        <v>28000</v>
      </c>
      <c r="C998" s="39">
        <v>31851.575042419365</v>
      </c>
      <c r="D998" s="39">
        <v>0</v>
      </c>
      <c r="E998" s="39">
        <v>0</v>
      </c>
      <c r="F998" s="39">
        <v>0</v>
      </c>
      <c r="G998" s="39">
        <v>0</v>
      </c>
      <c r="H998" s="40">
        <v>0.1375562515149773</v>
      </c>
      <c r="I998" s="40">
        <v>0</v>
      </c>
      <c r="J998" s="40">
        <v>0.1375562515149773</v>
      </c>
    </row>
    <row r="999" spans="1:10" ht="11.25" customHeight="1" x14ac:dyDescent="0.2">
      <c r="A999" s="49">
        <v>44743</v>
      </c>
      <c r="B999" s="39">
        <v>28000</v>
      </c>
      <c r="C999" s="39">
        <v>31851.575042419365</v>
      </c>
      <c r="D999" s="39">
        <v>0</v>
      </c>
      <c r="E999" s="39">
        <v>0</v>
      </c>
      <c r="F999" s="39">
        <v>0</v>
      </c>
      <c r="G999" s="39">
        <v>0</v>
      </c>
      <c r="H999" s="40">
        <v>0.1375562515149773</v>
      </c>
      <c r="I999" s="40">
        <v>0</v>
      </c>
      <c r="J999" s="40">
        <v>0.1375562515149773</v>
      </c>
    </row>
    <row r="1000" spans="1:10" ht="11.25" customHeight="1" x14ac:dyDescent="0.2">
      <c r="A1000" s="49">
        <v>44774</v>
      </c>
      <c r="B1000" s="39">
        <v>28000</v>
      </c>
      <c r="C1000" s="39">
        <v>31851.575042419365</v>
      </c>
      <c r="D1000" s="39">
        <v>0</v>
      </c>
      <c r="E1000" s="39">
        <v>0</v>
      </c>
      <c r="F1000" s="39">
        <v>0</v>
      </c>
      <c r="G1000" s="39">
        <v>0</v>
      </c>
      <c r="H1000" s="40">
        <v>0.1375562515149773</v>
      </c>
      <c r="I1000" s="40">
        <v>0</v>
      </c>
      <c r="J1000" s="40">
        <v>0.1375562515149773</v>
      </c>
    </row>
    <row r="1001" spans="1:10" ht="11.25" customHeight="1" x14ac:dyDescent="0.2">
      <c r="A1001" s="49">
        <v>44805</v>
      </c>
      <c r="B1001" s="39">
        <v>28000</v>
      </c>
      <c r="C1001" s="39">
        <v>31851.575042419365</v>
      </c>
      <c r="D1001" s="39">
        <v>0</v>
      </c>
      <c r="E1001" s="39">
        <v>0</v>
      </c>
      <c r="F1001" s="39">
        <v>0</v>
      </c>
      <c r="G1001" s="39">
        <v>0</v>
      </c>
      <c r="H1001" s="40">
        <v>0.1375562515149773</v>
      </c>
      <c r="I1001" s="40">
        <v>0</v>
      </c>
      <c r="J1001" s="40">
        <v>0.1375562515149773</v>
      </c>
    </row>
    <row r="1002" spans="1:10" ht="11.25" customHeight="1" x14ac:dyDescent="0.2">
      <c r="A1002" s="49">
        <v>44835</v>
      </c>
      <c r="B1002" s="39">
        <v>28000</v>
      </c>
      <c r="C1002" s="39">
        <v>31851.575042419365</v>
      </c>
      <c r="D1002" s="39">
        <v>0</v>
      </c>
      <c r="E1002" s="39">
        <v>0</v>
      </c>
      <c r="F1002" s="39">
        <v>0</v>
      </c>
      <c r="G1002" s="39">
        <v>0</v>
      </c>
      <c r="H1002" s="40">
        <v>0.1375562515149773</v>
      </c>
      <c r="I1002" s="40">
        <v>0</v>
      </c>
      <c r="J1002" s="40">
        <v>0.1375562515149773</v>
      </c>
    </row>
    <row r="1003" spans="1:10" ht="11.25" customHeight="1" x14ac:dyDescent="0.2">
      <c r="A1003" s="48" t="s">
        <v>34</v>
      </c>
      <c r="B1003" s="39">
        <v>0</v>
      </c>
      <c r="C1003" s="39">
        <v>0</v>
      </c>
      <c r="D1003" s="39">
        <v>917388.52456999989</v>
      </c>
      <c r="E1003" s="39">
        <v>1081209.9997980243</v>
      </c>
      <c r="F1003" s="39">
        <v>0</v>
      </c>
      <c r="G1003" s="39">
        <v>0</v>
      </c>
      <c r="H1003" s="40">
        <v>0.17857371314385162</v>
      </c>
      <c r="I1003" s="40">
        <v>0</v>
      </c>
      <c r="J1003" s="40">
        <v>0.17857371314385162</v>
      </c>
    </row>
    <row r="1004" spans="1:10" ht="11.25" customHeight="1" x14ac:dyDescent="0.2">
      <c r="A1004" s="49">
        <v>44501</v>
      </c>
      <c r="B1004" s="39">
        <v>0</v>
      </c>
      <c r="C1004" s="39">
        <v>0</v>
      </c>
      <c r="D1004" s="39">
        <v>82693.890759999995</v>
      </c>
      <c r="E1004" s="39">
        <v>97460.845887325238</v>
      </c>
      <c r="F1004" s="39">
        <v>0</v>
      </c>
      <c r="G1004" s="39">
        <v>0</v>
      </c>
      <c r="H1004" s="40">
        <v>0.17857371314385162</v>
      </c>
      <c r="I1004" s="40">
        <v>0</v>
      </c>
      <c r="J1004" s="40">
        <v>0.17857371314385162</v>
      </c>
    </row>
    <row r="1005" spans="1:10" ht="11.25" customHeight="1" x14ac:dyDescent="0.2">
      <c r="A1005" s="49">
        <v>44531</v>
      </c>
      <c r="B1005" s="39">
        <v>0</v>
      </c>
      <c r="C1005" s="39">
        <v>0</v>
      </c>
      <c r="D1005" s="39">
        <v>74163.250230000005</v>
      </c>
      <c r="E1005" s="39">
        <v>87406.857202387706</v>
      </c>
      <c r="F1005" s="39">
        <v>0</v>
      </c>
      <c r="G1005" s="39">
        <v>0</v>
      </c>
      <c r="H1005" s="40">
        <v>0.17857371314385162</v>
      </c>
      <c r="I1005" s="40">
        <v>0</v>
      </c>
      <c r="J1005" s="40">
        <v>0.17857371314385162</v>
      </c>
    </row>
    <row r="1006" spans="1:10" ht="11.25" customHeight="1" x14ac:dyDescent="0.2">
      <c r="A1006" s="49">
        <v>44562</v>
      </c>
      <c r="B1006" s="39">
        <v>0</v>
      </c>
      <c r="C1006" s="39">
        <v>0</v>
      </c>
      <c r="D1006" s="39">
        <v>63528.867789999997</v>
      </c>
      <c r="E1006" s="39">
        <v>74873.45360308513</v>
      </c>
      <c r="F1006" s="39">
        <v>0</v>
      </c>
      <c r="G1006" s="39">
        <v>0</v>
      </c>
      <c r="H1006" s="40">
        <v>0.17857371314385162</v>
      </c>
      <c r="I1006" s="40">
        <v>0</v>
      </c>
      <c r="J1006" s="40">
        <v>0.17857371314385162</v>
      </c>
    </row>
    <row r="1007" spans="1:10" ht="11.25" customHeight="1" x14ac:dyDescent="0.2">
      <c r="A1007" s="49">
        <v>44593</v>
      </c>
      <c r="B1007" s="39">
        <v>0</v>
      </c>
      <c r="C1007" s="39">
        <v>0</v>
      </c>
      <c r="D1007" s="39">
        <v>79428.717799999984</v>
      </c>
      <c r="E1007" s="39">
        <v>93612.59886780112</v>
      </c>
      <c r="F1007" s="39">
        <v>0</v>
      </c>
      <c r="G1007" s="39">
        <v>0</v>
      </c>
      <c r="H1007" s="40">
        <v>0.17857371314385162</v>
      </c>
      <c r="I1007" s="40">
        <v>0</v>
      </c>
      <c r="J1007" s="40">
        <v>0.17857371314385162</v>
      </c>
    </row>
    <row r="1008" spans="1:10" ht="11.25" customHeight="1" x14ac:dyDescent="0.2">
      <c r="A1008" s="49">
        <v>44621</v>
      </c>
      <c r="B1008" s="39">
        <v>0</v>
      </c>
      <c r="C1008" s="39">
        <v>0</v>
      </c>
      <c r="D1008" s="39">
        <v>78865.400229999999</v>
      </c>
      <c r="E1008" s="39">
        <v>92948.687587647059</v>
      </c>
      <c r="F1008" s="39">
        <v>0</v>
      </c>
      <c r="G1008" s="39">
        <v>0</v>
      </c>
      <c r="H1008" s="40">
        <v>0.1785737131438514</v>
      </c>
      <c r="I1008" s="40">
        <v>0</v>
      </c>
      <c r="J1008" s="40">
        <v>0.1785737131438514</v>
      </c>
    </row>
    <row r="1009" spans="1:10" ht="11.25" customHeight="1" x14ac:dyDescent="0.2">
      <c r="A1009" s="49">
        <v>44652</v>
      </c>
      <c r="B1009" s="39">
        <v>0</v>
      </c>
      <c r="C1009" s="39">
        <v>0</v>
      </c>
      <c r="D1009" s="39">
        <v>84878.509649999993</v>
      </c>
      <c r="E1009" s="39">
        <v>100035.58028431672</v>
      </c>
      <c r="F1009" s="39">
        <v>0</v>
      </c>
      <c r="G1009" s="39">
        <v>0</v>
      </c>
      <c r="H1009" s="40">
        <v>0.1785737131438514</v>
      </c>
      <c r="I1009" s="40">
        <v>0</v>
      </c>
      <c r="J1009" s="40">
        <v>0.1785737131438514</v>
      </c>
    </row>
    <row r="1010" spans="1:10" ht="11.25" customHeight="1" x14ac:dyDescent="0.2">
      <c r="A1010" s="49">
        <v>44682</v>
      </c>
      <c r="B1010" s="39">
        <v>0</v>
      </c>
      <c r="C1010" s="39">
        <v>0</v>
      </c>
      <c r="D1010" s="39">
        <v>75730.947039999999</v>
      </c>
      <c r="E1010" s="39">
        <v>89254.503452833174</v>
      </c>
      <c r="F1010" s="39">
        <v>0</v>
      </c>
      <c r="G1010" s="39">
        <v>0</v>
      </c>
      <c r="H1010" s="40">
        <v>0.17857371314385162</v>
      </c>
      <c r="I1010" s="40">
        <v>0</v>
      </c>
      <c r="J1010" s="40">
        <v>0.17857371314385162</v>
      </c>
    </row>
    <row r="1011" spans="1:10" ht="11.25" customHeight="1" x14ac:dyDescent="0.2">
      <c r="A1011" s="49">
        <v>44713</v>
      </c>
      <c r="B1011" s="39">
        <v>0</v>
      </c>
      <c r="C1011" s="39">
        <v>0</v>
      </c>
      <c r="D1011" s="39">
        <v>83784.78955999999</v>
      </c>
      <c r="E1011" s="39">
        <v>98746.550536705399</v>
      </c>
      <c r="F1011" s="39">
        <v>0</v>
      </c>
      <c r="G1011" s="39">
        <v>0</v>
      </c>
      <c r="H1011" s="40">
        <v>0.17857371314385162</v>
      </c>
      <c r="I1011" s="40">
        <v>0</v>
      </c>
      <c r="J1011" s="40">
        <v>0.17857371314385162</v>
      </c>
    </row>
    <row r="1012" spans="1:10" ht="11.25" customHeight="1" x14ac:dyDescent="0.2">
      <c r="A1012" s="49">
        <v>44743</v>
      </c>
      <c r="B1012" s="39">
        <v>0</v>
      </c>
      <c r="C1012" s="39">
        <v>0</v>
      </c>
      <c r="D1012" s="39">
        <v>51313.622519999997</v>
      </c>
      <c r="E1012" s="39">
        <v>60476.886628258355</v>
      </c>
      <c r="F1012" s="39">
        <v>0</v>
      </c>
      <c r="G1012" s="39">
        <v>0</v>
      </c>
      <c r="H1012" s="40">
        <v>0.1785737131438514</v>
      </c>
      <c r="I1012" s="40">
        <v>0</v>
      </c>
      <c r="J1012" s="40">
        <v>0.1785737131438514</v>
      </c>
    </row>
    <row r="1013" spans="1:10" ht="11.25" customHeight="1" x14ac:dyDescent="0.2">
      <c r="A1013" s="49">
        <v>44774</v>
      </c>
      <c r="B1013" s="39">
        <v>0</v>
      </c>
      <c r="C1013" s="39">
        <v>0</v>
      </c>
      <c r="D1013" s="39">
        <v>75927.496909999987</v>
      </c>
      <c r="E1013" s="39">
        <v>89486.151962937001</v>
      </c>
      <c r="F1013" s="39">
        <v>0</v>
      </c>
      <c r="G1013" s="39">
        <v>0</v>
      </c>
      <c r="H1013" s="40">
        <v>0.17857371314385162</v>
      </c>
      <c r="I1013" s="40">
        <v>0</v>
      </c>
      <c r="J1013" s="40">
        <v>0.17857371314385162</v>
      </c>
    </row>
    <row r="1014" spans="1:10" ht="11.25" customHeight="1" x14ac:dyDescent="0.2">
      <c r="A1014" s="49">
        <v>44805</v>
      </c>
      <c r="B1014" s="39">
        <v>0</v>
      </c>
      <c r="C1014" s="39">
        <v>0</v>
      </c>
      <c r="D1014" s="39">
        <v>83536.516040000002</v>
      </c>
      <c r="E1014" s="39">
        <v>98453.941892363713</v>
      </c>
      <c r="F1014" s="39">
        <v>0</v>
      </c>
      <c r="G1014" s="39">
        <v>0</v>
      </c>
      <c r="H1014" s="40">
        <v>0.17857371314385162</v>
      </c>
      <c r="I1014" s="40">
        <v>0</v>
      </c>
      <c r="J1014" s="40">
        <v>0.17857371314385162</v>
      </c>
    </row>
    <row r="1015" spans="1:10" ht="11.25" customHeight="1" x14ac:dyDescent="0.2">
      <c r="A1015" s="49">
        <v>44835</v>
      </c>
      <c r="B1015" s="39">
        <v>0</v>
      </c>
      <c r="C1015" s="39">
        <v>0</v>
      </c>
      <c r="D1015" s="39">
        <v>83536.516040000002</v>
      </c>
      <c r="E1015" s="39">
        <v>98453.941892363713</v>
      </c>
      <c r="F1015" s="39">
        <v>0</v>
      </c>
      <c r="G1015" s="39">
        <v>0</v>
      </c>
      <c r="H1015" s="40">
        <v>0.17857371314385162</v>
      </c>
      <c r="I1015" s="40">
        <v>0</v>
      </c>
      <c r="J1015" s="40">
        <v>0.17857371314385162</v>
      </c>
    </row>
    <row r="1016" spans="1:10" ht="11.25" customHeight="1" x14ac:dyDescent="0.2">
      <c r="A1016" s="42" t="s">
        <v>43</v>
      </c>
      <c r="B1016" s="39">
        <v>6562.1600026746</v>
      </c>
      <c r="C1016" s="39">
        <v>7451.997957881008</v>
      </c>
      <c r="D1016" s="39">
        <v>59766.022561177873</v>
      </c>
      <c r="E1016" s="39">
        <v>80335.245331449623</v>
      </c>
      <c r="F1016" s="39">
        <v>0</v>
      </c>
      <c r="G1016" s="39">
        <v>0</v>
      </c>
      <c r="H1016" s="40">
        <v>0.32352854994662406</v>
      </c>
      <c r="I1016" s="40">
        <v>0</v>
      </c>
      <c r="J1016" s="40">
        <v>0.32352854994662406</v>
      </c>
    </row>
    <row r="1017" spans="1:10" ht="11.25" customHeight="1" x14ac:dyDescent="0.2">
      <c r="A1017" s="43" t="s">
        <v>41</v>
      </c>
      <c r="B1017" s="39">
        <v>6562.1600026746</v>
      </c>
      <c r="C1017" s="39">
        <v>7451.997957881008</v>
      </c>
      <c r="D1017" s="39">
        <v>59766.022561177873</v>
      </c>
      <c r="E1017" s="39">
        <v>80335.245331449623</v>
      </c>
      <c r="F1017" s="39">
        <v>0</v>
      </c>
      <c r="G1017" s="39">
        <v>0</v>
      </c>
      <c r="H1017" s="40">
        <v>0.32352854994662406</v>
      </c>
      <c r="I1017" s="40">
        <v>0</v>
      </c>
      <c r="J1017" s="40">
        <v>0.32352854994662406</v>
      </c>
    </row>
    <row r="1018" spans="1:10" ht="11.25" customHeight="1" x14ac:dyDescent="0.2">
      <c r="A1018" s="44" t="s">
        <v>38</v>
      </c>
      <c r="B1018" s="39">
        <v>6562.1600026746</v>
      </c>
      <c r="C1018" s="39">
        <v>7451.997957881008</v>
      </c>
      <c r="D1018" s="39">
        <v>59766.022561177873</v>
      </c>
      <c r="E1018" s="39">
        <v>80335.245331449623</v>
      </c>
      <c r="F1018" s="39">
        <v>0</v>
      </c>
      <c r="G1018" s="39">
        <v>0</v>
      </c>
      <c r="H1018" s="40">
        <v>0.32352854994662406</v>
      </c>
      <c r="I1018" s="40">
        <v>0</v>
      </c>
      <c r="J1018" s="40">
        <v>0.32352854994662406</v>
      </c>
    </row>
    <row r="1019" spans="1:10" ht="11.25" customHeight="1" x14ac:dyDescent="0.2">
      <c r="A1019" s="45" t="s">
        <v>25</v>
      </c>
      <c r="B1019" s="39">
        <v>6562.1600026746</v>
      </c>
      <c r="C1019" s="39">
        <v>7451.997957881008</v>
      </c>
      <c r="D1019" s="39">
        <v>59766.022561177873</v>
      </c>
      <c r="E1019" s="39">
        <v>80335.245331449623</v>
      </c>
      <c r="F1019" s="39">
        <v>0</v>
      </c>
      <c r="G1019" s="39">
        <v>0</v>
      </c>
      <c r="H1019" s="40">
        <v>0.32352854994662406</v>
      </c>
      <c r="I1019" s="40">
        <v>0</v>
      </c>
      <c r="J1019" s="40">
        <v>0.32352854994662406</v>
      </c>
    </row>
    <row r="1020" spans="1:10" ht="11.25" customHeight="1" x14ac:dyDescent="0.2">
      <c r="A1020" s="46" t="s">
        <v>56</v>
      </c>
      <c r="B1020" s="39">
        <v>6562.1600026746</v>
      </c>
      <c r="C1020" s="39">
        <v>7451.997957881008</v>
      </c>
      <c r="D1020" s="39">
        <v>59766.022561177873</v>
      </c>
      <c r="E1020" s="39">
        <v>80335.245331449623</v>
      </c>
      <c r="F1020" s="39">
        <v>0</v>
      </c>
      <c r="G1020" s="39">
        <v>0</v>
      </c>
      <c r="H1020" s="40">
        <v>0.32352854994662406</v>
      </c>
      <c r="I1020" s="40">
        <v>0</v>
      </c>
      <c r="J1020" s="40">
        <v>0.32352854994662406</v>
      </c>
    </row>
    <row r="1021" spans="1:10" ht="11.25" customHeight="1" x14ac:dyDescent="0.2">
      <c r="A1021" s="47" t="s">
        <v>25</v>
      </c>
      <c r="B1021" s="39">
        <v>6562.1600026746</v>
      </c>
      <c r="C1021" s="39">
        <v>7451.997957881008</v>
      </c>
      <c r="D1021" s="39">
        <v>59766.022561177873</v>
      </c>
      <c r="E1021" s="39">
        <v>80335.245331449623</v>
      </c>
      <c r="F1021" s="39">
        <v>0</v>
      </c>
      <c r="G1021" s="39">
        <v>0</v>
      </c>
      <c r="H1021" s="40">
        <v>0.32352854994662406</v>
      </c>
      <c r="I1021" s="40">
        <v>0</v>
      </c>
      <c r="J1021" s="40">
        <v>0.32352854994662406</v>
      </c>
    </row>
    <row r="1022" spans="1:10" ht="11.25" customHeight="1" x14ac:dyDescent="0.2">
      <c r="A1022" s="48" t="s">
        <v>35</v>
      </c>
      <c r="B1022" s="39">
        <v>0</v>
      </c>
      <c r="C1022" s="39">
        <v>0</v>
      </c>
      <c r="D1022" s="39">
        <v>27820.417710000002</v>
      </c>
      <c r="E1022" s="39">
        <v>43011.550987830276</v>
      </c>
      <c r="F1022" s="39">
        <v>0</v>
      </c>
      <c r="G1022" s="39">
        <v>0</v>
      </c>
      <c r="H1022" s="40">
        <v>0.5460426020983089</v>
      </c>
      <c r="I1022" s="40">
        <v>0</v>
      </c>
      <c r="J1022" s="40">
        <v>0.5460426020983089</v>
      </c>
    </row>
    <row r="1023" spans="1:10" ht="11.25" customHeight="1" x14ac:dyDescent="0.2">
      <c r="A1023" s="49">
        <v>44531</v>
      </c>
      <c r="B1023" s="39">
        <v>0</v>
      </c>
      <c r="C1023" s="39">
        <v>0</v>
      </c>
      <c r="D1023" s="39">
        <v>2856.6131400000004</v>
      </c>
      <c r="E1023" s="39">
        <v>4416.4456121538205</v>
      </c>
      <c r="F1023" s="39">
        <v>0</v>
      </c>
      <c r="G1023" s="39">
        <v>0</v>
      </c>
      <c r="H1023" s="40">
        <v>0.54604260209830868</v>
      </c>
      <c r="I1023" s="40">
        <v>0</v>
      </c>
      <c r="J1023" s="40">
        <v>0.54604260209830868</v>
      </c>
    </row>
    <row r="1024" spans="1:10" ht="11.25" customHeight="1" x14ac:dyDescent="0.2">
      <c r="A1024" s="49">
        <v>44562</v>
      </c>
      <c r="B1024" s="39">
        <v>0</v>
      </c>
      <c r="C1024" s="39">
        <v>0</v>
      </c>
      <c r="D1024" s="39">
        <v>2865.7059199999999</v>
      </c>
      <c r="E1024" s="39">
        <v>4430.5034374053284</v>
      </c>
      <c r="F1024" s="39">
        <v>0</v>
      </c>
      <c r="G1024" s="39">
        <v>0</v>
      </c>
      <c r="H1024" s="40">
        <v>0.54604260209830913</v>
      </c>
      <c r="I1024" s="40">
        <v>0</v>
      </c>
      <c r="J1024" s="40">
        <v>0.54604260209830913</v>
      </c>
    </row>
    <row r="1025" spans="1:10" ht="11.25" customHeight="1" x14ac:dyDescent="0.2">
      <c r="A1025" s="49">
        <v>44593</v>
      </c>
      <c r="B1025" s="39">
        <v>0</v>
      </c>
      <c r="C1025" s="39">
        <v>0</v>
      </c>
      <c r="D1025" s="39">
        <v>2774.5666600000004</v>
      </c>
      <c r="E1025" s="39">
        <v>4289.598258721614</v>
      </c>
      <c r="F1025" s="39">
        <v>0</v>
      </c>
      <c r="G1025" s="39">
        <v>0</v>
      </c>
      <c r="H1025" s="40">
        <v>0.54604260209830868</v>
      </c>
      <c r="I1025" s="40">
        <v>0</v>
      </c>
      <c r="J1025" s="40">
        <v>0.54604260209830868</v>
      </c>
    </row>
    <row r="1026" spans="1:10" ht="11.25" customHeight="1" x14ac:dyDescent="0.2">
      <c r="A1026" s="49">
        <v>44621</v>
      </c>
      <c r="B1026" s="39">
        <v>0</v>
      </c>
      <c r="C1026" s="39">
        <v>0</v>
      </c>
      <c r="D1026" s="39">
        <v>2614.0685200000003</v>
      </c>
      <c r="E1026" s="39">
        <v>4041.4612967240755</v>
      </c>
      <c r="F1026" s="39">
        <v>0</v>
      </c>
      <c r="G1026" s="39">
        <v>0</v>
      </c>
      <c r="H1026" s="40">
        <v>0.5460426020983089</v>
      </c>
      <c r="I1026" s="40">
        <v>0</v>
      </c>
      <c r="J1026" s="40">
        <v>0.5460426020983089</v>
      </c>
    </row>
    <row r="1027" spans="1:10" ht="11.25" customHeight="1" x14ac:dyDescent="0.2">
      <c r="A1027" s="49">
        <v>44652</v>
      </c>
      <c r="B1027" s="39">
        <v>0</v>
      </c>
      <c r="C1027" s="39">
        <v>0</v>
      </c>
      <c r="D1027" s="39">
        <v>3038.2572800000003</v>
      </c>
      <c r="E1027" s="39">
        <v>4697.2751910153302</v>
      </c>
      <c r="F1027" s="39">
        <v>0</v>
      </c>
      <c r="G1027" s="39">
        <v>0</v>
      </c>
      <c r="H1027" s="40">
        <v>0.54604260209830868</v>
      </c>
      <c r="I1027" s="40">
        <v>0</v>
      </c>
      <c r="J1027" s="40">
        <v>0.54604260209830868</v>
      </c>
    </row>
    <row r="1028" spans="1:10" ht="11.25" customHeight="1" x14ac:dyDescent="0.2">
      <c r="A1028" s="49">
        <v>44682</v>
      </c>
      <c r="B1028" s="39">
        <v>0</v>
      </c>
      <c r="C1028" s="39">
        <v>0</v>
      </c>
      <c r="D1028" s="39">
        <v>2725.50794</v>
      </c>
      <c r="E1028" s="39">
        <v>4213.7513875972018</v>
      </c>
      <c r="F1028" s="39">
        <v>0</v>
      </c>
      <c r="G1028" s="39">
        <v>0</v>
      </c>
      <c r="H1028" s="40">
        <v>0.5460426020983089</v>
      </c>
      <c r="I1028" s="40">
        <v>0</v>
      </c>
      <c r="J1028" s="40">
        <v>0.5460426020983089</v>
      </c>
    </row>
    <row r="1029" spans="1:10" ht="11.25" customHeight="1" x14ac:dyDescent="0.2">
      <c r="A1029" s="49">
        <v>44713</v>
      </c>
      <c r="B1029" s="39">
        <v>0</v>
      </c>
      <c r="C1029" s="39">
        <v>0</v>
      </c>
      <c r="D1029" s="39">
        <v>2007.60124</v>
      </c>
      <c r="E1029" s="39">
        <v>3103.8370450653915</v>
      </c>
      <c r="F1029" s="39">
        <v>0</v>
      </c>
      <c r="G1029" s="39">
        <v>0</v>
      </c>
      <c r="H1029" s="40">
        <v>0.5460426020983089</v>
      </c>
      <c r="I1029" s="40">
        <v>0</v>
      </c>
      <c r="J1029" s="40">
        <v>0.5460426020983089</v>
      </c>
    </row>
    <row r="1030" spans="1:10" ht="11.25" customHeight="1" x14ac:dyDescent="0.2">
      <c r="A1030" s="49">
        <v>44743</v>
      </c>
      <c r="B1030" s="39">
        <v>0</v>
      </c>
      <c r="C1030" s="39">
        <v>0</v>
      </c>
      <c r="D1030" s="39">
        <v>1888.86645</v>
      </c>
      <c r="E1030" s="39">
        <v>2920.2680013741951</v>
      </c>
      <c r="F1030" s="39">
        <v>0</v>
      </c>
      <c r="G1030" s="39">
        <v>0</v>
      </c>
      <c r="H1030" s="40">
        <v>0.5460426020983089</v>
      </c>
      <c r="I1030" s="40">
        <v>0</v>
      </c>
      <c r="J1030" s="40">
        <v>0.5460426020983089</v>
      </c>
    </row>
    <row r="1031" spans="1:10" ht="11.25" customHeight="1" x14ac:dyDescent="0.2">
      <c r="A1031" s="49">
        <v>44774</v>
      </c>
      <c r="B1031" s="39">
        <v>0</v>
      </c>
      <c r="C1031" s="39">
        <v>0</v>
      </c>
      <c r="D1031" s="39">
        <v>2192.2058200000001</v>
      </c>
      <c r="E1031" s="39">
        <v>3389.2435902878574</v>
      </c>
      <c r="F1031" s="39">
        <v>0</v>
      </c>
      <c r="G1031" s="39">
        <v>0</v>
      </c>
      <c r="H1031" s="40">
        <v>0.5460426020983089</v>
      </c>
      <c r="I1031" s="40">
        <v>0</v>
      </c>
      <c r="J1031" s="40">
        <v>0.5460426020983089</v>
      </c>
    </row>
    <row r="1032" spans="1:10" ht="11.25" customHeight="1" x14ac:dyDescent="0.2">
      <c r="A1032" s="49">
        <v>44805</v>
      </c>
      <c r="B1032" s="39">
        <v>0</v>
      </c>
      <c r="C1032" s="39">
        <v>0</v>
      </c>
      <c r="D1032" s="39">
        <v>2428.5123700000004</v>
      </c>
      <c r="E1032" s="39">
        <v>3754.5835837427312</v>
      </c>
      <c r="F1032" s="39">
        <v>0</v>
      </c>
      <c r="G1032" s="39">
        <v>0</v>
      </c>
      <c r="H1032" s="40">
        <v>0.54604260209830868</v>
      </c>
      <c r="I1032" s="40">
        <v>0</v>
      </c>
      <c r="J1032" s="40">
        <v>0.54604260209830868</v>
      </c>
    </row>
    <row r="1033" spans="1:10" ht="11.25" customHeight="1" x14ac:dyDescent="0.2">
      <c r="A1033" s="49">
        <v>44835</v>
      </c>
      <c r="B1033" s="39">
        <v>0</v>
      </c>
      <c r="C1033" s="39">
        <v>0</v>
      </c>
      <c r="D1033" s="39">
        <v>2428.5123700000004</v>
      </c>
      <c r="E1033" s="39">
        <v>3754.5835837427312</v>
      </c>
      <c r="F1033" s="39">
        <v>0</v>
      </c>
      <c r="G1033" s="39">
        <v>0</v>
      </c>
      <c r="H1033" s="40">
        <v>0.54604260209830868</v>
      </c>
      <c r="I1033" s="40">
        <v>0</v>
      </c>
      <c r="J1033" s="40">
        <v>0.54604260209830868</v>
      </c>
    </row>
    <row r="1034" spans="1:10" ht="11.25" customHeight="1" x14ac:dyDescent="0.2">
      <c r="A1034" s="48" t="s">
        <v>25</v>
      </c>
      <c r="B1034" s="39">
        <v>6562.1600026746</v>
      </c>
      <c r="C1034" s="39">
        <v>7451.997957881008</v>
      </c>
      <c r="D1034" s="39">
        <v>0</v>
      </c>
      <c r="E1034" s="39">
        <v>0</v>
      </c>
      <c r="F1034" s="39">
        <v>0</v>
      </c>
      <c r="G1034" s="39">
        <v>0</v>
      </c>
      <c r="H1034" s="40">
        <v>0.13560138046675618</v>
      </c>
      <c r="I1034" s="40">
        <v>0</v>
      </c>
      <c r="J1034" s="40">
        <v>0.13560138046675618</v>
      </c>
    </row>
    <row r="1035" spans="1:10" ht="11.25" customHeight="1" x14ac:dyDescent="0.2">
      <c r="A1035" s="49">
        <v>44531</v>
      </c>
      <c r="B1035" s="39">
        <v>592.87</v>
      </c>
      <c r="C1035" s="39">
        <v>673.26399043732567</v>
      </c>
      <c r="D1035" s="39">
        <v>0</v>
      </c>
      <c r="E1035" s="39">
        <v>0</v>
      </c>
      <c r="F1035" s="39">
        <v>0</v>
      </c>
      <c r="G1035" s="39">
        <v>0</v>
      </c>
      <c r="H1035" s="40">
        <v>0.13560138046675596</v>
      </c>
      <c r="I1035" s="40">
        <v>0</v>
      </c>
      <c r="J1035" s="40">
        <v>0.13560138046675596</v>
      </c>
    </row>
    <row r="1036" spans="1:10" ht="11.25" customHeight="1" x14ac:dyDescent="0.2">
      <c r="A1036" s="49">
        <v>44562</v>
      </c>
      <c r="B1036" s="39">
        <v>592.87</v>
      </c>
      <c r="C1036" s="39">
        <v>673.26399043732567</v>
      </c>
      <c r="D1036" s="39">
        <v>0</v>
      </c>
      <c r="E1036" s="39">
        <v>0</v>
      </c>
      <c r="F1036" s="39">
        <v>0</v>
      </c>
      <c r="G1036" s="39">
        <v>0</v>
      </c>
      <c r="H1036" s="40">
        <v>0.13560138046675596</v>
      </c>
      <c r="I1036" s="40">
        <v>0</v>
      </c>
      <c r="J1036" s="40">
        <v>0.13560138046675596</v>
      </c>
    </row>
    <row r="1037" spans="1:10" ht="11.25" customHeight="1" x14ac:dyDescent="0.2">
      <c r="A1037" s="49">
        <v>44593</v>
      </c>
      <c r="B1037" s="39">
        <v>594.22000056219997</v>
      </c>
      <c r="C1037" s="39">
        <v>674.79705293939094</v>
      </c>
      <c r="D1037" s="39">
        <v>0</v>
      </c>
      <c r="E1037" s="39">
        <v>0</v>
      </c>
      <c r="F1037" s="39">
        <v>0</v>
      </c>
      <c r="G1037" s="39">
        <v>0</v>
      </c>
      <c r="H1037" s="40">
        <v>0.13560138046675618</v>
      </c>
      <c r="I1037" s="40">
        <v>0</v>
      </c>
      <c r="J1037" s="40">
        <v>0.13560138046675618</v>
      </c>
    </row>
    <row r="1038" spans="1:10" ht="11.25" customHeight="1" x14ac:dyDescent="0.2">
      <c r="A1038" s="49">
        <v>44621</v>
      </c>
      <c r="B1038" s="39">
        <v>593.74000115280001</v>
      </c>
      <c r="C1038" s="39">
        <v>674.25196494745308</v>
      </c>
      <c r="D1038" s="39">
        <v>0</v>
      </c>
      <c r="E1038" s="39">
        <v>0</v>
      </c>
      <c r="F1038" s="39">
        <v>0</v>
      </c>
      <c r="G1038" s="39">
        <v>0</v>
      </c>
      <c r="H1038" s="40">
        <v>0.13560138046675618</v>
      </c>
      <c r="I1038" s="40">
        <v>0</v>
      </c>
      <c r="J1038" s="40">
        <v>0.13560138046675618</v>
      </c>
    </row>
    <row r="1039" spans="1:10" ht="11.25" customHeight="1" x14ac:dyDescent="0.2">
      <c r="A1039" s="49">
        <v>44652</v>
      </c>
      <c r="B1039" s="39">
        <v>593.60999661920005</v>
      </c>
      <c r="C1039" s="39">
        <v>674.10433161962999</v>
      </c>
      <c r="D1039" s="39">
        <v>0</v>
      </c>
      <c r="E1039" s="39">
        <v>0</v>
      </c>
      <c r="F1039" s="39">
        <v>0</v>
      </c>
      <c r="G1039" s="39">
        <v>0</v>
      </c>
      <c r="H1039" s="40">
        <v>0.13560138046675618</v>
      </c>
      <c r="I1039" s="40">
        <v>0</v>
      </c>
      <c r="J1039" s="40">
        <v>0.13560138046675618</v>
      </c>
    </row>
    <row r="1040" spans="1:10" ht="11.25" customHeight="1" x14ac:dyDescent="0.2">
      <c r="A1040" s="49">
        <v>44682</v>
      </c>
      <c r="B1040" s="39">
        <v>594.24999978419999</v>
      </c>
      <c r="C1040" s="39">
        <v>674.83112009730712</v>
      </c>
      <c r="D1040" s="39">
        <v>0</v>
      </c>
      <c r="E1040" s="39">
        <v>0</v>
      </c>
      <c r="F1040" s="39">
        <v>0</v>
      </c>
      <c r="G1040" s="39">
        <v>0</v>
      </c>
      <c r="H1040" s="40">
        <v>0.13560138046675618</v>
      </c>
      <c r="I1040" s="40">
        <v>0</v>
      </c>
      <c r="J1040" s="40">
        <v>0.13560138046675618</v>
      </c>
    </row>
    <row r="1041" spans="1:10" ht="11.25" customHeight="1" x14ac:dyDescent="0.2">
      <c r="A1041" s="49">
        <v>44713</v>
      </c>
      <c r="B1041" s="39">
        <v>665.22000114499997</v>
      </c>
      <c r="C1041" s="39">
        <v>755.42475161435914</v>
      </c>
      <c r="D1041" s="39">
        <v>0</v>
      </c>
      <c r="E1041" s="39">
        <v>0</v>
      </c>
      <c r="F1041" s="39">
        <v>0</v>
      </c>
      <c r="G1041" s="39">
        <v>0</v>
      </c>
      <c r="H1041" s="40">
        <v>0.13560138046675618</v>
      </c>
      <c r="I1041" s="40">
        <v>0</v>
      </c>
      <c r="J1041" s="40">
        <v>0.13560138046675618</v>
      </c>
    </row>
    <row r="1042" spans="1:10" ht="11.25" customHeight="1" x14ac:dyDescent="0.2">
      <c r="A1042" s="49">
        <v>44743</v>
      </c>
      <c r="B1042" s="39">
        <v>593.11000563339996</v>
      </c>
      <c r="C1042" s="39">
        <v>673.53654116593452</v>
      </c>
      <c r="D1042" s="39">
        <v>0</v>
      </c>
      <c r="E1042" s="39">
        <v>0</v>
      </c>
      <c r="F1042" s="39">
        <v>0</v>
      </c>
      <c r="G1042" s="39">
        <v>0</v>
      </c>
      <c r="H1042" s="40">
        <v>0.13560138046675618</v>
      </c>
      <c r="I1042" s="40">
        <v>0</v>
      </c>
      <c r="J1042" s="40">
        <v>0.13560138046675618</v>
      </c>
    </row>
    <row r="1043" spans="1:10" ht="11.25" customHeight="1" x14ac:dyDescent="0.2">
      <c r="A1043" s="49">
        <v>44774</v>
      </c>
      <c r="B1043" s="39">
        <v>556.63000308940002</v>
      </c>
      <c r="C1043" s="39">
        <v>632.10979991753743</v>
      </c>
      <c r="D1043" s="39">
        <v>0</v>
      </c>
      <c r="E1043" s="39">
        <v>0</v>
      </c>
      <c r="F1043" s="39">
        <v>0</v>
      </c>
      <c r="G1043" s="39">
        <v>0</v>
      </c>
      <c r="H1043" s="40">
        <v>0.13560138046675618</v>
      </c>
      <c r="I1043" s="40">
        <v>0</v>
      </c>
      <c r="J1043" s="40">
        <v>0.13560138046675618</v>
      </c>
    </row>
    <row r="1044" spans="1:10" ht="11.25" customHeight="1" x14ac:dyDescent="0.2">
      <c r="A1044" s="49">
        <v>44805</v>
      </c>
      <c r="B1044" s="39">
        <v>592.81999734420003</v>
      </c>
      <c r="C1044" s="39">
        <v>673.20720735237228</v>
      </c>
      <c r="D1044" s="39">
        <v>0</v>
      </c>
      <c r="E1044" s="39">
        <v>0</v>
      </c>
      <c r="F1044" s="39">
        <v>0</v>
      </c>
      <c r="G1044" s="39">
        <v>0</v>
      </c>
      <c r="H1044" s="40">
        <v>0.13560138046675618</v>
      </c>
      <c r="I1044" s="40">
        <v>0</v>
      </c>
      <c r="J1044" s="40">
        <v>0.13560138046675618</v>
      </c>
    </row>
    <row r="1045" spans="1:10" ht="11.25" customHeight="1" x14ac:dyDescent="0.2">
      <c r="A1045" s="49">
        <v>44835</v>
      </c>
      <c r="B1045" s="39">
        <v>592.81999734420003</v>
      </c>
      <c r="C1045" s="39">
        <v>673.20720735237228</v>
      </c>
      <c r="D1045" s="39">
        <v>0</v>
      </c>
      <c r="E1045" s="39">
        <v>0</v>
      </c>
      <c r="F1045" s="39">
        <v>0</v>
      </c>
      <c r="G1045" s="39">
        <v>0</v>
      </c>
      <c r="H1045" s="40">
        <v>0.13560138046675618</v>
      </c>
      <c r="I1045" s="40">
        <v>0</v>
      </c>
      <c r="J1045" s="40">
        <v>0.13560138046675618</v>
      </c>
    </row>
    <row r="1046" spans="1:10" ht="11.25" customHeight="1" x14ac:dyDescent="0.2">
      <c r="A1046" s="48" t="s">
        <v>34</v>
      </c>
      <c r="B1046" s="39">
        <v>0</v>
      </c>
      <c r="C1046" s="39">
        <v>0</v>
      </c>
      <c r="D1046" s="39">
        <v>31945.604851177872</v>
      </c>
      <c r="E1046" s="39">
        <v>37323.69434361934</v>
      </c>
      <c r="F1046" s="39">
        <v>0</v>
      </c>
      <c r="G1046" s="39">
        <v>0</v>
      </c>
      <c r="H1046" s="40">
        <v>0.16835146861347261</v>
      </c>
      <c r="I1046" s="40">
        <v>0</v>
      </c>
      <c r="J1046" s="40">
        <v>0.16835146861347261</v>
      </c>
    </row>
    <row r="1047" spans="1:10" ht="11.25" customHeight="1" x14ac:dyDescent="0.2">
      <c r="A1047" s="49">
        <v>44531</v>
      </c>
      <c r="B1047" s="39">
        <v>0</v>
      </c>
      <c r="C1047" s="39">
        <v>0</v>
      </c>
      <c r="D1047" s="39">
        <v>3023.8965279847039</v>
      </c>
      <c r="E1047" s="39">
        <v>3532.9739494061091</v>
      </c>
      <c r="F1047" s="39">
        <v>0</v>
      </c>
      <c r="G1047" s="39">
        <v>0</v>
      </c>
      <c r="H1047" s="40">
        <v>0.16835146861347239</v>
      </c>
      <c r="I1047" s="40">
        <v>0</v>
      </c>
      <c r="J1047" s="40">
        <v>0.16835146861347239</v>
      </c>
    </row>
    <row r="1048" spans="1:10" ht="11.25" customHeight="1" x14ac:dyDescent="0.2">
      <c r="A1048" s="49">
        <v>44562</v>
      </c>
      <c r="B1048" s="39">
        <v>0</v>
      </c>
      <c r="C1048" s="39">
        <v>0</v>
      </c>
      <c r="D1048" s="39">
        <v>3428.0600941448865</v>
      </c>
      <c r="E1048" s="39">
        <v>4005.1790454894167</v>
      </c>
      <c r="F1048" s="39">
        <v>0</v>
      </c>
      <c r="G1048" s="39">
        <v>0</v>
      </c>
      <c r="H1048" s="40">
        <v>0.16835146861347239</v>
      </c>
      <c r="I1048" s="40">
        <v>0</v>
      </c>
      <c r="J1048" s="40">
        <v>0.16835146861347239</v>
      </c>
    </row>
    <row r="1049" spans="1:10" ht="11.25" customHeight="1" x14ac:dyDescent="0.2">
      <c r="A1049" s="49">
        <v>44593</v>
      </c>
      <c r="B1049" s="39">
        <v>0</v>
      </c>
      <c r="C1049" s="39">
        <v>0</v>
      </c>
      <c r="D1049" s="39">
        <v>3204.1902139704598</v>
      </c>
      <c r="E1049" s="39">
        <v>3743.6203422093035</v>
      </c>
      <c r="F1049" s="39">
        <v>0</v>
      </c>
      <c r="G1049" s="39">
        <v>0</v>
      </c>
      <c r="H1049" s="40">
        <v>0.16835146861347261</v>
      </c>
      <c r="I1049" s="40">
        <v>0</v>
      </c>
      <c r="J1049" s="40">
        <v>0.16835146861347261</v>
      </c>
    </row>
    <row r="1050" spans="1:10" ht="11.25" customHeight="1" x14ac:dyDescent="0.2">
      <c r="A1050" s="49">
        <v>44621</v>
      </c>
      <c r="B1050" s="39">
        <v>0</v>
      </c>
      <c r="C1050" s="39">
        <v>0</v>
      </c>
      <c r="D1050" s="39">
        <v>2952.4243046648066</v>
      </c>
      <c r="E1050" s="39">
        <v>3449.4692723252369</v>
      </c>
      <c r="F1050" s="39">
        <v>0</v>
      </c>
      <c r="G1050" s="39">
        <v>0</v>
      </c>
      <c r="H1050" s="40">
        <v>0.16835146861347239</v>
      </c>
      <c r="I1050" s="40">
        <v>0</v>
      </c>
      <c r="J1050" s="40">
        <v>0.16835146861347239</v>
      </c>
    </row>
    <row r="1051" spans="1:10" ht="11.25" customHeight="1" x14ac:dyDescent="0.2">
      <c r="A1051" s="49">
        <v>44652</v>
      </c>
      <c r="B1051" s="39">
        <v>0</v>
      </c>
      <c r="C1051" s="39">
        <v>0</v>
      </c>
      <c r="D1051" s="39">
        <v>3569.544400758336</v>
      </c>
      <c r="E1051" s="39">
        <v>4170.4824429069995</v>
      </c>
      <c r="F1051" s="39">
        <v>0</v>
      </c>
      <c r="G1051" s="39">
        <v>0</v>
      </c>
      <c r="H1051" s="40">
        <v>0.16835146861347239</v>
      </c>
      <c r="I1051" s="40">
        <v>0</v>
      </c>
      <c r="J1051" s="40">
        <v>0.16835146861347239</v>
      </c>
    </row>
    <row r="1052" spans="1:10" ht="11.25" customHeight="1" x14ac:dyDescent="0.2">
      <c r="A1052" s="49">
        <v>44682</v>
      </c>
      <c r="B1052" s="39">
        <v>0</v>
      </c>
      <c r="C1052" s="39">
        <v>0</v>
      </c>
      <c r="D1052" s="39">
        <v>2803.6616753553408</v>
      </c>
      <c r="E1052" s="39">
        <v>3275.6622358967215</v>
      </c>
      <c r="F1052" s="39">
        <v>0</v>
      </c>
      <c r="G1052" s="39">
        <v>0</v>
      </c>
      <c r="H1052" s="40">
        <v>0.16835146861347261</v>
      </c>
      <c r="I1052" s="40">
        <v>0</v>
      </c>
      <c r="J1052" s="40">
        <v>0.16835146861347261</v>
      </c>
    </row>
    <row r="1053" spans="1:10" ht="11.25" customHeight="1" x14ac:dyDescent="0.2">
      <c r="A1053" s="49">
        <v>44713</v>
      </c>
      <c r="B1053" s="39">
        <v>0</v>
      </c>
      <c r="C1053" s="39">
        <v>0</v>
      </c>
      <c r="D1053" s="39">
        <v>2580.7641373624965</v>
      </c>
      <c r="E1053" s="39">
        <v>3015.2395700324546</v>
      </c>
      <c r="F1053" s="39">
        <v>0</v>
      </c>
      <c r="G1053" s="39">
        <v>0</v>
      </c>
      <c r="H1053" s="40">
        <v>0.16835146861347261</v>
      </c>
      <c r="I1053" s="40">
        <v>0</v>
      </c>
      <c r="J1053" s="40">
        <v>0.16835146861347261</v>
      </c>
    </row>
    <row r="1054" spans="1:10" ht="11.25" customHeight="1" x14ac:dyDescent="0.2">
      <c r="A1054" s="49">
        <v>44743</v>
      </c>
      <c r="B1054" s="39">
        <v>0</v>
      </c>
      <c r="C1054" s="39">
        <v>0</v>
      </c>
      <c r="D1054" s="39">
        <v>2358.0833366774973</v>
      </c>
      <c r="E1054" s="39">
        <v>2755.0701295201115</v>
      </c>
      <c r="F1054" s="39">
        <v>0</v>
      </c>
      <c r="G1054" s="39">
        <v>0</v>
      </c>
      <c r="H1054" s="40">
        <v>0.16835146861347261</v>
      </c>
      <c r="I1054" s="40">
        <v>0</v>
      </c>
      <c r="J1054" s="40">
        <v>0.16835146861347261</v>
      </c>
    </row>
    <row r="1055" spans="1:10" ht="11.25" customHeight="1" x14ac:dyDescent="0.2">
      <c r="A1055" s="49">
        <v>44774</v>
      </c>
      <c r="B1055" s="39">
        <v>0</v>
      </c>
      <c r="C1055" s="39">
        <v>0</v>
      </c>
      <c r="D1055" s="39">
        <v>2353.9808657078997</v>
      </c>
      <c r="E1055" s="39">
        <v>2750.2770015378383</v>
      </c>
      <c r="F1055" s="39">
        <v>0</v>
      </c>
      <c r="G1055" s="39">
        <v>0</v>
      </c>
      <c r="H1055" s="40">
        <v>0.16835146861347261</v>
      </c>
      <c r="I1055" s="40">
        <v>0</v>
      </c>
      <c r="J1055" s="40">
        <v>0.16835146861347261</v>
      </c>
    </row>
    <row r="1056" spans="1:10" ht="11.25" customHeight="1" x14ac:dyDescent="0.2">
      <c r="A1056" s="49">
        <v>44805</v>
      </c>
      <c r="B1056" s="39">
        <v>0</v>
      </c>
      <c r="C1056" s="39">
        <v>0</v>
      </c>
      <c r="D1056" s="39">
        <v>2835.4996472757239</v>
      </c>
      <c r="E1056" s="39">
        <v>3312.8601771475751</v>
      </c>
      <c r="F1056" s="39">
        <v>0</v>
      </c>
      <c r="G1056" s="39">
        <v>0</v>
      </c>
      <c r="H1056" s="40">
        <v>0.16835146861347239</v>
      </c>
      <c r="I1056" s="40">
        <v>0</v>
      </c>
      <c r="J1056" s="40">
        <v>0.16835146861347239</v>
      </c>
    </row>
    <row r="1057" spans="1:10" ht="11.25" customHeight="1" x14ac:dyDescent="0.2">
      <c r="A1057" s="49">
        <v>44835</v>
      </c>
      <c r="B1057" s="39">
        <v>0</v>
      </c>
      <c r="C1057" s="39">
        <v>0</v>
      </c>
      <c r="D1057" s="39">
        <v>2835.4996472757239</v>
      </c>
      <c r="E1057" s="39">
        <v>3312.8601771475751</v>
      </c>
      <c r="F1057" s="39">
        <v>0</v>
      </c>
      <c r="G1057" s="39">
        <v>0</v>
      </c>
      <c r="H1057" s="40">
        <v>0.16835146861347239</v>
      </c>
      <c r="I1057" s="40">
        <v>0</v>
      </c>
      <c r="J1057" s="40">
        <v>0.16835146861347239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976E9-6DA1-4596-BDCB-5D4109F5E820}">
  <sheetPr codeName="Planilha19"/>
  <dimension ref="A1:G436"/>
  <sheetViews>
    <sheetView showGridLines="0" workbookViewId="0"/>
  </sheetViews>
  <sheetFormatPr defaultRowHeight="11.25" customHeight="1" x14ac:dyDescent="0.2"/>
  <cols>
    <col min="1" max="1" width="33.21875" style="14" bestFit="1" customWidth="1"/>
    <col min="2" max="2" width="19.77734375" style="39" bestFit="1" customWidth="1"/>
    <col min="3" max="3" width="21.109375" style="39" bestFit="1" customWidth="1"/>
    <col min="4" max="4" width="19.77734375" style="39" bestFit="1" customWidth="1"/>
    <col min="5" max="5" width="21.109375" style="39" bestFit="1" customWidth="1"/>
    <col min="6" max="7" width="13.77734375" style="39" bestFit="1" customWidth="1"/>
    <col min="8" max="16384" width="8.88671875" style="14"/>
  </cols>
  <sheetData>
    <row r="1" spans="1:7" ht="11.25" customHeight="1" x14ac:dyDescent="0.2">
      <c r="A1" s="38" t="s">
        <v>835</v>
      </c>
      <c r="B1" s="39" t="s">
        <v>860</v>
      </c>
      <c r="C1" s="39" t="s">
        <v>861</v>
      </c>
      <c r="D1" s="39" t="s">
        <v>862</v>
      </c>
      <c r="E1" s="39" t="s">
        <v>863</v>
      </c>
      <c r="F1" s="39" t="s">
        <v>864</v>
      </c>
      <c r="G1" s="39" t="s">
        <v>865</v>
      </c>
    </row>
    <row r="2" spans="1:7" ht="11.25" customHeight="1" x14ac:dyDescent="0.2">
      <c r="A2" s="41" t="s">
        <v>852</v>
      </c>
      <c r="B2" s="39">
        <v>70817.88</v>
      </c>
      <c r="C2" s="39">
        <v>352826.77711019997</v>
      </c>
      <c r="D2" s="39">
        <v>80590.430106705666</v>
      </c>
      <c r="E2" s="39">
        <v>414288.43331639178</v>
      </c>
      <c r="F2" s="39">
        <v>423644.65711019997</v>
      </c>
      <c r="G2" s="39">
        <v>494878.86342309741</v>
      </c>
    </row>
    <row r="3" spans="1:7" ht="11.25" customHeight="1" x14ac:dyDescent="0.2">
      <c r="A3" s="42" t="s">
        <v>39</v>
      </c>
      <c r="B3" s="39">
        <v>70817.88</v>
      </c>
      <c r="C3" s="39">
        <v>299352.37970039999</v>
      </c>
      <c r="D3" s="39">
        <v>80590.430106705666</v>
      </c>
      <c r="E3" s="39">
        <v>351420.08080560656</v>
      </c>
      <c r="F3" s="39">
        <v>370170.2597004</v>
      </c>
      <c r="G3" s="39">
        <v>432010.51091231219</v>
      </c>
    </row>
    <row r="4" spans="1:7" ht="11.25" customHeight="1" x14ac:dyDescent="0.2">
      <c r="A4" s="43" t="s">
        <v>40</v>
      </c>
      <c r="B4" s="39">
        <v>18809.28</v>
      </c>
      <c r="C4" s="39">
        <v>28588.863383999989</v>
      </c>
      <c r="D4" s="39">
        <v>21427.722044163787</v>
      </c>
      <c r="E4" s="39">
        <v>33610.961158576421</v>
      </c>
      <c r="F4" s="39">
        <v>47398.143383999988</v>
      </c>
      <c r="G4" s="39">
        <v>55038.683202740212</v>
      </c>
    </row>
    <row r="5" spans="1:7" ht="11.25" customHeight="1" x14ac:dyDescent="0.2">
      <c r="A5" s="44" t="s">
        <v>50</v>
      </c>
      <c r="B5" s="39">
        <v>18809.28</v>
      </c>
      <c r="C5" s="39">
        <v>28588.863383999989</v>
      </c>
      <c r="D5" s="39">
        <v>21427.722044163787</v>
      </c>
      <c r="E5" s="39">
        <v>33610.961158576421</v>
      </c>
      <c r="F5" s="39">
        <v>47398.143383999988</v>
      </c>
      <c r="G5" s="39">
        <v>55038.683202740212</v>
      </c>
    </row>
    <row r="6" spans="1:7" ht="11.25" customHeight="1" x14ac:dyDescent="0.2">
      <c r="A6" s="45" t="s">
        <v>51</v>
      </c>
      <c r="B6" s="39">
        <v>18809.28</v>
      </c>
      <c r="C6" s="39">
        <v>28588.863383999989</v>
      </c>
      <c r="D6" s="39">
        <v>21427.722044163787</v>
      </c>
      <c r="E6" s="39">
        <v>33610.961158576421</v>
      </c>
      <c r="F6" s="39">
        <v>47398.143383999988</v>
      </c>
      <c r="G6" s="39">
        <v>55038.683202740212</v>
      </c>
    </row>
    <row r="7" spans="1:7" ht="11.25" customHeight="1" x14ac:dyDescent="0.2">
      <c r="A7" s="46" t="s">
        <v>25</v>
      </c>
      <c r="B7" s="39">
        <v>18809.28</v>
      </c>
      <c r="C7" s="39">
        <v>28588.863383999989</v>
      </c>
      <c r="D7" s="39">
        <v>21427.722044163787</v>
      </c>
      <c r="E7" s="39">
        <v>33610.961158576421</v>
      </c>
      <c r="F7" s="39">
        <v>47398.143383999988</v>
      </c>
      <c r="G7" s="39">
        <v>55038.683202740212</v>
      </c>
    </row>
    <row r="8" spans="1:7" ht="11.25" customHeight="1" x14ac:dyDescent="0.2">
      <c r="A8" s="47" t="s">
        <v>25</v>
      </c>
      <c r="B8" s="39">
        <v>18809.28</v>
      </c>
      <c r="C8" s="39">
        <v>28588.863383999989</v>
      </c>
      <c r="D8" s="39">
        <v>21427.722044163787</v>
      </c>
      <c r="E8" s="39">
        <v>33610.961158576421</v>
      </c>
      <c r="F8" s="39">
        <v>47398.143383999988</v>
      </c>
      <c r="G8" s="39">
        <v>55038.683202740212</v>
      </c>
    </row>
    <row r="9" spans="1:7" ht="11.25" customHeight="1" x14ac:dyDescent="0.2">
      <c r="A9" s="48" t="s">
        <v>35</v>
      </c>
      <c r="B9" s="39">
        <v>5292</v>
      </c>
      <c r="C9" s="39">
        <v>24815.343913199991</v>
      </c>
      <c r="D9" s="39">
        <v>6019.9476830172598</v>
      </c>
      <c r="E9" s="39">
        <v>29254.356715837599</v>
      </c>
      <c r="F9" s="39">
        <v>30107.343913199991</v>
      </c>
      <c r="G9" s="39">
        <v>35274.30439885486</v>
      </c>
    </row>
    <row r="10" spans="1:7" ht="11.25" customHeight="1" x14ac:dyDescent="0.2">
      <c r="A10" s="49">
        <v>44501</v>
      </c>
      <c r="B10" s="39">
        <v>441</v>
      </c>
      <c r="C10" s="39">
        <v>2043.6036804000007</v>
      </c>
      <c r="D10" s="39">
        <v>501.662306918105</v>
      </c>
      <c r="E10" s="39">
        <v>2409.1671371283801</v>
      </c>
      <c r="F10" s="39">
        <v>2484.6036804000005</v>
      </c>
      <c r="G10" s="39">
        <v>2910.8294440464852</v>
      </c>
    </row>
    <row r="11" spans="1:7" ht="11.25" customHeight="1" x14ac:dyDescent="0.2">
      <c r="A11" s="49">
        <v>44531</v>
      </c>
      <c r="B11" s="39">
        <v>441</v>
      </c>
      <c r="C11" s="39">
        <v>1971.5522688000037</v>
      </c>
      <c r="D11" s="39">
        <v>501.662306918105</v>
      </c>
      <c r="E11" s="39">
        <v>2324.2270410249876</v>
      </c>
      <c r="F11" s="39">
        <v>2412.5522688000037</v>
      </c>
      <c r="G11" s="39">
        <v>2825.8893479430926</v>
      </c>
    </row>
    <row r="12" spans="1:7" ht="11.25" customHeight="1" x14ac:dyDescent="0.2">
      <c r="A12" s="49">
        <v>44562</v>
      </c>
      <c r="B12" s="39">
        <v>441</v>
      </c>
      <c r="C12" s="39">
        <v>2232.0782171999999</v>
      </c>
      <c r="D12" s="39">
        <v>501.662306918105</v>
      </c>
      <c r="E12" s="39">
        <v>2631.3563338884751</v>
      </c>
      <c r="F12" s="39">
        <v>2673.0782171999999</v>
      </c>
      <c r="G12" s="39">
        <v>3133.0186408065802</v>
      </c>
    </row>
    <row r="13" spans="1:7" ht="11.25" customHeight="1" x14ac:dyDescent="0.2">
      <c r="A13" s="49">
        <v>44593</v>
      </c>
      <c r="B13" s="39">
        <v>441</v>
      </c>
      <c r="C13" s="39">
        <v>2178.9500363999969</v>
      </c>
      <c r="D13" s="39">
        <v>501.662306918105</v>
      </c>
      <c r="E13" s="39">
        <v>2568.7244897269256</v>
      </c>
      <c r="F13" s="39">
        <v>2619.9500363999969</v>
      </c>
      <c r="G13" s="39">
        <v>3070.3867966450307</v>
      </c>
    </row>
    <row r="14" spans="1:7" ht="11.25" customHeight="1" x14ac:dyDescent="0.2">
      <c r="A14" s="49">
        <v>44621</v>
      </c>
      <c r="B14" s="39">
        <v>441</v>
      </c>
      <c r="C14" s="39">
        <v>1934.8424640000028</v>
      </c>
      <c r="D14" s="39">
        <v>501.662306918105</v>
      </c>
      <c r="E14" s="39">
        <v>2280.9505211288938</v>
      </c>
      <c r="F14" s="39">
        <v>2375.842464000003</v>
      </c>
      <c r="G14" s="39">
        <v>2782.6128280469989</v>
      </c>
    </row>
    <row r="15" spans="1:7" ht="11.25" customHeight="1" x14ac:dyDescent="0.2">
      <c r="A15" s="49">
        <v>44652</v>
      </c>
      <c r="B15" s="39">
        <v>441</v>
      </c>
      <c r="C15" s="39">
        <v>2085.8494247999993</v>
      </c>
      <c r="D15" s="39">
        <v>501.662306918105</v>
      </c>
      <c r="E15" s="39">
        <v>2458.9698753344887</v>
      </c>
      <c r="F15" s="39">
        <v>2526.8494247999993</v>
      </c>
      <c r="G15" s="39">
        <v>2960.6321822525938</v>
      </c>
    </row>
    <row r="16" spans="1:7" ht="11.25" customHeight="1" x14ac:dyDescent="0.2">
      <c r="A16" s="49">
        <v>44682</v>
      </c>
      <c r="B16" s="39">
        <v>441</v>
      </c>
      <c r="C16" s="39">
        <v>2118.1809959999969</v>
      </c>
      <c r="D16" s="39">
        <v>501.662306918105</v>
      </c>
      <c r="E16" s="39">
        <v>2497.0849754264568</v>
      </c>
      <c r="F16" s="39">
        <v>2559.1809959999969</v>
      </c>
      <c r="G16" s="39">
        <v>2998.7472823445619</v>
      </c>
    </row>
    <row r="17" spans="1:7" ht="11.25" customHeight="1" x14ac:dyDescent="0.2">
      <c r="A17" s="49">
        <v>44713</v>
      </c>
      <c r="B17" s="39">
        <v>441</v>
      </c>
      <c r="C17" s="39">
        <v>2082.1658147999965</v>
      </c>
      <c r="D17" s="39">
        <v>501.662306918105</v>
      </c>
      <c r="E17" s="39">
        <v>2454.627334633903</v>
      </c>
      <c r="F17" s="39">
        <v>2523.1658147999965</v>
      </c>
      <c r="G17" s="39">
        <v>2956.2896415520081</v>
      </c>
    </row>
    <row r="18" spans="1:7" ht="11.25" customHeight="1" x14ac:dyDescent="0.2">
      <c r="A18" s="49">
        <v>44743</v>
      </c>
      <c r="B18" s="39">
        <v>441</v>
      </c>
      <c r="C18" s="39">
        <v>1977.0040115999993</v>
      </c>
      <c r="D18" s="39">
        <v>501.662306918105</v>
      </c>
      <c r="E18" s="39">
        <v>2330.6540012618443</v>
      </c>
      <c r="F18" s="39">
        <v>2418.0040115999991</v>
      </c>
      <c r="G18" s="39">
        <v>2832.3163081799494</v>
      </c>
    </row>
    <row r="19" spans="1:7" ht="11.25" customHeight="1" x14ac:dyDescent="0.2">
      <c r="A19" s="49">
        <v>44774</v>
      </c>
      <c r="B19" s="39">
        <v>441</v>
      </c>
      <c r="C19" s="39">
        <v>2074.0197743999984</v>
      </c>
      <c r="D19" s="39">
        <v>501.662306918105</v>
      </c>
      <c r="E19" s="39">
        <v>2445.0241160560449</v>
      </c>
      <c r="F19" s="39">
        <v>2515.0197743999984</v>
      </c>
      <c r="G19" s="39">
        <v>2946.68642297415</v>
      </c>
    </row>
    <row r="20" spans="1:7" ht="11.25" customHeight="1" x14ac:dyDescent="0.2">
      <c r="A20" s="49">
        <v>44805</v>
      </c>
      <c r="B20" s="39">
        <v>441</v>
      </c>
      <c r="C20" s="39">
        <v>2058.5486123999981</v>
      </c>
      <c r="D20" s="39">
        <v>501.662306918105</v>
      </c>
      <c r="E20" s="39">
        <v>2426.7854451135981</v>
      </c>
      <c r="F20" s="39">
        <v>2499.5486123999981</v>
      </c>
      <c r="G20" s="39">
        <v>2928.4477520317032</v>
      </c>
    </row>
    <row r="21" spans="1:7" ht="11.25" customHeight="1" x14ac:dyDescent="0.2">
      <c r="A21" s="49">
        <v>44835</v>
      </c>
      <c r="B21" s="39">
        <v>441</v>
      </c>
      <c r="C21" s="39">
        <v>2058.5486123999981</v>
      </c>
      <c r="D21" s="39">
        <v>501.662306918105</v>
      </c>
      <c r="E21" s="39">
        <v>2426.7854451135981</v>
      </c>
      <c r="F21" s="39">
        <v>2499.5486123999981</v>
      </c>
      <c r="G21" s="39">
        <v>2928.4477520317032</v>
      </c>
    </row>
    <row r="22" spans="1:7" ht="11.25" customHeight="1" x14ac:dyDescent="0.2">
      <c r="A22" s="48" t="s">
        <v>34</v>
      </c>
      <c r="B22" s="39">
        <v>13517.28</v>
      </c>
      <c r="C22" s="39">
        <v>3773.519470799999</v>
      </c>
      <c r="D22" s="39">
        <v>15407.774361146521</v>
      </c>
      <c r="E22" s="39">
        <v>4356.604442738816</v>
      </c>
      <c r="F22" s="39">
        <v>17290.799470800001</v>
      </c>
      <c r="G22" s="39">
        <v>19764.378803885338</v>
      </c>
    </row>
    <row r="23" spans="1:7" ht="11.25" customHeight="1" x14ac:dyDescent="0.2">
      <c r="A23" s="49">
        <v>44501</v>
      </c>
      <c r="B23" s="39">
        <v>1126.4399999999998</v>
      </c>
      <c r="C23" s="39">
        <v>265.12714800000055</v>
      </c>
      <c r="D23" s="39">
        <v>1283.9811967622104</v>
      </c>
      <c r="E23" s="39">
        <v>306.09464713391247</v>
      </c>
      <c r="F23" s="39">
        <v>1391.5671480000003</v>
      </c>
      <c r="G23" s="39">
        <v>1590.0758438961229</v>
      </c>
    </row>
    <row r="24" spans="1:7" ht="11.25" customHeight="1" x14ac:dyDescent="0.2">
      <c r="A24" s="49">
        <v>44531</v>
      </c>
      <c r="B24" s="39">
        <v>1126.4399999999998</v>
      </c>
      <c r="C24" s="39">
        <v>269.36053020000037</v>
      </c>
      <c r="D24" s="39">
        <v>1283.9811967622104</v>
      </c>
      <c r="E24" s="39">
        <v>310.98217238535119</v>
      </c>
      <c r="F24" s="39">
        <v>1395.8005302000001</v>
      </c>
      <c r="G24" s="39">
        <v>1594.9633691475615</v>
      </c>
    </row>
    <row r="25" spans="1:7" ht="11.25" customHeight="1" x14ac:dyDescent="0.2">
      <c r="A25" s="49">
        <v>44562</v>
      </c>
      <c r="B25" s="39">
        <v>1126.4399999999998</v>
      </c>
      <c r="C25" s="39">
        <v>344.44898820000014</v>
      </c>
      <c r="D25" s="39">
        <v>1283.9811967622104</v>
      </c>
      <c r="E25" s="39">
        <v>397.67331370649379</v>
      </c>
      <c r="F25" s="39">
        <v>1470.8889881999999</v>
      </c>
      <c r="G25" s="39">
        <v>1681.6545104687043</v>
      </c>
    </row>
    <row r="26" spans="1:7" ht="11.25" customHeight="1" x14ac:dyDescent="0.2">
      <c r="A26" s="49">
        <v>44593</v>
      </c>
      <c r="B26" s="39">
        <v>1126.4399999999998</v>
      </c>
      <c r="C26" s="39">
        <v>301.62075659999948</v>
      </c>
      <c r="D26" s="39">
        <v>1283.9811967622104</v>
      </c>
      <c r="E26" s="39">
        <v>348.22725532332265</v>
      </c>
      <c r="F26" s="39">
        <v>1428.0607565999994</v>
      </c>
      <c r="G26" s="39">
        <v>1632.2084520855331</v>
      </c>
    </row>
    <row r="27" spans="1:7" ht="11.25" customHeight="1" x14ac:dyDescent="0.2">
      <c r="A27" s="49">
        <v>44621</v>
      </c>
      <c r="B27" s="39">
        <v>1126.4399999999998</v>
      </c>
      <c r="C27" s="39">
        <v>323.80738739999936</v>
      </c>
      <c r="D27" s="39">
        <v>1283.9811967622104</v>
      </c>
      <c r="E27" s="39">
        <v>373.84216868487829</v>
      </c>
      <c r="F27" s="39">
        <v>1450.2473873999993</v>
      </c>
      <c r="G27" s="39">
        <v>1657.8233654470887</v>
      </c>
    </row>
    <row r="28" spans="1:7" ht="11.25" customHeight="1" x14ac:dyDescent="0.2">
      <c r="A28" s="49">
        <v>44652</v>
      </c>
      <c r="B28" s="39">
        <v>1126.4399999999998</v>
      </c>
      <c r="C28" s="39">
        <v>302.67137699999995</v>
      </c>
      <c r="D28" s="39">
        <v>1283.9811967622104</v>
      </c>
      <c r="E28" s="39">
        <v>349.44021779448326</v>
      </c>
      <c r="F28" s="39">
        <v>1429.1113769999997</v>
      </c>
      <c r="G28" s="39">
        <v>1633.4214145566937</v>
      </c>
    </row>
    <row r="29" spans="1:7" ht="11.25" customHeight="1" x14ac:dyDescent="0.2">
      <c r="A29" s="49">
        <v>44682</v>
      </c>
      <c r="B29" s="39">
        <v>1126.4399999999998</v>
      </c>
      <c r="C29" s="39">
        <v>314.56810799999971</v>
      </c>
      <c r="D29" s="39">
        <v>1283.9811967622104</v>
      </c>
      <c r="E29" s="39">
        <v>363.17523401203027</v>
      </c>
      <c r="F29" s="39">
        <v>1441.0081079999995</v>
      </c>
      <c r="G29" s="39">
        <v>1647.1564307742406</v>
      </c>
    </row>
    <row r="30" spans="1:7" ht="11.25" customHeight="1" x14ac:dyDescent="0.2">
      <c r="A30" s="49">
        <v>44713</v>
      </c>
      <c r="B30" s="39">
        <v>1126.4399999999998</v>
      </c>
      <c r="C30" s="39">
        <v>337.24914840000008</v>
      </c>
      <c r="D30" s="39">
        <v>1283.9811967622104</v>
      </c>
      <c r="E30" s="39">
        <v>389.36095324236771</v>
      </c>
      <c r="F30" s="39">
        <v>1463.6891483999998</v>
      </c>
      <c r="G30" s="39">
        <v>1673.3421500045781</v>
      </c>
    </row>
    <row r="31" spans="1:7" ht="11.25" customHeight="1" x14ac:dyDescent="0.2">
      <c r="A31" s="49">
        <v>44743</v>
      </c>
      <c r="B31" s="39">
        <v>1126.4399999999998</v>
      </c>
      <c r="C31" s="39">
        <v>332.55225720000044</v>
      </c>
      <c r="D31" s="39">
        <v>1283.9811967622104</v>
      </c>
      <c r="E31" s="39">
        <v>383.93829748894683</v>
      </c>
      <c r="F31" s="39">
        <v>1458.9922572000003</v>
      </c>
      <c r="G31" s="39">
        <v>1667.9194942511572</v>
      </c>
    </row>
    <row r="32" spans="1:7" ht="11.25" customHeight="1" x14ac:dyDescent="0.2">
      <c r="A32" s="49">
        <v>44774</v>
      </c>
      <c r="B32" s="39">
        <v>1126.4399999999998</v>
      </c>
      <c r="C32" s="39">
        <v>313.91919540000049</v>
      </c>
      <c r="D32" s="39">
        <v>1283.9811967622104</v>
      </c>
      <c r="E32" s="39">
        <v>362.42605130925585</v>
      </c>
      <c r="F32" s="39">
        <v>1440.3591954000003</v>
      </c>
      <c r="G32" s="39">
        <v>1646.4072480714663</v>
      </c>
    </row>
    <row r="33" spans="1:7" ht="11.25" customHeight="1" x14ac:dyDescent="0.2">
      <c r="A33" s="49">
        <v>44805</v>
      </c>
      <c r="B33" s="39">
        <v>1126.4399999999998</v>
      </c>
      <c r="C33" s="39">
        <v>334.09728719999953</v>
      </c>
      <c r="D33" s="39">
        <v>1283.9811967622104</v>
      </c>
      <c r="E33" s="39">
        <v>385.72206582888703</v>
      </c>
      <c r="F33" s="39">
        <v>1460.5372871999994</v>
      </c>
      <c r="G33" s="39">
        <v>1669.7032625910974</v>
      </c>
    </row>
    <row r="34" spans="1:7" ht="11.25" customHeight="1" x14ac:dyDescent="0.2">
      <c r="A34" s="49">
        <v>44835</v>
      </c>
      <c r="B34" s="39">
        <v>1126.4399999999998</v>
      </c>
      <c r="C34" s="39">
        <v>334.09728719999953</v>
      </c>
      <c r="D34" s="39">
        <v>1283.9811967622104</v>
      </c>
      <c r="E34" s="39">
        <v>385.72206582888703</v>
      </c>
      <c r="F34" s="39">
        <v>1460.5372871999994</v>
      </c>
      <c r="G34" s="39">
        <v>1669.7032625910974</v>
      </c>
    </row>
    <row r="35" spans="1:7" ht="11.25" customHeight="1" x14ac:dyDescent="0.2">
      <c r="A35" s="43" t="s">
        <v>41</v>
      </c>
      <c r="B35" s="39">
        <v>52008.6</v>
      </c>
      <c r="C35" s="39">
        <v>270763.51631640008</v>
      </c>
      <c r="D35" s="39">
        <v>59162.708062541875</v>
      </c>
      <c r="E35" s="39">
        <v>317809.11964703008</v>
      </c>
      <c r="F35" s="39">
        <v>322772.11631640006</v>
      </c>
      <c r="G35" s="39">
        <v>376971.82770957192</v>
      </c>
    </row>
    <row r="36" spans="1:7" ht="11.25" customHeight="1" x14ac:dyDescent="0.2">
      <c r="A36" s="44" t="s">
        <v>50</v>
      </c>
      <c r="B36" s="39">
        <v>52008.6</v>
      </c>
      <c r="C36" s="39">
        <v>270763.51631640008</v>
      </c>
      <c r="D36" s="39">
        <v>59162.708062541875</v>
      </c>
      <c r="E36" s="39">
        <v>317809.11964703008</v>
      </c>
      <c r="F36" s="39">
        <v>322772.11631640006</v>
      </c>
      <c r="G36" s="39">
        <v>376971.82770957192</v>
      </c>
    </row>
    <row r="37" spans="1:7" ht="11.25" customHeight="1" x14ac:dyDescent="0.2">
      <c r="A37" s="45" t="s">
        <v>51</v>
      </c>
      <c r="B37" s="39">
        <v>52008.6</v>
      </c>
      <c r="C37" s="39">
        <v>270763.51631640008</v>
      </c>
      <c r="D37" s="39">
        <v>59162.708062541875</v>
      </c>
      <c r="E37" s="39">
        <v>317809.11964703008</v>
      </c>
      <c r="F37" s="39">
        <v>322772.11631640006</v>
      </c>
      <c r="G37" s="39">
        <v>376971.82770957192</v>
      </c>
    </row>
    <row r="38" spans="1:7" ht="11.25" customHeight="1" x14ac:dyDescent="0.2">
      <c r="A38" s="46" t="s">
        <v>25</v>
      </c>
      <c r="B38" s="39">
        <v>52008.6</v>
      </c>
      <c r="C38" s="39">
        <v>270763.51631640008</v>
      </c>
      <c r="D38" s="39">
        <v>59162.708062541875</v>
      </c>
      <c r="E38" s="39">
        <v>317809.11964703008</v>
      </c>
      <c r="F38" s="39">
        <v>322772.11631640006</v>
      </c>
      <c r="G38" s="39">
        <v>376971.82770957192</v>
      </c>
    </row>
    <row r="39" spans="1:7" ht="11.25" customHeight="1" x14ac:dyDescent="0.2">
      <c r="A39" s="47" t="s">
        <v>25</v>
      </c>
      <c r="B39" s="39">
        <v>52008.6</v>
      </c>
      <c r="C39" s="39">
        <v>270763.51631640008</v>
      </c>
      <c r="D39" s="39">
        <v>59162.708062541875</v>
      </c>
      <c r="E39" s="39">
        <v>317809.11964703008</v>
      </c>
      <c r="F39" s="39">
        <v>322772.11631640006</v>
      </c>
      <c r="G39" s="39">
        <v>376971.82770957192</v>
      </c>
    </row>
    <row r="40" spans="1:7" ht="11.25" customHeight="1" x14ac:dyDescent="0.2">
      <c r="A40" s="48" t="s">
        <v>35</v>
      </c>
      <c r="B40" s="39">
        <v>0</v>
      </c>
      <c r="C40" s="39">
        <v>228516.34576320008</v>
      </c>
      <c r="D40" s="39">
        <v>0</v>
      </c>
      <c r="E40" s="39">
        <v>269393.75564327138</v>
      </c>
      <c r="F40" s="39">
        <v>228516.34576320008</v>
      </c>
      <c r="G40" s="39">
        <v>269393.75564327138</v>
      </c>
    </row>
    <row r="41" spans="1:7" ht="11.25" customHeight="1" x14ac:dyDescent="0.2">
      <c r="A41" s="49">
        <v>44501</v>
      </c>
      <c r="B41" s="39">
        <v>0</v>
      </c>
      <c r="C41" s="39">
        <v>19761.599386800008</v>
      </c>
      <c r="D41" s="39">
        <v>0</v>
      </c>
      <c r="E41" s="39">
        <v>23296.589390784553</v>
      </c>
      <c r="F41" s="39">
        <v>19761.599386800008</v>
      </c>
      <c r="G41" s="39">
        <v>23296.589390784553</v>
      </c>
    </row>
    <row r="42" spans="1:7" ht="11.25" customHeight="1" x14ac:dyDescent="0.2">
      <c r="A42" s="49">
        <v>44531</v>
      </c>
      <c r="B42" s="39">
        <v>0</v>
      </c>
      <c r="C42" s="39">
        <v>18785.884770000037</v>
      </c>
      <c r="D42" s="39">
        <v>0</v>
      </c>
      <c r="E42" s="39">
        <v>22146.337210014259</v>
      </c>
      <c r="F42" s="39">
        <v>18785.884770000037</v>
      </c>
      <c r="G42" s="39">
        <v>22146.337210014259</v>
      </c>
    </row>
    <row r="43" spans="1:7" ht="11.25" customHeight="1" x14ac:dyDescent="0.2">
      <c r="A43" s="49">
        <v>44562</v>
      </c>
      <c r="B43" s="39">
        <v>0</v>
      </c>
      <c r="C43" s="39">
        <v>18857.51519760002</v>
      </c>
      <c r="D43" s="39">
        <v>0</v>
      </c>
      <c r="E43" s="39">
        <v>22230.781015751854</v>
      </c>
      <c r="F43" s="39">
        <v>18857.51519760002</v>
      </c>
      <c r="G43" s="39">
        <v>22230.781015751854</v>
      </c>
    </row>
    <row r="44" spans="1:7" ht="11.25" customHeight="1" x14ac:dyDescent="0.2">
      <c r="A44" s="49">
        <v>44593</v>
      </c>
      <c r="B44" s="39">
        <v>0</v>
      </c>
      <c r="C44" s="39">
        <v>18737.155871999985</v>
      </c>
      <c r="D44" s="39">
        <v>0</v>
      </c>
      <c r="E44" s="39">
        <v>22088.891600175062</v>
      </c>
      <c r="F44" s="39">
        <v>18737.155871999985</v>
      </c>
      <c r="G44" s="39">
        <v>22088.891600175062</v>
      </c>
    </row>
    <row r="45" spans="1:7" ht="11.25" customHeight="1" x14ac:dyDescent="0.2">
      <c r="A45" s="49">
        <v>44621</v>
      </c>
      <c r="B45" s="39">
        <v>0</v>
      </c>
      <c r="C45" s="39">
        <v>17716.017081599995</v>
      </c>
      <c r="D45" s="39">
        <v>0</v>
      </c>
      <c r="E45" s="39">
        <v>20885.089688936991</v>
      </c>
      <c r="F45" s="39">
        <v>17716.017081599995</v>
      </c>
      <c r="G45" s="39">
        <v>20885.089688936991</v>
      </c>
    </row>
    <row r="46" spans="1:7" ht="11.25" customHeight="1" x14ac:dyDescent="0.2">
      <c r="A46" s="49">
        <v>44652</v>
      </c>
      <c r="B46" s="39">
        <v>0</v>
      </c>
      <c r="C46" s="39">
        <v>19719.858823200018</v>
      </c>
      <c r="D46" s="39">
        <v>0</v>
      </c>
      <c r="E46" s="39">
        <v>23247.38220101739</v>
      </c>
      <c r="F46" s="39">
        <v>19719.858823200018</v>
      </c>
      <c r="G46" s="39">
        <v>23247.38220101739</v>
      </c>
    </row>
    <row r="47" spans="1:7" ht="11.25" customHeight="1" x14ac:dyDescent="0.2">
      <c r="A47" s="49">
        <v>44682</v>
      </c>
      <c r="B47" s="39">
        <v>0</v>
      </c>
      <c r="C47" s="39">
        <v>18873.449441999994</v>
      </c>
      <c r="D47" s="39">
        <v>0</v>
      </c>
      <c r="E47" s="39">
        <v>22249.565606096628</v>
      </c>
      <c r="F47" s="39">
        <v>18873.449441999994</v>
      </c>
      <c r="G47" s="39">
        <v>22249.565606096628</v>
      </c>
    </row>
    <row r="48" spans="1:7" ht="11.25" customHeight="1" x14ac:dyDescent="0.2">
      <c r="A48" s="49">
        <v>44713</v>
      </c>
      <c r="B48" s="39">
        <v>0</v>
      </c>
      <c r="C48" s="39">
        <v>18992.230077600027</v>
      </c>
      <c r="D48" s="39">
        <v>0</v>
      </c>
      <c r="E48" s="39">
        <v>22389.593932801741</v>
      </c>
      <c r="F48" s="39">
        <v>18992.230077600027</v>
      </c>
      <c r="G48" s="39">
        <v>22389.593932801741</v>
      </c>
    </row>
    <row r="49" spans="1:7" ht="11.25" customHeight="1" x14ac:dyDescent="0.2">
      <c r="A49" s="49">
        <v>44743</v>
      </c>
      <c r="B49" s="39">
        <v>0</v>
      </c>
      <c r="C49" s="39">
        <v>18502.583587199992</v>
      </c>
      <c r="D49" s="39">
        <v>0</v>
      </c>
      <c r="E49" s="39">
        <v>21812.358608361967</v>
      </c>
      <c r="F49" s="39">
        <v>18502.583587199992</v>
      </c>
      <c r="G49" s="39">
        <v>21812.358608361967</v>
      </c>
    </row>
    <row r="50" spans="1:7" ht="11.25" customHeight="1" x14ac:dyDescent="0.2">
      <c r="A50" s="49">
        <v>44774</v>
      </c>
      <c r="B50" s="39">
        <v>0</v>
      </c>
      <c r="C50" s="39">
        <v>19493.095791600012</v>
      </c>
      <c r="D50" s="39">
        <v>0</v>
      </c>
      <c r="E50" s="39">
        <v>22980.055395489519</v>
      </c>
      <c r="F50" s="39">
        <v>19493.095791600012</v>
      </c>
      <c r="G50" s="39">
        <v>22980.055395489519</v>
      </c>
    </row>
    <row r="51" spans="1:7" ht="11.25" customHeight="1" x14ac:dyDescent="0.2">
      <c r="A51" s="49">
        <v>44805</v>
      </c>
      <c r="B51" s="39">
        <v>0</v>
      </c>
      <c r="C51" s="39">
        <v>19538.477866800018</v>
      </c>
      <c r="D51" s="39">
        <v>0</v>
      </c>
      <c r="E51" s="39">
        <v>23033.555496920701</v>
      </c>
      <c r="F51" s="39">
        <v>19538.477866800018</v>
      </c>
      <c r="G51" s="39">
        <v>23033.555496920701</v>
      </c>
    </row>
    <row r="52" spans="1:7" ht="11.25" customHeight="1" x14ac:dyDescent="0.2">
      <c r="A52" s="49">
        <v>44835</v>
      </c>
      <c r="B52" s="39">
        <v>0</v>
      </c>
      <c r="C52" s="39">
        <v>19538.477866800018</v>
      </c>
      <c r="D52" s="39">
        <v>0</v>
      </c>
      <c r="E52" s="39">
        <v>23033.555496920701</v>
      </c>
      <c r="F52" s="39">
        <v>19538.477866800018</v>
      </c>
      <c r="G52" s="39">
        <v>23033.555496920701</v>
      </c>
    </row>
    <row r="53" spans="1:7" ht="11.25" customHeight="1" x14ac:dyDescent="0.2">
      <c r="A53" s="48" t="s">
        <v>25</v>
      </c>
      <c r="B53" s="39">
        <v>52008.6</v>
      </c>
      <c r="C53" s="39">
        <v>0</v>
      </c>
      <c r="D53" s="39">
        <v>59162.708062541875</v>
      </c>
      <c r="E53" s="39">
        <v>0</v>
      </c>
      <c r="F53" s="39">
        <v>52008.6</v>
      </c>
      <c r="G53" s="39">
        <v>59162.708062541875</v>
      </c>
    </row>
    <row r="54" spans="1:7" ht="11.25" customHeight="1" x14ac:dyDescent="0.2">
      <c r="A54" s="49">
        <v>44501</v>
      </c>
      <c r="B54" s="39">
        <v>4311.3000000000011</v>
      </c>
      <c r="C54" s="39">
        <v>0</v>
      </c>
      <c r="D54" s="39">
        <v>4904.346267156523</v>
      </c>
      <c r="E54" s="39">
        <v>0</v>
      </c>
      <c r="F54" s="39">
        <v>4311.3000000000011</v>
      </c>
      <c r="G54" s="39">
        <v>4904.346267156523</v>
      </c>
    </row>
    <row r="55" spans="1:7" ht="11.25" customHeight="1" x14ac:dyDescent="0.2">
      <c r="A55" s="49">
        <v>44531</v>
      </c>
      <c r="B55" s="39">
        <v>4298.6999999999989</v>
      </c>
      <c r="C55" s="39">
        <v>0</v>
      </c>
      <c r="D55" s="39">
        <v>4890.0130583874325</v>
      </c>
      <c r="E55" s="39">
        <v>0</v>
      </c>
      <c r="F55" s="39">
        <v>4298.6999999999989</v>
      </c>
      <c r="G55" s="39">
        <v>4890.0130583874325</v>
      </c>
    </row>
    <row r="56" spans="1:7" ht="11.25" customHeight="1" x14ac:dyDescent="0.2">
      <c r="A56" s="49">
        <v>44562</v>
      </c>
      <c r="B56" s="39">
        <v>4254.6000000000013</v>
      </c>
      <c r="C56" s="39">
        <v>0</v>
      </c>
      <c r="D56" s="39">
        <v>4839.8468276956246</v>
      </c>
      <c r="E56" s="39">
        <v>0</v>
      </c>
      <c r="F56" s="39">
        <v>4254.6000000000013</v>
      </c>
      <c r="G56" s="39">
        <v>4839.8468276956246</v>
      </c>
    </row>
    <row r="57" spans="1:7" ht="11.25" customHeight="1" x14ac:dyDescent="0.2">
      <c r="A57" s="49">
        <v>44593</v>
      </c>
      <c r="B57" s="39">
        <v>4300.8000000000011</v>
      </c>
      <c r="C57" s="39">
        <v>0</v>
      </c>
      <c r="D57" s="39">
        <v>4892.4019265156157</v>
      </c>
      <c r="E57" s="39">
        <v>0</v>
      </c>
      <c r="F57" s="39">
        <v>4300.8000000000011</v>
      </c>
      <c r="G57" s="39">
        <v>4892.4019265156157</v>
      </c>
    </row>
    <row r="58" spans="1:7" ht="11.25" customHeight="1" x14ac:dyDescent="0.2">
      <c r="A58" s="49">
        <v>44621</v>
      </c>
      <c r="B58" s="39">
        <v>4317.6000000000013</v>
      </c>
      <c r="C58" s="39">
        <v>0</v>
      </c>
      <c r="D58" s="39">
        <v>4911.5128715410674</v>
      </c>
      <c r="E58" s="39">
        <v>0</v>
      </c>
      <c r="F58" s="39">
        <v>4317.6000000000013</v>
      </c>
      <c r="G58" s="39">
        <v>4911.5128715410674</v>
      </c>
    </row>
    <row r="59" spans="1:7" ht="11.25" customHeight="1" x14ac:dyDescent="0.2">
      <c r="A59" s="49">
        <v>44652</v>
      </c>
      <c r="B59" s="39">
        <v>4305</v>
      </c>
      <c r="C59" s="39">
        <v>0</v>
      </c>
      <c r="D59" s="39">
        <v>4897.1796627719777</v>
      </c>
      <c r="E59" s="39">
        <v>0</v>
      </c>
      <c r="F59" s="39">
        <v>4305</v>
      </c>
      <c r="G59" s="39">
        <v>4897.1796627719777</v>
      </c>
    </row>
    <row r="60" spans="1:7" ht="11.25" customHeight="1" x14ac:dyDescent="0.2">
      <c r="A60" s="49">
        <v>44682</v>
      </c>
      <c r="B60" s="39">
        <v>4351.1999999999989</v>
      </c>
      <c r="C60" s="39">
        <v>0</v>
      </c>
      <c r="D60" s="39">
        <v>4949.7347615919689</v>
      </c>
      <c r="E60" s="39">
        <v>0</v>
      </c>
      <c r="F60" s="39">
        <v>4351.1999999999989</v>
      </c>
      <c r="G60" s="39">
        <v>4949.7347615919689</v>
      </c>
    </row>
    <row r="61" spans="1:7" ht="11.25" customHeight="1" x14ac:dyDescent="0.2">
      <c r="A61" s="49">
        <v>44713</v>
      </c>
      <c r="B61" s="39">
        <v>4328.1000000000013</v>
      </c>
      <c r="C61" s="39">
        <v>0</v>
      </c>
      <c r="D61" s="39">
        <v>4923.4572121819747</v>
      </c>
      <c r="E61" s="39">
        <v>0</v>
      </c>
      <c r="F61" s="39">
        <v>4328.1000000000013</v>
      </c>
      <c r="G61" s="39">
        <v>4923.4572121819747</v>
      </c>
    </row>
    <row r="62" spans="1:7" ht="11.25" customHeight="1" x14ac:dyDescent="0.2">
      <c r="A62" s="49">
        <v>44743</v>
      </c>
      <c r="B62" s="39">
        <v>4370.1000000000013</v>
      </c>
      <c r="C62" s="39">
        <v>0</v>
      </c>
      <c r="D62" s="39">
        <v>4971.2345747456038</v>
      </c>
      <c r="E62" s="39">
        <v>0</v>
      </c>
      <c r="F62" s="39">
        <v>4370.1000000000013</v>
      </c>
      <c r="G62" s="39">
        <v>4971.2345747456038</v>
      </c>
    </row>
    <row r="63" spans="1:7" ht="11.25" customHeight="1" x14ac:dyDescent="0.2">
      <c r="A63" s="49">
        <v>44774</v>
      </c>
      <c r="B63" s="39">
        <v>4389</v>
      </c>
      <c r="C63" s="39">
        <v>0</v>
      </c>
      <c r="D63" s="39">
        <v>4992.734387899236</v>
      </c>
      <c r="E63" s="39">
        <v>0</v>
      </c>
      <c r="F63" s="39">
        <v>4389</v>
      </c>
      <c r="G63" s="39">
        <v>4992.734387899236</v>
      </c>
    </row>
    <row r="64" spans="1:7" ht="11.25" customHeight="1" x14ac:dyDescent="0.2">
      <c r="A64" s="49">
        <v>44805</v>
      </c>
      <c r="B64" s="39">
        <v>4391.1000000000013</v>
      </c>
      <c r="C64" s="39">
        <v>0</v>
      </c>
      <c r="D64" s="39">
        <v>4995.1232560274184</v>
      </c>
      <c r="E64" s="39">
        <v>0</v>
      </c>
      <c r="F64" s="39">
        <v>4391.1000000000013</v>
      </c>
      <c r="G64" s="39">
        <v>4995.1232560274184</v>
      </c>
    </row>
    <row r="65" spans="1:7" ht="11.25" customHeight="1" x14ac:dyDescent="0.2">
      <c r="A65" s="49">
        <v>44835</v>
      </c>
      <c r="B65" s="39">
        <v>4391.1000000000013</v>
      </c>
      <c r="C65" s="39">
        <v>0</v>
      </c>
      <c r="D65" s="39">
        <v>4995.1232560274184</v>
      </c>
      <c r="E65" s="39">
        <v>0</v>
      </c>
      <c r="F65" s="39">
        <v>4391.1000000000013</v>
      </c>
      <c r="G65" s="39">
        <v>4995.1232560274184</v>
      </c>
    </row>
    <row r="66" spans="1:7" ht="11.25" customHeight="1" x14ac:dyDescent="0.2">
      <c r="A66" s="48" t="s">
        <v>34</v>
      </c>
      <c r="B66" s="39">
        <v>0</v>
      </c>
      <c r="C66" s="39">
        <v>42247.17055320002</v>
      </c>
      <c r="D66" s="39">
        <v>0</v>
      </c>
      <c r="E66" s="39">
        <v>48415.364003758645</v>
      </c>
      <c r="F66" s="39">
        <v>42247.17055320002</v>
      </c>
      <c r="G66" s="39">
        <v>48415.364003758645</v>
      </c>
    </row>
    <row r="67" spans="1:7" ht="11.25" customHeight="1" x14ac:dyDescent="0.2">
      <c r="A67" s="49">
        <v>44501</v>
      </c>
      <c r="B67" s="39">
        <v>0</v>
      </c>
      <c r="C67" s="39">
        <v>4137.0884004000018</v>
      </c>
      <c r="D67" s="39">
        <v>0</v>
      </c>
      <c r="E67" s="39">
        <v>4741.1137408330414</v>
      </c>
      <c r="F67" s="39">
        <v>4137.0884004000018</v>
      </c>
      <c r="G67" s="39">
        <v>4741.1137408330414</v>
      </c>
    </row>
    <row r="68" spans="1:7" ht="11.25" customHeight="1" x14ac:dyDescent="0.2">
      <c r="A68" s="49">
        <v>44531</v>
      </c>
      <c r="B68" s="39">
        <v>0</v>
      </c>
      <c r="C68" s="39">
        <v>3404.0553636000063</v>
      </c>
      <c r="D68" s="39">
        <v>0</v>
      </c>
      <c r="E68" s="39">
        <v>3901.0560319088117</v>
      </c>
      <c r="F68" s="39">
        <v>3404.0553636000063</v>
      </c>
      <c r="G68" s="39">
        <v>3901.0560319088117</v>
      </c>
    </row>
    <row r="69" spans="1:7" ht="11.25" customHeight="1" x14ac:dyDescent="0.2">
      <c r="A69" s="49">
        <v>44562</v>
      </c>
      <c r="B69" s="39">
        <v>0</v>
      </c>
      <c r="C69" s="39">
        <v>4206.7232189999995</v>
      </c>
      <c r="D69" s="39">
        <v>0</v>
      </c>
      <c r="E69" s="39">
        <v>4820.9154185716534</v>
      </c>
      <c r="F69" s="39">
        <v>4206.7232189999995</v>
      </c>
      <c r="G69" s="39">
        <v>4820.9154185716534</v>
      </c>
    </row>
    <row r="70" spans="1:7" ht="11.25" customHeight="1" x14ac:dyDescent="0.2">
      <c r="A70" s="49">
        <v>44593</v>
      </c>
      <c r="B70" s="39">
        <v>0</v>
      </c>
      <c r="C70" s="39">
        <v>3570.1331609999997</v>
      </c>
      <c r="D70" s="39">
        <v>0</v>
      </c>
      <c r="E70" s="39">
        <v>4091.3816065869514</v>
      </c>
      <c r="F70" s="39">
        <v>3570.1331609999997</v>
      </c>
      <c r="G70" s="39">
        <v>4091.3816065869514</v>
      </c>
    </row>
    <row r="71" spans="1:7" ht="11.25" customHeight="1" x14ac:dyDescent="0.2">
      <c r="A71" s="49">
        <v>44621</v>
      </c>
      <c r="B71" s="39">
        <v>0</v>
      </c>
      <c r="C71" s="39">
        <v>3200.4627413999979</v>
      </c>
      <c r="D71" s="39">
        <v>0</v>
      </c>
      <c r="E71" s="39">
        <v>3667.738373395312</v>
      </c>
      <c r="F71" s="39">
        <v>3200.4627413999979</v>
      </c>
      <c r="G71" s="39">
        <v>3667.738373395312</v>
      </c>
    </row>
    <row r="72" spans="1:7" ht="11.25" customHeight="1" x14ac:dyDescent="0.2">
      <c r="A72" s="49">
        <v>44652</v>
      </c>
      <c r="B72" s="39">
        <v>0</v>
      </c>
      <c r="C72" s="39">
        <v>3665.7461658000066</v>
      </c>
      <c r="D72" s="39">
        <v>0</v>
      </c>
      <c r="E72" s="39">
        <v>4200.9543512292512</v>
      </c>
      <c r="F72" s="39">
        <v>3665.7461658000066</v>
      </c>
      <c r="G72" s="39">
        <v>4200.9543512292512</v>
      </c>
    </row>
    <row r="73" spans="1:7" ht="11.25" customHeight="1" x14ac:dyDescent="0.2">
      <c r="A73" s="49">
        <v>44682</v>
      </c>
      <c r="B73" s="39">
        <v>0</v>
      </c>
      <c r="C73" s="39">
        <v>3190.2540612000016</v>
      </c>
      <c r="D73" s="39">
        <v>0</v>
      </c>
      <c r="E73" s="39">
        <v>3656.0392001392379</v>
      </c>
      <c r="F73" s="39">
        <v>3190.2540612000016</v>
      </c>
      <c r="G73" s="39">
        <v>3656.0392001392379</v>
      </c>
    </row>
    <row r="74" spans="1:7" ht="11.25" customHeight="1" x14ac:dyDescent="0.2">
      <c r="A74" s="49">
        <v>44713</v>
      </c>
      <c r="B74" s="39">
        <v>0</v>
      </c>
      <c r="C74" s="39">
        <v>3539.7561125999996</v>
      </c>
      <c r="D74" s="39">
        <v>0</v>
      </c>
      <c r="E74" s="39">
        <v>4056.5694325078898</v>
      </c>
      <c r="F74" s="39">
        <v>3539.7561125999996</v>
      </c>
      <c r="G74" s="39">
        <v>4056.5694325078898</v>
      </c>
    </row>
    <row r="75" spans="1:7" ht="11.25" customHeight="1" x14ac:dyDescent="0.2">
      <c r="A75" s="49">
        <v>44743</v>
      </c>
      <c r="B75" s="39">
        <v>0</v>
      </c>
      <c r="C75" s="39">
        <v>3165.5208360000038</v>
      </c>
      <c r="D75" s="39">
        <v>0</v>
      </c>
      <c r="E75" s="39">
        <v>3627.6948616814261</v>
      </c>
      <c r="F75" s="39">
        <v>3165.5208360000038</v>
      </c>
      <c r="G75" s="39">
        <v>3627.6948616814261</v>
      </c>
    </row>
    <row r="76" spans="1:7" ht="11.25" customHeight="1" x14ac:dyDescent="0.2">
      <c r="A76" s="49">
        <v>44774</v>
      </c>
      <c r="B76" s="39">
        <v>0</v>
      </c>
      <c r="C76" s="39">
        <v>3491.4516258000003</v>
      </c>
      <c r="D76" s="39">
        <v>0</v>
      </c>
      <c r="E76" s="39">
        <v>4001.2123688083993</v>
      </c>
      <c r="F76" s="39">
        <v>3491.4516258000003</v>
      </c>
      <c r="G76" s="39">
        <v>4001.2123688083993</v>
      </c>
    </row>
    <row r="77" spans="1:7" ht="11.25" customHeight="1" x14ac:dyDescent="0.2">
      <c r="A77" s="49">
        <v>44805</v>
      </c>
      <c r="B77" s="39">
        <v>0</v>
      </c>
      <c r="C77" s="39">
        <v>3337.9894332000008</v>
      </c>
      <c r="D77" s="39">
        <v>0</v>
      </c>
      <c r="E77" s="39">
        <v>3825.3443090483338</v>
      </c>
      <c r="F77" s="39">
        <v>3337.9894332000008</v>
      </c>
      <c r="G77" s="39">
        <v>3825.3443090483338</v>
      </c>
    </row>
    <row r="78" spans="1:7" ht="11.25" customHeight="1" x14ac:dyDescent="0.2">
      <c r="A78" s="49">
        <v>44835</v>
      </c>
      <c r="B78" s="39">
        <v>0</v>
      </c>
      <c r="C78" s="39">
        <v>3337.9894332000008</v>
      </c>
      <c r="D78" s="39">
        <v>0</v>
      </c>
      <c r="E78" s="39">
        <v>3825.3443090483338</v>
      </c>
      <c r="F78" s="39">
        <v>3337.9894332000008</v>
      </c>
      <c r="G78" s="39">
        <v>3825.3443090483338</v>
      </c>
    </row>
    <row r="79" spans="1:7" ht="11.25" customHeight="1" x14ac:dyDescent="0.2">
      <c r="A79" s="42" t="s">
        <v>37</v>
      </c>
      <c r="B79" s="39">
        <v>0</v>
      </c>
      <c r="C79" s="39">
        <v>53474.397409800004</v>
      </c>
      <c r="D79" s="39">
        <v>0</v>
      </c>
      <c r="E79" s="39">
        <v>62868.352510785284</v>
      </c>
      <c r="F79" s="39">
        <v>53474.397409800004</v>
      </c>
      <c r="G79" s="39">
        <v>62868.352510785284</v>
      </c>
    </row>
    <row r="80" spans="1:7" ht="11.25" customHeight="1" x14ac:dyDescent="0.2">
      <c r="A80" s="43" t="s">
        <v>33</v>
      </c>
      <c r="B80" s="39">
        <v>0</v>
      </c>
      <c r="C80" s="39">
        <v>1592.4787350000001</v>
      </c>
      <c r="D80" s="39">
        <v>0</v>
      </c>
      <c r="E80" s="39">
        <v>1880.9864249277648</v>
      </c>
      <c r="F80" s="39">
        <v>1592.4787350000001</v>
      </c>
      <c r="G80" s="39">
        <v>1880.9864249277648</v>
      </c>
    </row>
    <row r="81" spans="1:7" ht="11.25" customHeight="1" x14ac:dyDescent="0.2">
      <c r="A81" s="44" t="s">
        <v>50</v>
      </c>
      <c r="B81" s="39">
        <v>0</v>
      </c>
      <c r="C81" s="39">
        <v>1592.4787350000001</v>
      </c>
      <c r="D81" s="39">
        <v>0</v>
      </c>
      <c r="E81" s="39">
        <v>1880.9864249277648</v>
      </c>
      <c r="F81" s="39">
        <v>1592.4787350000001</v>
      </c>
      <c r="G81" s="39">
        <v>1880.9864249277648</v>
      </c>
    </row>
    <row r="82" spans="1:7" ht="11.25" customHeight="1" x14ac:dyDescent="0.2">
      <c r="A82" s="45" t="s">
        <v>51</v>
      </c>
      <c r="B82" s="39">
        <v>0</v>
      </c>
      <c r="C82" s="39">
        <v>1592.4787350000001</v>
      </c>
      <c r="D82" s="39">
        <v>0</v>
      </c>
      <c r="E82" s="39">
        <v>1880.9864249277648</v>
      </c>
      <c r="F82" s="39">
        <v>1592.4787350000001</v>
      </c>
      <c r="G82" s="39">
        <v>1880.9864249277648</v>
      </c>
    </row>
    <row r="83" spans="1:7" ht="11.25" customHeight="1" x14ac:dyDescent="0.2">
      <c r="A83" s="46" t="s">
        <v>25</v>
      </c>
      <c r="B83" s="39">
        <v>0</v>
      </c>
      <c r="C83" s="39">
        <v>1592.4787350000001</v>
      </c>
      <c r="D83" s="39">
        <v>0</v>
      </c>
      <c r="E83" s="39">
        <v>1880.9864249277648</v>
      </c>
      <c r="F83" s="39">
        <v>1592.4787350000001</v>
      </c>
      <c r="G83" s="39">
        <v>1880.9864249277648</v>
      </c>
    </row>
    <row r="84" spans="1:7" ht="11.25" customHeight="1" x14ac:dyDescent="0.2">
      <c r="A84" s="47" t="s">
        <v>25</v>
      </c>
      <c r="B84" s="39">
        <v>0</v>
      </c>
      <c r="C84" s="39">
        <v>1592.4787350000001</v>
      </c>
      <c r="D84" s="39">
        <v>0</v>
      </c>
      <c r="E84" s="39">
        <v>1880.9864249277648</v>
      </c>
      <c r="F84" s="39">
        <v>1592.4787350000001</v>
      </c>
      <c r="G84" s="39">
        <v>1880.9864249277648</v>
      </c>
    </row>
    <row r="85" spans="1:7" ht="11.25" customHeight="1" x14ac:dyDescent="0.2">
      <c r="A85" s="48" t="s">
        <v>35</v>
      </c>
      <c r="B85" s="39">
        <v>0</v>
      </c>
      <c r="C85" s="39">
        <v>1541.2964400000001</v>
      </c>
      <c r="D85" s="39">
        <v>0</v>
      </c>
      <c r="E85" s="39">
        <v>1821.7133878168238</v>
      </c>
      <c r="F85" s="39">
        <v>1541.2964400000001</v>
      </c>
      <c r="G85" s="39">
        <v>1821.7133878168238</v>
      </c>
    </row>
    <row r="86" spans="1:7" ht="11.25" customHeight="1" x14ac:dyDescent="0.2">
      <c r="A86" s="49">
        <v>44682</v>
      </c>
      <c r="B86" s="39">
        <v>0</v>
      </c>
      <c r="C86" s="39">
        <v>332.7785148000001</v>
      </c>
      <c r="D86" s="39">
        <v>0</v>
      </c>
      <c r="E86" s="39">
        <v>393.32282866296583</v>
      </c>
      <c r="F86" s="39">
        <v>332.7785148000001</v>
      </c>
      <c r="G86" s="39">
        <v>393.32282866296583</v>
      </c>
    </row>
    <row r="87" spans="1:7" ht="11.25" customHeight="1" x14ac:dyDescent="0.2">
      <c r="A87" s="49">
        <v>44713</v>
      </c>
      <c r="B87" s="39">
        <v>0</v>
      </c>
      <c r="C87" s="39">
        <v>219.81163799999959</v>
      </c>
      <c r="D87" s="39">
        <v>0</v>
      </c>
      <c r="E87" s="39">
        <v>259.80323664573217</v>
      </c>
      <c r="F87" s="39">
        <v>219.81163799999959</v>
      </c>
      <c r="G87" s="39">
        <v>259.80323664573217</v>
      </c>
    </row>
    <row r="88" spans="1:7" ht="11.25" customHeight="1" x14ac:dyDescent="0.2">
      <c r="A88" s="49">
        <v>44743</v>
      </c>
      <c r="B88" s="39">
        <v>0</v>
      </c>
      <c r="C88" s="39">
        <v>223.90330319999998</v>
      </c>
      <c r="D88" s="39">
        <v>0</v>
      </c>
      <c r="E88" s="39">
        <v>264.63932208644394</v>
      </c>
      <c r="F88" s="39">
        <v>223.90330319999998</v>
      </c>
      <c r="G88" s="39">
        <v>264.63932208644394</v>
      </c>
    </row>
    <row r="89" spans="1:7" ht="11.25" customHeight="1" x14ac:dyDescent="0.2">
      <c r="A89" s="49">
        <v>44774</v>
      </c>
      <c r="B89" s="39">
        <v>0</v>
      </c>
      <c r="C89" s="39">
        <v>255.4675776</v>
      </c>
      <c r="D89" s="39">
        <v>0</v>
      </c>
      <c r="E89" s="39">
        <v>301.94626691478857</v>
      </c>
      <c r="F89" s="39">
        <v>255.4675776</v>
      </c>
      <c r="G89" s="39">
        <v>301.94626691478857</v>
      </c>
    </row>
    <row r="90" spans="1:7" ht="11.25" customHeight="1" x14ac:dyDescent="0.2">
      <c r="A90" s="49">
        <v>44805</v>
      </c>
      <c r="B90" s="39">
        <v>0</v>
      </c>
      <c r="C90" s="39">
        <v>254.66770320000023</v>
      </c>
      <c r="D90" s="39">
        <v>0</v>
      </c>
      <c r="E90" s="39">
        <v>301.00086675344676</v>
      </c>
      <c r="F90" s="39">
        <v>254.66770320000023</v>
      </c>
      <c r="G90" s="39">
        <v>301.00086675344676</v>
      </c>
    </row>
    <row r="91" spans="1:7" ht="11.25" customHeight="1" x14ac:dyDescent="0.2">
      <c r="A91" s="49">
        <v>44835</v>
      </c>
      <c r="B91" s="39">
        <v>0</v>
      </c>
      <c r="C91" s="39">
        <v>254.66770320000023</v>
      </c>
      <c r="D91" s="39">
        <v>0</v>
      </c>
      <c r="E91" s="39">
        <v>301.00086675344676</v>
      </c>
      <c r="F91" s="39">
        <v>254.66770320000023</v>
      </c>
      <c r="G91" s="39">
        <v>301.00086675344676</v>
      </c>
    </row>
    <row r="92" spans="1:7" ht="11.25" customHeight="1" x14ac:dyDescent="0.2">
      <c r="A92" s="48" t="s">
        <v>36</v>
      </c>
      <c r="B92" s="39">
        <v>0</v>
      </c>
      <c r="C92" s="39">
        <v>16.305423000000005</v>
      </c>
      <c r="D92" s="39">
        <v>0</v>
      </c>
      <c r="E92" s="39">
        <v>19.049082847195578</v>
      </c>
      <c r="F92" s="39">
        <v>16.305423000000005</v>
      </c>
      <c r="G92" s="39">
        <v>19.049082847195578</v>
      </c>
    </row>
    <row r="93" spans="1:7" ht="11.25" customHeight="1" x14ac:dyDescent="0.2">
      <c r="A93" s="49">
        <v>44682</v>
      </c>
      <c r="B93" s="39">
        <v>0</v>
      </c>
      <c r="C93" s="39">
        <v>10.11582900000001</v>
      </c>
      <c r="D93" s="39">
        <v>0</v>
      </c>
      <c r="E93" s="39">
        <v>11.817986242311148</v>
      </c>
      <c r="F93" s="39">
        <v>10.11582900000001</v>
      </c>
      <c r="G93" s="39">
        <v>11.817986242311148</v>
      </c>
    </row>
    <row r="94" spans="1:7" ht="11.25" customHeight="1" x14ac:dyDescent="0.2">
      <c r="A94" s="49">
        <v>44713</v>
      </c>
      <c r="B94" s="39">
        <v>0</v>
      </c>
      <c r="C94" s="39">
        <v>2.4481229999999963</v>
      </c>
      <c r="D94" s="39">
        <v>0</v>
      </c>
      <c r="E94" s="39">
        <v>2.8600605974542894</v>
      </c>
      <c r="F94" s="39">
        <v>2.4481229999999963</v>
      </c>
      <c r="G94" s="39">
        <v>2.8600605974542894</v>
      </c>
    </row>
    <row r="95" spans="1:7" ht="11.25" customHeight="1" x14ac:dyDescent="0.2">
      <c r="A95" s="49">
        <v>44743</v>
      </c>
      <c r="B95" s="39">
        <v>0</v>
      </c>
      <c r="C95" s="39">
        <v>0.78524700000000003</v>
      </c>
      <c r="D95" s="39">
        <v>0</v>
      </c>
      <c r="E95" s="39">
        <v>0.91737792748533953</v>
      </c>
      <c r="F95" s="39">
        <v>0.78524700000000003</v>
      </c>
      <c r="G95" s="39">
        <v>0.91737792748533953</v>
      </c>
    </row>
    <row r="96" spans="1:7" ht="11.25" customHeight="1" x14ac:dyDescent="0.2">
      <c r="A96" s="49">
        <v>44774</v>
      </c>
      <c r="B96" s="39">
        <v>0</v>
      </c>
      <c r="C96" s="39">
        <v>0.92381999999999975</v>
      </c>
      <c r="D96" s="39">
        <v>0</v>
      </c>
      <c r="E96" s="39">
        <v>1.0792681499827519</v>
      </c>
      <c r="F96" s="39">
        <v>0.92381999999999975</v>
      </c>
      <c r="G96" s="39">
        <v>1.0792681499827519</v>
      </c>
    </row>
    <row r="97" spans="1:7" ht="11.25" customHeight="1" x14ac:dyDescent="0.2">
      <c r="A97" s="49">
        <v>44805</v>
      </c>
      <c r="B97" s="39">
        <v>0</v>
      </c>
      <c r="C97" s="39">
        <v>1.0162019999999987</v>
      </c>
      <c r="D97" s="39">
        <v>0</v>
      </c>
      <c r="E97" s="39">
        <v>1.1871949649810261</v>
      </c>
      <c r="F97" s="39">
        <v>1.0162019999999987</v>
      </c>
      <c r="G97" s="39">
        <v>1.1871949649810261</v>
      </c>
    </row>
    <row r="98" spans="1:7" ht="11.25" customHeight="1" x14ac:dyDescent="0.2">
      <c r="A98" s="49">
        <v>44835</v>
      </c>
      <c r="B98" s="39">
        <v>0</v>
      </c>
      <c r="C98" s="39">
        <v>1.0162019999999987</v>
      </c>
      <c r="D98" s="39">
        <v>0</v>
      </c>
      <c r="E98" s="39">
        <v>1.1871949649810261</v>
      </c>
      <c r="F98" s="39">
        <v>1.0162019999999987</v>
      </c>
      <c r="G98" s="39">
        <v>1.1871949649810261</v>
      </c>
    </row>
    <row r="99" spans="1:7" ht="11.25" customHeight="1" x14ac:dyDescent="0.2">
      <c r="A99" s="48" t="s">
        <v>34</v>
      </c>
      <c r="B99" s="39">
        <v>0</v>
      </c>
      <c r="C99" s="39">
        <v>34.876871999999992</v>
      </c>
      <c r="D99" s="39">
        <v>0</v>
      </c>
      <c r="E99" s="39">
        <v>40.223954263745185</v>
      </c>
      <c r="F99" s="39">
        <v>34.876871999999992</v>
      </c>
      <c r="G99" s="39">
        <v>40.223954263745185</v>
      </c>
    </row>
    <row r="100" spans="1:7" ht="11.25" customHeight="1" x14ac:dyDescent="0.2">
      <c r="A100" s="49">
        <v>44682</v>
      </c>
      <c r="B100" s="39">
        <v>0</v>
      </c>
      <c r="C100" s="39">
        <v>25.514432999999993</v>
      </c>
      <c r="D100" s="39">
        <v>0</v>
      </c>
      <c r="E100" s="39">
        <v>29.426130475731615</v>
      </c>
      <c r="F100" s="39">
        <v>25.514432999999993</v>
      </c>
      <c r="G100" s="39">
        <v>29.426130475731615</v>
      </c>
    </row>
    <row r="101" spans="1:7" ht="11.25" customHeight="1" x14ac:dyDescent="0.2">
      <c r="A101" s="49">
        <v>44713</v>
      </c>
      <c r="B101" s="39">
        <v>0</v>
      </c>
      <c r="C101" s="39">
        <v>1.2149730000000001</v>
      </c>
      <c r="D101" s="39">
        <v>0</v>
      </c>
      <c r="E101" s="39">
        <v>1.4012443083681725</v>
      </c>
      <c r="F101" s="39">
        <v>1.2149730000000001</v>
      </c>
      <c r="G101" s="39">
        <v>1.4012443083681725</v>
      </c>
    </row>
    <row r="102" spans="1:7" ht="11.25" customHeight="1" x14ac:dyDescent="0.2">
      <c r="A102" s="49">
        <v>44743</v>
      </c>
      <c r="B102" s="39">
        <v>0</v>
      </c>
      <c r="C102" s="39">
        <v>2.1440699999999993</v>
      </c>
      <c r="D102" s="39">
        <v>0</v>
      </c>
      <c r="E102" s="39">
        <v>2.4727840735908919</v>
      </c>
      <c r="F102" s="39">
        <v>2.1440699999999993</v>
      </c>
      <c r="G102" s="39">
        <v>2.4727840735908919</v>
      </c>
    </row>
    <row r="103" spans="1:7" ht="11.25" customHeight="1" x14ac:dyDescent="0.2">
      <c r="A103" s="49">
        <v>44774</v>
      </c>
      <c r="B103" s="39">
        <v>0</v>
      </c>
      <c r="C103" s="39">
        <v>1.143504000000001</v>
      </c>
      <c r="D103" s="39">
        <v>0</v>
      </c>
      <c r="E103" s="39">
        <v>1.3188181725818104</v>
      </c>
      <c r="F103" s="39">
        <v>1.143504000000001</v>
      </c>
      <c r="G103" s="39">
        <v>1.3188181725818104</v>
      </c>
    </row>
    <row r="104" spans="1:7" ht="11.25" customHeight="1" x14ac:dyDescent="0.2">
      <c r="A104" s="49">
        <v>44805</v>
      </c>
      <c r="B104" s="39">
        <v>0</v>
      </c>
      <c r="C104" s="39">
        <v>2.4299460000000002</v>
      </c>
      <c r="D104" s="39">
        <v>0</v>
      </c>
      <c r="E104" s="39">
        <v>2.802488616736345</v>
      </c>
      <c r="F104" s="39">
        <v>2.4299460000000002</v>
      </c>
      <c r="G104" s="39">
        <v>2.802488616736345</v>
      </c>
    </row>
    <row r="105" spans="1:7" ht="11.25" customHeight="1" x14ac:dyDescent="0.2">
      <c r="A105" s="49">
        <v>44835</v>
      </c>
      <c r="B105" s="39">
        <v>0</v>
      </c>
      <c r="C105" s="39">
        <v>2.4299460000000002</v>
      </c>
      <c r="D105" s="39">
        <v>0</v>
      </c>
      <c r="E105" s="39">
        <v>2.802488616736345</v>
      </c>
      <c r="F105" s="39">
        <v>2.4299460000000002</v>
      </c>
      <c r="G105" s="39">
        <v>2.802488616736345</v>
      </c>
    </row>
    <row r="106" spans="1:7" ht="11.25" customHeight="1" x14ac:dyDescent="0.2">
      <c r="A106" s="43" t="s">
        <v>23</v>
      </c>
      <c r="B106" s="39">
        <v>0</v>
      </c>
      <c r="C106" s="39">
        <v>51881.918674799999</v>
      </c>
      <c r="D106" s="39">
        <v>0</v>
      </c>
      <c r="E106" s="39">
        <v>60987.366085857524</v>
      </c>
      <c r="F106" s="39">
        <v>51881.918674799999</v>
      </c>
      <c r="G106" s="39">
        <v>60987.366085857524</v>
      </c>
    </row>
    <row r="107" spans="1:7" ht="11.25" customHeight="1" x14ac:dyDescent="0.2">
      <c r="A107" s="44" t="s">
        <v>50</v>
      </c>
      <c r="B107" s="39">
        <v>0</v>
      </c>
      <c r="C107" s="39">
        <v>51881.918674799999</v>
      </c>
      <c r="D107" s="39">
        <v>0</v>
      </c>
      <c r="E107" s="39">
        <v>60987.366085857524</v>
      </c>
      <c r="F107" s="39">
        <v>51881.918674799999</v>
      </c>
      <c r="G107" s="39">
        <v>60987.366085857524</v>
      </c>
    </row>
    <row r="108" spans="1:7" ht="11.25" customHeight="1" x14ac:dyDescent="0.2">
      <c r="A108" s="45" t="s">
        <v>51</v>
      </c>
      <c r="B108" s="39">
        <v>0</v>
      </c>
      <c r="C108" s="39">
        <v>51881.918674799999</v>
      </c>
      <c r="D108" s="39">
        <v>0</v>
      </c>
      <c r="E108" s="39">
        <v>60987.366085857524</v>
      </c>
      <c r="F108" s="39">
        <v>51881.918674799999</v>
      </c>
      <c r="G108" s="39">
        <v>60987.366085857524</v>
      </c>
    </row>
    <row r="109" spans="1:7" ht="11.25" customHeight="1" x14ac:dyDescent="0.2">
      <c r="A109" s="46" t="s">
        <v>25</v>
      </c>
      <c r="B109" s="39">
        <v>0</v>
      </c>
      <c r="C109" s="39">
        <v>51881.918674799999</v>
      </c>
      <c r="D109" s="39">
        <v>0</v>
      </c>
      <c r="E109" s="39">
        <v>60987.366085857524</v>
      </c>
      <c r="F109" s="39">
        <v>51881.918674799999</v>
      </c>
      <c r="G109" s="39">
        <v>60987.366085857524</v>
      </c>
    </row>
    <row r="110" spans="1:7" ht="11.25" customHeight="1" x14ac:dyDescent="0.2">
      <c r="A110" s="47" t="s">
        <v>25</v>
      </c>
      <c r="B110" s="39">
        <v>0</v>
      </c>
      <c r="C110" s="39">
        <v>51881.918674799999</v>
      </c>
      <c r="D110" s="39">
        <v>0</v>
      </c>
      <c r="E110" s="39">
        <v>60987.366085857524</v>
      </c>
      <c r="F110" s="39">
        <v>51881.918674799999</v>
      </c>
      <c r="G110" s="39">
        <v>60987.366085857524</v>
      </c>
    </row>
    <row r="111" spans="1:7" ht="11.25" customHeight="1" x14ac:dyDescent="0.2">
      <c r="A111" s="48" t="s">
        <v>25</v>
      </c>
      <c r="B111" s="39">
        <v>0</v>
      </c>
      <c r="C111" s="39">
        <v>51881.918674799999</v>
      </c>
      <c r="D111" s="39">
        <v>0</v>
      </c>
      <c r="E111" s="39">
        <v>60987.366085857524</v>
      </c>
      <c r="F111" s="39">
        <v>51881.918674799999</v>
      </c>
      <c r="G111" s="39">
        <v>60987.366085857524</v>
      </c>
    </row>
    <row r="112" spans="1:7" ht="11.25" customHeight="1" x14ac:dyDescent="0.2">
      <c r="A112" s="49">
        <v>44501</v>
      </c>
      <c r="B112" s="39">
        <v>0</v>
      </c>
      <c r="C112" s="39">
        <v>4087.6826988000034</v>
      </c>
      <c r="D112" s="39">
        <v>0</v>
      </c>
      <c r="E112" s="39">
        <v>4805.0844602944499</v>
      </c>
      <c r="F112" s="39">
        <v>4087.6826988000034</v>
      </c>
      <c r="G112" s="39">
        <v>4805.0844602944499</v>
      </c>
    </row>
    <row r="113" spans="1:7" ht="11.25" customHeight="1" x14ac:dyDescent="0.2">
      <c r="A113" s="49">
        <v>44531</v>
      </c>
      <c r="B113" s="39">
        <v>0</v>
      </c>
      <c r="C113" s="39">
        <v>4347.1611000000048</v>
      </c>
      <c r="D113" s="39">
        <v>0</v>
      </c>
      <c r="E113" s="39">
        <v>5110.1021745495691</v>
      </c>
      <c r="F113" s="39">
        <v>4347.1611000000048</v>
      </c>
      <c r="G113" s="39">
        <v>5110.1021745495691</v>
      </c>
    </row>
    <row r="114" spans="1:7" ht="11.25" customHeight="1" x14ac:dyDescent="0.2">
      <c r="A114" s="49">
        <v>44562</v>
      </c>
      <c r="B114" s="39">
        <v>0</v>
      </c>
      <c r="C114" s="39">
        <v>4899.0105324000042</v>
      </c>
      <c r="D114" s="39">
        <v>0</v>
      </c>
      <c r="E114" s="39">
        <v>5758.8029978365594</v>
      </c>
      <c r="F114" s="39">
        <v>4899.0105324000042</v>
      </c>
      <c r="G114" s="39">
        <v>5758.8029978365594</v>
      </c>
    </row>
    <row r="115" spans="1:7" ht="11.25" customHeight="1" x14ac:dyDescent="0.2">
      <c r="A115" s="49">
        <v>44593</v>
      </c>
      <c r="B115" s="39">
        <v>0</v>
      </c>
      <c r="C115" s="39">
        <v>4471.8686172000052</v>
      </c>
      <c r="D115" s="39">
        <v>0</v>
      </c>
      <c r="E115" s="39">
        <v>5256.6962712869536</v>
      </c>
      <c r="F115" s="39">
        <v>4471.8686172000052</v>
      </c>
      <c r="G115" s="39">
        <v>5256.6962712869536</v>
      </c>
    </row>
    <row r="116" spans="1:7" ht="11.25" customHeight="1" x14ac:dyDescent="0.2">
      <c r="A116" s="49">
        <v>44621</v>
      </c>
      <c r="B116" s="39">
        <v>0</v>
      </c>
      <c r="C116" s="39">
        <v>4564.1102195999993</v>
      </c>
      <c r="D116" s="39">
        <v>0</v>
      </c>
      <c r="E116" s="39">
        <v>5365.1265783690051</v>
      </c>
      <c r="F116" s="39">
        <v>4564.1102195999993</v>
      </c>
      <c r="G116" s="39">
        <v>5365.1265783690051</v>
      </c>
    </row>
    <row r="117" spans="1:7" ht="11.25" customHeight="1" x14ac:dyDescent="0.2">
      <c r="A117" s="49">
        <v>44652</v>
      </c>
      <c r="B117" s="39">
        <v>0</v>
      </c>
      <c r="C117" s="39">
        <v>3886.4153628000013</v>
      </c>
      <c r="D117" s="39">
        <v>0</v>
      </c>
      <c r="E117" s="39">
        <v>4568.4940446874898</v>
      </c>
      <c r="F117" s="39">
        <v>3886.4153628000013</v>
      </c>
      <c r="G117" s="39">
        <v>4568.4940446874898</v>
      </c>
    </row>
    <row r="118" spans="1:7" ht="11.25" customHeight="1" x14ac:dyDescent="0.2">
      <c r="A118" s="49">
        <v>44682</v>
      </c>
      <c r="B118" s="39">
        <v>0</v>
      </c>
      <c r="C118" s="39">
        <v>3749.7598199999993</v>
      </c>
      <c r="D118" s="39">
        <v>0</v>
      </c>
      <c r="E118" s="39">
        <v>4407.8550045501133</v>
      </c>
      <c r="F118" s="39">
        <v>3749.7598199999993</v>
      </c>
      <c r="G118" s="39">
        <v>4407.8550045501133</v>
      </c>
    </row>
    <row r="119" spans="1:7" ht="11.25" customHeight="1" x14ac:dyDescent="0.2">
      <c r="A119" s="49">
        <v>44713</v>
      </c>
      <c r="B119" s="39">
        <v>0</v>
      </c>
      <c r="C119" s="39">
        <v>4016.9546543999986</v>
      </c>
      <c r="D119" s="39">
        <v>0</v>
      </c>
      <c r="E119" s="39">
        <v>4721.9434114177238</v>
      </c>
      <c r="F119" s="39">
        <v>4016.9546543999986</v>
      </c>
      <c r="G119" s="39">
        <v>4721.9434114177238</v>
      </c>
    </row>
    <row r="120" spans="1:7" ht="11.25" customHeight="1" x14ac:dyDescent="0.2">
      <c r="A120" s="49">
        <v>44743</v>
      </c>
      <c r="B120" s="39">
        <v>0</v>
      </c>
      <c r="C120" s="39">
        <v>4649.8088555999975</v>
      </c>
      <c r="D120" s="39">
        <v>0</v>
      </c>
      <c r="E120" s="39">
        <v>5465.8656069224962</v>
      </c>
      <c r="F120" s="39">
        <v>4649.8088555999975</v>
      </c>
      <c r="G120" s="39">
        <v>5465.8656069224962</v>
      </c>
    </row>
    <row r="121" spans="1:7" ht="11.25" customHeight="1" x14ac:dyDescent="0.2">
      <c r="A121" s="49">
        <v>44774</v>
      </c>
      <c r="B121" s="39">
        <v>0</v>
      </c>
      <c r="C121" s="39">
        <v>4014.1454459999995</v>
      </c>
      <c r="D121" s="39">
        <v>0</v>
      </c>
      <c r="E121" s="39">
        <v>4718.6411777016565</v>
      </c>
      <c r="F121" s="39">
        <v>4014.1454459999995</v>
      </c>
      <c r="G121" s="39">
        <v>4718.6411777016565</v>
      </c>
    </row>
    <row r="122" spans="1:7" ht="11.25" customHeight="1" x14ac:dyDescent="0.2">
      <c r="A122" s="49">
        <v>44805</v>
      </c>
      <c r="B122" s="39">
        <v>0</v>
      </c>
      <c r="C122" s="39">
        <v>4597.5006839999942</v>
      </c>
      <c r="D122" s="39">
        <v>0</v>
      </c>
      <c r="E122" s="39">
        <v>5404.3771791207546</v>
      </c>
      <c r="F122" s="39">
        <v>4597.5006839999942</v>
      </c>
      <c r="G122" s="39">
        <v>5404.3771791207546</v>
      </c>
    </row>
    <row r="123" spans="1:7" ht="11.25" customHeight="1" x14ac:dyDescent="0.2">
      <c r="A123" s="49">
        <v>44835</v>
      </c>
      <c r="B123" s="39">
        <v>0</v>
      </c>
      <c r="C123" s="39">
        <v>4597.5006839999942</v>
      </c>
      <c r="D123" s="39">
        <v>0</v>
      </c>
      <c r="E123" s="39">
        <v>5404.3771791207546</v>
      </c>
      <c r="F123" s="39">
        <v>4597.5006839999942</v>
      </c>
      <c r="G123" s="39">
        <v>5404.3771791207546</v>
      </c>
    </row>
    <row r="124" spans="1:7" ht="11.25" customHeight="1" x14ac:dyDescent="0.2">
      <c r="A124" s="41" t="s">
        <v>854</v>
      </c>
      <c r="B124" s="39">
        <v>0</v>
      </c>
      <c r="C124" s="39">
        <v>1794233.1962630001</v>
      </c>
      <c r="D124" s="39">
        <v>0</v>
      </c>
      <c r="E124" s="39">
        <v>1960817.4979087219</v>
      </c>
      <c r="F124" s="39">
        <v>1794233.1962630008</v>
      </c>
      <c r="G124" s="39">
        <v>1960817.4979087226</v>
      </c>
    </row>
    <row r="125" spans="1:7" ht="11.25" customHeight="1" x14ac:dyDescent="0.2">
      <c r="A125" s="42" t="s">
        <v>22</v>
      </c>
      <c r="B125" s="39">
        <v>0</v>
      </c>
      <c r="C125" s="39">
        <v>1794233.1962630001</v>
      </c>
      <c r="D125" s="39">
        <v>0</v>
      </c>
      <c r="E125" s="39">
        <v>1960817.4979087219</v>
      </c>
      <c r="F125" s="39">
        <v>1794233.1962630008</v>
      </c>
      <c r="G125" s="39">
        <v>1960817.4979087226</v>
      </c>
    </row>
    <row r="126" spans="1:7" ht="11.25" customHeight="1" x14ac:dyDescent="0.2">
      <c r="A126" s="43" t="s">
        <v>23</v>
      </c>
      <c r="B126" s="39">
        <v>0</v>
      </c>
      <c r="C126" s="39">
        <v>1794233.1962630001</v>
      </c>
      <c r="D126" s="39">
        <v>0</v>
      </c>
      <c r="E126" s="39">
        <v>1960817.4979087219</v>
      </c>
      <c r="F126" s="39">
        <v>1794233.1962630008</v>
      </c>
      <c r="G126" s="39">
        <v>1960817.4979087226</v>
      </c>
    </row>
    <row r="127" spans="1:7" ht="11.25" customHeight="1" x14ac:dyDescent="0.2">
      <c r="A127" s="44" t="s">
        <v>24</v>
      </c>
      <c r="B127" s="39">
        <v>0</v>
      </c>
      <c r="C127" s="39">
        <v>1794233.1962630001</v>
      </c>
      <c r="D127" s="39">
        <v>0</v>
      </c>
      <c r="E127" s="39">
        <v>1960817.4979087219</v>
      </c>
      <c r="F127" s="39">
        <v>1794233.1962630008</v>
      </c>
      <c r="G127" s="39">
        <v>1960817.4979087226</v>
      </c>
    </row>
    <row r="128" spans="1:7" ht="11.25" customHeight="1" x14ac:dyDescent="0.2">
      <c r="A128" s="45" t="s">
        <v>29</v>
      </c>
      <c r="B128" s="39">
        <v>0</v>
      </c>
      <c r="C128" s="39">
        <v>728817.19869700004</v>
      </c>
      <c r="D128" s="39">
        <v>0</v>
      </c>
      <c r="E128" s="39">
        <v>796494.07095803309</v>
      </c>
      <c r="F128" s="39">
        <v>728817.19869700016</v>
      </c>
      <c r="G128" s="39">
        <v>796494.0709580332</v>
      </c>
    </row>
    <row r="129" spans="1:7" ht="11.25" customHeight="1" x14ac:dyDescent="0.2">
      <c r="A129" s="46" t="s">
        <v>25</v>
      </c>
      <c r="B129" s="39">
        <v>0</v>
      </c>
      <c r="C129" s="39">
        <v>728817.19869700004</v>
      </c>
      <c r="D129" s="39">
        <v>0</v>
      </c>
      <c r="E129" s="39">
        <v>796494.07095803309</v>
      </c>
      <c r="F129" s="39">
        <v>728817.19869700016</v>
      </c>
      <c r="G129" s="39">
        <v>796494.0709580332</v>
      </c>
    </row>
    <row r="130" spans="1:7" ht="11.25" customHeight="1" x14ac:dyDescent="0.2">
      <c r="A130" s="47" t="s">
        <v>25</v>
      </c>
      <c r="B130" s="39">
        <v>0</v>
      </c>
      <c r="C130" s="39">
        <v>728817.19869700004</v>
      </c>
      <c r="D130" s="39">
        <v>0</v>
      </c>
      <c r="E130" s="39">
        <v>796494.07095803309</v>
      </c>
      <c r="F130" s="39">
        <v>728817.19869700016</v>
      </c>
      <c r="G130" s="39">
        <v>796494.0709580332</v>
      </c>
    </row>
    <row r="131" spans="1:7" ht="11.25" customHeight="1" x14ac:dyDescent="0.2">
      <c r="A131" s="48" t="s">
        <v>25</v>
      </c>
      <c r="B131" s="39">
        <v>0</v>
      </c>
      <c r="C131" s="39">
        <v>728817.19869700004</v>
      </c>
      <c r="D131" s="39">
        <v>0</v>
      </c>
      <c r="E131" s="39">
        <v>796494.07095803309</v>
      </c>
      <c r="F131" s="39">
        <v>728817.19869700016</v>
      </c>
      <c r="G131" s="39">
        <v>796494.0709580332</v>
      </c>
    </row>
    <row r="132" spans="1:7" ht="11.25" customHeight="1" x14ac:dyDescent="0.2">
      <c r="A132" s="49">
        <v>44501</v>
      </c>
      <c r="B132" s="39">
        <v>0</v>
      </c>
      <c r="C132" s="39">
        <v>54373.990090000007</v>
      </c>
      <c r="D132" s="39">
        <v>0</v>
      </c>
      <c r="E132" s="39">
        <v>59423.077308636057</v>
      </c>
      <c r="F132" s="39">
        <v>54373.990090000007</v>
      </c>
      <c r="G132" s="39">
        <v>59423.077308636057</v>
      </c>
    </row>
    <row r="133" spans="1:7" ht="11.25" customHeight="1" x14ac:dyDescent="0.2">
      <c r="A133" s="49">
        <v>44531</v>
      </c>
      <c r="B133" s="39">
        <v>0</v>
      </c>
      <c r="C133" s="39">
        <v>57166.813439999998</v>
      </c>
      <c r="D133" s="39">
        <v>0</v>
      </c>
      <c r="E133" s="39">
        <v>62475.238045388862</v>
      </c>
      <c r="F133" s="39">
        <v>57166.813439999998</v>
      </c>
      <c r="G133" s="39">
        <v>62475.238045388862</v>
      </c>
    </row>
    <row r="134" spans="1:7" ht="11.25" customHeight="1" x14ac:dyDescent="0.2">
      <c r="A134" s="49">
        <v>44562</v>
      </c>
      <c r="B134" s="39">
        <v>0</v>
      </c>
      <c r="C134" s="39">
        <v>55258.221340000004</v>
      </c>
      <c r="D134" s="39">
        <v>0</v>
      </c>
      <c r="E134" s="39">
        <v>60389.41694607136</v>
      </c>
      <c r="F134" s="39">
        <v>55258.221340000004</v>
      </c>
      <c r="G134" s="39">
        <v>60389.41694607136</v>
      </c>
    </row>
    <row r="135" spans="1:7" ht="11.25" customHeight="1" x14ac:dyDescent="0.2">
      <c r="A135" s="49">
        <v>44593</v>
      </c>
      <c r="B135" s="39">
        <v>0</v>
      </c>
      <c r="C135" s="39">
        <v>61420.892090000001</v>
      </c>
      <c r="D135" s="39">
        <v>0</v>
      </c>
      <c r="E135" s="39">
        <v>67124.344057263326</v>
      </c>
      <c r="F135" s="39">
        <v>61420.892090000001</v>
      </c>
      <c r="G135" s="39">
        <v>67124.344057263326</v>
      </c>
    </row>
    <row r="136" spans="1:7" ht="11.25" customHeight="1" x14ac:dyDescent="0.2">
      <c r="A136" s="49">
        <v>44621</v>
      </c>
      <c r="B136" s="39">
        <v>0</v>
      </c>
      <c r="C136" s="39">
        <v>63367.211389999997</v>
      </c>
      <c r="D136" s="39">
        <v>0</v>
      </c>
      <c r="E136" s="39">
        <v>69251.395647778059</v>
      </c>
      <c r="F136" s="39">
        <v>63367.211389999997</v>
      </c>
      <c r="G136" s="39">
        <v>69251.395647778059</v>
      </c>
    </row>
    <row r="137" spans="1:7" ht="11.25" customHeight="1" x14ac:dyDescent="0.2">
      <c r="A137" s="49">
        <v>44652</v>
      </c>
      <c r="B137" s="39">
        <v>0</v>
      </c>
      <c r="C137" s="39">
        <v>63775.136770000012</v>
      </c>
      <c r="D137" s="39">
        <v>0</v>
      </c>
      <c r="E137" s="39">
        <v>69697.200333848232</v>
      </c>
      <c r="F137" s="39">
        <v>63775.136770000012</v>
      </c>
      <c r="G137" s="39">
        <v>69697.200333848232</v>
      </c>
    </row>
    <row r="138" spans="1:7" ht="11.25" customHeight="1" x14ac:dyDescent="0.2">
      <c r="A138" s="49">
        <v>44682</v>
      </c>
      <c r="B138" s="39">
        <v>0</v>
      </c>
      <c r="C138" s="39">
        <v>65264.586394000005</v>
      </c>
      <c r="D138" s="39">
        <v>0</v>
      </c>
      <c r="E138" s="39">
        <v>71324.958038552111</v>
      </c>
      <c r="F138" s="39">
        <v>65264.586394000005</v>
      </c>
      <c r="G138" s="39">
        <v>71324.958038552111</v>
      </c>
    </row>
    <row r="139" spans="1:7" ht="11.25" customHeight="1" x14ac:dyDescent="0.2">
      <c r="A139" s="49">
        <v>44713</v>
      </c>
      <c r="B139" s="39">
        <v>0</v>
      </c>
      <c r="C139" s="39">
        <v>63096.78824400001</v>
      </c>
      <c r="D139" s="39">
        <v>0</v>
      </c>
      <c r="E139" s="39">
        <v>68955.861376946443</v>
      </c>
      <c r="F139" s="39">
        <v>63096.78824400001</v>
      </c>
      <c r="G139" s="39">
        <v>68955.861376946443</v>
      </c>
    </row>
    <row r="140" spans="1:7" ht="11.25" customHeight="1" x14ac:dyDescent="0.2">
      <c r="A140" s="49">
        <v>44743</v>
      </c>
      <c r="B140" s="39">
        <v>0</v>
      </c>
      <c r="C140" s="39">
        <v>59852.8554</v>
      </c>
      <c r="D140" s="39">
        <v>0</v>
      </c>
      <c r="E140" s="39">
        <v>65410.701766878054</v>
      </c>
      <c r="F140" s="39">
        <v>59852.8554</v>
      </c>
      <c r="G140" s="39">
        <v>65410.701766878054</v>
      </c>
    </row>
    <row r="141" spans="1:7" ht="11.25" customHeight="1" x14ac:dyDescent="0.2">
      <c r="A141" s="49">
        <v>44774</v>
      </c>
      <c r="B141" s="39">
        <v>0</v>
      </c>
      <c r="C141" s="39">
        <v>61829.474349000004</v>
      </c>
      <c r="D141" s="39">
        <v>0</v>
      </c>
      <c r="E141" s="39">
        <v>67570.866595635584</v>
      </c>
      <c r="F141" s="39">
        <v>61829.474349000004</v>
      </c>
      <c r="G141" s="39">
        <v>67570.866595635584</v>
      </c>
    </row>
    <row r="142" spans="1:7" ht="11.25" customHeight="1" x14ac:dyDescent="0.2">
      <c r="A142" s="49">
        <v>44805</v>
      </c>
      <c r="B142" s="39">
        <v>0</v>
      </c>
      <c r="C142" s="39">
        <v>61705.614595000006</v>
      </c>
      <c r="D142" s="39">
        <v>0</v>
      </c>
      <c r="E142" s="39">
        <v>67435.505420517511</v>
      </c>
      <c r="F142" s="39">
        <v>61705.614595000006</v>
      </c>
      <c r="G142" s="39">
        <v>67435.505420517511</v>
      </c>
    </row>
    <row r="143" spans="1:7" ht="11.25" customHeight="1" x14ac:dyDescent="0.2">
      <c r="A143" s="49">
        <v>44835</v>
      </c>
      <c r="B143" s="39">
        <v>0</v>
      </c>
      <c r="C143" s="39">
        <v>61705.614595000006</v>
      </c>
      <c r="D143" s="39">
        <v>0</v>
      </c>
      <c r="E143" s="39">
        <v>67435.505420517511</v>
      </c>
      <c r="F143" s="39">
        <v>61705.614595000006</v>
      </c>
      <c r="G143" s="39">
        <v>67435.505420517511</v>
      </c>
    </row>
    <row r="144" spans="1:7" ht="11.25" customHeight="1" x14ac:dyDescent="0.2">
      <c r="A144" s="45" t="s">
        <v>30</v>
      </c>
      <c r="B144" s="39">
        <v>0</v>
      </c>
      <c r="C144" s="39">
        <v>897609.57029600034</v>
      </c>
      <c r="D144" s="39">
        <v>0</v>
      </c>
      <c r="E144" s="39">
        <v>980923.85895287525</v>
      </c>
      <c r="F144" s="39">
        <v>897609.57029600022</v>
      </c>
      <c r="G144" s="39">
        <v>980923.85895287513</v>
      </c>
    </row>
    <row r="145" spans="1:7" ht="11.25" customHeight="1" x14ac:dyDescent="0.2">
      <c r="A145" s="46" t="s">
        <v>25</v>
      </c>
      <c r="B145" s="39">
        <v>0</v>
      </c>
      <c r="C145" s="39">
        <v>897609.57029600034</v>
      </c>
      <c r="D145" s="39">
        <v>0</v>
      </c>
      <c r="E145" s="39">
        <v>980923.85895287525</v>
      </c>
      <c r="F145" s="39">
        <v>897609.57029600022</v>
      </c>
      <c r="G145" s="39">
        <v>980923.85895287513</v>
      </c>
    </row>
    <row r="146" spans="1:7" ht="11.25" customHeight="1" x14ac:dyDescent="0.2">
      <c r="A146" s="47" t="s">
        <v>25</v>
      </c>
      <c r="B146" s="39">
        <v>0</v>
      </c>
      <c r="C146" s="39">
        <v>897609.57029600034</v>
      </c>
      <c r="D146" s="39">
        <v>0</v>
      </c>
      <c r="E146" s="39">
        <v>980923.85895287525</v>
      </c>
      <c r="F146" s="39">
        <v>897609.57029600022</v>
      </c>
      <c r="G146" s="39">
        <v>980923.85895287513</v>
      </c>
    </row>
    <row r="147" spans="1:7" ht="11.25" customHeight="1" x14ac:dyDescent="0.2">
      <c r="A147" s="48" t="s">
        <v>25</v>
      </c>
      <c r="B147" s="39">
        <v>0</v>
      </c>
      <c r="C147" s="39">
        <v>897609.57029600034</v>
      </c>
      <c r="D147" s="39">
        <v>0</v>
      </c>
      <c r="E147" s="39">
        <v>980923.85895287525</v>
      </c>
      <c r="F147" s="39">
        <v>897609.57029600022</v>
      </c>
      <c r="G147" s="39">
        <v>980923.85895287513</v>
      </c>
    </row>
    <row r="148" spans="1:7" ht="11.25" customHeight="1" x14ac:dyDescent="0.2">
      <c r="A148" s="49">
        <v>44501</v>
      </c>
      <c r="B148" s="39">
        <v>0</v>
      </c>
      <c r="C148" s="39">
        <v>67862.762900000016</v>
      </c>
      <c r="D148" s="39">
        <v>0</v>
      </c>
      <c r="E148" s="39">
        <v>74161.64698233176</v>
      </c>
      <c r="F148" s="39">
        <v>67862.762900000016</v>
      </c>
      <c r="G148" s="39">
        <v>74161.64698233176</v>
      </c>
    </row>
    <row r="149" spans="1:7" ht="11.25" customHeight="1" x14ac:dyDescent="0.2">
      <c r="A149" s="49">
        <v>44531</v>
      </c>
      <c r="B149" s="39">
        <v>0</v>
      </c>
      <c r="C149" s="39">
        <v>70523.914204000001</v>
      </c>
      <c r="D149" s="39">
        <v>0</v>
      </c>
      <c r="E149" s="39">
        <v>77069.801166931778</v>
      </c>
      <c r="F149" s="39">
        <v>70523.914204000001</v>
      </c>
      <c r="G149" s="39">
        <v>77069.801166931778</v>
      </c>
    </row>
    <row r="150" spans="1:7" ht="11.25" customHeight="1" x14ac:dyDescent="0.2">
      <c r="A150" s="49">
        <v>44562</v>
      </c>
      <c r="B150" s="39">
        <v>0</v>
      </c>
      <c r="C150" s="39">
        <v>69671.123928000015</v>
      </c>
      <c r="D150" s="39">
        <v>0</v>
      </c>
      <c r="E150" s="39">
        <v>76137.856141177923</v>
      </c>
      <c r="F150" s="39">
        <v>69671.123928000015</v>
      </c>
      <c r="G150" s="39">
        <v>76137.856141177923</v>
      </c>
    </row>
    <row r="151" spans="1:7" ht="11.25" customHeight="1" x14ac:dyDescent="0.2">
      <c r="A151" s="49">
        <v>44593</v>
      </c>
      <c r="B151" s="39">
        <v>0</v>
      </c>
      <c r="C151" s="39">
        <v>75340.239756000024</v>
      </c>
      <c r="D151" s="39">
        <v>0</v>
      </c>
      <c r="E151" s="39">
        <v>82333.167871767975</v>
      </c>
      <c r="F151" s="39">
        <v>75340.239756000024</v>
      </c>
      <c r="G151" s="39">
        <v>82333.167871767975</v>
      </c>
    </row>
    <row r="152" spans="1:7" ht="11.25" customHeight="1" x14ac:dyDescent="0.2">
      <c r="A152" s="49">
        <v>44621</v>
      </c>
      <c r="B152" s="39">
        <v>0</v>
      </c>
      <c r="C152" s="39">
        <v>78840.873412000015</v>
      </c>
      <c r="D152" s="39">
        <v>0</v>
      </c>
      <c r="E152" s="39">
        <v>86158.723139622642</v>
      </c>
      <c r="F152" s="39">
        <v>78840.873412000015</v>
      </c>
      <c r="G152" s="39">
        <v>86158.723139622642</v>
      </c>
    </row>
    <row r="153" spans="1:7" ht="11.25" customHeight="1" x14ac:dyDescent="0.2">
      <c r="A153" s="49">
        <v>44652</v>
      </c>
      <c r="B153" s="39">
        <v>0</v>
      </c>
      <c r="C153" s="39">
        <v>78819.27332800001</v>
      </c>
      <c r="D153" s="39">
        <v>0</v>
      </c>
      <c r="E153" s="39">
        <v>86135.117550706418</v>
      </c>
      <c r="F153" s="39">
        <v>78819.27332800001</v>
      </c>
      <c r="G153" s="39">
        <v>86135.117550706418</v>
      </c>
    </row>
    <row r="154" spans="1:7" ht="11.25" customHeight="1" x14ac:dyDescent="0.2">
      <c r="A154" s="49">
        <v>44682</v>
      </c>
      <c r="B154" s="39">
        <v>0</v>
      </c>
      <c r="C154" s="39">
        <v>80466.065488000022</v>
      </c>
      <c r="D154" s="39">
        <v>0</v>
      </c>
      <c r="E154" s="39">
        <v>87934.760529117819</v>
      </c>
      <c r="F154" s="39">
        <v>80466.065488000022</v>
      </c>
      <c r="G154" s="39">
        <v>87934.760529117819</v>
      </c>
    </row>
    <row r="155" spans="1:7" ht="11.25" customHeight="1" x14ac:dyDescent="0.2">
      <c r="A155" s="49">
        <v>44713</v>
      </c>
      <c r="B155" s="39">
        <v>0</v>
      </c>
      <c r="C155" s="39">
        <v>76167.617100000018</v>
      </c>
      <c r="D155" s="39">
        <v>0</v>
      </c>
      <c r="E155" s="39">
        <v>83237.338951253827</v>
      </c>
      <c r="F155" s="39">
        <v>76167.617100000018</v>
      </c>
      <c r="G155" s="39">
        <v>83237.338951253827</v>
      </c>
    </row>
    <row r="156" spans="1:7" ht="11.25" customHeight="1" x14ac:dyDescent="0.2">
      <c r="A156" s="49">
        <v>44743</v>
      </c>
      <c r="B156" s="39">
        <v>0</v>
      </c>
      <c r="C156" s="39">
        <v>72035.298900000009</v>
      </c>
      <c r="D156" s="39">
        <v>0</v>
      </c>
      <c r="E156" s="39">
        <v>78721.467459353953</v>
      </c>
      <c r="F156" s="39">
        <v>72035.298900000009</v>
      </c>
      <c r="G156" s="39">
        <v>78721.467459353953</v>
      </c>
    </row>
    <row r="157" spans="1:7" ht="11.25" customHeight="1" x14ac:dyDescent="0.2">
      <c r="A157" s="49">
        <v>44774</v>
      </c>
      <c r="B157" s="39">
        <v>0</v>
      </c>
      <c r="C157" s="39">
        <v>74363.070600000021</v>
      </c>
      <c r="D157" s="39">
        <v>0</v>
      </c>
      <c r="E157" s="39">
        <v>81265.298149759474</v>
      </c>
      <c r="F157" s="39">
        <v>74363.070600000021</v>
      </c>
      <c r="G157" s="39">
        <v>81265.298149759474</v>
      </c>
    </row>
    <row r="158" spans="1:7" ht="11.25" customHeight="1" x14ac:dyDescent="0.2">
      <c r="A158" s="49">
        <v>44805</v>
      </c>
      <c r="B158" s="39">
        <v>0</v>
      </c>
      <c r="C158" s="39">
        <v>76759.665340000021</v>
      </c>
      <c r="D158" s="39">
        <v>0</v>
      </c>
      <c r="E158" s="39">
        <v>83884.340505425876</v>
      </c>
      <c r="F158" s="39">
        <v>76759.665340000021</v>
      </c>
      <c r="G158" s="39">
        <v>83884.340505425876</v>
      </c>
    </row>
    <row r="159" spans="1:7" ht="11.25" customHeight="1" x14ac:dyDescent="0.2">
      <c r="A159" s="49">
        <v>44835</v>
      </c>
      <c r="B159" s="39">
        <v>0</v>
      </c>
      <c r="C159" s="39">
        <v>76759.665340000021</v>
      </c>
      <c r="D159" s="39">
        <v>0</v>
      </c>
      <c r="E159" s="39">
        <v>83884.340505425876</v>
      </c>
      <c r="F159" s="39">
        <v>76759.665340000021</v>
      </c>
      <c r="G159" s="39">
        <v>83884.340505425876</v>
      </c>
    </row>
    <row r="160" spans="1:7" ht="11.25" customHeight="1" x14ac:dyDescent="0.2">
      <c r="A160" s="45" t="s">
        <v>31</v>
      </c>
      <c r="B160" s="39">
        <v>0</v>
      </c>
      <c r="C160" s="39">
        <v>167806.42727000016</v>
      </c>
      <c r="D160" s="39">
        <v>0</v>
      </c>
      <c r="E160" s="39">
        <v>183399.56799781401</v>
      </c>
      <c r="F160" s="39">
        <v>167806.4272700001</v>
      </c>
      <c r="G160" s="39">
        <v>183399.56799781398</v>
      </c>
    </row>
    <row r="161" spans="1:7" ht="11.25" customHeight="1" x14ac:dyDescent="0.2">
      <c r="A161" s="46" t="s">
        <v>25</v>
      </c>
      <c r="B161" s="39">
        <v>0</v>
      </c>
      <c r="C161" s="39">
        <v>167806.42727000016</v>
      </c>
      <c r="D161" s="39">
        <v>0</v>
      </c>
      <c r="E161" s="39">
        <v>183399.56799781401</v>
      </c>
      <c r="F161" s="39">
        <v>167806.4272700001</v>
      </c>
      <c r="G161" s="39">
        <v>183399.56799781398</v>
      </c>
    </row>
    <row r="162" spans="1:7" ht="11.25" customHeight="1" x14ac:dyDescent="0.2">
      <c r="A162" s="47" t="s">
        <v>25</v>
      </c>
      <c r="B162" s="39">
        <v>0</v>
      </c>
      <c r="C162" s="39">
        <v>167806.42727000016</v>
      </c>
      <c r="D162" s="39">
        <v>0</v>
      </c>
      <c r="E162" s="39">
        <v>183399.56799781401</v>
      </c>
      <c r="F162" s="39">
        <v>167806.4272700001</v>
      </c>
      <c r="G162" s="39">
        <v>183399.56799781398</v>
      </c>
    </row>
    <row r="163" spans="1:7" ht="11.25" customHeight="1" x14ac:dyDescent="0.2">
      <c r="A163" s="48" t="s">
        <v>25</v>
      </c>
      <c r="B163" s="39">
        <v>0</v>
      </c>
      <c r="C163" s="39">
        <v>167806.42727000016</v>
      </c>
      <c r="D163" s="39">
        <v>0</v>
      </c>
      <c r="E163" s="39">
        <v>183399.56799781401</v>
      </c>
      <c r="F163" s="39">
        <v>167806.4272700001</v>
      </c>
      <c r="G163" s="39">
        <v>183399.56799781398</v>
      </c>
    </row>
    <row r="164" spans="1:7" ht="11.25" customHeight="1" x14ac:dyDescent="0.2">
      <c r="A164" s="49">
        <v>44501</v>
      </c>
      <c r="B164" s="39">
        <v>0</v>
      </c>
      <c r="C164" s="39">
        <v>12439.598280000013</v>
      </c>
      <c r="D164" s="39">
        <v>0</v>
      </c>
      <c r="E164" s="39">
        <v>13595.527931129362</v>
      </c>
      <c r="F164" s="39">
        <v>12439.598280000013</v>
      </c>
      <c r="G164" s="39">
        <v>13595.527931129362</v>
      </c>
    </row>
    <row r="165" spans="1:7" ht="11.25" customHeight="1" x14ac:dyDescent="0.2">
      <c r="A165" s="49">
        <v>44531</v>
      </c>
      <c r="B165" s="39">
        <v>0</v>
      </c>
      <c r="C165" s="39">
        <v>11978.218985000012</v>
      </c>
      <c r="D165" s="39">
        <v>0</v>
      </c>
      <c r="E165" s="39">
        <v>13091.275625669712</v>
      </c>
      <c r="F165" s="39">
        <v>11978.218985000012</v>
      </c>
      <c r="G165" s="39">
        <v>13091.275625669712</v>
      </c>
    </row>
    <row r="166" spans="1:7" ht="11.25" customHeight="1" x14ac:dyDescent="0.2">
      <c r="A166" s="49">
        <v>44562</v>
      </c>
      <c r="B166" s="39">
        <v>0</v>
      </c>
      <c r="C166" s="39">
        <v>13721.132925000014</v>
      </c>
      <c r="D166" s="39">
        <v>0</v>
      </c>
      <c r="E166" s="39">
        <v>14996.146973098232</v>
      </c>
      <c r="F166" s="39">
        <v>13721.132925000014</v>
      </c>
      <c r="G166" s="39">
        <v>14996.146973098232</v>
      </c>
    </row>
    <row r="167" spans="1:7" ht="11.25" customHeight="1" x14ac:dyDescent="0.2">
      <c r="A167" s="49">
        <v>44593</v>
      </c>
      <c r="B167" s="39">
        <v>0</v>
      </c>
      <c r="C167" s="39">
        <v>12972.769351000014</v>
      </c>
      <c r="D167" s="39">
        <v>0</v>
      </c>
      <c r="E167" s="39">
        <v>14178.242767501997</v>
      </c>
      <c r="F167" s="39">
        <v>12972.769351000014</v>
      </c>
      <c r="G167" s="39">
        <v>14178.242767501997</v>
      </c>
    </row>
    <row r="168" spans="1:7" ht="11.25" customHeight="1" x14ac:dyDescent="0.2">
      <c r="A168" s="49">
        <v>44621</v>
      </c>
      <c r="B168" s="39">
        <v>0</v>
      </c>
      <c r="C168" s="39">
        <v>14205.826161000014</v>
      </c>
      <c r="D168" s="39">
        <v>0</v>
      </c>
      <c r="E168" s="39">
        <v>15525.87949557661</v>
      </c>
      <c r="F168" s="39">
        <v>14205.826161000014</v>
      </c>
      <c r="G168" s="39">
        <v>15525.87949557661</v>
      </c>
    </row>
    <row r="169" spans="1:7" ht="11.25" customHeight="1" x14ac:dyDescent="0.2">
      <c r="A169" s="49">
        <v>44652</v>
      </c>
      <c r="B169" s="39">
        <v>0</v>
      </c>
      <c r="C169" s="39">
        <v>14226.559160000013</v>
      </c>
      <c r="D169" s="39">
        <v>0</v>
      </c>
      <c r="E169" s="39">
        <v>15548.539275148061</v>
      </c>
      <c r="F169" s="39">
        <v>14226.559160000013</v>
      </c>
      <c r="G169" s="39">
        <v>15548.539275148061</v>
      </c>
    </row>
    <row r="170" spans="1:7" ht="11.25" customHeight="1" x14ac:dyDescent="0.2">
      <c r="A170" s="49">
        <v>44682</v>
      </c>
      <c r="B170" s="39">
        <v>0</v>
      </c>
      <c r="C170" s="39">
        <v>14889.233320000014</v>
      </c>
      <c r="D170" s="39">
        <v>0</v>
      </c>
      <c r="E170" s="39">
        <v>16272.791365024848</v>
      </c>
      <c r="F170" s="39">
        <v>14889.233320000014</v>
      </c>
      <c r="G170" s="39">
        <v>16272.791365024848</v>
      </c>
    </row>
    <row r="171" spans="1:7" ht="11.25" customHeight="1" x14ac:dyDescent="0.2">
      <c r="A171" s="49">
        <v>44713</v>
      </c>
      <c r="B171" s="39">
        <v>0</v>
      </c>
      <c r="C171" s="39">
        <v>13888.330020000016</v>
      </c>
      <c r="D171" s="39">
        <v>0</v>
      </c>
      <c r="E171" s="39">
        <v>15178.880736625559</v>
      </c>
      <c r="F171" s="39">
        <v>13888.330020000016</v>
      </c>
      <c r="G171" s="39">
        <v>15178.880736625559</v>
      </c>
    </row>
    <row r="172" spans="1:7" ht="11.25" customHeight="1" x14ac:dyDescent="0.2">
      <c r="A172" s="49">
        <v>44743</v>
      </c>
      <c r="B172" s="39">
        <v>0</v>
      </c>
      <c r="C172" s="39">
        <v>13812.310080000012</v>
      </c>
      <c r="D172" s="39">
        <v>0</v>
      </c>
      <c r="E172" s="39">
        <v>15095.796766039908</v>
      </c>
      <c r="F172" s="39">
        <v>13812.310080000012</v>
      </c>
      <c r="G172" s="39">
        <v>15095.796766039908</v>
      </c>
    </row>
    <row r="173" spans="1:7" ht="11.25" customHeight="1" x14ac:dyDescent="0.2">
      <c r="A173" s="49">
        <v>44774</v>
      </c>
      <c r="B173" s="39">
        <v>0</v>
      </c>
      <c r="C173" s="39">
        <v>13774.688760000015</v>
      </c>
      <c r="D173" s="39">
        <v>0</v>
      </c>
      <c r="E173" s="39">
        <v>15054.679545422883</v>
      </c>
      <c r="F173" s="39">
        <v>13774.688760000015</v>
      </c>
      <c r="G173" s="39">
        <v>15054.679545422883</v>
      </c>
    </row>
    <row r="174" spans="1:7" ht="11.25" customHeight="1" x14ac:dyDescent="0.2">
      <c r="A174" s="49">
        <v>44805</v>
      </c>
      <c r="B174" s="39">
        <v>0</v>
      </c>
      <c r="C174" s="39">
        <v>15948.880114000014</v>
      </c>
      <c r="D174" s="39">
        <v>0</v>
      </c>
      <c r="E174" s="39">
        <v>17430.903758288412</v>
      </c>
      <c r="F174" s="39">
        <v>15948.880114000014</v>
      </c>
      <c r="G174" s="39">
        <v>17430.903758288412</v>
      </c>
    </row>
    <row r="175" spans="1:7" ht="11.25" customHeight="1" x14ac:dyDescent="0.2">
      <c r="A175" s="49">
        <v>44835</v>
      </c>
      <c r="B175" s="39">
        <v>0</v>
      </c>
      <c r="C175" s="39">
        <v>15948.880114000014</v>
      </c>
      <c r="D175" s="39">
        <v>0</v>
      </c>
      <c r="E175" s="39">
        <v>17430.903758288412</v>
      </c>
      <c r="F175" s="39">
        <v>15948.880114000014</v>
      </c>
      <c r="G175" s="39">
        <v>17430.903758288412</v>
      </c>
    </row>
    <row r="176" spans="1:7" ht="11.25" customHeight="1" x14ac:dyDescent="0.2">
      <c r="A176" s="45" t="s">
        <v>32</v>
      </c>
      <c r="B176" s="39">
        <v>0</v>
      </c>
      <c r="C176" s="39">
        <v>0</v>
      </c>
      <c r="D176" s="39">
        <v>0</v>
      </c>
      <c r="E176" s="39">
        <v>-3.6034919048688607E-11</v>
      </c>
      <c r="F176" s="39">
        <v>0</v>
      </c>
      <c r="G176" s="39">
        <v>-3.60349190486886E-11</v>
      </c>
    </row>
    <row r="177" spans="1:7" ht="11.25" customHeight="1" x14ac:dyDescent="0.2">
      <c r="A177" s="46" t="s">
        <v>25</v>
      </c>
      <c r="B177" s="39">
        <v>0</v>
      </c>
      <c r="C177" s="39">
        <v>0</v>
      </c>
      <c r="D177" s="39">
        <v>0</v>
      </c>
      <c r="E177" s="39">
        <v>-3.6034919048688607E-11</v>
      </c>
      <c r="F177" s="39">
        <v>0</v>
      </c>
      <c r="G177" s="39">
        <v>-3.60349190486886E-11</v>
      </c>
    </row>
    <row r="178" spans="1:7" ht="11.25" customHeight="1" x14ac:dyDescent="0.2">
      <c r="A178" s="47" t="s">
        <v>25</v>
      </c>
      <c r="B178" s="39">
        <v>0</v>
      </c>
      <c r="C178" s="39">
        <v>0</v>
      </c>
      <c r="D178" s="39">
        <v>0</v>
      </c>
      <c r="E178" s="39">
        <v>-3.6034919048688607E-11</v>
      </c>
      <c r="F178" s="39">
        <v>0</v>
      </c>
      <c r="G178" s="39">
        <v>-3.60349190486886E-11</v>
      </c>
    </row>
    <row r="179" spans="1:7" ht="11.25" customHeight="1" x14ac:dyDescent="0.2">
      <c r="A179" s="48" t="s">
        <v>25</v>
      </c>
      <c r="B179" s="39">
        <v>0</v>
      </c>
      <c r="C179" s="39">
        <v>0</v>
      </c>
      <c r="D179" s="39">
        <v>0</v>
      </c>
      <c r="E179" s="39">
        <v>-3.6034919048688607E-11</v>
      </c>
      <c r="F179" s="39">
        <v>0</v>
      </c>
      <c r="G179" s="39">
        <v>-3.60349190486886E-11</v>
      </c>
    </row>
    <row r="180" spans="1:7" ht="11.25" customHeight="1" x14ac:dyDescent="0.2">
      <c r="A180" s="49">
        <v>44501</v>
      </c>
      <c r="B180" s="39">
        <v>0</v>
      </c>
      <c r="C180" s="39">
        <v>0</v>
      </c>
      <c r="D180" s="39">
        <v>0</v>
      </c>
      <c r="E180" s="39">
        <v>-2.270951426908141E-12</v>
      </c>
      <c r="F180" s="39">
        <v>0</v>
      </c>
      <c r="G180" s="39">
        <v>-2.270951426908141E-12</v>
      </c>
    </row>
    <row r="181" spans="1:7" ht="11.25" customHeight="1" x14ac:dyDescent="0.2">
      <c r="A181" s="49">
        <v>44531</v>
      </c>
      <c r="B181" s="39">
        <v>0</v>
      </c>
      <c r="C181" s="39">
        <v>0</v>
      </c>
      <c r="D181" s="39">
        <v>0</v>
      </c>
      <c r="E181" s="39">
        <v>-2.0221477825543842E-12</v>
      </c>
      <c r="F181" s="39">
        <v>0</v>
      </c>
      <c r="G181" s="39">
        <v>-2.0221477825543842E-12</v>
      </c>
    </row>
    <row r="182" spans="1:7" ht="11.25" customHeight="1" x14ac:dyDescent="0.2">
      <c r="A182" s="49">
        <v>44562</v>
      </c>
      <c r="B182" s="39">
        <v>0</v>
      </c>
      <c r="C182" s="39">
        <v>0</v>
      </c>
      <c r="D182" s="39">
        <v>0</v>
      </c>
      <c r="E182" s="39">
        <v>-3.0427145247813313E-12</v>
      </c>
      <c r="F182" s="39">
        <v>0</v>
      </c>
      <c r="G182" s="39">
        <v>-3.0427145247813313E-12</v>
      </c>
    </row>
    <row r="183" spans="1:7" ht="11.25" customHeight="1" x14ac:dyDescent="0.2">
      <c r="A183" s="49">
        <v>44593</v>
      </c>
      <c r="B183" s="39">
        <v>0</v>
      </c>
      <c r="C183" s="39">
        <v>0</v>
      </c>
      <c r="D183" s="39">
        <v>0</v>
      </c>
      <c r="E183" s="39">
        <v>-2.3732127374387346E-12</v>
      </c>
      <c r="F183" s="39">
        <v>0</v>
      </c>
      <c r="G183" s="39">
        <v>-2.3732127374387346E-12</v>
      </c>
    </row>
    <row r="184" spans="1:7" ht="11.25" customHeight="1" x14ac:dyDescent="0.2">
      <c r="A184" s="49">
        <v>44621</v>
      </c>
      <c r="B184" s="39">
        <v>0</v>
      </c>
      <c r="C184" s="39">
        <v>0</v>
      </c>
      <c r="D184" s="39">
        <v>0</v>
      </c>
      <c r="E184" s="39">
        <v>-2.7507098820933605E-12</v>
      </c>
      <c r="F184" s="39">
        <v>0</v>
      </c>
      <c r="G184" s="39">
        <v>-2.7507098820933605E-12</v>
      </c>
    </row>
    <row r="185" spans="1:7" ht="11.25" customHeight="1" x14ac:dyDescent="0.2">
      <c r="A185" s="49">
        <v>44652</v>
      </c>
      <c r="B185" s="39">
        <v>0</v>
      </c>
      <c r="C185" s="39">
        <v>0</v>
      </c>
      <c r="D185" s="39">
        <v>0</v>
      </c>
      <c r="E185" s="39">
        <v>-2.8526301321107897E-12</v>
      </c>
      <c r="F185" s="39">
        <v>0</v>
      </c>
      <c r="G185" s="39">
        <v>-2.8526301321107897E-12</v>
      </c>
    </row>
    <row r="186" spans="1:7" ht="11.25" customHeight="1" x14ac:dyDescent="0.2">
      <c r="A186" s="49">
        <v>44682</v>
      </c>
      <c r="B186" s="39">
        <v>0</v>
      </c>
      <c r="C186" s="39">
        <v>0</v>
      </c>
      <c r="D186" s="39">
        <v>0</v>
      </c>
      <c r="E186" s="39">
        <v>-3.080060650972882E-12</v>
      </c>
      <c r="F186" s="39">
        <v>0</v>
      </c>
      <c r="G186" s="39">
        <v>-3.080060650972882E-12</v>
      </c>
    </row>
    <row r="187" spans="1:7" ht="11.25" customHeight="1" x14ac:dyDescent="0.2">
      <c r="A187" s="49">
        <v>44713</v>
      </c>
      <c r="B187" s="39">
        <v>0</v>
      </c>
      <c r="C187" s="39">
        <v>0</v>
      </c>
      <c r="D187" s="39">
        <v>0</v>
      </c>
      <c r="E187" s="39">
        <v>-3.0514115678670349E-12</v>
      </c>
      <c r="F187" s="39">
        <v>0</v>
      </c>
      <c r="G187" s="39">
        <v>-3.0514115678670349E-12</v>
      </c>
    </row>
    <row r="188" spans="1:7" ht="11.25" customHeight="1" x14ac:dyDescent="0.2">
      <c r="A188" s="49">
        <v>44743</v>
      </c>
      <c r="B188" s="39">
        <v>0</v>
      </c>
      <c r="C188" s="39">
        <v>0</v>
      </c>
      <c r="D188" s="39">
        <v>0</v>
      </c>
      <c r="E188" s="39">
        <v>-3.3949163480428977E-12</v>
      </c>
      <c r="F188" s="39">
        <v>0</v>
      </c>
      <c r="G188" s="39">
        <v>-3.3949163480428977E-12</v>
      </c>
    </row>
    <row r="189" spans="1:7" ht="11.25" customHeight="1" x14ac:dyDescent="0.2">
      <c r="A189" s="49">
        <v>44774</v>
      </c>
      <c r="B189" s="39">
        <v>0</v>
      </c>
      <c r="C189" s="39">
        <v>0</v>
      </c>
      <c r="D189" s="39">
        <v>0</v>
      </c>
      <c r="E189" s="39">
        <v>-2.94625124297454E-12</v>
      </c>
      <c r="F189" s="39">
        <v>0</v>
      </c>
      <c r="G189" s="39">
        <v>-2.94625124297454E-12</v>
      </c>
    </row>
    <row r="190" spans="1:7" ht="11.25" customHeight="1" x14ac:dyDescent="0.2">
      <c r="A190" s="49">
        <v>44805</v>
      </c>
      <c r="B190" s="39">
        <v>0</v>
      </c>
      <c r="C190" s="39">
        <v>0</v>
      </c>
      <c r="D190" s="39">
        <v>0</v>
      </c>
      <c r="E190" s="39">
        <v>-4.1249563764722548E-12</v>
      </c>
      <c r="F190" s="39">
        <v>0</v>
      </c>
      <c r="G190" s="39">
        <v>-4.1249563764722548E-12</v>
      </c>
    </row>
    <row r="191" spans="1:7" ht="11.25" customHeight="1" x14ac:dyDescent="0.2">
      <c r="A191" s="49">
        <v>44835</v>
      </c>
      <c r="B191" s="39">
        <v>0</v>
      </c>
      <c r="C191" s="39">
        <v>0</v>
      </c>
      <c r="D191" s="39">
        <v>0</v>
      </c>
      <c r="E191" s="39">
        <v>-4.1249563764722548E-12</v>
      </c>
      <c r="F191" s="39">
        <v>0</v>
      </c>
      <c r="G191" s="39">
        <v>-4.1249563764722548E-12</v>
      </c>
    </row>
    <row r="192" spans="1:7" ht="11.25" customHeight="1" x14ac:dyDescent="0.2">
      <c r="A192" s="41" t="s">
        <v>851</v>
      </c>
      <c r="B192" s="39">
        <v>4520375.0651395833</v>
      </c>
      <c r="C192" s="39">
        <v>940779.10837964062</v>
      </c>
      <c r="D192" s="39">
        <v>5148596.5467525302</v>
      </c>
      <c r="E192" s="39">
        <v>1108495.1068909043</v>
      </c>
      <c r="F192" s="39">
        <v>5461154.1735192239</v>
      </c>
      <c r="G192" s="39">
        <v>6257091.6536434349</v>
      </c>
    </row>
    <row r="193" spans="1:7" ht="11.25" customHeight="1" x14ac:dyDescent="0.2">
      <c r="A193" s="42" t="s">
        <v>39</v>
      </c>
      <c r="B193" s="39">
        <v>4513894.0851422586</v>
      </c>
      <c r="C193" s="39">
        <v>913151.11343081854</v>
      </c>
      <c r="D193" s="39">
        <v>5141236.7369207898</v>
      </c>
      <c r="E193" s="39">
        <v>1076215.8984176023</v>
      </c>
      <c r="F193" s="39">
        <v>5427045.1985730771</v>
      </c>
      <c r="G193" s="39">
        <v>6217452.6353383921</v>
      </c>
    </row>
    <row r="194" spans="1:7" ht="11.25" customHeight="1" x14ac:dyDescent="0.2">
      <c r="A194" s="43" t="s">
        <v>40</v>
      </c>
      <c r="B194" s="39">
        <v>3955108.4526734175</v>
      </c>
      <c r="C194" s="39">
        <v>0</v>
      </c>
      <c r="D194" s="39">
        <v>4505586.6474491097</v>
      </c>
      <c r="E194" s="39">
        <v>0</v>
      </c>
      <c r="F194" s="39">
        <v>3955108.4526734175</v>
      </c>
      <c r="G194" s="39">
        <v>4505586.6474491097</v>
      </c>
    </row>
    <row r="195" spans="1:7" ht="11.25" customHeight="1" x14ac:dyDescent="0.2">
      <c r="A195" s="44" t="s">
        <v>38</v>
      </c>
      <c r="B195" s="39">
        <v>3955108.4526734175</v>
      </c>
      <c r="C195" s="39">
        <v>0</v>
      </c>
      <c r="D195" s="39">
        <v>4505586.6474491097</v>
      </c>
      <c r="E195" s="39">
        <v>0</v>
      </c>
      <c r="F195" s="39">
        <v>3955108.4526734175</v>
      </c>
      <c r="G195" s="39">
        <v>4505586.6474491097</v>
      </c>
    </row>
    <row r="196" spans="1:7" ht="11.25" customHeight="1" x14ac:dyDescent="0.2">
      <c r="A196" s="45" t="s">
        <v>25</v>
      </c>
      <c r="B196" s="39">
        <v>3955108.4526734175</v>
      </c>
      <c r="C196" s="39">
        <v>0</v>
      </c>
      <c r="D196" s="39">
        <v>4505586.6474491097</v>
      </c>
      <c r="E196" s="39">
        <v>0</v>
      </c>
      <c r="F196" s="39">
        <v>3955108.4526734175</v>
      </c>
      <c r="G196" s="39">
        <v>4505586.6474491097</v>
      </c>
    </row>
    <row r="197" spans="1:7" ht="11.25" customHeight="1" x14ac:dyDescent="0.2">
      <c r="A197" s="46" t="s">
        <v>56</v>
      </c>
      <c r="B197" s="39">
        <v>3955108.4526734175</v>
      </c>
      <c r="C197" s="39">
        <v>0</v>
      </c>
      <c r="D197" s="39">
        <v>4505586.6474491097</v>
      </c>
      <c r="E197" s="39">
        <v>0</v>
      </c>
      <c r="F197" s="39">
        <v>3955108.4526734175</v>
      </c>
      <c r="G197" s="39">
        <v>4505586.6474491097</v>
      </c>
    </row>
    <row r="198" spans="1:7" ht="11.25" customHeight="1" x14ac:dyDescent="0.2">
      <c r="A198" s="47" t="s">
        <v>25</v>
      </c>
      <c r="B198" s="39">
        <v>3955108.4526734175</v>
      </c>
      <c r="C198" s="39">
        <v>0</v>
      </c>
      <c r="D198" s="39">
        <v>4505586.6474491097</v>
      </c>
      <c r="E198" s="39">
        <v>0</v>
      </c>
      <c r="F198" s="39">
        <v>3955108.4526734175</v>
      </c>
      <c r="G198" s="39">
        <v>4505586.6474491097</v>
      </c>
    </row>
    <row r="199" spans="1:7" ht="11.25" customHeight="1" x14ac:dyDescent="0.2">
      <c r="A199" s="48" t="s">
        <v>35</v>
      </c>
      <c r="B199" s="39">
        <v>1161834.3249662798</v>
      </c>
      <c r="C199" s="39">
        <v>0</v>
      </c>
      <c r="D199" s="39">
        <v>1321651.8995900755</v>
      </c>
      <c r="E199" s="39">
        <v>0</v>
      </c>
      <c r="F199" s="39">
        <v>1161834.3249662798</v>
      </c>
      <c r="G199" s="39">
        <v>1321651.8995900755</v>
      </c>
    </row>
    <row r="200" spans="1:7" ht="11.25" customHeight="1" x14ac:dyDescent="0.2">
      <c r="A200" s="49">
        <v>44501</v>
      </c>
      <c r="B200" s="39">
        <v>83518.936712819996</v>
      </c>
      <c r="C200" s="39">
        <v>0</v>
      </c>
      <c r="D200" s="39">
        <v>95007.48857755214</v>
      </c>
      <c r="E200" s="39">
        <v>0</v>
      </c>
      <c r="F200" s="39">
        <v>83518.936712819996</v>
      </c>
      <c r="G200" s="39">
        <v>95007.48857755214</v>
      </c>
    </row>
    <row r="201" spans="1:7" ht="11.25" customHeight="1" x14ac:dyDescent="0.2">
      <c r="A201" s="49">
        <v>44531</v>
      </c>
      <c r="B201" s="39">
        <v>81512.037374880005</v>
      </c>
      <c r="C201" s="39">
        <v>0</v>
      </c>
      <c r="D201" s="39">
        <v>92724.527689517228</v>
      </c>
      <c r="E201" s="39">
        <v>0</v>
      </c>
      <c r="F201" s="39">
        <v>81512.037374880005</v>
      </c>
      <c r="G201" s="39">
        <v>92724.527689517228</v>
      </c>
    </row>
    <row r="202" spans="1:7" ht="11.25" customHeight="1" x14ac:dyDescent="0.2">
      <c r="A202" s="49">
        <v>44562</v>
      </c>
      <c r="B202" s="39">
        <v>97058.651086459984</v>
      </c>
      <c r="C202" s="39">
        <v>0</v>
      </c>
      <c r="D202" s="39">
        <v>110409.67530701352</v>
      </c>
      <c r="E202" s="39">
        <v>0</v>
      </c>
      <c r="F202" s="39">
        <v>97058.651086459984</v>
      </c>
      <c r="G202" s="39">
        <v>110409.67530701352</v>
      </c>
    </row>
    <row r="203" spans="1:7" ht="11.25" customHeight="1" x14ac:dyDescent="0.2">
      <c r="A203" s="49">
        <v>44593</v>
      </c>
      <c r="B203" s="39">
        <v>93039.669489199994</v>
      </c>
      <c r="C203" s="39">
        <v>0</v>
      </c>
      <c r="D203" s="39">
        <v>105837.85766632674</v>
      </c>
      <c r="E203" s="39">
        <v>0</v>
      </c>
      <c r="F203" s="39">
        <v>93039.669489199994</v>
      </c>
      <c r="G203" s="39">
        <v>105837.85766632674</v>
      </c>
    </row>
    <row r="204" spans="1:7" ht="11.25" customHeight="1" x14ac:dyDescent="0.2">
      <c r="A204" s="49">
        <v>44621</v>
      </c>
      <c r="B204" s="39">
        <v>107019.04005449999</v>
      </c>
      <c r="C204" s="39">
        <v>0</v>
      </c>
      <c r="D204" s="39">
        <v>121740.17804512822</v>
      </c>
      <c r="E204" s="39">
        <v>0</v>
      </c>
      <c r="F204" s="39">
        <v>107019.04005449999</v>
      </c>
      <c r="G204" s="39">
        <v>121740.17804512822</v>
      </c>
    </row>
    <row r="205" spans="1:7" ht="11.25" customHeight="1" x14ac:dyDescent="0.2">
      <c r="A205" s="49">
        <v>44652</v>
      </c>
      <c r="B205" s="39">
        <v>114856.49922264001</v>
      </c>
      <c r="C205" s="39">
        <v>0</v>
      </c>
      <c r="D205" s="39">
        <v>130655.72871783927</v>
      </c>
      <c r="E205" s="39">
        <v>0</v>
      </c>
      <c r="F205" s="39">
        <v>114856.49922264001</v>
      </c>
      <c r="G205" s="39">
        <v>130655.72871783927</v>
      </c>
    </row>
    <row r="206" spans="1:7" ht="11.25" customHeight="1" x14ac:dyDescent="0.2">
      <c r="A206" s="49">
        <v>44682</v>
      </c>
      <c r="B206" s="39">
        <v>79596.959719199993</v>
      </c>
      <c r="C206" s="39">
        <v>0</v>
      </c>
      <c r="D206" s="39">
        <v>90546.019130161789</v>
      </c>
      <c r="E206" s="39">
        <v>0</v>
      </c>
      <c r="F206" s="39">
        <v>79596.959719199993</v>
      </c>
      <c r="G206" s="39">
        <v>90546.019130161789</v>
      </c>
    </row>
    <row r="207" spans="1:7" ht="11.25" customHeight="1" x14ac:dyDescent="0.2">
      <c r="A207" s="49">
        <v>44713</v>
      </c>
      <c r="B207" s="39">
        <v>88319.269691940019</v>
      </c>
      <c r="C207" s="39">
        <v>0</v>
      </c>
      <c r="D207" s="39">
        <v>100468.13736730363</v>
      </c>
      <c r="E207" s="39">
        <v>0</v>
      </c>
      <c r="F207" s="39">
        <v>88319.269691940019</v>
      </c>
      <c r="G207" s="39">
        <v>100468.13736730363</v>
      </c>
    </row>
    <row r="208" spans="1:7" ht="11.25" customHeight="1" x14ac:dyDescent="0.2">
      <c r="A208" s="49">
        <v>44743</v>
      </c>
      <c r="B208" s="39">
        <v>114025.45005880001</v>
      </c>
      <c r="C208" s="39">
        <v>0</v>
      </c>
      <c r="D208" s="39">
        <v>129710.36354619679</v>
      </c>
      <c r="E208" s="39">
        <v>0</v>
      </c>
      <c r="F208" s="39">
        <v>114025.45005880001</v>
      </c>
      <c r="G208" s="39">
        <v>129710.36354619679</v>
      </c>
    </row>
    <row r="209" spans="1:7" ht="11.25" customHeight="1" x14ac:dyDescent="0.2">
      <c r="A209" s="49">
        <v>44774</v>
      </c>
      <c r="B209" s="39">
        <v>106317.24998831999</v>
      </c>
      <c r="C209" s="39">
        <v>0</v>
      </c>
      <c r="D209" s="39">
        <v>120941.85236809406</v>
      </c>
      <c r="E209" s="39">
        <v>0</v>
      </c>
      <c r="F209" s="39">
        <v>106317.24998831999</v>
      </c>
      <c r="G209" s="39">
        <v>120941.85236809406</v>
      </c>
    </row>
    <row r="210" spans="1:7" ht="11.25" customHeight="1" x14ac:dyDescent="0.2">
      <c r="A210" s="49">
        <v>44805</v>
      </c>
      <c r="B210" s="39">
        <v>98285.280783760012</v>
      </c>
      <c r="C210" s="39">
        <v>0</v>
      </c>
      <c r="D210" s="39">
        <v>111805.03558747107</v>
      </c>
      <c r="E210" s="39">
        <v>0</v>
      </c>
      <c r="F210" s="39">
        <v>98285.280783760012</v>
      </c>
      <c r="G210" s="39">
        <v>111805.03558747107</v>
      </c>
    </row>
    <row r="211" spans="1:7" ht="11.25" customHeight="1" x14ac:dyDescent="0.2">
      <c r="A211" s="49">
        <v>44835</v>
      </c>
      <c r="B211" s="39">
        <v>98285.280783760012</v>
      </c>
      <c r="C211" s="39">
        <v>0</v>
      </c>
      <c r="D211" s="39">
        <v>111805.03558747107</v>
      </c>
      <c r="E211" s="39">
        <v>0</v>
      </c>
      <c r="F211" s="39">
        <v>98285.280783760012</v>
      </c>
      <c r="G211" s="39">
        <v>111805.03558747107</v>
      </c>
    </row>
    <row r="212" spans="1:7" ht="11.25" customHeight="1" x14ac:dyDescent="0.2">
      <c r="A212" s="48" t="s">
        <v>25</v>
      </c>
      <c r="B212" s="39">
        <v>0</v>
      </c>
      <c r="C212" s="39">
        <v>0</v>
      </c>
      <c r="D212" s="39">
        <v>0</v>
      </c>
      <c r="E212" s="39">
        <v>0</v>
      </c>
      <c r="F212" s="39">
        <v>0</v>
      </c>
      <c r="G212" s="39">
        <v>0</v>
      </c>
    </row>
    <row r="213" spans="1:7" ht="11.25" customHeight="1" x14ac:dyDescent="0.2">
      <c r="A213" s="49">
        <v>44501</v>
      </c>
      <c r="B213" s="39">
        <v>0</v>
      </c>
      <c r="C213" s="39">
        <v>0</v>
      </c>
      <c r="D213" s="39">
        <v>0</v>
      </c>
      <c r="E213" s="39">
        <v>0</v>
      </c>
      <c r="F213" s="39">
        <v>0</v>
      </c>
      <c r="G213" s="39">
        <v>0</v>
      </c>
    </row>
    <row r="214" spans="1:7" ht="11.25" customHeight="1" x14ac:dyDescent="0.2">
      <c r="A214" s="49">
        <v>44531</v>
      </c>
      <c r="B214" s="39">
        <v>0</v>
      </c>
      <c r="C214" s="39">
        <v>0</v>
      </c>
      <c r="D214" s="39">
        <v>0</v>
      </c>
      <c r="E214" s="39">
        <v>0</v>
      </c>
      <c r="F214" s="39">
        <v>0</v>
      </c>
      <c r="G214" s="39">
        <v>0</v>
      </c>
    </row>
    <row r="215" spans="1:7" ht="11.25" customHeight="1" x14ac:dyDescent="0.2">
      <c r="A215" s="49">
        <v>44562</v>
      </c>
      <c r="B215" s="39">
        <v>0</v>
      </c>
      <c r="C215" s="39">
        <v>0</v>
      </c>
      <c r="D215" s="39">
        <v>0</v>
      </c>
      <c r="E215" s="39">
        <v>0</v>
      </c>
      <c r="F215" s="39">
        <v>0</v>
      </c>
      <c r="G215" s="39">
        <v>0</v>
      </c>
    </row>
    <row r="216" spans="1:7" ht="11.25" customHeight="1" x14ac:dyDescent="0.2">
      <c r="A216" s="49">
        <v>44593</v>
      </c>
      <c r="B216" s="39">
        <v>0</v>
      </c>
      <c r="C216" s="39">
        <v>0</v>
      </c>
      <c r="D216" s="39">
        <v>0</v>
      </c>
      <c r="E216" s="39">
        <v>0</v>
      </c>
      <c r="F216" s="39">
        <v>0</v>
      </c>
      <c r="G216" s="39">
        <v>0</v>
      </c>
    </row>
    <row r="217" spans="1:7" ht="11.25" customHeight="1" x14ac:dyDescent="0.2">
      <c r="A217" s="49">
        <v>44621</v>
      </c>
      <c r="B217" s="39">
        <v>0</v>
      </c>
      <c r="C217" s="39">
        <v>0</v>
      </c>
      <c r="D217" s="39">
        <v>0</v>
      </c>
      <c r="E217" s="39">
        <v>0</v>
      </c>
      <c r="F217" s="39">
        <v>0</v>
      </c>
      <c r="G217" s="39">
        <v>0</v>
      </c>
    </row>
    <row r="218" spans="1:7" ht="11.25" customHeight="1" x14ac:dyDescent="0.2">
      <c r="A218" s="49">
        <v>44652</v>
      </c>
      <c r="B218" s="39">
        <v>0</v>
      </c>
      <c r="C218" s="39">
        <v>0</v>
      </c>
      <c r="D218" s="39">
        <v>0</v>
      </c>
      <c r="E218" s="39">
        <v>0</v>
      </c>
      <c r="F218" s="39">
        <v>0</v>
      </c>
      <c r="G218" s="39">
        <v>0</v>
      </c>
    </row>
    <row r="219" spans="1:7" ht="11.25" customHeight="1" x14ac:dyDescent="0.2">
      <c r="A219" s="49">
        <v>44682</v>
      </c>
      <c r="B219" s="39">
        <v>0</v>
      </c>
      <c r="C219" s="39">
        <v>0</v>
      </c>
      <c r="D219" s="39">
        <v>0</v>
      </c>
      <c r="E219" s="39">
        <v>0</v>
      </c>
      <c r="F219" s="39">
        <v>0</v>
      </c>
      <c r="G219" s="39">
        <v>0</v>
      </c>
    </row>
    <row r="220" spans="1:7" ht="11.25" customHeight="1" x14ac:dyDescent="0.2">
      <c r="A220" s="49">
        <v>44713</v>
      </c>
      <c r="B220" s="39">
        <v>0</v>
      </c>
      <c r="C220" s="39">
        <v>0</v>
      </c>
      <c r="D220" s="39">
        <v>0</v>
      </c>
      <c r="E220" s="39">
        <v>0</v>
      </c>
      <c r="F220" s="39">
        <v>0</v>
      </c>
      <c r="G220" s="39">
        <v>0</v>
      </c>
    </row>
    <row r="221" spans="1:7" ht="11.25" customHeight="1" x14ac:dyDescent="0.2">
      <c r="A221" s="49">
        <v>44743</v>
      </c>
      <c r="B221" s="39">
        <v>0</v>
      </c>
      <c r="C221" s="39">
        <v>0</v>
      </c>
      <c r="D221" s="39">
        <v>0</v>
      </c>
      <c r="E221" s="39">
        <v>0</v>
      </c>
      <c r="F221" s="39">
        <v>0</v>
      </c>
      <c r="G221" s="39">
        <v>0</v>
      </c>
    </row>
    <row r="222" spans="1:7" ht="11.25" customHeight="1" x14ac:dyDescent="0.2">
      <c r="A222" s="49">
        <v>44774</v>
      </c>
      <c r="B222" s="39">
        <v>0</v>
      </c>
      <c r="C222" s="39">
        <v>0</v>
      </c>
      <c r="D222" s="39">
        <v>0</v>
      </c>
      <c r="E222" s="39">
        <v>0</v>
      </c>
      <c r="F222" s="39">
        <v>0</v>
      </c>
      <c r="G222" s="39">
        <v>0</v>
      </c>
    </row>
    <row r="223" spans="1:7" ht="11.25" customHeight="1" x14ac:dyDescent="0.2">
      <c r="A223" s="49">
        <v>44805</v>
      </c>
      <c r="B223" s="39">
        <v>0</v>
      </c>
      <c r="C223" s="39">
        <v>0</v>
      </c>
      <c r="D223" s="39">
        <v>0</v>
      </c>
      <c r="E223" s="39">
        <v>0</v>
      </c>
      <c r="F223" s="39">
        <v>0</v>
      </c>
      <c r="G223" s="39">
        <v>0</v>
      </c>
    </row>
    <row r="224" spans="1:7" ht="11.25" customHeight="1" x14ac:dyDescent="0.2">
      <c r="A224" s="49">
        <v>44835</v>
      </c>
      <c r="B224" s="39">
        <v>0</v>
      </c>
      <c r="C224" s="39">
        <v>0</v>
      </c>
      <c r="D224" s="39">
        <v>0</v>
      </c>
      <c r="E224" s="39">
        <v>0</v>
      </c>
      <c r="F224" s="39">
        <v>0</v>
      </c>
      <c r="G224" s="39">
        <v>0</v>
      </c>
    </row>
    <row r="225" spans="1:7" ht="11.25" customHeight="1" x14ac:dyDescent="0.2">
      <c r="A225" s="48" t="s">
        <v>34</v>
      </c>
      <c r="B225" s="39">
        <v>2793274.1277071373</v>
      </c>
      <c r="C225" s="39">
        <v>0</v>
      </c>
      <c r="D225" s="39">
        <v>3183934.7478590333</v>
      </c>
      <c r="E225" s="39">
        <v>0</v>
      </c>
      <c r="F225" s="39">
        <v>2793274.1277071373</v>
      </c>
      <c r="G225" s="39">
        <v>3183934.7478590333</v>
      </c>
    </row>
    <row r="226" spans="1:7" ht="11.25" customHeight="1" x14ac:dyDescent="0.2">
      <c r="A226" s="49">
        <v>44501</v>
      </c>
      <c r="B226" s="39">
        <v>195500.24875526878</v>
      </c>
      <c r="C226" s="39">
        <v>0</v>
      </c>
      <c r="D226" s="39">
        <v>222842.44466114469</v>
      </c>
      <c r="E226" s="39">
        <v>0</v>
      </c>
      <c r="F226" s="39">
        <v>195500.24875526878</v>
      </c>
      <c r="G226" s="39">
        <v>222842.44466114469</v>
      </c>
    </row>
    <row r="227" spans="1:7" ht="11.25" customHeight="1" x14ac:dyDescent="0.2">
      <c r="A227" s="49">
        <v>44531</v>
      </c>
      <c r="B227" s="39">
        <v>191016.89553285117</v>
      </c>
      <c r="C227" s="39">
        <v>0</v>
      </c>
      <c r="D227" s="39">
        <v>217732.06040985085</v>
      </c>
      <c r="E227" s="39">
        <v>0</v>
      </c>
      <c r="F227" s="39">
        <v>191016.89553285117</v>
      </c>
      <c r="G227" s="39">
        <v>217732.06040985085</v>
      </c>
    </row>
    <row r="228" spans="1:7" ht="11.25" customHeight="1" x14ac:dyDescent="0.2">
      <c r="A228" s="49">
        <v>44562</v>
      </c>
      <c r="B228" s="39">
        <v>229990.991131332</v>
      </c>
      <c r="C228" s="39">
        <v>0</v>
      </c>
      <c r="D228" s="39">
        <v>262156.97954381467</v>
      </c>
      <c r="E228" s="39">
        <v>0</v>
      </c>
      <c r="F228" s="39">
        <v>229990.991131332</v>
      </c>
      <c r="G228" s="39">
        <v>262156.97954381467</v>
      </c>
    </row>
    <row r="229" spans="1:7" ht="11.25" customHeight="1" x14ac:dyDescent="0.2">
      <c r="A229" s="49">
        <v>44593</v>
      </c>
      <c r="B229" s="39">
        <v>219333.77969807998</v>
      </c>
      <c r="C229" s="39">
        <v>0</v>
      </c>
      <c r="D229" s="39">
        <v>250009.2760796134</v>
      </c>
      <c r="E229" s="39">
        <v>0</v>
      </c>
      <c r="F229" s="39">
        <v>219333.77969807998</v>
      </c>
      <c r="G229" s="39">
        <v>250009.2760796134</v>
      </c>
    </row>
    <row r="230" spans="1:7" ht="11.25" customHeight="1" x14ac:dyDescent="0.2">
      <c r="A230" s="49">
        <v>44621</v>
      </c>
      <c r="B230" s="39">
        <v>254017.63090353119</v>
      </c>
      <c r="C230" s="39">
        <v>0</v>
      </c>
      <c r="D230" s="39">
        <v>289543.9275294001</v>
      </c>
      <c r="E230" s="39">
        <v>0</v>
      </c>
      <c r="F230" s="39">
        <v>254017.63090353119</v>
      </c>
      <c r="G230" s="39">
        <v>289543.9275294001</v>
      </c>
    </row>
    <row r="231" spans="1:7" ht="11.25" customHeight="1" x14ac:dyDescent="0.2">
      <c r="A231" s="49">
        <v>44652</v>
      </c>
      <c r="B231" s="39">
        <v>276907.19999549759</v>
      </c>
      <c r="C231" s="39">
        <v>0</v>
      </c>
      <c r="D231" s="39">
        <v>315634.77685654961</v>
      </c>
      <c r="E231" s="39">
        <v>0</v>
      </c>
      <c r="F231" s="39">
        <v>276907.19999549759</v>
      </c>
      <c r="G231" s="39">
        <v>315634.77685654961</v>
      </c>
    </row>
    <row r="232" spans="1:7" ht="11.25" customHeight="1" x14ac:dyDescent="0.2">
      <c r="A232" s="49">
        <v>44682</v>
      </c>
      <c r="B232" s="39">
        <v>195788.77195785599</v>
      </c>
      <c r="C232" s="39">
        <v>0</v>
      </c>
      <c r="D232" s="39">
        <v>223171.3200268558</v>
      </c>
      <c r="E232" s="39">
        <v>0</v>
      </c>
      <c r="F232" s="39">
        <v>195788.77195785599</v>
      </c>
      <c r="G232" s="39">
        <v>223171.3200268558</v>
      </c>
    </row>
    <row r="233" spans="1:7" ht="11.25" customHeight="1" x14ac:dyDescent="0.2">
      <c r="A233" s="49">
        <v>44713</v>
      </c>
      <c r="B233" s="39">
        <v>215567.36916523922</v>
      </c>
      <c r="C233" s="39">
        <v>0</v>
      </c>
      <c r="D233" s="39">
        <v>245716.10440295539</v>
      </c>
      <c r="E233" s="39">
        <v>0</v>
      </c>
      <c r="F233" s="39">
        <v>215567.36916523922</v>
      </c>
      <c r="G233" s="39">
        <v>245716.10440295539</v>
      </c>
    </row>
    <row r="234" spans="1:7" ht="11.25" customHeight="1" x14ac:dyDescent="0.2">
      <c r="A234" s="49">
        <v>44743</v>
      </c>
      <c r="B234" s="39">
        <v>277062.20773497841</v>
      </c>
      <c r="C234" s="39">
        <v>0</v>
      </c>
      <c r="D234" s="39">
        <v>315811.46360670583</v>
      </c>
      <c r="E234" s="39">
        <v>0</v>
      </c>
      <c r="F234" s="39">
        <v>277062.20773497841</v>
      </c>
      <c r="G234" s="39">
        <v>315811.46360670583</v>
      </c>
    </row>
    <row r="235" spans="1:7" ht="11.25" customHeight="1" x14ac:dyDescent="0.2">
      <c r="A235" s="49">
        <v>44774</v>
      </c>
      <c r="B235" s="39">
        <v>259453.69036637517</v>
      </c>
      <c r="C235" s="39">
        <v>0</v>
      </c>
      <c r="D235" s="39">
        <v>295740.2612309492</v>
      </c>
      <c r="E235" s="39">
        <v>0</v>
      </c>
      <c r="F235" s="39">
        <v>259453.69036637517</v>
      </c>
      <c r="G235" s="39">
        <v>295740.2612309492</v>
      </c>
    </row>
    <row r="236" spans="1:7" ht="11.25" customHeight="1" x14ac:dyDescent="0.2">
      <c r="A236" s="49">
        <v>44805</v>
      </c>
      <c r="B236" s="39">
        <v>239317.67123306397</v>
      </c>
      <c r="C236" s="39">
        <v>0</v>
      </c>
      <c r="D236" s="39">
        <v>272788.06675559701</v>
      </c>
      <c r="E236" s="39">
        <v>0</v>
      </c>
      <c r="F236" s="39">
        <v>239317.67123306397</v>
      </c>
      <c r="G236" s="39">
        <v>272788.06675559701</v>
      </c>
    </row>
    <row r="237" spans="1:7" ht="11.25" customHeight="1" x14ac:dyDescent="0.2">
      <c r="A237" s="49">
        <v>44835</v>
      </c>
      <c r="B237" s="39">
        <v>239317.67123306397</v>
      </c>
      <c r="C237" s="39">
        <v>0</v>
      </c>
      <c r="D237" s="39">
        <v>272788.06675559701</v>
      </c>
      <c r="E237" s="39">
        <v>0</v>
      </c>
      <c r="F237" s="39">
        <v>239317.67123306397</v>
      </c>
      <c r="G237" s="39">
        <v>272788.06675559701</v>
      </c>
    </row>
    <row r="238" spans="1:7" ht="11.25" customHeight="1" x14ac:dyDescent="0.2">
      <c r="A238" s="43" t="s">
        <v>41</v>
      </c>
      <c r="B238" s="39">
        <v>558785.63246883999</v>
      </c>
      <c r="C238" s="39">
        <v>913151.11343081854</v>
      </c>
      <c r="D238" s="39">
        <v>635650.08947167953</v>
      </c>
      <c r="E238" s="39">
        <v>1076215.8984176023</v>
      </c>
      <c r="F238" s="39">
        <v>1471936.7458996587</v>
      </c>
      <c r="G238" s="39">
        <v>1711865.9878892819</v>
      </c>
    </row>
    <row r="239" spans="1:7" ht="11.25" customHeight="1" x14ac:dyDescent="0.2">
      <c r="A239" s="44" t="s">
        <v>38</v>
      </c>
      <c r="B239" s="39">
        <v>558785.63246883999</v>
      </c>
      <c r="C239" s="39">
        <v>913151.11343081854</v>
      </c>
      <c r="D239" s="39">
        <v>635650.08947167953</v>
      </c>
      <c r="E239" s="39">
        <v>1076215.8984176023</v>
      </c>
      <c r="F239" s="39">
        <v>1471936.7458996587</v>
      </c>
      <c r="G239" s="39">
        <v>1711865.9878892819</v>
      </c>
    </row>
    <row r="240" spans="1:7" ht="11.25" customHeight="1" x14ac:dyDescent="0.2">
      <c r="A240" s="45" t="s">
        <v>25</v>
      </c>
      <c r="B240" s="39">
        <v>558785.63246883999</v>
      </c>
      <c r="C240" s="39">
        <v>913151.11343081854</v>
      </c>
      <c r="D240" s="39">
        <v>635650.08947167953</v>
      </c>
      <c r="E240" s="39">
        <v>1076215.8984176023</v>
      </c>
      <c r="F240" s="39">
        <v>1471936.7458996587</v>
      </c>
      <c r="G240" s="39">
        <v>1711865.9878892819</v>
      </c>
    </row>
    <row r="241" spans="1:7" ht="11.25" customHeight="1" x14ac:dyDescent="0.2">
      <c r="A241" s="46" t="s">
        <v>56</v>
      </c>
      <c r="B241" s="39">
        <v>558785.63246883999</v>
      </c>
      <c r="C241" s="39">
        <v>913151.11343081854</v>
      </c>
      <c r="D241" s="39">
        <v>635650.08947167953</v>
      </c>
      <c r="E241" s="39">
        <v>1076215.8984176023</v>
      </c>
      <c r="F241" s="39">
        <v>1471936.7458996587</v>
      </c>
      <c r="G241" s="39">
        <v>1711865.9878892819</v>
      </c>
    </row>
    <row r="242" spans="1:7" ht="11.25" customHeight="1" x14ac:dyDescent="0.2">
      <c r="A242" s="47" t="s">
        <v>25</v>
      </c>
      <c r="B242" s="39">
        <v>558785.63246883999</v>
      </c>
      <c r="C242" s="39">
        <v>913151.11343081854</v>
      </c>
      <c r="D242" s="39">
        <v>635650.08947167953</v>
      </c>
      <c r="E242" s="39">
        <v>1076215.8984176023</v>
      </c>
      <c r="F242" s="39">
        <v>1471936.7458996587</v>
      </c>
      <c r="G242" s="39">
        <v>1711865.9878892819</v>
      </c>
    </row>
    <row r="243" spans="1:7" ht="11.25" customHeight="1" x14ac:dyDescent="0.2">
      <c r="A243" s="48" t="s">
        <v>35</v>
      </c>
      <c r="B243" s="39">
        <v>0</v>
      </c>
      <c r="C243" s="39">
        <v>0</v>
      </c>
      <c r="D243" s="39">
        <v>0</v>
      </c>
      <c r="E243" s="39">
        <v>0</v>
      </c>
      <c r="F243" s="39">
        <v>0</v>
      </c>
      <c r="G243" s="39">
        <v>0</v>
      </c>
    </row>
    <row r="244" spans="1:7" ht="11.25" customHeight="1" x14ac:dyDescent="0.2">
      <c r="A244" s="49">
        <v>44501</v>
      </c>
      <c r="B244" s="39">
        <v>0</v>
      </c>
      <c r="C244" s="39">
        <v>0</v>
      </c>
      <c r="D244" s="39">
        <v>0</v>
      </c>
      <c r="E244" s="39">
        <v>0</v>
      </c>
      <c r="F244" s="39">
        <v>0</v>
      </c>
      <c r="G244" s="39">
        <v>0</v>
      </c>
    </row>
    <row r="245" spans="1:7" ht="11.25" customHeight="1" x14ac:dyDescent="0.2">
      <c r="A245" s="49">
        <v>44531</v>
      </c>
      <c r="B245" s="39">
        <v>0</v>
      </c>
      <c r="C245" s="39">
        <v>0</v>
      </c>
      <c r="D245" s="39">
        <v>0</v>
      </c>
      <c r="E245" s="39">
        <v>0</v>
      </c>
      <c r="F245" s="39">
        <v>0</v>
      </c>
      <c r="G245" s="39">
        <v>0</v>
      </c>
    </row>
    <row r="246" spans="1:7" ht="11.25" customHeight="1" x14ac:dyDescent="0.2">
      <c r="A246" s="49">
        <v>44562</v>
      </c>
      <c r="B246" s="39">
        <v>0</v>
      </c>
      <c r="C246" s="39">
        <v>0</v>
      </c>
      <c r="D246" s="39">
        <v>0</v>
      </c>
      <c r="E246" s="39">
        <v>0</v>
      </c>
      <c r="F246" s="39">
        <v>0</v>
      </c>
      <c r="G246" s="39">
        <v>0</v>
      </c>
    </row>
    <row r="247" spans="1:7" ht="11.25" customHeight="1" x14ac:dyDescent="0.2">
      <c r="A247" s="49">
        <v>44593</v>
      </c>
      <c r="B247" s="39">
        <v>0</v>
      </c>
      <c r="C247" s="39">
        <v>0</v>
      </c>
      <c r="D247" s="39">
        <v>0</v>
      </c>
      <c r="E247" s="39">
        <v>0</v>
      </c>
      <c r="F247" s="39">
        <v>0</v>
      </c>
      <c r="G247" s="39">
        <v>0</v>
      </c>
    </row>
    <row r="248" spans="1:7" ht="11.25" customHeight="1" x14ac:dyDescent="0.2">
      <c r="A248" s="49">
        <v>44621</v>
      </c>
      <c r="B248" s="39">
        <v>0</v>
      </c>
      <c r="C248" s="39">
        <v>0</v>
      </c>
      <c r="D248" s="39">
        <v>0</v>
      </c>
      <c r="E248" s="39">
        <v>0</v>
      </c>
      <c r="F248" s="39">
        <v>0</v>
      </c>
      <c r="G248" s="39">
        <v>0</v>
      </c>
    </row>
    <row r="249" spans="1:7" ht="11.25" customHeight="1" x14ac:dyDescent="0.2">
      <c r="A249" s="49">
        <v>44652</v>
      </c>
      <c r="B249" s="39">
        <v>0</v>
      </c>
      <c r="C249" s="39">
        <v>0</v>
      </c>
      <c r="D249" s="39">
        <v>0</v>
      </c>
      <c r="E249" s="39">
        <v>0</v>
      </c>
      <c r="F249" s="39">
        <v>0</v>
      </c>
      <c r="G249" s="39">
        <v>0</v>
      </c>
    </row>
    <row r="250" spans="1:7" ht="11.25" customHeight="1" x14ac:dyDescent="0.2">
      <c r="A250" s="49">
        <v>44682</v>
      </c>
      <c r="B250" s="39">
        <v>0</v>
      </c>
      <c r="C250" s="39">
        <v>0</v>
      </c>
      <c r="D250" s="39">
        <v>0</v>
      </c>
      <c r="E250" s="39">
        <v>0</v>
      </c>
      <c r="F250" s="39">
        <v>0</v>
      </c>
      <c r="G250" s="39">
        <v>0</v>
      </c>
    </row>
    <row r="251" spans="1:7" ht="11.25" customHeight="1" x14ac:dyDescent="0.2">
      <c r="A251" s="49">
        <v>44713</v>
      </c>
      <c r="B251" s="39">
        <v>0</v>
      </c>
      <c r="C251" s="39">
        <v>0</v>
      </c>
      <c r="D251" s="39">
        <v>0</v>
      </c>
      <c r="E251" s="39">
        <v>0</v>
      </c>
      <c r="F251" s="39">
        <v>0</v>
      </c>
      <c r="G251" s="39">
        <v>0</v>
      </c>
    </row>
    <row r="252" spans="1:7" ht="11.25" customHeight="1" x14ac:dyDescent="0.2">
      <c r="A252" s="49">
        <v>44743</v>
      </c>
      <c r="B252" s="39">
        <v>0</v>
      </c>
      <c r="C252" s="39">
        <v>0</v>
      </c>
      <c r="D252" s="39">
        <v>0</v>
      </c>
      <c r="E252" s="39">
        <v>0</v>
      </c>
      <c r="F252" s="39">
        <v>0</v>
      </c>
      <c r="G252" s="39">
        <v>0</v>
      </c>
    </row>
    <row r="253" spans="1:7" ht="11.25" customHeight="1" x14ac:dyDescent="0.2">
      <c r="A253" s="49">
        <v>44774</v>
      </c>
      <c r="B253" s="39">
        <v>0</v>
      </c>
      <c r="C253" s="39">
        <v>0</v>
      </c>
      <c r="D253" s="39">
        <v>0</v>
      </c>
      <c r="E253" s="39">
        <v>0</v>
      </c>
      <c r="F253" s="39">
        <v>0</v>
      </c>
      <c r="G253" s="39">
        <v>0</v>
      </c>
    </row>
    <row r="254" spans="1:7" ht="11.25" customHeight="1" x14ac:dyDescent="0.2">
      <c r="A254" s="49">
        <v>44805</v>
      </c>
      <c r="B254" s="39">
        <v>0</v>
      </c>
      <c r="C254" s="39">
        <v>0</v>
      </c>
      <c r="D254" s="39">
        <v>0</v>
      </c>
      <c r="E254" s="39">
        <v>0</v>
      </c>
      <c r="F254" s="39">
        <v>0</v>
      </c>
      <c r="G254" s="39">
        <v>0</v>
      </c>
    </row>
    <row r="255" spans="1:7" ht="11.25" customHeight="1" x14ac:dyDescent="0.2">
      <c r="A255" s="49">
        <v>44835</v>
      </c>
      <c r="B255" s="39">
        <v>0</v>
      </c>
      <c r="C255" s="39">
        <v>0</v>
      </c>
      <c r="D255" s="39">
        <v>0</v>
      </c>
      <c r="E255" s="39">
        <v>0</v>
      </c>
      <c r="F255" s="39">
        <v>0</v>
      </c>
      <c r="G255" s="39">
        <v>0</v>
      </c>
    </row>
    <row r="256" spans="1:7" ht="11.25" customHeight="1" x14ac:dyDescent="0.2">
      <c r="A256" s="48" t="s">
        <v>25</v>
      </c>
      <c r="B256" s="39">
        <v>558785.63246883999</v>
      </c>
      <c r="C256" s="39">
        <v>0</v>
      </c>
      <c r="D256" s="39">
        <v>635650.08947167953</v>
      </c>
      <c r="E256" s="39">
        <v>0</v>
      </c>
      <c r="F256" s="39">
        <v>558785.63246883999</v>
      </c>
      <c r="G256" s="39">
        <v>635650.08947167953</v>
      </c>
    </row>
    <row r="257" spans="1:7" ht="11.25" customHeight="1" x14ac:dyDescent="0.2">
      <c r="A257" s="49">
        <v>44501</v>
      </c>
      <c r="B257" s="39">
        <v>14033.228794199995</v>
      </c>
      <c r="C257" s="39">
        <v>0</v>
      </c>
      <c r="D257" s="39">
        <v>15963.587143782192</v>
      </c>
      <c r="E257" s="39">
        <v>0</v>
      </c>
      <c r="F257" s="39">
        <v>14033.228794199995</v>
      </c>
      <c r="G257" s="39">
        <v>15963.587143782192</v>
      </c>
    </row>
    <row r="258" spans="1:7" ht="11.25" customHeight="1" x14ac:dyDescent="0.2">
      <c r="A258" s="49">
        <v>44531</v>
      </c>
      <c r="B258" s="39">
        <v>39540.393800319995</v>
      </c>
      <c r="C258" s="39">
        <v>0</v>
      </c>
      <c r="D258" s="39">
        <v>44979.422154918066</v>
      </c>
      <c r="E258" s="39">
        <v>0</v>
      </c>
      <c r="F258" s="39">
        <v>39540.393800319995</v>
      </c>
      <c r="G258" s="39">
        <v>44979.422154918066</v>
      </c>
    </row>
    <row r="259" spans="1:7" ht="11.25" customHeight="1" x14ac:dyDescent="0.2">
      <c r="A259" s="49">
        <v>44562</v>
      </c>
      <c r="B259" s="39">
        <v>54353.05001798</v>
      </c>
      <c r="C259" s="39">
        <v>0</v>
      </c>
      <c r="D259" s="39">
        <v>61829.651836859404</v>
      </c>
      <c r="E259" s="39">
        <v>0</v>
      </c>
      <c r="F259" s="39">
        <v>54353.05001798</v>
      </c>
      <c r="G259" s="39">
        <v>61829.651836859404</v>
      </c>
    </row>
    <row r="260" spans="1:7" ht="11.25" customHeight="1" x14ac:dyDescent="0.2">
      <c r="A260" s="49">
        <v>44593</v>
      </c>
      <c r="B260" s="39">
        <v>45165.760024000003</v>
      </c>
      <c r="C260" s="39">
        <v>0</v>
      </c>
      <c r="D260" s="39">
        <v>51378.592669726451</v>
      </c>
      <c r="E260" s="39">
        <v>0</v>
      </c>
      <c r="F260" s="39">
        <v>45165.760024000003</v>
      </c>
      <c r="G260" s="39">
        <v>51378.592669726451</v>
      </c>
    </row>
    <row r="261" spans="1:7" ht="11.25" customHeight="1" x14ac:dyDescent="0.2">
      <c r="A261" s="49">
        <v>44621</v>
      </c>
      <c r="B261" s="39">
        <v>45243.259784239999</v>
      </c>
      <c r="C261" s="39">
        <v>0</v>
      </c>
      <c r="D261" s="39">
        <v>51466.753006478379</v>
      </c>
      <c r="E261" s="39">
        <v>0</v>
      </c>
      <c r="F261" s="39">
        <v>45243.259784239999</v>
      </c>
      <c r="G261" s="39">
        <v>51466.753006478379</v>
      </c>
    </row>
    <row r="262" spans="1:7" ht="11.25" customHeight="1" x14ac:dyDescent="0.2">
      <c r="A262" s="49">
        <v>44652</v>
      </c>
      <c r="B262" s="39">
        <v>49444.820257560001</v>
      </c>
      <c r="C262" s="39">
        <v>0</v>
      </c>
      <c r="D262" s="39">
        <v>56246.264389021766</v>
      </c>
      <c r="E262" s="39">
        <v>0</v>
      </c>
      <c r="F262" s="39">
        <v>49444.820257560001</v>
      </c>
      <c r="G262" s="39">
        <v>56246.264389021766</v>
      </c>
    </row>
    <row r="263" spans="1:7" ht="11.25" customHeight="1" x14ac:dyDescent="0.2">
      <c r="A263" s="49">
        <v>44682</v>
      </c>
      <c r="B263" s="39">
        <v>45309.25012194</v>
      </c>
      <c r="C263" s="39">
        <v>0</v>
      </c>
      <c r="D263" s="39">
        <v>51541.820727668601</v>
      </c>
      <c r="E263" s="39">
        <v>0</v>
      </c>
      <c r="F263" s="39">
        <v>45309.25012194</v>
      </c>
      <c r="G263" s="39">
        <v>51541.820727668601</v>
      </c>
    </row>
    <row r="264" spans="1:7" ht="11.25" customHeight="1" x14ac:dyDescent="0.2">
      <c r="A264" s="49">
        <v>44713</v>
      </c>
      <c r="B264" s="39">
        <v>52762.239806079997</v>
      </c>
      <c r="C264" s="39">
        <v>0</v>
      </c>
      <c r="D264" s="39">
        <v>60020.015735338689</v>
      </c>
      <c r="E264" s="39">
        <v>0</v>
      </c>
      <c r="F264" s="39">
        <v>52762.239806079997</v>
      </c>
      <c r="G264" s="39">
        <v>60020.015735338689</v>
      </c>
    </row>
    <row r="265" spans="1:7" ht="11.25" customHeight="1" x14ac:dyDescent="0.2">
      <c r="A265" s="49">
        <v>44743</v>
      </c>
      <c r="B265" s="39">
        <v>54062.800280160001</v>
      </c>
      <c r="C265" s="39">
        <v>0</v>
      </c>
      <c r="D265" s="39">
        <v>61499.476433101678</v>
      </c>
      <c r="E265" s="39">
        <v>0</v>
      </c>
      <c r="F265" s="39">
        <v>54062.800280160001</v>
      </c>
      <c r="G265" s="39">
        <v>61499.476433101678</v>
      </c>
    </row>
    <row r="266" spans="1:7" ht="11.25" customHeight="1" x14ac:dyDescent="0.2">
      <c r="A266" s="49">
        <v>44774</v>
      </c>
      <c r="B266" s="39">
        <v>52844.35002084</v>
      </c>
      <c r="C266" s="39">
        <v>0</v>
      </c>
      <c r="D266" s="39">
        <v>60113.420723452167</v>
      </c>
      <c r="E266" s="39">
        <v>0</v>
      </c>
      <c r="F266" s="39">
        <v>52844.35002084</v>
      </c>
      <c r="G266" s="39">
        <v>60113.420723452167</v>
      </c>
    </row>
    <row r="267" spans="1:7" ht="11.25" customHeight="1" x14ac:dyDescent="0.2">
      <c r="A267" s="49">
        <v>44805</v>
      </c>
      <c r="B267" s="39">
        <v>53013.239780759999</v>
      </c>
      <c r="C267" s="39">
        <v>0</v>
      </c>
      <c r="D267" s="39">
        <v>60305.542325666021</v>
      </c>
      <c r="E267" s="39">
        <v>0</v>
      </c>
      <c r="F267" s="39">
        <v>53013.239780759999</v>
      </c>
      <c r="G267" s="39">
        <v>60305.542325666021</v>
      </c>
    </row>
    <row r="268" spans="1:7" ht="11.25" customHeight="1" x14ac:dyDescent="0.2">
      <c r="A268" s="49">
        <v>44835</v>
      </c>
      <c r="B268" s="39">
        <v>53013.239780759999</v>
      </c>
      <c r="C268" s="39">
        <v>0</v>
      </c>
      <c r="D268" s="39">
        <v>60305.542325666021</v>
      </c>
      <c r="E268" s="39">
        <v>0</v>
      </c>
      <c r="F268" s="39">
        <v>53013.239780759999</v>
      </c>
      <c r="G268" s="39">
        <v>60305.542325666021</v>
      </c>
    </row>
    <row r="269" spans="1:7" ht="11.25" customHeight="1" x14ac:dyDescent="0.2">
      <c r="A269" s="48" t="s">
        <v>34</v>
      </c>
      <c r="B269" s="39">
        <v>0</v>
      </c>
      <c r="C269" s="39">
        <v>913151.11343081854</v>
      </c>
      <c r="D269" s="39">
        <v>0</v>
      </c>
      <c r="E269" s="39">
        <v>1076215.8984176023</v>
      </c>
      <c r="F269" s="39">
        <v>913151.11343081854</v>
      </c>
      <c r="G269" s="39">
        <v>1076215.8984176023</v>
      </c>
    </row>
    <row r="270" spans="1:7" ht="11.25" customHeight="1" x14ac:dyDescent="0.2">
      <c r="A270" s="49">
        <v>44501</v>
      </c>
      <c r="B270" s="39">
        <v>0</v>
      </c>
      <c r="C270" s="39">
        <v>12464.199085043296</v>
      </c>
      <c r="D270" s="39">
        <v>0</v>
      </c>
      <c r="E270" s="39">
        <v>14689.977397023675</v>
      </c>
      <c r="F270" s="39">
        <v>12464.199085043296</v>
      </c>
      <c r="G270" s="39">
        <v>14689.977397023675</v>
      </c>
    </row>
    <row r="271" spans="1:7" ht="11.25" customHeight="1" x14ac:dyDescent="0.2">
      <c r="A271" s="49">
        <v>44531</v>
      </c>
      <c r="B271" s="39">
        <v>0</v>
      </c>
      <c r="C271" s="39">
        <v>60803.800766927518</v>
      </c>
      <c r="D271" s="39">
        <v>0</v>
      </c>
      <c r="E271" s="39">
        <v>71661.761243136731</v>
      </c>
      <c r="F271" s="39">
        <v>60803.800766927518</v>
      </c>
      <c r="G271" s="39">
        <v>71661.761243136731</v>
      </c>
    </row>
    <row r="272" spans="1:7" ht="11.25" customHeight="1" x14ac:dyDescent="0.2">
      <c r="A272" s="49">
        <v>44562</v>
      </c>
      <c r="B272" s="39">
        <v>0</v>
      </c>
      <c r="C272" s="39">
        <v>94938.743141390136</v>
      </c>
      <c r="D272" s="39">
        <v>0</v>
      </c>
      <c r="E272" s="39">
        <v>111892.30702535853</v>
      </c>
      <c r="F272" s="39">
        <v>94938.743141390136</v>
      </c>
      <c r="G272" s="39">
        <v>111892.30702535853</v>
      </c>
    </row>
    <row r="273" spans="1:7" ht="11.25" customHeight="1" x14ac:dyDescent="0.2">
      <c r="A273" s="49">
        <v>44593</v>
      </c>
      <c r="B273" s="39">
        <v>0</v>
      </c>
      <c r="C273" s="39">
        <v>76579.147779178631</v>
      </c>
      <c r="D273" s="39">
        <v>0</v>
      </c>
      <c r="E273" s="39">
        <v>90254.170547498288</v>
      </c>
      <c r="F273" s="39">
        <v>76579.147779178631</v>
      </c>
      <c r="G273" s="39">
        <v>90254.170547498288</v>
      </c>
    </row>
    <row r="274" spans="1:7" ht="11.25" customHeight="1" x14ac:dyDescent="0.2">
      <c r="A274" s="49">
        <v>44621</v>
      </c>
      <c r="B274" s="39">
        <v>0</v>
      </c>
      <c r="C274" s="39">
        <v>79202.550995094382</v>
      </c>
      <c r="D274" s="39">
        <v>0</v>
      </c>
      <c r="E274" s="39">
        <v>93346.044616753628</v>
      </c>
      <c r="F274" s="39">
        <v>79202.550995094382</v>
      </c>
      <c r="G274" s="39">
        <v>93346.044616753628</v>
      </c>
    </row>
    <row r="275" spans="1:7" ht="11.25" customHeight="1" x14ac:dyDescent="0.2">
      <c r="A275" s="49">
        <v>44652</v>
      </c>
      <c r="B275" s="39">
        <v>0</v>
      </c>
      <c r="C275" s="39">
        <v>97100.496018953796</v>
      </c>
      <c r="D275" s="39">
        <v>0</v>
      </c>
      <c r="E275" s="39">
        <v>114440.09214116816</v>
      </c>
      <c r="F275" s="39">
        <v>97100.496018953796</v>
      </c>
      <c r="G275" s="39">
        <v>114440.09214116816</v>
      </c>
    </row>
    <row r="276" spans="1:7" ht="11.25" customHeight="1" x14ac:dyDescent="0.2">
      <c r="A276" s="49">
        <v>44682</v>
      </c>
      <c r="B276" s="39">
        <v>0</v>
      </c>
      <c r="C276" s="39">
        <v>72480.800693225669</v>
      </c>
      <c r="D276" s="39">
        <v>0</v>
      </c>
      <c r="E276" s="39">
        <v>85423.96640465442</v>
      </c>
      <c r="F276" s="39">
        <v>72480.800693225669</v>
      </c>
      <c r="G276" s="39">
        <v>85423.96640465442</v>
      </c>
    </row>
    <row r="277" spans="1:7" ht="11.25" customHeight="1" x14ac:dyDescent="0.2">
      <c r="A277" s="49">
        <v>44713</v>
      </c>
      <c r="B277" s="39">
        <v>0</v>
      </c>
      <c r="C277" s="39">
        <v>83205.579515180609</v>
      </c>
      <c r="D277" s="39">
        <v>0</v>
      </c>
      <c r="E277" s="39">
        <v>98063.908803492406</v>
      </c>
      <c r="F277" s="39">
        <v>83205.579515180609</v>
      </c>
      <c r="G277" s="39">
        <v>98063.908803492406</v>
      </c>
    </row>
    <row r="278" spans="1:7" ht="11.25" customHeight="1" x14ac:dyDescent="0.2">
      <c r="A278" s="49">
        <v>44743</v>
      </c>
      <c r="B278" s="39">
        <v>0</v>
      </c>
      <c r="C278" s="39">
        <v>81756.740071883061</v>
      </c>
      <c r="D278" s="39">
        <v>0</v>
      </c>
      <c r="E278" s="39">
        <v>96356.344721055939</v>
      </c>
      <c r="F278" s="39">
        <v>81756.740071883061</v>
      </c>
      <c r="G278" s="39">
        <v>96356.344721055939</v>
      </c>
    </row>
    <row r="279" spans="1:7" ht="11.25" customHeight="1" x14ac:dyDescent="0.2">
      <c r="A279" s="49">
        <v>44774</v>
      </c>
      <c r="B279" s="39">
        <v>0</v>
      </c>
      <c r="C279" s="39">
        <v>74852.853279836811</v>
      </c>
      <c r="D279" s="39">
        <v>0</v>
      </c>
      <c r="E279" s="39">
        <v>88219.605229429202</v>
      </c>
      <c r="F279" s="39">
        <v>74852.853279836811</v>
      </c>
      <c r="G279" s="39">
        <v>88219.605229429202</v>
      </c>
    </row>
    <row r="280" spans="1:7" ht="11.25" customHeight="1" x14ac:dyDescent="0.2">
      <c r="A280" s="49">
        <v>44805</v>
      </c>
      <c r="B280" s="39">
        <v>0</v>
      </c>
      <c r="C280" s="39">
        <v>89883.101042052323</v>
      </c>
      <c r="D280" s="39">
        <v>0</v>
      </c>
      <c r="E280" s="39">
        <v>105933.86014401561</v>
      </c>
      <c r="F280" s="39">
        <v>89883.101042052323</v>
      </c>
      <c r="G280" s="39">
        <v>105933.86014401561</v>
      </c>
    </row>
    <row r="281" spans="1:7" ht="11.25" customHeight="1" x14ac:dyDescent="0.2">
      <c r="A281" s="49">
        <v>44835</v>
      </c>
      <c r="B281" s="39">
        <v>0</v>
      </c>
      <c r="C281" s="39">
        <v>89883.101042052323</v>
      </c>
      <c r="D281" s="39">
        <v>0</v>
      </c>
      <c r="E281" s="39">
        <v>105933.86014401561</v>
      </c>
      <c r="F281" s="39">
        <v>89883.101042052323</v>
      </c>
      <c r="G281" s="39">
        <v>105933.86014401561</v>
      </c>
    </row>
    <row r="282" spans="1:7" ht="11.25" customHeight="1" x14ac:dyDescent="0.2">
      <c r="A282" s="42" t="s">
        <v>43</v>
      </c>
      <c r="B282" s="39">
        <v>6480.9799973254003</v>
      </c>
      <c r="C282" s="39">
        <v>27627.994948822125</v>
      </c>
      <c r="D282" s="39">
        <v>7359.8098317401582</v>
      </c>
      <c r="E282" s="39">
        <v>32279.208473301929</v>
      </c>
      <c r="F282" s="39">
        <v>34108.974946147522</v>
      </c>
      <c r="G282" s="39">
        <v>39639.018305042089</v>
      </c>
    </row>
    <row r="283" spans="1:7" ht="11.25" customHeight="1" x14ac:dyDescent="0.2">
      <c r="A283" s="43" t="s">
        <v>41</v>
      </c>
      <c r="B283" s="39">
        <v>6480.9799973254003</v>
      </c>
      <c r="C283" s="39">
        <v>27627.994948822125</v>
      </c>
      <c r="D283" s="39">
        <v>7359.8098317401582</v>
      </c>
      <c r="E283" s="39">
        <v>32279.208473301929</v>
      </c>
      <c r="F283" s="39">
        <v>34108.974946147522</v>
      </c>
      <c r="G283" s="39">
        <v>39639.018305042089</v>
      </c>
    </row>
    <row r="284" spans="1:7" ht="11.25" customHeight="1" x14ac:dyDescent="0.2">
      <c r="A284" s="44" t="s">
        <v>38</v>
      </c>
      <c r="B284" s="39">
        <v>6480.9799973254003</v>
      </c>
      <c r="C284" s="39">
        <v>27627.994948822125</v>
      </c>
      <c r="D284" s="39">
        <v>7359.8098317401582</v>
      </c>
      <c r="E284" s="39">
        <v>32279.208473301929</v>
      </c>
      <c r="F284" s="39">
        <v>34108.974946147522</v>
      </c>
      <c r="G284" s="39">
        <v>39639.018305042089</v>
      </c>
    </row>
    <row r="285" spans="1:7" ht="11.25" customHeight="1" x14ac:dyDescent="0.2">
      <c r="A285" s="45" t="s">
        <v>25</v>
      </c>
      <c r="B285" s="39">
        <v>6480.9799973254003</v>
      </c>
      <c r="C285" s="39">
        <v>27627.994948822125</v>
      </c>
      <c r="D285" s="39">
        <v>7359.8098317401582</v>
      </c>
      <c r="E285" s="39">
        <v>32279.208473301929</v>
      </c>
      <c r="F285" s="39">
        <v>34108.974946147522</v>
      </c>
      <c r="G285" s="39">
        <v>39639.018305042089</v>
      </c>
    </row>
    <row r="286" spans="1:7" ht="11.25" customHeight="1" x14ac:dyDescent="0.2">
      <c r="A286" s="46" t="s">
        <v>56</v>
      </c>
      <c r="B286" s="39">
        <v>6480.9799973254003</v>
      </c>
      <c r="C286" s="39">
        <v>27627.994948822125</v>
      </c>
      <c r="D286" s="39">
        <v>7359.8098317401582</v>
      </c>
      <c r="E286" s="39">
        <v>32279.208473301929</v>
      </c>
      <c r="F286" s="39">
        <v>34108.974946147522</v>
      </c>
      <c r="G286" s="39">
        <v>39639.018305042089</v>
      </c>
    </row>
    <row r="287" spans="1:7" ht="11.25" customHeight="1" x14ac:dyDescent="0.2">
      <c r="A287" s="47" t="s">
        <v>25</v>
      </c>
      <c r="B287" s="39">
        <v>6480.9799973254003</v>
      </c>
      <c r="C287" s="39">
        <v>27627.994948822125</v>
      </c>
      <c r="D287" s="39">
        <v>7359.8098317401582</v>
      </c>
      <c r="E287" s="39">
        <v>32279.208473301929</v>
      </c>
      <c r="F287" s="39">
        <v>34108.974946147522</v>
      </c>
      <c r="G287" s="39">
        <v>39639.018305042089</v>
      </c>
    </row>
    <row r="288" spans="1:7" ht="11.25" customHeight="1" x14ac:dyDescent="0.2">
      <c r="A288" s="48" t="s">
        <v>35</v>
      </c>
      <c r="B288" s="39">
        <v>0</v>
      </c>
      <c r="C288" s="39">
        <v>0</v>
      </c>
      <c r="D288" s="39">
        <v>0</v>
      </c>
      <c r="E288" s="39">
        <v>0</v>
      </c>
      <c r="F288" s="39">
        <v>0</v>
      </c>
      <c r="G288" s="39">
        <v>0</v>
      </c>
    </row>
    <row r="289" spans="1:7" ht="11.25" customHeight="1" x14ac:dyDescent="0.2">
      <c r="A289" s="49">
        <v>44531</v>
      </c>
      <c r="B289" s="39">
        <v>0</v>
      </c>
      <c r="C289" s="39">
        <v>0</v>
      </c>
      <c r="D289" s="39">
        <v>0</v>
      </c>
      <c r="E289" s="39">
        <v>0</v>
      </c>
      <c r="F289" s="39">
        <v>0</v>
      </c>
      <c r="G289" s="39">
        <v>0</v>
      </c>
    </row>
    <row r="290" spans="1:7" ht="11.25" customHeight="1" x14ac:dyDescent="0.2">
      <c r="A290" s="49">
        <v>44562</v>
      </c>
      <c r="B290" s="39">
        <v>0</v>
      </c>
      <c r="C290" s="39">
        <v>0</v>
      </c>
      <c r="D290" s="39">
        <v>0</v>
      </c>
      <c r="E290" s="39">
        <v>0</v>
      </c>
      <c r="F290" s="39">
        <v>0</v>
      </c>
      <c r="G290" s="39">
        <v>0</v>
      </c>
    </row>
    <row r="291" spans="1:7" ht="11.25" customHeight="1" x14ac:dyDescent="0.2">
      <c r="A291" s="49">
        <v>44593</v>
      </c>
      <c r="B291" s="39">
        <v>0</v>
      </c>
      <c r="C291" s="39">
        <v>0</v>
      </c>
      <c r="D291" s="39">
        <v>0</v>
      </c>
      <c r="E291" s="39">
        <v>0</v>
      </c>
      <c r="F291" s="39">
        <v>0</v>
      </c>
      <c r="G291" s="39">
        <v>0</v>
      </c>
    </row>
    <row r="292" spans="1:7" ht="11.25" customHeight="1" x14ac:dyDescent="0.2">
      <c r="A292" s="49">
        <v>44621</v>
      </c>
      <c r="B292" s="39">
        <v>0</v>
      </c>
      <c r="C292" s="39">
        <v>0</v>
      </c>
      <c r="D292" s="39">
        <v>0</v>
      </c>
      <c r="E292" s="39">
        <v>0</v>
      </c>
      <c r="F292" s="39">
        <v>0</v>
      </c>
      <c r="G292" s="39">
        <v>0</v>
      </c>
    </row>
    <row r="293" spans="1:7" ht="11.25" customHeight="1" x14ac:dyDescent="0.2">
      <c r="A293" s="49">
        <v>44652</v>
      </c>
      <c r="B293" s="39">
        <v>0</v>
      </c>
      <c r="C293" s="39">
        <v>0</v>
      </c>
      <c r="D293" s="39">
        <v>0</v>
      </c>
      <c r="E293" s="39">
        <v>0</v>
      </c>
      <c r="F293" s="39">
        <v>0</v>
      </c>
      <c r="G293" s="39">
        <v>0</v>
      </c>
    </row>
    <row r="294" spans="1:7" ht="11.25" customHeight="1" x14ac:dyDescent="0.2">
      <c r="A294" s="49">
        <v>44682</v>
      </c>
      <c r="B294" s="39">
        <v>0</v>
      </c>
      <c r="C294" s="39">
        <v>0</v>
      </c>
      <c r="D294" s="39">
        <v>0</v>
      </c>
      <c r="E294" s="39">
        <v>0</v>
      </c>
      <c r="F294" s="39">
        <v>0</v>
      </c>
      <c r="G294" s="39">
        <v>0</v>
      </c>
    </row>
    <row r="295" spans="1:7" ht="11.25" customHeight="1" x14ac:dyDescent="0.2">
      <c r="A295" s="49">
        <v>44713</v>
      </c>
      <c r="B295" s="39">
        <v>0</v>
      </c>
      <c r="C295" s="39">
        <v>0</v>
      </c>
      <c r="D295" s="39">
        <v>0</v>
      </c>
      <c r="E295" s="39">
        <v>0</v>
      </c>
      <c r="F295" s="39">
        <v>0</v>
      </c>
      <c r="G295" s="39">
        <v>0</v>
      </c>
    </row>
    <row r="296" spans="1:7" ht="11.25" customHeight="1" x14ac:dyDescent="0.2">
      <c r="A296" s="49">
        <v>44743</v>
      </c>
      <c r="B296" s="39">
        <v>0</v>
      </c>
      <c r="C296" s="39">
        <v>0</v>
      </c>
      <c r="D296" s="39">
        <v>0</v>
      </c>
      <c r="E296" s="39">
        <v>0</v>
      </c>
      <c r="F296" s="39">
        <v>0</v>
      </c>
      <c r="G296" s="39">
        <v>0</v>
      </c>
    </row>
    <row r="297" spans="1:7" ht="11.25" customHeight="1" x14ac:dyDescent="0.2">
      <c r="A297" s="49">
        <v>44774</v>
      </c>
      <c r="B297" s="39">
        <v>0</v>
      </c>
      <c r="C297" s="39">
        <v>0</v>
      </c>
      <c r="D297" s="39">
        <v>0</v>
      </c>
      <c r="E297" s="39">
        <v>0</v>
      </c>
      <c r="F297" s="39">
        <v>0</v>
      </c>
      <c r="G297" s="39">
        <v>0</v>
      </c>
    </row>
    <row r="298" spans="1:7" ht="11.25" customHeight="1" x14ac:dyDescent="0.2">
      <c r="A298" s="49">
        <v>44805</v>
      </c>
      <c r="B298" s="39">
        <v>0</v>
      </c>
      <c r="C298" s="39">
        <v>0</v>
      </c>
      <c r="D298" s="39">
        <v>0</v>
      </c>
      <c r="E298" s="39">
        <v>0</v>
      </c>
      <c r="F298" s="39">
        <v>0</v>
      </c>
      <c r="G298" s="39">
        <v>0</v>
      </c>
    </row>
    <row r="299" spans="1:7" ht="11.25" customHeight="1" x14ac:dyDescent="0.2">
      <c r="A299" s="49">
        <v>44835</v>
      </c>
      <c r="B299" s="39">
        <v>0</v>
      </c>
      <c r="C299" s="39">
        <v>0</v>
      </c>
      <c r="D299" s="39">
        <v>0</v>
      </c>
      <c r="E299" s="39">
        <v>0</v>
      </c>
      <c r="F299" s="39">
        <v>0</v>
      </c>
      <c r="G299" s="39">
        <v>0</v>
      </c>
    </row>
    <row r="300" spans="1:7" ht="11.25" customHeight="1" x14ac:dyDescent="0.2">
      <c r="A300" s="48" t="s">
        <v>25</v>
      </c>
      <c r="B300" s="39">
        <v>6480.9799973254003</v>
      </c>
      <c r="C300" s="39">
        <v>0</v>
      </c>
      <c r="D300" s="39">
        <v>7359.8098317401582</v>
      </c>
      <c r="E300" s="39">
        <v>0</v>
      </c>
      <c r="F300" s="39">
        <v>6480.9799973254003</v>
      </c>
      <c r="G300" s="39">
        <v>7359.8098317401582</v>
      </c>
    </row>
    <row r="301" spans="1:7" ht="11.25" customHeight="1" x14ac:dyDescent="0.2">
      <c r="A301" s="49">
        <v>44531</v>
      </c>
      <c r="B301" s="39">
        <v>592.87</v>
      </c>
      <c r="C301" s="39">
        <v>0</v>
      </c>
      <c r="D301" s="39">
        <v>673.26399043732567</v>
      </c>
      <c r="E301" s="39">
        <v>0</v>
      </c>
      <c r="F301" s="39">
        <v>592.87</v>
      </c>
      <c r="G301" s="39">
        <v>673.26399043732567</v>
      </c>
    </row>
    <row r="302" spans="1:7" ht="11.25" customHeight="1" x14ac:dyDescent="0.2">
      <c r="A302" s="49">
        <v>44562</v>
      </c>
      <c r="B302" s="39">
        <v>592.87</v>
      </c>
      <c r="C302" s="39">
        <v>0</v>
      </c>
      <c r="D302" s="39">
        <v>673.26399043732567</v>
      </c>
      <c r="E302" s="39">
        <v>0</v>
      </c>
      <c r="F302" s="39">
        <v>592.87</v>
      </c>
      <c r="G302" s="39">
        <v>673.26399043732567</v>
      </c>
    </row>
    <row r="303" spans="1:7" ht="11.25" customHeight="1" x14ac:dyDescent="0.2">
      <c r="A303" s="49">
        <v>44593</v>
      </c>
      <c r="B303" s="39">
        <v>591.51999943780004</v>
      </c>
      <c r="C303" s="39">
        <v>0</v>
      </c>
      <c r="D303" s="39">
        <v>671.73092793526052</v>
      </c>
      <c r="E303" s="39">
        <v>0</v>
      </c>
      <c r="F303" s="39">
        <v>591.51999943780004</v>
      </c>
      <c r="G303" s="39">
        <v>671.73092793526052</v>
      </c>
    </row>
    <row r="304" spans="1:7" ht="11.25" customHeight="1" x14ac:dyDescent="0.2">
      <c r="A304" s="49">
        <v>44621</v>
      </c>
      <c r="B304" s="39">
        <v>591.9999988472</v>
      </c>
      <c r="C304" s="39">
        <v>0</v>
      </c>
      <c r="D304" s="39">
        <v>672.27601592719839</v>
      </c>
      <c r="E304" s="39">
        <v>0</v>
      </c>
      <c r="F304" s="39">
        <v>591.9999988472</v>
      </c>
      <c r="G304" s="39">
        <v>672.27601592719839</v>
      </c>
    </row>
    <row r="305" spans="1:7" ht="11.25" customHeight="1" x14ac:dyDescent="0.2">
      <c r="A305" s="49">
        <v>44652</v>
      </c>
      <c r="B305" s="39">
        <v>592.13000338079996</v>
      </c>
      <c r="C305" s="39">
        <v>0</v>
      </c>
      <c r="D305" s="39">
        <v>672.42364925502147</v>
      </c>
      <c r="E305" s="39">
        <v>0</v>
      </c>
      <c r="F305" s="39">
        <v>592.13000338079996</v>
      </c>
      <c r="G305" s="39">
        <v>672.42364925502147</v>
      </c>
    </row>
    <row r="306" spans="1:7" ht="11.25" customHeight="1" x14ac:dyDescent="0.2">
      <c r="A306" s="49">
        <v>44682</v>
      </c>
      <c r="B306" s="39">
        <v>591.49000021580002</v>
      </c>
      <c r="C306" s="39">
        <v>0</v>
      </c>
      <c r="D306" s="39">
        <v>671.69686077734434</v>
      </c>
      <c r="E306" s="39">
        <v>0</v>
      </c>
      <c r="F306" s="39">
        <v>591.49000021580002</v>
      </c>
      <c r="G306" s="39">
        <v>671.69686077734434</v>
      </c>
    </row>
    <row r="307" spans="1:7" ht="11.25" customHeight="1" x14ac:dyDescent="0.2">
      <c r="A307" s="49">
        <v>44713</v>
      </c>
      <c r="B307" s="39">
        <v>520.51999885500004</v>
      </c>
      <c r="C307" s="39">
        <v>0</v>
      </c>
      <c r="D307" s="39">
        <v>591.10322926029232</v>
      </c>
      <c r="E307" s="39">
        <v>0</v>
      </c>
      <c r="F307" s="39">
        <v>520.51999885500004</v>
      </c>
      <c r="G307" s="39">
        <v>591.10322926029232</v>
      </c>
    </row>
    <row r="308" spans="1:7" ht="11.25" customHeight="1" x14ac:dyDescent="0.2">
      <c r="A308" s="49">
        <v>44743</v>
      </c>
      <c r="B308" s="39">
        <v>592.62999436660004</v>
      </c>
      <c r="C308" s="39">
        <v>0</v>
      </c>
      <c r="D308" s="39">
        <v>672.99143970871694</v>
      </c>
      <c r="E308" s="39">
        <v>0</v>
      </c>
      <c r="F308" s="39">
        <v>592.62999436660004</v>
      </c>
      <c r="G308" s="39">
        <v>672.99143970871694</v>
      </c>
    </row>
    <row r="309" spans="1:7" ht="11.25" customHeight="1" x14ac:dyDescent="0.2">
      <c r="A309" s="49">
        <v>44774</v>
      </c>
      <c r="B309" s="39">
        <v>629.10999691059999</v>
      </c>
      <c r="C309" s="39">
        <v>0</v>
      </c>
      <c r="D309" s="39">
        <v>714.41818095711403</v>
      </c>
      <c r="E309" s="39">
        <v>0</v>
      </c>
      <c r="F309" s="39">
        <v>629.10999691059999</v>
      </c>
      <c r="G309" s="39">
        <v>714.41818095711403</v>
      </c>
    </row>
    <row r="310" spans="1:7" ht="11.25" customHeight="1" x14ac:dyDescent="0.2">
      <c r="A310" s="49">
        <v>44805</v>
      </c>
      <c r="B310" s="39">
        <v>592.92000265579998</v>
      </c>
      <c r="C310" s="39">
        <v>0</v>
      </c>
      <c r="D310" s="39">
        <v>673.32077352227918</v>
      </c>
      <c r="E310" s="39">
        <v>0</v>
      </c>
      <c r="F310" s="39">
        <v>592.92000265579998</v>
      </c>
      <c r="G310" s="39">
        <v>673.32077352227918</v>
      </c>
    </row>
    <row r="311" spans="1:7" ht="11.25" customHeight="1" x14ac:dyDescent="0.2">
      <c r="A311" s="49">
        <v>44835</v>
      </c>
      <c r="B311" s="39">
        <v>592.92000265579998</v>
      </c>
      <c r="C311" s="39">
        <v>0</v>
      </c>
      <c r="D311" s="39">
        <v>673.32077352227918</v>
      </c>
      <c r="E311" s="39">
        <v>0</v>
      </c>
      <c r="F311" s="39">
        <v>592.92000265579998</v>
      </c>
      <c r="G311" s="39">
        <v>673.32077352227918</v>
      </c>
    </row>
    <row r="312" spans="1:7" ht="11.25" customHeight="1" x14ac:dyDescent="0.2">
      <c r="A312" s="48" t="s">
        <v>34</v>
      </c>
      <c r="B312" s="39">
        <v>0</v>
      </c>
      <c r="C312" s="39">
        <v>27627.994948822125</v>
      </c>
      <c r="D312" s="39">
        <v>0</v>
      </c>
      <c r="E312" s="39">
        <v>32279.208473301929</v>
      </c>
      <c r="F312" s="39">
        <v>27627.994948822125</v>
      </c>
      <c r="G312" s="39">
        <v>32279.208473301929</v>
      </c>
    </row>
    <row r="313" spans="1:7" ht="11.25" customHeight="1" x14ac:dyDescent="0.2">
      <c r="A313" s="49">
        <v>44531</v>
      </c>
      <c r="B313" s="39">
        <v>0</v>
      </c>
      <c r="C313" s="39">
        <v>2676.7498520152963</v>
      </c>
      <c r="D313" s="39">
        <v>0</v>
      </c>
      <c r="E313" s="39">
        <v>3127.3846207129668</v>
      </c>
      <c r="F313" s="39">
        <v>2676.7498520152963</v>
      </c>
      <c r="G313" s="39">
        <v>3127.3846207129668</v>
      </c>
    </row>
    <row r="314" spans="1:7" ht="11.25" customHeight="1" x14ac:dyDescent="0.2">
      <c r="A314" s="49">
        <v>44562</v>
      </c>
      <c r="B314" s="39">
        <v>0</v>
      </c>
      <c r="C314" s="39">
        <v>3004.2200458551142</v>
      </c>
      <c r="D314" s="39">
        <v>0</v>
      </c>
      <c r="E314" s="39">
        <v>3509.9849026128568</v>
      </c>
      <c r="F314" s="39">
        <v>3004.2200458551142</v>
      </c>
      <c r="G314" s="39">
        <v>3509.9849026128568</v>
      </c>
    </row>
    <row r="315" spans="1:7" ht="11.25" customHeight="1" x14ac:dyDescent="0.2">
      <c r="A315" s="49">
        <v>44593</v>
      </c>
      <c r="B315" s="39">
        <v>0</v>
      </c>
      <c r="C315" s="39">
        <v>2796.4901860295404</v>
      </c>
      <c r="D315" s="39">
        <v>0</v>
      </c>
      <c r="E315" s="39">
        <v>3267.2834158107767</v>
      </c>
      <c r="F315" s="39">
        <v>2796.4901860295404</v>
      </c>
      <c r="G315" s="39">
        <v>3267.2834158107767</v>
      </c>
    </row>
    <row r="316" spans="1:7" ht="11.25" customHeight="1" x14ac:dyDescent="0.2">
      <c r="A316" s="49">
        <v>44621</v>
      </c>
      <c r="B316" s="39">
        <v>0</v>
      </c>
      <c r="C316" s="39">
        <v>2579.7537753351935</v>
      </c>
      <c r="D316" s="39">
        <v>0</v>
      </c>
      <c r="E316" s="39">
        <v>3014.0591120740237</v>
      </c>
      <c r="F316" s="39">
        <v>2579.7537753351935</v>
      </c>
      <c r="G316" s="39">
        <v>3014.0591120740237</v>
      </c>
    </row>
    <row r="317" spans="1:7" ht="11.25" customHeight="1" x14ac:dyDescent="0.2">
      <c r="A317" s="49">
        <v>44652</v>
      </c>
      <c r="B317" s="39">
        <v>0</v>
      </c>
      <c r="C317" s="39">
        <v>3121.0537992416639</v>
      </c>
      <c r="D317" s="39">
        <v>0</v>
      </c>
      <c r="E317" s="39">
        <v>3646.4877899656562</v>
      </c>
      <c r="F317" s="39">
        <v>3121.0537992416639</v>
      </c>
      <c r="G317" s="39">
        <v>3646.4877899656562</v>
      </c>
    </row>
    <row r="318" spans="1:7" ht="11.25" customHeight="1" x14ac:dyDescent="0.2">
      <c r="A318" s="49">
        <v>44682</v>
      </c>
      <c r="B318" s="39">
        <v>0</v>
      </c>
      <c r="C318" s="39">
        <v>2446.131444644659</v>
      </c>
      <c r="D318" s="39">
        <v>0</v>
      </c>
      <c r="E318" s="39">
        <v>2857.9412657721823</v>
      </c>
      <c r="F318" s="39">
        <v>2446.131444644659</v>
      </c>
      <c r="G318" s="39">
        <v>2857.9412657721823</v>
      </c>
    </row>
    <row r="319" spans="1:7" ht="11.25" customHeight="1" x14ac:dyDescent="0.2">
      <c r="A319" s="49">
        <v>44713</v>
      </c>
      <c r="B319" s="39">
        <v>0</v>
      </c>
      <c r="C319" s="39">
        <v>1677.4727026375033</v>
      </c>
      <c r="D319" s="39">
        <v>0</v>
      </c>
      <c r="E319" s="39">
        <v>1959.8776956855379</v>
      </c>
      <c r="F319" s="39">
        <v>1677.4727026375033</v>
      </c>
      <c r="G319" s="39">
        <v>1959.8776956855379</v>
      </c>
    </row>
    <row r="320" spans="1:7" ht="11.25" customHeight="1" x14ac:dyDescent="0.2">
      <c r="A320" s="49">
        <v>44743</v>
      </c>
      <c r="B320" s="39">
        <v>0</v>
      </c>
      <c r="C320" s="39">
        <v>2065.4128833225031</v>
      </c>
      <c r="D320" s="39">
        <v>0</v>
      </c>
      <c r="E320" s="39">
        <v>2413.1281755230334</v>
      </c>
      <c r="F320" s="39">
        <v>2065.4128833225031</v>
      </c>
      <c r="G320" s="39">
        <v>2413.1281755230334</v>
      </c>
    </row>
    <row r="321" spans="1:7" ht="11.25" customHeight="1" x14ac:dyDescent="0.2">
      <c r="A321" s="49">
        <v>44774</v>
      </c>
      <c r="B321" s="39">
        <v>0</v>
      </c>
      <c r="C321" s="39">
        <v>2290.9308342921004</v>
      </c>
      <c r="D321" s="39">
        <v>0</v>
      </c>
      <c r="E321" s="39">
        <v>2676.6124047370631</v>
      </c>
      <c r="F321" s="39">
        <v>2290.9308342921004</v>
      </c>
      <c r="G321" s="39">
        <v>2676.6124047370631</v>
      </c>
    </row>
    <row r="322" spans="1:7" ht="11.25" customHeight="1" x14ac:dyDescent="0.2">
      <c r="A322" s="49">
        <v>44805</v>
      </c>
      <c r="B322" s="39">
        <v>0</v>
      </c>
      <c r="C322" s="39">
        <v>2484.8897127242758</v>
      </c>
      <c r="D322" s="39">
        <v>0</v>
      </c>
      <c r="E322" s="39">
        <v>2903.2245452039178</v>
      </c>
      <c r="F322" s="39">
        <v>2484.8897127242758</v>
      </c>
      <c r="G322" s="39">
        <v>2903.2245452039178</v>
      </c>
    </row>
    <row r="323" spans="1:7" ht="11.25" customHeight="1" x14ac:dyDescent="0.2">
      <c r="A323" s="49">
        <v>44835</v>
      </c>
      <c r="B323" s="39">
        <v>0</v>
      </c>
      <c r="C323" s="39">
        <v>2484.8897127242758</v>
      </c>
      <c r="D323" s="39">
        <v>0</v>
      </c>
      <c r="E323" s="39">
        <v>2903.2245452039178</v>
      </c>
      <c r="F323" s="39">
        <v>2484.8897127242758</v>
      </c>
      <c r="G323" s="39">
        <v>2903.2245452039178</v>
      </c>
    </row>
    <row r="324" spans="1:7" ht="11.25" customHeight="1" x14ac:dyDescent="0.2">
      <c r="A324" s="41" t="s">
        <v>850</v>
      </c>
      <c r="B324" s="39">
        <v>1032408</v>
      </c>
      <c r="C324" s="39">
        <v>0</v>
      </c>
      <c r="D324" s="39">
        <v>1082816.0047570285</v>
      </c>
      <c r="E324" s="39">
        <v>0</v>
      </c>
      <c r="F324" s="39">
        <v>1032408</v>
      </c>
      <c r="G324" s="39">
        <v>1082816.0047570285</v>
      </c>
    </row>
    <row r="325" spans="1:7" ht="11.25" customHeight="1" x14ac:dyDescent="0.2">
      <c r="A325" s="42" t="s">
        <v>60</v>
      </c>
      <c r="B325" s="39">
        <v>1032408</v>
      </c>
      <c r="C325" s="39">
        <v>0</v>
      </c>
      <c r="D325" s="39">
        <v>1082816.0047570285</v>
      </c>
      <c r="E325" s="39">
        <v>0</v>
      </c>
      <c r="F325" s="39">
        <v>1032408</v>
      </c>
      <c r="G325" s="39">
        <v>1082816.0047570285</v>
      </c>
    </row>
    <row r="326" spans="1:7" ht="11.25" customHeight="1" x14ac:dyDescent="0.2">
      <c r="A326" s="43" t="s">
        <v>57</v>
      </c>
      <c r="B326" s="39">
        <v>1032408</v>
      </c>
      <c r="C326" s="39">
        <v>0</v>
      </c>
      <c r="D326" s="39">
        <v>1082816.0047570285</v>
      </c>
      <c r="E326" s="39">
        <v>0</v>
      </c>
      <c r="F326" s="39">
        <v>1032408</v>
      </c>
      <c r="G326" s="39">
        <v>1082816.0047570285</v>
      </c>
    </row>
    <row r="327" spans="1:7" ht="11.25" customHeight="1" x14ac:dyDescent="0.2">
      <c r="A327" s="44" t="s">
        <v>25</v>
      </c>
      <c r="B327" s="39">
        <v>1032408</v>
      </c>
      <c r="C327" s="39">
        <v>0</v>
      </c>
      <c r="D327" s="39">
        <v>1082816.0047570285</v>
      </c>
      <c r="E327" s="39">
        <v>0</v>
      </c>
      <c r="F327" s="39">
        <v>1032408</v>
      </c>
      <c r="G327" s="39">
        <v>1082816.0047570285</v>
      </c>
    </row>
    <row r="328" spans="1:7" ht="11.25" customHeight="1" x14ac:dyDescent="0.2">
      <c r="A328" s="45" t="s">
        <v>25</v>
      </c>
      <c r="B328" s="39">
        <v>1032408</v>
      </c>
      <c r="C328" s="39">
        <v>0</v>
      </c>
      <c r="D328" s="39">
        <v>1082816.0047570285</v>
      </c>
      <c r="E328" s="39">
        <v>0</v>
      </c>
      <c r="F328" s="39">
        <v>1032408</v>
      </c>
      <c r="G328" s="39">
        <v>1082816.0047570285</v>
      </c>
    </row>
    <row r="329" spans="1:7" ht="11.25" customHeight="1" x14ac:dyDescent="0.2">
      <c r="A329" s="46" t="s">
        <v>25</v>
      </c>
      <c r="B329" s="39">
        <v>1032408</v>
      </c>
      <c r="C329" s="39">
        <v>0</v>
      </c>
      <c r="D329" s="39">
        <v>1082816.0047570285</v>
      </c>
      <c r="E329" s="39">
        <v>0</v>
      </c>
      <c r="F329" s="39">
        <v>1032408</v>
      </c>
      <c r="G329" s="39">
        <v>1082816.0047570285</v>
      </c>
    </row>
    <row r="330" spans="1:7" ht="11.25" customHeight="1" x14ac:dyDescent="0.2">
      <c r="A330" s="47" t="s">
        <v>61</v>
      </c>
      <c r="B330" s="39">
        <v>1032408</v>
      </c>
      <c r="C330" s="39">
        <v>0</v>
      </c>
      <c r="D330" s="39">
        <v>1082816.0047570285</v>
      </c>
      <c r="E330" s="39">
        <v>0</v>
      </c>
      <c r="F330" s="39">
        <v>1032408</v>
      </c>
      <c r="G330" s="39">
        <v>1082816.0047570285</v>
      </c>
    </row>
    <row r="331" spans="1:7" ht="11.25" customHeight="1" x14ac:dyDescent="0.2">
      <c r="A331" s="48" t="s">
        <v>25</v>
      </c>
      <c r="B331" s="39">
        <v>1032408</v>
      </c>
      <c r="C331" s="39">
        <v>0</v>
      </c>
      <c r="D331" s="39">
        <v>1082816.0047570285</v>
      </c>
      <c r="E331" s="39">
        <v>0</v>
      </c>
      <c r="F331" s="39">
        <v>1032408</v>
      </c>
      <c r="G331" s="39">
        <v>1082816.0047570285</v>
      </c>
    </row>
    <row r="332" spans="1:7" ht="11.25" customHeight="1" x14ac:dyDescent="0.2">
      <c r="A332" s="49">
        <v>44501</v>
      </c>
      <c r="B332" s="39">
        <v>86034</v>
      </c>
      <c r="C332" s="39">
        <v>0</v>
      </c>
      <c r="D332" s="39">
        <v>90234.667063085712</v>
      </c>
      <c r="E332" s="39">
        <v>0</v>
      </c>
      <c r="F332" s="39">
        <v>86034</v>
      </c>
      <c r="G332" s="39">
        <v>90234.667063085712</v>
      </c>
    </row>
    <row r="333" spans="1:7" ht="11.25" customHeight="1" x14ac:dyDescent="0.2">
      <c r="A333" s="49">
        <v>44531</v>
      </c>
      <c r="B333" s="39">
        <v>86034</v>
      </c>
      <c r="C333" s="39">
        <v>0</v>
      </c>
      <c r="D333" s="39">
        <v>90234.667063085712</v>
      </c>
      <c r="E333" s="39">
        <v>0</v>
      </c>
      <c r="F333" s="39">
        <v>86034</v>
      </c>
      <c r="G333" s="39">
        <v>90234.667063085712</v>
      </c>
    </row>
    <row r="334" spans="1:7" ht="11.25" customHeight="1" x14ac:dyDescent="0.2">
      <c r="A334" s="49">
        <v>44562</v>
      </c>
      <c r="B334" s="39">
        <v>86034</v>
      </c>
      <c r="C334" s="39">
        <v>0</v>
      </c>
      <c r="D334" s="39">
        <v>90234.667063085712</v>
      </c>
      <c r="E334" s="39">
        <v>0</v>
      </c>
      <c r="F334" s="39">
        <v>86034</v>
      </c>
      <c r="G334" s="39">
        <v>90234.667063085712</v>
      </c>
    </row>
    <row r="335" spans="1:7" ht="11.25" customHeight="1" x14ac:dyDescent="0.2">
      <c r="A335" s="49">
        <v>44593</v>
      </c>
      <c r="B335" s="39">
        <v>86034</v>
      </c>
      <c r="C335" s="39">
        <v>0</v>
      </c>
      <c r="D335" s="39">
        <v>90234.667063085712</v>
      </c>
      <c r="E335" s="39">
        <v>0</v>
      </c>
      <c r="F335" s="39">
        <v>86034</v>
      </c>
      <c r="G335" s="39">
        <v>90234.667063085712</v>
      </c>
    </row>
    <row r="336" spans="1:7" ht="11.25" customHeight="1" x14ac:dyDescent="0.2">
      <c r="A336" s="49">
        <v>44621</v>
      </c>
      <c r="B336" s="39">
        <v>86034</v>
      </c>
      <c r="C336" s="39">
        <v>0</v>
      </c>
      <c r="D336" s="39">
        <v>90234.667063085712</v>
      </c>
      <c r="E336" s="39">
        <v>0</v>
      </c>
      <c r="F336" s="39">
        <v>86034</v>
      </c>
      <c r="G336" s="39">
        <v>90234.667063085712</v>
      </c>
    </row>
    <row r="337" spans="1:7" ht="11.25" customHeight="1" x14ac:dyDescent="0.2">
      <c r="A337" s="49">
        <v>44652</v>
      </c>
      <c r="B337" s="39">
        <v>86034</v>
      </c>
      <c r="C337" s="39">
        <v>0</v>
      </c>
      <c r="D337" s="39">
        <v>90234.667063085712</v>
      </c>
      <c r="E337" s="39">
        <v>0</v>
      </c>
      <c r="F337" s="39">
        <v>86034</v>
      </c>
      <c r="G337" s="39">
        <v>90234.667063085712</v>
      </c>
    </row>
    <row r="338" spans="1:7" ht="11.25" customHeight="1" x14ac:dyDescent="0.2">
      <c r="A338" s="49">
        <v>44682</v>
      </c>
      <c r="B338" s="39">
        <v>86034</v>
      </c>
      <c r="C338" s="39">
        <v>0</v>
      </c>
      <c r="D338" s="39">
        <v>90234.667063085712</v>
      </c>
      <c r="E338" s="39">
        <v>0</v>
      </c>
      <c r="F338" s="39">
        <v>86034</v>
      </c>
      <c r="G338" s="39">
        <v>90234.667063085712</v>
      </c>
    </row>
    <row r="339" spans="1:7" ht="11.25" customHeight="1" x14ac:dyDescent="0.2">
      <c r="A339" s="49">
        <v>44713</v>
      </c>
      <c r="B339" s="39">
        <v>86034</v>
      </c>
      <c r="C339" s="39">
        <v>0</v>
      </c>
      <c r="D339" s="39">
        <v>90234.667063085712</v>
      </c>
      <c r="E339" s="39">
        <v>0</v>
      </c>
      <c r="F339" s="39">
        <v>86034</v>
      </c>
      <c r="G339" s="39">
        <v>90234.667063085712</v>
      </c>
    </row>
    <row r="340" spans="1:7" ht="11.25" customHeight="1" x14ac:dyDescent="0.2">
      <c r="A340" s="49">
        <v>44743</v>
      </c>
      <c r="B340" s="39">
        <v>86034</v>
      </c>
      <c r="C340" s="39">
        <v>0</v>
      </c>
      <c r="D340" s="39">
        <v>90234.667063085712</v>
      </c>
      <c r="E340" s="39">
        <v>0</v>
      </c>
      <c r="F340" s="39">
        <v>86034</v>
      </c>
      <c r="G340" s="39">
        <v>90234.667063085712</v>
      </c>
    </row>
    <row r="341" spans="1:7" ht="11.25" customHeight="1" x14ac:dyDescent="0.2">
      <c r="A341" s="49">
        <v>44774</v>
      </c>
      <c r="B341" s="39">
        <v>86034</v>
      </c>
      <c r="C341" s="39">
        <v>0</v>
      </c>
      <c r="D341" s="39">
        <v>90234.667063085712</v>
      </c>
      <c r="E341" s="39">
        <v>0</v>
      </c>
      <c r="F341" s="39">
        <v>86034</v>
      </c>
      <c r="G341" s="39">
        <v>90234.667063085712</v>
      </c>
    </row>
    <row r="342" spans="1:7" ht="11.25" customHeight="1" x14ac:dyDescent="0.2">
      <c r="A342" s="49">
        <v>44805</v>
      </c>
      <c r="B342" s="39">
        <v>86034</v>
      </c>
      <c r="C342" s="39">
        <v>0</v>
      </c>
      <c r="D342" s="39">
        <v>90234.667063085712</v>
      </c>
      <c r="E342" s="39">
        <v>0</v>
      </c>
      <c r="F342" s="39">
        <v>86034</v>
      </c>
      <c r="G342" s="39">
        <v>90234.667063085712</v>
      </c>
    </row>
    <row r="343" spans="1:7" ht="11.25" customHeight="1" x14ac:dyDescent="0.2">
      <c r="A343" s="49">
        <v>44835</v>
      </c>
      <c r="B343" s="39">
        <v>86034</v>
      </c>
      <c r="C343" s="39">
        <v>0</v>
      </c>
      <c r="D343" s="39">
        <v>90234.667063085712</v>
      </c>
      <c r="E343" s="39">
        <v>0</v>
      </c>
      <c r="F343" s="39">
        <v>86034</v>
      </c>
      <c r="G343" s="39">
        <v>90234.667063085712</v>
      </c>
    </row>
    <row r="344" spans="1:7" ht="11.25" customHeight="1" x14ac:dyDescent="0.2">
      <c r="A344" s="42" t="s">
        <v>39</v>
      </c>
      <c r="B344" s="39">
        <v>0</v>
      </c>
      <c r="C344" s="39">
        <v>0</v>
      </c>
      <c r="D344" s="39">
        <v>0</v>
      </c>
      <c r="E344" s="39">
        <v>0</v>
      </c>
      <c r="F344" s="39">
        <v>0</v>
      </c>
      <c r="G344" s="39">
        <v>0</v>
      </c>
    </row>
    <row r="345" spans="1:7" ht="11.25" customHeight="1" x14ac:dyDescent="0.2">
      <c r="A345" s="43" t="s">
        <v>57</v>
      </c>
      <c r="B345" s="39">
        <v>0</v>
      </c>
      <c r="C345" s="39">
        <v>0</v>
      </c>
      <c r="D345" s="39">
        <v>0</v>
      </c>
      <c r="E345" s="39">
        <v>0</v>
      </c>
      <c r="F345" s="39">
        <v>0</v>
      </c>
      <c r="G345" s="39">
        <v>0</v>
      </c>
    </row>
    <row r="346" spans="1:7" ht="11.25" customHeight="1" x14ac:dyDescent="0.2">
      <c r="A346" s="44" t="s">
        <v>25</v>
      </c>
      <c r="B346" s="39">
        <v>0</v>
      </c>
      <c r="C346" s="39">
        <v>0</v>
      </c>
      <c r="D346" s="39">
        <v>0</v>
      </c>
      <c r="E346" s="39">
        <v>0</v>
      </c>
      <c r="F346" s="39">
        <v>0</v>
      </c>
      <c r="G346" s="39">
        <v>0</v>
      </c>
    </row>
    <row r="347" spans="1:7" ht="11.25" customHeight="1" x14ac:dyDescent="0.2">
      <c r="A347" s="45" t="s">
        <v>25</v>
      </c>
      <c r="B347" s="39">
        <v>0</v>
      </c>
      <c r="C347" s="39">
        <v>0</v>
      </c>
      <c r="D347" s="39">
        <v>0</v>
      </c>
      <c r="E347" s="39">
        <v>0</v>
      </c>
      <c r="F347" s="39">
        <v>0</v>
      </c>
      <c r="G347" s="39">
        <v>0</v>
      </c>
    </row>
    <row r="348" spans="1:7" ht="11.25" customHeight="1" x14ac:dyDescent="0.2">
      <c r="A348" s="46" t="s">
        <v>25</v>
      </c>
      <c r="B348" s="39">
        <v>0</v>
      </c>
      <c r="C348" s="39">
        <v>0</v>
      </c>
      <c r="D348" s="39">
        <v>0</v>
      </c>
      <c r="E348" s="39">
        <v>0</v>
      </c>
      <c r="F348" s="39">
        <v>0</v>
      </c>
      <c r="G348" s="39">
        <v>0</v>
      </c>
    </row>
    <row r="349" spans="1:7" ht="11.25" customHeight="1" x14ac:dyDescent="0.2">
      <c r="A349" s="47" t="s">
        <v>58</v>
      </c>
      <c r="B349" s="39">
        <v>0</v>
      </c>
      <c r="C349" s="39">
        <v>0</v>
      </c>
      <c r="D349" s="39">
        <v>0</v>
      </c>
      <c r="E349" s="39">
        <v>0</v>
      </c>
      <c r="F349" s="39">
        <v>0</v>
      </c>
      <c r="G349" s="39">
        <v>0</v>
      </c>
    </row>
    <row r="350" spans="1:7" ht="11.25" customHeight="1" x14ac:dyDescent="0.2">
      <c r="A350" s="48" t="s">
        <v>25</v>
      </c>
      <c r="B350" s="39">
        <v>0</v>
      </c>
      <c r="C350" s="39">
        <v>0</v>
      </c>
      <c r="D350" s="39">
        <v>0</v>
      </c>
      <c r="E350" s="39">
        <v>0</v>
      </c>
      <c r="F350" s="39">
        <v>0</v>
      </c>
      <c r="G350" s="39">
        <v>0</v>
      </c>
    </row>
    <row r="351" spans="1:7" ht="11.25" customHeight="1" x14ac:dyDescent="0.2">
      <c r="A351" s="49">
        <v>44501</v>
      </c>
      <c r="B351" s="39">
        <v>0</v>
      </c>
      <c r="C351" s="39">
        <v>0</v>
      </c>
      <c r="D351" s="39">
        <v>0</v>
      </c>
      <c r="E351" s="39">
        <v>0</v>
      </c>
      <c r="F351" s="39">
        <v>0</v>
      </c>
      <c r="G351" s="39">
        <v>0</v>
      </c>
    </row>
    <row r="352" spans="1:7" ht="11.25" customHeight="1" x14ac:dyDescent="0.2">
      <c r="A352" s="49">
        <v>44531</v>
      </c>
      <c r="B352" s="39">
        <v>0</v>
      </c>
      <c r="C352" s="39">
        <v>0</v>
      </c>
      <c r="D352" s="39">
        <v>0</v>
      </c>
      <c r="E352" s="39">
        <v>0</v>
      </c>
      <c r="F352" s="39">
        <v>0</v>
      </c>
      <c r="G352" s="39">
        <v>0</v>
      </c>
    </row>
    <row r="353" spans="1:7" ht="11.25" customHeight="1" x14ac:dyDescent="0.2">
      <c r="A353" s="49">
        <v>44562</v>
      </c>
      <c r="B353" s="39">
        <v>0</v>
      </c>
      <c r="C353" s="39">
        <v>0</v>
      </c>
      <c r="D353" s="39">
        <v>0</v>
      </c>
      <c r="E353" s="39">
        <v>0</v>
      </c>
      <c r="F353" s="39">
        <v>0</v>
      </c>
      <c r="G353" s="39">
        <v>0</v>
      </c>
    </row>
    <row r="354" spans="1:7" ht="11.25" customHeight="1" x14ac:dyDescent="0.2">
      <c r="A354" s="49">
        <v>44593</v>
      </c>
      <c r="B354" s="39">
        <v>0</v>
      </c>
      <c r="C354" s="39">
        <v>0</v>
      </c>
      <c r="D354" s="39">
        <v>0</v>
      </c>
      <c r="E354" s="39">
        <v>0</v>
      </c>
      <c r="F354" s="39">
        <v>0</v>
      </c>
      <c r="G354" s="39">
        <v>0</v>
      </c>
    </row>
    <row r="355" spans="1:7" ht="11.25" customHeight="1" x14ac:dyDescent="0.2">
      <c r="A355" s="49">
        <v>44621</v>
      </c>
      <c r="B355" s="39">
        <v>0</v>
      </c>
      <c r="C355" s="39">
        <v>0</v>
      </c>
      <c r="D355" s="39">
        <v>0</v>
      </c>
      <c r="E355" s="39">
        <v>0</v>
      </c>
      <c r="F355" s="39">
        <v>0</v>
      </c>
      <c r="G355" s="39">
        <v>0</v>
      </c>
    </row>
    <row r="356" spans="1:7" ht="11.25" customHeight="1" x14ac:dyDescent="0.2">
      <c r="A356" s="49">
        <v>44652</v>
      </c>
      <c r="B356" s="39">
        <v>0</v>
      </c>
      <c r="C356" s="39">
        <v>0</v>
      </c>
      <c r="D356" s="39">
        <v>0</v>
      </c>
      <c r="E356" s="39">
        <v>0</v>
      </c>
      <c r="F356" s="39">
        <v>0</v>
      </c>
      <c r="G356" s="39">
        <v>0</v>
      </c>
    </row>
    <row r="357" spans="1:7" ht="11.25" customHeight="1" x14ac:dyDescent="0.2">
      <c r="A357" s="49">
        <v>44682</v>
      </c>
      <c r="B357" s="39">
        <v>0</v>
      </c>
      <c r="C357" s="39">
        <v>0</v>
      </c>
      <c r="D357" s="39">
        <v>0</v>
      </c>
      <c r="E357" s="39">
        <v>0</v>
      </c>
      <c r="F357" s="39">
        <v>0</v>
      </c>
      <c r="G357" s="39">
        <v>0</v>
      </c>
    </row>
    <row r="358" spans="1:7" ht="11.25" customHeight="1" x14ac:dyDescent="0.2">
      <c r="A358" s="49">
        <v>44713</v>
      </c>
      <c r="B358" s="39">
        <v>0</v>
      </c>
      <c r="C358" s="39">
        <v>0</v>
      </c>
      <c r="D358" s="39">
        <v>0</v>
      </c>
      <c r="E358" s="39">
        <v>0</v>
      </c>
      <c r="F358" s="39">
        <v>0</v>
      </c>
      <c r="G358" s="39">
        <v>0</v>
      </c>
    </row>
    <row r="359" spans="1:7" ht="11.25" customHeight="1" x14ac:dyDescent="0.2">
      <c r="A359" s="49">
        <v>44743</v>
      </c>
      <c r="B359" s="39">
        <v>0</v>
      </c>
      <c r="C359" s="39">
        <v>0</v>
      </c>
      <c r="D359" s="39">
        <v>0</v>
      </c>
      <c r="E359" s="39">
        <v>0</v>
      </c>
      <c r="F359" s="39">
        <v>0</v>
      </c>
      <c r="G359" s="39">
        <v>0</v>
      </c>
    </row>
    <row r="360" spans="1:7" ht="11.25" customHeight="1" x14ac:dyDescent="0.2">
      <c r="A360" s="49">
        <v>44774</v>
      </c>
      <c r="B360" s="39">
        <v>0</v>
      </c>
      <c r="C360" s="39">
        <v>0</v>
      </c>
      <c r="D360" s="39">
        <v>0</v>
      </c>
      <c r="E360" s="39">
        <v>0</v>
      </c>
      <c r="F360" s="39">
        <v>0</v>
      </c>
      <c r="G360" s="39">
        <v>0</v>
      </c>
    </row>
    <row r="361" spans="1:7" ht="11.25" customHeight="1" x14ac:dyDescent="0.2">
      <c r="A361" s="49">
        <v>44805</v>
      </c>
      <c r="B361" s="39">
        <v>0</v>
      </c>
      <c r="C361" s="39">
        <v>0</v>
      </c>
      <c r="D361" s="39">
        <v>0</v>
      </c>
      <c r="E361" s="39">
        <v>0</v>
      </c>
      <c r="F361" s="39">
        <v>0</v>
      </c>
      <c r="G361" s="39">
        <v>0</v>
      </c>
    </row>
    <row r="362" spans="1:7" ht="11.25" customHeight="1" x14ac:dyDescent="0.2">
      <c r="A362" s="49">
        <v>44835</v>
      </c>
      <c r="B362" s="39">
        <v>0</v>
      </c>
      <c r="C362" s="39">
        <v>0</v>
      </c>
      <c r="D362" s="39">
        <v>0</v>
      </c>
      <c r="E362" s="39">
        <v>0</v>
      </c>
      <c r="F362" s="39">
        <v>0</v>
      </c>
      <c r="G362" s="39">
        <v>0</v>
      </c>
    </row>
    <row r="363" spans="1:7" ht="11.25" customHeight="1" x14ac:dyDescent="0.2">
      <c r="A363" s="41" t="s">
        <v>853</v>
      </c>
      <c r="B363" s="39">
        <v>3193.1200000000008</v>
      </c>
      <c r="C363" s="39">
        <v>295074.73561840039</v>
      </c>
      <c r="D363" s="39">
        <v>3632.3536178375052</v>
      </c>
      <c r="E363" s="39">
        <v>188922.03822780406</v>
      </c>
      <c r="F363" s="39">
        <v>298267.85561840032</v>
      </c>
      <c r="G363" s="39">
        <v>192554.39184564151</v>
      </c>
    </row>
    <row r="364" spans="1:7" ht="11.25" customHeight="1" x14ac:dyDescent="0.2">
      <c r="A364" s="42" t="s">
        <v>39</v>
      </c>
      <c r="B364" s="39">
        <v>3193.1200000000008</v>
      </c>
      <c r="C364" s="39">
        <v>26652.379308399999</v>
      </c>
      <c r="D364" s="39">
        <v>3632.3536178375052</v>
      </c>
      <c r="E364" s="39">
        <v>31180.311072225781</v>
      </c>
      <c r="F364" s="39">
        <v>29845.499308400002</v>
      </c>
      <c r="G364" s="39">
        <v>34812.664690063284</v>
      </c>
    </row>
    <row r="365" spans="1:7" ht="11.25" customHeight="1" x14ac:dyDescent="0.2">
      <c r="A365" s="43" t="s">
        <v>41</v>
      </c>
      <c r="B365" s="39">
        <v>3193.1200000000008</v>
      </c>
      <c r="C365" s="39">
        <v>26652.379308399999</v>
      </c>
      <c r="D365" s="39">
        <v>3632.3536178375052</v>
      </c>
      <c r="E365" s="39">
        <v>31180.311072225781</v>
      </c>
      <c r="F365" s="39">
        <v>29845.499308400002</v>
      </c>
      <c r="G365" s="39">
        <v>34812.664690063284</v>
      </c>
    </row>
    <row r="366" spans="1:7" ht="11.25" customHeight="1" x14ac:dyDescent="0.2">
      <c r="A366" s="44" t="s">
        <v>45</v>
      </c>
      <c r="B366" s="39">
        <v>3193.1200000000008</v>
      </c>
      <c r="C366" s="39">
        <v>26652.379308399999</v>
      </c>
      <c r="D366" s="39">
        <v>3632.3536178375052</v>
      </c>
      <c r="E366" s="39">
        <v>31180.311072225781</v>
      </c>
      <c r="F366" s="39">
        <v>29845.499308400002</v>
      </c>
      <c r="G366" s="39">
        <v>34812.664690063284</v>
      </c>
    </row>
    <row r="367" spans="1:7" ht="11.25" customHeight="1" x14ac:dyDescent="0.2">
      <c r="A367" s="45" t="s">
        <v>25</v>
      </c>
      <c r="B367" s="39">
        <v>3193.1200000000008</v>
      </c>
      <c r="C367" s="39">
        <v>26652.379308399999</v>
      </c>
      <c r="D367" s="39">
        <v>3632.3536178375052</v>
      </c>
      <c r="E367" s="39">
        <v>31180.311072225781</v>
      </c>
      <c r="F367" s="39">
        <v>29845.499308400002</v>
      </c>
      <c r="G367" s="39">
        <v>34812.664690063284</v>
      </c>
    </row>
    <row r="368" spans="1:7" ht="11.25" customHeight="1" x14ac:dyDescent="0.2">
      <c r="A368" s="46" t="s">
        <v>25</v>
      </c>
      <c r="B368" s="39">
        <v>3193.1200000000008</v>
      </c>
      <c r="C368" s="39">
        <v>26652.379308399999</v>
      </c>
      <c r="D368" s="39">
        <v>3632.3536178375052</v>
      </c>
      <c r="E368" s="39">
        <v>31180.311072225781</v>
      </c>
      <c r="F368" s="39">
        <v>29845.499308400002</v>
      </c>
      <c r="G368" s="39">
        <v>34812.664690063284</v>
      </c>
    </row>
    <row r="369" spans="1:7" ht="11.25" customHeight="1" x14ac:dyDescent="0.2">
      <c r="A369" s="47" t="s">
        <v>25</v>
      </c>
      <c r="B369" s="39">
        <v>3193.1200000000008</v>
      </c>
      <c r="C369" s="39">
        <v>26652.379308399999</v>
      </c>
      <c r="D369" s="39">
        <v>3632.3536178375052</v>
      </c>
      <c r="E369" s="39">
        <v>31180.311072225781</v>
      </c>
      <c r="F369" s="39">
        <v>29845.499308400002</v>
      </c>
      <c r="G369" s="39">
        <v>34812.664690063284</v>
      </c>
    </row>
    <row r="370" spans="1:7" ht="11.25" customHeight="1" x14ac:dyDescent="0.2">
      <c r="A370" s="48" t="s">
        <v>35</v>
      </c>
      <c r="B370" s="39">
        <v>0</v>
      </c>
      <c r="C370" s="39">
        <v>19362.2750136</v>
      </c>
      <c r="D370" s="39">
        <v>0</v>
      </c>
      <c r="E370" s="39">
        <v>22825.833164323096</v>
      </c>
      <c r="F370" s="39">
        <v>19362.2750136</v>
      </c>
      <c r="G370" s="39">
        <v>22825.833164323096</v>
      </c>
    </row>
    <row r="371" spans="1:7" ht="11.25" customHeight="1" x14ac:dyDescent="0.2">
      <c r="A371" s="49">
        <v>44501</v>
      </c>
      <c r="B371" s="39">
        <v>0</v>
      </c>
      <c r="C371" s="39">
        <v>1598.8270680000005</v>
      </c>
      <c r="D371" s="39">
        <v>0</v>
      </c>
      <c r="E371" s="39">
        <v>1884.8280941747912</v>
      </c>
      <c r="F371" s="39">
        <v>1598.8270680000005</v>
      </c>
      <c r="G371" s="39">
        <v>1884.8280941747912</v>
      </c>
    </row>
    <row r="372" spans="1:7" ht="11.25" customHeight="1" x14ac:dyDescent="0.2">
      <c r="A372" s="49">
        <v>44531</v>
      </c>
      <c r="B372" s="39">
        <v>0</v>
      </c>
      <c r="C372" s="39">
        <v>1547.3547575999999</v>
      </c>
      <c r="D372" s="39">
        <v>0</v>
      </c>
      <c r="E372" s="39">
        <v>1824.1483254519826</v>
      </c>
      <c r="F372" s="39">
        <v>1547.3547575999999</v>
      </c>
      <c r="G372" s="39">
        <v>1824.1483254519826</v>
      </c>
    </row>
    <row r="373" spans="1:7" ht="11.25" customHeight="1" x14ac:dyDescent="0.2">
      <c r="A373" s="49">
        <v>44562</v>
      </c>
      <c r="B373" s="39">
        <v>0</v>
      </c>
      <c r="C373" s="39">
        <v>1563.9555599999994</v>
      </c>
      <c r="D373" s="39">
        <v>0</v>
      </c>
      <c r="E373" s="39">
        <v>1843.7187088759413</v>
      </c>
      <c r="F373" s="39">
        <v>1563.9555599999994</v>
      </c>
      <c r="G373" s="39">
        <v>1843.7187088759413</v>
      </c>
    </row>
    <row r="374" spans="1:7" ht="11.25" customHeight="1" x14ac:dyDescent="0.2">
      <c r="A374" s="49">
        <v>44593</v>
      </c>
      <c r="B374" s="39">
        <v>0</v>
      </c>
      <c r="C374" s="39">
        <v>1510.8835104000045</v>
      </c>
      <c r="D374" s="39">
        <v>0</v>
      </c>
      <c r="E374" s="39">
        <v>1781.1530367631717</v>
      </c>
      <c r="F374" s="39">
        <v>1510.8835104000045</v>
      </c>
      <c r="G374" s="39">
        <v>1781.1530367631717</v>
      </c>
    </row>
    <row r="375" spans="1:7" ht="11.25" customHeight="1" x14ac:dyDescent="0.2">
      <c r="A375" s="49">
        <v>44621</v>
      </c>
      <c r="B375" s="39">
        <v>0</v>
      </c>
      <c r="C375" s="39">
        <v>1316.5572959999977</v>
      </c>
      <c r="D375" s="39">
        <v>0</v>
      </c>
      <c r="E375" s="39">
        <v>1552.0654039187132</v>
      </c>
      <c r="F375" s="39">
        <v>1316.5572959999977</v>
      </c>
      <c r="G375" s="39">
        <v>1552.0654039187132</v>
      </c>
    </row>
    <row r="376" spans="1:7" ht="11.25" customHeight="1" x14ac:dyDescent="0.2">
      <c r="A376" s="49">
        <v>44652</v>
      </c>
      <c r="B376" s="39">
        <v>0</v>
      </c>
      <c r="C376" s="39">
        <v>1496.5279559999997</v>
      </c>
      <c r="D376" s="39">
        <v>0</v>
      </c>
      <c r="E376" s="39">
        <v>1764.2295352900383</v>
      </c>
      <c r="F376" s="39">
        <v>1496.5279559999997</v>
      </c>
      <c r="G376" s="39">
        <v>1764.2295352900383</v>
      </c>
    </row>
    <row r="377" spans="1:7" ht="11.25" customHeight="1" x14ac:dyDescent="0.2">
      <c r="A377" s="49">
        <v>44682</v>
      </c>
      <c r="B377" s="39">
        <v>0</v>
      </c>
      <c r="C377" s="39">
        <v>1449.2374200000002</v>
      </c>
      <c r="D377" s="39">
        <v>0</v>
      </c>
      <c r="E377" s="39">
        <v>1708.4795842006542</v>
      </c>
      <c r="F377" s="39">
        <v>1449.2374200000002</v>
      </c>
      <c r="G377" s="39">
        <v>1708.4795842006542</v>
      </c>
    </row>
    <row r="378" spans="1:7" ht="11.25" customHeight="1" x14ac:dyDescent="0.2">
      <c r="A378" s="49">
        <v>44713</v>
      </c>
      <c r="B378" s="39">
        <v>0</v>
      </c>
      <c r="C378" s="39">
        <v>1407.0828888000005</v>
      </c>
      <c r="D378" s="39">
        <v>0</v>
      </c>
      <c r="E378" s="39">
        <v>1658.7843755737968</v>
      </c>
      <c r="F378" s="39">
        <v>1407.0828888000005</v>
      </c>
      <c r="G378" s="39">
        <v>1658.7843755737968</v>
      </c>
    </row>
    <row r="379" spans="1:7" ht="11.25" customHeight="1" x14ac:dyDescent="0.2">
      <c r="A379" s="49">
        <v>44743</v>
      </c>
      <c r="B379" s="39">
        <v>0</v>
      </c>
      <c r="C379" s="39">
        <v>1514.9389895999957</v>
      </c>
      <c r="D379" s="39">
        <v>0</v>
      </c>
      <c r="E379" s="39">
        <v>1785.9339672868505</v>
      </c>
      <c r="F379" s="39">
        <v>1514.9389895999957</v>
      </c>
      <c r="G379" s="39">
        <v>1785.9339672868505</v>
      </c>
    </row>
    <row r="380" spans="1:7" ht="11.25" customHeight="1" x14ac:dyDescent="0.2">
      <c r="A380" s="49">
        <v>44774</v>
      </c>
      <c r="B380" s="39">
        <v>0</v>
      </c>
      <c r="C380" s="39">
        <v>1440.0319031999998</v>
      </c>
      <c r="D380" s="39">
        <v>0</v>
      </c>
      <c r="E380" s="39">
        <v>1697.6273682022452</v>
      </c>
      <c r="F380" s="39">
        <v>1440.0319031999998</v>
      </c>
      <c r="G380" s="39">
        <v>1697.6273682022452</v>
      </c>
    </row>
    <row r="381" spans="1:7" ht="11.25" customHeight="1" x14ac:dyDescent="0.2">
      <c r="A381" s="49">
        <v>44805</v>
      </c>
      <c r="B381" s="39">
        <v>0</v>
      </c>
      <c r="C381" s="39">
        <v>2258.4388320000012</v>
      </c>
      <c r="D381" s="39">
        <v>0</v>
      </c>
      <c r="E381" s="39">
        <v>2662.4323822924562</v>
      </c>
      <c r="F381" s="39">
        <v>2258.4388320000012</v>
      </c>
      <c r="G381" s="39">
        <v>2662.4323822924562</v>
      </c>
    </row>
    <row r="382" spans="1:7" ht="11.25" customHeight="1" x14ac:dyDescent="0.2">
      <c r="A382" s="49">
        <v>44835</v>
      </c>
      <c r="B382" s="39">
        <v>0</v>
      </c>
      <c r="C382" s="39">
        <v>2258.4388320000012</v>
      </c>
      <c r="D382" s="39">
        <v>0</v>
      </c>
      <c r="E382" s="39">
        <v>2662.4323822924562</v>
      </c>
      <c r="F382" s="39">
        <v>2258.4388320000012</v>
      </c>
      <c r="G382" s="39">
        <v>2662.4323822924562</v>
      </c>
    </row>
    <row r="383" spans="1:7" ht="11.25" customHeight="1" x14ac:dyDescent="0.2">
      <c r="A383" s="48" t="s">
        <v>25</v>
      </c>
      <c r="B383" s="39">
        <v>3193.1200000000008</v>
      </c>
      <c r="C383" s="39">
        <v>0</v>
      </c>
      <c r="D383" s="39">
        <v>3632.3536178375052</v>
      </c>
      <c r="E383" s="39">
        <v>0</v>
      </c>
      <c r="F383" s="39">
        <v>3193.1200000000008</v>
      </c>
      <c r="G383" s="39">
        <v>3632.3536178375052</v>
      </c>
    </row>
    <row r="384" spans="1:7" ht="11.25" customHeight="1" x14ac:dyDescent="0.2">
      <c r="A384" s="49">
        <v>44501</v>
      </c>
      <c r="B384" s="39">
        <v>289.5200000000001</v>
      </c>
      <c r="C384" s="39">
        <v>0</v>
      </c>
      <c r="D384" s="39">
        <v>329.34528593861637</v>
      </c>
      <c r="E384" s="39">
        <v>0</v>
      </c>
      <c r="F384" s="39">
        <v>289.5200000000001</v>
      </c>
      <c r="G384" s="39">
        <v>329.34528593861637</v>
      </c>
    </row>
    <row r="385" spans="1:7" ht="11.25" customHeight="1" x14ac:dyDescent="0.2">
      <c r="A385" s="49">
        <v>44531</v>
      </c>
      <c r="B385" s="39">
        <v>210.56000000000029</v>
      </c>
      <c r="C385" s="39">
        <v>0</v>
      </c>
      <c r="D385" s="39">
        <v>239.52384431899395</v>
      </c>
      <c r="E385" s="39">
        <v>0</v>
      </c>
      <c r="F385" s="39">
        <v>210.56000000000029</v>
      </c>
      <c r="G385" s="39">
        <v>239.52384431899395</v>
      </c>
    </row>
    <row r="386" spans="1:7" ht="11.25" customHeight="1" x14ac:dyDescent="0.2">
      <c r="A386" s="49">
        <v>44562</v>
      </c>
      <c r="B386" s="39">
        <v>224.56000000000029</v>
      </c>
      <c r="C386" s="39">
        <v>0</v>
      </c>
      <c r="D386" s="39">
        <v>255.44963184020364</v>
      </c>
      <c r="E386" s="39">
        <v>0</v>
      </c>
      <c r="F386" s="39">
        <v>224.56000000000029</v>
      </c>
      <c r="G386" s="39">
        <v>255.44963184020364</v>
      </c>
    </row>
    <row r="387" spans="1:7" ht="11.25" customHeight="1" x14ac:dyDescent="0.2">
      <c r="A387" s="49">
        <v>44593</v>
      </c>
      <c r="B387" s="39">
        <v>221.20000000000016</v>
      </c>
      <c r="C387" s="39">
        <v>0</v>
      </c>
      <c r="D387" s="39">
        <v>251.62744283511319</v>
      </c>
      <c r="E387" s="39">
        <v>0</v>
      </c>
      <c r="F387" s="39">
        <v>221.20000000000016</v>
      </c>
      <c r="G387" s="39">
        <v>251.62744283511319</v>
      </c>
    </row>
    <row r="388" spans="1:7" ht="11.25" customHeight="1" x14ac:dyDescent="0.2">
      <c r="A388" s="49">
        <v>44621</v>
      </c>
      <c r="B388" s="39">
        <v>204.40000000000032</v>
      </c>
      <c r="C388" s="39">
        <v>0</v>
      </c>
      <c r="D388" s="39">
        <v>232.51649780966173</v>
      </c>
      <c r="E388" s="39">
        <v>0</v>
      </c>
      <c r="F388" s="39">
        <v>204.40000000000032</v>
      </c>
      <c r="G388" s="39">
        <v>232.51649780966173</v>
      </c>
    </row>
    <row r="389" spans="1:7" ht="11.25" customHeight="1" x14ac:dyDescent="0.2">
      <c r="A389" s="49">
        <v>44652</v>
      </c>
      <c r="B389" s="39">
        <v>236.31999999999994</v>
      </c>
      <c r="C389" s="39">
        <v>0</v>
      </c>
      <c r="D389" s="39">
        <v>268.8272933580194</v>
      </c>
      <c r="E389" s="39">
        <v>0</v>
      </c>
      <c r="F389" s="39">
        <v>236.31999999999994</v>
      </c>
      <c r="G389" s="39">
        <v>268.8272933580194</v>
      </c>
    </row>
    <row r="390" spans="1:7" ht="11.25" customHeight="1" x14ac:dyDescent="0.2">
      <c r="A390" s="49">
        <v>44682</v>
      </c>
      <c r="B390" s="39">
        <v>225.68000000000006</v>
      </c>
      <c r="C390" s="39">
        <v>0</v>
      </c>
      <c r="D390" s="39">
        <v>256.72369484190017</v>
      </c>
      <c r="E390" s="39">
        <v>0</v>
      </c>
      <c r="F390" s="39">
        <v>225.68000000000006</v>
      </c>
      <c r="G390" s="39">
        <v>256.72369484190017</v>
      </c>
    </row>
    <row r="391" spans="1:7" ht="11.25" customHeight="1" x14ac:dyDescent="0.2">
      <c r="A391" s="49">
        <v>44713</v>
      </c>
      <c r="B391" s="39">
        <v>204.40000000000032</v>
      </c>
      <c r="C391" s="39">
        <v>0</v>
      </c>
      <c r="D391" s="39">
        <v>232.51649780966173</v>
      </c>
      <c r="E391" s="39">
        <v>0</v>
      </c>
      <c r="F391" s="39">
        <v>204.40000000000032</v>
      </c>
      <c r="G391" s="39">
        <v>232.51649780966173</v>
      </c>
    </row>
    <row r="392" spans="1:7" ht="11.25" customHeight="1" x14ac:dyDescent="0.2">
      <c r="A392" s="49">
        <v>44743</v>
      </c>
      <c r="B392" s="39">
        <v>232.95999999999981</v>
      </c>
      <c r="C392" s="39">
        <v>0</v>
      </c>
      <c r="D392" s="39">
        <v>265.00510435292892</v>
      </c>
      <c r="E392" s="39">
        <v>0</v>
      </c>
      <c r="F392" s="39">
        <v>232.95999999999981</v>
      </c>
      <c r="G392" s="39">
        <v>265.00510435292892</v>
      </c>
    </row>
    <row r="393" spans="1:7" ht="11.25" customHeight="1" x14ac:dyDescent="0.2">
      <c r="A393" s="49">
        <v>44774</v>
      </c>
      <c r="B393" s="39">
        <v>204.95999999999981</v>
      </c>
      <c r="C393" s="39">
        <v>0</v>
      </c>
      <c r="D393" s="39">
        <v>233.15352931050955</v>
      </c>
      <c r="E393" s="39">
        <v>0</v>
      </c>
      <c r="F393" s="39">
        <v>204.95999999999981</v>
      </c>
      <c r="G393" s="39">
        <v>233.15352931050955</v>
      </c>
    </row>
    <row r="394" spans="1:7" ht="11.25" customHeight="1" x14ac:dyDescent="0.2">
      <c r="A394" s="49">
        <v>44805</v>
      </c>
      <c r="B394" s="39">
        <v>469.27999999999975</v>
      </c>
      <c r="C394" s="39">
        <v>0</v>
      </c>
      <c r="D394" s="39">
        <v>533.83239771094827</v>
      </c>
      <c r="E394" s="39">
        <v>0</v>
      </c>
      <c r="F394" s="39">
        <v>469.27999999999975</v>
      </c>
      <c r="G394" s="39">
        <v>533.83239771094827</v>
      </c>
    </row>
    <row r="395" spans="1:7" ht="11.25" customHeight="1" x14ac:dyDescent="0.2">
      <c r="A395" s="49">
        <v>44835</v>
      </c>
      <c r="B395" s="39">
        <v>469.27999999999975</v>
      </c>
      <c r="C395" s="39">
        <v>0</v>
      </c>
      <c r="D395" s="39">
        <v>533.83239771094827</v>
      </c>
      <c r="E395" s="39">
        <v>0</v>
      </c>
      <c r="F395" s="39">
        <v>469.27999999999975</v>
      </c>
      <c r="G395" s="39">
        <v>533.83239771094827</v>
      </c>
    </row>
    <row r="396" spans="1:7" ht="11.25" customHeight="1" x14ac:dyDescent="0.2">
      <c r="A396" s="48" t="s">
        <v>34</v>
      </c>
      <c r="B396" s="39">
        <v>0</v>
      </c>
      <c r="C396" s="39">
        <v>7290.1042948000004</v>
      </c>
      <c r="D396" s="39">
        <v>0</v>
      </c>
      <c r="E396" s="39">
        <v>8354.4779079026812</v>
      </c>
      <c r="F396" s="39">
        <v>7290.1042948000004</v>
      </c>
      <c r="G396" s="39">
        <v>8354.4779079026812</v>
      </c>
    </row>
    <row r="397" spans="1:7" ht="11.25" customHeight="1" x14ac:dyDescent="0.2">
      <c r="A397" s="49">
        <v>44501</v>
      </c>
      <c r="B397" s="39">
        <v>0</v>
      </c>
      <c r="C397" s="39">
        <v>511.37464720000094</v>
      </c>
      <c r="D397" s="39">
        <v>0</v>
      </c>
      <c r="E397" s="39">
        <v>586.03663540744196</v>
      </c>
      <c r="F397" s="39">
        <v>511.37464720000094</v>
      </c>
      <c r="G397" s="39">
        <v>586.03663540744196</v>
      </c>
    </row>
    <row r="398" spans="1:7" ht="11.25" customHeight="1" x14ac:dyDescent="0.2">
      <c r="A398" s="49">
        <v>44531</v>
      </c>
      <c r="B398" s="39">
        <v>0</v>
      </c>
      <c r="C398" s="39">
        <v>546.06756039999971</v>
      </c>
      <c r="D398" s="39">
        <v>0</v>
      </c>
      <c r="E398" s="39">
        <v>625.79480143216097</v>
      </c>
      <c r="F398" s="39">
        <v>546.06756039999971</v>
      </c>
      <c r="G398" s="39">
        <v>625.79480143216097</v>
      </c>
    </row>
    <row r="399" spans="1:7" ht="11.25" customHeight="1" x14ac:dyDescent="0.2">
      <c r="A399" s="49">
        <v>44562</v>
      </c>
      <c r="B399" s="39">
        <v>0</v>
      </c>
      <c r="C399" s="39">
        <v>626.68570159999956</v>
      </c>
      <c r="D399" s="39">
        <v>0</v>
      </c>
      <c r="E399" s="39">
        <v>718.18339457094476</v>
      </c>
      <c r="F399" s="39">
        <v>626.68570159999956</v>
      </c>
      <c r="G399" s="39">
        <v>718.18339457094476</v>
      </c>
    </row>
    <row r="400" spans="1:7" ht="11.25" customHeight="1" x14ac:dyDescent="0.2">
      <c r="A400" s="49">
        <v>44593</v>
      </c>
      <c r="B400" s="39">
        <v>0</v>
      </c>
      <c r="C400" s="39">
        <v>571.18810679999967</v>
      </c>
      <c r="D400" s="39">
        <v>0</v>
      </c>
      <c r="E400" s="39">
        <v>654.58301096202217</v>
      </c>
      <c r="F400" s="39">
        <v>571.18810679999967</v>
      </c>
      <c r="G400" s="39">
        <v>654.58301096202217</v>
      </c>
    </row>
    <row r="401" spans="1:7" ht="11.25" customHeight="1" x14ac:dyDescent="0.2">
      <c r="A401" s="49">
        <v>44621</v>
      </c>
      <c r="B401" s="39">
        <v>0</v>
      </c>
      <c r="C401" s="39">
        <v>539.5384315999986</v>
      </c>
      <c r="D401" s="39">
        <v>0</v>
      </c>
      <c r="E401" s="39">
        <v>618.31240336052178</v>
      </c>
      <c r="F401" s="39">
        <v>539.5384315999986</v>
      </c>
      <c r="G401" s="39">
        <v>618.31240336052178</v>
      </c>
    </row>
    <row r="402" spans="1:7" ht="11.25" customHeight="1" x14ac:dyDescent="0.2">
      <c r="A402" s="49">
        <v>44652</v>
      </c>
      <c r="B402" s="39">
        <v>0</v>
      </c>
      <c r="C402" s="39">
        <v>599.13056479999841</v>
      </c>
      <c r="D402" s="39">
        <v>0</v>
      </c>
      <c r="E402" s="39">
        <v>686.60513830250522</v>
      </c>
      <c r="F402" s="39">
        <v>599.13056479999841</v>
      </c>
      <c r="G402" s="39">
        <v>686.60513830250522</v>
      </c>
    </row>
    <row r="403" spans="1:7" ht="11.25" customHeight="1" x14ac:dyDescent="0.2">
      <c r="A403" s="49">
        <v>44682</v>
      </c>
      <c r="B403" s="39">
        <v>0</v>
      </c>
      <c r="C403" s="39">
        <v>507.88875640000015</v>
      </c>
      <c r="D403" s="39">
        <v>0</v>
      </c>
      <c r="E403" s="39">
        <v>582.04179575902435</v>
      </c>
      <c r="F403" s="39">
        <v>507.88875640000015</v>
      </c>
      <c r="G403" s="39">
        <v>582.04179575902435</v>
      </c>
    </row>
    <row r="404" spans="1:7" ht="11.25" customHeight="1" x14ac:dyDescent="0.2">
      <c r="A404" s="49">
        <v>44713</v>
      </c>
      <c r="B404" s="39">
        <v>0</v>
      </c>
      <c r="C404" s="39">
        <v>562.50104560000159</v>
      </c>
      <c r="D404" s="39">
        <v>0</v>
      </c>
      <c r="E404" s="39">
        <v>644.62761691755713</v>
      </c>
      <c r="F404" s="39">
        <v>562.50104560000159</v>
      </c>
      <c r="G404" s="39">
        <v>644.62761691755713</v>
      </c>
    </row>
    <row r="405" spans="1:7" ht="11.25" customHeight="1" x14ac:dyDescent="0.2">
      <c r="A405" s="49">
        <v>44743</v>
      </c>
      <c r="B405" s="39">
        <v>0</v>
      </c>
      <c r="C405" s="39">
        <v>647.26905680000164</v>
      </c>
      <c r="D405" s="39">
        <v>0</v>
      </c>
      <c r="E405" s="39">
        <v>741.77197154255157</v>
      </c>
      <c r="F405" s="39">
        <v>647.26905680000164</v>
      </c>
      <c r="G405" s="39">
        <v>741.77197154255157</v>
      </c>
    </row>
    <row r="406" spans="1:7" ht="11.25" customHeight="1" x14ac:dyDescent="0.2">
      <c r="A406" s="49">
        <v>44774</v>
      </c>
      <c r="B406" s="39">
        <v>0</v>
      </c>
      <c r="C406" s="39">
        <v>641.34857559999978</v>
      </c>
      <c r="D406" s="39">
        <v>0</v>
      </c>
      <c r="E406" s="39">
        <v>734.98708515555563</v>
      </c>
      <c r="F406" s="39">
        <v>641.34857559999978</v>
      </c>
      <c r="G406" s="39">
        <v>734.98708515555563</v>
      </c>
    </row>
    <row r="407" spans="1:7" ht="11.25" customHeight="1" x14ac:dyDescent="0.2">
      <c r="A407" s="49">
        <v>44805</v>
      </c>
      <c r="B407" s="39">
        <v>0</v>
      </c>
      <c r="C407" s="39">
        <v>768.55592400000012</v>
      </c>
      <c r="D407" s="39">
        <v>0</v>
      </c>
      <c r="E407" s="39">
        <v>880.76702724619736</v>
      </c>
      <c r="F407" s="39">
        <v>768.55592400000012</v>
      </c>
      <c r="G407" s="39">
        <v>880.76702724619736</v>
      </c>
    </row>
    <row r="408" spans="1:7" ht="11.25" customHeight="1" x14ac:dyDescent="0.2">
      <c r="A408" s="49">
        <v>44835</v>
      </c>
      <c r="B408" s="39">
        <v>0</v>
      </c>
      <c r="C408" s="39">
        <v>768.55592400000012</v>
      </c>
      <c r="D408" s="39">
        <v>0</v>
      </c>
      <c r="E408" s="39">
        <v>880.76702724619736</v>
      </c>
      <c r="F408" s="39">
        <v>768.55592400000012</v>
      </c>
      <c r="G408" s="39">
        <v>880.76702724619736</v>
      </c>
    </row>
    <row r="409" spans="1:7" ht="11.25" customHeight="1" x14ac:dyDescent="0.2">
      <c r="A409" s="42" t="s">
        <v>44</v>
      </c>
      <c r="B409" s="39">
        <v>0</v>
      </c>
      <c r="C409" s="39">
        <v>268422.35631000041</v>
      </c>
      <c r="D409" s="39">
        <v>0</v>
      </c>
      <c r="E409" s="39">
        <v>157741.72715557832</v>
      </c>
      <c r="F409" s="39">
        <v>268422.35631000041</v>
      </c>
      <c r="G409" s="39">
        <v>157741.72715557832</v>
      </c>
    </row>
    <row r="410" spans="1:7" ht="11.25" customHeight="1" x14ac:dyDescent="0.2">
      <c r="A410" s="43" t="s">
        <v>23</v>
      </c>
      <c r="B410" s="39">
        <v>0</v>
      </c>
      <c r="C410" s="39">
        <v>268422.35631000041</v>
      </c>
      <c r="D410" s="39">
        <v>0</v>
      </c>
      <c r="E410" s="39">
        <v>157741.72715557832</v>
      </c>
      <c r="F410" s="39">
        <v>268422.35631000041</v>
      </c>
      <c r="G410" s="39">
        <v>157741.72715557832</v>
      </c>
    </row>
    <row r="411" spans="1:7" ht="11.25" customHeight="1" x14ac:dyDescent="0.2">
      <c r="A411" s="44" t="s">
        <v>45</v>
      </c>
      <c r="B411" s="39">
        <v>0</v>
      </c>
      <c r="C411" s="39">
        <v>268422.35631000041</v>
      </c>
      <c r="D411" s="39">
        <v>0</v>
      </c>
      <c r="E411" s="39">
        <v>157741.72715557832</v>
      </c>
      <c r="F411" s="39">
        <v>268422.35631000041</v>
      </c>
      <c r="G411" s="39">
        <v>157741.72715557832</v>
      </c>
    </row>
    <row r="412" spans="1:7" ht="11.25" customHeight="1" x14ac:dyDescent="0.2">
      <c r="A412" s="45" t="s">
        <v>25</v>
      </c>
      <c r="B412" s="39">
        <v>0</v>
      </c>
      <c r="C412" s="39">
        <v>268422.35631000041</v>
      </c>
      <c r="D412" s="39">
        <v>0</v>
      </c>
      <c r="E412" s="39">
        <v>157741.72715557832</v>
      </c>
      <c r="F412" s="39">
        <v>268422.35631000041</v>
      </c>
      <c r="G412" s="39">
        <v>157741.72715557832</v>
      </c>
    </row>
    <row r="413" spans="1:7" ht="11.25" customHeight="1" x14ac:dyDescent="0.2">
      <c r="A413" s="46" t="s">
        <v>25</v>
      </c>
      <c r="B413" s="39">
        <v>0</v>
      </c>
      <c r="C413" s="39">
        <v>268422.35631000041</v>
      </c>
      <c r="D413" s="39">
        <v>0</v>
      </c>
      <c r="E413" s="39">
        <v>157741.72715557832</v>
      </c>
      <c r="F413" s="39">
        <v>268422.35631000041</v>
      </c>
      <c r="G413" s="39">
        <v>157741.72715557832</v>
      </c>
    </row>
    <row r="414" spans="1:7" ht="11.25" customHeight="1" x14ac:dyDescent="0.2">
      <c r="A414" s="47" t="s">
        <v>25</v>
      </c>
      <c r="B414" s="39">
        <v>0</v>
      </c>
      <c r="C414" s="39">
        <v>268422.35631000041</v>
      </c>
      <c r="D414" s="39">
        <v>0</v>
      </c>
      <c r="E414" s="39">
        <v>157741.72715557832</v>
      </c>
      <c r="F414" s="39">
        <v>268422.35631000041</v>
      </c>
      <c r="G414" s="39">
        <v>157741.72715557832</v>
      </c>
    </row>
    <row r="415" spans="1:7" ht="11.25" customHeight="1" x14ac:dyDescent="0.2">
      <c r="A415" s="48" t="s">
        <v>25</v>
      </c>
      <c r="B415" s="39">
        <v>0</v>
      </c>
      <c r="C415" s="39">
        <v>268422.35631000041</v>
      </c>
      <c r="D415" s="39">
        <v>0</v>
      </c>
      <c r="E415" s="39">
        <v>157741.72715557832</v>
      </c>
      <c r="F415" s="39">
        <v>268422.35631000041</v>
      </c>
      <c r="G415" s="39">
        <v>157741.72715557832</v>
      </c>
    </row>
    <row r="416" spans="1:7" ht="11.25" customHeight="1" x14ac:dyDescent="0.2">
      <c r="A416" s="49">
        <v>44501</v>
      </c>
      <c r="B416" s="39">
        <v>0</v>
      </c>
      <c r="C416" s="39">
        <v>21703.896900000036</v>
      </c>
      <c r="D416" s="39">
        <v>0</v>
      </c>
      <c r="E416" s="39">
        <v>12754.564225115018</v>
      </c>
      <c r="F416" s="39">
        <v>21703.896900000036</v>
      </c>
      <c r="G416" s="39">
        <v>12754.564225115018</v>
      </c>
    </row>
    <row r="417" spans="1:7" ht="11.25" customHeight="1" x14ac:dyDescent="0.2">
      <c r="A417" s="49">
        <v>44531</v>
      </c>
      <c r="B417" s="39">
        <v>0</v>
      </c>
      <c r="C417" s="39">
        <v>21028.304160000025</v>
      </c>
      <c r="D417" s="39">
        <v>0</v>
      </c>
      <c r="E417" s="39">
        <v>12357.54377150461</v>
      </c>
      <c r="F417" s="39">
        <v>21028.304160000025</v>
      </c>
      <c r="G417" s="39">
        <v>12357.54377150461</v>
      </c>
    </row>
    <row r="418" spans="1:7" ht="11.25" customHeight="1" x14ac:dyDescent="0.2">
      <c r="A418" s="49">
        <v>44562</v>
      </c>
      <c r="B418" s="39">
        <v>0</v>
      </c>
      <c r="C418" s="39">
        <v>23175.718860000037</v>
      </c>
      <c r="D418" s="39">
        <v>0</v>
      </c>
      <c r="E418" s="39">
        <v>13619.498656164342</v>
      </c>
      <c r="F418" s="39">
        <v>23175.718860000037</v>
      </c>
      <c r="G418" s="39">
        <v>13619.498656164342</v>
      </c>
    </row>
    <row r="419" spans="1:7" ht="11.25" customHeight="1" x14ac:dyDescent="0.2">
      <c r="A419" s="49">
        <v>44593</v>
      </c>
      <c r="B419" s="39">
        <v>0</v>
      </c>
      <c r="C419" s="39">
        <v>20230.012170000031</v>
      </c>
      <c r="D419" s="39">
        <v>0</v>
      </c>
      <c r="E419" s="39">
        <v>11888.417581688911</v>
      </c>
      <c r="F419" s="39">
        <v>20230.012170000031</v>
      </c>
      <c r="G419" s="39">
        <v>11888.417581688911</v>
      </c>
    </row>
    <row r="420" spans="1:7" ht="11.25" customHeight="1" x14ac:dyDescent="0.2">
      <c r="A420" s="49">
        <v>44621</v>
      </c>
      <c r="B420" s="39">
        <v>0</v>
      </c>
      <c r="C420" s="39">
        <v>21000.776850000031</v>
      </c>
      <c r="D420" s="39">
        <v>0</v>
      </c>
      <c r="E420" s="39">
        <v>12341.367006338553</v>
      </c>
      <c r="F420" s="39">
        <v>21000.776850000031</v>
      </c>
      <c r="G420" s="39">
        <v>12341.367006338553</v>
      </c>
    </row>
    <row r="421" spans="1:7" ht="11.25" customHeight="1" x14ac:dyDescent="0.2">
      <c r="A421" s="49">
        <v>44652</v>
      </c>
      <c r="B421" s="39">
        <v>0</v>
      </c>
      <c r="C421" s="39">
        <v>20268.991410000035</v>
      </c>
      <c r="D421" s="39">
        <v>0</v>
      </c>
      <c r="E421" s="39">
        <v>11911.324215567463</v>
      </c>
      <c r="F421" s="39">
        <v>20268.991410000035</v>
      </c>
      <c r="G421" s="39">
        <v>11911.324215567463</v>
      </c>
    </row>
    <row r="422" spans="1:7" ht="11.25" customHeight="1" x14ac:dyDescent="0.2">
      <c r="A422" s="49">
        <v>44682</v>
      </c>
      <c r="B422" s="39">
        <v>0</v>
      </c>
      <c r="C422" s="39">
        <v>21610.858860000033</v>
      </c>
      <c r="D422" s="39">
        <v>0</v>
      </c>
      <c r="E422" s="39">
        <v>12699.889266879343</v>
      </c>
      <c r="F422" s="39">
        <v>21610.858860000033</v>
      </c>
      <c r="G422" s="39">
        <v>12699.889266879343</v>
      </c>
    </row>
    <row r="423" spans="1:7" ht="11.25" customHeight="1" x14ac:dyDescent="0.2">
      <c r="A423" s="49">
        <v>44713</v>
      </c>
      <c r="B423" s="39">
        <v>0</v>
      </c>
      <c r="C423" s="39">
        <v>22977.479550000033</v>
      </c>
      <c r="D423" s="39">
        <v>0</v>
      </c>
      <c r="E423" s="39">
        <v>13503.000866712646</v>
      </c>
      <c r="F423" s="39">
        <v>22977.479550000033</v>
      </c>
      <c r="G423" s="39">
        <v>13503.000866712646</v>
      </c>
    </row>
    <row r="424" spans="1:7" ht="11.25" customHeight="1" x14ac:dyDescent="0.2">
      <c r="A424" s="49">
        <v>44743</v>
      </c>
      <c r="B424" s="39">
        <v>0</v>
      </c>
      <c r="C424" s="39">
        <v>24048.057180000036</v>
      </c>
      <c r="D424" s="39">
        <v>0</v>
      </c>
      <c r="E424" s="39">
        <v>14132.139090263938</v>
      </c>
      <c r="F424" s="39">
        <v>24048.057180000036</v>
      </c>
      <c r="G424" s="39">
        <v>14132.139090263938</v>
      </c>
    </row>
    <row r="425" spans="1:7" ht="11.25" customHeight="1" x14ac:dyDescent="0.2">
      <c r="A425" s="49">
        <v>44774</v>
      </c>
      <c r="B425" s="39">
        <v>0</v>
      </c>
      <c r="C425" s="39">
        <v>24405.34317000004</v>
      </c>
      <c r="D425" s="39">
        <v>0</v>
      </c>
      <c r="E425" s="39">
        <v>14342.102634008417</v>
      </c>
      <c r="F425" s="39">
        <v>24405.34317000004</v>
      </c>
      <c r="G425" s="39">
        <v>14342.102634008417</v>
      </c>
    </row>
    <row r="426" spans="1:7" ht="11.25" customHeight="1" x14ac:dyDescent="0.2">
      <c r="A426" s="49">
        <v>44805</v>
      </c>
      <c r="B426" s="39">
        <v>0</v>
      </c>
      <c r="C426" s="39">
        <v>23986.458600000038</v>
      </c>
      <c r="D426" s="39">
        <v>0</v>
      </c>
      <c r="E426" s="39">
        <v>14095.939920667537</v>
      </c>
      <c r="F426" s="39">
        <v>23986.458600000038</v>
      </c>
      <c r="G426" s="39">
        <v>14095.939920667537</v>
      </c>
    </row>
    <row r="427" spans="1:7" ht="11.25" customHeight="1" x14ac:dyDescent="0.2">
      <c r="A427" s="49">
        <v>44835</v>
      </c>
      <c r="B427" s="39">
        <v>0</v>
      </c>
      <c r="C427" s="39">
        <v>23986.458600000038</v>
      </c>
      <c r="D427" s="39">
        <v>0</v>
      </c>
      <c r="E427" s="39">
        <v>14095.939920667537</v>
      </c>
      <c r="F427" s="39">
        <v>23986.458600000038</v>
      </c>
      <c r="G427" s="39">
        <v>14095.939920667537</v>
      </c>
    </row>
    <row r="428" spans="1:7" ht="11.25" customHeight="1" x14ac:dyDescent="0.2">
      <c r="A428" s="41" t="s">
        <v>859</v>
      </c>
      <c r="B428" s="39">
        <v>0</v>
      </c>
      <c r="C428" s="39">
        <v>0</v>
      </c>
      <c r="D428" s="39">
        <v>0</v>
      </c>
      <c r="E428" s="39">
        <v>0</v>
      </c>
      <c r="F428" s="39">
        <v>0</v>
      </c>
      <c r="G428" s="39">
        <v>0</v>
      </c>
    </row>
    <row r="429" spans="1:7" ht="11.25" customHeight="1" x14ac:dyDescent="0.2">
      <c r="A429" s="42" t="s">
        <v>22</v>
      </c>
      <c r="B429" s="39">
        <v>0</v>
      </c>
      <c r="C429" s="39">
        <v>0</v>
      </c>
      <c r="D429" s="39">
        <v>0</v>
      </c>
      <c r="E429" s="39">
        <v>0</v>
      </c>
      <c r="F429" s="39">
        <v>0</v>
      </c>
      <c r="G429" s="39">
        <v>0</v>
      </c>
    </row>
    <row r="430" spans="1:7" ht="11.25" customHeight="1" x14ac:dyDescent="0.2">
      <c r="A430" s="43" t="s">
        <v>23</v>
      </c>
      <c r="B430" s="39">
        <v>0</v>
      </c>
      <c r="C430" s="39">
        <v>0</v>
      </c>
      <c r="D430" s="39">
        <v>0</v>
      </c>
      <c r="E430" s="39">
        <v>0</v>
      </c>
      <c r="F430" s="39">
        <v>0</v>
      </c>
      <c r="G430" s="39">
        <v>0</v>
      </c>
    </row>
    <row r="431" spans="1:7" ht="11.25" customHeight="1" x14ac:dyDescent="0.2">
      <c r="A431" s="44" t="s">
        <v>24</v>
      </c>
      <c r="B431" s="39">
        <v>0</v>
      </c>
      <c r="C431" s="39">
        <v>0</v>
      </c>
      <c r="D431" s="39">
        <v>0</v>
      </c>
      <c r="E431" s="39">
        <v>0</v>
      </c>
      <c r="F431" s="39">
        <v>0</v>
      </c>
      <c r="G431" s="39">
        <v>0</v>
      </c>
    </row>
    <row r="432" spans="1:7" ht="11.25" customHeight="1" x14ac:dyDescent="0.2">
      <c r="A432" s="45" t="s">
        <v>24</v>
      </c>
      <c r="B432" s="39">
        <v>0</v>
      </c>
      <c r="C432" s="39">
        <v>0</v>
      </c>
      <c r="D432" s="39">
        <v>0</v>
      </c>
      <c r="E432" s="39">
        <v>0</v>
      </c>
      <c r="F432" s="39">
        <v>0</v>
      </c>
      <c r="G432" s="39">
        <v>0</v>
      </c>
    </row>
    <row r="433" spans="1:7" ht="11.25" customHeight="1" x14ac:dyDescent="0.2">
      <c r="A433" s="46" t="s">
        <v>25</v>
      </c>
      <c r="B433" s="39">
        <v>0</v>
      </c>
      <c r="C433" s="39">
        <v>0</v>
      </c>
      <c r="D433" s="39">
        <v>0</v>
      </c>
      <c r="E433" s="39">
        <v>0</v>
      </c>
      <c r="F433" s="39">
        <v>0</v>
      </c>
      <c r="G433" s="39">
        <v>0</v>
      </c>
    </row>
    <row r="434" spans="1:7" ht="11.25" customHeight="1" x14ac:dyDescent="0.2">
      <c r="A434" s="47" t="s">
        <v>25</v>
      </c>
      <c r="B434" s="39">
        <v>0</v>
      </c>
      <c r="C434" s="39">
        <v>0</v>
      </c>
      <c r="D434" s="39">
        <v>0</v>
      </c>
      <c r="E434" s="39">
        <v>0</v>
      </c>
      <c r="F434" s="39">
        <v>0</v>
      </c>
      <c r="G434" s="39">
        <v>0</v>
      </c>
    </row>
    <row r="435" spans="1:7" ht="11.25" customHeight="1" x14ac:dyDescent="0.2">
      <c r="A435" s="48" t="s">
        <v>25</v>
      </c>
      <c r="B435" s="39">
        <v>0</v>
      </c>
      <c r="C435" s="39">
        <v>0</v>
      </c>
      <c r="D435" s="39">
        <v>0</v>
      </c>
      <c r="E435" s="39">
        <v>0</v>
      </c>
      <c r="F435" s="39">
        <v>0</v>
      </c>
      <c r="G435" s="39">
        <v>0</v>
      </c>
    </row>
    <row r="436" spans="1:7" ht="11.25" customHeight="1" x14ac:dyDescent="0.2">
      <c r="A436" s="49">
        <v>44501</v>
      </c>
      <c r="B436" s="39">
        <v>0</v>
      </c>
      <c r="C436" s="39">
        <v>0</v>
      </c>
      <c r="D436" s="39">
        <v>0</v>
      </c>
      <c r="E436" s="39">
        <v>0</v>
      </c>
      <c r="F436" s="39">
        <v>0</v>
      </c>
      <c r="G436" s="39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53767-02BB-4B32-BB5C-C09FABBF471A}">
  <dimension ref="A1:V35"/>
  <sheetViews>
    <sheetView showGridLines="0" workbookViewId="0">
      <selection sqref="A1:J1"/>
    </sheetView>
  </sheetViews>
  <sheetFormatPr defaultRowHeight="11.25" customHeight="1" x14ac:dyDescent="0.3"/>
  <cols>
    <col min="1" max="1" width="9" style="8" bestFit="1" customWidth="1"/>
    <col min="2" max="2" width="10.33203125" style="8" bestFit="1" customWidth="1"/>
    <col min="3" max="3" width="9.5546875" style="8" bestFit="1" customWidth="1"/>
    <col min="4" max="4" width="5.88671875" style="8" bestFit="1" customWidth="1"/>
    <col min="5" max="10" width="7.77734375" style="8" customWidth="1"/>
    <col min="11" max="12" width="8.88671875" style="8"/>
    <col min="13" max="13" width="14.33203125" style="8" customWidth="1"/>
    <col min="14" max="14" width="16.77734375" style="8" customWidth="1"/>
    <col min="15" max="15" width="31.77734375" style="8" customWidth="1"/>
    <col min="16" max="22" width="7.77734375" style="8" customWidth="1"/>
    <col min="23" max="16384" width="8.88671875" style="8"/>
  </cols>
  <sheetData>
    <row r="1" spans="1:22" ht="11.25" customHeight="1" x14ac:dyDescent="0.3">
      <c r="A1" s="123" t="s">
        <v>1035</v>
      </c>
      <c r="B1" s="140"/>
      <c r="C1" s="140"/>
      <c r="D1" s="140"/>
      <c r="E1" s="140"/>
      <c r="F1" s="140"/>
      <c r="G1" s="140"/>
      <c r="H1" s="140"/>
      <c r="I1" s="140"/>
      <c r="J1" s="140"/>
      <c r="L1" s="123" t="s">
        <v>1045</v>
      </c>
      <c r="M1" s="124"/>
      <c r="N1" s="124"/>
      <c r="O1" s="124"/>
      <c r="P1" s="124"/>
      <c r="Q1" s="124"/>
      <c r="R1" s="124"/>
      <c r="S1" s="124"/>
      <c r="T1" s="124"/>
      <c r="U1" s="124"/>
      <c r="V1" s="124"/>
    </row>
    <row r="2" spans="1:22" ht="11.25" customHeight="1" x14ac:dyDescent="0.3">
      <c r="A2" s="134" t="s">
        <v>68</v>
      </c>
      <c r="B2" s="134" t="s">
        <v>69</v>
      </c>
      <c r="C2" s="134" t="s">
        <v>1036</v>
      </c>
      <c r="D2" s="134" t="s">
        <v>74</v>
      </c>
      <c r="E2" s="134" t="s">
        <v>1037</v>
      </c>
      <c r="F2" s="137"/>
      <c r="G2" s="137"/>
      <c r="H2" s="134" t="s">
        <v>698</v>
      </c>
      <c r="I2" s="137"/>
      <c r="J2" s="137"/>
      <c r="L2" s="134" t="s">
        <v>68</v>
      </c>
      <c r="M2" s="134" t="s">
        <v>69</v>
      </c>
      <c r="N2" s="134" t="s">
        <v>70</v>
      </c>
      <c r="O2" s="134" t="s">
        <v>71</v>
      </c>
      <c r="P2" s="134" t="s">
        <v>74</v>
      </c>
      <c r="Q2" s="134" t="s">
        <v>1037</v>
      </c>
      <c r="R2" s="139"/>
      <c r="S2" s="139"/>
      <c r="T2" s="134" t="s">
        <v>698</v>
      </c>
      <c r="U2" s="139"/>
      <c r="V2" s="139"/>
    </row>
    <row r="3" spans="1:22" ht="11.25" customHeight="1" x14ac:dyDescent="0.3">
      <c r="A3" s="137"/>
      <c r="B3" s="137"/>
      <c r="C3" s="137"/>
      <c r="D3" s="137"/>
      <c r="E3" s="134" t="s">
        <v>656</v>
      </c>
      <c r="F3" s="137"/>
      <c r="G3" s="30" t="s">
        <v>684</v>
      </c>
      <c r="H3" s="134" t="s">
        <v>656</v>
      </c>
      <c r="I3" s="137"/>
      <c r="J3" s="30" t="s">
        <v>684</v>
      </c>
      <c r="L3" s="139"/>
      <c r="M3" s="139"/>
      <c r="N3" s="139"/>
      <c r="O3" s="139"/>
      <c r="P3" s="139"/>
      <c r="Q3" s="134" t="s">
        <v>656</v>
      </c>
      <c r="R3" s="139"/>
      <c r="S3" s="30" t="s">
        <v>684</v>
      </c>
      <c r="T3" s="134" t="s">
        <v>656</v>
      </c>
      <c r="U3" s="139"/>
      <c r="V3" s="30" t="s">
        <v>684</v>
      </c>
    </row>
    <row r="4" spans="1:22" ht="11.25" customHeight="1" x14ac:dyDescent="0.3">
      <c r="A4" s="137"/>
      <c r="B4" s="137"/>
      <c r="C4" s="137"/>
      <c r="D4" s="137"/>
      <c r="E4" s="30" t="s">
        <v>1038</v>
      </c>
      <c r="F4" s="30" t="s">
        <v>1039</v>
      </c>
      <c r="G4" s="30" t="s">
        <v>1039</v>
      </c>
      <c r="H4" s="30" t="s">
        <v>1038</v>
      </c>
      <c r="I4" s="30" t="s">
        <v>1039</v>
      </c>
      <c r="J4" s="30" t="s">
        <v>1039</v>
      </c>
      <c r="L4" s="139"/>
      <c r="M4" s="139"/>
      <c r="N4" s="139"/>
      <c r="O4" s="139"/>
      <c r="P4" s="139"/>
      <c r="Q4" s="30" t="s">
        <v>1038</v>
      </c>
      <c r="R4" s="30" t="s">
        <v>1039</v>
      </c>
      <c r="S4" s="30" t="s">
        <v>1039</v>
      </c>
      <c r="T4" s="30" t="s">
        <v>1038</v>
      </c>
      <c r="U4" s="30" t="s">
        <v>1039</v>
      </c>
      <c r="V4" s="30" t="s">
        <v>1039</v>
      </c>
    </row>
    <row r="5" spans="1:22" ht="11.25" customHeight="1" x14ac:dyDescent="0.3">
      <c r="A5" s="138" t="s">
        <v>54</v>
      </c>
      <c r="B5" s="138" t="s">
        <v>40</v>
      </c>
      <c r="C5" s="138" t="s">
        <v>25</v>
      </c>
      <c r="D5" s="31" t="s">
        <v>1040</v>
      </c>
      <c r="E5" s="29">
        <f ca="1">ROUND('TUSD BE'!$AM$5+'TUSD BF_350'!$AM$5+'TUSD CVA'!$AM$5,2)</f>
        <v>15.61</v>
      </c>
      <c r="F5" s="29">
        <f ca="1">ROUND('TUSD BE'!$AM$7+'TUSD BF_350'!$AM$7+'TUSD CVA'!$AM$7,2)</f>
        <v>82.83</v>
      </c>
      <c r="G5" s="29">
        <f ca="1">ROUND('TE BE'!$AB$5+'TE BF_350'!$AB$5+'TE CVA'!$AB$5,2)</f>
        <v>486.44</v>
      </c>
      <c r="H5" s="29">
        <f ca="1">ROUND('TUSD BE'!$AM$5,2)</f>
        <v>20.66</v>
      </c>
      <c r="I5" s="29">
        <f ca="1">ROUND('TUSD BE'!$AM$7,2)</f>
        <v>72.209999999999994</v>
      </c>
      <c r="J5" s="29">
        <f>ROUND('TE BE'!$AB$5,2)</f>
        <v>371.9</v>
      </c>
      <c r="L5" s="141" t="s">
        <v>22</v>
      </c>
      <c r="M5" s="141" t="s">
        <v>1046</v>
      </c>
      <c r="N5" s="141" t="s">
        <v>1047</v>
      </c>
      <c r="O5" s="141" t="s">
        <v>1047</v>
      </c>
      <c r="P5" s="31" t="s">
        <v>1040</v>
      </c>
      <c r="Q5" s="29">
        <v>0</v>
      </c>
      <c r="R5" s="29">
        <f ca="1">ROUND('TUSD BE'!$AM$37+'TUSD BF_350'!$AM$37+'TUSD CVA'!$AM$37,2)</f>
        <v>871.16</v>
      </c>
      <c r="S5" s="29">
        <f ca="1">ROUND('TE BE'!$AB$15+'TE BF_350'!$AB$15+'TE CVA'!$AB$15,2)</f>
        <v>379.31</v>
      </c>
      <c r="T5" s="29">
        <v>0</v>
      </c>
      <c r="U5" s="29">
        <f ca="1">ROUND('TUSD BE'!$AM$37,2)</f>
        <v>721.06</v>
      </c>
      <c r="V5" s="29">
        <f>ROUND('TE BE'!$AB$15,2)</f>
        <v>371.9</v>
      </c>
    </row>
    <row r="6" spans="1:22" ht="11.25" customHeight="1" x14ac:dyDescent="0.3">
      <c r="A6" s="137"/>
      <c r="B6" s="137"/>
      <c r="C6" s="137"/>
      <c r="D6" s="31" t="s">
        <v>1041</v>
      </c>
      <c r="E6" s="29">
        <f ca="1">ROUND('TUSD BE'!$AM$6+'TUSD BF_350'!$AM$6+'TUSD CVA'!$AM$6,2)</f>
        <v>6.8</v>
      </c>
      <c r="F6" s="29">
        <f ca="1">ROUND('TUSD BE'!$AM$7+'TUSD BF_350'!$AM$7+'TUSD CVA'!$AM$7,2)</f>
        <v>82.83</v>
      </c>
      <c r="G6" s="29">
        <f ca="1">ROUND('TE BE'!$AB$6+'TE BF_350'!$AB$6+'TE CVA'!$AB$6,2)</f>
        <v>299.18</v>
      </c>
      <c r="H6" s="29">
        <f ca="1">ROUND('TUSD BE'!$AM$6,2)</f>
        <v>7.53</v>
      </c>
      <c r="I6" s="29">
        <f ca="1">ROUND('TUSD BE'!$AM$7,2)</f>
        <v>72.209999999999994</v>
      </c>
      <c r="J6" s="29">
        <f>ROUND('TE BE'!$AB$6,2)</f>
        <v>231.21</v>
      </c>
      <c r="L6" s="142"/>
      <c r="M6" s="142"/>
      <c r="N6" s="142"/>
      <c r="O6" s="142"/>
      <c r="P6" s="31" t="s">
        <v>1048</v>
      </c>
      <c r="Q6" s="29">
        <v>0</v>
      </c>
      <c r="R6" s="29">
        <f ca="1">ROUND('TUSD BE'!$AM$38+'TUSD BF_350'!$AM$38+'TUSD CVA'!$AM$38,2)</f>
        <v>586.45000000000005</v>
      </c>
      <c r="S6" s="29">
        <f ca="1">ROUND('TE BE'!$AB$16+'TE BF_350'!$AB$16+'TE CVA'!$AB$16,2)</f>
        <v>231.69</v>
      </c>
      <c r="T6" s="29">
        <v>0</v>
      </c>
      <c r="U6" s="29">
        <f ca="1">ROUND('TUSD BE'!$AM$38,2)</f>
        <v>486.82</v>
      </c>
      <c r="V6" s="29">
        <f>ROUND('TE BE'!$AB$16,2)</f>
        <v>231.21</v>
      </c>
    </row>
    <row r="7" spans="1:22" ht="11.25" customHeight="1" x14ac:dyDescent="0.3">
      <c r="A7" s="137"/>
      <c r="B7" s="138" t="s">
        <v>1042</v>
      </c>
      <c r="C7" s="138" t="s">
        <v>25</v>
      </c>
      <c r="D7" s="31" t="s">
        <v>1040</v>
      </c>
      <c r="E7" s="29">
        <f ca="1">ROUND('TUSD BE'!$AM$5+'TUSD BF_350'!$AM$5+'TUSD CVA'!$AM$5,2)</f>
        <v>15.61</v>
      </c>
      <c r="F7" s="29">
        <f ca="1">ROUND('TUSD BE'!$AM$8+'TUSD BF_350'!$AM$8+'TUSD CVA'!$AM$8,2)</f>
        <v>10.5</v>
      </c>
      <c r="G7" s="29">
        <v>0</v>
      </c>
      <c r="H7" s="29">
        <f ca="1">ROUND('TUSD BE'!$AM$5,2)</f>
        <v>20.66</v>
      </c>
      <c r="I7" s="29">
        <f ca="1">ROUND('TUSD BE'!$AM$8,2)</f>
        <v>0.65</v>
      </c>
      <c r="J7" s="29">
        <v>0</v>
      </c>
      <c r="L7" s="142"/>
      <c r="M7" s="143"/>
      <c r="N7" s="143"/>
      <c r="O7" s="143"/>
      <c r="P7" s="31" t="s">
        <v>1041</v>
      </c>
      <c r="Q7" s="29">
        <v>0</v>
      </c>
      <c r="R7" s="29">
        <f ca="1">ROUND('TUSD BE'!$AM$39+'TUSD BF_350'!$AM$39+'TUSD CVA'!$AM$39,2)</f>
        <v>301.74</v>
      </c>
      <c r="S7" s="29">
        <f ca="1">ROUND('TE BE'!$AB$17+'TE BF_350'!$AB$17+'TE CVA'!$AB$17,2)</f>
        <v>231.69</v>
      </c>
      <c r="T7" s="29">
        <v>0</v>
      </c>
      <c r="U7" s="29">
        <f ca="1">ROUND('TUSD BE'!$AM$39,2)</f>
        <v>252.59</v>
      </c>
      <c r="V7" s="29">
        <f>ROUND('TE BE'!$AB$17,2)</f>
        <v>231.21</v>
      </c>
    </row>
    <row r="8" spans="1:22" ht="11.25" customHeight="1" x14ac:dyDescent="0.3">
      <c r="A8" s="137"/>
      <c r="B8" s="137"/>
      <c r="C8" s="137"/>
      <c r="D8" s="31" t="s">
        <v>1041</v>
      </c>
      <c r="E8" s="29">
        <f ca="1">ROUND('TUSD BE'!$AM$6+'TUSD BF_350'!$AM$6+'TUSD CVA'!$AM$6,2)</f>
        <v>6.8</v>
      </c>
      <c r="F8" s="29">
        <f ca="1">ROUND('TUSD BE'!$AM$8+'TUSD BF_350'!$AM$8+'TUSD CVA'!$AM$8,2)</f>
        <v>10.5</v>
      </c>
      <c r="G8" s="29">
        <v>0</v>
      </c>
      <c r="H8" s="29">
        <f ca="1">ROUND('TUSD BE'!$AM$6,2)</f>
        <v>7.53</v>
      </c>
      <c r="I8" s="29">
        <f ca="1">ROUND('TUSD BE'!$AM$8,2)</f>
        <v>0.65</v>
      </c>
      <c r="J8" s="29">
        <v>0</v>
      </c>
      <c r="L8" s="142"/>
      <c r="M8" s="31" t="s">
        <v>1049</v>
      </c>
      <c r="N8" s="31" t="s">
        <v>1047</v>
      </c>
      <c r="O8" s="31" t="s">
        <v>1047</v>
      </c>
      <c r="P8" s="31" t="s">
        <v>1043</v>
      </c>
      <c r="Q8" s="29">
        <v>0</v>
      </c>
      <c r="R8" s="29">
        <f ca="1">ROUND('TUSD BE'!$AM$45+'TUSD BF_350'!$AM$45+'TUSD CVA'!$AM$45,2)</f>
        <v>409.13</v>
      </c>
      <c r="S8" s="29">
        <f ca="1">ROUND('TE BE'!$AB$23+'TE BF_350'!$AB$23+'TE CVA'!$AB$23,2)</f>
        <v>244</v>
      </c>
      <c r="T8" s="29">
        <v>0</v>
      </c>
      <c r="U8" s="29">
        <f ca="1">ROUND('TUSD BE'!$AM$45,2)</f>
        <v>356.45</v>
      </c>
      <c r="V8" s="29">
        <f>ROUND('TE BE'!$AB$23,2)</f>
        <v>242.94</v>
      </c>
    </row>
    <row r="9" spans="1:22" ht="11.25" customHeight="1" x14ac:dyDescent="0.3">
      <c r="A9" s="138" t="s">
        <v>60</v>
      </c>
      <c r="B9" s="138" t="s">
        <v>40</v>
      </c>
      <c r="C9" s="138" t="s">
        <v>25</v>
      </c>
      <c r="D9" s="31" t="s">
        <v>1040</v>
      </c>
      <c r="E9" s="29">
        <f ca="1">ROUND('TUSD BE'!$AM$9+'TUSD BF_350'!$AM$9+'TUSD CVA'!$AM$9,2)</f>
        <v>31.1</v>
      </c>
      <c r="F9" s="29">
        <f ca="1">ROUND('TUSD BE'!$AM$11+'TUSD BF_350'!$AM$11+'TUSD CVA'!$AM$11,2)</f>
        <v>92.28</v>
      </c>
      <c r="G9" s="29">
        <f ca="1">ROUND('TE BE'!$AB$7+'TE BF_350'!$AB$7+'TE CVA'!$AB$7,2)</f>
        <v>486.44</v>
      </c>
      <c r="H9" s="29">
        <f ca="1">ROUND('TUSD BE'!$AM$9,2)</f>
        <v>30.57</v>
      </c>
      <c r="I9" s="29">
        <f ca="1">ROUND('TUSD BE'!$AM$11,2)</f>
        <v>73.53</v>
      </c>
      <c r="J9" s="29">
        <f>ROUND('TE BE'!$AB$7,2)</f>
        <v>371.9</v>
      </c>
      <c r="L9" s="142"/>
      <c r="M9" s="31" t="s">
        <v>1051</v>
      </c>
      <c r="N9" s="31" t="s">
        <v>1047</v>
      </c>
      <c r="O9" s="31" t="s">
        <v>1047</v>
      </c>
      <c r="P9" s="31" t="s">
        <v>1043</v>
      </c>
      <c r="Q9" s="29">
        <v>0</v>
      </c>
      <c r="R9" s="29">
        <f ca="1">ROUND('TUSD BE'!$AM$40+'TUSD BF_350'!$AM$40+'TUSD CVA'!$AM$40,2)</f>
        <v>409.13</v>
      </c>
      <c r="S9" s="29">
        <f ca="1">ROUND('TE BE'!$AB$18+'TE BF_350'!$AB$18+'TE CVA'!$AB$18,2)</f>
        <v>244</v>
      </c>
      <c r="T9" s="29">
        <v>0</v>
      </c>
      <c r="U9" s="29">
        <f ca="1">ROUND('TUSD BE'!$AM$40,2)</f>
        <v>356.45</v>
      </c>
      <c r="V9" s="29">
        <f>ROUND('TE BE'!$AB$18,2)</f>
        <v>242.94</v>
      </c>
    </row>
    <row r="10" spans="1:22" ht="11.25" customHeight="1" x14ac:dyDescent="0.3">
      <c r="A10" s="137"/>
      <c r="B10" s="137"/>
      <c r="C10" s="137"/>
      <c r="D10" s="31" t="s">
        <v>1041</v>
      </c>
      <c r="E10" s="29">
        <f ca="1">ROUND('TUSD BE'!$AM$10+'TUSD BF_350'!$AM$10+'TUSD CVA'!$AM$10,2)</f>
        <v>12</v>
      </c>
      <c r="F10" s="29">
        <f ca="1">ROUND('TUSD BE'!$AM$11+'TUSD BF_350'!$AM$11+'TUSD CVA'!$AM$11,2)</f>
        <v>92.28</v>
      </c>
      <c r="G10" s="29">
        <f ca="1">ROUND('TE BE'!$AB$8+'TE BF_350'!$AB$8+'TE CVA'!$AB$8,2)</f>
        <v>299.18</v>
      </c>
      <c r="H10" s="29">
        <f ca="1">ROUND('TUSD BE'!$AM$10,2)</f>
        <v>11.62</v>
      </c>
      <c r="I10" s="29">
        <f ca="1">ROUND('TUSD BE'!$AM$11,2)</f>
        <v>73.53</v>
      </c>
      <c r="J10" s="29">
        <f>ROUND('TE BE'!$AB$8,2)</f>
        <v>231.21</v>
      </c>
      <c r="L10" s="142"/>
      <c r="M10" s="31" t="s">
        <v>1049</v>
      </c>
      <c r="N10" s="31" t="s">
        <v>1047</v>
      </c>
      <c r="O10" s="31" t="s">
        <v>1050</v>
      </c>
      <c r="P10" s="31" t="s">
        <v>1043</v>
      </c>
      <c r="Q10" s="29">
        <v>0</v>
      </c>
      <c r="R10" s="29">
        <f ca="1">ROUND('TUSD BE'!$AM$46+'TUSD BF_350'!$AM$46+'TUSD CVA'!$AM$46,2)</f>
        <v>301.37</v>
      </c>
      <c r="S10" s="29">
        <f ca="1">ROUND('TE BE'!$AB$24+'TE BF_350'!$AB$24+'TE CVA'!$AB$24,2)</f>
        <v>244</v>
      </c>
      <c r="T10" s="29">
        <v>0</v>
      </c>
      <c r="U10" s="29">
        <f ca="1">ROUND('TUSD BE'!$AM$46,2)</f>
        <v>249.4</v>
      </c>
      <c r="V10" s="29">
        <f>ROUND('TE BE'!$AB$24,2)</f>
        <v>242.94</v>
      </c>
    </row>
    <row r="11" spans="1:22" ht="11.25" customHeight="1" x14ac:dyDescent="0.3">
      <c r="A11" s="137"/>
      <c r="B11" s="138" t="s">
        <v>1042</v>
      </c>
      <c r="C11" s="138" t="s">
        <v>25</v>
      </c>
      <c r="D11" s="31" t="s">
        <v>1040</v>
      </c>
      <c r="E11" s="29">
        <f ca="1">ROUND('TUSD BE'!$AM$9+'TUSD BF_350'!$AM$9+'TUSD CVA'!$AM$9,2)</f>
        <v>31.1</v>
      </c>
      <c r="F11" s="29">
        <f ca="1">ROUND('TUSD BE'!$AM$12+'TUSD BF_350'!$AM$12+'TUSD CVA'!$AM$12,2)</f>
        <v>2.57</v>
      </c>
      <c r="G11" s="29">
        <v>0</v>
      </c>
      <c r="H11" s="29">
        <f ca="1">ROUND('TUSD BE'!$AM$9,2)</f>
        <v>30.57</v>
      </c>
      <c r="I11" s="29">
        <f ca="1">ROUND('TUSD BE'!$AM$12,2)</f>
        <v>1.98</v>
      </c>
      <c r="J11" s="29">
        <v>0</v>
      </c>
      <c r="L11" s="143"/>
      <c r="M11" s="31" t="s">
        <v>1051</v>
      </c>
      <c r="N11" s="31" t="s">
        <v>1047</v>
      </c>
      <c r="O11" s="31" t="s">
        <v>1050</v>
      </c>
      <c r="P11" s="31" t="s">
        <v>1043</v>
      </c>
      <c r="Q11" s="29">
        <v>0</v>
      </c>
      <c r="R11" s="29">
        <f ca="1">ROUND('TUSD BE'!$AM$41+'TUSD BF_350'!$AM$41+'TUSD CVA'!$AM$41,2)</f>
        <v>301.37</v>
      </c>
      <c r="S11" s="29">
        <f ca="1">ROUND('TE BE'!$AB$19+'TE BF_350'!$AB$19+'TE CVA'!$AB$19,2)</f>
        <v>244</v>
      </c>
      <c r="T11" s="29">
        <v>0</v>
      </c>
      <c r="U11" s="29">
        <f ca="1">ROUND('TUSD BE'!$AM$41,2)</f>
        <v>249.4</v>
      </c>
      <c r="V11" s="29">
        <f>ROUND('TE BE'!$AB$19,2)</f>
        <v>242.94</v>
      </c>
    </row>
    <row r="12" spans="1:22" ht="11.25" customHeight="1" x14ac:dyDescent="0.3">
      <c r="A12" s="137"/>
      <c r="B12" s="137"/>
      <c r="C12" s="137"/>
      <c r="D12" s="31" t="s">
        <v>1041</v>
      </c>
      <c r="E12" s="29">
        <f ca="1">ROUND('TUSD BE'!$AM$10+'TUSD BF_350'!$AM$10+'TUSD CVA'!$AM$10,2)</f>
        <v>12</v>
      </c>
      <c r="F12" s="29">
        <f ca="1">ROUND('TUSD BE'!$AM$12+'TUSD BF_350'!$AM$12+'TUSD CVA'!$AM$12,2)</f>
        <v>2.57</v>
      </c>
      <c r="G12" s="29">
        <v>0</v>
      </c>
      <c r="H12" s="29">
        <f ca="1">ROUND('TUSD BE'!$AM$10,2)</f>
        <v>11.62</v>
      </c>
      <c r="I12" s="29">
        <f ca="1">ROUND('TUSD BE'!$AM$12,2)</f>
        <v>1.98</v>
      </c>
      <c r="J12" s="29">
        <v>0</v>
      </c>
      <c r="L12" s="141" t="s">
        <v>44</v>
      </c>
      <c r="M12" s="141" t="s">
        <v>1046</v>
      </c>
      <c r="N12" s="141" t="s">
        <v>1052</v>
      </c>
      <c r="O12" s="141" t="s">
        <v>1053</v>
      </c>
      <c r="P12" s="31" t="s">
        <v>1040</v>
      </c>
      <c r="Q12" s="29">
        <v>0</v>
      </c>
      <c r="R12" s="29">
        <f ca="1">ROUND(('TUSD BE'!$AM$50+'TUSD BF_350'!$AM$50+'TUSD CVA'!$AM$50)*(1-CUSTOS!$M$38),2)</f>
        <v>877.58</v>
      </c>
      <c r="S12" s="29">
        <f ca="1">ROUND(('TE BE'!$AB$28+'TE BF_350'!$AB$28+'TE CVA'!$AB$28)*(1-CUSTOS!$M$38),2)</f>
        <v>356.55</v>
      </c>
      <c r="T12" s="29">
        <v>0</v>
      </c>
      <c r="U12" s="29">
        <f ca="1">ROUND('TUSD BE'!$AM$50*(1-CUSTOS!$M$38),2)</f>
        <v>740.12</v>
      </c>
      <c r="V12" s="29">
        <f>ROUND('TE BE'!$AB$28*(1-CUSTOS!$M$38),2)</f>
        <v>349.58</v>
      </c>
    </row>
    <row r="13" spans="1:22" ht="11.25" customHeight="1" x14ac:dyDescent="0.3">
      <c r="A13" s="137"/>
      <c r="B13" s="31" t="s">
        <v>57</v>
      </c>
      <c r="C13" s="31" t="s">
        <v>25</v>
      </c>
      <c r="D13" s="31" t="s">
        <v>1043</v>
      </c>
      <c r="E13" s="29">
        <f ca="1">ROUND('TUSD BE'!$AM$13+'TUSD BF_350'!$AM$13+'TUSD CVA'!$AM$13,2)</f>
        <v>11.6</v>
      </c>
      <c r="F13" s="29">
        <v>0</v>
      </c>
      <c r="G13" s="29">
        <v>0</v>
      </c>
      <c r="H13" s="29">
        <f>ROUND('TUSD BE'!$AM$13,2)</f>
        <v>10.97</v>
      </c>
      <c r="I13" s="29">
        <v>0</v>
      </c>
      <c r="J13" s="29">
        <v>0</v>
      </c>
      <c r="L13" s="142"/>
      <c r="M13" s="142"/>
      <c r="N13" s="142"/>
      <c r="O13" s="142"/>
      <c r="P13" s="31" t="s">
        <v>1048</v>
      </c>
      <c r="Q13" s="29">
        <v>0</v>
      </c>
      <c r="R13" s="29">
        <f ca="1">ROUND(('TUSD BE'!$AM$51+'TUSD BF_350'!$AM$51+'TUSD CVA'!$AM$51)*(1-CUSTOS!$M$38),2)</f>
        <v>586.47</v>
      </c>
      <c r="S13" s="29">
        <f ca="1">ROUND(('TE BE'!$AB$29+'TE BF_350'!$AB$29+'TE CVA'!$AB$29)*(1-CUSTOS!$M$38),2)</f>
        <v>217.79</v>
      </c>
      <c r="T13" s="29">
        <v>0</v>
      </c>
      <c r="U13" s="29">
        <f ca="1">ROUND('TUSD BE'!$AM$51*(1-CUSTOS!$M$38),2)</f>
        <v>495.01</v>
      </c>
      <c r="V13" s="29">
        <f>ROUND('TE BE'!$AB$29*(1-CUSTOS!$M$38),2)</f>
        <v>217.34</v>
      </c>
    </row>
    <row r="14" spans="1:22" ht="11.25" customHeight="1" x14ac:dyDescent="0.3">
      <c r="A14" s="138" t="s">
        <v>39</v>
      </c>
      <c r="B14" s="138" t="s">
        <v>40</v>
      </c>
      <c r="C14" s="138" t="s">
        <v>25</v>
      </c>
      <c r="D14" s="31" t="s">
        <v>1040</v>
      </c>
      <c r="E14" s="29">
        <f ca="1">ROUND('TUSD BE'!$AM$14+'TUSD BF_350'!$AM$14+'TUSD CVA'!$AM$14,2)</f>
        <v>40.96</v>
      </c>
      <c r="F14" s="29">
        <f ca="1">ROUND('TUSD BE'!$AM$16+'TUSD BF_350'!$AM$16+'TUSD CVA'!$AM$16,2)</f>
        <v>122.14</v>
      </c>
      <c r="G14" s="29">
        <f ca="1">ROUND('TE BE'!$AB$9+'TE BF_350'!$AB$9+'TE CVA'!$AB$9,2)</f>
        <v>379.31</v>
      </c>
      <c r="H14" s="29">
        <f ca="1">ROUND('TUSD BE'!$AM$14,2)</f>
        <v>40.479999999999997</v>
      </c>
      <c r="I14" s="29">
        <f ca="1">ROUND('TUSD BE'!$AM$16,2)</f>
        <v>97.78</v>
      </c>
      <c r="J14" s="29">
        <f>ROUND('TE BE'!$AB$9,2)</f>
        <v>371.9</v>
      </c>
      <c r="L14" s="142"/>
      <c r="M14" s="143"/>
      <c r="N14" s="143"/>
      <c r="O14" s="143"/>
      <c r="P14" s="31" t="s">
        <v>1041</v>
      </c>
      <c r="Q14" s="29">
        <v>0</v>
      </c>
      <c r="R14" s="29">
        <f ca="1">ROUND(('TUSD BE'!$AM$52+'TUSD BF_350'!$AM$52+'TUSD CVA'!$AM$52)*(1-CUSTOS!$M$38),2)</f>
        <v>295.37</v>
      </c>
      <c r="S14" s="29">
        <f ca="1">ROUND(('TE BE'!$AB$30+'TE BF_350'!$AB$30+'TE CVA'!$AB$30)*(1-CUSTOS!$M$38),2)</f>
        <v>217.79</v>
      </c>
      <c r="T14" s="29">
        <v>0</v>
      </c>
      <c r="U14" s="29">
        <f ca="1">ROUND('TUSD BE'!$AM$52*(1-CUSTOS!$M$38),2)</f>
        <v>249.89</v>
      </c>
      <c r="V14" s="29">
        <f>ROUND('TE BE'!$AB$30*(1-CUSTOS!$M$38),2)</f>
        <v>217.34</v>
      </c>
    </row>
    <row r="15" spans="1:22" ht="11.25" customHeight="1" x14ac:dyDescent="0.3">
      <c r="A15" s="137"/>
      <c r="B15" s="137"/>
      <c r="C15" s="137"/>
      <c r="D15" s="31" t="s">
        <v>1041</v>
      </c>
      <c r="E15" s="29">
        <f ca="1">ROUND('TUSD BE'!$AM$15+'TUSD BF_350'!$AM$15+'TUSD CVA'!$AM$15,2)</f>
        <v>16.04</v>
      </c>
      <c r="F15" s="29">
        <f ca="1">ROUND('TUSD BE'!$AM$16+'TUSD BF_350'!$AM$16+'TUSD CVA'!$AM$16,2)</f>
        <v>122.14</v>
      </c>
      <c r="G15" s="29">
        <f ca="1">ROUND('TE BE'!$AB$10+'TE BF_350'!$AB$10+'TE CVA'!$AB$10,2)</f>
        <v>231.69</v>
      </c>
      <c r="H15" s="29">
        <f ca="1">ROUND('TUSD BE'!$AM$15,2)</f>
        <v>15.7</v>
      </c>
      <c r="I15" s="29">
        <f ca="1">ROUND('TUSD BE'!$AM$16,2)</f>
        <v>97.78</v>
      </c>
      <c r="J15" s="29">
        <f>ROUND('TE BE'!$AB$10,2)</f>
        <v>231.21</v>
      </c>
      <c r="L15" s="142"/>
      <c r="M15" s="31" t="s">
        <v>1049</v>
      </c>
      <c r="N15" s="31" t="s">
        <v>1052</v>
      </c>
      <c r="O15" s="31" t="s">
        <v>1053</v>
      </c>
      <c r="P15" s="31" t="s">
        <v>1043</v>
      </c>
      <c r="Q15" s="29">
        <v>0</v>
      </c>
      <c r="R15" s="29">
        <f ca="1">ROUND(('TUSD BE'!$AM$62+'TUSD BF_350'!$AM$62+'TUSD CVA'!$AM$62)*(1-CUSTOS!$M$38),2)</f>
        <v>384.58</v>
      </c>
      <c r="S15" s="29">
        <f ca="1">ROUND(('TE BE'!$AB$40+'TE BF_350'!$AB$40+'TE CVA'!$AB$40)*(1-CUSTOS!$M$38),2)</f>
        <v>229.36</v>
      </c>
      <c r="T15" s="29">
        <v>0</v>
      </c>
      <c r="U15" s="29">
        <f ca="1">ROUND(('TUSD BE'!$AM$62)*(1-CUSTOS!$M$38),2)</f>
        <v>335.06</v>
      </c>
      <c r="V15" s="29">
        <f>ROUND(('TE BE'!$AB$40)*(1-CUSTOS!$M$38),2)</f>
        <v>228.36</v>
      </c>
    </row>
    <row r="16" spans="1:22" ht="11.25" customHeight="1" x14ac:dyDescent="0.3">
      <c r="A16" s="137"/>
      <c r="B16" s="138" t="s">
        <v>1042</v>
      </c>
      <c r="C16" s="138" t="s">
        <v>25</v>
      </c>
      <c r="D16" s="31" t="s">
        <v>1040</v>
      </c>
      <c r="E16" s="29">
        <f ca="1">ROUND('TUSD BE'!$AM$14+'TUSD BF_350'!$AM$14+'TUSD CVA'!$AM$14,2)</f>
        <v>40.96</v>
      </c>
      <c r="F16" s="29">
        <f ca="1">ROUND('TUSD BE'!$AM$17+'TUSD BF_350'!$AM$17+'TUSD CVA'!$AM$17,2)</f>
        <v>7.18</v>
      </c>
      <c r="G16" s="29">
        <v>0</v>
      </c>
      <c r="H16" s="29">
        <f ca="1">ROUND('TUSD BE'!$AM$14,2)</f>
        <v>40.479999999999997</v>
      </c>
      <c r="I16" s="29">
        <f ca="1">ROUND('TUSD BE'!$AM$17,2)</f>
        <v>5.67</v>
      </c>
      <c r="J16" s="29">
        <v>0</v>
      </c>
      <c r="L16" s="142"/>
      <c r="M16" s="31" t="s">
        <v>1051</v>
      </c>
      <c r="N16" s="31" t="s">
        <v>1052</v>
      </c>
      <c r="O16" s="31" t="s">
        <v>1053</v>
      </c>
      <c r="P16" s="31" t="s">
        <v>1043</v>
      </c>
      <c r="Q16" s="29">
        <v>0</v>
      </c>
      <c r="R16" s="29">
        <f ca="1">ROUND(('TUSD BE'!$AM$53+'TUSD BF_350'!$AM$53+'TUSD CVA'!$AM$53)*(1-CUSTOS!$M$38),2)</f>
        <v>384.58</v>
      </c>
      <c r="S16" s="29">
        <f ca="1">ROUND(('TE BE'!$AB$31+'TE BF_350'!$AB$31+'TE CVA'!$AB$31)*(1-CUSTOS!$M$38),2)</f>
        <v>229.36</v>
      </c>
      <c r="T16" s="29">
        <v>0</v>
      </c>
      <c r="U16" s="29">
        <f ca="1">ROUND(('TUSD BE'!$AM$53)*(1-CUSTOS!$M$38),2)</f>
        <v>335.06</v>
      </c>
      <c r="V16" s="29">
        <f>ROUND(('TE BE'!$AB$31)*(1-CUSTOS!$M$38),2)</f>
        <v>228.36</v>
      </c>
    </row>
    <row r="17" spans="1:22" ht="11.25" customHeight="1" x14ac:dyDescent="0.3">
      <c r="A17" s="137"/>
      <c r="B17" s="137"/>
      <c r="C17" s="137"/>
      <c r="D17" s="31" t="s">
        <v>1041</v>
      </c>
      <c r="E17" s="29">
        <f ca="1">ROUND('TUSD BE'!$AM$15+'TUSD BF_350'!$AM$15+'TUSD CVA'!$AM$15,2)</f>
        <v>16.04</v>
      </c>
      <c r="F17" s="29">
        <f ca="1">ROUND('TUSD BE'!$AM$17+'TUSD BF_350'!$AM$17+'TUSD CVA'!$AM$17,2)</f>
        <v>7.18</v>
      </c>
      <c r="G17" s="29">
        <v>0</v>
      </c>
      <c r="H17" s="29">
        <f ca="1">ROUND('TUSD BE'!$AM$15,2)</f>
        <v>15.7</v>
      </c>
      <c r="I17" s="29">
        <f ca="1">ROUND('TUSD BE'!$AM$17,2)</f>
        <v>5.67</v>
      </c>
      <c r="J17" s="29">
        <v>0</v>
      </c>
      <c r="L17" s="142"/>
      <c r="M17" s="141" t="s">
        <v>1046</v>
      </c>
      <c r="N17" s="141" t="s">
        <v>1052</v>
      </c>
      <c r="O17" s="141" t="s">
        <v>1054</v>
      </c>
      <c r="P17" s="31" t="s">
        <v>1040</v>
      </c>
      <c r="Q17" s="29">
        <v>0</v>
      </c>
      <c r="R17" s="29">
        <f ca="1">ROUND(('TUSD BE'!$AM$54+'TUSD BF_350'!$AM$54+'TUSD CVA'!$AM$54)*(1-CUSTOS!$M$39),2)</f>
        <v>877.58</v>
      </c>
      <c r="S17" s="29">
        <f ca="1">ROUND(('TE BE'!$AB$32+'TE BF_350'!$AB$32+'TE CVA'!$AB$32)*(1-CUSTOS!$M$39),2)</f>
        <v>356.55</v>
      </c>
      <c r="T17" s="29">
        <v>0</v>
      </c>
      <c r="U17" s="29">
        <f ca="1">ROUND('TUSD BE'!$AM$54*(1-CUSTOS!$M$39),2)</f>
        <v>740.12</v>
      </c>
      <c r="V17" s="29">
        <f>ROUND('TE BE'!$AB$32*(1-CUSTOS!$M$39),2)</f>
        <v>349.58</v>
      </c>
    </row>
    <row r="18" spans="1:22" ht="11.25" customHeight="1" x14ac:dyDescent="0.3">
      <c r="A18" s="137"/>
      <c r="B18" s="138" t="s">
        <v>41</v>
      </c>
      <c r="C18" s="138" t="s">
        <v>25</v>
      </c>
      <c r="D18" s="31" t="s">
        <v>1043</v>
      </c>
      <c r="E18" s="29">
        <f ca="1">ROUND('TUSD BE'!$AM$19+'TUSD BF_350'!$AM$19+'TUSD CVA'!$AM$19,2)</f>
        <v>16.04</v>
      </c>
      <c r="F18" s="29">
        <v>0</v>
      </c>
      <c r="G18" s="29">
        <v>0</v>
      </c>
      <c r="H18" s="29">
        <f ca="1">ROUND('TUSD BE'!$AM$19,2)</f>
        <v>15.7</v>
      </c>
      <c r="I18" s="29">
        <v>0</v>
      </c>
      <c r="J18" s="29">
        <v>0</v>
      </c>
      <c r="L18" s="142"/>
      <c r="M18" s="142"/>
      <c r="N18" s="142"/>
      <c r="O18" s="142"/>
      <c r="P18" s="31" t="s">
        <v>1048</v>
      </c>
      <c r="Q18" s="29">
        <v>0</v>
      </c>
      <c r="R18" s="29">
        <f ca="1">ROUND(('TUSD BE'!$AM$55+'TUSD BF_350'!$AM$55+'TUSD CVA'!$AM$55)*(1-CUSTOS!$M$39),2)</f>
        <v>586.47</v>
      </c>
      <c r="S18" s="29">
        <f ca="1">ROUND(('TE BE'!$AB$33+'TE BF_350'!$AB$33+'TE CVA'!$AB$33)*(1-CUSTOS!$M$39),2)</f>
        <v>217.79</v>
      </c>
      <c r="T18" s="29">
        <v>0</v>
      </c>
      <c r="U18" s="29">
        <f ca="1">ROUND('TUSD BE'!$AM$55*(1-CUSTOS!$M$39),2)</f>
        <v>495.01</v>
      </c>
      <c r="V18" s="29">
        <f>ROUND('TE BE'!$AB$33*(1-CUSTOS!$M$39),2)</f>
        <v>217.34</v>
      </c>
    </row>
    <row r="19" spans="1:22" ht="11.25" customHeight="1" x14ac:dyDescent="0.3">
      <c r="A19" s="137"/>
      <c r="B19" s="137"/>
      <c r="C19" s="137"/>
      <c r="D19" s="31" t="s">
        <v>1040</v>
      </c>
      <c r="E19" s="29">
        <v>0</v>
      </c>
      <c r="F19" s="29">
        <f ca="1">ROUND('TUSD BE'!$AM$20+'TUSD BF_350'!$AM$20+'TUSD CVA'!$AM$20,2)</f>
        <v>1117.83</v>
      </c>
      <c r="G19" s="29">
        <f ca="1">ROUND('TE BE'!$AB$9+'TE BF_350'!$AB$9+'TE CVA'!$AB$9,2)</f>
        <v>379.31</v>
      </c>
      <c r="H19" s="29">
        <v>0</v>
      </c>
      <c r="I19" s="29">
        <f ca="1">ROUND('TUSD BE'!$AM$20,2)</f>
        <v>1081.9100000000001</v>
      </c>
      <c r="J19" s="29">
        <f>ROUND('TE BE'!$AB$9,2)</f>
        <v>371.9</v>
      </c>
      <c r="L19" s="142"/>
      <c r="M19" s="143"/>
      <c r="N19" s="143"/>
      <c r="O19" s="143"/>
      <c r="P19" s="31" t="s">
        <v>1041</v>
      </c>
      <c r="Q19" s="29">
        <v>0</v>
      </c>
      <c r="R19" s="29">
        <f ca="1">ROUND(('TUSD BE'!$AM$56+'TUSD BF_350'!$AM$56+'TUSD CVA'!$AM$56)*(1-CUSTOS!$M$39),2)</f>
        <v>295.37</v>
      </c>
      <c r="S19" s="29">
        <f ca="1">ROUND(('TE BE'!$AB$34+'TE BF_350'!$AB$34+'TE CVA'!$AB$34)*(1-CUSTOS!$M$39),2)</f>
        <v>217.79</v>
      </c>
      <c r="T19" s="29">
        <v>0</v>
      </c>
      <c r="U19" s="29">
        <f ca="1">ROUND('TUSD BE'!$AM$56*(1-CUSTOS!$M$39),2)</f>
        <v>249.89</v>
      </c>
      <c r="V19" s="29">
        <f>ROUND('TE BE'!$AB$34*(1-CUSTOS!$M$39),2)</f>
        <v>217.34</v>
      </c>
    </row>
    <row r="20" spans="1:22" ht="11.25" customHeight="1" x14ac:dyDescent="0.3">
      <c r="A20" s="137"/>
      <c r="B20" s="137"/>
      <c r="C20" s="137"/>
      <c r="D20" s="31" t="s">
        <v>1041</v>
      </c>
      <c r="E20" s="29">
        <v>0</v>
      </c>
      <c r="F20" s="29">
        <f ca="1">ROUND('TUSD BE'!$AM$21+'TUSD BF_350'!$AM$21+'TUSD CVA'!$AM$21,2)</f>
        <v>122.14</v>
      </c>
      <c r="G20" s="29">
        <f ca="1">ROUND('TE BE'!$AB$10+'TE BF_350'!$AB$10+'TE CVA'!$AB$10,2)</f>
        <v>231.69</v>
      </c>
      <c r="H20" s="29">
        <v>0</v>
      </c>
      <c r="I20" s="29">
        <f ca="1">ROUND('TUSD BE'!$AM$21,2)</f>
        <v>97.78</v>
      </c>
      <c r="J20" s="29">
        <f>ROUND('TE BE'!$AB$10,2)</f>
        <v>231.21</v>
      </c>
      <c r="L20" s="142"/>
      <c r="M20" s="31" t="s">
        <v>1049</v>
      </c>
      <c r="N20" s="31" t="s">
        <v>1052</v>
      </c>
      <c r="O20" s="31" t="s">
        <v>1054</v>
      </c>
      <c r="P20" s="31" t="s">
        <v>1043</v>
      </c>
      <c r="Q20" s="29">
        <v>0</v>
      </c>
      <c r="R20" s="29">
        <f ca="1">ROUND(('TUSD BE'!$AM$62+'TUSD BF_350'!$AM$62+'TUSD CVA'!$AM$62)*(1-CUSTOS!$M$39),2)</f>
        <v>384.58</v>
      </c>
      <c r="S20" s="29">
        <f ca="1">ROUND(('TE BE'!$AB$40+'TE BF_350'!$AB$40+'TE CVA'!$AB$40)*(1-CUSTOS!$M$39),2)</f>
        <v>229.36</v>
      </c>
      <c r="T20" s="29">
        <v>0</v>
      </c>
      <c r="U20" s="29">
        <f ca="1">ROUND(('TUSD BE'!$AM$62)*(1-CUSTOS!$M$39),2)</f>
        <v>335.06</v>
      </c>
      <c r="V20" s="29">
        <f>ROUND(('TE BE'!$AB$40)*(1-CUSTOS!$M$39),2)</f>
        <v>228.36</v>
      </c>
    </row>
    <row r="21" spans="1:22" ht="11.25" customHeight="1" x14ac:dyDescent="0.3">
      <c r="A21" s="137"/>
      <c r="B21" s="138" t="s">
        <v>1044</v>
      </c>
      <c r="C21" s="138" t="s">
        <v>25</v>
      </c>
      <c r="D21" s="31" t="s">
        <v>1043</v>
      </c>
      <c r="E21" s="29">
        <f ca="1">ROUND('TUSD BE'!$AM$19+'TUSD BF_350'!$AM$19+'TUSD CVA'!$AM$19,2)</f>
        <v>16.04</v>
      </c>
      <c r="F21" s="29">
        <v>0</v>
      </c>
      <c r="G21" s="29">
        <v>0</v>
      </c>
      <c r="H21" s="29">
        <f ca="1">ROUND('TUSD BE'!$AM$19,2)</f>
        <v>15.7</v>
      </c>
      <c r="I21" s="29">
        <v>0</v>
      </c>
      <c r="J21" s="29">
        <v>0</v>
      </c>
      <c r="L21" s="142"/>
      <c r="M21" s="31" t="s">
        <v>1051</v>
      </c>
      <c r="N21" s="31" t="s">
        <v>1052</v>
      </c>
      <c r="O21" s="31" t="s">
        <v>1054</v>
      </c>
      <c r="P21" s="31" t="s">
        <v>1043</v>
      </c>
      <c r="Q21" s="29">
        <v>0</v>
      </c>
      <c r="R21" s="29">
        <f ca="1">ROUND(('TUSD BE'!$AM$53+'TUSD BF_350'!$AM$53+'TUSD CVA'!$AM$53)*(1-CUSTOS!$M$39),2)</f>
        <v>384.58</v>
      </c>
      <c r="S21" s="29">
        <f ca="1">ROUND(('TE BE'!$AB$31+'TE BF_350'!$AB$31+'TE CVA'!$AB$31)*(1-CUSTOS!$M$39),2)</f>
        <v>229.36</v>
      </c>
      <c r="T21" s="29">
        <v>0</v>
      </c>
      <c r="U21" s="29">
        <f ca="1">ROUND(('TUSD BE'!$AM$53)*(1-CUSTOS!$M$39),2)</f>
        <v>335.06</v>
      </c>
      <c r="V21" s="29">
        <f>ROUND(('TE BE'!$AB$31)*(1-CUSTOS!$M$39),2)</f>
        <v>228.36</v>
      </c>
    </row>
    <row r="22" spans="1:22" ht="11.25" customHeight="1" x14ac:dyDescent="0.3">
      <c r="A22" s="137"/>
      <c r="B22" s="137"/>
      <c r="C22" s="137"/>
      <c r="D22" s="31" t="s">
        <v>1040</v>
      </c>
      <c r="E22" s="29">
        <v>0</v>
      </c>
      <c r="F22" s="29">
        <f ca="1">ROUND('TUSD BE'!$AM$22+'TUSD BF_350'!$AM$22+'TUSD CVA'!$AM$22,2)</f>
        <v>1002.86</v>
      </c>
      <c r="G22" s="29">
        <v>0</v>
      </c>
      <c r="H22" s="29">
        <v>0</v>
      </c>
      <c r="I22" s="29">
        <f ca="1">ROUND('TUSD BE'!$AM$22,2)</f>
        <v>989.81</v>
      </c>
      <c r="J22" s="29">
        <v>0</v>
      </c>
      <c r="L22" s="142"/>
      <c r="M22" s="141" t="s">
        <v>1046</v>
      </c>
      <c r="N22" s="141" t="s">
        <v>1052</v>
      </c>
      <c r="O22" s="141" t="s">
        <v>1055</v>
      </c>
      <c r="P22" s="31" t="s">
        <v>1040</v>
      </c>
      <c r="Q22" s="29">
        <v>0</v>
      </c>
      <c r="R22" s="29">
        <f ca="1">ROUND(('TUSD BE'!$AM$58+'TUSD BF_350'!$AM$58+'TUSD CVA'!$AM$58)*(1-CUSTOS!$M$40),2)</f>
        <v>858.91</v>
      </c>
      <c r="S22" s="29">
        <f ca="1">ROUND(('TE BE'!$AB$36+'TE BF_350'!$AB$36+'TE CVA'!$AB$36)*(1-CUSTOS!$M$40),2)</f>
        <v>348.97</v>
      </c>
      <c r="T22" s="29">
        <v>0</v>
      </c>
      <c r="U22" s="29">
        <f ca="1">ROUND('TUSD BE'!$AM$58*(1-CUSTOS!$M$40),2)</f>
        <v>724.37</v>
      </c>
      <c r="V22" s="29">
        <f>ROUND('TE BE'!$AB$36*(1-CUSTOS!$M$40),2)</f>
        <v>342.14</v>
      </c>
    </row>
    <row r="23" spans="1:22" ht="11.25" customHeight="1" x14ac:dyDescent="0.3">
      <c r="A23" s="137"/>
      <c r="B23" s="137"/>
      <c r="C23" s="137"/>
      <c r="D23" s="31" t="s">
        <v>1041</v>
      </c>
      <c r="E23" s="29">
        <v>0</v>
      </c>
      <c r="F23" s="29">
        <f ca="1">ROUND('TUSD BE'!$AM$23+'TUSD BF_350'!$AM$23+'TUSD CVA'!$AM$23,2)</f>
        <v>7.18</v>
      </c>
      <c r="G23" s="29">
        <v>0</v>
      </c>
      <c r="H23" s="29">
        <v>0</v>
      </c>
      <c r="I23" s="29">
        <f ca="1">ROUND('TUSD BE'!$AM$23,2)</f>
        <v>5.67</v>
      </c>
      <c r="J23" s="29">
        <v>0</v>
      </c>
      <c r="L23" s="142"/>
      <c r="M23" s="142"/>
      <c r="N23" s="142"/>
      <c r="O23" s="142"/>
      <c r="P23" s="31" t="s">
        <v>1048</v>
      </c>
      <c r="Q23" s="29">
        <v>0</v>
      </c>
      <c r="R23" s="29">
        <f ca="1">ROUND(('TUSD BE'!$AM$59+'TUSD BF_350'!$AM$59+'TUSD CVA'!$AM$59)*(1-CUSTOS!$M$40),2)</f>
        <v>573.99</v>
      </c>
      <c r="S23" s="29">
        <f ca="1">ROUND(('TE BE'!$AB$37+'TE BF_350'!$AB$37+'TE CVA'!$AB$37)*(1-CUSTOS!$M$40),2)</f>
        <v>213.15</v>
      </c>
      <c r="T23" s="29">
        <v>0</v>
      </c>
      <c r="U23" s="29">
        <f ca="1">ROUND('TUSD BE'!$AM$59*(1-CUSTOS!$M$40),2)</f>
        <v>484.47</v>
      </c>
      <c r="V23" s="29">
        <f>ROUND('TE BE'!$AB$37*(1-CUSTOS!$M$40),2)</f>
        <v>212.72</v>
      </c>
    </row>
    <row r="24" spans="1:22" ht="11.25" customHeight="1" x14ac:dyDescent="0.3">
      <c r="A24" s="137"/>
      <c r="B24" s="31" t="s">
        <v>57</v>
      </c>
      <c r="C24" s="31" t="s">
        <v>25</v>
      </c>
      <c r="D24" s="31" t="s">
        <v>1043</v>
      </c>
      <c r="E24" s="29">
        <f ca="1">ROUND('TUSD BE'!$AM$18+'TUSD BF_350'!$AM$18+'TUSD CVA'!$AM$18,2)</f>
        <v>3.74</v>
      </c>
      <c r="F24" s="29">
        <v>0</v>
      </c>
      <c r="G24" s="29">
        <v>0</v>
      </c>
      <c r="H24" s="29">
        <f ca="1">ROUND('TUSD BE'!$AM$18,2)</f>
        <v>3.74</v>
      </c>
      <c r="I24" s="29">
        <v>0</v>
      </c>
      <c r="J24" s="29">
        <v>0</v>
      </c>
      <c r="L24" s="142"/>
      <c r="M24" s="143"/>
      <c r="N24" s="143"/>
      <c r="O24" s="143"/>
      <c r="P24" s="31" t="s">
        <v>1041</v>
      </c>
      <c r="Q24" s="29">
        <v>0</v>
      </c>
      <c r="R24" s="29">
        <f ca="1">ROUND(('TUSD BE'!$AM$60+'TUSD BF_350'!$AM$60+'TUSD CVA'!$AM$60)*(1-CUSTOS!$M$40),2)</f>
        <v>289.08</v>
      </c>
      <c r="S24" s="29">
        <f ca="1">ROUND(('TE BE'!$AB$38+'TE BF_350'!$AB$38+'TE CVA'!$AB$38)*(1-CUSTOS!$M$40),2)</f>
        <v>213.15</v>
      </c>
      <c r="T24" s="29">
        <v>0</v>
      </c>
      <c r="U24" s="29">
        <f ca="1">ROUND('TUSD BE'!$AM$60*(1-CUSTOS!$M$40),2)</f>
        <v>244.58</v>
      </c>
      <c r="V24" s="29">
        <f>ROUND('TE BE'!$AB$38*(1-CUSTOS!$M$40),2)</f>
        <v>212.72</v>
      </c>
    </row>
    <row r="25" spans="1:22" ht="11.25" customHeight="1" x14ac:dyDescent="0.3">
      <c r="A25" s="138" t="s">
        <v>43</v>
      </c>
      <c r="B25" s="138" t="s">
        <v>40</v>
      </c>
      <c r="C25" s="138" t="s">
        <v>25</v>
      </c>
      <c r="D25" s="31" t="s">
        <v>1040</v>
      </c>
      <c r="E25" s="29">
        <f ca="1">ROUND('TUSD BE'!$AM$24+'TUSD BF_350'!$AM$24+'TUSD CVA'!$AM$24,2)</f>
        <v>70.69</v>
      </c>
      <c r="F25" s="29">
        <f ca="1">ROUND('TUSD BE'!$AM$26+'TUSD BF_350'!$AM$26+'TUSD CVA'!$AM$26,2)</f>
        <v>170.2</v>
      </c>
      <c r="G25" s="29">
        <f ca="1">ROUND('TE BE'!$AB$12+'TE BF_350'!$AB$12+'TE CVA'!$AB$12,2)</f>
        <v>379.31</v>
      </c>
      <c r="H25" s="29">
        <f ca="1">ROUND('TUSD BE'!$AM$24,2)</f>
        <v>70.209999999999994</v>
      </c>
      <c r="I25" s="29">
        <f ca="1">ROUND('TUSD BE'!$AM$26,2)</f>
        <v>135.65</v>
      </c>
      <c r="J25" s="29">
        <f>ROUND('TE BE'!$AB$12,2)</f>
        <v>371.9</v>
      </c>
      <c r="L25" s="142"/>
      <c r="M25" s="31" t="s">
        <v>1049</v>
      </c>
      <c r="N25" s="31" t="s">
        <v>1052</v>
      </c>
      <c r="O25" s="31" t="s">
        <v>1055</v>
      </c>
      <c r="P25" s="31" t="s">
        <v>1043</v>
      </c>
      <c r="Q25" s="29">
        <v>0</v>
      </c>
      <c r="R25" s="29">
        <f ca="1">ROUND(('TUSD BE'!$AM$62+'TUSD BF_350'!$AM$62+'TUSD CVA'!$AM$62)*(1-CUSTOS!$M$40),2)</f>
        <v>376.4</v>
      </c>
      <c r="S25" s="29">
        <f ca="1">ROUND(('TE BE'!$AB$40+'TE BF_350'!$AB$40+'TE CVA'!$AB$40)*(1-CUSTOS!$M$40),2)</f>
        <v>224.48</v>
      </c>
      <c r="T25" s="29">
        <v>0</v>
      </c>
      <c r="U25" s="29">
        <f ca="1">ROUND(('TUSD BE'!$AM$62)*(1-CUSTOS!$M$40),2)</f>
        <v>327.93</v>
      </c>
      <c r="V25" s="29">
        <f>ROUND(('TE BE'!$AB$40)*(1-CUSTOS!$M$40),2)</f>
        <v>223.5</v>
      </c>
    </row>
    <row r="26" spans="1:22" ht="11.25" customHeight="1" x14ac:dyDescent="0.3">
      <c r="A26" s="137"/>
      <c r="B26" s="137"/>
      <c r="C26" s="137"/>
      <c r="D26" s="31" t="s">
        <v>1041</v>
      </c>
      <c r="E26" s="29">
        <f ca="1">ROUND('TUSD BE'!$AM$25+'TUSD BF_350'!$AM$25+'TUSD CVA'!$AM$25,2)</f>
        <v>13.46</v>
      </c>
      <c r="F26" s="29">
        <f ca="1">ROUND('TUSD BE'!$AM$26+'TUSD BF_350'!$AM$26+'TUSD CVA'!$AM$26,2)</f>
        <v>170.2</v>
      </c>
      <c r="G26" s="29">
        <f ca="1">ROUND('TE BE'!$AB$13+'TE BF_350'!$AB$13+'TE CVA'!$AB$13,2)</f>
        <v>231.69</v>
      </c>
      <c r="H26" s="29">
        <f ca="1">ROUND('TUSD BE'!$AM$25,2)</f>
        <v>13.02</v>
      </c>
      <c r="I26" s="29">
        <f ca="1">ROUND('TUSD BE'!$AM$26,2)</f>
        <v>135.65</v>
      </c>
      <c r="J26" s="29">
        <f>ROUND('TE BE'!$AB$13,2)</f>
        <v>231.21</v>
      </c>
      <c r="L26" s="143"/>
      <c r="M26" s="31" t="s">
        <v>1051</v>
      </c>
      <c r="N26" s="31" t="s">
        <v>1052</v>
      </c>
      <c r="O26" s="31" t="s">
        <v>1055</v>
      </c>
      <c r="P26" s="31" t="s">
        <v>1043</v>
      </c>
      <c r="Q26" s="29">
        <v>0</v>
      </c>
      <c r="R26" s="29">
        <f ca="1">ROUND(('TUSD BE'!$AM$53+'TUSD BF_350'!$AM$53+'TUSD CVA'!$AM$53)*(1-CUSTOS!$M$40),2)</f>
        <v>376.4</v>
      </c>
      <c r="S26" s="29">
        <f ca="1">ROUND(('TE BE'!$AB$31+'TE BF_350'!$AB$31+'TE CVA'!$AB$31)*(1-CUSTOS!$M$40),2)</f>
        <v>224.48</v>
      </c>
      <c r="T26" s="29">
        <v>0</v>
      </c>
      <c r="U26" s="29">
        <f ca="1">ROUND(('TUSD BE'!$AM$53)*(1-CUSTOS!$M$40),2)</f>
        <v>327.93</v>
      </c>
      <c r="V26" s="29">
        <f>ROUND(('TE BE'!$AB$31)*(1-CUSTOS!$M$40),2)</f>
        <v>223.5</v>
      </c>
    </row>
    <row r="27" spans="1:22" ht="11.25" customHeight="1" x14ac:dyDescent="0.3">
      <c r="A27" s="137"/>
      <c r="B27" s="138" t="s">
        <v>1042</v>
      </c>
      <c r="C27" s="138" t="s">
        <v>25</v>
      </c>
      <c r="D27" s="31" t="s">
        <v>1040</v>
      </c>
      <c r="E27" s="29">
        <f ca="1">ROUND('TUSD BE'!$AM$24+'TUSD BF_350'!$AM$24+'TUSD CVA'!$AM$24,2)</f>
        <v>70.69</v>
      </c>
      <c r="F27" s="29">
        <f ca="1">ROUND('TUSD BE'!$AM$27+'TUSD BF_350'!$AM$27+'TUSD CVA'!$AM$27,2)</f>
        <v>36.869999999999997</v>
      </c>
      <c r="G27" s="29">
        <v>0</v>
      </c>
      <c r="H27" s="29">
        <f ca="1">ROUND('TUSD BE'!$AM$24,2)</f>
        <v>70.209999999999994</v>
      </c>
      <c r="I27" s="29">
        <f ca="1">ROUND('TUSD BE'!$AM$27,2)</f>
        <v>28.6</v>
      </c>
      <c r="J27" s="29">
        <v>0</v>
      </c>
      <c r="L27" s="141" t="s">
        <v>37</v>
      </c>
      <c r="M27" s="141" t="s">
        <v>1046</v>
      </c>
      <c r="N27" s="141" t="s">
        <v>1043</v>
      </c>
      <c r="O27" s="141" t="s">
        <v>1043</v>
      </c>
      <c r="P27" s="31" t="s">
        <v>1040</v>
      </c>
      <c r="Q27" s="29">
        <v>0</v>
      </c>
      <c r="R27" s="29">
        <f ca="1">ROUND(('TUSD BE'!$AM$65+'TUSD BF_350'!$AM$65+'TUSD CVA'!$AM$65)*(1-CUSTOS!$M$31),2)</f>
        <v>921.1</v>
      </c>
      <c r="S27" s="29">
        <f ca="1">ROUND(('TE BE'!$AB$43+'TE BF_350'!$AB$43+'TE CVA'!$AB$43)*(1-CUSTOS!$M$31),2)</f>
        <v>379.31</v>
      </c>
      <c r="T27" s="29">
        <v>0</v>
      </c>
      <c r="U27" s="29">
        <f ca="1">ROUND('TUSD BE'!$AM$65*(1-CUSTOS!$M$31),2)</f>
        <v>864.7</v>
      </c>
      <c r="V27" s="29">
        <f>ROUND('TE BE'!$AB$43*(1-CUSTOS!$M$31),2)</f>
        <v>371.9</v>
      </c>
    </row>
    <row r="28" spans="1:22" ht="11.25" customHeight="1" x14ac:dyDescent="0.3">
      <c r="A28" s="137"/>
      <c r="B28" s="137"/>
      <c r="C28" s="137"/>
      <c r="D28" s="31" t="s">
        <v>1041</v>
      </c>
      <c r="E28" s="29">
        <f ca="1">ROUND('TUSD BE'!$AM$25+'TUSD BF_350'!$AM$25+'TUSD CVA'!$AM$25,2)</f>
        <v>13.46</v>
      </c>
      <c r="F28" s="29">
        <f ca="1">ROUND('TUSD BE'!$AM$27+'TUSD BF_350'!$AM$27+'TUSD CVA'!$AM$27,2)</f>
        <v>36.869999999999997</v>
      </c>
      <c r="G28" s="29">
        <v>0</v>
      </c>
      <c r="H28" s="29">
        <f ca="1">ROUND('TUSD BE'!$AM$25,2)</f>
        <v>13.02</v>
      </c>
      <c r="I28" s="29">
        <f ca="1">ROUND('TUSD BE'!$AM$27,2)</f>
        <v>28.6</v>
      </c>
      <c r="J28" s="29">
        <v>0</v>
      </c>
      <c r="L28" s="142"/>
      <c r="M28" s="142"/>
      <c r="N28" s="142"/>
      <c r="O28" s="142"/>
      <c r="P28" s="31" t="s">
        <v>1048</v>
      </c>
      <c r="Q28" s="29">
        <v>0</v>
      </c>
      <c r="R28" s="29">
        <f ca="1">ROUND(('TUSD BE'!$AM$66+'TUSD BF_350'!$AM$66+'TUSD CVA'!$AM$66)*(1-CUSTOS!$M$31),2)</f>
        <v>616.41999999999996</v>
      </c>
      <c r="S28" s="29">
        <f ca="1">ROUND(('TE BE'!$AB$44+'TE BF_350'!$AB$44+'TE CVA'!$AB$44)*(1-CUSTOS!$M$31),2)</f>
        <v>231.69</v>
      </c>
      <c r="T28" s="29">
        <v>0</v>
      </c>
      <c r="U28" s="29">
        <f ca="1">ROUND('TUSD BE'!$AM$66*(1-CUSTOS!$M$31),2)</f>
        <v>573.01</v>
      </c>
      <c r="V28" s="29">
        <f>ROUND('TE BE'!$AB$44*(1-CUSTOS!$M$31),2)</f>
        <v>231.21</v>
      </c>
    </row>
    <row r="29" spans="1:22" ht="11.25" customHeight="1" x14ac:dyDescent="0.3">
      <c r="L29" s="142"/>
      <c r="M29" s="143"/>
      <c r="N29" s="143"/>
      <c r="O29" s="143"/>
      <c r="P29" s="31" t="s">
        <v>1041</v>
      </c>
      <c r="Q29" s="29">
        <v>0</v>
      </c>
      <c r="R29" s="29">
        <f ca="1">ROUND(('TUSD BE'!$AM$67+'TUSD BF_350'!$AM$67+'TUSD CVA'!$AM$67)*(1-CUSTOS!$M$31),2)</f>
        <v>311.73</v>
      </c>
      <c r="S29" s="29">
        <f ca="1">ROUND(('TE BE'!$AB$45+'TE BF_350'!$AB$45+'TE CVA'!$AB$45)*(1-CUSTOS!$M$31),2)</f>
        <v>231.69</v>
      </c>
      <c r="T29" s="29">
        <v>0</v>
      </c>
      <c r="U29" s="29">
        <f ca="1">ROUND('TUSD BE'!$AM$67*(1-CUSTOS!$M$31),2)</f>
        <v>281.31</v>
      </c>
      <c r="V29" s="29">
        <f>ROUND('TE BE'!$AB$45*(1-CUSTOS!$M$31),2)</f>
        <v>231.21</v>
      </c>
    </row>
    <row r="30" spans="1:22" ht="11.25" customHeight="1" x14ac:dyDescent="0.3">
      <c r="L30" s="142"/>
      <c r="M30" s="31" t="s">
        <v>1049</v>
      </c>
      <c r="N30" s="31" t="s">
        <v>1043</v>
      </c>
      <c r="O30" s="31" t="s">
        <v>1043</v>
      </c>
      <c r="P30" s="31" t="s">
        <v>1043</v>
      </c>
      <c r="Q30" s="29">
        <v>0</v>
      </c>
      <c r="R30" s="29">
        <f ca="1">ROUND(('TUSD BE'!$AM$69+'TUSD BF_350'!$AM$69+'TUSD CVA'!$AM$69)*(1-CUSTOS!$M$31),2)</f>
        <v>409.13</v>
      </c>
      <c r="S30" s="29">
        <f ca="1">ROUND(('TE BE'!$AB$47+'TE BF_350'!$AB$47+'TE CVA'!$AB$47)*(1-CUSTOS!$M$31),2)</f>
        <v>244</v>
      </c>
      <c r="T30" s="29">
        <v>0</v>
      </c>
      <c r="U30" s="29">
        <f ca="1">ROUND(('TUSD BE'!$AM$69)*(1-CUSTOS!$M$31),2)</f>
        <v>356.45</v>
      </c>
      <c r="V30" s="29">
        <f>ROUND(('TE BE'!$AB$47)*(1-CUSTOS!$M$31),2)</f>
        <v>242.94</v>
      </c>
    </row>
    <row r="31" spans="1:22" ht="11.25" customHeight="1" x14ac:dyDescent="0.3">
      <c r="L31" s="143"/>
      <c r="M31" s="31" t="s">
        <v>1051</v>
      </c>
      <c r="N31" s="31" t="s">
        <v>1043</v>
      </c>
      <c r="O31" s="31" t="s">
        <v>1043</v>
      </c>
      <c r="P31" s="31" t="s">
        <v>1043</v>
      </c>
      <c r="Q31" s="29">
        <v>0</v>
      </c>
      <c r="R31" s="29">
        <f ca="1">ROUND(('TUSD BE'!$AM$68+'TUSD BF_350'!$AM$68+'TUSD CVA'!$AM$68)*(1-CUSTOS!$M$31),2)</f>
        <v>409.13</v>
      </c>
      <c r="S31" s="29">
        <f ca="1">ROUND(('TE BE'!$AB$46+'TE BF_350'!$AB$46+'TE CVA'!$AB$46)*(1-CUSTOS!$M$31),2)</f>
        <v>244</v>
      </c>
      <c r="T31" s="29">
        <v>0</v>
      </c>
      <c r="U31" s="29">
        <f ca="1">ROUND(('TUSD BE'!$AM$68)*(1-CUSTOS!$M$31),2)</f>
        <v>356.45</v>
      </c>
      <c r="V31" s="29">
        <f>ROUND(('TE BE'!$AB$46)*(1-CUSTOS!$M$31),2)</f>
        <v>242.94</v>
      </c>
    </row>
    <row r="32" spans="1:22" ht="11.25" customHeight="1" x14ac:dyDescent="0.3">
      <c r="L32" s="141" t="s">
        <v>47</v>
      </c>
      <c r="M32" s="141" t="s">
        <v>1051</v>
      </c>
      <c r="N32" s="141" t="s">
        <v>1056</v>
      </c>
      <c r="O32" s="31" t="s">
        <v>1057</v>
      </c>
      <c r="P32" s="31" t="s">
        <v>1043</v>
      </c>
      <c r="Q32" s="29">
        <v>0</v>
      </c>
      <c r="R32" s="29">
        <f ca="1">ROUND(('TUSD BE'!$AM$70+'TUSD BF_350'!$AM$70+'TUSD CVA'!$AM$70),2)</f>
        <v>225.02</v>
      </c>
      <c r="S32" s="29">
        <f ca="1">ROUND(('TE BE'!$AB$48+'TE BF_350'!$AB$48+'TE CVA'!$AB$48),2)</f>
        <v>134.19999999999999</v>
      </c>
      <c r="T32" s="29">
        <v>0</v>
      </c>
      <c r="U32" s="29">
        <f ca="1">ROUND(('TUSD BE'!$AM$70),2)</f>
        <v>196.05</v>
      </c>
      <c r="V32" s="29">
        <f>ROUND(('TE BE'!$AB$48),2)</f>
        <v>133.62</v>
      </c>
    </row>
    <row r="33" spans="12:22" ht="11.25" customHeight="1" x14ac:dyDescent="0.3">
      <c r="L33" s="143"/>
      <c r="M33" s="143"/>
      <c r="N33" s="143"/>
      <c r="O33" s="31" t="s">
        <v>1058</v>
      </c>
      <c r="P33" s="31" t="s">
        <v>1043</v>
      </c>
      <c r="Q33" s="29">
        <v>0</v>
      </c>
      <c r="R33" s="29">
        <f ca="1">ROUND(('TUSD BE'!$AM$71+'TUSD BF_350'!$AM$71+'TUSD CVA'!$AM$71),2)</f>
        <v>245.48</v>
      </c>
      <c r="S33" s="29">
        <f ca="1">ROUND(('TE BE'!$AB$49+'TE BF_350'!$AB$49+'TE CVA'!$AB$49),2)</f>
        <v>146.4</v>
      </c>
      <c r="T33" s="29">
        <v>0</v>
      </c>
      <c r="U33" s="29">
        <f ca="1">ROUND(('TUSD BE'!$AM$71),2)</f>
        <v>213.87</v>
      </c>
      <c r="V33" s="29">
        <f>ROUND(('TE BE'!$AB$49),2)</f>
        <v>145.76</v>
      </c>
    </row>
    <row r="34" spans="12:22" ht="11.25" customHeight="1" x14ac:dyDescent="0.3">
      <c r="L34" s="141" t="s">
        <v>87</v>
      </c>
      <c r="M34" s="141" t="s">
        <v>59</v>
      </c>
      <c r="N34" s="31" t="s">
        <v>88</v>
      </c>
      <c r="O34" s="31" t="s">
        <v>1043</v>
      </c>
      <c r="P34" s="31" t="s">
        <v>1043</v>
      </c>
      <c r="Q34" s="29">
        <f ca="1">ROUND(('TUSD BE'!$AM$35+'TUSD BF_350'!$AM$35+'TUSD CVA'!$AM$35),2)</f>
        <v>2.92</v>
      </c>
      <c r="R34" s="29">
        <v>0</v>
      </c>
      <c r="S34" s="29">
        <v>0</v>
      </c>
      <c r="T34" s="29">
        <f ca="1">ROUND(('TUSD BE'!$AM$35),2)</f>
        <v>2.92</v>
      </c>
      <c r="U34" s="29">
        <v>0</v>
      </c>
      <c r="V34" s="29">
        <v>0</v>
      </c>
    </row>
    <row r="35" spans="12:22" ht="11.25" customHeight="1" x14ac:dyDescent="0.3">
      <c r="L35" s="143"/>
      <c r="M35" s="143"/>
      <c r="N35" s="31" t="s">
        <v>89</v>
      </c>
      <c r="O35" s="31" t="s">
        <v>1043</v>
      </c>
      <c r="P35" s="31" t="s">
        <v>1043</v>
      </c>
      <c r="Q35" s="29">
        <f ca="1">ROUND(('TUSD BE'!$AM$36+'TUSD BF_350'!$AM$36+'TUSD CVA'!$AM$36),2)</f>
        <v>7.78</v>
      </c>
      <c r="R35" s="29">
        <v>0</v>
      </c>
      <c r="S35" s="29">
        <v>0</v>
      </c>
      <c r="T35" s="29">
        <f ca="1">ROUND(('TUSD BE'!$AM$36),2)</f>
        <v>7.78</v>
      </c>
      <c r="U35" s="29">
        <v>0</v>
      </c>
      <c r="V35" s="29">
        <v>0</v>
      </c>
    </row>
  </sheetData>
  <mergeCells count="66">
    <mergeCell ref="L34:L35"/>
    <mergeCell ref="M5:M7"/>
    <mergeCell ref="M12:M14"/>
    <mergeCell ref="M17:M19"/>
    <mergeCell ref="M22:M24"/>
    <mergeCell ref="M27:M29"/>
    <mergeCell ref="M32:M33"/>
    <mergeCell ref="M34:M35"/>
    <mergeCell ref="L12:L26"/>
    <mergeCell ref="T3:U3"/>
    <mergeCell ref="L5:L11"/>
    <mergeCell ref="N5:N7"/>
    <mergeCell ref="L27:L31"/>
    <mergeCell ref="L32:L33"/>
    <mergeCell ref="N27:N29"/>
    <mergeCell ref="N32:N33"/>
    <mergeCell ref="O5:O7"/>
    <mergeCell ref="O12:O14"/>
    <mergeCell ref="O17:O19"/>
    <mergeCell ref="O22:O24"/>
    <mergeCell ref="O27:O29"/>
    <mergeCell ref="N12:N14"/>
    <mergeCell ref="N17:N19"/>
    <mergeCell ref="N22:N24"/>
    <mergeCell ref="C27:C28"/>
    <mergeCell ref="L1:V1"/>
    <mergeCell ref="L2:L4"/>
    <mergeCell ref="M2:M4"/>
    <mergeCell ref="N2:N4"/>
    <mergeCell ref="O2:O4"/>
    <mergeCell ref="P2:P4"/>
    <mergeCell ref="A1:J1"/>
    <mergeCell ref="A2:A4"/>
    <mergeCell ref="B2:B4"/>
    <mergeCell ref="C2:C4"/>
    <mergeCell ref="D2:D4"/>
    <mergeCell ref="E2:G2"/>
    <mergeCell ref="Q2:S2"/>
    <mergeCell ref="Q3:R3"/>
    <mergeCell ref="T2:V2"/>
    <mergeCell ref="C14:C15"/>
    <mergeCell ref="C16:C17"/>
    <mergeCell ref="C18:C20"/>
    <mergeCell ref="C21:C23"/>
    <mergeCell ref="C25:C26"/>
    <mergeCell ref="A14:A24"/>
    <mergeCell ref="A25:A28"/>
    <mergeCell ref="B5:B6"/>
    <mergeCell ref="B7:B8"/>
    <mergeCell ref="B9:B10"/>
    <mergeCell ref="B11:B12"/>
    <mergeCell ref="B14:B15"/>
    <mergeCell ref="B16:B17"/>
    <mergeCell ref="B18:B20"/>
    <mergeCell ref="B21:B23"/>
    <mergeCell ref="B25:B26"/>
    <mergeCell ref="B27:B28"/>
    <mergeCell ref="E3:F3"/>
    <mergeCell ref="H2:J2"/>
    <mergeCell ref="H3:I3"/>
    <mergeCell ref="A5:A8"/>
    <mergeCell ref="A9:A13"/>
    <mergeCell ref="C5:C6"/>
    <mergeCell ref="C7:C8"/>
    <mergeCell ref="C9:C10"/>
    <mergeCell ref="C11:C1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4B15-DCB9-463E-9B00-2A449AFCDBEE}">
  <sheetPr codeName="Planilha21"/>
  <dimension ref="A1:AN1157"/>
  <sheetViews>
    <sheetView showGridLines="0" topLeftCell="AE1" workbookViewId="0">
      <selection sqref="A1:O1157 Q1:AJ13"/>
    </sheetView>
  </sheetViews>
  <sheetFormatPr defaultRowHeight="11.25" customHeight="1" x14ac:dyDescent="0.3"/>
  <cols>
    <col min="1" max="1" width="18" style="4" bestFit="1" customWidth="1"/>
    <col min="2" max="2" width="7.6640625" style="4" bestFit="1" customWidth="1"/>
    <col min="3" max="3" width="9.21875" style="4" bestFit="1" customWidth="1"/>
    <col min="4" max="4" width="12.6640625" style="4" bestFit="1" customWidth="1"/>
    <col min="5" max="5" width="23.109375" style="4" bestFit="1" customWidth="1"/>
    <col min="6" max="6" width="12" style="4" bestFit="1" customWidth="1"/>
    <col min="7" max="7" width="15.6640625" style="4" bestFit="1" customWidth="1"/>
    <col min="8" max="8" width="9.5546875" style="4" bestFit="1" customWidth="1"/>
    <col min="9" max="9" width="7.88671875" style="5" bestFit="1" customWidth="1"/>
    <col min="10" max="10" width="9.5546875" style="6" bestFit="1" customWidth="1"/>
    <col min="11" max="11" width="10" style="6" bestFit="1" customWidth="1"/>
    <col min="12" max="12" width="9.109375" style="6" bestFit="1" customWidth="1"/>
    <col min="13" max="13" width="13.109375" style="6" bestFit="1" customWidth="1"/>
    <col min="14" max="14" width="13.5546875" style="6" bestFit="1" customWidth="1"/>
    <col min="15" max="15" width="12.21875" style="6" bestFit="1" customWidth="1"/>
    <col min="16" max="16" width="7.109375" style="6" bestFit="1" customWidth="1"/>
    <col min="17" max="17" width="9" style="4" bestFit="1" customWidth="1"/>
    <col min="18" max="18" width="17.88671875" style="4" bestFit="1" customWidth="1"/>
    <col min="19" max="19" width="19.21875" style="4" bestFit="1" customWidth="1"/>
    <col min="20" max="20" width="17.109375" style="4" bestFit="1" customWidth="1"/>
    <col min="21" max="21" width="16.44140625" style="4" bestFit="1" customWidth="1"/>
    <col min="22" max="22" width="17.88671875" style="4" bestFit="1" customWidth="1"/>
    <col min="23" max="23" width="15.6640625" style="4" bestFit="1" customWidth="1"/>
    <col min="24" max="24" width="16.109375" style="4" bestFit="1" customWidth="1"/>
    <col min="25" max="25" width="17.5546875" style="4" bestFit="1" customWidth="1"/>
    <col min="26" max="26" width="15.33203125" style="4" bestFit="1" customWidth="1"/>
    <col min="27" max="27" width="16.109375" style="4" bestFit="1" customWidth="1"/>
    <col min="28" max="28" width="17.5546875" style="4" bestFit="1" customWidth="1"/>
    <col min="29" max="29" width="15.33203125" style="4" bestFit="1" customWidth="1"/>
    <col min="30" max="30" width="16.44140625" style="4" bestFit="1" customWidth="1"/>
    <col min="31" max="31" width="20.5546875" style="4" bestFit="1" customWidth="1"/>
    <col min="32" max="32" width="10.88671875" style="4" bestFit="1" customWidth="1"/>
    <col min="33" max="33" width="12.21875" style="4" bestFit="1" customWidth="1"/>
    <col min="34" max="34" width="10.109375" style="4" bestFit="1" customWidth="1"/>
    <col min="35" max="35" width="11.21875" style="4" bestFit="1" customWidth="1"/>
    <col min="36" max="36" width="15.33203125" style="4" bestFit="1" customWidth="1"/>
    <col min="37" max="37" width="8.88671875" style="4"/>
    <col min="38" max="38" width="8" style="4" bestFit="1" customWidth="1"/>
    <col min="39" max="39" width="5.109375" style="4" bestFit="1" customWidth="1"/>
    <col min="40" max="40" width="14" style="4" bestFit="1" customWidth="1"/>
    <col min="41" max="16384" width="8.88671875" style="4"/>
  </cols>
  <sheetData>
    <row r="1" spans="1:40" s="1" customFormat="1" ht="11.25" customHeight="1" x14ac:dyDescent="0.3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54" t="s">
        <v>8</v>
      </c>
      <c r="J1" s="30" t="s">
        <v>900</v>
      </c>
      <c r="K1" s="30" t="s">
        <v>901</v>
      </c>
      <c r="L1" s="30" t="s">
        <v>902</v>
      </c>
      <c r="M1" s="30" t="s">
        <v>903</v>
      </c>
      <c r="N1" s="30" t="s">
        <v>904</v>
      </c>
      <c r="O1" s="30" t="s">
        <v>905</v>
      </c>
      <c r="P1" s="7"/>
      <c r="Q1" s="134" t="s">
        <v>906</v>
      </c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L1" s="34" t="s">
        <v>927</v>
      </c>
      <c r="AM1" s="34" t="s">
        <v>65</v>
      </c>
      <c r="AN1" s="34" t="s">
        <v>928</v>
      </c>
    </row>
    <row r="2" spans="1:40" ht="11.25" customHeight="1" x14ac:dyDescent="0.2">
      <c r="A2" s="35" t="s">
        <v>21</v>
      </c>
      <c r="B2" s="35" t="s">
        <v>54</v>
      </c>
      <c r="C2" s="35" t="s">
        <v>40</v>
      </c>
      <c r="D2" s="35" t="s">
        <v>38</v>
      </c>
      <c r="E2" s="35" t="s">
        <v>25</v>
      </c>
      <c r="F2" s="35" t="s">
        <v>25</v>
      </c>
      <c r="G2" s="35" t="s">
        <v>25</v>
      </c>
      <c r="H2" s="35" t="s">
        <v>35</v>
      </c>
      <c r="I2" s="55">
        <v>44501</v>
      </c>
      <c r="J2" s="56">
        <f ca="1">EFEITO!$J$2*EFEITO!$Y$2</f>
        <v>159178.15958146658</v>
      </c>
      <c r="K2" s="56">
        <f ca="1">EFEITO!$L$2*EFEITO!$Z$2</f>
        <v>0</v>
      </c>
      <c r="L2" s="56">
        <f>EFEITO!$N$2*EFEITO!$AA$2</f>
        <v>0</v>
      </c>
      <c r="M2" s="56">
        <f ca="1">$J$2-EFEITO!$K$2*EFEITO!$Y$2</f>
        <v>0</v>
      </c>
      <c r="N2" s="56">
        <f ca="1">$K$2-EFEITO!$M$2*EFEITO!$Z$2</f>
        <v>0</v>
      </c>
      <c r="O2" s="56">
        <f>$L$2-EFEITO!$O$2*EFEITO!$AA$2</f>
        <v>0</v>
      </c>
      <c r="P2" s="39"/>
      <c r="Q2" s="28" t="s">
        <v>68</v>
      </c>
      <c r="R2" s="28" t="s">
        <v>908</v>
      </c>
      <c r="S2" s="28" t="s">
        <v>909</v>
      </c>
      <c r="T2" s="28" t="s">
        <v>910</v>
      </c>
      <c r="U2" s="28" t="s">
        <v>911</v>
      </c>
      <c r="V2" s="28" t="s">
        <v>912</v>
      </c>
      <c r="W2" s="28" t="s">
        <v>913</v>
      </c>
      <c r="X2" s="57" t="s">
        <v>914</v>
      </c>
      <c r="Y2" s="57" t="s">
        <v>915</v>
      </c>
      <c r="Z2" s="57" t="s">
        <v>916</v>
      </c>
      <c r="AA2" s="57" t="s">
        <v>917</v>
      </c>
      <c r="AB2" s="57" t="s">
        <v>918</v>
      </c>
      <c r="AC2" s="57" t="s">
        <v>919</v>
      </c>
      <c r="AD2" s="57" t="s">
        <v>920</v>
      </c>
      <c r="AE2" s="57" t="s">
        <v>921</v>
      </c>
      <c r="AF2" s="57" t="s">
        <v>922</v>
      </c>
      <c r="AG2" s="57" t="s">
        <v>923</v>
      </c>
      <c r="AH2" s="57" t="s">
        <v>924</v>
      </c>
      <c r="AI2" s="57" t="s">
        <v>925</v>
      </c>
      <c r="AJ2" s="57" t="s">
        <v>926</v>
      </c>
      <c r="AL2" s="35"/>
      <c r="AM2" s="35"/>
      <c r="AN2" s="35"/>
    </row>
    <row r="3" spans="1:40" ht="11.25" customHeight="1" x14ac:dyDescent="0.2">
      <c r="A3" s="35" t="s">
        <v>21</v>
      </c>
      <c r="B3" s="35" t="s">
        <v>54</v>
      </c>
      <c r="C3" s="35" t="s">
        <v>40</v>
      </c>
      <c r="D3" s="35" t="s">
        <v>38</v>
      </c>
      <c r="E3" s="35" t="s">
        <v>25</v>
      </c>
      <c r="F3" s="35" t="s">
        <v>25</v>
      </c>
      <c r="G3" s="35" t="s">
        <v>25</v>
      </c>
      <c r="H3" s="35" t="s">
        <v>35</v>
      </c>
      <c r="I3" s="55">
        <v>44531</v>
      </c>
      <c r="J3" s="56">
        <f ca="1">EFEITO!$J$3*EFEITO!$Y$3</f>
        <v>159178.15958146658</v>
      </c>
      <c r="K3" s="56">
        <f ca="1">EFEITO!$L$3*EFEITO!$Z$3</f>
        <v>0</v>
      </c>
      <c r="L3" s="56">
        <f>EFEITO!$N$3*EFEITO!$AA$3</f>
        <v>0</v>
      </c>
      <c r="M3" s="56">
        <f ca="1">$J$3-EFEITO!$K$3*EFEITO!$Y$3</f>
        <v>0</v>
      </c>
      <c r="N3" s="56">
        <f ca="1">$K$3-EFEITO!$M$3*EFEITO!$Z$3</f>
        <v>0</v>
      </c>
      <c r="O3" s="56">
        <f>$L$3-EFEITO!$O$3*EFEITO!$AA$3</f>
        <v>0</v>
      </c>
      <c r="P3" s="39"/>
      <c r="Q3" s="56" t="s">
        <v>907</v>
      </c>
      <c r="R3" s="56">
        <f>SUMIF($B$2:$B$1157,$Q$3,$J$2:$J$1157)</f>
        <v>0</v>
      </c>
      <c r="S3" s="56">
        <f>SUMIF($B$2:$B$1157,$Q$3,$K$2:$K$1157)</f>
        <v>0</v>
      </c>
      <c r="T3" s="56">
        <f>SUMIF($B$2:$B$1157,$Q$3,$L$2:$L$1157)</f>
        <v>0</v>
      </c>
      <c r="U3" s="56">
        <f>SUMIF($B$2:$B$1157,$Q$3,$M$2:$M$1157)</f>
        <v>0</v>
      </c>
      <c r="V3" s="56">
        <f>SUMIF($B$2:$B$1157,$Q$3,$N$2:$N$1157)</f>
        <v>0</v>
      </c>
      <c r="W3" s="56">
        <f>SUMIF($B$2:$B$1157,$Q$3,$O$2:$O$1157)</f>
        <v>0</v>
      </c>
      <c r="X3" s="36">
        <f>$R$3-$U$3</f>
        <v>0</v>
      </c>
      <c r="Y3" s="36">
        <f>$S$3-$V$3</f>
        <v>0</v>
      </c>
      <c r="Z3" s="36">
        <f>$T$3-$W$3</f>
        <v>0</v>
      </c>
      <c r="AA3" s="36">
        <f>SUMIF(EFEITO!$B$2:$B$1157,$Q$3,EFEITO!$AE$2:$AE$1157)</f>
        <v>0</v>
      </c>
      <c r="AB3" s="36">
        <f>SUMIF(EFEITO!$B$2:$B$1157,$Q$3,EFEITO!$AF$2:$AF$1157)</f>
        <v>0</v>
      </c>
      <c r="AC3" s="36">
        <f>SUMIF(EFEITO!$B$2:$B$1157,$Q$3,EFEITO!$AG$2:$AH$1157)</f>
        <v>0</v>
      </c>
      <c r="AD3" s="36">
        <f>SUMIF(SUBSIDIO!$B$2:$B$1157,$Q$3,SUBSIDIO!$AD$2:$AD$1157)</f>
        <v>0</v>
      </c>
      <c r="AE3" s="36">
        <f>SUMIF(SUBSIDIO!$B$2:$B$1157,$Q$3,SUBSIDIO!$AE$2:$AE$1157)</f>
        <v>0</v>
      </c>
      <c r="AF3" s="36" t="str">
        <f>IF(ABS($X$3-$AA$3)&lt;0.01,"OK","ERRO")</f>
        <v>OK</v>
      </c>
      <c r="AG3" s="36" t="str">
        <f>IF(ABS($Y$3-$AB$3)&lt;0.01,"OK","ERRO")</f>
        <v>OK</v>
      </c>
      <c r="AH3" s="36" t="str">
        <f>IF(ABS($Z$3-$AC$3)&lt;0.01,"OK","ERRO")</f>
        <v>OK</v>
      </c>
      <c r="AI3" s="36" t="str">
        <f>IF(ABS($U$3-$AD$3)&lt;0.01,"OK","ERRO")</f>
        <v>OK</v>
      </c>
      <c r="AJ3" s="36" t="str">
        <f>IF(ABS(($V$3+$W$3)-$AE$3)&lt;0.01,"OK","ERRO")</f>
        <v>OK</v>
      </c>
    </row>
    <row r="4" spans="1:40" ht="11.25" customHeight="1" x14ac:dyDescent="0.2">
      <c r="A4" s="35" t="s">
        <v>21</v>
      </c>
      <c r="B4" s="35" t="s">
        <v>54</v>
      </c>
      <c r="C4" s="35" t="s">
        <v>40</v>
      </c>
      <c r="D4" s="35" t="s">
        <v>38</v>
      </c>
      <c r="E4" s="35" t="s">
        <v>25</v>
      </c>
      <c r="F4" s="35" t="s">
        <v>25</v>
      </c>
      <c r="G4" s="35" t="s">
        <v>25</v>
      </c>
      <c r="H4" s="35" t="s">
        <v>35</v>
      </c>
      <c r="I4" s="55">
        <v>44562</v>
      </c>
      <c r="J4" s="56">
        <f ca="1">EFEITO!$J$4*EFEITO!$Y$4</f>
        <v>159178.15958146658</v>
      </c>
      <c r="K4" s="56">
        <f ca="1">EFEITO!$L$4*EFEITO!$Z$4</f>
        <v>0</v>
      </c>
      <c r="L4" s="56">
        <f>EFEITO!$N$4*EFEITO!$AA$4</f>
        <v>0</v>
      </c>
      <c r="M4" s="56">
        <f ca="1">$J$4-EFEITO!$K$4*EFEITO!$Y$4</f>
        <v>0</v>
      </c>
      <c r="N4" s="56">
        <f ca="1">$K$4-EFEITO!$M$4*EFEITO!$Z$4</f>
        <v>0</v>
      </c>
      <c r="O4" s="56">
        <f>$L$4-EFEITO!$O$4*EFEITO!$AA$4</f>
        <v>0</v>
      </c>
      <c r="P4" s="39"/>
      <c r="Q4" s="56" t="s">
        <v>54</v>
      </c>
      <c r="R4" s="56">
        <f ca="1">SUMIF($B$2:$B$1157,$Q$4,$J$2:$J$1157)</f>
        <v>2870189.093694089</v>
      </c>
      <c r="S4" s="56">
        <f ca="1">SUMIF($B$2:$B$1157,$Q$4,$K$2:$K$1157)</f>
        <v>10655229.355848623</v>
      </c>
      <c r="T4" s="56">
        <f>SUMIF($B$2:$B$1157,$Q$4,$L$2:$L$1157)</f>
        <v>0</v>
      </c>
      <c r="U4" s="56">
        <f ca="1">SUMIF($B$2:$B$1157,$Q$4,$M$2:$M$1157)</f>
        <v>0</v>
      </c>
      <c r="V4" s="56">
        <f ca="1">SUMIF($B$2:$B$1157,$Q$4,$N$2:$N$1157)</f>
        <v>0</v>
      </c>
      <c r="W4" s="56">
        <f>SUMIF($B$2:$B$1157,$Q$4,$O$2:$O$1157)</f>
        <v>0</v>
      </c>
      <c r="X4" s="36">
        <f ca="1">$R$4-$U$4</f>
        <v>2870189.093694089</v>
      </c>
      <c r="Y4" s="36">
        <f ca="1">$S$4-$V$4</f>
        <v>10655229.355848623</v>
      </c>
      <c r="Z4" s="36">
        <f>$T$4-$W$4</f>
        <v>0</v>
      </c>
      <c r="AA4" s="36">
        <f ca="1">SUMIF(EFEITO!$B$2:$B$1157,$Q$4,EFEITO!$AE$2:$AE$1157)</f>
        <v>2870189.093694089</v>
      </c>
      <c r="AB4" s="36">
        <f ca="1">SUMIF(EFEITO!$B$2:$B$1157,$Q$4,EFEITO!$AF$2:$AF$1157)</f>
        <v>10655229.355848623</v>
      </c>
      <c r="AC4" s="36">
        <f>SUMIF(EFEITO!$B$2:$B$1157,$Q$4,EFEITO!$AG$2:$AH$1157)</f>
        <v>0</v>
      </c>
      <c r="AD4" s="36">
        <f>SUMIF(SUBSIDIO!$B$2:$B$1157,$Q$4,SUBSIDIO!$AD$2:$AD$1157)</f>
        <v>0</v>
      </c>
      <c r="AE4" s="36">
        <f>SUMIF(SUBSIDIO!$B$2:$B$1157,$Q$4,SUBSIDIO!$AE$2:$AE$1157)</f>
        <v>0</v>
      </c>
      <c r="AF4" s="36" t="str">
        <f ca="1">IF(ABS($X$4-$AA$4)&lt;0.01,"OK","ERRO")</f>
        <v>OK</v>
      </c>
      <c r="AG4" s="36" t="str">
        <f ca="1">IF(ABS($Y$4-$AB$4)&lt;0.01,"OK","ERRO")</f>
        <v>OK</v>
      </c>
      <c r="AH4" s="36" t="str">
        <f>IF(ABS($Z$4-$AC$4)&lt;0.01,"OK","ERRO")</f>
        <v>OK</v>
      </c>
      <c r="AI4" s="36" t="str">
        <f ca="1">IF(ABS($U$4-$AD$4)&lt;0.01,"OK","ERRO")</f>
        <v>OK</v>
      </c>
      <c r="AJ4" s="36" t="str">
        <f ca="1">IF(ABS(($V$4+$W$4)-$AE$4)&lt;0.01,"OK","ERRO")</f>
        <v>OK</v>
      </c>
    </row>
    <row r="5" spans="1:40" ht="11.25" customHeight="1" x14ac:dyDescent="0.2">
      <c r="A5" s="35" t="s">
        <v>21</v>
      </c>
      <c r="B5" s="35" t="s">
        <v>54</v>
      </c>
      <c r="C5" s="35" t="s">
        <v>40</v>
      </c>
      <c r="D5" s="35" t="s">
        <v>38</v>
      </c>
      <c r="E5" s="35" t="s">
        <v>25</v>
      </c>
      <c r="F5" s="35" t="s">
        <v>25</v>
      </c>
      <c r="G5" s="35" t="s">
        <v>25</v>
      </c>
      <c r="H5" s="35" t="s">
        <v>35</v>
      </c>
      <c r="I5" s="55">
        <v>44593</v>
      </c>
      <c r="J5" s="56">
        <f ca="1">EFEITO!$J$5*EFEITO!$Y$5</f>
        <v>159178.15958146658</v>
      </c>
      <c r="K5" s="56">
        <f ca="1">EFEITO!$L$5*EFEITO!$Z$5</f>
        <v>0</v>
      </c>
      <c r="L5" s="56">
        <f>EFEITO!$N$5*EFEITO!$AA$5</f>
        <v>0</v>
      </c>
      <c r="M5" s="56">
        <f ca="1">$J$5-EFEITO!$K$5*EFEITO!$Y$5</f>
        <v>0</v>
      </c>
      <c r="N5" s="56">
        <f ca="1">$K$5-EFEITO!$M$5*EFEITO!$Z$5</f>
        <v>0</v>
      </c>
      <c r="O5" s="56">
        <f>$L$5-EFEITO!$O$5*EFEITO!$AA$5</f>
        <v>0</v>
      </c>
      <c r="P5" s="39"/>
      <c r="Q5" s="56" t="s">
        <v>60</v>
      </c>
      <c r="R5" s="56">
        <f ca="1">SUMIF($B$2:$B$1157,$Q$5,$J$2:$J$1157)</f>
        <v>1085648.9638018024</v>
      </c>
      <c r="S5" s="56">
        <f>SUMIF($B$2:$B$1157,$Q$5,$K$2:$K$1157)</f>
        <v>0</v>
      </c>
      <c r="T5" s="56">
        <f>SUMIF($B$2:$B$1157,$Q$5,$L$2:$L$1157)</f>
        <v>0</v>
      </c>
      <c r="U5" s="56">
        <f ca="1">SUMIF($B$2:$B$1157,$Q$5,$M$2:$M$1157)</f>
        <v>1085648.9638018024</v>
      </c>
      <c r="V5" s="56">
        <f>SUMIF($B$2:$B$1157,$Q$5,$N$2:$N$1157)</f>
        <v>0</v>
      </c>
      <c r="W5" s="56">
        <f>SUMIF($B$2:$B$1157,$Q$5,$O$2:$O$1157)</f>
        <v>0</v>
      </c>
      <c r="X5" s="36">
        <f ca="1">$R$5-$U$5</f>
        <v>0</v>
      </c>
      <c r="Y5" s="36">
        <f>$S$5-$V$5</f>
        <v>0</v>
      </c>
      <c r="Z5" s="36">
        <f>$T$5-$W$5</f>
        <v>0</v>
      </c>
      <c r="AA5" s="36">
        <f ca="1">SUMIF(EFEITO!$B$2:$B$1157,$Q$5,EFEITO!$AE$2:$AE$1157)</f>
        <v>0</v>
      </c>
      <c r="AB5" s="36">
        <f>SUMIF(EFEITO!$B$2:$B$1157,$Q$5,EFEITO!$AF$2:$AF$1157)</f>
        <v>0</v>
      </c>
      <c r="AC5" s="36">
        <f>SUMIF(EFEITO!$B$2:$B$1157,$Q$5,EFEITO!$AG$2:$AH$1157)</f>
        <v>0</v>
      </c>
      <c r="AD5" s="36">
        <f ca="1">SUMIF(SUBSIDIO!$B$2:$B$1157,$Q$5,SUBSIDIO!$AD$2:$AD$1157)</f>
        <v>1085648.9638018024</v>
      </c>
      <c r="AE5" s="36">
        <f>SUMIF(SUBSIDIO!$B$2:$B$1157,$Q$5,SUBSIDIO!$AE$2:$AE$1157)</f>
        <v>0</v>
      </c>
      <c r="AF5" s="36" t="str">
        <f ca="1">IF(ABS($X$5-$AA$5)&lt;0.01,"OK","ERRO")</f>
        <v>OK</v>
      </c>
      <c r="AG5" s="36" t="str">
        <f>IF(ABS($Y$5-$AB$5)&lt;0.01,"OK","ERRO")</f>
        <v>OK</v>
      </c>
      <c r="AH5" s="36" t="str">
        <f>IF(ABS($Z$5-$AC$5)&lt;0.01,"OK","ERRO")</f>
        <v>OK</v>
      </c>
      <c r="AI5" s="36" t="str">
        <f ca="1">IF(ABS($U$5-$AD$5)&lt;0.01,"OK","ERRO")</f>
        <v>OK</v>
      </c>
      <c r="AJ5" s="36" t="str">
        <f>IF(ABS(($V$5+$W$5)-$AE$5)&lt;0.01,"OK","ERRO")</f>
        <v>OK</v>
      </c>
    </row>
    <row r="6" spans="1:40" ht="11.25" customHeight="1" x14ac:dyDescent="0.2">
      <c r="A6" s="35" t="s">
        <v>21</v>
      </c>
      <c r="B6" s="35" t="s">
        <v>54</v>
      </c>
      <c r="C6" s="35" t="s">
        <v>40</v>
      </c>
      <c r="D6" s="35" t="s">
        <v>38</v>
      </c>
      <c r="E6" s="35" t="s">
        <v>25</v>
      </c>
      <c r="F6" s="35" t="s">
        <v>25</v>
      </c>
      <c r="G6" s="35" t="s">
        <v>25</v>
      </c>
      <c r="H6" s="35" t="s">
        <v>35</v>
      </c>
      <c r="I6" s="55">
        <v>44621</v>
      </c>
      <c r="J6" s="56">
        <f ca="1">EFEITO!$J$6*EFEITO!$Y$6</f>
        <v>159178.15958146658</v>
      </c>
      <c r="K6" s="56">
        <f ca="1">EFEITO!$L$6*EFEITO!$Z$6</f>
        <v>0</v>
      </c>
      <c r="L6" s="56">
        <f>EFEITO!$N$6*EFEITO!$AA$6</f>
        <v>0</v>
      </c>
      <c r="M6" s="56">
        <f ca="1">$J$6-EFEITO!$K$6*EFEITO!$Y$6</f>
        <v>0</v>
      </c>
      <c r="N6" s="56">
        <f ca="1">$K$6-EFEITO!$M$6*EFEITO!$Z$6</f>
        <v>0</v>
      </c>
      <c r="O6" s="56">
        <f>$L$6-EFEITO!$O$6*EFEITO!$AA$6</f>
        <v>0</v>
      </c>
      <c r="P6" s="39"/>
      <c r="Q6" s="56" t="s">
        <v>789</v>
      </c>
      <c r="R6" s="56">
        <f>SUMIF($B$2:$B$1157,$Q$6,$J$2:$J$1157)</f>
        <v>0</v>
      </c>
      <c r="S6" s="56">
        <f>SUMIF($B$2:$B$1157,$Q$6,$K$2:$K$1157)</f>
        <v>0</v>
      </c>
      <c r="T6" s="56">
        <f>SUMIF($B$2:$B$1157,$Q$6,$L$2:$L$1157)</f>
        <v>0</v>
      </c>
      <c r="U6" s="56">
        <f>SUMIF($B$2:$B$1157,$Q$6,$M$2:$M$1157)</f>
        <v>0</v>
      </c>
      <c r="V6" s="56">
        <f>SUMIF($B$2:$B$1157,$Q$6,$N$2:$N$1157)</f>
        <v>0</v>
      </c>
      <c r="W6" s="56">
        <f>SUMIF($B$2:$B$1157,$Q$6,$O$2:$O$1157)</f>
        <v>0</v>
      </c>
      <c r="X6" s="36">
        <f>$R$6-$U$6</f>
        <v>0</v>
      </c>
      <c r="Y6" s="36">
        <f>$S$6-$V$6</f>
        <v>0</v>
      </c>
      <c r="Z6" s="36">
        <f>$T$6-$W$6</f>
        <v>0</v>
      </c>
      <c r="AA6" s="36">
        <f>SUMIF(EFEITO!$B$2:$B$1157,$Q$6,EFEITO!$AE$2:$AE$1157)</f>
        <v>0</v>
      </c>
      <c r="AB6" s="36">
        <f>SUMIF(EFEITO!$B$2:$B$1157,$Q$6,EFEITO!$AF$2:$AF$1157)</f>
        <v>0</v>
      </c>
      <c r="AC6" s="36">
        <f>SUMIF(EFEITO!$B$2:$B$1157,$Q$6,EFEITO!$AG$2:$AH$1157)</f>
        <v>0</v>
      </c>
      <c r="AD6" s="36">
        <f>SUMIF(SUBSIDIO!$B$2:$B$1157,$Q$6,SUBSIDIO!$AD$2:$AD$1157)</f>
        <v>0</v>
      </c>
      <c r="AE6" s="36">
        <f>SUMIF(SUBSIDIO!$B$2:$B$1157,$Q$6,SUBSIDIO!$AE$2:$AE$1157)</f>
        <v>0</v>
      </c>
      <c r="AF6" s="36" t="str">
        <f>IF(ABS($X$6-$AA$6)&lt;0.01,"OK","ERRO")</f>
        <v>OK</v>
      </c>
      <c r="AG6" s="36" t="str">
        <f>IF(ABS($Y$6-$AB$6)&lt;0.01,"OK","ERRO")</f>
        <v>OK</v>
      </c>
      <c r="AH6" s="36" t="str">
        <f>IF(ABS($Z$6-$AC$6)&lt;0.01,"OK","ERRO")</f>
        <v>OK</v>
      </c>
      <c r="AI6" s="36" t="str">
        <f>IF(ABS($U$6-$AD$6)&lt;0.01,"OK","ERRO")</f>
        <v>OK</v>
      </c>
      <c r="AJ6" s="36" t="str">
        <f>IF(ABS(($V$6+$W$6)-$AE$6)&lt;0.01,"OK","ERRO")</f>
        <v>OK</v>
      </c>
    </row>
    <row r="7" spans="1:40" ht="11.25" customHeight="1" x14ac:dyDescent="0.2">
      <c r="A7" s="35" t="s">
        <v>21</v>
      </c>
      <c r="B7" s="35" t="s">
        <v>54</v>
      </c>
      <c r="C7" s="35" t="s">
        <v>40</v>
      </c>
      <c r="D7" s="35" t="s">
        <v>38</v>
      </c>
      <c r="E7" s="35" t="s">
        <v>25</v>
      </c>
      <c r="F7" s="35" t="s">
        <v>25</v>
      </c>
      <c r="G7" s="35" t="s">
        <v>25</v>
      </c>
      <c r="H7" s="35" t="s">
        <v>35</v>
      </c>
      <c r="I7" s="55">
        <v>44652</v>
      </c>
      <c r="J7" s="56">
        <f ca="1">EFEITO!$J$7*EFEITO!$Y$7</f>
        <v>159178.15958146658</v>
      </c>
      <c r="K7" s="56">
        <f ca="1">EFEITO!$L$7*EFEITO!$Z$7</f>
        <v>0</v>
      </c>
      <c r="L7" s="56">
        <f>EFEITO!$N$7*EFEITO!$AA$7</f>
        <v>0</v>
      </c>
      <c r="M7" s="56">
        <f ca="1">$J$7-EFEITO!$K$7*EFEITO!$Y$7</f>
        <v>0</v>
      </c>
      <c r="N7" s="56">
        <f ca="1">$K$7-EFEITO!$M$7*EFEITO!$Z$7</f>
        <v>0</v>
      </c>
      <c r="O7" s="56">
        <f>$L$7-EFEITO!$O$7*EFEITO!$AA$7</f>
        <v>0</v>
      </c>
      <c r="P7" s="39"/>
      <c r="Q7" s="56" t="s">
        <v>39</v>
      </c>
      <c r="R7" s="56">
        <f ca="1">SUMIF($B$2:$B$1157,$Q$7,$J$2:$J$1157)</f>
        <v>26262506.26519502</v>
      </c>
      <c r="S7" s="56">
        <f ca="1">SUMIF($B$2:$B$1157,$Q$7,$K$2:$K$1157)</f>
        <v>39329728.948317461</v>
      </c>
      <c r="T7" s="56">
        <f>SUMIF($B$2:$B$1157,$Q$7,$L$2:$L$1157)</f>
        <v>21340468.295178574</v>
      </c>
      <c r="U7" s="56">
        <f ca="1">SUMIF($B$2:$B$1157,$Q$7,$M$2:$M$1157)</f>
        <v>5188633.2154779751</v>
      </c>
      <c r="V7" s="56">
        <f ca="1">SUMIF($B$2:$B$1157,$Q$7,$N$2:$N$1157)</f>
        <v>1153336.9624341559</v>
      </c>
      <c r="W7" s="56">
        <f>SUMIF($B$2:$B$1157,$Q$7,$O$2:$O$1157)</f>
        <v>126769.20207786033</v>
      </c>
      <c r="X7" s="36">
        <f ca="1">$R$7-$U$7</f>
        <v>21073873.049717046</v>
      </c>
      <c r="Y7" s="36">
        <f ca="1">$S$7-$V$7</f>
        <v>38176391.985883303</v>
      </c>
      <c r="Z7" s="36">
        <f>$T$7-$W$7</f>
        <v>21213699.093100712</v>
      </c>
      <c r="AA7" s="36">
        <f ca="1">SUMIF(EFEITO!$B$2:$B$1157,$Q$7,EFEITO!$AE$2:$AE$1157)</f>
        <v>21073873.04971702</v>
      </c>
      <c r="AB7" s="36">
        <f ca="1">SUMIF(EFEITO!$B$2:$B$1157,$Q$7,EFEITO!$AF$2:$AF$1157)</f>
        <v>38176391.985883348</v>
      </c>
      <c r="AC7" s="36">
        <f>SUMIF(EFEITO!$B$2:$B$1157,$Q$7,EFEITO!$AG$2:$AH$1157)</f>
        <v>21213699.093100727</v>
      </c>
      <c r="AD7" s="36">
        <f ca="1">SUMIF(SUBSIDIO!$B$2:$B$1157,$Q$7,SUBSIDIO!$AD$2:$AD$1157)</f>
        <v>5188633.2154779751</v>
      </c>
      <c r="AE7" s="36">
        <f ca="1">SUMIF(SUBSIDIO!$B$2:$B$1157,$Q$7,SUBSIDIO!$AE$2:$AE$1157)</f>
        <v>1280106.1645120159</v>
      </c>
      <c r="AF7" s="36" t="str">
        <f ca="1">IF(ABS($X$7-$AA$7)&lt;0.01,"OK","ERRO")</f>
        <v>OK</v>
      </c>
      <c r="AG7" s="36" t="str">
        <f ca="1">IF(ABS($Y$7-$AB$7)&lt;0.01,"OK","ERRO")</f>
        <v>OK</v>
      </c>
      <c r="AH7" s="36" t="str">
        <f>IF(ABS($Z$7-$AC$7)&lt;0.01,"OK","ERRO")</f>
        <v>OK</v>
      </c>
      <c r="AI7" s="36" t="str">
        <f ca="1">IF(ABS($U$7-$AD$7)&lt;0.01,"OK","ERRO")</f>
        <v>OK</v>
      </c>
      <c r="AJ7" s="36" t="str">
        <f ca="1">IF(ABS(($V$7+$W$7)-$AE$7)&lt;0.01,"OK","ERRO")</f>
        <v>OK</v>
      </c>
    </row>
    <row r="8" spans="1:40" ht="11.25" customHeight="1" x14ac:dyDescent="0.2">
      <c r="A8" s="35" t="s">
        <v>21</v>
      </c>
      <c r="B8" s="35" t="s">
        <v>54</v>
      </c>
      <c r="C8" s="35" t="s">
        <v>40</v>
      </c>
      <c r="D8" s="35" t="s">
        <v>38</v>
      </c>
      <c r="E8" s="35" t="s">
        <v>25</v>
      </c>
      <c r="F8" s="35" t="s">
        <v>25</v>
      </c>
      <c r="G8" s="35" t="s">
        <v>25</v>
      </c>
      <c r="H8" s="35" t="s">
        <v>35</v>
      </c>
      <c r="I8" s="55">
        <v>44682</v>
      </c>
      <c r="J8" s="56">
        <f ca="1">EFEITO!$J$8*EFEITO!$Y$8</f>
        <v>159178.15958146658</v>
      </c>
      <c r="K8" s="56">
        <f ca="1">EFEITO!$L$8*EFEITO!$Z$8</f>
        <v>0</v>
      </c>
      <c r="L8" s="56">
        <f>EFEITO!$N$8*EFEITO!$AA$8</f>
        <v>0</v>
      </c>
      <c r="M8" s="56">
        <f ca="1">$J$8-EFEITO!$K$8*EFEITO!$Y$8</f>
        <v>0</v>
      </c>
      <c r="N8" s="56">
        <f ca="1">$K$8-EFEITO!$M$8*EFEITO!$Z$8</f>
        <v>0</v>
      </c>
      <c r="O8" s="56">
        <f>$L$8-EFEITO!$O$8*EFEITO!$AA$8</f>
        <v>0</v>
      </c>
      <c r="P8" s="39"/>
      <c r="Q8" s="56" t="s">
        <v>43</v>
      </c>
      <c r="R8" s="56">
        <f ca="1">SUMIF($B$2:$B$1157,$Q$8,$J$2:$J$1157)</f>
        <v>38921.182381963779</v>
      </c>
      <c r="S8" s="56">
        <f ca="1">SUMIF($B$2:$B$1157,$Q$8,$K$2:$K$1157)</f>
        <v>191201.77859015917</v>
      </c>
      <c r="T8" s="56">
        <f>SUMIF($B$2:$B$1157,$Q$8,$L$2:$L$1157)</f>
        <v>82667.515331782066</v>
      </c>
      <c r="U8" s="56">
        <f ca="1">SUMIF($B$2:$B$1157,$Q$8,$M$2:$M$1157)</f>
        <v>7429.5125509176769</v>
      </c>
      <c r="V8" s="56">
        <f ca="1">SUMIF($B$2:$B$1157,$Q$8,$N$2:$N$1157)</f>
        <v>32513.360228884951</v>
      </c>
      <c r="W8" s="56">
        <f>SUMIF($B$2:$B$1157,$Q$8,$O$2:$O$1157)</f>
        <v>0</v>
      </c>
      <c r="X8" s="36">
        <f ca="1">$R$8-$U$8</f>
        <v>31491.669831046103</v>
      </c>
      <c r="Y8" s="36">
        <f ca="1">$S$8-$V$8</f>
        <v>158688.41836127423</v>
      </c>
      <c r="Z8" s="36">
        <f>$T$8-$W$8</f>
        <v>82667.515331782066</v>
      </c>
      <c r="AA8" s="36">
        <f ca="1">SUMIF(EFEITO!$B$2:$B$1157,$Q$8,EFEITO!$AE$2:$AE$1157)</f>
        <v>31491.6698310461</v>
      </c>
      <c r="AB8" s="36">
        <f ca="1">SUMIF(EFEITO!$B$2:$B$1157,$Q$8,EFEITO!$AF$2:$AF$1157)</f>
        <v>158688.41836127418</v>
      </c>
      <c r="AC8" s="36">
        <f>SUMIF(EFEITO!$B$2:$B$1157,$Q$8,EFEITO!$AG$2:$AH$1157)</f>
        <v>82667.515331782066</v>
      </c>
      <c r="AD8" s="36">
        <f ca="1">SUMIF(SUBSIDIO!$B$2:$B$1157,$Q$8,SUBSIDIO!$AD$2:$AD$1157)</f>
        <v>7429.5125509176769</v>
      </c>
      <c r="AE8" s="36">
        <f ca="1">SUMIF(SUBSIDIO!$B$2:$B$1157,$Q$8,SUBSIDIO!$AE$2:$AE$1157)</f>
        <v>32513.360228884951</v>
      </c>
      <c r="AF8" s="36" t="str">
        <f ca="1">IF(ABS($X$8-$AA$8)&lt;0.01,"OK","ERRO")</f>
        <v>OK</v>
      </c>
      <c r="AG8" s="36" t="str">
        <f ca="1">IF(ABS($Y$8-$AB$8)&lt;0.01,"OK","ERRO")</f>
        <v>OK</v>
      </c>
      <c r="AH8" s="36" t="str">
        <f>IF(ABS($Z$8-$AC$8)&lt;0.01,"OK","ERRO")</f>
        <v>OK</v>
      </c>
      <c r="AI8" s="36" t="str">
        <f ca="1">IF(ABS($U$8-$AD$8)&lt;0.01,"OK","ERRO")</f>
        <v>OK</v>
      </c>
      <c r="AJ8" s="36" t="str">
        <f ca="1">IF(ABS(($V$8+$W$8)-$AE$8)&lt;0.01,"OK","ERRO")</f>
        <v>OK</v>
      </c>
    </row>
    <row r="9" spans="1:40" ht="11.25" customHeight="1" x14ac:dyDescent="0.2">
      <c r="A9" s="35" t="s">
        <v>21</v>
      </c>
      <c r="B9" s="35" t="s">
        <v>54</v>
      </c>
      <c r="C9" s="35" t="s">
        <v>40</v>
      </c>
      <c r="D9" s="35" t="s">
        <v>38</v>
      </c>
      <c r="E9" s="35" t="s">
        <v>25</v>
      </c>
      <c r="F9" s="35" t="s">
        <v>25</v>
      </c>
      <c r="G9" s="35" t="s">
        <v>25</v>
      </c>
      <c r="H9" s="35" t="s">
        <v>35</v>
      </c>
      <c r="I9" s="55">
        <v>44713</v>
      </c>
      <c r="J9" s="56">
        <f ca="1">EFEITO!$J$9*EFEITO!$Y$9</f>
        <v>159178.15958146658</v>
      </c>
      <c r="K9" s="56">
        <f ca="1">EFEITO!$L$9*EFEITO!$Z$9</f>
        <v>0</v>
      </c>
      <c r="L9" s="56">
        <f>EFEITO!$N$9*EFEITO!$AA$9</f>
        <v>0</v>
      </c>
      <c r="M9" s="56">
        <f ca="1">$J$9-EFEITO!$K$9*EFEITO!$Y$9</f>
        <v>0</v>
      </c>
      <c r="N9" s="56">
        <f ca="1">$K$9-EFEITO!$M$9*EFEITO!$Z$9</f>
        <v>0</v>
      </c>
      <c r="O9" s="56">
        <f>$L$9-EFEITO!$O$9*EFEITO!$AA$9</f>
        <v>0</v>
      </c>
      <c r="P9" s="39"/>
      <c r="Q9" s="56" t="s">
        <v>22</v>
      </c>
      <c r="R9" s="56">
        <f>SUMIF($B$2:$B$1157,$Q$9,$J$2:$J$1157)</f>
        <v>0</v>
      </c>
      <c r="S9" s="56">
        <f ca="1">SUMIF($B$2:$B$1157,$Q$9,$K$2:$K$1157)</f>
        <v>52521826.848231807</v>
      </c>
      <c r="T9" s="56">
        <f>SUMIF($B$2:$B$1157,$Q$9,$L$2:$L$1157)</f>
        <v>43149906.18406859</v>
      </c>
      <c r="U9" s="56">
        <f>SUMIF($B$2:$B$1157,$Q$9,$M$2:$M$1157)</f>
        <v>0</v>
      </c>
      <c r="V9" s="56">
        <f ca="1">SUMIF($B$2:$B$1157,$Q$9,$N$2:$N$1157)</f>
        <v>900005.94918366824</v>
      </c>
      <c r="W9" s="56">
        <f>SUMIF($B$2:$B$1157,$Q$9,$O$2:$O$1157)</f>
        <v>1089843.9548890668</v>
      </c>
      <c r="X9" s="36">
        <f>$R$9-$U$9</f>
        <v>0</v>
      </c>
      <c r="Y9" s="36">
        <f ca="1">$S$9-$V$9</f>
        <v>51621820.899048142</v>
      </c>
      <c r="Z9" s="36">
        <f>$T$9-$W$9</f>
        <v>42060062.229179524</v>
      </c>
      <c r="AA9" s="36">
        <f>SUMIF(EFEITO!$B$2:$B$1157,$Q$9,EFEITO!$AE$2:$AE$1157)</f>
        <v>0</v>
      </c>
      <c r="AB9" s="36">
        <f ca="1">SUMIF(EFEITO!$B$2:$B$1157,$Q$9,EFEITO!$AF$2:$AF$1157)</f>
        <v>51621820.89904815</v>
      </c>
      <c r="AC9" s="36">
        <f>SUMIF(EFEITO!$B$2:$B$1157,$Q$9,EFEITO!$AG$2:$AH$1157)</f>
        <v>42060062.229179457</v>
      </c>
      <c r="AD9" s="36">
        <f>SUMIF(SUBSIDIO!$B$2:$B$1157,$Q$9,SUBSIDIO!$AD$2:$AD$1157)</f>
        <v>0</v>
      </c>
      <c r="AE9" s="36">
        <f ca="1">SUMIF(SUBSIDIO!$B$2:$B$1157,$Q$9,SUBSIDIO!$AE$2:$AE$1157)</f>
        <v>1989849.9040727357</v>
      </c>
      <c r="AF9" s="36" t="str">
        <f>IF(ABS($X$9-$AA$9)&lt;0.01,"OK","ERRO")</f>
        <v>OK</v>
      </c>
      <c r="AG9" s="36" t="str">
        <f ca="1">IF(ABS($Y$9-$AB$9)&lt;0.01,"OK","ERRO")</f>
        <v>OK</v>
      </c>
      <c r="AH9" s="36" t="str">
        <f>IF(ABS($Z$9-$AC$9)&lt;0.01,"OK","ERRO")</f>
        <v>OK</v>
      </c>
      <c r="AI9" s="36" t="str">
        <f>IF(ABS($U$9-$AD$9)&lt;0.01,"OK","ERRO")</f>
        <v>OK</v>
      </c>
      <c r="AJ9" s="36" t="str">
        <f ca="1">IF(ABS(($V$9+$W$9)-$AE$9)&lt;0.01,"OK","ERRO")</f>
        <v>OK</v>
      </c>
    </row>
    <row r="10" spans="1:40" ht="11.25" customHeight="1" x14ac:dyDescent="0.2">
      <c r="A10" s="35" t="s">
        <v>21</v>
      </c>
      <c r="B10" s="35" t="s">
        <v>54</v>
      </c>
      <c r="C10" s="35" t="s">
        <v>40</v>
      </c>
      <c r="D10" s="35" t="s">
        <v>38</v>
      </c>
      <c r="E10" s="35" t="s">
        <v>25</v>
      </c>
      <c r="F10" s="35" t="s">
        <v>25</v>
      </c>
      <c r="G10" s="35" t="s">
        <v>25</v>
      </c>
      <c r="H10" s="35" t="s">
        <v>35</v>
      </c>
      <c r="I10" s="55">
        <v>44743</v>
      </c>
      <c r="J10" s="56">
        <f ca="1">EFEITO!$J$10*EFEITO!$Y$10</f>
        <v>159178.15958146658</v>
      </c>
      <c r="K10" s="56">
        <f ca="1">EFEITO!$L$10*EFEITO!$Z$10</f>
        <v>0</v>
      </c>
      <c r="L10" s="56">
        <f>EFEITO!$N$10*EFEITO!$AA$10</f>
        <v>0</v>
      </c>
      <c r="M10" s="56">
        <f ca="1">$J$10-EFEITO!$K$10*EFEITO!$Y$10</f>
        <v>0</v>
      </c>
      <c r="N10" s="56">
        <f ca="1">$K$10-EFEITO!$M$10*EFEITO!$Z$10</f>
        <v>0</v>
      </c>
      <c r="O10" s="56">
        <f>$L$10-EFEITO!$O$10*EFEITO!$AA$10</f>
        <v>0</v>
      </c>
      <c r="P10" s="39"/>
      <c r="Q10" s="56" t="s">
        <v>44</v>
      </c>
      <c r="R10" s="56">
        <f>SUMIF($B$2:$B$1157,$Q$10,$J$2:$J$1157)</f>
        <v>0</v>
      </c>
      <c r="S10" s="56">
        <f ca="1">SUMIF($B$2:$B$1157,$Q$10,$K$2:$K$1157)</f>
        <v>1484132.2208230554</v>
      </c>
      <c r="T10" s="56">
        <f>SUMIF($B$2:$B$1157,$Q$10,$L$2:$L$1157)</f>
        <v>1187900.7348782721</v>
      </c>
      <c r="U10" s="56">
        <f>SUMIF($B$2:$B$1157,$Q$10,$M$2:$M$1157)</f>
        <v>0</v>
      </c>
      <c r="V10" s="56">
        <f ca="1">SUMIF($B$2:$B$1157,$Q$10,$N$2:$N$1157)</f>
        <v>89047.933249383525</v>
      </c>
      <c r="W10" s="56">
        <f>SUMIF($B$2:$B$1157,$Q$10,$O$2:$O$1157)</f>
        <v>71274.044092696422</v>
      </c>
      <c r="X10" s="36">
        <f>$R$10-$U$10</f>
        <v>0</v>
      </c>
      <c r="Y10" s="36">
        <f ca="1">$S$10-$V$10</f>
        <v>1395084.2875736719</v>
      </c>
      <c r="Z10" s="36">
        <f>$T$10-$W$10</f>
        <v>1116626.6907855757</v>
      </c>
      <c r="AA10" s="36">
        <f>SUMIF(EFEITO!$B$2:$B$1157,$Q$10,EFEITO!$AE$2:$AE$1157)</f>
        <v>0</v>
      </c>
      <c r="AB10" s="36">
        <f ca="1">SUMIF(EFEITO!$B$2:$B$1157,$Q$10,EFEITO!$AF$2:$AF$1157)</f>
        <v>1395084.2875736721</v>
      </c>
      <c r="AC10" s="36">
        <f>SUMIF(EFEITO!$B$2:$B$1157,$Q$10,EFEITO!$AG$2:$AH$1157)</f>
        <v>1116626.6907855761</v>
      </c>
      <c r="AD10" s="36">
        <f>SUMIF(SUBSIDIO!$B$2:$B$1157,$Q$10,SUBSIDIO!$AD$2:$AD$1157)</f>
        <v>0</v>
      </c>
      <c r="AE10" s="36">
        <f ca="1">SUMIF(SUBSIDIO!$B$2:$B$1157,$Q$10,SUBSIDIO!$AE$2:$AE$1157)</f>
        <v>160321.97734207998</v>
      </c>
      <c r="AF10" s="36" t="str">
        <f>IF(ABS($X$10-$AA$10)&lt;0.01,"OK","ERRO")</f>
        <v>OK</v>
      </c>
      <c r="AG10" s="36" t="str">
        <f ca="1">IF(ABS($Y$10-$AB$10)&lt;0.01,"OK","ERRO")</f>
        <v>OK</v>
      </c>
      <c r="AH10" s="36" t="str">
        <f>IF(ABS($Z$10-$AC$10)&lt;0.01,"OK","ERRO")</f>
        <v>OK</v>
      </c>
      <c r="AI10" s="36" t="str">
        <f>IF(ABS($U$10-$AD$10)&lt;0.01,"OK","ERRO")</f>
        <v>OK</v>
      </c>
      <c r="AJ10" s="36" t="str">
        <f ca="1">IF(ABS(($V$10+$W$10)-$AE$10)&lt;0.01,"OK","ERRO")</f>
        <v>OK</v>
      </c>
    </row>
    <row r="11" spans="1:40" ht="11.25" customHeight="1" x14ac:dyDescent="0.2">
      <c r="A11" s="35" t="s">
        <v>21</v>
      </c>
      <c r="B11" s="35" t="s">
        <v>54</v>
      </c>
      <c r="C11" s="35" t="s">
        <v>40</v>
      </c>
      <c r="D11" s="35" t="s">
        <v>38</v>
      </c>
      <c r="E11" s="35" t="s">
        <v>25</v>
      </c>
      <c r="F11" s="35" t="s">
        <v>25</v>
      </c>
      <c r="G11" s="35" t="s">
        <v>25</v>
      </c>
      <c r="H11" s="35" t="s">
        <v>35</v>
      </c>
      <c r="I11" s="55">
        <v>44774</v>
      </c>
      <c r="J11" s="56">
        <f ca="1">EFEITO!$J$11*EFEITO!$Y$11</f>
        <v>159178.15958146658</v>
      </c>
      <c r="K11" s="56">
        <f ca="1">EFEITO!$L$11*EFEITO!$Z$11</f>
        <v>0</v>
      </c>
      <c r="L11" s="56">
        <f>EFEITO!$N$11*EFEITO!$AA$11</f>
        <v>0</v>
      </c>
      <c r="M11" s="56">
        <f ca="1">$J$11-EFEITO!$K$11*EFEITO!$Y$11</f>
        <v>0</v>
      </c>
      <c r="N11" s="56">
        <f ca="1">$K$11-EFEITO!$M$11*EFEITO!$Z$11</f>
        <v>0</v>
      </c>
      <c r="O11" s="56">
        <f>$L$11-EFEITO!$O$11*EFEITO!$AA$11</f>
        <v>0</v>
      </c>
      <c r="P11" s="39"/>
      <c r="Q11" s="56" t="s">
        <v>37</v>
      </c>
      <c r="R11" s="56">
        <f>SUMIF($B$2:$B$1157,$Q$11,$J$2:$J$1157)</f>
        <v>0</v>
      </c>
      <c r="S11" s="56">
        <f ca="1">SUMIF($B$2:$B$1157,$Q$11,$K$2:$K$1157)</f>
        <v>18957254.909710366</v>
      </c>
      <c r="T11" s="56">
        <f>SUMIF($B$2:$B$1157,$Q$11,$L$2:$L$1157)</f>
        <v>15184357.355444165</v>
      </c>
      <c r="U11" s="56">
        <f>SUMIF($B$2:$B$1157,$Q$11,$M$2:$M$1157)</f>
        <v>0</v>
      </c>
      <c r="V11" s="56">
        <f ca="1">SUMIF($B$2:$B$1157,$Q$11,$N$2:$N$1157)</f>
        <v>17710.957348017495</v>
      </c>
      <c r="W11" s="56">
        <f>SUMIF($B$2:$B$1157,$Q$11,$O$2:$O$1157)</f>
        <v>14238.228130927155</v>
      </c>
      <c r="X11" s="36">
        <f>$R$11-$U$11</f>
        <v>0</v>
      </c>
      <c r="Y11" s="36">
        <f ca="1">$S$11-$V$11</f>
        <v>18939543.952362347</v>
      </c>
      <c r="Z11" s="36">
        <f>$T$11-$W$11</f>
        <v>15170119.127313238</v>
      </c>
      <c r="AA11" s="36">
        <f>SUMIF(EFEITO!$B$2:$B$1157,$Q$11,EFEITO!$AE$2:$AE$1157)</f>
        <v>0</v>
      </c>
      <c r="AB11" s="36">
        <f ca="1">SUMIF(EFEITO!$B$2:$B$1157,$Q$11,EFEITO!$AF$2:$AF$1157)</f>
        <v>18939543.952362347</v>
      </c>
      <c r="AC11" s="36">
        <f>SUMIF(EFEITO!$B$2:$B$1157,$Q$11,EFEITO!$AG$2:$AH$1157)</f>
        <v>15170119.127313239</v>
      </c>
      <c r="AD11" s="36">
        <f>SUMIF(SUBSIDIO!$B$2:$B$1157,$Q$11,SUBSIDIO!$AD$2:$AD$1157)</f>
        <v>0</v>
      </c>
      <c r="AE11" s="36">
        <f ca="1">SUMIF(SUBSIDIO!$B$2:$B$1157,$Q$11,SUBSIDIO!$AE$2:$AE$1157)</f>
        <v>31949.185478944604</v>
      </c>
      <c r="AF11" s="36" t="str">
        <f>IF(ABS($X$11-$AA$11)&lt;0.01,"OK","ERRO")</f>
        <v>OK</v>
      </c>
      <c r="AG11" s="36" t="str">
        <f ca="1">IF(ABS($Y$11-$AB$11)&lt;0.01,"OK","ERRO")</f>
        <v>OK</v>
      </c>
      <c r="AH11" s="36" t="str">
        <f>IF(ABS($Z$11-$AC$11)&lt;0.01,"OK","ERRO")</f>
        <v>OK</v>
      </c>
      <c r="AI11" s="36" t="str">
        <f>IF(ABS($U$11-$AD$11)&lt;0.01,"OK","ERRO")</f>
        <v>OK</v>
      </c>
      <c r="AJ11" s="36" t="str">
        <f ca="1">IF(ABS(($V$11+$W$11)-$AE$11)&lt;0.01,"OK","ERRO")</f>
        <v>OK</v>
      </c>
    </row>
    <row r="12" spans="1:40" ht="11.25" customHeight="1" x14ac:dyDescent="0.2">
      <c r="A12" s="35" t="s">
        <v>21</v>
      </c>
      <c r="B12" s="35" t="s">
        <v>54</v>
      </c>
      <c r="C12" s="35" t="s">
        <v>40</v>
      </c>
      <c r="D12" s="35" t="s">
        <v>38</v>
      </c>
      <c r="E12" s="35" t="s">
        <v>25</v>
      </c>
      <c r="F12" s="35" t="s">
        <v>25</v>
      </c>
      <c r="G12" s="35" t="s">
        <v>25</v>
      </c>
      <c r="H12" s="35" t="s">
        <v>35</v>
      </c>
      <c r="I12" s="55">
        <v>44805</v>
      </c>
      <c r="J12" s="56">
        <f ca="1">EFEITO!$J$12*EFEITO!$Y$12</f>
        <v>159178.15958146658</v>
      </c>
      <c r="K12" s="56">
        <f ca="1">EFEITO!$L$12*EFEITO!$Z$12</f>
        <v>0</v>
      </c>
      <c r="L12" s="56">
        <f>EFEITO!$N$12*EFEITO!$AA$12</f>
        <v>0</v>
      </c>
      <c r="M12" s="56">
        <f ca="1">$J$12-EFEITO!$K$12*EFEITO!$Y$12</f>
        <v>0</v>
      </c>
      <c r="N12" s="56">
        <f ca="1">$K$12-EFEITO!$M$12*EFEITO!$Z$12</f>
        <v>0</v>
      </c>
      <c r="O12" s="56">
        <f>$L$12-EFEITO!$O$12*EFEITO!$AA$12</f>
        <v>0</v>
      </c>
      <c r="P12" s="39"/>
      <c r="Q12" s="56" t="s">
        <v>47</v>
      </c>
      <c r="R12" s="56">
        <f>SUMIF($B$2:$B$1157,$Q$12,$J$2:$J$1157)</f>
        <v>0</v>
      </c>
      <c r="S12" s="56">
        <f ca="1">SUMIF($B$2:$B$1157,$Q$12,$K$2:$K$1157)</f>
        <v>4251360.9850313189</v>
      </c>
      <c r="T12" s="56">
        <f>SUMIF($B$2:$B$1157,$Q$12,$L$2:$L$1157)</f>
        <v>3402793.071597646</v>
      </c>
      <c r="U12" s="56">
        <f>SUMIF($B$2:$B$1157,$Q$12,$M$2:$M$1157)</f>
        <v>0</v>
      </c>
      <c r="V12" s="56">
        <f ca="1">SUMIF($B$2:$B$1157,$Q$12,$N$2:$N$1157)</f>
        <v>0</v>
      </c>
      <c r="W12" s="56">
        <f>SUMIF($B$2:$B$1157,$Q$12,$O$2:$O$1157)</f>
        <v>0</v>
      </c>
      <c r="X12" s="36">
        <f>$R$12-$U$12</f>
        <v>0</v>
      </c>
      <c r="Y12" s="36">
        <f ca="1">$S$12-$V$12</f>
        <v>4251360.9850313189</v>
      </c>
      <c r="Z12" s="36">
        <f>$T$12-$W$12</f>
        <v>3402793.071597646</v>
      </c>
      <c r="AA12" s="36">
        <f>SUMIF(EFEITO!$B$2:$B$1157,$Q$12,EFEITO!$AE$2:$AE$1157)</f>
        <v>0</v>
      </c>
      <c r="AB12" s="36">
        <f ca="1">SUMIF(EFEITO!$B$2:$B$1157,$Q$12,EFEITO!$AF$2:$AF$1157)</f>
        <v>4251360.9850313189</v>
      </c>
      <c r="AC12" s="36">
        <f>SUMIF(EFEITO!$B$2:$B$1157,$Q$12,EFEITO!$AG$2:$AH$1157)</f>
        <v>3402793.071597646</v>
      </c>
      <c r="AD12" s="36">
        <f>SUMIF(SUBSIDIO!$B$2:$B$1157,$Q$12,SUBSIDIO!$AD$2:$AD$1157)</f>
        <v>0</v>
      </c>
      <c r="AE12" s="36">
        <f>SUMIF(SUBSIDIO!$B$2:$B$1157,$Q$12,SUBSIDIO!$AE$2:$AE$1157)</f>
        <v>0</v>
      </c>
      <c r="AF12" s="36" t="str">
        <f>IF(ABS($X$12-$AA$12)&lt;0.01,"OK","ERRO")</f>
        <v>OK</v>
      </c>
      <c r="AG12" s="36" t="str">
        <f ca="1">IF(ABS($Y$12-$AB$12)&lt;0.01,"OK","ERRO")</f>
        <v>OK</v>
      </c>
      <c r="AH12" s="36" t="str">
        <f>IF(ABS($Z$12-$AC$12)&lt;0.01,"OK","ERRO")</f>
        <v>OK</v>
      </c>
      <c r="AI12" s="36" t="str">
        <f>IF(ABS($U$12-$AD$12)&lt;0.01,"OK","ERRO")</f>
        <v>OK</v>
      </c>
      <c r="AJ12" s="36" t="str">
        <f ca="1">IF(ABS(($V$12+$W$12)-$AE$12)&lt;0.01,"OK","ERRO")</f>
        <v>OK</v>
      </c>
    </row>
    <row r="13" spans="1:40" ht="11.25" customHeight="1" x14ac:dyDescent="0.2">
      <c r="A13" s="35" t="s">
        <v>53</v>
      </c>
      <c r="B13" s="35" t="s">
        <v>54</v>
      </c>
      <c r="C13" s="35" t="s">
        <v>40</v>
      </c>
      <c r="D13" s="35" t="s">
        <v>38</v>
      </c>
      <c r="E13" s="35" t="s">
        <v>25</v>
      </c>
      <c r="F13" s="35" t="s">
        <v>25</v>
      </c>
      <c r="G13" s="35" t="s">
        <v>25</v>
      </c>
      <c r="H13" s="35" t="s">
        <v>35</v>
      </c>
      <c r="I13" s="55">
        <v>44835</v>
      </c>
      <c r="J13" s="56">
        <f ca="1">EFEITO!$J$13*EFEITO!$Y$13</f>
        <v>159178.15958146658</v>
      </c>
      <c r="K13" s="56">
        <f ca="1">EFEITO!$L$13*EFEITO!$Z$13</f>
        <v>0</v>
      </c>
      <c r="L13" s="56">
        <f>EFEITO!$N$13*EFEITO!$AA$13</f>
        <v>0</v>
      </c>
      <c r="M13" s="56">
        <f ca="1">$J$13-EFEITO!$K$13*EFEITO!$Y$13</f>
        <v>0</v>
      </c>
      <c r="N13" s="56">
        <f ca="1">$K$13-EFEITO!$M$13*EFEITO!$Z$13</f>
        <v>0</v>
      </c>
      <c r="O13" s="56">
        <f>$L$13-EFEITO!$O$13*EFEITO!$AA$13</f>
        <v>0</v>
      </c>
      <c r="P13" s="39"/>
      <c r="Q13" s="56" t="s">
        <v>87</v>
      </c>
      <c r="R13" s="56">
        <f>SUMIF($B$2:$B$1157,$Q$13,$J$2:$J$1157)</f>
        <v>0</v>
      </c>
      <c r="S13" s="56">
        <f>SUMIF($B$2:$B$1157,$Q$13,$K$2:$K$1157)</f>
        <v>0</v>
      </c>
      <c r="T13" s="56">
        <f>SUMIF($B$2:$B$1157,$Q$13,$L$2:$L$1157)</f>
        <v>0</v>
      </c>
      <c r="U13" s="56">
        <f>SUMIF($B$2:$B$1157,$Q$13,$M$2:$M$1157)</f>
        <v>0</v>
      </c>
      <c r="V13" s="56">
        <f>SUMIF($B$2:$B$1157,$Q$13,$N$2:$N$1157)</f>
        <v>0</v>
      </c>
      <c r="W13" s="56">
        <f>SUMIF($B$2:$B$1157,$Q$13,$O$2:$O$1157)</f>
        <v>0</v>
      </c>
      <c r="X13" s="36">
        <f>$R$13-$U$13</f>
        <v>0</v>
      </c>
      <c r="Y13" s="36">
        <f>$S$13-$V$13</f>
        <v>0</v>
      </c>
      <c r="Z13" s="36">
        <f>$T$13-$W$13</f>
        <v>0</v>
      </c>
      <c r="AA13" s="36">
        <f>SUMIF(EFEITO!$B$2:$B$1157,$Q$13,EFEITO!$AE$2:$AE$1157)</f>
        <v>0</v>
      </c>
      <c r="AB13" s="36">
        <f>SUMIF(EFEITO!$B$2:$B$1157,$Q$13,EFEITO!$AF$2:$AF$1157)</f>
        <v>0</v>
      </c>
      <c r="AC13" s="36">
        <f>SUMIF(EFEITO!$B$2:$B$1157,$Q$13,EFEITO!$AG$2:$AH$1157)</f>
        <v>0</v>
      </c>
      <c r="AD13" s="36">
        <f>SUMIF(SUBSIDIO!$B$2:$B$1157,$Q$13,SUBSIDIO!$AD$2:$AD$1157)</f>
        <v>0</v>
      </c>
      <c r="AE13" s="36">
        <f>SUMIF(SUBSIDIO!$B$2:$B$1157,$Q$13,SUBSIDIO!$AE$2:$AE$1157)</f>
        <v>0</v>
      </c>
      <c r="AF13" s="36" t="str">
        <f>IF(ABS($X$13-$AA$13)&lt;0.01,"OK","ERRO")</f>
        <v>OK</v>
      </c>
      <c r="AG13" s="36" t="str">
        <f>IF(ABS($Y$13-$AB$13)&lt;0.01,"OK","ERRO")</f>
        <v>OK</v>
      </c>
      <c r="AH13" s="36" t="str">
        <f>IF(ABS($Z$13-$AC$13)&lt;0.01,"OK","ERRO")</f>
        <v>OK</v>
      </c>
      <c r="AI13" s="36" t="str">
        <f>IF(ABS($U$13-$AD$13)&lt;0.01,"OK","ERRO")</f>
        <v>OK</v>
      </c>
      <c r="AJ13" s="36" t="str">
        <f>IF(ABS(($V$13+$W$13)-$AE$13)&lt;0.01,"OK","ERRO")</f>
        <v>OK</v>
      </c>
    </row>
    <row r="14" spans="1:40" ht="11.25" customHeight="1" x14ac:dyDescent="0.2">
      <c r="A14" s="35" t="s">
        <v>21</v>
      </c>
      <c r="B14" s="35" t="s">
        <v>54</v>
      </c>
      <c r="C14" s="35" t="s">
        <v>40</v>
      </c>
      <c r="D14" s="35" t="s">
        <v>38</v>
      </c>
      <c r="E14" s="35" t="s">
        <v>25</v>
      </c>
      <c r="F14" s="35" t="s">
        <v>25</v>
      </c>
      <c r="G14" s="35" t="s">
        <v>25</v>
      </c>
      <c r="H14" s="35" t="s">
        <v>25</v>
      </c>
      <c r="I14" s="55">
        <v>44501</v>
      </c>
      <c r="J14" s="56">
        <f>EFEITO!$J$14*EFEITO!$Y$14</f>
        <v>0</v>
      </c>
      <c r="K14" s="56">
        <f ca="1">EFEITO!$L$14*EFEITO!$Z$14</f>
        <v>917109.00039221067</v>
      </c>
      <c r="L14" s="56">
        <f>EFEITO!$N$14*EFEITO!$AA$14</f>
        <v>0</v>
      </c>
      <c r="M14" s="56">
        <f>$J$14-EFEITO!$K$14*EFEITO!$Y$14</f>
        <v>0</v>
      </c>
      <c r="N14" s="56">
        <f ca="1">$K$14-EFEITO!$M$14*EFEITO!$Z$14</f>
        <v>0</v>
      </c>
      <c r="O14" s="56">
        <f>$L$14-EFEITO!$O$14*EFEITO!$AA$14</f>
        <v>0</v>
      </c>
      <c r="P14" s="39"/>
      <c r="Q14" s="39"/>
      <c r="R14" s="39"/>
      <c r="S14" s="39"/>
      <c r="T14" s="39"/>
      <c r="U14" s="39"/>
      <c r="V14" s="39"/>
      <c r="W14" s="39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1:40" ht="11.25" customHeight="1" x14ac:dyDescent="0.2">
      <c r="A15" s="35" t="s">
        <v>21</v>
      </c>
      <c r="B15" s="35" t="s">
        <v>54</v>
      </c>
      <c r="C15" s="35" t="s">
        <v>40</v>
      </c>
      <c r="D15" s="35" t="s">
        <v>38</v>
      </c>
      <c r="E15" s="35" t="s">
        <v>25</v>
      </c>
      <c r="F15" s="35" t="s">
        <v>25</v>
      </c>
      <c r="G15" s="35" t="s">
        <v>25</v>
      </c>
      <c r="H15" s="35" t="s">
        <v>25</v>
      </c>
      <c r="I15" s="55">
        <v>44531</v>
      </c>
      <c r="J15" s="56">
        <f>EFEITO!$J$15*EFEITO!$Y$15</f>
        <v>0</v>
      </c>
      <c r="K15" s="56">
        <f ca="1">EFEITO!$L$15*EFEITO!$Z$15</f>
        <v>962417.12553016085</v>
      </c>
      <c r="L15" s="56">
        <f>EFEITO!$N$15*EFEITO!$AA$15</f>
        <v>0</v>
      </c>
      <c r="M15" s="56">
        <f>$J$15-EFEITO!$K$15*EFEITO!$Y$15</f>
        <v>0</v>
      </c>
      <c r="N15" s="56">
        <f ca="1">$K$15-EFEITO!$M$15*EFEITO!$Z$15</f>
        <v>0</v>
      </c>
      <c r="O15" s="56">
        <f>$L$15-EFEITO!$O$15*EFEITO!$AA$15</f>
        <v>0</v>
      </c>
      <c r="P15" s="39"/>
      <c r="Q15" s="39"/>
      <c r="R15" s="39"/>
      <c r="S15" s="39"/>
      <c r="T15" s="39"/>
      <c r="U15" s="39"/>
      <c r="V15" s="39"/>
      <c r="W15" s="39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40" ht="11.25" customHeight="1" x14ac:dyDescent="0.2">
      <c r="A16" s="35" t="s">
        <v>21</v>
      </c>
      <c r="B16" s="35" t="s">
        <v>54</v>
      </c>
      <c r="C16" s="35" t="s">
        <v>40</v>
      </c>
      <c r="D16" s="35" t="s">
        <v>38</v>
      </c>
      <c r="E16" s="35" t="s">
        <v>25</v>
      </c>
      <c r="F16" s="35" t="s">
        <v>25</v>
      </c>
      <c r="G16" s="35" t="s">
        <v>25</v>
      </c>
      <c r="H16" s="35" t="s">
        <v>25</v>
      </c>
      <c r="I16" s="55">
        <v>44562</v>
      </c>
      <c r="J16" s="56">
        <f>EFEITO!$J$16*EFEITO!$Y$16</f>
        <v>0</v>
      </c>
      <c r="K16" s="56">
        <f ca="1">EFEITO!$L$16*EFEITO!$Z$16</f>
        <v>902722.58355121803</v>
      </c>
      <c r="L16" s="56">
        <f>EFEITO!$N$16*EFEITO!$AA$16</f>
        <v>0</v>
      </c>
      <c r="M16" s="56">
        <f>$J$16-EFEITO!$K$16*EFEITO!$Y$16</f>
        <v>0</v>
      </c>
      <c r="N16" s="56">
        <f ca="1">$K$16-EFEITO!$M$16*EFEITO!$Z$16</f>
        <v>0</v>
      </c>
      <c r="O16" s="56">
        <f>$L$16-EFEITO!$O$16*EFEITO!$AA$16</f>
        <v>0</v>
      </c>
      <c r="P16" s="39"/>
      <c r="Q16" s="39"/>
      <c r="R16" s="39"/>
      <c r="S16" s="39"/>
      <c r="T16" s="39"/>
      <c r="U16" s="39"/>
      <c r="V16" s="39"/>
      <c r="W16" s="39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11.25" customHeight="1" x14ac:dyDescent="0.2">
      <c r="A17" s="35" t="s">
        <v>21</v>
      </c>
      <c r="B17" s="35" t="s">
        <v>54</v>
      </c>
      <c r="C17" s="35" t="s">
        <v>40</v>
      </c>
      <c r="D17" s="35" t="s">
        <v>38</v>
      </c>
      <c r="E17" s="35" t="s">
        <v>25</v>
      </c>
      <c r="F17" s="35" t="s">
        <v>25</v>
      </c>
      <c r="G17" s="35" t="s">
        <v>25</v>
      </c>
      <c r="H17" s="35" t="s">
        <v>25</v>
      </c>
      <c r="I17" s="55">
        <v>44593</v>
      </c>
      <c r="J17" s="56">
        <f>EFEITO!$J$17*EFEITO!$Y$17</f>
        <v>0</v>
      </c>
      <c r="K17" s="56">
        <f ca="1">EFEITO!$L$17*EFEITO!$Z$17</f>
        <v>825848.90238521132</v>
      </c>
      <c r="L17" s="56">
        <f>EFEITO!$N$17*EFEITO!$AA$17</f>
        <v>0</v>
      </c>
      <c r="M17" s="56">
        <f>$J$17-EFEITO!$K$17*EFEITO!$Y$17</f>
        <v>0</v>
      </c>
      <c r="N17" s="56">
        <f ca="1">$K$17-EFEITO!$M$17*EFEITO!$Z$17</f>
        <v>0</v>
      </c>
      <c r="O17" s="56">
        <f>$L$17-EFEITO!$O$17*EFEITO!$AA$17</f>
        <v>0</v>
      </c>
      <c r="P17" s="39"/>
      <c r="Q17" s="39"/>
      <c r="R17" s="39"/>
      <c r="S17" s="39"/>
      <c r="T17" s="39"/>
      <c r="U17" s="39"/>
      <c r="V17" s="39"/>
      <c r="W17" s="39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11.25" customHeight="1" x14ac:dyDescent="0.2">
      <c r="A18" s="35" t="s">
        <v>21</v>
      </c>
      <c r="B18" s="35" t="s">
        <v>54</v>
      </c>
      <c r="C18" s="35" t="s">
        <v>40</v>
      </c>
      <c r="D18" s="35" t="s">
        <v>38</v>
      </c>
      <c r="E18" s="35" t="s">
        <v>25</v>
      </c>
      <c r="F18" s="35" t="s">
        <v>25</v>
      </c>
      <c r="G18" s="35" t="s">
        <v>25</v>
      </c>
      <c r="H18" s="35" t="s">
        <v>25</v>
      </c>
      <c r="I18" s="55">
        <v>44621</v>
      </c>
      <c r="J18" s="56">
        <f>EFEITO!$J$18*EFEITO!$Y$18</f>
        <v>0</v>
      </c>
      <c r="K18" s="56">
        <f ca="1">EFEITO!$L$18*EFEITO!$Z$18</f>
        <v>860270.27113872557</v>
      </c>
      <c r="L18" s="56">
        <f>EFEITO!$N$18*EFEITO!$AA$18</f>
        <v>0</v>
      </c>
      <c r="M18" s="56">
        <f>$J$18-EFEITO!$K$18*EFEITO!$Y$18</f>
        <v>0</v>
      </c>
      <c r="N18" s="56">
        <f ca="1">$K$18-EFEITO!$M$18*EFEITO!$Z$18</f>
        <v>0</v>
      </c>
      <c r="O18" s="56">
        <f>$L$18-EFEITO!$O$18*EFEITO!$AA$18</f>
        <v>0</v>
      </c>
      <c r="P18" s="39"/>
      <c r="Q18" s="39"/>
      <c r="R18" s="39"/>
      <c r="S18" s="39"/>
      <c r="T18" s="39"/>
      <c r="U18" s="39"/>
      <c r="V18" s="39"/>
      <c r="W18" s="39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11.25" customHeight="1" x14ac:dyDescent="0.2">
      <c r="A19" s="35" t="s">
        <v>21</v>
      </c>
      <c r="B19" s="35" t="s">
        <v>54</v>
      </c>
      <c r="C19" s="35" t="s">
        <v>40</v>
      </c>
      <c r="D19" s="35" t="s">
        <v>38</v>
      </c>
      <c r="E19" s="35" t="s">
        <v>25</v>
      </c>
      <c r="F19" s="35" t="s">
        <v>25</v>
      </c>
      <c r="G19" s="35" t="s">
        <v>25</v>
      </c>
      <c r="H19" s="35" t="s">
        <v>25</v>
      </c>
      <c r="I19" s="55">
        <v>44652</v>
      </c>
      <c r="J19" s="56">
        <f>EFEITO!$J$19*EFEITO!$Y$19</f>
        <v>0</v>
      </c>
      <c r="K19" s="56">
        <f ca="1">EFEITO!$L$19*EFEITO!$Z$19</f>
        <v>943945.67451167526</v>
      </c>
      <c r="L19" s="56">
        <f>EFEITO!$N$19*EFEITO!$AA$19</f>
        <v>0</v>
      </c>
      <c r="M19" s="56">
        <f>$J$19-EFEITO!$K$19*EFEITO!$Y$19</f>
        <v>0</v>
      </c>
      <c r="N19" s="56">
        <f ca="1">$K$19-EFEITO!$M$19*EFEITO!$Z$19</f>
        <v>0</v>
      </c>
      <c r="O19" s="56">
        <f>$L$19-EFEITO!$O$19*EFEITO!$AA$19</f>
        <v>0</v>
      </c>
      <c r="P19" s="39"/>
      <c r="Q19" s="39"/>
      <c r="R19" s="39"/>
      <c r="S19" s="39"/>
      <c r="T19" s="39"/>
      <c r="U19" s="39"/>
      <c r="V19" s="39"/>
      <c r="W19" s="39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11.25" customHeight="1" x14ac:dyDescent="0.2">
      <c r="A20" s="35" t="s">
        <v>21</v>
      </c>
      <c r="B20" s="35" t="s">
        <v>54</v>
      </c>
      <c r="C20" s="35" t="s">
        <v>40</v>
      </c>
      <c r="D20" s="35" t="s">
        <v>38</v>
      </c>
      <c r="E20" s="35" t="s">
        <v>25</v>
      </c>
      <c r="F20" s="35" t="s">
        <v>25</v>
      </c>
      <c r="G20" s="35" t="s">
        <v>25</v>
      </c>
      <c r="H20" s="35" t="s">
        <v>25</v>
      </c>
      <c r="I20" s="55">
        <v>44682</v>
      </c>
      <c r="J20" s="56">
        <f>EFEITO!$J$20*EFEITO!$Y$20</f>
        <v>0</v>
      </c>
      <c r="K20" s="56">
        <f ca="1">EFEITO!$L$20*EFEITO!$Z$20</f>
        <v>937630.39089701755</v>
      </c>
      <c r="L20" s="56">
        <f>EFEITO!$N$20*EFEITO!$AA$20</f>
        <v>0</v>
      </c>
      <c r="M20" s="56">
        <f>$J$20-EFEITO!$K$20*EFEITO!$Y$20</f>
        <v>0</v>
      </c>
      <c r="N20" s="56">
        <f ca="1">$K$20-EFEITO!$M$20*EFEITO!$Z$20</f>
        <v>0</v>
      </c>
      <c r="O20" s="56">
        <f>$L$20-EFEITO!$O$20*EFEITO!$AA$20</f>
        <v>0</v>
      </c>
      <c r="P20" s="39"/>
      <c r="Q20" s="39"/>
      <c r="R20" s="39"/>
      <c r="S20" s="39"/>
      <c r="T20" s="39"/>
      <c r="U20" s="39"/>
      <c r="V20" s="39"/>
      <c r="W20" s="39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11.25" customHeight="1" x14ac:dyDescent="0.2">
      <c r="A21" s="35" t="s">
        <v>21</v>
      </c>
      <c r="B21" s="35" t="s">
        <v>54</v>
      </c>
      <c r="C21" s="35" t="s">
        <v>40</v>
      </c>
      <c r="D21" s="35" t="s">
        <v>38</v>
      </c>
      <c r="E21" s="35" t="s">
        <v>25</v>
      </c>
      <c r="F21" s="35" t="s">
        <v>25</v>
      </c>
      <c r="G21" s="35" t="s">
        <v>25</v>
      </c>
      <c r="H21" s="35" t="s">
        <v>25</v>
      </c>
      <c r="I21" s="55">
        <v>44713</v>
      </c>
      <c r="J21" s="56">
        <f>EFEITO!$J$21*EFEITO!$Y$21</f>
        <v>0</v>
      </c>
      <c r="K21" s="56">
        <f ca="1">EFEITO!$L$21*EFEITO!$Z$21</f>
        <v>814370.61712087481</v>
      </c>
      <c r="L21" s="56">
        <f>EFEITO!$N$21*EFEITO!$AA$21</f>
        <v>0</v>
      </c>
      <c r="M21" s="56">
        <f>$J$21-EFEITO!$K$21*EFEITO!$Y$21</f>
        <v>0</v>
      </c>
      <c r="N21" s="56">
        <f ca="1">$K$21-EFEITO!$M$21*EFEITO!$Z$21</f>
        <v>0</v>
      </c>
      <c r="O21" s="56">
        <f>$L$21-EFEITO!$O$21*EFEITO!$AA$21</f>
        <v>0</v>
      </c>
      <c r="P21" s="39"/>
      <c r="Q21" s="39"/>
      <c r="R21" s="39"/>
      <c r="S21" s="39"/>
      <c r="T21" s="39"/>
      <c r="U21" s="39"/>
      <c r="V21" s="39"/>
      <c r="W21" s="39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11.25" customHeight="1" x14ac:dyDescent="0.2">
      <c r="A22" s="35" t="s">
        <v>21</v>
      </c>
      <c r="B22" s="35" t="s">
        <v>54</v>
      </c>
      <c r="C22" s="35" t="s">
        <v>40</v>
      </c>
      <c r="D22" s="35" t="s">
        <v>38</v>
      </c>
      <c r="E22" s="35" t="s">
        <v>25</v>
      </c>
      <c r="F22" s="35" t="s">
        <v>25</v>
      </c>
      <c r="G22" s="35" t="s">
        <v>25</v>
      </c>
      <c r="H22" s="35" t="s">
        <v>25</v>
      </c>
      <c r="I22" s="55">
        <v>44743</v>
      </c>
      <c r="J22" s="56">
        <f>EFEITO!$J$22*EFEITO!$Y$22</f>
        <v>0</v>
      </c>
      <c r="K22" s="56">
        <f ca="1">EFEITO!$L$22*EFEITO!$Z$22</f>
        <v>767690.25360200752</v>
      </c>
      <c r="L22" s="56">
        <f>EFEITO!$N$22*EFEITO!$AA$22</f>
        <v>0</v>
      </c>
      <c r="M22" s="56">
        <f>$J$22-EFEITO!$K$22*EFEITO!$Y$22</f>
        <v>0</v>
      </c>
      <c r="N22" s="56">
        <f ca="1">$K$22-EFEITO!$M$22*EFEITO!$Z$22</f>
        <v>0</v>
      </c>
      <c r="O22" s="56">
        <f>$L$22-EFEITO!$O$22*EFEITO!$AA$22</f>
        <v>0</v>
      </c>
      <c r="P22" s="39"/>
      <c r="Q22" s="39"/>
      <c r="R22" s="39"/>
      <c r="S22" s="39"/>
      <c r="T22" s="39"/>
      <c r="U22" s="39"/>
      <c r="V22" s="39"/>
      <c r="W22" s="39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1:36" ht="11.25" customHeight="1" x14ac:dyDescent="0.2">
      <c r="A23" s="35" t="s">
        <v>21</v>
      </c>
      <c r="B23" s="35" t="s">
        <v>54</v>
      </c>
      <c r="C23" s="35" t="s">
        <v>40</v>
      </c>
      <c r="D23" s="35" t="s">
        <v>38</v>
      </c>
      <c r="E23" s="35" t="s">
        <v>25</v>
      </c>
      <c r="F23" s="35" t="s">
        <v>25</v>
      </c>
      <c r="G23" s="35" t="s">
        <v>25</v>
      </c>
      <c r="H23" s="35" t="s">
        <v>25</v>
      </c>
      <c r="I23" s="55">
        <v>44774</v>
      </c>
      <c r="J23" s="56">
        <f>EFEITO!$J$23*EFEITO!$Y$23</f>
        <v>0</v>
      </c>
      <c r="K23" s="56">
        <f ca="1">EFEITO!$L$23*EFEITO!$Z$23</f>
        <v>880725.85575283796</v>
      </c>
      <c r="L23" s="56">
        <f>EFEITO!$N$23*EFEITO!$AA$23</f>
        <v>0</v>
      </c>
      <c r="M23" s="56">
        <f>$J$23-EFEITO!$K$23*EFEITO!$Y$23</f>
        <v>0</v>
      </c>
      <c r="N23" s="56">
        <f ca="1">$K$23-EFEITO!$M$23*EFEITO!$Z$23</f>
        <v>0</v>
      </c>
      <c r="O23" s="56">
        <f>$L$23-EFEITO!$O$23*EFEITO!$AA$23</f>
        <v>0</v>
      </c>
      <c r="P23" s="39"/>
      <c r="Q23" s="39"/>
      <c r="R23" s="39"/>
      <c r="S23" s="39"/>
      <c r="T23" s="39"/>
      <c r="U23" s="39"/>
      <c r="V23" s="39"/>
      <c r="W23" s="39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11.25" customHeight="1" x14ac:dyDescent="0.2">
      <c r="A24" s="35" t="s">
        <v>21</v>
      </c>
      <c r="B24" s="35" t="s">
        <v>54</v>
      </c>
      <c r="C24" s="35" t="s">
        <v>40</v>
      </c>
      <c r="D24" s="35" t="s">
        <v>38</v>
      </c>
      <c r="E24" s="35" t="s">
        <v>25</v>
      </c>
      <c r="F24" s="35" t="s">
        <v>25</v>
      </c>
      <c r="G24" s="35" t="s">
        <v>25</v>
      </c>
      <c r="H24" s="35" t="s">
        <v>25</v>
      </c>
      <c r="I24" s="55">
        <v>44805</v>
      </c>
      <c r="J24" s="56">
        <f>EFEITO!$J$24*EFEITO!$Y$24</f>
        <v>0</v>
      </c>
      <c r="K24" s="56">
        <f ca="1">EFEITO!$L$24*EFEITO!$Z$24</f>
        <v>921249.34048334078</v>
      </c>
      <c r="L24" s="56">
        <f>EFEITO!$N$24*EFEITO!$AA$24</f>
        <v>0</v>
      </c>
      <c r="M24" s="56">
        <f>$J$24-EFEITO!$K$24*EFEITO!$Y$24</f>
        <v>0</v>
      </c>
      <c r="N24" s="56">
        <f ca="1">$K$24-EFEITO!$M$24*EFEITO!$Z$24</f>
        <v>0</v>
      </c>
      <c r="O24" s="56">
        <f>$L$24-EFEITO!$O$24*EFEITO!$AA$24</f>
        <v>0</v>
      </c>
      <c r="P24" s="39"/>
      <c r="Q24" s="39"/>
      <c r="R24" s="39"/>
      <c r="S24" s="39"/>
      <c r="T24" s="39"/>
      <c r="U24" s="39"/>
      <c r="V24" s="39"/>
      <c r="W24" s="39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11.25" customHeight="1" x14ac:dyDescent="0.2">
      <c r="A25" s="35" t="s">
        <v>53</v>
      </c>
      <c r="B25" s="35" t="s">
        <v>54</v>
      </c>
      <c r="C25" s="35" t="s">
        <v>40</v>
      </c>
      <c r="D25" s="35" t="s">
        <v>38</v>
      </c>
      <c r="E25" s="35" t="s">
        <v>25</v>
      </c>
      <c r="F25" s="35" t="s">
        <v>25</v>
      </c>
      <c r="G25" s="35" t="s">
        <v>25</v>
      </c>
      <c r="H25" s="35" t="s">
        <v>25</v>
      </c>
      <c r="I25" s="55">
        <v>44835</v>
      </c>
      <c r="J25" s="56">
        <f>EFEITO!$J$25*EFEITO!$Y$25</f>
        <v>0</v>
      </c>
      <c r="K25" s="56">
        <f ca="1">EFEITO!$L$25*EFEITO!$Z$25</f>
        <v>921249.34048334078</v>
      </c>
      <c r="L25" s="56">
        <f>EFEITO!$N$25*EFEITO!$AA$25</f>
        <v>0</v>
      </c>
      <c r="M25" s="56">
        <f>$J$25-EFEITO!$K$25*EFEITO!$Y$25</f>
        <v>0</v>
      </c>
      <c r="N25" s="56">
        <f ca="1">$K$25-EFEITO!$M$25*EFEITO!$Z$25</f>
        <v>0</v>
      </c>
      <c r="O25" s="56">
        <f>$L$25-EFEITO!$O$25*EFEITO!$AA$25</f>
        <v>0</v>
      </c>
      <c r="P25" s="39"/>
      <c r="Q25" s="39"/>
      <c r="R25" s="39"/>
      <c r="S25" s="39"/>
      <c r="T25" s="39"/>
      <c r="U25" s="39"/>
      <c r="V25" s="39"/>
      <c r="W25" s="39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11.25" customHeight="1" x14ac:dyDescent="0.2">
      <c r="A26" s="35" t="s">
        <v>21</v>
      </c>
      <c r="B26" s="35" t="s">
        <v>54</v>
      </c>
      <c r="C26" s="35" t="s">
        <v>40</v>
      </c>
      <c r="D26" s="35" t="s">
        <v>38</v>
      </c>
      <c r="E26" s="35" t="s">
        <v>25</v>
      </c>
      <c r="F26" s="35" t="s">
        <v>25</v>
      </c>
      <c r="G26" s="35" t="s">
        <v>25</v>
      </c>
      <c r="H26" s="35" t="s">
        <v>34</v>
      </c>
      <c r="I26" s="55">
        <v>44501</v>
      </c>
      <c r="J26" s="56">
        <f ca="1">EFEITO!$J$26*EFEITO!$Y$26</f>
        <v>79381.333083574515</v>
      </c>
      <c r="K26" s="56">
        <f ca="1">EFEITO!$L$26*EFEITO!$Z$26</f>
        <v>0</v>
      </c>
      <c r="L26" s="56">
        <f>EFEITO!$N$26*EFEITO!$AA$26</f>
        <v>0</v>
      </c>
      <c r="M26" s="56">
        <f ca="1">$J$26-EFEITO!$K$26*EFEITO!$Y$26</f>
        <v>0</v>
      </c>
      <c r="N26" s="56">
        <f ca="1">$K$26-EFEITO!$M$26*EFEITO!$Z$26</f>
        <v>0</v>
      </c>
      <c r="O26" s="56">
        <f>$L$26-EFEITO!$O$26*EFEITO!$AA$26</f>
        <v>0</v>
      </c>
      <c r="P26" s="39"/>
      <c r="Q26" s="39"/>
      <c r="R26" s="39"/>
      <c r="S26" s="39"/>
      <c r="T26" s="39"/>
      <c r="U26" s="39"/>
      <c r="V26" s="39"/>
      <c r="W26" s="39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11.25" customHeight="1" x14ac:dyDescent="0.2">
      <c r="A27" s="35" t="s">
        <v>21</v>
      </c>
      <c r="B27" s="35" t="s">
        <v>54</v>
      </c>
      <c r="C27" s="35" t="s">
        <v>40</v>
      </c>
      <c r="D27" s="35" t="s">
        <v>38</v>
      </c>
      <c r="E27" s="35" t="s">
        <v>25</v>
      </c>
      <c r="F27" s="35" t="s">
        <v>25</v>
      </c>
      <c r="G27" s="35" t="s">
        <v>25</v>
      </c>
      <c r="H27" s="35" t="s">
        <v>34</v>
      </c>
      <c r="I27" s="55">
        <v>44531</v>
      </c>
      <c r="J27" s="56">
        <f ca="1">EFEITO!$J$27*EFEITO!$Y$27</f>
        <v>82460.598278095204</v>
      </c>
      <c r="K27" s="56">
        <f ca="1">EFEITO!$L$27*EFEITO!$Z$27</f>
        <v>0</v>
      </c>
      <c r="L27" s="56">
        <f>EFEITO!$N$27*EFEITO!$AA$27</f>
        <v>0</v>
      </c>
      <c r="M27" s="56">
        <f ca="1">$J$27-EFEITO!$K$27*EFEITO!$Y$27</f>
        <v>0</v>
      </c>
      <c r="N27" s="56">
        <f ca="1">$K$27-EFEITO!$M$27*EFEITO!$Z$27</f>
        <v>0</v>
      </c>
      <c r="O27" s="56">
        <f>$L$27-EFEITO!$O$27*EFEITO!$AA$27</f>
        <v>0</v>
      </c>
      <c r="P27" s="39"/>
      <c r="Q27" s="39"/>
      <c r="R27" s="39"/>
      <c r="S27" s="39"/>
      <c r="T27" s="39"/>
      <c r="U27" s="39"/>
      <c r="V27" s="39"/>
      <c r="W27" s="39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11.25" customHeight="1" x14ac:dyDescent="0.2">
      <c r="A28" s="35" t="s">
        <v>21</v>
      </c>
      <c r="B28" s="35" t="s">
        <v>54</v>
      </c>
      <c r="C28" s="35" t="s">
        <v>40</v>
      </c>
      <c r="D28" s="35" t="s">
        <v>38</v>
      </c>
      <c r="E28" s="35" t="s">
        <v>25</v>
      </c>
      <c r="F28" s="35" t="s">
        <v>25</v>
      </c>
      <c r="G28" s="35" t="s">
        <v>25</v>
      </c>
      <c r="H28" s="35" t="s">
        <v>34</v>
      </c>
      <c r="I28" s="55">
        <v>44562</v>
      </c>
      <c r="J28" s="56">
        <f ca="1">EFEITO!$J$28*EFEITO!$Y$28</f>
        <v>83777.249602648866</v>
      </c>
      <c r="K28" s="56">
        <f ca="1">EFEITO!$L$28*EFEITO!$Z$28</f>
        <v>0</v>
      </c>
      <c r="L28" s="56">
        <f>EFEITO!$N$28*EFEITO!$AA$28</f>
        <v>0</v>
      </c>
      <c r="M28" s="56">
        <f ca="1">$J$28-EFEITO!$K$28*EFEITO!$Y$28</f>
        <v>0</v>
      </c>
      <c r="N28" s="56">
        <f ca="1">$K$28-EFEITO!$M$28*EFEITO!$Z$28</f>
        <v>0</v>
      </c>
      <c r="O28" s="56">
        <f>$L$28-EFEITO!$O$28*EFEITO!$AA$28</f>
        <v>0</v>
      </c>
      <c r="P28" s="39"/>
      <c r="Q28" s="39"/>
      <c r="R28" s="39"/>
      <c r="S28" s="39"/>
      <c r="T28" s="39"/>
      <c r="U28" s="39"/>
      <c r="V28" s="39"/>
      <c r="W28" s="39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11.25" customHeight="1" x14ac:dyDescent="0.2">
      <c r="A29" s="35" t="s">
        <v>21</v>
      </c>
      <c r="B29" s="35" t="s">
        <v>54</v>
      </c>
      <c r="C29" s="35" t="s">
        <v>40</v>
      </c>
      <c r="D29" s="35" t="s">
        <v>38</v>
      </c>
      <c r="E29" s="35" t="s">
        <v>25</v>
      </c>
      <c r="F29" s="35" t="s">
        <v>25</v>
      </c>
      <c r="G29" s="35" t="s">
        <v>25</v>
      </c>
      <c r="H29" s="35" t="s">
        <v>34</v>
      </c>
      <c r="I29" s="55">
        <v>44593</v>
      </c>
      <c r="J29" s="56">
        <f ca="1">EFEITO!$J$29*EFEITO!$Y$29</f>
        <v>80570.566538010098</v>
      </c>
      <c r="K29" s="56">
        <f ca="1">EFEITO!$L$29*EFEITO!$Z$29</f>
        <v>0</v>
      </c>
      <c r="L29" s="56">
        <f>EFEITO!$N$29*EFEITO!$AA$29</f>
        <v>0</v>
      </c>
      <c r="M29" s="56">
        <f ca="1">$J$29-EFEITO!$K$29*EFEITO!$Y$29</f>
        <v>0</v>
      </c>
      <c r="N29" s="56">
        <f ca="1">$K$29-EFEITO!$M$29*EFEITO!$Z$29</f>
        <v>0</v>
      </c>
      <c r="O29" s="56">
        <f>$L$29-EFEITO!$O$29*EFEITO!$AA$29</f>
        <v>0</v>
      </c>
      <c r="P29" s="39"/>
      <c r="Q29" s="39"/>
      <c r="R29" s="39"/>
      <c r="S29" s="39"/>
      <c r="T29" s="39"/>
      <c r="U29" s="39"/>
      <c r="V29" s="39"/>
      <c r="W29" s="39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11.25" customHeight="1" x14ac:dyDescent="0.2">
      <c r="A30" s="35" t="s">
        <v>21</v>
      </c>
      <c r="B30" s="35" t="s">
        <v>54</v>
      </c>
      <c r="C30" s="35" t="s">
        <v>40</v>
      </c>
      <c r="D30" s="35" t="s">
        <v>38</v>
      </c>
      <c r="E30" s="35" t="s">
        <v>25</v>
      </c>
      <c r="F30" s="35" t="s">
        <v>25</v>
      </c>
      <c r="G30" s="35" t="s">
        <v>25</v>
      </c>
      <c r="H30" s="35" t="s">
        <v>34</v>
      </c>
      <c r="I30" s="55">
        <v>44621</v>
      </c>
      <c r="J30" s="56">
        <f ca="1">EFEITO!$J$30*EFEITO!$Y$30</f>
        <v>78574.353239493241</v>
      </c>
      <c r="K30" s="56">
        <f ca="1">EFEITO!$L$30*EFEITO!$Z$30</f>
        <v>0</v>
      </c>
      <c r="L30" s="56">
        <f>EFEITO!$N$30*EFEITO!$AA$30</f>
        <v>0</v>
      </c>
      <c r="M30" s="56">
        <f ca="1">$J$30-EFEITO!$K$30*EFEITO!$Y$30</f>
        <v>0</v>
      </c>
      <c r="N30" s="56">
        <f ca="1">$K$30-EFEITO!$M$30*EFEITO!$Z$30</f>
        <v>0</v>
      </c>
      <c r="O30" s="56">
        <f>$L$30-EFEITO!$O$30*EFEITO!$AA$30</f>
        <v>0</v>
      </c>
      <c r="P30" s="39"/>
      <c r="Q30" s="39"/>
      <c r="R30" s="39"/>
      <c r="S30" s="39"/>
      <c r="T30" s="39"/>
      <c r="U30" s="39"/>
      <c r="V30" s="39"/>
      <c r="W30" s="39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1:36" ht="11.25" customHeight="1" x14ac:dyDescent="0.2">
      <c r="A31" s="35" t="s">
        <v>21</v>
      </c>
      <c r="B31" s="35" t="s">
        <v>54</v>
      </c>
      <c r="C31" s="35" t="s">
        <v>40</v>
      </c>
      <c r="D31" s="35" t="s">
        <v>38</v>
      </c>
      <c r="E31" s="35" t="s">
        <v>25</v>
      </c>
      <c r="F31" s="35" t="s">
        <v>25</v>
      </c>
      <c r="G31" s="35" t="s">
        <v>25</v>
      </c>
      <c r="H31" s="35" t="s">
        <v>34</v>
      </c>
      <c r="I31" s="55">
        <v>44652</v>
      </c>
      <c r="J31" s="56">
        <f ca="1">EFEITO!$J$31*EFEITO!$Y$31</f>
        <v>78574.353239493241</v>
      </c>
      <c r="K31" s="56">
        <f ca="1">EFEITO!$L$31*EFEITO!$Z$31</f>
        <v>0</v>
      </c>
      <c r="L31" s="56">
        <f>EFEITO!$N$31*EFEITO!$AA$31</f>
        <v>0</v>
      </c>
      <c r="M31" s="56">
        <f ca="1">$J$31-EFEITO!$K$31*EFEITO!$Y$31</f>
        <v>0</v>
      </c>
      <c r="N31" s="56">
        <f ca="1">$K$31-EFEITO!$M$31*EFEITO!$Z$31</f>
        <v>0</v>
      </c>
      <c r="O31" s="56">
        <f>$L$31-EFEITO!$O$31*EFEITO!$AA$31</f>
        <v>0</v>
      </c>
      <c r="P31" s="39"/>
      <c r="Q31" s="39"/>
      <c r="R31" s="39"/>
      <c r="S31" s="39"/>
      <c r="T31" s="39"/>
      <c r="U31" s="39"/>
      <c r="V31" s="39"/>
      <c r="W31" s="39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11.25" customHeight="1" x14ac:dyDescent="0.2">
      <c r="A32" s="35" t="s">
        <v>21</v>
      </c>
      <c r="B32" s="35" t="s">
        <v>54</v>
      </c>
      <c r="C32" s="35" t="s">
        <v>40</v>
      </c>
      <c r="D32" s="35" t="s">
        <v>38</v>
      </c>
      <c r="E32" s="35" t="s">
        <v>25</v>
      </c>
      <c r="F32" s="35" t="s">
        <v>25</v>
      </c>
      <c r="G32" s="35" t="s">
        <v>25</v>
      </c>
      <c r="H32" s="35" t="s">
        <v>34</v>
      </c>
      <c r="I32" s="55">
        <v>44682</v>
      </c>
      <c r="J32" s="56">
        <f ca="1">EFEITO!$J$32*EFEITO!$Y$32</f>
        <v>78574.353239493241</v>
      </c>
      <c r="K32" s="56">
        <f ca="1">EFEITO!$L$32*EFEITO!$Z$32</f>
        <v>0</v>
      </c>
      <c r="L32" s="56">
        <f>EFEITO!$N$32*EFEITO!$AA$32</f>
        <v>0</v>
      </c>
      <c r="M32" s="56">
        <f ca="1">$J$32-EFEITO!$K$32*EFEITO!$Y$32</f>
        <v>0</v>
      </c>
      <c r="N32" s="56">
        <f ca="1">$K$32-EFEITO!$M$32*EFEITO!$Z$32</f>
        <v>0</v>
      </c>
      <c r="O32" s="56">
        <f>$L$32-EFEITO!$O$32*EFEITO!$AA$32</f>
        <v>0</v>
      </c>
      <c r="P32" s="39"/>
      <c r="Q32" s="39"/>
      <c r="R32" s="39"/>
      <c r="S32" s="39"/>
      <c r="T32" s="39"/>
      <c r="U32" s="39"/>
      <c r="V32" s="39"/>
      <c r="W32" s="39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11.25" customHeight="1" x14ac:dyDescent="0.2">
      <c r="A33" s="35" t="s">
        <v>21</v>
      </c>
      <c r="B33" s="35" t="s">
        <v>54</v>
      </c>
      <c r="C33" s="35" t="s">
        <v>40</v>
      </c>
      <c r="D33" s="35" t="s">
        <v>38</v>
      </c>
      <c r="E33" s="35" t="s">
        <v>25</v>
      </c>
      <c r="F33" s="35" t="s">
        <v>25</v>
      </c>
      <c r="G33" s="35" t="s">
        <v>25</v>
      </c>
      <c r="H33" s="35" t="s">
        <v>34</v>
      </c>
      <c r="I33" s="55">
        <v>44713</v>
      </c>
      <c r="J33" s="56">
        <f ca="1">EFEITO!$J$33*EFEITO!$Y$33</f>
        <v>78935.37053816118</v>
      </c>
      <c r="K33" s="56">
        <f ca="1">EFEITO!$L$33*EFEITO!$Z$33</f>
        <v>0</v>
      </c>
      <c r="L33" s="56">
        <f>EFEITO!$N$33*EFEITO!$AA$33</f>
        <v>0</v>
      </c>
      <c r="M33" s="56">
        <f ca="1">$J$33-EFEITO!$K$33*EFEITO!$Y$33</f>
        <v>0</v>
      </c>
      <c r="N33" s="56">
        <f ca="1">$K$33-EFEITO!$M$33*EFEITO!$Z$33</f>
        <v>0</v>
      </c>
      <c r="O33" s="56">
        <f>$L$33-EFEITO!$O$33*EFEITO!$AA$33</f>
        <v>0</v>
      </c>
      <c r="P33" s="39"/>
      <c r="Q33" s="39"/>
      <c r="R33" s="39"/>
      <c r="S33" s="39"/>
      <c r="T33" s="39"/>
      <c r="U33" s="39"/>
      <c r="V33" s="39"/>
      <c r="W33" s="39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11.25" customHeight="1" x14ac:dyDescent="0.2">
      <c r="A34" s="35" t="s">
        <v>21</v>
      </c>
      <c r="B34" s="35" t="s">
        <v>54</v>
      </c>
      <c r="C34" s="35" t="s">
        <v>40</v>
      </c>
      <c r="D34" s="35" t="s">
        <v>38</v>
      </c>
      <c r="E34" s="35" t="s">
        <v>25</v>
      </c>
      <c r="F34" s="35" t="s">
        <v>25</v>
      </c>
      <c r="G34" s="35" t="s">
        <v>25</v>
      </c>
      <c r="H34" s="35" t="s">
        <v>34</v>
      </c>
      <c r="I34" s="55">
        <v>44743</v>
      </c>
      <c r="J34" s="56">
        <f ca="1">EFEITO!$J$34*EFEITO!$Y$34</f>
        <v>78701.771109611334</v>
      </c>
      <c r="K34" s="56">
        <f ca="1">EFEITO!$L$34*EFEITO!$Z$34</f>
        <v>0</v>
      </c>
      <c r="L34" s="56">
        <f>EFEITO!$N$34*EFEITO!$AA$34</f>
        <v>0</v>
      </c>
      <c r="M34" s="56">
        <f ca="1">$J$34-EFEITO!$K$34*EFEITO!$Y$34</f>
        <v>0</v>
      </c>
      <c r="N34" s="56">
        <f ca="1">$K$34-EFEITO!$M$34*EFEITO!$Z$34</f>
        <v>0</v>
      </c>
      <c r="O34" s="56">
        <f>$L$34-EFEITO!$O$34*EFEITO!$AA$34</f>
        <v>0</v>
      </c>
      <c r="P34" s="39"/>
      <c r="Q34" s="39"/>
      <c r="R34" s="39"/>
      <c r="S34" s="39"/>
      <c r="T34" s="39"/>
      <c r="U34" s="39"/>
      <c r="V34" s="39"/>
      <c r="W34" s="39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11.25" customHeight="1" x14ac:dyDescent="0.2">
      <c r="A35" s="35" t="s">
        <v>21</v>
      </c>
      <c r="B35" s="35" t="s">
        <v>54</v>
      </c>
      <c r="C35" s="35" t="s">
        <v>40</v>
      </c>
      <c r="D35" s="35" t="s">
        <v>38</v>
      </c>
      <c r="E35" s="35" t="s">
        <v>25</v>
      </c>
      <c r="F35" s="35" t="s">
        <v>25</v>
      </c>
      <c r="G35" s="35" t="s">
        <v>25</v>
      </c>
      <c r="H35" s="35" t="s">
        <v>34</v>
      </c>
      <c r="I35" s="55">
        <v>44774</v>
      </c>
      <c r="J35" s="56">
        <f ca="1">EFEITO!$J$35*EFEITO!$Y$35</f>
        <v>79445.042018633569</v>
      </c>
      <c r="K35" s="56">
        <f ca="1">EFEITO!$L$35*EFEITO!$Z$35</f>
        <v>0</v>
      </c>
      <c r="L35" s="56">
        <f>EFEITO!$N$35*EFEITO!$AA$35</f>
        <v>0</v>
      </c>
      <c r="M35" s="56">
        <f ca="1">$J$35-EFEITO!$K$35*EFEITO!$Y$35</f>
        <v>0</v>
      </c>
      <c r="N35" s="56">
        <f ca="1">$K$35-EFEITO!$M$35*EFEITO!$Z$35</f>
        <v>0</v>
      </c>
      <c r="O35" s="56">
        <f>$L$35-EFEITO!$O$35*EFEITO!$AA$35</f>
        <v>0</v>
      </c>
      <c r="P35" s="39"/>
      <c r="Q35" s="39"/>
      <c r="R35" s="39"/>
      <c r="S35" s="39"/>
      <c r="T35" s="39"/>
      <c r="U35" s="39"/>
      <c r="V35" s="39"/>
      <c r="W35" s="39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11.25" customHeight="1" x14ac:dyDescent="0.2">
      <c r="A36" s="35" t="s">
        <v>21</v>
      </c>
      <c r="B36" s="35" t="s">
        <v>54</v>
      </c>
      <c r="C36" s="35" t="s">
        <v>40</v>
      </c>
      <c r="D36" s="35" t="s">
        <v>38</v>
      </c>
      <c r="E36" s="35" t="s">
        <v>25</v>
      </c>
      <c r="F36" s="35" t="s">
        <v>25</v>
      </c>
      <c r="G36" s="35" t="s">
        <v>25</v>
      </c>
      <c r="H36" s="35" t="s">
        <v>34</v>
      </c>
      <c r="I36" s="55">
        <v>44805</v>
      </c>
      <c r="J36" s="56">
        <f ca="1">EFEITO!$J$36*EFEITO!$Y$36</f>
        <v>80528.0939146374</v>
      </c>
      <c r="K36" s="56">
        <f ca="1">EFEITO!$L$36*EFEITO!$Z$36</f>
        <v>0</v>
      </c>
      <c r="L36" s="56">
        <f>EFEITO!$N$36*EFEITO!$AA$36</f>
        <v>0</v>
      </c>
      <c r="M36" s="56">
        <f ca="1">$J$36-EFEITO!$K$36*EFEITO!$Y$36</f>
        <v>0</v>
      </c>
      <c r="N36" s="56">
        <f ca="1">$K$36-EFEITO!$M$36*EFEITO!$Z$36</f>
        <v>0</v>
      </c>
      <c r="O36" s="56">
        <f>$L$36-EFEITO!$O$36*EFEITO!$AA$36</f>
        <v>0</v>
      </c>
      <c r="P36" s="39"/>
      <c r="Q36" s="39"/>
      <c r="R36" s="39"/>
      <c r="S36" s="39"/>
      <c r="T36" s="39"/>
      <c r="U36" s="39"/>
      <c r="V36" s="39"/>
      <c r="W36" s="39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11.25" customHeight="1" x14ac:dyDescent="0.2">
      <c r="A37" s="35" t="s">
        <v>53</v>
      </c>
      <c r="B37" s="35" t="s">
        <v>54</v>
      </c>
      <c r="C37" s="35" t="s">
        <v>40</v>
      </c>
      <c r="D37" s="35" t="s">
        <v>38</v>
      </c>
      <c r="E37" s="35" t="s">
        <v>25</v>
      </c>
      <c r="F37" s="35" t="s">
        <v>25</v>
      </c>
      <c r="G37" s="35" t="s">
        <v>25</v>
      </c>
      <c r="H37" s="35" t="s">
        <v>34</v>
      </c>
      <c r="I37" s="55">
        <v>44835</v>
      </c>
      <c r="J37" s="56">
        <f ca="1">EFEITO!$J$37*EFEITO!$Y$37</f>
        <v>80528.0939146374</v>
      </c>
      <c r="K37" s="56">
        <f ca="1">EFEITO!$L$37*EFEITO!$Z$37</f>
        <v>0</v>
      </c>
      <c r="L37" s="56">
        <f>EFEITO!$N$37*EFEITO!$AA$37</f>
        <v>0</v>
      </c>
      <c r="M37" s="56">
        <f ca="1">$J$37-EFEITO!$K$37*EFEITO!$Y$37</f>
        <v>0</v>
      </c>
      <c r="N37" s="56">
        <f ca="1">$K$37-EFEITO!$M$37*EFEITO!$Z$37</f>
        <v>0</v>
      </c>
      <c r="O37" s="56">
        <f>$L$37-EFEITO!$O$37*EFEITO!$AA$37</f>
        <v>0</v>
      </c>
      <c r="P37" s="39"/>
      <c r="Q37" s="39"/>
      <c r="R37" s="39"/>
      <c r="S37" s="39"/>
      <c r="T37" s="39"/>
      <c r="U37" s="39"/>
      <c r="V37" s="39"/>
      <c r="W37" s="39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11.25" customHeight="1" x14ac:dyDescent="0.2">
      <c r="A38" s="35" t="s">
        <v>21</v>
      </c>
      <c r="B38" s="35" t="s">
        <v>60</v>
      </c>
      <c r="C38" s="35" t="s">
        <v>57</v>
      </c>
      <c r="D38" s="35" t="s">
        <v>25</v>
      </c>
      <c r="E38" s="35" t="s">
        <v>25</v>
      </c>
      <c r="F38" s="35" t="s">
        <v>25</v>
      </c>
      <c r="G38" s="35" t="s">
        <v>61</v>
      </c>
      <c r="H38" s="35" t="s">
        <v>25</v>
      </c>
      <c r="I38" s="55">
        <v>44501</v>
      </c>
      <c r="J38" s="56">
        <f ca="1">EFEITO!$J$38*EFEITO!$Y$38</f>
        <v>90470.746983483536</v>
      </c>
      <c r="K38" s="56">
        <f>EFEITO!$L$38*EFEITO!$Z$38</f>
        <v>0</v>
      </c>
      <c r="L38" s="56">
        <f>EFEITO!$N$38*EFEITO!$AA$38</f>
        <v>0</v>
      </c>
      <c r="M38" s="56">
        <f ca="1">$J$38-EFEITO!$K$38*EFEITO!$Y$38</f>
        <v>90470.746983483536</v>
      </c>
      <c r="N38" s="56">
        <f>$K$38-EFEITO!$M$38*EFEITO!$Z$38</f>
        <v>0</v>
      </c>
      <c r="O38" s="56">
        <f>$L$38-EFEITO!$O$38*EFEITO!$AA$38</f>
        <v>0</v>
      </c>
      <c r="P38" s="39"/>
      <c r="Q38" s="39"/>
      <c r="R38" s="39"/>
      <c r="S38" s="39"/>
      <c r="T38" s="39"/>
      <c r="U38" s="39"/>
      <c r="V38" s="39"/>
      <c r="W38" s="39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1:36" ht="11.25" customHeight="1" x14ac:dyDescent="0.2">
      <c r="A39" s="35" t="s">
        <v>21</v>
      </c>
      <c r="B39" s="35" t="s">
        <v>60</v>
      </c>
      <c r="C39" s="35" t="s">
        <v>57</v>
      </c>
      <c r="D39" s="35" t="s">
        <v>25</v>
      </c>
      <c r="E39" s="35" t="s">
        <v>25</v>
      </c>
      <c r="F39" s="35" t="s">
        <v>25</v>
      </c>
      <c r="G39" s="35" t="s">
        <v>61</v>
      </c>
      <c r="H39" s="35" t="s">
        <v>25</v>
      </c>
      <c r="I39" s="55">
        <v>44531</v>
      </c>
      <c r="J39" s="56">
        <f ca="1">EFEITO!$J$39*EFEITO!$Y$39</f>
        <v>90470.746983483536</v>
      </c>
      <c r="K39" s="56">
        <f>EFEITO!$L$39*EFEITO!$Z$39</f>
        <v>0</v>
      </c>
      <c r="L39" s="56">
        <f>EFEITO!$N$39*EFEITO!$AA$39</f>
        <v>0</v>
      </c>
      <c r="M39" s="56">
        <f ca="1">$J$39-EFEITO!$K$39*EFEITO!$Y$39</f>
        <v>90470.746983483536</v>
      </c>
      <c r="N39" s="56">
        <f>$K$39-EFEITO!$M$39*EFEITO!$Z$39</f>
        <v>0</v>
      </c>
      <c r="O39" s="56">
        <f>$L$39-EFEITO!$O$39*EFEITO!$AA$39</f>
        <v>0</v>
      </c>
      <c r="P39" s="39"/>
      <c r="Q39" s="39"/>
      <c r="R39" s="39"/>
      <c r="S39" s="39"/>
      <c r="T39" s="39"/>
      <c r="U39" s="39"/>
      <c r="V39" s="39"/>
      <c r="W39" s="39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11.25" customHeight="1" x14ac:dyDescent="0.2">
      <c r="A40" s="35" t="s">
        <v>21</v>
      </c>
      <c r="B40" s="35" t="s">
        <v>60</v>
      </c>
      <c r="C40" s="35" t="s">
        <v>57</v>
      </c>
      <c r="D40" s="35" t="s">
        <v>25</v>
      </c>
      <c r="E40" s="35" t="s">
        <v>25</v>
      </c>
      <c r="F40" s="35" t="s">
        <v>25</v>
      </c>
      <c r="G40" s="35" t="s">
        <v>61</v>
      </c>
      <c r="H40" s="35" t="s">
        <v>25</v>
      </c>
      <c r="I40" s="55">
        <v>44562</v>
      </c>
      <c r="J40" s="56">
        <f ca="1">EFEITO!$J$40*EFEITO!$Y$40</f>
        <v>90470.746983483536</v>
      </c>
      <c r="K40" s="56">
        <f>EFEITO!$L$40*EFEITO!$Z$40</f>
        <v>0</v>
      </c>
      <c r="L40" s="56">
        <f>EFEITO!$N$40*EFEITO!$AA$40</f>
        <v>0</v>
      </c>
      <c r="M40" s="56">
        <f ca="1">$J$40-EFEITO!$K$40*EFEITO!$Y$40</f>
        <v>90470.746983483536</v>
      </c>
      <c r="N40" s="56">
        <f>$K$40-EFEITO!$M$40*EFEITO!$Z$40</f>
        <v>0</v>
      </c>
      <c r="O40" s="56">
        <f>$L$40-EFEITO!$O$40*EFEITO!$AA$40</f>
        <v>0</v>
      </c>
      <c r="P40" s="39"/>
      <c r="Q40" s="39"/>
      <c r="R40" s="39"/>
      <c r="S40" s="39"/>
      <c r="T40" s="39"/>
      <c r="U40" s="39"/>
      <c r="V40" s="39"/>
      <c r="W40" s="39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11.25" customHeight="1" x14ac:dyDescent="0.2">
      <c r="A41" s="35" t="s">
        <v>21</v>
      </c>
      <c r="B41" s="35" t="s">
        <v>60</v>
      </c>
      <c r="C41" s="35" t="s">
        <v>57</v>
      </c>
      <c r="D41" s="35" t="s">
        <v>25</v>
      </c>
      <c r="E41" s="35" t="s">
        <v>25</v>
      </c>
      <c r="F41" s="35" t="s">
        <v>25</v>
      </c>
      <c r="G41" s="35" t="s">
        <v>61</v>
      </c>
      <c r="H41" s="35" t="s">
        <v>25</v>
      </c>
      <c r="I41" s="55">
        <v>44593</v>
      </c>
      <c r="J41" s="56">
        <f ca="1">EFEITO!$J$41*EFEITO!$Y$41</f>
        <v>90470.746983483536</v>
      </c>
      <c r="K41" s="56">
        <f>EFEITO!$L$41*EFEITO!$Z$41</f>
        <v>0</v>
      </c>
      <c r="L41" s="56">
        <f>EFEITO!$N$41*EFEITO!$AA$41</f>
        <v>0</v>
      </c>
      <c r="M41" s="56">
        <f ca="1">$J$41-EFEITO!$K$41*EFEITO!$Y$41</f>
        <v>90470.746983483536</v>
      </c>
      <c r="N41" s="56">
        <f>$K$41-EFEITO!$M$41*EFEITO!$Z$41</f>
        <v>0</v>
      </c>
      <c r="O41" s="56">
        <f>$L$41-EFEITO!$O$41*EFEITO!$AA$41</f>
        <v>0</v>
      </c>
      <c r="P41" s="39"/>
      <c r="Q41" s="39"/>
      <c r="R41" s="39"/>
      <c r="S41" s="39"/>
      <c r="T41" s="39"/>
      <c r="U41" s="39"/>
      <c r="V41" s="39"/>
      <c r="W41" s="39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11.25" customHeight="1" x14ac:dyDescent="0.2">
      <c r="A42" s="35" t="s">
        <v>21</v>
      </c>
      <c r="B42" s="35" t="s">
        <v>60</v>
      </c>
      <c r="C42" s="35" t="s">
        <v>57</v>
      </c>
      <c r="D42" s="35" t="s">
        <v>25</v>
      </c>
      <c r="E42" s="35" t="s">
        <v>25</v>
      </c>
      <c r="F42" s="35" t="s">
        <v>25</v>
      </c>
      <c r="G42" s="35" t="s">
        <v>61</v>
      </c>
      <c r="H42" s="35" t="s">
        <v>25</v>
      </c>
      <c r="I42" s="55">
        <v>44621</v>
      </c>
      <c r="J42" s="56">
        <f ca="1">EFEITO!$J$42*EFEITO!$Y$42</f>
        <v>90470.746983483536</v>
      </c>
      <c r="K42" s="56">
        <f>EFEITO!$L$42*EFEITO!$Z$42</f>
        <v>0</v>
      </c>
      <c r="L42" s="56">
        <f>EFEITO!$N$42*EFEITO!$AA$42</f>
        <v>0</v>
      </c>
      <c r="M42" s="56">
        <f ca="1">$J$42-EFEITO!$K$42*EFEITO!$Y$42</f>
        <v>90470.746983483536</v>
      </c>
      <c r="N42" s="56">
        <f>$K$42-EFEITO!$M$42*EFEITO!$Z$42</f>
        <v>0</v>
      </c>
      <c r="O42" s="56">
        <f>$L$42-EFEITO!$O$42*EFEITO!$AA$42</f>
        <v>0</v>
      </c>
      <c r="P42" s="39"/>
      <c r="Q42" s="39"/>
      <c r="R42" s="39"/>
      <c r="S42" s="39"/>
      <c r="T42" s="39"/>
      <c r="U42" s="39"/>
      <c r="V42" s="39"/>
      <c r="W42" s="39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11.25" customHeight="1" x14ac:dyDescent="0.2">
      <c r="A43" s="35" t="s">
        <v>21</v>
      </c>
      <c r="B43" s="35" t="s">
        <v>60</v>
      </c>
      <c r="C43" s="35" t="s">
        <v>57</v>
      </c>
      <c r="D43" s="35" t="s">
        <v>25</v>
      </c>
      <c r="E43" s="35" t="s">
        <v>25</v>
      </c>
      <c r="F43" s="35" t="s">
        <v>25</v>
      </c>
      <c r="G43" s="35" t="s">
        <v>61</v>
      </c>
      <c r="H43" s="35" t="s">
        <v>25</v>
      </c>
      <c r="I43" s="55">
        <v>44652</v>
      </c>
      <c r="J43" s="56">
        <f ca="1">EFEITO!$J$43*EFEITO!$Y$43</f>
        <v>90470.746983483536</v>
      </c>
      <c r="K43" s="56">
        <f>EFEITO!$L$43*EFEITO!$Z$43</f>
        <v>0</v>
      </c>
      <c r="L43" s="56">
        <f>EFEITO!$N$43*EFEITO!$AA$43</f>
        <v>0</v>
      </c>
      <c r="M43" s="56">
        <f ca="1">$J$43-EFEITO!$K$43*EFEITO!$Y$43</f>
        <v>90470.746983483536</v>
      </c>
      <c r="N43" s="56">
        <f>$K$43-EFEITO!$M$43*EFEITO!$Z$43</f>
        <v>0</v>
      </c>
      <c r="O43" s="56">
        <f>$L$43-EFEITO!$O$43*EFEITO!$AA$43</f>
        <v>0</v>
      </c>
      <c r="P43" s="39"/>
      <c r="Q43" s="39"/>
      <c r="R43" s="39"/>
      <c r="S43" s="39"/>
      <c r="T43" s="39"/>
      <c r="U43" s="39"/>
      <c r="V43" s="39"/>
      <c r="W43" s="39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11.25" customHeight="1" x14ac:dyDescent="0.2">
      <c r="A44" s="35" t="s">
        <v>21</v>
      </c>
      <c r="B44" s="35" t="s">
        <v>60</v>
      </c>
      <c r="C44" s="35" t="s">
        <v>57</v>
      </c>
      <c r="D44" s="35" t="s">
        <v>25</v>
      </c>
      <c r="E44" s="35" t="s">
        <v>25</v>
      </c>
      <c r="F44" s="35" t="s">
        <v>25</v>
      </c>
      <c r="G44" s="35" t="s">
        <v>61</v>
      </c>
      <c r="H44" s="35" t="s">
        <v>25</v>
      </c>
      <c r="I44" s="55">
        <v>44682</v>
      </c>
      <c r="J44" s="56">
        <f ca="1">EFEITO!$J$44*EFEITO!$Y$44</f>
        <v>90470.746983483536</v>
      </c>
      <c r="K44" s="56">
        <f>EFEITO!$L$44*EFEITO!$Z$44</f>
        <v>0</v>
      </c>
      <c r="L44" s="56">
        <f>EFEITO!$N$44*EFEITO!$AA$44</f>
        <v>0</v>
      </c>
      <c r="M44" s="56">
        <f ca="1">$J$44-EFEITO!$K$44*EFEITO!$Y$44</f>
        <v>90470.746983483536</v>
      </c>
      <c r="N44" s="56">
        <f>$K$44-EFEITO!$M$44*EFEITO!$Z$44</f>
        <v>0</v>
      </c>
      <c r="O44" s="56">
        <f>$L$44-EFEITO!$O$44*EFEITO!$AA$44</f>
        <v>0</v>
      </c>
      <c r="P44" s="39"/>
      <c r="Q44" s="39"/>
      <c r="R44" s="39"/>
      <c r="S44" s="39"/>
      <c r="T44" s="39"/>
      <c r="U44" s="39"/>
      <c r="V44" s="39"/>
      <c r="W44" s="39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11.25" customHeight="1" x14ac:dyDescent="0.2">
      <c r="A45" s="35" t="s">
        <v>21</v>
      </c>
      <c r="B45" s="35" t="s">
        <v>60</v>
      </c>
      <c r="C45" s="35" t="s">
        <v>57</v>
      </c>
      <c r="D45" s="35" t="s">
        <v>25</v>
      </c>
      <c r="E45" s="35" t="s">
        <v>25</v>
      </c>
      <c r="F45" s="35" t="s">
        <v>25</v>
      </c>
      <c r="G45" s="35" t="s">
        <v>61</v>
      </c>
      <c r="H45" s="35" t="s">
        <v>25</v>
      </c>
      <c r="I45" s="55">
        <v>44713</v>
      </c>
      <c r="J45" s="56">
        <f ca="1">EFEITO!$J$45*EFEITO!$Y$45</f>
        <v>90470.746983483536</v>
      </c>
      <c r="K45" s="56">
        <f>EFEITO!$L$45*EFEITO!$Z$45</f>
        <v>0</v>
      </c>
      <c r="L45" s="56">
        <f>EFEITO!$N$45*EFEITO!$AA$45</f>
        <v>0</v>
      </c>
      <c r="M45" s="56">
        <f ca="1">$J$45-EFEITO!$K$45*EFEITO!$Y$45</f>
        <v>90470.746983483536</v>
      </c>
      <c r="N45" s="56">
        <f>$K$45-EFEITO!$M$45*EFEITO!$Z$45</f>
        <v>0</v>
      </c>
      <c r="O45" s="56">
        <f>$L$45-EFEITO!$O$45*EFEITO!$AA$45</f>
        <v>0</v>
      </c>
      <c r="P45" s="39"/>
      <c r="Q45" s="39"/>
      <c r="R45" s="39"/>
      <c r="S45" s="39"/>
      <c r="T45" s="39"/>
      <c r="U45" s="39"/>
      <c r="V45" s="39"/>
      <c r="W45" s="39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11.25" customHeight="1" x14ac:dyDescent="0.2">
      <c r="A46" s="35" t="s">
        <v>21</v>
      </c>
      <c r="B46" s="35" t="s">
        <v>60</v>
      </c>
      <c r="C46" s="35" t="s">
        <v>57</v>
      </c>
      <c r="D46" s="35" t="s">
        <v>25</v>
      </c>
      <c r="E46" s="35" t="s">
        <v>25</v>
      </c>
      <c r="F46" s="35" t="s">
        <v>25</v>
      </c>
      <c r="G46" s="35" t="s">
        <v>61</v>
      </c>
      <c r="H46" s="35" t="s">
        <v>25</v>
      </c>
      <c r="I46" s="55">
        <v>44743</v>
      </c>
      <c r="J46" s="56">
        <f ca="1">EFEITO!$J$46*EFEITO!$Y$46</f>
        <v>90470.746983483536</v>
      </c>
      <c r="K46" s="56">
        <f>EFEITO!$L$46*EFEITO!$Z$46</f>
        <v>0</v>
      </c>
      <c r="L46" s="56">
        <f>EFEITO!$N$46*EFEITO!$AA$46</f>
        <v>0</v>
      </c>
      <c r="M46" s="56">
        <f ca="1">$J$46-EFEITO!$K$46*EFEITO!$Y$46</f>
        <v>90470.746983483536</v>
      </c>
      <c r="N46" s="56">
        <f>$K$46-EFEITO!$M$46*EFEITO!$Z$46</f>
        <v>0</v>
      </c>
      <c r="O46" s="56">
        <f>$L$46-EFEITO!$O$46*EFEITO!$AA$46</f>
        <v>0</v>
      </c>
      <c r="P46" s="39"/>
      <c r="Q46" s="39"/>
      <c r="R46" s="39"/>
      <c r="S46" s="39"/>
      <c r="T46" s="39"/>
      <c r="U46" s="39"/>
      <c r="V46" s="39"/>
      <c r="W46" s="39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1:36" ht="11.25" customHeight="1" x14ac:dyDescent="0.2">
      <c r="A47" s="35" t="s">
        <v>21</v>
      </c>
      <c r="B47" s="35" t="s">
        <v>60</v>
      </c>
      <c r="C47" s="35" t="s">
        <v>57</v>
      </c>
      <c r="D47" s="35" t="s">
        <v>25</v>
      </c>
      <c r="E47" s="35" t="s">
        <v>25</v>
      </c>
      <c r="F47" s="35" t="s">
        <v>25</v>
      </c>
      <c r="G47" s="35" t="s">
        <v>61</v>
      </c>
      <c r="H47" s="35" t="s">
        <v>25</v>
      </c>
      <c r="I47" s="55">
        <v>44774</v>
      </c>
      <c r="J47" s="56">
        <f ca="1">EFEITO!$J$47*EFEITO!$Y$47</f>
        <v>90470.746983483536</v>
      </c>
      <c r="K47" s="56">
        <f>EFEITO!$L$47*EFEITO!$Z$47</f>
        <v>0</v>
      </c>
      <c r="L47" s="56">
        <f>EFEITO!$N$47*EFEITO!$AA$47</f>
        <v>0</v>
      </c>
      <c r="M47" s="56">
        <f ca="1">$J$47-EFEITO!$K$47*EFEITO!$Y$47</f>
        <v>90470.746983483536</v>
      </c>
      <c r="N47" s="56">
        <f>$K$47-EFEITO!$M$47*EFEITO!$Z$47</f>
        <v>0</v>
      </c>
      <c r="O47" s="56">
        <f>$L$47-EFEITO!$O$47*EFEITO!$AA$47</f>
        <v>0</v>
      </c>
      <c r="P47" s="39"/>
      <c r="Q47" s="39"/>
      <c r="R47" s="39"/>
      <c r="S47" s="39"/>
      <c r="T47" s="39"/>
      <c r="U47" s="39"/>
      <c r="V47" s="39"/>
      <c r="W47" s="39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11.25" customHeight="1" x14ac:dyDescent="0.2">
      <c r="A48" s="35" t="s">
        <v>21</v>
      </c>
      <c r="B48" s="35" t="s">
        <v>60</v>
      </c>
      <c r="C48" s="35" t="s">
        <v>57</v>
      </c>
      <c r="D48" s="35" t="s">
        <v>25</v>
      </c>
      <c r="E48" s="35" t="s">
        <v>25</v>
      </c>
      <c r="F48" s="35" t="s">
        <v>25</v>
      </c>
      <c r="G48" s="35" t="s">
        <v>61</v>
      </c>
      <c r="H48" s="35" t="s">
        <v>25</v>
      </c>
      <c r="I48" s="55">
        <v>44805</v>
      </c>
      <c r="J48" s="56">
        <f ca="1">EFEITO!$J$48*EFEITO!$Y$48</f>
        <v>90470.746983483536</v>
      </c>
      <c r="K48" s="56">
        <f>EFEITO!$L$48*EFEITO!$Z$48</f>
        <v>0</v>
      </c>
      <c r="L48" s="56">
        <f>EFEITO!$N$48*EFEITO!$AA$48</f>
        <v>0</v>
      </c>
      <c r="M48" s="56">
        <f ca="1">$J$48-EFEITO!$K$48*EFEITO!$Y$48</f>
        <v>90470.746983483536</v>
      </c>
      <c r="N48" s="56">
        <f>$K$48-EFEITO!$M$48*EFEITO!$Z$48</f>
        <v>0</v>
      </c>
      <c r="O48" s="56">
        <f>$L$48-EFEITO!$O$48*EFEITO!$AA$48</f>
        <v>0</v>
      </c>
      <c r="P48" s="39"/>
      <c r="Q48" s="39"/>
      <c r="R48" s="39"/>
      <c r="S48" s="39"/>
      <c r="T48" s="39"/>
      <c r="U48" s="39"/>
      <c r="V48" s="39"/>
      <c r="W48" s="39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11.25" customHeight="1" x14ac:dyDescent="0.2">
      <c r="A49" s="35" t="s">
        <v>53</v>
      </c>
      <c r="B49" s="35" t="s">
        <v>60</v>
      </c>
      <c r="C49" s="35" t="s">
        <v>57</v>
      </c>
      <c r="D49" s="35" t="s">
        <v>25</v>
      </c>
      <c r="E49" s="35" t="s">
        <v>25</v>
      </c>
      <c r="F49" s="35" t="s">
        <v>25</v>
      </c>
      <c r="G49" s="35" t="s">
        <v>61</v>
      </c>
      <c r="H49" s="35" t="s">
        <v>25</v>
      </c>
      <c r="I49" s="55">
        <v>44835</v>
      </c>
      <c r="J49" s="56">
        <f ca="1">EFEITO!$J$49*EFEITO!$Y$49</f>
        <v>90470.746983483536</v>
      </c>
      <c r="K49" s="56">
        <f>EFEITO!$L$49*EFEITO!$Z$49</f>
        <v>0</v>
      </c>
      <c r="L49" s="56">
        <f>EFEITO!$N$49*EFEITO!$AA$49</f>
        <v>0</v>
      </c>
      <c r="M49" s="56">
        <f ca="1">$J$49-EFEITO!$K$49*EFEITO!$Y$49</f>
        <v>90470.746983483536</v>
      </c>
      <c r="N49" s="56">
        <f>$K$49-EFEITO!$M$49*EFEITO!$Z$49</f>
        <v>0</v>
      </c>
      <c r="O49" s="56">
        <f>$L$49-EFEITO!$O$49*EFEITO!$AA$49</f>
        <v>0</v>
      </c>
      <c r="P49" s="39"/>
      <c r="Q49" s="39"/>
      <c r="R49" s="39"/>
      <c r="S49" s="39"/>
      <c r="T49" s="39"/>
      <c r="U49" s="39"/>
      <c r="V49" s="39"/>
      <c r="W49" s="39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11.25" customHeight="1" x14ac:dyDescent="0.2">
      <c r="A50" s="35" t="s">
        <v>21</v>
      </c>
      <c r="B50" s="35" t="s">
        <v>39</v>
      </c>
      <c r="C50" s="35" t="s">
        <v>40</v>
      </c>
      <c r="D50" s="35" t="s">
        <v>42</v>
      </c>
      <c r="E50" s="35" t="s">
        <v>25</v>
      </c>
      <c r="F50" s="35" t="s">
        <v>25</v>
      </c>
      <c r="G50" s="35" t="s">
        <v>25</v>
      </c>
      <c r="H50" s="35" t="s">
        <v>35</v>
      </c>
      <c r="I50" s="55">
        <v>44501</v>
      </c>
      <c r="J50" s="56">
        <f ca="1">EFEITO!$J$50*EFEITO!$Y$50</f>
        <v>31703.080906426581</v>
      </c>
      <c r="K50" s="56">
        <f ca="1">EFEITO!$L$50*EFEITO!$Z$50</f>
        <v>78071.386696119211</v>
      </c>
      <c r="L50" s="56">
        <f>EFEITO!$N$50*EFEITO!$AA$50</f>
        <v>191234.11356920132</v>
      </c>
      <c r="M50" s="56">
        <f ca="1">$J$50-EFEITO!$K$50*EFEITO!$Y$50</f>
        <v>0</v>
      </c>
      <c r="N50" s="56">
        <f ca="1">$K$50-EFEITO!$M$50*EFEITO!$Z$50</f>
        <v>0</v>
      </c>
      <c r="O50" s="56">
        <f>$L$50-EFEITO!$O$50*EFEITO!$AA$50</f>
        <v>0</v>
      </c>
      <c r="P50" s="39"/>
      <c r="Q50" s="39"/>
      <c r="R50" s="39"/>
      <c r="S50" s="39"/>
      <c r="T50" s="39"/>
      <c r="U50" s="39"/>
      <c r="V50" s="39"/>
      <c r="W50" s="39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1:36" ht="11.25" customHeight="1" x14ac:dyDescent="0.2">
      <c r="A51" s="35" t="s">
        <v>21</v>
      </c>
      <c r="B51" s="35" t="s">
        <v>39</v>
      </c>
      <c r="C51" s="35" t="s">
        <v>40</v>
      </c>
      <c r="D51" s="35" t="s">
        <v>42</v>
      </c>
      <c r="E51" s="35" t="s">
        <v>25</v>
      </c>
      <c r="F51" s="35" t="s">
        <v>25</v>
      </c>
      <c r="G51" s="35" t="s">
        <v>25</v>
      </c>
      <c r="H51" s="35" t="s">
        <v>35</v>
      </c>
      <c r="I51" s="55">
        <v>44531</v>
      </c>
      <c r="J51" s="56">
        <f ca="1">EFEITO!$J$51*EFEITO!$Y$51</f>
        <v>31735.152814273246</v>
      </c>
      <c r="K51" s="56">
        <f ca="1">EFEITO!$L$51*EFEITO!$Z$51</f>
        <v>77931.291481465028</v>
      </c>
      <c r="L51" s="56">
        <f>EFEITO!$N$51*EFEITO!$AA$51</f>
        <v>190890.95347786136</v>
      </c>
      <c r="M51" s="56">
        <f ca="1">$J$51-EFEITO!$K$51*EFEITO!$Y$51</f>
        <v>0</v>
      </c>
      <c r="N51" s="56">
        <f ca="1">$K$51-EFEITO!$M$51*EFEITO!$Z$51</f>
        <v>0</v>
      </c>
      <c r="O51" s="56">
        <f>$L$51-EFEITO!$O$51*EFEITO!$AA$51</f>
        <v>0</v>
      </c>
      <c r="P51" s="39"/>
      <c r="Q51" s="39"/>
      <c r="R51" s="39"/>
      <c r="S51" s="39"/>
      <c r="T51" s="39"/>
      <c r="U51" s="39"/>
      <c r="V51" s="39"/>
      <c r="W51" s="39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11.25" customHeight="1" x14ac:dyDescent="0.2">
      <c r="A52" s="35" t="s">
        <v>21</v>
      </c>
      <c r="B52" s="35" t="s">
        <v>39</v>
      </c>
      <c r="C52" s="35" t="s">
        <v>40</v>
      </c>
      <c r="D52" s="35" t="s">
        <v>42</v>
      </c>
      <c r="E52" s="35" t="s">
        <v>25</v>
      </c>
      <c r="F52" s="35" t="s">
        <v>25</v>
      </c>
      <c r="G52" s="35" t="s">
        <v>25</v>
      </c>
      <c r="H52" s="35" t="s">
        <v>35</v>
      </c>
      <c r="I52" s="55">
        <v>44562</v>
      </c>
      <c r="J52" s="56">
        <f ca="1">EFEITO!$J$52*EFEITO!$Y$52</f>
        <v>31895.512353506561</v>
      </c>
      <c r="K52" s="56">
        <f ca="1">EFEITO!$L$52*EFEITO!$Z$52</f>
        <v>78421.441521924673</v>
      </c>
      <c r="L52" s="56">
        <f>EFEITO!$N$52*EFEITO!$AA$52</f>
        <v>192091.56502672561</v>
      </c>
      <c r="M52" s="56">
        <f ca="1">$J$52-EFEITO!$K$52*EFEITO!$Y$52</f>
        <v>0</v>
      </c>
      <c r="N52" s="56">
        <f ca="1">$K$52-EFEITO!$M$52*EFEITO!$Z$52</f>
        <v>0</v>
      </c>
      <c r="O52" s="56">
        <f>$L$52-EFEITO!$O$52*EFEITO!$AA$52</f>
        <v>0</v>
      </c>
      <c r="P52" s="39"/>
      <c r="Q52" s="39"/>
      <c r="R52" s="39"/>
      <c r="S52" s="39"/>
      <c r="T52" s="39"/>
      <c r="U52" s="39"/>
      <c r="V52" s="39"/>
      <c r="W52" s="39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11.25" customHeight="1" x14ac:dyDescent="0.2">
      <c r="A53" s="35" t="s">
        <v>21</v>
      </c>
      <c r="B53" s="35" t="s">
        <v>39</v>
      </c>
      <c r="C53" s="35" t="s">
        <v>40</v>
      </c>
      <c r="D53" s="35" t="s">
        <v>42</v>
      </c>
      <c r="E53" s="35" t="s">
        <v>25</v>
      </c>
      <c r="F53" s="35" t="s">
        <v>25</v>
      </c>
      <c r="G53" s="35" t="s">
        <v>25</v>
      </c>
      <c r="H53" s="35" t="s">
        <v>35</v>
      </c>
      <c r="I53" s="55">
        <v>44593</v>
      </c>
      <c r="J53" s="56">
        <f ca="1">EFEITO!$J$53*EFEITO!$Y$53</f>
        <v>31558.757321116598</v>
      </c>
      <c r="K53" s="56">
        <f ca="1">EFEITO!$L$53*EFEITO!$Z$53</f>
        <v>78587.674814988612</v>
      </c>
      <c r="L53" s="56">
        <f>EFEITO!$N$53*EFEITO!$AA$53</f>
        <v>192498.74975585702</v>
      </c>
      <c r="M53" s="56">
        <f ca="1">$J$53-EFEITO!$K$53*EFEITO!$Y$53</f>
        <v>0</v>
      </c>
      <c r="N53" s="56">
        <f ca="1">$K$53-EFEITO!$M$53*EFEITO!$Z$53</f>
        <v>0</v>
      </c>
      <c r="O53" s="56">
        <f>$L$53-EFEITO!$O$53*EFEITO!$AA$53</f>
        <v>0</v>
      </c>
      <c r="P53" s="39"/>
      <c r="Q53" s="39"/>
      <c r="R53" s="39"/>
      <c r="S53" s="39"/>
      <c r="T53" s="39"/>
      <c r="U53" s="39"/>
      <c r="V53" s="39"/>
      <c r="W53" s="39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11.25" customHeight="1" x14ac:dyDescent="0.2">
      <c r="A54" s="35" t="s">
        <v>21</v>
      </c>
      <c r="B54" s="35" t="s">
        <v>39</v>
      </c>
      <c r="C54" s="35" t="s">
        <v>40</v>
      </c>
      <c r="D54" s="35" t="s">
        <v>42</v>
      </c>
      <c r="E54" s="35" t="s">
        <v>25</v>
      </c>
      <c r="F54" s="35" t="s">
        <v>25</v>
      </c>
      <c r="G54" s="35" t="s">
        <v>25</v>
      </c>
      <c r="H54" s="35" t="s">
        <v>35</v>
      </c>
      <c r="I54" s="55">
        <v>44621</v>
      </c>
      <c r="J54" s="56">
        <f ca="1">EFEITO!$J$54*EFEITO!$Y$54</f>
        <v>31927.584261353222</v>
      </c>
      <c r="K54" s="56">
        <f ca="1">EFEITO!$L$54*EFEITO!$Z$54</f>
        <v>73450.076720831043</v>
      </c>
      <c r="L54" s="56">
        <f>EFEITO!$N$54*EFEITO!$AA$54</f>
        <v>179914.31826323847</v>
      </c>
      <c r="M54" s="56">
        <f ca="1">$J$54-EFEITO!$K$54*EFEITO!$Y$54</f>
        <v>0</v>
      </c>
      <c r="N54" s="56">
        <f ca="1">$K$54-EFEITO!$M$54*EFEITO!$Z$54</f>
        <v>0</v>
      </c>
      <c r="O54" s="56">
        <f>$L$54-EFEITO!$O$54*EFEITO!$AA$54</f>
        <v>0</v>
      </c>
      <c r="P54" s="39"/>
      <c r="Q54" s="39"/>
      <c r="R54" s="39"/>
      <c r="S54" s="39"/>
      <c r="T54" s="39"/>
      <c r="U54" s="39"/>
      <c r="V54" s="39"/>
      <c r="W54" s="39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11.25" customHeight="1" x14ac:dyDescent="0.2">
      <c r="A55" s="35" t="s">
        <v>21</v>
      </c>
      <c r="B55" s="35" t="s">
        <v>39</v>
      </c>
      <c r="C55" s="35" t="s">
        <v>40</v>
      </c>
      <c r="D55" s="35" t="s">
        <v>42</v>
      </c>
      <c r="E55" s="35" t="s">
        <v>25</v>
      </c>
      <c r="F55" s="35" t="s">
        <v>25</v>
      </c>
      <c r="G55" s="35" t="s">
        <v>25</v>
      </c>
      <c r="H55" s="35" t="s">
        <v>35</v>
      </c>
      <c r="I55" s="55">
        <v>44652</v>
      </c>
      <c r="J55" s="56">
        <f ca="1">EFEITO!$J$55*EFEITO!$Y$55</f>
        <v>32168.123570203199</v>
      </c>
      <c r="K55" s="56">
        <f ca="1">EFEITO!$L$55*EFEITO!$Z$55</f>
        <v>84092.427412416</v>
      </c>
      <c r="L55" s="56">
        <f>EFEITO!$N$55*EFEITO!$AA$55</f>
        <v>205982.51798305966</v>
      </c>
      <c r="M55" s="56">
        <f ca="1">$J$55-EFEITO!$K$55*EFEITO!$Y$55</f>
        <v>0</v>
      </c>
      <c r="N55" s="56">
        <f ca="1">$K$55-EFEITO!$M$55*EFEITO!$Z$55</f>
        <v>0</v>
      </c>
      <c r="O55" s="56">
        <f>$L$55-EFEITO!$O$55*EFEITO!$AA$55</f>
        <v>0</v>
      </c>
      <c r="P55" s="39"/>
      <c r="Q55" s="39"/>
      <c r="R55" s="39"/>
      <c r="S55" s="39"/>
      <c r="T55" s="39"/>
      <c r="U55" s="39"/>
      <c r="V55" s="39"/>
      <c r="W55" s="39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11.25" customHeight="1" x14ac:dyDescent="0.2">
      <c r="A56" s="35" t="s">
        <v>21</v>
      </c>
      <c r="B56" s="35" t="s">
        <v>39</v>
      </c>
      <c r="C56" s="35" t="s">
        <v>40</v>
      </c>
      <c r="D56" s="35" t="s">
        <v>42</v>
      </c>
      <c r="E56" s="35" t="s">
        <v>25</v>
      </c>
      <c r="F56" s="35" t="s">
        <v>25</v>
      </c>
      <c r="G56" s="35" t="s">
        <v>25</v>
      </c>
      <c r="H56" s="35" t="s">
        <v>35</v>
      </c>
      <c r="I56" s="55">
        <v>44682</v>
      </c>
      <c r="J56" s="56">
        <f ca="1">EFEITO!$J$56*EFEITO!$Y$56</f>
        <v>31943.620215276555</v>
      </c>
      <c r="K56" s="56">
        <f ca="1">EFEITO!$L$56*EFEITO!$Z$56</f>
        <v>77624.474411533636</v>
      </c>
      <c r="L56" s="56">
        <f>EFEITO!$N$56*EFEITO!$AA$56</f>
        <v>190139.41193518825</v>
      </c>
      <c r="M56" s="56">
        <f ca="1">$J$56-EFEITO!$K$56*EFEITO!$Y$56</f>
        <v>0</v>
      </c>
      <c r="N56" s="56">
        <f ca="1">$K$56-EFEITO!$M$56*EFEITO!$Z$56</f>
        <v>0</v>
      </c>
      <c r="O56" s="56">
        <f>$L$56-EFEITO!$O$56*EFEITO!$AA$56</f>
        <v>0</v>
      </c>
      <c r="P56" s="39"/>
      <c r="Q56" s="39"/>
      <c r="R56" s="39"/>
      <c r="S56" s="39"/>
      <c r="T56" s="39"/>
      <c r="U56" s="39"/>
      <c r="V56" s="39"/>
      <c r="W56" s="39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11.25" customHeight="1" x14ac:dyDescent="0.2">
      <c r="A57" s="35" t="s">
        <v>21</v>
      </c>
      <c r="B57" s="35" t="s">
        <v>39</v>
      </c>
      <c r="C57" s="35" t="s">
        <v>40</v>
      </c>
      <c r="D57" s="35" t="s">
        <v>42</v>
      </c>
      <c r="E57" s="35" t="s">
        <v>25</v>
      </c>
      <c r="F57" s="35" t="s">
        <v>25</v>
      </c>
      <c r="G57" s="35" t="s">
        <v>25</v>
      </c>
      <c r="H57" s="35" t="s">
        <v>35</v>
      </c>
      <c r="I57" s="55">
        <v>44713</v>
      </c>
      <c r="J57" s="56">
        <f ca="1">EFEITO!$J$57*EFEITO!$Y$57</f>
        <v>31687.044952503249</v>
      </c>
      <c r="K57" s="56">
        <f ca="1">EFEITO!$L$57*EFEITO!$Z$57</f>
        <v>74300.41925302145</v>
      </c>
      <c r="L57" s="56">
        <f>EFEITO!$N$57*EFEITO!$AA$57</f>
        <v>181997.21325531253</v>
      </c>
      <c r="M57" s="56">
        <f ca="1">$J$57-EFEITO!$K$57*EFEITO!$Y$57</f>
        <v>0</v>
      </c>
      <c r="N57" s="56">
        <f ca="1">$K$57-EFEITO!$M$57*EFEITO!$Z$57</f>
        <v>0</v>
      </c>
      <c r="O57" s="56">
        <f>$L$57-EFEITO!$O$57*EFEITO!$AA$57</f>
        <v>0</v>
      </c>
      <c r="P57" s="39"/>
      <c r="Q57" s="39"/>
      <c r="R57" s="39"/>
      <c r="S57" s="39"/>
      <c r="T57" s="39"/>
      <c r="U57" s="39"/>
      <c r="V57" s="39"/>
      <c r="W57" s="39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11.25" customHeight="1" x14ac:dyDescent="0.2">
      <c r="A58" s="35" t="s">
        <v>21</v>
      </c>
      <c r="B58" s="35" t="s">
        <v>39</v>
      </c>
      <c r="C58" s="35" t="s">
        <v>40</v>
      </c>
      <c r="D58" s="35" t="s">
        <v>42</v>
      </c>
      <c r="E58" s="35" t="s">
        <v>25</v>
      </c>
      <c r="F58" s="35" t="s">
        <v>25</v>
      </c>
      <c r="G58" s="35" t="s">
        <v>25</v>
      </c>
      <c r="H58" s="35" t="s">
        <v>35</v>
      </c>
      <c r="I58" s="55">
        <v>44743</v>
      </c>
      <c r="J58" s="56">
        <f ca="1">EFEITO!$J$58*EFEITO!$Y$58</f>
        <v>31462.541597576608</v>
      </c>
      <c r="K58" s="56">
        <f ca="1">EFEITO!$L$58*EFEITO!$Z$58</f>
        <v>71143.57451199973</v>
      </c>
      <c r="L58" s="56">
        <f>EFEITO!$N$58*EFEITO!$AA$58</f>
        <v>174264.5927489716</v>
      </c>
      <c r="M58" s="56">
        <f ca="1">$J$58-EFEITO!$K$58*EFEITO!$Y$58</f>
        <v>0</v>
      </c>
      <c r="N58" s="56">
        <f ca="1">$K$58-EFEITO!$M$58*EFEITO!$Z$58</f>
        <v>0</v>
      </c>
      <c r="O58" s="56">
        <f>$L$58-EFEITO!$O$58*EFEITO!$AA$58</f>
        <v>0</v>
      </c>
      <c r="P58" s="39"/>
      <c r="Q58" s="39"/>
      <c r="R58" s="39"/>
      <c r="S58" s="39"/>
      <c r="T58" s="39"/>
      <c r="U58" s="39"/>
      <c r="V58" s="39"/>
      <c r="W58" s="39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11.25" customHeight="1" x14ac:dyDescent="0.2">
      <c r="A59" s="35" t="s">
        <v>21</v>
      </c>
      <c r="B59" s="35" t="s">
        <v>39</v>
      </c>
      <c r="C59" s="35" t="s">
        <v>40</v>
      </c>
      <c r="D59" s="35" t="s">
        <v>42</v>
      </c>
      <c r="E59" s="35" t="s">
        <v>25</v>
      </c>
      <c r="F59" s="35" t="s">
        <v>25</v>
      </c>
      <c r="G59" s="35" t="s">
        <v>25</v>
      </c>
      <c r="H59" s="35" t="s">
        <v>35</v>
      </c>
      <c r="I59" s="55">
        <v>44774</v>
      </c>
      <c r="J59" s="56">
        <f ca="1">EFEITO!$J$59*EFEITO!$Y$59</f>
        <v>31398.397781883283</v>
      </c>
      <c r="K59" s="56">
        <f ca="1">EFEITO!$L$59*EFEITO!$Z$59</f>
        <v>75223.923976648526</v>
      </c>
      <c r="L59" s="56">
        <f>EFEITO!$N$59*EFEITO!$AA$59</f>
        <v>184259.31739709244</v>
      </c>
      <c r="M59" s="56">
        <f ca="1">$J$59-EFEITO!$K$59*EFEITO!$Y$59</f>
        <v>0</v>
      </c>
      <c r="N59" s="56">
        <f ca="1">$K$59-EFEITO!$M$59*EFEITO!$Z$59</f>
        <v>0</v>
      </c>
      <c r="O59" s="56">
        <f>$L$59-EFEITO!$O$59*EFEITO!$AA$59</f>
        <v>0</v>
      </c>
      <c r="P59" s="39"/>
      <c r="Q59" s="39"/>
      <c r="R59" s="39"/>
      <c r="S59" s="39"/>
      <c r="T59" s="39"/>
      <c r="U59" s="39"/>
      <c r="V59" s="39"/>
      <c r="W59" s="39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11.25" customHeight="1" x14ac:dyDescent="0.2">
      <c r="A60" s="35" t="s">
        <v>21</v>
      </c>
      <c r="B60" s="35" t="s">
        <v>39</v>
      </c>
      <c r="C60" s="35" t="s">
        <v>40</v>
      </c>
      <c r="D60" s="35" t="s">
        <v>42</v>
      </c>
      <c r="E60" s="35" t="s">
        <v>25</v>
      </c>
      <c r="F60" s="35" t="s">
        <v>25</v>
      </c>
      <c r="G60" s="35" t="s">
        <v>25</v>
      </c>
      <c r="H60" s="35" t="s">
        <v>35</v>
      </c>
      <c r="I60" s="55">
        <v>44805</v>
      </c>
      <c r="J60" s="56">
        <f ca="1">EFEITO!$J$60*EFEITO!$Y$60</f>
        <v>31606.865182886591</v>
      </c>
      <c r="K60" s="56">
        <f ca="1">EFEITO!$L$60*EFEITO!$Z$60</f>
        <v>72963.102334757627</v>
      </c>
      <c r="L60" s="56">
        <f>EFEITO!$N$60*EFEITO!$AA$60</f>
        <v>178721.48540868532</v>
      </c>
      <c r="M60" s="56">
        <f ca="1">$J$60-EFEITO!$K$60*EFEITO!$Y$60</f>
        <v>0</v>
      </c>
      <c r="N60" s="56">
        <f ca="1">$K$60-EFEITO!$M$60*EFEITO!$Z$60</f>
        <v>0</v>
      </c>
      <c r="O60" s="56">
        <f>$L$60-EFEITO!$O$60*EFEITO!$AA$60</f>
        <v>0</v>
      </c>
      <c r="P60" s="39"/>
      <c r="Q60" s="39"/>
      <c r="R60" s="39"/>
      <c r="S60" s="39"/>
      <c r="T60" s="39"/>
      <c r="U60" s="39"/>
      <c r="V60" s="39"/>
      <c r="W60" s="39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11.25" customHeight="1" x14ac:dyDescent="0.2">
      <c r="A61" s="35" t="s">
        <v>53</v>
      </c>
      <c r="B61" s="35" t="s">
        <v>39</v>
      </c>
      <c r="C61" s="35" t="s">
        <v>40</v>
      </c>
      <c r="D61" s="35" t="s">
        <v>42</v>
      </c>
      <c r="E61" s="35" t="s">
        <v>25</v>
      </c>
      <c r="F61" s="35" t="s">
        <v>25</v>
      </c>
      <c r="G61" s="35" t="s">
        <v>25</v>
      </c>
      <c r="H61" s="35" t="s">
        <v>35</v>
      </c>
      <c r="I61" s="55">
        <v>44835</v>
      </c>
      <c r="J61" s="56">
        <f ca="1">EFEITO!$J$61*EFEITO!$Y$61</f>
        <v>31606.865182886591</v>
      </c>
      <c r="K61" s="56">
        <f ca="1">EFEITO!$L$61*EFEITO!$Z$61</f>
        <v>72963.102334757627</v>
      </c>
      <c r="L61" s="56">
        <f>EFEITO!$N$61*EFEITO!$AA$61</f>
        <v>178721.48540868532</v>
      </c>
      <c r="M61" s="56">
        <f ca="1">$J$61-EFEITO!$K$61*EFEITO!$Y$61</f>
        <v>0</v>
      </c>
      <c r="N61" s="56">
        <f ca="1">$K$61-EFEITO!$M$61*EFEITO!$Z$61</f>
        <v>0</v>
      </c>
      <c r="O61" s="56">
        <f>$L$61-EFEITO!$O$61*EFEITO!$AA$61</f>
        <v>0</v>
      </c>
      <c r="P61" s="39"/>
      <c r="Q61" s="39"/>
      <c r="R61" s="39"/>
      <c r="S61" s="39"/>
      <c r="T61" s="39"/>
      <c r="U61" s="39"/>
      <c r="V61" s="39"/>
      <c r="W61" s="39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11.25" customHeight="1" x14ac:dyDescent="0.2">
      <c r="A62" s="35" t="s">
        <v>21</v>
      </c>
      <c r="B62" s="35" t="s">
        <v>39</v>
      </c>
      <c r="C62" s="35" t="s">
        <v>40</v>
      </c>
      <c r="D62" s="35" t="s">
        <v>42</v>
      </c>
      <c r="E62" s="35" t="s">
        <v>25</v>
      </c>
      <c r="F62" s="35" t="s">
        <v>25</v>
      </c>
      <c r="G62" s="35" t="s">
        <v>25</v>
      </c>
      <c r="H62" s="35" t="s">
        <v>34</v>
      </c>
      <c r="I62" s="55">
        <v>44501</v>
      </c>
      <c r="J62" s="56">
        <f ca="1">EFEITO!$J$62*EFEITO!$Y$62</f>
        <v>77953.808384755612</v>
      </c>
      <c r="K62" s="56">
        <f ca="1">EFEITO!$L$62*EFEITO!$Z$62</f>
        <v>7956.8463458121187</v>
      </c>
      <c r="L62" s="56">
        <f>EFEITO!$N$62*EFEITO!$AA$62</f>
        <v>31688.878695954987</v>
      </c>
      <c r="M62" s="56">
        <f ca="1">$J$62-EFEITO!$K$62*EFEITO!$Y$62</f>
        <v>0</v>
      </c>
      <c r="N62" s="56">
        <f ca="1">$K$62-EFEITO!$M$62*EFEITO!$Z$62</f>
        <v>0</v>
      </c>
      <c r="O62" s="56">
        <f>$L$62-EFEITO!$O$62*EFEITO!$AA$62</f>
        <v>0</v>
      </c>
      <c r="P62" s="39"/>
      <c r="Q62" s="39"/>
      <c r="R62" s="39"/>
      <c r="S62" s="39"/>
      <c r="T62" s="39"/>
      <c r="U62" s="39"/>
      <c r="V62" s="39"/>
      <c r="W62" s="39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spans="1:36" ht="11.25" customHeight="1" x14ac:dyDescent="0.2">
      <c r="A63" s="35" t="s">
        <v>21</v>
      </c>
      <c r="B63" s="35" t="s">
        <v>39</v>
      </c>
      <c r="C63" s="35" t="s">
        <v>40</v>
      </c>
      <c r="D63" s="35" t="s">
        <v>42</v>
      </c>
      <c r="E63" s="35" t="s">
        <v>25</v>
      </c>
      <c r="F63" s="35" t="s">
        <v>25</v>
      </c>
      <c r="G63" s="35" t="s">
        <v>25</v>
      </c>
      <c r="H63" s="35" t="s">
        <v>34</v>
      </c>
      <c r="I63" s="55">
        <v>44531</v>
      </c>
      <c r="J63" s="56">
        <f ca="1">EFEITO!$J$63*EFEITO!$Y$63</f>
        <v>78691.153918610362</v>
      </c>
      <c r="K63" s="56">
        <f ca="1">EFEITO!$L$63*EFEITO!$Z$63</f>
        <v>8318.8709458426219</v>
      </c>
      <c r="L63" s="56">
        <f>EFEITO!$N$63*EFEITO!$AA$63</f>
        <v>33130.675249102744</v>
      </c>
      <c r="M63" s="56">
        <f ca="1">$J$63-EFEITO!$K$63*EFEITO!$Y$63</f>
        <v>0</v>
      </c>
      <c r="N63" s="56">
        <f ca="1">$K$63-EFEITO!$M$63*EFEITO!$Z$63</f>
        <v>0</v>
      </c>
      <c r="O63" s="56">
        <f>$L$63-EFEITO!$O$63*EFEITO!$AA$63</f>
        <v>0</v>
      </c>
      <c r="P63" s="39"/>
      <c r="Q63" s="39"/>
      <c r="R63" s="39"/>
      <c r="S63" s="39"/>
      <c r="T63" s="39"/>
      <c r="U63" s="39"/>
      <c r="V63" s="39"/>
      <c r="W63" s="39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11.25" customHeight="1" x14ac:dyDescent="0.2">
      <c r="A64" s="35" t="s">
        <v>21</v>
      </c>
      <c r="B64" s="35" t="s">
        <v>39</v>
      </c>
      <c r="C64" s="35" t="s">
        <v>40</v>
      </c>
      <c r="D64" s="35" t="s">
        <v>42</v>
      </c>
      <c r="E64" s="35" t="s">
        <v>25</v>
      </c>
      <c r="F64" s="35" t="s">
        <v>25</v>
      </c>
      <c r="G64" s="35" t="s">
        <v>25</v>
      </c>
      <c r="H64" s="35" t="s">
        <v>34</v>
      </c>
      <c r="I64" s="55">
        <v>44562</v>
      </c>
      <c r="J64" s="56">
        <f ca="1">EFEITO!$J$64*EFEITO!$Y$64</f>
        <v>78814.044840919494</v>
      </c>
      <c r="K64" s="56">
        <f ca="1">EFEITO!$L$64*EFEITO!$Z$64</f>
        <v>9118.5251484066248</v>
      </c>
      <c r="L64" s="56">
        <f>EFEITO!$N$64*EFEITO!$AA$64</f>
        <v>36315.372291430132</v>
      </c>
      <c r="M64" s="56">
        <f ca="1">$J$64-EFEITO!$K$64*EFEITO!$Y$64</f>
        <v>0</v>
      </c>
      <c r="N64" s="56">
        <f ca="1">$K$64-EFEITO!$M$64*EFEITO!$Z$64</f>
        <v>0</v>
      </c>
      <c r="O64" s="56">
        <f>$L$64-EFEITO!$O$64*EFEITO!$AA$64</f>
        <v>0</v>
      </c>
      <c r="P64" s="39"/>
      <c r="Q64" s="39"/>
      <c r="R64" s="39"/>
      <c r="S64" s="39"/>
      <c r="T64" s="39"/>
      <c r="U64" s="39"/>
      <c r="V64" s="39"/>
      <c r="W64" s="39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11.25" customHeight="1" x14ac:dyDescent="0.2">
      <c r="A65" s="35" t="s">
        <v>21</v>
      </c>
      <c r="B65" s="35" t="s">
        <v>39</v>
      </c>
      <c r="C65" s="35" t="s">
        <v>40</v>
      </c>
      <c r="D65" s="35" t="s">
        <v>42</v>
      </c>
      <c r="E65" s="35" t="s">
        <v>25</v>
      </c>
      <c r="F65" s="35" t="s">
        <v>25</v>
      </c>
      <c r="G65" s="35" t="s">
        <v>25</v>
      </c>
      <c r="H65" s="35" t="s">
        <v>34</v>
      </c>
      <c r="I65" s="55">
        <v>44593</v>
      </c>
      <c r="J65" s="56">
        <f ca="1">EFEITO!$J$65*EFEITO!$Y$65</f>
        <v>78363.44479245269</v>
      </c>
      <c r="K65" s="56">
        <f ca="1">EFEITO!$L$65*EFEITO!$Z$65</f>
        <v>8515.0286744691366</v>
      </c>
      <c r="L65" s="56">
        <f>EFEITO!$N$65*EFEITO!$AA$65</f>
        <v>33911.891600099807</v>
      </c>
      <c r="M65" s="56">
        <f ca="1">$J$65-EFEITO!$K$65*EFEITO!$Y$65</f>
        <v>0</v>
      </c>
      <c r="N65" s="56">
        <f ca="1">$K$65-EFEITO!$M$65*EFEITO!$Z$65</f>
        <v>0</v>
      </c>
      <c r="O65" s="56">
        <f>$L$65-EFEITO!$O$65*EFEITO!$AA$65</f>
        <v>0</v>
      </c>
      <c r="P65" s="39"/>
      <c r="Q65" s="39"/>
      <c r="R65" s="39"/>
      <c r="S65" s="39"/>
      <c r="T65" s="39"/>
      <c r="U65" s="39"/>
      <c r="V65" s="39"/>
      <c r="W65" s="39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11.25" customHeight="1" x14ac:dyDescent="0.2">
      <c r="A66" s="35" t="s">
        <v>21</v>
      </c>
      <c r="B66" s="35" t="s">
        <v>39</v>
      </c>
      <c r="C66" s="35" t="s">
        <v>40</v>
      </c>
      <c r="D66" s="35" t="s">
        <v>42</v>
      </c>
      <c r="E66" s="35" t="s">
        <v>25</v>
      </c>
      <c r="F66" s="35" t="s">
        <v>25</v>
      </c>
      <c r="G66" s="35" t="s">
        <v>25</v>
      </c>
      <c r="H66" s="35" t="s">
        <v>34</v>
      </c>
      <c r="I66" s="55">
        <v>44621</v>
      </c>
      <c r="J66" s="56">
        <f ca="1">EFEITO!$J$66*EFEITO!$Y$66</f>
        <v>78527.299355531533</v>
      </c>
      <c r="K66" s="56">
        <f ca="1">EFEITO!$L$66*EFEITO!$Z$66</f>
        <v>8352.33745745138</v>
      </c>
      <c r="L66" s="56">
        <f>EFEITO!$N$66*EFEITO!$AA$66</f>
        <v>33263.95873613462</v>
      </c>
      <c r="M66" s="56">
        <f ca="1">$J$66-EFEITO!$K$66*EFEITO!$Y$66</f>
        <v>0</v>
      </c>
      <c r="N66" s="56">
        <f ca="1">$K$66-EFEITO!$M$66*EFEITO!$Z$66</f>
        <v>0</v>
      </c>
      <c r="O66" s="56">
        <f>$L$66-EFEITO!$O$66*EFEITO!$AA$66</f>
        <v>0</v>
      </c>
      <c r="P66" s="39"/>
      <c r="Q66" s="39"/>
      <c r="R66" s="39"/>
      <c r="S66" s="39"/>
      <c r="T66" s="39"/>
      <c r="U66" s="39"/>
      <c r="V66" s="39"/>
      <c r="W66" s="39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spans="1:36" ht="11.25" customHeight="1" x14ac:dyDescent="0.2">
      <c r="A67" s="35" t="s">
        <v>21</v>
      </c>
      <c r="B67" s="35" t="s">
        <v>39</v>
      </c>
      <c r="C67" s="35" t="s">
        <v>40</v>
      </c>
      <c r="D67" s="35" t="s">
        <v>42</v>
      </c>
      <c r="E67" s="35" t="s">
        <v>25</v>
      </c>
      <c r="F67" s="35" t="s">
        <v>25</v>
      </c>
      <c r="G67" s="35" t="s">
        <v>25</v>
      </c>
      <c r="H67" s="35" t="s">
        <v>34</v>
      </c>
      <c r="I67" s="55">
        <v>44652</v>
      </c>
      <c r="J67" s="56">
        <f ca="1">EFEITO!$J$67*EFEITO!$Y$67</f>
        <v>79305.608530155994</v>
      </c>
      <c r="K67" s="56">
        <f ca="1">EFEITO!$L$67*EFEITO!$Z$67</f>
        <v>9717.502421871397</v>
      </c>
      <c r="L67" s="56">
        <f>EFEITO!$N$67*EFEITO!$AA$67</f>
        <v>38700.854847650306</v>
      </c>
      <c r="M67" s="56">
        <f ca="1">$J$67-EFEITO!$K$67*EFEITO!$Y$67</f>
        <v>0</v>
      </c>
      <c r="N67" s="56">
        <f ca="1">$K$67-EFEITO!$M$67*EFEITO!$Z$67</f>
        <v>0</v>
      </c>
      <c r="O67" s="56">
        <f>$L$67-EFEITO!$O$67*EFEITO!$AA$67</f>
        <v>0</v>
      </c>
      <c r="P67" s="39"/>
      <c r="Q67" s="39"/>
      <c r="R67" s="39"/>
      <c r="S67" s="39"/>
      <c r="T67" s="39"/>
      <c r="U67" s="39"/>
      <c r="V67" s="39"/>
      <c r="W67" s="39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11.25" customHeight="1" x14ac:dyDescent="0.2">
      <c r="A68" s="35" t="s">
        <v>21</v>
      </c>
      <c r="B68" s="35" t="s">
        <v>39</v>
      </c>
      <c r="C68" s="35" t="s">
        <v>40</v>
      </c>
      <c r="D68" s="35" t="s">
        <v>42</v>
      </c>
      <c r="E68" s="35" t="s">
        <v>25</v>
      </c>
      <c r="F68" s="35" t="s">
        <v>25</v>
      </c>
      <c r="G68" s="35" t="s">
        <v>25</v>
      </c>
      <c r="H68" s="35" t="s">
        <v>34</v>
      </c>
      <c r="I68" s="55">
        <v>44682</v>
      </c>
      <c r="J68" s="56">
        <f ca="1">EFEITO!$J$68*EFEITO!$Y$68</f>
        <v>79100.790326307455</v>
      </c>
      <c r="K68" s="56">
        <f ca="1">EFEITO!$L$68*EFEITO!$Z$68</f>
        <v>8206.6237773446355</v>
      </c>
      <c r="L68" s="56">
        <f>EFEITO!$N$68*EFEITO!$AA$68</f>
        <v>32683.640487853489</v>
      </c>
      <c r="M68" s="56">
        <f ca="1">$J$68-EFEITO!$K$68*EFEITO!$Y$68</f>
        <v>0</v>
      </c>
      <c r="N68" s="56">
        <f ca="1">$K$68-EFEITO!$M$68*EFEITO!$Z$68</f>
        <v>0</v>
      </c>
      <c r="O68" s="56">
        <f>$L$68-EFEITO!$O$68*EFEITO!$AA$68</f>
        <v>0</v>
      </c>
      <c r="P68" s="39"/>
      <c r="Q68" s="39"/>
      <c r="R68" s="39"/>
      <c r="S68" s="39"/>
      <c r="T68" s="39"/>
      <c r="U68" s="39"/>
      <c r="V68" s="39"/>
      <c r="W68" s="39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11.25" customHeight="1" x14ac:dyDescent="0.2">
      <c r="A69" s="35" t="s">
        <v>21</v>
      </c>
      <c r="B69" s="35" t="s">
        <v>39</v>
      </c>
      <c r="C69" s="35" t="s">
        <v>40</v>
      </c>
      <c r="D69" s="35" t="s">
        <v>42</v>
      </c>
      <c r="E69" s="35" t="s">
        <v>25</v>
      </c>
      <c r="F69" s="35" t="s">
        <v>25</v>
      </c>
      <c r="G69" s="35" t="s">
        <v>25</v>
      </c>
      <c r="H69" s="35" t="s">
        <v>34</v>
      </c>
      <c r="I69" s="55">
        <v>44713</v>
      </c>
      <c r="J69" s="56">
        <f ca="1">EFEITO!$J$69*EFEITO!$Y$69</f>
        <v>78650.190277840651</v>
      </c>
      <c r="K69" s="56">
        <f ca="1">EFEITO!$L$69*EFEITO!$Z$69</f>
        <v>8666.8493822417113</v>
      </c>
      <c r="L69" s="56">
        <f>EFEITO!$N$69*EFEITO!$AA$69</f>
        <v>34516.531652583835</v>
      </c>
      <c r="M69" s="56">
        <f ca="1">$J$69-EFEITO!$K$69*EFEITO!$Y$69</f>
        <v>0</v>
      </c>
      <c r="N69" s="56">
        <f ca="1">$K$69-EFEITO!$M$69*EFEITO!$Z$69</f>
        <v>0</v>
      </c>
      <c r="O69" s="56">
        <f>$L$69-EFEITO!$O$69*EFEITO!$AA$69</f>
        <v>0</v>
      </c>
      <c r="P69" s="39"/>
      <c r="Q69" s="39"/>
      <c r="R69" s="39"/>
      <c r="S69" s="39"/>
      <c r="T69" s="39"/>
      <c r="U69" s="39"/>
      <c r="V69" s="39"/>
      <c r="W69" s="39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11.25" customHeight="1" x14ac:dyDescent="0.2">
      <c r="A70" s="35" t="s">
        <v>21</v>
      </c>
      <c r="B70" s="35" t="s">
        <v>39</v>
      </c>
      <c r="C70" s="35" t="s">
        <v>40</v>
      </c>
      <c r="D70" s="35" t="s">
        <v>42</v>
      </c>
      <c r="E70" s="35" t="s">
        <v>25</v>
      </c>
      <c r="F70" s="35" t="s">
        <v>25</v>
      </c>
      <c r="G70" s="35" t="s">
        <v>25</v>
      </c>
      <c r="H70" s="35" t="s">
        <v>34</v>
      </c>
      <c r="I70" s="55">
        <v>44743</v>
      </c>
      <c r="J70" s="56">
        <f ca="1">EFEITO!$J$70*EFEITO!$Y$70</f>
        <v>78240.553870143573</v>
      </c>
      <c r="K70" s="56">
        <f ca="1">EFEITO!$L$70*EFEITO!$Z$70</f>
        <v>8379.5748008409882</v>
      </c>
      <c r="L70" s="56">
        <f>EFEITO!$N$70*EFEITO!$AA$70</f>
        <v>33372.433982879542</v>
      </c>
      <c r="M70" s="56">
        <f ca="1">$J$70-EFEITO!$K$70*EFEITO!$Y$70</f>
        <v>0</v>
      </c>
      <c r="N70" s="56">
        <f ca="1">$K$70-EFEITO!$M$70*EFEITO!$Z$70</f>
        <v>0</v>
      </c>
      <c r="O70" s="56">
        <f>$L$70-EFEITO!$O$70*EFEITO!$AA$70</f>
        <v>0</v>
      </c>
      <c r="P70" s="39"/>
      <c r="Q70" s="39"/>
      <c r="R70" s="39"/>
      <c r="S70" s="39"/>
      <c r="T70" s="39"/>
      <c r="U70" s="39"/>
      <c r="V70" s="39"/>
      <c r="W70" s="39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spans="1:36" ht="11.25" customHeight="1" x14ac:dyDescent="0.2">
      <c r="A71" s="35" t="s">
        <v>21</v>
      </c>
      <c r="B71" s="35" t="s">
        <v>39</v>
      </c>
      <c r="C71" s="35" t="s">
        <v>40</v>
      </c>
      <c r="D71" s="35" t="s">
        <v>42</v>
      </c>
      <c r="E71" s="35" t="s">
        <v>25</v>
      </c>
      <c r="F71" s="35" t="s">
        <v>25</v>
      </c>
      <c r="G71" s="35" t="s">
        <v>25</v>
      </c>
      <c r="H71" s="35" t="s">
        <v>34</v>
      </c>
      <c r="I71" s="55">
        <v>44774</v>
      </c>
      <c r="J71" s="56">
        <f ca="1">EFEITO!$J$71*EFEITO!$Y$71</f>
        <v>77626.09925859794</v>
      </c>
      <c r="K71" s="56">
        <f ca="1">EFEITO!$L$71*EFEITO!$Z$71</f>
        <v>8182.1956666813085</v>
      </c>
      <c r="L71" s="56">
        <f>EFEITO!$N$71*EFEITO!$AA$71</f>
        <v>32586.353271041899</v>
      </c>
      <c r="M71" s="56">
        <f ca="1">$J$71-EFEITO!$K$71*EFEITO!$Y$71</f>
        <v>0</v>
      </c>
      <c r="N71" s="56">
        <f ca="1">$K$71-EFEITO!$M$71*EFEITO!$Z$71</f>
        <v>0</v>
      </c>
      <c r="O71" s="56">
        <f>$L$71-EFEITO!$O$71*EFEITO!$AA$71</f>
        <v>0</v>
      </c>
      <c r="P71" s="39"/>
      <c r="Q71" s="39"/>
      <c r="R71" s="39"/>
      <c r="S71" s="39"/>
      <c r="T71" s="39"/>
      <c r="U71" s="39"/>
      <c r="V71" s="39"/>
      <c r="W71" s="39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11.25" customHeight="1" x14ac:dyDescent="0.2">
      <c r="A72" s="35" t="s">
        <v>21</v>
      </c>
      <c r="B72" s="35" t="s">
        <v>39</v>
      </c>
      <c r="C72" s="35" t="s">
        <v>40</v>
      </c>
      <c r="D72" s="35" t="s">
        <v>42</v>
      </c>
      <c r="E72" s="35" t="s">
        <v>25</v>
      </c>
      <c r="F72" s="35" t="s">
        <v>25</v>
      </c>
      <c r="G72" s="35" t="s">
        <v>25</v>
      </c>
      <c r="H72" s="35" t="s">
        <v>34</v>
      </c>
      <c r="I72" s="55">
        <v>44805</v>
      </c>
      <c r="J72" s="56">
        <f ca="1">EFEITO!$J$72*EFEITO!$Y$72</f>
        <v>78035.735666295033</v>
      </c>
      <c r="K72" s="56">
        <f ca="1">EFEITO!$L$72*EFEITO!$Z$72</f>
        <v>8644.9862231980351</v>
      </c>
      <c r="L72" s="56">
        <f>EFEITO!$N$72*EFEITO!$AA$72</f>
        <v>34429.45959353746</v>
      </c>
      <c r="M72" s="56">
        <f ca="1">$J$72-EFEITO!$K$72*EFEITO!$Y$72</f>
        <v>0</v>
      </c>
      <c r="N72" s="56">
        <f ca="1">$K$72-EFEITO!$M$72*EFEITO!$Z$72</f>
        <v>0</v>
      </c>
      <c r="O72" s="56">
        <f>$L$72-EFEITO!$O$72*EFEITO!$AA$72</f>
        <v>0</v>
      </c>
      <c r="P72" s="39"/>
      <c r="Q72" s="39"/>
      <c r="R72" s="39"/>
      <c r="S72" s="39"/>
      <c r="T72" s="39"/>
      <c r="U72" s="39"/>
      <c r="V72" s="39"/>
      <c r="W72" s="39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11.25" customHeight="1" x14ac:dyDescent="0.2">
      <c r="A73" s="35" t="s">
        <v>53</v>
      </c>
      <c r="B73" s="35" t="s">
        <v>39</v>
      </c>
      <c r="C73" s="35" t="s">
        <v>40</v>
      </c>
      <c r="D73" s="35" t="s">
        <v>42</v>
      </c>
      <c r="E73" s="35" t="s">
        <v>25</v>
      </c>
      <c r="F73" s="35" t="s">
        <v>25</v>
      </c>
      <c r="G73" s="35" t="s">
        <v>25</v>
      </c>
      <c r="H73" s="35" t="s">
        <v>34</v>
      </c>
      <c r="I73" s="55">
        <v>44835</v>
      </c>
      <c r="J73" s="56">
        <f ca="1">EFEITO!$J$73*EFEITO!$Y$73</f>
        <v>78035.735666295033</v>
      </c>
      <c r="K73" s="56">
        <f ca="1">EFEITO!$L$73*EFEITO!$Z$73</f>
        <v>8644.9862231980351</v>
      </c>
      <c r="L73" s="56">
        <f>EFEITO!$N$73*EFEITO!$AA$73</f>
        <v>34429.45959353746</v>
      </c>
      <c r="M73" s="56">
        <f ca="1">$J$73-EFEITO!$K$73*EFEITO!$Y$73</f>
        <v>0</v>
      </c>
      <c r="N73" s="56">
        <f ca="1">$K$73-EFEITO!$M$73*EFEITO!$Z$73</f>
        <v>0</v>
      </c>
      <c r="O73" s="56">
        <f>$L$73-EFEITO!$O$73*EFEITO!$AA$73</f>
        <v>0</v>
      </c>
      <c r="P73" s="39"/>
      <c r="Q73" s="39"/>
      <c r="R73" s="39"/>
      <c r="S73" s="39"/>
      <c r="T73" s="39"/>
      <c r="U73" s="39"/>
      <c r="V73" s="39"/>
      <c r="W73" s="39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11.25" customHeight="1" x14ac:dyDescent="0.2">
      <c r="A74" s="35" t="s">
        <v>21</v>
      </c>
      <c r="B74" s="35" t="s">
        <v>39</v>
      </c>
      <c r="C74" s="35" t="s">
        <v>40</v>
      </c>
      <c r="D74" s="35" t="s">
        <v>38</v>
      </c>
      <c r="E74" s="35" t="s">
        <v>25</v>
      </c>
      <c r="F74" s="35" t="s">
        <v>56</v>
      </c>
      <c r="G74" s="35" t="s">
        <v>25</v>
      </c>
      <c r="H74" s="35" t="s">
        <v>35</v>
      </c>
      <c r="I74" s="55">
        <v>44501</v>
      </c>
      <c r="J74" s="56">
        <f ca="1">EFEITO!$J$74*EFEITO!$Y$74</f>
        <v>261402.08490422848</v>
      </c>
      <c r="K74" s="56">
        <f ca="1">EFEITO!$L$74*EFEITO!$Z$74</f>
        <v>0</v>
      </c>
      <c r="L74" s="56">
        <f>EFEITO!$N$74*EFEITO!$AA$74</f>
        <v>0</v>
      </c>
      <c r="M74" s="56">
        <f ca="1">$J$74-EFEITO!$K$74*EFEITO!$Y$74</f>
        <v>95664.701489459258</v>
      </c>
      <c r="N74" s="56">
        <f ca="1">$K$74-EFEITO!$M$74*EFEITO!$Z$74</f>
        <v>0</v>
      </c>
      <c r="O74" s="56">
        <f>$L$74-EFEITO!$O$74*EFEITO!$AA$74</f>
        <v>0</v>
      </c>
      <c r="P74" s="39"/>
      <c r="Q74" s="39"/>
      <c r="R74" s="39"/>
      <c r="S74" s="39"/>
      <c r="T74" s="39"/>
      <c r="U74" s="39"/>
      <c r="V74" s="39"/>
      <c r="W74" s="39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11.25" customHeight="1" x14ac:dyDescent="0.2">
      <c r="A75" s="35" t="s">
        <v>21</v>
      </c>
      <c r="B75" s="35" t="s">
        <v>39</v>
      </c>
      <c r="C75" s="35" t="s">
        <v>40</v>
      </c>
      <c r="D75" s="35" t="s">
        <v>38</v>
      </c>
      <c r="E75" s="35" t="s">
        <v>25</v>
      </c>
      <c r="F75" s="35" t="s">
        <v>56</v>
      </c>
      <c r="G75" s="35" t="s">
        <v>25</v>
      </c>
      <c r="H75" s="35" t="s">
        <v>35</v>
      </c>
      <c r="I75" s="55">
        <v>44531</v>
      </c>
      <c r="J75" s="56">
        <f ca="1">EFEITO!$J$75*EFEITO!$Y$75</f>
        <v>261337.94108853515</v>
      </c>
      <c r="K75" s="56">
        <f ca="1">EFEITO!$L$75*EFEITO!$Z$75</f>
        <v>0</v>
      </c>
      <c r="L75" s="56">
        <f>EFEITO!$N$75*EFEITO!$AA$75</f>
        <v>0</v>
      </c>
      <c r="M75" s="56">
        <f ca="1">$J$75-EFEITO!$K$75*EFEITO!$Y$75</f>
        <v>93365.948252889968</v>
      </c>
      <c r="N75" s="56">
        <f ca="1">$K$75-EFEITO!$M$75*EFEITO!$Z$75</f>
        <v>0</v>
      </c>
      <c r="O75" s="56">
        <f>$L$75-EFEITO!$O$75*EFEITO!$AA$75</f>
        <v>0</v>
      </c>
      <c r="P75" s="39"/>
      <c r="Q75" s="39"/>
      <c r="R75" s="39"/>
      <c r="S75" s="39"/>
      <c r="T75" s="39"/>
      <c r="U75" s="39"/>
      <c r="V75" s="39"/>
      <c r="W75" s="39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11.25" customHeight="1" x14ac:dyDescent="0.2">
      <c r="A76" s="35" t="s">
        <v>21</v>
      </c>
      <c r="B76" s="35" t="s">
        <v>39</v>
      </c>
      <c r="C76" s="35" t="s">
        <v>40</v>
      </c>
      <c r="D76" s="35" t="s">
        <v>38</v>
      </c>
      <c r="E76" s="35" t="s">
        <v>25</v>
      </c>
      <c r="F76" s="35" t="s">
        <v>56</v>
      </c>
      <c r="G76" s="35" t="s">
        <v>25</v>
      </c>
      <c r="H76" s="35" t="s">
        <v>35</v>
      </c>
      <c r="I76" s="55">
        <v>44562</v>
      </c>
      <c r="J76" s="56">
        <f ca="1">EFEITO!$J$76*EFEITO!$Y$76</f>
        <v>258932.5480000354</v>
      </c>
      <c r="K76" s="56">
        <f ca="1">EFEITO!$L$76*EFEITO!$Z$76</f>
        <v>0</v>
      </c>
      <c r="L76" s="56">
        <f>EFEITO!$N$76*EFEITO!$AA$76</f>
        <v>0</v>
      </c>
      <c r="M76" s="56">
        <f ca="1">$J$76-EFEITO!$K$76*EFEITO!$Y$76</f>
        <v>111173.43262022795</v>
      </c>
      <c r="N76" s="56">
        <f ca="1">$K$76-EFEITO!$M$76*EFEITO!$Z$76</f>
        <v>0</v>
      </c>
      <c r="O76" s="56">
        <f>$L$76-EFEITO!$O$76*EFEITO!$AA$76</f>
        <v>0</v>
      </c>
      <c r="P76" s="39"/>
      <c r="Q76" s="39"/>
      <c r="R76" s="39"/>
      <c r="S76" s="39"/>
      <c r="T76" s="39"/>
      <c r="U76" s="39"/>
      <c r="V76" s="39"/>
      <c r="W76" s="39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11.25" customHeight="1" x14ac:dyDescent="0.2">
      <c r="A77" s="35" t="s">
        <v>21</v>
      </c>
      <c r="B77" s="35" t="s">
        <v>39</v>
      </c>
      <c r="C77" s="35" t="s">
        <v>40</v>
      </c>
      <c r="D77" s="35" t="s">
        <v>38</v>
      </c>
      <c r="E77" s="35" t="s">
        <v>25</v>
      </c>
      <c r="F77" s="35" t="s">
        <v>56</v>
      </c>
      <c r="G77" s="35" t="s">
        <v>25</v>
      </c>
      <c r="H77" s="35" t="s">
        <v>35</v>
      </c>
      <c r="I77" s="55">
        <v>44593</v>
      </c>
      <c r="J77" s="56">
        <f ca="1">EFEITO!$J$77*EFEITO!$Y$77</f>
        <v>260103.17263643863</v>
      </c>
      <c r="K77" s="56">
        <f ca="1">EFEITO!$L$77*EFEITO!$Z$77</f>
        <v>0</v>
      </c>
      <c r="L77" s="56">
        <f>EFEITO!$N$77*EFEITO!$AA$77</f>
        <v>0</v>
      </c>
      <c r="M77" s="56">
        <f ca="1">$J$77-EFEITO!$K$77*EFEITO!$Y$77</f>
        <v>106569.98949791517</v>
      </c>
      <c r="N77" s="56">
        <f ca="1">$K$77-EFEITO!$M$77*EFEITO!$Z$77</f>
        <v>0</v>
      </c>
      <c r="O77" s="56">
        <f>$L$77-EFEITO!$O$77*EFEITO!$AA$77</f>
        <v>0</v>
      </c>
      <c r="P77" s="39"/>
      <c r="Q77" s="39"/>
      <c r="R77" s="39"/>
      <c r="S77" s="39"/>
      <c r="T77" s="39"/>
      <c r="U77" s="39"/>
      <c r="V77" s="39"/>
      <c r="W77" s="39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11.25" customHeight="1" x14ac:dyDescent="0.2">
      <c r="A78" s="35" t="s">
        <v>21</v>
      </c>
      <c r="B78" s="35" t="s">
        <v>39</v>
      </c>
      <c r="C78" s="35" t="s">
        <v>40</v>
      </c>
      <c r="D78" s="35" t="s">
        <v>38</v>
      </c>
      <c r="E78" s="35" t="s">
        <v>25</v>
      </c>
      <c r="F78" s="35" t="s">
        <v>56</v>
      </c>
      <c r="G78" s="35" t="s">
        <v>25</v>
      </c>
      <c r="H78" s="35" t="s">
        <v>35</v>
      </c>
      <c r="I78" s="55">
        <v>44621</v>
      </c>
      <c r="J78" s="56">
        <f ca="1">EFEITO!$J$78*EFEITO!$Y$78</f>
        <v>263871.62180842157</v>
      </c>
      <c r="K78" s="56">
        <f ca="1">EFEITO!$L$78*EFEITO!$Z$78</f>
        <v>0</v>
      </c>
      <c r="L78" s="56">
        <f>EFEITO!$N$78*EFEITO!$AA$78</f>
        <v>0</v>
      </c>
      <c r="M78" s="56">
        <f ca="1">$J$78-EFEITO!$K$78*EFEITO!$Y$78</f>
        <v>122582.31394522439</v>
      </c>
      <c r="N78" s="56">
        <f ca="1">$K$78-EFEITO!$M$78*EFEITO!$Z$78</f>
        <v>0</v>
      </c>
      <c r="O78" s="56">
        <f>$L$78-EFEITO!$O$78*EFEITO!$AA$78</f>
        <v>0</v>
      </c>
      <c r="P78" s="39"/>
      <c r="Q78" s="39"/>
      <c r="R78" s="39"/>
      <c r="S78" s="39"/>
      <c r="T78" s="39"/>
      <c r="U78" s="39"/>
      <c r="V78" s="39"/>
      <c r="W78" s="39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11.25" customHeight="1" x14ac:dyDescent="0.2">
      <c r="A79" s="35" t="s">
        <v>21</v>
      </c>
      <c r="B79" s="35" t="s">
        <v>39</v>
      </c>
      <c r="C79" s="35" t="s">
        <v>40</v>
      </c>
      <c r="D79" s="35" t="s">
        <v>38</v>
      </c>
      <c r="E79" s="35" t="s">
        <v>25</v>
      </c>
      <c r="F79" s="35" t="s">
        <v>56</v>
      </c>
      <c r="G79" s="35" t="s">
        <v>25</v>
      </c>
      <c r="H79" s="35" t="s">
        <v>35</v>
      </c>
      <c r="I79" s="55">
        <v>44652</v>
      </c>
      <c r="J79" s="56">
        <f ca="1">EFEITO!$J$79*EFEITO!$Y$79</f>
        <v>259878.66928151197</v>
      </c>
      <c r="K79" s="56">
        <f ca="1">EFEITO!$L$79*EFEITO!$Z$79</f>
        <v>0</v>
      </c>
      <c r="L79" s="56">
        <f>EFEITO!$N$79*EFEITO!$AA$79</f>
        <v>0</v>
      </c>
      <c r="M79" s="56">
        <f ca="1">$J$79-EFEITO!$K$79*EFEITO!$Y$79</f>
        <v>131559.53780924479</v>
      </c>
      <c r="N79" s="56">
        <f ca="1">$K$79-EFEITO!$M$79*EFEITO!$Z$79</f>
        <v>0</v>
      </c>
      <c r="O79" s="56">
        <f>$L$79-EFEITO!$O$79*EFEITO!$AA$79</f>
        <v>0</v>
      </c>
      <c r="P79" s="39"/>
      <c r="Q79" s="39"/>
      <c r="R79" s="39"/>
      <c r="S79" s="39"/>
      <c r="T79" s="39"/>
      <c r="U79" s="39"/>
      <c r="V79" s="39"/>
      <c r="W79" s="39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11.25" customHeight="1" x14ac:dyDescent="0.2">
      <c r="A80" s="35" t="s">
        <v>21</v>
      </c>
      <c r="B80" s="35" t="s">
        <v>39</v>
      </c>
      <c r="C80" s="35" t="s">
        <v>40</v>
      </c>
      <c r="D80" s="35" t="s">
        <v>38</v>
      </c>
      <c r="E80" s="35" t="s">
        <v>25</v>
      </c>
      <c r="F80" s="35" t="s">
        <v>56</v>
      </c>
      <c r="G80" s="35" t="s">
        <v>25</v>
      </c>
      <c r="H80" s="35" t="s">
        <v>35</v>
      </c>
      <c r="I80" s="55">
        <v>44682</v>
      </c>
      <c r="J80" s="56">
        <f ca="1">EFEITO!$J$80*EFEITO!$Y$80</f>
        <v>261065.3298718385</v>
      </c>
      <c r="K80" s="56">
        <f ca="1">EFEITO!$L$80*EFEITO!$Z$80</f>
        <v>0</v>
      </c>
      <c r="L80" s="56">
        <f>EFEITO!$N$80*EFEITO!$AA$80</f>
        <v>0</v>
      </c>
      <c r="M80" s="56">
        <f ca="1">$J$80-EFEITO!$K$80*EFEITO!$Y$80</f>
        <v>91172.369892455201</v>
      </c>
      <c r="N80" s="56">
        <f ca="1">$K$80-EFEITO!$M$80*EFEITO!$Z$80</f>
        <v>0</v>
      </c>
      <c r="O80" s="56">
        <f>$L$80-EFEITO!$O$80*EFEITO!$AA$80</f>
        <v>0</v>
      </c>
      <c r="P80" s="39"/>
      <c r="Q80" s="39"/>
      <c r="R80" s="39"/>
      <c r="S80" s="39"/>
      <c r="T80" s="39"/>
      <c r="U80" s="39"/>
      <c r="V80" s="39"/>
      <c r="W80" s="39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11.25" customHeight="1" x14ac:dyDescent="0.2">
      <c r="A81" s="35" t="s">
        <v>21</v>
      </c>
      <c r="B81" s="35" t="s">
        <v>39</v>
      </c>
      <c r="C81" s="35" t="s">
        <v>40</v>
      </c>
      <c r="D81" s="35" t="s">
        <v>38</v>
      </c>
      <c r="E81" s="35" t="s">
        <v>25</v>
      </c>
      <c r="F81" s="35" t="s">
        <v>56</v>
      </c>
      <c r="G81" s="35" t="s">
        <v>25</v>
      </c>
      <c r="H81" s="35" t="s">
        <v>35</v>
      </c>
      <c r="I81" s="55">
        <v>44713</v>
      </c>
      <c r="J81" s="56">
        <f ca="1">EFEITO!$J$81*EFEITO!$Y$81</f>
        <v>258002.46267248219</v>
      </c>
      <c r="K81" s="56">
        <f ca="1">EFEITO!$L$81*EFEITO!$Z$81</f>
        <v>0</v>
      </c>
      <c r="L81" s="56">
        <f>EFEITO!$N$81*EFEITO!$AA$81</f>
        <v>0</v>
      </c>
      <c r="M81" s="56">
        <f ca="1">$J$81-EFEITO!$K$81*EFEITO!$Y$81</f>
        <v>101163.12423730339</v>
      </c>
      <c r="N81" s="56">
        <f ca="1">$K$81-EFEITO!$M$81*EFEITO!$Z$81</f>
        <v>0</v>
      </c>
      <c r="O81" s="56">
        <f>$L$81-EFEITO!$O$81*EFEITO!$AA$81</f>
        <v>0</v>
      </c>
      <c r="P81" s="39"/>
      <c r="Q81" s="39"/>
      <c r="R81" s="39"/>
      <c r="S81" s="39"/>
      <c r="T81" s="39"/>
      <c r="U81" s="39"/>
      <c r="V81" s="39"/>
      <c r="W81" s="39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11.25" customHeight="1" x14ac:dyDescent="0.2">
      <c r="A82" s="35" t="s">
        <v>21</v>
      </c>
      <c r="B82" s="35" t="s">
        <v>39</v>
      </c>
      <c r="C82" s="35" t="s">
        <v>40</v>
      </c>
      <c r="D82" s="35" t="s">
        <v>38</v>
      </c>
      <c r="E82" s="35" t="s">
        <v>25</v>
      </c>
      <c r="F82" s="35" t="s">
        <v>56</v>
      </c>
      <c r="G82" s="35" t="s">
        <v>25</v>
      </c>
      <c r="H82" s="35" t="s">
        <v>35</v>
      </c>
      <c r="I82" s="55">
        <v>44743</v>
      </c>
      <c r="J82" s="56">
        <f ca="1">EFEITO!$J$82*EFEITO!$Y$82</f>
        <v>259076.87158534539</v>
      </c>
      <c r="K82" s="56">
        <f ca="1">EFEITO!$L$82*EFEITO!$Z$82</f>
        <v>0</v>
      </c>
      <c r="L82" s="56">
        <f>EFEITO!$N$82*EFEITO!$AA$82</f>
        <v>0</v>
      </c>
      <c r="M82" s="56">
        <f ca="1">$J$82-EFEITO!$K$82*EFEITO!$Y$82</f>
        <v>130607.63308786183</v>
      </c>
      <c r="N82" s="56">
        <f ca="1">$K$82-EFEITO!$M$82*EFEITO!$Z$82</f>
        <v>0</v>
      </c>
      <c r="O82" s="56">
        <f>$L$82-EFEITO!$O$82*EFEITO!$AA$82</f>
        <v>0</v>
      </c>
      <c r="P82" s="39"/>
      <c r="Q82" s="39"/>
      <c r="R82" s="39"/>
      <c r="S82" s="39"/>
      <c r="T82" s="39"/>
      <c r="U82" s="39"/>
      <c r="V82" s="39"/>
      <c r="W82" s="39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11.25" customHeight="1" x14ac:dyDescent="0.2">
      <c r="A83" s="35" t="s">
        <v>21</v>
      </c>
      <c r="B83" s="35" t="s">
        <v>39</v>
      </c>
      <c r="C83" s="35" t="s">
        <v>40</v>
      </c>
      <c r="D83" s="35" t="s">
        <v>38</v>
      </c>
      <c r="E83" s="35" t="s">
        <v>25</v>
      </c>
      <c r="F83" s="35" t="s">
        <v>56</v>
      </c>
      <c r="G83" s="35" t="s">
        <v>25</v>
      </c>
      <c r="H83" s="35" t="s">
        <v>35</v>
      </c>
      <c r="I83" s="55">
        <v>44774</v>
      </c>
      <c r="J83" s="56">
        <f ca="1">EFEITO!$J$83*EFEITO!$Y$83</f>
        <v>257954.35481071219</v>
      </c>
      <c r="K83" s="56">
        <f ca="1">EFEITO!$L$83*EFEITO!$Z$83</f>
        <v>0</v>
      </c>
      <c r="L83" s="56">
        <f>EFEITO!$N$83*EFEITO!$AA$83</f>
        <v>0</v>
      </c>
      <c r="M83" s="56">
        <f ca="1">$J$83-EFEITO!$K$83*EFEITO!$Y$83</f>
        <v>121778.46586200193</v>
      </c>
      <c r="N83" s="56">
        <f ca="1">$K$83-EFEITO!$M$83*EFEITO!$Z$83</f>
        <v>0</v>
      </c>
      <c r="O83" s="56">
        <f>$L$83-EFEITO!$O$83*EFEITO!$AA$83</f>
        <v>0</v>
      </c>
      <c r="P83" s="39"/>
      <c r="Q83" s="39"/>
      <c r="R83" s="39"/>
      <c r="S83" s="39"/>
      <c r="T83" s="39"/>
      <c r="U83" s="39"/>
      <c r="V83" s="39"/>
      <c r="W83" s="39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11.25" customHeight="1" x14ac:dyDescent="0.2">
      <c r="A84" s="35" t="s">
        <v>21</v>
      </c>
      <c r="B84" s="35" t="s">
        <v>39</v>
      </c>
      <c r="C84" s="35" t="s">
        <v>40</v>
      </c>
      <c r="D84" s="35" t="s">
        <v>38</v>
      </c>
      <c r="E84" s="35" t="s">
        <v>25</v>
      </c>
      <c r="F84" s="35" t="s">
        <v>56</v>
      </c>
      <c r="G84" s="35" t="s">
        <v>25</v>
      </c>
      <c r="H84" s="35" t="s">
        <v>35</v>
      </c>
      <c r="I84" s="55">
        <v>44805</v>
      </c>
      <c r="J84" s="56">
        <f ca="1">EFEITO!$J$84*EFEITO!$Y$84</f>
        <v>257585.52787047555</v>
      </c>
      <c r="K84" s="56">
        <f ca="1">EFEITO!$L$84*EFEITO!$Z$84</f>
        <v>0</v>
      </c>
      <c r="L84" s="56">
        <f>EFEITO!$N$84*EFEITO!$AA$84</f>
        <v>0</v>
      </c>
      <c r="M84" s="56">
        <f ca="1">$J$84-EFEITO!$K$84*EFEITO!$Y$84</f>
        <v>112578.44528500602</v>
      </c>
      <c r="N84" s="56">
        <f ca="1">$K$84-EFEITO!$M$84*EFEITO!$Z$84</f>
        <v>0</v>
      </c>
      <c r="O84" s="56">
        <f>$L$84-EFEITO!$O$84*EFEITO!$AA$84</f>
        <v>0</v>
      </c>
      <c r="P84" s="39"/>
      <c r="Q84" s="39"/>
      <c r="R84" s="39"/>
      <c r="S84" s="39"/>
      <c r="T84" s="39"/>
      <c r="U84" s="39"/>
      <c r="V84" s="39"/>
      <c r="W84" s="39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11.25" customHeight="1" x14ac:dyDescent="0.2">
      <c r="A85" s="35" t="s">
        <v>53</v>
      </c>
      <c r="B85" s="35" t="s">
        <v>39</v>
      </c>
      <c r="C85" s="35" t="s">
        <v>40</v>
      </c>
      <c r="D85" s="35" t="s">
        <v>38</v>
      </c>
      <c r="E85" s="35" t="s">
        <v>25</v>
      </c>
      <c r="F85" s="35" t="s">
        <v>56</v>
      </c>
      <c r="G85" s="35" t="s">
        <v>25</v>
      </c>
      <c r="H85" s="35" t="s">
        <v>35</v>
      </c>
      <c r="I85" s="55">
        <v>44835</v>
      </c>
      <c r="J85" s="56">
        <f ca="1">EFEITO!$J$85*EFEITO!$Y$85</f>
        <v>257585.52787047555</v>
      </c>
      <c r="K85" s="56">
        <f ca="1">EFEITO!$L$85*EFEITO!$Z$85</f>
        <v>0</v>
      </c>
      <c r="L85" s="56">
        <f>EFEITO!$N$85*EFEITO!$AA$85</f>
        <v>0</v>
      </c>
      <c r="M85" s="56">
        <f ca="1">$J$85-EFEITO!$K$85*EFEITO!$Y$85</f>
        <v>112578.44528500602</v>
      </c>
      <c r="N85" s="56">
        <f ca="1">$K$85-EFEITO!$M$85*EFEITO!$Z$85</f>
        <v>0</v>
      </c>
      <c r="O85" s="56">
        <f>$L$85-EFEITO!$O$85*EFEITO!$AA$85</f>
        <v>0</v>
      </c>
      <c r="P85" s="39"/>
      <c r="Q85" s="39"/>
      <c r="R85" s="39"/>
      <c r="S85" s="39"/>
      <c r="T85" s="39"/>
      <c r="U85" s="39"/>
      <c r="V85" s="39"/>
      <c r="W85" s="39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11.25" customHeight="1" x14ac:dyDescent="0.2">
      <c r="A86" s="35" t="s">
        <v>21</v>
      </c>
      <c r="B86" s="35" t="s">
        <v>39</v>
      </c>
      <c r="C86" s="35" t="s">
        <v>40</v>
      </c>
      <c r="D86" s="35" t="s">
        <v>38</v>
      </c>
      <c r="E86" s="35" t="s">
        <v>25</v>
      </c>
      <c r="F86" s="35" t="s">
        <v>56</v>
      </c>
      <c r="G86" s="35" t="s">
        <v>25</v>
      </c>
      <c r="H86" s="35" t="s">
        <v>25</v>
      </c>
      <c r="I86" s="55">
        <v>44501</v>
      </c>
      <c r="J86" s="56">
        <f>EFEITO!$J$86*EFEITO!$Y$86</f>
        <v>0</v>
      </c>
      <c r="K86" s="56">
        <f ca="1">EFEITO!$L$86*EFEITO!$Z$86</f>
        <v>963447.12737267499</v>
      </c>
      <c r="L86" s="56">
        <f>EFEITO!$N$86*EFEITO!$AA$86</f>
        <v>0</v>
      </c>
      <c r="M86" s="56">
        <f>$J$86-EFEITO!$K$86*EFEITO!$Y$86</f>
        <v>0</v>
      </c>
      <c r="N86" s="56">
        <f ca="1">$K$86-EFEITO!$M$86*EFEITO!$Z$86</f>
        <v>0</v>
      </c>
      <c r="O86" s="56">
        <f>$L$86-EFEITO!$O$86*EFEITO!$AA$86</f>
        <v>0</v>
      </c>
      <c r="P86" s="39"/>
      <c r="Q86" s="39"/>
      <c r="R86" s="39"/>
      <c r="S86" s="39"/>
      <c r="T86" s="39"/>
      <c r="U86" s="39"/>
      <c r="V86" s="39"/>
      <c r="W86" s="39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11.25" customHeight="1" x14ac:dyDescent="0.2">
      <c r="A87" s="35" t="s">
        <v>21</v>
      </c>
      <c r="B87" s="35" t="s">
        <v>39</v>
      </c>
      <c r="C87" s="35" t="s">
        <v>40</v>
      </c>
      <c r="D87" s="35" t="s">
        <v>38</v>
      </c>
      <c r="E87" s="35" t="s">
        <v>25</v>
      </c>
      <c r="F87" s="35" t="s">
        <v>56</v>
      </c>
      <c r="G87" s="35" t="s">
        <v>25</v>
      </c>
      <c r="H87" s="35" t="s">
        <v>25</v>
      </c>
      <c r="I87" s="55">
        <v>44531</v>
      </c>
      <c r="J87" s="56">
        <f>EFEITO!$J$87*EFEITO!$Y$87</f>
        <v>0</v>
      </c>
      <c r="K87" s="56">
        <f ca="1">EFEITO!$L$87*EFEITO!$Z$87</f>
        <v>934508.97677813156</v>
      </c>
      <c r="L87" s="56">
        <f>EFEITO!$N$87*EFEITO!$AA$87</f>
        <v>0</v>
      </c>
      <c r="M87" s="56">
        <f>$J$87-EFEITO!$K$87*EFEITO!$Y$87</f>
        <v>0</v>
      </c>
      <c r="N87" s="56">
        <f ca="1">$K$87-EFEITO!$M$87*EFEITO!$Z$87</f>
        <v>0</v>
      </c>
      <c r="O87" s="56">
        <f>$L$87-EFEITO!$O$87*EFEITO!$AA$87</f>
        <v>0</v>
      </c>
      <c r="P87" s="39"/>
      <c r="Q87" s="39"/>
      <c r="R87" s="39"/>
      <c r="S87" s="39"/>
      <c r="T87" s="39"/>
      <c r="U87" s="39"/>
      <c r="V87" s="39"/>
      <c r="W87" s="39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1.25" customHeight="1" x14ac:dyDescent="0.2">
      <c r="A88" s="35" t="s">
        <v>21</v>
      </c>
      <c r="B88" s="35" t="s">
        <v>39</v>
      </c>
      <c r="C88" s="35" t="s">
        <v>40</v>
      </c>
      <c r="D88" s="35" t="s">
        <v>38</v>
      </c>
      <c r="E88" s="35" t="s">
        <v>25</v>
      </c>
      <c r="F88" s="35" t="s">
        <v>56</v>
      </c>
      <c r="G88" s="35" t="s">
        <v>25</v>
      </c>
      <c r="H88" s="35" t="s">
        <v>25</v>
      </c>
      <c r="I88" s="55">
        <v>44562</v>
      </c>
      <c r="J88" s="56">
        <f>EFEITO!$J$88*EFEITO!$Y$88</f>
        <v>0</v>
      </c>
      <c r="K88" s="56">
        <f ca="1">EFEITO!$L$88*EFEITO!$Z$88</f>
        <v>873967.5687156755</v>
      </c>
      <c r="L88" s="56">
        <f>EFEITO!$N$88*EFEITO!$AA$88</f>
        <v>0</v>
      </c>
      <c r="M88" s="56">
        <f>$J$88-EFEITO!$K$88*EFEITO!$Y$88</f>
        <v>0</v>
      </c>
      <c r="N88" s="56">
        <f ca="1">$K$88-EFEITO!$M$88*EFEITO!$Z$88</f>
        <v>0</v>
      </c>
      <c r="O88" s="56">
        <f>$L$88-EFEITO!$O$88*EFEITO!$AA$88</f>
        <v>0</v>
      </c>
      <c r="P88" s="39"/>
      <c r="Q88" s="39"/>
      <c r="R88" s="39"/>
      <c r="S88" s="39"/>
      <c r="T88" s="39"/>
      <c r="U88" s="39"/>
      <c r="V88" s="39"/>
      <c r="W88" s="39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11.25" customHeight="1" x14ac:dyDescent="0.2">
      <c r="A89" s="35" t="s">
        <v>21</v>
      </c>
      <c r="B89" s="35" t="s">
        <v>39</v>
      </c>
      <c r="C89" s="35" t="s">
        <v>40</v>
      </c>
      <c r="D89" s="35" t="s">
        <v>38</v>
      </c>
      <c r="E89" s="35" t="s">
        <v>25</v>
      </c>
      <c r="F89" s="35" t="s">
        <v>56</v>
      </c>
      <c r="G89" s="35" t="s">
        <v>25</v>
      </c>
      <c r="H89" s="35" t="s">
        <v>25</v>
      </c>
      <c r="I89" s="55">
        <v>44593</v>
      </c>
      <c r="J89" s="56">
        <f>EFEITO!$J$89*EFEITO!$Y$89</f>
        <v>0</v>
      </c>
      <c r="K89" s="56">
        <f ca="1">EFEITO!$L$89*EFEITO!$Z$89</f>
        <v>921237.79495751252</v>
      </c>
      <c r="L89" s="56">
        <f>EFEITO!$N$89*EFEITO!$AA$89</f>
        <v>0</v>
      </c>
      <c r="M89" s="56">
        <f>$J$89-EFEITO!$K$89*EFEITO!$Y$89</f>
        <v>0</v>
      </c>
      <c r="N89" s="56">
        <f ca="1">$K$89-EFEITO!$M$89*EFEITO!$Z$89</f>
        <v>0</v>
      </c>
      <c r="O89" s="56">
        <f>$L$89-EFEITO!$O$89*EFEITO!$AA$89</f>
        <v>0</v>
      </c>
      <c r="P89" s="39"/>
      <c r="Q89" s="39"/>
      <c r="R89" s="39"/>
      <c r="S89" s="39"/>
      <c r="T89" s="39"/>
      <c r="U89" s="39"/>
      <c r="V89" s="39"/>
      <c r="W89" s="39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1.25" customHeight="1" x14ac:dyDescent="0.2">
      <c r="A90" s="35" t="s">
        <v>21</v>
      </c>
      <c r="B90" s="35" t="s">
        <v>39</v>
      </c>
      <c r="C90" s="35" t="s">
        <v>40</v>
      </c>
      <c r="D90" s="35" t="s">
        <v>38</v>
      </c>
      <c r="E90" s="35" t="s">
        <v>25</v>
      </c>
      <c r="F90" s="35" t="s">
        <v>56</v>
      </c>
      <c r="G90" s="35" t="s">
        <v>25</v>
      </c>
      <c r="H90" s="35" t="s">
        <v>25</v>
      </c>
      <c r="I90" s="55">
        <v>44621</v>
      </c>
      <c r="J90" s="56">
        <f>EFEITO!$J$90*EFEITO!$Y$90</f>
        <v>0</v>
      </c>
      <c r="K90" s="56">
        <f ca="1">EFEITO!$L$90*EFEITO!$Z$90</f>
        <v>905262.66556757013</v>
      </c>
      <c r="L90" s="56">
        <f>EFEITO!$N$90*EFEITO!$AA$90</f>
        <v>0</v>
      </c>
      <c r="M90" s="56">
        <f>$J$90-EFEITO!$K$90*EFEITO!$Y$90</f>
        <v>0</v>
      </c>
      <c r="N90" s="56">
        <f ca="1">$K$90-EFEITO!$M$90*EFEITO!$Z$90</f>
        <v>0</v>
      </c>
      <c r="O90" s="56">
        <f>$L$90-EFEITO!$O$90*EFEITO!$AA$90</f>
        <v>0</v>
      </c>
      <c r="P90" s="39"/>
      <c r="Q90" s="39"/>
      <c r="R90" s="39"/>
      <c r="S90" s="39"/>
      <c r="T90" s="39"/>
      <c r="U90" s="39"/>
      <c r="V90" s="39"/>
      <c r="W90" s="39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11.25" customHeight="1" x14ac:dyDescent="0.2">
      <c r="A91" s="35" t="s">
        <v>21</v>
      </c>
      <c r="B91" s="35" t="s">
        <v>39</v>
      </c>
      <c r="C91" s="35" t="s">
        <v>40</v>
      </c>
      <c r="D91" s="35" t="s">
        <v>38</v>
      </c>
      <c r="E91" s="35" t="s">
        <v>25</v>
      </c>
      <c r="F91" s="35" t="s">
        <v>56</v>
      </c>
      <c r="G91" s="35" t="s">
        <v>25</v>
      </c>
      <c r="H91" s="35" t="s">
        <v>25</v>
      </c>
      <c r="I91" s="55">
        <v>44652</v>
      </c>
      <c r="J91" s="56">
        <f>EFEITO!$J$91*EFEITO!$Y$91</f>
        <v>0</v>
      </c>
      <c r="K91" s="56">
        <f ca="1">EFEITO!$L$91*EFEITO!$Z$91</f>
        <v>973742.59889284067</v>
      </c>
      <c r="L91" s="56">
        <f>EFEITO!$N$91*EFEITO!$AA$91</f>
        <v>0</v>
      </c>
      <c r="M91" s="56">
        <f>$J$91-EFEITO!$K$91*EFEITO!$Y$91</f>
        <v>0</v>
      </c>
      <c r="N91" s="56">
        <f ca="1">$K$91-EFEITO!$M$91*EFEITO!$Z$91</f>
        <v>0</v>
      </c>
      <c r="O91" s="56">
        <f>$L$91-EFEITO!$O$91*EFEITO!$AA$91</f>
        <v>0</v>
      </c>
      <c r="P91" s="39"/>
      <c r="Q91" s="39"/>
      <c r="R91" s="39"/>
      <c r="S91" s="39"/>
      <c r="T91" s="39"/>
      <c r="U91" s="39"/>
      <c r="V91" s="39"/>
      <c r="W91" s="39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11.25" customHeight="1" x14ac:dyDescent="0.2">
      <c r="A92" s="35" t="s">
        <v>21</v>
      </c>
      <c r="B92" s="35" t="s">
        <v>39</v>
      </c>
      <c r="C92" s="35" t="s">
        <v>40</v>
      </c>
      <c r="D92" s="35" t="s">
        <v>38</v>
      </c>
      <c r="E92" s="35" t="s">
        <v>25</v>
      </c>
      <c r="F92" s="35" t="s">
        <v>56</v>
      </c>
      <c r="G92" s="35" t="s">
        <v>25</v>
      </c>
      <c r="H92" s="35" t="s">
        <v>25</v>
      </c>
      <c r="I92" s="55">
        <v>44682</v>
      </c>
      <c r="J92" s="56">
        <f>EFEITO!$J$92*EFEITO!$Y$92</f>
        <v>0</v>
      </c>
      <c r="K92" s="56">
        <f ca="1">EFEITO!$L$92*EFEITO!$Z$92</f>
        <v>884208.44340850879</v>
      </c>
      <c r="L92" s="56">
        <f>EFEITO!$N$92*EFEITO!$AA$92</f>
        <v>0</v>
      </c>
      <c r="M92" s="56">
        <f>$J$92-EFEITO!$K$92*EFEITO!$Y$92</f>
        <v>0</v>
      </c>
      <c r="N92" s="56">
        <f ca="1">$K$92-EFEITO!$M$92*EFEITO!$Z$92</f>
        <v>0</v>
      </c>
      <c r="O92" s="56">
        <f>$L$92-EFEITO!$O$92*EFEITO!$AA$92</f>
        <v>0</v>
      </c>
      <c r="P92" s="39"/>
      <c r="Q92" s="39"/>
      <c r="R92" s="39"/>
      <c r="S92" s="39"/>
      <c r="T92" s="39"/>
      <c r="U92" s="39"/>
      <c r="V92" s="39"/>
      <c r="W92" s="39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1.25" customHeight="1" x14ac:dyDescent="0.2">
      <c r="A93" s="35" t="s">
        <v>21</v>
      </c>
      <c r="B93" s="35" t="s">
        <v>39</v>
      </c>
      <c r="C93" s="35" t="s">
        <v>40</v>
      </c>
      <c r="D93" s="35" t="s">
        <v>38</v>
      </c>
      <c r="E93" s="35" t="s">
        <v>25</v>
      </c>
      <c r="F93" s="35" t="s">
        <v>56</v>
      </c>
      <c r="G93" s="35" t="s">
        <v>25</v>
      </c>
      <c r="H93" s="35" t="s">
        <v>25</v>
      </c>
      <c r="I93" s="55">
        <v>44713</v>
      </c>
      <c r="J93" s="56">
        <f>EFEITO!$J$93*EFEITO!$Y$93</f>
        <v>0</v>
      </c>
      <c r="K93" s="56">
        <f ca="1">EFEITO!$L$93*EFEITO!$Z$93</f>
        <v>903574.43883962755</v>
      </c>
      <c r="L93" s="56">
        <f>EFEITO!$N$93*EFEITO!$AA$93</f>
        <v>0</v>
      </c>
      <c r="M93" s="56">
        <f>$J$93-EFEITO!$K$93*EFEITO!$Y$93</f>
        <v>0</v>
      </c>
      <c r="N93" s="56">
        <f ca="1">$K$93-EFEITO!$M$93*EFEITO!$Z$93</f>
        <v>0</v>
      </c>
      <c r="O93" s="56">
        <f>$L$93-EFEITO!$O$93*EFEITO!$AA$93</f>
        <v>0</v>
      </c>
      <c r="P93" s="39"/>
      <c r="Q93" s="39"/>
      <c r="R93" s="39"/>
      <c r="S93" s="39"/>
      <c r="T93" s="39"/>
      <c r="U93" s="39"/>
      <c r="V93" s="39"/>
      <c r="W93" s="39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1.25" customHeight="1" x14ac:dyDescent="0.2">
      <c r="A94" s="35" t="s">
        <v>21</v>
      </c>
      <c r="B94" s="35" t="s">
        <v>39</v>
      </c>
      <c r="C94" s="35" t="s">
        <v>40</v>
      </c>
      <c r="D94" s="35" t="s">
        <v>38</v>
      </c>
      <c r="E94" s="35" t="s">
        <v>25</v>
      </c>
      <c r="F94" s="35" t="s">
        <v>56</v>
      </c>
      <c r="G94" s="35" t="s">
        <v>25</v>
      </c>
      <c r="H94" s="35" t="s">
        <v>25</v>
      </c>
      <c r="I94" s="55">
        <v>44743</v>
      </c>
      <c r="J94" s="56">
        <f>EFEITO!$J$94*EFEITO!$Y$94</f>
        <v>0</v>
      </c>
      <c r="K94" s="56">
        <f ca="1">EFEITO!$L$94*EFEITO!$Z$94</f>
        <v>858997.77822008228</v>
      </c>
      <c r="L94" s="56">
        <f>EFEITO!$N$94*EFEITO!$AA$94</f>
        <v>0</v>
      </c>
      <c r="M94" s="56">
        <f>$J$94-EFEITO!$K$94*EFEITO!$Y$94</f>
        <v>0</v>
      </c>
      <c r="N94" s="56">
        <f ca="1">$K$94-EFEITO!$M$94*EFEITO!$Z$94</f>
        <v>0</v>
      </c>
      <c r="O94" s="56">
        <f>$L$94-EFEITO!$O$94*EFEITO!$AA$94</f>
        <v>0</v>
      </c>
      <c r="P94" s="39"/>
      <c r="Q94" s="39"/>
      <c r="R94" s="39"/>
      <c r="S94" s="39"/>
      <c r="T94" s="39"/>
      <c r="U94" s="39"/>
      <c r="V94" s="39"/>
      <c r="W94" s="39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spans="1:36" ht="11.25" customHeight="1" x14ac:dyDescent="0.2">
      <c r="A95" s="35" t="s">
        <v>21</v>
      </c>
      <c r="B95" s="35" t="s">
        <v>39</v>
      </c>
      <c r="C95" s="35" t="s">
        <v>40</v>
      </c>
      <c r="D95" s="35" t="s">
        <v>38</v>
      </c>
      <c r="E95" s="35" t="s">
        <v>25</v>
      </c>
      <c r="F95" s="35" t="s">
        <v>56</v>
      </c>
      <c r="G95" s="35" t="s">
        <v>25</v>
      </c>
      <c r="H95" s="35" t="s">
        <v>25</v>
      </c>
      <c r="I95" s="55">
        <v>44774</v>
      </c>
      <c r="J95" s="56">
        <f>EFEITO!$J$95*EFEITO!$Y$95</f>
        <v>0</v>
      </c>
      <c r="K95" s="56">
        <f ca="1">EFEITO!$L$95*EFEITO!$Z$95</f>
        <v>902370.8658272454</v>
      </c>
      <c r="L95" s="56">
        <f>EFEITO!$N$95*EFEITO!$AA$95</f>
        <v>0</v>
      </c>
      <c r="M95" s="56">
        <f>$J$95-EFEITO!$K$95*EFEITO!$Y$95</f>
        <v>0</v>
      </c>
      <c r="N95" s="56">
        <f ca="1">$K$95-EFEITO!$M$95*EFEITO!$Z$95</f>
        <v>0</v>
      </c>
      <c r="O95" s="56">
        <f>$L$95-EFEITO!$O$95*EFEITO!$AA$95</f>
        <v>0</v>
      </c>
      <c r="P95" s="39"/>
      <c r="Q95" s="39"/>
      <c r="R95" s="39"/>
      <c r="S95" s="39"/>
      <c r="T95" s="39"/>
      <c r="U95" s="39"/>
      <c r="V95" s="39"/>
      <c r="W95" s="39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11.25" customHeight="1" x14ac:dyDescent="0.2">
      <c r="A96" s="35" t="s">
        <v>21</v>
      </c>
      <c r="B96" s="35" t="s">
        <v>39</v>
      </c>
      <c r="C96" s="35" t="s">
        <v>40</v>
      </c>
      <c r="D96" s="35" t="s">
        <v>38</v>
      </c>
      <c r="E96" s="35" t="s">
        <v>25</v>
      </c>
      <c r="F96" s="35" t="s">
        <v>56</v>
      </c>
      <c r="G96" s="35" t="s">
        <v>25</v>
      </c>
      <c r="H96" s="35" t="s">
        <v>25</v>
      </c>
      <c r="I96" s="55">
        <v>44805</v>
      </c>
      <c r="J96" s="56">
        <f>EFEITO!$J$96*EFEITO!$Y$96</f>
        <v>0</v>
      </c>
      <c r="K96" s="56">
        <f ca="1">EFEITO!$L$96*EFEITO!$Z$96</f>
        <v>927667.15154354682</v>
      </c>
      <c r="L96" s="56">
        <f>EFEITO!$N$96*EFEITO!$AA$96</f>
        <v>0</v>
      </c>
      <c r="M96" s="56">
        <f>$J$96-EFEITO!$K$96*EFEITO!$Y$96</f>
        <v>0</v>
      </c>
      <c r="N96" s="56">
        <f ca="1">$K$96-EFEITO!$M$96*EFEITO!$Z$96</f>
        <v>0</v>
      </c>
      <c r="O96" s="56">
        <f>$L$96-EFEITO!$O$96*EFEITO!$AA$96</f>
        <v>0</v>
      </c>
      <c r="P96" s="39"/>
      <c r="Q96" s="39"/>
      <c r="R96" s="39"/>
      <c r="S96" s="39"/>
      <c r="T96" s="39"/>
      <c r="U96" s="39"/>
      <c r="V96" s="39"/>
      <c r="W96" s="39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11.25" customHeight="1" x14ac:dyDescent="0.2">
      <c r="A97" s="35" t="s">
        <v>53</v>
      </c>
      <c r="B97" s="35" t="s">
        <v>39</v>
      </c>
      <c r="C97" s="35" t="s">
        <v>40</v>
      </c>
      <c r="D97" s="35" t="s">
        <v>38</v>
      </c>
      <c r="E97" s="35" t="s">
        <v>25</v>
      </c>
      <c r="F97" s="35" t="s">
        <v>56</v>
      </c>
      <c r="G97" s="35" t="s">
        <v>25</v>
      </c>
      <c r="H97" s="35" t="s">
        <v>25</v>
      </c>
      <c r="I97" s="55">
        <v>44835</v>
      </c>
      <c r="J97" s="56">
        <f>EFEITO!$J$97*EFEITO!$Y$97</f>
        <v>0</v>
      </c>
      <c r="K97" s="56">
        <f ca="1">EFEITO!$L$97*EFEITO!$Z$97</f>
        <v>927667.15154354682</v>
      </c>
      <c r="L97" s="56">
        <f>EFEITO!$N$97*EFEITO!$AA$97</f>
        <v>0</v>
      </c>
      <c r="M97" s="56">
        <f>$J$97-EFEITO!$K$97*EFEITO!$Y$97</f>
        <v>0</v>
      </c>
      <c r="N97" s="56">
        <f ca="1">$K$97-EFEITO!$M$97*EFEITO!$Z$97</f>
        <v>0</v>
      </c>
      <c r="O97" s="56">
        <f>$L$97-EFEITO!$O$97*EFEITO!$AA$97</f>
        <v>0</v>
      </c>
      <c r="P97" s="39"/>
      <c r="Q97" s="39"/>
      <c r="R97" s="39"/>
      <c r="S97" s="39"/>
      <c r="T97" s="39"/>
      <c r="U97" s="39"/>
      <c r="V97" s="39"/>
      <c r="W97" s="39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11.25" customHeight="1" x14ac:dyDescent="0.2">
      <c r="A98" s="35" t="s">
        <v>21</v>
      </c>
      <c r="B98" s="35" t="s">
        <v>39</v>
      </c>
      <c r="C98" s="35" t="s">
        <v>40</v>
      </c>
      <c r="D98" s="35" t="s">
        <v>38</v>
      </c>
      <c r="E98" s="35" t="s">
        <v>25</v>
      </c>
      <c r="F98" s="35" t="s">
        <v>56</v>
      </c>
      <c r="G98" s="35" t="s">
        <v>25</v>
      </c>
      <c r="H98" s="35" t="s">
        <v>34</v>
      </c>
      <c r="I98" s="55">
        <v>44501</v>
      </c>
      <c r="J98" s="56">
        <f ca="1">EFEITO!$J$98*EFEITO!$Y$98</f>
        <v>623016.01246649923</v>
      </c>
      <c r="K98" s="56">
        <f ca="1">EFEITO!$L$98*EFEITO!$Z$98</f>
        <v>0</v>
      </c>
      <c r="L98" s="56">
        <f>EFEITO!$N$98*EFEITO!$AA$98</f>
        <v>0</v>
      </c>
      <c r="M98" s="56">
        <f ca="1">$J$98-EFEITO!$K$98*EFEITO!$Y$98</f>
        <v>223948.60068231309</v>
      </c>
      <c r="N98" s="56">
        <f ca="1">$K$98-EFEITO!$M$98*EFEITO!$Z$98</f>
        <v>0</v>
      </c>
      <c r="O98" s="56">
        <f>$L$98-EFEITO!$O$98*EFEITO!$AA$98</f>
        <v>0</v>
      </c>
      <c r="P98" s="39"/>
      <c r="Q98" s="39"/>
      <c r="R98" s="39"/>
      <c r="S98" s="39"/>
      <c r="T98" s="39"/>
      <c r="U98" s="39"/>
      <c r="V98" s="39"/>
      <c r="W98" s="39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11.25" customHeight="1" x14ac:dyDescent="0.2">
      <c r="A99" s="35" t="s">
        <v>21</v>
      </c>
      <c r="B99" s="35" t="s">
        <v>39</v>
      </c>
      <c r="C99" s="35" t="s">
        <v>40</v>
      </c>
      <c r="D99" s="35" t="s">
        <v>38</v>
      </c>
      <c r="E99" s="35" t="s">
        <v>25</v>
      </c>
      <c r="F99" s="35" t="s">
        <v>56</v>
      </c>
      <c r="G99" s="35" t="s">
        <v>25</v>
      </c>
      <c r="H99" s="35" t="s">
        <v>34</v>
      </c>
      <c r="I99" s="55">
        <v>44531</v>
      </c>
      <c r="J99" s="56">
        <f ca="1">EFEITO!$J$99*EFEITO!$Y$99</f>
        <v>618714.83018567984</v>
      </c>
      <c r="K99" s="56">
        <f ca="1">EFEITO!$L$99*EFEITO!$Z$99</f>
        <v>0</v>
      </c>
      <c r="L99" s="56">
        <f>EFEITO!$N$99*EFEITO!$AA$99</f>
        <v>0</v>
      </c>
      <c r="M99" s="56">
        <f ca="1">$J$99-EFEITO!$K$99*EFEITO!$Y$99</f>
        <v>218812.84926042188</v>
      </c>
      <c r="N99" s="56">
        <f ca="1">$K$99-EFEITO!$M$99*EFEITO!$Z$99</f>
        <v>0</v>
      </c>
      <c r="O99" s="56">
        <f>$L$99-EFEITO!$O$99*EFEITO!$AA$99</f>
        <v>0</v>
      </c>
      <c r="P99" s="39"/>
      <c r="Q99" s="39"/>
      <c r="R99" s="39"/>
      <c r="S99" s="39"/>
      <c r="T99" s="39"/>
      <c r="U99" s="39"/>
      <c r="V99" s="39"/>
      <c r="W99" s="39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11.25" customHeight="1" x14ac:dyDescent="0.2">
      <c r="A100" s="35" t="s">
        <v>21</v>
      </c>
      <c r="B100" s="35" t="s">
        <v>39</v>
      </c>
      <c r="C100" s="35" t="s">
        <v>40</v>
      </c>
      <c r="D100" s="35" t="s">
        <v>38</v>
      </c>
      <c r="E100" s="35" t="s">
        <v>25</v>
      </c>
      <c r="F100" s="35" t="s">
        <v>56</v>
      </c>
      <c r="G100" s="35" t="s">
        <v>25</v>
      </c>
      <c r="H100" s="35" t="s">
        <v>34</v>
      </c>
      <c r="I100" s="55">
        <v>44562</v>
      </c>
      <c r="J100" s="56">
        <f ca="1">EFEITO!$J$100*EFEITO!$Y$100</f>
        <v>620640.12130185612</v>
      </c>
      <c r="K100" s="56">
        <f ca="1">EFEITO!$L$100*EFEITO!$Z$100</f>
        <v>0</v>
      </c>
      <c r="L100" s="56">
        <f>EFEITO!$N$100*EFEITO!$AA$100</f>
        <v>0</v>
      </c>
      <c r="M100" s="56">
        <f ca="1">$J$100-EFEITO!$K$100*EFEITO!$Y$100</f>
        <v>263458.28693996469</v>
      </c>
      <c r="N100" s="56">
        <f ca="1">$K$100-EFEITO!$M$100*EFEITO!$Z$100</f>
        <v>0</v>
      </c>
      <c r="O100" s="56">
        <f>$L$100-EFEITO!$O$100*EFEITO!$AA$100</f>
        <v>0</v>
      </c>
      <c r="P100" s="39"/>
      <c r="Q100" s="39"/>
      <c r="R100" s="39"/>
      <c r="S100" s="39"/>
      <c r="T100" s="39"/>
      <c r="U100" s="39"/>
      <c r="V100" s="39"/>
      <c r="W100" s="39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11.25" customHeight="1" x14ac:dyDescent="0.2">
      <c r="A101" s="35" t="s">
        <v>21</v>
      </c>
      <c r="B101" s="35" t="s">
        <v>39</v>
      </c>
      <c r="C101" s="35" t="s">
        <v>40</v>
      </c>
      <c r="D101" s="35" t="s">
        <v>38</v>
      </c>
      <c r="E101" s="35" t="s">
        <v>25</v>
      </c>
      <c r="F101" s="35" t="s">
        <v>56</v>
      </c>
      <c r="G101" s="35" t="s">
        <v>25</v>
      </c>
      <c r="H101" s="35" t="s">
        <v>34</v>
      </c>
      <c r="I101" s="55">
        <v>44593</v>
      </c>
      <c r="J101" s="56">
        <f ca="1">EFEITO!$J$101*EFEITO!$Y$101</f>
        <v>621418.43047648063</v>
      </c>
      <c r="K101" s="56">
        <f ca="1">EFEITO!$L$101*EFEITO!$Z$101</f>
        <v>0</v>
      </c>
      <c r="L101" s="56">
        <f>EFEITO!$N$101*EFEITO!$AA$101</f>
        <v>0</v>
      </c>
      <c r="M101" s="56">
        <f ca="1">$J$101-EFEITO!$K$101*EFEITO!$Y$101</f>
        <v>251250.28412233142</v>
      </c>
      <c r="N101" s="56">
        <f ca="1">$K$101-EFEITO!$M$101*EFEITO!$Z$101</f>
        <v>0</v>
      </c>
      <c r="O101" s="56">
        <f>$L$101-EFEITO!$O$101*EFEITO!$AA$101</f>
        <v>0</v>
      </c>
      <c r="P101" s="39"/>
      <c r="Q101" s="39"/>
      <c r="R101" s="39"/>
      <c r="S101" s="39"/>
      <c r="T101" s="39"/>
      <c r="U101" s="39"/>
      <c r="V101" s="39"/>
      <c r="W101" s="39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11.25" customHeight="1" x14ac:dyDescent="0.2">
      <c r="A102" s="35" t="s">
        <v>21</v>
      </c>
      <c r="B102" s="35" t="s">
        <v>39</v>
      </c>
      <c r="C102" s="35" t="s">
        <v>40</v>
      </c>
      <c r="D102" s="35" t="s">
        <v>38</v>
      </c>
      <c r="E102" s="35" t="s">
        <v>25</v>
      </c>
      <c r="F102" s="35" t="s">
        <v>56</v>
      </c>
      <c r="G102" s="35" t="s">
        <v>25</v>
      </c>
      <c r="H102" s="35" t="s">
        <v>34</v>
      </c>
      <c r="I102" s="55">
        <v>44621</v>
      </c>
      <c r="J102" s="56">
        <f ca="1">EFEITO!$J$102*EFEITO!$Y$102</f>
        <v>632355.72256199282</v>
      </c>
      <c r="K102" s="56">
        <f ca="1">EFEITO!$L$102*EFEITO!$Z$102</f>
        <v>0</v>
      </c>
      <c r="L102" s="56">
        <f>EFEITO!$N$102*EFEITO!$AA$102</f>
        <v>0</v>
      </c>
      <c r="M102" s="56">
        <f ca="1">$J$102-EFEITO!$K$102*EFEITO!$Y$102</f>
        <v>290981.1795722791</v>
      </c>
      <c r="N102" s="56">
        <f ca="1">$K$102-EFEITO!$M$102*EFEITO!$Z$102</f>
        <v>0</v>
      </c>
      <c r="O102" s="56">
        <f>$L$102-EFEITO!$O$102*EFEITO!$AA$102</f>
        <v>0</v>
      </c>
      <c r="P102" s="39"/>
      <c r="Q102" s="39"/>
      <c r="R102" s="39"/>
      <c r="S102" s="39"/>
      <c r="T102" s="39"/>
      <c r="U102" s="39"/>
      <c r="V102" s="39"/>
      <c r="W102" s="39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spans="1:36" ht="11.25" customHeight="1" x14ac:dyDescent="0.2">
      <c r="A103" s="35" t="s">
        <v>21</v>
      </c>
      <c r="B103" s="35" t="s">
        <v>39</v>
      </c>
      <c r="C103" s="35" t="s">
        <v>40</v>
      </c>
      <c r="D103" s="35" t="s">
        <v>38</v>
      </c>
      <c r="E103" s="35" t="s">
        <v>25</v>
      </c>
      <c r="F103" s="35" t="s">
        <v>56</v>
      </c>
      <c r="G103" s="35" t="s">
        <v>25</v>
      </c>
      <c r="H103" s="35" t="s">
        <v>34</v>
      </c>
      <c r="I103" s="55">
        <v>44652</v>
      </c>
      <c r="J103" s="56">
        <f ca="1">EFEITO!$J$103*EFEITO!$Y$103</f>
        <v>626661.77649500326</v>
      </c>
      <c r="K103" s="56">
        <f ca="1">EFEITO!$L$103*EFEITO!$Z$103</f>
        <v>0</v>
      </c>
      <c r="L103" s="56">
        <f>EFEITO!$N$103*EFEITO!$AA$103</f>
        <v>0</v>
      </c>
      <c r="M103" s="56">
        <f ca="1">$J$103-EFEITO!$K$103*EFEITO!$Y$103</f>
        <v>317201.53990943613</v>
      </c>
      <c r="N103" s="56">
        <f ca="1">$K$103-EFEITO!$M$103*EFEITO!$Z$103</f>
        <v>0</v>
      </c>
      <c r="O103" s="56">
        <f>$L$103-EFEITO!$O$103*EFEITO!$AA$103</f>
        <v>0</v>
      </c>
      <c r="P103" s="39"/>
      <c r="Q103" s="39"/>
      <c r="R103" s="39"/>
      <c r="S103" s="39"/>
      <c r="T103" s="39"/>
      <c r="U103" s="39"/>
      <c r="V103" s="39"/>
      <c r="W103" s="39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11.25" customHeight="1" x14ac:dyDescent="0.2">
      <c r="A104" s="35" t="s">
        <v>21</v>
      </c>
      <c r="B104" s="35" t="s">
        <v>39</v>
      </c>
      <c r="C104" s="35" t="s">
        <v>40</v>
      </c>
      <c r="D104" s="35" t="s">
        <v>38</v>
      </c>
      <c r="E104" s="35" t="s">
        <v>25</v>
      </c>
      <c r="F104" s="35" t="s">
        <v>56</v>
      </c>
      <c r="G104" s="35" t="s">
        <v>25</v>
      </c>
      <c r="H104" s="35" t="s">
        <v>34</v>
      </c>
      <c r="I104" s="55">
        <v>44682</v>
      </c>
      <c r="J104" s="56">
        <f ca="1">EFEITO!$J$104*EFEITO!$Y$104</f>
        <v>635427.99561972101</v>
      </c>
      <c r="K104" s="56">
        <f ca="1">EFEITO!$L$104*EFEITO!$Z$104</f>
        <v>0</v>
      </c>
      <c r="L104" s="56">
        <f>EFEITO!$N$104*EFEITO!$AA$104</f>
        <v>0</v>
      </c>
      <c r="M104" s="56">
        <f ca="1">$J$104-EFEITO!$K$104*EFEITO!$Y$104</f>
        <v>224279.10853534751</v>
      </c>
      <c r="N104" s="56">
        <f ca="1">$K$104-EFEITO!$M$104*EFEITO!$Z$104</f>
        <v>0</v>
      </c>
      <c r="O104" s="56">
        <f>$L$104-EFEITO!$O$104*EFEITO!$AA$104</f>
        <v>0</v>
      </c>
      <c r="P104" s="39"/>
      <c r="Q104" s="39"/>
      <c r="R104" s="39"/>
      <c r="S104" s="39"/>
      <c r="T104" s="39"/>
      <c r="U104" s="39"/>
      <c r="V104" s="39"/>
      <c r="W104" s="39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11.25" customHeight="1" x14ac:dyDescent="0.2">
      <c r="A105" s="35" t="s">
        <v>21</v>
      </c>
      <c r="B105" s="35" t="s">
        <v>39</v>
      </c>
      <c r="C105" s="35" t="s">
        <v>40</v>
      </c>
      <c r="D105" s="35" t="s">
        <v>38</v>
      </c>
      <c r="E105" s="35" t="s">
        <v>25</v>
      </c>
      <c r="F105" s="35" t="s">
        <v>56</v>
      </c>
      <c r="G105" s="35" t="s">
        <v>25</v>
      </c>
      <c r="H105" s="35" t="s">
        <v>34</v>
      </c>
      <c r="I105" s="55">
        <v>44713</v>
      </c>
      <c r="J105" s="56">
        <f ca="1">EFEITO!$J$105*EFEITO!$Y$105</f>
        <v>632765.35896968993</v>
      </c>
      <c r="K105" s="56">
        <f ca="1">EFEITO!$L$105*EFEITO!$Z$105</f>
        <v>0</v>
      </c>
      <c r="L105" s="56">
        <f>EFEITO!$N$105*EFEITO!$AA$105</f>
        <v>0</v>
      </c>
      <c r="M105" s="56">
        <f ca="1">$J$105-EFEITO!$K$105*EFEITO!$Y$105</f>
        <v>246935.80179407255</v>
      </c>
      <c r="N105" s="56">
        <f ca="1">$K$105-EFEITO!$M$105*EFEITO!$Z$105</f>
        <v>0</v>
      </c>
      <c r="O105" s="56">
        <f>$L$105-EFEITO!$O$105*EFEITO!$AA$105</f>
        <v>0</v>
      </c>
      <c r="P105" s="39"/>
      <c r="Q105" s="39"/>
      <c r="R105" s="39"/>
      <c r="S105" s="39"/>
      <c r="T105" s="39"/>
      <c r="U105" s="39"/>
      <c r="V105" s="39"/>
      <c r="W105" s="39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11.25" customHeight="1" x14ac:dyDescent="0.2">
      <c r="A106" s="35" t="s">
        <v>21</v>
      </c>
      <c r="B106" s="35" t="s">
        <v>39</v>
      </c>
      <c r="C106" s="35" t="s">
        <v>40</v>
      </c>
      <c r="D106" s="35" t="s">
        <v>38</v>
      </c>
      <c r="E106" s="35" t="s">
        <v>25</v>
      </c>
      <c r="F106" s="35" t="s">
        <v>56</v>
      </c>
      <c r="G106" s="35" t="s">
        <v>25</v>
      </c>
      <c r="H106" s="35" t="s">
        <v>34</v>
      </c>
      <c r="I106" s="55">
        <v>44743</v>
      </c>
      <c r="J106" s="56">
        <f ca="1">EFEITO!$J$106*EFEITO!$Y$106</f>
        <v>632601.50440661109</v>
      </c>
      <c r="K106" s="56">
        <f ca="1">EFEITO!$L$106*EFEITO!$Z$106</f>
        <v>0</v>
      </c>
      <c r="L106" s="56">
        <f>EFEITO!$N$106*EFEITO!$AA$106</f>
        <v>0</v>
      </c>
      <c r="M106" s="56">
        <f ca="1">$J$106-EFEITO!$K$106*EFEITO!$Y$106</f>
        <v>317379.10370576219</v>
      </c>
      <c r="N106" s="56">
        <f ca="1">$K$106-EFEITO!$M$106*EFEITO!$Z$106</f>
        <v>0</v>
      </c>
      <c r="O106" s="56">
        <f>$L$106-EFEITO!$O$106*EFEITO!$AA$106</f>
        <v>0</v>
      </c>
      <c r="P106" s="39"/>
      <c r="Q106" s="39"/>
      <c r="R106" s="39"/>
      <c r="S106" s="39"/>
      <c r="T106" s="39"/>
      <c r="U106" s="39"/>
      <c r="V106" s="39"/>
      <c r="W106" s="39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 ht="11.25" customHeight="1" x14ac:dyDescent="0.2">
      <c r="A107" s="35" t="s">
        <v>21</v>
      </c>
      <c r="B107" s="35" t="s">
        <v>39</v>
      </c>
      <c r="C107" s="35" t="s">
        <v>40</v>
      </c>
      <c r="D107" s="35" t="s">
        <v>38</v>
      </c>
      <c r="E107" s="35" t="s">
        <v>25</v>
      </c>
      <c r="F107" s="35" t="s">
        <v>56</v>
      </c>
      <c r="G107" s="35" t="s">
        <v>25</v>
      </c>
      <c r="H107" s="35" t="s">
        <v>34</v>
      </c>
      <c r="I107" s="55">
        <v>44774</v>
      </c>
      <c r="J107" s="56">
        <f ca="1">EFEITO!$J$107*EFEITO!$Y$107</f>
        <v>632355.72256199282</v>
      </c>
      <c r="K107" s="56">
        <f ca="1">EFEITO!$L$107*EFEITO!$Z$107</f>
        <v>0</v>
      </c>
      <c r="L107" s="56">
        <f>EFEITO!$N$107*EFEITO!$AA$107</f>
        <v>0</v>
      </c>
      <c r="M107" s="56">
        <f ca="1">$J$107-EFEITO!$K$107*EFEITO!$Y$107</f>
        <v>297208.27093242219</v>
      </c>
      <c r="N107" s="56">
        <f ca="1">$K$107-EFEITO!$M$107*EFEITO!$Z$107</f>
        <v>0</v>
      </c>
      <c r="O107" s="56">
        <f>$L$107-EFEITO!$O$107*EFEITO!$AA$107</f>
        <v>0</v>
      </c>
      <c r="P107" s="39"/>
      <c r="Q107" s="39"/>
      <c r="R107" s="39"/>
      <c r="S107" s="39"/>
      <c r="T107" s="39"/>
      <c r="U107" s="39"/>
      <c r="V107" s="39"/>
      <c r="W107" s="39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11.25" customHeight="1" x14ac:dyDescent="0.2">
      <c r="A108" s="35" t="s">
        <v>21</v>
      </c>
      <c r="B108" s="35" t="s">
        <v>39</v>
      </c>
      <c r="C108" s="35" t="s">
        <v>40</v>
      </c>
      <c r="D108" s="35" t="s">
        <v>38</v>
      </c>
      <c r="E108" s="35" t="s">
        <v>25</v>
      </c>
      <c r="F108" s="35" t="s">
        <v>56</v>
      </c>
      <c r="G108" s="35" t="s">
        <v>25</v>
      </c>
      <c r="H108" s="35" t="s">
        <v>34</v>
      </c>
      <c r="I108" s="55">
        <v>44805</v>
      </c>
      <c r="J108" s="56">
        <f ca="1">EFEITO!$J$108*EFEITO!$Y$108</f>
        <v>631249.70426121063</v>
      </c>
      <c r="K108" s="56">
        <f ca="1">EFEITO!$L$108*EFEITO!$Z$108</f>
        <v>0</v>
      </c>
      <c r="L108" s="56">
        <f>EFEITO!$N$108*EFEITO!$AA$108</f>
        <v>0</v>
      </c>
      <c r="M108" s="56">
        <f ca="1">$J$108-EFEITO!$K$108*EFEITO!$Y$108</f>
        <v>274142.14525264193</v>
      </c>
      <c r="N108" s="56">
        <f ca="1">$K$108-EFEITO!$M$108*EFEITO!$Z$108</f>
        <v>0</v>
      </c>
      <c r="O108" s="56">
        <f>$L$108-EFEITO!$O$108*EFEITO!$AA$108</f>
        <v>0</v>
      </c>
      <c r="P108" s="39"/>
      <c r="Q108" s="39"/>
      <c r="R108" s="39"/>
      <c r="S108" s="39"/>
      <c r="T108" s="39"/>
      <c r="U108" s="39"/>
      <c r="V108" s="39"/>
      <c r="W108" s="39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spans="1:36" ht="11.25" customHeight="1" x14ac:dyDescent="0.2">
      <c r="A109" s="35" t="s">
        <v>53</v>
      </c>
      <c r="B109" s="35" t="s">
        <v>39</v>
      </c>
      <c r="C109" s="35" t="s">
        <v>40</v>
      </c>
      <c r="D109" s="35" t="s">
        <v>38</v>
      </c>
      <c r="E109" s="35" t="s">
        <v>25</v>
      </c>
      <c r="F109" s="35" t="s">
        <v>56</v>
      </c>
      <c r="G109" s="35" t="s">
        <v>25</v>
      </c>
      <c r="H109" s="35" t="s">
        <v>34</v>
      </c>
      <c r="I109" s="55">
        <v>44835</v>
      </c>
      <c r="J109" s="56">
        <f ca="1">EFEITO!$J$109*EFEITO!$Y$109</f>
        <v>631249.70426121063</v>
      </c>
      <c r="K109" s="56">
        <f ca="1">EFEITO!$L$109*EFEITO!$Z$109</f>
        <v>0</v>
      </c>
      <c r="L109" s="56">
        <f>EFEITO!$N$109*EFEITO!$AA$109</f>
        <v>0</v>
      </c>
      <c r="M109" s="56">
        <f ca="1">$J$109-EFEITO!$K$109*EFEITO!$Y$109</f>
        <v>274142.14525264193</v>
      </c>
      <c r="N109" s="56">
        <f ca="1">$K$109-EFEITO!$M$109*EFEITO!$Z$109</f>
        <v>0</v>
      </c>
      <c r="O109" s="56">
        <f>$L$109-EFEITO!$O$109*EFEITO!$AA$109</f>
        <v>0</v>
      </c>
      <c r="P109" s="39"/>
      <c r="Q109" s="39"/>
      <c r="R109" s="39"/>
      <c r="S109" s="39"/>
      <c r="T109" s="39"/>
      <c r="U109" s="39"/>
      <c r="V109" s="39"/>
      <c r="W109" s="39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spans="1:36" ht="11.25" customHeight="1" x14ac:dyDescent="0.2">
      <c r="A110" s="35" t="s">
        <v>21</v>
      </c>
      <c r="B110" s="35" t="s">
        <v>39</v>
      </c>
      <c r="C110" s="35" t="s">
        <v>40</v>
      </c>
      <c r="D110" s="35" t="s">
        <v>38</v>
      </c>
      <c r="E110" s="35" t="s">
        <v>25</v>
      </c>
      <c r="F110" s="35" t="s">
        <v>25</v>
      </c>
      <c r="G110" s="35" t="s">
        <v>25</v>
      </c>
      <c r="H110" s="35" t="s">
        <v>35</v>
      </c>
      <c r="I110" s="55">
        <v>44501</v>
      </c>
      <c r="J110" s="56">
        <f ca="1">EFEITO!$J$110*EFEITO!$Y$110</f>
        <v>10503.5498197822</v>
      </c>
      <c r="K110" s="56">
        <f ca="1">EFEITO!$L$110*EFEITO!$Z$110</f>
        <v>29973.04750279534</v>
      </c>
      <c r="L110" s="56">
        <f>EFEITO!$N$110*EFEITO!$AA$110</f>
        <v>73418.30871372945</v>
      </c>
      <c r="M110" s="56">
        <f ca="1">$J$110-EFEITO!$K$110*EFEITO!$Y$110</f>
        <v>0</v>
      </c>
      <c r="N110" s="56">
        <f ca="1">$K$110-EFEITO!$M$110*EFEITO!$Z$110</f>
        <v>0</v>
      </c>
      <c r="O110" s="56">
        <f>$L$110-EFEITO!$O$110*EFEITO!$AA$110</f>
        <v>0</v>
      </c>
      <c r="P110" s="39"/>
      <c r="Q110" s="39"/>
      <c r="R110" s="39"/>
      <c r="S110" s="39"/>
      <c r="T110" s="39"/>
      <c r="U110" s="39"/>
      <c r="V110" s="39"/>
      <c r="W110" s="39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spans="1:36" ht="11.25" customHeight="1" x14ac:dyDescent="0.2">
      <c r="A111" s="35" t="s">
        <v>21</v>
      </c>
      <c r="B111" s="35" t="s">
        <v>39</v>
      </c>
      <c r="C111" s="35" t="s">
        <v>40</v>
      </c>
      <c r="D111" s="35" t="s">
        <v>38</v>
      </c>
      <c r="E111" s="35" t="s">
        <v>25</v>
      </c>
      <c r="F111" s="35" t="s">
        <v>25</v>
      </c>
      <c r="G111" s="35" t="s">
        <v>25</v>
      </c>
      <c r="H111" s="35" t="s">
        <v>35</v>
      </c>
      <c r="I111" s="55">
        <v>44501</v>
      </c>
      <c r="J111" s="56">
        <f ca="1">EFEITO!$J$111*EFEITO!$Y$111</f>
        <v>207168.48873552101</v>
      </c>
      <c r="K111" s="56">
        <f ca="1">EFEITO!$L$111*EFEITO!$Z$111</f>
        <v>0</v>
      </c>
      <c r="L111" s="56">
        <f>EFEITO!$N$111*EFEITO!$AA$111</f>
        <v>0</v>
      </c>
      <c r="M111" s="56">
        <f ca="1">$J$111-EFEITO!$K$111*EFEITO!$Y$111</f>
        <v>0</v>
      </c>
      <c r="N111" s="56">
        <f ca="1">$K$111-EFEITO!$M$111*EFEITO!$Z$111</f>
        <v>0</v>
      </c>
      <c r="O111" s="56">
        <f>$L$111-EFEITO!$O$111*EFEITO!$AA$111</f>
        <v>0</v>
      </c>
      <c r="P111" s="39"/>
      <c r="Q111" s="39"/>
      <c r="R111" s="39"/>
      <c r="S111" s="39"/>
      <c r="T111" s="39"/>
      <c r="U111" s="39"/>
      <c r="V111" s="39"/>
      <c r="W111" s="39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spans="1:36" ht="11.25" customHeight="1" x14ac:dyDescent="0.2">
      <c r="A112" s="35" t="s">
        <v>21</v>
      </c>
      <c r="B112" s="35" t="s">
        <v>39</v>
      </c>
      <c r="C112" s="35" t="s">
        <v>40</v>
      </c>
      <c r="D112" s="35" t="s">
        <v>38</v>
      </c>
      <c r="E112" s="35" t="s">
        <v>25</v>
      </c>
      <c r="F112" s="35" t="s">
        <v>25</v>
      </c>
      <c r="G112" s="35" t="s">
        <v>25</v>
      </c>
      <c r="H112" s="35" t="s">
        <v>35</v>
      </c>
      <c r="I112" s="55">
        <v>44531</v>
      </c>
      <c r="J112" s="56">
        <f ca="1">EFEITO!$J$112*EFEITO!$Y$112</f>
        <v>10327.154326625554</v>
      </c>
      <c r="K112" s="56">
        <f ca="1">EFEITO!$L$112*EFEITO!$Z$112</f>
        <v>23972.159977795796</v>
      </c>
      <c r="L112" s="56">
        <f>EFEITO!$N$112*EFEITO!$AA$112</f>
        <v>58719.269090691603</v>
      </c>
      <c r="M112" s="56">
        <f ca="1">$J$112-EFEITO!$K$112*EFEITO!$Y$112</f>
        <v>0</v>
      </c>
      <c r="N112" s="56">
        <f ca="1">$K$112-EFEITO!$M$112*EFEITO!$Z$112</f>
        <v>0</v>
      </c>
      <c r="O112" s="56">
        <f>$L$112-EFEITO!$O$112*EFEITO!$AA$112</f>
        <v>0</v>
      </c>
      <c r="P112" s="39"/>
      <c r="Q112" s="39"/>
      <c r="R112" s="39"/>
      <c r="S112" s="39"/>
      <c r="T112" s="39"/>
      <c r="U112" s="39"/>
      <c r="V112" s="39"/>
      <c r="W112" s="39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spans="1:36" ht="11.25" customHeight="1" x14ac:dyDescent="0.2">
      <c r="A113" s="35" t="s">
        <v>21</v>
      </c>
      <c r="B113" s="35" t="s">
        <v>39</v>
      </c>
      <c r="C113" s="35" t="s">
        <v>40</v>
      </c>
      <c r="D113" s="35" t="s">
        <v>38</v>
      </c>
      <c r="E113" s="35" t="s">
        <v>25</v>
      </c>
      <c r="F113" s="35" t="s">
        <v>25</v>
      </c>
      <c r="G113" s="35" t="s">
        <v>25</v>
      </c>
      <c r="H113" s="35" t="s">
        <v>35</v>
      </c>
      <c r="I113" s="55">
        <v>44531</v>
      </c>
      <c r="J113" s="56">
        <f ca="1">EFEITO!$J$113*EFEITO!$Y$113</f>
        <v>206992.09324236435</v>
      </c>
      <c r="K113" s="56">
        <f ca="1">EFEITO!$L$113*EFEITO!$Z$113</f>
        <v>0</v>
      </c>
      <c r="L113" s="56">
        <f>EFEITO!$N$113*EFEITO!$AA$113</f>
        <v>0</v>
      </c>
      <c r="M113" s="56">
        <f ca="1">$J$113-EFEITO!$K$113*EFEITO!$Y$113</f>
        <v>0</v>
      </c>
      <c r="N113" s="56">
        <f ca="1">$K$113-EFEITO!$M$113*EFEITO!$Z$113</f>
        <v>0</v>
      </c>
      <c r="O113" s="56">
        <f>$L$113-EFEITO!$O$113*EFEITO!$AA$113</f>
        <v>0</v>
      </c>
      <c r="P113" s="39"/>
      <c r="Q113" s="39"/>
      <c r="R113" s="39"/>
      <c r="S113" s="39"/>
      <c r="T113" s="39"/>
      <c r="U113" s="39"/>
      <c r="V113" s="39"/>
      <c r="W113" s="39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spans="1:36" ht="11.25" customHeight="1" x14ac:dyDescent="0.2">
      <c r="A114" s="35" t="s">
        <v>21</v>
      </c>
      <c r="B114" s="35" t="s">
        <v>39</v>
      </c>
      <c r="C114" s="35" t="s">
        <v>40</v>
      </c>
      <c r="D114" s="35" t="s">
        <v>38</v>
      </c>
      <c r="E114" s="35" t="s">
        <v>25</v>
      </c>
      <c r="F114" s="35" t="s">
        <v>25</v>
      </c>
      <c r="G114" s="35" t="s">
        <v>25</v>
      </c>
      <c r="H114" s="35" t="s">
        <v>35</v>
      </c>
      <c r="I114" s="55">
        <v>44562</v>
      </c>
      <c r="J114" s="56">
        <f ca="1">EFEITO!$J$114*EFEITO!$Y$114</f>
        <v>10792.19699040217</v>
      </c>
      <c r="K114" s="56">
        <f ca="1">EFEITO!$L$114*EFEITO!$Z$114</f>
        <v>30873.223380738931</v>
      </c>
      <c r="L114" s="56">
        <f>EFEITO!$N$114*EFEITO!$AA$114</f>
        <v>75623.269370377777</v>
      </c>
      <c r="M114" s="56">
        <f ca="1">$J$114-EFEITO!$K$114*EFEITO!$Y$114</f>
        <v>0</v>
      </c>
      <c r="N114" s="56">
        <f ca="1">$K$114-EFEITO!$M$114*EFEITO!$Z$114</f>
        <v>0</v>
      </c>
      <c r="O114" s="56">
        <f>$L$114-EFEITO!$O$114*EFEITO!$AA$114</f>
        <v>0</v>
      </c>
      <c r="P114" s="39"/>
      <c r="Q114" s="39"/>
      <c r="R114" s="39"/>
      <c r="S114" s="39"/>
      <c r="T114" s="39"/>
      <c r="U114" s="39"/>
      <c r="V114" s="39"/>
      <c r="W114" s="39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spans="1:36" ht="11.25" customHeight="1" x14ac:dyDescent="0.2">
      <c r="A115" s="35" t="s">
        <v>21</v>
      </c>
      <c r="B115" s="35" t="s">
        <v>39</v>
      </c>
      <c r="C115" s="35" t="s">
        <v>40</v>
      </c>
      <c r="D115" s="35" t="s">
        <v>38</v>
      </c>
      <c r="E115" s="35" t="s">
        <v>25</v>
      </c>
      <c r="F115" s="35" t="s">
        <v>25</v>
      </c>
      <c r="G115" s="35" t="s">
        <v>25</v>
      </c>
      <c r="H115" s="35" t="s">
        <v>35</v>
      </c>
      <c r="I115" s="55">
        <v>44562</v>
      </c>
      <c r="J115" s="56">
        <f ca="1">EFEITO!$J$115*EFEITO!$Y$115</f>
        <v>209253.16274555412</v>
      </c>
      <c r="K115" s="56">
        <f ca="1">EFEITO!$L$115*EFEITO!$Z$115</f>
        <v>0</v>
      </c>
      <c r="L115" s="56">
        <f>EFEITO!$N$115*EFEITO!$AA$115</f>
        <v>0</v>
      </c>
      <c r="M115" s="56">
        <f ca="1">$J$115-EFEITO!$K$115*EFEITO!$Y$115</f>
        <v>0</v>
      </c>
      <c r="N115" s="56">
        <f ca="1">$K$115-EFEITO!$M$115*EFEITO!$Z$115</f>
        <v>0</v>
      </c>
      <c r="O115" s="56">
        <f>$L$115-EFEITO!$O$115*EFEITO!$AA$115</f>
        <v>0</v>
      </c>
      <c r="P115" s="39"/>
      <c r="Q115" s="39"/>
      <c r="R115" s="39"/>
      <c r="S115" s="39"/>
      <c r="T115" s="39"/>
      <c r="U115" s="39"/>
      <c r="V115" s="39"/>
      <c r="W115" s="39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spans="1:36" ht="11.25" customHeight="1" x14ac:dyDescent="0.2">
      <c r="A116" s="35" t="s">
        <v>21</v>
      </c>
      <c r="B116" s="35" t="s">
        <v>39</v>
      </c>
      <c r="C116" s="35" t="s">
        <v>40</v>
      </c>
      <c r="D116" s="35" t="s">
        <v>38</v>
      </c>
      <c r="E116" s="35" t="s">
        <v>25</v>
      </c>
      <c r="F116" s="35" t="s">
        <v>25</v>
      </c>
      <c r="G116" s="35" t="s">
        <v>25</v>
      </c>
      <c r="H116" s="35" t="s">
        <v>35</v>
      </c>
      <c r="I116" s="55">
        <v>44593</v>
      </c>
      <c r="J116" s="56">
        <f ca="1">EFEITO!$J$116*EFEITO!$Y$116</f>
        <v>11465.707055182096</v>
      </c>
      <c r="K116" s="56">
        <f ca="1">EFEITO!$L$116*EFEITO!$Z$116</f>
        <v>37251.525215486872</v>
      </c>
      <c r="L116" s="56">
        <f>EFEITO!$N$116*EFEITO!$AA$116</f>
        <v>91246.776894235605</v>
      </c>
      <c r="M116" s="56">
        <f ca="1">$J$116-EFEITO!$K$116*EFEITO!$Y$116</f>
        <v>0</v>
      </c>
      <c r="N116" s="56">
        <f ca="1">$K$116-EFEITO!$M$116*EFEITO!$Z$116</f>
        <v>0</v>
      </c>
      <c r="O116" s="56">
        <f>$L$116-EFEITO!$O$116*EFEITO!$AA$116</f>
        <v>0</v>
      </c>
      <c r="P116" s="39"/>
      <c r="Q116" s="39"/>
      <c r="R116" s="39"/>
      <c r="S116" s="39"/>
      <c r="T116" s="39"/>
      <c r="U116" s="39"/>
      <c r="V116" s="39"/>
      <c r="W116" s="39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spans="1:36" ht="11.25" customHeight="1" x14ac:dyDescent="0.2">
      <c r="A117" s="35" t="s">
        <v>21</v>
      </c>
      <c r="B117" s="35" t="s">
        <v>39</v>
      </c>
      <c r="C117" s="35" t="s">
        <v>40</v>
      </c>
      <c r="D117" s="35" t="s">
        <v>38</v>
      </c>
      <c r="E117" s="35" t="s">
        <v>25</v>
      </c>
      <c r="F117" s="35" t="s">
        <v>25</v>
      </c>
      <c r="G117" s="35" t="s">
        <v>25</v>
      </c>
      <c r="H117" s="35" t="s">
        <v>35</v>
      </c>
      <c r="I117" s="55">
        <v>44593</v>
      </c>
      <c r="J117" s="56">
        <f ca="1">EFEITO!$J$117*EFEITO!$Y$117</f>
        <v>208627.76054254416</v>
      </c>
      <c r="K117" s="56">
        <f ca="1">EFEITO!$L$117*EFEITO!$Z$117</f>
        <v>0</v>
      </c>
      <c r="L117" s="56">
        <f>EFEITO!$N$117*EFEITO!$AA$117</f>
        <v>0</v>
      </c>
      <c r="M117" s="56">
        <f ca="1">$J$117-EFEITO!$K$117*EFEITO!$Y$117</f>
        <v>0</v>
      </c>
      <c r="N117" s="56">
        <f ca="1">$K$117-EFEITO!$M$117*EFEITO!$Z$117</f>
        <v>0</v>
      </c>
      <c r="O117" s="56">
        <f>$L$117-EFEITO!$O$117*EFEITO!$AA$117</f>
        <v>0</v>
      </c>
      <c r="P117" s="39"/>
      <c r="Q117" s="39"/>
      <c r="R117" s="39"/>
      <c r="S117" s="39"/>
      <c r="T117" s="39"/>
      <c r="U117" s="39"/>
      <c r="V117" s="39"/>
      <c r="W117" s="39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spans="1:36" ht="11.25" customHeight="1" x14ac:dyDescent="0.2">
      <c r="A118" s="35" t="s">
        <v>21</v>
      </c>
      <c r="B118" s="35" t="s">
        <v>39</v>
      </c>
      <c r="C118" s="35" t="s">
        <v>40</v>
      </c>
      <c r="D118" s="35" t="s">
        <v>38</v>
      </c>
      <c r="E118" s="35" t="s">
        <v>25</v>
      </c>
      <c r="F118" s="35" t="s">
        <v>25</v>
      </c>
      <c r="G118" s="35" t="s">
        <v>25</v>
      </c>
      <c r="H118" s="35" t="s">
        <v>35</v>
      </c>
      <c r="I118" s="55">
        <v>44621</v>
      </c>
      <c r="J118" s="56">
        <f ca="1">EFEITO!$J$118*EFEITO!$Y$118</f>
        <v>10695.98126686218</v>
      </c>
      <c r="K118" s="56">
        <f ca="1">EFEITO!$L$118*EFEITO!$Z$118</f>
        <v>28788.284135623991</v>
      </c>
      <c r="L118" s="56">
        <f>EFEITO!$N$118*EFEITO!$AA$118</f>
        <v>70516.257374585795</v>
      </c>
      <c r="M118" s="56">
        <f ca="1">$J$118-EFEITO!$K$118*EFEITO!$Y$118</f>
        <v>0</v>
      </c>
      <c r="N118" s="56">
        <f ca="1">$K$118-EFEITO!$M$118*EFEITO!$Z$118</f>
        <v>0</v>
      </c>
      <c r="O118" s="56">
        <f>$L$118-EFEITO!$O$118*EFEITO!$AA$118</f>
        <v>0</v>
      </c>
      <c r="P118" s="39"/>
      <c r="Q118" s="39"/>
      <c r="R118" s="39"/>
      <c r="S118" s="39"/>
      <c r="T118" s="39"/>
      <c r="U118" s="39"/>
      <c r="V118" s="39"/>
      <c r="W118" s="39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spans="1:36" ht="11.25" customHeight="1" x14ac:dyDescent="0.2">
      <c r="A119" s="35" t="s">
        <v>21</v>
      </c>
      <c r="B119" s="35" t="s">
        <v>39</v>
      </c>
      <c r="C119" s="35" t="s">
        <v>40</v>
      </c>
      <c r="D119" s="35" t="s">
        <v>38</v>
      </c>
      <c r="E119" s="35" t="s">
        <v>25</v>
      </c>
      <c r="F119" s="35" t="s">
        <v>25</v>
      </c>
      <c r="G119" s="35" t="s">
        <v>25</v>
      </c>
      <c r="H119" s="35" t="s">
        <v>35</v>
      </c>
      <c r="I119" s="55">
        <v>44621</v>
      </c>
      <c r="J119" s="56">
        <f ca="1">EFEITO!$J$119*EFEITO!$Y$119</f>
        <v>174022.17197599457</v>
      </c>
      <c r="K119" s="56">
        <f ca="1">EFEITO!$L$119*EFEITO!$Z$119</f>
        <v>0</v>
      </c>
      <c r="L119" s="56">
        <f>EFEITO!$N$119*EFEITO!$AA$119</f>
        <v>0</v>
      </c>
      <c r="M119" s="56">
        <f ca="1">$J$119-EFEITO!$K$119*EFEITO!$Y$119</f>
        <v>0</v>
      </c>
      <c r="N119" s="56">
        <f ca="1">$K$119-EFEITO!$M$119*EFEITO!$Z$119</f>
        <v>0</v>
      </c>
      <c r="O119" s="56">
        <f>$L$119-EFEITO!$O$119*EFEITO!$AA$119</f>
        <v>0</v>
      </c>
      <c r="P119" s="39"/>
      <c r="Q119" s="39"/>
      <c r="R119" s="39"/>
      <c r="S119" s="39"/>
      <c r="T119" s="39"/>
      <c r="U119" s="39"/>
      <c r="V119" s="39"/>
      <c r="W119" s="39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spans="1:36" ht="11.25" customHeight="1" x14ac:dyDescent="0.2">
      <c r="A120" s="35" t="s">
        <v>21</v>
      </c>
      <c r="B120" s="35" t="s">
        <v>39</v>
      </c>
      <c r="C120" s="35" t="s">
        <v>40</v>
      </c>
      <c r="D120" s="35" t="s">
        <v>38</v>
      </c>
      <c r="E120" s="35" t="s">
        <v>25</v>
      </c>
      <c r="F120" s="35" t="s">
        <v>25</v>
      </c>
      <c r="G120" s="35" t="s">
        <v>25</v>
      </c>
      <c r="H120" s="35" t="s">
        <v>35</v>
      </c>
      <c r="I120" s="55">
        <v>44652</v>
      </c>
      <c r="J120" s="56">
        <f ca="1">EFEITO!$J$120*EFEITO!$Y$120</f>
        <v>11128.952022792133</v>
      </c>
      <c r="K120" s="56">
        <f ca="1">EFEITO!$L$120*EFEITO!$Z$120</f>
        <v>38503.710168089005</v>
      </c>
      <c r="L120" s="56">
        <f>EFEITO!$N$120*EFEITO!$AA$120</f>
        <v>94313.975897215074</v>
      </c>
      <c r="M120" s="56">
        <f ca="1">$J$120-EFEITO!$K$120*EFEITO!$Y$120</f>
        <v>0</v>
      </c>
      <c r="N120" s="56">
        <f ca="1">$K$120-EFEITO!$M$120*EFEITO!$Z$120</f>
        <v>0</v>
      </c>
      <c r="O120" s="56">
        <f>$L$120-EFEITO!$O$120*EFEITO!$AA$120</f>
        <v>0</v>
      </c>
      <c r="P120" s="39"/>
      <c r="Q120" s="39"/>
      <c r="R120" s="39"/>
      <c r="S120" s="39"/>
      <c r="T120" s="39"/>
      <c r="U120" s="39"/>
      <c r="V120" s="39"/>
      <c r="W120" s="39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spans="1:36" ht="11.25" customHeight="1" x14ac:dyDescent="0.2">
      <c r="A121" s="35" t="s">
        <v>21</v>
      </c>
      <c r="B121" s="35" t="s">
        <v>39</v>
      </c>
      <c r="C121" s="35" t="s">
        <v>40</v>
      </c>
      <c r="D121" s="35" t="s">
        <v>38</v>
      </c>
      <c r="E121" s="35" t="s">
        <v>25</v>
      </c>
      <c r="F121" s="35" t="s">
        <v>25</v>
      </c>
      <c r="G121" s="35" t="s">
        <v>25</v>
      </c>
      <c r="H121" s="35" t="s">
        <v>35</v>
      </c>
      <c r="I121" s="55">
        <v>44652</v>
      </c>
      <c r="J121" s="56">
        <f ca="1">EFEITO!$J$121*EFEITO!$Y$121</f>
        <v>164609.0670229989</v>
      </c>
      <c r="K121" s="56">
        <f ca="1">EFEITO!$L$121*EFEITO!$Z$121</f>
        <v>0</v>
      </c>
      <c r="L121" s="56">
        <f>EFEITO!$N$121*EFEITO!$AA$121</f>
        <v>0</v>
      </c>
      <c r="M121" s="56">
        <f ca="1">$J$121-EFEITO!$K$121*EFEITO!$Y$121</f>
        <v>0</v>
      </c>
      <c r="N121" s="56">
        <f ca="1">$K$121-EFEITO!$M$121*EFEITO!$Z$121</f>
        <v>0</v>
      </c>
      <c r="O121" s="56">
        <f>$L$121-EFEITO!$O$121*EFEITO!$AA$121</f>
        <v>0</v>
      </c>
      <c r="P121" s="39"/>
      <c r="Q121" s="39"/>
      <c r="R121" s="39"/>
      <c r="S121" s="39"/>
      <c r="T121" s="39"/>
      <c r="U121" s="39"/>
      <c r="V121" s="39"/>
      <c r="W121" s="39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spans="1:36" ht="11.25" customHeight="1" x14ac:dyDescent="0.2">
      <c r="A122" s="35" t="s">
        <v>21</v>
      </c>
      <c r="B122" s="35" t="s">
        <v>39</v>
      </c>
      <c r="C122" s="35" t="s">
        <v>40</v>
      </c>
      <c r="D122" s="35" t="s">
        <v>38</v>
      </c>
      <c r="E122" s="35" t="s">
        <v>25</v>
      </c>
      <c r="F122" s="35" t="s">
        <v>25</v>
      </c>
      <c r="G122" s="35" t="s">
        <v>25</v>
      </c>
      <c r="H122" s="35" t="s">
        <v>35</v>
      </c>
      <c r="I122" s="55">
        <v>44682</v>
      </c>
      <c r="J122" s="56">
        <f ca="1">EFEITO!$J$122*EFEITO!$Y$122</f>
        <v>11048.772253175475</v>
      </c>
      <c r="K122" s="56">
        <f ca="1">EFEITO!$L$122*EFEITO!$Z$122</f>
        <v>32048.82620641153</v>
      </c>
      <c r="L122" s="56">
        <f>EFEITO!$N$122*EFEITO!$AA$122</f>
        <v>78502.88216823939</v>
      </c>
      <c r="M122" s="56">
        <f ca="1">$J$122-EFEITO!$K$122*EFEITO!$Y$122</f>
        <v>0</v>
      </c>
      <c r="N122" s="56">
        <f ca="1">$K$122-EFEITO!$M$122*EFEITO!$Z$122</f>
        <v>0</v>
      </c>
      <c r="O122" s="56">
        <f>$L$122-EFEITO!$O$122*EFEITO!$AA$122</f>
        <v>0</v>
      </c>
      <c r="P122" s="39"/>
      <c r="Q122" s="39"/>
      <c r="R122" s="39"/>
      <c r="S122" s="39"/>
      <c r="T122" s="39"/>
      <c r="U122" s="39"/>
      <c r="V122" s="39"/>
      <c r="W122" s="39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spans="1:36" ht="11.25" customHeight="1" x14ac:dyDescent="0.2">
      <c r="A123" s="35" t="s">
        <v>21</v>
      </c>
      <c r="B123" s="35" t="s">
        <v>39</v>
      </c>
      <c r="C123" s="35" t="s">
        <v>40</v>
      </c>
      <c r="D123" s="35" t="s">
        <v>38</v>
      </c>
      <c r="E123" s="35" t="s">
        <v>25</v>
      </c>
      <c r="F123" s="35" t="s">
        <v>25</v>
      </c>
      <c r="G123" s="35" t="s">
        <v>25</v>
      </c>
      <c r="H123" s="35" t="s">
        <v>35</v>
      </c>
      <c r="I123" s="55">
        <v>44682</v>
      </c>
      <c r="J123" s="56">
        <f ca="1">EFEITO!$J$123*EFEITO!$Y$123</f>
        <v>183178.70166621692</v>
      </c>
      <c r="K123" s="56">
        <f ca="1">EFEITO!$L$123*EFEITO!$Z$123</f>
        <v>0</v>
      </c>
      <c r="L123" s="56">
        <f>EFEITO!$N$123*EFEITO!$AA$123</f>
        <v>0</v>
      </c>
      <c r="M123" s="56">
        <f ca="1">$J$123-EFEITO!$K$123*EFEITO!$Y$123</f>
        <v>0</v>
      </c>
      <c r="N123" s="56">
        <f ca="1">$K$123-EFEITO!$M$123*EFEITO!$Z$123</f>
        <v>0</v>
      </c>
      <c r="O123" s="56">
        <f>$L$123-EFEITO!$O$123*EFEITO!$AA$123</f>
        <v>0</v>
      </c>
      <c r="P123" s="39"/>
      <c r="Q123" s="39"/>
      <c r="R123" s="39"/>
      <c r="S123" s="39"/>
      <c r="T123" s="39"/>
      <c r="U123" s="39"/>
      <c r="V123" s="39"/>
      <c r="W123" s="39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spans="1:36" ht="11.25" customHeight="1" x14ac:dyDescent="0.2">
      <c r="A124" s="35" t="s">
        <v>21</v>
      </c>
      <c r="B124" s="35" t="s">
        <v>39</v>
      </c>
      <c r="C124" s="35" t="s">
        <v>40</v>
      </c>
      <c r="D124" s="35" t="s">
        <v>38</v>
      </c>
      <c r="E124" s="35" t="s">
        <v>25</v>
      </c>
      <c r="F124" s="35" t="s">
        <v>25</v>
      </c>
      <c r="G124" s="35" t="s">
        <v>25</v>
      </c>
      <c r="H124" s="35" t="s">
        <v>35</v>
      </c>
      <c r="I124" s="55">
        <v>44713</v>
      </c>
      <c r="J124" s="56">
        <f ca="1">EFEITO!$J$124*EFEITO!$Y$124</f>
        <v>11273.275608102118</v>
      </c>
      <c r="K124" s="56">
        <f ca="1">EFEITO!$L$124*EFEITO!$Z$124</f>
        <v>37271.434125677486</v>
      </c>
      <c r="L124" s="56">
        <f>EFEITO!$N$124*EFEITO!$AA$124</f>
        <v>91295.543323955237</v>
      </c>
      <c r="M124" s="56">
        <f ca="1">$J$124-EFEITO!$K$124*EFEITO!$Y$124</f>
        <v>0</v>
      </c>
      <c r="N124" s="56">
        <f ca="1">$K$124-EFEITO!$M$124*EFEITO!$Z$124</f>
        <v>0</v>
      </c>
      <c r="O124" s="56">
        <f>$L$124-EFEITO!$O$124*EFEITO!$AA$124</f>
        <v>0</v>
      </c>
      <c r="P124" s="39"/>
      <c r="Q124" s="39"/>
      <c r="R124" s="39"/>
      <c r="S124" s="39"/>
      <c r="T124" s="39"/>
      <c r="U124" s="39"/>
      <c r="V124" s="39"/>
      <c r="W124" s="39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spans="1:36" ht="11.25" customHeight="1" x14ac:dyDescent="0.2">
      <c r="A125" s="35" t="s">
        <v>21</v>
      </c>
      <c r="B125" s="35" t="s">
        <v>39</v>
      </c>
      <c r="C125" s="35" t="s">
        <v>40</v>
      </c>
      <c r="D125" s="35" t="s">
        <v>38</v>
      </c>
      <c r="E125" s="35" t="s">
        <v>25</v>
      </c>
      <c r="F125" s="35" t="s">
        <v>25</v>
      </c>
      <c r="G125" s="35" t="s">
        <v>25</v>
      </c>
      <c r="H125" s="35" t="s">
        <v>35</v>
      </c>
      <c r="I125" s="55">
        <v>44713</v>
      </c>
      <c r="J125" s="56">
        <f ca="1">EFEITO!$J$125*EFEITO!$Y$125</f>
        <v>179506.46821777397</v>
      </c>
      <c r="K125" s="56">
        <f ca="1">EFEITO!$L$125*EFEITO!$Z$125</f>
        <v>0</v>
      </c>
      <c r="L125" s="56">
        <f>EFEITO!$N$125*EFEITO!$AA$125</f>
        <v>0</v>
      </c>
      <c r="M125" s="56">
        <f ca="1">$J$125-EFEITO!$K$125*EFEITO!$Y$125</f>
        <v>0</v>
      </c>
      <c r="N125" s="56">
        <f ca="1">$K$125-EFEITO!$M$125*EFEITO!$Z$125</f>
        <v>0</v>
      </c>
      <c r="O125" s="56">
        <f>$L$125-EFEITO!$O$125*EFEITO!$AA$125</f>
        <v>0</v>
      </c>
      <c r="P125" s="39"/>
      <c r="Q125" s="39"/>
      <c r="R125" s="39"/>
      <c r="S125" s="39"/>
      <c r="T125" s="39"/>
      <c r="U125" s="39"/>
      <c r="V125" s="39"/>
      <c r="W125" s="39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spans="1:36" ht="11.25" customHeight="1" x14ac:dyDescent="0.2">
      <c r="A126" s="35" t="s">
        <v>21</v>
      </c>
      <c r="B126" s="35" t="s">
        <v>39</v>
      </c>
      <c r="C126" s="35" t="s">
        <v>40</v>
      </c>
      <c r="D126" s="35" t="s">
        <v>38</v>
      </c>
      <c r="E126" s="35" t="s">
        <v>25</v>
      </c>
      <c r="F126" s="35" t="s">
        <v>25</v>
      </c>
      <c r="G126" s="35" t="s">
        <v>25</v>
      </c>
      <c r="H126" s="35" t="s">
        <v>35</v>
      </c>
      <c r="I126" s="55">
        <v>44743</v>
      </c>
      <c r="J126" s="56">
        <f ca="1">EFEITO!$J$126*EFEITO!$Y$126</f>
        <v>11064.808207098808</v>
      </c>
      <c r="K126" s="56">
        <f ca="1">EFEITO!$L$126*EFEITO!$Z$126</f>
        <v>18285.66223703327</v>
      </c>
      <c r="L126" s="56">
        <f>EFEITO!$N$126*EFEITO!$AA$126</f>
        <v>44790.320204453325</v>
      </c>
      <c r="M126" s="56">
        <f ca="1">$J$126-EFEITO!$K$126*EFEITO!$Y$126</f>
        <v>0</v>
      </c>
      <c r="N126" s="56">
        <f ca="1">$K$126-EFEITO!$M$126*EFEITO!$Z$126</f>
        <v>0</v>
      </c>
      <c r="O126" s="56">
        <f>$L$126-EFEITO!$O$126*EFEITO!$AA$126</f>
        <v>0</v>
      </c>
      <c r="P126" s="39"/>
      <c r="Q126" s="39"/>
      <c r="R126" s="39"/>
      <c r="S126" s="39"/>
      <c r="T126" s="39"/>
      <c r="U126" s="39"/>
      <c r="V126" s="39"/>
      <c r="W126" s="39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spans="1:36" ht="11.25" customHeight="1" x14ac:dyDescent="0.2">
      <c r="A127" s="35" t="s">
        <v>21</v>
      </c>
      <c r="B127" s="35" t="s">
        <v>39</v>
      </c>
      <c r="C127" s="35" t="s">
        <v>40</v>
      </c>
      <c r="D127" s="35" t="s">
        <v>38</v>
      </c>
      <c r="E127" s="35" t="s">
        <v>25</v>
      </c>
      <c r="F127" s="35" t="s">
        <v>25</v>
      </c>
      <c r="G127" s="35" t="s">
        <v>25</v>
      </c>
      <c r="H127" s="35" t="s">
        <v>35</v>
      </c>
      <c r="I127" s="55">
        <v>44743</v>
      </c>
      <c r="J127" s="56">
        <f ca="1">EFEITO!$J$127*EFEITO!$Y$127</f>
        <v>180596.91308456054</v>
      </c>
      <c r="K127" s="56">
        <f ca="1">EFEITO!$L$127*EFEITO!$Z$127</f>
        <v>0</v>
      </c>
      <c r="L127" s="56">
        <f>EFEITO!$N$127*EFEITO!$AA$127</f>
        <v>0</v>
      </c>
      <c r="M127" s="56">
        <f ca="1">$J$127-EFEITO!$K$127*EFEITO!$Y$127</f>
        <v>0</v>
      </c>
      <c r="N127" s="56">
        <f ca="1">$K$127-EFEITO!$M$127*EFEITO!$Z$127</f>
        <v>0</v>
      </c>
      <c r="O127" s="56">
        <f>$L$127-EFEITO!$O$127*EFEITO!$AA$127</f>
        <v>0</v>
      </c>
      <c r="P127" s="39"/>
      <c r="Q127" s="39"/>
      <c r="R127" s="39"/>
      <c r="S127" s="39"/>
      <c r="T127" s="39"/>
      <c r="U127" s="39"/>
      <c r="V127" s="39"/>
      <c r="W127" s="39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spans="1:36" ht="11.25" customHeight="1" x14ac:dyDescent="0.2">
      <c r="A128" s="35" t="s">
        <v>21</v>
      </c>
      <c r="B128" s="35" t="s">
        <v>39</v>
      </c>
      <c r="C128" s="35" t="s">
        <v>40</v>
      </c>
      <c r="D128" s="35" t="s">
        <v>38</v>
      </c>
      <c r="E128" s="35" t="s">
        <v>25</v>
      </c>
      <c r="F128" s="35" t="s">
        <v>25</v>
      </c>
      <c r="G128" s="35" t="s">
        <v>25</v>
      </c>
      <c r="H128" s="35" t="s">
        <v>35</v>
      </c>
      <c r="I128" s="55">
        <v>44774</v>
      </c>
      <c r="J128" s="56">
        <f ca="1">EFEITO!$J$128*EFEITO!$Y$128</f>
        <v>10968.592483558818</v>
      </c>
      <c r="K128" s="56">
        <f ca="1">EFEITO!$L$128*EFEITO!$Z$128</f>
        <v>36126.977141100622</v>
      </c>
      <c r="L128" s="56">
        <f>EFEITO!$N$128*EFEITO!$AA$128</f>
        <v>88492.221566452543</v>
      </c>
      <c r="M128" s="56">
        <f ca="1">$J$128-EFEITO!$K$128*EFEITO!$Y$128</f>
        <v>0</v>
      </c>
      <c r="N128" s="56">
        <f ca="1">$K$128-EFEITO!$M$128*EFEITO!$Z$128</f>
        <v>0</v>
      </c>
      <c r="O128" s="56">
        <f>$L$128-EFEITO!$O$128*EFEITO!$AA$128</f>
        <v>0</v>
      </c>
      <c r="P128" s="39"/>
      <c r="Q128" s="39"/>
      <c r="R128" s="39"/>
      <c r="S128" s="39"/>
      <c r="T128" s="39"/>
      <c r="U128" s="39"/>
      <c r="V128" s="39"/>
      <c r="W128" s="39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spans="1:36" ht="11.25" customHeight="1" x14ac:dyDescent="0.2">
      <c r="A129" s="35" t="s">
        <v>21</v>
      </c>
      <c r="B129" s="35" t="s">
        <v>39</v>
      </c>
      <c r="C129" s="35" t="s">
        <v>40</v>
      </c>
      <c r="D129" s="35" t="s">
        <v>38</v>
      </c>
      <c r="E129" s="35" t="s">
        <v>25</v>
      </c>
      <c r="F129" s="35" t="s">
        <v>25</v>
      </c>
      <c r="G129" s="35" t="s">
        <v>25</v>
      </c>
      <c r="H129" s="35" t="s">
        <v>35</v>
      </c>
      <c r="I129" s="55">
        <v>44774</v>
      </c>
      <c r="J129" s="56">
        <f ca="1">EFEITO!$J$129*EFEITO!$Y$129</f>
        <v>176619.99651157428</v>
      </c>
      <c r="K129" s="56">
        <f ca="1">EFEITO!$L$129*EFEITO!$Z$129</f>
        <v>0</v>
      </c>
      <c r="L129" s="56">
        <f>EFEITO!$N$129*EFEITO!$AA$129</f>
        <v>0</v>
      </c>
      <c r="M129" s="56">
        <f ca="1">$J$129-EFEITO!$K$129*EFEITO!$Y$129</f>
        <v>0</v>
      </c>
      <c r="N129" s="56">
        <f ca="1">$K$129-EFEITO!$M$129*EFEITO!$Z$129</f>
        <v>0</v>
      </c>
      <c r="O129" s="56">
        <f>$L$129-EFEITO!$O$129*EFEITO!$AA$129</f>
        <v>0</v>
      </c>
      <c r="P129" s="39"/>
      <c r="Q129" s="39"/>
      <c r="R129" s="39"/>
      <c r="S129" s="39"/>
      <c r="T129" s="39"/>
      <c r="U129" s="39"/>
      <c r="V129" s="39"/>
      <c r="W129" s="39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spans="1:36" ht="11.25" customHeight="1" x14ac:dyDescent="0.2">
      <c r="A130" s="35" t="s">
        <v>21</v>
      </c>
      <c r="B130" s="35" t="s">
        <v>39</v>
      </c>
      <c r="C130" s="35" t="s">
        <v>40</v>
      </c>
      <c r="D130" s="35" t="s">
        <v>38</v>
      </c>
      <c r="E130" s="35" t="s">
        <v>25</v>
      </c>
      <c r="F130" s="35" t="s">
        <v>25</v>
      </c>
      <c r="G130" s="35" t="s">
        <v>25</v>
      </c>
      <c r="H130" s="35" t="s">
        <v>35</v>
      </c>
      <c r="I130" s="55">
        <v>44805</v>
      </c>
      <c r="J130" s="56">
        <f ca="1">EFEITO!$J$130*EFEITO!$Y$130</f>
        <v>11513.814916952091</v>
      </c>
      <c r="K130" s="56">
        <f ca="1">EFEITO!$L$130*EFEITO!$Z$130</f>
        <v>35322.925878617221</v>
      </c>
      <c r="L130" s="56">
        <f>EFEITO!$N$130*EFEITO!$AA$130</f>
        <v>86522.716002990419</v>
      </c>
      <c r="M130" s="56">
        <f ca="1">$J$130-EFEITO!$K$130*EFEITO!$Y$130</f>
        <v>0</v>
      </c>
      <c r="N130" s="56">
        <f ca="1">$K$130-EFEITO!$M$130*EFEITO!$Z$130</f>
        <v>0</v>
      </c>
      <c r="O130" s="56">
        <f>$L$130-EFEITO!$O$130*EFEITO!$AA$130</f>
        <v>0</v>
      </c>
      <c r="P130" s="39"/>
      <c r="Q130" s="39"/>
      <c r="R130" s="39"/>
      <c r="S130" s="39"/>
      <c r="T130" s="39"/>
      <c r="U130" s="39"/>
      <c r="V130" s="39"/>
      <c r="W130" s="39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spans="1:36" ht="11.25" customHeight="1" x14ac:dyDescent="0.2">
      <c r="A131" s="35" t="s">
        <v>21</v>
      </c>
      <c r="B131" s="35" t="s">
        <v>39</v>
      </c>
      <c r="C131" s="35" t="s">
        <v>40</v>
      </c>
      <c r="D131" s="35" t="s">
        <v>38</v>
      </c>
      <c r="E131" s="35" t="s">
        <v>25</v>
      </c>
      <c r="F131" s="35" t="s">
        <v>25</v>
      </c>
      <c r="G131" s="35" t="s">
        <v>25</v>
      </c>
      <c r="H131" s="35" t="s">
        <v>35</v>
      </c>
      <c r="I131" s="55">
        <v>44805</v>
      </c>
      <c r="J131" s="56">
        <f ca="1">EFEITO!$J$131*EFEITO!$Y$131</f>
        <v>195189.6311547923</v>
      </c>
      <c r="K131" s="56">
        <f ca="1">EFEITO!$L$131*EFEITO!$Z$131</f>
        <v>0</v>
      </c>
      <c r="L131" s="56">
        <f>EFEITO!$N$131*EFEITO!$AA$131</f>
        <v>0</v>
      </c>
      <c r="M131" s="56">
        <f ca="1">$J$131-EFEITO!$K$131*EFEITO!$Y$131</f>
        <v>0</v>
      </c>
      <c r="N131" s="56">
        <f ca="1">$K$131-EFEITO!$M$131*EFEITO!$Z$131</f>
        <v>0</v>
      </c>
      <c r="O131" s="56">
        <f>$L$131-EFEITO!$O$131*EFEITO!$AA$131</f>
        <v>0</v>
      </c>
      <c r="P131" s="39"/>
      <c r="Q131" s="39"/>
      <c r="R131" s="39"/>
      <c r="S131" s="39"/>
      <c r="T131" s="39"/>
      <c r="U131" s="39"/>
      <c r="V131" s="39"/>
      <c r="W131" s="39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spans="1:36" ht="11.25" customHeight="1" x14ac:dyDescent="0.2">
      <c r="A132" s="35" t="s">
        <v>53</v>
      </c>
      <c r="B132" s="35" t="s">
        <v>39</v>
      </c>
      <c r="C132" s="35" t="s">
        <v>40</v>
      </c>
      <c r="D132" s="35" t="s">
        <v>38</v>
      </c>
      <c r="E132" s="35" t="s">
        <v>25</v>
      </c>
      <c r="F132" s="35" t="s">
        <v>25</v>
      </c>
      <c r="G132" s="35" t="s">
        <v>25</v>
      </c>
      <c r="H132" s="35" t="s">
        <v>35</v>
      </c>
      <c r="I132" s="55">
        <v>44835</v>
      </c>
      <c r="J132" s="56">
        <f ca="1">EFEITO!$J$132*EFEITO!$Y$132</f>
        <v>11513.814916952091</v>
      </c>
      <c r="K132" s="56">
        <f ca="1">EFEITO!$L$132*EFEITO!$Z$132</f>
        <v>35322.925878617221</v>
      </c>
      <c r="L132" s="56">
        <f>EFEITO!$N$132*EFEITO!$AA$132</f>
        <v>86522.716002990419</v>
      </c>
      <c r="M132" s="56">
        <f ca="1">$J$132-EFEITO!$K$132*EFEITO!$Y$132</f>
        <v>0</v>
      </c>
      <c r="N132" s="56">
        <f ca="1">$K$132-EFEITO!$M$132*EFEITO!$Z$132</f>
        <v>0</v>
      </c>
      <c r="O132" s="56">
        <f>$L$132-EFEITO!$O$132*EFEITO!$AA$132</f>
        <v>0</v>
      </c>
      <c r="P132" s="39"/>
      <c r="Q132" s="39"/>
      <c r="R132" s="39"/>
      <c r="S132" s="39"/>
      <c r="T132" s="39"/>
      <c r="U132" s="39"/>
      <c r="V132" s="39"/>
      <c r="W132" s="39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spans="1:36" ht="11.25" customHeight="1" x14ac:dyDescent="0.2">
      <c r="A133" s="35" t="s">
        <v>53</v>
      </c>
      <c r="B133" s="35" t="s">
        <v>39</v>
      </c>
      <c r="C133" s="35" t="s">
        <v>40</v>
      </c>
      <c r="D133" s="35" t="s">
        <v>38</v>
      </c>
      <c r="E133" s="35" t="s">
        <v>25</v>
      </c>
      <c r="F133" s="35" t="s">
        <v>25</v>
      </c>
      <c r="G133" s="35" t="s">
        <v>25</v>
      </c>
      <c r="H133" s="35" t="s">
        <v>35</v>
      </c>
      <c r="I133" s="55">
        <v>44835</v>
      </c>
      <c r="J133" s="56">
        <f ca="1">EFEITO!$J$133*EFEITO!$Y$133</f>
        <v>195189.6311547923</v>
      </c>
      <c r="K133" s="56">
        <f ca="1">EFEITO!$L$133*EFEITO!$Z$133</f>
        <v>0</v>
      </c>
      <c r="L133" s="56">
        <f>EFEITO!$N$133*EFEITO!$AA$133</f>
        <v>0</v>
      </c>
      <c r="M133" s="56">
        <f ca="1">$J$133-EFEITO!$K$133*EFEITO!$Y$133</f>
        <v>0</v>
      </c>
      <c r="N133" s="56">
        <f ca="1">$K$133-EFEITO!$M$133*EFEITO!$Z$133</f>
        <v>0</v>
      </c>
      <c r="O133" s="56">
        <f>$L$133-EFEITO!$O$133*EFEITO!$AA$133</f>
        <v>0</v>
      </c>
      <c r="P133" s="39"/>
      <c r="Q133" s="39"/>
      <c r="R133" s="39"/>
      <c r="S133" s="39"/>
      <c r="T133" s="39"/>
      <c r="U133" s="39"/>
      <c r="V133" s="39"/>
      <c r="W133" s="39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spans="1:36" ht="11.25" customHeight="1" x14ac:dyDescent="0.2">
      <c r="A134" s="35" t="s">
        <v>21</v>
      </c>
      <c r="B134" s="35" t="s">
        <v>39</v>
      </c>
      <c r="C134" s="35" t="s">
        <v>40</v>
      </c>
      <c r="D134" s="35" t="s">
        <v>38</v>
      </c>
      <c r="E134" s="35" t="s">
        <v>25</v>
      </c>
      <c r="F134" s="35" t="s">
        <v>25</v>
      </c>
      <c r="G134" s="35" t="s">
        <v>25</v>
      </c>
      <c r="H134" s="35" t="s">
        <v>25</v>
      </c>
      <c r="I134" s="55">
        <v>44501</v>
      </c>
      <c r="J134" s="56">
        <f>EFEITO!$J$134*EFEITO!$Y$134</f>
        <v>0</v>
      </c>
      <c r="K134" s="56">
        <f ca="1">EFEITO!$L$134*EFEITO!$Z$134</f>
        <v>874848.81280785508</v>
      </c>
      <c r="L134" s="56">
        <f>EFEITO!$N$134*EFEITO!$AA$134</f>
        <v>0</v>
      </c>
      <c r="M134" s="56">
        <f>$J$134-EFEITO!$K$134*EFEITO!$Y$134</f>
        <v>0</v>
      </c>
      <c r="N134" s="56">
        <f ca="1">$K$134-EFEITO!$M$134*EFEITO!$Z$134</f>
        <v>0</v>
      </c>
      <c r="O134" s="56">
        <f>$L$134-EFEITO!$O$134*EFEITO!$AA$134</f>
        <v>0</v>
      </c>
      <c r="P134" s="39"/>
      <c r="Q134" s="39"/>
      <c r="R134" s="39"/>
      <c r="S134" s="39"/>
      <c r="T134" s="39"/>
      <c r="U134" s="39"/>
      <c r="V134" s="39"/>
      <c r="W134" s="39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spans="1:36" ht="11.25" customHeight="1" x14ac:dyDescent="0.2">
      <c r="A135" s="35" t="s">
        <v>21</v>
      </c>
      <c r="B135" s="35" t="s">
        <v>39</v>
      </c>
      <c r="C135" s="35" t="s">
        <v>40</v>
      </c>
      <c r="D135" s="35" t="s">
        <v>38</v>
      </c>
      <c r="E135" s="35" t="s">
        <v>25</v>
      </c>
      <c r="F135" s="35" t="s">
        <v>25</v>
      </c>
      <c r="G135" s="35" t="s">
        <v>25</v>
      </c>
      <c r="H135" s="35" t="s">
        <v>25</v>
      </c>
      <c r="I135" s="55">
        <v>44531</v>
      </c>
      <c r="J135" s="56">
        <f>EFEITO!$J$135*EFEITO!$Y$135</f>
        <v>0</v>
      </c>
      <c r="K135" s="56">
        <f ca="1">EFEITO!$L$135*EFEITO!$Z$135</f>
        <v>710693.74125859875</v>
      </c>
      <c r="L135" s="56">
        <f>EFEITO!$N$135*EFEITO!$AA$135</f>
        <v>0</v>
      </c>
      <c r="M135" s="56">
        <f>$J$135-EFEITO!$K$135*EFEITO!$Y$135</f>
        <v>0</v>
      </c>
      <c r="N135" s="56">
        <f ca="1">$K$135-EFEITO!$M$135*EFEITO!$Z$135</f>
        <v>0</v>
      </c>
      <c r="O135" s="56">
        <f>$L$135-EFEITO!$O$135*EFEITO!$AA$135</f>
        <v>0</v>
      </c>
      <c r="P135" s="39"/>
      <c r="Q135" s="39"/>
      <c r="R135" s="39"/>
      <c r="S135" s="39"/>
      <c r="T135" s="39"/>
      <c r="U135" s="39"/>
      <c r="V135" s="39"/>
      <c r="W135" s="39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spans="1:36" ht="11.25" customHeight="1" x14ac:dyDescent="0.2">
      <c r="A136" s="35" t="s">
        <v>21</v>
      </c>
      <c r="B136" s="35" t="s">
        <v>39</v>
      </c>
      <c r="C136" s="35" t="s">
        <v>40</v>
      </c>
      <c r="D136" s="35" t="s">
        <v>38</v>
      </c>
      <c r="E136" s="35" t="s">
        <v>25</v>
      </c>
      <c r="F136" s="35" t="s">
        <v>25</v>
      </c>
      <c r="G136" s="35" t="s">
        <v>25</v>
      </c>
      <c r="H136" s="35" t="s">
        <v>25</v>
      </c>
      <c r="I136" s="55">
        <v>44562</v>
      </c>
      <c r="J136" s="56">
        <f>EFEITO!$J$136*EFEITO!$Y$136</f>
        <v>0</v>
      </c>
      <c r="K136" s="56">
        <f ca="1">EFEITO!$L$136*EFEITO!$Z$136</f>
        <v>758663.58858983358</v>
      </c>
      <c r="L136" s="56">
        <f>EFEITO!$N$136*EFEITO!$AA$136</f>
        <v>0</v>
      </c>
      <c r="M136" s="56">
        <f>$J$136-EFEITO!$K$136*EFEITO!$Y$136</f>
        <v>0</v>
      </c>
      <c r="N136" s="56">
        <f ca="1">$K$136-EFEITO!$M$136*EFEITO!$Z$136</f>
        <v>0</v>
      </c>
      <c r="O136" s="56">
        <f>$L$136-EFEITO!$O$136*EFEITO!$AA$136</f>
        <v>0</v>
      </c>
      <c r="P136" s="39"/>
      <c r="Q136" s="39"/>
      <c r="R136" s="39"/>
      <c r="S136" s="39"/>
      <c r="T136" s="39"/>
      <c r="U136" s="39"/>
      <c r="V136" s="39"/>
      <c r="W136" s="39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spans="1:36" ht="11.25" customHeight="1" x14ac:dyDescent="0.2">
      <c r="A137" s="35" t="s">
        <v>21</v>
      </c>
      <c r="B137" s="35" t="s">
        <v>39</v>
      </c>
      <c r="C137" s="35" t="s">
        <v>40</v>
      </c>
      <c r="D137" s="35" t="s">
        <v>38</v>
      </c>
      <c r="E137" s="35" t="s">
        <v>25</v>
      </c>
      <c r="F137" s="35" t="s">
        <v>25</v>
      </c>
      <c r="G137" s="35" t="s">
        <v>25</v>
      </c>
      <c r="H137" s="35" t="s">
        <v>25</v>
      </c>
      <c r="I137" s="55">
        <v>44593</v>
      </c>
      <c r="J137" s="56">
        <f>EFEITO!$J$137*EFEITO!$Y$137</f>
        <v>0</v>
      </c>
      <c r="K137" s="56">
        <f ca="1">EFEITO!$L$137*EFEITO!$Z$137</f>
        <v>721250.71570341534</v>
      </c>
      <c r="L137" s="56">
        <f>EFEITO!$N$137*EFEITO!$AA$137</f>
        <v>0</v>
      </c>
      <c r="M137" s="56">
        <f>$J$137-EFEITO!$K$137*EFEITO!$Y$137</f>
        <v>0</v>
      </c>
      <c r="N137" s="56">
        <f ca="1">$K$137-EFEITO!$M$137*EFEITO!$Z$137</f>
        <v>0</v>
      </c>
      <c r="O137" s="56">
        <f>$L$137-EFEITO!$O$137*EFEITO!$AA$137</f>
        <v>0</v>
      </c>
      <c r="P137" s="39"/>
      <c r="Q137" s="39"/>
      <c r="R137" s="39"/>
      <c r="S137" s="39"/>
      <c r="T137" s="39"/>
      <c r="U137" s="39"/>
      <c r="V137" s="39"/>
      <c r="W137" s="39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spans="1:36" ht="11.25" customHeight="1" x14ac:dyDescent="0.2">
      <c r="A138" s="35" t="s">
        <v>21</v>
      </c>
      <c r="B138" s="35" t="s">
        <v>39</v>
      </c>
      <c r="C138" s="35" t="s">
        <v>40</v>
      </c>
      <c r="D138" s="35" t="s">
        <v>38</v>
      </c>
      <c r="E138" s="35" t="s">
        <v>25</v>
      </c>
      <c r="F138" s="35" t="s">
        <v>25</v>
      </c>
      <c r="G138" s="35" t="s">
        <v>25</v>
      </c>
      <c r="H138" s="35" t="s">
        <v>25</v>
      </c>
      <c r="I138" s="55">
        <v>44621</v>
      </c>
      <c r="J138" s="56">
        <f>EFEITO!$J$138*EFEITO!$Y$138</f>
        <v>0</v>
      </c>
      <c r="K138" s="56">
        <f ca="1">EFEITO!$L$138*EFEITO!$Z$138</f>
        <v>654522.52219381195</v>
      </c>
      <c r="L138" s="56">
        <f>EFEITO!$N$138*EFEITO!$AA$138</f>
        <v>0</v>
      </c>
      <c r="M138" s="56">
        <f>$J$138-EFEITO!$K$138*EFEITO!$Y$138</f>
        <v>0</v>
      </c>
      <c r="N138" s="56">
        <f ca="1">$K$138-EFEITO!$M$138*EFEITO!$Z$138</f>
        <v>0</v>
      </c>
      <c r="O138" s="56">
        <f>$L$138-EFEITO!$O$138*EFEITO!$AA$138</f>
        <v>0</v>
      </c>
      <c r="P138" s="39"/>
      <c r="Q138" s="39"/>
      <c r="R138" s="39"/>
      <c r="S138" s="39"/>
      <c r="T138" s="39"/>
      <c r="U138" s="39"/>
      <c r="V138" s="39"/>
      <c r="W138" s="39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spans="1:36" ht="11.25" customHeight="1" x14ac:dyDescent="0.2">
      <c r="A139" s="35" t="s">
        <v>21</v>
      </c>
      <c r="B139" s="35" t="s">
        <v>39</v>
      </c>
      <c r="C139" s="35" t="s">
        <v>40</v>
      </c>
      <c r="D139" s="35" t="s">
        <v>38</v>
      </c>
      <c r="E139" s="35" t="s">
        <v>25</v>
      </c>
      <c r="F139" s="35" t="s">
        <v>25</v>
      </c>
      <c r="G139" s="35" t="s">
        <v>25</v>
      </c>
      <c r="H139" s="35" t="s">
        <v>25</v>
      </c>
      <c r="I139" s="55">
        <v>44652</v>
      </c>
      <c r="J139" s="56">
        <f>EFEITO!$J$139*EFEITO!$Y$139</f>
        <v>0</v>
      </c>
      <c r="K139" s="56">
        <f ca="1">EFEITO!$L$139*EFEITO!$Z$139</f>
        <v>713059.84805744863</v>
      </c>
      <c r="L139" s="56">
        <f>EFEITO!$N$139*EFEITO!$AA$139</f>
        <v>0</v>
      </c>
      <c r="M139" s="56">
        <f>$J$139-EFEITO!$K$139*EFEITO!$Y$139</f>
        <v>0</v>
      </c>
      <c r="N139" s="56">
        <f ca="1">$K$139-EFEITO!$M$139*EFEITO!$Z$139</f>
        <v>0</v>
      </c>
      <c r="O139" s="56">
        <f>$L$139-EFEITO!$O$139*EFEITO!$AA$139</f>
        <v>0</v>
      </c>
      <c r="P139" s="39"/>
      <c r="Q139" s="39"/>
      <c r="R139" s="39"/>
      <c r="S139" s="39"/>
      <c r="T139" s="39"/>
      <c r="U139" s="39"/>
      <c r="V139" s="39"/>
      <c r="W139" s="39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spans="1:36" ht="11.25" customHeight="1" x14ac:dyDescent="0.2">
      <c r="A140" s="35" t="s">
        <v>21</v>
      </c>
      <c r="B140" s="35" t="s">
        <v>39</v>
      </c>
      <c r="C140" s="35" t="s">
        <v>40</v>
      </c>
      <c r="D140" s="35" t="s">
        <v>38</v>
      </c>
      <c r="E140" s="35" t="s">
        <v>25</v>
      </c>
      <c r="F140" s="35" t="s">
        <v>25</v>
      </c>
      <c r="G140" s="35" t="s">
        <v>25</v>
      </c>
      <c r="H140" s="35" t="s">
        <v>25</v>
      </c>
      <c r="I140" s="55">
        <v>44682</v>
      </c>
      <c r="J140" s="56">
        <f>EFEITO!$J$140*EFEITO!$Y$140</f>
        <v>0</v>
      </c>
      <c r="K140" s="56">
        <f ca="1">EFEITO!$L$140*EFEITO!$Z$140</f>
        <v>753512.92145647109</v>
      </c>
      <c r="L140" s="56">
        <f>EFEITO!$N$140*EFEITO!$AA$140</f>
        <v>0</v>
      </c>
      <c r="M140" s="56">
        <f>$J$140-EFEITO!$K$140*EFEITO!$Y$140</f>
        <v>0</v>
      </c>
      <c r="N140" s="56">
        <f ca="1">$K$140-EFEITO!$M$140*EFEITO!$Z$140</f>
        <v>0</v>
      </c>
      <c r="O140" s="56">
        <f>$L$140-EFEITO!$O$140*EFEITO!$AA$140</f>
        <v>0</v>
      </c>
      <c r="P140" s="39"/>
      <c r="Q140" s="39"/>
      <c r="R140" s="39"/>
      <c r="S140" s="39"/>
      <c r="T140" s="39"/>
      <c r="U140" s="39"/>
      <c r="V140" s="39"/>
      <c r="W140" s="39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spans="1:36" ht="11.25" customHeight="1" x14ac:dyDescent="0.2">
      <c r="A141" s="35" t="s">
        <v>21</v>
      </c>
      <c r="B141" s="35" t="s">
        <v>39</v>
      </c>
      <c r="C141" s="35" t="s">
        <v>40</v>
      </c>
      <c r="D141" s="35" t="s">
        <v>38</v>
      </c>
      <c r="E141" s="35" t="s">
        <v>25</v>
      </c>
      <c r="F141" s="35" t="s">
        <v>25</v>
      </c>
      <c r="G141" s="35" t="s">
        <v>25</v>
      </c>
      <c r="H141" s="35" t="s">
        <v>25</v>
      </c>
      <c r="I141" s="55">
        <v>44713</v>
      </c>
      <c r="J141" s="56">
        <f>EFEITO!$J$141*EFEITO!$Y$141</f>
        <v>0</v>
      </c>
      <c r="K141" s="56">
        <f ca="1">EFEITO!$L$141*EFEITO!$Z$141</f>
        <v>788669.24762036442</v>
      </c>
      <c r="L141" s="56">
        <f>EFEITO!$N$141*EFEITO!$AA$141</f>
        <v>0</v>
      </c>
      <c r="M141" s="56">
        <f>$J$141-EFEITO!$K$141*EFEITO!$Y$141</f>
        <v>0</v>
      </c>
      <c r="N141" s="56">
        <f ca="1">$K$141-EFEITO!$M$141*EFEITO!$Z$141</f>
        <v>0</v>
      </c>
      <c r="O141" s="56">
        <f>$L$141-EFEITO!$O$141*EFEITO!$AA$141</f>
        <v>0</v>
      </c>
      <c r="P141" s="39"/>
      <c r="Q141" s="39"/>
      <c r="R141" s="39"/>
      <c r="S141" s="39"/>
      <c r="T141" s="39"/>
      <c r="U141" s="39"/>
      <c r="V141" s="39"/>
      <c r="W141" s="39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spans="1:36" ht="11.25" customHeight="1" x14ac:dyDescent="0.2">
      <c r="A142" s="35" t="s">
        <v>21</v>
      </c>
      <c r="B142" s="35" t="s">
        <v>39</v>
      </c>
      <c r="C142" s="35" t="s">
        <v>40</v>
      </c>
      <c r="D142" s="35" t="s">
        <v>38</v>
      </c>
      <c r="E142" s="35" t="s">
        <v>25</v>
      </c>
      <c r="F142" s="35" t="s">
        <v>25</v>
      </c>
      <c r="G142" s="35" t="s">
        <v>25</v>
      </c>
      <c r="H142" s="35" t="s">
        <v>25</v>
      </c>
      <c r="I142" s="55">
        <v>44743</v>
      </c>
      <c r="J142" s="56">
        <f>EFEITO!$J$142*EFEITO!$Y$142</f>
        <v>0</v>
      </c>
      <c r="K142" s="56">
        <f ca="1">EFEITO!$L$142*EFEITO!$Z$142</f>
        <v>758321.71718110028</v>
      </c>
      <c r="L142" s="56">
        <f>EFEITO!$N$142*EFEITO!$AA$142</f>
        <v>0</v>
      </c>
      <c r="M142" s="56">
        <f>$J$142-EFEITO!$K$142*EFEITO!$Y$142</f>
        <v>0</v>
      </c>
      <c r="N142" s="56">
        <f ca="1">$K$142-EFEITO!$M$142*EFEITO!$Z$142</f>
        <v>0</v>
      </c>
      <c r="O142" s="56">
        <f>$L$142-EFEITO!$O$142*EFEITO!$AA$142</f>
        <v>0</v>
      </c>
      <c r="P142" s="39"/>
      <c r="Q142" s="39"/>
      <c r="R142" s="39"/>
      <c r="S142" s="39"/>
      <c r="T142" s="39"/>
      <c r="U142" s="39"/>
      <c r="V142" s="39"/>
      <c r="W142" s="39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spans="1:36" ht="11.25" customHeight="1" x14ac:dyDescent="0.2">
      <c r="A143" s="35" t="s">
        <v>21</v>
      </c>
      <c r="B143" s="35" t="s">
        <v>39</v>
      </c>
      <c r="C143" s="35" t="s">
        <v>40</v>
      </c>
      <c r="D143" s="35" t="s">
        <v>38</v>
      </c>
      <c r="E143" s="35" t="s">
        <v>25</v>
      </c>
      <c r="F143" s="35" t="s">
        <v>25</v>
      </c>
      <c r="G143" s="35" t="s">
        <v>25</v>
      </c>
      <c r="H143" s="35" t="s">
        <v>25</v>
      </c>
      <c r="I143" s="55">
        <v>44774</v>
      </c>
      <c r="J143" s="56">
        <f>EFEITO!$J$143*EFEITO!$Y$143</f>
        <v>0</v>
      </c>
      <c r="K143" s="56">
        <f ca="1">EFEITO!$L$143*EFEITO!$Z$143</f>
        <v>755445.79571270675</v>
      </c>
      <c r="L143" s="56">
        <f>EFEITO!$N$143*EFEITO!$AA$143</f>
        <v>0</v>
      </c>
      <c r="M143" s="56">
        <f>$J$143-EFEITO!$K$143*EFEITO!$Y$143</f>
        <v>0</v>
      </c>
      <c r="N143" s="56">
        <f ca="1">$K$143-EFEITO!$M$143*EFEITO!$Z$143</f>
        <v>0</v>
      </c>
      <c r="O143" s="56">
        <f>$L$143-EFEITO!$O$143*EFEITO!$AA$143</f>
        <v>0</v>
      </c>
      <c r="P143" s="39"/>
      <c r="Q143" s="39"/>
      <c r="R143" s="39"/>
      <c r="S143" s="39"/>
      <c r="T143" s="39"/>
      <c r="U143" s="39"/>
      <c r="V143" s="39"/>
      <c r="W143" s="39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spans="1:36" ht="11.25" customHeight="1" x14ac:dyDescent="0.2">
      <c r="A144" s="35" t="s">
        <v>21</v>
      </c>
      <c r="B144" s="35" t="s">
        <v>39</v>
      </c>
      <c r="C144" s="35" t="s">
        <v>40</v>
      </c>
      <c r="D144" s="35" t="s">
        <v>38</v>
      </c>
      <c r="E144" s="35" t="s">
        <v>25</v>
      </c>
      <c r="F144" s="35" t="s">
        <v>25</v>
      </c>
      <c r="G144" s="35" t="s">
        <v>25</v>
      </c>
      <c r="H144" s="35" t="s">
        <v>25</v>
      </c>
      <c r="I144" s="55">
        <v>44805</v>
      </c>
      <c r="J144" s="56">
        <f>EFEITO!$J$144*EFEITO!$Y$144</f>
        <v>0</v>
      </c>
      <c r="K144" s="56">
        <f ca="1">EFEITO!$L$144*EFEITO!$Z$144</f>
        <v>678680.82437486225</v>
      </c>
      <c r="L144" s="56">
        <f>EFEITO!$N$144*EFEITO!$AA$144</f>
        <v>0</v>
      </c>
      <c r="M144" s="56">
        <f>$J$144-EFEITO!$K$144*EFEITO!$Y$144</f>
        <v>0</v>
      </c>
      <c r="N144" s="56">
        <f ca="1">$K$144-EFEITO!$M$144*EFEITO!$Z$144</f>
        <v>0</v>
      </c>
      <c r="O144" s="56">
        <f>$L$144-EFEITO!$O$144*EFEITO!$AA$144</f>
        <v>0</v>
      </c>
      <c r="P144" s="39"/>
      <c r="Q144" s="39"/>
      <c r="R144" s="39"/>
      <c r="S144" s="39"/>
      <c r="T144" s="39"/>
      <c r="U144" s="39"/>
      <c r="V144" s="39"/>
      <c r="W144" s="39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spans="1:36" ht="11.25" customHeight="1" x14ac:dyDescent="0.2">
      <c r="A145" s="35" t="s">
        <v>53</v>
      </c>
      <c r="B145" s="35" t="s">
        <v>39</v>
      </c>
      <c r="C145" s="35" t="s">
        <v>40</v>
      </c>
      <c r="D145" s="35" t="s">
        <v>38</v>
      </c>
      <c r="E145" s="35" t="s">
        <v>25</v>
      </c>
      <c r="F145" s="35" t="s">
        <v>25</v>
      </c>
      <c r="G145" s="35" t="s">
        <v>25</v>
      </c>
      <c r="H145" s="35" t="s">
        <v>25</v>
      </c>
      <c r="I145" s="55">
        <v>44835</v>
      </c>
      <c r="J145" s="56">
        <f>EFEITO!$J$145*EFEITO!$Y$145</f>
        <v>0</v>
      </c>
      <c r="K145" s="56">
        <f ca="1">EFEITO!$L$145*EFEITO!$Z$145</f>
        <v>678680.82437486225</v>
      </c>
      <c r="L145" s="56">
        <f>EFEITO!$N$145*EFEITO!$AA$145</f>
        <v>0</v>
      </c>
      <c r="M145" s="56">
        <f>$J$145-EFEITO!$K$145*EFEITO!$Y$145</f>
        <v>0</v>
      </c>
      <c r="N145" s="56">
        <f ca="1">$K$145-EFEITO!$M$145*EFEITO!$Z$145</f>
        <v>0</v>
      </c>
      <c r="O145" s="56">
        <f>$L$145-EFEITO!$O$145*EFEITO!$AA$145</f>
        <v>0</v>
      </c>
      <c r="P145" s="39"/>
      <c r="Q145" s="39"/>
      <c r="R145" s="39"/>
      <c r="S145" s="39"/>
      <c r="T145" s="39"/>
      <c r="U145" s="39"/>
      <c r="V145" s="39"/>
      <c r="W145" s="39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spans="1:36" ht="11.25" customHeight="1" x14ac:dyDescent="0.2">
      <c r="A146" s="35" t="s">
        <v>21</v>
      </c>
      <c r="B146" s="35" t="s">
        <v>39</v>
      </c>
      <c r="C146" s="35" t="s">
        <v>40</v>
      </c>
      <c r="D146" s="35" t="s">
        <v>38</v>
      </c>
      <c r="E146" s="35" t="s">
        <v>25</v>
      </c>
      <c r="F146" s="35" t="s">
        <v>25</v>
      </c>
      <c r="G146" s="35" t="s">
        <v>25</v>
      </c>
      <c r="H146" s="35" t="s">
        <v>34</v>
      </c>
      <c r="I146" s="55">
        <v>44501</v>
      </c>
      <c r="J146" s="56">
        <f ca="1">EFEITO!$J$146*EFEITO!$Y$146</f>
        <v>24946.857228752582</v>
      </c>
      <c r="K146" s="56">
        <f ca="1">EFEITO!$L$146*EFEITO!$Z$146</f>
        <v>2851.3712171768198</v>
      </c>
      <c r="L146" s="56">
        <f>EFEITO!$N$146*EFEITO!$AA$146</f>
        <v>11355.850382332783</v>
      </c>
      <c r="M146" s="56">
        <f ca="1">$J$146-EFEITO!$K$146*EFEITO!$Y$146</f>
        <v>0</v>
      </c>
      <c r="N146" s="56">
        <f ca="1">$K$146-EFEITO!$M$146*EFEITO!$Z$146</f>
        <v>0</v>
      </c>
      <c r="O146" s="56">
        <f>$L$146-EFEITO!$O$146*EFEITO!$AA$146</f>
        <v>0</v>
      </c>
      <c r="P146" s="39"/>
      <c r="Q146" s="39"/>
      <c r="R146" s="39"/>
      <c r="S146" s="39"/>
      <c r="T146" s="39"/>
      <c r="U146" s="39"/>
      <c r="V146" s="39"/>
      <c r="W146" s="39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spans="1:36" ht="11.25" customHeight="1" x14ac:dyDescent="0.2">
      <c r="A147" s="35" t="s">
        <v>21</v>
      </c>
      <c r="B147" s="35" t="s">
        <v>39</v>
      </c>
      <c r="C147" s="35" t="s">
        <v>40</v>
      </c>
      <c r="D147" s="35" t="s">
        <v>38</v>
      </c>
      <c r="E147" s="35" t="s">
        <v>25</v>
      </c>
      <c r="F147" s="35" t="s">
        <v>25</v>
      </c>
      <c r="G147" s="35" t="s">
        <v>25</v>
      </c>
      <c r="H147" s="35" t="s">
        <v>34</v>
      </c>
      <c r="I147" s="55">
        <v>44501</v>
      </c>
      <c r="J147" s="56">
        <f ca="1">EFEITO!$J$147*EFEITO!$Y$147</f>
        <v>509382.87297132739</v>
      </c>
      <c r="K147" s="56">
        <f ca="1">EFEITO!$L$147*EFEITO!$Z$147</f>
        <v>0</v>
      </c>
      <c r="L147" s="56">
        <f>EFEITO!$N$147*EFEITO!$AA$147</f>
        <v>0</v>
      </c>
      <c r="M147" s="56">
        <f ca="1">$J$147-EFEITO!$K$147*EFEITO!$Y$147</f>
        <v>0</v>
      </c>
      <c r="N147" s="56">
        <f ca="1">$K$147-EFEITO!$M$147*EFEITO!$Z$147</f>
        <v>0</v>
      </c>
      <c r="O147" s="56">
        <f>$L$147-EFEITO!$O$147*EFEITO!$AA$147</f>
        <v>0</v>
      </c>
      <c r="P147" s="39"/>
      <c r="Q147" s="39"/>
      <c r="R147" s="39"/>
      <c r="S147" s="39"/>
      <c r="T147" s="39"/>
      <c r="U147" s="39"/>
      <c r="V147" s="39"/>
      <c r="W147" s="39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spans="1:36" ht="11.25" customHeight="1" x14ac:dyDescent="0.2">
      <c r="A148" s="35" t="s">
        <v>21</v>
      </c>
      <c r="B148" s="35" t="s">
        <v>39</v>
      </c>
      <c r="C148" s="35" t="s">
        <v>40</v>
      </c>
      <c r="D148" s="35" t="s">
        <v>38</v>
      </c>
      <c r="E148" s="35" t="s">
        <v>25</v>
      </c>
      <c r="F148" s="35" t="s">
        <v>25</v>
      </c>
      <c r="G148" s="35" t="s">
        <v>25</v>
      </c>
      <c r="H148" s="35" t="s">
        <v>34</v>
      </c>
      <c r="I148" s="55">
        <v>44531</v>
      </c>
      <c r="J148" s="56">
        <f ca="1">EFEITO!$J$148*EFEITO!$Y$148</f>
        <v>24823.966306443457</v>
      </c>
      <c r="K148" s="56">
        <f ca="1">EFEITO!$L$148*EFEITO!$Z$148</f>
        <v>2398.8404671386911</v>
      </c>
      <c r="L148" s="56">
        <f>EFEITO!$N$148*EFEITO!$AA$148</f>
        <v>9553.6046908980879</v>
      </c>
      <c r="M148" s="56">
        <f ca="1">$J$148-EFEITO!$K$148*EFEITO!$Y$148</f>
        <v>0</v>
      </c>
      <c r="N148" s="56">
        <f ca="1">$K$148-EFEITO!$M$148*EFEITO!$Z$148</f>
        <v>0</v>
      </c>
      <c r="O148" s="56">
        <f>$L$148-EFEITO!$O$148*EFEITO!$AA$148</f>
        <v>0</v>
      </c>
      <c r="P148" s="39"/>
      <c r="Q148" s="39"/>
      <c r="R148" s="39"/>
      <c r="S148" s="39"/>
      <c r="T148" s="39"/>
      <c r="U148" s="39"/>
      <c r="V148" s="39"/>
      <c r="W148" s="39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spans="1:36" ht="11.25" customHeight="1" x14ac:dyDescent="0.2">
      <c r="A149" s="35" t="s">
        <v>21</v>
      </c>
      <c r="B149" s="35" t="s">
        <v>39</v>
      </c>
      <c r="C149" s="35" t="s">
        <v>40</v>
      </c>
      <c r="D149" s="35" t="s">
        <v>38</v>
      </c>
      <c r="E149" s="35" t="s">
        <v>25</v>
      </c>
      <c r="F149" s="35" t="s">
        <v>25</v>
      </c>
      <c r="G149" s="35" t="s">
        <v>25</v>
      </c>
      <c r="H149" s="35" t="s">
        <v>34</v>
      </c>
      <c r="I149" s="55">
        <v>44531</v>
      </c>
      <c r="J149" s="56">
        <f ca="1">EFEITO!$J$149*EFEITO!$Y$149</f>
        <v>508113.00010746642</v>
      </c>
      <c r="K149" s="56">
        <f ca="1">EFEITO!$L$149*EFEITO!$Z$149</f>
        <v>0</v>
      </c>
      <c r="L149" s="56">
        <f>EFEITO!$N$149*EFEITO!$AA$149</f>
        <v>0</v>
      </c>
      <c r="M149" s="56">
        <f ca="1">$J$149-EFEITO!$K$149*EFEITO!$Y$149</f>
        <v>0</v>
      </c>
      <c r="N149" s="56">
        <f ca="1">$K$149-EFEITO!$M$149*EFEITO!$Z$149</f>
        <v>0</v>
      </c>
      <c r="O149" s="56">
        <f>$L$149-EFEITO!$O$149*EFEITO!$AA$149</f>
        <v>0</v>
      </c>
      <c r="P149" s="39"/>
      <c r="Q149" s="39"/>
      <c r="R149" s="39"/>
      <c r="S149" s="39"/>
      <c r="T149" s="39"/>
      <c r="U149" s="39"/>
      <c r="V149" s="39"/>
      <c r="W149" s="39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spans="1:36" ht="11.25" customHeight="1" x14ac:dyDescent="0.2">
      <c r="A150" s="35" t="s">
        <v>21</v>
      </c>
      <c r="B150" s="35" t="s">
        <v>39</v>
      </c>
      <c r="C150" s="35" t="s">
        <v>40</v>
      </c>
      <c r="D150" s="35" t="s">
        <v>38</v>
      </c>
      <c r="E150" s="35" t="s">
        <v>25</v>
      </c>
      <c r="F150" s="35" t="s">
        <v>25</v>
      </c>
      <c r="G150" s="35" t="s">
        <v>25</v>
      </c>
      <c r="H150" s="35" t="s">
        <v>34</v>
      </c>
      <c r="I150" s="55">
        <v>44562</v>
      </c>
      <c r="J150" s="56">
        <f ca="1">EFEITO!$J$150*EFEITO!$Y$150</f>
        <v>24701.075384134332</v>
      </c>
      <c r="K150" s="56">
        <f ca="1">EFEITO!$L$150*EFEITO!$Z$150</f>
        <v>3122.7675266463802</v>
      </c>
      <c r="L150" s="56">
        <f>EFEITO!$N$150*EFEITO!$AA$150</f>
        <v>12436.711361109543</v>
      </c>
      <c r="M150" s="56">
        <f ca="1">$J$150-EFEITO!$K$150*EFEITO!$Y$150</f>
        <v>0</v>
      </c>
      <c r="N150" s="56">
        <f ca="1">$K$150-EFEITO!$M$150*EFEITO!$Z$150</f>
        <v>0</v>
      </c>
      <c r="O150" s="56">
        <f>$L$150-EFEITO!$O$150*EFEITO!$AA$150</f>
        <v>0</v>
      </c>
      <c r="P150" s="39"/>
      <c r="Q150" s="39"/>
      <c r="R150" s="39"/>
      <c r="S150" s="39"/>
      <c r="T150" s="39"/>
      <c r="U150" s="39"/>
      <c r="V150" s="39"/>
      <c r="W150" s="39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spans="1:36" ht="11.25" customHeight="1" x14ac:dyDescent="0.2">
      <c r="A151" s="35" t="s">
        <v>21</v>
      </c>
      <c r="B151" s="35" t="s">
        <v>39</v>
      </c>
      <c r="C151" s="35" t="s">
        <v>40</v>
      </c>
      <c r="D151" s="35" t="s">
        <v>38</v>
      </c>
      <c r="E151" s="35" t="s">
        <v>25</v>
      </c>
      <c r="F151" s="35" t="s">
        <v>25</v>
      </c>
      <c r="G151" s="35" t="s">
        <v>25</v>
      </c>
      <c r="H151" s="35" t="s">
        <v>34</v>
      </c>
      <c r="I151" s="55">
        <v>44562</v>
      </c>
      <c r="J151" s="56">
        <f ca="1">EFEITO!$J$151*EFEITO!$Y$151</f>
        <v>514134.65530061361</v>
      </c>
      <c r="K151" s="56">
        <f ca="1">EFEITO!$L$151*EFEITO!$Z$151</f>
        <v>0</v>
      </c>
      <c r="L151" s="56">
        <f>EFEITO!$N$151*EFEITO!$AA$151</f>
        <v>0</v>
      </c>
      <c r="M151" s="56">
        <f ca="1">$J$151-EFEITO!$K$151*EFEITO!$Y$151</f>
        <v>0</v>
      </c>
      <c r="N151" s="56">
        <f ca="1">$K$151-EFEITO!$M$151*EFEITO!$Z$151</f>
        <v>0</v>
      </c>
      <c r="O151" s="56">
        <f>$L$151-EFEITO!$O$151*EFEITO!$AA$151</f>
        <v>0</v>
      </c>
      <c r="P151" s="39"/>
      <c r="Q151" s="39"/>
      <c r="R151" s="39"/>
      <c r="S151" s="39"/>
      <c r="T151" s="39"/>
      <c r="U151" s="39"/>
      <c r="V151" s="39"/>
      <c r="W151" s="39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spans="1:36" ht="11.25" customHeight="1" x14ac:dyDescent="0.2">
      <c r="A152" s="35" t="s">
        <v>21</v>
      </c>
      <c r="B152" s="35" t="s">
        <v>39</v>
      </c>
      <c r="C152" s="35" t="s">
        <v>40</v>
      </c>
      <c r="D152" s="35" t="s">
        <v>38</v>
      </c>
      <c r="E152" s="35" t="s">
        <v>25</v>
      </c>
      <c r="F152" s="35" t="s">
        <v>25</v>
      </c>
      <c r="G152" s="35" t="s">
        <v>25</v>
      </c>
      <c r="H152" s="35" t="s">
        <v>34</v>
      </c>
      <c r="I152" s="55">
        <v>44593</v>
      </c>
      <c r="J152" s="56">
        <f ca="1">EFEITO!$J$152*EFEITO!$Y$152</f>
        <v>28223.948490329276</v>
      </c>
      <c r="K152" s="56">
        <f ca="1">EFEITO!$L$152*EFEITO!$Z$152</f>
        <v>3775.7309246771056</v>
      </c>
      <c r="L152" s="56">
        <f>EFEITO!$N$152*EFEITO!$AA$152</f>
        <v>15037.198666483331</v>
      </c>
      <c r="M152" s="56">
        <f ca="1">$J$152-EFEITO!$K$152*EFEITO!$Y$152</f>
        <v>0</v>
      </c>
      <c r="N152" s="56">
        <f ca="1">$K$152-EFEITO!$M$152*EFEITO!$Z$152</f>
        <v>0</v>
      </c>
      <c r="O152" s="56">
        <f>$L$152-EFEITO!$O$152*EFEITO!$AA$152</f>
        <v>0</v>
      </c>
      <c r="P152" s="39"/>
      <c r="Q152" s="39"/>
      <c r="R152" s="39"/>
      <c r="S152" s="39"/>
      <c r="T152" s="39"/>
      <c r="U152" s="39"/>
      <c r="V152" s="39"/>
      <c r="W152" s="39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spans="1:36" ht="11.25" customHeight="1" x14ac:dyDescent="0.2">
      <c r="A153" s="35" t="s">
        <v>21</v>
      </c>
      <c r="B153" s="35" t="s">
        <v>39</v>
      </c>
      <c r="C153" s="35" t="s">
        <v>40</v>
      </c>
      <c r="D153" s="35" t="s">
        <v>38</v>
      </c>
      <c r="E153" s="35" t="s">
        <v>25</v>
      </c>
      <c r="F153" s="35" t="s">
        <v>25</v>
      </c>
      <c r="G153" s="35" t="s">
        <v>25</v>
      </c>
      <c r="H153" s="35" t="s">
        <v>34</v>
      </c>
      <c r="I153" s="55">
        <v>44593</v>
      </c>
      <c r="J153" s="56">
        <f ca="1">EFEITO!$J$153*EFEITO!$Y$153</f>
        <v>515486.45544601395</v>
      </c>
      <c r="K153" s="56">
        <f ca="1">EFEITO!$L$153*EFEITO!$Z$153</f>
        <v>0</v>
      </c>
      <c r="L153" s="56">
        <f>EFEITO!$N$153*EFEITO!$AA$153</f>
        <v>0</v>
      </c>
      <c r="M153" s="56">
        <f ca="1">$J$153-EFEITO!$K$153*EFEITO!$Y$153</f>
        <v>0</v>
      </c>
      <c r="N153" s="56">
        <f ca="1">$K$153-EFEITO!$M$153*EFEITO!$Z$153</f>
        <v>0</v>
      </c>
      <c r="O153" s="56">
        <f>$L$153-EFEITO!$O$153*EFEITO!$AA$153</f>
        <v>0</v>
      </c>
      <c r="P153" s="39"/>
      <c r="Q153" s="39"/>
      <c r="R153" s="39"/>
      <c r="S153" s="39"/>
      <c r="T153" s="39"/>
      <c r="U153" s="39"/>
      <c r="V153" s="39"/>
      <c r="W153" s="39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spans="1:36" ht="11.25" customHeight="1" x14ac:dyDescent="0.2">
      <c r="A154" s="35" t="s">
        <v>21</v>
      </c>
      <c r="B154" s="35" t="s">
        <v>39</v>
      </c>
      <c r="C154" s="35" t="s">
        <v>40</v>
      </c>
      <c r="D154" s="35" t="s">
        <v>38</v>
      </c>
      <c r="E154" s="35" t="s">
        <v>25</v>
      </c>
      <c r="F154" s="35" t="s">
        <v>25</v>
      </c>
      <c r="G154" s="35" t="s">
        <v>25</v>
      </c>
      <c r="H154" s="35" t="s">
        <v>34</v>
      </c>
      <c r="I154" s="55">
        <v>44621</v>
      </c>
      <c r="J154" s="56">
        <f ca="1">EFEITO!$J$154*EFEITO!$Y$154</f>
        <v>25356.493636449672</v>
      </c>
      <c r="K154" s="56">
        <f ca="1">EFEITO!$L$154*EFEITO!$Z$154</f>
        <v>2875.6771872868298</v>
      </c>
      <c r="L154" s="56">
        <f>EFEITO!$N$154*EFEITO!$AA$154</f>
        <v>11452.651163060316</v>
      </c>
      <c r="M154" s="56">
        <f ca="1">$J$154-EFEITO!$K$154*EFEITO!$Y$154</f>
        <v>0</v>
      </c>
      <c r="N154" s="56">
        <f ca="1">$K$154-EFEITO!$M$154*EFEITO!$Z$154</f>
        <v>0</v>
      </c>
      <c r="O154" s="56">
        <f>$L$154-EFEITO!$O$154*EFEITO!$AA$154</f>
        <v>0</v>
      </c>
      <c r="P154" s="39"/>
      <c r="Q154" s="39"/>
      <c r="R154" s="39"/>
      <c r="S154" s="39"/>
      <c r="T154" s="39"/>
      <c r="U154" s="39"/>
      <c r="V154" s="39"/>
      <c r="W154" s="39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spans="1:36" ht="11.25" customHeight="1" x14ac:dyDescent="0.2">
      <c r="A155" s="35" t="s">
        <v>21</v>
      </c>
      <c r="B155" s="35" t="s">
        <v>39</v>
      </c>
      <c r="C155" s="35" t="s">
        <v>40</v>
      </c>
      <c r="D155" s="35" t="s">
        <v>38</v>
      </c>
      <c r="E155" s="35" t="s">
        <v>25</v>
      </c>
      <c r="F155" s="35" t="s">
        <v>25</v>
      </c>
      <c r="G155" s="35" t="s">
        <v>25</v>
      </c>
      <c r="H155" s="35" t="s">
        <v>34</v>
      </c>
      <c r="I155" s="55">
        <v>44621</v>
      </c>
      <c r="J155" s="56">
        <f ca="1">EFEITO!$J$155*EFEITO!$Y$155</f>
        <v>425366.44575265486</v>
      </c>
      <c r="K155" s="56">
        <f ca="1">EFEITO!$L$155*EFEITO!$Z$155</f>
        <v>0</v>
      </c>
      <c r="L155" s="56">
        <f>EFEITO!$N$155*EFEITO!$AA$155</f>
        <v>0</v>
      </c>
      <c r="M155" s="56">
        <f ca="1">$J$155-EFEITO!$K$155*EFEITO!$Y$155</f>
        <v>0</v>
      </c>
      <c r="N155" s="56">
        <f ca="1">$K$155-EFEITO!$M$155*EFEITO!$Z$155</f>
        <v>0</v>
      </c>
      <c r="O155" s="56">
        <f>$L$155-EFEITO!$O$155*EFEITO!$AA$155</f>
        <v>0</v>
      </c>
      <c r="P155" s="39"/>
      <c r="Q155" s="39"/>
      <c r="R155" s="39"/>
      <c r="S155" s="39"/>
      <c r="T155" s="39"/>
      <c r="U155" s="39"/>
      <c r="V155" s="39"/>
      <c r="W155" s="39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spans="1:36" ht="11.25" customHeight="1" x14ac:dyDescent="0.2">
      <c r="A156" s="35" t="s">
        <v>21</v>
      </c>
      <c r="B156" s="35" t="s">
        <v>39</v>
      </c>
      <c r="C156" s="35" t="s">
        <v>40</v>
      </c>
      <c r="D156" s="35" t="s">
        <v>38</v>
      </c>
      <c r="E156" s="35" t="s">
        <v>25</v>
      </c>
      <c r="F156" s="35" t="s">
        <v>25</v>
      </c>
      <c r="G156" s="35" t="s">
        <v>25</v>
      </c>
      <c r="H156" s="35" t="s">
        <v>34</v>
      </c>
      <c r="I156" s="55">
        <v>44652</v>
      </c>
      <c r="J156" s="56">
        <f ca="1">EFEITO!$J$156*EFEITO!$Y$156</f>
        <v>26544.439218771222</v>
      </c>
      <c r="K156" s="56">
        <f ca="1">EFEITO!$L$156*EFEITO!$Z$156</f>
        <v>4014.027144197858</v>
      </c>
      <c r="L156" s="56">
        <f>EFEITO!$N$156*EFEITO!$AA$156</f>
        <v>15986.235466480384</v>
      </c>
      <c r="M156" s="56">
        <f ca="1">$J$156-EFEITO!$K$156*EFEITO!$Y$156</f>
        <v>0</v>
      </c>
      <c r="N156" s="56">
        <f ca="1">$K$156-EFEITO!$M$156*EFEITO!$Z$156</f>
        <v>0</v>
      </c>
      <c r="O156" s="56">
        <f>$L$156-EFEITO!$O$156*EFEITO!$AA$156</f>
        <v>0</v>
      </c>
      <c r="P156" s="39"/>
      <c r="Q156" s="39"/>
      <c r="R156" s="39"/>
      <c r="S156" s="39"/>
      <c r="T156" s="39"/>
      <c r="U156" s="39"/>
      <c r="V156" s="39"/>
      <c r="W156" s="39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spans="1:36" ht="11.25" customHeight="1" x14ac:dyDescent="0.2">
      <c r="A157" s="35" t="s">
        <v>21</v>
      </c>
      <c r="B157" s="35" t="s">
        <v>39</v>
      </c>
      <c r="C157" s="35" t="s">
        <v>40</v>
      </c>
      <c r="D157" s="35" t="s">
        <v>38</v>
      </c>
      <c r="E157" s="35" t="s">
        <v>25</v>
      </c>
      <c r="F157" s="35" t="s">
        <v>25</v>
      </c>
      <c r="G157" s="35" t="s">
        <v>25</v>
      </c>
      <c r="H157" s="35" t="s">
        <v>34</v>
      </c>
      <c r="I157" s="55">
        <v>44652</v>
      </c>
      <c r="J157" s="56">
        <f ca="1">EFEITO!$J$157*EFEITO!$Y$157</f>
        <v>424301.39109264244</v>
      </c>
      <c r="K157" s="56">
        <f ca="1">EFEITO!$L$157*EFEITO!$Z$157</f>
        <v>0</v>
      </c>
      <c r="L157" s="56">
        <f>EFEITO!$N$157*EFEITO!$AA$157</f>
        <v>0</v>
      </c>
      <c r="M157" s="56">
        <f ca="1">$J$157-EFEITO!$K$157*EFEITO!$Y$157</f>
        <v>0</v>
      </c>
      <c r="N157" s="56">
        <f ca="1">$K$157-EFEITO!$M$157*EFEITO!$Z$157</f>
        <v>0</v>
      </c>
      <c r="O157" s="56">
        <f>$L$157-EFEITO!$O$157*EFEITO!$AA$157</f>
        <v>0</v>
      </c>
      <c r="P157" s="39"/>
      <c r="Q157" s="39"/>
      <c r="R157" s="39"/>
      <c r="S157" s="39"/>
      <c r="T157" s="39"/>
      <c r="U157" s="39"/>
      <c r="V157" s="39"/>
      <c r="W157" s="39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spans="1:36" ht="11.25" customHeight="1" x14ac:dyDescent="0.2">
      <c r="A158" s="35" t="s">
        <v>21</v>
      </c>
      <c r="B158" s="35" t="s">
        <v>39</v>
      </c>
      <c r="C158" s="35" t="s">
        <v>40</v>
      </c>
      <c r="D158" s="35" t="s">
        <v>38</v>
      </c>
      <c r="E158" s="35" t="s">
        <v>25</v>
      </c>
      <c r="F158" s="35" t="s">
        <v>25</v>
      </c>
      <c r="G158" s="35" t="s">
        <v>25</v>
      </c>
      <c r="H158" s="35" t="s">
        <v>34</v>
      </c>
      <c r="I158" s="55">
        <v>44682</v>
      </c>
      <c r="J158" s="56">
        <f ca="1">EFEITO!$J$158*EFEITO!$Y$158</f>
        <v>26749.257422619765</v>
      </c>
      <c r="K158" s="56">
        <f ca="1">EFEITO!$L$158*EFEITO!$Z$158</f>
        <v>2964.2290884413892</v>
      </c>
      <c r="L158" s="56">
        <f>EFEITO!$N$158*EFEITO!$AA$158</f>
        <v>11805.317324002326</v>
      </c>
      <c r="M158" s="56">
        <f ca="1">$J$158-EFEITO!$K$158*EFEITO!$Y$158</f>
        <v>0</v>
      </c>
      <c r="N158" s="56">
        <f ca="1">$K$158-EFEITO!$M$158*EFEITO!$Z$158</f>
        <v>0</v>
      </c>
      <c r="O158" s="56">
        <f>$L$158-EFEITO!$O$158*EFEITO!$AA$158</f>
        <v>0</v>
      </c>
      <c r="P158" s="39"/>
      <c r="Q158" s="39"/>
      <c r="R158" s="39"/>
      <c r="S158" s="39"/>
      <c r="T158" s="39"/>
      <c r="U158" s="39"/>
      <c r="V158" s="39"/>
      <c r="W158" s="39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spans="1:36" ht="11.25" customHeight="1" x14ac:dyDescent="0.2">
      <c r="A159" s="35" t="s">
        <v>21</v>
      </c>
      <c r="B159" s="35" t="s">
        <v>39</v>
      </c>
      <c r="C159" s="35" t="s">
        <v>40</v>
      </c>
      <c r="D159" s="35" t="s">
        <v>38</v>
      </c>
      <c r="E159" s="35" t="s">
        <v>25</v>
      </c>
      <c r="F159" s="35" t="s">
        <v>25</v>
      </c>
      <c r="G159" s="35" t="s">
        <v>25</v>
      </c>
      <c r="H159" s="35" t="s">
        <v>34</v>
      </c>
      <c r="I159" s="55">
        <v>44682</v>
      </c>
      <c r="J159" s="56">
        <f ca="1">EFEITO!$J$159*EFEITO!$Y$159</f>
        <v>459612.04943613132</v>
      </c>
      <c r="K159" s="56">
        <f ca="1">EFEITO!$L$159*EFEITO!$Z$159</f>
        <v>0</v>
      </c>
      <c r="L159" s="56">
        <f>EFEITO!$N$159*EFEITO!$AA$159</f>
        <v>0</v>
      </c>
      <c r="M159" s="56">
        <f ca="1">$J$159-EFEITO!$K$159*EFEITO!$Y$159</f>
        <v>0</v>
      </c>
      <c r="N159" s="56">
        <f ca="1">$K$159-EFEITO!$M$159*EFEITO!$Z$159</f>
        <v>0</v>
      </c>
      <c r="O159" s="56">
        <f>$L$159-EFEITO!$O$159*EFEITO!$AA$159</f>
        <v>0</v>
      </c>
      <c r="P159" s="39"/>
      <c r="Q159" s="39"/>
      <c r="R159" s="39"/>
      <c r="S159" s="39"/>
      <c r="T159" s="39"/>
      <c r="U159" s="39"/>
      <c r="V159" s="39"/>
      <c r="W159" s="39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spans="1:36" ht="11.25" customHeight="1" x14ac:dyDescent="0.2">
      <c r="A160" s="35" t="s">
        <v>21</v>
      </c>
      <c r="B160" s="35" t="s">
        <v>39</v>
      </c>
      <c r="C160" s="35" t="s">
        <v>40</v>
      </c>
      <c r="D160" s="35" t="s">
        <v>38</v>
      </c>
      <c r="E160" s="35" t="s">
        <v>25</v>
      </c>
      <c r="F160" s="35" t="s">
        <v>25</v>
      </c>
      <c r="G160" s="35" t="s">
        <v>25</v>
      </c>
      <c r="H160" s="35" t="s">
        <v>34</v>
      </c>
      <c r="I160" s="55">
        <v>44713</v>
      </c>
      <c r="J160" s="56">
        <f ca="1">EFEITO!$J$160*EFEITO!$Y$160</f>
        <v>27732.384801092772</v>
      </c>
      <c r="K160" s="56">
        <f ca="1">EFEITO!$L$160*EFEITO!$Z$160</f>
        <v>3924.1316969568156</v>
      </c>
      <c r="L160" s="56">
        <f>EFEITO!$N$160*EFEITO!$AA$160</f>
        <v>15628.218508613736</v>
      </c>
      <c r="M160" s="56">
        <f ca="1">$J$160-EFEITO!$K$160*EFEITO!$Y$160</f>
        <v>0</v>
      </c>
      <c r="N160" s="56">
        <f ca="1">$K$160-EFEITO!$M$160*EFEITO!$Z$160</f>
        <v>0</v>
      </c>
      <c r="O160" s="56">
        <f>$L$160-EFEITO!$O$160*EFEITO!$AA$160</f>
        <v>0</v>
      </c>
      <c r="P160" s="39"/>
      <c r="Q160" s="39"/>
      <c r="R160" s="39"/>
      <c r="S160" s="39"/>
      <c r="T160" s="39"/>
      <c r="U160" s="39"/>
      <c r="V160" s="39"/>
      <c r="W160" s="39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spans="1:36" ht="11.25" customHeight="1" x14ac:dyDescent="0.2">
      <c r="A161" s="35" t="s">
        <v>21</v>
      </c>
      <c r="B161" s="35" t="s">
        <v>39</v>
      </c>
      <c r="C161" s="35" t="s">
        <v>40</v>
      </c>
      <c r="D161" s="35" t="s">
        <v>38</v>
      </c>
      <c r="E161" s="35" t="s">
        <v>25</v>
      </c>
      <c r="F161" s="35" t="s">
        <v>25</v>
      </c>
      <c r="G161" s="35" t="s">
        <v>25</v>
      </c>
      <c r="H161" s="35" t="s">
        <v>34</v>
      </c>
      <c r="I161" s="55">
        <v>44713</v>
      </c>
      <c r="J161" s="56">
        <f ca="1">EFEITO!$J$161*EFEITO!$Y$161</f>
        <v>450190.41205909837</v>
      </c>
      <c r="K161" s="56">
        <f ca="1">EFEITO!$L$161*EFEITO!$Z$161</f>
        <v>0</v>
      </c>
      <c r="L161" s="56">
        <f>EFEITO!$N$161*EFEITO!$AA$161</f>
        <v>0</v>
      </c>
      <c r="M161" s="56">
        <f ca="1">$J$161-EFEITO!$K$161*EFEITO!$Y$161</f>
        <v>0</v>
      </c>
      <c r="N161" s="56">
        <f ca="1">$K$161-EFEITO!$M$161*EFEITO!$Z$161</f>
        <v>0</v>
      </c>
      <c r="O161" s="56">
        <f>$L$161-EFEITO!$O$161*EFEITO!$AA$161</f>
        <v>0</v>
      </c>
      <c r="P161" s="39"/>
      <c r="Q161" s="39"/>
      <c r="R161" s="39"/>
      <c r="S161" s="39"/>
      <c r="T161" s="39"/>
      <c r="U161" s="39"/>
      <c r="V161" s="39"/>
      <c r="W161" s="39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spans="1:36" ht="11.25" customHeight="1" x14ac:dyDescent="0.2">
      <c r="A162" s="35" t="s">
        <v>21</v>
      </c>
      <c r="B162" s="35" t="s">
        <v>39</v>
      </c>
      <c r="C162" s="35" t="s">
        <v>40</v>
      </c>
      <c r="D162" s="35" t="s">
        <v>38</v>
      </c>
      <c r="E162" s="35" t="s">
        <v>25</v>
      </c>
      <c r="F162" s="35" t="s">
        <v>25</v>
      </c>
      <c r="G162" s="35" t="s">
        <v>25</v>
      </c>
      <c r="H162" s="35" t="s">
        <v>34</v>
      </c>
      <c r="I162" s="55">
        <v>44743</v>
      </c>
      <c r="J162" s="56">
        <f ca="1">EFEITO!$J$162*EFEITO!$Y$162</f>
        <v>26790.221063389472</v>
      </c>
      <c r="K162" s="56">
        <f ca="1">EFEITO!$L$162*EFEITO!$Z$162</f>
        <v>2171.2926163098018</v>
      </c>
      <c r="L162" s="56">
        <f>EFEITO!$N$162*EFEITO!$AA$162</f>
        <v>8647.3742662981331</v>
      </c>
      <c r="M162" s="56">
        <f ca="1">$J$162-EFEITO!$K$162*EFEITO!$Y$162</f>
        <v>0</v>
      </c>
      <c r="N162" s="56">
        <f ca="1">$K$162-EFEITO!$M$162*EFEITO!$Z$162</f>
        <v>0</v>
      </c>
      <c r="O162" s="56">
        <f>$L$162-EFEITO!$O$162*EFEITO!$AA$162</f>
        <v>0</v>
      </c>
      <c r="P162" s="39"/>
      <c r="Q162" s="39"/>
      <c r="R162" s="39"/>
      <c r="S162" s="39"/>
      <c r="T162" s="39"/>
      <c r="U162" s="39"/>
      <c r="V162" s="39"/>
      <c r="W162" s="39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1:36" ht="11.25" customHeight="1" x14ac:dyDescent="0.2">
      <c r="A163" s="35" t="s">
        <v>21</v>
      </c>
      <c r="B163" s="35" t="s">
        <v>39</v>
      </c>
      <c r="C163" s="35" t="s">
        <v>40</v>
      </c>
      <c r="D163" s="35" t="s">
        <v>38</v>
      </c>
      <c r="E163" s="35" t="s">
        <v>25</v>
      </c>
      <c r="F163" s="35" t="s">
        <v>25</v>
      </c>
      <c r="G163" s="35" t="s">
        <v>25</v>
      </c>
      <c r="H163" s="35" t="s">
        <v>34</v>
      </c>
      <c r="I163" s="55">
        <v>44743</v>
      </c>
      <c r="J163" s="56">
        <f ca="1">EFEITO!$J$163*EFEITO!$Y$163</f>
        <v>450804.86667064397</v>
      </c>
      <c r="K163" s="56">
        <f ca="1">EFEITO!$L$163*EFEITO!$Z$163</f>
        <v>0</v>
      </c>
      <c r="L163" s="56">
        <f>EFEITO!$N$163*EFEITO!$AA$163</f>
        <v>0</v>
      </c>
      <c r="M163" s="56">
        <f ca="1">$J$163-EFEITO!$K$163*EFEITO!$Y$163</f>
        <v>0</v>
      </c>
      <c r="N163" s="56">
        <f ca="1">$K$163-EFEITO!$M$163*EFEITO!$Z$163</f>
        <v>0</v>
      </c>
      <c r="O163" s="56">
        <f>$L$163-EFEITO!$O$163*EFEITO!$AA$163</f>
        <v>0</v>
      </c>
      <c r="P163" s="39"/>
      <c r="Q163" s="39"/>
      <c r="R163" s="39"/>
      <c r="S163" s="39"/>
      <c r="T163" s="39"/>
      <c r="U163" s="39"/>
      <c r="V163" s="39"/>
      <c r="W163" s="39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spans="1:36" ht="11.25" customHeight="1" x14ac:dyDescent="0.2">
      <c r="A164" s="35" t="s">
        <v>21</v>
      </c>
      <c r="B164" s="35" t="s">
        <v>39</v>
      </c>
      <c r="C164" s="35" t="s">
        <v>40</v>
      </c>
      <c r="D164" s="35" t="s">
        <v>38</v>
      </c>
      <c r="E164" s="35" t="s">
        <v>25</v>
      </c>
      <c r="F164" s="35" t="s">
        <v>25</v>
      </c>
      <c r="G164" s="35" t="s">
        <v>25</v>
      </c>
      <c r="H164" s="35" t="s">
        <v>34</v>
      </c>
      <c r="I164" s="55">
        <v>44774</v>
      </c>
      <c r="J164" s="56">
        <f ca="1">EFEITO!$J$164*EFEITO!$Y$164</f>
        <v>26626.36650031064</v>
      </c>
      <c r="K164" s="56">
        <f ca="1">EFEITO!$L$164*EFEITO!$Z$164</f>
        <v>3730.0503577366844</v>
      </c>
      <c r="L164" s="56">
        <f>EFEITO!$N$164*EFEITO!$AA$164</f>
        <v>14855.27157104566</v>
      </c>
      <c r="M164" s="56">
        <f ca="1">$J$164-EFEITO!$K$164*EFEITO!$Y$164</f>
        <v>0</v>
      </c>
      <c r="N164" s="56">
        <f ca="1">$K$164-EFEITO!$M$164*EFEITO!$Z$164</f>
        <v>0</v>
      </c>
      <c r="O164" s="56">
        <f>$L$164-EFEITO!$O$164*EFEITO!$AA$164</f>
        <v>0</v>
      </c>
      <c r="P164" s="39"/>
      <c r="Q164" s="39"/>
      <c r="R164" s="39"/>
      <c r="S164" s="39"/>
      <c r="T164" s="39"/>
      <c r="U164" s="39"/>
      <c r="V164" s="39"/>
      <c r="W164" s="39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spans="1:36" ht="11.25" customHeight="1" x14ac:dyDescent="0.2">
      <c r="A165" s="35" t="s">
        <v>21</v>
      </c>
      <c r="B165" s="35" t="s">
        <v>39</v>
      </c>
      <c r="C165" s="35" t="s">
        <v>40</v>
      </c>
      <c r="D165" s="35" t="s">
        <v>38</v>
      </c>
      <c r="E165" s="35" t="s">
        <v>25</v>
      </c>
      <c r="F165" s="35" t="s">
        <v>25</v>
      </c>
      <c r="G165" s="35" t="s">
        <v>25</v>
      </c>
      <c r="H165" s="35" t="s">
        <v>34</v>
      </c>
      <c r="I165" s="55">
        <v>44774</v>
      </c>
      <c r="J165" s="56">
        <f ca="1">EFEITO!$J$165*EFEITO!$Y$165</f>
        <v>429217.0279850075</v>
      </c>
      <c r="K165" s="56">
        <f ca="1">EFEITO!$L$165*EFEITO!$Z$165</f>
        <v>0</v>
      </c>
      <c r="L165" s="56">
        <f>EFEITO!$N$165*EFEITO!$AA$165</f>
        <v>0</v>
      </c>
      <c r="M165" s="56">
        <f ca="1">$J$165-EFEITO!$K$165*EFEITO!$Y$165</f>
        <v>0</v>
      </c>
      <c r="N165" s="56">
        <f ca="1">$K$165-EFEITO!$M$165*EFEITO!$Z$165</f>
        <v>0</v>
      </c>
      <c r="O165" s="56">
        <f>$L$165-EFEITO!$O$165*EFEITO!$AA$165</f>
        <v>0</v>
      </c>
      <c r="P165" s="39"/>
      <c r="Q165" s="39"/>
      <c r="R165" s="39"/>
      <c r="S165" s="39"/>
      <c r="T165" s="39"/>
      <c r="U165" s="39"/>
      <c r="V165" s="39"/>
      <c r="W165" s="39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spans="1:36" ht="11.25" customHeight="1" x14ac:dyDescent="0.2">
      <c r="A166" s="35" t="s">
        <v>21</v>
      </c>
      <c r="B166" s="35" t="s">
        <v>39</v>
      </c>
      <c r="C166" s="35" t="s">
        <v>40</v>
      </c>
      <c r="D166" s="35" t="s">
        <v>38</v>
      </c>
      <c r="E166" s="35" t="s">
        <v>25</v>
      </c>
      <c r="F166" s="35" t="s">
        <v>25</v>
      </c>
      <c r="G166" s="35" t="s">
        <v>25</v>
      </c>
      <c r="H166" s="35" t="s">
        <v>34</v>
      </c>
      <c r="I166" s="55">
        <v>44805</v>
      </c>
      <c r="J166" s="56">
        <f ca="1">EFEITO!$J$166*EFEITO!$Y$166</f>
        <v>26954.075626468308</v>
      </c>
      <c r="K166" s="56">
        <f ca="1">EFEITO!$L$166*EFEITO!$Z$166</f>
        <v>4118.2130361769468</v>
      </c>
      <c r="L166" s="56">
        <f>EFEITO!$N$166*EFEITO!$AA$166</f>
        <v>16401.165446181814</v>
      </c>
      <c r="M166" s="56">
        <f ca="1">$J$166-EFEITO!$K$166*EFEITO!$Y$166</f>
        <v>0</v>
      </c>
      <c r="N166" s="56">
        <f ca="1">$K$166-EFEITO!$M$166*EFEITO!$Z$166</f>
        <v>0</v>
      </c>
      <c r="O166" s="56">
        <f>$L$166-EFEITO!$O$166*EFEITO!$AA$166</f>
        <v>0</v>
      </c>
      <c r="P166" s="39"/>
      <c r="Q166" s="39"/>
      <c r="R166" s="39"/>
      <c r="S166" s="39"/>
      <c r="T166" s="39"/>
      <c r="U166" s="39"/>
      <c r="V166" s="39"/>
      <c r="W166" s="39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spans="1:36" ht="11.25" customHeight="1" x14ac:dyDescent="0.2">
      <c r="A167" s="35" t="s">
        <v>21</v>
      </c>
      <c r="B167" s="35" t="s">
        <v>39</v>
      </c>
      <c r="C167" s="35" t="s">
        <v>40</v>
      </c>
      <c r="D167" s="35" t="s">
        <v>38</v>
      </c>
      <c r="E167" s="35" t="s">
        <v>25</v>
      </c>
      <c r="F167" s="35" t="s">
        <v>25</v>
      </c>
      <c r="G167" s="35" t="s">
        <v>25</v>
      </c>
      <c r="H167" s="35" t="s">
        <v>34</v>
      </c>
      <c r="I167" s="55">
        <v>44805</v>
      </c>
      <c r="J167" s="56">
        <f ca="1">EFEITO!$J$167*EFEITO!$Y$167</f>
        <v>485992.63409182371</v>
      </c>
      <c r="K167" s="56">
        <f ca="1">EFEITO!$L$167*EFEITO!$Z$167</f>
        <v>0</v>
      </c>
      <c r="L167" s="56">
        <f>EFEITO!$N$167*EFEITO!$AA$167</f>
        <v>0</v>
      </c>
      <c r="M167" s="56">
        <f ca="1">$J$167-EFEITO!$K$167*EFEITO!$Y$167</f>
        <v>0</v>
      </c>
      <c r="N167" s="56">
        <f ca="1">$K$167-EFEITO!$M$167*EFEITO!$Z$167</f>
        <v>0</v>
      </c>
      <c r="O167" s="56">
        <f>$L$167-EFEITO!$O$167*EFEITO!$AA$167</f>
        <v>0</v>
      </c>
      <c r="P167" s="39"/>
      <c r="Q167" s="39"/>
      <c r="R167" s="39"/>
      <c r="S167" s="39"/>
      <c r="T167" s="39"/>
      <c r="U167" s="39"/>
      <c r="V167" s="39"/>
      <c r="W167" s="39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pans="1:36" ht="11.25" customHeight="1" x14ac:dyDescent="0.2">
      <c r="A168" s="35" t="s">
        <v>53</v>
      </c>
      <c r="B168" s="35" t="s">
        <v>39</v>
      </c>
      <c r="C168" s="35" t="s">
        <v>40</v>
      </c>
      <c r="D168" s="35" t="s">
        <v>38</v>
      </c>
      <c r="E168" s="35" t="s">
        <v>25</v>
      </c>
      <c r="F168" s="35" t="s">
        <v>25</v>
      </c>
      <c r="G168" s="35" t="s">
        <v>25</v>
      </c>
      <c r="H168" s="35" t="s">
        <v>34</v>
      </c>
      <c r="I168" s="55">
        <v>44835</v>
      </c>
      <c r="J168" s="56">
        <f ca="1">EFEITO!$J$168*EFEITO!$Y$168</f>
        <v>26954.075626468308</v>
      </c>
      <c r="K168" s="56">
        <f ca="1">EFEITO!$L$168*EFEITO!$Z$168</f>
        <v>4118.2130361769468</v>
      </c>
      <c r="L168" s="56">
        <f>EFEITO!$N$168*EFEITO!$AA$168</f>
        <v>16401.165446181814</v>
      </c>
      <c r="M168" s="56">
        <f ca="1">$J$168-EFEITO!$K$168*EFEITO!$Y$168</f>
        <v>0</v>
      </c>
      <c r="N168" s="56">
        <f ca="1">$K$168-EFEITO!$M$168*EFEITO!$Z$168</f>
        <v>0</v>
      </c>
      <c r="O168" s="56">
        <f>$L$168-EFEITO!$O$168*EFEITO!$AA$168</f>
        <v>0</v>
      </c>
      <c r="P168" s="39"/>
      <c r="Q168" s="39"/>
      <c r="R168" s="39"/>
      <c r="S168" s="39"/>
      <c r="T168" s="39"/>
      <c r="U168" s="39"/>
      <c r="V168" s="39"/>
      <c r="W168" s="39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spans="1:36" ht="11.25" customHeight="1" x14ac:dyDescent="0.2">
      <c r="A169" s="35" t="s">
        <v>53</v>
      </c>
      <c r="B169" s="35" t="s">
        <v>39</v>
      </c>
      <c r="C169" s="35" t="s">
        <v>40</v>
      </c>
      <c r="D169" s="35" t="s">
        <v>38</v>
      </c>
      <c r="E169" s="35" t="s">
        <v>25</v>
      </c>
      <c r="F169" s="35" t="s">
        <v>25</v>
      </c>
      <c r="G169" s="35" t="s">
        <v>25</v>
      </c>
      <c r="H169" s="35" t="s">
        <v>34</v>
      </c>
      <c r="I169" s="55">
        <v>44835</v>
      </c>
      <c r="J169" s="56">
        <f ca="1">EFEITO!$J$169*EFEITO!$Y$169</f>
        <v>485992.63409182371</v>
      </c>
      <c r="K169" s="56">
        <f ca="1">EFEITO!$L$169*EFEITO!$Z$169</f>
        <v>0</v>
      </c>
      <c r="L169" s="56">
        <f>EFEITO!$N$169*EFEITO!$AA$169</f>
        <v>0</v>
      </c>
      <c r="M169" s="56">
        <f ca="1">$J$169-EFEITO!$K$169*EFEITO!$Y$169</f>
        <v>0</v>
      </c>
      <c r="N169" s="56">
        <f ca="1">$K$169-EFEITO!$M$169*EFEITO!$Z$169</f>
        <v>0</v>
      </c>
      <c r="O169" s="56">
        <f>$L$169-EFEITO!$O$169*EFEITO!$AA$169</f>
        <v>0</v>
      </c>
      <c r="P169" s="39"/>
      <c r="Q169" s="39"/>
      <c r="R169" s="39"/>
      <c r="S169" s="39"/>
      <c r="T169" s="39"/>
      <c r="U169" s="39"/>
      <c r="V169" s="39"/>
      <c r="W169" s="39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spans="1:36" ht="11.25" customHeight="1" x14ac:dyDescent="0.2">
      <c r="A170" s="35" t="s">
        <v>21</v>
      </c>
      <c r="B170" s="35" t="s">
        <v>39</v>
      </c>
      <c r="C170" s="35" t="s">
        <v>40</v>
      </c>
      <c r="D170" s="35" t="s">
        <v>50</v>
      </c>
      <c r="E170" s="35" t="s">
        <v>51</v>
      </c>
      <c r="F170" s="35" t="s">
        <v>25</v>
      </c>
      <c r="G170" s="35" t="s">
        <v>25</v>
      </c>
      <c r="H170" s="35" t="s">
        <v>35</v>
      </c>
      <c r="I170" s="55">
        <v>44501</v>
      </c>
      <c r="J170" s="56">
        <f ca="1">EFEITO!$J$170*EFEITO!$Y$132</f>
        <v>3367.5503238996371</v>
      </c>
      <c r="K170" s="56">
        <f ca="1">EFEITO!$L$170*EFEITO!$Z$132</f>
        <v>11858.259899852041</v>
      </c>
      <c r="L170" s="56">
        <f>EFEITO!$N$170*EFEITO!$AA$132</f>
        <v>29046.542099323757</v>
      </c>
      <c r="M170" s="56">
        <f ca="1">$J$170-EFEITO!$K$170*EFEITO!$Y$170</f>
        <v>101.02650971698949</v>
      </c>
      <c r="N170" s="56">
        <f ca="1">$K$170-EFEITO!$M$170*EFEITO!$Z$170</f>
        <v>355.74779699556166</v>
      </c>
      <c r="O170" s="56">
        <f>$L$170-EFEITO!$O$170*EFEITO!$AA$170</f>
        <v>871.39626297971336</v>
      </c>
      <c r="P170" s="39"/>
      <c r="Q170" s="39"/>
      <c r="R170" s="39"/>
      <c r="S170" s="39"/>
      <c r="T170" s="39"/>
      <c r="U170" s="39"/>
      <c r="V170" s="39"/>
      <c r="W170" s="39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spans="1:36" ht="11.25" customHeight="1" x14ac:dyDescent="0.2">
      <c r="A171" s="35" t="s">
        <v>21</v>
      </c>
      <c r="B171" s="35" t="s">
        <v>39</v>
      </c>
      <c r="C171" s="35" t="s">
        <v>40</v>
      </c>
      <c r="D171" s="35" t="s">
        <v>50</v>
      </c>
      <c r="E171" s="35" t="s">
        <v>51</v>
      </c>
      <c r="F171" s="35" t="s">
        <v>25</v>
      </c>
      <c r="G171" s="35" t="s">
        <v>25</v>
      </c>
      <c r="H171" s="35" t="s">
        <v>35</v>
      </c>
      <c r="I171" s="55">
        <v>44531</v>
      </c>
      <c r="J171" s="56">
        <f ca="1">EFEITO!$J$171*EFEITO!$Y$132</f>
        <v>3367.5503238996371</v>
      </c>
      <c r="K171" s="56">
        <f ca="1">EFEITO!$L$171*EFEITO!$Z$132</f>
        <v>11440.172785849203</v>
      </c>
      <c r="L171" s="56">
        <f>EFEITO!$N$171*EFEITO!$AA$132</f>
        <v>28022.447075211512</v>
      </c>
      <c r="M171" s="56">
        <f ca="1">$J$171-EFEITO!$K$171*EFEITO!$Y$171</f>
        <v>101.02650971698949</v>
      </c>
      <c r="N171" s="56">
        <f ca="1">$K$171-EFEITO!$M$171*EFEITO!$Z$171</f>
        <v>343.20518357547735</v>
      </c>
      <c r="O171" s="56">
        <f>$L$171-EFEITO!$O$171*EFEITO!$AA$171</f>
        <v>840.67341225634664</v>
      </c>
      <c r="P171" s="39"/>
      <c r="Q171" s="39"/>
      <c r="R171" s="39"/>
      <c r="S171" s="39"/>
      <c r="T171" s="39"/>
      <c r="U171" s="39"/>
      <c r="V171" s="39"/>
      <c r="W171" s="39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spans="1:36" ht="11.25" customHeight="1" x14ac:dyDescent="0.2">
      <c r="A172" s="35" t="s">
        <v>21</v>
      </c>
      <c r="B172" s="35" t="s">
        <v>39</v>
      </c>
      <c r="C172" s="35" t="s">
        <v>40</v>
      </c>
      <c r="D172" s="35" t="s">
        <v>50</v>
      </c>
      <c r="E172" s="35" t="s">
        <v>51</v>
      </c>
      <c r="F172" s="35" t="s">
        <v>25</v>
      </c>
      <c r="G172" s="35" t="s">
        <v>25</v>
      </c>
      <c r="H172" s="35" t="s">
        <v>35</v>
      </c>
      <c r="I172" s="55">
        <v>44562</v>
      </c>
      <c r="J172" s="56">
        <f ca="1">EFEITO!$J$172*EFEITO!$Y$132</f>
        <v>3367.5503238996371</v>
      </c>
      <c r="K172" s="56">
        <f ca="1">EFEITO!$L$172*EFEITO!$Z$132</f>
        <v>12951.906414249181</v>
      </c>
      <c r="L172" s="56">
        <f>EFEITO!$N$172*EFEITO!$AA$132</f>
        <v>31725.404747848737</v>
      </c>
      <c r="M172" s="56">
        <f ca="1">$J$172-EFEITO!$K$172*EFEITO!$Y$172</f>
        <v>101.02650971698949</v>
      </c>
      <c r="N172" s="56">
        <f ca="1">$K$172-EFEITO!$M$172*EFEITO!$Z$172</f>
        <v>388.55719242747546</v>
      </c>
      <c r="O172" s="56">
        <f>$L$172-EFEITO!$O$172*EFEITO!$AA$172</f>
        <v>951.76214243546565</v>
      </c>
      <c r="P172" s="39"/>
      <c r="Q172" s="39"/>
      <c r="R172" s="39"/>
      <c r="S172" s="39"/>
      <c r="T172" s="39"/>
      <c r="U172" s="39"/>
      <c r="V172" s="39"/>
      <c r="W172" s="39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spans="1:36" ht="11.25" customHeight="1" x14ac:dyDescent="0.2">
      <c r="A173" s="35" t="s">
        <v>21</v>
      </c>
      <c r="B173" s="35" t="s">
        <v>39</v>
      </c>
      <c r="C173" s="35" t="s">
        <v>40</v>
      </c>
      <c r="D173" s="35" t="s">
        <v>50</v>
      </c>
      <c r="E173" s="35" t="s">
        <v>51</v>
      </c>
      <c r="F173" s="35" t="s">
        <v>25</v>
      </c>
      <c r="G173" s="35" t="s">
        <v>25</v>
      </c>
      <c r="H173" s="35" t="s">
        <v>35</v>
      </c>
      <c r="I173" s="55">
        <v>44593</v>
      </c>
      <c r="J173" s="56">
        <f ca="1">EFEITO!$J$173*EFEITO!$Y$132</f>
        <v>3367.5503238996371</v>
      </c>
      <c r="K173" s="56">
        <f ca="1">EFEITO!$L$173*EFEITO!$Z$132</f>
        <v>12643.623657677997</v>
      </c>
      <c r="L173" s="56">
        <f>EFEITO!$N$173*EFEITO!$AA$132</f>
        <v>30970.273038570529</v>
      </c>
      <c r="M173" s="56">
        <f ca="1">$J$173-EFEITO!$K$173*EFEITO!$Y$173</f>
        <v>101.02650971698949</v>
      </c>
      <c r="N173" s="56">
        <f ca="1">$K$173-EFEITO!$M$173*EFEITO!$Z$173</f>
        <v>379.30870973034143</v>
      </c>
      <c r="O173" s="56">
        <f>$L$173-EFEITO!$O$173*EFEITO!$AA$173</f>
        <v>929.10819115711638</v>
      </c>
      <c r="P173" s="39"/>
      <c r="Q173" s="39"/>
      <c r="R173" s="39"/>
      <c r="S173" s="39"/>
      <c r="T173" s="39"/>
      <c r="U173" s="39"/>
      <c r="V173" s="39"/>
      <c r="W173" s="39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spans="1:36" ht="11.25" customHeight="1" x14ac:dyDescent="0.2">
      <c r="A174" s="35" t="s">
        <v>21</v>
      </c>
      <c r="B174" s="35" t="s">
        <v>39</v>
      </c>
      <c r="C174" s="35" t="s">
        <v>40</v>
      </c>
      <c r="D174" s="35" t="s">
        <v>50</v>
      </c>
      <c r="E174" s="35" t="s">
        <v>51</v>
      </c>
      <c r="F174" s="35" t="s">
        <v>25</v>
      </c>
      <c r="G174" s="35" t="s">
        <v>25</v>
      </c>
      <c r="H174" s="35" t="s">
        <v>35</v>
      </c>
      <c r="I174" s="55">
        <v>44621</v>
      </c>
      <c r="J174" s="56">
        <f ca="1">EFEITO!$J$174*EFEITO!$Y$132</f>
        <v>3367.5503238996371</v>
      </c>
      <c r="K174" s="56">
        <f ca="1">EFEITO!$L$174*EFEITO!$Z$132</f>
        <v>11227.159660864992</v>
      </c>
      <c r="L174" s="56">
        <f>EFEITO!$N$174*EFEITO!$AA$132</f>
        <v>27500.676195266511</v>
      </c>
      <c r="M174" s="56">
        <f ca="1">$J$174-EFEITO!$K$174*EFEITO!$Y$174</f>
        <v>101.02650971698949</v>
      </c>
      <c r="N174" s="56">
        <f ca="1">$K$174-EFEITO!$M$174*EFEITO!$Z$174</f>
        <v>336.81478982595036</v>
      </c>
      <c r="O174" s="56">
        <f>$L$174-EFEITO!$O$174*EFEITO!$AA$174</f>
        <v>825.02028585799781</v>
      </c>
      <c r="P174" s="39"/>
      <c r="Q174" s="39"/>
      <c r="R174" s="39"/>
      <c r="S174" s="39"/>
      <c r="T174" s="39"/>
      <c r="U174" s="39"/>
      <c r="V174" s="39"/>
      <c r="W174" s="39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spans="1:36" ht="11.25" customHeight="1" x14ac:dyDescent="0.2">
      <c r="A175" s="35" t="s">
        <v>21</v>
      </c>
      <c r="B175" s="35" t="s">
        <v>39</v>
      </c>
      <c r="C175" s="35" t="s">
        <v>40</v>
      </c>
      <c r="D175" s="35" t="s">
        <v>50</v>
      </c>
      <c r="E175" s="35" t="s">
        <v>51</v>
      </c>
      <c r="F175" s="35" t="s">
        <v>25</v>
      </c>
      <c r="G175" s="35" t="s">
        <v>25</v>
      </c>
      <c r="H175" s="35" t="s">
        <v>35</v>
      </c>
      <c r="I175" s="55">
        <v>44652</v>
      </c>
      <c r="J175" s="56">
        <f ca="1">EFEITO!$J$175*EFEITO!$Y$132</f>
        <v>3367.5503238996371</v>
      </c>
      <c r="K175" s="56">
        <f ca="1">EFEITO!$L$175*EFEITO!$Z$132</f>
        <v>12103.395990358524</v>
      </c>
      <c r="L175" s="56">
        <f>EFEITO!$N$175*EFEITO!$AA$132</f>
        <v>29646.997464031105</v>
      </c>
      <c r="M175" s="56">
        <f ca="1">$J$175-EFEITO!$K$175*EFEITO!$Y$175</f>
        <v>101.02650971698949</v>
      </c>
      <c r="N175" s="56">
        <f ca="1">$K$175-EFEITO!$M$175*EFEITO!$Z$175</f>
        <v>363.10187971075538</v>
      </c>
      <c r="O175" s="56">
        <f>$L$175-EFEITO!$O$175*EFEITO!$AA$175</f>
        <v>889.40992392093176</v>
      </c>
      <c r="P175" s="39"/>
      <c r="Q175" s="39"/>
      <c r="R175" s="39"/>
      <c r="S175" s="39"/>
      <c r="T175" s="39"/>
      <c r="U175" s="39"/>
      <c r="V175" s="39"/>
      <c r="W175" s="39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spans="1:36" ht="11.25" customHeight="1" x14ac:dyDescent="0.2">
      <c r="A176" s="35" t="s">
        <v>21</v>
      </c>
      <c r="B176" s="35" t="s">
        <v>39</v>
      </c>
      <c r="C176" s="35" t="s">
        <v>40</v>
      </c>
      <c r="D176" s="35" t="s">
        <v>50</v>
      </c>
      <c r="E176" s="35" t="s">
        <v>51</v>
      </c>
      <c r="F176" s="35" t="s">
        <v>25</v>
      </c>
      <c r="G176" s="35" t="s">
        <v>25</v>
      </c>
      <c r="H176" s="35" t="s">
        <v>35</v>
      </c>
      <c r="I176" s="55">
        <v>44682</v>
      </c>
      <c r="J176" s="56">
        <f ca="1">EFEITO!$J$176*EFEITO!$Y$132</f>
        <v>3367.5503238996371</v>
      </c>
      <c r="K176" s="56">
        <f ca="1">EFEITO!$L$176*EFEITO!$Z$132</f>
        <v>12291.003880252874</v>
      </c>
      <c r="L176" s="56">
        <f>EFEITO!$N$176*EFEITO!$AA$132</f>
        <v>30106.538789487258</v>
      </c>
      <c r="M176" s="56">
        <f ca="1">$J$176-EFEITO!$K$176*EFEITO!$Y$176</f>
        <v>101.02650971698949</v>
      </c>
      <c r="N176" s="56">
        <f ca="1">$K$176-EFEITO!$M$176*EFEITO!$Z$176</f>
        <v>368.73011640758705</v>
      </c>
      <c r="O176" s="56">
        <f>$L$176-EFEITO!$O$176*EFEITO!$AA$176</f>
        <v>903.19616368462084</v>
      </c>
      <c r="P176" s="39"/>
      <c r="Q176" s="39"/>
      <c r="R176" s="39"/>
      <c r="S176" s="39"/>
      <c r="T176" s="39"/>
      <c r="U176" s="39"/>
      <c r="V176" s="39"/>
      <c r="W176" s="39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spans="1:36" ht="11.25" customHeight="1" x14ac:dyDescent="0.2">
      <c r="A177" s="35" t="s">
        <v>21</v>
      </c>
      <c r="B177" s="35" t="s">
        <v>39</v>
      </c>
      <c r="C177" s="35" t="s">
        <v>40</v>
      </c>
      <c r="D177" s="35" t="s">
        <v>50</v>
      </c>
      <c r="E177" s="35" t="s">
        <v>51</v>
      </c>
      <c r="F177" s="35" t="s">
        <v>25</v>
      </c>
      <c r="G177" s="35" t="s">
        <v>25</v>
      </c>
      <c r="H177" s="35" t="s">
        <v>35</v>
      </c>
      <c r="I177" s="55">
        <v>44713</v>
      </c>
      <c r="J177" s="56">
        <f ca="1">EFEITO!$J$177*EFEITO!$Y$132</f>
        <v>3367.5503238996371</v>
      </c>
      <c r="K177" s="56">
        <f ca="1">EFEITO!$L$177*EFEITO!$Z$132</f>
        <v>12082.021393528114</v>
      </c>
      <c r="L177" s="56">
        <f>EFEITO!$N$177*EFEITO!$AA$132</f>
        <v>29594.640867706352</v>
      </c>
      <c r="M177" s="56">
        <f ca="1">$J$177-EFEITO!$K$177*EFEITO!$Y$177</f>
        <v>101.02650971698949</v>
      </c>
      <c r="N177" s="56">
        <f ca="1">$K$177-EFEITO!$M$177*EFEITO!$Z$177</f>
        <v>362.46064180584472</v>
      </c>
      <c r="O177" s="56">
        <f>$L$177-EFEITO!$O$177*EFEITO!$AA$177</f>
        <v>887.83922603119208</v>
      </c>
      <c r="P177" s="39"/>
      <c r="Q177" s="39"/>
      <c r="R177" s="39"/>
      <c r="S177" s="39"/>
      <c r="T177" s="39"/>
      <c r="U177" s="39"/>
      <c r="V177" s="39"/>
      <c r="W177" s="39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spans="1:36" ht="11.25" customHeight="1" x14ac:dyDescent="0.2">
      <c r="A178" s="35" t="s">
        <v>21</v>
      </c>
      <c r="B178" s="35" t="s">
        <v>39</v>
      </c>
      <c r="C178" s="35" t="s">
        <v>40</v>
      </c>
      <c r="D178" s="35" t="s">
        <v>50</v>
      </c>
      <c r="E178" s="35" t="s">
        <v>51</v>
      </c>
      <c r="F178" s="35" t="s">
        <v>25</v>
      </c>
      <c r="G178" s="35" t="s">
        <v>25</v>
      </c>
      <c r="H178" s="35" t="s">
        <v>35</v>
      </c>
      <c r="I178" s="55">
        <v>44743</v>
      </c>
      <c r="J178" s="56">
        <f ca="1">EFEITO!$J$178*EFEITO!$Y$132</f>
        <v>3367.5503238996371</v>
      </c>
      <c r="K178" s="56">
        <f ca="1">EFEITO!$L$178*EFEITO!$Z$132</f>
        <v>11471.807189158211</v>
      </c>
      <c r="L178" s="56">
        <f>EFEITO!$N$178*EFEITO!$AA$132</f>
        <v>28099.934837772154</v>
      </c>
      <c r="M178" s="56">
        <f ca="1">$J$178-EFEITO!$K$178*EFEITO!$Y$178</f>
        <v>101.02650971698949</v>
      </c>
      <c r="N178" s="56">
        <f ca="1">$K$178-EFEITO!$M$178*EFEITO!$Z$178</f>
        <v>344.15421567474732</v>
      </c>
      <c r="O178" s="56">
        <f>$L$178-EFEITO!$O$178*EFEITO!$AA$178</f>
        <v>842.99804513316485</v>
      </c>
      <c r="P178" s="39"/>
      <c r="Q178" s="39"/>
      <c r="R178" s="39"/>
      <c r="S178" s="39"/>
      <c r="T178" s="39"/>
      <c r="U178" s="39"/>
      <c r="V178" s="39"/>
      <c r="W178" s="39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spans="1:36" ht="11.25" customHeight="1" x14ac:dyDescent="0.2">
      <c r="A179" s="35" t="s">
        <v>21</v>
      </c>
      <c r="B179" s="35" t="s">
        <v>39</v>
      </c>
      <c r="C179" s="35" t="s">
        <v>40</v>
      </c>
      <c r="D179" s="35" t="s">
        <v>50</v>
      </c>
      <c r="E179" s="35" t="s">
        <v>51</v>
      </c>
      <c r="F179" s="35" t="s">
        <v>25</v>
      </c>
      <c r="G179" s="35" t="s">
        <v>25</v>
      </c>
      <c r="H179" s="35" t="s">
        <v>35</v>
      </c>
      <c r="I179" s="55">
        <v>44774</v>
      </c>
      <c r="J179" s="56">
        <f ca="1">EFEITO!$J$179*EFEITO!$Y$132</f>
        <v>3367.5503238996371</v>
      </c>
      <c r="K179" s="56">
        <f ca="1">EFEITO!$L$179*EFEITO!$Z$132</f>
        <v>12034.752999394577</v>
      </c>
      <c r="L179" s="56">
        <f>EFEITO!$N$179*EFEITO!$AA$132</f>
        <v>29478.857994691032</v>
      </c>
      <c r="M179" s="56">
        <f ca="1">$J$179-EFEITO!$K$179*EFEITO!$Y$179</f>
        <v>101.02650971698949</v>
      </c>
      <c r="N179" s="56">
        <f ca="1">$K$179-EFEITO!$M$179*EFEITO!$Z$179</f>
        <v>361.04258998183832</v>
      </c>
      <c r="O179" s="56">
        <f>$L$179-EFEITO!$O$179*EFEITO!$AA$179</f>
        <v>884.36573984073402</v>
      </c>
      <c r="P179" s="39"/>
      <c r="Q179" s="39"/>
      <c r="R179" s="39"/>
      <c r="S179" s="39"/>
      <c r="T179" s="39"/>
      <c r="U179" s="39"/>
      <c r="V179" s="39"/>
      <c r="W179" s="39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pans="1:36" ht="11.25" customHeight="1" x14ac:dyDescent="0.2">
      <c r="A180" s="35" t="s">
        <v>21</v>
      </c>
      <c r="B180" s="35" t="s">
        <v>39</v>
      </c>
      <c r="C180" s="35" t="s">
        <v>40</v>
      </c>
      <c r="D180" s="35" t="s">
        <v>50</v>
      </c>
      <c r="E180" s="35" t="s">
        <v>51</v>
      </c>
      <c r="F180" s="35" t="s">
        <v>25</v>
      </c>
      <c r="G180" s="35" t="s">
        <v>25</v>
      </c>
      <c r="H180" s="35" t="s">
        <v>35</v>
      </c>
      <c r="I180" s="55">
        <v>44805</v>
      </c>
      <c r="J180" s="56">
        <f ca="1">EFEITO!$J$180*EFEITO!$Y$132</f>
        <v>3367.5503238996371</v>
      </c>
      <c r="K180" s="56">
        <f ca="1">EFEITO!$L$180*EFEITO!$Z$132</f>
        <v>11944.979692706851</v>
      </c>
      <c r="L180" s="56">
        <f>EFEITO!$N$180*EFEITO!$AA$132</f>
        <v>29258.960290127052</v>
      </c>
      <c r="M180" s="56">
        <f ca="1">$J$180-EFEITO!$K$180*EFEITO!$Y$180</f>
        <v>101.02650971698949</v>
      </c>
      <c r="N180" s="56">
        <f ca="1">$K$180-EFEITO!$M$180*EFEITO!$Z$180</f>
        <v>358.34939078120624</v>
      </c>
      <c r="O180" s="56">
        <f>$L$180-EFEITO!$O$180*EFEITO!$AA$180</f>
        <v>877.76880870381137</v>
      </c>
      <c r="P180" s="39"/>
      <c r="Q180" s="39"/>
      <c r="R180" s="39"/>
      <c r="S180" s="39"/>
      <c r="T180" s="39"/>
      <c r="U180" s="39"/>
      <c r="V180" s="39"/>
      <c r="W180" s="39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spans="1:36" ht="11.25" customHeight="1" x14ac:dyDescent="0.2">
      <c r="A181" s="35" t="s">
        <v>53</v>
      </c>
      <c r="B181" s="35" t="s">
        <v>39</v>
      </c>
      <c r="C181" s="35" t="s">
        <v>40</v>
      </c>
      <c r="D181" s="35" t="s">
        <v>50</v>
      </c>
      <c r="E181" s="35" t="s">
        <v>51</v>
      </c>
      <c r="F181" s="35" t="s">
        <v>25</v>
      </c>
      <c r="G181" s="35" t="s">
        <v>25</v>
      </c>
      <c r="H181" s="35" t="s">
        <v>35</v>
      </c>
      <c r="I181" s="55">
        <v>44835</v>
      </c>
      <c r="J181" s="56">
        <f ca="1">EFEITO!$J$181*EFEITO!$Y$132</f>
        <v>3367.5503238996371</v>
      </c>
      <c r="K181" s="56">
        <f ca="1">EFEITO!$L$181*EFEITO!$Z$132</f>
        <v>11944.979692706851</v>
      </c>
      <c r="L181" s="56">
        <f>EFEITO!$N$181*EFEITO!$AA$132</f>
        <v>29258.960290127052</v>
      </c>
      <c r="M181" s="56">
        <f ca="1">$J$181-EFEITO!$K$181*EFEITO!$Y$181</f>
        <v>101.02650971698949</v>
      </c>
      <c r="N181" s="56">
        <f ca="1">$K$181-EFEITO!$M$181*EFEITO!$Z$181</f>
        <v>358.34939078120624</v>
      </c>
      <c r="O181" s="56">
        <f>$L$181-EFEITO!$O$181*EFEITO!$AA$181</f>
        <v>877.76880870381137</v>
      </c>
      <c r="P181" s="39"/>
      <c r="Q181" s="39"/>
      <c r="R181" s="39"/>
      <c r="S181" s="39"/>
      <c r="T181" s="39"/>
      <c r="U181" s="39"/>
      <c r="V181" s="39"/>
      <c r="W181" s="39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pans="1:36" ht="11.25" customHeight="1" x14ac:dyDescent="0.2">
      <c r="A182" s="35" t="s">
        <v>21</v>
      </c>
      <c r="B182" s="35" t="s">
        <v>39</v>
      </c>
      <c r="C182" s="35" t="s">
        <v>40</v>
      </c>
      <c r="D182" s="35" t="s">
        <v>50</v>
      </c>
      <c r="E182" s="35" t="s">
        <v>51</v>
      </c>
      <c r="F182" s="35" t="s">
        <v>25</v>
      </c>
      <c r="G182" s="35" t="s">
        <v>25</v>
      </c>
      <c r="H182" s="35" t="s">
        <v>34</v>
      </c>
      <c r="I182" s="55">
        <v>44501</v>
      </c>
      <c r="J182" s="56">
        <f ca="1">EFEITO!$J$182*EFEITO!$Y$168</f>
        <v>8602.3645616388221</v>
      </c>
      <c r="K182" s="56">
        <f ca="1">EFEITO!$L$182*EFEITO!$Z$168</f>
        <v>1047.9659474567193</v>
      </c>
      <c r="L182" s="56">
        <f>EFEITO!$N$182*EFEITO!$AA$168</f>
        <v>4173.621601217189</v>
      </c>
      <c r="M182" s="56">
        <f ca="1">$J$182-EFEITO!$K$182*EFEITO!$Y$182</f>
        <v>258.07093684916617</v>
      </c>
      <c r="N182" s="56">
        <f ca="1">$K$182-EFEITO!$M$182*EFEITO!$Z$182</f>
        <v>31.438978423701542</v>
      </c>
      <c r="O182" s="56">
        <f>$L$182-EFEITO!$O$182*EFEITO!$AA$182</f>
        <v>125.20864803651557</v>
      </c>
      <c r="P182" s="39"/>
      <c r="Q182" s="39"/>
      <c r="R182" s="39"/>
      <c r="S182" s="39"/>
      <c r="T182" s="39"/>
      <c r="U182" s="39"/>
      <c r="V182" s="39"/>
      <c r="W182" s="39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spans="1:36" ht="11.25" customHeight="1" x14ac:dyDescent="0.2">
      <c r="A183" s="35" t="s">
        <v>21</v>
      </c>
      <c r="B183" s="35" t="s">
        <v>39</v>
      </c>
      <c r="C183" s="35" t="s">
        <v>40</v>
      </c>
      <c r="D183" s="35" t="s">
        <v>50</v>
      </c>
      <c r="E183" s="35" t="s">
        <v>51</v>
      </c>
      <c r="F183" s="35" t="s">
        <v>25</v>
      </c>
      <c r="G183" s="35" t="s">
        <v>25</v>
      </c>
      <c r="H183" s="35" t="s">
        <v>34</v>
      </c>
      <c r="I183" s="55">
        <v>44531</v>
      </c>
      <c r="J183" s="56">
        <f ca="1">EFEITO!$J$183*EFEITO!$Y$168</f>
        <v>8602.3645616388221</v>
      </c>
      <c r="K183" s="56">
        <f ca="1">EFEITO!$L$183*EFEITO!$Z$168</f>
        <v>1064.6992032610983</v>
      </c>
      <c r="L183" s="56">
        <f>EFEITO!$N$183*EFEITO!$AA$168</f>
        <v>4240.2633447331282</v>
      </c>
      <c r="M183" s="56">
        <f ca="1">$J$183-EFEITO!$K$183*EFEITO!$Y$183</f>
        <v>258.07093684916617</v>
      </c>
      <c r="N183" s="56">
        <f ca="1">$K$183-EFEITO!$M$183*EFEITO!$Z$183</f>
        <v>31.940976097833072</v>
      </c>
      <c r="O183" s="56">
        <f>$L$183-EFEITO!$O$183*EFEITO!$AA$183</f>
        <v>127.20790034199399</v>
      </c>
      <c r="P183" s="39"/>
      <c r="Q183" s="39"/>
      <c r="R183" s="39"/>
      <c r="S183" s="39"/>
      <c r="T183" s="39"/>
      <c r="U183" s="39"/>
      <c r="V183" s="39"/>
      <c r="W183" s="39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spans="1:36" ht="11.25" customHeight="1" x14ac:dyDescent="0.2">
      <c r="A184" s="35" t="s">
        <v>21</v>
      </c>
      <c r="B184" s="35" t="s">
        <v>39</v>
      </c>
      <c r="C184" s="35" t="s">
        <v>40</v>
      </c>
      <c r="D184" s="35" t="s">
        <v>50</v>
      </c>
      <c r="E184" s="35" t="s">
        <v>51</v>
      </c>
      <c r="F184" s="35" t="s">
        <v>25</v>
      </c>
      <c r="G184" s="35" t="s">
        <v>25</v>
      </c>
      <c r="H184" s="35" t="s">
        <v>34</v>
      </c>
      <c r="I184" s="55">
        <v>44562</v>
      </c>
      <c r="J184" s="56">
        <f ca="1">EFEITO!$J$184*EFEITO!$Y$168</f>
        <v>8602.3645616388221</v>
      </c>
      <c r="K184" s="56">
        <f ca="1">EFEITO!$L$184*EFEITO!$Z$168</f>
        <v>1361.5007478205187</v>
      </c>
      <c r="L184" s="56">
        <f>EFEITO!$N$184*EFEITO!$AA$168</f>
        <v>5422.3030289939406</v>
      </c>
      <c r="M184" s="56">
        <f ca="1">$J$184-EFEITO!$K$184*EFEITO!$Y$184</f>
        <v>258.07093684916617</v>
      </c>
      <c r="N184" s="56">
        <f ca="1">$K$184-EFEITO!$M$184*EFEITO!$Z$184</f>
        <v>40.845022434615657</v>
      </c>
      <c r="O184" s="56">
        <f>$L$184-EFEITO!$O$184*EFEITO!$AA$184</f>
        <v>162.66909086981832</v>
      </c>
      <c r="P184" s="39"/>
      <c r="Q184" s="39"/>
      <c r="R184" s="39"/>
      <c r="S184" s="39"/>
      <c r="T184" s="39"/>
      <c r="U184" s="39"/>
      <c r="V184" s="39"/>
      <c r="W184" s="39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spans="1:36" ht="11.25" customHeight="1" x14ac:dyDescent="0.2">
      <c r="A185" s="35" t="s">
        <v>21</v>
      </c>
      <c r="B185" s="35" t="s">
        <v>39</v>
      </c>
      <c r="C185" s="35" t="s">
        <v>40</v>
      </c>
      <c r="D185" s="35" t="s">
        <v>50</v>
      </c>
      <c r="E185" s="35" t="s">
        <v>51</v>
      </c>
      <c r="F185" s="35" t="s">
        <v>25</v>
      </c>
      <c r="G185" s="35" t="s">
        <v>25</v>
      </c>
      <c r="H185" s="35" t="s">
        <v>34</v>
      </c>
      <c r="I185" s="55">
        <v>44593</v>
      </c>
      <c r="J185" s="56">
        <f ca="1">EFEITO!$J$185*EFEITO!$Y$168</f>
        <v>8602.3645616388221</v>
      </c>
      <c r="K185" s="56">
        <f ca="1">EFEITO!$L$185*EFEITO!$Z$168</f>
        <v>1192.213940923664</v>
      </c>
      <c r="L185" s="56">
        <f>EFEITO!$N$185*EFEITO!$AA$168</f>
        <v>4748.1026164896248</v>
      </c>
      <c r="M185" s="56">
        <f ca="1">$J$185-EFEITO!$K$185*EFEITO!$Y$185</f>
        <v>258.07093684916617</v>
      </c>
      <c r="N185" s="56">
        <f ca="1">$K$185-EFEITO!$M$185*EFEITO!$Z$185</f>
        <v>35.766418227710119</v>
      </c>
      <c r="O185" s="56">
        <f>$L$185-EFEITO!$O$185*EFEITO!$AA$185</f>
        <v>142.44307849468896</v>
      </c>
      <c r="P185" s="39"/>
      <c r="Q185" s="39"/>
      <c r="R185" s="39"/>
      <c r="S185" s="39"/>
      <c r="T185" s="39"/>
      <c r="U185" s="39"/>
      <c r="V185" s="39"/>
      <c r="W185" s="39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spans="1:36" ht="11.25" customHeight="1" x14ac:dyDescent="0.2">
      <c r="A186" s="35" t="s">
        <v>21</v>
      </c>
      <c r="B186" s="35" t="s">
        <v>39</v>
      </c>
      <c r="C186" s="35" t="s">
        <v>40</v>
      </c>
      <c r="D186" s="35" t="s">
        <v>50</v>
      </c>
      <c r="E186" s="35" t="s">
        <v>51</v>
      </c>
      <c r="F186" s="35" t="s">
        <v>25</v>
      </c>
      <c r="G186" s="35" t="s">
        <v>25</v>
      </c>
      <c r="H186" s="35" t="s">
        <v>34</v>
      </c>
      <c r="I186" s="55">
        <v>44621</v>
      </c>
      <c r="J186" s="56">
        <f ca="1">EFEITO!$J$186*EFEITO!$Y$168</f>
        <v>8602.3645616388221</v>
      </c>
      <c r="K186" s="56">
        <f ca="1">EFEITO!$L$186*EFEITO!$Z$168</f>
        <v>1279.9108582050071</v>
      </c>
      <c r="L186" s="56">
        <f>EFEITO!$N$186*EFEITO!$AA$168</f>
        <v>5097.3637248432315</v>
      </c>
      <c r="M186" s="56">
        <f ca="1">$J$186-EFEITO!$K$186*EFEITO!$Y$186</f>
        <v>258.07093684916617</v>
      </c>
      <c r="N186" s="56">
        <f ca="1">$K$186-EFEITO!$M$186*EFEITO!$Z$186</f>
        <v>38.397325746150273</v>
      </c>
      <c r="O186" s="56">
        <f>$L$186-EFEITO!$O$186*EFEITO!$AA$186</f>
        <v>152.92091174529742</v>
      </c>
      <c r="P186" s="39"/>
      <c r="Q186" s="39"/>
      <c r="R186" s="39"/>
      <c r="S186" s="39"/>
      <c r="T186" s="39"/>
      <c r="U186" s="39"/>
      <c r="V186" s="39"/>
      <c r="W186" s="39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spans="1:36" ht="11.25" customHeight="1" x14ac:dyDescent="0.2">
      <c r="A187" s="35" t="s">
        <v>21</v>
      </c>
      <c r="B187" s="35" t="s">
        <v>39</v>
      </c>
      <c r="C187" s="35" t="s">
        <v>40</v>
      </c>
      <c r="D187" s="35" t="s">
        <v>50</v>
      </c>
      <c r="E187" s="35" t="s">
        <v>51</v>
      </c>
      <c r="F187" s="35" t="s">
        <v>25</v>
      </c>
      <c r="G187" s="35" t="s">
        <v>25</v>
      </c>
      <c r="H187" s="35" t="s">
        <v>34</v>
      </c>
      <c r="I187" s="55">
        <v>44652</v>
      </c>
      <c r="J187" s="56">
        <f ca="1">EFEITO!$J$187*EFEITO!$Y$168</f>
        <v>8602.3645616388221</v>
      </c>
      <c r="K187" s="56">
        <f ca="1">EFEITO!$L$187*EFEITO!$Z$168</f>
        <v>1196.3667197364296</v>
      </c>
      <c r="L187" s="56">
        <f>EFEITO!$N$187*EFEITO!$AA$168</f>
        <v>4764.6414433475957</v>
      </c>
      <c r="M187" s="56">
        <f ca="1">$J$187-EFEITO!$K$187*EFEITO!$Y$187</f>
        <v>258.07093684916617</v>
      </c>
      <c r="N187" s="56">
        <f ca="1">$K$187-EFEITO!$M$187*EFEITO!$Z$187</f>
        <v>35.891001592093062</v>
      </c>
      <c r="O187" s="56">
        <f>$L$187-EFEITO!$O$187*EFEITO!$AA$187</f>
        <v>142.93924330042773</v>
      </c>
      <c r="P187" s="39"/>
      <c r="Q187" s="39"/>
      <c r="R187" s="39"/>
      <c r="S187" s="39"/>
      <c r="T187" s="39"/>
      <c r="U187" s="39"/>
      <c r="V187" s="39"/>
      <c r="W187" s="39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spans="1:36" ht="11.25" customHeight="1" x14ac:dyDescent="0.2">
      <c r="A188" s="35" t="s">
        <v>21</v>
      </c>
      <c r="B188" s="35" t="s">
        <v>39</v>
      </c>
      <c r="C188" s="35" t="s">
        <v>40</v>
      </c>
      <c r="D188" s="35" t="s">
        <v>50</v>
      </c>
      <c r="E188" s="35" t="s">
        <v>51</v>
      </c>
      <c r="F188" s="35" t="s">
        <v>25</v>
      </c>
      <c r="G188" s="35" t="s">
        <v>25</v>
      </c>
      <c r="H188" s="35" t="s">
        <v>34</v>
      </c>
      <c r="I188" s="55">
        <v>44682</v>
      </c>
      <c r="J188" s="56">
        <f ca="1">EFEITO!$J$188*EFEITO!$Y$168</f>
        <v>8602.3645616388221</v>
      </c>
      <c r="K188" s="56">
        <f ca="1">EFEITO!$L$188*EFEITO!$Z$168</f>
        <v>1243.3908327633337</v>
      </c>
      <c r="L188" s="56">
        <f>EFEITO!$N$188*EFEITO!$AA$168</f>
        <v>4951.9193357099057</v>
      </c>
      <c r="M188" s="56">
        <f ca="1">$J$188-EFEITO!$K$188*EFEITO!$Y$188</f>
        <v>258.07093684916617</v>
      </c>
      <c r="N188" s="56">
        <f ca="1">$K$188-EFEITO!$M$188*EFEITO!$Z$188</f>
        <v>37.301724982900168</v>
      </c>
      <c r="O188" s="56">
        <f>$L$188-EFEITO!$O$188*EFEITO!$AA$188</f>
        <v>148.55758007129771</v>
      </c>
      <c r="P188" s="39"/>
      <c r="Q188" s="39"/>
      <c r="R188" s="39"/>
      <c r="S188" s="39"/>
      <c r="T188" s="39"/>
      <c r="U188" s="39"/>
      <c r="V188" s="39"/>
      <c r="W188" s="39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spans="1:36" ht="11.25" customHeight="1" x14ac:dyDescent="0.2">
      <c r="A189" s="35" t="s">
        <v>21</v>
      </c>
      <c r="B189" s="35" t="s">
        <v>39</v>
      </c>
      <c r="C189" s="35" t="s">
        <v>40</v>
      </c>
      <c r="D189" s="35" t="s">
        <v>50</v>
      </c>
      <c r="E189" s="35" t="s">
        <v>51</v>
      </c>
      <c r="F189" s="35" t="s">
        <v>25</v>
      </c>
      <c r="G189" s="35" t="s">
        <v>25</v>
      </c>
      <c r="H189" s="35" t="s">
        <v>34</v>
      </c>
      <c r="I189" s="55">
        <v>44713</v>
      </c>
      <c r="J189" s="56">
        <f ca="1">EFEITO!$J$189*EFEITO!$Y$168</f>
        <v>8602.3645616388221</v>
      </c>
      <c r="K189" s="56">
        <f ca="1">EFEITO!$L$189*EFEITO!$Z$168</f>
        <v>1333.041998897743</v>
      </c>
      <c r="L189" s="56">
        <f>EFEITO!$N$189*EFEITO!$AA$168</f>
        <v>5308.963421408439</v>
      </c>
      <c r="M189" s="56">
        <f ca="1">$J$189-EFEITO!$K$189*EFEITO!$Y$189</f>
        <v>258.07093684916617</v>
      </c>
      <c r="N189" s="56">
        <f ca="1">$K$189-EFEITO!$M$189*EFEITO!$Z$189</f>
        <v>39.991259966932375</v>
      </c>
      <c r="O189" s="56">
        <f>$L$189-EFEITO!$O$189*EFEITO!$AA$189</f>
        <v>159.26890264225403</v>
      </c>
      <c r="P189" s="39"/>
      <c r="Q189" s="39"/>
      <c r="R189" s="39"/>
      <c r="S189" s="39"/>
      <c r="T189" s="39"/>
      <c r="U189" s="39"/>
      <c r="V189" s="39"/>
      <c r="W189" s="39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spans="1:36" ht="11.25" customHeight="1" x14ac:dyDescent="0.2">
      <c r="A190" s="35" t="s">
        <v>21</v>
      </c>
      <c r="B190" s="35" t="s">
        <v>39</v>
      </c>
      <c r="C190" s="35" t="s">
        <v>40</v>
      </c>
      <c r="D190" s="35" t="s">
        <v>50</v>
      </c>
      <c r="E190" s="35" t="s">
        <v>51</v>
      </c>
      <c r="F190" s="35" t="s">
        <v>25</v>
      </c>
      <c r="G190" s="35" t="s">
        <v>25</v>
      </c>
      <c r="H190" s="35" t="s">
        <v>34</v>
      </c>
      <c r="I190" s="55">
        <v>44743</v>
      </c>
      <c r="J190" s="56">
        <f ca="1">EFEITO!$J$190*EFEITO!$Y$168</f>
        <v>8602.3645616388221</v>
      </c>
      <c r="K190" s="56">
        <f ca="1">EFEITO!$L$190*EFEITO!$Z$168</f>
        <v>1314.4766347936147</v>
      </c>
      <c r="L190" s="56">
        <f>EFEITO!$N$190*EFEITO!$AA$168</f>
        <v>5235.0251366316306</v>
      </c>
      <c r="M190" s="56">
        <f ca="1">$J$190-EFEITO!$K$190*EFEITO!$Y$190</f>
        <v>258.07093684916617</v>
      </c>
      <c r="N190" s="56">
        <f ca="1">$K$190-EFEITO!$M$190*EFEITO!$Z$190</f>
        <v>39.434299043808551</v>
      </c>
      <c r="O190" s="56">
        <f>$L$190-EFEITO!$O$190*EFEITO!$AA$190</f>
        <v>157.05075409894835</v>
      </c>
      <c r="P190" s="39"/>
      <c r="Q190" s="39"/>
      <c r="R190" s="39"/>
      <c r="S190" s="39"/>
      <c r="T190" s="39"/>
      <c r="U190" s="39"/>
      <c r="V190" s="39"/>
      <c r="W190" s="39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spans="1:36" ht="11.25" customHeight="1" x14ac:dyDescent="0.2">
      <c r="A191" s="35" t="s">
        <v>21</v>
      </c>
      <c r="B191" s="35" t="s">
        <v>39</v>
      </c>
      <c r="C191" s="35" t="s">
        <v>40</v>
      </c>
      <c r="D191" s="35" t="s">
        <v>50</v>
      </c>
      <c r="E191" s="35" t="s">
        <v>51</v>
      </c>
      <c r="F191" s="35" t="s">
        <v>25</v>
      </c>
      <c r="G191" s="35" t="s">
        <v>25</v>
      </c>
      <c r="H191" s="35" t="s">
        <v>34</v>
      </c>
      <c r="I191" s="55">
        <v>44774</v>
      </c>
      <c r="J191" s="56">
        <f ca="1">EFEITO!$J$191*EFEITO!$Y$168</f>
        <v>8602.3645616388221</v>
      </c>
      <c r="K191" s="56">
        <f ca="1">EFEITO!$L$191*EFEITO!$Z$168</f>
        <v>1240.8258811436845</v>
      </c>
      <c r="L191" s="56">
        <f>EFEITO!$N$191*EFEITO!$AA$168</f>
        <v>4941.704177944689</v>
      </c>
      <c r="M191" s="56">
        <f ca="1">$J$191-EFEITO!$K$191*EFEITO!$Y$191</f>
        <v>258.07093684916617</v>
      </c>
      <c r="N191" s="56">
        <f ca="1">$K$191-EFEITO!$M$191*EFEITO!$Z$191</f>
        <v>37.22477643431057</v>
      </c>
      <c r="O191" s="56">
        <f>$L$191-EFEITO!$O$191*EFEITO!$AA$191</f>
        <v>148.2511253383409</v>
      </c>
      <c r="P191" s="39"/>
      <c r="Q191" s="39"/>
      <c r="R191" s="39"/>
      <c r="S191" s="39"/>
      <c r="T191" s="39"/>
      <c r="U191" s="39"/>
      <c r="V191" s="39"/>
      <c r="W191" s="39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spans="1:36" ht="11.25" customHeight="1" x14ac:dyDescent="0.2">
      <c r="A192" s="35" t="s">
        <v>21</v>
      </c>
      <c r="B192" s="35" t="s">
        <v>39</v>
      </c>
      <c r="C192" s="35" t="s">
        <v>40</v>
      </c>
      <c r="D192" s="35" t="s">
        <v>50</v>
      </c>
      <c r="E192" s="35" t="s">
        <v>51</v>
      </c>
      <c r="F192" s="35" t="s">
        <v>25</v>
      </c>
      <c r="G192" s="35" t="s">
        <v>25</v>
      </c>
      <c r="H192" s="35" t="s">
        <v>34</v>
      </c>
      <c r="I192" s="55">
        <v>44805</v>
      </c>
      <c r="J192" s="56">
        <f ca="1">EFEITO!$J$192*EFEITO!$Y$168</f>
        <v>8602.3645616388221</v>
      </c>
      <c r="K192" s="56">
        <f ca="1">EFEITO!$L$192*EFEITO!$Z$168</f>
        <v>1320.5836624594463</v>
      </c>
      <c r="L192" s="56">
        <f>EFEITO!$N$192*EFEITO!$AA$168</f>
        <v>5259.3469408345281</v>
      </c>
      <c r="M192" s="56">
        <f ca="1">$J$192-EFEITO!$K$192*EFEITO!$Y$192</f>
        <v>258.07093684916617</v>
      </c>
      <c r="N192" s="56">
        <f ca="1">$K$192-EFEITO!$M$192*EFEITO!$Z$192</f>
        <v>39.617509873783547</v>
      </c>
      <c r="O192" s="56">
        <f>$L$192-EFEITO!$O$192*EFEITO!$AA$192</f>
        <v>157.7804082250359</v>
      </c>
      <c r="P192" s="39"/>
      <c r="Q192" s="39"/>
      <c r="R192" s="39"/>
      <c r="S192" s="39"/>
      <c r="T192" s="39"/>
      <c r="U192" s="39"/>
      <c r="V192" s="39"/>
      <c r="W192" s="39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spans="1:36" ht="11.25" customHeight="1" x14ac:dyDescent="0.2">
      <c r="A193" s="35" t="s">
        <v>53</v>
      </c>
      <c r="B193" s="35" t="s">
        <v>39</v>
      </c>
      <c r="C193" s="35" t="s">
        <v>40</v>
      </c>
      <c r="D193" s="35" t="s">
        <v>50</v>
      </c>
      <c r="E193" s="35" t="s">
        <v>51</v>
      </c>
      <c r="F193" s="35" t="s">
        <v>25</v>
      </c>
      <c r="G193" s="35" t="s">
        <v>25</v>
      </c>
      <c r="H193" s="35" t="s">
        <v>34</v>
      </c>
      <c r="I193" s="55">
        <v>44835</v>
      </c>
      <c r="J193" s="56">
        <f ca="1">EFEITO!$J$193*EFEITO!$Y$168</f>
        <v>8602.3645616388221</v>
      </c>
      <c r="K193" s="56">
        <f ca="1">EFEITO!$L$193*EFEITO!$Z$168</f>
        <v>1320.5836624594463</v>
      </c>
      <c r="L193" s="56">
        <f>EFEITO!$N$193*EFEITO!$AA$168</f>
        <v>5259.3469408345281</v>
      </c>
      <c r="M193" s="56">
        <f ca="1">$J$193-EFEITO!$K$193*EFEITO!$Y$193</f>
        <v>258.07093684916617</v>
      </c>
      <c r="N193" s="56">
        <f ca="1">$K$193-EFEITO!$M$193*EFEITO!$Z$193</f>
        <v>39.617509873783547</v>
      </c>
      <c r="O193" s="56">
        <f>$L$193-EFEITO!$O$193*EFEITO!$AA$193</f>
        <v>157.7804082250359</v>
      </c>
      <c r="P193" s="39"/>
      <c r="Q193" s="39"/>
      <c r="R193" s="39"/>
      <c r="S193" s="39"/>
      <c r="T193" s="39"/>
      <c r="U193" s="39"/>
      <c r="V193" s="39"/>
      <c r="W193" s="39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spans="1:36" ht="11.25" customHeight="1" x14ac:dyDescent="0.2">
      <c r="A194" s="35" t="s">
        <v>21</v>
      </c>
      <c r="B194" s="35" t="s">
        <v>39</v>
      </c>
      <c r="C194" s="35" t="s">
        <v>57</v>
      </c>
      <c r="D194" s="35" t="s">
        <v>25</v>
      </c>
      <c r="E194" s="35" t="s">
        <v>25</v>
      </c>
      <c r="F194" s="35" t="s">
        <v>25</v>
      </c>
      <c r="G194" s="35" t="s">
        <v>58</v>
      </c>
      <c r="H194" s="35" t="s">
        <v>25</v>
      </c>
      <c r="I194" s="55">
        <v>44501</v>
      </c>
      <c r="J194" s="56">
        <f ca="1">EFEITO!$J$194*EFEITO!$Y$194</f>
        <v>32860.05279693257</v>
      </c>
      <c r="K194" s="56">
        <f>EFEITO!$L$194*EFEITO!$Z$194</f>
        <v>0</v>
      </c>
      <c r="L194" s="56">
        <f>EFEITO!$N$194*EFEITO!$AA$194</f>
        <v>0</v>
      </c>
      <c r="M194" s="56">
        <f ca="1">$J$194-EFEITO!$K$194*EFEITO!$Y$194</f>
        <v>0</v>
      </c>
      <c r="N194" s="56">
        <f>$K$194-EFEITO!$M$194*EFEITO!$Z$194</f>
        <v>0</v>
      </c>
      <c r="O194" s="56">
        <f>$L$194-EFEITO!$O$194*EFEITO!$AA$194</f>
        <v>0</v>
      </c>
      <c r="P194" s="39"/>
      <c r="Q194" s="39"/>
      <c r="R194" s="39"/>
      <c r="S194" s="39"/>
      <c r="T194" s="39"/>
      <c r="U194" s="39"/>
      <c r="V194" s="39"/>
      <c r="W194" s="39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spans="1:36" ht="11.25" customHeight="1" x14ac:dyDescent="0.2">
      <c r="A195" s="35" t="s">
        <v>21</v>
      </c>
      <c r="B195" s="35" t="s">
        <v>39</v>
      </c>
      <c r="C195" s="35" t="s">
        <v>57</v>
      </c>
      <c r="D195" s="35" t="s">
        <v>25</v>
      </c>
      <c r="E195" s="35" t="s">
        <v>25</v>
      </c>
      <c r="F195" s="35" t="s">
        <v>25</v>
      </c>
      <c r="G195" s="35" t="s">
        <v>58</v>
      </c>
      <c r="H195" s="35" t="s">
        <v>25</v>
      </c>
      <c r="I195" s="55">
        <v>44531</v>
      </c>
      <c r="J195" s="56">
        <f ca="1">EFEITO!$J$195*EFEITO!$Y$195</f>
        <v>32860.05279693257</v>
      </c>
      <c r="K195" s="56">
        <f>EFEITO!$L$195*EFEITO!$Z$195</f>
        <v>0</v>
      </c>
      <c r="L195" s="56">
        <f>EFEITO!$N$195*EFEITO!$AA$195</f>
        <v>0</v>
      </c>
      <c r="M195" s="56">
        <f ca="1">$J$195-EFEITO!$K$195*EFEITO!$Y$195</f>
        <v>0</v>
      </c>
      <c r="N195" s="56">
        <f>$K$195-EFEITO!$M$195*EFEITO!$Z$195</f>
        <v>0</v>
      </c>
      <c r="O195" s="56">
        <f>$L$195-EFEITO!$O$195*EFEITO!$AA$195</f>
        <v>0</v>
      </c>
      <c r="P195" s="39"/>
      <c r="Q195" s="39"/>
      <c r="R195" s="39"/>
      <c r="S195" s="39"/>
      <c r="T195" s="39"/>
      <c r="U195" s="39"/>
      <c r="V195" s="39"/>
      <c r="W195" s="39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spans="1:36" ht="11.25" customHeight="1" x14ac:dyDescent="0.2">
      <c r="A196" s="35" t="s">
        <v>21</v>
      </c>
      <c r="B196" s="35" t="s">
        <v>39</v>
      </c>
      <c r="C196" s="35" t="s">
        <v>57</v>
      </c>
      <c r="D196" s="35" t="s">
        <v>25</v>
      </c>
      <c r="E196" s="35" t="s">
        <v>25</v>
      </c>
      <c r="F196" s="35" t="s">
        <v>25</v>
      </c>
      <c r="G196" s="35" t="s">
        <v>58</v>
      </c>
      <c r="H196" s="35" t="s">
        <v>25</v>
      </c>
      <c r="I196" s="55">
        <v>44562</v>
      </c>
      <c r="J196" s="56">
        <f ca="1">EFEITO!$J$196*EFEITO!$Y$196</f>
        <v>32860.05279693257</v>
      </c>
      <c r="K196" s="56">
        <f>EFEITO!$L$196*EFEITO!$Z$196</f>
        <v>0</v>
      </c>
      <c r="L196" s="56">
        <f>EFEITO!$N$196*EFEITO!$AA$196</f>
        <v>0</v>
      </c>
      <c r="M196" s="56">
        <f ca="1">$J$196-EFEITO!$K$196*EFEITO!$Y$196</f>
        <v>0</v>
      </c>
      <c r="N196" s="56">
        <f>$K$196-EFEITO!$M$196*EFEITO!$Z$196</f>
        <v>0</v>
      </c>
      <c r="O196" s="56">
        <f>$L$196-EFEITO!$O$196*EFEITO!$AA$196</f>
        <v>0</v>
      </c>
      <c r="P196" s="39"/>
      <c r="Q196" s="39"/>
      <c r="R196" s="39"/>
      <c r="S196" s="39"/>
      <c r="T196" s="39"/>
      <c r="U196" s="39"/>
      <c r="V196" s="39"/>
      <c r="W196" s="39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spans="1:36" ht="11.25" customHeight="1" x14ac:dyDescent="0.2">
      <c r="A197" s="35" t="s">
        <v>21</v>
      </c>
      <c r="B197" s="35" t="s">
        <v>39</v>
      </c>
      <c r="C197" s="35" t="s">
        <v>57</v>
      </c>
      <c r="D197" s="35" t="s">
        <v>25</v>
      </c>
      <c r="E197" s="35" t="s">
        <v>25</v>
      </c>
      <c r="F197" s="35" t="s">
        <v>25</v>
      </c>
      <c r="G197" s="35" t="s">
        <v>58</v>
      </c>
      <c r="H197" s="35" t="s">
        <v>25</v>
      </c>
      <c r="I197" s="55">
        <v>44593</v>
      </c>
      <c r="J197" s="56">
        <f ca="1">EFEITO!$J$197*EFEITO!$Y$197</f>
        <v>32860.05279693257</v>
      </c>
      <c r="K197" s="56">
        <f>EFEITO!$L$197*EFEITO!$Z$197</f>
        <v>0</v>
      </c>
      <c r="L197" s="56">
        <f>EFEITO!$N$197*EFEITO!$AA$197</f>
        <v>0</v>
      </c>
      <c r="M197" s="56">
        <f ca="1">$J$197-EFEITO!$K$197*EFEITO!$Y$197</f>
        <v>0</v>
      </c>
      <c r="N197" s="56">
        <f>$K$197-EFEITO!$M$197*EFEITO!$Z$197</f>
        <v>0</v>
      </c>
      <c r="O197" s="56">
        <f>$L$197-EFEITO!$O$197*EFEITO!$AA$197</f>
        <v>0</v>
      </c>
      <c r="P197" s="39"/>
      <c r="Q197" s="39"/>
      <c r="R197" s="39"/>
      <c r="S197" s="39"/>
      <c r="T197" s="39"/>
      <c r="U197" s="39"/>
      <c r="V197" s="39"/>
      <c r="W197" s="39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spans="1:36" ht="11.25" customHeight="1" x14ac:dyDescent="0.2">
      <c r="A198" s="35" t="s">
        <v>21</v>
      </c>
      <c r="B198" s="35" t="s">
        <v>39</v>
      </c>
      <c r="C198" s="35" t="s">
        <v>57</v>
      </c>
      <c r="D198" s="35" t="s">
        <v>25</v>
      </c>
      <c r="E198" s="35" t="s">
        <v>25</v>
      </c>
      <c r="F198" s="35" t="s">
        <v>25</v>
      </c>
      <c r="G198" s="35" t="s">
        <v>58</v>
      </c>
      <c r="H198" s="35" t="s">
        <v>25</v>
      </c>
      <c r="I198" s="55">
        <v>44621</v>
      </c>
      <c r="J198" s="56">
        <f ca="1">EFEITO!$J$198*EFEITO!$Y$198</f>
        <v>32860.05279693257</v>
      </c>
      <c r="K198" s="56">
        <f>EFEITO!$L$198*EFEITO!$Z$198</f>
        <v>0</v>
      </c>
      <c r="L198" s="56">
        <f>EFEITO!$N$198*EFEITO!$AA$198</f>
        <v>0</v>
      </c>
      <c r="M198" s="56">
        <f ca="1">$J$198-EFEITO!$K$198*EFEITO!$Y$198</f>
        <v>0</v>
      </c>
      <c r="N198" s="56">
        <f>$K$198-EFEITO!$M$198*EFEITO!$Z$198</f>
        <v>0</v>
      </c>
      <c r="O198" s="56">
        <f>$L$198-EFEITO!$O$198*EFEITO!$AA$198</f>
        <v>0</v>
      </c>
      <c r="P198" s="39"/>
      <c r="Q198" s="39"/>
      <c r="R198" s="39"/>
      <c r="S198" s="39"/>
      <c r="T198" s="39"/>
      <c r="U198" s="39"/>
      <c r="V198" s="39"/>
      <c r="W198" s="39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spans="1:36" ht="11.25" customHeight="1" x14ac:dyDescent="0.2">
      <c r="A199" s="35" t="s">
        <v>21</v>
      </c>
      <c r="B199" s="35" t="s">
        <v>39</v>
      </c>
      <c r="C199" s="35" t="s">
        <v>57</v>
      </c>
      <c r="D199" s="35" t="s">
        <v>25</v>
      </c>
      <c r="E199" s="35" t="s">
        <v>25</v>
      </c>
      <c r="F199" s="35" t="s">
        <v>25</v>
      </c>
      <c r="G199" s="35" t="s">
        <v>58</v>
      </c>
      <c r="H199" s="35" t="s">
        <v>25</v>
      </c>
      <c r="I199" s="55">
        <v>44652</v>
      </c>
      <c r="J199" s="56">
        <f ca="1">EFEITO!$J$199*EFEITO!$Y$199</f>
        <v>32860.05279693257</v>
      </c>
      <c r="K199" s="56">
        <f>EFEITO!$L$199*EFEITO!$Z$199</f>
        <v>0</v>
      </c>
      <c r="L199" s="56">
        <f>EFEITO!$N$199*EFEITO!$AA$199</f>
        <v>0</v>
      </c>
      <c r="M199" s="56">
        <f ca="1">$J$199-EFEITO!$K$199*EFEITO!$Y$199</f>
        <v>0</v>
      </c>
      <c r="N199" s="56">
        <f>$K$199-EFEITO!$M$199*EFEITO!$Z$199</f>
        <v>0</v>
      </c>
      <c r="O199" s="56">
        <f>$L$199-EFEITO!$O$199*EFEITO!$AA$199</f>
        <v>0</v>
      </c>
      <c r="P199" s="39"/>
      <c r="Q199" s="39"/>
      <c r="R199" s="39"/>
      <c r="S199" s="39"/>
      <c r="T199" s="39"/>
      <c r="U199" s="39"/>
      <c r="V199" s="39"/>
      <c r="W199" s="39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spans="1:36" ht="11.25" customHeight="1" x14ac:dyDescent="0.2">
      <c r="A200" s="35" t="s">
        <v>21</v>
      </c>
      <c r="B200" s="35" t="s">
        <v>39</v>
      </c>
      <c r="C200" s="35" t="s">
        <v>57</v>
      </c>
      <c r="D200" s="35" t="s">
        <v>25</v>
      </c>
      <c r="E200" s="35" t="s">
        <v>25</v>
      </c>
      <c r="F200" s="35" t="s">
        <v>25</v>
      </c>
      <c r="G200" s="35" t="s">
        <v>58</v>
      </c>
      <c r="H200" s="35" t="s">
        <v>25</v>
      </c>
      <c r="I200" s="55">
        <v>44682</v>
      </c>
      <c r="J200" s="56">
        <f ca="1">EFEITO!$J$200*EFEITO!$Y$200</f>
        <v>32860.05279693257</v>
      </c>
      <c r="K200" s="56">
        <f>EFEITO!$L$200*EFEITO!$Z$200</f>
        <v>0</v>
      </c>
      <c r="L200" s="56">
        <f>EFEITO!$N$200*EFEITO!$AA$200</f>
        <v>0</v>
      </c>
      <c r="M200" s="56">
        <f ca="1">$J$200-EFEITO!$K$200*EFEITO!$Y$200</f>
        <v>0</v>
      </c>
      <c r="N200" s="56">
        <f>$K$200-EFEITO!$M$200*EFEITO!$Z$200</f>
        <v>0</v>
      </c>
      <c r="O200" s="56">
        <f>$L$200-EFEITO!$O$200*EFEITO!$AA$200</f>
        <v>0</v>
      </c>
      <c r="P200" s="39"/>
      <c r="Q200" s="39"/>
      <c r="R200" s="39"/>
      <c r="S200" s="39"/>
      <c r="T200" s="39"/>
      <c r="U200" s="39"/>
      <c r="V200" s="39"/>
      <c r="W200" s="39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spans="1:36" ht="11.25" customHeight="1" x14ac:dyDescent="0.2">
      <c r="A201" s="35" t="s">
        <v>21</v>
      </c>
      <c r="B201" s="35" t="s">
        <v>39</v>
      </c>
      <c r="C201" s="35" t="s">
        <v>57</v>
      </c>
      <c r="D201" s="35" t="s">
        <v>25</v>
      </c>
      <c r="E201" s="35" t="s">
        <v>25</v>
      </c>
      <c r="F201" s="35" t="s">
        <v>25</v>
      </c>
      <c r="G201" s="35" t="s">
        <v>58</v>
      </c>
      <c r="H201" s="35" t="s">
        <v>25</v>
      </c>
      <c r="I201" s="55">
        <v>44713</v>
      </c>
      <c r="J201" s="56">
        <f ca="1">EFEITO!$J$201*EFEITO!$Y$201</f>
        <v>32860.05279693257</v>
      </c>
      <c r="K201" s="56">
        <f>EFEITO!$L$201*EFEITO!$Z$201</f>
        <v>0</v>
      </c>
      <c r="L201" s="56">
        <f>EFEITO!$N$201*EFEITO!$AA$201</f>
        <v>0</v>
      </c>
      <c r="M201" s="56">
        <f ca="1">$J$201-EFEITO!$K$201*EFEITO!$Y$201</f>
        <v>0</v>
      </c>
      <c r="N201" s="56">
        <f>$K$201-EFEITO!$M$201*EFEITO!$Z$201</f>
        <v>0</v>
      </c>
      <c r="O201" s="56">
        <f>$L$201-EFEITO!$O$201*EFEITO!$AA$201</f>
        <v>0</v>
      </c>
      <c r="P201" s="39"/>
      <c r="Q201" s="39"/>
      <c r="R201" s="39"/>
      <c r="S201" s="39"/>
      <c r="T201" s="39"/>
      <c r="U201" s="39"/>
      <c r="V201" s="39"/>
      <c r="W201" s="39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spans="1:36" ht="11.25" customHeight="1" x14ac:dyDescent="0.2">
      <c r="A202" s="35" t="s">
        <v>21</v>
      </c>
      <c r="B202" s="35" t="s">
        <v>39</v>
      </c>
      <c r="C202" s="35" t="s">
        <v>57</v>
      </c>
      <c r="D202" s="35" t="s">
        <v>25</v>
      </c>
      <c r="E202" s="35" t="s">
        <v>25</v>
      </c>
      <c r="F202" s="35" t="s">
        <v>25</v>
      </c>
      <c r="G202" s="35" t="s">
        <v>58</v>
      </c>
      <c r="H202" s="35" t="s">
        <v>25</v>
      </c>
      <c r="I202" s="55">
        <v>44743</v>
      </c>
      <c r="J202" s="56">
        <f ca="1">EFEITO!$J$202*EFEITO!$Y$202</f>
        <v>32860.05279693257</v>
      </c>
      <c r="K202" s="56">
        <f>EFEITO!$L$202*EFEITO!$Z$202</f>
        <v>0</v>
      </c>
      <c r="L202" s="56">
        <f>EFEITO!$N$202*EFEITO!$AA$202</f>
        <v>0</v>
      </c>
      <c r="M202" s="56">
        <f ca="1">$J$202-EFEITO!$K$202*EFEITO!$Y$202</f>
        <v>0</v>
      </c>
      <c r="N202" s="56">
        <f>$K$202-EFEITO!$M$202*EFEITO!$Z$202</f>
        <v>0</v>
      </c>
      <c r="O202" s="56">
        <f>$L$202-EFEITO!$O$202*EFEITO!$AA$202</f>
        <v>0</v>
      </c>
      <c r="P202" s="39"/>
      <c r="Q202" s="39"/>
      <c r="R202" s="39"/>
      <c r="S202" s="39"/>
      <c r="T202" s="39"/>
      <c r="U202" s="39"/>
      <c r="V202" s="39"/>
      <c r="W202" s="39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spans="1:36" ht="11.25" customHeight="1" x14ac:dyDescent="0.2">
      <c r="A203" s="35" t="s">
        <v>21</v>
      </c>
      <c r="B203" s="35" t="s">
        <v>39</v>
      </c>
      <c r="C203" s="35" t="s">
        <v>57</v>
      </c>
      <c r="D203" s="35" t="s">
        <v>25</v>
      </c>
      <c r="E203" s="35" t="s">
        <v>25</v>
      </c>
      <c r="F203" s="35" t="s">
        <v>25</v>
      </c>
      <c r="G203" s="35" t="s">
        <v>58</v>
      </c>
      <c r="H203" s="35" t="s">
        <v>25</v>
      </c>
      <c r="I203" s="55">
        <v>44774</v>
      </c>
      <c r="J203" s="56">
        <f ca="1">EFEITO!$J$203*EFEITO!$Y$203</f>
        <v>32860.05279693257</v>
      </c>
      <c r="K203" s="56">
        <f>EFEITO!$L$203*EFEITO!$Z$203</f>
        <v>0</v>
      </c>
      <c r="L203" s="56">
        <f>EFEITO!$N$203*EFEITO!$AA$203</f>
        <v>0</v>
      </c>
      <c r="M203" s="56">
        <f ca="1">$J$203-EFEITO!$K$203*EFEITO!$Y$203</f>
        <v>0</v>
      </c>
      <c r="N203" s="56">
        <f>$K$203-EFEITO!$M$203*EFEITO!$Z$203</f>
        <v>0</v>
      </c>
      <c r="O203" s="56">
        <f>$L$203-EFEITO!$O$203*EFEITO!$AA$203</f>
        <v>0</v>
      </c>
      <c r="P203" s="39"/>
      <c r="Q203" s="39"/>
      <c r="R203" s="39"/>
      <c r="S203" s="39"/>
      <c r="T203" s="39"/>
      <c r="U203" s="39"/>
      <c r="V203" s="39"/>
      <c r="W203" s="39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pans="1:36" ht="11.25" customHeight="1" x14ac:dyDescent="0.2">
      <c r="A204" s="35" t="s">
        <v>21</v>
      </c>
      <c r="B204" s="35" t="s">
        <v>39</v>
      </c>
      <c r="C204" s="35" t="s">
        <v>57</v>
      </c>
      <c r="D204" s="35" t="s">
        <v>25</v>
      </c>
      <c r="E204" s="35" t="s">
        <v>25</v>
      </c>
      <c r="F204" s="35" t="s">
        <v>25</v>
      </c>
      <c r="G204" s="35" t="s">
        <v>58</v>
      </c>
      <c r="H204" s="35" t="s">
        <v>25</v>
      </c>
      <c r="I204" s="55">
        <v>44805</v>
      </c>
      <c r="J204" s="56">
        <f ca="1">EFEITO!$J$204*EFEITO!$Y$204</f>
        <v>32860.05279693257</v>
      </c>
      <c r="K204" s="56">
        <f>EFEITO!$L$204*EFEITO!$Z$204</f>
        <v>0</v>
      </c>
      <c r="L204" s="56">
        <f>EFEITO!$N$204*EFEITO!$AA$204</f>
        <v>0</v>
      </c>
      <c r="M204" s="56">
        <f ca="1">$J$204-EFEITO!$K$204*EFEITO!$Y$204</f>
        <v>0</v>
      </c>
      <c r="N204" s="56">
        <f>$K$204-EFEITO!$M$204*EFEITO!$Z$204</f>
        <v>0</v>
      </c>
      <c r="O204" s="56">
        <f>$L$204-EFEITO!$O$204*EFEITO!$AA$204</f>
        <v>0</v>
      </c>
      <c r="P204" s="39"/>
      <c r="Q204" s="39"/>
      <c r="R204" s="39"/>
      <c r="S204" s="39"/>
      <c r="T204" s="39"/>
      <c r="U204" s="39"/>
      <c r="V204" s="39"/>
      <c r="W204" s="39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spans="1:36" ht="11.25" customHeight="1" x14ac:dyDescent="0.2">
      <c r="A205" s="35" t="s">
        <v>53</v>
      </c>
      <c r="B205" s="35" t="s">
        <v>39</v>
      </c>
      <c r="C205" s="35" t="s">
        <v>57</v>
      </c>
      <c r="D205" s="35" t="s">
        <v>25</v>
      </c>
      <c r="E205" s="35" t="s">
        <v>25</v>
      </c>
      <c r="F205" s="35" t="s">
        <v>25</v>
      </c>
      <c r="G205" s="35" t="s">
        <v>58</v>
      </c>
      <c r="H205" s="35" t="s">
        <v>25</v>
      </c>
      <c r="I205" s="55">
        <v>44835</v>
      </c>
      <c r="J205" s="56">
        <f ca="1">EFEITO!$J$205*EFEITO!$Y$205</f>
        <v>32860.05279693257</v>
      </c>
      <c r="K205" s="56">
        <f>EFEITO!$L$205*EFEITO!$Z$205</f>
        <v>0</v>
      </c>
      <c r="L205" s="56">
        <f>EFEITO!$N$205*EFEITO!$AA$205</f>
        <v>0</v>
      </c>
      <c r="M205" s="56">
        <f ca="1">$J$205-EFEITO!$K$205*EFEITO!$Y$205</f>
        <v>0</v>
      </c>
      <c r="N205" s="56">
        <f>$K$205-EFEITO!$M$205*EFEITO!$Z$205</f>
        <v>0</v>
      </c>
      <c r="O205" s="56">
        <f>$L$205-EFEITO!$O$205*EFEITO!$AA$205</f>
        <v>0</v>
      </c>
      <c r="P205" s="39"/>
      <c r="Q205" s="39"/>
      <c r="R205" s="39"/>
      <c r="S205" s="39"/>
      <c r="T205" s="39"/>
      <c r="U205" s="39"/>
      <c r="V205" s="39"/>
      <c r="W205" s="39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pans="1:36" ht="11.25" customHeight="1" x14ac:dyDescent="0.2">
      <c r="A206" s="35" t="s">
        <v>21</v>
      </c>
      <c r="B206" s="35" t="s">
        <v>39</v>
      </c>
      <c r="C206" s="35" t="s">
        <v>41</v>
      </c>
      <c r="D206" s="35" t="s">
        <v>42</v>
      </c>
      <c r="E206" s="35" t="s">
        <v>25</v>
      </c>
      <c r="F206" s="35" t="s">
        <v>25</v>
      </c>
      <c r="G206" s="35" t="s">
        <v>25</v>
      </c>
      <c r="H206" s="35" t="s">
        <v>35</v>
      </c>
      <c r="I206" s="55">
        <v>44501</v>
      </c>
      <c r="J206" s="56">
        <f>EFEITO!$J$206*EFEITO!$Y$206</f>
        <v>0</v>
      </c>
      <c r="K206" s="56">
        <f ca="1">EFEITO!$L$206*EFEITO!$Z$206</f>
        <v>175351.57393123882</v>
      </c>
      <c r="L206" s="56">
        <f>EFEITO!$N$206*EFEITO!$AA$206</f>
        <v>429519.75394298462</v>
      </c>
      <c r="M206" s="56">
        <f>$J$206-EFEITO!$K$206*EFEITO!$Y$206</f>
        <v>0</v>
      </c>
      <c r="N206" s="56">
        <f ca="1">$K$206-EFEITO!$M$206*EFEITO!$Z$206</f>
        <v>0</v>
      </c>
      <c r="O206" s="56">
        <f>$L$206-EFEITO!$O$206*EFEITO!$AA$206</f>
        <v>0</v>
      </c>
      <c r="P206" s="39"/>
      <c r="Q206" s="39"/>
      <c r="R206" s="39"/>
      <c r="S206" s="39"/>
      <c r="T206" s="39"/>
      <c r="U206" s="39"/>
      <c r="V206" s="39"/>
      <c r="W206" s="39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spans="1:36" ht="11.25" customHeight="1" x14ac:dyDescent="0.2">
      <c r="A207" s="35" t="s">
        <v>28</v>
      </c>
      <c r="B207" s="35" t="s">
        <v>39</v>
      </c>
      <c r="C207" s="35" t="s">
        <v>41</v>
      </c>
      <c r="D207" s="35" t="s">
        <v>42</v>
      </c>
      <c r="E207" s="35" t="s">
        <v>25</v>
      </c>
      <c r="F207" s="35" t="s">
        <v>25</v>
      </c>
      <c r="G207" s="35" t="s">
        <v>25</v>
      </c>
      <c r="H207" s="35" t="s">
        <v>35</v>
      </c>
      <c r="I207" s="55">
        <v>44501</v>
      </c>
      <c r="J207" s="56">
        <f>EFEITO!$J$207*EFEITO!$Y$207</f>
        <v>0</v>
      </c>
      <c r="K207" s="56">
        <f ca="1">EFEITO!$L$207*EFEITO!$Z$207</f>
        <v>1616.1638014857003</v>
      </c>
      <c r="L207" s="56">
        <f>EFEITO!$N$207*EFEITO!$AA$207</f>
        <v>3958.7570432524635</v>
      </c>
      <c r="M207" s="56">
        <f>$J$207-EFEITO!$K$207*EFEITO!$Y$207</f>
        <v>0</v>
      </c>
      <c r="N207" s="56">
        <f ca="1">$K$207-EFEITO!$M$207*EFEITO!$Z$207</f>
        <v>0</v>
      </c>
      <c r="O207" s="56">
        <f>$L$207-EFEITO!$O$207*EFEITO!$AA$207</f>
        <v>0</v>
      </c>
      <c r="P207" s="39"/>
      <c r="Q207" s="39"/>
      <c r="R207" s="39"/>
      <c r="S207" s="39"/>
      <c r="T207" s="39"/>
      <c r="U207" s="39"/>
      <c r="V207" s="39"/>
      <c r="W207" s="39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spans="1:36" ht="11.25" customHeight="1" x14ac:dyDescent="0.2">
      <c r="A208" s="35" t="s">
        <v>21</v>
      </c>
      <c r="B208" s="35" t="s">
        <v>39</v>
      </c>
      <c r="C208" s="35" t="s">
        <v>41</v>
      </c>
      <c r="D208" s="35" t="s">
        <v>42</v>
      </c>
      <c r="E208" s="35" t="s">
        <v>25</v>
      </c>
      <c r="F208" s="35" t="s">
        <v>25</v>
      </c>
      <c r="G208" s="35" t="s">
        <v>25</v>
      </c>
      <c r="H208" s="35" t="s">
        <v>35</v>
      </c>
      <c r="I208" s="55">
        <v>44531</v>
      </c>
      <c r="J208" s="56">
        <f>EFEITO!$J$208*EFEITO!$Y$208</f>
        <v>0</v>
      </c>
      <c r="K208" s="56">
        <f ca="1">EFEITO!$L$208*EFEITO!$Z$208</f>
        <v>175731.06463039358</v>
      </c>
      <c r="L208" s="56">
        <f>EFEITO!$N$208*EFEITO!$AA$208</f>
        <v>430449.30791316187</v>
      </c>
      <c r="M208" s="56">
        <f>$J$208-EFEITO!$K$208*EFEITO!$Y$208</f>
        <v>0</v>
      </c>
      <c r="N208" s="56">
        <f ca="1">$K$208-EFEITO!$M$208*EFEITO!$Z$208</f>
        <v>0</v>
      </c>
      <c r="O208" s="56">
        <f>$L$208-EFEITO!$O$208*EFEITO!$AA$208</f>
        <v>0</v>
      </c>
      <c r="P208" s="39"/>
      <c r="Q208" s="39"/>
      <c r="R208" s="39"/>
      <c r="S208" s="39"/>
      <c r="T208" s="39"/>
      <c r="U208" s="39"/>
      <c r="V208" s="39"/>
      <c r="W208" s="39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spans="1:36" ht="11.25" customHeight="1" x14ac:dyDescent="0.2">
      <c r="A209" s="35" t="s">
        <v>28</v>
      </c>
      <c r="B209" s="35" t="s">
        <v>39</v>
      </c>
      <c r="C209" s="35" t="s">
        <v>41</v>
      </c>
      <c r="D209" s="35" t="s">
        <v>42</v>
      </c>
      <c r="E209" s="35" t="s">
        <v>25</v>
      </c>
      <c r="F209" s="35" t="s">
        <v>25</v>
      </c>
      <c r="G209" s="35" t="s">
        <v>25</v>
      </c>
      <c r="H209" s="35" t="s">
        <v>35</v>
      </c>
      <c r="I209" s="55">
        <v>44531</v>
      </c>
      <c r="J209" s="56">
        <f>EFEITO!$J$209*EFEITO!$Y$209</f>
        <v>0</v>
      </c>
      <c r="K209" s="56">
        <f ca="1">EFEITO!$L$209*EFEITO!$Z$209</f>
        <v>1117.3417817405673</v>
      </c>
      <c r="L209" s="56">
        <f>EFEITO!$N$209*EFEITO!$AA$209</f>
        <v>2736.9036753078549</v>
      </c>
      <c r="M209" s="56">
        <f>$J$209-EFEITO!$K$209*EFEITO!$Y$209</f>
        <v>0</v>
      </c>
      <c r="N209" s="56">
        <f ca="1">$K$209-EFEITO!$M$209*EFEITO!$Z$209</f>
        <v>0</v>
      </c>
      <c r="O209" s="56">
        <f>$L$209-EFEITO!$O$209*EFEITO!$AA$209</f>
        <v>0</v>
      </c>
      <c r="P209" s="39"/>
      <c r="Q209" s="39"/>
      <c r="R209" s="39"/>
      <c r="S209" s="39"/>
      <c r="T209" s="39"/>
      <c r="U209" s="39"/>
      <c r="V209" s="39"/>
      <c r="W209" s="39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spans="1:36" ht="11.25" customHeight="1" x14ac:dyDescent="0.2">
      <c r="A210" s="35" t="s">
        <v>21</v>
      </c>
      <c r="B210" s="35" t="s">
        <v>39</v>
      </c>
      <c r="C210" s="35" t="s">
        <v>41</v>
      </c>
      <c r="D210" s="35" t="s">
        <v>42</v>
      </c>
      <c r="E210" s="35" t="s">
        <v>25</v>
      </c>
      <c r="F210" s="35" t="s">
        <v>25</v>
      </c>
      <c r="G210" s="35" t="s">
        <v>25</v>
      </c>
      <c r="H210" s="35" t="s">
        <v>35</v>
      </c>
      <c r="I210" s="55">
        <v>44562</v>
      </c>
      <c r="J210" s="56">
        <f>EFEITO!$J$210*EFEITO!$Y$210</f>
        <v>0</v>
      </c>
      <c r="K210" s="56">
        <f ca="1">EFEITO!$L$210*EFEITO!$Z$210</f>
        <v>173045.9267062807</v>
      </c>
      <c r="L210" s="56">
        <f>EFEITO!$N$210*EFEITO!$AA$210</f>
        <v>423872.12269257073</v>
      </c>
      <c r="M210" s="56">
        <f>$J$210-EFEITO!$K$210*EFEITO!$Y$210</f>
        <v>0</v>
      </c>
      <c r="N210" s="56">
        <f ca="1">$K$210-EFEITO!$M$210*EFEITO!$Z$210</f>
        <v>0</v>
      </c>
      <c r="O210" s="56">
        <f>$L$210-EFEITO!$O$210*EFEITO!$AA$210</f>
        <v>0</v>
      </c>
      <c r="P210" s="39"/>
      <c r="Q210" s="39"/>
      <c r="R210" s="39"/>
      <c r="S210" s="39"/>
      <c r="T210" s="39"/>
      <c r="U210" s="39"/>
      <c r="V210" s="39"/>
      <c r="W210" s="39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spans="1:36" ht="11.25" customHeight="1" x14ac:dyDescent="0.2">
      <c r="A211" s="35" t="s">
        <v>28</v>
      </c>
      <c r="B211" s="35" t="s">
        <v>39</v>
      </c>
      <c r="C211" s="35" t="s">
        <v>41</v>
      </c>
      <c r="D211" s="35" t="s">
        <v>42</v>
      </c>
      <c r="E211" s="35" t="s">
        <v>25</v>
      </c>
      <c r="F211" s="35" t="s">
        <v>25</v>
      </c>
      <c r="G211" s="35" t="s">
        <v>25</v>
      </c>
      <c r="H211" s="35" t="s">
        <v>35</v>
      </c>
      <c r="I211" s="55">
        <v>44562</v>
      </c>
      <c r="J211" s="56">
        <f>EFEITO!$J$211*EFEITO!$Y$211</f>
        <v>0</v>
      </c>
      <c r="K211" s="56">
        <f ca="1">EFEITO!$L$211*EFEITO!$Z$211</f>
        <v>1404.0056603747073</v>
      </c>
      <c r="L211" s="56">
        <f>EFEITO!$N$211*EFEITO!$AA$211</f>
        <v>3439.0804271604493</v>
      </c>
      <c r="M211" s="56">
        <f>$J$211-EFEITO!$K$211*EFEITO!$Y$211</f>
        <v>0</v>
      </c>
      <c r="N211" s="56">
        <f ca="1">$K$211-EFEITO!$M$211*EFEITO!$Z$211</f>
        <v>0</v>
      </c>
      <c r="O211" s="56">
        <f>$L$211-EFEITO!$O$211*EFEITO!$AA$211</f>
        <v>0</v>
      </c>
      <c r="P211" s="39"/>
      <c r="Q211" s="39"/>
      <c r="R211" s="39"/>
      <c r="S211" s="39"/>
      <c r="T211" s="39"/>
      <c r="U211" s="39"/>
      <c r="V211" s="39"/>
      <c r="W211" s="39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spans="1:36" ht="11.25" customHeight="1" x14ac:dyDescent="0.2">
      <c r="A212" s="35" t="s">
        <v>21</v>
      </c>
      <c r="B212" s="35" t="s">
        <v>39</v>
      </c>
      <c r="C212" s="35" t="s">
        <v>41</v>
      </c>
      <c r="D212" s="35" t="s">
        <v>42</v>
      </c>
      <c r="E212" s="35" t="s">
        <v>25</v>
      </c>
      <c r="F212" s="35" t="s">
        <v>25</v>
      </c>
      <c r="G212" s="35" t="s">
        <v>25</v>
      </c>
      <c r="H212" s="35" t="s">
        <v>35</v>
      </c>
      <c r="I212" s="55">
        <v>44593</v>
      </c>
      <c r="J212" s="56">
        <f>EFEITO!$J$212*EFEITO!$Y$212</f>
        <v>0</v>
      </c>
      <c r="K212" s="56">
        <f ca="1">EFEITO!$L$212*EFEITO!$Z$212</f>
        <v>175871.03770449443</v>
      </c>
      <c r="L212" s="56">
        <f>EFEITO!$N$212*EFEITO!$AA$212</f>
        <v>430792.16882395139</v>
      </c>
      <c r="M212" s="56">
        <f>$J$212-EFEITO!$K$212*EFEITO!$Y$212</f>
        <v>0</v>
      </c>
      <c r="N212" s="56">
        <f ca="1">$K$212-EFEITO!$M$212*EFEITO!$Z$212</f>
        <v>0</v>
      </c>
      <c r="O212" s="56">
        <f>$L$212-EFEITO!$O$212*EFEITO!$AA$212</f>
        <v>0</v>
      </c>
      <c r="P212" s="39"/>
      <c r="Q212" s="39"/>
      <c r="R212" s="39"/>
      <c r="S212" s="39"/>
      <c r="T212" s="39"/>
      <c r="U212" s="39"/>
      <c r="V212" s="39"/>
      <c r="W212" s="39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spans="1:36" ht="11.25" customHeight="1" x14ac:dyDescent="0.2">
      <c r="A213" s="35" t="s">
        <v>27</v>
      </c>
      <c r="B213" s="35" t="s">
        <v>39</v>
      </c>
      <c r="C213" s="35" t="s">
        <v>41</v>
      </c>
      <c r="D213" s="35" t="s">
        <v>42</v>
      </c>
      <c r="E213" s="35" t="s">
        <v>25</v>
      </c>
      <c r="F213" s="35" t="s">
        <v>25</v>
      </c>
      <c r="G213" s="35" t="s">
        <v>25</v>
      </c>
      <c r="H213" s="35" t="s">
        <v>35</v>
      </c>
      <c r="I213" s="55">
        <v>44593</v>
      </c>
      <c r="J213" s="56">
        <f>EFEITO!$J$213*EFEITO!$Y$213</f>
        <v>0</v>
      </c>
      <c r="K213" s="56">
        <f ca="1">EFEITO!$L$213*EFEITO!$Z$213</f>
        <v>-1044.057449750587</v>
      </c>
      <c r="L213" s="56">
        <f>EFEITO!$N$213*EFEITO!$AA$213</f>
        <v>-2557.395345051546</v>
      </c>
      <c r="M213" s="56">
        <f>$J$213-EFEITO!$K$213*EFEITO!$Y$213</f>
        <v>0</v>
      </c>
      <c r="N213" s="56">
        <f ca="1">$K$213-EFEITO!$M$213*EFEITO!$Z$213</f>
        <v>0</v>
      </c>
      <c r="O213" s="56">
        <f>$L$213-EFEITO!$O$213*EFEITO!$AA$213</f>
        <v>0</v>
      </c>
      <c r="P213" s="39"/>
      <c r="Q213" s="39"/>
      <c r="R213" s="39"/>
      <c r="S213" s="39"/>
      <c r="T213" s="39"/>
      <c r="U213" s="39"/>
      <c r="V213" s="39"/>
      <c r="W213" s="39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spans="1:36" ht="11.25" customHeight="1" x14ac:dyDescent="0.2">
      <c r="A214" s="35" t="s">
        <v>28</v>
      </c>
      <c r="B214" s="35" t="s">
        <v>39</v>
      </c>
      <c r="C214" s="35" t="s">
        <v>41</v>
      </c>
      <c r="D214" s="35" t="s">
        <v>42</v>
      </c>
      <c r="E214" s="35" t="s">
        <v>25</v>
      </c>
      <c r="F214" s="35" t="s">
        <v>25</v>
      </c>
      <c r="G214" s="35" t="s">
        <v>25</v>
      </c>
      <c r="H214" s="35" t="s">
        <v>35</v>
      </c>
      <c r="I214" s="55">
        <v>44593</v>
      </c>
      <c r="J214" s="56">
        <f>EFEITO!$J$214*EFEITO!$Y$214</f>
        <v>0</v>
      </c>
      <c r="K214" s="56">
        <f ca="1">EFEITO!$L$214*EFEITO!$Z$214</f>
        <v>1674.7912670776848</v>
      </c>
      <c r="L214" s="56">
        <f>EFEITO!$N$214*EFEITO!$AA$214</f>
        <v>4102.3637074575108</v>
      </c>
      <c r="M214" s="56">
        <f>$J$214-EFEITO!$K$214*EFEITO!$Y$214</f>
        <v>0</v>
      </c>
      <c r="N214" s="56">
        <f ca="1">$K$214-EFEITO!$M$214*EFEITO!$Z$214</f>
        <v>0</v>
      </c>
      <c r="O214" s="56">
        <f>$L$214-EFEITO!$O$214*EFEITO!$AA$214</f>
        <v>0</v>
      </c>
      <c r="P214" s="39"/>
      <c r="Q214" s="39"/>
      <c r="R214" s="39"/>
      <c r="S214" s="39"/>
      <c r="T214" s="39"/>
      <c r="U214" s="39"/>
      <c r="V214" s="39"/>
      <c r="W214" s="39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spans="1:36" ht="11.25" customHeight="1" x14ac:dyDescent="0.2">
      <c r="A215" s="35" t="s">
        <v>21</v>
      </c>
      <c r="B215" s="35" t="s">
        <v>39</v>
      </c>
      <c r="C215" s="35" t="s">
        <v>41</v>
      </c>
      <c r="D215" s="35" t="s">
        <v>42</v>
      </c>
      <c r="E215" s="35" t="s">
        <v>25</v>
      </c>
      <c r="F215" s="35" t="s">
        <v>25</v>
      </c>
      <c r="G215" s="35" t="s">
        <v>25</v>
      </c>
      <c r="H215" s="35" t="s">
        <v>35</v>
      </c>
      <c r="I215" s="55">
        <v>44621</v>
      </c>
      <c r="J215" s="56">
        <f>EFEITO!$J$215*EFEITO!$Y$215</f>
        <v>0</v>
      </c>
      <c r="K215" s="56">
        <f ca="1">EFEITO!$L$215*EFEITO!$Z$215</f>
        <v>151344.8481768544</v>
      </c>
      <c r="L215" s="56">
        <f>EFEITO!$N$215*EFEITO!$AA$215</f>
        <v>370715.81675652211</v>
      </c>
      <c r="M215" s="56">
        <f>$J$215-EFEITO!$K$215*EFEITO!$Y$215</f>
        <v>0</v>
      </c>
      <c r="N215" s="56">
        <f ca="1">$K$215-EFEITO!$M$215*EFEITO!$Z$215</f>
        <v>0</v>
      </c>
      <c r="O215" s="56">
        <f>$L$215-EFEITO!$O$215*EFEITO!$AA$215</f>
        <v>0</v>
      </c>
      <c r="P215" s="39"/>
      <c r="Q215" s="39"/>
      <c r="R215" s="39"/>
      <c r="S215" s="39"/>
      <c r="T215" s="39"/>
      <c r="U215" s="39"/>
      <c r="V215" s="39"/>
      <c r="W215" s="39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spans="1:36" ht="11.25" customHeight="1" x14ac:dyDescent="0.2">
      <c r="A216" s="35" t="s">
        <v>28</v>
      </c>
      <c r="B216" s="35" t="s">
        <v>39</v>
      </c>
      <c r="C216" s="35" t="s">
        <v>41</v>
      </c>
      <c r="D216" s="35" t="s">
        <v>42</v>
      </c>
      <c r="E216" s="35" t="s">
        <v>25</v>
      </c>
      <c r="F216" s="35" t="s">
        <v>25</v>
      </c>
      <c r="G216" s="35" t="s">
        <v>25</v>
      </c>
      <c r="H216" s="35" t="s">
        <v>35</v>
      </c>
      <c r="I216" s="55">
        <v>44621</v>
      </c>
      <c r="J216" s="56">
        <f>EFEITO!$J$216*EFEITO!$Y$216</f>
        <v>0</v>
      </c>
      <c r="K216" s="56">
        <f ca="1">EFEITO!$L$216*EFEITO!$Z$216</f>
        <v>1317.5301486265305</v>
      </c>
      <c r="L216" s="56">
        <f>EFEITO!$N$216*EFEITO!$AA$216</f>
        <v>3227.2605974580056</v>
      </c>
      <c r="M216" s="56">
        <f>$J$216-EFEITO!$K$216*EFEITO!$Y$216</f>
        <v>0</v>
      </c>
      <c r="N216" s="56">
        <f ca="1">$K$216-EFEITO!$M$216*EFEITO!$Z$216</f>
        <v>0</v>
      </c>
      <c r="O216" s="56">
        <f>$L$216-EFEITO!$O$216*EFEITO!$AA$216</f>
        <v>0</v>
      </c>
      <c r="P216" s="39"/>
      <c r="Q216" s="39"/>
      <c r="R216" s="39"/>
      <c r="S216" s="39"/>
      <c r="T216" s="39"/>
      <c r="U216" s="39"/>
      <c r="V216" s="39"/>
      <c r="W216" s="39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spans="1:36" ht="11.25" customHeight="1" x14ac:dyDescent="0.2">
      <c r="A217" s="35" t="s">
        <v>21</v>
      </c>
      <c r="B217" s="35" t="s">
        <v>39</v>
      </c>
      <c r="C217" s="35" t="s">
        <v>41</v>
      </c>
      <c r="D217" s="35" t="s">
        <v>42</v>
      </c>
      <c r="E217" s="35" t="s">
        <v>25</v>
      </c>
      <c r="F217" s="35" t="s">
        <v>25</v>
      </c>
      <c r="G217" s="35" t="s">
        <v>25</v>
      </c>
      <c r="H217" s="35" t="s">
        <v>35</v>
      </c>
      <c r="I217" s="55">
        <v>44652</v>
      </c>
      <c r="J217" s="56">
        <f>EFEITO!$J$217*EFEITO!$Y$217</f>
        <v>0</v>
      </c>
      <c r="K217" s="56">
        <f ca="1">EFEITO!$L$217*EFEITO!$Z$217</f>
        <v>149184.18178868314</v>
      </c>
      <c r="L217" s="56">
        <f>EFEITO!$N$217*EFEITO!$AA$217</f>
        <v>365423.3128194653</v>
      </c>
      <c r="M217" s="56">
        <f>$J$217-EFEITO!$K$217*EFEITO!$Y$217</f>
        <v>0</v>
      </c>
      <c r="N217" s="56">
        <f ca="1">$K$217-EFEITO!$M$217*EFEITO!$Z$217</f>
        <v>0</v>
      </c>
      <c r="O217" s="56">
        <f>$L$217-EFEITO!$O$217*EFEITO!$AA$217</f>
        <v>0</v>
      </c>
      <c r="P217" s="39"/>
      <c r="Q217" s="39"/>
      <c r="R217" s="39"/>
      <c r="S217" s="39"/>
      <c r="T217" s="39"/>
      <c r="U217" s="39"/>
      <c r="V217" s="39"/>
      <c r="W217" s="39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spans="1:36" ht="11.25" customHeight="1" x14ac:dyDescent="0.2">
      <c r="A218" s="35" t="s">
        <v>28</v>
      </c>
      <c r="B218" s="35" t="s">
        <v>39</v>
      </c>
      <c r="C218" s="35" t="s">
        <v>41</v>
      </c>
      <c r="D218" s="35" t="s">
        <v>42</v>
      </c>
      <c r="E218" s="35" t="s">
        <v>25</v>
      </c>
      <c r="F218" s="35" t="s">
        <v>25</v>
      </c>
      <c r="G218" s="35" t="s">
        <v>25</v>
      </c>
      <c r="H218" s="35" t="s">
        <v>35</v>
      </c>
      <c r="I218" s="55">
        <v>44652</v>
      </c>
      <c r="J218" s="56">
        <f>EFEITO!$J$218*EFEITO!$Y$218</f>
        <v>0</v>
      </c>
      <c r="K218" s="56">
        <f ca="1">EFEITO!$L$218*EFEITO!$Z$218</f>
        <v>1415.8532940464208</v>
      </c>
      <c r="L218" s="56">
        <f>EFEITO!$N$218*EFEITO!$AA$218</f>
        <v>3468.1009405518862</v>
      </c>
      <c r="M218" s="56">
        <f>$J$218-EFEITO!$K$218*EFEITO!$Y$218</f>
        <v>0</v>
      </c>
      <c r="N218" s="56">
        <f ca="1">$K$218-EFEITO!$M$218*EFEITO!$Z$218</f>
        <v>0</v>
      </c>
      <c r="O218" s="56">
        <f>$L$218-EFEITO!$O$218*EFEITO!$AA$218</f>
        <v>0</v>
      </c>
      <c r="P218" s="39"/>
      <c r="Q218" s="39"/>
      <c r="R218" s="39"/>
      <c r="S218" s="39"/>
      <c r="T218" s="39"/>
      <c r="U218" s="39"/>
      <c r="V218" s="39"/>
      <c r="W218" s="39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spans="1:36" ht="11.25" customHeight="1" x14ac:dyDescent="0.2">
      <c r="A219" s="35" t="s">
        <v>21</v>
      </c>
      <c r="B219" s="35" t="s">
        <v>39</v>
      </c>
      <c r="C219" s="35" t="s">
        <v>41</v>
      </c>
      <c r="D219" s="35" t="s">
        <v>42</v>
      </c>
      <c r="E219" s="35" t="s">
        <v>25</v>
      </c>
      <c r="F219" s="35" t="s">
        <v>25</v>
      </c>
      <c r="G219" s="35" t="s">
        <v>25</v>
      </c>
      <c r="H219" s="35" t="s">
        <v>35</v>
      </c>
      <c r="I219" s="55">
        <v>44682</v>
      </c>
      <c r="J219" s="56">
        <f>EFEITO!$J$219*EFEITO!$Y$219</f>
        <v>0</v>
      </c>
      <c r="K219" s="56">
        <f ca="1">EFEITO!$L$219*EFEITO!$Z$219</f>
        <v>134953.95234342208</v>
      </c>
      <c r="L219" s="56">
        <f>EFEITO!$N$219*EFEITO!$AA$219</f>
        <v>330566.68443084566</v>
      </c>
      <c r="M219" s="56">
        <f>$J$219-EFEITO!$K$219*EFEITO!$Y$219</f>
        <v>0</v>
      </c>
      <c r="N219" s="56">
        <f ca="1">$K$219-EFEITO!$M$219*EFEITO!$Z$219</f>
        <v>0</v>
      </c>
      <c r="O219" s="56">
        <f>$L$219-EFEITO!$O$219*EFEITO!$AA$219</f>
        <v>0</v>
      </c>
      <c r="P219" s="39"/>
      <c r="Q219" s="39"/>
      <c r="R219" s="39"/>
      <c r="S219" s="39"/>
      <c r="T219" s="39"/>
      <c r="U219" s="39"/>
      <c r="V219" s="39"/>
      <c r="W219" s="39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spans="1:36" ht="11.25" customHeight="1" x14ac:dyDescent="0.2">
      <c r="A220" s="35" t="s">
        <v>28</v>
      </c>
      <c r="B220" s="35" t="s">
        <v>39</v>
      </c>
      <c r="C220" s="35" t="s">
        <v>41</v>
      </c>
      <c r="D220" s="35" t="s">
        <v>42</v>
      </c>
      <c r="E220" s="35" t="s">
        <v>25</v>
      </c>
      <c r="F220" s="35" t="s">
        <v>25</v>
      </c>
      <c r="G220" s="35" t="s">
        <v>25</v>
      </c>
      <c r="H220" s="35" t="s">
        <v>35</v>
      </c>
      <c r="I220" s="55">
        <v>44682</v>
      </c>
      <c r="J220" s="56">
        <f>EFEITO!$J$220*EFEITO!$Y$220</f>
        <v>0</v>
      </c>
      <c r="K220" s="56">
        <f ca="1">EFEITO!$L$220*EFEITO!$Z$220</f>
        <v>1302.629001121901</v>
      </c>
      <c r="L220" s="56">
        <f>EFEITO!$N$220*EFEITO!$AA$220</f>
        <v>3190.7605703058889</v>
      </c>
      <c r="M220" s="56">
        <f>$J$220-EFEITO!$K$220*EFEITO!$Y$220</f>
        <v>0</v>
      </c>
      <c r="N220" s="56">
        <f ca="1">$K$220-EFEITO!$M$220*EFEITO!$Z$220</f>
        <v>0</v>
      </c>
      <c r="O220" s="56">
        <f>$L$220-EFEITO!$O$220*EFEITO!$AA$220</f>
        <v>0</v>
      </c>
      <c r="P220" s="39"/>
      <c r="Q220" s="39"/>
      <c r="R220" s="39"/>
      <c r="S220" s="39"/>
      <c r="T220" s="39"/>
      <c r="U220" s="39"/>
      <c r="V220" s="39"/>
      <c r="W220" s="39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spans="1:36" ht="11.25" customHeight="1" x14ac:dyDescent="0.2">
      <c r="A221" s="35" t="s">
        <v>21</v>
      </c>
      <c r="B221" s="35" t="s">
        <v>39</v>
      </c>
      <c r="C221" s="35" t="s">
        <v>41</v>
      </c>
      <c r="D221" s="35" t="s">
        <v>42</v>
      </c>
      <c r="E221" s="35" t="s">
        <v>25</v>
      </c>
      <c r="F221" s="35" t="s">
        <v>25</v>
      </c>
      <c r="G221" s="35" t="s">
        <v>25</v>
      </c>
      <c r="H221" s="35" t="s">
        <v>35</v>
      </c>
      <c r="I221" s="55">
        <v>44713</v>
      </c>
      <c r="J221" s="56">
        <f>EFEITO!$J$221*EFEITO!$Y$221</f>
        <v>0</v>
      </c>
      <c r="K221" s="56">
        <f ca="1">EFEITO!$L$221*EFEITO!$Z$221</f>
        <v>126647.9061556777</v>
      </c>
      <c r="L221" s="56">
        <f>EFEITO!$N$221*EFEITO!$AA$221</f>
        <v>310221.21027959563</v>
      </c>
      <c r="M221" s="56">
        <f>$J$221-EFEITO!$K$221*EFEITO!$Y$221</f>
        <v>0</v>
      </c>
      <c r="N221" s="56">
        <f ca="1">$K$221-EFEITO!$M$221*EFEITO!$Z$221</f>
        <v>0</v>
      </c>
      <c r="O221" s="56">
        <f>$L$221-EFEITO!$O$221*EFEITO!$AA$221</f>
        <v>0</v>
      </c>
      <c r="P221" s="39"/>
      <c r="Q221" s="39"/>
      <c r="R221" s="39"/>
      <c r="S221" s="39"/>
      <c r="T221" s="39"/>
      <c r="U221" s="39"/>
      <c r="V221" s="39"/>
      <c r="W221" s="39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spans="1:36" ht="11.25" customHeight="1" x14ac:dyDescent="0.2">
      <c r="A222" s="35" t="s">
        <v>28</v>
      </c>
      <c r="B222" s="35" t="s">
        <v>39</v>
      </c>
      <c r="C222" s="35" t="s">
        <v>41</v>
      </c>
      <c r="D222" s="35" t="s">
        <v>42</v>
      </c>
      <c r="E222" s="35" t="s">
        <v>25</v>
      </c>
      <c r="F222" s="35" t="s">
        <v>25</v>
      </c>
      <c r="G222" s="35" t="s">
        <v>25</v>
      </c>
      <c r="H222" s="35" t="s">
        <v>35</v>
      </c>
      <c r="I222" s="55">
        <v>44713</v>
      </c>
      <c r="J222" s="56">
        <f>EFEITO!$J$222*EFEITO!$Y$222</f>
        <v>0</v>
      </c>
      <c r="K222" s="56">
        <f ca="1">EFEITO!$L$222*EFEITO!$Z$222</f>
        <v>1358.0808123276529</v>
      </c>
      <c r="L222" s="56">
        <f>EFEITO!$N$222*EFEITO!$AA$222</f>
        <v>3326.5885401998294</v>
      </c>
      <c r="M222" s="56">
        <f>$J$222-EFEITO!$K$222*EFEITO!$Y$222</f>
        <v>0</v>
      </c>
      <c r="N222" s="56">
        <f ca="1">$K$222-EFEITO!$M$222*EFEITO!$Z$222</f>
        <v>0</v>
      </c>
      <c r="O222" s="56">
        <f>$L$222-EFEITO!$O$222*EFEITO!$AA$222</f>
        <v>0</v>
      </c>
      <c r="P222" s="39"/>
      <c r="Q222" s="39"/>
      <c r="R222" s="39"/>
      <c r="S222" s="39"/>
      <c r="T222" s="39"/>
      <c r="U222" s="39"/>
      <c r="V222" s="39"/>
      <c r="W222" s="39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spans="1:36" ht="11.25" customHeight="1" x14ac:dyDescent="0.2">
      <c r="A223" s="35" t="s">
        <v>21</v>
      </c>
      <c r="B223" s="35" t="s">
        <v>39</v>
      </c>
      <c r="C223" s="35" t="s">
        <v>41</v>
      </c>
      <c r="D223" s="35" t="s">
        <v>42</v>
      </c>
      <c r="E223" s="35" t="s">
        <v>25</v>
      </c>
      <c r="F223" s="35" t="s">
        <v>25</v>
      </c>
      <c r="G223" s="35" t="s">
        <v>25</v>
      </c>
      <c r="H223" s="35" t="s">
        <v>35</v>
      </c>
      <c r="I223" s="55">
        <v>44743</v>
      </c>
      <c r="J223" s="56">
        <f>EFEITO!$J$223*EFEITO!$Y$223</f>
        <v>0</v>
      </c>
      <c r="K223" s="56">
        <f ca="1">EFEITO!$L$223*EFEITO!$Z$223</f>
        <v>118489.16147523318</v>
      </c>
      <c r="L223" s="56">
        <f>EFEITO!$N$223*EFEITO!$AA$223</f>
        <v>290236.54787216074</v>
      </c>
      <c r="M223" s="56">
        <f>$J$223-EFEITO!$K$223*EFEITO!$Y$223</f>
        <v>0</v>
      </c>
      <c r="N223" s="56">
        <f ca="1">$K$223-EFEITO!$M$223*EFEITO!$Z$223</f>
        <v>0</v>
      </c>
      <c r="O223" s="56">
        <f>$L$223-EFEITO!$O$223*EFEITO!$AA$223</f>
        <v>0</v>
      </c>
      <c r="P223" s="39"/>
      <c r="Q223" s="39"/>
      <c r="R223" s="39"/>
      <c r="S223" s="39"/>
      <c r="T223" s="39"/>
      <c r="U223" s="39"/>
      <c r="V223" s="39"/>
      <c r="W223" s="39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spans="1:36" ht="11.25" customHeight="1" x14ac:dyDescent="0.2">
      <c r="A224" s="35" t="s">
        <v>21</v>
      </c>
      <c r="B224" s="35" t="s">
        <v>39</v>
      </c>
      <c r="C224" s="35" t="s">
        <v>41</v>
      </c>
      <c r="D224" s="35" t="s">
        <v>42</v>
      </c>
      <c r="E224" s="35" t="s">
        <v>25</v>
      </c>
      <c r="F224" s="35" t="s">
        <v>25</v>
      </c>
      <c r="G224" s="35" t="s">
        <v>25</v>
      </c>
      <c r="H224" s="35" t="s">
        <v>35</v>
      </c>
      <c r="I224" s="55">
        <v>44774</v>
      </c>
      <c r="J224" s="56">
        <f>EFEITO!$J$224*EFEITO!$Y$224</f>
        <v>0</v>
      </c>
      <c r="K224" s="56">
        <f ca="1">EFEITO!$L$224*EFEITO!$Z$224</f>
        <v>126368.44856968924</v>
      </c>
      <c r="L224" s="56">
        <f>EFEITO!$N$224*EFEITO!$AA$224</f>
        <v>309536.68518021825</v>
      </c>
      <c r="M224" s="56">
        <f>$J$224-EFEITO!$K$224*EFEITO!$Y$224</f>
        <v>0</v>
      </c>
      <c r="N224" s="56">
        <f ca="1">$K$224-EFEITO!$M$224*EFEITO!$Z$224</f>
        <v>0</v>
      </c>
      <c r="O224" s="56">
        <f>$L$224-EFEITO!$O$224*EFEITO!$AA$224</f>
        <v>0</v>
      </c>
      <c r="P224" s="39"/>
      <c r="Q224" s="39"/>
      <c r="R224" s="39"/>
      <c r="S224" s="39"/>
      <c r="T224" s="39"/>
      <c r="U224" s="39"/>
      <c r="V224" s="39"/>
      <c r="W224" s="39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spans="1:36" ht="11.25" customHeight="1" x14ac:dyDescent="0.2">
      <c r="A225" s="35" t="s">
        <v>28</v>
      </c>
      <c r="B225" s="35" t="s">
        <v>39</v>
      </c>
      <c r="C225" s="35" t="s">
        <v>41</v>
      </c>
      <c r="D225" s="35" t="s">
        <v>42</v>
      </c>
      <c r="E225" s="35" t="s">
        <v>25</v>
      </c>
      <c r="F225" s="35" t="s">
        <v>25</v>
      </c>
      <c r="G225" s="35" t="s">
        <v>25</v>
      </c>
      <c r="H225" s="35" t="s">
        <v>35</v>
      </c>
      <c r="I225" s="55">
        <v>44774</v>
      </c>
      <c r="J225" s="56">
        <f>EFEITO!$J$225*EFEITO!$Y$225</f>
        <v>0</v>
      </c>
      <c r="K225" s="56">
        <f ca="1">EFEITO!$L$225*EFEITO!$Z$225</f>
        <v>1708.6242003463924</v>
      </c>
      <c r="L225" s="56">
        <f>EFEITO!$N$225*EFEITO!$AA$225</f>
        <v>4185.2367199258397</v>
      </c>
      <c r="M225" s="56">
        <f>$J$225-EFEITO!$K$225*EFEITO!$Y$225</f>
        <v>0</v>
      </c>
      <c r="N225" s="56">
        <f ca="1">$K$225-EFEITO!$M$225*EFEITO!$Z$225</f>
        <v>0</v>
      </c>
      <c r="O225" s="56">
        <f>$L$225-EFEITO!$O$225*EFEITO!$AA$225</f>
        <v>0</v>
      </c>
      <c r="P225" s="39"/>
      <c r="Q225" s="39"/>
      <c r="R225" s="39"/>
      <c r="S225" s="39"/>
      <c r="T225" s="39"/>
      <c r="U225" s="39"/>
      <c r="V225" s="39"/>
      <c r="W225" s="39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spans="1:36" ht="11.25" customHeight="1" x14ac:dyDescent="0.2">
      <c r="A226" s="35" t="s">
        <v>21</v>
      </c>
      <c r="B226" s="35" t="s">
        <v>39</v>
      </c>
      <c r="C226" s="35" t="s">
        <v>41</v>
      </c>
      <c r="D226" s="35" t="s">
        <v>42</v>
      </c>
      <c r="E226" s="35" t="s">
        <v>25</v>
      </c>
      <c r="F226" s="35" t="s">
        <v>25</v>
      </c>
      <c r="G226" s="35" t="s">
        <v>25</v>
      </c>
      <c r="H226" s="35" t="s">
        <v>35</v>
      </c>
      <c r="I226" s="55">
        <v>44805</v>
      </c>
      <c r="J226" s="56">
        <f>EFEITO!$J$226*EFEITO!$Y$226</f>
        <v>0</v>
      </c>
      <c r="K226" s="56">
        <f ca="1">EFEITO!$L$226*EFEITO!$Z$226</f>
        <v>125662.96473373235</v>
      </c>
      <c r="L226" s="56">
        <f>EFEITO!$N$226*EFEITO!$AA$226</f>
        <v>307808.61832095083</v>
      </c>
      <c r="M226" s="56">
        <f>$J$226-EFEITO!$K$226*EFEITO!$Y$226</f>
        <v>0</v>
      </c>
      <c r="N226" s="56">
        <f ca="1">$K$226-EFEITO!$M$226*EFEITO!$Z$226</f>
        <v>0</v>
      </c>
      <c r="O226" s="56">
        <f>$L$226-EFEITO!$O$226*EFEITO!$AA$226</f>
        <v>0</v>
      </c>
      <c r="P226" s="39"/>
      <c r="Q226" s="39"/>
      <c r="R226" s="39"/>
      <c r="S226" s="39"/>
      <c r="T226" s="39"/>
      <c r="U226" s="39"/>
      <c r="V226" s="39"/>
      <c r="W226" s="39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spans="1:36" ht="11.25" customHeight="1" x14ac:dyDescent="0.2">
      <c r="A227" s="35" t="s">
        <v>27</v>
      </c>
      <c r="B227" s="35" t="s">
        <v>39</v>
      </c>
      <c r="C227" s="35" t="s">
        <v>41</v>
      </c>
      <c r="D227" s="35" t="s">
        <v>42</v>
      </c>
      <c r="E227" s="35" t="s">
        <v>25</v>
      </c>
      <c r="F227" s="35" t="s">
        <v>25</v>
      </c>
      <c r="G227" s="35" t="s">
        <v>25</v>
      </c>
      <c r="H227" s="35" t="s">
        <v>35</v>
      </c>
      <c r="I227" s="55">
        <v>44805</v>
      </c>
      <c r="J227" s="56">
        <f>EFEITO!$J$227*EFEITO!$Y$227</f>
        <v>0</v>
      </c>
      <c r="K227" s="56">
        <f ca="1">EFEITO!$L$227*EFEITO!$Z$227</f>
        <v>-253.68592923864873</v>
      </c>
      <c r="L227" s="56">
        <f>EFEITO!$N$227*EFEITO!$AA$227</f>
        <v>-621.39800323725569</v>
      </c>
      <c r="M227" s="56">
        <f>$J$227-EFEITO!$K$227*EFEITO!$Y$227</f>
        <v>0</v>
      </c>
      <c r="N227" s="56">
        <f ca="1">$K$227-EFEITO!$M$227*EFEITO!$Z$227</f>
        <v>0</v>
      </c>
      <c r="O227" s="56">
        <f>$L$227-EFEITO!$O$227*EFEITO!$AA$227</f>
        <v>0</v>
      </c>
      <c r="P227" s="39"/>
      <c r="Q227" s="39"/>
      <c r="R227" s="39"/>
      <c r="S227" s="39"/>
      <c r="T227" s="39"/>
      <c r="U227" s="39"/>
      <c r="V227" s="39"/>
      <c r="W227" s="39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pans="1:36" ht="11.25" customHeight="1" x14ac:dyDescent="0.2">
      <c r="A228" s="35" t="s">
        <v>28</v>
      </c>
      <c r="B228" s="35" t="s">
        <v>39</v>
      </c>
      <c r="C228" s="35" t="s">
        <v>41</v>
      </c>
      <c r="D228" s="35" t="s">
        <v>42</v>
      </c>
      <c r="E228" s="35" t="s">
        <v>25</v>
      </c>
      <c r="F228" s="35" t="s">
        <v>25</v>
      </c>
      <c r="G228" s="35" t="s">
        <v>25</v>
      </c>
      <c r="H228" s="35" t="s">
        <v>35</v>
      </c>
      <c r="I228" s="55">
        <v>44805</v>
      </c>
      <c r="J228" s="56">
        <f>EFEITO!$J$228*EFEITO!$Y$228</f>
        <v>0</v>
      </c>
      <c r="K228" s="56">
        <f ca="1">EFEITO!$L$228*EFEITO!$Z$228</f>
        <v>1769.6944770047094</v>
      </c>
      <c r="L228" s="56">
        <f>EFEITO!$N$228*EFEITO!$AA$228</f>
        <v>4334.8269951394304</v>
      </c>
      <c r="M228" s="56">
        <f>$J$228-EFEITO!$K$228*EFEITO!$Y$228</f>
        <v>0</v>
      </c>
      <c r="N228" s="56">
        <f ca="1">$K$228-EFEITO!$M$228*EFEITO!$Z$228</f>
        <v>0</v>
      </c>
      <c r="O228" s="56">
        <f>$L$228-EFEITO!$O$228*EFEITO!$AA$228</f>
        <v>0</v>
      </c>
      <c r="P228" s="39"/>
      <c r="Q228" s="39"/>
      <c r="R228" s="39"/>
      <c r="S228" s="39"/>
      <c r="T228" s="39"/>
      <c r="U228" s="39"/>
      <c r="V228" s="39"/>
      <c r="W228" s="39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spans="1:36" ht="11.25" customHeight="1" x14ac:dyDescent="0.2">
      <c r="A229" s="35" t="s">
        <v>53</v>
      </c>
      <c r="B229" s="35" t="s">
        <v>39</v>
      </c>
      <c r="C229" s="35" t="s">
        <v>41</v>
      </c>
      <c r="D229" s="35" t="s">
        <v>42</v>
      </c>
      <c r="E229" s="35" t="s">
        <v>25</v>
      </c>
      <c r="F229" s="35" t="s">
        <v>25</v>
      </c>
      <c r="G229" s="35" t="s">
        <v>25</v>
      </c>
      <c r="H229" s="35" t="s">
        <v>35</v>
      </c>
      <c r="I229" s="55">
        <v>44835</v>
      </c>
      <c r="J229" s="56">
        <f>EFEITO!$J$229*EFEITO!$Y$229</f>
        <v>0</v>
      </c>
      <c r="K229" s="56">
        <f ca="1">EFEITO!$L$229*EFEITO!$Z$229</f>
        <v>125662.96473373235</v>
      </c>
      <c r="L229" s="56">
        <f>EFEITO!$N$229*EFEITO!$AA$229</f>
        <v>307808.61832095083</v>
      </c>
      <c r="M229" s="56">
        <f>$J$229-EFEITO!$K$229*EFEITO!$Y$229</f>
        <v>0</v>
      </c>
      <c r="N229" s="56">
        <f ca="1">$K$229-EFEITO!$M$229*EFEITO!$Z$229</f>
        <v>0</v>
      </c>
      <c r="O229" s="56">
        <f>$L$229-EFEITO!$O$229*EFEITO!$AA$229</f>
        <v>0</v>
      </c>
      <c r="P229" s="39"/>
      <c r="Q229" s="39"/>
      <c r="R229" s="39"/>
      <c r="S229" s="39"/>
      <c r="T229" s="39"/>
      <c r="U229" s="39"/>
      <c r="V229" s="39"/>
      <c r="W229" s="39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spans="1:36" ht="11.25" customHeight="1" x14ac:dyDescent="0.2">
      <c r="A230" s="35" t="s">
        <v>53</v>
      </c>
      <c r="B230" s="35" t="s">
        <v>39</v>
      </c>
      <c r="C230" s="35" t="s">
        <v>41</v>
      </c>
      <c r="D230" s="35" t="s">
        <v>42</v>
      </c>
      <c r="E230" s="35" t="s">
        <v>25</v>
      </c>
      <c r="F230" s="35" t="s">
        <v>25</v>
      </c>
      <c r="G230" s="35" t="s">
        <v>25</v>
      </c>
      <c r="H230" s="35" t="s">
        <v>35</v>
      </c>
      <c r="I230" s="55">
        <v>44835</v>
      </c>
      <c r="J230" s="56">
        <f>EFEITO!$J$230*EFEITO!$Y$230</f>
        <v>0</v>
      </c>
      <c r="K230" s="56">
        <f ca="1">EFEITO!$L$230*EFEITO!$Z$230</f>
        <v>-253.68592923864873</v>
      </c>
      <c r="L230" s="56">
        <f>EFEITO!$N$230*EFEITO!$AA$230</f>
        <v>-621.39800323725569</v>
      </c>
      <c r="M230" s="56">
        <f>$J$230-EFEITO!$K$230*EFEITO!$Y$230</f>
        <v>0</v>
      </c>
      <c r="N230" s="56">
        <f ca="1">$K$230-EFEITO!$M$230*EFEITO!$Z$230</f>
        <v>0</v>
      </c>
      <c r="O230" s="56">
        <f>$L$230-EFEITO!$O$230*EFEITO!$AA$230</f>
        <v>0</v>
      </c>
      <c r="P230" s="39"/>
      <c r="Q230" s="39"/>
      <c r="R230" s="39"/>
      <c r="S230" s="39"/>
      <c r="T230" s="39"/>
      <c r="U230" s="39"/>
      <c r="V230" s="39"/>
      <c r="W230" s="39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spans="1:36" ht="11.25" customHeight="1" x14ac:dyDescent="0.2">
      <c r="A231" s="35" t="s">
        <v>53</v>
      </c>
      <c r="B231" s="35" t="s">
        <v>39</v>
      </c>
      <c r="C231" s="35" t="s">
        <v>41</v>
      </c>
      <c r="D231" s="35" t="s">
        <v>42</v>
      </c>
      <c r="E231" s="35" t="s">
        <v>25</v>
      </c>
      <c r="F231" s="35" t="s">
        <v>25</v>
      </c>
      <c r="G231" s="35" t="s">
        <v>25</v>
      </c>
      <c r="H231" s="35" t="s">
        <v>35</v>
      </c>
      <c r="I231" s="55">
        <v>44835</v>
      </c>
      <c r="J231" s="56">
        <f>EFEITO!$J$231*EFEITO!$Y$231</f>
        <v>0</v>
      </c>
      <c r="K231" s="56">
        <f ca="1">EFEITO!$L$231*EFEITO!$Z$231</f>
        <v>1769.6944770047094</v>
      </c>
      <c r="L231" s="56">
        <f>EFEITO!$N$231*EFEITO!$AA$231</f>
        <v>4334.8269951394304</v>
      </c>
      <c r="M231" s="56">
        <f>$J$231-EFEITO!$K$231*EFEITO!$Y$231</f>
        <v>0</v>
      </c>
      <c r="N231" s="56">
        <f ca="1">$K$231-EFEITO!$M$231*EFEITO!$Z$231</f>
        <v>0</v>
      </c>
      <c r="O231" s="56">
        <f>$L$231-EFEITO!$O$231*EFEITO!$AA$231</f>
        <v>0</v>
      </c>
      <c r="P231" s="39"/>
      <c r="Q231" s="39"/>
      <c r="R231" s="39"/>
      <c r="S231" s="39"/>
      <c r="T231" s="39"/>
      <c r="U231" s="39"/>
      <c r="V231" s="39"/>
      <c r="W231" s="39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spans="1:36" ht="11.25" customHeight="1" x14ac:dyDescent="0.2">
      <c r="A232" s="35" t="s">
        <v>21</v>
      </c>
      <c r="B232" s="35" t="s">
        <v>39</v>
      </c>
      <c r="C232" s="35" t="s">
        <v>41</v>
      </c>
      <c r="D232" s="35" t="s">
        <v>42</v>
      </c>
      <c r="E232" s="35" t="s">
        <v>25</v>
      </c>
      <c r="F232" s="35" t="s">
        <v>25</v>
      </c>
      <c r="G232" s="35" t="s">
        <v>25</v>
      </c>
      <c r="H232" s="35" t="s">
        <v>25</v>
      </c>
      <c r="I232" s="55">
        <v>44501</v>
      </c>
      <c r="J232" s="56">
        <f ca="1">EFEITO!$J$232*EFEITO!$Y$232</f>
        <v>118457.59163165056</v>
      </c>
      <c r="K232" s="56">
        <f>EFEITO!$L$232*EFEITO!$Z$232</f>
        <v>0</v>
      </c>
      <c r="L232" s="56">
        <f>EFEITO!$N$232*EFEITO!$AA$232</f>
        <v>0</v>
      </c>
      <c r="M232" s="56">
        <f ca="1">$J$232-EFEITO!$K$232*EFEITO!$Y$232</f>
        <v>0</v>
      </c>
      <c r="N232" s="56">
        <f>$K$232-EFEITO!$M$232*EFEITO!$Z$232</f>
        <v>0</v>
      </c>
      <c r="O232" s="56">
        <f>$L$232-EFEITO!$O$232*EFEITO!$AA$232</f>
        <v>0</v>
      </c>
      <c r="P232" s="39"/>
      <c r="Q232" s="39"/>
      <c r="R232" s="39"/>
      <c r="S232" s="39"/>
      <c r="T232" s="39"/>
      <c r="U232" s="39"/>
      <c r="V232" s="39"/>
      <c r="W232" s="39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spans="1:36" ht="11.25" customHeight="1" x14ac:dyDescent="0.2">
      <c r="A233" s="35" t="s">
        <v>28</v>
      </c>
      <c r="B233" s="35" t="s">
        <v>39</v>
      </c>
      <c r="C233" s="35" t="s">
        <v>41</v>
      </c>
      <c r="D233" s="35" t="s">
        <v>42</v>
      </c>
      <c r="E233" s="35" t="s">
        <v>25</v>
      </c>
      <c r="F233" s="35" t="s">
        <v>25</v>
      </c>
      <c r="G233" s="35" t="s">
        <v>25</v>
      </c>
      <c r="H233" s="35" t="s">
        <v>25</v>
      </c>
      <c r="I233" s="55">
        <v>44501</v>
      </c>
      <c r="J233" s="56">
        <f ca="1">EFEITO!$J$233*EFEITO!$Y$233</f>
        <v>2164.8537796497667</v>
      </c>
      <c r="K233" s="56">
        <f>EFEITO!$L$233*EFEITO!$Z$233</f>
        <v>0</v>
      </c>
      <c r="L233" s="56">
        <f>EFEITO!$N$233*EFEITO!$AA$233</f>
        <v>0</v>
      </c>
      <c r="M233" s="56">
        <f ca="1">$J$233-EFEITO!$K$233*EFEITO!$Y$233</f>
        <v>0</v>
      </c>
      <c r="N233" s="56">
        <f>$K$233-EFEITO!$M$233*EFEITO!$Z$233</f>
        <v>0</v>
      </c>
      <c r="O233" s="56">
        <f>$L$233-EFEITO!$O$233*EFEITO!$AA$233</f>
        <v>0</v>
      </c>
      <c r="P233" s="39"/>
      <c r="Q233" s="39"/>
      <c r="R233" s="39"/>
      <c r="S233" s="39"/>
      <c r="T233" s="39"/>
      <c r="U233" s="39"/>
      <c r="V233" s="39"/>
      <c r="W233" s="39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spans="1:36" ht="11.25" customHeight="1" x14ac:dyDescent="0.2">
      <c r="A234" s="35" t="s">
        <v>21</v>
      </c>
      <c r="B234" s="35" t="s">
        <v>39</v>
      </c>
      <c r="C234" s="35" t="s">
        <v>41</v>
      </c>
      <c r="D234" s="35" t="s">
        <v>42</v>
      </c>
      <c r="E234" s="35" t="s">
        <v>25</v>
      </c>
      <c r="F234" s="35" t="s">
        <v>25</v>
      </c>
      <c r="G234" s="35" t="s">
        <v>25</v>
      </c>
      <c r="H234" s="35" t="s">
        <v>25</v>
      </c>
      <c r="I234" s="55">
        <v>44531</v>
      </c>
      <c r="J234" s="56">
        <f ca="1">EFEITO!$J$234*EFEITO!$Y$234</f>
        <v>120590.37350345367</v>
      </c>
      <c r="K234" s="56">
        <f>EFEITO!$L$234*EFEITO!$Z$234</f>
        <v>0</v>
      </c>
      <c r="L234" s="56">
        <f>EFEITO!$N$234*EFEITO!$AA$234</f>
        <v>0</v>
      </c>
      <c r="M234" s="56">
        <f ca="1">$J$234-EFEITO!$K$234*EFEITO!$Y$234</f>
        <v>0</v>
      </c>
      <c r="N234" s="56">
        <f>$K$234-EFEITO!$M$234*EFEITO!$Z$234</f>
        <v>0</v>
      </c>
      <c r="O234" s="56">
        <f>$L$234-EFEITO!$O$234*EFEITO!$AA$234</f>
        <v>0</v>
      </c>
      <c r="P234" s="39"/>
      <c r="Q234" s="39"/>
      <c r="R234" s="39"/>
      <c r="S234" s="39"/>
      <c r="T234" s="39"/>
      <c r="U234" s="39"/>
      <c r="V234" s="39"/>
      <c r="W234" s="39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spans="1:36" ht="11.25" customHeight="1" x14ac:dyDescent="0.2">
      <c r="A235" s="35" t="s">
        <v>28</v>
      </c>
      <c r="B235" s="35" t="s">
        <v>39</v>
      </c>
      <c r="C235" s="35" t="s">
        <v>41</v>
      </c>
      <c r="D235" s="35" t="s">
        <v>42</v>
      </c>
      <c r="E235" s="35" t="s">
        <v>25</v>
      </c>
      <c r="F235" s="35" t="s">
        <v>25</v>
      </c>
      <c r="G235" s="35" t="s">
        <v>25</v>
      </c>
      <c r="H235" s="35" t="s">
        <v>25</v>
      </c>
      <c r="I235" s="55">
        <v>44531</v>
      </c>
      <c r="J235" s="56">
        <f ca="1">EFEITO!$J$235*EFEITO!$Y$235</f>
        <v>2164.8537796497667</v>
      </c>
      <c r="K235" s="56">
        <f>EFEITO!$L$235*EFEITO!$Z$235</f>
        <v>0</v>
      </c>
      <c r="L235" s="56">
        <f>EFEITO!$N$235*EFEITO!$AA$235</f>
        <v>0</v>
      </c>
      <c r="M235" s="56">
        <f ca="1">$J$235-EFEITO!$K$235*EFEITO!$Y$235</f>
        <v>0</v>
      </c>
      <c r="N235" s="56">
        <f>$K$235-EFEITO!$M$235*EFEITO!$Z$235</f>
        <v>0</v>
      </c>
      <c r="O235" s="56">
        <f>$L$235-EFEITO!$O$235*EFEITO!$AA$235</f>
        <v>0</v>
      </c>
      <c r="P235" s="39"/>
      <c r="Q235" s="39"/>
      <c r="R235" s="39"/>
      <c r="S235" s="39"/>
      <c r="T235" s="39"/>
      <c r="U235" s="39"/>
      <c r="V235" s="39"/>
      <c r="W235" s="39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spans="1:36" ht="11.25" customHeight="1" x14ac:dyDescent="0.2">
      <c r="A236" s="35" t="s">
        <v>21</v>
      </c>
      <c r="B236" s="35" t="s">
        <v>39</v>
      </c>
      <c r="C236" s="35" t="s">
        <v>41</v>
      </c>
      <c r="D236" s="35" t="s">
        <v>42</v>
      </c>
      <c r="E236" s="35" t="s">
        <v>25</v>
      </c>
      <c r="F236" s="35" t="s">
        <v>25</v>
      </c>
      <c r="G236" s="35" t="s">
        <v>25</v>
      </c>
      <c r="H236" s="35" t="s">
        <v>25</v>
      </c>
      <c r="I236" s="55">
        <v>44562</v>
      </c>
      <c r="J236" s="56">
        <f ca="1">EFEITO!$J$236*EFEITO!$Y$236</f>
        <v>114592.92673612764</v>
      </c>
      <c r="K236" s="56">
        <f>EFEITO!$L$236*EFEITO!$Z$236</f>
        <v>0</v>
      </c>
      <c r="L236" s="56">
        <f>EFEITO!$N$236*EFEITO!$AA$236</f>
        <v>0</v>
      </c>
      <c r="M236" s="56">
        <f ca="1">$J$236-EFEITO!$K$236*EFEITO!$Y$236</f>
        <v>0</v>
      </c>
      <c r="N236" s="56">
        <f>$K$236-EFEITO!$M$236*EFEITO!$Z$236</f>
        <v>0</v>
      </c>
      <c r="O236" s="56">
        <f>$L$236-EFEITO!$O$236*EFEITO!$AA$236</f>
        <v>0</v>
      </c>
      <c r="P236" s="39"/>
      <c r="Q236" s="39"/>
      <c r="R236" s="39"/>
      <c r="S236" s="39"/>
      <c r="T236" s="39"/>
      <c r="U236" s="39"/>
      <c r="V236" s="39"/>
      <c r="W236" s="39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spans="1:36" ht="11.25" customHeight="1" x14ac:dyDescent="0.2">
      <c r="A237" s="35" t="s">
        <v>28</v>
      </c>
      <c r="B237" s="35" t="s">
        <v>39</v>
      </c>
      <c r="C237" s="35" t="s">
        <v>41</v>
      </c>
      <c r="D237" s="35" t="s">
        <v>42</v>
      </c>
      <c r="E237" s="35" t="s">
        <v>25</v>
      </c>
      <c r="F237" s="35" t="s">
        <v>25</v>
      </c>
      <c r="G237" s="35" t="s">
        <v>25</v>
      </c>
      <c r="H237" s="35" t="s">
        <v>25</v>
      </c>
      <c r="I237" s="55">
        <v>44562</v>
      </c>
      <c r="J237" s="56">
        <f ca="1">EFEITO!$J$237*EFEITO!$Y$237</f>
        <v>2164.8537796497667</v>
      </c>
      <c r="K237" s="56">
        <f>EFEITO!$L$237*EFEITO!$Z$237</f>
        <v>0</v>
      </c>
      <c r="L237" s="56">
        <f>EFEITO!$N$237*EFEITO!$AA$237</f>
        <v>0</v>
      </c>
      <c r="M237" s="56">
        <f ca="1">$J$237-EFEITO!$K$237*EFEITO!$Y$237</f>
        <v>0</v>
      </c>
      <c r="N237" s="56">
        <f>$K$237-EFEITO!$M$237*EFEITO!$Z$237</f>
        <v>0</v>
      </c>
      <c r="O237" s="56">
        <f>$L$237-EFEITO!$O$237*EFEITO!$AA$237</f>
        <v>0</v>
      </c>
      <c r="P237" s="39"/>
      <c r="Q237" s="39"/>
      <c r="R237" s="39"/>
      <c r="S237" s="39"/>
      <c r="T237" s="39"/>
      <c r="U237" s="39"/>
      <c r="V237" s="39"/>
      <c r="W237" s="39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spans="1:36" ht="11.25" customHeight="1" x14ac:dyDescent="0.2">
      <c r="A238" s="35" t="s">
        <v>21</v>
      </c>
      <c r="B238" s="35" t="s">
        <v>39</v>
      </c>
      <c r="C238" s="35" t="s">
        <v>41</v>
      </c>
      <c r="D238" s="35" t="s">
        <v>42</v>
      </c>
      <c r="E238" s="35" t="s">
        <v>25</v>
      </c>
      <c r="F238" s="35" t="s">
        <v>25</v>
      </c>
      <c r="G238" s="35" t="s">
        <v>25</v>
      </c>
      <c r="H238" s="35" t="s">
        <v>25</v>
      </c>
      <c r="I238" s="55">
        <v>44593</v>
      </c>
      <c r="J238" s="56">
        <f ca="1">EFEITO!$J$238*EFEITO!$Y$238</f>
        <v>115170.22107736758</v>
      </c>
      <c r="K238" s="56">
        <f>EFEITO!$L$238*EFEITO!$Z$238</f>
        <v>0</v>
      </c>
      <c r="L238" s="56">
        <f>EFEITO!$N$238*EFEITO!$AA$238</f>
        <v>0</v>
      </c>
      <c r="M238" s="56">
        <f ca="1">$J$238-EFEITO!$K$238*EFEITO!$Y$238</f>
        <v>0</v>
      </c>
      <c r="N238" s="56">
        <f>$K$238-EFEITO!$M$238*EFEITO!$Z$238</f>
        <v>0</v>
      </c>
      <c r="O238" s="56">
        <f>$L$238-EFEITO!$O$238*EFEITO!$AA$238</f>
        <v>0</v>
      </c>
      <c r="P238" s="39"/>
      <c r="Q238" s="39"/>
      <c r="R238" s="39"/>
      <c r="S238" s="39"/>
      <c r="T238" s="39"/>
      <c r="U238" s="39"/>
      <c r="V238" s="39"/>
      <c r="W238" s="39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spans="1:36" ht="11.25" customHeight="1" x14ac:dyDescent="0.2">
      <c r="A239" s="35" t="s">
        <v>27</v>
      </c>
      <c r="B239" s="35" t="s">
        <v>39</v>
      </c>
      <c r="C239" s="35" t="s">
        <v>41</v>
      </c>
      <c r="D239" s="35" t="s">
        <v>42</v>
      </c>
      <c r="E239" s="35" t="s">
        <v>25</v>
      </c>
      <c r="F239" s="35" t="s">
        <v>25</v>
      </c>
      <c r="G239" s="35" t="s">
        <v>25</v>
      </c>
      <c r="H239" s="35" t="s">
        <v>25</v>
      </c>
      <c r="I239" s="55">
        <v>44593</v>
      </c>
      <c r="J239" s="56">
        <f ca="1">EFEITO!$J$239*EFEITO!$Y$239</f>
        <v>-144.32358530998442</v>
      </c>
      <c r="K239" s="56">
        <f>EFEITO!$L$239*EFEITO!$Z$239</f>
        <v>0</v>
      </c>
      <c r="L239" s="56">
        <f>EFEITO!$N$239*EFEITO!$AA$239</f>
        <v>0</v>
      </c>
      <c r="M239" s="56">
        <f ca="1">$J$239-EFEITO!$K$239*EFEITO!$Y$239</f>
        <v>0</v>
      </c>
      <c r="N239" s="56">
        <f>$K$239-EFEITO!$M$239*EFEITO!$Z$239</f>
        <v>0</v>
      </c>
      <c r="O239" s="56">
        <f>$L$239-EFEITO!$O$239*EFEITO!$AA$239</f>
        <v>0</v>
      </c>
      <c r="P239" s="39"/>
      <c r="Q239" s="39"/>
      <c r="R239" s="39"/>
      <c r="S239" s="39"/>
      <c r="T239" s="39"/>
      <c r="U239" s="39"/>
      <c r="V239" s="39"/>
      <c r="W239" s="39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spans="1:36" ht="11.25" customHeight="1" x14ac:dyDescent="0.2">
      <c r="A240" s="35" t="s">
        <v>28</v>
      </c>
      <c r="B240" s="35" t="s">
        <v>39</v>
      </c>
      <c r="C240" s="35" t="s">
        <v>41</v>
      </c>
      <c r="D240" s="35" t="s">
        <v>42</v>
      </c>
      <c r="E240" s="35" t="s">
        <v>25</v>
      </c>
      <c r="F240" s="35" t="s">
        <v>25</v>
      </c>
      <c r="G240" s="35" t="s">
        <v>25</v>
      </c>
      <c r="H240" s="35" t="s">
        <v>25</v>
      </c>
      <c r="I240" s="55">
        <v>44593</v>
      </c>
      <c r="J240" s="56">
        <f ca="1">EFEITO!$J$240*EFEITO!$Y$240</f>
        <v>2164.8537796497667</v>
      </c>
      <c r="K240" s="56">
        <f>EFEITO!$L$240*EFEITO!$Z$240</f>
        <v>0</v>
      </c>
      <c r="L240" s="56">
        <f>EFEITO!$N$240*EFEITO!$AA$240</f>
        <v>0</v>
      </c>
      <c r="M240" s="56">
        <f ca="1">$J$240-EFEITO!$K$240*EFEITO!$Y$240</f>
        <v>0</v>
      </c>
      <c r="N240" s="56">
        <f>$K$240-EFEITO!$M$240*EFEITO!$Z$240</f>
        <v>0</v>
      </c>
      <c r="O240" s="56">
        <f>$L$240-EFEITO!$O$240*EFEITO!$AA$240</f>
        <v>0</v>
      </c>
      <c r="P240" s="39"/>
      <c r="Q240" s="39"/>
      <c r="R240" s="39"/>
      <c r="S240" s="39"/>
      <c r="T240" s="39"/>
      <c r="U240" s="39"/>
      <c r="V240" s="39"/>
      <c r="W240" s="39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spans="1:36" ht="11.25" customHeight="1" x14ac:dyDescent="0.2">
      <c r="A241" s="35" t="s">
        <v>21</v>
      </c>
      <c r="B241" s="35" t="s">
        <v>39</v>
      </c>
      <c r="C241" s="35" t="s">
        <v>41</v>
      </c>
      <c r="D241" s="35" t="s">
        <v>42</v>
      </c>
      <c r="E241" s="35" t="s">
        <v>25</v>
      </c>
      <c r="F241" s="35" t="s">
        <v>25</v>
      </c>
      <c r="G241" s="35" t="s">
        <v>25</v>
      </c>
      <c r="H241" s="35" t="s">
        <v>25</v>
      </c>
      <c r="I241" s="55">
        <v>44621</v>
      </c>
      <c r="J241" s="56">
        <f ca="1">EFEITO!$J$241*EFEITO!$Y$241</f>
        <v>113887.34476350105</v>
      </c>
      <c r="K241" s="56">
        <f>EFEITO!$L$241*EFEITO!$Z$241</f>
        <v>0</v>
      </c>
      <c r="L241" s="56">
        <f>EFEITO!$N$241*EFEITO!$AA$241</f>
        <v>0</v>
      </c>
      <c r="M241" s="56">
        <f ca="1">$J$241-EFEITO!$K$241*EFEITO!$Y$241</f>
        <v>0</v>
      </c>
      <c r="N241" s="56">
        <f>$K$241-EFEITO!$M$241*EFEITO!$Z$241</f>
        <v>0</v>
      </c>
      <c r="O241" s="56">
        <f>$L$241-EFEITO!$O$241*EFEITO!$AA$241</f>
        <v>0</v>
      </c>
      <c r="P241" s="39"/>
      <c r="Q241" s="39"/>
      <c r="R241" s="39"/>
      <c r="S241" s="39"/>
      <c r="T241" s="39"/>
      <c r="U241" s="39"/>
      <c r="V241" s="39"/>
      <c r="W241" s="39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spans="1:36" ht="11.25" customHeight="1" x14ac:dyDescent="0.2">
      <c r="A242" s="35" t="s">
        <v>28</v>
      </c>
      <c r="B242" s="35" t="s">
        <v>39</v>
      </c>
      <c r="C242" s="35" t="s">
        <v>41</v>
      </c>
      <c r="D242" s="35" t="s">
        <v>42</v>
      </c>
      <c r="E242" s="35" t="s">
        <v>25</v>
      </c>
      <c r="F242" s="35" t="s">
        <v>25</v>
      </c>
      <c r="G242" s="35" t="s">
        <v>25</v>
      </c>
      <c r="H242" s="35" t="s">
        <v>25</v>
      </c>
      <c r="I242" s="55">
        <v>44621</v>
      </c>
      <c r="J242" s="56">
        <f ca="1">EFEITO!$J$242*EFEITO!$Y$242</f>
        <v>2164.8537796497667</v>
      </c>
      <c r="K242" s="56">
        <f>EFEITO!$L$242*EFEITO!$Z$242</f>
        <v>0</v>
      </c>
      <c r="L242" s="56">
        <f>EFEITO!$N$242*EFEITO!$AA$242</f>
        <v>0</v>
      </c>
      <c r="M242" s="56">
        <f ca="1">$J$242-EFEITO!$K$242*EFEITO!$Y$242</f>
        <v>0</v>
      </c>
      <c r="N242" s="56">
        <f>$K$242-EFEITO!$M$242*EFEITO!$Z$242</f>
        <v>0</v>
      </c>
      <c r="O242" s="56">
        <f>$L$242-EFEITO!$O$242*EFEITO!$AA$242</f>
        <v>0</v>
      </c>
      <c r="P242" s="39"/>
      <c r="Q242" s="39"/>
      <c r="R242" s="39"/>
      <c r="S242" s="39"/>
      <c r="T242" s="39"/>
      <c r="U242" s="39"/>
      <c r="V242" s="39"/>
      <c r="W242" s="39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spans="1:36" ht="11.25" customHeight="1" x14ac:dyDescent="0.2">
      <c r="A243" s="35" t="s">
        <v>21</v>
      </c>
      <c r="B243" s="35" t="s">
        <v>39</v>
      </c>
      <c r="C243" s="35" t="s">
        <v>41</v>
      </c>
      <c r="D243" s="35" t="s">
        <v>42</v>
      </c>
      <c r="E243" s="35" t="s">
        <v>25</v>
      </c>
      <c r="F243" s="35" t="s">
        <v>25</v>
      </c>
      <c r="G243" s="35" t="s">
        <v>25</v>
      </c>
      <c r="H243" s="35" t="s">
        <v>25</v>
      </c>
      <c r="I243" s="55">
        <v>44652</v>
      </c>
      <c r="J243" s="56">
        <f ca="1">EFEITO!$J$243*EFEITO!$Y$243</f>
        <v>108659.62378449495</v>
      </c>
      <c r="K243" s="56">
        <f>EFEITO!$L$243*EFEITO!$Z$243</f>
        <v>0</v>
      </c>
      <c r="L243" s="56">
        <f>EFEITO!$N$243*EFEITO!$AA$243</f>
        <v>0</v>
      </c>
      <c r="M243" s="56">
        <f ca="1">$J$243-EFEITO!$K$243*EFEITO!$Y$243</f>
        <v>0</v>
      </c>
      <c r="N243" s="56">
        <f>$K$243-EFEITO!$M$243*EFEITO!$Z$243</f>
        <v>0</v>
      </c>
      <c r="O243" s="56">
        <f>$L$243-EFEITO!$O$243*EFEITO!$AA$243</f>
        <v>0</v>
      </c>
      <c r="P243" s="39"/>
      <c r="Q243" s="39"/>
      <c r="R243" s="39"/>
      <c r="S243" s="39"/>
      <c r="T243" s="39"/>
      <c r="U243" s="39"/>
      <c r="V243" s="39"/>
      <c r="W243" s="39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spans="1:36" ht="11.25" customHeight="1" x14ac:dyDescent="0.2">
      <c r="A244" s="35" t="s">
        <v>28</v>
      </c>
      <c r="B244" s="35" t="s">
        <v>39</v>
      </c>
      <c r="C244" s="35" t="s">
        <v>41</v>
      </c>
      <c r="D244" s="35" t="s">
        <v>42</v>
      </c>
      <c r="E244" s="35" t="s">
        <v>25</v>
      </c>
      <c r="F244" s="35" t="s">
        <v>25</v>
      </c>
      <c r="G244" s="35" t="s">
        <v>25</v>
      </c>
      <c r="H244" s="35" t="s">
        <v>25</v>
      </c>
      <c r="I244" s="55">
        <v>44652</v>
      </c>
      <c r="J244" s="56">
        <f ca="1">EFEITO!$J$244*EFEITO!$Y$244</f>
        <v>2164.8537796497667</v>
      </c>
      <c r="K244" s="56">
        <f>EFEITO!$L$244*EFEITO!$Z$244</f>
        <v>0</v>
      </c>
      <c r="L244" s="56">
        <f>EFEITO!$N$244*EFEITO!$AA$244</f>
        <v>0</v>
      </c>
      <c r="M244" s="56">
        <f ca="1">$J$244-EFEITO!$K$244*EFEITO!$Y$244</f>
        <v>0</v>
      </c>
      <c r="N244" s="56">
        <f>$K$244-EFEITO!$M$244*EFEITO!$Z$244</f>
        <v>0</v>
      </c>
      <c r="O244" s="56">
        <f>$L$244-EFEITO!$O$244*EFEITO!$AA$244</f>
        <v>0</v>
      </c>
      <c r="P244" s="39"/>
      <c r="Q244" s="39"/>
      <c r="R244" s="39"/>
      <c r="S244" s="39"/>
      <c r="T244" s="39"/>
      <c r="U244" s="39"/>
      <c r="V244" s="39"/>
      <c r="W244" s="39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spans="1:36" ht="11.25" customHeight="1" x14ac:dyDescent="0.2">
      <c r="A245" s="35" t="s">
        <v>21</v>
      </c>
      <c r="B245" s="35" t="s">
        <v>39</v>
      </c>
      <c r="C245" s="35" t="s">
        <v>41</v>
      </c>
      <c r="D245" s="35" t="s">
        <v>42</v>
      </c>
      <c r="E245" s="35" t="s">
        <v>25</v>
      </c>
      <c r="F245" s="35" t="s">
        <v>25</v>
      </c>
      <c r="G245" s="35" t="s">
        <v>25</v>
      </c>
      <c r="H245" s="35" t="s">
        <v>25</v>
      </c>
      <c r="I245" s="55">
        <v>44682</v>
      </c>
      <c r="J245" s="56">
        <f ca="1">EFEITO!$J$245*EFEITO!$Y$245</f>
        <v>106831.52503723514</v>
      </c>
      <c r="K245" s="56">
        <f>EFEITO!$L$245*EFEITO!$Z$245</f>
        <v>0</v>
      </c>
      <c r="L245" s="56">
        <f>EFEITO!$N$245*EFEITO!$AA$245</f>
        <v>0</v>
      </c>
      <c r="M245" s="56">
        <f ca="1">$J$245-EFEITO!$K$245*EFEITO!$Y$245</f>
        <v>0</v>
      </c>
      <c r="N245" s="56">
        <f>$K$245-EFEITO!$M$245*EFEITO!$Z$245</f>
        <v>0</v>
      </c>
      <c r="O245" s="56">
        <f>$L$245-EFEITO!$O$245*EFEITO!$AA$245</f>
        <v>0</v>
      </c>
      <c r="P245" s="39"/>
      <c r="Q245" s="39"/>
      <c r="R245" s="39"/>
      <c r="S245" s="39"/>
      <c r="T245" s="39"/>
      <c r="U245" s="39"/>
      <c r="V245" s="39"/>
      <c r="W245" s="39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spans="1:36" ht="11.25" customHeight="1" x14ac:dyDescent="0.2">
      <c r="A246" s="35" t="s">
        <v>28</v>
      </c>
      <c r="B246" s="35" t="s">
        <v>39</v>
      </c>
      <c r="C246" s="35" t="s">
        <v>41</v>
      </c>
      <c r="D246" s="35" t="s">
        <v>42</v>
      </c>
      <c r="E246" s="35" t="s">
        <v>25</v>
      </c>
      <c r="F246" s="35" t="s">
        <v>25</v>
      </c>
      <c r="G246" s="35" t="s">
        <v>25</v>
      </c>
      <c r="H246" s="35" t="s">
        <v>25</v>
      </c>
      <c r="I246" s="55">
        <v>44682</v>
      </c>
      <c r="J246" s="56">
        <f ca="1">EFEITO!$J$246*EFEITO!$Y$246</f>
        <v>3127.011015049663</v>
      </c>
      <c r="K246" s="56">
        <f>EFEITO!$L$246*EFEITO!$Z$246</f>
        <v>0</v>
      </c>
      <c r="L246" s="56">
        <f>EFEITO!$N$246*EFEITO!$AA$246</f>
        <v>0</v>
      </c>
      <c r="M246" s="56">
        <f ca="1">$J$246-EFEITO!$K$246*EFEITO!$Y$246</f>
        <v>0</v>
      </c>
      <c r="N246" s="56">
        <f>$K$246-EFEITO!$M$246*EFEITO!$Z$246</f>
        <v>0</v>
      </c>
      <c r="O246" s="56">
        <f>$L$246-EFEITO!$O$246*EFEITO!$AA$246</f>
        <v>0</v>
      </c>
      <c r="P246" s="39"/>
      <c r="Q246" s="39"/>
      <c r="R246" s="39"/>
      <c r="S246" s="39"/>
      <c r="T246" s="39"/>
      <c r="U246" s="39"/>
      <c r="V246" s="39"/>
      <c r="W246" s="39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spans="1:36" ht="11.25" customHeight="1" x14ac:dyDescent="0.2">
      <c r="A247" s="35" t="s">
        <v>21</v>
      </c>
      <c r="B247" s="35" t="s">
        <v>39</v>
      </c>
      <c r="C247" s="35" t="s">
        <v>41</v>
      </c>
      <c r="D247" s="35" t="s">
        <v>42</v>
      </c>
      <c r="E247" s="35" t="s">
        <v>25</v>
      </c>
      <c r="F247" s="35" t="s">
        <v>25</v>
      </c>
      <c r="G247" s="35" t="s">
        <v>25</v>
      </c>
      <c r="H247" s="35" t="s">
        <v>25</v>
      </c>
      <c r="I247" s="55">
        <v>44713</v>
      </c>
      <c r="J247" s="56">
        <f ca="1">EFEITO!$J$247*EFEITO!$Y$247</f>
        <v>105532.61276944529</v>
      </c>
      <c r="K247" s="56">
        <f>EFEITO!$L$247*EFEITO!$Z$247</f>
        <v>0</v>
      </c>
      <c r="L247" s="56">
        <f>EFEITO!$N$247*EFEITO!$AA$247</f>
        <v>0</v>
      </c>
      <c r="M247" s="56">
        <f ca="1">$J$247-EFEITO!$K$247*EFEITO!$Y$247</f>
        <v>0</v>
      </c>
      <c r="N247" s="56">
        <f>$K$247-EFEITO!$M$247*EFEITO!$Z$247</f>
        <v>0</v>
      </c>
      <c r="O247" s="56">
        <f>$L$247-EFEITO!$O$247*EFEITO!$AA$247</f>
        <v>0</v>
      </c>
      <c r="P247" s="39"/>
      <c r="Q247" s="39"/>
      <c r="R247" s="39"/>
      <c r="S247" s="39"/>
      <c r="T247" s="39"/>
      <c r="U247" s="39"/>
      <c r="V247" s="39"/>
      <c r="W247" s="39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spans="1:36" ht="11.25" customHeight="1" x14ac:dyDescent="0.2">
      <c r="A248" s="35" t="s">
        <v>28</v>
      </c>
      <c r="B248" s="35" t="s">
        <v>39</v>
      </c>
      <c r="C248" s="35" t="s">
        <v>41</v>
      </c>
      <c r="D248" s="35" t="s">
        <v>42</v>
      </c>
      <c r="E248" s="35" t="s">
        <v>25</v>
      </c>
      <c r="F248" s="35" t="s">
        <v>25</v>
      </c>
      <c r="G248" s="35" t="s">
        <v>25</v>
      </c>
      <c r="H248" s="35" t="s">
        <v>25</v>
      </c>
      <c r="I248" s="55">
        <v>44713</v>
      </c>
      <c r="J248" s="56">
        <f ca="1">EFEITO!$J$248*EFEITO!$Y$248</f>
        <v>3608.0896327496112</v>
      </c>
      <c r="K248" s="56">
        <f>EFEITO!$L$248*EFEITO!$Z$248</f>
        <v>0</v>
      </c>
      <c r="L248" s="56">
        <f>EFEITO!$N$248*EFEITO!$AA$248</f>
        <v>0</v>
      </c>
      <c r="M248" s="56">
        <f ca="1">$J$248-EFEITO!$K$248*EFEITO!$Y$248</f>
        <v>0</v>
      </c>
      <c r="N248" s="56">
        <f>$K$248-EFEITO!$M$248*EFEITO!$Z$248</f>
        <v>0</v>
      </c>
      <c r="O248" s="56">
        <f>$L$248-EFEITO!$O$248*EFEITO!$AA$248</f>
        <v>0</v>
      </c>
      <c r="P248" s="39"/>
      <c r="Q248" s="39"/>
      <c r="R248" s="39"/>
      <c r="S248" s="39"/>
      <c r="T248" s="39"/>
      <c r="U248" s="39"/>
      <c r="V248" s="39"/>
      <c r="W248" s="39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spans="1:36" ht="11.25" customHeight="1" x14ac:dyDescent="0.2">
      <c r="A249" s="35" t="s">
        <v>21</v>
      </c>
      <c r="B249" s="35" t="s">
        <v>39</v>
      </c>
      <c r="C249" s="35" t="s">
        <v>41</v>
      </c>
      <c r="D249" s="35" t="s">
        <v>42</v>
      </c>
      <c r="E249" s="35" t="s">
        <v>25</v>
      </c>
      <c r="F249" s="35" t="s">
        <v>25</v>
      </c>
      <c r="G249" s="35" t="s">
        <v>25</v>
      </c>
      <c r="H249" s="35" t="s">
        <v>25</v>
      </c>
      <c r="I249" s="55">
        <v>44743</v>
      </c>
      <c r="J249" s="56">
        <f ca="1">EFEITO!$J$249*EFEITO!$Y$249</f>
        <v>103111.18372702222</v>
      </c>
      <c r="K249" s="56">
        <f>EFEITO!$L$249*EFEITO!$Z$249</f>
        <v>0</v>
      </c>
      <c r="L249" s="56">
        <f>EFEITO!$N$249*EFEITO!$AA$249</f>
        <v>0</v>
      </c>
      <c r="M249" s="56">
        <f ca="1">$J$249-EFEITO!$K$249*EFEITO!$Y$249</f>
        <v>0</v>
      </c>
      <c r="N249" s="56">
        <f>$K$249-EFEITO!$M$249*EFEITO!$Z$249</f>
        <v>0</v>
      </c>
      <c r="O249" s="56">
        <f>$L$249-EFEITO!$O$249*EFEITO!$AA$249</f>
        <v>0</v>
      </c>
      <c r="P249" s="39"/>
      <c r="Q249" s="39"/>
      <c r="R249" s="39"/>
      <c r="S249" s="39"/>
      <c r="T249" s="39"/>
      <c r="U249" s="39"/>
      <c r="V249" s="39"/>
      <c r="W249" s="39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spans="1:36" ht="11.25" customHeight="1" x14ac:dyDescent="0.2">
      <c r="A250" s="35" t="s">
        <v>21</v>
      </c>
      <c r="B250" s="35" t="s">
        <v>39</v>
      </c>
      <c r="C250" s="35" t="s">
        <v>41</v>
      </c>
      <c r="D250" s="35" t="s">
        <v>42</v>
      </c>
      <c r="E250" s="35" t="s">
        <v>25</v>
      </c>
      <c r="F250" s="35" t="s">
        <v>25</v>
      </c>
      <c r="G250" s="35" t="s">
        <v>25</v>
      </c>
      <c r="H250" s="35" t="s">
        <v>25</v>
      </c>
      <c r="I250" s="55">
        <v>44774</v>
      </c>
      <c r="J250" s="56">
        <f ca="1">EFEITO!$J$250*EFEITO!$Y$250</f>
        <v>102950.82418778889</v>
      </c>
      <c r="K250" s="56">
        <f>EFEITO!$L$250*EFEITO!$Z$250</f>
        <v>0</v>
      </c>
      <c r="L250" s="56">
        <f>EFEITO!$N$250*EFEITO!$AA$250</f>
        <v>0</v>
      </c>
      <c r="M250" s="56">
        <f ca="1">$J$250-EFEITO!$K$250*EFEITO!$Y$250</f>
        <v>0</v>
      </c>
      <c r="N250" s="56">
        <f>$K$250-EFEITO!$M$250*EFEITO!$Z$250</f>
        <v>0</v>
      </c>
      <c r="O250" s="56">
        <f>$L$250-EFEITO!$O$250*EFEITO!$AA$250</f>
        <v>0</v>
      </c>
      <c r="P250" s="39"/>
      <c r="Q250" s="39"/>
      <c r="R250" s="39"/>
      <c r="S250" s="39"/>
      <c r="T250" s="39"/>
      <c r="U250" s="39"/>
      <c r="V250" s="39"/>
      <c r="W250" s="39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spans="1:36" ht="11.25" customHeight="1" x14ac:dyDescent="0.2">
      <c r="A251" s="35" t="s">
        <v>28</v>
      </c>
      <c r="B251" s="35" t="s">
        <v>39</v>
      </c>
      <c r="C251" s="35" t="s">
        <v>41</v>
      </c>
      <c r="D251" s="35" t="s">
        <v>42</v>
      </c>
      <c r="E251" s="35" t="s">
        <v>25</v>
      </c>
      <c r="F251" s="35" t="s">
        <v>25</v>
      </c>
      <c r="G251" s="35" t="s">
        <v>25</v>
      </c>
      <c r="H251" s="35" t="s">
        <v>25</v>
      </c>
      <c r="I251" s="55">
        <v>44774</v>
      </c>
      <c r="J251" s="56">
        <f ca="1">EFEITO!$J$251*EFEITO!$Y$251</f>
        <v>7568.9702518125168</v>
      </c>
      <c r="K251" s="56">
        <f>EFEITO!$L$251*EFEITO!$Z$251</f>
        <v>0</v>
      </c>
      <c r="L251" s="56">
        <f>EFEITO!$N$251*EFEITO!$AA$251</f>
        <v>0</v>
      </c>
      <c r="M251" s="56">
        <f ca="1">$J$251-EFEITO!$K$251*EFEITO!$Y$251</f>
        <v>0</v>
      </c>
      <c r="N251" s="56">
        <f>$K$251-EFEITO!$M$251*EFEITO!$Z$251</f>
        <v>0</v>
      </c>
      <c r="O251" s="56">
        <f>$L$251-EFEITO!$O$251*EFEITO!$AA$251</f>
        <v>0</v>
      </c>
      <c r="P251" s="39"/>
      <c r="Q251" s="39"/>
      <c r="R251" s="39"/>
      <c r="S251" s="39"/>
      <c r="T251" s="39"/>
      <c r="U251" s="39"/>
      <c r="V251" s="39"/>
      <c r="W251" s="39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spans="1:36" ht="11.25" customHeight="1" x14ac:dyDescent="0.2">
      <c r="A252" s="35" t="s">
        <v>21</v>
      </c>
      <c r="B252" s="35" t="s">
        <v>39</v>
      </c>
      <c r="C252" s="35" t="s">
        <v>41</v>
      </c>
      <c r="D252" s="35" t="s">
        <v>42</v>
      </c>
      <c r="E252" s="35" t="s">
        <v>25</v>
      </c>
      <c r="F252" s="35" t="s">
        <v>25</v>
      </c>
      <c r="G252" s="35" t="s">
        <v>25</v>
      </c>
      <c r="H252" s="35" t="s">
        <v>25</v>
      </c>
      <c r="I252" s="55">
        <v>44805</v>
      </c>
      <c r="J252" s="56">
        <f ca="1">EFEITO!$J$252*EFEITO!$Y$252</f>
        <v>102950.82418778889</v>
      </c>
      <c r="K252" s="56">
        <f>EFEITO!$L$252*EFEITO!$Z$252</f>
        <v>0</v>
      </c>
      <c r="L252" s="56">
        <f>EFEITO!$N$252*EFEITO!$AA$252</f>
        <v>0</v>
      </c>
      <c r="M252" s="56">
        <f ca="1">$J$252-EFEITO!$K$252*EFEITO!$Y$252</f>
        <v>0</v>
      </c>
      <c r="N252" s="56">
        <f>$K$252-EFEITO!$M$252*EFEITO!$Z$252</f>
        <v>0</v>
      </c>
      <c r="O252" s="56">
        <f>$L$252-EFEITO!$O$252*EFEITO!$AA$252</f>
        <v>0</v>
      </c>
      <c r="P252" s="39"/>
      <c r="Q252" s="39"/>
      <c r="R252" s="39"/>
      <c r="S252" s="39"/>
      <c r="T252" s="39"/>
      <c r="U252" s="39"/>
      <c r="V252" s="39"/>
      <c r="W252" s="39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spans="1:36" ht="11.25" customHeight="1" x14ac:dyDescent="0.2">
      <c r="A253" s="35" t="s">
        <v>28</v>
      </c>
      <c r="B253" s="35" t="s">
        <v>39</v>
      </c>
      <c r="C253" s="35" t="s">
        <v>41</v>
      </c>
      <c r="D253" s="35" t="s">
        <v>42</v>
      </c>
      <c r="E253" s="35" t="s">
        <v>25</v>
      </c>
      <c r="F253" s="35" t="s">
        <v>25</v>
      </c>
      <c r="G253" s="35" t="s">
        <v>25</v>
      </c>
      <c r="H253" s="35" t="s">
        <v>25</v>
      </c>
      <c r="I253" s="55">
        <v>44805</v>
      </c>
      <c r="J253" s="56">
        <f ca="1">EFEITO!$J$253*EFEITO!$Y$253</f>
        <v>7568.9702518125168</v>
      </c>
      <c r="K253" s="56">
        <f>EFEITO!$L$253*EFEITO!$Z$253</f>
        <v>0</v>
      </c>
      <c r="L253" s="56">
        <f>EFEITO!$N$253*EFEITO!$AA$253</f>
        <v>0</v>
      </c>
      <c r="M253" s="56">
        <f ca="1">$J$253-EFEITO!$K$253*EFEITO!$Y$253</f>
        <v>0</v>
      </c>
      <c r="N253" s="56">
        <f>$K$253-EFEITO!$M$253*EFEITO!$Z$253</f>
        <v>0</v>
      </c>
      <c r="O253" s="56">
        <f>$L$253-EFEITO!$O$253*EFEITO!$AA$253</f>
        <v>0</v>
      </c>
      <c r="P253" s="39"/>
      <c r="Q253" s="39"/>
      <c r="R253" s="39"/>
      <c r="S253" s="39"/>
      <c r="T253" s="39"/>
      <c r="U253" s="39"/>
      <c r="V253" s="39"/>
      <c r="W253" s="39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spans="1:36" ht="11.25" customHeight="1" x14ac:dyDescent="0.2">
      <c r="A254" s="35" t="s">
        <v>53</v>
      </c>
      <c r="B254" s="35" t="s">
        <v>39</v>
      </c>
      <c r="C254" s="35" t="s">
        <v>41</v>
      </c>
      <c r="D254" s="35" t="s">
        <v>42</v>
      </c>
      <c r="E254" s="35" t="s">
        <v>25</v>
      </c>
      <c r="F254" s="35" t="s">
        <v>25</v>
      </c>
      <c r="G254" s="35" t="s">
        <v>25</v>
      </c>
      <c r="H254" s="35" t="s">
        <v>25</v>
      </c>
      <c r="I254" s="55">
        <v>44835</v>
      </c>
      <c r="J254" s="56">
        <f ca="1">EFEITO!$J$254*EFEITO!$Y$254</f>
        <v>102950.82418778889</v>
      </c>
      <c r="K254" s="56">
        <f>EFEITO!$L$254*EFEITO!$Z$254</f>
        <v>0</v>
      </c>
      <c r="L254" s="56">
        <f>EFEITO!$N$254*EFEITO!$AA$254</f>
        <v>0</v>
      </c>
      <c r="M254" s="56">
        <f ca="1">$J$254-EFEITO!$K$254*EFEITO!$Y$254</f>
        <v>0</v>
      </c>
      <c r="N254" s="56">
        <f>$K$254-EFEITO!$M$254*EFEITO!$Z$254</f>
        <v>0</v>
      </c>
      <c r="O254" s="56">
        <f>$L$254-EFEITO!$O$254*EFEITO!$AA$254</f>
        <v>0</v>
      </c>
      <c r="P254" s="39"/>
      <c r="Q254" s="39"/>
      <c r="R254" s="39"/>
      <c r="S254" s="39"/>
      <c r="T254" s="39"/>
      <c r="U254" s="39"/>
      <c r="V254" s="39"/>
      <c r="W254" s="39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spans="1:36" ht="11.25" customHeight="1" x14ac:dyDescent="0.2">
      <c r="A255" s="35" t="s">
        <v>53</v>
      </c>
      <c r="B255" s="35" t="s">
        <v>39</v>
      </c>
      <c r="C255" s="35" t="s">
        <v>41</v>
      </c>
      <c r="D255" s="35" t="s">
        <v>42</v>
      </c>
      <c r="E255" s="35" t="s">
        <v>25</v>
      </c>
      <c r="F255" s="35" t="s">
        <v>25</v>
      </c>
      <c r="G255" s="35" t="s">
        <v>25</v>
      </c>
      <c r="H255" s="35" t="s">
        <v>25</v>
      </c>
      <c r="I255" s="55">
        <v>44835</v>
      </c>
      <c r="J255" s="56">
        <f ca="1">EFEITO!$J$255*EFEITO!$Y$255</f>
        <v>7568.9702518125168</v>
      </c>
      <c r="K255" s="56">
        <f>EFEITO!$L$255*EFEITO!$Z$255</f>
        <v>0</v>
      </c>
      <c r="L255" s="56">
        <f>EFEITO!$N$255*EFEITO!$AA$255</f>
        <v>0</v>
      </c>
      <c r="M255" s="56">
        <f ca="1">$J$255-EFEITO!$K$255*EFEITO!$Y$255</f>
        <v>0</v>
      </c>
      <c r="N255" s="56">
        <f>$K$255-EFEITO!$M$255*EFEITO!$Z$255</f>
        <v>0</v>
      </c>
      <c r="O255" s="56">
        <f>$L$255-EFEITO!$O$255*EFEITO!$AA$255</f>
        <v>0</v>
      </c>
      <c r="P255" s="39"/>
      <c r="Q255" s="39"/>
      <c r="R255" s="39"/>
      <c r="S255" s="39"/>
      <c r="T255" s="39"/>
      <c r="U255" s="39"/>
      <c r="V255" s="39"/>
      <c r="W255" s="39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spans="1:36" ht="11.25" customHeight="1" x14ac:dyDescent="0.2">
      <c r="A256" s="35" t="s">
        <v>21</v>
      </c>
      <c r="B256" s="35" t="s">
        <v>39</v>
      </c>
      <c r="C256" s="35" t="s">
        <v>41</v>
      </c>
      <c r="D256" s="35" t="s">
        <v>42</v>
      </c>
      <c r="E256" s="35" t="s">
        <v>25</v>
      </c>
      <c r="F256" s="35" t="s">
        <v>25</v>
      </c>
      <c r="G256" s="35" t="s">
        <v>25</v>
      </c>
      <c r="H256" s="35" t="s">
        <v>34</v>
      </c>
      <c r="I256" s="55">
        <v>44501</v>
      </c>
      <c r="J256" s="56">
        <f>EFEITO!$J$256*EFEITO!$Y$256</f>
        <v>0</v>
      </c>
      <c r="K256" s="56">
        <f ca="1">EFEITO!$L$256*EFEITO!$Z$256</f>
        <v>124304.77140623519</v>
      </c>
      <c r="L256" s="56">
        <f>EFEITO!$N$256*EFEITO!$AA$256</f>
        <v>54092.665419411875</v>
      </c>
      <c r="M256" s="56">
        <f>$J$256-EFEITO!$K$256*EFEITO!$Y$256</f>
        <v>0</v>
      </c>
      <c r="N256" s="56">
        <f ca="1">$K$256-EFEITO!$M$256*EFEITO!$Z$256</f>
        <v>0</v>
      </c>
      <c r="O256" s="56">
        <f>$L$256-EFEITO!$O$256*EFEITO!$AA$256</f>
        <v>0</v>
      </c>
      <c r="P256" s="39"/>
      <c r="Q256" s="39"/>
      <c r="R256" s="39"/>
      <c r="S256" s="39"/>
      <c r="T256" s="39"/>
      <c r="U256" s="39"/>
      <c r="V256" s="39"/>
      <c r="W256" s="39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spans="1:36" ht="11.25" customHeight="1" x14ac:dyDescent="0.2">
      <c r="A257" s="35" t="s">
        <v>28</v>
      </c>
      <c r="B257" s="35" t="s">
        <v>39</v>
      </c>
      <c r="C257" s="35" t="s">
        <v>41</v>
      </c>
      <c r="D257" s="35" t="s">
        <v>42</v>
      </c>
      <c r="E257" s="35" t="s">
        <v>25</v>
      </c>
      <c r="F257" s="35" t="s">
        <v>25</v>
      </c>
      <c r="G257" s="35" t="s">
        <v>25</v>
      </c>
      <c r="H257" s="35" t="s">
        <v>34</v>
      </c>
      <c r="I257" s="55">
        <v>44501</v>
      </c>
      <c r="J257" s="56">
        <f>EFEITO!$J$257*EFEITO!$Y$257</f>
        <v>0</v>
      </c>
      <c r="K257" s="56">
        <f ca="1">EFEITO!$L$257*EFEITO!$Z$257</f>
        <v>3167.926135908262</v>
      </c>
      <c r="L257" s="56">
        <f>EFEITO!$N$257*EFEITO!$AA$257</f>
        <v>1378.5598622202233</v>
      </c>
      <c r="M257" s="56">
        <f>$J$257-EFEITO!$K$257*EFEITO!$Y$257</f>
        <v>0</v>
      </c>
      <c r="N257" s="56">
        <f ca="1">$K$257-EFEITO!$M$257*EFEITO!$Z$257</f>
        <v>0</v>
      </c>
      <c r="O257" s="56">
        <f>$L$257-EFEITO!$O$257*EFEITO!$AA$257</f>
        <v>0</v>
      </c>
      <c r="P257" s="39"/>
      <c r="Q257" s="39"/>
      <c r="R257" s="39"/>
      <c r="S257" s="39"/>
      <c r="T257" s="39"/>
      <c r="U257" s="39"/>
      <c r="V257" s="39"/>
      <c r="W257" s="39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spans="1:36" ht="11.25" customHeight="1" x14ac:dyDescent="0.2">
      <c r="A258" s="35" t="s">
        <v>21</v>
      </c>
      <c r="B258" s="35" t="s">
        <v>39</v>
      </c>
      <c r="C258" s="35" t="s">
        <v>41</v>
      </c>
      <c r="D258" s="35" t="s">
        <v>42</v>
      </c>
      <c r="E258" s="35" t="s">
        <v>25</v>
      </c>
      <c r="F258" s="35" t="s">
        <v>25</v>
      </c>
      <c r="G258" s="35" t="s">
        <v>25</v>
      </c>
      <c r="H258" s="35" t="s">
        <v>34</v>
      </c>
      <c r="I258" s="55">
        <v>44531</v>
      </c>
      <c r="J258" s="56">
        <f>EFEITO!$J$258*EFEITO!$Y$258</f>
        <v>0</v>
      </c>
      <c r="K258" s="56">
        <f ca="1">EFEITO!$L$258*EFEITO!$Z$258</f>
        <v>142154.25783466961</v>
      </c>
      <c r="L258" s="56">
        <f>EFEITO!$N$258*EFEITO!$AA$258</f>
        <v>61860.076809649181</v>
      </c>
      <c r="M258" s="56">
        <f>$J$258-EFEITO!$K$258*EFEITO!$Y$258</f>
        <v>0</v>
      </c>
      <c r="N258" s="56">
        <f ca="1">$K$258-EFEITO!$M$258*EFEITO!$Z$258</f>
        <v>0</v>
      </c>
      <c r="O258" s="56">
        <f>$L$258-EFEITO!$O$258*EFEITO!$AA$258</f>
        <v>0</v>
      </c>
      <c r="P258" s="39"/>
      <c r="Q258" s="39"/>
      <c r="R258" s="39"/>
      <c r="S258" s="39"/>
      <c r="T258" s="39"/>
      <c r="U258" s="39"/>
      <c r="V258" s="39"/>
      <c r="W258" s="39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spans="1:36" ht="11.25" customHeight="1" x14ac:dyDescent="0.2">
      <c r="A259" s="35" t="s">
        <v>28</v>
      </c>
      <c r="B259" s="35" t="s">
        <v>39</v>
      </c>
      <c r="C259" s="35" t="s">
        <v>41</v>
      </c>
      <c r="D259" s="35" t="s">
        <v>42</v>
      </c>
      <c r="E259" s="35" t="s">
        <v>25</v>
      </c>
      <c r="F259" s="35" t="s">
        <v>25</v>
      </c>
      <c r="G259" s="35" t="s">
        <v>25</v>
      </c>
      <c r="H259" s="35" t="s">
        <v>34</v>
      </c>
      <c r="I259" s="55">
        <v>44531</v>
      </c>
      <c r="J259" s="56">
        <f>EFEITO!$J$259*EFEITO!$Y$259</f>
        <v>0</v>
      </c>
      <c r="K259" s="56">
        <f ca="1">EFEITO!$L$259*EFEITO!$Z$259</f>
        <v>2862.7589393299431</v>
      </c>
      <c r="L259" s="56">
        <f>EFEITO!$N$259*EFEITO!$AA$259</f>
        <v>1245.7628112724035</v>
      </c>
      <c r="M259" s="56">
        <f>$J$259-EFEITO!$K$259*EFEITO!$Y$259</f>
        <v>0</v>
      </c>
      <c r="N259" s="56">
        <f ca="1">$K$259-EFEITO!$M$259*EFEITO!$Z$259</f>
        <v>0</v>
      </c>
      <c r="O259" s="56">
        <f>$L$259-EFEITO!$O$259*EFEITO!$AA$259</f>
        <v>0</v>
      </c>
      <c r="P259" s="39"/>
      <c r="Q259" s="39"/>
      <c r="R259" s="39"/>
      <c r="S259" s="39"/>
      <c r="T259" s="39"/>
      <c r="U259" s="39"/>
      <c r="V259" s="39"/>
      <c r="W259" s="39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spans="1:36" ht="11.25" customHeight="1" x14ac:dyDescent="0.2">
      <c r="A260" s="35" t="s">
        <v>21</v>
      </c>
      <c r="B260" s="35" t="s">
        <v>39</v>
      </c>
      <c r="C260" s="35" t="s">
        <v>41</v>
      </c>
      <c r="D260" s="35" t="s">
        <v>42</v>
      </c>
      <c r="E260" s="35" t="s">
        <v>25</v>
      </c>
      <c r="F260" s="35" t="s">
        <v>25</v>
      </c>
      <c r="G260" s="35" t="s">
        <v>25</v>
      </c>
      <c r="H260" s="35" t="s">
        <v>34</v>
      </c>
      <c r="I260" s="55">
        <v>44562</v>
      </c>
      <c r="J260" s="56">
        <f>EFEITO!$J$260*EFEITO!$Y$260</f>
        <v>0</v>
      </c>
      <c r="K260" s="56">
        <f ca="1">EFEITO!$L$260*EFEITO!$Z$260</f>
        <v>147111.82749336865</v>
      </c>
      <c r="L260" s="56">
        <f>EFEITO!$N$260*EFEITO!$AA$260</f>
        <v>64017.420842446176</v>
      </c>
      <c r="M260" s="56">
        <f>$J$260-EFEITO!$K$260*EFEITO!$Y$260</f>
        <v>0</v>
      </c>
      <c r="N260" s="56">
        <f ca="1">$K$260-EFEITO!$M$260*EFEITO!$Z$260</f>
        <v>0</v>
      </c>
      <c r="O260" s="56">
        <f>$L$260-EFEITO!$O$260*EFEITO!$AA$260</f>
        <v>0</v>
      </c>
      <c r="P260" s="39"/>
      <c r="Q260" s="39"/>
      <c r="R260" s="39"/>
      <c r="S260" s="39"/>
      <c r="T260" s="39"/>
      <c r="U260" s="39"/>
      <c r="V260" s="39"/>
      <c r="W260" s="39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spans="1:36" ht="11.25" customHeight="1" x14ac:dyDescent="0.2">
      <c r="A261" s="35" t="s">
        <v>28</v>
      </c>
      <c r="B261" s="35" t="s">
        <v>39</v>
      </c>
      <c r="C261" s="35" t="s">
        <v>41</v>
      </c>
      <c r="D261" s="35" t="s">
        <v>42</v>
      </c>
      <c r="E261" s="35" t="s">
        <v>25</v>
      </c>
      <c r="F261" s="35" t="s">
        <v>25</v>
      </c>
      <c r="G261" s="35" t="s">
        <v>25</v>
      </c>
      <c r="H261" s="35" t="s">
        <v>34</v>
      </c>
      <c r="I261" s="55">
        <v>44562</v>
      </c>
      <c r="J261" s="56">
        <f>EFEITO!$J$261*EFEITO!$Y$261</f>
        <v>0</v>
      </c>
      <c r="K261" s="56">
        <f ca="1">EFEITO!$L$261*EFEITO!$Z$261</f>
        <v>3530.1025889902226</v>
      </c>
      <c r="L261" s="56">
        <f>EFEITO!$N$261*EFEITO!$AA$261</f>
        <v>1536.1651534549981</v>
      </c>
      <c r="M261" s="56">
        <f>$J$261-EFEITO!$K$261*EFEITO!$Y$261</f>
        <v>0</v>
      </c>
      <c r="N261" s="56">
        <f ca="1">$K$261-EFEITO!$M$261*EFEITO!$Z$261</f>
        <v>0</v>
      </c>
      <c r="O261" s="56">
        <f>$L$261-EFEITO!$O$261*EFEITO!$AA$261</f>
        <v>0</v>
      </c>
      <c r="P261" s="39"/>
      <c r="Q261" s="39"/>
      <c r="R261" s="39"/>
      <c r="S261" s="39"/>
      <c r="T261" s="39"/>
      <c r="U261" s="39"/>
      <c r="V261" s="39"/>
      <c r="W261" s="39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spans="1:36" ht="11.25" customHeight="1" x14ac:dyDescent="0.2">
      <c r="A262" s="35" t="s">
        <v>21</v>
      </c>
      <c r="B262" s="35" t="s">
        <v>39</v>
      </c>
      <c r="C262" s="35" t="s">
        <v>41</v>
      </c>
      <c r="D262" s="35" t="s">
        <v>42</v>
      </c>
      <c r="E262" s="35" t="s">
        <v>25</v>
      </c>
      <c r="F262" s="35" t="s">
        <v>25</v>
      </c>
      <c r="G262" s="35" t="s">
        <v>25</v>
      </c>
      <c r="H262" s="35" t="s">
        <v>34</v>
      </c>
      <c r="I262" s="55">
        <v>44593</v>
      </c>
      <c r="J262" s="56">
        <f>EFEITO!$J$262*EFEITO!$Y$262</f>
        <v>0</v>
      </c>
      <c r="K262" s="56">
        <f ca="1">EFEITO!$L$262*EFEITO!$Z$262</f>
        <v>140379.14608314444</v>
      </c>
      <c r="L262" s="56">
        <f>EFEITO!$N$262*EFEITO!$AA$262</f>
        <v>61087.616308165161</v>
      </c>
      <c r="M262" s="56">
        <f>$J$262-EFEITO!$K$262*EFEITO!$Y$262</f>
        <v>0</v>
      </c>
      <c r="N262" s="56">
        <f ca="1">$K$262-EFEITO!$M$262*EFEITO!$Z$262</f>
        <v>0</v>
      </c>
      <c r="O262" s="56">
        <f>$L$262-EFEITO!$O$262*EFEITO!$AA$262</f>
        <v>0</v>
      </c>
      <c r="P262" s="39"/>
      <c r="Q262" s="39"/>
      <c r="R262" s="39"/>
      <c r="S262" s="39"/>
      <c r="T262" s="39"/>
      <c r="U262" s="39"/>
      <c r="V262" s="39"/>
      <c r="W262" s="39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spans="1:36" ht="11.25" customHeight="1" x14ac:dyDescent="0.2">
      <c r="A263" s="35" t="s">
        <v>27</v>
      </c>
      <c r="B263" s="35" t="s">
        <v>39</v>
      </c>
      <c r="C263" s="35" t="s">
        <v>41</v>
      </c>
      <c r="D263" s="35" t="s">
        <v>42</v>
      </c>
      <c r="E263" s="35" t="s">
        <v>25</v>
      </c>
      <c r="F263" s="35" t="s">
        <v>25</v>
      </c>
      <c r="G263" s="35" t="s">
        <v>25</v>
      </c>
      <c r="H263" s="35" t="s">
        <v>34</v>
      </c>
      <c r="I263" s="55">
        <v>44593</v>
      </c>
      <c r="J263" s="56">
        <f>EFEITO!$J$263*EFEITO!$Y$263</f>
        <v>0</v>
      </c>
      <c r="K263" s="56">
        <f ca="1">EFEITO!$L$263*EFEITO!$Z$263</f>
        <v>-204.56262627777414</v>
      </c>
      <c r="L263" s="56">
        <f>EFEITO!$N$263*EFEITO!$AA$263</f>
        <v>-89.017803382604384</v>
      </c>
      <c r="M263" s="56">
        <f>$J$263-EFEITO!$K$263*EFEITO!$Y$263</f>
        <v>0</v>
      </c>
      <c r="N263" s="56">
        <f ca="1">$K$263-EFEITO!$M$263*EFEITO!$Z$263</f>
        <v>0</v>
      </c>
      <c r="O263" s="56">
        <f>$L$263-EFEITO!$O$263*EFEITO!$AA$263</f>
        <v>0</v>
      </c>
      <c r="P263" s="39"/>
      <c r="Q263" s="39"/>
      <c r="R263" s="39"/>
      <c r="S263" s="39"/>
      <c r="T263" s="39"/>
      <c r="U263" s="39"/>
      <c r="V263" s="39"/>
      <c r="W263" s="39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spans="1:36" ht="11.25" customHeight="1" x14ac:dyDescent="0.2">
      <c r="A264" s="35" t="s">
        <v>28</v>
      </c>
      <c r="B264" s="35" t="s">
        <v>39</v>
      </c>
      <c r="C264" s="35" t="s">
        <v>41</v>
      </c>
      <c r="D264" s="35" t="s">
        <v>42</v>
      </c>
      <c r="E264" s="35" t="s">
        <v>25</v>
      </c>
      <c r="F264" s="35" t="s">
        <v>25</v>
      </c>
      <c r="G264" s="35" t="s">
        <v>25</v>
      </c>
      <c r="H264" s="35" t="s">
        <v>34</v>
      </c>
      <c r="I264" s="55">
        <v>44593</v>
      </c>
      <c r="J264" s="56">
        <f>EFEITO!$J$264*EFEITO!$Y$264</f>
        <v>0</v>
      </c>
      <c r="K264" s="56">
        <f ca="1">EFEITO!$L$264*EFEITO!$Z$264</f>
        <v>3330.0112769480284</v>
      </c>
      <c r="L264" s="56">
        <f>EFEITO!$N$264*EFEITO!$AA$264</f>
        <v>1449.0930944086256</v>
      </c>
      <c r="M264" s="56">
        <f>$J$264-EFEITO!$K$264*EFEITO!$Y$264</f>
        <v>0</v>
      </c>
      <c r="N264" s="56">
        <f ca="1">$K$264-EFEITO!$M$264*EFEITO!$Z$264</f>
        <v>0</v>
      </c>
      <c r="O264" s="56">
        <f>$L$264-EFEITO!$O$264*EFEITO!$AA$264</f>
        <v>0</v>
      </c>
      <c r="P264" s="39"/>
      <c r="Q264" s="39"/>
      <c r="R264" s="39"/>
      <c r="S264" s="39"/>
      <c r="T264" s="39"/>
      <c r="U264" s="39"/>
      <c r="V264" s="39"/>
      <c r="W264" s="39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spans="1:36" ht="11.25" customHeight="1" x14ac:dyDescent="0.2">
      <c r="A265" s="35" t="s">
        <v>21</v>
      </c>
      <c r="B265" s="35" t="s">
        <v>39</v>
      </c>
      <c r="C265" s="35" t="s">
        <v>41</v>
      </c>
      <c r="D265" s="35" t="s">
        <v>42</v>
      </c>
      <c r="E265" s="35" t="s">
        <v>25</v>
      </c>
      <c r="F265" s="35" t="s">
        <v>25</v>
      </c>
      <c r="G265" s="35" t="s">
        <v>25</v>
      </c>
      <c r="H265" s="35" t="s">
        <v>34</v>
      </c>
      <c r="I265" s="55">
        <v>44621</v>
      </c>
      <c r="J265" s="56">
        <f>EFEITO!$J$265*EFEITO!$Y$265</f>
        <v>0</v>
      </c>
      <c r="K265" s="56">
        <f ca="1">EFEITO!$L$265*EFEITO!$Z$265</f>
        <v>116757.19297657655</v>
      </c>
      <c r="L265" s="56">
        <f>EFEITO!$N$265*EFEITO!$AA$265</f>
        <v>50808.248979852615</v>
      </c>
      <c r="M265" s="56">
        <f>$J$265-EFEITO!$K$265*EFEITO!$Y$265</f>
        <v>0</v>
      </c>
      <c r="N265" s="56">
        <f ca="1">$K$265-EFEITO!$M$265*EFEITO!$Z$265</f>
        <v>0</v>
      </c>
      <c r="O265" s="56">
        <f>$L$265-EFEITO!$O$265*EFEITO!$AA$265</f>
        <v>0</v>
      </c>
      <c r="P265" s="39"/>
      <c r="Q265" s="39"/>
      <c r="R265" s="39"/>
      <c r="S265" s="39"/>
      <c r="T265" s="39"/>
      <c r="U265" s="39"/>
      <c r="V265" s="39"/>
      <c r="W265" s="39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spans="1:36" ht="11.25" customHeight="1" x14ac:dyDescent="0.2">
      <c r="A266" s="35" t="s">
        <v>28</v>
      </c>
      <c r="B266" s="35" t="s">
        <v>39</v>
      </c>
      <c r="C266" s="35" t="s">
        <v>41</v>
      </c>
      <c r="D266" s="35" t="s">
        <v>42</v>
      </c>
      <c r="E266" s="35" t="s">
        <v>25</v>
      </c>
      <c r="F266" s="35" t="s">
        <v>25</v>
      </c>
      <c r="G266" s="35" t="s">
        <v>25</v>
      </c>
      <c r="H266" s="35" t="s">
        <v>34</v>
      </c>
      <c r="I266" s="55">
        <v>44621</v>
      </c>
      <c r="J266" s="56">
        <f>EFEITO!$J$266*EFEITO!$Y$266</f>
        <v>0</v>
      </c>
      <c r="K266" s="56">
        <f ca="1">EFEITO!$L$266*EFEITO!$Z$266</f>
        <v>3148.9230504070479</v>
      </c>
      <c r="L266" s="56">
        <f>EFEITO!$N$266*EFEITO!$AA$266</f>
        <v>1370.2904487912381</v>
      </c>
      <c r="M266" s="56">
        <f>$J$266-EFEITO!$K$266*EFEITO!$Y$266</f>
        <v>0</v>
      </c>
      <c r="N266" s="56">
        <f ca="1">$K$266-EFEITO!$M$266*EFEITO!$Z$266</f>
        <v>0</v>
      </c>
      <c r="O266" s="56">
        <f>$L$266-EFEITO!$O$266*EFEITO!$AA$266</f>
        <v>0</v>
      </c>
      <c r="P266" s="39"/>
      <c r="Q266" s="39"/>
      <c r="R266" s="39"/>
      <c r="S266" s="39"/>
      <c r="T266" s="39"/>
      <c r="U266" s="39"/>
      <c r="V266" s="39"/>
      <c r="W266" s="39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spans="1:36" ht="11.25" customHeight="1" x14ac:dyDescent="0.2">
      <c r="A267" s="35" t="s">
        <v>21</v>
      </c>
      <c r="B267" s="35" t="s">
        <v>39</v>
      </c>
      <c r="C267" s="35" t="s">
        <v>41</v>
      </c>
      <c r="D267" s="35" t="s">
        <v>42</v>
      </c>
      <c r="E267" s="35" t="s">
        <v>25</v>
      </c>
      <c r="F267" s="35" t="s">
        <v>25</v>
      </c>
      <c r="G267" s="35" t="s">
        <v>25</v>
      </c>
      <c r="H267" s="35" t="s">
        <v>34</v>
      </c>
      <c r="I267" s="55">
        <v>44652</v>
      </c>
      <c r="J267" s="56">
        <f>EFEITO!$J$267*EFEITO!$Y$267</f>
        <v>0</v>
      </c>
      <c r="K267" s="56">
        <f ca="1">EFEITO!$L$267*EFEITO!$Z$267</f>
        <v>106684.43983237424</v>
      </c>
      <c r="L267" s="56">
        <f>EFEITO!$N$267*EFEITO!$AA$267</f>
        <v>46424.973426406446</v>
      </c>
      <c r="M267" s="56">
        <f>$J$267-EFEITO!$K$267*EFEITO!$Y$267</f>
        <v>0</v>
      </c>
      <c r="N267" s="56">
        <f ca="1">$K$267-EFEITO!$M$267*EFEITO!$Z$267</f>
        <v>0</v>
      </c>
      <c r="O267" s="56">
        <f>$L$267-EFEITO!$O$267*EFEITO!$AA$267</f>
        <v>0</v>
      </c>
      <c r="P267" s="39"/>
      <c r="Q267" s="39"/>
      <c r="R267" s="39"/>
      <c r="S267" s="39"/>
      <c r="T267" s="39"/>
      <c r="U267" s="39"/>
      <c r="V267" s="39"/>
      <c r="W267" s="39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spans="1:36" ht="11.25" customHeight="1" x14ac:dyDescent="0.2">
      <c r="A268" s="35" t="s">
        <v>28</v>
      </c>
      <c r="B268" s="35" t="s">
        <v>39</v>
      </c>
      <c r="C268" s="35" t="s">
        <v>41</v>
      </c>
      <c r="D268" s="35" t="s">
        <v>42</v>
      </c>
      <c r="E268" s="35" t="s">
        <v>25</v>
      </c>
      <c r="F268" s="35" t="s">
        <v>25</v>
      </c>
      <c r="G268" s="35" t="s">
        <v>25</v>
      </c>
      <c r="H268" s="35" t="s">
        <v>34</v>
      </c>
      <c r="I268" s="55">
        <v>44652</v>
      </c>
      <c r="J268" s="56">
        <f>EFEITO!$J$268*EFEITO!$Y$268</f>
        <v>0</v>
      </c>
      <c r="K268" s="56">
        <f ca="1">EFEITO!$L$268*EFEITO!$Z$268</f>
        <v>3639.6497877619267</v>
      </c>
      <c r="L268" s="56">
        <f>EFEITO!$N$268*EFEITO!$AA$268</f>
        <v>1583.8358896926768</v>
      </c>
      <c r="M268" s="56">
        <f>$J$268-EFEITO!$K$268*EFEITO!$Y$268</f>
        <v>0</v>
      </c>
      <c r="N268" s="56">
        <f ca="1">$K$268-EFEITO!$M$268*EFEITO!$Z$268</f>
        <v>0</v>
      </c>
      <c r="O268" s="56">
        <f>$L$268-EFEITO!$O$268*EFEITO!$AA$268</f>
        <v>0</v>
      </c>
      <c r="P268" s="39"/>
      <c r="Q268" s="39"/>
      <c r="R268" s="39"/>
      <c r="S268" s="39"/>
      <c r="T268" s="39"/>
      <c r="U268" s="39"/>
      <c r="V268" s="39"/>
      <c r="W268" s="39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spans="1:36" ht="11.25" customHeight="1" x14ac:dyDescent="0.2">
      <c r="A269" s="35" t="s">
        <v>21</v>
      </c>
      <c r="B269" s="35" t="s">
        <v>39</v>
      </c>
      <c r="C269" s="35" t="s">
        <v>41</v>
      </c>
      <c r="D269" s="35" t="s">
        <v>42</v>
      </c>
      <c r="E269" s="35" t="s">
        <v>25</v>
      </c>
      <c r="F269" s="35" t="s">
        <v>25</v>
      </c>
      <c r="G269" s="35" t="s">
        <v>25</v>
      </c>
      <c r="H269" s="35" t="s">
        <v>34</v>
      </c>
      <c r="I269" s="55">
        <v>44682</v>
      </c>
      <c r="J269" s="56">
        <f>EFEITO!$J$269*EFEITO!$Y$269</f>
        <v>0</v>
      </c>
      <c r="K269" s="56">
        <f ca="1">EFEITO!$L$269*EFEITO!$Z$269</f>
        <v>91535.627202230011</v>
      </c>
      <c r="L269" s="56">
        <f>EFEITO!$N$269*EFEITO!$AA$269</f>
        <v>39832.791615253147</v>
      </c>
      <c r="M269" s="56">
        <f>$J$269-EFEITO!$K$269*EFEITO!$Y$269</f>
        <v>0</v>
      </c>
      <c r="N269" s="56">
        <f ca="1">$K$269-EFEITO!$M$269*EFEITO!$Z$269</f>
        <v>0</v>
      </c>
      <c r="O269" s="56">
        <f>$L$269-EFEITO!$O$269*EFEITO!$AA$269</f>
        <v>0</v>
      </c>
      <c r="P269" s="39"/>
      <c r="Q269" s="39"/>
      <c r="R269" s="39"/>
      <c r="S269" s="39"/>
      <c r="T269" s="39"/>
      <c r="U269" s="39"/>
      <c r="V269" s="39"/>
      <c r="W269" s="39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spans="1:36" ht="11.25" customHeight="1" x14ac:dyDescent="0.2">
      <c r="A270" s="35" t="s">
        <v>28</v>
      </c>
      <c r="B270" s="35" t="s">
        <v>39</v>
      </c>
      <c r="C270" s="35" t="s">
        <v>41</v>
      </c>
      <c r="D270" s="35" t="s">
        <v>42</v>
      </c>
      <c r="E270" s="35" t="s">
        <v>25</v>
      </c>
      <c r="F270" s="35" t="s">
        <v>25</v>
      </c>
      <c r="G270" s="35" t="s">
        <v>25</v>
      </c>
      <c r="H270" s="35" t="s">
        <v>34</v>
      </c>
      <c r="I270" s="55">
        <v>44682</v>
      </c>
      <c r="J270" s="56">
        <f>EFEITO!$J$270*EFEITO!$Y$270</f>
        <v>0</v>
      </c>
      <c r="K270" s="56">
        <f ca="1">EFEITO!$L$270*EFEITO!$Z$270</f>
        <v>3170.1617930260518</v>
      </c>
      <c r="L270" s="56">
        <f>EFEITO!$N$270*EFEITO!$AA$270</f>
        <v>1379.5327343883389</v>
      </c>
      <c r="M270" s="56">
        <f>$J$270-EFEITO!$K$270*EFEITO!$Y$270</f>
        <v>0</v>
      </c>
      <c r="N270" s="56">
        <f ca="1">$K$270-EFEITO!$M$270*EFEITO!$Z$270</f>
        <v>0</v>
      </c>
      <c r="O270" s="56">
        <f>$L$270-EFEITO!$O$270*EFEITO!$AA$270</f>
        <v>0</v>
      </c>
      <c r="P270" s="39"/>
      <c r="Q270" s="39"/>
      <c r="R270" s="39"/>
      <c r="S270" s="39"/>
      <c r="T270" s="39"/>
      <c r="U270" s="39"/>
      <c r="V270" s="39"/>
      <c r="W270" s="39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spans="1:36" ht="11.25" customHeight="1" x14ac:dyDescent="0.2">
      <c r="A271" s="35" t="s">
        <v>21</v>
      </c>
      <c r="B271" s="35" t="s">
        <v>39</v>
      </c>
      <c r="C271" s="35" t="s">
        <v>41</v>
      </c>
      <c r="D271" s="35" t="s">
        <v>42</v>
      </c>
      <c r="E271" s="35" t="s">
        <v>25</v>
      </c>
      <c r="F271" s="35" t="s">
        <v>25</v>
      </c>
      <c r="G271" s="35" t="s">
        <v>25</v>
      </c>
      <c r="H271" s="35" t="s">
        <v>34</v>
      </c>
      <c r="I271" s="55">
        <v>44713</v>
      </c>
      <c r="J271" s="56">
        <f>EFEITO!$J$271*EFEITO!$Y$271</f>
        <v>0</v>
      </c>
      <c r="K271" s="56">
        <f ca="1">EFEITO!$L$271*EFEITO!$Z$271</f>
        <v>95886.215953449107</v>
      </c>
      <c r="L271" s="56">
        <f>EFEITO!$N$271*EFEITO!$AA$271</f>
        <v>41726.000854406673</v>
      </c>
      <c r="M271" s="56">
        <f>$J$271-EFEITO!$K$271*EFEITO!$Y$271</f>
        <v>0</v>
      </c>
      <c r="N271" s="56">
        <f ca="1">$K$271-EFEITO!$M$271*EFEITO!$Z$271</f>
        <v>0</v>
      </c>
      <c r="O271" s="56">
        <f>$L$271-EFEITO!$O$271*EFEITO!$AA$271</f>
        <v>0</v>
      </c>
      <c r="P271" s="39"/>
      <c r="Q271" s="39"/>
      <c r="R271" s="39"/>
      <c r="S271" s="39"/>
      <c r="T271" s="39"/>
      <c r="U271" s="39"/>
      <c r="V271" s="39"/>
      <c r="W271" s="39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spans="1:36" ht="11.25" customHeight="1" x14ac:dyDescent="0.2">
      <c r="A272" s="35" t="s">
        <v>28</v>
      </c>
      <c r="B272" s="35" t="s">
        <v>39</v>
      </c>
      <c r="C272" s="35" t="s">
        <v>41</v>
      </c>
      <c r="D272" s="35" t="s">
        <v>42</v>
      </c>
      <c r="E272" s="35" t="s">
        <v>25</v>
      </c>
      <c r="F272" s="35" t="s">
        <v>25</v>
      </c>
      <c r="G272" s="35" t="s">
        <v>25</v>
      </c>
      <c r="H272" s="35" t="s">
        <v>34</v>
      </c>
      <c r="I272" s="55">
        <v>44713</v>
      </c>
      <c r="J272" s="56">
        <f>EFEITO!$J$272*EFEITO!$Y$272</f>
        <v>0</v>
      </c>
      <c r="K272" s="56">
        <f ca="1">EFEITO!$L$272*EFEITO!$Z$272</f>
        <v>3095.2672795800909</v>
      </c>
      <c r="L272" s="56">
        <f>EFEITO!$N$272*EFEITO!$AA$272</f>
        <v>1346.9415167564566</v>
      </c>
      <c r="M272" s="56">
        <f>$J$272-EFEITO!$K$272*EFEITO!$Y$272</f>
        <v>0</v>
      </c>
      <c r="N272" s="56">
        <f ca="1">$K$272-EFEITO!$M$272*EFEITO!$Z$272</f>
        <v>0</v>
      </c>
      <c r="O272" s="56">
        <f>$L$272-EFEITO!$O$272*EFEITO!$AA$272</f>
        <v>0</v>
      </c>
      <c r="P272" s="39"/>
      <c r="Q272" s="39"/>
      <c r="R272" s="39"/>
      <c r="S272" s="39"/>
      <c r="T272" s="39"/>
      <c r="U272" s="39"/>
      <c r="V272" s="39"/>
      <c r="W272" s="39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spans="1:36" ht="11.25" customHeight="1" x14ac:dyDescent="0.2">
      <c r="A273" s="35" t="s">
        <v>21</v>
      </c>
      <c r="B273" s="35" t="s">
        <v>39</v>
      </c>
      <c r="C273" s="35" t="s">
        <v>41</v>
      </c>
      <c r="D273" s="35" t="s">
        <v>42</v>
      </c>
      <c r="E273" s="35" t="s">
        <v>25</v>
      </c>
      <c r="F273" s="35" t="s">
        <v>25</v>
      </c>
      <c r="G273" s="35" t="s">
        <v>25</v>
      </c>
      <c r="H273" s="35" t="s">
        <v>34</v>
      </c>
      <c r="I273" s="55">
        <v>44743</v>
      </c>
      <c r="J273" s="56">
        <f>EFEITO!$J$273*EFEITO!$Y$273</f>
        <v>0</v>
      </c>
      <c r="K273" s="56">
        <f ca="1">EFEITO!$L$273*EFEITO!$Z$273</f>
        <v>91608.28605855818</v>
      </c>
      <c r="L273" s="56">
        <f>EFEITO!$N$273*EFEITO!$AA$273</f>
        <v>39864.409960716912</v>
      </c>
      <c r="M273" s="56">
        <f>$J$273-EFEITO!$K$273*EFEITO!$Y$273</f>
        <v>0</v>
      </c>
      <c r="N273" s="56">
        <f ca="1">$K$273-EFEITO!$M$273*EFEITO!$Z$273</f>
        <v>0</v>
      </c>
      <c r="O273" s="56">
        <f>$L$273-EFEITO!$O$273*EFEITO!$AA$273</f>
        <v>0</v>
      </c>
      <c r="P273" s="39"/>
      <c r="Q273" s="39"/>
      <c r="R273" s="39"/>
      <c r="S273" s="39"/>
      <c r="T273" s="39"/>
      <c r="U273" s="39"/>
      <c r="V273" s="39"/>
      <c r="W273" s="39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spans="1:36" ht="11.25" customHeight="1" x14ac:dyDescent="0.2">
      <c r="A274" s="35" t="s">
        <v>21</v>
      </c>
      <c r="B274" s="35" t="s">
        <v>39</v>
      </c>
      <c r="C274" s="35" t="s">
        <v>41</v>
      </c>
      <c r="D274" s="35" t="s">
        <v>42</v>
      </c>
      <c r="E274" s="35" t="s">
        <v>25</v>
      </c>
      <c r="F274" s="35" t="s">
        <v>25</v>
      </c>
      <c r="G274" s="35" t="s">
        <v>25</v>
      </c>
      <c r="H274" s="35" t="s">
        <v>34</v>
      </c>
      <c r="I274" s="55">
        <v>44774</v>
      </c>
      <c r="J274" s="56">
        <f>EFEITO!$J$274*EFEITO!$Y$274</f>
        <v>0</v>
      </c>
      <c r="K274" s="56">
        <f ca="1">EFEITO!$L$274*EFEITO!$Z$274</f>
        <v>94744.91299481738</v>
      </c>
      <c r="L274" s="56">
        <f>EFEITO!$N$274*EFEITO!$AA$274</f>
        <v>41229.349612583508</v>
      </c>
      <c r="M274" s="56">
        <f>$J$274-EFEITO!$K$274*EFEITO!$Y$274</f>
        <v>0</v>
      </c>
      <c r="N274" s="56">
        <f ca="1">$K$274-EFEITO!$M$274*EFEITO!$Z$274</f>
        <v>0</v>
      </c>
      <c r="O274" s="56">
        <f>$L$274-EFEITO!$O$274*EFEITO!$AA$274</f>
        <v>0</v>
      </c>
      <c r="P274" s="39"/>
      <c r="Q274" s="39"/>
      <c r="R274" s="39"/>
      <c r="S274" s="39"/>
      <c r="T274" s="39"/>
      <c r="U274" s="39"/>
      <c r="V274" s="39"/>
      <c r="W274" s="39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spans="1:36" ht="11.25" customHeight="1" x14ac:dyDescent="0.2">
      <c r="A275" s="35" t="s">
        <v>28</v>
      </c>
      <c r="B275" s="35" t="s">
        <v>39</v>
      </c>
      <c r="C275" s="35" t="s">
        <v>41</v>
      </c>
      <c r="D275" s="35" t="s">
        <v>42</v>
      </c>
      <c r="E275" s="35" t="s">
        <v>25</v>
      </c>
      <c r="F275" s="35" t="s">
        <v>25</v>
      </c>
      <c r="G275" s="35" t="s">
        <v>25</v>
      </c>
      <c r="H275" s="35" t="s">
        <v>34</v>
      </c>
      <c r="I275" s="55">
        <v>44774</v>
      </c>
      <c r="J275" s="56">
        <f>EFEITO!$J$275*EFEITO!$Y$275</f>
        <v>0</v>
      </c>
      <c r="K275" s="56">
        <f ca="1">EFEITO!$L$275*EFEITO!$Z$275</f>
        <v>3286.4159631511257</v>
      </c>
      <c r="L275" s="56">
        <f>EFEITO!$N$275*EFEITO!$AA$275</f>
        <v>1430.1220871303656</v>
      </c>
      <c r="M275" s="56">
        <f>$J$275-EFEITO!$K$275*EFEITO!$Y$275</f>
        <v>0</v>
      </c>
      <c r="N275" s="56">
        <f ca="1">$K$275-EFEITO!$M$275*EFEITO!$Z$275</f>
        <v>0</v>
      </c>
      <c r="O275" s="56">
        <f>$L$275-EFEITO!$O$275*EFEITO!$AA$275</f>
        <v>0</v>
      </c>
      <c r="P275" s="39"/>
      <c r="Q275" s="39"/>
      <c r="R275" s="39"/>
      <c r="S275" s="39"/>
      <c r="T275" s="39"/>
      <c r="U275" s="39"/>
      <c r="V275" s="39"/>
      <c r="W275" s="39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spans="1:36" ht="11.25" customHeight="1" x14ac:dyDescent="0.2">
      <c r="A276" s="35" t="s">
        <v>21</v>
      </c>
      <c r="B276" s="35" t="s">
        <v>39</v>
      </c>
      <c r="C276" s="35" t="s">
        <v>41</v>
      </c>
      <c r="D276" s="35" t="s">
        <v>42</v>
      </c>
      <c r="E276" s="35" t="s">
        <v>25</v>
      </c>
      <c r="F276" s="35" t="s">
        <v>25</v>
      </c>
      <c r="G276" s="35" t="s">
        <v>25</v>
      </c>
      <c r="H276" s="35" t="s">
        <v>34</v>
      </c>
      <c r="I276" s="55">
        <v>44805</v>
      </c>
      <c r="J276" s="56">
        <f>EFEITO!$J$276*EFEITO!$Y$276</f>
        <v>0</v>
      </c>
      <c r="K276" s="56">
        <f ca="1">EFEITO!$L$276*EFEITO!$Z$276</f>
        <v>92921.734615259731</v>
      </c>
      <c r="L276" s="56">
        <f>EFEITO!$N$276*EFEITO!$AA$276</f>
        <v>40435.972359485</v>
      </c>
      <c r="M276" s="56">
        <f>$J$276-EFEITO!$K$276*EFEITO!$Y$276</f>
        <v>0</v>
      </c>
      <c r="N276" s="56">
        <f ca="1">$K$276-EFEITO!$M$276*EFEITO!$Z$276</f>
        <v>0</v>
      </c>
      <c r="O276" s="56">
        <f>$L$276-EFEITO!$O$276*EFEITO!$AA$276</f>
        <v>0</v>
      </c>
      <c r="P276" s="39"/>
      <c r="Q276" s="39"/>
      <c r="R276" s="39"/>
      <c r="S276" s="39"/>
      <c r="T276" s="39"/>
      <c r="U276" s="39"/>
      <c r="V276" s="39"/>
      <c r="W276" s="39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spans="1:36" ht="11.25" customHeight="1" x14ac:dyDescent="0.2">
      <c r="A277" s="35" t="s">
        <v>27</v>
      </c>
      <c r="B277" s="35" t="s">
        <v>39</v>
      </c>
      <c r="C277" s="35" t="s">
        <v>41</v>
      </c>
      <c r="D277" s="35" t="s">
        <v>42</v>
      </c>
      <c r="E277" s="35" t="s">
        <v>25</v>
      </c>
      <c r="F277" s="35" t="s">
        <v>25</v>
      </c>
      <c r="G277" s="35" t="s">
        <v>25</v>
      </c>
      <c r="H277" s="35" t="s">
        <v>34</v>
      </c>
      <c r="I277" s="55">
        <v>44805</v>
      </c>
      <c r="J277" s="56">
        <f>EFEITO!$J$277*EFEITO!$Y$277</f>
        <v>0</v>
      </c>
      <c r="K277" s="56">
        <f ca="1">EFEITO!$L$277*EFEITO!$Z$277</f>
        <v>-412.47873823223313</v>
      </c>
      <c r="L277" s="56">
        <f>EFEITO!$N$277*EFEITO!$AA$277</f>
        <v>-179.49491501738262</v>
      </c>
      <c r="M277" s="56">
        <f>$J$277-EFEITO!$K$277*EFEITO!$Y$277</f>
        <v>0</v>
      </c>
      <c r="N277" s="56">
        <f ca="1">$K$277-EFEITO!$M$277*EFEITO!$Z$277</f>
        <v>0</v>
      </c>
      <c r="O277" s="56">
        <f>$L$277-EFEITO!$O$277*EFEITO!$AA$277</f>
        <v>0</v>
      </c>
      <c r="P277" s="39"/>
      <c r="Q277" s="39"/>
      <c r="R277" s="39"/>
      <c r="S277" s="39"/>
      <c r="T277" s="39"/>
      <c r="U277" s="39"/>
      <c r="V277" s="39"/>
      <c r="W277" s="39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spans="1:36" ht="11.25" customHeight="1" x14ac:dyDescent="0.2">
      <c r="A278" s="35" t="s">
        <v>28</v>
      </c>
      <c r="B278" s="35" t="s">
        <v>39</v>
      </c>
      <c r="C278" s="35" t="s">
        <v>41</v>
      </c>
      <c r="D278" s="35" t="s">
        <v>42</v>
      </c>
      <c r="E278" s="35" t="s">
        <v>25</v>
      </c>
      <c r="F278" s="35" t="s">
        <v>25</v>
      </c>
      <c r="G278" s="35" t="s">
        <v>25</v>
      </c>
      <c r="H278" s="35" t="s">
        <v>34</v>
      </c>
      <c r="I278" s="55">
        <v>44805</v>
      </c>
      <c r="J278" s="56">
        <f>EFEITO!$J$278*EFEITO!$Y$278</f>
        <v>0</v>
      </c>
      <c r="K278" s="56">
        <f ca="1">EFEITO!$L$278*EFEITO!$Z$278</f>
        <v>3561.4017886392808</v>
      </c>
      <c r="L278" s="56">
        <f>EFEITO!$N$278*EFEITO!$AA$278</f>
        <v>1549.7853638086206</v>
      </c>
      <c r="M278" s="56">
        <f>$J$278-EFEITO!$K$278*EFEITO!$Y$278</f>
        <v>0</v>
      </c>
      <c r="N278" s="56">
        <f ca="1">$K$278-EFEITO!$M$278*EFEITO!$Z$278</f>
        <v>0</v>
      </c>
      <c r="O278" s="56">
        <f>$L$278-EFEITO!$O$278*EFEITO!$AA$278</f>
        <v>0</v>
      </c>
      <c r="P278" s="39"/>
      <c r="Q278" s="39"/>
      <c r="R278" s="39"/>
      <c r="S278" s="39"/>
      <c r="T278" s="39"/>
      <c r="U278" s="39"/>
      <c r="V278" s="39"/>
      <c r="W278" s="39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spans="1:36" ht="11.25" customHeight="1" x14ac:dyDescent="0.2">
      <c r="A279" s="35" t="s">
        <v>53</v>
      </c>
      <c r="B279" s="35" t="s">
        <v>39</v>
      </c>
      <c r="C279" s="35" t="s">
        <v>41</v>
      </c>
      <c r="D279" s="35" t="s">
        <v>42</v>
      </c>
      <c r="E279" s="35" t="s">
        <v>25</v>
      </c>
      <c r="F279" s="35" t="s">
        <v>25</v>
      </c>
      <c r="G279" s="35" t="s">
        <v>25</v>
      </c>
      <c r="H279" s="35" t="s">
        <v>34</v>
      </c>
      <c r="I279" s="55">
        <v>44835</v>
      </c>
      <c r="J279" s="56">
        <f>EFEITO!$J$279*EFEITO!$Y$279</f>
        <v>0</v>
      </c>
      <c r="K279" s="56">
        <f ca="1">EFEITO!$L$279*EFEITO!$Z$279</f>
        <v>92921.734615259731</v>
      </c>
      <c r="L279" s="56">
        <f>EFEITO!$N$279*EFEITO!$AA$279</f>
        <v>40435.972359485</v>
      </c>
      <c r="M279" s="56">
        <f>$J$279-EFEITO!$K$279*EFEITO!$Y$279</f>
        <v>0</v>
      </c>
      <c r="N279" s="56">
        <f ca="1">$K$279-EFEITO!$M$279*EFEITO!$Z$279</f>
        <v>0</v>
      </c>
      <c r="O279" s="56">
        <f>$L$279-EFEITO!$O$279*EFEITO!$AA$279</f>
        <v>0</v>
      </c>
      <c r="P279" s="39"/>
      <c r="Q279" s="39"/>
      <c r="R279" s="39"/>
      <c r="S279" s="39"/>
      <c r="T279" s="39"/>
      <c r="U279" s="39"/>
      <c r="V279" s="39"/>
      <c r="W279" s="39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spans="1:36" ht="11.25" customHeight="1" x14ac:dyDescent="0.2">
      <c r="A280" s="35" t="s">
        <v>53</v>
      </c>
      <c r="B280" s="35" t="s">
        <v>39</v>
      </c>
      <c r="C280" s="35" t="s">
        <v>41</v>
      </c>
      <c r="D280" s="35" t="s">
        <v>42</v>
      </c>
      <c r="E280" s="35" t="s">
        <v>25</v>
      </c>
      <c r="F280" s="35" t="s">
        <v>25</v>
      </c>
      <c r="G280" s="35" t="s">
        <v>25</v>
      </c>
      <c r="H280" s="35" t="s">
        <v>34</v>
      </c>
      <c r="I280" s="55">
        <v>44835</v>
      </c>
      <c r="J280" s="56">
        <f>EFEITO!$J$280*EFEITO!$Y$280</f>
        <v>0</v>
      </c>
      <c r="K280" s="56">
        <f ca="1">EFEITO!$L$280*EFEITO!$Z$280</f>
        <v>-412.47873823223313</v>
      </c>
      <c r="L280" s="56">
        <f>EFEITO!$N$280*EFEITO!$AA$280</f>
        <v>-179.49491501738262</v>
      </c>
      <c r="M280" s="56">
        <f>$J$280-EFEITO!$K$280*EFEITO!$Y$280</f>
        <v>0</v>
      </c>
      <c r="N280" s="56">
        <f ca="1">$K$280-EFEITO!$M$280*EFEITO!$Z$280</f>
        <v>0</v>
      </c>
      <c r="O280" s="56">
        <f>$L$280-EFEITO!$O$280*EFEITO!$AA$280</f>
        <v>0</v>
      </c>
      <c r="P280" s="39"/>
      <c r="Q280" s="39"/>
      <c r="R280" s="39"/>
      <c r="S280" s="39"/>
      <c r="T280" s="39"/>
      <c r="U280" s="39"/>
      <c r="V280" s="39"/>
      <c r="W280" s="39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spans="1:36" ht="11.25" customHeight="1" x14ac:dyDescent="0.2">
      <c r="A281" s="35" t="s">
        <v>53</v>
      </c>
      <c r="B281" s="35" t="s">
        <v>39</v>
      </c>
      <c r="C281" s="35" t="s">
        <v>41</v>
      </c>
      <c r="D281" s="35" t="s">
        <v>42</v>
      </c>
      <c r="E281" s="35" t="s">
        <v>25</v>
      </c>
      <c r="F281" s="35" t="s">
        <v>25</v>
      </c>
      <c r="G281" s="35" t="s">
        <v>25</v>
      </c>
      <c r="H281" s="35" t="s">
        <v>34</v>
      </c>
      <c r="I281" s="55">
        <v>44835</v>
      </c>
      <c r="J281" s="56">
        <f>EFEITO!$J$281*EFEITO!$Y$281</f>
        <v>0</v>
      </c>
      <c r="K281" s="56">
        <f ca="1">EFEITO!$L$281*EFEITO!$Z$281</f>
        <v>3561.4017886392808</v>
      </c>
      <c r="L281" s="56">
        <f>EFEITO!$N$281*EFEITO!$AA$281</f>
        <v>1549.7853638086206</v>
      </c>
      <c r="M281" s="56">
        <f>$J$281-EFEITO!$K$281*EFEITO!$Y$281</f>
        <v>0</v>
      </c>
      <c r="N281" s="56">
        <f ca="1">$K$281-EFEITO!$M$281*EFEITO!$Z$281</f>
        <v>0</v>
      </c>
      <c r="O281" s="56">
        <f>$L$281-EFEITO!$O$281*EFEITO!$AA$281</f>
        <v>0</v>
      </c>
      <c r="P281" s="39"/>
      <c r="Q281" s="39"/>
      <c r="R281" s="39"/>
      <c r="S281" s="39"/>
      <c r="T281" s="39"/>
      <c r="U281" s="39"/>
      <c r="V281" s="39"/>
      <c r="W281" s="39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spans="1:36" ht="11.25" customHeight="1" x14ac:dyDescent="0.2">
      <c r="A282" s="35" t="s">
        <v>21</v>
      </c>
      <c r="B282" s="35" t="s">
        <v>39</v>
      </c>
      <c r="C282" s="35" t="s">
        <v>41</v>
      </c>
      <c r="D282" s="35" t="s">
        <v>52</v>
      </c>
      <c r="E282" s="35" t="s">
        <v>25</v>
      </c>
      <c r="F282" s="35" t="s">
        <v>25</v>
      </c>
      <c r="G282" s="35" t="s">
        <v>25</v>
      </c>
      <c r="H282" s="35" t="s">
        <v>35</v>
      </c>
      <c r="I282" s="55">
        <v>44501</v>
      </c>
      <c r="J282" s="56">
        <f>EFEITO!$J$282*EFEITO!$Y$282</f>
        <v>0</v>
      </c>
      <c r="K282" s="56">
        <f ca="1">EFEITO!$L$282*EFEITO!$Z$282</f>
        <v>5420.9641778521654</v>
      </c>
      <c r="L282" s="56">
        <f>EFEITO!$N$282*EFEITO!$AA$282</f>
        <v>13278.530369609591</v>
      </c>
      <c r="M282" s="56">
        <f>$J$282-EFEITO!$K$282*EFEITO!$Y$282</f>
        <v>0</v>
      </c>
      <c r="N282" s="56">
        <f ca="1">$K$282-EFEITO!$M$282*EFEITO!$Z$282</f>
        <v>0</v>
      </c>
      <c r="O282" s="56">
        <f>$L$282-EFEITO!$O$282*EFEITO!$AA$282</f>
        <v>0</v>
      </c>
      <c r="P282" s="39"/>
      <c r="Q282" s="39"/>
      <c r="R282" s="39"/>
      <c r="S282" s="39"/>
      <c r="T282" s="39"/>
      <c r="U282" s="39"/>
      <c r="V282" s="39"/>
      <c r="W282" s="39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spans="1:36" ht="11.25" customHeight="1" x14ac:dyDescent="0.2">
      <c r="A283" s="35" t="s">
        <v>21</v>
      </c>
      <c r="B283" s="35" t="s">
        <v>39</v>
      </c>
      <c r="C283" s="35" t="s">
        <v>41</v>
      </c>
      <c r="D283" s="35" t="s">
        <v>52</v>
      </c>
      <c r="E283" s="35" t="s">
        <v>25</v>
      </c>
      <c r="F283" s="35" t="s">
        <v>25</v>
      </c>
      <c r="G283" s="35" t="s">
        <v>25</v>
      </c>
      <c r="H283" s="35" t="s">
        <v>35</v>
      </c>
      <c r="I283" s="55">
        <v>44531</v>
      </c>
      <c r="J283" s="56">
        <f>EFEITO!$J$283*EFEITO!$Y$283</f>
        <v>0</v>
      </c>
      <c r="K283" s="56">
        <f ca="1">EFEITO!$L$283*EFEITO!$Z$283</f>
        <v>5126.1168821458105</v>
      </c>
      <c r="L283" s="56">
        <f>EFEITO!$N$283*EFEITO!$AA$283</f>
        <v>12556.308520878374</v>
      </c>
      <c r="M283" s="56">
        <f>$J$283-EFEITO!$K$283*EFEITO!$Y$283</f>
        <v>0</v>
      </c>
      <c r="N283" s="56">
        <f ca="1">$K$283-EFEITO!$M$283*EFEITO!$Z$283</f>
        <v>0</v>
      </c>
      <c r="O283" s="56">
        <f>$L$283-EFEITO!$O$283*EFEITO!$AA$283</f>
        <v>0</v>
      </c>
      <c r="P283" s="39"/>
      <c r="Q283" s="39"/>
      <c r="R283" s="39"/>
      <c r="S283" s="39"/>
      <c r="T283" s="39"/>
      <c r="U283" s="39"/>
      <c r="V283" s="39"/>
      <c r="W283" s="39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spans="1:36" ht="11.25" customHeight="1" x14ac:dyDescent="0.2">
      <c r="A284" s="35" t="s">
        <v>21</v>
      </c>
      <c r="B284" s="35" t="s">
        <v>39</v>
      </c>
      <c r="C284" s="35" t="s">
        <v>41</v>
      </c>
      <c r="D284" s="35" t="s">
        <v>52</v>
      </c>
      <c r="E284" s="35" t="s">
        <v>25</v>
      </c>
      <c r="F284" s="35" t="s">
        <v>25</v>
      </c>
      <c r="G284" s="35" t="s">
        <v>25</v>
      </c>
      <c r="H284" s="35" t="s">
        <v>35</v>
      </c>
      <c r="I284" s="55">
        <v>44562</v>
      </c>
      <c r="J284" s="56">
        <f>EFEITO!$J$284*EFEITO!$Y$284</f>
        <v>0</v>
      </c>
      <c r="K284" s="56">
        <f ca="1">EFEITO!$L$284*EFEITO!$Z$284</f>
        <v>5620.1754203115952</v>
      </c>
      <c r="L284" s="56">
        <f>EFEITO!$N$284*EFEITO!$AA$284</f>
        <v>13766.493847356323</v>
      </c>
      <c r="M284" s="56">
        <f>$J$284-EFEITO!$K$284*EFEITO!$Y$284</f>
        <v>0</v>
      </c>
      <c r="N284" s="56">
        <f ca="1">$K$284-EFEITO!$M$284*EFEITO!$Z$284</f>
        <v>0</v>
      </c>
      <c r="O284" s="56">
        <f>$L$284-EFEITO!$O$284*EFEITO!$AA$284</f>
        <v>0</v>
      </c>
      <c r="P284" s="39"/>
      <c r="Q284" s="39"/>
      <c r="R284" s="39"/>
      <c r="S284" s="39"/>
      <c r="T284" s="39"/>
      <c r="U284" s="39"/>
      <c r="V284" s="39"/>
      <c r="W284" s="39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spans="1:36" ht="11.25" customHeight="1" x14ac:dyDescent="0.2">
      <c r="A285" s="35" t="s">
        <v>21</v>
      </c>
      <c r="B285" s="35" t="s">
        <v>39</v>
      </c>
      <c r="C285" s="35" t="s">
        <v>41</v>
      </c>
      <c r="D285" s="35" t="s">
        <v>52</v>
      </c>
      <c r="E285" s="35" t="s">
        <v>25</v>
      </c>
      <c r="F285" s="35" t="s">
        <v>25</v>
      </c>
      <c r="G285" s="35" t="s">
        <v>25</v>
      </c>
      <c r="H285" s="35" t="s">
        <v>35</v>
      </c>
      <c r="I285" s="55">
        <v>44593</v>
      </c>
      <c r="J285" s="56">
        <f>EFEITO!$J$285*EFEITO!$Y$285</f>
        <v>0</v>
      </c>
      <c r="K285" s="56">
        <f ca="1">EFEITO!$L$285*EFEITO!$Z$285</f>
        <v>5716.0557546651526</v>
      </c>
      <c r="L285" s="56">
        <f>EFEITO!$N$285*EFEITO!$AA$285</f>
        <v>14001.35057944166</v>
      </c>
      <c r="M285" s="56">
        <f>$J$285-EFEITO!$K$285*EFEITO!$Y$285</f>
        <v>0</v>
      </c>
      <c r="N285" s="56">
        <f ca="1">$K$285-EFEITO!$M$285*EFEITO!$Z$285</f>
        <v>0</v>
      </c>
      <c r="O285" s="56">
        <f>$L$285-EFEITO!$O$285*EFEITO!$AA$285</f>
        <v>0</v>
      </c>
      <c r="P285" s="39"/>
      <c r="Q285" s="39"/>
      <c r="R285" s="39"/>
      <c r="S285" s="39"/>
      <c r="T285" s="39"/>
      <c r="U285" s="39"/>
      <c r="V285" s="39"/>
      <c r="W285" s="39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spans="1:36" ht="11.25" customHeight="1" x14ac:dyDescent="0.2">
      <c r="A286" s="35" t="s">
        <v>21</v>
      </c>
      <c r="B286" s="35" t="s">
        <v>39</v>
      </c>
      <c r="C286" s="35" t="s">
        <v>41</v>
      </c>
      <c r="D286" s="35" t="s">
        <v>52</v>
      </c>
      <c r="E286" s="35" t="s">
        <v>25</v>
      </c>
      <c r="F286" s="35" t="s">
        <v>25</v>
      </c>
      <c r="G286" s="35" t="s">
        <v>25</v>
      </c>
      <c r="H286" s="35" t="s">
        <v>35</v>
      </c>
      <c r="I286" s="55">
        <v>44621</v>
      </c>
      <c r="J286" s="56">
        <f>EFEITO!$J$286*EFEITO!$Y$286</f>
        <v>0</v>
      </c>
      <c r="K286" s="56">
        <f ca="1">EFEITO!$L$286*EFEITO!$Z$286</f>
        <v>5079.2149096722233</v>
      </c>
      <c r="L286" s="56">
        <f>EFEITO!$N$286*EFEITO!$AA$286</f>
        <v>12441.423189514337</v>
      </c>
      <c r="M286" s="56">
        <f>$J$286-EFEITO!$K$286*EFEITO!$Y$286</f>
        <v>0</v>
      </c>
      <c r="N286" s="56">
        <f ca="1">$K$286-EFEITO!$M$286*EFEITO!$Z$286</f>
        <v>0</v>
      </c>
      <c r="O286" s="56">
        <f>$L$286-EFEITO!$O$286*EFEITO!$AA$286</f>
        <v>0</v>
      </c>
      <c r="P286" s="39"/>
      <c r="Q286" s="39"/>
      <c r="R286" s="39"/>
      <c r="S286" s="39"/>
      <c r="T286" s="39"/>
      <c r="U286" s="39"/>
      <c r="V286" s="39"/>
      <c r="W286" s="39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spans="1:36" ht="11.25" customHeight="1" x14ac:dyDescent="0.2">
      <c r="A287" s="35" t="s">
        <v>21</v>
      </c>
      <c r="B287" s="35" t="s">
        <v>39</v>
      </c>
      <c r="C287" s="35" t="s">
        <v>41</v>
      </c>
      <c r="D287" s="35" t="s">
        <v>52</v>
      </c>
      <c r="E287" s="35" t="s">
        <v>25</v>
      </c>
      <c r="F287" s="35" t="s">
        <v>25</v>
      </c>
      <c r="G287" s="35" t="s">
        <v>25</v>
      </c>
      <c r="H287" s="35" t="s">
        <v>35</v>
      </c>
      <c r="I287" s="55">
        <v>44652</v>
      </c>
      <c r="J287" s="56">
        <f>EFEITO!$J$287*EFEITO!$Y$287</f>
        <v>0</v>
      </c>
      <c r="K287" s="56">
        <f ca="1">EFEITO!$L$287*EFEITO!$Z$287</f>
        <v>5795.5692548742818</v>
      </c>
      <c r="L287" s="56">
        <f>EFEITO!$N$287*EFEITO!$AA$287</f>
        <v>14196.117117769756</v>
      </c>
      <c r="M287" s="56">
        <f>$J$287-EFEITO!$K$287*EFEITO!$Y$287</f>
        <v>0</v>
      </c>
      <c r="N287" s="56">
        <f ca="1">$K$287-EFEITO!$M$287*EFEITO!$Z$287</f>
        <v>0</v>
      </c>
      <c r="O287" s="56">
        <f>$L$287-EFEITO!$O$287*EFEITO!$AA$287</f>
        <v>0</v>
      </c>
      <c r="P287" s="39"/>
      <c r="Q287" s="39"/>
      <c r="R287" s="39"/>
      <c r="S287" s="39"/>
      <c r="T287" s="39"/>
      <c r="U287" s="39"/>
      <c r="V287" s="39"/>
      <c r="W287" s="39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spans="1:36" ht="11.25" customHeight="1" x14ac:dyDescent="0.2">
      <c r="A288" s="35" t="s">
        <v>21</v>
      </c>
      <c r="B288" s="35" t="s">
        <v>39</v>
      </c>
      <c r="C288" s="35" t="s">
        <v>41</v>
      </c>
      <c r="D288" s="35" t="s">
        <v>52</v>
      </c>
      <c r="E288" s="35" t="s">
        <v>25</v>
      </c>
      <c r="F288" s="35" t="s">
        <v>25</v>
      </c>
      <c r="G288" s="35" t="s">
        <v>25</v>
      </c>
      <c r="H288" s="35" t="s">
        <v>35</v>
      </c>
      <c r="I288" s="55">
        <v>44682</v>
      </c>
      <c r="J288" s="56">
        <f>EFEITO!$J$288*EFEITO!$Y$288</f>
        <v>0</v>
      </c>
      <c r="K288" s="56">
        <f ca="1">EFEITO!$L$288*EFEITO!$Z$288</f>
        <v>5682.1006808431284</v>
      </c>
      <c r="L288" s="56">
        <f>EFEITO!$N$288*EFEITO!$AA$288</f>
        <v>13918.178386422904</v>
      </c>
      <c r="M288" s="56">
        <f>$J$288-EFEITO!$K$288*EFEITO!$Y$288</f>
        <v>0</v>
      </c>
      <c r="N288" s="56">
        <f ca="1">$K$288-EFEITO!$M$288*EFEITO!$Z$288</f>
        <v>0</v>
      </c>
      <c r="O288" s="56">
        <f>$L$288-EFEITO!$O$288*EFEITO!$AA$288</f>
        <v>0</v>
      </c>
      <c r="P288" s="39"/>
      <c r="Q288" s="39"/>
      <c r="R288" s="39"/>
      <c r="S288" s="39"/>
      <c r="T288" s="39"/>
      <c r="U288" s="39"/>
      <c r="V288" s="39"/>
      <c r="W288" s="39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spans="1:36" ht="11.25" customHeight="1" x14ac:dyDescent="0.2">
      <c r="A289" s="35" t="s">
        <v>21</v>
      </c>
      <c r="B289" s="35" t="s">
        <v>39</v>
      </c>
      <c r="C289" s="35" t="s">
        <v>41</v>
      </c>
      <c r="D289" s="35" t="s">
        <v>52</v>
      </c>
      <c r="E289" s="35" t="s">
        <v>25</v>
      </c>
      <c r="F289" s="35" t="s">
        <v>25</v>
      </c>
      <c r="G289" s="35" t="s">
        <v>25</v>
      </c>
      <c r="H289" s="35" t="s">
        <v>35</v>
      </c>
      <c r="I289" s="55">
        <v>44713</v>
      </c>
      <c r="J289" s="56">
        <f>EFEITO!$J$289*EFEITO!$Y$289</f>
        <v>0</v>
      </c>
      <c r="K289" s="56">
        <f ca="1">EFEITO!$L$289*EFEITO!$Z$289</f>
        <v>5607.1063811067143</v>
      </c>
      <c r="L289" s="56">
        <f>EFEITO!$N$289*EFEITO!$AA$289</f>
        <v>13734.481528460614</v>
      </c>
      <c r="M289" s="56">
        <f>$J$289-EFEITO!$K$289*EFEITO!$Y$289</f>
        <v>0</v>
      </c>
      <c r="N289" s="56">
        <f ca="1">$K$289-EFEITO!$M$289*EFEITO!$Z$289</f>
        <v>0</v>
      </c>
      <c r="O289" s="56">
        <f>$L$289-EFEITO!$O$289*EFEITO!$AA$289</f>
        <v>0</v>
      </c>
      <c r="P289" s="39"/>
      <c r="Q289" s="39"/>
      <c r="R289" s="39"/>
      <c r="S289" s="39"/>
      <c r="T289" s="39"/>
      <c r="U289" s="39"/>
      <c r="V289" s="39"/>
      <c r="W289" s="39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pans="1:36" ht="11.25" customHeight="1" x14ac:dyDescent="0.2">
      <c r="A290" s="35" t="s">
        <v>21</v>
      </c>
      <c r="B290" s="35" t="s">
        <v>39</v>
      </c>
      <c r="C290" s="35" t="s">
        <v>41</v>
      </c>
      <c r="D290" s="35" t="s">
        <v>52</v>
      </c>
      <c r="E290" s="35" t="s">
        <v>25</v>
      </c>
      <c r="F290" s="35" t="s">
        <v>25</v>
      </c>
      <c r="G290" s="35" t="s">
        <v>25</v>
      </c>
      <c r="H290" s="35" t="s">
        <v>35</v>
      </c>
      <c r="I290" s="55">
        <v>44743</v>
      </c>
      <c r="J290" s="56">
        <f>EFEITO!$J$290*EFEITO!$Y$290</f>
        <v>0</v>
      </c>
      <c r="K290" s="56">
        <f ca="1">EFEITO!$L$290*EFEITO!$Z$290</f>
        <v>5163.1254698007506</v>
      </c>
      <c r="L290" s="56">
        <f>EFEITO!$N$290*EFEITO!$AA$290</f>
        <v>12646.96022765781</v>
      </c>
      <c r="M290" s="56">
        <f>$J$290-EFEITO!$K$290*EFEITO!$Y$290</f>
        <v>0</v>
      </c>
      <c r="N290" s="56">
        <f ca="1">$K$290-EFEITO!$M$290*EFEITO!$Z$290</f>
        <v>0</v>
      </c>
      <c r="O290" s="56">
        <f>$L$290-EFEITO!$O$290*EFEITO!$AA$290</f>
        <v>0</v>
      </c>
      <c r="P290" s="39"/>
      <c r="Q290" s="39"/>
      <c r="R290" s="39"/>
      <c r="S290" s="39"/>
      <c r="T290" s="39"/>
      <c r="U290" s="39"/>
      <c r="V290" s="39"/>
      <c r="W290" s="39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spans="1:36" ht="11.25" customHeight="1" x14ac:dyDescent="0.2">
      <c r="A291" s="35" t="s">
        <v>21</v>
      </c>
      <c r="B291" s="35" t="s">
        <v>39</v>
      </c>
      <c r="C291" s="35" t="s">
        <v>41</v>
      </c>
      <c r="D291" s="35" t="s">
        <v>52</v>
      </c>
      <c r="E291" s="35" t="s">
        <v>25</v>
      </c>
      <c r="F291" s="35" t="s">
        <v>25</v>
      </c>
      <c r="G291" s="35" t="s">
        <v>25</v>
      </c>
      <c r="H291" s="35" t="s">
        <v>35</v>
      </c>
      <c r="I291" s="55">
        <v>44774</v>
      </c>
      <c r="J291" s="56">
        <f>EFEITO!$J$291*EFEITO!$Y$291</f>
        <v>0</v>
      </c>
      <c r="K291" s="56">
        <f ca="1">EFEITO!$L$291*EFEITO!$Z$291</f>
        <v>5788.1186811219668</v>
      </c>
      <c r="L291" s="56">
        <f>EFEITO!$N$291*EFEITO!$AA$291</f>
        <v>14177.867104193698</v>
      </c>
      <c r="M291" s="56">
        <f>$J$291-EFEITO!$K$291*EFEITO!$Y$291</f>
        <v>0</v>
      </c>
      <c r="N291" s="56">
        <f ca="1">$K$291-EFEITO!$M$291*EFEITO!$Z$291</f>
        <v>0</v>
      </c>
      <c r="O291" s="56">
        <f>$L$291-EFEITO!$O$291*EFEITO!$AA$291</f>
        <v>0</v>
      </c>
      <c r="P291" s="39"/>
      <c r="Q291" s="39"/>
      <c r="R291" s="39"/>
      <c r="S291" s="39"/>
      <c r="T291" s="39"/>
      <c r="U291" s="39"/>
      <c r="V291" s="39"/>
      <c r="W291" s="39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spans="1:36" ht="11.25" customHeight="1" x14ac:dyDescent="0.2">
      <c r="A292" s="35" t="s">
        <v>21</v>
      </c>
      <c r="B292" s="35" t="s">
        <v>39</v>
      </c>
      <c r="C292" s="35" t="s">
        <v>41</v>
      </c>
      <c r="D292" s="35" t="s">
        <v>52</v>
      </c>
      <c r="E292" s="35" t="s">
        <v>25</v>
      </c>
      <c r="F292" s="35" t="s">
        <v>25</v>
      </c>
      <c r="G292" s="35" t="s">
        <v>25</v>
      </c>
      <c r="H292" s="35" t="s">
        <v>35</v>
      </c>
      <c r="I292" s="55">
        <v>44805</v>
      </c>
      <c r="J292" s="56">
        <f>EFEITO!$J$292*EFEITO!$Y$292</f>
        <v>0</v>
      </c>
      <c r="K292" s="56">
        <f ca="1">EFEITO!$L$292*EFEITO!$Z$292</f>
        <v>5733.2775726827977</v>
      </c>
      <c r="L292" s="56">
        <f>EFEITO!$N$292*EFEITO!$AA$292</f>
        <v>14043.535037051892</v>
      </c>
      <c r="M292" s="56">
        <f>$J$292-EFEITO!$K$292*EFEITO!$Y$292</f>
        <v>0</v>
      </c>
      <c r="N292" s="56">
        <f ca="1">$K$292-EFEITO!$M$292*EFEITO!$Z$292</f>
        <v>0</v>
      </c>
      <c r="O292" s="56">
        <f>$L$292-EFEITO!$O$292*EFEITO!$AA$292</f>
        <v>0</v>
      </c>
      <c r="P292" s="39"/>
      <c r="Q292" s="39"/>
      <c r="R292" s="39"/>
      <c r="S292" s="39"/>
      <c r="T292" s="39"/>
      <c r="U292" s="39"/>
      <c r="V292" s="39"/>
      <c r="W292" s="39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spans="1:36" ht="11.25" customHeight="1" x14ac:dyDescent="0.2">
      <c r="A293" s="35" t="s">
        <v>53</v>
      </c>
      <c r="B293" s="35" t="s">
        <v>39</v>
      </c>
      <c r="C293" s="35" t="s">
        <v>41</v>
      </c>
      <c r="D293" s="35" t="s">
        <v>52</v>
      </c>
      <c r="E293" s="35" t="s">
        <v>25</v>
      </c>
      <c r="F293" s="35" t="s">
        <v>25</v>
      </c>
      <c r="G293" s="35" t="s">
        <v>25</v>
      </c>
      <c r="H293" s="35" t="s">
        <v>35</v>
      </c>
      <c r="I293" s="55">
        <v>44835</v>
      </c>
      <c r="J293" s="56">
        <f>EFEITO!$J$293*EFEITO!$Y$293</f>
        <v>0</v>
      </c>
      <c r="K293" s="56">
        <f ca="1">EFEITO!$L$293*EFEITO!$Z$293</f>
        <v>5733.2775726827977</v>
      </c>
      <c r="L293" s="56">
        <f>EFEITO!$N$293*EFEITO!$AA$293</f>
        <v>14043.535037051892</v>
      </c>
      <c r="M293" s="56">
        <f>$J$293-EFEITO!$K$293*EFEITO!$Y$293</f>
        <v>0</v>
      </c>
      <c r="N293" s="56">
        <f ca="1">$K$293-EFEITO!$M$293*EFEITO!$Z$293</f>
        <v>0</v>
      </c>
      <c r="O293" s="56">
        <f>$L$293-EFEITO!$O$293*EFEITO!$AA$293</f>
        <v>0</v>
      </c>
      <c r="P293" s="39"/>
      <c r="Q293" s="39"/>
      <c r="R293" s="39"/>
      <c r="S293" s="39"/>
      <c r="T293" s="39"/>
      <c r="U293" s="39"/>
      <c r="V293" s="39"/>
      <c r="W293" s="39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spans="1:36" ht="11.25" customHeight="1" x14ac:dyDescent="0.2">
      <c r="A294" s="35" t="s">
        <v>21</v>
      </c>
      <c r="B294" s="35" t="s">
        <v>39</v>
      </c>
      <c r="C294" s="35" t="s">
        <v>41</v>
      </c>
      <c r="D294" s="35" t="s">
        <v>52</v>
      </c>
      <c r="E294" s="35" t="s">
        <v>25</v>
      </c>
      <c r="F294" s="35" t="s">
        <v>25</v>
      </c>
      <c r="G294" s="35" t="s">
        <v>25</v>
      </c>
      <c r="H294" s="35" t="s">
        <v>25</v>
      </c>
      <c r="I294" s="55">
        <v>44501</v>
      </c>
      <c r="J294" s="56">
        <f ca="1">EFEITO!$J$294*EFEITO!$Y$294</f>
        <v>4121.240158296222</v>
      </c>
      <c r="K294" s="56">
        <f>EFEITO!$L$294*EFEITO!$Z$294</f>
        <v>0</v>
      </c>
      <c r="L294" s="56">
        <f>EFEITO!$N$294*EFEITO!$AA$294</f>
        <v>0</v>
      </c>
      <c r="M294" s="56">
        <f ca="1">$J$294-EFEITO!$K$294*EFEITO!$Y$294</f>
        <v>0</v>
      </c>
      <c r="N294" s="56">
        <f>$K$294-EFEITO!$M$294*EFEITO!$Z$294</f>
        <v>0</v>
      </c>
      <c r="O294" s="56">
        <f>$L$294-EFEITO!$O$294*EFEITO!$AA$294</f>
        <v>0</v>
      </c>
      <c r="P294" s="39"/>
      <c r="Q294" s="39"/>
      <c r="R294" s="39"/>
      <c r="S294" s="39"/>
      <c r="T294" s="39"/>
      <c r="U294" s="39"/>
      <c r="V294" s="39"/>
      <c r="W294" s="39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spans="1:36" ht="11.25" customHeight="1" x14ac:dyDescent="0.2">
      <c r="A295" s="35" t="s">
        <v>21</v>
      </c>
      <c r="B295" s="35" t="s">
        <v>39</v>
      </c>
      <c r="C295" s="35" t="s">
        <v>41</v>
      </c>
      <c r="D295" s="35" t="s">
        <v>52</v>
      </c>
      <c r="E295" s="35" t="s">
        <v>25</v>
      </c>
      <c r="F295" s="35" t="s">
        <v>25</v>
      </c>
      <c r="G295" s="35" t="s">
        <v>25</v>
      </c>
      <c r="H295" s="35" t="s">
        <v>25</v>
      </c>
      <c r="I295" s="55">
        <v>44531</v>
      </c>
      <c r="J295" s="56">
        <f ca="1">EFEITO!$J$295*EFEITO!$Y$295</f>
        <v>4217.455881836212</v>
      </c>
      <c r="K295" s="56">
        <f>EFEITO!$L$295*EFEITO!$Z$295</f>
        <v>0</v>
      </c>
      <c r="L295" s="56">
        <f>EFEITO!$N$295*EFEITO!$AA$295</f>
        <v>0</v>
      </c>
      <c r="M295" s="56">
        <f ca="1">$J$295-EFEITO!$K$295*EFEITO!$Y$295</f>
        <v>0</v>
      </c>
      <c r="N295" s="56">
        <f>$K$295-EFEITO!$M$295*EFEITO!$Z$295</f>
        <v>0</v>
      </c>
      <c r="O295" s="56">
        <f>$L$295-EFEITO!$O$295*EFEITO!$AA$295</f>
        <v>0</v>
      </c>
      <c r="P295" s="39"/>
      <c r="Q295" s="39"/>
      <c r="R295" s="39"/>
      <c r="S295" s="39"/>
      <c r="T295" s="39"/>
      <c r="U295" s="39"/>
      <c r="V295" s="39"/>
      <c r="W295" s="39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pans="1:36" ht="11.25" customHeight="1" x14ac:dyDescent="0.2">
      <c r="A296" s="35" t="s">
        <v>21</v>
      </c>
      <c r="B296" s="35" t="s">
        <v>39</v>
      </c>
      <c r="C296" s="35" t="s">
        <v>41</v>
      </c>
      <c r="D296" s="35" t="s">
        <v>52</v>
      </c>
      <c r="E296" s="35" t="s">
        <v>25</v>
      </c>
      <c r="F296" s="35" t="s">
        <v>25</v>
      </c>
      <c r="G296" s="35" t="s">
        <v>25</v>
      </c>
      <c r="H296" s="35" t="s">
        <v>25</v>
      </c>
      <c r="I296" s="55">
        <v>44562</v>
      </c>
      <c r="J296" s="56">
        <f ca="1">EFEITO!$J$296*EFEITO!$Y$296</f>
        <v>4105.2042043728907</v>
      </c>
      <c r="K296" s="56">
        <f>EFEITO!$L$296*EFEITO!$Z$296</f>
        <v>0</v>
      </c>
      <c r="L296" s="56">
        <f>EFEITO!$N$296*EFEITO!$AA$296</f>
        <v>0</v>
      </c>
      <c r="M296" s="56">
        <f ca="1">$J$296-EFEITO!$K$296*EFEITO!$Y$296</f>
        <v>0</v>
      </c>
      <c r="N296" s="56">
        <f>$K$296-EFEITO!$M$296*EFEITO!$Z$296</f>
        <v>0</v>
      </c>
      <c r="O296" s="56">
        <f>$L$296-EFEITO!$O$296*EFEITO!$AA$296</f>
        <v>0</v>
      </c>
      <c r="P296" s="39"/>
      <c r="Q296" s="39"/>
      <c r="R296" s="39"/>
      <c r="S296" s="39"/>
      <c r="T296" s="39"/>
      <c r="U296" s="39"/>
      <c r="V296" s="39"/>
      <c r="W296" s="39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spans="1:36" ht="11.25" customHeight="1" x14ac:dyDescent="0.2">
      <c r="A297" s="35" t="s">
        <v>21</v>
      </c>
      <c r="B297" s="35" t="s">
        <v>39</v>
      </c>
      <c r="C297" s="35" t="s">
        <v>41</v>
      </c>
      <c r="D297" s="35" t="s">
        <v>52</v>
      </c>
      <c r="E297" s="35" t="s">
        <v>25</v>
      </c>
      <c r="F297" s="35" t="s">
        <v>25</v>
      </c>
      <c r="G297" s="35" t="s">
        <v>25</v>
      </c>
      <c r="H297" s="35" t="s">
        <v>25</v>
      </c>
      <c r="I297" s="55">
        <v>44593</v>
      </c>
      <c r="J297" s="56">
        <f ca="1">EFEITO!$J$297*EFEITO!$Y$297</f>
        <v>4169.348020066217</v>
      </c>
      <c r="K297" s="56">
        <f>EFEITO!$L$297*EFEITO!$Z$297</f>
        <v>0</v>
      </c>
      <c r="L297" s="56">
        <f>EFEITO!$N$297*EFEITO!$AA$297</f>
        <v>0</v>
      </c>
      <c r="M297" s="56">
        <f ca="1">$J$297-EFEITO!$K$297*EFEITO!$Y$297</f>
        <v>0</v>
      </c>
      <c r="N297" s="56">
        <f>$K$297-EFEITO!$M$297*EFEITO!$Z$297</f>
        <v>0</v>
      </c>
      <c r="O297" s="56">
        <f>$L$297-EFEITO!$O$297*EFEITO!$AA$297</f>
        <v>0</v>
      </c>
      <c r="P297" s="39"/>
      <c r="Q297" s="39"/>
      <c r="R297" s="39"/>
      <c r="S297" s="39"/>
      <c r="T297" s="39"/>
      <c r="U297" s="39"/>
      <c r="V297" s="39"/>
      <c r="W297" s="39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spans="1:36" ht="11.25" customHeight="1" x14ac:dyDescent="0.2">
      <c r="A298" s="35" t="s">
        <v>21</v>
      </c>
      <c r="B298" s="35" t="s">
        <v>39</v>
      </c>
      <c r="C298" s="35" t="s">
        <v>41</v>
      </c>
      <c r="D298" s="35" t="s">
        <v>52</v>
      </c>
      <c r="E298" s="35" t="s">
        <v>25</v>
      </c>
      <c r="F298" s="35" t="s">
        <v>25</v>
      </c>
      <c r="G298" s="35" t="s">
        <v>25</v>
      </c>
      <c r="H298" s="35" t="s">
        <v>25</v>
      </c>
      <c r="I298" s="55">
        <v>44621</v>
      </c>
      <c r="J298" s="56">
        <f ca="1">EFEITO!$J$298*EFEITO!$Y$298</f>
        <v>4137.2761122195543</v>
      </c>
      <c r="K298" s="56">
        <f>EFEITO!$L$298*EFEITO!$Z$298</f>
        <v>0</v>
      </c>
      <c r="L298" s="56">
        <f>EFEITO!$N$298*EFEITO!$AA$298</f>
        <v>0</v>
      </c>
      <c r="M298" s="56">
        <f ca="1">$J$298-EFEITO!$K$298*EFEITO!$Y$298</f>
        <v>0</v>
      </c>
      <c r="N298" s="56">
        <f>$K$298-EFEITO!$M$298*EFEITO!$Z$298</f>
        <v>0</v>
      </c>
      <c r="O298" s="56">
        <f>$L$298-EFEITO!$O$298*EFEITO!$AA$298</f>
        <v>0</v>
      </c>
      <c r="P298" s="39"/>
      <c r="Q298" s="39"/>
      <c r="R298" s="39"/>
      <c r="S298" s="39"/>
      <c r="T298" s="39"/>
      <c r="U298" s="39"/>
      <c r="V298" s="39"/>
      <c r="W298" s="39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spans="1:36" ht="11.25" customHeight="1" x14ac:dyDescent="0.2">
      <c r="A299" s="35" t="s">
        <v>21</v>
      </c>
      <c r="B299" s="35" t="s">
        <v>39</v>
      </c>
      <c r="C299" s="35" t="s">
        <v>41</v>
      </c>
      <c r="D299" s="35" t="s">
        <v>52</v>
      </c>
      <c r="E299" s="35" t="s">
        <v>25</v>
      </c>
      <c r="F299" s="35" t="s">
        <v>25</v>
      </c>
      <c r="G299" s="35" t="s">
        <v>25</v>
      </c>
      <c r="H299" s="35" t="s">
        <v>25</v>
      </c>
      <c r="I299" s="55">
        <v>44652</v>
      </c>
      <c r="J299" s="56">
        <f ca="1">EFEITO!$J$299*EFEITO!$Y$299</f>
        <v>4057.0963426028957</v>
      </c>
      <c r="K299" s="56">
        <f>EFEITO!$L$299*EFEITO!$Z$299</f>
        <v>0</v>
      </c>
      <c r="L299" s="56">
        <f>EFEITO!$N$299*EFEITO!$AA$299</f>
        <v>0</v>
      </c>
      <c r="M299" s="56">
        <f ca="1">$J$299-EFEITO!$K$299*EFEITO!$Y$299</f>
        <v>0</v>
      </c>
      <c r="N299" s="56">
        <f>$K$299-EFEITO!$M$299*EFEITO!$Z$299</f>
        <v>0</v>
      </c>
      <c r="O299" s="56">
        <f>$L$299-EFEITO!$O$299*EFEITO!$AA$299</f>
        <v>0</v>
      </c>
      <c r="P299" s="39"/>
      <c r="Q299" s="39"/>
      <c r="R299" s="39"/>
      <c r="S299" s="39"/>
      <c r="T299" s="39"/>
      <c r="U299" s="39"/>
      <c r="V299" s="39"/>
      <c r="W299" s="39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spans="1:36" ht="11.25" customHeight="1" x14ac:dyDescent="0.2">
      <c r="A300" s="35" t="s">
        <v>21</v>
      </c>
      <c r="B300" s="35" t="s">
        <v>39</v>
      </c>
      <c r="C300" s="35" t="s">
        <v>41</v>
      </c>
      <c r="D300" s="35" t="s">
        <v>52</v>
      </c>
      <c r="E300" s="35" t="s">
        <v>25</v>
      </c>
      <c r="F300" s="35" t="s">
        <v>25</v>
      </c>
      <c r="G300" s="35" t="s">
        <v>25</v>
      </c>
      <c r="H300" s="35" t="s">
        <v>25</v>
      </c>
      <c r="I300" s="55">
        <v>44682</v>
      </c>
      <c r="J300" s="56">
        <f ca="1">EFEITO!$J$300*EFEITO!$Y$300</f>
        <v>3992.9525269095693</v>
      </c>
      <c r="K300" s="56">
        <f>EFEITO!$L$300*EFEITO!$Z$300</f>
        <v>0</v>
      </c>
      <c r="L300" s="56">
        <f>EFEITO!$N$300*EFEITO!$AA$300</f>
        <v>0</v>
      </c>
      <c r="M300" s="56">
        <f ca="1">$J$300-EFEITO!$K$300*EFEITO!$Y$300</f>
        <v>0</v>
      </c>
      <c r="N300" s="56">
        <f>$K$300-EFEITO!$M$300*EFEITO!$Z$300</f>
        <v>0</v>
      </c>
      <c r="O300" s="56">
        <f>$L$300-EFEITO!$O$300*EFEITO!$AA$300</f>
        <v>0</v>
      </c>
      <c r="P300" s="39"/>
      <c r="Q300" s="39"/>
      <c r="R300" s="39"/>
      <c r="S300" s="39"/>
      <c r="T300" s="39"/>
      <c r="U300" s="39"/>
      <c r="V300" s="39"/>
      <c r="W300" s="39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spans="1:36" ht="11.25" customHeight="1" x14ac:dyDescent="0.2">
      <c r="A301" s="35" t="s">
        <v>21</v>
      </c>
      <c r="B301" s="35" t="s">
        <v>39</v>
      </c>
      <c r="C301" s="35" t="s">
        <v>41</v>
      </c>
      <c r="D301" s="35" t="s">
        <v>52</v>
      </c>
      <c r="E301" s="35" t="s">
        <v>25</v>
      </c>
      <c r="F301" s="35" t="s">
        <v>25</v>
      </c>
      <c r="G301" s="35" t="s">
        <v>25</v>
      </c>
      <c r="H301" s="35" t="s">
        <v>25</v>
      </c>
      <c r="I301" s="55">
        <v>44713</v>
      </c>
      <c r="J301" s="56">
        <f ca="1">EFEITO!$J$301*EFEITO!$Y$301</f>
        <v>3992.9525269095693</v>
      </c>
      <c r="K301" s="56">
        <f>EFEITO!$L$301*EFEITO!$Z$301</f>
        <v>0</v>
      </c>
      <c r="L301" s="56">
        <f>EFEITO!$N$301*EFEITO!$AA$301</f>
        <v>0</v>
      </c>
      <c r="M301" s="56">
        <f ca="1">$J$301-EFEITO!$K$301*EFEITO!$Y$301</f>
        <v>0</v>
      </c>
      <c r="N301" s="56">
        <f>$K$301-EFEITO!$M$301*EFEITO!$Z$301</f>
        <v>0</v>
      </c>
      <c r="O301" s="56">
        <f>$L$301-EFEITO!$O$301*EFEITO!$AA$301</f>
        <v>0</v>
      </c>
      <c r="P301" s="39"/>
      <c r="Q301" s="39"/>
      <c r="R301" s="39"/>
      <c r="S301" s="39"/>
      <c r="T301" s="39"/>
      <c r="U301" s="39"/>
      <c r="V301" s="39"/>
      <c r="W301" s="39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spans="1:36" ht="11.25" customHeight="1" x14ac:dyDescent="0.2">
      <c r="A302" s="35" t="s">
        <v>21</v>
      </c>
      <c r="B302" s="35" t="s">
        <v>39</v>
      </c>
      <c r="C302" s="35" t="s">
        <v>41</v>
      </c>
      <c r="D302" s="35" t="s">
        <v>52</v>
      </c>
      <c r="E302" s="35" t="s">
        <v>25</v>
      </c>
      <c r="F302" s="35" t="s">
        <v>25</v>
      </c>
      <c r="G302" s="35" t="s">
        <v>25</v>
      </c>
      <c r="H302" s="35" t="s">
        <v>25</v>
      </c>
      <c r="I302" s="55">
        <v>44743</v>
      </c>
      <c r="J302" s="56">
        <f ca="1">EFEITO!$J$302*EFEITO!$Y$302</f>
        <v>4073.1322965262275</v>
      </c>
      <c r="K302" s="56">
        <f>EFEITO!$L$302*EFEITO!$Z$302</f>
        <v>0</v>
      </c>
      <c r="L302" s="56">
        <f>EFEITO!$N$302*EFEITO!$AA$302</f>
        <v>0</v>
      </c>
      <c r="M302" s="56">
        <f ca="1">$J$302-EFEITO!$K$302*EFEITO!$Y$302</f>
        <v>0</v>
      </c>
      <c r="N302" s="56">
        <f>$K$302-EFEITO!$M$302*EFEITO!$Z$302</f>
        <v>0</v>
      </c>
      <c r="O302" s="56">
        <f>$L$302-EFEITO!$O$302*EFEITO!$AA$302</f>
        <v>0</v>
      </c>
      <c r="P302" s="39"/>
      <c r="Q302" s="39"/>
      <c r="R302" s="39"/>
      <c r="S302" s="39"/>
      <c r="T302" s="39"/>
      <c r="U302" s="39"/>
      <c r="V302" s="39"/>
      <c r="W302" s="39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spans="1:36" ht="11.25" customHeight="1" x14ac:dyDescent="0.2">
      <c r="A303" s="35" t="s">
        <v>21</v>
      </c>
      <c r="B303" s="35" t="s">
        <v>39</v>
      </c>
      <c r="C303" s="35" t="s">
        <v>41</v>
      </c>
      <c r="D303" s="35" t="s">
        <v>52</v>
      </c>
      <c r="E303" s="35" t="s">
        <v>25</v>
      </c>
      <c r="F303" s="35" t="s">
        <v>25</v>
      </c>
      <c r="G303" s="35" t="s">
        <v>25</v>
      </c>
      <c r="H303" s="35" t="s">
        <v>25</v>
      </c>
      <c r="I303" s="55">
        <v>44774</v>
      </c>
      <c r="J303" s="56">
        <f ca="1">EFEITO!$J$303*EFEITO!$Y$303</f>
        <v>4570.2468681495075</v>
      </c>
      <c r="K303" s="56">
        <f>EFEITO!$L$303*EFEITO!$Z$303</f>
        <v>0</v>
      </c>
      <c r="L303" s="56">
        <f>EFEITO!$N$303*EFEITO!$AA$303</f>
        <v>0</v>
      </c>
      <c r="M303" s="56">
        <f ca="1">$J$303-EFEITO!$K$303*EFEITO!$Y$303</f>
        <v>0</v>
      </c>
      <c r="N303" s="56">
        <f>$K$303-EFEITO!$M$303*EFEITO!$Z$303</f>
        <v>0</v>
      </c>
      <c r="O303" s="56">
        <f>$L$303-EFEITO!$O$303*EFEITO!$AA$303</f>
        <v>0</v>
      </c>
      <c r="P303" s="39"/>
      <c r="Q303" s="39"/>
      <c r="R303" s="39"/>
      <c r="S303" s="39"/>
      <c r="T303" s="39"/>
      <c r="U303" s="39"/>
      <c r="V303" s="39"/>
      <c r="W303" s="39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spans="1:36" ht="11.25" customHeight="1" x14ac:dyDescent="0.2">
      <c r="A304" s="35" t="s">
        <v>21</v>
      </c>
      <c r="B304" s="35" t="s">
        <v>39</v>
      </c>
      <c r="C304" s="35" t="s">
        <v>41</v>
      </c>
      <c r="D304" s="35" t="s">
        <v>52</v>
      </c>
      <c r="E304" s="35" t="s">
        <v>25</v>
      </c>
      <c r="F304" s="35" t="s">
        <v>25</v>
      </c>
      <c r="G304" s="35" t="s">
        <v>25</v>
      </c>
      <c r="H304" s="35" t="s">
        <v>25</v>
      </c>
      <c r="I304" s="55">
        <v>44805</v>
      </c>
      <c r="J304" s="56">
        <f ca="1">EFEITO!$J$304*EFEITO!$Y$304</f>
        <v>4057.0963426028957</v>
      </c>
      <c r="K304" s="56">
        <f>EFEITO!$L$304*EFEITO!$Z$304</f>
        <v>0</v>
      </c>
      <c r="L304" s="56">
        <f>EFEITO!$N$304*EFEITO!$AA$304</f>
        <v>0</v>
      </c>
      <c r="M304" s="56">
        <f ca="1">$J$304-EFEITO!$K$304*EFEITO!$Y$304</f>
        <v>0</v>
      </c>
      <c r="N304" s="56">
        <f>$K$304-EFEITO!$M$304*EFEITO!$Z$304</f>
        <v>0</v>
      </c>
      <c r="O304" s="56">
        <f>$L$304-EFEITO!$O$304*EFEITO!$AA$304</f>
        <v>0</v>
      </c>
      <c r="P304" s="39"/>
      <c r="Q304" s="39"/>
      <c r="R304" s="39"/>
      <c r="S304" s="39"/>
      <c r="T304" s="39"/>
      <c r="U304" s="39"/>
      <c r="V304" s="39"/>
      <c r="W304" s="39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spans="1:36" ht="11.25" customHeight="1" x14ac:dyDescent="0.2">
      <c r="A305" s="35" t="s">
        <v>53</v>
      </c>
      <c r="B305" s="35" t="s">
        <v>39</v>
      </c>
      <c r="C305" s="35" t="s">
        <v>41</v>
      </c>
      <c r="D305" s="35" t="s">
        <v>52</v>
      </c>
      <c r="E305" s="35" t="s">
        <v>25</v>
      </c>
      <c r="F305" s="35" t="s">
        <v>25</v>
      </c>
      <c r="G305" s="35" t="s">
        <v>25</v>
      </c>
      <c r="H305" s="35" t="s">
        <v>25</v>
      </c>
      <c r="I305" s="55">
        <v>44835</v>
      </c>
      <c r="J305" s="56">
        <f ca="1">EFEITO!$J$305*EFEITO!$Y$305</f>
        <v>4057.0963426028957</v>
      </c>
      <c r="K305" s="56">
        <f>EFEITO!$L$305*EFEITO!$Z$305</f>
        <v>0</v>
      </c>
      <c r="L305" s="56">
        <f>EFEITO!$N$305*EFEITO!$AA$305</f>
        <v>0</v>
      </c>
      <c r="M305" s="56">
        <f ca="1">$J$305-EFEITO!$K$305*EFEITO!$Y$305</f>
        <v>0</v>
      </c>
      <c r="N305" s="56">
        <f>$K$305-EFEITO!$M$305*EFEITO!$Z$305</f>
        <v>0</v>
      </c>
      <c r="O305" s="56">
        <f>$L$305-EFEITO!$O$305*EFEITO!$AA$305</f>
        <v>0</v>
      </c>
      <c r="P305" s="39"/>
      <c r="Q305" s="39"/>
      <c r="R305" s="39"/>
      <c r="S305" s="39"/>
      <c r="T305" s="39"/>
      <c r="U305" s="39"/>
      <c r="V305" s="39"/>
      <c r="W305" s="39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spans="1:36" ht="11.25" customHeight="1" x14ac:dyDescent="0.2">
      <c r="A306" s="35" t="s">
        <v>21</v>
      </c>
      <c r="B306" s="35" t="s">
        <v>39</v>
      </c>
      <c r="C306" s="35" t="s">
        <v>41</v>
      </c>
      <c r="D306" s="35" t="s">
        <v>52</v>
      </c>
      <c r="E306" s="35" t="s">
        <v>25</v>
      </c>
      <c r="F306" s="35" t="s">
        <v>25</v>
      </c>
      <c r="G306" s="35" t="s">
        <v>25</v>
      </c>
      <c r="H306" s="35" t="s">
        <v>34</v>
      </c>
      <c r="I306" s="55">
        <v>44501</v>
      </c>
      <c r="J306" s="56">
        <f>EFEITO!$J$306*EFEITO!$Y$306</f>
        <v>0</v>
      </c>
      <c r="K306" s="56">
        <f ca="1">EFEITO!$L$306*EFEITO!$Z$306</f>
        <v>5002.2828010548592</v>
      </c>
      <c r="L306" s="56">
        <f>EFEITO!$N$306*EFEITO!$AA$306</f>
        <v>2176.8014761593149</v>
      </c>
      <c r="M306" s="56">
        <f>$J$306-EFEITO!$K$306*EFEITO!$Y$306</f>
        <v>0</v>
      </c>
      <c r="N306" s="56">
        <f ca="1">$K$306-EFEITO!$M$306*EFEITO!$Z$306</f>
        <v>0</v>
      </c>
      <c r="O306" s="56">
        <f>$L$306-EFEITO!$O$306*EFEITO!$AA$306</f>
        <v>0</v>
      </c>
      <c r="P306" s="39"/>
      <c r="Q306" s="39"/>
      <c r="R306" s="39"/>
      <c r="S306" s="39"/>
      <c r="T306" s="39"/>
      <c r="U306" s="39"/>
      <c r="V306" s="39"/>
      <c r="W306" s="39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spans="1:36" ht="11.25" customHeight="1" x14ac:dyDescent="0.2">
      <c r="A307" s="35" t="s">
        <v>21</v>
      </c>
      <c r="B307" s="35" t="s">
        <v>39</v>
      </c>
      <c r="C307" s="35" t="s">
        <v>41</v>
      </c>
      <c r="D307" s="35" t="s">
        <v>52</v>
      </c>
      <c r="E307" s="35" t="s">
        <v>25</v>
      </c>
      <c r="F307" s="35" t="s">
        <v>25</v>
      </c>
      <c r="G307" s="35" t="s">
        <v>25</v>
      </c>
      <c r="H307" s="35" t="s">
        <v>34</v>
      </c>
      <c r="I307" s="55">
        <v>44531</v>
      </c>
      <c r="J307" s="56">
        <f>EFEITO!$J$307*EFEITO!$Y$307</f>
        <v>0</v>
      </c>
      <c r="K307" s="56">
        <f ca="1">EFEITO!$L$307*EFEITO!$Z$307</f>
        <v>4756.3605180979721</v>
      </c>
      <c r="L307" s="56">
        <f>EFEITO!$N$307*EFEITO!$AA$307</f>
        <v>2069.7855376665666</v>
      </c>
      <c r="M307" s="56">
        <f>$J$307-EFEITO!$K$307*EFEITO!$Y$307</f>
        <v>0</v>
      </c>
      <c r="N307" s="56">
        <f ca="1">$K$307-EFEITO!$M$307*EFEITO!$Z$307</f>
        <v>0</v>
      </c>
      <c r="O307" s="56">
        <f>$L$307-EFEITO!$O$307*EFEITO!$AA$307</f>
        <v>0</v>
      </c>
      <c r="P307" s="39"/>
      <c r="Q307" s="39"/>
      <c r="R307" s="39"/>
      <c r="S307" s="39"/>
      <c r="T307" s="39"/>
      <c r="U307" s="39"/>
      <c r="V307" s="39"/>
      <c r="W307" s="39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pans="1:36" ht="11.25" customHeight="1" x14ac:dyDescent="0.2">
      <c r="A308" s="35" t="s">
        <v>21</v>
      </c>
      <c r="B308" s="35" t="s">
        <v>39</v>
      </c>
      <c r="C308" s="35" t="s">
        <v>41</v>
      </c>
      <c r="D308" s="35" t="s">
        <v>52</v>
      </c>
      <c r="E308" s="35" t="s">
        <v>25</v>
      </c>
      <c r="F308" s="35" t="s">
        <v>25</v>
      </c>
      <c r="G308" s="35" t="s">
        <v>25</v>
      </c>
      <c r="H308" s="35" t="s">
        <v>34</v>
      </c>
      <c r="I308" s="55">
        <v>44562</v>
      </c>
      <c r="J308" s="56">
        <f>EFEITO!$J$308*EFEITO!$Y$308</f>
        <v>0</v>
      </c>
      <c r="K308" s="56">
        <f ca="1">EFEITO!$L$308*EFEITO!$Z$308</f>
        <v>5784.7627922813181</v>
      </c>
      <c r="L308" s="56">
        <f>EFEITO!$N$308*EFEITO!$AA$308</f>
        <v>2517.3067349998782</v>
      </c>
      <c r="M308" s="56">
        <f>$J$308-EFEITO!$K$308*EFEITO!$Y$308</f>
        <v>0</v>
      </c>
      <c r="N308" s="56">
        <f ca="1">$K$308-EFEITO!$M$308*EFEITO!$Z$308</f>
        <v>0</v>
      </c>
      <c r="O308" s="56">
        <f>$L$308-EFEITO!$O$308*EFEITO!$AA$308</f>
        <v>0</v>
      </c>
      <c r="P308" s="39"/>
      <c r="Q308" s="39"/>
      <c r="R308" s="39"/>
      <c r="S308" s="39"/>
      <c r="T308" s="39"/>
      <c r="U308" s="39"/>
      <c r="V308" s="39"/>
      <c r="W308" s="39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spans="1:36" ht="11.25" customHeight="1" x14ac:dyDescent="0.2">
      <c r="A309" s="35" t="s">
        <v>21</v>
      </c>
      <c r="B309" s="35" t="s">
        <v>39</v>
      </c>
      <c r="C309" s="35" t="s">
        <v>41</v>
      </c>
      <c r="D309" s="35" t="s">
        <v>52</v>
      </c>
      <c r="E309" s="35" t="s">
        <v>25</v>
      </c>
      <c r="F309" s="35" t="s">
        <v>25</v>
      </c>
      <c r="G309" s="35" t="s">
        <v>25</v>
      </c>
      <c r="H309" s="35" t="s">
        <v>34</v>
      </c>
      <c r="I309" s="55">
        <v>44593</v>
      </c>
      <c r="J309" s="56">
        <f>EFEITO!$J$309*EFEITO!$Y$309</f>
        <v>0</v>
      </c>
      <c r="K309" s="56">
        <f ca="1">EFEITO!$L$309*EFEITO!$Z$309</f>
        <v>5358.8701113423449</v>
      </c>
      <c r="L309" s="56">
        <f>EFEITO!$N$309*EFEITO!$AA$309</f>
        <v>2331.9745869737999</v>
      </c>
      <c r="M309" s="56">
        <f>$J$309-EFEITO!$K$309*EFEITO!$Y$309</f>
        <v>0</v>
      </c>
      <c r="N309" s="56">
        <f ca="1">$K$309-EFEITO!$M$309*EFEITO!$Z$309</f>
        <v>0</v>
      </c>
      <c r="O309" s="56">
        <f>$L$309-EFEITO!$O$309*EFEITO!$AA$309</f>
        <v>0</v>
      </c>
      <c r="P309" s="39"/>
      <c r="Q309" s="39"/>
      <c r="R309" s="39"/>
      <c r="S309" s="39"/>
      <c r="T309" s="39"/>
      <c r="U309" s="39"/>
      <c r="V309" s="39"/>
      <c r="W309" s="39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spans="1:36" ht="11.25" customHeight="1" x14ac:dyDescent="0.2">
      <c r="A310" s="35" t="s">
        <v>21</v>
      </c>
      <c r="B310" s="35" t="s">
        <v>39</v>
      </c>
      <c r="C310" s="35" t="s">
        <v>41</v>
      </c>
      <c r="D310" s="35" t="s">
        <v>52</v>
      </c>
      <c r="E310" s="35" t="s">
        <v>25</v>
      </c>
      <c r="F310" s="35" t="s">
        <v>25</v>
      </c>
      <c r="G310" s="35" t="s">
        <v>25</v>
      </c>
      <c r="H310" s="35" t="s">
        <v>34</v>
      </c>
      <c r="I310" s="55">
        <v>44621</v>
      </c>
      <c r="J310" s="56">
        <f>EFEITO!$J$310*EFEITO!$Y$310</f>
        <v>0</v>
      </c>
      <c r="K310" s="56">
        <f ca="1">EFEITO!$L$310*EFEITO!$Z$310</f>
        <v>5107.3586855909834</v>
      </c>
      <c r="L310" s="56">
        <f>EFEITO!$N$310*EFEITO!$AA$310</f>
        <v>2222.526468060762</v>
      </c>
      <c r="M310" s="56">
        <f>$J$310-EFEITO!$K$310*EFEITO!$Y$310</f>
        <v>0</v>
      </c>
      <c r="N310" s="56">
        <f ca="1">$K$310-EFEITO!$M$310*EFEITO!$Z$310</f>
        <v>0</v>
      </c>
      <c r="O310" s="56">
        <f>$L$310-EFEITO!$O$310*EFEITO!$AA$310</f>
        <v>0</v>
      </c>
      <c r="P310" s="39"/>
      <c r="Q310" s="39"/>
      <c r="R310" s="39"/>
      <c r="S310" s="39"/>
      <c r="T310" s="39"/>
      <c r="U310" s="39"/>
      <c r="V310" s="39"/>
      <c r="W310" s="39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spans="1:36" ht="11.25" customHeight="1" x14ac:dyDescent="0.2">
      <c r="A311" s="35" t="s">
        <v>21</v>
      </c>
      <c r="B311" s="35" t="s">
        <v>39</v>
      </c>
      <c r="C311" s="35" t="s">
        <v>41</v>
      </c>
      <c r="D311" s="35" t="s">
        <v>52</v>
      </c>
      <c r="E311" s="35" t="s">
        <v>25</v>
      </c>
      <c r="F311" s="35" t="s">
        <v>25</v>
      </c>
      <c r="G311" s="35" t="s">
        <v>25</v>
      </c>
      <c r="H311" s="35" t="s">
        <v>34</v>
      </c>
      <c r="I311" s="55">
        <v>44652</v>
      </c>
      <c r="J311" s="56">
        <f>EFEITO!$J$311*EFEITO!$Y$311</f>
        <v>0</v>
      </c>
      <c r="K311" s="56">
        <f ca="1">EFEITO!$L$311*EFEITO!$Z$311</f>
        <v>5895.4278196119167</v>
      </c>
      <c r="L311" s="56">
        <f>EFEITO!$N$311*EFEITO!$AA$311</f>
        <v>2565.4639073216149</v>
      </c>
      <c r="M311" s="56">
        <f>$J$311-EFEITO!$K$311*EFEITO!$Y$311</f>
        <v>0</v>
      </c>
      <c r="N311" s="56">
        <f ca="1">$K$311-EFEITO!$M$311*EFEITO!$Z$311</f>
        <v>0</v>
      </c>
      <c r="O311" s="56">
        <f>$L$311-EFEITO!$O$311*EFEITO!$AA$311</f>
        <v>0</v>
      </c>
      <c r="P311" s="39"/>
      <c r="Q311" s="39"/>
      <c r="R311" s="39"/>
      <c r="S311" s="39"/>
      <c r="T311" s="39"/>
      <c r="U311" s="39"/>
      <c r="V311" s="39"/>
      <c r="W311" s="39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pans="1:36" ht="11.25" customHeight="1" x14ac:dyDescent="0.2">
      <c r="A312" s="35" t="s">
        <v>21</v>
      </c>
      <c r="B312" s="35" t="s">
        <v>39</v>
      </c>
      <c r="C312" s="35" t="s">
        <v>41</v>
      </c>
      <c r="D312" s="35" t="s">
        <v>52</v>
      </c>
      <c r="E312" s="35" t="s">
        <v>25</v>
      </c>
      <c r="F312" s="35" t="s">
        <v>25</v>
      </c>
      <c r="G312" s="35" t="s">
        <v>25</v>
      </c>
      <c r="H312" s="35" t="s">
        <v>34</v>
      </c>
      <c r="I312" s="55">
        <v>44682</v>
      </c>
      <c r="J312" s="56">
        <f>EFEITO!$J$312*EFEITO!$Y$312</f>
        <v>0</v>
      </c>
      <c r="K312" s="56">
        <f ca="1">EFEITO!$L$312*EFEITO!$Z$312</f>
        <v>5159.896627859046</v>
      </c>
      <c r="L312" s="56">
        <f>EFEITO!$N$312*EFEITO!$AA$312</f>
        <v>2245.3889640114853</v>
      </c>
      <c r="M312" s="56">
        <f>$J$312-EFEITO!$K$312*EFEITO!$Y$312</f>
        <v>0</v>
      </c>
      <c r="N312" s="56">
        <f ca="1">$K$312-EFEITO!$M$312*EFEITO!$Z$312</f>
        <v>0</v>
      </c>
      <c r="O312" s="56">
        <f>$L$312-EFEITO!$O$312*EFEITO!$AA$312</f>
        <v>0</v>
      </c>
      <c r="P312" s="39"/>
      <c r="Q312" s="39"/>
      <c r="R312" s="39"/>
      <c r="S312" s="39"/>
      <c r="T312" s="39"/>
      <c r="U312" s="39"/>
      <c r="V312" s="39"/>
      <c r="W312" s="39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spans="1:36" ht="11.25" customHeight="1" x14ac:dyDescent="0.2">
      <c r="A313" s="35" t="s">
        <v>21</v>
      </c>
      <c r="B313" s="35" t="s">
        <v>39</v>
      </c>
      <c r="C313" s="35" t="s">
        <v>41</v>
      </c>
      <c r="D313" s="35" t="s">
        <v>52</v>
      </c>
      <c r="E313" s="35" t="s">
        <v>25</v>
      </c>
      <c r="F313" s="35" t="s">
        <v>25</v>
      </c>
      <c r="G313" s="35" t="s">
        <v>25</v>
      </c>
      <c r="H313" s="35" t="s">
        <v>34</v>
      </c>
      <c r="I313" s="55">
        <v>44713</v>
      </c>
      <c r="J313" s="56">
        <f>EFEITO!$J$313*EFEITO!$Y$313</f>
        <v>0</v>
      </c>
      <c r="K313" s="56">
        <f ca="1">EFEITO!$L$313*EFEITO!$Z$313</f>
        <v>5688.6295362163537</v>
      </c>
      <c r="L313" s="56">
        <f>EFEITO!$N$313*EFEITO!$AA$313</f>
        <v>2475.4732317708949</v>
      </c>
      <c r="M313" s="56">
        <f>$J$313-EFEITO!$K$313*EFEITO!$Y$313</f>
        <v>0</v>
      </c>
      <c r="N313" s="56">
        <f ca="1">$K$313-EFEITO!$M$313*EFEITO!$Z$313</f>
        <v>0</v>
      </c>
      <c r="O313" s="56">
        <f>$L$313-EFEITO!$O$313*EFEITO!$AA$313</f>
        <v>0</v>
      </c>
      <c r="P313" s="39"/>
      <c r="Q313" s="39"/>
      <c r="R313" s="39"/>
      <c r="S313" s="39"/>
      <c r="T313" s="39"/>
      <c r="U313" s="39"/>
      <c r="V313" s="39"/>
      <c r="W313" s="39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pans="1:36" ht="11.25" customHeight="1" x14ac:dyDescent="0.2">
      <c r="A314" s="35" t="s">
        <v>21</v>
      </c>
      <c r="B314" s="35" t="s">
        <v>39</v>
      </c>
      <c r="C314" s="35" t="s">
        <v>41</v>
      </c>
      <c r="D314" s="35" t="s">
        <v>52</v>
      </c>
      <c r="E314" s="35" t="s">
        <v>25</v>
      </c>
      <c r="F314" s="35" t="s">
        <v>25</v>
      </c>
      <c r="G314" s="35" t="s">
        <v>25</v>
      </c>
      <c r="H314" s="35" t="s">
        <v>34</v>
      </c>
      <c r="I314" s="55">
        <v>44743</v>
      </c>
      <c r="J314" s="56">
        <f>EFEITO!$J$314*EFEITO!$Y$314</f>
        <v>0</v>
      </c>
      <c r="K314" s="56">
        <f ca="1">EFEITO!$L$314*EFEITO!$Z$314</f>
        <v>5324.2174260166021</v>
      </c>
      <c r="L314" s="56">
        <f>EFEITO!$N$314*EFEITO!$AA$314</f>
        <v>2316.8950683680036</v>
      </c>
      <c r="M314" s="56">
        <f>$J$314-EFEITO!$K$314*EFEITO!$Y$314</f>
        <v>0</v>
      </c>
      <c r="N314" s="56">
        <f ca="1">$K$314-EFEITO!$M$314*EFEITO!$Z$314</f>
        <v>0</v>
      </c>
      <c r="O314" s="56">
        <f>$L$314-EFEITO!$O$314*EFEITO!$AA$314</f>
        <v>0</v>
      </c>
      <c r="P314" s="39"/>
      <c r="Q314" s="39"/>
      <c r="R314" s="39"/>
      <c r="S314" s="39"/>
      <c r="T314" s="39"/>
      <c r="U314" s="39"/>
      <c r="V314" s="39"/>
      <c r="W314" s="39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spans="1:36" ht="11.25" customHeight="1" x14ac:dyDescent="0.2">
      <c r="A315" s="35" t="s">
        <v>21</v>
      </c>
      <c r="B315" s="35" t="s">
        <v>39</v>
      </c>
      <c r="C315" s="35" t="s">
        <v>41</v>
      </c>
      <c r="D315" s="35" t="s">
        <v>52</v>
      </c>
      <c r="E315" s="35" t="s">
        <v>25</v>
      </c>
      <c r="F315" s="35" t="s">
        <v>25</v>
      </c>
      <c r="G315" s="35" t="s">
        <v>25</v>
      </c>
      <c r="H315" s="35" t="s">
        <v>34</v>
      </c>
      <c r="I315" s="55">
        <v>44774</v>
      </c>
      <c r="J315" s="56">
        <f>EFEITO!$J$315*EFEITO!$Y$315</f>
        <v>0</v>
      </c>
      <c r="K315" s="56">
        <f ca="1">EFEITO!$L$315*EFEITO!$Z$315</f>
        <v>5528.7800522943762</v>
      </c>
      <c r="L315" s="56">
        <f>EFEITO!$N$315*EFEITO!$AA$315</f>
        <v>2405.9128717506082</v>
      </c>
      <c r="M315" s="56">
        <f>$J$315-EFEITO!$K$315*EFEITO!$Y$315</f>
        <v>0</v>
      </c>
      <c r="N315" s="56">
        <f ca="1">$K$315-EFEITO!$M$315*EFEITO!$Z$315</f>
        <v>0</v>
      </c>
      <c r="O315" s="56">
        <f>$L$315-EFEITO!$O$315*EFEITO!$AA$315</f>
        <v>0</v>
      </c>
      <c r="P315" s="39"/>
      <c r="Q315" s="39"/>
      <c r="R315" s="39"/>
      <c r="S315" s="39"/>
      <c r="T315" s="39"/>
      <c r="U315" s="39"/>
      <c r="V315" s="39"/>
      <c r="W315" s="39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spans="1:36" ht="11.25" customHeight="1" x14ac:dyDescent="0.2">
      <c r="A316" s="35" t="s">
        <v>21</v>
      </c>
      <c r="B316" s="35" t="s">
        <v>39</v>
      </c>
      <c r="C316" s="35" t="s">
        <v>41</v>
      </c>
      <c r="D316" s="35" t="s">
        <v>52</v>
      </c>
      <c r="E316" s="35" t="s">
        <v>25</v>
      </c>
      <c r="F316" s="35" t="s">
        <v>25</v>
      </c>
      <c r="G316" s="35" t="s">
        <v>25</v>
      </c>
      <c r="H316" s="35" t="s">
        <v>34</v>
      </c>
      <c r="I316" s="55">
        <v>44805</v>
      </c>
      <c r="J316" s="56">
        <f>EFEITO!$J$316*EFEITO!$Y$316</f>
        <v>0</v>
      </c>
      <c r="K316" s="56">
        <f ca="1">EFEITO!$L$316*EFEITO!$Z$316</f>
        <v>6025.0959324437299</v>
      </c>
      <c r="L316" s="56">
        <f>EFEITO!$N$316*EFEITO!$AA$316</f>
        <v>2621.890493072337</v>
      </c>
      <c r="M316" s="56">
        <f>$J$316-EFEITO!$K$316*EFEITO!$Y$316</f>
        <v>0</v>
      </c>
      <c r="N316" s="56">
        <f ca="1">$K$316-EFEITO!$M$316*EFEITO!$Z$316</f>
        <v>0</v>
      </c>
      <c r="O316" s="56">
        <f>$L$316-EFEITO!$O$316*EFEITO!$AA$316</f>
        <v>0</v>
      </c>
      <c r="P316" s="39"/>
      <c r="Q316" s="39"/>
      <c r="R316" s="39"/>
      <c r="S316" s="39"/>
      <c r="T316" s="39"/>
      <c r="U316" s="39"/>
      <c r="V316" s="39"/>
      <c r="W316" s="39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spans="1:36" ht="11.25" customHeight="1" x14ac:dyDescent="0.2">
      <c r="A317" s="35" t="s">
        <v>53</v>
      </c>
      <c r="B317" s="35" t="s">
        <v>39</v>
      </c>
      <c r="C317" s="35" t="s">
        <v>41</v>
      </c>
      <c r="D317" s="35" t="s">
        <v>52</v>
      </c>
      <c r="E317" s="35" t="s">
        <v>25</v>
      </c>
      <c r="F317" s="35" t="s">
        <v>25</v>
      </c>
      <c r="G317" s="35" t="s">
        <v>25</v>
      </c>
      <c r="H317" s="35" t="s">
        <v>34</v>
      </c>
      <c r="I317" s="55">
        <v>44835</v>
      </c>
      <c r="J317" s="56">
        <f>EFEITO!$J$317*EFEITO!$Y$317</f>
        <v>0</v>
      </c>
      <c r="K317" s="56">
        <f ca="1">EFEITO!$L$317*EFEITO!$Z$317</f>
        <v>6025.0959324437299</v>
      </c>
      <c r="L317" s="56">
        <f>EFEITO!$N$317*EFEITO!$AA$317</f>
        <v>2621.890493072337</v>
      </c>
      <c r="M317" s="56">
        <f>$J$317-EFEITO!$K$317*EFEITO!$Y$317</f>
        <v>0</v>
      </c>
      <c r="N317" s="56">
        <f ca="1">$K$317-EFEITO!$M$317*EFEITO!$Z$317</f>
        <v>0</v>
      </c>
      <c r="O317" s="56">
        <f>$L$317-EFEITO!$O$317*EFEITO!$AA$317</f>
        <v>0</v>
      </c>
      <c r="P317" s="39"/>
      <c r="Q317" s="39"/>
      <c r="R317" s="39"/>
      <c r="S317" s="39"/>
      <c r="T317" s="39"/>
      <c r="U317" s="39"/>
      <c r="V317" s="39"/>
      <c r="W317" s="39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spans="1:36" ht="11.25" customHeight="1" x14ac:dyDescent="0.2">
      <c r="A318" s="35" t="s">
        <v>21</v>
      </c>
      <c r="B318" s="35" t="s">
        <v>39</v>
      </c>
      <c r="C318" s="35" t="s">
        <v>41</v>
      </c>
      <c r="D318" s="35" t="s">
        <v>38</v>
      </c>
      <c r="E318" s="35" t="s">
        <v>25</v>
      </c>
      <c r="F318" s="35" t="s">
        <v>56</v>
      </c>
      <c r="G318" s="35" t="s">
        <v>25</v>
      </c>
      <c r="H318" s="35" t="s">
        <v>35</v>
      </c>
      <c r="I318" s="55">
        <v>44501</v>
      </c>
      <c r="J318" s="56">
        <f>EFEITO!$J$318*EFEITO!$Y$318</f>
        <v>0</v>
      </c>
      <c r="K318" s="56">
        <f ca="1">EFEITO!$L$318*EFEITO!$Z$318</f>
        <v>214200.209021894</v>
      </c>
      <c r="L318" s="56">
        <f>EFEITO!$N$318*EFEITO!$AA$318</f>
        <v>0</v>
      </c>
      <c r="M318" s="56">
        <f>$J$318-EFEITO!$K$318*EFEITO!$Y$318</f>
        <v>0</v>
      </c>
      <c r="N318" s="56">
        <f ca="1">$K$318-EFEITO!$M$318*EFEITO!$Z$318</f>
        <v>0</v>
      </c>
      <c r="O318" s="56">
        <f>$L$318-EFEITO!$O$318*EFEITO!$AA$318</f>
        <v>0</v>
      </c>
      <c r="P318" s="39"/>
      <c r="Q318" s="39"/>
      <c r="R318" s="39"/>
      <c r="S318" s="39"/>
      <c r="T318" s="39"/>
      <c r="U318" s="39"/>
      <c r="V318" s="39"/>
      <c r="W318" s="39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spans="1:36" ht="11.25" customHeight="1" x14ac:dyDescent="0.2">
      <c r="A319" s="35" t="s">
        <v>21</v>
      </c>
      <c r="B319" s="35" t="s">
        <v>39</v>
      </c>
      <c r="C319" s="35" t="s">
        <v>41</v>
      </c>
      <c r="D319" s="35" t="s">
        <v>38</v>
      </c>
      <c r="E319" s="35" t="s">
        <v>25</v>
      </c>
      <c r="F319" s="35" t="s">
        <v>56</v>
      </c>
      <c r="G319" s="35" t="s">
        <v>25</v>
      </c>
      <c r="H319" s="35" t="s">
        <v>35</v>
      </c>
      <c r="I319" s="55">
        <v>44531</v>
      </c>
      <c r="J319" s="56">
        <f>EFEITO!$J$319*EFEITO!$Y$319</f>
        <v>0</v>
      </c>
      <c r="K319" s="56">
        <f ca="1">EFEITO!$L$319*EFEITO!$Z$319</f>
        <v>205050.17161073166</v>
      </c>
      <c r="L319" s="56">
        <f>EFEITO!$N$319*EFEITO!$AA$319</f>
        <v>0</v>
      </c>
      <c r="M319" s="56">
        <f>$J$319-EFEITO!$K$319*EFEITO!$Y$319</f>
        <v>0</v>
      </c>
      <c r="N319" s="56">
        <f ca="1">$K$319-EFEITO!$M$319*EFEITO!$Z$319</f>
        <v>0</v>
      </c>
      <c r="O319" s="56">
        <f>$L$319-EFEITO!$O$319*EFEITO!$AA$319</f>
        <v>0</v>
      </c>
      <c r="P319" s="39"/>
      <c r="Q319" s="39"/>
      <c r="R319" s="39"/>
      <c r="S319" s="39"/>
      <c r="T319" s="39"/>
      <c r="U319" s="39"/>
      <c r="V319" s="39"/>
      <c r="W319" s="39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spans="1:36" ht="11.25" customHeight="1" x14ac:dyDescent="0.2">
      <c r="A320" s="35" t="s">
        <v>21</v>
      </c>
      <c r="B320" s="35" t="s">
        <v>39</v>
      </c>
      <c r="C320" s="35" t="s">
        <v>41</v>
      </c>
      <c r="D320" s="35" t="s">
        <v>38</v>
      </c>
      <c r="E320" s="35" t="s">
        <v>25</v>
      </c>
      <c r="F320" s="35" t="s">
        <v>56</v>
      </c>
      <c r="G320" s="35" t="s">
        <v>25</v>
      </c>
      <c r="H320" s="35" t="s">
        <v>35</v>
      </c>
      <c r="I320" s="55">
        <v>44562</v>
      </c>
      <c r="J320" s="56">
        <f>EFEITO!$J$320*EFEITO!$Y$320</f>
        <v>0</v>
      </c>
      <c r="K320" s="56">
        <f ca="1">EFEITO!$L$320*EFEITO!$Z$320</f>
        <v>206885.94412708067</v>
      </c>
      <c r="L320" s="56">
        <f>EFEITO!$N$320*EFEITO!$AA$320</f>
        <v>0</v>
      </c>
      <c r="M320" s="56">
        <f>$J$320-EFEITO!$K$320*EFEITO!$Y$320</f>
        <v>0</v>
      </c>
      <c r="N320" s="56">
        <f ca="1">$K$320-EFEITO!$M$320*EFEITO!$Z$320</f>
        <v>0</v>
      </c>
      <c r="O320" s="56">
        <f>$L$320-EFEITO!$O$320*EFEITO!$AA$320</f>
        <v>0</v>
      </c>
      <c r="P320" s="39"/>
      <c r="Q320" s="39"/>
      <c r="R320" s="39"/>
      <c r="S320" s="39"/>
      <c r="T320" s="39"/>
      <c r="U320" s="39"/>
      <c r="V320" s="39"/>
      <c r="W320" s="39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spans="1:36" ht="11.25" customHeight="1" x14ac:dyDescent="0.2">
      <c r="A321" s="35" t="s">
        <v>21</v>
      </c>
      <c r="B321" s="35" t="s">
        <v>39</v>
      </c>
      <c r="C321" s="35" t="s">
        <v>41</v>
      </c>
      <c r="D321" s="35" t="s">
        <v>38</v>
      </c>
      <c r="E321" s="35" t="s">
        <v>25</v>
      </c>
      <c r="F321" s="35" t="s">
        <v>56</v>
      </c>
      <c r="G321" s="35" t="s">
        <v>25</v>
      </c>
      <c r="H321" s="35" t="s">
        <v>35</v>
      </c>
      <c r="I321" s="55">
        <v>44593</v>
      </c>
      <c r="J321" s="56">
        <f>EFEITO!$J$321*EFEITO!$Y$321</f>
        <v>0</v>
      </c>
      <c r="K321" s="56">
        <f ca="1">EFEITO!$L$321*EFEITO!$Z$321</f>
        <v>222417.70330848382</v>
      </c>
      <c r="L321" s="56">
        <f>EFEITO!$N$321*EFEITO!$AA$321</f>
        <v>0</v>
      </c>
      <c r="M321" s="56">
        <f>$J$321-EFEITO!$K$321*EFEITO!$Y$321</f>
        <v>0</v>
      </c>
      <c r="N321" s="56">
        <f ca="1">$K$321-EFEITO!$M$321*EFEITO!$Z$321</f>
        <v>0</v>
      </c>
      <c r="O321" s="56">
        <f>$L$321-EFEITO!$O$321*EFEITO!$AA$321</f>
        <v>0</v>
      </c>
      <c r="P321" s="39"/>
      <c r="Q321" s="39"/>
      <c r="R321" s="39"/>
      <c r="S321" s="39"/>
      <c r="T321" s="39"/>
      <c r="U321" s="39"/>
      <c r="V321" s="39"/>
      <c r="W321" s="39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spans="1:36" ht="11.25" customHeight="1" x14ac:dyDescent="0.2">
      <c r="A322" s="35" t="s">
        <v>21</v>
      </c>
      <c r="B322" s="35" t="s">
        <v>39</v>
      </c>
      <c r="C322" s="35" t="s">
        <v>41</v>
      </c>
      <c r="D322" s="35" t="s">
        <v>38</v>
      </c>
      <c r="E322" s="35" t="s">
        <v>25</v>
      </c>
      <c r="F322" s="35" t="s">
        <v>56</v>
      </c>
      <c r="G322" s="35" t="s">
        <v>25</v>
      </c>
      <c r="H322" s="35" t="s">
        <v>35</v>
      </c>
      <c r="I322" s="55">
        <v>44621</v>
      </c>
      <c r="J322" s="56">
        <f>EFEITO!$J$322*EFEITO!$Y$322</f>
        <v>0</v>
      </c>
      <c r="K322" s="56">
        <f ca="1">EFEITO!$L$322*EFEITO!$Z$322</f>
        <v>217227.21835474012</v>
      </c>
      <c r="L322" s="56">
        <f>EFEITO!$N$322*EFEITO!$AA$322</f>
        <v>0</v>
      </c>
      <c r="M322" s="56">
        <f>$J$322-EFEITO!$K$322*EFEITO!$Y$322</f>
        <v>0</v>
      </c>
      <c r="N322" s="56">
        <f ca="1">$K$322-EFEITO!$M$322*EFEITO!$Z$322</f>
        <v>0</v>
      </c>
      <c r="O322" s="56">
        <f>$L$322-EFEITO!$O$322*EFEITO!$AA$322</f>
        <v>0</v>
      </c>
      <c r="P322" s="39"/>
      <c r="Q322" s="39"/>
      <c r="R322" s="39"/>
      <c r="S322" s="39"/>
      <c r="T322" s="39"/>
      <c r="U322" s="39"/>
      <c r="V322" s="39"/>
      <c r="W322" s="39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spans="1:36" ht="11.25" customHeight="1" x14ac:dyDescent="0.2">
      <c r="A323" s="35" t="s">
        <v>21</v>
      </c>
      <c r="B323" s="35" t="s">
        <v>39</v>
      </c>
      <c r="C323" s="35" t="s">
        <v>41</v>
      </c>
      <c r="D323" s="35" t="s">
        <v>38</v>
      </c>
      <c r="E323" s="35" t="s">
        <v>25</v>
      </c>
      <c r="F323" s="35" t="s">
        <v>56</v>
      </c>
      <c r="G323" s="35" t="s">
        <v>25</v>
      </c>
      <c r="H323" s="35" t="s">
        <v>35</v>
      </c>
      <c r="I323" s="55">
        <v>44652</v>
      </c>
      <c r="J323" s="56">
        <f>EFEITO!$J$323*EFEITO!$Y$323</f>
        <v>0</v>
      </c>
      <c r="K323" s="56">
        <f ca="1">EFEITO!$L$323*EFEITO!$Z$323</f>
        <v>260742.47756596393</v>
      </c>
      <c r="L323" s="56">
        <f>EFEITO!$N$323*EFEITO!$AA$323</f>
        <v>0</v>
      </c>
      <c r="M323" s="56">
        <f>$J$323-EFEITO!$K$323*EFEITO!$Y$323</f>
        <v>0</v>
      </c>
      <c r="N323" s="56">
        <f ca="1">$K$323-EFEITO!$M$323*EFEITO!$Z$323</f>
        <v>0</v>
      </c>
      <c r="O323" s="56">
        <f>$L$323-EFEITO!$O$323*EFEITO!$AA$323</f>
        <v>0</v>
      </c>
      <c r="P323" s="39"/>
      <c r="Q323" s="39"/>
      <c r="R323" s="39"/>
      <c r="S323" s="39"/>
      <c r="T323" s="39"/>
      <c r="U323" s="39"/>
      <c r="V323" s="39"/>
      <c r="W323" s="39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pans="1:36" ht="11.25" customHeight="1" x14ac:dyDescent="0.2">
      <c r="A324" s="35" t="s">
        <v>21</v>
      </c>
      <c r="B324" s="35" t="s">
        <v>39</v>
      </c>
      <c r="C324" s="35" t="s">
        <v>41</v>
      </c>
      <c r="D324" s="35" t="s">
        <v>38</v>
      </c>
      <c r="E324" s="35" t="s">
        <v>25</v>
      </c>
      <c r="F324" s="35" t="s">
        <v>56</v>
      </c>
      <c r="G324" s="35" t="s">
        <v>25</v>
      </c>
      <c r="H324" s="35" t="s">
        <v>35</v>
      </c>
      <c r="I324" s="55">
        <v>44682</v>
      </c>
      <c r="J324" s="56">
        <f>EFEITO!$J$324*EFEITO!$Y$324</f>
        <v>0</v>
      </c>
      <c r="K324" s="56">
        <f ca="1">EFEITO!$L$324*EFEITO!$Z$324</f>
        <v>232306.20250499848</v>
      </c>
      <c r="L324" s="56">
        <f>EFEITO!$N$324*EFEITO!$AA$324</f>
        <v>0</v>
      </c>
      <c r="M324" s="56">
        <f>$J$324-EFEITO!$K$324*EFEITO!$Y$324</f>
        <v>0</v>
      </c>
      <c r="N324" s="56">
        <f ca="1">$K$324-EFEITO!$M$324*EFEITO!$Z$324</f>
        <v>0</v>
      </c>
      <c r="O324" s="56">
        <f>$L$324-EFEITO!$O$324*EFEITO!$AA$324</f>
        <v>0</v>
      </c>
      <c r="P324" s="39"/>
      <c r="Q324" s="39"/>
      <c r="R324" s="39"/>
      <c r="S324" s="39"/>
      <c r="T324" s="39"/>
      <c r="U324" s="39"/>
      <c r="V324" s="39"/>
      <c r="W324" s="39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spans="1:36" ht="11.25" customHeight="1" x14ac:dyDescent="0.2">
      <c r="A325" s="35" t="s">
        <v>21</v>
      </c>
      <c r="B325" s="35" t="s">
        <v>39</v>
      </c>
      <c r="C325" s="35" t="s">
        <v>41</v>
      </c>
      <c r="D325" s="35" t="s">
        <v>38</v>
      </c>
      <c r="E325" s="35" t="s">
        <v>25</v>
      </c>
      <c r="F325" s="35" t="s">
        <v>56</v>
      </c>
      <c r="G325" s="35" t="s">
        <v>25</v>
      </c>
      <c r="H325" s="35" t="s">
        <v>35</v>
      </c>
      <c r="I325" s="55">
        <v>44713</v>
      </c>
      <c r="J325" s="56">
        <f>EFEITO!$J$325*EFEITO!$Y$325</f>
        <v>0</v>
      </c>
      <c r="K325" s="56">
        <f ca="1">EFEITO!$L$325*EFEITO!$Z$325</f>
        <v>225848.2650294881</v>
      </c>
      <c r="L325" s="56">
        <f>EFEITO!$N$325*EFEITO!$AA$325</f>
        <v>0</v>
      </c>
      <c r="M325" s="56">
        <f>$J$325-EFEITO!$K$325*EFEITO!$Y$325</f>
        <v>0</v>
      </c>
      <c r="N325" s="56">
        <f ca="1">$K$325-EFEITO!$M$325*EFEITO!$Z$325</f>
        <v>0</v>
      </c>
      <c r="O325" s="56">
        <f>$L$325-EFEITO!$O$325*EFEITO!$AA$325</f>
        <v>0</v>
      </c>
      <c r="P325" s="39"/>
      <c r="Q325" s="39"/>
      <c r="R325" s="39"/>
      <c r="S325" s="39"/>
      <c r="T325" s="39"/>
      <c r="U325" s="39"/>
      <c r="V325" s="39"/>
      <c r="W325" s="39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spans="1:36" ht="11.25" customHeight="1" x14ac:dyDescent="0.2">
      <c r="A326" s="35" t="s">
        <v>21</v>
      </c>
      <c r="B326" s="35" t="s">
        <v>39</v>
      </c>
      <c r="C326" s="35" t="s">
        <v>41</v>
      </c>
      <c r="D326" s="35" t="s">
        <v>38</v>
      </c>
      <c r="E326" s="35" t="s">
        <v>25</v>
      </c>
      <c r="F326" s="35" t="s">
        <v>56</v>
      </c>
      <c r="G326" s="35" t="s">
        <v>25</v>
      </c>
      <c r="H326" s="35" t="s">
        <v>35</v>
      </c>
      <c r="I326" s="55">
        <v>44743</v>
      </c>
      <c r="J326" s="56">
        <f>EFEITO!$J$326*EFEITO!$Y$326</f>
        <v>0</v>
      </c>
      <c r="K326" s="56">
        <f ca="1">EFEITO!$L$326*EFEITO!$Z$326</f>
        <v>221930.60678185706</v>
      </c>
      <c r="L326" s="56">
        <f>EFEITO!$N$326*EFEITO!$AA$326</f>
        <v>0</v>
      </c>
      <c r="M326" s="56">
        <f>$J$326-EFEITO!$K$326*EFEITO!$Y$326</f>
        <v>0</v>
      </c>
      <c r="N326" s="56">
        <f ca="1">$K$326-EFEITO!$M$326*EFEITO!$Z$326</f>
        <v>0</v>
      </c>
      <c r="O326" s="56">
        <f>$L$326-EFEITO!$O$326*EFEITO!$AA$326</f>
        <v>0</v>
      </c>
      <c r="P326" s="39"/>
      <c r="Q326" s="39"/>
      <c r="R326" s="39"/>
      <c r="S326" s="39"/>
      <c r="T326" s="39"/>
      <c r="U326" s="39"/>
      <c r="V326" s="39"/>
      <c r="W326" s="39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spans="1:36" ht="11.25" customHeight="1" x14ac:dyDescent="0.2">
      <c r="A327" s="35" t="s">
        <v>21</v>
      </c>
      <c r="B327" s="35" t="s">
        <v>39</v>
      </c>
      <c r="C327" s="35" t="s">
        <v>41</v>
      </c>
      <c r="D327" s="35" t="s">
        <v>38</v>
      </c>
      <c r="E327" s="35" t="s">
        <v>25</v>
      </c>
      <c r="F327" s="35" t="s">
        <v>56</v>
      </c>
      <c r="G327" s="35" t="s">
        <v>25</v>
      </c>
      <c r="H327" s="35" t="s">
        <v>35</v>
      </c>
      <c r="I327" s="55">
        <v>44774</v>
      </c>
      <c r="J327" s="56">
        <f>EFEITO!$J$327*EFEITO!$Y$327</f>
        <v>0</v>
      </c>
      <c r="K327" s="56">
        <f ca="1">EFEITO!$L$327*EFEITO!$Z$327</f>
        <v>227631.150686251</v>
      </c>
      <c r="L327" s="56">
        <f>EFEITO!$N$327*EFEITO!$AA$327</f>
        <v>0</v>
      </c>
      <c r="M327" s="56">
        <f>$J$327-EFEITO!$K$327*EFEITO!$Y$327</f>
        <v>0</v>
      </c>
      <c r="N327" s="56">
        <f ca="1">$K$327-EFEITO!$M$327*EFEITO!$Z$327</f>
        <v>0</v>
      </c>
      <c r="O327" s="56">
        <f>$L$327-EFEITO!$O$327*EFEITO!$AA$327</f>
        <v>0</v>
      </c>
      <c r="P327" s="39"/>
      <c r="Q327" s="39"/>
      <c r="R327" s="39"/>
      <c r="S327" s="39"/>
      <c r="T327" s="39"/>
      <c r="U327" s="39"/>
      <c r="V327" s="39"/>
      <c r="W327" s="39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spans="1:36" ht="11.25" customHeight="1" x14ac:dyDescent="0.2">
      <c r="A328" s="35" t="s">
        <v>21</v>
      </c>
      <c r="B328" s="35" t="s">
        <v>39</v>
      </c>
      <c r="C328" s="35" t="s">
        <v>41</v>
      </c>
      <c r="D328" s="35" t="s">
        <v>38</v>
      </c>
      <c r="E328" s="35" t="s">
        <v>25</v>
      </c>
      <c r="F328" s="35" t="s">
        <v>56</v>
      </c>
      <c r="G328" s="35" t="s">
        <v>25</v>
      </c>
      <c r="H328" s="35" t="s">
        <v>35</v>
      </c>
      <c r="I328" s="55">
        <v>44805</v>
      </c>
      <c r="J328" s="56">
        <f>EFEITO!$J$328*EFEITO!$Y$328</f>
        <v>0</v>
      </c>
      <c r="K328" s="56">
        <f ca="1">EFEITO!$L$328*EFEITO!$Z$328</f>
        <v>238846.95127565754</v>
      </c>
      <c r="L328" s="56">
        <f>EFEITO!$N$328*EFEITO!$AA$328</f>
        <v>0</v>
      </c>
      <c r="M328" s="56">
        <f>$J$328-EFEITO!$K$328*EFEITO!$Y$328</f>
        <v>0</v>
      </c>
      <c r="N328" s="56">
        <f ca="1">$K$328-EFEITO!$M$328*EFEITO!$Z$328</f>
        <v>0</v>
      </c>
      <c r="O328" s="56">
        <f>$L$328-EFEITO!$O$328*EFEITO!$AA$328</f>
        <v>0</v>
      </c>
      <c r="P328" s="39"/>
      <c r="Q328" s="39"/>
      <c r="R328" s="39"/>
      <c r="S328" s="39"/>
      <c r="T328" s="39"/>
      <c r="U328" s="39"/>
      <c r="V328" s="39"/>
      <c r="W328" s="39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spans="1:36" ht="11.25" customHeight="1" x14ac:dyDescent="0.2">
      <c r="A329" s="35" t="s">
        <v>53</v>
      </c>
      <c r="B329" s="35" t="s">
        <v>39</v>
      </c>
      <c r="C329" s="35" t="s">
        <v>41</v>
      </c>
      <c r="D329" s="35" t="s">
        <v>38</v>
      </c>
      <c r="E329" s="35" t="s">
        <v>25</v>
      </c>
      <c r="F329" s="35" t="s">
        <v>56</v>
      </c>
      <c r="G329" s="35" t="s">
        <v>25</v>
      </c>
      <c r="H329" s="35" t="s">
        <v>35</v>
      </c>
      <c r="I329" s="55">
        <v>44835</v>
      </c>
      <c r="J329" s="56">
        <f>EFEITO!$J$329*EFEITO!$Y$329</f>
        <v>0</v>
      </c>
      <c r="K329" s="56">
        <f ca="1">EFEITO!$L$329*EFEITO!$Z$329</f>
        <v>238846.95127565754</v>
      </c>
      <c r="L329" s="56">
        <f>EFEITO!$N$329*EFEITO!$AA$329</f>
        <v>0</v>
      </c>
      <c r="M329" s="56">
        <f>$J$329-EFEITO!$K$329*EFEITO!$Y$329</f>
        <v>0</v>
      </c>
      <c r="N329" s="56">
        <f ca="1">$K$329-EFEITO!$M$329*EFEITO!$Z$329</f>
        <v>0</v>
      </c>
      <c r="O329" s="56">
        <f>$L$329-EFEITO!$O$329*EFEITO!$AA$329</f>
        <v>0</v>
      </c>
      <c r="P329" s="39"/>
      <c r="Q329" s="39"/>
      <c r="R329" s="39"/>
      <c r="S329" s="39"/>
      <c r="T329" s="39"/>
      <c r="U329" s="39"/>
      <c r="V329" s="39"/>
      <c r="W329" s="39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spans="1:36" ht="11.25" customHeight="1" x14ac:dyDescent="0.2">
      <c r="A330" s="35" t="s">
        <v>21</v>
      </c>
      <c r="B330" s="35" t="s">
        <v>39</v>
      </c>
      <c r="C330" s="35" t="s">
        <v>41</v>
      </c>
      <c r="D330" s="35" t="s">
        <v>38</v>
      </c>
      <c r="E330" s="35" t="s">
        <v>25</v>
      </c>
      <c r="F330" s="35" t="s">
        <v>56</v>
      </c>
      <c r="G330" s="35" t="s">
        <v>25</v>
      </c>
      <c r="H330" s="35" t="s">
        <v>25</v>
      </c>
      <c r="I330" s="55">
        <v>44501</v>
      </c>
      <c r="J330" s="56">
        <f ca="1">EFEITO!$J$330*EFEITO!$Y$330</f>
        <v>86353.611877140691</v>
      </c>
      <c r="K330" s="56">
        <f>EFEITO!$L$330*EFEITO!$Z$330</f>
        <v>0</v>
      </c>
      <c r="L330" s="56">
        <f>EFEITO!$N$330*EFEITO!$AA$330</f>
        <v>0</v>
      </c>
      <c r="M330" s="56">
        <f ca="1">$J$330-EFEITO!$K$330*EFEITO!$Y$330</f>
        <v>16074.0150242401</v>
      </c>
      <c r="N330" s="56">
        <f>$K$330-EFEITO!$M$330*EFEITO!$Z$330</f>
        <v>0</v>
      </c>
      <c r="O330" s="56">
        <f>$L$330-EFEITO!$O$330*EFEITO!$AA$330</f>
        <v>0</v>
      </c>
      <c r="P330" s="39"/>
      <c r="Q330" s="39"/>
      <c r="R330" s="39"/>
      <c r="S330" s="39"/>
      <c r="T330" s="39"/>
      <c r="U330" s="39"/>
      <c r="V330" s="39"/>
      <c r="W330" s="39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spans="1:36" ht="11.25" customHeight="1" x14ac:dyDescent="0.2">
      <c r="A331" s="35" t="s">
        <v>21</v>
      </c>
      <c r="B331" s="35" t="s">
        <v>39</v>
      </c>
      <c r="C331" s="35" t="s">
        <v>41</v>
      </c>
      <c r="D331" s="35" t="s">
        <v>38</v>
      </c>
      <c r="E331" s="35" t="s">
        <v>25</v>
      </c>
      <c r="F331" s="35" t="s">
        <v>56</v>
      </c>
      <c r="G331" s="35" t="s">
        <v>25</v>
      </c>
      <c r="H331" s="35" t="s">
        <v>25</v>
      </c>
      <c r="I331" s="55">
        <v>44531</v>
      </c>
      <c r="J331" s="56">
        <f ca="1">EFEITO!$J$331*EFEITO!$Y$331</f>
        <v>87620.452237083882</v>
      </c>
      <c r="K331" s="56">
        <f>EFEITO!$L$331*EFEITO!$Z$331</f>
        <v>0</v>
      </c>
      <c r="L331" s="56">
        <f>EFEITO!$N$331*EFEITO!$AA$331</f>
        <v>0</v>
      </c>
      <c r="M331" s="56">
        <f ca="1">$J$331-EFEITO!$K$331*EFEITO!$Y$331</f>
        <v>45290.566649451292</v>
      </c>
      <c r="N331" s="56">
        <f>$K$331-EFEITO!$M$331*EFEITO!$Z$331</f>
        <v>0</v>
      </c>
      <c r="O331" s="56">
        <f>$L$331-EFEITO!$O$331*EFEITO!$AA$331</f>
        <v>0</v>
      </c>
      <c r="P331" s="39"/>
      <c r="Q331" s="39"/>
      <c r="R331" s="39"/>
      <c r="S331" s="39"/>
      <c r="T331" s="39"/>
      <c r="U331" s="39"/>
      <c r="V331" s="39"/>
      <c r="W331" s="39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pans="1:36" ht="11.25" customHeight="1" x14ac:dyDescent="0.2">
      <c r="A332" s="35" t="s">
        <v>21</v>
      </c>
      <c r="B332" s="35" t="s">
        <v>39</v>
      </c>
      <c r="C332" s="35" t="s">
        <v>41</v>
      </c>
      <c r="D332" s="35" t="s">
        <v>38</v>
      </c>
      <c r="E332" s="35" t="s">
        <v>25</v>
      </c>
      <c r="F332" s="35" t="s">
        <v>56</v>
      </c>
      <c r="G332" s="35" t="s">
        <v>25</v>
      </c>
      <c r="H332" s="35" t="s">
        <v>25</v>
      </c>
      <c r="I332" s="55">
        <v>44562</v>
      </c>
      <c r="J332" s="56">
        <f ca="1">EFEITO!$J$332*EFEITO!$Y$332</f>
        <v>91388.901409066806</v>
      </c>
      <c r="K332" s="56">
        <f>EFEITO!$L$332*EFEITO!$Z$332</f>
        <v>0</v>
      </c>
      <c r="L332" s="56">
        <f>EFEITO!$N$332*EFEITO!$AA$332</f>
        <v>0</v>
      </c>
      <c r="M332" s="56">
        <f ca="1">$J$332-EFEITO!$K$332*EFEITO!$Y$332</f>
        <v>62257.357548633227</v>
      </c>
      <c r="N332" s="56">
        <f>$K$332-EFEITO!$M$332*EFEITO!$Z$332</f>
        <v>0</v>
      </c>
      <c r="O332" s="56">
        <f>$L$332-EFEITO!$O$332*EFEITO!$AA$332</f>
        <v>0</v>
      </c>
      <c r="P332" s="39"/>
      <c r="Q332" s="39"/>
      <c r="R332" s="39"/>
      <c r="S332" s="39"/>
      <c r="T332" s="39"/>
      <c r="U332" s="39"/>
      <c r="V332" s="39"/>
      <c r="W332" s="39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spans="1:36" ht="11.25" customHeight="1" x14ac:dyDescent="0.2">
      <c r="A333" s="35" t="s">
        <v>21</v>
      </c>
      <c r="B333" s="35" t="s">
        <v>39</v>
      </c>
      <c r="C333" s="35" t="s">
        <v>41</v>
      </c>
      <c r="D333" s="35" t="s">
        <v>38</v>
      </c>
      <c r="E333" s="35" t="s">
        <v>25</v>
      </c>
      <c r="F333" s="35" t="s">
        <v>56</v>
      </c>
      <c r="G333" s="35" t="s">
        <v>25</v>
      </c>
      <c r="H333" s="35" t="s">
        <v>25</v>
      </c>
      <c r="I333" s="55">
        <v>44593</v>
      </c>
      <c r="J333" s="56">
        <f ca="1">EFEITO!$J$333*EFEITO!$Y$333</f>
        <v>100176.60415905253</v>
      </c>
      <c r="K333" s="56">
        <f>EFEITO!$L$333*EFEITO!$Z$333</f>
        <v>0</v>
      </c>
      <c r="L333" s="56">
        <f>EFEITO!$N$333*EFEITO!$AA$333</f>
        <v>0</v>
      </c>
      <c r="M333" s="56">
        <f ca="1">$J$333-EFEITO!$K$333*EFEITO!$Y$333</f>
        <v>51734.003332651177</v>
      </c>
      <c r="N333" s="56">
        <f>$K$333-EFEITO!$M$333*EFEITO!$Z$333</f>
        <v>0</v>
      </c>
      <c r="O333" s="56">
        <f>$L$333-EFEITO!$O$333*EFEITO!$AA$333</f>
        <v>0</v>
      </c>
      <c r="P333" s="39"/>
      <c r="Q333" s="39"/>
      <c r="R333" s="39"/>
      <c r="S333" s="39"/>
      <c r="T333" s="39"/>
      <c r="U333" s="39"/>
      <c r="V333" s="39"/>
      <c r="W333" s="39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pans="1:36" ht="11.25" customHeight="1" x14ac:dyDescent="0.2">
      <c r="A334" s="35" t="s">
        <v>21</v>
      </c>
      <c r="B334" s="35" t="s">
        <v>39</v>
      </c>
      <c r="C334" s="35" t="s">
        <v>41</v>
      </c>
      <c r="D334" s="35" t="s">
        <v>38</v>
      </c>
      <c r="E334" s="35" t="s">
        <v>25</v>
      </c>
      <c r="F334" s="35" t="s">
        <v>56</v>
      </c>
      <c r="G334" s="35" t="s">
        <v>25</v>
      </c>
      <c r="H334" s="35" t="s">
        <v>25</v>
      </c>
      <c r="I334" s="55">
        <v>44621</v>
      </c>
      <c r="J334" s="56">
        <f ca="1">EFEITO!$J$334*EFEITO!$Y$334</f>
        <v>103175.32754271555</v>
      </c>
      <c r="K334" s="56">
        <f>EFEITO!$L$334*EFEITO!$Z$334</f>
        <v>0</v>
      </c>
      <c r="L334" s="56">
        <f>EFEITO!$N$334*EFEITO!$AA$334</f>
        <v>0</v>
      </c>
      <c r="M334" s="56">
        <f ca="1">$J$334-EFEITO!$K$334*EFEITO!$Y$334</f>
        <v>51822.773517242458</v>
      </c>
      <c r="N334" s="56">
        <f>$K$334-EFEITO!$M$334*EFEITO!$Z$334</f>
        <v>0</v>
      </c>
      <c r="O334" s="56">
        <f>$L$334-EFEITO!$O$334*EFEITO!$AA$334</f>
        <v>0</v>
      </c>
      <c r="P334" s="39"/>
      <c r="Q334" s="39"/>
      <c r="R334" s="39"/>
      <c r="S334" s="39"/>
      <c r="T334" s="39"/>
      <c r="U334" s="39"/>
      <c r="V334" s="39"/>
      <c r="W334" s="39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spans="1:36" ht="11.25" customHeight="1" x14ac:dyDescent="0.2">
      <c r="A335" s="35" t="s">
        <v>21</v>
      </c>
      <c r="B335" s="35" t="s">
        <v>39</v>
      </c>
      <c r="C335" s="35" t="s">
        <v>41</v>
      </c>
      <c r="D335" s="35" t="s">
        <v>38</v>
      </c>
      <c r="E335" s="35" t="s">
        <v>25</v>
      </c>
      <c r="F335" s="35" t="s">
        <v>56</v>
      </c>
      <c r="G335" s="35" t="s">
        <v>25</v>
      </c>
      <c r="H335" s="35" t="s">
        <v>25</v>
      </c>
      <c r="I335" s="55">
        <v>44652</v>
      </c>
      <c r="J335" s="56">
        <f ca="1">EFEITO!$J$335*EFEITO!$Y$335</f>
        <v>107745.57441086505</v>
      </c>
      <c r="K335" s="56">
        <f>EFEITO!$L$335*EFEITO!$Z$335</f>
        <v>0</v>
      </c>
      <c r="L335" s="56">
        <f>EFEITO!$N$335*EFEITO!$AA$335</f>
        <v>0</v>
      </c>
      <c r="M335" s="56">
        <f ca="1">$J$335-EFEITO!$K$335*EFEITO!$Y$335</f>
        <v>56635.347099831808</v>
      </c>
      <c r="N335" s="56">
        <f>$K$335-EFEITO!$M$335*EFEITO!$Z$335</f>
        <v>0</v>
      </c>
      <c r="O335" s="56">
        <f>$L$335-EFEITO!$O$335*EFEITO!$AA$335</f>
        <v>0</v>
      </c>
      <c r="P335" s="39"/>
      <c r="Q335" s="39"/>
      <c r="R335" s="39"/>
      <c r="S335" s="39"/>
      <c r="T335" s="39"/>
      <c r="U335" s="39"/>
      <c r="V335" s="39"/>
      <c r="W335" s="39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spans="1:36" ht="11.25" customHeight="1" x14ac:dyDescent="0.2">
      <c r="A336" s="35" t="s">
        <v>21</v>
      </c>
      <c r="B336" s="35" t="s">
        <v>39</v>
      </c>
      <c r="C336" s="35" t="s">
        <v>41</v>
      </c>
      <c r="D336" s="35" t="s">
        <v>38</v>
      </c>
      <c r="E336" s="35" t="s">
        <v>25</v>
      </c>
      <c r="F336" s="35" t="s">
        <v>56</v>
      </c>
      <c r="G336" s="35" t="s">
        <v>25</v>
      </c>
      <c r="H336" s="35" t="s">
        <v>25</v>
      </c>
      <c r="I336" s="55">
        <v>44682</v>
      </c>
      <c r="J336" s="56">
        <f ca="1">EFEITO!$J$336*EFEITO!$Y$336</f>
        <v>107392.78342455176</v>
      </c>
      <c r="K336" s="56">
        <f>EFEITO!$L$336*EFEITO!$Z$336</f>
        <v>0</v>
      </c>
      <c r="L336" s="56">
        <f>EFEITO!$N$336*EFEITO!$AA$336</f>
        <v>0</v>
      </c>
      <c r="M336" s="56">
        <f ca="1">$J$336-EFEITO!$K$336*EFEITO!$Y$336</f>
        <v>51898.360518295485</v>
      </c>
      <c r="N336" s="56">
        <f>$K$336-EFEITO!$M$336*EFEITO!$Z$336</f>
        <v>0</v>
      </c>
      <c r="O336" s="56">
        <f>$L$336-EFEITO!$O$336*EFEITO!$AA$336</f>
        <v>0</v>
      </c>
      <c r="P336" s="39"/>
      <c r="Q336" s="39"/>
      <c r="R336" s="39"/>
      <c r="S336" s="39"/>
      <c r="T336" s="39"/>
      <c r="U336" s="39"/>
      <c r="V336" s="39"/>
      <c r="W336" s="39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spans="1:36" ht="11.25" customHeight="1" x14ac:dyDescent="0.2">
      <c r="A337" s="35" t="s">
        <v>21</v>
      </c>
      <c r="B337" s="35" t="s">
        <v>39</v>
      </c>
      <c r="C337" s="35" t="s">
        <v>41</v>
      </c>
      <c r="D337" s="35" t="s">
        <v>38</v>
      </c>
      <c r="E337" s="35" t="s">
        <v>25</v>
      </c>
      <c r="F337" s="35" t="s">
        <v>56</v>
      </c>
      <c r="G337" s="35" t="s">
        <v>25</v>
      </c>
      <c r="H337" s="35" t="s">
        <v>25</v>
      </c>
      <c r="I337" s="55">
        <v>44713</v>
      </c>
      <c r="J337" s="56">
        <f ca="1">EFEITO!$J$337*EFEITO!$Y$337</f>
        <v>112347.89318686121</v>
      </c>
      <c r="K337" s="56">
        <f>EFEITO!$L$337*EFEITO!$Z$337</f>
        <v>0</v>
      </c>
      <c r="L337" s="56">
        <f>EFEITO!$N$337*EFEITO!$AA$337</f>
        <v>0</v>
      </c>
      <c r="M337" s="56">
        <f ca="1">$J$337-EFEITO!$K$337*EFEITO!$Y$337</f>
        <v>60435.203315862243</v>
      </c>
      <c r="N337" s="56">
        <f>$K$337-EFEITO!$M$337*EFEITO!$Z$337</f>
        <v>0</v>
      </c>
      <c r="O337" s="56">
        <f>$L$337-EFEITO!$O$337*EFEITO!$AA$337</f>
        <v>0</v>
      </c>
      <c r="P337" s="39"/>
      <c r="Q337" s="39"/>
      <c r="R337" s="39"/>
      <c r="S337" s="39"/>
      <c r="T337" s="39"/>
      <c r="U337" s="39"/>
      <c r="V337" s="39"/>
      <c r="W337" s="39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spans="1:36" ht="11.25" customHeight="1" x14ac:dyDescent="0.2">
      <c r="A338" s="35" t="s">
        <v>21</v>
      </c>
      <c r="B338" s="35" t="s">
        <v>39</v>
      </c>
      <c r="C338" s="35" t="s">
        <v>41</v>
      </c>
      <c r="D338" s="35" t="s">
        <v>38</v>
      </c>
      <c r="E338" s="35" t="s">
        <v>25</v>
      </c>
      <c r="F338" s="35" t="s">
        <v>56</v>
      </c>
      <c r="G338" s="35" t="s">
        <v>25</v>
      </c>
      <c r="H338" s="35" t="s">
        <v>25</v>
      </c>
      <c r="I338" s="55">
        <v>44743</v>
      </c>
      <c r="J338" s="56">
        <f ca="1">EFEITO!$J$338*EFEITO!$Y$338</f>
        <v>114464.63910474099</v>
      </c>
      <c r="K338" s="56">
        <f>EFEITO!$L$338*EFEITO!$Z$338</f>
        <v>0</v>
      </c>
      <c r="L338" s="56">
        <f>EFEITO!$N$338*EFEITO!$AA$338</f>
        <v>0</v>
      </c>
      <c r="M338" s="56">
        <f ca="1">$J$338-EFEITO!$K$338*EFEITO!$Y$338</f>
        <v>61924.898161351761</v>
      </c>
      <c r="N338" s="56">
        <f>$K$338-EFEITO!$M$338*EFEITO!$Z$338</f>
        <v>0</v>
      </c>
      <c r="O338" s="56">
        <f>$L$338-EFEITO!$O$338*EFEITO!$AA$338</f>
        <v>0</v>
      </c>
      <c r="P338" s="39"/>
      <c r="Q338" s="39"/>
      <c r="R338" s="39"/>
      <c r="S338" s="39"/>
      <c r="T338" s="39"/>
      <c r="U338" s="39"/>
      <c r="V338" s="39"/>
      <c r="W338" s="39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spans="1:36" ht="11.25" customHeight="1" x14ac:dyDescent="0.2">
      <c r="A339" s="35" t="s">
        <v>21</v>
      </c>
      <c r="B339" s="35" t="s">
        <v>39</v>
      </c>
      <c r="C339" s="35" t="s">
        <v>41</v>
      </c>
      <c r="D339" s="35" t="s">
        <v>38</v>
      </c>
      <c r="E339" s="35" t="s">
        <v>25</v>
      </c>
      <c r="F339" s="35" t="s">
        <v>56</v>
      </c>
      <c r="G339" s="35" t="s">
        <v>25</v>
      </c>
      <c r="H339" s="35" t="s">
        <v>25</v>
      </c>
      <c r="I339" s="55">
        <v>44774</v>
      </c>
      <c r="J339" s="56">
        <f ca="1">EFEITO!$J$339*EFEITO!$Y$339</f>
        <v>114785.35818320762</v>
      </c>
      <c r="K339" s="56">
        <f>EFEITO!$L$339*EFEITO!$Z$339</f>
        <v>0</v>
      </c>
      <c r="L339" s="56">
        <f>EFEITO!$N$339*EFEITO!$AA$339</f>
        <v>0</v>
      </c>
      <c r="M339" s="56">
        <f ca="1">$J$339-EFEITO!$K$339*EFEITO!$Y$339</f>
        <v>60529.254431614114</v>
      </c>
      <c r="N339" s="56">
        <f>$K$339-EFEITO!$M$339*EFEITO!$Z$339</f>
        <v>0</v>
      </c>
      <c r="O339" s="56">
        <f>$L$339-EFEITO!$O$339*EFEITO!$AA$339</f>
        <v>0</v>
      </c>
      <c r="P339" s="39"/>
      <c r="Q339" s="39"/>
      <c r="R339" s="39"/>
      <c r="S339" s="39"/>
      <c r="T339" s="39"/>
      <c r="U339" s="39"/>
      <c r="V339" s="39"/>
      <c r="W339" s="39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pans="1:36" ht="11.25" customHeight="1" x14ac:dyDescent="0.2">
      <c r="A340" s="35" t="s">
        <v>21</v>
      </c>
      <c r="B340" s="35" t="s">
        <v>39</v>
      </c>
      <c r="C340" s="35" t="s">
        <v>41</v>
      </c>
      <c r="D340" s="35" t="s">
        <v>38</v>
      </c>
      <c r="E340" s="35" t="s">
        <v>25</v>
      </c>
      <c r="F340" s="35" t="s">
        <v>56</v>
      </c>
      <c r="G340" s="35" t="s">
        <v>25</v>
      </c>
      <c r="H340" s="35" t="s">
        <v>25</v>
      </c>
      <c r="I340" s="55">
        <v>44805</v>
      </c>
      <c r="J340" s="56">
        <f ca="1">EFEITO!$J$340*EFEITO!$Y$340</f>
        <v>115090.04130775093</v>
      </c>
      <c r="K340" s="56">
        <f>EFEITO!$L$340*EFEITO!$Z$340</f>
        <v>0</v>
      </c>
      <c r="L340" s="56">
        <f>EFEITO!$N$340*EFEITO!$AA$340</f>
        <v>0</v>
      </c>
      <c r="M340" s="56">
        <f ca="1">$J$340-EFEITO!$K$340*EFEITO!$Y$340</f>
        <v>60722.705032199818</v>
      </c>
      <c r="N340" s="56">
        <f>$K$340-EFEITO!$M$340*EFEITO!$Z$340</f>
        <v>0</v>
      </c>
      <c r="O340" s="56">
        <f>$L$340-EFEITO!$O$340*EFEITO!$AA$340</f>
        <v>0</v>
      </c>
      <c r="P340" s="39"/>
      <c r="Q340" s="39"/>
      <c r="R340" s="39"/>
      <c r="S340" s="39"/>
      <c r="T340" s="39"/>
      <c r="U340" s="39"/>
      <c r="V340" s="39"/>
      <c r="W340" s="39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spans="1:36" ht="11.25" customHeight="1" x14ac:dyDescent="0.2">
      <c r="A341" s="35" t="s">
        <v>53</v>
      </c>
      <c r="B341" s="35" t="s">
        <v>39</v>
      </c>
      <c r="C341" s="35" t="s">
        <v>41</v>
      </c>
      <c r="D341" s="35" t="s">
        <v>38</v>
      </c>
      <c r="E341" s="35" t="s">
        <v>25</v>
      </c>
      <c r="F341" s="35" t="s">
        <v>56</v>
      </c>
      <c r="G341" s="35" t="s">
        <v>25</v>
      </c>
      <c r="H341" s="35" t="s">
        <v>25</v>
      </c>
      <c r="I341" s="55">
        <v>44835</v>
      </c>
      <c r="J341" s="56">
        <f ca="1">EFEITO!$J$341*EFEITO!$Y$341</f>
        <v>115090.04130775093</v>
      </c>
      <c r="K341" s="56">
        <f>EFEITO!$L$341*EFEITO!$Z$341</f>
        <v>0</v>
      </c>
      <c r="L341" s="56">
        <f>EFEITO!$N$341*EFEITO!$AA$341</f>
        <v>0</v>
      </c>
      <c r="M341" s="56">
        <f ca="1">$J$341-EFEITO!$K$341*EFEITO!$Y$341</f>
        <v>60722.705032199818</v>
      </c>
      <c r="N341" s="56">
        <f>$K$341-EFEITO!$M$341*EFEITO!$Z$341</f>
        <v>0</v>
      </c>
      <c r="O341" s="56">
        <f>$L$341-EFEITO!$O$341*EFEITO!$AA$341</f>
        <v>0</v>
      </c>
      <c r="P341" s="39"/>
      <c r="Q341" s="39"/>
      <c r="R341" s="39"/>
      <c r="S341" s="39"/>
      <c r="T341" s="39"/>
      <c r="U341" s="39"/>
      <c r="V341" s="39"/>
      <c r="W341" s="39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spans="1:36" ht="11.25" customHeight="1" x14ac:dyDescent="0.2">
      <c r="A342" s="35" t="s">
        <v>21</v>
      </c>
      <c r="B342" s="35" t="s">
        <v>39</v>
      </c>
      <c r="C342" s="35" t="s">
        <v>41</v>
      </c>
      <c r="D342" s="35" t="s">
        <v>38</v>
      </c>
      <c r="E342" s="35" t="s">
        <v>25</v>
      </c>
      <c r="F342" s="35" t="s">
        <v>56</v>
      </c>
      <c r="G342" s="35" t="s">
        <v>25</v>
      </c>
      <c r="H342" s="35" t="s">
        <v>34</v>
      </c>
      <c r="I342" s="55">
        <v>44501</v>
      </c>
      <c r="J342" s="56">
        <f>EFEITO!$J$342*EFEITO!$Y$342</f>
        <v>0</v>
      </c>
      <c r="K342" s="56">
        <f ca="1">EFEITO!$L$342*EFEITO!$Z$342</f>
        <v>135612.7251080164</v>
      </c>
      <c r="L342" s="56">
        <f>EFEITO!$N$342*EFEITO!$AA$342</f>
        <v>0</v>
      </c>
      <c r="M342" s="56">
        <f>$J$342-EFEITO!$K$342*EFEITO!$Y$342</f>
        <v>0</v>
      </c>
      <c r="N342" s="56">
        <f ca="1">$K$342-EFEITO!$M$342*EFEITO!$Z$342</f>
        <v>14815.390513928287</v>
      </c>
      <c r="O342" s="56">
        <f>$L$342-EFEITO!$O$342*EFEITO!$AA$342</f>
        <v>0</v>
      </c>
      <c r="P342" s="39"/>
      <c r="Q342" s="39"/>
      <c r="R342" s="39"/>
      <c r="S342" s="39"/>
      <c r="T342" s="39"/>
      <c r="U342" s="39"/>
      <c r="V342" s="39"/>
      <c r="W342" s="39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spans="1:36" ht="11.25" customHeight="1" x14ac:dyDescent="0.2">
      <c r="A343" s="35" t="s">
        <v>21</v>
      </c>
      <c r="B343" s="35" t="s">
        <v>39</v>
      </c>
      <c r="C343" s="35" t="s">
        <v>41</v>
      </c>
      <c r="D343" s="35" t="s">
        <v>38</v>
      </c>
      <c r="E343" s="35" t="s">
        <v>25</v>
      </c>
      <c r="F343" s="35" t="s">
        <v>56</v>
      </c>
      <c r="G343" s="35" t="s">
        <v>25</v>
      </c>
      <c r="H343" s="35" t="s">
        <v>34</v>
      </c>
      <c r="I343" s="55">
        <v>44531</v>
      </c>
      <c r="J343" s="56">
        <f>EFEITO!$J$343*EFEITO!$Y$343</f>
        <v>0</v>
      </c>
      <c r="K343" s="56">
        <f ca="1">EFEITO!$L$343*EFEITO!$Z$343</f>
        <v>154486.14249639859</v>
      </c>
      <c r="L343" s="56">
        <f>EFEITO!$N$343*EFEITO!$AA$343</f>
        <v>0</v>
      </c>
      <c r="M343" s="56">
        <f>$J$343-EFEITO!$K$343*EFEITO!$Y$343</f>
        <v>0</v>
      </c>
      <c r="N343" s="56">
        <f ca="1">$K$343-EFEITO!$M$343*EFEITO!$Z$343</f>
        <v>72273.561016375155</v>
      </c>
      <c r="O343" s="56">
        <f>$L$343-EFEITO!$O$343*EFEITO!$AA$343</f>
        <v>0</v>
      </c>
      <c r="P343" s="39"/>
      <c r="Q343" s="39"/>
      <c r="R343" s="39"/>
      <c r="S343" s="39"/>
      <c r="T343" s="39"/>
      <c r="U343" s="39"/>
      <c r="V343" s="39"/>
      <c r="W343" s="39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pans="1:36" ht="11.25" customHeight="1" x14ac:dyDescent="0.2">
      <c r="A344" s="35" t="s">
        <v>21</v>
      </c>
      <c r="B344" s="35" t="s">
        <v>39</v>
      </c>
      <c r="C344" s="35" t="s">
        <v>41</v>
      </c>
      <c r="D344" s="35" t="s">
        <v>38</v>
      </c>
      <c r="E344" s="35" t="s">
        <v>25</v>
      </c>
      <c r="F344" s="35" t="s">
        <v>56</v>
      </c>
      <c r="G344" s="35" t="s">
        <v>25</v>
      </c>
      <c r="H344" s="35" t="s">
        <v>34</v>
      </c>
      <c r="I344" s="55">
        <v>44562</v>
      </c>
      <c r="J344" s="56">
        <f>EFEITO!$J$344*EFEITO!$Y$344</f>
        <v>0</v>
      </c>
      <c r="K344" s="56">
        <f ca="1">EFEITO!$L$344*EFEITO!$Z$344</f>
        <v>205527.31232410047</v>
      </c>
      <c r="L344" s="56">
        <f>EFEITO!$N$344*EFEITO!$AA$344</f>
        <v>0</v>
      </c>
      <c r="M344" s="56">
        <f>$J$344-EFEITO!$K$344*EFEITO!$Y$344</f>
        <v>0</v>
      </c>
      <c r="N344" s="56">
        <f ca="1">$K$344-EFEITO!$M$344*EFEITO!$Z$344</f>
        <v>112847.56805826808</v>
      </c>
      <c r="O344" s="56">
        <f>$L$344-EFEITO!$O$344*EFEITO!$AA$344</f>
        <v>0</v>
      </c>
      <c r="P344" s="39"/>
      <c r="Q344" s="39"/>
      <c r="R344" s="39"/>
      <c r="S344" s="39"/>
      <c r="T344" s="39"/>
      <c r="U344" s="39"/>
      <c r="V344" s="39"/>
      <c r="W344" s="39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spans="1:36" ht="11.25" customHeight="1" x14ac:dyDescent="0.2">
      <c r="A345" s="35" t="s">
        <v>21</v>
      </c>
      <c r="B345" s="35" t="s">
        <v>39</v>
      </c>
      <c r="C345" s="35" t="s">
        <v>41</v>
      </c>
      <c r="D345" s="35" t="s">
        <v>38</v>
      </c>
      <c r="E345" s="35" t="s">
        <v>25</v>
      </c>
      <c r="F345" s="35" t="s">
        <v>56</v>
      </c>
      <c r="G345" s="35" t="s">
        <v>25</v>
      </c>
      <c r="H345" s="35" t="s">
        <v>34</v>
      </c>
      <c r="I345" s="55">
        <v>44593</v>
      </c>
      <c r="J345" s="56">
        <f>EFEITO!$J$345*EFEITO!$Y$345</f>
        <v>0</v>
      </c>
      <c r="K345" s="56">
        <f ca="1">EFEITO!$L$345*EFEITO!$Z$345</f>
        <v>196971.45253431861</v>
      </c>
      <c r="L345" s="56">
        <f>EFEITO!$N$345*EFEITO!$AA$345</f>
        <v>0</v>
      </c>
      <c r="M345" s="56">
        <f>$J$345-EFEITO!$K$345*EFEITO!$Y$345</f>
        <v>0</v>
      </c>
      <c r="N345" s="56">
        <f ca="1">$K$345-EFEITO!$M$345*EFEITO!$Z$345</f>
        <v>91024.699768618564</v>
      </c>
      <c r="O345" s="56">
        <f>$L$345-EFEITO!$O$345*EFEITO!$AA$345</f>
        <v>0</v>
      </c>
      <c r="P345" s="39"/>
      <c r="Q345" s="39"/>
      <c r="R345" s="39"/>
      <c r="S345" s="39"/>
      <c r="T345" s="39"/>
      <c r="U345" s="39"/>
      <c r="V345" s="39"/>
      <c r="W345" s="39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spans="1:36" ht="11.25" customHeight="1" x14ac:dyDescent="0.2">
      <c r="A346" s="35" t="s">
        <v>21</v>
      </c>
      <c r="B346" s="35" t="s">
        <v>39</v>
      </c>
      <c r="C346" s="35" t="s">
        <v>41</v>
      </c>
      <c r="D346" s="35" t="s">
        <v>38</v>
      </c>
      <c r="E346" s="35" t="s">
        <v>25</v>
      </c>
      <c r="F346" s="35" t="s">
        <v>56</v>
      </c>
      <c r="G346" s="35" t="s">
        <v>25</v>
      </c>
      <c r="H346" s="35" t="s">
        <v>34</v>
      </c>
      <c r="I346" s="55">
        <v>44621</v>
      </c>
      <c r="J346" s="56">
        <f>EFEITO!$J$346*EFEITO!$Y$346</f>
        <v>0</v>
      </c>
      <c r="K346" s="56">
        <f ca="1">EFEITO!$L$346*EFEITO!$Z$346</f>
        <v>203982.47325570765</v>
      </c>
      <c r="L346" s="56">
        <f>EFEITO!$N$346*EFEITO!$AA$346</f>
        <v>0</v>
      </c>
      <c r="M346" s="56">
        <f>$J$346-EFEITO!$K$346*EFEITO!$Y$346</f>
        <v>0</v>
      </c>
      <c r="N346" s="56">
        <f ca="1">$K$346-EFEITO!$M$346*EFEITO!$Z$346</f>
        <v>94142.970172845817</v>
      </c>
      <c r="O346" s="56">
        <f>$L$346-EFEITO!$O$346*EFEITO!$AA$346</f>
        <v>0</v>
      </c>
      <c r="P346" s="39"/>
      <c r="Q346" s="39"/>
      <c r="R346" s="39"/>
      <c r="S346" s="39"/>
      <c r="T346" s="39"/>
      <c r="U346" s="39"/>
      <c r="V346" s="39"/>
      <c r="W346" s="39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spans="1:36" ht="11.25" customHeight="1" x14ac:dyDescent="0.2">
      <c r="A347" s="35" t="s">
        <v>21</v>
      </c>
      <c r="B347" s="35" t="s">
        <v>39</v>
      </c>
      <c r="C347" s="35" t="s">
        <v>41</v>
      </c>
      <c r="D347" s="35" t="s">
        <v>38</v>
      </c>
      <c r="E347" s="35" t="s">
        <v>25</v>
      </c>
      <c r="F347" s="35" t="s">
        <v>56</v>
      </c>
      <c r="G347" s="35" t="s">
        <v>25</v>
      </c>
      <c r="H347" s="35" t="s">
        <v>34</v>
      </c>
      <c r="I347" s="55">
        <v>44652</v>
      </c>
      <c r="J347" s="56">
        <f>EFEITO!$J$347*EFEITO!$Y$347</f>
        <v>0</v>
      </c>
      <c r="K347" s="56">
        <f ca="1">EFEITO!$L$347*EFEITO!$Z$347</f>
        <v>242400.00516780897</v>
      </c>
      <c r="L347" s="56">
        <f>EFEITO!$N$347*EFEITO!$AA$347</f>
        <v>0</v>
      </c>
      <c r="M347" s="56">
        <f>$J$347-EFEITO!$K$347*EFEITO!$Y$347</f>
        <v>0</v>
      </c>
      <c r="N347" s="56">
        <f ca="1">$K$347-EFEITO!$M$347*EFEITO!$Z$347</f>
        <v>115417.10444461687</v>
      </c>
      <c r="O347" s="56">
        <f>$L$347-EFEITO!$O$347*EFEITO!$AA$347</f>
        <v>0</v>
      </c>
      <c r="P347" s="39"/>
      <c r="Q347" s="39"/>
      <c r="R347" s="39"/>
      <c r="S347" s="39"/>
      <c r="T347" s="39"/>
      <c r="U347" s="39"/>
      <c r="V347" s="39"/>
      <c r="W347" s="39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spans="1:36" ht="11.25" customHeight="1" x14ac:dyDescent="0.2">
      <c r="A348" s="35" t="s">
        <v>21</v>
      </c>
      <c r="B348" s="35" t="s">
        <v>39</v>
      </c>
      <c r="C348" s="35" t="s">
        <v>41</v>
      </c>
      <c r="D348" s="35" t="s">
        <v>38</v>
      </c>
      <c r="E348" s="35" t="s">
        <v>25</v>
      </c>
      <c r="F348" s="35" t="s">
        <v>56</v>
      </c>
      <c r="G348" s="35" t="s">
        <v>25</v>
      </c>
      <c r="H348" s="35" t="s">
        <v>34</v>
      </c>
      <c r="I348" s="55">
        <v>44682</v>
      </c>
      <c r="J348" s="56">
        <f>EFEITO!$J$348*EFEITO!$Y$348</f>
        <v>0</v>
      </c>
      <c r="K348" s="56">
        <f ca="1">EFEITO!$L$348*EFEITO!$Z$348</f>
        <v>196499.72888246493</v>
      </c>
      <c r="L348" s="56">
        <f>EFEITO!$N$348*EFEITO!$AA$348</f>
        <v>0</v>
      </c>
      <c r="M348" s="56">
        <f>$J$348-EFEITO!$K$348*EFEITO!$Y$348</f>
        <v>0</v>
      </c>
      <c r="N348" s="56">
        <f ca="1">$K$348-EFEITO!$M$348*EFEITO!$Z$348</f>
        <v>86153.258601341789</v>
      </c>
      <c r="O348" s="56">
        <f>$L$348-EFEITO!$O$348*EFEITO!$AA$348</f>
        <v>0</v>
      </c>
      <c r="P348" s="39"/>
      <c r="Q348" s="39"/>
      <c r="R348" s="39"/>
      <c r="S348" s="39"/>
      <c r="T348" s="39"/>
      <c r="U348" s="39"/>
      <c r="V348" s="39"/>
      <c r="W348" s="39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spans="1:36" ht="11.25" customHeight="1" x14ac:dyDescent="0.2">
      <c r="A349" s="35" t="s">
        <v>21</v>
      </c>
      <c r="B349" s="35" t="s">
        <v>39</v>
      </c>
      <c r="C349" s="35" t="s">
        <v>41</v>
      </c>
      <c r="D349" s="35" t="s">
        <v>38</v>
      </c>
      <c r="E349" s="35" t="s">
        <v>25</v>
      </c>
      <c r="F349" s="35" t="s">
        <v>56</v>
      </c>
      <c r="G349" s="35" t="s">
        <v>25</v>
      </c>
      <c r="H349" s="35" t="s">
        <v>34</v>
      </c>
      <c r="I349" s="55">
        <v>44713</v>
      </c>
      <c r="J349" s="56">
        <f>EFEITO!$J$349*EFEITO!$Y$349</f>
        <v>0</v>
      </c>
      <c r="K349" s="56">
        <f ca="1">EFEITO!$L$349*EFEITO!$Z$349</f>
        <v>210964.43043456547</v>
      </c>
      <c r="L349" s="56">
        <f>EFEITO!$N$349*EFEITO!$AA$349</f>
        <v>0</v>
      </c>
      <c r="M349" s="56">
        <f>$J$349-EFEITO!$K$349*EFEITO!$Y$349</f>
        <v>0</v>
      </c>
      <c r="N349" s="56">
        <f ca="1">$K$349-EFEITO!$M$349*EFEITO!$Z$349</f>
        <v>98901.11230125872</v>
      </c>
      <c r="O349" s="56">
        <f>$L$349-EFEITO!$O$349*EFEITO!$AA$349</f>
        <v>0</v>
      </c>
      <c r="P349" s="39"/>
      <c r="Q349" s="39"/>
      <c r="R349" s="39"/>
      <c r="S349" s="39"/>
      <c r="T349" s="39"/>
      <c r="U349" s="39"/>
      <c r="V349" s="39"/>
      <c r="W349" s="39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spans="1:36" ht="11.25" customHeight="1" x14ac:dyDescent="0.2">
      <c r="A350" s="35" t="s">
        <v>21</v>
      </c>
      <c r="B350" s="35" t="s">
        <v>39</v>
      </c>
      <c r="C350" s="35" t="s">
        <v>41</v>
      </c>
      <c r="D350" s="35" t="s">
        <v>38</v>
      </c>
      <c r="E350" s="35" t="s">
        <v>25</v>
      </c>
      <c r="F350" s="35" t="s">
        <v>56</v>
      </c>
      <c r="G350" s="35" t="s">
        <v>25</v>
      </c>
      <c r="H350" s="35" t="s">
        <v>34</v>
      </c>
      <c r="I350" s="55">
        <v>44743</v>
      </c>
      <c r="J350" s="56">
        <f>EFEITO!$J$350*EFEITO!$Y$350</f>
        <v>0</v>
      </c>
      <c r="K350" s="56">
        <f ca="1">EFEITO!$L$350*EFEITO!$Z$350</f>
        <v>200718.41386373446</v>
      </c>
      <c r="L350" s="56">
        <f>EFEITO!$N$350*EFEITO!$AA$350</f>
        <v>0</v>
      </c>
      <c r="M350" s="56">
        <f>$J$350-EFEITO!$K$350*EFEITO!$Y$350</f>
        <v>0</v>
      </c>
      <c r="N350" s="56">
        <f ca="1">$K$350-EFEITO!$M$350*EFEITO!$Z$350</f>
        <v>97178.970188638486</v>
      </c>
      <c r="O350" s="56">
        <f>$L$350-EFEITO!$O$350*EFEITO!$AA$350</f>
        <v>0</v>
      </c>
      <c r="P350" s="39"/>
      <c r="Q350" s="39"/>
      <c r="R350" s="39"/>
      <c r="S350" s="39"/>
      <c r="T350" s="39"/>
      <c r="U350" s="39"/>
      <c r="V350" s="39"/>
      <c r="W350" s="39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spans="1:36" ht="11.25" customHeight="1" x14ac:dyDescent="0.2">
      <c r="A351" s="35" t="s">
        <v>21</v>
      </c>
      <c r="B351" s="35" t="s">
        <v>39</v>
      </c>
      <c r="C351" s="35" t="s">
        <v>41</v>
      </c>
      <c r="D351" s="35" t="s">
        <v>38</v>
      </c>
      <c r="E351" s="35" t="s">
        <v>25</v>
      </c>
      <c r="F351" s="35" t="s">
        <v>56</v>
      </c>
      <c r="G351" s="35" t="s">
        <v>25</v>
      </c>
      <c r="H351" s="35" t="s">
        <v>34</v>
      </c>
      <c r="I351" s="55">
        <v>44774</v>
      </c>
      <c r="J351" s="56">
        <f>EFEITO!$J$351*EFEITO!$Y$351</f>
        <v>0</v>
      </c>
      <c r="K351" s="56">
        <f ca="1">EFEITO!$L$351*EFEITO!$Z$351</f>
        <v>187378.24784188223</v>
      </c>
      <c r="L351" s="56">
        <f>EFEITO!$N$351*EFEITO!$AA$351</f>
        <v>0</v>
      </c>
      <c r="M351" s="56">
        <f>$J$351-EFEITO!$K$351*EFEITO!$Y$351</f>
        <v>0</v>
      </c>
      <c r="N351" s="56">
        <f ca="1">$K$351-EFEITO!$M$351*EFEITO!$Z$351</f>
        <v>88972.764704416506</v>
      </c>
      <c r="O351" s="56">
        <f>$L$351-EFEITO!$O$351*EFEITO!$AA$351</f>
        <v>0</v>
      </c>
      <c r="P351" s="39"/>
      <c r="Q351" s="39"/>
      <c r="R351" s="39"/>
      <c r="S351" s="39"/>
      <c r="T351" s="39"/>
      <c r="U351" s="39"/>
      <c r="V351" s="39"/>
      <c r="W351" s="39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spans="1:36" ht="11.25" customHeight="1" x14ac:dyDescent="0.2">
      <c r="A352" s="35" t="s">
        <v>21</v>
      </c>
      <c r="B352" s="35" t="s">
        <v>39</v>
      </c>
      <c r="C352" s="35" t="s">
        <v>41</v>
      </c>
      <c r="D352" s="35" t="s">
        <v>38</v>
      </c>
      <c r="E352" s="35" t="s">
        <v>25</v>
      </c>
      <c r="F352" s="35" t="s">
        <v>56</v>
      </c>
      <c r="G352" s="35" t="s">
        <v>25</v>
      </c>
      <c r="H352" s="35" t="s">
        <v>34</v>
      </c>
      <c r="I352" s="55">
        <v>44805</v>
      </c>
      <c r="J352" s="56">
        <f>EFEITO!$J$352*EFEITO!$Y$352</f>
        <v>0</v>
      </c>
      <c r="K352" s="56">
        <f ca="1">EFEITO!$L$352*EFEITO!$Z$352</f>
        <v>225393.36147278134</v>
      </c>
      <c r="L352" s="56">
        <f>EFEITO!$N$352*EFEITO!$AA$352</f>
        <v>0</v>
      </c>
      <c r="M352" s="56">
        <f>$J$352-EFEITO!$K$352*EFEITO!$Y$352</f>
        <v>0</v>
      </c>
      <c r="N352" s="56">
        <f ca="1">$K$352-EFEITO!$M$352*EFEITO!$Z$352</f>
        <v>106838.2519771229</v>
      </c>
      <c r="O352" s="56">
        <f>$L$352-EFEITO!$O$352*EFEITO!$AA$352</f>
        <v>0</v>
      </c>
      <c r="P352" s="39"/>
      <c r="Q352" s="39"/>
      <c r="R352" s="39"/>
      <c r="S352" s="39"/>
      <c r="T352" s="39"/>
      <c r="U352" s="39"/>
      <c r="V352" s="39"/>
      <c r="W352" s="39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spans="1:36" ht="11.25" customHeight="1" x14ac:dyDescent="0.2">
      <c r="A353" s="35" t="s">
        <v>53</v>
      </c>
      <c r="B353" s="35" t="s">
        <v>39</v>
      </c>
      <c r="C353" s="35" t="s">
        <v>41</v>
      </c>
      <c r="D353" s="35" t="s">
        <v>38</v>
      </c>
      <c r="E353" s="35" t="s">
        <v>25</v>
      </c>
      <c r="F353" s="35" t="s">
        <v>56</v>
      </c>
      <c r="G353" s="35" t="s">
        <v>25</v>
      </c>
      <c r="H353" s="35" t="s">
        <v>34</v>
      </c>
      <c r="I353" s="55">
        <v>44835</v>
      </c>
      <c r="J353" s="56">
        <f>EFEITO!$J$353*EFEITO!$Y$353</f>
        <v>0</v>
      </c>
      <c r="K353" s="56">
        <f ca="1">EFEITO!$L$353*EFEITO!$Z$353</f>
        <v>225393.36147278134</v>
      </c>
      <c r="L353" s="56">
        <f>EFEITO!$N$353*EFEITO!$AA$353</f>
        <v>0</v>
      </c>
      <c r="M353" s="56">
        <f>$J$353-EFEITO!$K$353*EFEITO!$Y$353</f>
        <v>0</v>
      </c>
      <c r="N353" s="56">
        <f ca="1">$K$353-EFEITO!$M$353*EFEITO!$Z$353</f>
        <v>106838.2519771229</v>
      </c>
      <c r="O353" s="56">
        <f>$L$353-EFEITO!$O$353*EFEITO!$AA$353</f>
        <v>0</v>
      </c>
      <c r="P353" s="39"/>
      <c r="Q353" s="39"/>
      <c r="R353" s="39"/>
      <c r="S353" s="39"/>
      <c r="T353" s="39"/>
      <c r="U353" s="39"/>
      <c r="V353" s="39"/>
      <c r="W353" s="39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spans="1:36" ht="11.25" customHeight="1" x14ac:dyDescent="0.2">
      <c r="A354" s="35" t="s">
        <v>21</v>
      </c>
      <c r="B354" s="35" t="s">
        <v>39</v>
      </c>
      <c r="C354" s="35" t="s">
        <v>41</v>
      </c>
      <c r="D354" s="35" t="s">
        <v>38</v>
      </c>
      <c r="E354" s="35" t="s">
        <v>25</v>
      </c>
      <c r="F354" s="35" t="s">
        <v>25</v>
      </c>
      <c r="G354" s="35" t="s">
        <v>25</v>
      </c>
      <c r="H354" s="35" t="s">
        <v>35</v>
      </c>
      <c r="I354" s="55">
        <v>44501</v>
      </c>
      <c r="J354" s="56">
        <f>EFEITO!$J$354*EFEITO!$Y$354</f>
        <v>0</v>
      </c>
      <c r="K354" s="56">
        <f ca="1">EFEITO!$L$354*EFEITO!$Z$354</f>
        <v>241633.46585902324</v>
      </c>
      <c r="L354" s="56">
        <f>EFEITO!$N$354*EFEITO!$AA$354</f>
        <v>591875.76406275271</v>
      </c>
      <c r="M354" s="56">
        <f>$J$354-EFEITO!$K$354*EFEITO!$Y$354</f>
        <v>0</v>
      </c>
      <c r="N354" s="56">
        <f ca="1">$K$354-EFEITO!$M$354*EFEITO!$Z$354</f>
        <v>0</v>
      </c>
      <c r="O354" s="56">
        <f>$L$354-EFEITO!$O$354*EFEITO!$AA$354</f>
        <v>0</v>
      </c>
      <c r="P354" s="39"/>
      <c r="Q354" s="39"/>
      <c r="R354" s="39"/>
      <c r="S354" s="39"/>
      <c r="T354" s="39"/>
      <c r="U354" s="39"/>
      <c r="V354" s="39"/>
      <c r="W354" s="39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spans="1:36" ht="11.25" customHeight="1" x14ac:dyDescent="0.2">
      <c r="A355" s="35" t="s">
        <v>21</v>
      </c>
      <c r="B355" s="35" t="s">
        <v>39</v>
      </c>
      <c r="C355" s="35" t="s">
        <v>41</v>
      </c>
      <c r="D355" s="35" t="s">
        <v>38</v>
      </c>
      <c r="E355" s="35" t="s">
        <v>25</v>
      </c>
      <c r="F355" s="35" t="s">
        <v>25</v>
      </c>
      <c r="G355" s="35" t="s">
        <v>25</v>
      </c>
      <c r="H355" s="35" t="s">
        <v>35</v>
      </c>
      <c r="I355" s="55">
        <v>44501</v>
      </c>
      <c r="J355" s="56">
        <f>EFEITO!$J$355*EFEITO!$Y$355</f>
        <v>0</v>
      </c>
      <c r="K355" s="56">
        <f ca="1">EFEITO!$L$355*EFEITO!$Z$355</f>
        <v>83700.356236269596</v>
      </c>
      <c r="L355" s="56">
        <f>EFEITO!$N$355*EFEITO!$AA$355</f>
        <v>0</v>
      </c>
      <c r="M355" s="56">
        <f>$J$355-EFEITO!$K$355*EFEITO!$Y$355</f>
        <v>0</v>
      </c>
      <c r="N355" s="56">
        <f ca="1">$K$355-EFEITO!$M$355*EFEITO!$Z$355</f>
        <v>0</v>
      </c>
      <c r="O355" s="56">
        <f>$L$355-EFEITO!$O$355*EFEITO!$AA$355</f>
        <v>0</v>
      </c>
      <c r="P355" s="39"/>
      <c r="Q355" s="39"/>
      <c r="R355" s="39"/>
      <c r="S355" s="39"/>
      <c r="T355" s="39"/>
      <c r="U355" s="39"/>
      <c r="V355" s="39"/>
      <c r="W355" s="39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spans="1:36" ht="11.25" customHeight="1" x14ac:dyDescent="0.2">
      <c r="A356" s="35" t="s">
        <v>21</v>
      </c>
      <c r="B356" s="35" t="s">
        <v>39</v>
      </c>
      <c r="C356" s="35" t="s">
        <v>41</v>
      </c>
      <c r="D356" s="35" t="s">
        <v>38</v>
      </c>
      <c r="E356" s="35" t="s">
        <v>25</v>
      </c>
      <c r="F356" s="35" t="s">
        <v>25</v>
      </c>
      <c r="G356" s="35" t="s">
        <v>25</v>
      </c>
      <c r="H356" s="35" t="s">
        <v>35</v>
      </c>
      <c r="I356" s="55">
        <v>44531</v>
      </c>
      <c r="J356" s="56">
        <f>EFEITO!$J$356*EFEITO!$Y$356</f>
        <v>0</v>
      </c>
      <c r="K356" s="56">
        <f ca="1">EFEITO!$L$356*EFEITO!$Z$356</f>
        <v>237139.05991863107</v>
      </c>
      <c r="L356" s="56">
        <f>EFEITO!$N$356*EFEITO!$AA$356</f>
        <v>580866.81734868372</v>
      </c>
      <c r="M356" s="56">
        <f>$J$356-EFEITO!$K$356*EFEITO!$Y$356</f>
        <v>0</v>
      </c>
      <c r="N356" s="56">
        <f ca="1">$K$356-EFEITO!$M$356*EFEITO!$Z$356</f>
        <v>0</v>
      </c>
      <c r="O356" s="56">
        <f>$L$356-EFEITO!$O$356*EFEITO!$AA$356</f>
        <v>0</v>
      </c>
      <c r="P356" s="39"/>
      <c r="Q356" s="39"/>
      <c r="R356" s="39"/>
      <c r="S356" s="39"/>
      <c r="T356" s="39"/>
      <c r="U356" s="39"/>
      <c r="V356" s="39"/>
      <c r="W356" s="39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spans="1:36" ht="11.25" customHeight="1" x14ac:dyDescent="0.2">
      <c r="A357" s="35" t="s">
        <v>21</v>
      </c>
      <c r="B357" s="35" t="s">
        <v>39</v>
      </c>
      <c r="C357" s="35" t="s">
        <v>41</v>
      </c>
      <c r="D357" s="35" t="s">
        <v>38</v>
      </c>
      <c r="E357" s="35" t="s">
        <v>25</v>
      </c>
      <c r="F357" s="35" t="s">
        <v>25</v>
      </c>
      <c r="G357" s="35" t="s">
        <v>25</v>
      </c>
      <c r="H357" s="35" t="s">
        <v>35</v>
      </c>
      <c r="I357" s="55">
        <v>44531</v>
      </c>
      <c r="J357" s="56">
        <f>EFEITO!$J$357*EFEITO!$Y$357</f>
        <v>0</v>
      </c>
      <c r="K357" s="56">
        <f ca="1">EFEITO!$L$357*EFEITO!$Z$357</f>
        <v>84709.115066111684</v>
      </c>
      <c r="L357" s="56">
        <f>EFEITO!$N$357*EFEITO!$AA$357</f>
        <v>0</v>
      </c>
      <c r="M357" s="56">
        <f>$J$357-EFEITO!$K$357*EFEITO!$Y$357</f>
        <v>0</v>
      </c>
      <c r="N357" s="56">
        <f ca="1">$K$357-EFEITO!$M$357*EFEITO!$Z$357</f>
        <v>0</v>
      </c>
      <c r="O357" s="56">
        <f>$L$357-EFEITO!$O$357*EFEITO!$AA$357</f>
        <v>0</v>
      </c>
      <c r="P357" s="39"/>
      <c r="Q357" s="39"/>
      <c r="R357" s="39"/>
      <c r="S357" s="39"/>
      <c r="T357" s="39"/>
      <c r="U357" s="39"/>
      <c r="V357" s="39"/>
      <c r="W357" s="39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spans="1:36" ht="11.25" customHeight="1" x14ac:dyDescent="0.2">
      <c r="A358" s="35" t="s">
        <v>21</v>
      </c>
      <c r="B358" s="35" t="s">
        <v>39</v>
      </c>
      <c r="C358" s="35" t="s">
        <v>41</v>
      </c>
      <c r="D358" s="35" t="s">
        <v>38</v>
      </c>
      <c r="E358" s="35" t="s">
        <v>25</v>
      </c>
      <c r="F358" s="35" t="s">
        <v>25</v>
      </c>
      <c r="G358" s="35" t="s">
        <v>25</v>
      </c>
      <c r="H358" s="35" t="s">
        <v>35</v>
      </c>
      <c r="I358" s="55">
        <v>44562</v>
      </c>
      <c r="J358" s="56">
        <f>EFEITO!$J$358*EFEITO!$Y$358</f>
        <v>0</v>
      </c>
      <c r="K358" s="56">
        <f ca="1">EFEITO!$L$358*EFEITO!$Z$358</f>
        <v>216877.16352893465</v>
      </c>
      <c r="L358" s="56">
        <f>EFEITO!$N$358*EFEITO!$AA$358</f>
        <v>531235.75583831861</v>
      </c>
      <c r="M358" s="56">
        <f>$J$358-EFEITO!$K$358*EFEITO!$Y$358</f>
        <v>0</v>
      </c>
      <c r="N358" s="56">
        <f ca="1">$K$358-EFEITO!$M$358*EFEITO!$Z$358</f>
        <v>0</v>
      </c>
      <c r="O358" s="56">
        <f>$L$358-EFEITO!$O$358*EFEITO!$AA$358</f>
        <v>0</v>
      </c>
      <c r="P358" s="39"/>
      <c r="Q358" s="39"/>
      <c r="R358" s="39"/>
      <c r="S358" s="39"/>
      <c r="T358" s="39"/>
      <c r="U358" s="39"/>
      <c r="V358" s="39"/>
      <c r="W358" s="39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spans="1:36" ht="11.25" customHeight="1" x14ac:dyDescent="0.2">
      <c r="A359" s="35" t="s">
        <v>21</v>
      </c>
      <c r="B359" s="35" t="s">
        <v>39</v>
      </c>
      <c r="C359" s="35" t="s">
        <v>41</v>
      </c>
      <c r="D359" s="35" t="s">
        <v>38</v>
      </c>
      <c r="E359" s="35" t="s">
        <v>25</v>
      </c>
      <c r="F359" s="35" t="s">
        <v>25</v>
      </c>
      <c r="G359" s="35" t="s">
        <v>25</v>
      </c>
      <c r="H359" s="35" t="s">
        <v>35</v>
      </c>
      <c r="I359" s="55">
        <v>44562</v>
      </c>
      <c r="J359" s="56">
        <f>EFEITO!$J$359*EFEITO!$Y$359</f>
        <v>0</v>
      </c>
      <c r="K359" s="56">
        <f ca="1">EFEITO!$L$359*EFEITO!$Z$359</f>
        <v>66671.642433417815</v>
      </c>
      <c r="L359" s="56">
        <f>EFEITO!$N$359*EFEITO!$AA$359</f>
        <v>0</v>
      </c>
      <c r="M359" s="56">
        <f>$J$359-EFEITO!$K$359*EFEITO!$Y$359</f>
        <v>0</v>
      </c>
      <c r="N359" s="56">
        <f ca="1">$K$359-EFEITO!$M$359*EFEITO!$Z$359</f>
        <v>0</v>
      </c>
      <c r="O359" s="56">
        <f>$L$359-EFEITO!$O$359*EFEITO!$AA$359</f>
        <v>0</v>
      </c>
      <c r="P359" s="39"/>
      <c r="Q359" s="39"/>
      <c r="R359" s="39"/>
      <c r="S359" s="39"/>
      <c r="T359" s="39"/>
      <c r="U359" s="39"/>
      <c r="V359" s="39"/>
      <c r="W359" s="39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spans="1:36" ht="11.25" customHeight="1" x14ac:dyDescent="0.2">
      <c r="A360" s="35" t="s">
        <v>21</v>
      </c>
      <c r="B360" s="35" t="s">
        <v>39</v>
      </c>
      <c r="C360" s="35" t="s">
        <v>41</v>
      </c>
      <c r="D360" s="35" t="s">
        <v>38</v>
      </c>
      <c r="E360" s="35" t="s">
        <v>25</v>
      </c>
      <c r="F360" s="35" t="s">
        <v>25</v>
      </c>
      <c r="G360" s="35" t="s">
        <v>25</v>
      </c>
      <c r="H360" s="35" t="s">
        <v>35</v>
      </c>
      <c r="I360" s="55">
        <v>44593</v>
      </c>
      <c r="J360" s="56">
        <f>EFEITO!$J$360*EFEITO!$Y$360</f>
        <v>0</v>
      </c>
      <c r="K360" s="56">
        <f ca="1">EFEITO!$L$360*EFEITO!$Z$360</f>
        <v>210973.1334627152</v>
      </c>
      <c r="L360" s="56">
        <f>EFEITO!$N$360*EFEITO!$AA$360</f>
        <v>516773.96639176947</v>
      </c>
      <c r="M360" s="56">
        <f>$J$360-EFEITO!$K$360*EFEITO!$Y$360</f>
        <v>0</v>
      </c>
      <c r="N360" s="56">
        <f ca="1">$K$360-EFEITO!$M$360*EFEITO!$Z$360</f>
        <v>0</v>
      </c>
      <c r="O360" s="56">
        <f>$L$360-EFEITO!$O$360*EFEITO!$AA$360</f>
        <v>0</v>
      </c>
      <c r="P360" s="39"/>
      <c r="Q360" s="39"/>
      <c r="R360" s="39"/>
      <c r="S360" s="39"/>
      <c r="T360" s="39"/>
      <c r="U360" s="39"/>
      <c r="V360" s="39"/>
      <c r="W360" s="39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spans="1:36" ht="11.25" customHeight="1" x14ac:dyDescent="0.2">
      <c r="A361" s="35" t="s">
        <v>28</v>
      </c>
      <c r="B361" s="35" t="s">
        <v>39</v>
      </c>
      <c r="C361" s="35" t="s">
        <v>41</v>
      </c>
      <c r="D361" s="35" t="s">
        <v>38</v>
      </c>
      <c r="E361" s="35" t="s">
        <v>25</v>
      </c>
      <c r="F361" s="35" t="s">
        <v>25</v>
      </c>
      <c r="G361" s="35" t="s">
        <v>25</v>
      </c>
      <c r="H361" s="35" t="s">
        <v>35</v>
      </c>
      <c r="I361" s="55">
        <v>44593</v>
      </c>
      <c r="J361" s="56">
        <f>EFEITO!$J$361*EFEITO!$Y$361</f>
        <v>0</v>
      </c>
      <c r="K361" s="56">
        <f ca="1">EFEITO!$L$361*EFEITO!$Z$361</f>
        <v>2533.5614974469381</v>
      </c>
      <c r="L361" s="56">
        <f>EFEITO!$N$361*EFEITO!$AA$361</f>
        <v>6205.9021575110219</v>
      </c>
      <c r="M361" s="56">
        <f>$J$361-EFEITO!$K$361*EFEITO!$Y$361</f>
        <v>0</v>
      </c>
      <c r="N361" s="56">
        <f ca="1">$K$361-EFEITO!$M$361*EFEITO!$Z$361</f>
        <v>0</v>
      </c>
      <c r="O361" s="56">
        <f>$L$361-EFEITO!$O$361*EFEITO!$AA$361</f>
        <v>0</v>
      </c>
      <c r="P361" s="39"/>
      <c r="Q361" s="39"/>
      <c r="R361" s="39"/>
      <c r="S361" s="39"/>
      <c r="T361" s="39"/>
      <c r="U361" s="39"/>
      <c r="V361" s="39"/>
      <c r="W361" s="39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pans="1:36" ht="11.25" customHeight="1" x14ac:dyDescent="0.2">
      <c r="A362" s="35" t="s">
        <v>21</v>
      </c>
      <c r="B362" s="35" t="s">
        <v>39</v>
      </c>
      <c r="C362" s="35" t="s">
        <v>41</v>
      </c>
      <c r="D362" s="35" t="s">
        <v>38</v>
      </c>
      <c r="E362" s="35" t="s">
        <v>25</v>
      </c>
      <c r="F362" s="35" t="s">
        <v>25</v>
      </c>
      <c r="G362" s="35" t="s">
        <v>25</v>
      </c>
      <c r="H362" s="35" t="s">
        <v>35</v>
      </c>
      <c r="I362" s="55">
        <v>44593</v>
      </c>
      <c r="J362" s="56">
        <f>EFEITO!$J$362*EFEITO!$Y$362</f>
        <v>0</v>
      </c>
      <c r="K362" s="56">
        <f ca="1">EFEITO!$L$362*EFEITO!$Z$362</f>
        <v>79607.304154075886</v>
      </c>
      <c r="L362" s="56">
        <f>EFEITO!$N$362*EFEITO!$AA$362</f>
        <v>0</v>
      </c>
      <c r="M362" s="56">
        <f>$J$362-EFEITO!$K$362*EFEITO!$Y$362</f>
        <v>0</v>
      </c>
      <c r="N362" s="56">
        <f ca="1">$K$362-EFEITO!$M$362*EFEITO!$Z$362</f>
        <v>0</v>
      </c>
      <c r="O362" s="56">
        <f>$L$362-EFEITO!$O$362*EFEITO!$AA$362</f>
        <v>0</v>
      </c>
      <c r="P362" s="39"/>
      <c r="Q362" s="39"/>
      <c r="R362" s="39"/>
      <c r="S362" s="39"/>
      <c r="T362" s="39"/>
      <c r="U362" s="39"/>
      <c r="V362" s="39"/>
      <c r="W362" s="39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spans="1:36" ht="11.25" customHeight="1" x14ac:dyDescent="0.2">
      <c r="A363" s="35" t="s">
        <v>21</v>
      </c>
      <c r="B363" s="35" t="s">
        <v>39</v>
      </c>
      <c r="C363" s="35" t="s">
        <v>41</v>
      </c>
      <c r="D363" s="35" t="s">
        <v>38</v>
      </c>
      <c r="E363" s="35" t="s">
        <v>25</v>
      </c>
      <c r="F363" s="35" t="s">
        <v>25</v>
      </c>
      <c r="G363" s="35" t="s">
        <v>25</v>
      </c>
      <c r="H363" s="35" t="s">
        <v>35</v>
      </c>
      <c r="I363" s="55">
        <v>44621</v>
      </c>
      <c r="J363" s="56">
        <f>EFEITO!$J$363*EFEITO!$Y$363</f>
        <v>0</v>
      </c>
      <c r="K363" s="56">
        <f ca="1">EFEITO!$L$363*EFEITO!$Z$363</f>
        <v>214480.03302954239</v>
      </c>
      <c r="L363" s="56">
        <f>EFEITO!$N$363*EFEITO!$AA$363</f>
        <v>525364.03835563466</v>
      </c>
      <c r="M363" s="56">
        <f>$J$363-EFEITO!$K$363*EFEITO!$Y$363</f>
        <v>0</v>
      </c>
      <c r="N363" s="56">
        <f ca="1">$K$363-EFEITO!$M$363*EFEITO!$Z$363</f>
        <v>0</v>
      </c>
      <c r="O363" s="56">
        <f>$L$363-EFEITO!$O$363*EFEITO!$AA$363</f>
        <v>0</v>
      </c>
      <c r="P363" s="39"/>
      <c r="Q363" s="39"/>
      <c r="R363" s="39"/>
      <c r="S363" s="39"/>
      <c r="T363" s="39"/>
      <c r="U363" s="39"/>
      <c r="V363" s="39"/>
      <c r="W363" s="39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spans="1:36" ht="11.25" customHeight="1" x14ac:dyDescent="0.2">
      <c r="A364" s="35" t="s">
        <v>28</v>
      </c>
      <c r="B364" s="35" t="s">
        <v>39</v>
      </c>
      <c r="C364" s="35" t="s">
        <v>41</v>
      </c>
      <c r="D364" s="35" t="s">
        <v>38</v>
      </c>
      <c r="E364" s="35" t="s">
        <v>25</v>
      </c>
      <c r="F364" s="35" t="s">
        <v>25</v>
      </c>
      <c r="G364" s="35" t="s">
        <v>25</v>
      </c>
      <c r="H364" s="35" t="s">
        <v>35</v>
      </c>
      <c r="I364" s="55">
        <v>44621</v>
      </c>
      <c r="J364" s="56">
        <f>EFEITO!$J$364*EFEITO!$Y$364</f>
        <v>0</v>
      </c>
      <c r="K364" s="56">
        <f ca="1">EFEITO!$L$364*EFEITO!$Z$364</f>
        <v>1252.6735148153978</v>
      </c>
      <c r="L364" s="56">
        <f>EFEITO!$N$364*EFEITO!$AA$364</f>
        <v>3068.3957251811721</v>
      </c>
      <c r="M364" s="56">
        <f>$J$364-EFEITO!$K$364*EFEITO!$Y$364</f>
        <v>0</v>
      </c>
      <c r="N364" s="56">
        <f ca="1">$K$364-EFEITO!$M$364*EFEITO!$Z$364</f>
        <v>0</v>
      </c>
      <c r="O364" s="56">
        <f>$L$364-EFEITO!$O$364*EFEITO!$AA$364</f>
        <v>0</v>
      </c>
      <c r="P364" s="39"/>
      <c r="Q364" s="39"/>
      <c r="R364" s="39"/>
      <c r="S364" s="39"/>
      <c r="T364" s="39"/>
      <c r="U364" s="39"/>
      <c r="V364" s="39"/>
      <c r="W364" s="39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spans="1:36" ht="11.25" customHeight="1" x14ac:dyDescent="0.2">
      <c r="A365" s="35" t="s">
        <v>21</v>
      </c>
      <c r="B365" s="35" t="s">
        <v>39</v>
      </c>
      <c r="C365" s="35" t="s">
        <v>41</v>
      </c>
      <c r="D365" s="35" t="s">
        <v>38</v>
      </c>
      <c r="E365" s="35" t="s">
        <v>25</v>
      </c>
      <c r="F365" s="35" t="s">
        <v>25</v>
      </c>
      <c r="G365" s="35" t="s">
        <v>25</v>
      </c>
      <c r="H365" s="35" t="s">
        <v>35</v>
      </c>
      <c r="I365" s="55">
        <v>44621</v>
      </c>
      <c r="J365" s="56">
        <f>EFEITO!$J$365*EFEITO!$Y$365</f>
        <v>0</v>
      </c>
      <c r="K365" s="56">
        <f ca="1">EFEITO!$L$365*EFEITO!$Z$365</f>
        <v>79720.406306447083</v>
      </c>
      <c r="L365" s="56">
        <f>EFEITO!$N$365*EFEITO!$AA$365</f>
        <v>0</v>
      </c>
      <c r="M365" s="56">
        <f>$J$365-EFEITO!$K$365*EFEITO!$Y$365</f>
        <v>0</v>
      </c>
      <c r="N365" s="56">
        <f ca="1">$K$365-EFEITO!$M$365*EFEITO!$Z$365</f>
        <v>0</v>
      </c>
      <c r="O365" s="56">
        <f>$L$365-EFEITO!$O$365*EFEITO!$AA$365</f>
        <v>0</v>
      </c>
      <c r="P365" s="39"/>
      <c r="Q365" s="39"/>
      <c r="R365" s="39"/>
      <c r="S365" s="39"/>
      <c r="T365" s="39"/>
      <c r="U365" s="39"/>
      <c r="V365" s="39"/>
      <c r="W365" s="39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spans="1:36" ht="11.25" customHeight="1" x14ac:dyDescent="0.2">
      <c r="A366" s="35" t="s">
        <v>21</v>
      </c>
      <c r="B366" s="35" t="s">
        <v>39</v>
      </c>
      <c r="C366" s="35" t="s">
        <v>41</v>
      </c>
      <c r="D366" s="35" t="s">
        <v>38</v>
      </c>
      <c r="E366" s="35" t="s">
        <v>25</v>
      </c>
      <c r="F366" s="35" t="s">
        <v>25</v>
      </c>
      <c r="G366" s="35" t="s">
        <v>25</v>
      </c>
      <c r="H366" s="35" t="s">
        <v>35</v>
      </c>
      <c r="I366" s="55">
        <v>44652</v>
      </c>
      <c r="J366" s="56">
        <f>EFEITO!$J$366*EFEITO!$Y$366</f>
        <v>0</v>
      </c>
      <c r="K366" s="56">
        <f ca="1">EFEITO!$L$366*EFEITO!$Z$366</f>
        <v>241723.36130626427</v>
      </c>
      <c r="L366" s="56">
        <f>EFEITO!$N$366*EFEITO!$AA$366</f>
        <v>592095.96094786713</v>
      </c>
      <c r="M366" s="56">
        <f>$J$366-EFEITO!$K$366*EFEITO!$Y$366</f>
        <v>0</v>
      </c>
      <c r="N366" s="56">
        <f ca="1">$K$366-EFEITO!$M$366*EFEITO!$Z$366</f>
        <v>0</v>
      </c>
      <c r="O366" s="56">
        <f>$L$366-EFEITO!$O$366*EFEITO!$AA$366</f>
        <v>0</v>
      </c>
      <c r="P366" s="39"/>
      <c r="Q366" s="39"/>
      <c r="R366" s="39"/>
      <c r="S366" s="39"/>
      <c r="T366" s="39"/>
      <c r="U366" s="39"/>
      <c r="V366" s="39"/>
      <c r="W366" s="39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spans="1:36" ht="11.25" customHeight="1" x14ac:dyDescent="0.2">
      <c r="A367" s="35" t="s">
        <v>28</v>
      </c>
      <c r="B367" s="35" t="s">
        <v>39</v>
      </c>
      <c r="C367" s="35" t="s">
        <v>41</v>
      </c>
      <c r="D367" s="35" t="s">
        <v>38</v>
      </c>
      <c r="E367" s="35" t="s">
        <v>25</v>
      </c>
      <c r="F367" s="35" t="s">
        <v>25</v>
      </c>
      <c r="G367" s="35" t="s">
        <v>25</v>
      </c>
      <c r="H367" s="35" t="s">
        <v>35</v>
      </c>
      <c r="I367" s="55">
        <v>44652</v>
      </c>
      <c r="J367" s="56">
        <f>EFEITO!$J$367*EFEITO!$Y$367</f>
        <v>0</v>
      </c>
      <c r="K367" s="56">
        <f ca="1">EFEITO!$L$367*EFEITO!$Z$367</f>
        <v>1143.7241412569604</v>
      </c>
      <c r="L367" s="56">
        <f>EFEITO!$N$367*EFEITO!$AA$367</f>
        <v>2801.5266742001263</v>
      </c>
      <c r="M367" s="56">
        <f>$J$367-EFEITO!$K$367*EFEITO!$Y$367</f>
        <v>0</v>
      </c>
      <c r="N367" s="56">
        <f ca="1">$K$367-EFEITO!$M$367*EFEITO!$Z$367</f>
        <v>0</v>
      </c>
      <c r="O367" s="56">
        <f>$L$367-EFEITO!$O$367*EFEITO!$AA$367</f>
        <v>0</v>
      </c>
      <c r="P367" s="39"/>
      <c r="Q367" s="39"/>
      <c r="R367" s="39"/>
      <c r="S367" s="39"/>
      <c r="T367" s="39"/>
      <c r="U367" s="39"/>
      <c r="V367" s="39"/>
      <c r="W367" s="39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spans="1:36" ht="11.25" customHeight="1" x14ac:dyDescent="0.2">
      <c r="A368" s="35" t="s">
        <v>21</v>
      </c>
      <c r="B368" s="35" t="s">
        <v>39</v>
      </c>
      <c r="C368" s="35" t="s">
        <v>41</v>
      </c>
      <c r="D368" s="35" t="s">
        <v>38</v>
      </c>
      <c r="E368" s="35" t="s">
        <v>25</v>
      </c>
      <c r="F368" s="35" t="s">
        <v>25</v>
      </c>
      <c r="G368" s="35" t="s">
        <v>25</v>
      </c>
      <c r="H368" s="35" t="s">
        <v>35</v>
      </c>
      <c r="I368" s="55">
        <v>44652</v>
      </c>
      <c r="J368" s="56">
        <f>EFEITO!$J$368*EFEITO!$Y$368</f>
        <v>0</v>
      </c>
      <c r="K368" s="56">
        <f ca="1">EFEITO!$L$368*EFEITO!$Z$368</f>
        <v>92271.81384637102</v>
      </c>
      <c r="L368" s="56">
        <f>EFEITO!$N$368*EFEITO!$AA$368</f>
        <v>0</v>
      </c>
      <c r="M368" s="56">
        <f>$J$368-EFEITO!$K$368*EFEITO!$Y$368</f>
        <v>0</v>
      </c>
      <c r="N368" s="56">
        <f ca="1">$K$368-EFEITO!$M$368*EFEITO!$Z$368</f>
        <v>0</v>
      </c>
      <c r="O368" s="56">
        <f>$L$368-EFEITO!$O$368*EFEITO!$AA$368</f>
        <v>0</v>
      </c>
      <c r="P368" s="39"/>
      <c r="Q368" s="39"/>
      <c r="R368" s="39"/>
      <c r="S368" s="39"/>
      <c r="T368" s="39"/>
      <c r="U368" s="39"/>
      <c r="V368" s="39"/>
      <c r="W368" s="39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spans="1:36" ht="11.25" customHeight="1" x14ac:dyDescent="0.2">
      <c r="A369" s="35" t="s">
        <v>21</v>
      </c>
      <c r="B369" s="35" t="s">
        <v>39</v>
      </c>
      <c r="C369" s="35" t="s">
        <v>41</v>
      </c>
      <c r="D369" s="35" t="s">
        <v>38</v>
      </c>
      <c r="E369" s="35" t="s">
        <v>25</v>
      </c>
      <c r="F369" s="35" t="s">
        <v>25</v>
      </c>
      <c r="G369" s="35" t="s">
        <v>25</v>
      </c>
      <c r="H369" s="35" t="s">
        <v>35</v>
      </c>
      <c r="I369" s="55">
        <v>44682</v>
      </c>
      <c r="J369" s="56">
        <f>EFEITO!$J$369*EFEITO!$Y$369</f>
        <v>0</v>
      </c>
      <c r="K369" s="56">
        <f ca="1">EFEITO!$L$369*EFEITO!$Z$369</f>
        <v>221346.2863747903</v>
      </c>
      <c r="L369" s="56">
        <f>EFEITO!$N$369*EFEITO!$AA$369</f>
        <v>542182.7721784492</v>
      </c>
      <c r="M369" s="56">
        <f>$J$369-EFEITO!$K$369*EFEITO!$Y$369</f>
        <v>0</v>
      </c>
      <c r="N369" s="56">
        <f ca="1">$K$369-EFEITO!$M$369*EFEITO!$Z$369</f>
        <v>0</v>
      </c>
      <c r="O369" s="56">
        <f>$L$369-EFEITO!$O$369*EFEITO!$AA$369</f>
        <v>0</v>
      </c>
      <c r="P369" s="39"/>
      <c r="Q369" s="39"/>
      <c r="R369" s="39"/>
      <c r="S369" s="39"/>
      <c r="T369" s="39"/>
      <c r="U369" s="39"/>
      <c r="V369" s="39"/>
      <c r="W369" s="39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pans="1:36" ht="11.25" customHeight="1" x14ac:dyDescent="0.2">
      <c r="A370" s="35" t="s">
        <v>28</v>
      </c>
      <c r="B370" s="35" t="s">
        <v>39</v>
      </c>
      <c r="C370" s="35" t="s">
        <v>41</v>
      </c>
      <c r="D370" s="35" t="s">
        <v>38</v>
      </c>
      <c r="E370" s="35" t="s">
        <v>25</v>
      </c>
      <c r="F370" s="35" t="s">
        <v>25</v>
      </c>
      <c r="G370" s="35" t="s">
        <v>25</v>
      </c>
      <c r="H370" s="35" t="s">
        <v>35</v>
      </c>
      <c r="I370" s="55">
        <v>44682</v>
      </c>
      <c r="J370" s="56">
        <f>EFEITO!$J$370*EFEITO!$Y$370</f>
        <v>0</v>
      </c>
      <c r="K370" s="56">
        <f ca="1">EFEITO!$L$370*EFEITO!$Z$370</f>
        <v>492.95927318593459</v>
      </c>
      <c r="L370" s="56">
        <f>EFEITO!$N$370*EFEITO!$AA$370</f>
        <v>1207.4927015241037</v>
      </c>
      <c r="M370" s="56">
        <f>$J$370-EFEITO!$K$370*EFEITO!$Y$370</f>
        <v>0</v>
      </c>
      <c r="N370" s="56">
        <f ca="1">$K$370-EFEITO!$M$370*EFEITO!$Z$370</f>
        <v>0</v>
      </c>
      <c r="O370" s="56">
        <f>$L$370-EFEITO!$O$370*EFEITO!$AA$370</f>
        <v>0</v>
      </c>
      <c r="P370" s="39"/>
      <c r="Q370" s="39"/>
      <c r="R370" s="39"/>
      <c r="S370" s="39"/>
      <c r="T370" s="39"/>
      <c r="U370" s="39"/>
      <c r="V370" s="39"/>
      <c r="W370" s="39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spans="1:36" ht="11.25" customHeight="1" x14ac:dyDescent="0.2">
      <c r="A371" s="35" t="s">
        <v>21</v>
      </c>
      <c r="B371" s="35" t="s">
        <v>39</v>
      </c>
      <c r="C371" s="35" t="s">
        <v>41</v>
      </c>
      <c r="D371" s="35" t="s">
        <v>38</v>
      </c>
      <c r="E371" s="35" t="s">
        <v>25</v>
      </c>
      <c r="F371" s="35" t="s">
        <v>25</v>
      </c>
      <c r="G371" s="35" t="s">
        <v>25</v>
      </c>
      <c r="H371" s="35" t="s">
        <v>35</v>
      </c>
      <c r="I371" s="55">
        <v>44682</v>
      </c>
      <c r="J371" s="56">
        <f>EFEITO!$J$371*EFEITO!$Y$371</f>
        <v>0</v>
      </c>
      <c r="K371" s="56">
        <f ca="1">EFEITO!$L$371*EFEITO!$Z$371</f>
        <v>82688.543892594607</v>
      </c>
      <c r="L371" s="56">
        <f>EFEITO!$N$371*EFEITO!$AA$371</f>
        <v>0</v>
      </c>
      <c r="M371" s="56">
        <f>$J$371-EFEITO!$K$371*EFEITO!$Y$371</f>
        <v>0</v>
      </c>
      <c r="N371" s="56">
        <f ca="1">$K$371-EFEITO!$M$371*EFEITO!$Z$371</f>
        <v>0</v>
      </c>
      <c r="O371" s="56">
        <f>$L$371-EFEITO!$O$371*EFEITO!$AA$371</f>
        <v>0</v>
      </c>
      <c r="P371" s="39"/>
      <c r="Q371" s="39"/>
      <c r="R371" s="39"/>
      <c r="S371" s="39"/>
      <c r="T371" s="39"/>
      <c r="U371" s="39"/>
      <c r="V371" s="39"/>
      <c r="W371" s="39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pans="1:36" ht="11.25" customHeight="1" x14ac:dyDescent="0.2">
      <c r="A372" s="35" t="s">
        <v>21</v>
      </c>
      <c r="B372" s="35" t="s">
        <v>39</v>
      </c>
      <c r="C372" s="35" t="s">
        <v>41</v>
      </c>
      <c r="D372" s="35" t="s">
        <v>38</v>
      </c>
      <c r="E372" s="35" t="s">
        <v>25</v>
      </c>
      <c r="F372" s="35" t="s">
        <v>25</v>
      </c>
      <c r="G372" s="35" t="s">
        <v>25</v>
      </c>
      <c r="H372" s="35" t="s">
        <v>35</v>
      </c>
      <c r="I372" s="55">
        <v>44713</v>
      </c>
      <c r="J372" s="56">
        <f>EFEITO!$J$372*EFEITO!$Y$372</f>
        <v>0</v>
      </c>
      <c r="K372" s="56">
        <f ca="1">EFEITO!$L$372*EFEITO!$Z$372</f>
        <v>234386.62254964071</v>
      </c>
      <c r="L372" s="56">
        <f>EFEITO!$N$372*EFEITO!$AA$372</f>
        <v>574124.78364480718</v>
      </c>
      <c r="M372" s="56">
        <f>$J$372-EFEITO!$K$372*EFEITO!$Y$372</f>
        <v>0</v>
      </c>
      <c r="N372" s="56">
        <f ca="1">$K$372-EFEITO!$M$372*EFEITO!$Z$372</f>
        <v>0</v>
      </c>
      <c r="O372" s="56">
        <f>$L$372-EFEITO!$O$372*EFEITO!$AA$372</f>
        <v>0</v>
      </c>
      <c r="P372" s="39"/>
      <c r="Q372" s="39"/>
      <c r="R372" s="39"/>
      <c r="S372" s="39"/>
      <c r="T372" s="39"/>
      <c r="U372" s="39"/>
      <c r="V372" s="39"/>
      <c r="W372" s="39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spans="1:36" ht="11.25" customHeight="1" x14ac:dyDescent="0.2">
      <c r="A373" s="35" t="s">
        <v>28</v>
      </c>
      <c r="B373" s="35" t="s">
        <v>39</v>
      </c>
      <c r="C373" s="35" t="s">
        <v>41</v>
      </c>
      <c r="D373" s="35" t="s">
        <v>38</v>
      </c>
      <c r="E373" s="35" t="s">
        <v>25</v>
      </c>
      <c r="F373" s="35" t="s">
        <v>25</v>
      </c>
      <c r="G373" s="35" t="s">
        <v>25</v>
      </c>
      <c r="H373" s="35" t="s">
        <v>35</v>
      </c>
      <c r="I373" s="55">
        <v>44713</v>
      </c>
      <c r="J373" s="56">
        <f>EFEITO!$J$373*EFEITO!$Y$373</f>
        <v>0</v>
      </c>
      <c r="K373" s="56">
        <f ca="1">EFEITO!$L$373*EFEITO!$Z$373</f>
        <v>1404.127800928024</v>
      </c>
      <c r="L373" s="56">
        <f>EFEITO!$N$373*EFEITO!$AA$373</f>
        <v>3439.3796077108768</v>
      </c>
      <c r="M373" s="56">
        <f>$J$373-EFEITO!$K$373*EFEITO!$Y$373</f>
        <v>0</v>
      </c>
      <c r="N373" s="56">
        <f ca="1">$K$373-EFEITO!$M$373*EFEITO!$Z$373</f>
        <v>0</v>
      </c>
      <c r="O373" s="56">
        <f>$L$373-EFEITO!$O$373*EFEITO!$AA$373</f>
        <v>0</v>
      </c>
      <c r="P373" s="39"/>
      <c r="Q373" s="39"/>
      <c r="R373" s="39"/>
      <c r="S373" s="39"/>
      <c r="T373" s="39"/>
      <c r="U373" s="39"/>
      <c r="V373" s="39"/>
      <c r="W373" s="39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pans="1:36" ht="11.25" customHeight="1" x14ac:dyDescent="0.2">
      <c r="A374" s="35" t="s">
        <v>21</v>
      </c>
      <c r="B374" s="35" t="s">
        <v>39</v>
      </c>
      <c r="C374" s="35" t="s">
        <v>41</v>
      </c>
      <c r="D374" s="35" t="s">
        <v>38</v>
      </c>
      <c r="E374" s="35" t="s">
        <v>25</v>
      </c>
      <c r="F374" s="35" t="s">
        <v>25</v>
      </c>
      <c r="G374" s="35" t="s">
        <v>25</v>
      </c>
      <c r="H374" s="35" t="s">
        <v>35</v>
      </c>
      <c r="I374" s="55">
        <v>44713</v>
      </c>
      <c r="J374" s="56">
        <f>EFEITO!$J$374*EFEITO!$Y$374</f>
        <v>0</v>
      </c>
      <c r="K374" s="56">
        <f ca="1">EFEITO!$L$374*EFEITO!$Z$374</f>
        <v>84659.159579805186</v>
      </c>
      <c r="L374" s="56">
        <f>EFEITO!$N$374*EFEITO!$AA$374</f>
        <v>0</v>
      </c>
      <c r="M374" s="56">
        <f>$J$374-EFEITO!$K$374*EFEITO!$Y$374</f>
        <v>0</v>
      </c>
      <c r="N374" s="56">
        <f ca="1">$K$374-EFEITO!$M$374*EFEITO!$Z$374</f>
        <v>0</v>
      </c>
      <c r="O374" s="56">
        <f>$L$374-EFEITO!$O$374*EFEITO!$AA$374</f>
        <v>0</v>
      </c>
      <c r="P374" s="39"/>
      <c r="Q374" s="39"/>
      <c r="R374" s="39"/>
      <c r="S374" s="39"/>
      <c r="T374" s="39"/>
      <c r="U374" s="39"/>
      <c r="V374" s="39"/>
      <c r="W374" s="39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spans="1:36" ht="11.25" customHeight="1" x14ac:dyDescent="0.2">
      <c r="A375" s="35" t="s">
        <v>21</v>
      </c>
      <c r="B375" s="35" t="s">
        <v>39</v>
      </c>
      <c r="C375" s="35" t="s">
        <v>41</v>
      </c>
      <c r="D375" s="35" t="s">
        <v>38</v>
      </c>
      <c r="E375" s="35" t="s">
        <v>25</v>
      </c>
      <c r="F375" s="35" t="s">
        <v>25</v>
      </c>
      <c r="G375" s="35" t="s">
        <v>25</v>
      </c>
      <c r="H375" s="35" t="s">
        <v>35</v>
      </c>
      <c r="I375" s="55">
        <v>44743</v>
      </c>
      <c r="J375" s="56">
        <f>EFEITO!$J$375*EFEITO!$Y$375</f>
        <v>0</v>
      </c>
      <c r="K375" s="56">
        <f ca="1">EFEITO!$L$375*EFEITO!$Z$375</f>
        <v>220144.91189236788</v>
      </c>
      <c r="L375" s="56">
        <f>EFEITO!$N$375*EFEITO!$AA$375</f>
        <v>539240.03228444746</v>
      </c>
      <c r="M375" s="56">
        <f>$J$375-EFEITO!$K$375*EFEITO!$Y$375</f>
        <v>0</v>
      </c>
      <c r="N375" s="56">
        <f ca="1">$K$375-EFEITO!$M$375*EFEITO!$Z$375</f>
        <v>0</v>
      </c>
      <c r="O375" s="56">
        <f>$L$375-EFEITO!$O$375*EFEITO!$AA$375</f>
        <v>0</v>
      </c>
      <c r="P375" s="39"/>
      <c r="Q375" s="39"/>
      <c r="R375" s="39"/>
      <c r="S375" s="39"/>
      <c r="T375" s="39"/>
      <c r="U375" s="39"/>
      <c r="V375" s="39"/>
      <c r="W375" s="39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pans="1:36" ht="11.25" customHeight="1" x14ac:dyDescent="0.2">
      <c r="A376" s="35" t="s">
        <v>21</v>
      </c>
      <c r="B376" s="35" t="s">
        <v>39</v>
      </c>
      <c r="C376" s="35" t="s">
        <v>41</v>
      </c>
      <c r="D376" s="35" t="s">
        <v>38</v>
      </c>
      <c r="E376" s="35" t="s">
        <v>25</v>
      </c>
      <c r="F376" s="35" t="s">
        <v>25</v>
      </c>
      <c r="G376" s="35" t="s">
        <v>25</v>
      </c>
      <c r="H376" s="35" t="s">
        <v>35</v>
      </c>
      <c r="I376" s="55">
        <v>44743</v>
      </c>
      <c r="J376" s="56">
        <f>EFEITO!$J$376*EFEITO!$Y$376</f>
        <v>0</v>
      </c>
      <c r="K376" s="56">
        <f ca="1">EFEITO!$L$376*EFEITO!$Z$376</f>
        <v>55534.133938687228</v>
      </c>
      <c r="L376" s="56">
        <f>EFEITO!$N$376*EFEITO!$AA$376</f>
        <v>0</v>
      </c>
      <c r="M376" s="56">
        <f>$J$376-EFEITO!$K$376*EFEITO!$Y$376</f>
        <v>0</v>
      </c>
      <c r="N376" s="56">
        <f ca="1">$K$376-EFEITO!$M$376*EFEITO!$Z$376</f>
        <v>0</v>
      </c>
      <c r="O376" s="56">
        <f>$L$376-EFEITO!$O$376*EFEITO!$AA$376</f>
        <v>0</v>
      </c>
      <c r="P376" s="39"/>
      <c r="Q376" s="39"/>
      <c r="R376" s="39"/>
      <c r="S376" s="39"/>
      <c r="T376" s="39"/>
      <c r="U376" s="39"/>
      <c r="V376" s="39"/>
      <c r="W376" s="39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spans="1:36" ht="11.25" customHeight="1" x14ac:dyDescent="0.2">
      <c r="A377" s="35" t="s">
        <v>21</v>
      </c>
      <c r="B377" s="35" t="s">
        <v>39</v>
      </c>
      <c r="C377" s="35" t="s">
        <v>41</v>
      </c>
      <c r="D377" s="35" t="s">
        <v>38</v>
      </c>
      <c r="E377" s="35" t="s">
        <v>25</v>
      </c>
      <c r="F377" s="35" t="s">
        <v>25</v>
      </c>
      <c r="G377" s="35" t="s">
        <v>25</v>
      </c>
      <c r="H377" s="35" t="s">
        <v>35</v>
      </c>
      <c r="I377" s="55">
        <v>44774</v>
      </c>
      <c r="J377" s="56">
        <f>EFEITO!$J$377*EFEITO!$Y$377</f>
        <v>0</v>
      </c>
      <c r="K377" s="56">
        <f ca="1">EFEITO!$L$377*EFEITO!$Z$377</f>
        <v>236826.99080490705</v>
      </c>
      <c r="L377" s="56">
        <f>EFEITO!$N$377*EFEITO!$AA$377</f>
        <v>580102.4110423422</v>
      </c>
      <c r="M377" s="56">
        <f>$J$377-EFEITO!$K$377*EFEITO!$Y$377</f>
        <v>0</v>
      </c>
      <c r="N377" s="56">
        <f ca="1">$K$377-EFEITO!$M$377*EFEITO!$Z$377</f>
        <v>0</v>
      </c>
      <c r="O377" s="56">
        <f>$L$377-EFEITO!$O$377*EFEITO!$AA$377</f>
        <v>0</v>
      </c>
      <c r="P377" s="39"/>
      <c r="Q377" s="39"/>
      <c r="R377" s="39"/>
      <c r="S377" s="39"/>
      <c r="T377" s="39"/>
      <c r="U377" s="39"/>
      <c r="V377" s="39"/>
      <c r="W377" s="39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pans="1:36" ht="11.25" customHeight="1" x14ac:dyDescent="0.2">
      <c r="A378" s="35" t="s">
        <v>27</v>
      </c>
      <c r="B378" s="35" t="s">
        <v>39</v>
      </c>
      <c r="C378" s="35" t="s">
        <v>41</v>
      </c>
      <c r="D378" s="35" t="s">
        <v>38</v>
      </c>
      <c r="E378" s="35" t="s">
        <v>25</v>
      </c>
      <c r="F378" s="35" t="s">
        <v>25</v>
      </c>
      <c r="G378" s="35" t="s">
        <v>25</v>
      </c>
      <c r="H378" s="35" t="s">
        <v>35</v>
      </c>
      <c r="I378" s="55">
        <v>44774</v>
      </c>
      <c r="J378" s="56">
        <f>EFEITO!$J$378*EFEITO!$Y$378</f>
        <v>0</v>
      </c>
      <c r="K378" s="56">
        <f ca="1">EFEITO!$L$378*EFEITO!$Z$378</f>
        <v>1174.625701246069</v>
      </c>
      <c r="L378" s="56">
        <f>EFEITO!$N$378*EFEITO!$AA$378</f>
        <v>2877.2193534582034</v>
      </c>
      <c r="M378" s="56">
        <f>$J$378-EFEITO!$K$378*EFEITO!$Y$378</f>
        <v>0</v>
      </c>
      <c r="N378" s="56">
        <f ca="1">$K$378-EFEITO!$M$378*EFEITO!$Z$378</f>
        <v>0</v>
      </c>
      <c r="O378" s="56">
        <f>$L$378-EFEITO!$O$378*EFEITO!$AA$378</f>
        <v>0</v>
      </c>
      <c r="P378" s="39"/>
      <c r="Q378" s="39"/>
      <c r="R378" s="39"/>
      <c r="S378" s="39"/>
      <c r="T378" s="39"/>
      <c r="U378" s="39"/>
      <c r="V378" s="39"/>
      <c r="W378" s="39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spans="1:36" ht="11.25" customHeight="1" x14ac:dyDescent="0.2">
      <c r="A379" s="35" t="s">
        <v>28</v>
      </c>
      <c r="B379" s="35" t="s">
        <v>39</v>
      </c>
      <c r="C379" s="35" t="s">
        <v>41</v>
      </c>
      <c r="D379" s="35" t="s">
        <v>38</v>
      </c>
      <c r="E379" s="35" t="s">
        <v>25</v>
      </c>
      <c r="F379" s="35" t="s">
        <v>25</v>
      </c>
      <c r="G379" s="35" t="s">
        <v>25</v>
      </c>
      <c r="H379" s="35" t="s">
        <v>35</v>
      </c>
      <c r="I379" s="55">
        <v>44774</v>
      </c>
      <c r="J379" s="56">
        <f>EFEITO!$J$379*EFEITO!$Y$379</f>
        <v>0</v>
      </c>
      <c r="K379" s="56">
        <f ca="1">EFEITO!$L$379*EFEITO!$Z$379</f>
        <v>1999.9294200065642</v>
      </c>
      <c r="L379" s="56">
        <f>EFEITO!$N$379*EFEITO!$AA$379</f>
        <v>4898.7823326946673</v>
      </c>
      <c r="M379" s="56">
        <f>$J$379-EFEITO!$K$379*EFEITO!$Y$379</f>
        <v>0</v>
      </c>
      <c r="N379" s="56">
        <f ca="1">$K$379-EFEITO!$M$379*EFEITO!$Z$379</f>
        <v>0</v>
      </c>
      <c r="O379" s="56">
        <f>$L$379-EFEITO!$O$379*EFEITO!$AA$379</f>
        <v>0</v>
      </c>
      <c r="P379" s="39"/>
      <c r="Q379" s="39"/>
      <c r="R379" s="39"/>
      <c r="S379" s="39"/>
      <c r="T379" s="39"/>
      <c r="U379" s="39"/>
      <c r="V379" s="39"/>
      <c r="W379" s="39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spans="1:36" ht="11.25" customHeight="1" x14ac:dyDescent="0.2">
      <c r="A380" s="35" t="s">
        <v>21</v>
      </c>
      <c r="B380" s="35" t="s">
        <v>39</v>
      </c>
      <c r="C380" s="35" t="s">
        <v>41</v>
      </c>
      <c r="D380" s="35" t="s">
        <v>38</v>
      </c>
      <c r="E380" s="35" t="s">
        <v>25</v>
      </c>
      <c r="F380" s="35" t="s">
        <v>25</v>
      </c>
      <c r="G380" s="35" t="s">
        <v>25</v>
      </c>
      <c r="H380" s="35" t="s">
        <v>35</v>
      </c>
      <c r="I380" s="55">
        <v>44774</v>
      </c>
      <c r="J380" s="56">
        <f>EFEITO!$J$380*EFEITO!$Y$380</f>
        <v>0</v>
      </c>
      <c r="K380" s="56">
        <f ca="1">EFEITO!$L$380*EFEITO!$Z$380</f>
        <v>80725.745200796286</v>
      </c>
      <c r="L380" s="56">
        <f>EFEITO!$N$380*EFEITO!$AA$380</f>
        <v>0</v>
      </c>
      <c r="M380" s="56">
        <f>$J$380-EFEITO!$K$380*EFEITO!$Y$380</f>
        <v>0</v>
      </c>
      <c r="N380" s="56">
        <f ca="1">$K$380-EFEITO!$M$380*EFEITO!$Z$380</f>
        <v>0</v>
      </c>
      <c r="O380" s="56">
        <f>$L$380-EFEITO!$O$380*EFEITO!$AA$380</f>
        <v>0</v>
      </c>
      <c r="P380" s="39"/>
      <c r="Q380" s="39"/>
      <c r="R380" s="39"/>
      <c r="S380" s="39"/>
      <c r="T380" s="39"/>
      <c r="U380" s="39"/>
      <c r="V380" s="39"/>
      <c r="W380" s="39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spans="1:36" ht="11.25" customHeight="1" x14ac:dyDescent="0.2">
      <c r="A381" s="35" t="s">
        <v>21</v>
      </c>
      <c r="B381" s="35" t="s">
        <v>39</v>
      </c>
      <c r="C381" s="35" t="s">
        <v>41</v>
      </c>
      <c r="D381" s="35" t="s">
        <v>38</v>
      </c>
      <c r="E381" s="35" t="s">
        <v>25</v>
      </c>
      <c r="F381" s="35" t="s">
        <v>25</v>
      </c>
      <c r="G381" s="35" t="s">
        <v>25</v>
      </c>
      <c r="H381" s="35" t="s">
        <v>35</v>
      </c>
      <c r="I381" s="55">
        <v>44805</v>
      </c>
      <c r="J381" s="56">
        <f>EFEITO!$J$381*EFEITO!$Y$381</f>
        <v>0</v>
      </c>
      <c r="K381" s="56">
        <f ca="1">EFEITO!$L$381*EFEITO!$Z$381</f>
        <v>251592.3180142483</v>
      </c>
      <c r="L381" s="56">
        <f>EFEITO!$N$381*EFEITO!$AA$381</f>
        <v>616269.74942238326</v>
      </c>
      <c r="M381" s="56">
        <f>$J$381-EFEITO!$K$381*EFEITO!$Y$381</f>
        <v>0</v>
      </c>
      <c r="N381" s="56">
        <f ca="1">$K$381-EFEITO!$M$381*EFEITO!$Z$381</f>
        <v>0</v>
      </c>
      <c r="O381" s="56">
        <f>$L$381-EFEITO!$O$381*EFEITO!$AA$381</f>
        <v>0</v>
      </c>
      <c r="P381" s="39"/>
      <c r="Q381" s="39"/>
      <c r="R381" s="39"/>
      <c r="S381" s="39"/>
      <c r="T381" s="39"/>
      <c r="U381" s="39"/>
      <c r="V381" s="39"/>
      <c r="W381" s="39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spans="1:36" ht="11.25" customHeight="1" x14ac:dyDescent="0.2">
      <c r="A382" s="35" t="s">
        <v>28</v>
      </c>
      <c r="B382" s="35" t="s">
        <v>39</v>
      </c>
      <c r="C382" s="35" t="s">
        <v>41</v>
      </c>
      <c r="D382" s="35" t="s">
        <v>38</v>
      </c>
      <c r="E382" s="35" t="s">
        <v>25</v>
      </c>
      <c r="F382" s="35" t="s">
        <v>25</v>
      </c>
      <c r="G382" s="35" t="s">
        <v>25</v>
      </c>
      <c r="H382" s="35" t="s">
        <v>35</v>
      </c>
      <c r="I382" s="55">
        <v>44805</v>
      </c>
      <c r="J382" s="56">
        <f>EFEITO!$J$382*EFEITO!$Y$382</f>
        <v>0</v>
      </c>
      <c r="K382" s="56">
        <f ca="1">EFEITO!$L$382*EFEITO!$Z$382</f>
        <v>1833.4518458359921</v>
      </c>
      <c r="L382" s="56">
        <f>EFEITO!$N$382*EFEITO!$AA$382</f>
        <v>4490.9992424624188</v>
      </c>
      <c r="M382" s="56">
        <f>$J$382-EFEITO!$K$382*EFEITO!$Y$382</f>
        <v>0</v>
      </c>
      <c r="N382" s="56">
        <f ca="1">$K$382-EFEITO!$M$382*EFEITO!$Z$382</f>
        <v>0</v>
      </c>
      <c r="O382" s="56">
        <f>$L$382-EFEITO!$O$382*EFEITO!$AA$382</f>
        <v>0</v>
      </c>
      <c r="P382" s="39"/>
      <c r="Q382" s="39"/>
      <c r="R382" s="39"/>
      <c r="S382" s="39"/>
      <c r="T382" s="39"/>
      <c r="U382" s="39"/>
      <c r="V382" s="39"/>
      <c r="W382" s="39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spans="1:36" ht="11.25" customHeight="1" x14ac:dyDescent="0.2">
      <c r="A383" s="35" t="s">
        <v>21</v>
      </c>
      <c r="B383" s="35" t="s">
        <v>39</v>
      </c>
      <c r="C383" s="35" t="s">
        <v>41</v>
      </c>
      <c r="D383" s="35" t="s">
        <v>38</v>
      </c>
      <c r="E383" s="35" t="s">
        <v>25</v>
      </c>
      <c r="F383" s="35" t="s">
        <v>25</v>
      </c>
      <c r="G383" s="35" t="s">
        <v>25</v>
      </c>
      <c r="H383" s="35" t="s">
        <v>35</v>
      </c>
      <c r="I383" s="55">
        <v>44805</v>
      </c>
      <c r="J383" s="56">
        <f>EFEITO!$J$383*EFEITO!$Y$383</f>
        <v>0</v>
      </c>
      <c r="K383" s="56">
        <f ca="1">EFEITO!$L$383*EFEITO!$Z$383</f>
        <v>81781.16172200533</v>
      </c>
      <c r="L383" s="56">
        <f>EFEITO!$N$383*EFEITO!$AA$383</f>
        <v>0</v>
      </c>
      <c r="M383" s="56">
        <f>$J$383-EFEITO!$K$383*EFEITO!$Y$383</f>
        <v>0</v>
      </c>
      <c r="N383" s="56">
        <f ca="1">$K$383-EFEITO!$M$383*EFEITO!$Z$383</f>
        <v>0</v>
      </c>
      <c r="O383" s="56">
        <f>$L$383-EFEITO!$O$383*EFEITO!$AA$383</f>
        <v>0</v>
      </c>
      <c r="P383" s="39"/>
      <c r="Q383" s="39"/>
      <c r="R383" s="39"/>
      <c r="S383" s="39"/>
      <c r="T383" s="39"/>
      <c r="U383" s="39"/>
      <c r="V383" s="39"/>
      <c r="W383" s="39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spans="1:36" ht="11.25" customHeight="1" x14ac:dyDescent="0.2">
      <c r="A384" s="35" t="s">
        <v>53</v>
      </c>
      <c r="B384" s="35" t="s">
        <v>39</v>
      </c>
      <c r="C384" s="35" t="s">
        <v>41</v>
      </c>
      <c r="D384" s="35" t="s">
        <v>38</v>
      </c>
      <c r="E384" s="35" t="s">
        <v>25</v>
      </c>
      <c r="F384" s="35" t="s">
        <v>25</v>
      </c>
      <c r="G384" s="35" t="s">
        <v>25</v>
      </c>
      <c r="H384" s="35" t="s">
        <v>35</v>
      </c>
      <c r="I384" s="55">
        <v>44835</v>
      </c>
      <c r="J384" s="56">
        <f>EFEITO!$J$384*EFEITO!$Y$384</f>
        <v>0</v>
      </c>
      <c r="K384" s="56">
        <f ca="1">EFEITO!$L$384*EFEITO!$Z$384</f>
        <v>251592.3180142483</v>
      </c>
      <c r="L384" s="56">
        <f>EFEITO!$N$384*EFEITO!$AA$384</f>
        <v>616269.74942238326</v>
      </c>
      <c r="M384" s="56">
        <f>$J$384-EFEITO!$K$384*EFEITO!$Y$384</f>
        <v>0</v>
      </c>
      <c r="N384" s="56">
        <f ca="1">$K$384-EFEITO!$M$384*EFEITO!$Z$384</f>
        <v>0</v>
      </c>
      <c r="O384" s="56">
        <f>$L$384-EFEITO!$O$384*EFEITO!$AA$384</f>
        <v>0</v>
      </c>
      <c r="P384" s="39"/>
      <c r="Q384" s="39"/>
      <c r="R384" s="39"/>
      <c r="S384" s="39"/>
      <c r="T384" s="39"/>
      <c r="U384" s="39"/>
      <c r="V384" s="39"/>
      <c r="W384" s="39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spans="1:36" ht="11.25" customHeight="1" x14ac:dyDescent="0.2">
      <c r="A385" s="35" t="s">
        <v>53</v>
      </c>
      <c r="B385" s="35" t="s">
        <v>39</v>
      </c>
      <c r="C385" s="35" t="s">
        <v>41</v>
      </c>
      <c r="D385" s="35" t="s">
        <v>38</v>
      </c>
      <c r="E385" s="35" t="s">
        <v>25</v>
      </c>
      <c r="F385" s="35" t="s">
        <v>25</v>
      </c>
      <c r="G385" s="35" t="s">
        <v>25</v>
      </c>
      <c r="H385" s="35" t="s">
        <v>35</v>
      </c>
      <c r="I385" s="55">
        <v>44835</v>
      </c>
      <c r="J385" s="56">
        <f>EFEITO!$J$385*EFEITO!$Y$385</f>
        <v>0</v>
      </c>
      <c r="K385" s="56">
        <f ca="1">EFEITO!$L$385*EFEITO!$Z$385</f>
        <v>1833.4518458359921</v>
      </c>
      <c r="L385" s="56">
        <f>EFEITO!$N$385*EFEITO!$AA$385</f>
        <v>4490.9992424624188</v>
      </c>
      <c r="M385" s="56">
        <f>$J$385-EFEITO!$K$385*EFEITO!$Y$385</f>
        <v>0</v>
      </c>
      <c r="N385" s="56">
        <f ca="1">$K$385-EFEITO!$M$385*EFEITO!$Z$385</f>
        <v>0</v>
      </c>
      <c r="O385" s="56">
        <f>$L$385-EFEITO!$O$385*EFEITO!$AA$385</f>
        <v>0</v>
      </c>
      <c r="P385" s="39"/>
      <c r="Q385" s="39"/>
      <c r="R385" s="39"/>
      <c r="S385" s="39"/>
      <c r="T385" s="39"/>
      <c r="U385" s="39"/>
      <c r="V385" s="39"/>
      <c r="W385" s="39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spans="1:36" ht="11.25" customHeight="1" x14ac:dyDescent="0.2">
      <c r="A386" s="35" t="s">
        <v>53</v>
      </c>
      <c r="B386" s="35" t="s">
        <v>39</v>
      </c>
      <c r="C386" s="35" t="s">
        <v>41</v>
      </c>
      <c r="D386" s="35" t="s">
        <v>38</v>
      </c>
      <c r="E386" s="35" t="s">
        <v>25</v>
      </c>
      <c r="F386" s="35" t="s">
        <v>25</v>
      </c>
      <c r="G386" s="35" t="s">
        <v>25</v>
      </c>
      <c r="H386" s="35" t="s">
        <v>35</v>
      </c>
      <c r="I386" s="55">
        <v>44835</v>
      </c>
      <c r="J386" s="56">
        <f>EFEITO!$J$386*EFEITO!$Y$386</f>
        <v>0</v>
      </c>
      <c r="K386" s="56">
        <f ca="1">EFEITO!$L$386*EFEITO!$Z$386</f>
        <v>81781.16172200533</v>
      </c>
      <c r="L386" s="56">
        <f>EFEITO!$N$386*EFEITO!$AA$386</f>
        <v>0</v>
      </c>
      <c r="M386" s="56">
        <f>$J$386-EFEITO!$K$386*EFEITO!$Y$386</f>
        <v>0</v>
      </c>
      <c r="N386" s="56">
        <f ca="1">$K$386-EFEITO!$M$386*EFEITO!$Z$386</f>
        <v>0</v>
      </c>
      <c r="O386" s="56">
        <f>$L$386-EFEITO!$O$386*EFEITO!$AA$386</f>
        <v>0</v>
      </c>
      <c r="P386" s="39"/>
      <c r="Q386" s="39"/>
      <c r="R386" s="39"/>
      <c r="S386" s="39"/>
      <c r="T386" s="39"/>
      <c r="U386" s="39"/>
      <c r="V386" s="39"/>
      <c r="W386" s="39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spans="1:36" ht="11.25" customHeight="1" x14ac:dyDescent="0.2">
      <c r="A387" s="35" t="s">
        <v>21</v>
      </c>
      <c r="B387" s="35" t="s">
        <v>39</v>
      </c>
      <c r="C387" s="35" t="s">
        <v>41</v>
      </c>
      <c r="D387" s="35" t="s">
        <v>38</v>
      </c>
      <c r="E387" s="35" t="s">
        <v>25</v>
      </c>
      <c r="F387" s="35" t="s">
        <v>25</v>
      </c>
      <c r="G387" s="35" t="s">
        <v>25</v>
      </c>
      <c r="H387" s="35" t="s">
        <v>25</v>
      </c>
      <c r="I387" s="55">
        <v>44501</v>
      </c>
      <c r="J387" s="56">
        <f ca="1">EFEITO!$J$387*EFEITO!$Y$387</f>
        <v>146071.50428762758</v>
      </c>
      <c r="K387" s="56">
        <f>EFEITO!$L$387*EFEITO!$Z$387</f>
        <v>0</v>
      </c>
      <c r="L387" s="56">
        <f>EFEITO!$N$387*EFEITO!$AA$387</f>
        <v>0</v>
      </c>
      <c r="M387" s="56">
        <f ca="1">$J$387-EFEITO!$K$387*EFEITO!$Y$387</f>
        <v>0</v>
      </c>
      <c r="N387" s="56">
        <f>$K$387-EFEITO!$M$387*EFEITO!$Z$387</f>
        <v>0</v>
      </c>
      <c r="O387" s="56">
        <f>$L$387-EFEITO!$O$387*EFEITO!$AA$387</f>
        <v>0</v>
      </c>
      <c r="P387" s="39"/>
      <c r="Q387" s="39"/>
      <c r="R387" s="39"/>
      <c r="S387" s="39"/>
      <c r="T387" s="39"/>
      <c r="U387" s="39"/>
      <c r="V387" s="39"/>
      <c r="W387" s="39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spans="1:36" ht="11.25" customHeight="1" x14ac:dyDescent="0.2">
      <c r="A388" s="35" t="s">
        <v>21</v>
      </c>
      <c r="B388" s="35" t="s">
        <v>39</v>
      </c>
      <c r="C388" s="35" t="s">
        <v>41</v>
      </c>
      <c r="D388" s="35" t="s">
        <v>38</v>
      </c>
      <c r="E388" s="35" t="s">
        <v>25</v>
      </c>
      <c r="F388" s="35" t="s">
        <v>25</v>
      </c>
      <c r="G388" s="35" t="s">
        <v>25</v>
      </c>
      <c r="H388" s="35" t="s">
        <v>25</v>
      </c>
      <c r="I388" s="55">
        <v>44501</v>
      </c>
      <c r="J388" s="56">
        <f ca="1">EFEITO!$J$388*EFEITO!$Y$388</f>
        <v>32071.907846663209</v>
      </c>
      <c r="K388" s="56">
        <f>EFEITO!$L$388*EFEITO!$Z$388</f>
        <v>0</v>
      </c>
      <c r="L388" s="56">
        <f>EFEITO!$N$388*EFEITO!$AA$388</f>
        <v>0</v>
      </c>
      <c r="M388" s="56">
        <f ca="1">$J$388-EFEITO!$K$388*EFEITO!$Y$388</f>
        <v>0</v>
      </c>
      <c r="N388" s="56">
        <f>$K$388-EFEITO!$M$388*EFEITO!$Z$388</f>
        <v>0</v>
      </c>
      <c r="O388" s="56">
        <f>$L$388-EFEITO!$O$388*EFEITO!$AA$388</f>
        <v>0</v>
      </c>
      <c r="P388" s="39"/>
      <c r="Q388" s="39"/>
      <c r="R388" s="39"/>
      <c r="S388" s="39"/>
      <c r="T388" s="39"/>
      <c r="U388" s="39"/>
      <c r="V388" s="39"/>
      <c r="W388" s="39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spans="1:36" ht="11.25" customHeight="1" x14ac:dyDescent="0.2">
      <c r="A389" s="35" t="s">
        <v>21</v>
      </c>
      <c r="B389" s="35" t="s">
        <v>39</v>
      </c>
      <c r="C389" s="35" t="s">
        <v>41</v>
      </c>
      <c r="D389" s="35" t="s">
        <v>38</v>
      </c>
      <c r="E389" s="35" t="s">
        <v>25</v>
      </c>
      <c r="F389" s="35" t="s">
        <v>25</v>
      </c>
      <c r="G389" s="35" t="s">
        <v>25</v>
      </c>
      <c r="H389" s="35" t="s">
        <v>25</v>
      </c>
      <c r="I389" s="55">
        <v>44531</v>
      </c>
      <c r="J389" s="56">
        <f ca="1">EFEITO!$J$389*EFEITO!$Y$389</f>
        <v>145349.88636107766</v>
      </c>
      <c r="K389" s="56">
        <f>EFEITO!$L$389*EFEITO!$Z$389</f>
        <v>0</v>
      </c>
      <c r="L389" s="56">
        <f>EFEITO!$N$389*EFEITO!$AA$389</f>
        <v>0</v>
      </c>
      <c r="M389" s="56">
        <f ca="1">$J$389-EFEITO!$K$389*EFEITO!$Y$389</f>
        <v>0</v>
      </c>
      <c r="N389" s="56">
        <f>$K$389-EFEITO!$M$389*EFEITO!$Z$389</f>
        <v>0</v>
      </c>
      <c r="O389" s="56">
        <f>$L$389-EFEITO!$O$389*EFEITO!$AA$389</f>
        <v>0</v>
      </c>
      <c r="P389" s="39"/>
      <c r="Q389" s="39"/>
      <c r="R389" s="39"/>
      <c r="S389" s="39"/>
      <c r="T389" s="39"/>
      <c r="U389" s="39"/>
      <c r="V389" s="39"/>
      <c r="W389" s="39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spans="1:36" ht="11.25" customHeight="1" x14ac:dyDescent="0.2">
      <c r="A390" s="35" t="s">
        <v>21</v>
      </c>
      <c r="B390" s="35" t="s">
        <v>39</v>
      </c>
      <c r="C390" s="35" t="s">
        <v>41</v>
      </c>
      <c r="D390" s="35" t="s">
        <v>38</v>
      </c>
      <c r="E390" s="35" t="s">
        <v>25</v>
      </c>
      <c r="F390" s="35" t="s">
        <v>25</v>
      </c>
      <c r="G390" s="35" t="s">
        <v>25</v>
      </c>
      <c r="H390" s="35" t="s">
        <v>25</v>
      </c>
      <c r="I390" s="55">
        <v>44531</v>
      </c>
      <c r="J390" s="56">
        <f ca="1">EFEITO!$J$390*EFEITO!$Y$390</f>
        <v>32071.907846663209</v>
      </c>
      <c r="K390" s="56">
        <f>EFEITO!$L$390*EFEITO!$Z$390</f>
        <v>0</v>
      </c>
      <c r="L390" s="56">
        <f>EFEITO!$N$390*EFEITO!$AA$390</f>
        <v>0</v>
      </c>
      <c r="M390" s="56">
        <f ca="1">$J$390-EFEITO!$K$390*EFEITO!$Y$390</f>
        <v>0</v>
      </c>
      <c r="N390" s="56">
        <f>$K$390-EFEITO!$M$390*EFEITO!$Z$390</f>
        <v>0</v>
      </c>
      <c r="O390" s="56">
        <f>$L$390-EFEITO!$O$390*EFEITO!$AA$390</f>
        <v>0</v>
      </c>
      <c r="P390" s="39"/>
      <c r="Q390" s="39"/>
      <c r="R390" s="39"/>
      <c r="S390" s="39"/>
      <c r="T390" s="39"/>
      <c r="U390" s="39"/>
      <c r="V390" s="39"/>
      <c r="W390" s="39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spans="1:36" ht="11.25" customHeight="1" x14ac:dyDescent="0.2">
      <c r="A391" s="35" t="s">
        <v>21</v>
      </c>
      <c r="B391" s="35" t="s">
        <v>39</v>
      </c>
      <c r="C391" s="35" t="s">
        <v>41</v>
      </c>
      <c r="D391" s="35" t="s">
        <v>38</v>
      </c>
      <c r="E391" s="35" t="s">
        <v>25</v>
      </c>
      <c r="F391" s="35" t="s">
        <v>25</v>
      </c>
      <c r="G391" s="35" t="s">
        <v>25</v>
      </c>
      <c r="H391" s="35" t="s">
        <v>25</v>
      </c>
      <c r="I391" s="55">
        <v>44562</v>
      </c>
      <c r="J391" s="56">
        <f ca="1">EFEITO!$J$391*EFEITO!$Y$391</f>
        <v>144291.51340213779</v>
      </c>
      <c r="K391" s="56">
        <f>EFEITO!$L$391*EFEITO!$Z$391</f>
        <v>0</v>
      </c>
      <c r="L391" s="56">
        <f>EFEITO!$N$391*EFEITO!$AA$391</f>
        <v>0</v>
      </c>
      <c r="M391" s="56">
        <f ca="1">$J$391-EFEITO!$K$391*EFEITO!$Y$391</f>
        <v>0</v>
      </c>
      <c r="N391" s="56">
        <f>$K$391-EFEITO!$M$391*EFEITO!$Z$391</f>
        <v>0</v>
      </c>
      <c r="O391" s="56">
        <f>$L$391-EFEITO!$O$391*EFEITO!$AA$391</f>
        <v>0</v>
      </c>
      <c r="P391" s="39"/>
      <c r="Q391" s="39"/>
      <c r="R391" s="39"/>
      <c r="S391" s="39"/>
      <c r="T391" s="39"/>
      <c r="U391" s="39"/>
      <c r="V391" s="39"/>
      <c r="W391" s="39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spans="1:36" ht="11.25" customHeight="1" x14ac:dyDescent="0.2">
      <c r="A392" s="35" t="s">
        <v>21</v>
      </c>
      <c r="B392" s="35" t="s">
        <v>39</v>
      </c>
      <c r="C392" s="35" t="s">
        <v>41</v>
      </c>
      <c r="D392" s="35" t="s">
        <v>38</v>
      </c>
      <c r="E392" s="35" t="s">
        <v>25</v>
      </c>
      <c r="F392" s="35" t="s">
        <v>25</v>
      </c>
      <c r="G392" s="35" t="s">
        <v>25</v>
      </c>
      <c r="H392" s="35" t="s">
        <v>25</v>
      </c>
      <c r="I392" s="55">
        <v>44562</v>
      </c>
      <c r="J392" s="56">
        <f ca="1">EFEITO!$J$392*EFEITO!$Y$392</f>
        <v>32071.907846663209</v>
      </c>
      <c r="K392" s="56">
        <f>EFEITO!$L$392*EFEITO!$Z$392</f>
        <v>0</v>
      </c>
      <c r="L392" s="56">
        <f>EFEITO!$N$392*EFEITO!$AA$392</f>
        <v>0</v>
      </c>
      <c r="M392" s="56">
        <f ca="1">$J$392-EFEITO!$K$392*EFEITO!$Y$392</f>
        <v>0</v>
      </c>
      <c r="N392" s="56">
        <f>$K$392-EFEITO!$M$392*EFEITO!$Z$392</f>
        <v>0</v>
      </c>
      <c r="O392" s="56">
        <f>$L$392-EFEITO!$O$392*EFEITO!$AA$392</f>
        <v>0</v>
      </c>
      <c r="P392" s="39"/>
      <c r="Q392" s="39"/>
      <c r="R392" s="39"/>
      <c r="S392" s="39"/>
      <c r="T392" s="39"/>
      <c r="U392" s="39"/>
      <c r="V392" s="39"/>
      <c r="W392" s="39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spans="1:36" ht="11.25" customHeight="1" x14ac:dyDescent="0.2">
      <c r="A393" s="35" t="s">
        <v>21</v>
      </c>
      <c r="B393" s="35" t="s">
        <v>39</v>
      </c>
      <c r="C393" s="35" t="s">
        <v>41</v>
      </c>
      <c r="D393" s="35" t="s">
        <v>38</v>
      </c>
      <c r="E393" s="35" t="s">
        <v>25</v>
      </c>
      <c r="F393" s="35" t="s">
        <v>25</v>
      </c>
      <c r="G393" s="35" t="s">
        <v>25</v>
      </c>
      <c r="H393" s="35" t="s">
        <v>25</v>
      </c>
      <c r="I393" s="55">
        <v>44593</v>
      </c>
      <c r="J393" s="56">
        <f ca="1">EFEITO!$J$393*EFEITO!$Y$393</f>
        <v>134878.40844914212</v>
      </c>
      <c r="K393" s="56">
        <f>EFEITO!$L$393*EFEITO!$Z$393</f>
        <v>0</v>
      </c>
      <c r="L393" s="56">
        <f>EFEITO!$N$393*EFEITO!$AA$393</f>
        <v>0</v>
      </c>
      <c r="M393" s="56">
        <f ca="1">$J$393-EFEITO!$K$393*EFEITO!$Y$393</f>
        <v>0</v>
      </c>
      <c r="N393" s="56">
        <f>$K$393-EFEITO!$M$393*EFEITO!$Z$393</f>
        <v>0</v>
      </c>
      <c r="O393" s="56">
        <f>$L$393-EFEITO!$O$393*EFEITO!$AA$393</f>
        <v>0</v>
      </c>
      <c r="P393" s="39"/>
      <c r="Q393" s="39"/>
      <c r="R393" s="39"/>
      <c r="S393" s="39"/>
      <c r="T393" s="39"/>
      <c r="U393" s="39"/>
      <c r="V393" s="39"/>
      <c r="W393" s="39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pans="1:36" ht="11.25" customHeight="1" x14ac:dyDescent="0.2">
      <c r="A394" s="35" t="s">
        <v>28</v>
      </c>
      <c r="B394" s="35" t="s">
        <v>39</v>
      </c>
      <c r="C394" s="35" t="s">
        <v>41</v>
      </c>
      <c r="D394" s="35" t="s">
        <v>38</v>
      </c>
      <c r="E394" s="35" t="s">
        <v>25</v>
      </c>
      <c r="F394" s="35" t="s">
        <v>25</v>
      </c>
      <c r="G394" s="35" t="s">
        <v>25</v>
      </c>
      <c r="H394" s="35" t="s">
        <v>25</v>
      </c>
      <c r="I394" s="55">
        <v>44593</v>
      </c>
      <c r="J394" s="56">
        <f ca="1">EFEITO!$J$394*EFEITO!$Y$394</f>
        <v>2597.8245355797198</v>
      </c>
      <c r="K394" s="56">
        <f>EFEITO!$L$394*EFEITO!$Z$394</f>
        <v>0</v>
      </c>
      <c r="L394" s="56">
        <f>EFEITO!$N$394*EFEITO!$AA$394</f>
        <v>0</v>
      </c>
      <c r="M394" s="56">
        <f ca="1">$J$394-EFEITO!$K$394*EFEITO!$Y$394</f>
        <v>0</v>
      </c>
      <c r="N394" s="56">
        <f>$K$394-EFEITO!$M$394*EFEITO!$Z$394</f>
        <v>0</v>
      </c>
      <c r="O394" s="56">
        <f>$L$394-EFEITO!$O$394*EFEITO!$AA$394</f>
        <v>0</v>
      </c>
      <c r="P394" s="39"/>
      <c r="Q394" s="39"/>
      <c r="R394" s="39"/>
      <c r="S394" s="39"/>
      <c r="T394" s="39"/>
      <c r="U394" s="39"/>
      <c r="V394" s="39"/>
      <c r="W394" s="39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spans="1:36" ht="11.25" customHeight="1" x14ac:dyDescent="0.2">
      <c r="A395" s="35" t="s">
        <v>21</v>
      </c>
      <c r="B395" s="35" t="s">
        <v>39</v>
      </c>
      <c r="C395" s="35" t="s">
        <v>41</v>
      </c>
      <c r="D395" s="35" t="s">
        <v>38</v>
      </c>
      <c r="E395" s="35" t="s">
        <v>25</v>
      </c>
      <c r="F395" s="35" t="s">
        <v>25</v>
      </c>
      <c r="G395" s="35" t="s">
        <v>25</v>
      </c>
      <c r="H395" s="35" t="s">
        <v>25</v>
      </c>
      <c r="I395" s="55">
        <v>44593</v>
      </c>
      <c r="J395" s="56">
        <f ca="1">EFEITO!$J$395*EFEITO!$Y$395</f>
        <v>32071.907846663209</v>
      </c>
      <c r="K395" s="56">
        <f>EFEITO!$L$395*EFEITO!$Z$395</f>
        <v>0</v>
      </c>
      <c r="L395" s="56">
        <f>EFEITO!$N$395*EFEITO!$AA$395</f>
        <v>0</v>
      </c>
      <c r="M395" s="56">
        <f ca="1">$J$395-EFEITO!$K$395*EFEITO!$Y$395</f>
        <v>0</v>
      </c>
      <c r="N395" s="56">
        <f>$K$395-EFEITO!$M$395*EFEITO!$Z$395</f>
        <v>0</v>
      </c>
      <c r="O395" s="56">
        <f>$L$395-EFEITO!$O$395*EFEITO!$AA$395</f>
        <v>0</v>
      </c>
      <c r="P395" s="39"/>
      <c r="Q395" s="39"/>
      <c r="R395" s="39"/>
      <c r="S395" s="39"/>
      <c r="T395" s="39"/>
      <c r="U395" s="39"/>
      <c r="V395" s="39"/>
      <c r="W395" s="39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spans="1:36" ht="11.25" customHeight="1" x14ac:dyDescent="0.2">
      <c r="A396" s="35" t="s">
        <v>21</v>
      </c>
      <c r="B396" s="35" t="s">
        <v>39</v>
      </c>
      <c r="C396" s="35" t="s">
        <v>41</v>
      </c>
      <c r="D396" s="35" t="s">
        <v>38</v>
      </c>
      <c r="E396" s="35" t="s">
        <v>25</v>
      </c>
      <c r="F396" s="35" t="s">
        <v>25</v>
      </c>
      <c r="G396" s="35" t="s">
        <v>25</v>
      </c>
      <c r="H396" s="35" t="s">
        <v>25</v>
      </c>
      <c r="I396" s="55">
        <v>44621</v>
      </c>
      <c r="J396" s="56">
        <f ca="1">EFEITO!$J$396*EFEITO!$Y$396</f>
        <v>130516.62898199592</v>
      </c>
      <c r="K396" s="56">
        <f>EFEITO!$L$396*EFEITO!$Z$396</f>
        <v>0</v>
      </c>
      <c r="L396" s="56">
        <f>EFEITO!$N$396*EFEITO!$AA$396</f>
        <v>0</v>
      </c>
      <c r="M396" s="56">
        <f ca="1">$J$396-EFEITO!$K$396*EFEITO!$Y$396</f>
        <v>0</v>
      </c>
      <c r="N396" s="56">
        <f>$K$396-EFEITO!$M$396*EFEITO!$Z$396</f>
        <v>0</v>
      </c>
      <c r="O396" s="56">
        <f>$L$396-EFEITO!$O$396*EFEITO!$AA$396</f>
        <v>0</v>
      </c>
      <c r="P396" s="39"/>
      <c r="Q396" s="39"/>
      <c r="R396" s="39"/>
      <c r="S396" s="39"/>
      <c r="T396" s="39"/>
      <c r="U396" s="39"/>
      <c r="V396" s="39"/>
      <c r="W396" s="39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spans="1:36" ht="11.25" customHeight="1" x14ac:dyDescent="0.2">
      <c r="A397" s="35" t="s">
        <v>28</v>
      </c>
      <c r="B397" s="35" t="s">
        <v>39</v>
      </c>
      <c r="C397" s="35" t="s">
        <v>41</v>
      </c>
      <c r="D397" s="35" t="s">
        <v>38</v>
      </c>
      <c r="E397" s="35" t="s">
        <v>25</v>
      </c>
      <c r="F397" s="35" t="s">
        <v>25</v>
      </c>
      <c r="G397" s="35" t="s">
        <v>25</v>
      </c>
      <c r="H397" s="35" t="s">
        <v>25</v>
      </c>
      <c r="I397" s="55">
        <v>44621</v>
      </c>
      <c r="J397" s="56">
        <f ca="1">EFEITO!$J$397*EFEITO!$Y$397</f>
        <v>5259.7928868527661</v>
      </c>
      <c r="K397" s="56">
        <f>EFEITO!$L$397*EFEITO!$Z$397</f>
        <v>0</v>
      </c>
      <c r="L397" s="56">
        <f>EFEITO!$N$397*EFEITO!$AA$397</f>
        <v>0</v>
      </c>
      <c r="M397" s="56">
        <f ca="1">$J$397-EFEITO!$K$397*EFEITO!$Y$397</f>
        <v>0</v>
      </c>
      <c r="N397" s="56">
        <f>$K$397-EFEITO!$M$397*EFEITO!$Z$397</f>
        <v>0</v>
      </c>
      <c r="O397" s="56">
        <f>$L$397-EFEITO!$O$397*EFEITO!$AA$397</f>
        <v>0</v>
      </c>
      <c r="P397" s="39"/>
      <c r="Q397" s="39"/>
      <c r="R397" s="39"/>
      <c r="S397" s="39"/>
      <c r="T397" s="39"/>
      <c r="U397" s="39"/>
      <c r="V397" s="39"/>
      <c r="W397" s="39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spans="1:36" ht="11.25" customHeight="1" x14ac:dyDescent="0.2">
      <c r="A398" s="35" t="s">
        <v>21</v>
      </c>
      <c r="B398" s="35" t="s">
        <v>39</v>
      </c>
      <c r="C398" s="35" t="s">
        <v>41</v>
      </c>
      <c r="D398" s="35" t="s">
        <v>38</v>
      </c>
      <c r="E398" s="35" t="s">
        <v>25</v>
      </c>
      <c r="F398" s="35" t="s">
        <v>25</v>
      </c>
      <c r="G398" s="35" t="s">
        <v>25</v>
      </c>
      <c r="H398" s="35" t="s">
        <v>25</v>
      </c>
      <c r="I398" s="55">
        <v>44621</v>
      </c>
      <c r="J398" s="56">
        <f ca="1">EFEITO!$J$398*EFEITO!$Y$398</f>
        <v>32071.907846663209</v>
      </c>
      <c r="K398" s="56">
        <f>EFEITO!$L$398*EFEITO!$Z$398</f>
        <v>0</v>
      </c>
      <c r="L398" s="56">
        <f>EFEITO!$N$398*EFEITO!$AA$398</f>
        <v>0</v>
      </c>
      <c r="M398" s="56">
        <f ca="1">$J$398-EFEITO!$K$398*EFEITO!$Y$398</f>
        <v>0</v>
      </c>
      <c r="N398" s="56">
        <f>$K$398-EFEITO!$M$398*EFEITO!$Z$398</f>
        <v>0</v>
      </c>
      <c r="O398" s="56">
        <f>$L$398-EFEITO!$O$398*EFEITO!$AA$398</f>
        <v>0</v>
      </c>
      <c r="P398" s="39"/>
      <c r="Q398" s="39"/>
      <c r="R398" s="39"/>
      <c r="S398" s="39"/>
      <c r="T398" s="39"/>
      <c r="U398" s="39"/>
      <c r="V398" s="39"/>
      <c r="W398" s="39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spans="1:36" ht="11.25" customHeight="1" x14ac:dyDescent="0.2">
      <c r="A399" s="35" t="s">
        <v>21</v>
      </c>
      <c r="B399" s="35" t="s">
        <v>39</v>
      </c>
      <c r="C399" s="35" t="s">
        <v>41</v>
      </c>
      <c r="D399" s="35" t="s">
        <v>38</v>
      </c>
      <c r="E399" s="35" t="s">
        <v>25</v>
      </c>
      <c r="F399" s="35" t="s">
        <v>25</v>
      </c>
      <c r="G399" s="35" t="s">
        <v>25</v>
      </c>
      <c r="H399" s="35" t="s">
        <v>25</v>
      </c>
      <c r="I399" s="55">
        <v>44652</v>
      </c>
      <c r="J399" s="56">
        <f ca="1">EFEITO!$J$399*EFEITO!$Y$399</f>
        <v>128816.81786612277</v>
      </c>
      <c r="K399" s="56">
        <f>EFEITO!$L$399*EFEITO!$Z$399</f>
        <v>0</v>
      </c>
      <c r="L399" s="56">
        <f>EFEITO!$N$399*EFEITO!$AA$399</f>
        <v>0</v>
      </c>
      <c r="M399" s="56">
        <f ca="1">$J$399-EFEITO!$K$399*EFEITO!$Y$399</f>
        <v>0</v>
      </c>
      <c r="N399" s="56">
        <f>$K$399-EFEITO!$M$399*EFEITO!$Z$399</f>
        <v>0</v>
      </c>
      <c r="O399" s="56">
        <f>$L$399-EFEITO!$O$399*EFEITO!$AA$399</f>
        <v>0</v>
      </c>
      <c r="P399" s="39"/>
      <c r="Q399" s="39"/>
      <c r="R399" s="39"/>
      <c r="S399" s="39"/>
      <c r="T399" s="39"/>
      <c r="U399" s="39"/>
      <c r="V399" s="39"/>
      <c r="W399" s="39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spans="1:36" ht="11.25" customHeight="1" x14ac:dyDescent="0.2">
      <c r="A400" s="35" t="s">
        <v>28</v>
      </c>
      <c r="B400" s="35" t="s">
        <v>39</v>
      </c>
      <c r="C400" s="35" t="s">
        <v>41</v>
      </c>
      <c r="D400" s="35" t="s">
        <v>38</v>
      </c>
      <c r="E400" s="35" t="s">
        <v>25</v>
      </c>
      <c r="F400" s="35" t="s">
        <v>25</v>
      </c>
      <c r="G400" s="35" t="s">
        <v>25</v>
      </c>
      <c r="H400" s="35" t="s">
        <v>25</v>
      </c>
      <c r="I400" s="55">
        <v>44652</v>
      </c>
      <c r="J400" s="56">
        <f ca="1">EFEITO!$J$400*EFEITO!$Y$400</f>
        <v>7376.5388047325378</v>
      </c>
      <c r="K400" s="56">
        <f>EFEITO!$L$400*EFEITO!$Z$400</f>
        <v>0</v>
      </c>
      <c r="L400" s="56">
        <f>EFEITO!$N$400*EFEITO!$AA$400</f>
        <v>0</v>
      </c>
      <c r="M400" s="56">
        <f ca="1">$J$400-EFEITO!$K$400*EFEITO!$Y$400</f>
        <v>0</v>
      </c>
      <c r="N400" s="56">
        <f>$K$400-EFEITO!$M$400*EFEITO!$Z$400</f>
        <v>0</v>
      </c>
      <c r="O400" s="56">
        <f>$L$400-EFEITO!$O$400*EFEITO!$AA$400</f>
        <v>0</v>
      </c>
      <c r="P400" s="39"/>
      <c r="Q400" s="39"/>
      <c r="R400" s="39"/>
      <c r="S400" s="39"/>
      <c r="T400" s="39"/>
      <c r="U400" s="39"/>
      <c r="V400" s="39"/>
      <c r="W400" s="39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spans="1:36" ht="11.25" customHeight="1" x14ac:dyDescent="0.2">
      <c r="A401" s="35" t="s">
        <v>21</v>
      </c>
      <c r="B401" s="35" t="s">
        <v>39</v>
      </c>
      <c r="C401" s="35" t="s">
        <v>41</v>
      </c>
      <c r="D401" s="35" t="s">
        <v>38</v>
      </c>
      <c r="E401" s="35" t="s">
        <v>25</v>
      </c>
      <c r="F401" s="35" t="s">
        <v>25</v>
      </c>
      <c r="G401" s="35" t="s">
        <v>25</v>
      </c>
      <c r="H401" s="35" t="s">
        <v>25</v>
      </c>
      <c r="I401" s="55">
        <v>44652</v>
      </c>
      <c r="J401" s="56">
        <f ca="1">EFEITO!$J$401*EFEITO!$Y$401</f>
        <v>35760.177249029475</v>
      </c>
      <c r="K401" s="56">
        <f>EFEITO!$L$401*EFEITO!$Z$401</f>
        <v>0</v>
      </c>
      <c r="L401" s="56">
        <f>EFEITO!$N$401*EFEITO!$AA$401</f>
        <v>0</v>
      </c>
      <c r="M401" s="56">
        <f ca="1">$J$401-EFEITO!$K$401*EFEITO!$Y$401</f>
        <v>0</v>
      </c>
      <c r="N401" s="56">
        <f>$K$401-EFEITO!$M$401*EFEITO!$Z$401</f>
        <v>0</v>
      </c>
      <c r="O401" s="56">
        <f>$L$401-EFEITO!$O$401*EFEITO!$AA$401</f>
        <v>0</v>
      </c>
      <c r="P401" s="39"/>
      <c r="Q401" s="39"/>
      <c r="R401" s="39"/>
      <c r="S401" s="39"/>
      <c r="T401" s="39"/>
      <c r="U401" s="39"/>
      <c r="V401" s="39"/>
      <c r="W401" s="39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spans="1:36" ht="11.25" customHeight="1" x14ac:dyDescent="0.2">
      <c r="A402" s="35" t="s">
        <v>21</v>
      </c>
      <c r="B402" s="35" t="s">
        <v>39</v>
      </c>
      <c r="C402" s="35" t="s">
        <v>41</v>
      </c>
      <c r="D402" s="35" t="s">
        <v>38</v>
      </c>
      <c r="E402" s="35" t="s">
        <v>25</v>
      </c>
      <c r="F402" s="35" t="s">
        <v>25</v>
      </c>
      <c r="G402" s="35" t="s">
        <v>25</v>
      </c>
      <c r="H402" s="35" t="s">
        <v>25</v>
      </c>
      <c r="I402" s="55">
        <v>44682</v>
      </c>
      <c r="J402" s="56">
        <f ca="1">EFEITO!$J$402*EFEITO!$Y$402</f>
        <v>128512.13474157947</v>
      </c>
      <c r="K402" s="56">
        <f>EFEITO!$L$402*EFEITO!$Z$402</f>
        <v>0</v>
      </c>
      <c r="L402" s="56">
        <f>EFEITO!$N$402*EFEITO!$AA$402</f>
        <v>0</v>
      </c>
      <c r="M402" s="56">
        <f ca="1">$J$402-EFEITO!$K$402*EFEITO!$Y$402</f>
        <v>0</v>
      </c>
      <c r="N402" s="56">
        <f>$K$402-EFEITO!$M$402*EFEITO!$Z$402</f>
        <v>0</v>
      </c>
      <c r="O402" s="56">
        <f>$L$402-EFEITO!$O$402*EFEITO!$AA$402</f>
        <v>0</v>
      </c>
      <c r="P402" s="39"/>
      <c r="Q402" s="39"/>
      <c r="R402" s="39"/>
      <c r="S402" s="39"/>
      <c r="T402" s="39"/>
      <c r="U402" s="39"/>
      <c r="V402" s="39"/>
      <c r="W402" s="39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spans="1:36" ht="11.25" customHeight="1" x14ac:dyDescent="0.2">
      <c r="A403" s="35" t="s">
        <v>28</v>
      </c>
      <c r="B403" s="35" t="s">
        <v>39</v>
      </c>
      <c r="C403" s="35" t="s">
        <v>41</v>
      </c>
      <c r="D403" s="35" t="s">
        <v>38</v>
      </c>
      <c r="E403" s="35" t="s">
        <v>25</v>
      </c>
      <c r="F403" s="35" t="s">
        <v>25</v>
      </c>
      <c r="G403" s="35" t="s">
        <v>25</v>
      </c>
      <c r="H403" s="35" t="s">
        <v>25</v>
      </c>
      <c r="I403" s="55">
        <v>44682</v>
      </c>
      <c r="J403" s="56">
        <f ca="1">EFEITO!$J$403*EFEITO!$Y$403</f>
        <v>7376.5388047325378</v>
      </c>
      <c r="K403" s="56">
        <f>EFEITO!$L$403*EFEITO!$Z$403</f>
        <v>0</v>
      </c>
      <c r="L403" s="56">
        <f>EFEITO!$N$403*EFEITO!$AA$403</f>
        <v>0</v>
      </c>
      <c r="M403" s="56">
        <f ca="1">$J$403-EFEITO!$K$403*EFEITO!$Y$403</f>
        <v>0</v>
      </c>
      <c r="N403" s="56">
        <f>$K$403-EFEITO!$M$403*EFEITO!$Z$403</f>
        <v>0</v>
      </c>
      <c r="O403" s="56">
        <f>$L$403-EFEITO!$O$403*EFEITO!$AA$403</f>
        <v>0</v>
      </c>
      <c r="P403" s="39"/>
      <c r="Q403" s="39"/>
      <c r="R403" s="39"/>
      <c r="S403" s="39"/>
      <c r="T403" s="39"/>
      <c r="U403" s="39"/>
      <c r="V403" s="39"/>
      <c r="W403" s="39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spans="1:36" ht="11.25" customHeight="1" x14ac:dyDescent="0.2">
      <c r="A404" s="35" t="s">
        <v>21</v>
      </c>
      <c r="B404" s="35" t="s">
        <v>39</v>
      </c>
      <c r="C404" s="35" t="s">
        <v>41</v>
      </c>
      <c r="D404" s="35" t="s">
        <v>38</v>
      </c>
      <c r="E404" s="35" t="s">
        <v>25</v>
      </c>
      <c r="F404" s="35" t="s">
        <v>25</v>
      </c>
      <c r="G404" s="35" t="s">
        <v>25</v>
      </c>
      <c r="H404" s="35" t="s">
        <v>25</v>
      </c>
      <c r="I404" s="55">
        <v>44682</v>
      </c>
      <c r="J404" s="56">
        <f ca="1">EFEITO!$J$404*EFEITO!$Y$404</f>
        <v>35760.177249029475</v>
      </c>
      <c r="K404" s="56">
        <f>EFEITO!$L$404*EFEITO!$Z$404</f>
        <v>0</v>
      </c>
      <c r="L404" s="56">
        <f>EFEITO!$N$404*EFEITO!$AA$404</f>
        <v>0</v>
      </c>
      <c r="M404" s="56">
        <f ca="1">$J$404-EFEITO!$K$404*EFEITO!$Y$404</f>
        <v>0</v>
      </c>
      <c r="N404" s="56">
        <f>$K$404-EFEITO!$M$404*EFEITO!$Z$404</f>
        <v>0</v>
      </c>
      <c r="O404" s="56">
        <f>$L$404-EFEITO!$O$404*EFEITO!$AA$404</f>
        <v>0</v>
      </c>
      <c r="P404" s="39"/>
      <c r="Q404" s="39"/>
      <c r="R404" s="39"/>
      <c r="S404" s="39"/>
      <c r="T404" s="39"/>
      <c r="U404" s="39"/>
      <c r="V404" s="39"/>
      <c r="W404" s="39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spans="1:36" ht="11.25" customHeight="1" x14ac:dyDescent="0.2">
      <c r="A405" s="35" t="s">
        <v>21</v>
      </c>
      <c r="B405" s="35" t="s">
        <v>39</v>
      </c>
      <c r="C405" s="35" t="s">
        <v>41</v>
      </c>
      <c r="D405" s="35" t="s">
        <v>38</v>
      </c>
      <c r="E405" s="35" t="s">
        <v>25</v>
      </c>
      <c r="F405" s="35" t="s">
        <v>25</v>
      </c>
      <c r="G405" s="35" t="s">
        <v>25</v>
      </c>
      <c r="H405" s="35" t="s">
        <v>25</v>
      </c>
      <c r="I405" s="55">
        <v>44713</v>
      </c>
      <c r="J405" s="56">
        <f ca="1">EFEITO!$J$405*EFEITO!$Y$405</f>
        <v>128191.41566311284</v>
      </c>
      <c r="K405" s="56">
        <f>EFEITO!$L$405*EFEITO!$Z$405</f>
        <v>0</v>
      </c>
      <c r="L405" s="56">
        <f>EFEITO!$N$405*EFEITO!$AA$405</f>
        <v>0</v>
      </c>
      <c r="M405" s="56">
        <f ca="1">$J$405-EFEITO!$K$405*EFEITO!$Y$405</f>
        <v>0</v>
      </c>
      <c r="N405" s="56">
        <f>$K$405-EFEITO!$M$405*EFEITO!$Z$405</f>
        <v>0</v>
      </c>
      <c r="O405" s="56">
        <f>$L$405-EFEITO!$O$405*EFEITO!$AA$405</f>
        <v>0</v>
      </c>
      <c r="P405" s="39"/>
      <c r="Q405" s="39"/>
      <c r="R405" s="39"/>
      <c r="S405" s="39"/>
      <c r="T405" s="39"/>
      <c r="U405" s="39"/>
      <c r="V405" s="39"/>
      <c r="W405" s="39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spans="1:36" ht="11.25" customHeight="1" x14ac:dyDescent="0.2">
      <c r="A406" s="35" t="s">
        <v>28</v>
      </c>
      <c r="B406" s="35" t="s">
        <v>39</v>
      </c>
      <c r="C406" s="35" t="s">
        <v>41</v>
      </c>
      <c r="D406" s="35" t="s">
        <v>38</v>
      </c>
      <c r="E406" s="35" t="s">
        <v>25</v>
      </c>
      <c r="F406" s="35" t="s">
        <v>25</v>
      </c>
      <c r="G406" s="35" t="s">
        <v>25</v>
      </c>
      <c r="H406" s="35" t="s">
        <v>25</v>
      </c>
      <c r="I406" s="55">
        <v>44713</v>
      </c>
      <c r="J406" s="56">
        <f ca="1">EFEITO!$J$406*EFEITO!$Y$406</f>
        <v>7376.5388047325378</v>
      </c>
      <c r="K406" s="56">
        <f>EFEITO!$L$406*EFEITO!$Z$406</f>
        <v>0</v>
      </c>
      <c r="L406" s="56">
        <f>EFEITO!$N$406*EFEITO!$AA$406</f>
        <v>0</v>
      </c>
      <c r="M406" s="56">
        <f ca="1">$J$406-EFEITO!$K$406*EFEITO!$Y$406</f>
        <v>0</v>
      </c>
      <c r="N406" s="56">
        <f>$K$406-EFEITO!$M$406*EFEITO!$Z$406</f>
        <v>0</v>
      </c>
      <c r="O406" s="56">
        <f>$L$406-EFEITO!$O$406*EFEITO!$AA$406</f>
        <v>0</v>
      </c>
      <c r="P406" s="39"/>
      <c r="Q406" s="39"/>
      <c r="R406" s="39"/>
      <c r="S406" s="39"/>
      <c r="T406" s="39"/>
      <c r="U406" s="39"/>
      <c r="V406" s="39"/>
      <c r="W406" s="39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spans="1:36" ht="11.25" customHeight="1" x14ac:dyDescent="0.2">
      <c r="A407" s="35" t="s">
        <v>21</v>
      </c>
      <c r="B407" s="35" t="s">
        <v>39</v>
      </c>
      <c r="C407" s="35" t="s">
        <v>41</v>
      </c>
      <c r="D407" s="35" t="s">
        <v>38</v>
      </c>
      <c r="E407" s="35" t="s">
        <v>25</v>
      </c>
      <c r="F407" s="35" t="s">
        <v>25</v>
      </c>
      <c r="G407" s="35" t="s">
        <v>25</v>
      </c>
      <c r="H407" s="35" t="s">
        <v>25</v>
      </c>
      <c r="I407" s="55">
        <v>44713</v>
      </c>
      <c r="J407" s="56">
        <f ca="1">EFEITO!$J$407*EFEITO!$Y$407</f>
        <v>32071.907846663209</v>
      </c>
      <c r="K407" s="56">
        <f>EFEITO!$L$407*EFEITO!$Z$407</f>
        <v>0</v>
      </c>
      <c r="L407" s="56">
        <f>EFEITO!$N$407*EFEITO!$AA$407</f>
        <v>0</v>
      </c>
      <c r="M407" s="56">
        <f ca="1">$J$407-EFEITO!$K$407*EFEITO!$Y$407</f>
        <v>0</v>
      </c>
      <c r="N407" s="56">
        <f>$K$407-EFEITO!$M$407*EFEITO!$Z$407</f>
        <v>0</v>
      </c>
      <c r="O407" s="56">
        <f>$L$407-EFEITO!$O$407*EFEITO!$AA$407</f>
        <v>0</v>
      </c>
      <c r="P407" s="39"/>
      <c r="Q407" s="39"/>
      <c r="R407" s="39"/>
      <c r="S407" s="39"/>
      <c r="T407" s="39"/>
      <c r="U407" s="39"/>
      <c r="V407" s="39"/>
      <c r="W407" s="39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spans="1:36" ht="11.25" customHeight="1" x14ac:dyDescent="0.2">
      <c r="A408" s="35" t="s">
        <v>21</v>
      </c>
      <c r="B408" s="35" t="s">
        <v>39</v>
      </c>
      <c r="C408" s="35" t="s">
        <v>41</v>
      </c>
      <c r="D408" s="35" t="s">
        <v>38</v>
      </c>
      <c r="E408" s="35" t="s">
        <v>25</v>
      </c>
      <c r="F408" s="35" t="s">
        <v>25</v>
      </c>
      <c r="G408" s="35" t="s">
        <v>25</v>
      </c>
      <c r="H408" s="35" t="s">
        <v>25</v>
      </c>
      <c r="I408" s="55">
        <v>44743</v>
      </c>
      <c r="J408" s="56">
        <f ca="1">EFEITO!$J$408*EFEITO!$Y$408</f>
        <v>129923.29868683266</v>
      </c>
      <c r="K408" s="56">
        <f>EFEITO!$L$408*EFEITO!$Z$408</f>
        <v>0</v>
      </c>
      <c r="L408" s="56">
        <f>EFEITO!$N$408*EFEITO!$AA$408</f>
        <v>0</v>
      </c>
      <c r="M408" s="56">
        <f ca="1">$J$408-EFEITO!$K$408*EFEITO!$Y$408</f>
        <v>0</v>
      </c>
      <c r="N408" s="56">
        <f>$K$408-EFEITO!$M$408*EFEITO!$Z$408</f>
        <v>0</v>
      </c>
      <c r="O408" s="56">
        <f>$L$408-EFEITO!$O$408*EFEITO!$AA$408</f>
        <v>0</v>
      </c>
      <c r="P408" s="39"/>
      <c r="Q408" s="39"/>
      <c r="R408" s="39"/>
      <c r="S408" s="39"/>
      <c r="T408" s="39"/>
      <c r="U408" s="39"/>
      <c r="V408" s="39"/>
      <c r="W408" s="39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spans="1:36" ht="11.25" customHeight="1" x14ac:dyDescent="0.2">
      <c r="A409" s="35" t="s">
        <v>21</v>
      </c>
      <c r="B409" s="35" t="s">
        <v>39</v>
      </c>
      <c r="C409" s="35" t="s">
        <v>41</v>
      </c>
      <c r="D409" s="35" t="s">
        <v>38</v>
      </c>
      <c r="E409" s="35" t="s">
        <v>25</v>
      </c>
      <c r="F409" s="35" t="s">
        <v>25</v>
      </c>
      <c r="G409" s="35" t="s">
        <v>25</v>
      </c>
      <c r="H409" s="35" t="s">
        <v>25</v>
      </c>
      <c r="I409" s="55">
        <v>44743</v>
      </c>
      <c r="J409" s="56">
        <f ca="1">EFEITO!$J$409*EFEITO!$Y$409</f>
        <v>32071.907846663209</v>
      </c>
      <c r="K409" s="56">
        <f>EFEITO!$L$409*EFEITO!$Z$409</f>
        <v>0</v>
      </c>
      <c r="L409" s="56">
        <f>EFEITO!$N$409*EFEITO!$AA$409</f>
        <v>0</v>
      </c>
      <c r="M409" s="56">
        <f ca="1">$J$409-EFEITO!$K$409*EFEITO!$Y$409</f>
        <v>0</v>
      </c>
      <c r="N409" s="56">
        <f>$K$409-EFEITO!$M$409*EFEITO!$Z$409</f>
        <v>0</v>
      </c>
      <c r="O409" s="56">
        <f>$L$409-EFEITO!$O$409*EFEITO!$AA$409</f>
        <v>0</v>
      </c>
      <c r="P409" s="39"/>
      <c r="Q409" s="39"/>
      <c r="R409" s="39"/>
      <c r="S409" s="39"/>
      <c r="T409" s="39"/>
      <c r="U409" s="39"/>
      <c r="V409" s="39"/>
      <c r="W409" s="39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spans="1:36" ht="11.25" customHeight="1" x14ac:dyDescent="0.2">
      <c r="A410" s="35" t="s">
        <v>21</v>
      </c>
      <c r="B410" s="35" t="s">
        <v>39</v>
      </c>
      <c r="C410" s="35" t="s">
        <v>41</v>
      </c>
      <c r="D410" s="35" t="s">
        <v>38</v>
      </c>
      <c r="E410" s="35" t="s">
        <v>25</v>
      </c>
      <c r="F410" s="35" t="s">
        <v>25</v>
      </c>
      <c r="G410" s="35" t="s">
        <v>25</v>
      </c>
      <c r="H410" s="35" t="s">
        <v>25</v>
      </c>
      <c r="I410" s="55">
        <v>44774</v>
      </c>
      <c r="J410" s="56">
        <f ca="1">EFEITO!$J$410*EFEITO!$Y$410</f>
        <v>129490.3279309027</v>
      </c>
      <c r="K410" s="56">
        <f>EFEITO!$L$410*EFEITO!$Z$410</f>
        <v>0</v>
      </c>
      <c r="L410" s="56">
        <f>EFEITO!$N$410*EFEITO!$AA$410</f>
        <v>0</v>
      </c>
      <c r="M410" s="56">
        <f ca="1">$J$410-EFEITO!$K$410*EFEITO!$Y$410</f>
        <v>0</v>
      </c>
      <c r="N410" s="56">
        <f>$K$410-EFEITO!$M$410*EFEITO!$Z$410</f>
        <v>0</v>
      </c>
      <c r="O410" s="56">
        <f>$L$410-EFEITO!$O$410*EFEITO!$AA$410</f>
        <v>0</v>
      </c>
      <c r="P410" s="39"/>
      <c r="Q410" s="39"/>
      <c r="R410" s="39"/>
      <c r="S410" s="39"/>
      <c r="T410" s="39"/>
      <c r="U410" s="39"/>
      <c r="V410" s="39"/>
      <c r="W410" s="39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spans="1:36" ht="11.25" customHeight="1" x14ac:dyDescent="0.2">
      <c r="A411" s="35" t="s">
        <v>28</v>
      </c>
      <c r="B411" s="35" t="s">
        <v>39</v>
      </c>
      <c r="C411" s="35" t="s">
        <v>41</v>
      </c>
      <c r="D411" s="35" t="s">
        <v>38</v>
      </c>
      <c r="E411" s="35" t="s">
        <v>25</v>
      </c>
      <c r="F411" s="35" t="s">
        <v>25</v>
      </c>
      <c r="G411" s="35" t="s">
        <v>25</v>
      </c>
      <c r="H411" s="35" t="s">
        <v>25</v>
      </c>
      <c r="I411" s="55">
        <v>44774</v>
      </c>
      <c r="J411" s="56">
        <f ca="1">EFEITO!$J$411*EFEITO!$Y$411</f>
        <v>7745.3657449691646</v>
      </c>
      <c r="K411" s="56">
        <f>EFEITO!$L$411*EFEITO!$Z$411</f>
        <v>0</v>
      </c>
      <c r="L411" s="56">
        <f>EFEITO!$N$411*EFEITO!$AA$411</f>
        <v>0</v>
      </c>
      <c r="M411" s="56">
        <f ca="1">$J$411-EFEITO!$K$411*EFEITO!$Y$411</f>
        <v>0</v>
      </c>
      <c r="N411" s="56">
        <f>$K$411-EFEITO!$M$411*EFEITO!$Z$411</f>
        <v>0</v>
      </c>
      <c r="O411" s="56">
        <f>$L$411-EFEITO!$O$411*EFEITO!$AA$411</f>
        <v>0</v>
      </c>
      <c r="P411" s="39"/>
      <c r="Q411" s="39"/>
      <c r="R411" s="39"/>
      <c r="S411" s="39"/>
      <c r="T411" s="39"/>
      <c r="U411" s="39"/>
      <c r="V411" s="39"/>
      <c r="W411" s="39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spans="1:36" ht="11.25" customHeight="1" x14ac:dyDescent="0.2">
      <c r="A412" s="35" t="s">
        <v>21</v>
      </c>
      <c r="B412" s="35" t="s">
        <v>39</v>
      </c>
      <c r="C412" s="35" t="s">
        <v>41</v>
      </c>
      <c r="D412" s="35" t="s">
        <v>38</v>
      </c>
      <c r="E412" s="35" t="s">
        <v>25</v>
      </c>
      <c r="F412" s="35" t="s">
        <v>25</v>
      </c>
      <c r="G412" s="35" t="s">
        <v>25</v>
      </c>
      <c r="H412" s="35" t="s">
        <v>25</v>
      </c>
      <c r="I412" s="55">
        <v>44774</v>
      </c>
      <c r="J412" s="56">
        <f ca="1">EFEITO!$J$412*EFEITO!$Y$412</f>
        <v>32071.907846663209</v>
      </c>
      <c r="K412" s="56">
        <f>EFEITO!$L$412*EFEITO!$Z$412</f>
        <v>0</v>
      </c>
      <c r="L412" s="56">
        <f>EFEITO!$N$412*EFEITO!$AA$412</f>
        <v>0</v>
      </c>
      <c r="M412" s="56">
        <f ca="1">$J$412-EFEITO!$K$412*EFEITO!$Y$412</f>
        <v>0</v>
      </c>
      <c r="N412" s="56">
        <f>$K$412-EFEITO!$M$412*EFEITO!$Z$412</f>
        <v>0</v>
      </c>
      <c r="O412" s="56">
        <f>$L$412-EFEITO!$O$412*EFEITO!$AA$412</f>
        <v>0</v>
      </c>
      <c r="P412" s="39"/>
      <c r="Q412" s="39"/>
      <c r="R412" s="39"/>
      <c r="S412" s="39"/>
      <c r="T412" s="39"/>
      <c r="U412" s="39"/>
      <c r="V412" s="39"/>
      <c r="W412" s="39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spans="1:36" ht="11.25" customHeight="1" x14ac:dyDescent="0.2">
      <c r="A413" s="35" t="s">
        <v>21</v>
      </c>
      <c r="B413" s="35" t="s">
        <v>39</v>
      </c>
      <c r="C413" s="35" t="s">
        <v>41</v>
      </c>
      <c r="D413" s="35" t="s">
        <v>38</v>
      </c>
      <c r="E413" s="35" t="s">
        <v>25</v>
      </c>
      <c r="F413" s="35" t="s">
        <v>25</v>
      </c>
      <c r="G413" s="35" t="s">
        <v>25</v>
      </c>
      <c r="H413" s="35" t="s">
        <v>25</v>
      </c>
      <c r="I413" s="55">
        <v>44805</v>
      </c>
      <c r="J413" s="56">
        <f ca="1">EFEITO!$J$413*EFEITO!$Y$413</f>
        <v>130532.66493591925</v>
      </c>
      <c r="K413" s="56">
        <f>EFEITO!$L$413*EFEITO!$Z$413</f>
        <v>0</v>
      </c>
      <c r="L413" s="56">
        <f>EFEITO!$N$413*EFEITO!$AA$413</f>
        <v>0</v>
      </c>
      <c r="M413" s="56">
        <f ca="1">$J$413-EFEITO!$K$413*EFEITO!$Y$413</f>
        <v>0</v>
      </c>
      <c r="N413" s="56">
        <f>$K$413-EFEITO!$M$413*EFEITO!$Z$413</f>
        <v>0</v>
      </c>
      <c r="O413" s="56">
        <f>$L$413-EFEITO!$O$413*EFEITO!$AA$413</f>
        <v>0</v>
      </c>
      <c r="P413" s="39"/>
      <c r="Q413" s="39"/>
      <c r="R413" s="39"/>
      <c r="S413" s="39"/>
      <c r="T413" s="39"/>
      <c r="U413" s="39"/>
      <c r="V413" s="39"/>
      <c r="W413" s="39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spans="1:36" ht="11.25" customHeight="1" x14ac:dyDescent="0.2">
      <c r="A414" s="35" t="s">
        <v>28</v>
      </c>
      <c r="B414" s="35" t="s">
        <v>39</v>
      </c>
      <c r="C414" s="35" t="s">
        <v>41</v>
      </c>
      <c r="D414" s="35" t="s">
        <v>38</v>
      </c>
      <c r="E414" s="35" t="s">
        <v>25</v>
      </c>
      <c r="F414" s="35" t="s">
        <v>25</v>
      </c>
      <c r="G414" s="35" t="s">
        <v>25</v>
      </c>
      <c r="H414" s="35" t="s">
        <v>25</v>
      </c>
      <c r="I414" s="55">
        <v>44805</v>
      </c>
      <c r="J414" s="56">
        <f ca="1">EFEITO!$J$414*EFEITO!$Y$414</f>
        <v>6735.1006477992742</v>
      </c>
      <c r="K414" s="56">
        <f>EFEITO!$L$414*EFEITO!$Z$414</f>
        <v>0</v>
      </c>
      <c r="L414" s="56">
        <f>EFEITO!$N$414*EFEITO!$AA$414</f>
        <v>0</v>
      </c>
      <c r="M414" s="56">
        <f ca="1">$J$414-EFEITO!$K$414*EFEITO!$Y$414</f>
        <v>0</v>
      </c>
      <c r="N414" s="56">
        <f>$K$414-EFEITO!$M$414*EFEITO!$Z$414</f>
        <v>0</v>
      </c>
      <c r="O414" s="56">
        <f>$L$414-EFEITO!$O$414*EFEITO!$AA$414</f>
        <v>0</v>
      </c>
      <c r="P414" s="39"/>
      <c r="Q414" s="39"/>
      <c r="R414" s="39"/>
      <c r="S414" s="39"/>
      <c r="T414" s="39"/>
      <c r="U414" s="39"/>
      <c r="V414" s="39"/>
      <c r="W414" s="39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spans="1:36" ht="11.25" customHeight="1" x14ac:dyDescent="0.2">
      <c r="A415" s="35" t="s">
        <v>21</v>
      </c>
      <c r="B415" s="35" t="s">
        <v>39</v>
      </c>
      <c r="C415" s="35" t="s">
        <v>41</v>
      </c>
      <c r="D415" s="35" t="s">
        <v>38</v>
      </c>
      <c r="E415" s="35" t="s">
        <v>25</v>
      </c>
      <c r="F415" s="35" t="s">
        <v>25</v>
      </c>
      <c r="G415" s="35" t="s">
        <v>25</v>
      </c>
      <c r="H415" s="35" t="s">
        <v>25</v>
      </c>
      <c r="I415" s="55">
        <v>44805</v>
      </c>
      <c r="J415" s="56">
        <f ca="1">EFEITO!$J$415*EFEITO!$Y$415</f>
        <v>32071.907846663209</v>
      </c>
      <c r="K415" s="56">
        <f>EFEITO!$L$415*EFEITO!$Z$415</f>
        <v>0</v>
      </c>
      <c r="L415" s="56">
        <f>EFEITO!$N$415*EFEITO!$AA$415</f>
        <v>0</v>
      </c>
      <c r="M415" s="56">
        <f ca="1">$J$415-EFEITO!$K$415*EFEITO!$Y$415</f>
        <v>0</v>
      </c>
      <c r="N415" s="56">
        <f>$K$415-EFEITO!$M$415*EFEITO!$Z$415</f>
        <v>0</v>
      </c>
      <c r="O415" s="56">
        <f>$L$415-EFEITO!$O$415*EFEITO!$AA$415</f>
        <v>0</v>
      </c>
      <c r="P415" s="39"/>
      <c r="Q415" s="39"/>
      <c r="R415" s="39"/>
      <c r="S415" s="39"/>
      <c r="T415" s="39"/>
      <c r="U415" s="39"/>
      <c r="V415" s="39"/>
      <c r="W415" s="39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spans="1:36" ht="11.25" customHeight="1" x14ac:dyDescent="0.2">
      <c r="A416" s="35" t="s">
        <v>53</v>
      </c>
      <c r="B416" s="35" t="s">
        <v>39</v>
      </c>
      <c r="C416" s="35" t="s">
        <v>41</v>
      </c>
      <c r="D416" s="35" t="s">
        <v>38</v>
      </c>
      <c r="E416" s="35" t="s">
        <v>25</v>
      </c>
      <c r="F416" s="35" t="s">
        <v>25</v>
      </c>
      <c r="G416" s="35" t="s">
        <v>25</v>
      </c>
      <c r="H416" s="35" t="s">
        <v>25</v>
      </c>
      <c r="I416" s="55">
        <v>44835</v>
      </c>
      <c r="J416" s="56">
        <f ca="1">EFEITO!$J$416*EFEITO!$Y$416</f>
        <v>130532.66493591925</v>
      </c>
      <c r="K416" s="56">
        <f>EFEITO!$L$416*EFEITO!$Z$416</f>
        <v>0</v>
      </c>
      <c r="L416" s="56">
        <f>EFEITO!$N$416*EFEITO!$AA$416</f>
        <v>0</v>
      </c>
      <c r="M416" s="56">
        <f ca="1">$J$416-EFEITO!$K$416*EFEITO!$Y$416</f>
        <v>0</v>
      </c>
      <c r="N416" s="56">
        <f>$K$416-EFEITO!$M$416*EFEITO!$Z$416</f>
        <v>0</v>
      </c>
      <c r="O416" s="56">
        <f>$L$416-EFEITO!$O$416*EFEITO!$AA$416</f>
        <v>0</v>
      </c>
      <c r="P416" s="39"/>
      <c r="Q416" s="39"/>
      <c r="R416" s="39"/>
      <c r="S416" s="39"/>
      <c r="T416" s="39"/>
      <c r="U416" s="39"/>
      <c r="V416" s="39"/>
      <c r="W416" s="39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spans="1:36" ht="11.25" customHeight="1" x14ac:dyDescent="0.2">
      <c r="A417" s="35" t="s">
        <v>53</v>
      </c>
      <c r="B417" s="35" t="s">
        <v>39</v>
      </c>
      <c r="C417" s="35" t="s">
        <v>41</v>
      </c>
      <c r="D417" s="35" t="s">
        <v>38</v>
      </c>
      <c r="E417" s="35" t="s">
        <v>25</v>
      </c>
      <c r="F417" s="35" t="s">
        <v>25</v>
      </c>
      <c r="G417" s="35" t="s">
        <v>25</v>
      </c>
      <c r="H417" s="35" t="s">
        <v>25</v>
      </c>
      <c r="I417" s="55">
        <v>44835</v>
      </c>
      <c r="J417" s="56">
        <f ca="1">EFEITO!$J$417*EFEITO!$Y$417</f>
        <v>6735.1006477992742</v>
      </c>
      <c r="K417" s="56">
        <f>EFEITO!$L$417*EFEITO!$Z$417</f>
        <v>0</v>
      </c>
      <c r="L417" s="56">
        <f>EFEITO!$N$417*EFEITO!$AA$417</f>
        <v>0</v>
      </c>
      <c r="M417" s="56">
        <f ca="1">$J$417-EFEITO!$K$417*EFEITO!$Y$417</f>
        <v>0</v>
      </c>
      <c r="N417" s="56">
        <f>$K$417-EFEITO!$M$417*EFEITO!$Z$417</f>
        <v>0</v>
      </c>
      <c r="O417" s="56">
        <f>$L$417-EFEITO!$O$417*EFEITO!$AA$417</f>
        <v>0</v>
      </c>
      <c r="P417" s="39"/>
      <c r="Q417" s="39"/>
      <c r="R417" s="39"/>
      <c r="S417" s="39"/>
      <c r="T417" s="39"/>
      <c r="U417" s="39"/>
      <c r="V417" s="39"/>
      <c r="W417" s="39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spans="1:36" ht="11.25" customHeight="1" x14ac:dyDescent="0.2">
      <c r="A418" s="35" t="s">
        <v>53</v>
      </c>
      <c r="B418" s="35" t="s">
        <v>39</v>
      </c>
      <c r="C418" s="35" t="s">
        <v>41</v>
      </c>
      <c r="D418" s="35" t="s">
        <v>38</v>
      </c>
      <c r="E418" s="35" t="s">
        <v>25</v>
      </c>
      <c r="F418" s="35" t="s">
        <v>25</v>
      </c>
      <c r="G418" s="35" t="s">
        <v>25</v>
      </c>
      <c r="H418" s="35" t="s">
        <v>25</v>
      </c>
      <c r="I418" s="55">
        <v>44835</v>
      </c>
      <c r="J418" s="56">
        <f ca="1">EFEITO!$J$418*EFEITO!$Y$418</f>
        <v>32071.907846663209</v>
      </c>
      <c r="K418" s="56">
        <f>EFEITO!$L$418*EFEITO!$Z$418</f>
        <v>0</v>
      </c>
      <c r="L418" s="56">
        <f>EFEITO!$N$418*EFEITO!$AA$418</f>
        <v>0</v>
      </c>
      <c r="M418" s="56">
        <f ca="1">$J$418-EFEITO!$K$418*EFEITO!$Y$418</f>
        <v>0</v>
      </c>
      <c r="N418" s="56">
        <f>$K$418-EFEITO!$M$418*EFEITO!$Z$418</f>
        <v>0</v>
      </c>
      <c r="O418" s="56">
        <f>$L$418-EFEITO!$O$418*EFEITO!$AA$418</f>
        <v>0</v>
      </c>
      <c r="P418" s="39"/>
      <c r="Q418" s="39"/>
      <c r="R418" s="39"/>
      <c r="S418" s="39"/>
      <c r="T418" s="39"/>
      <c r="U418" s="39"/>
      <c r="V418" s="39"/>
      <c r="W418" s="39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spans="1:36" ht="11.25" customHeight="1" x14ac:dyDescent="0.2">
      <c r="A419" s="35" t="s">
        <v>21</v>
      </c>
      <c r="B419" s="35" t="s">
        <v>39</v>
      </c>
      <c r="C419" s="35" t="s">
        <v>41</v>
      </c>
      <c r="D419" s="35" t="s">
        <v>38</v>
      </c>
      <c r="E419" s="35" t="s">
        <v>25</v>
      </c>
      <c r="F419" s="35" t="s">
        <v>25</v>
      </c>
      <c r="G419" s="35" t="s">
        <v>25</v>
      </c>
      <c r="H419" s="35" t="s">
        <v>34</v>
      </c>
      <c r="I419" s="55">
        <v>44501</v>
      </c>
      <c r="J419" s="56">
        <f>EFEITO!$J$419*EFEITO!$Y$419</f>
        <v>0</v>
      </c>
      <c r="K419" s="56">
        <f ca="1">EFEITO!$L$419*EFEITO!$Z$419</f>
        <v>174134.21507609496</v>
      </c>
      <c r="L419" s="56">
        <f>EFEITO!$N$419*EFEITO!$AA$419</f>
        <v>75776.526738462999</v>
      </c>
      <c r="M419" s="56">
        <f>$J$419-EFEITO!$K$419*EFEITO!$Y$419</f>
        <v>0</v>
      </c>
      <c r="N419" s="56">
        <f ca="1">$K$419-EFEITO!$M$419*EFEITO!$Z$419</f>
        <v>0</v>
      </c>
      <c r="O419" s="56">
        <f>$L$419-EFEITO!$O$419*EFEITO!$AA$419</f>
        <v>0</v>
      </c>
      <c r="P419" s="39"/>
      <c r="Q419" s="39"/>
      <c r="R419" s="39"/>
      <c r="S419" s="39"/>
      <c r="T419" s="39"/>
      <c r="U419" s="39"/>
      <c r="V419" s="39"/>
      <c r="W419" s="39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spans="1:36" ht="11.25" customHeight="1" x14ac:dyDescent="0.2">
      <c r="A420" s="35" t="s">
        <v>21</v>
      </c>
      <c r="B420" s="35" t="s">
        <v>39</v>
      </c>
      <c r="C420" s="35" t="s">
        <v>41</v>
      </c>
      <c r="D420" s="35" t="s">
        <v>38</v>
      </c>
      <c r="E420" s="35" t="s">
        <v>25</v>
      </c>
      <c r="F420" s="35" t="s">
        <v>25</v>
      </c>
      <c r="G420" s="35" t="s">
        <v>25</v>
      </c>
      <c r="H420" s="35" t="s">
        <v>34</v>
      </c>
      <c r="I420" s="55">
        <v>44501</v>
      </c>
      <c r="J420" s="56">
        <f>EFEITO!$J$420*EFEITO!$Y$420</f>
        <v>0</v>
      </c>
      <c r="K420" s="56">
        <f ca="1">EFEITO!$L$420*EFEITO!$Z$420</f>
        <v>98292.90084074992</v>
      </c>
      <c r="L420" s="56">
        <f>EFEITO!$N$420*EFEITO!$AA$420</f>
        <v>0</v>
      </c>
      <c r="M420" s="56">
        <f>$J$420-EFEITO!$K$420*EFEITO!$Y$420</f>
        <v>0</v>
      </c>
      <c r="N420" s="56">
        <f ca="1">$K$420-EFEITO!$M$420*EFEITO!$Z$420</f>
        <v>0</v>
      </c>
      <c r="O420" s="56">
        <f>$L$420-EFEITO!$O$420*EFEITO!$AA$420</f>
        <v>0</v>
      </c>
      <c r="P420" s="39"/>
      <c r="Q420" s="39"/>
      <c r="R420" s="39"/>
      <c r="S420" s="39"/>
      <c r="T420" s="39"/>
      <c r="U420" s="39"/>
      <c r="V420" s="39"/>
      <c r="W420" s="39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spans="1:36" ht="11.25" customHeight="1" x14ac:dyDescent="0.2">
      <c r="A421" s="35" t="s">
        <v>21</v>
      </c>
      <c r="B421" s="35" t="s">
        <v>39</v>
      </c>
      <c r="C421" s="35" t="s">
        <v>41</v>
      </c>
      <c r="D421" s="35" t="s">
        <v>38</v>
      </c>
      <c r="E421" s="35" t="s">
        <v>25</v>
      </c>
      <c r="F421" s="35" t="s">
        <v>25</v>
      </c>
      <c r="G421" s="35" t="s">
        <v>25</v>
      </c>
      <c r="H421" s="35" t="s">
        <v>34</v>
      </c>
      <c r="I421" s="55">
        <v>44531</v>
      </c>
      <c r="J421" s="56">
        <f>EFEITO!$J$421*EFEITO!$Y$421</f>
        <v>0</v>
      </c>
      <c r="K421" s="56">
        <f ca="1">EFEITO!$L$421*EFEITO!$Z$421</f>
        <v>183907.39016651342</v>
      </c>
      <c r="L421" s="56">
        <f>EFEITO!$N$421*EFEITO!$AA$421</f>
        <v>80029.437421381634</v>
      </c>
      <c r="M421" s="56">
        <f>$J$421-EFEITO!$K$421*EFEITO!$Y$421</f>
        <v>0</v>
      </c>
      <c r="N421" s="56">
        <f ca="1">$K$421-EFEITO!$M$421*EFEITO!$Z$421</f>
        <v>0</v>
      </c>
      <c r="O421" s="56">
        <f>$L$421-EFEITO!$O$421*EFEITO!$AA$421</f>
        <v>0</v>
      </c>
      <c r="P421" s="39"/>
      <c r="Q421" s="39"/>
      <c r="R421" s="39"/>
      <c r="S421" s="39"/>
      <c r="T421" s="39"/>
      <c r="U421" s="39"/>
      <c r="V421" s="39"/>
      <c r="W421" s="39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pans="1:36" ht="11.25" customHeight="1" x14ac:dyDescent="0.2">
      <c r="A422" s="35" t="s">
        <v>21</v>
      </c>
      <c r="B422" s="35" t="s">
        <v>39</v>
      </c>
      <c r="C422" s="35" t="s">
        <v>41</v>
      </c>
      <c r="D422" s="35" t="s">
        <v>38</v>
      </c>
      <c r="E422" s="35" t="s">
        <v>25</v>
      </c>
      <c r="F422" s="35" t="s">
        <v>25</v>
      </c>
      <c r="G422" s="35" t="s">
        <v>25</v>
      </c>
      <c r="H422" s="35" t="s">
        <v>34</v>
      </c>
      <c r="I422" s="55">
        <v>44531</v>
      </c>
      <c r="J422" s="56">
        <f>EFEITO!$J$422*EFEITO!$Y$422</f>
        <v>0</v>
      </c>
      <c r="K422" s="56">
        <f ca="1">EFEITO!$L$422*EFEITO!$Z$422</f>
        <v>88153.077983013922</v>
      </c>
      <c r="L422" s="56">
        <f>EFEITO!$N$422*EFEITO!$AA$422</f>
        <v>0</v>
      </c>
      <c r="M422" s="56">
        <f>$J$422-EFEITO!$K$422*EFEITO!$Y$422</f>
        <v>0</v>
      </c>
      <c r="N422" s="56">
        <f ca="1">$K$422-EFEITO!$M$422*EFEITO!$Z$422</f>
        <v>0</v>
      </c>
      <c r="O422" s="56">
        <f>$L$422-EFEITO!$O$422*EFEITO!$AA$422</f>
        <v>0</v>
      </c>
      <c r="P422" s="39"/>
      <c r="Q422" s="39"/>
      <c r="R422" s="39"/>
      <c r="S422" s="39"/>
      <c r="T422" s="39"/>
      <c r="U422" s="39"/>
      <c r="V422" s="39"/>
      <c r="W422" s="39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spans="1:36" ht="11.25" customHeight="1" x14ac:dyDescent="0.2">
      <c r="A423" s="35" t="s">
        <v>21</v>
      </c>
      <c r="B423" s="35" t="s">
        <v>39</v>
      </c>
      <c r="C423" s="35" t="s">
        <v>41</v>
      </c>
      <c r="D423" s="35" t="s">
        <v>38</v>
      </c>
      <c r="E423" s="35" t="s">
        <v>25</v>
      </c>
      <c r="F423" s="35" t="s">
        <v>25</v>
      </c>
      <c r="G423" s="35" t="s">
        <v>25</v>
      </c>
      <c r="H423" s="35" t="s">
        <v>34</v>
      </c>
      <c r="I423" s="55">
        <v>44562</v>
      </c>
      <c r="J423" s="56">
        <f>EFEITO!$J$423*EFEITO!$Y$423</f>
        <v>0</v>
      </c>
      <c r="K423" s="56">
        <f ca="1">EFEITO!$L$423*EFEITO!$Z$423</f>
        <v>173821.22307960439</v>
      </c>
      <c r="L423" s="56">
        <f>EFEITO!$N$423*EFEITO!$AA$423</f>
        <v>75640.324634926772</v>
      </c>
      <c r="M423" s="56">
        <f>$J$423-EFEITO!$K$423*EFEITO!$Y$423</f>
        <v>0</v>
      </c>
      <c r="N423" s="56">
        <f ca="1">$K$423-EFEITO!$M$423*EFEITO!$Z$423</f>
        <v>0</v>
      </c>
      <c r="O423" s="56">
        <f>$L$423-EFEITO!$O$423*EFEITO!$AA$423</f>
        <v>0</v>
      </c>
      <c r="P423" s="39"/>
      <c r="Q423" s="39"/>
      <c r="R423" s="39"/>
      <c r="S423" s="39"/>
      <c r="T423" s="39"/>
      <c r="U423" s="39"/>
      <c r="V423" s="39"/>
      <c r="W423" s="39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spans="1:36" ht="11.25" customHeight="1" x14ac:dyDescent="0.2">
      <c r="A424" s="35" t="s">
        <v>21</v>
      </c>
      <c r="B424" s="35" t="s">
        <v>39</v>
      </c>
      <c r="C424" s="35" t="s">
        <v>41</v>
      </c>
      <c r="D424" s="35" t="s">
        <v>38</v>
      </c>
      <c r="E424" s="35" t="s">
        <v>25</v>
      </c>
      <c r="F424" s="35" t="s">
        <v>25</v>
      </c>
      <c r="G424" s="35" t="s">
        <v>25</v>
      </c>
      <c r="H424" s="35" t="s">
        <v>34</v>
      </c>
      <c r="I424" s="55">
        <v>44562</v>
      </c>
      <c r="J424" s="56">
        <f>EFEITO!$J$424*EFEITO!$Y$424</f>
        <v>0</v>
      </c>
      <c r="K424" s="56">
        <f ca="1">EFEITO!$L$424*EFEITO!$Z$424</f>
        <v>75512.67263902993</v>
      </c>
      <c r="L424" s="56">
        <f>EFEITO!$N$424*EFEITO!$AA$424</f>
        <v>0</v>
      </c>
      <c r="M424" s="56">
        <f>$J$424-EFEITO!$K$424*EFEITO!$Y$424</f>
        <v>0</v>
      </c>
      <c r="N424" s="56">
        <f ca="1">$K$424-EFEITO!$M$424*EFEITO!$Z$424</f>
        <v>0</v>
      </c>
      <c r="O424" s="56">
        <f>$L$424-EFEITO!$O$424*EFEITO!$AA$424</f>
        <v>0</v>
      </c>
      <c r="P424" s="39"/>
      <c r="Q424" s="39"/>
      <c r="R424" s="39"/>
      <c r="S424" s="39"/>
      <c r="T424" s="39"/>
      <c r="U424" s="39"/>
      <c r="V424" s="39"/>
      <c r="W424" s="39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spans="1:36" ht="11.25" customHeight="1" x14ac:dyDescent="0.2">
      <c r="A425" s="35" t="s">
        <v>21</v>
      </c>
      <c r="B425" s="35" t="s">
        <v>39</v>
      </c>
      <c r="C425" s="35" t="s">
        <v>41</v>
      </c>
      <c r="D425" s="35" t="s">
        <v>38</v>
      </c>
      <c r="E425" s="35" t="s">
        <v>25</v>
      </c>
      <c r="F425" s="35" t="s">
        <v>25</v>
      </c>
      <c r="G425" s="35" t="s">
        <v>25</v>
      </c>
      <c r="H425" s="35" t="s">
        <v>34</v>
      </c>
      <c r="I425" s="55">
        <v>44593</v>
      </c>
      <c r="J425" s="56">
        <f>EFEITO!$J$425*EFEITO!$Y$425</f>
        <v>0</v>
      </c>
      <c r="K425" s="56">
        <f ca="1">EFEITO!$L$425*EFEITO!$Z$425</f>
        <v>166164.09745117405</v>
      </c>
      <c r="L425" s="56">
        <f>EFEITO!$N$425*EFEITO!$AA$425</f>
        <v>72308.237459129828</v>
      </c>
      <c r="M425" s="56">
        <f>$J$425-EFEITO!$K$425*EFEITO!$Y$425</f>
        <v>0</v>
      </c>
      <c r="N425" s="56">
        <f ca="1">$K$425-EFEITO!$M$425*EFEITO!$Z$425</f>
        <v>0</v>
      </c>
      <c r="O425" s="56">
        <f>$L$425-EFEITO!$O$425*EFEITO!$AA$425</f>
        <v>0</v>
      </c>
      <c r="P425" s="39"/>
      <c r="Q425" s="39"/>
      <c r="R425" s="39"/>
      <c r="S425" s="39"/>
      <c r="T425" s="39"/>
      <c r="U425" s="39"/>
      <c r="V425" s="39"/>
      <c r="W425" s="39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pans="1:36" ht="11.25" customHeight="1" x14ac:dyDescent="0.2">
      <c r="A426" s="35" t="s">
        <v>28</v>
      </c>
      <c r="B426" s="35" t="s">
        <v>39</v>
      </c>
      <c r="C426" s="35" t="s">
        <v>41</v>
      </c>
      <c r="D426" s="35" t="s">
        <v>38</v>
      </c>
      <c r="E426" s="35" t="s">
        <v>25</v>
      </c>
      <c r="F426" s="35" t="s">
        <v>25</v>
      </c>
      <c r="G426" s="35" t="s">
        <v>25</v>
      </c>
      <c r="H426" s="35" t="s">
        <v>34</v>
      </c>
      <c r="I426" s="55">
        <v>44593</v>
      </c>
      <c r="J426" s="56">
        <f>EFEITO!$J$426*EFEITO!$Y$426</f>
        <v>0</v>
      </c>
      <c r="K426" s="56">
        <f ca="1">EFEITO!$L$426*EFEITO!$Z$426</f>
        <v>4190.7392672971328</v>
      </c>
      <c r="L426" s="56">
        <f>EFEITO!$N$426*EFEITO!$AA$426</f>
        <v>1823.6488791332451</v>
      </c>
      <c r="M426" s="56">
        <f>$J$426-EFEITO!$K$426*EFEITO!$Y$426</f>
        <v>0</v>
      </c>
      <c r="N426" s="56">
        <f ca="1">$K$426-EFEITO!$M$426*EFEITO!$Z$426</f>
        <v>0</v>
      </c>
      <c r="O426" s="56">
        <f>$L$426-EFEITO!$O$426*EFEITO!$AA$426</f>
        <v>0</v>
      </c>
      <c r="P426" s="39"/>
      <c r="Q426" s="39"/>
      <c r="R426" s="39"/>
      <c r="S426" s="39"/>
      <c r="T426" s="39"/>
      <c r="U426" s="39"/>
      <c r="V426" s="39"/>
      <c r="W426" s="39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spans="1:36" ht="11.25" customHeight="1" x14ac:dyDescent="0.2">
      <c r="A427" s="35" t="s">
        <v>21</v>
      </c>
      <c r="B427" s="35" t="s">
        <v>39</v>
      </c>
      <c r="C427" s="35" t="s">
        <v>41</v>
      </c>
      <c r="D427" s="35" t="s">
        <v>38</v>
      </c>
      <c r="E427" s="35" t="s">
        <v>25</v>
      </c>
      <c r="F427" s="35" t="s">
        <v>25</v>
      </c>
      <c r="G427" s="35" t="s">
        <v>25</v>
      </c>
      <c r="H427" s="35" t="s">
        <v>34</v>
      </c>
      <c r="I427" s="55">
        <v>44593</v>
      </c>
      <c r="J427" s="56">
        <f>EFEITO!$J$427*EFEITO!$Y$427</f>
        <v>0</v>
      </c>
      <c r="K427" s="56">
        <f ca="1">EFEITO!$L$427*EFEITO!$Z$427</f>
        <v>94411.800084266681</v>
      </c>
      <c r="L427" s="56">
        <f>EFEITO!$N$427*EFEITO!$AA$427</f>
        <v>0</v>
      </c>
      <c r="M427" s="56">
        <f>$J$427-EFEITO!$K$427*EFEITO!$Y$427</f>
        <v>0</v>
      </c>
      <c r="N427" s="56">
        <f ca="1">$K$427-EFEITO!$M$427*EFEITO!$Z$427</f>
        <v>0</v>
      </c>
      <c r="O427" s="56">
        <f>$L$427-EFEITO!$O$427*EFEITO!$AA$427</f>
        <v>0</v>
      </c>
      <c r="P427" s="39"/>
      <c r="Q427" s="39"/>
      <c r="R427" s="39"/>
      <c r="S427" s="39"/>
      <c r="T427" s="39"/>
      <c r="U427" s="39"/>
      <c r="V427" s="39"/>
      <c r="W427" s="39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spans="1:36" ht="11.25" customHeight="1" x14ac:dyDescent="0.2">
      <c r="A428" s="35" t="s">
        <v>21</v>
      </c>
      <c r="B428" s="35" t="s">
        <v>39</v>
      </c>
      <c r="C428" s="35" t="s">
        <v>41</v>
      </c>
      <c r="D428" s="35" t="s">
        <v>38</v>
      </c>
      <c r="E428" s="35" t="s">
        <v>25</v>
      </c>
      <c r="F428" s="35" t="s">
        <v>25</v>
      </c>
      <c r="G428" s="35" t="s">
        <v>25</v>
      </c>
      <c r="H428" s="35" t="s">
        <v>34</v>
      </c>
      <c r="I428" s="55">
        <v>44621</v>
      </c>
      <c r="J428" s="56">
        <f>EFEITO!$J$428*EFEITO!$Y$428</f>
        <v>0</v>
      </c>
      <c r="K428" s="56">
        <f ca="1">EFEITO!$L$428*EFEITO!$Z$428</f>
        <v>181568.89282130523</v>
      </c>
      <c r="L428" s="56">
        <f>EFEITO!$N$428*EFEITO!$AA$428</f>
        <v>79011.813133532414</v>
      </c>
      <c r="M428" s="56">
        <f>$J$428-EFEITO!$K$428*EFEITO!$Y$428</f>
        <v>0</v>
      </c>
      <c r="N428" s="56">
        <f ca="1">$K$428-EFEITO!$M$428*EFEITO!$Z$428</f>
        <v>0</v>
      </c>
      <c r="O428" s="56">
        <f>$L$428-EFEITO!$O$428*EFEITO!$AA$428</f>
        <v>0</v>
      </c>
      <c r="P428" s="39"/>
      <c r="Q428" s="39"/>
      <c r="R428" s="39"/>
      <c r="S428" s="39"/>
      <c r="T428" s="39"/>
      <c r="U428" s="39"/>
      <c r="V428" s="39"/>
      <c r="W428" s="39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spans="1:36" ht="11.25" customHeight="1" x14ac:dyDescent="0.2">
      <c r="A429" s="35" t="s">
        <v>28</v>
      </c>
      <c r="B429" s="35" t="s">
        <v>39</v>
      </c>
      <c r="C429" s="35" t="s">
        <v>41</v>
      </c>
      <c r="D429" s="35" t="s">
        <v>38</v>
      </c>
      <c r="E429" s="35" t="s">
        <v>25</v>
      </c>
      <c r="F429" s="35" t="s">
        <v>25</v>
      </c>
      <c r="G429" s="35" t="s">
        <v>25</v>
      </c>
      <c r="H429" s="35" t="s">
        <v>34</v>
      </c>
      <c r="I429" s="55">
        <v>44621</v>
      </c>
      <c r="J429" s="56">
        <f>EFEITO!$J$429*EFEITO!$Y$429</f>
        <v>0</v>
      </c>
      <c r="K429" s="56">
        <f ca="1">EFEITO!$L$429*EFEITO!$Z$429</f>
        <v>3950.40612713472</v>
      </c>
      <c r="L429" s="56">
        <f>EFEITO!$N$429*EFEITO!$AA$429</f>
        <v>1719.0651210607864</v>
      </c>
      <c r="M429" s="56">
        <f>$J$429-EFEITO!$K$429*EFEITO!$Y$429</f>
        <v>0</v>
      </c>
      <c r="N429" s="56">
        <f ca="1">$K$429-EFEITO!$M$429*EFEITO!$Z$429</f>
        <v>0</v>
      </c>
      <c r="O429" s="56">
        <f>$L$429-EFEITO!$O$429*EFEITO!$AA$429</f>
        <v>0</v>
      </c>
      <c r="P429" s="39"/>
      <c r="Q429" s="39"/>
      <c r="R429" s="39"/>
      <c r="S429" s="39"/>
      <c r="T429" s="39"/>
      <c r="U429" s="39"/>
      <c r="V429" s="39"/>
      <c r="W429" s="39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pans="1:36" ht="11.25" customHeight="1" x14ac:dyDescent="0.2">
      <c r="A430" s="35" t="s">
        <v>21</v>
      </c>
      <c r="B430" s="35" t="s">
        <v>39</v>
      </c>
      <c r="C430" s="35" t="s">
        <v>41</v>
      </c>
      <c r="D430" s="35" t="s">
        <v>38</v>
      </c>
      <c r="E430" s="35" t="s">
        <v>25</v>
      </c>
      <c r="F430" s="35" t="s">
        <v>25</v>
      </c>
      <c r="G430" s="35" t="s">
        <v>25</v>
      </c>
      <c r="H430" s="35" t="s">
        <v>34</v>
      </c>
      <c r="I430" s="55">
        <v>44621</v>
      </c>
      <c r="J430" s="56">
        <f>EFEITO!$J$430*EFEITO!$Y$430</f>
        <v>0</v>
      </c>
      <c r="K430" s="56">
        <f ca="1">EFEITO!$L$430*EFEITO!$Z$430</f>
        <v>93742.220777488619</v>
      </c>
      <c r="L430" s="56">
        <f>EFEITO!$N$430*EFEITO!$AA$430</f>
        <v>0</v>
      </c>
      <c r="M430" s="56">
        <f>$J$430-EFEITO!$K$430*EFEITO!$Y$430</f>
        <v>0</v>
      </c>
      <c r="N430" s="56">
        <f ca="1">$K$430-EFEITO!$M$430*EFEITO!$Z$430</f>
        <v>0</v>
      </c>
      <c r="O430" s="56">
        <f>$L$430-EFEITO!$O$430*EFEITO!$AA$430</f>
        <v>0</v>
      </c>
      <c r="P430" s="39"/>
      <c r="Q430" s="39"/>
      <c r="R430" s="39"/>
      <c r="S430" s="39"/>
      <c r="T430" s="39"/>
      <c r="U430" s="39"/>
      <c r="V430" s="39"/>
      <c r="W430" s="39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spans="1:36" ht="11.25" customHeight="1" x14ac:dyDescent="0.2">
      <c r="A431" s="35" t="s">
        <v>21</v>
      </c>
      <c r="B431" s="35" t="s">
        <v>39</v>
      </c>
      <c r="C431" s="35" t="s">
        <v>41</v>
      </c>
      <c r="D431" s="35" t="s">
        <v>38</v>
      </c>
      <c r="E431" s="35" t="s">
        <v>25</v>
      </c>
      <c r="F431" s="35" t="s">
        <v>25</v>
      </c>
      <c r="G431" s="35" t="s">
        <v>25</v>
      </c>
      <c r="H431" s="35" t="s">
        <v>34</v>
      </c>
      <c r="I431" s="55">
        <v>44652</v>
      </c>
      <c r="J431" s="56">
        <f>EFEITO!$J$431*EFEITO!$Y$431</f>
        <v>0</v>
      </c>
      <c r="K431" s="56">
        <f ca="1">EFEITO!$L$431*EFEITO!$Z$431</f>
        <v>204610.69290580665</v>
      </c>
      <c r="L431" s="56">
        <f>EFEITO!$N$431*EFEITO!$AA$431</f>
        <v>89038.720134218878</v>
      </c>
      <c r="M431" s="56">
        <f>$J$431-EFEITO!$K$431*EFEITO!$Y$431</f>
        <v>0</v>
      </c>
      <c r="N431" s="56">
        <f ca="1">$K$431-EFEITO!$M$431*EFEITO!$Z$431</f>
        <v>0</v>
      </c>
      <c r="O431" s="56">
        <f>$L$431-EFEITO!$O$431*EFEITO!$AA$431</f>
        <v>0</v>
      </c>
      <c r="P431" s="39"/>
      <c r="Q431" s="39"/>
      <c r="R431" s="39"/>
      <c r="S431" s="39"/>
      <c r="T431" s="39"/>
      <c r="U431" s="39"/>
      <c r="V431" s="39"/>
      <c r="W431" s="39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spans="1:36" ht="11.25" customHeight="1" x14ac:dyDescent="0.2">
      <c r="A432" s="35" t="s">
        <v>28</v>
      </c>
      <c r="B432" s="35" t="s">
        <v>39</v>
      </c>
      <c r="C432" s="35" t="s">
        <v>41</v>
      </c>
      <c r="D432" s="35" t="s">
        <v>38</v>
      </c>
      <c r="E432" s="35" t="s">
        <v>25</v>
      </c>
      <c r="F432" s="35" t="s">
        <v>25</v>
      </c>
      <c r="G432" s="35" t="s">
        <v>25</v>
      </c>
      <c r="H432" s="35" t="s">
        <v>34</v>
      </c>
      <c r="I432" s="55">
        <v>44652</v>
      </c>
      <c r="J432" s="56">
        <f>EFEITO!$J$432*EFEITO!$Y$432</f>
        <v>0</v>
      </c>
      <c r="K432" s="56">
        <f ca="1">EFEITO!$L$432*EFEITO!$Z$432</f>
        <v>5152.0718279467819</v>
      </c>
      <c r="L432" s="56">
        <f>EFEITO!$N$432*EFEITO!$AA$432</f>
        <v>2241.9839114230799</v>
      </c>
      <c r="M432" s="56">
        <f>$J$432-EFEITO!$K$432*EFEITO!$Y$432</f>
        <v>0</v>
      </c>
      <c r="N432" s="56">
        <f ca="1">$K$432-EFEITO!$M$432*EFEITO!$Z$432</f>
        <v>0</v>
      </c>
      <c r="O432" s="56">
        <f>$L$432-EFEITO!$O$432*EFEITO!$AA$432</f>
        <v>0</v>
      </c>
      <c r="P432" s="39"/>
      <c r="Q432" s="39"/>
      <c r="R432" s="39"/>
      <c r="S432" s="39"/>
      <c r="T432" s="39"/>
      <c r="U432" s="39"/>
      <c r="V432" s="39"/>
      <c r="W432" s="39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spans="1:36" ht="11.25" customHeight="1" x14ac:dyDescent="0.2">
      <c r="A433" s="35" t="s">
        <v>21</v>
      </c>
      <c r="B433" s="35" t="s">
        <v>39</v>
      </c>
      <c r="C433" s="35" t="s">
        <v>41</v>
      </c>
      <c r="D433" s="35" t="s">
        <v>38</v>
      </c>
      <c r="E433" s="35" t="s">
        <v>25</v>
      </c>
      <c r="F433" s="35" t="s">
        <v>25</v>
      </c>
      <c r="G433" s="35" t="s">
        <v>25</v>
      </c>
      <c r="H433" s="35" t="s">
        <v>34</v>
      </c>
      <c r="I433" s="55">
        <v>44652</v>
      </c>
      <c r="J433" s="56">
        <f>EFEITO!$J$433*EFEITO!$Y$433</f>
        <v>0</v>
      </c>
      <c r="K433" s="56">
        <f ca="1">EFEITO!$L$433*EFEITO!$Z$433</f>
        <v>100889.61658306286</v>
      </c>
      <c r="L433" s="56">
        <f>EFEITO!$N$433*EFEITO!$AA$433</f>
        <v>0</v>
      </c>
      <c r="M433" s="56">
        <f>$J$433-EFEITO!$K$433*EFEITO!$Y$433</f>
        <v>0</v>
      </c>
      <c r="N433" s="56">
        <f ca="1">$K$433-EFEITO!$M$433*EFEITO!$Z$433</f>
        <v>0</v>
      </c>
      <c r="O433" s="56">
        <f>$L$433-EFEITO!$O$433*EFEITO!$AA$433</f>
        <v>0</v>
      </c>
      <c r="P433" s="39"/>
      <c r="Q433" s="39"/>
      <c r="R433" s="39"/>
      <c r="S433" s="39"/>
      <c r="T433" s="39"/>
      <c r="U433" s="39"/>
      <c r="V433" s="39"/>
      <c r="W433" s="39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pans="1:36" ht="11.25" customHeight="1" x14ac:dyDescent="0.2">
      <c r="A434" s="35" t="s">
        <v>21</v>
      </c>
      <c r="B434" s="35" t="s">
        <v>39</v>
      </c>
      <c r="C434" s="35" t="s">
        <v>41</v>
      </c>
      <c r="D434" s="35" t="s">
        <v>38</v>
      </c>
      <c r="E434" s="35" t="s">
        <v>25</v>
      </c>
      <c r="F434" s="35" t="s">
        <v>25</v>
      </c>
      <c r="G434" s="35" t="s">
        <v>25</v>
      </c>
      <c r="H434" s="35" t="s">
        <v>34</v>
      </c>
      <c r="I434" s="55">
        <v>44682</v>
      </c>
      <c r="J434" s="56">
        <f>EFEITO!$J$434*EFEITO!$Y$434</f>
        <v>0</v>
      </c>
      <c r="K434" s="56">
        <f ca="1">EFEITO!$L$434*EFEITO!$Z$434</f>
        <v>171424.59864933361</v>
      </c>
      <c r="L434" s="56">
        <f>EFEITO!$N$434*EFEITO!$AA$434</f>
        <v>74597.405670706532</v>
      </c>
      <c r="M434" s="56">
        <f>$J$434-EFEITO!$K$434*EFEITO!$Y$434</f>
        <v>0</v>
      </c>
      <c r="N434" s="56">
        <f ca="1">$K$434-EFEITO!$M$434*EFEITO!$Z$434</f>
        <v>0</v>
      </c>
      <c r="O434" s="56">
        <f>$L$434-EFEITO!$O$434*EFEITO!$AA$434</f>
        <v>0</v>
      </c>
      <c r="P434" s="39"/>
      <c r="Q434" s="39"/>
      <c r="R434" s="39"/>
      <c r="S434" s="39"/>
      <c r="T434" s="39"/>
      <c r="U434" s="39"/>
      <c r="V434" s="39"/>
      <c r="W434" s="39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spans="1:36" ht="11.25" customHeight="1" x14ac:dyDescent="0.2">
      <c r="A435" s="35" t="s">
        <v>28</v>
      </c>
      <c r="B435" s="35" t="s">
        <v>39</v>
      </c>
      <c r="C435" s="35" t="s">
        <v>41</v>
      </c>
      <c r="D435" s="35" t="s">
        <v>38</v>
      </c>
      <c r="E435" s="35" t="s">
        <v>25</v>
      </c>
      <c r="F435" s="35" t="s">
        <v>25</v>
      </c>
      <c r="G435" s="35" t="s">
        <v>25</v>
      </c>
      <c r="H435" s="35" t="s">
        <v>34</v>
      </c>
      <c r="I435" s="55">
        <v>44682</v>
      </c>
      <c r="J435" s="56">
        <f>EFEITO!$J$435*EFEITO!$Y$435</f>
        <v>0</v>
      </c>
      <c r="K435" s="56">
        <f ca="1">EFEITO!$L$435*EFEITO!$Z$435</f>
        <v>5292.9182263675448</v>
      </c>
      <c r="L435" s="56">
        <f>EFEITO!$N$435*EFEITO!$AA$435</f>
        <v>2303.2748580143816</v>
      </c>
      <c r="M435" s="56">
        <f>$J$435-EFEITO!$K$435*EFEITO!$Y$435</f>
        <v>0</v>
      </c>
      <c r="N435" s="56">
        <f ca="1">$K$435-EFEITO!$M$435*EFEITO!$Z$435</f>
        <v>0</v>
      </c>
      <c r="O435" s="56">
        <f>$L$435-EFEITO!$O$435*EFEITO!$AA$435</f>
        <v>0</v>
      </c>
      <c r="P435" s="39"/>
      <c r="Q435" s="39"/>
      <c r="R435" s="39"/>
      <c r="S435" s="39"/>
      <c r="T435" s="39"/>
      <c r="U435" s="39"/>
      <c r="V435" s="39"/>
      <c r="W435" s="39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spans="1:36" ht="11.25" customHeight="1" x14ac:dyDescent="0.2">
      <c r="A436" s="35" t="s">
        <v>21</v>
      </c>
      <c r="B436" s="35" t="s">
        <v>39</v>
      </c>
      <c r="C436" s="35" t="s">
        <v>41</v>
      </c>
      <c r="D436" s="35" t="s">
        <v>38</v>
      </c>
      <c r="E436" s="35" t="s">
        <v>25</v>
      </c>
      <c r="F436" s="35" t="s">
        <v>25</v>
      </c>
      <c r="G436" s="35" t="s">
        <v>25</v>
      </c>
      <c r="H436" s="35" t="s">
        <v>34</v>
      </c>
      <c r="I436" s="55">
        <v>44682</v>
      </c>
      <c r="J436" s="56">
        <f>EFEITO!$J$436*EFEITO!$Y$436</f>
        <v>0</v>
      </c>
      <c r="K436" s="56">
        <f ca="1">EFEITO!$L$436*EFEITO!$Z$436</f>
        <v>90016.498190691782</v>
      </c>
      <c r="L436" s="56">
        <f>EFEITO!$N$436*EFEITO!$AA$436</f>
        <v>0</v>
      </c>
      <c r="M436" s="56">
        <f>$J$436-EFEITO!$K$436*EFEITO!$Y$436</f>
        <v>0</v>
      </c>
      <c r="N436" s="56">
        <f ca="1">$K$436-EFEITO!$M$436*EFEITO!$Z$436</f>
        <v>0</v>
      </c>
      <c r="O436" s="56">
        <f>$L$436-EFEITO!$O$436*EFEITO!$AA$436</f>
        <v>0</v>
      </c>
      <c r="P436" s="39"/>
      <c r="Q436" s="39"/>
      <c r="R436" s="39"/>
      <c r="S436" s="39"/>
      <c r="T436" s="39"/>
      <c r="U436" s="39"/>
      <c r="V436" s="39"/>
      <c r="W436" s="39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spans="1:36" ht="11.25" customHeight="1" x14ac:dyDescent="0.2">
      <c r="A437" s="35" t="s">
        <v>21</v>
      </c>
      <c r="B437" s="35" t="s">
        <v>39</v>
      </c>
      <c r="C437" s="35" t="s">
        <v>41</v>
      </c>
      <c r="D437" s="35" t="s">
        <v>38</v>
      </c>
      <c r="E437" s="35" t="s">
        <v>25</v>
      </c>
      <c r="F437" s="35" t="s">
        <v>25</v>
      </c>
      <c r="G437" s="35" t="s">
        <v>25</v>
      </c>
      <c r="H437" s="35" t="s">
        <v>34</v>
      </c>
      <c r="I437" s="55">
        <v>44713</v>
      </c>
      <c r="J437" s="56">
        <f>EFEITO!$J$437*EFEITO!$Y$437</f>
        <v>0</v>
      </c>
      <c r="K437" s="56">
        <f ca="1">EFEITO!$L$437*EFEITO!$Z$437</f>
        <v>197258.7344739546</v>
      </c>
      <c r="L437" s="56">
        <f>EFEITO!$N$437*EFEITO!$AA$437</f>
        <v>85839.430009369768</v>
      </c>
      <c r="M437" s="56">
        <f>$J$437-EFEITO!$K$437*EFEITO!$Y$437</f>
        <v>0</v>
      </c>
      <c r="N437" s="56">
        <f ca="1">$K$437-EFEITO!$M$437*EFEITO!$Z$437</f>
        <v>0</v>
      </c>
      <c r="O437" s="56">
        <f>$L$437-EFEITO!$O$437*EFEITO!$AA$437</f>
        <v>0</v>
      </c>
      <c r="P437" s="39"/>
      <c r="Q437" s="39"/>
      <c r="R437" s="39"/>
      <c r="S437" s="39"/>
      <c r="T437" s="39"/>
      <c r="U437" s="39"/>
      <c r="V437" s="39"/>
      <c r="W437" s="39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spans="1:36" ht="11.25" customHeight="1" x14ac:dyDescent="0.2">
      <c r="A438" s="35" t="s">
        <v>28</v>
      </c>
      <c r="B438" s="35" t="s">
        <v>39</v>
      </c>
      <c r="C438" s="35" t="s">
        <v>41</v>
      </c>
      <c r="D438" s="35" t="s">
        <v>38</v>
      </c>
      <c r="E438" s="35" t="s">
        <v>25</v>
      </c>
      <c r="F438" s="35" t="s">
        <v>25</v>
      </c>
      <c r="G438" s="35" t="s">
        <v>25</v>
      </c>
      <c r="H438" s="35" t="s">
        <v>34</v>
      </c>
      <c r="I438" s="55">
        <v>44713</v>
      </c>
      <c r="J438" s="56">
        <f>EFEITO!$J$438*EFEITO!$Y$438</f>
        <v>0</v>
      </c>
      <c r="K438" s="56">
        <f ca="1">EFEITO!$L$438*EFEITO!$Z$438</f>
        <v>6156.9997023933329</v>
      </c>
      <c r="L438" s="56">
        <f>EFEITO!$N$438*EFEITO!$AA$438</f>
        <v>2679.2899509911749</v>
      </c>
      <c r="M438" s="56">
        <f>$J$438-EFEITO!$K$438*EFEITO!$Y$438</f>
        <v>0</v>
      </c>
      <c r="N438" s="56">
        <f ca="1">$K$438-EFEITO!$M$438*EFEITO!$Z$438</f>
        <v>0</v>
      </c>
      <c r="O438" s="56">
        <f>$L$438-EFEITO!$O$438*EFEITO!$AA$438</f>
        <v>0</v>
      </c>
      <c r="P438" s="39"/>
      <c r="Q438" s="39"/>
      <c r="R438" s="39"/>
      <c r="S438" s="39"/>
      <c r="T438" s="39"/>
      <c r="U438" s="39"/>
      <c r="V438" s="39"/>
      <c r="W438" s="39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spans="1:36" ht="11.25" customHeight="1" x14ac:dyDescent="0.2">
      <c r="A439" s="35" t="s">
        <v>21</v>
      </c>
      <c r="B439" s="35" t="s">
        <v>39</v>
      </c>
      <c r="C439" s="35" t="s">
        <v>41</v>
      </c>
      <c r="D439" s="35" t="s">
        <v>38</v>
      </c>
      <c r="E439" s="35" t="s">
        <v>25</v>
      </c>
      <c r="F439" s="35" t="s">
        <v>25</v>
      </c>
      <c r="G439" s="35" t="s">
        <v>25</v>
      </c>
      <c r="H439" s="35" t="s">
        <v>34</v>
      </c>
      <c r="I439" s="55">
        <v>44713</v>
      </c>
      <c r="J439" s="56">
        <f>EFEITO!$J$439*EFEITO!$Y$439</f>
        <v>0</v>
      </c>
      <c r="K439" s="56">
        <f ca="1">EFEITO!$L$439*EFEITO!$Z$439</f>
        <v>99589.581969068051</v>
      </c>
      <c r="L439" s="56">
        <f>EFEITO!$N$439*EFEITO!$AA$439</f>
        <v>0</v>
      </c>
      <c r="M439" s="56">
        <f>$J$439-EFEITO!$K$439*EFEITO!$Y$439</f>
        <v>0</v>
      </c>
      <c r="N439" s="56">
        <f ca="1">$K$439-EFEITO!$M$439*EFEITO!$Z$439</f>
        <v>0</v>
      </c>
      <c r="O439" s="56">
        <f>$L$439-EFEITO!$O$439*EFEITO!$AA$439</f>
        <v>0</v>
      </c>
      <c r="P439" s="39"/>
      <c r="Q439" s="39"/>
      <c r="R439" s="39"/>
      <c r="S439" s="39"/>
      <c r="T439" s="39"/>
      <c r="U439" s="39"/>
      <c r="V439" s="39"/>
      <c r="W439" s="39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spans="1:36" ht="11.25" customHeight="1" x14ac:dyDescent="0.2">
      <c r="A440" s="35" t="s">
        <v>21</v>
      </c>
      <c r="B440" s="35" t="s">
        <v>39</v>
      </c>
      <c r="C440" s="35" t="s">
        <v>41</v>
      </c>
      <c r="D440" s="35" t="s">
        <v>38</v>
      </c>
      <c r="E440" s="35" t="s">
        <v>25</v>
      </c>
      <c r="F440" s="35" t="s">
        <v>25</v>
      </c>
      <c r="G440" s="35" t="s">
        <v>25</v>
      </c>
      <c r="H440" s="35" t="s">
        <v>34</v>
      </c>
      <c r="I440" s="55">
        <v>44743</v>
      </c>
      <c r="J440" s="56">
        <f>EFEITO!$J$440*EFEITO!$Y$440</f>
        <v>0</v>
      </c>
      <c r="K440" s="56">
        <f ca="1">EFEITO!$L$440*EFEITO!$Z$440</f>
        <v>202444.34115866822</v>
      </c>
      <c r="L440" s="56">
        <f>EFEITO!$N$440*EFEITO!$AA$440</f>
        <v>88096.007003314575</v>
      </c>
      <c r="M440" s="56">
        <f>$J$440-EFEITO!$K$440*EFEITO!$Y$440</f>
        <v>0</v>
      </c>
      <c r="N440" s="56">
        <f ca="1">$K$440-EFEITO!$M$440*EFEITO!$Z$440</f>
        <v>0</v>
      </c>
      <c r="O440" s="56">
        <f>$L$440-EFEITO!$O$440*EFEITO!$AA$440</f>
        <v>0</v>
      </c>
      <c r="P440" s="39"/>
      <c r="Q440" s="39"/>
      <c r="R440" s="39"/>
      <c r="S440" s="39"/>
      <c r="T440" s="39"/>
      <c r="U440" s="39"/>
      <c r="V440" s="39"/>
      <c r="W440" s="39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spans="1:36" ht="11.25" customHeight="1" x14ac:dyDescent="0.2">
      <c r="A441" s="35" t="s">
        <v>21</v>
      </c>
      <c r="B441" s="35" t="s">
        <v>39</v>
      </c>
      <c r="C441" s="35" t="s">
        <v>41</v>
      </c>
      <c r="D441" s="35" t="s">
        <v>38</v>
      </c>
      <c r="E441" s="35" t="s">
        <v>25</v>
      </c>
      <c r="F441" s="35" t="s">
        <v>25</v>
      </c>
      <c r="G441" s="35" t="s">
        <v>25</v>
      </c>
      <c r="H441" s="35" t="s">
        <v>34</v>
      </c>
      <c r="I441" s="55">
        <v>44743</v>
      </c>
      <c r="J441" s="56">
        <f>EFEITO!$J$441*EFEITO!$Y$441</f>
        <v>0</v>
      </c>
      <c r="K441" s="56">
        <f ca="1">EFEITO!$L$441*EFEITO!$Z$441</f>
        <v>60993.197487543541</v>
      </c>
      <c r="L441" s="56">
        <f>EFEITO!$N$441*EFEITO!$AA$441</f>
        <v>0</v>
      </c>
      <c r="M441" s="56">
        <f>$J$441-EFEITO!$K$441*EFEITO!$Y$441</f>
        <v>0</v>
      </c>
      <c r="N441" s="56">
        <f ca="1">$K$441-EFEITO!$M$441*EFEITO!$Z$441</f>
        <v>0</v>
      </c>
      <c r="O441" s="56">
        <f>$L$441-EFEITO!$O$441*EFEITO!$AA$441</f>
        <v>0</v>
      </c>
      <c r="P441" s="39"/>
      <c r="Q441" s="39"/>
      <c r="R441" s="39"/>
      <c r="S441" s="39"/>
      <c r="T441" s="39"/>
      <c r="U441" s="39"/>
      <c r="V441" s="39"/>
      <c r="W441" s="39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pans="1:36" ht="11.25" customHeight="1" x14ac:dyDescent="0.2">
      <c r="A442" s="35" t="s">
        <v>21</v>
      </c>
      <c r="B442" s="35" t="s">
        <v>39</v>
      </c>
      <c r="C442" s="35" t="s">
        <v>41</v>
      </c>
      <c r="D442" s="35" t="s">
        <v>38</v>
      </c>
      <c r="E442" s="35" t="s">
        <v>25</v>
      </c>
      <c r="F442" s="35" t="s">
        <v>25</v>
      </c>
      <c r="G442" s="35" t="s">
        <v>25</v>
      </c>
      <c r="H442" s="35" t="s">
        <v>34</v>
      </c>
      <c r="I442" s="55">
        <v>44774</v>
      </c>
      <c r="J442" s="56">
        <f>EFEITO!$J$442*EFEITO!$Y$442</f>
        <v>0</v>
      </c>
      <c r="K442" s="56">
        <f ca="1">EFEITO!$L$442*EFEITO!$Z$442</f>
        <v>199916.93078700677</v>
      </c>
      <c r="L442" s="56">
        <f>EFEITO!$N$442*EFEITO!$AA$442</f>
        <v>86996.175017259564</v>
      </c>
      <c r="M442" s="56">
        <f>$J$442-EFEITO!$K$442*EFEITO!$Y$442</f>
        <v>0</v>
      </c>
      <c r="N442" s="56">
        <f ca="1">$K$442-EFEITO!$M$442*EFEITO!$Z$442</f>
        <v>0</v>
      </c>
      <c r="O442" s="56">
        <f>$L$442-EFEITO!$O$442*EFEITO!$AA$442</f>
        <v>0</v>
      </c>
      <c r="P442" s="39"/>
      <c r="Q442" s="39"/>
      <c r="R442" s="39"/>
      <c r="S442" s="39"/>
      <c r="T442" s="39"/>
      <c r="U442" s="39"/>
      <c r="V442" s="39"/>
      <c r="W442" s="39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spans="1:36" ht="11.25" customHeight="1" x14ac:dyDescent="0.2">
      <c r="A443" s="35" t="s">
        <v>27</v>
      </c>
      <c r="B443" s="35" t="s">
        <v>39</v>
      </c>
      <c r="C443" s="35" t="s">
        <v>41</v>
      </c>
      <c r="D443" s="35" t="s">
        <v>38</v>
      </c>
      <c r="E443" s="35" t="s">
        <v>25</v>
      </c>
      <c r="F443" s="35" t="s">
        <v>25</v>
      </c>
      <c r="G443" s="35" t="s">
        <v>25</v>
      </c>
      <c r="H443" s="35" t="s">
        <v>34</v>
      </c>
      <c r="I443" s="55">
        <v>44774</v>
      </c>
      <c r="J443" s="56">
        <f>EFEITO!$J$443*EFEITO!$Y$443</f>
        <v>0</v>
      </c>
      <c r="K443" s="56">
        <f ca="1">EFEITO!$L$443*EFEITO!$Z$443</f>
        <v>-10750.157250892646</v>
      </c>
      <c r="L443" s="56">
        <f>EFEITO!$N$443*EFEITO!$AA$443</f>
        <v>-4678.0558203852815</v>
      </c>
      <c r="M443" s="56">
        <f>$J$443-EFEITO!$K$443*EFEITO!$Y$443</f>
        <v>0</v>
      </c>
      <c r="N443" s="56">
        <f ca="1">$K$443-EFEITO!$M$443*EFEITO!$Z$443</f>
        <v>0</v>
      </c>
      <c r="O443" s="56">
        <f>$L$443-EFEITO!$O$443*EFEITO!$AA$443</f>
        <v>0</v>
      </c>
      <c r="P443" s="39"/>
      <c r="Q443" s="39"/>
      <c r="R443" s="39"/>
      <c r="S443" s="39"/>
      <c r="T443" s="39"/>
      <c r="U443" s="39"/>
      <c r="V443" s="39"/>
      <c r="W443" s="39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spans="1:36" ht="11.25" customHeight="1" x14ac:dyDescent="0.2">
      <c r="A444" s="35" t="s">
        <v>28</v>
      </c>
      <c r="B444" s="35" t="s">
        <v>39</v>
      </c>
      <c r="C444" s="35" t="s">
        <v>41</v>
      </c>
      <c r="D444" s="35" t="s">
        <v>38</v>
      </c>
      <c r="E444" s="35" t="s">
        <v>25</v>
      </c>
      <c r="F444" s="35" t="s">
        <v>25</v>
      </c>
      <c r="G444" s="35" t="s">
        <v>25</v>
      </c>
      <c r="H444" s="35" t="s">
        <v>34</v>
      </c>
      <c r="I444" s="55">
        <v>44774</v>
      </c>
      <c r="J444" s="56">
        <f>EFEITO!$J$444*EFEITO!$Y$444</f>
        <v>0</v>
      </c>
      <c r="K444" s="56">
        <f ca="1">EFEITO!$L$444*EFEITO!$Z$444</f>
        <v>6465.5203846483364</v>
      </c>
      <c r="L444" s="56">
        <f>EFEITO!$N$444*EFEITO!$AA$444</f>
        <v>2813.5463101911682</v>
      </c>
      <c r="M444" s="56">
        <f>$J$444-EFEITO!$K$444*EFEITO!$Y$444</f>
        <v>0</v>
      </c>
      <c r="N444" s="56">
        <f ca="1">$K$444-EFEITO!$M$444*EFEITO!$Z$444</f>
        <v>0</v>
      </c>
      <c r="O444" s="56">
        <f>$L$444-EFEITO!$O$444*EFEITO!$AA$444</f>
        <v>0</v>
      </c>
      <c r="P444" s="39"/>
      <c r="Q444" s="39"/>
      <c r="R444" s="39"/>
      <c r="S444" s="39"/>
      <c r="T444" s="39"/>
      <c r="U444" s="39"/>
      <c r="V444" s="39"/>
      <c r="W444" s="39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 spans="1:36" ht="11.25" customHeight="1" x14ac:dyDescent="0.2">
      <c r="A445" s="35" t="s">
        <v>21</v>
      </c>
      <c r="B445" s="35" t="s">
        <v>39</v>
      </c>
      <c r="C445" s="35" t="s">
        <v>41</v>
      </c>
      <c r="D445" s="35" t="s">
        <v>38</v>
      </c>
      <c r="E445" s="35" t="s">
        <v>25</v>
      </c>
      <c r="F445" s="35" t="s">
        <v>25</v>
      </c>
      <c r="G445" s="35" t="s">
        <v>25</v>
      </c>
      <c r="H445" s="35" t="s">
        <v>34</v>
      </c>
      <c r="I445" s="55">
        <v>44774</v>
      </c>
      <c r="J445" s="56">
        <f>EFEITO!$J$445*EFEITO!$Y$445</f>
        <v>0</v>
      </c>
      <c r="K445" s="56">
        <f ca="1">EFEITO!$L$445*EFEITO!$Z$445</f>
        <v>90250.124359500813</v>
      </c>
      <c r="L445" s="56">
        <f>EFEITO!$N$445*EFEITO!$AA$445</f>
        <v>0</v>
      </c>
      <c r="M445" s="56">
        <f>$J$445-EFEITO!$K$445*EFEITO!$Y$445</f>
        <v>0</v>
      </c>
      <c r="N445" s="56">
        <f ca="1">$K$445-EFEITO!$M$445*EFEITO!$Z$445</f>
        <v>0</v>
      </c>
      <c r="O445" s="56">
        <f>$L$445-EFEITO!$O$445*EFEITO!$AA$445</f>
        <v>0</v>
      </c>
      <c r="P445" s="39"/>
      <c r="Q445" s="39"/>
      <c r="R445" s="39"/>
      <c r="S445" s="39"/>
      <c r="T445" s="39"/>
      <c r="U445" s="39"/>
      <c r="V445" s="39"/>
      <c r="W445" s="39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 spans="1:36" ht="11.25" customHeight="1" x14ac:dyDescent="0.2">
      <c r="A446" s="35" t="s">
        <v>21</v>
      </c>
      <c r="B446" s="35" t="s">
        <v>39</v>
      </c>
      <c r="C446" s="35" t="s">
        <v>41</v>
      </c>
      <c r="D446" s="35" t="s">
        <v>38</v>
      </c>
      <c r="E446" s="35" t="s">
        <v>25</v>
      </c>
      <c r="F446" s="35" t="s">
        <v>25</v>
      </c>
      <c r="G446" s="35" t="s">
        <v>25</v>
      </c>
      <c r="H446" s="35" t="s">
        <v>34</v>
      </c>
      <c r="I446" s="55">
        <v>44805</v>
      </c>
      <c r="J446" s="56">
        <f>EFEITO!$J$446*EFEITO!$Y$446</f>
        <v>0</v>
      </c>
      <c r="K446" s="56">
        <f ca="1">EFEITO!$L$446*EFEITO!$Z$446</f>
        <v>220110.50370344386</v>
      </c>
      <c r="L446" s="56">
        <f>EFEITO!$N$446*EFEITO!$AA$446</f>
        <v>95783.642875766382</v>
      </c>
      <c r="M446" s="56">
        <f>$J$446-EFEITO!$K$446*EFEITO!$Y$446</f>
        <v>0</v>
      </c>
      <c r="N446" s="56">
        <f ca="1">$K$446-EFEITO!$M$446*EFEITO!$Z$446</f>
        <v>0</v>
      </c>
      <c r="O446" s="56">
        <f>$L$446-EFEITO!$O$446*EFEITO!$AA$446</f>
        <v>0</v>
      </c>
      <c r="P446" s="39"/>
      <c r="Q446" s="39"/>
      <c r="R446" s="39"/>
      <c r="S446" s="39"/>
      <c r="T446" s="39"/>
      <c r="U446" s="39"/>
      <c r="V446" s="39"/>
      <c r="W446" s="39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spans="1:36" ht="11.25" customHeight="1" x14ac:dyDescent="0.2">
      <c r="A447" s="35" t="s">
        <v>28</v>
      </c>
      <c r="B447" s="35" t="s">
        <v>39</v>
      </c>
      <c r="C447" s="35" t="s">
        <v>41</v>
      </c>
      <c r="D447" s="35" t="s">
        <v>38</v>
      </c>
      <c r="E447" s="35" t="s">
        <v>25</v>
      </c>
      <c r="F447" s="35" t="s">
        <v>25</v>
      </c>
      <c r="G447" s="35" t="s">
        <v>25</v>
      </c>
      <c r="H447" s="35" t="s">
        <v>34</v>
      </c>
      <c r="I447" s="55">
        <v>44805</v>
      </c>
      <c r="J447" s="56">
        <f>EFEITO!$J$447*EFEITO!$Y$447</f>
        <v>0</v>
      </c>
      <c r="K447" s="56">
        <f ca="1">EFEITO!$L$447*EFEITO!$Z$447</f>
        <v>5044.760286292867</v>
      </c>
      <c r="L447" s="56">
        <f>EFEITO!$N$447*EFEITO!$AA$447</f>
        <v>2195.286047353517</v>
      </c>
      <c r="M447" s="56">
        <f>$J$447-EFEITO!$K$447*EFEITO!$Y$447</f>
        <v>0</v>
      </c>
      <c r="N447" s="56">
        <f ca="1">$K$447-EFEITO!$M$447*EFEITO!$Z$447</f>
        <v>0</v>
      </c>
      <c r="O447" s="56">
        <f>$L$447-EFEITO!$O$447*EFEITO!$AA$447</f>
        <v>0</v>
      </c>
      <c r="P447" s="39"/>
      <c r="Q447" s="39"/>
      <c r="R447" s="39"/>
      <c r="S447" s="39"/>
      <c r="T447" s="39"/>
      <c r="U447" s="39"/>
      <c r="V447" s="39"/>
      <c r="W447" s="39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pans="1:36" ht="11.25" customHeight="1" x14ac:dyDescent="0.2">
      <c r="A448" s="35" t="s">
        <v>21</v>
      </c>
      <c r="B448" s="35" t="s">
        <v>39</v>
      </c>
      <c r="C448" s="35" t="s">
        <v>41</v>
      </c>
      <c r="D448" s="35" t="s">
        <v>38</v>
      </c>
      <c r="E448" s="35" t="s">
        <v>25</v>
      </c>
      <c r="F448" s="35" t="s">
        <v>25</v>
      </c>
      <c r="G448" s="35" t="s">
        <v>25</v>
      </c>
      <c r="H448" s="35" t="s">
        <v>34</v>
      </c>
      <c r="I448" s="55">
        <v>44805</v>
      </c>
      <c r="J448" s="56">
        <f>EFEITO!$J$448*EFEITO!$Y$448</f>
        <v>0</v>
      </c>
      <c r="K448" s="56">
        <f ca="1">EFEITO!$L$448*EFEITO!$Z$448</f>
        <v>99294.475229519798</v>
      </c>
      <c r="L448" s="56">
        <f>EFEITO!$N$448*EFEITO!$AA$448</f>
        <v>0</v>
      </c>
      <c r="M448" s="56">
        <f>$J$448-EFEITO!$K$448*EFEITO!$Y$448</f>
        <v>0</v>
      </c>
      <c r="N448" s="56">
        <f ca="1">$K$448-EFEITO!$M$448*EFEITO!$Z$448</f>
        <v>0</v>
      </c>
      <c r="O448" s="56">
        <f>$L$448-EFEITO!$O$448*EFEITO!$AA$448</f>
        <v>0</v>
      </c>
      <c r="P448" s="39"/>
      <c r="Q448" s="39"/>
      <c r="R448" s="39"/>
      <c r="S448" s="39"/>
      <c r="T448" s="39"/>
      <c r="U448" s="39"/>
      <c r="V448" s="39"/>
      <c r="W448" s="39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 spans="1:36" ht="11.25" customHeight="1" x14ac:dyDescent="0.2">
      <c r="A449" s="35" t="s">
        <v>53</v>
      </c>
      <c r="B449" s="35" t="s">
        <v>39</v>
      </c>
      <c r="C449" s="35" t="s">
        <v>41</v>
      </c>
      <c r="D449" s="35" t="s">
        <v>38</v>
      </c>
      <c r="E449" s="35" t="s">
        <v>25</v>
      </c>
      <c r="F449" s="35" t="s">
        <v>25</v>
      </c>
      <c r="G449" s="35" t="s">
        <v>25</v>
      </c>
      <c r="H449" s="35" t="s">
        <v>34</v>
      </c>
      <c r="I449" s="55">
        <v>44835</v>
      </c>
      <c r="J449" s="56">
        <f>EFEITO!$J$449*EFEITO!$Y$449</f>
        <v>0</v>
      </c>
      <c r="K449" s="56">
        <f ca="1">EFEITO!$L$449*EFEITO!$Z$449</f>
        <v>220110.50370344386</v>
      </c>
      <c r="L449" s="56">
        <f>EFEITO!$N$449*EFEITO!$AA$449</f>
        <v>95783.642875766382</v>
      </c>
      <c r="M449" s="56">
        <f>$J$449-EFEITO!$K$449*EFEITO!$Y$449</f>
        <v>0</v>
      </c>
      <c r="N449" s="56">
        <f ca="1">$K$449-EFEITO!$M$449*EFEITO!$Z$449</f>
        <v>0</v>
      </c>
      <c r="O449" s="56">
        <f>$L$449-EFEITO!$O$449*EFEITO!$AA$449</f>
        <v>0</v>
      </c>
      <c r="P449" s="39"/>
      <c r="Q449" s="39"/>
      <c r="R449" s="39"/>
      <c r="S449" s="39"/>
      <c r="T449" s="39"/>
      <c r="U449" s="39"/>
      <c r="V449" s="39"/>
      <c r="W449" s="39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pans="1:36" ht="11.25" customHeight="1" x14ac:dyDescent="0.2">
      <c r="A450" s="35" t="s">
        <v>53</v>
      </c>
      <c r="B450" s="35" t="s">
        <v>39</v>
      </c>
      <c r="C450" s="35" t="s">
        <v>41</v>
      </c>
      <c r="D450" s="35" t="s">
        <v>38</v>
      </c>
      <c r="E450" s="35" t="s">
        <v>25</v>
      </c>
      <c r="F450" s="35" t="s">
        <v>25</v>
      </c>
      <c r="G450" s="35" t="s">
        <v>25</v>
      </c>
      <c r="H450" s="35" t="s">
        <v>34</v>
      </c>
      <c r="I450" s="55">
        <v>44835</v>
      </c>
      <c r="J450" s="56">
        <f>EFEITO!$J$450*EFEITO!$Y$450</f>
        <v>0</v>
      </c>
      <c r="K450" s="56">
        <f ca="1">EFEITO!$L$450*EFEITO!$Z$450</f>
        <v>5044.760286292867</v>
      </c>
      <c r="L450" s="56">
        <f>EFEITO!$N$450*EFEITO!$AA$450</f>
        <v>2195.286047353517</v>
      </c>
      <c r="M450" s="56">
        <f>$J$450-EFEITO!$K$450*EFEITO!$Y$450</f>
        <v>0</v>
      </c>
      <c r="N450" s="56">
        <f ca="1">$K$450-EFEITO!$M$450*EFEITO!$Z$450</f>
        <v>0</v>
      </c>
      <c r="O450" s="56">
        <f>$L$450-EFEITO!$O$450*EFEITO!$AA$450</f>
        <v>0</v>
      </c>
      <c r="P450" s="39"/>
      <c r="Q450" s="39"/>
      <c r="R450" s="39"/>
      <c r="S450" s="39"/>
      <c r="T450" s="39"/>
      <c r="U450" s="39"/>
      <c r="V450" s="39"/>
      <c r="W450" s="39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spans="1:36" ht="11.25" customHeight="1" x14ac:dyDescent="0.2">
      <c r="A451" s="35" t="s">
        <v>53</v>
      </c>
      <c r="B451" s="35" t="s">
        <v>39</v>
      </c>
      <c r="C451" s="35" t="s">
        <v>41</v>
      </c>
      <c r="D451" s="35" t="s">
        <v>38</v>
      </c>
      <c r="E451" s="35" t="s">
        <v>25</v>
      </c>
      <c r="F451" s="35" t="s">
        <v>25</v>
      </c>
      <c r="G451" s="35" t="s">
        <v>25</v>
      </c>
      <c r="H451" s="35" t="s">
        <v>34</v>
      </c>
      <c r="I451" s="55">
        <v>44835</v>
      </c>
      <c r="J451" s="56">
        <f>EFEITO!$J$451*EFEITO!$Y$451</f>
        <v>0</v>
      </c>
      <c r="K451" s="56">
        <f ca="1">EFEITO!$L$451*EFEITO!$Z$451</f>
        <v>99294.475229519798</v>
      </c>
      <c r="L451" s="56">
        <f>EFEITO!$N$451*EFEITO!$AA$451</f>
        <v>0</v>
      </c>
      <c r="M451" s="56">
        <f>$J$451-EFEITO!$K$451*EFEITO!$Y$451</f>
        <v>0</v>
      </c>
      <c r="N451" s="56">
        <f ca="1">$K$451-EFEITO!$M$451*EFEITO!$Z$451</f>
        <v>0</v>
      </c>
      <c r="O451" s="56">
        <f>$L$451-EFEITO!$O$451*EFEITO!$AA$451</f>
        <v>0</v>
      </c>
      <c r="P451" s="39"/>
      <c r="Q451" s="39"/>
      <c r="R451" s="39"/>
      <c r="S451" s="39"/>
      <c r="T451" s="39"/>
      <c r="U451" s="39"/>
      <c r="V451" s="39"/>
      <c r="W451" s="39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 spans="1:36" ht="11.25" customHeight="1" x14ac:dyDescent="0.2">
      <c r="A452" s="35" t="s">
        <v>21</v>
      </c>
      <c r="B452" s="35" t="s">
        <v>39</v>
      </c>
      <c r="C452" s="35" t="s">
        <v>41</v>
      </c>
      <c r="D452" s="35" t="s">
        <v>46</v>
      </c>
      <c r="E452" s="35" t="s">
        <v>25</v>
      </c>
      <c r="F452" s="35" t="s">
        <v>25</v>
      </c>
      <c r="G452" s="35" t="s">
        <v>25</v>
      </c>
      <c r="H452" s="35" t="s">
        <v>35</v>
      </c>
      <c r="I452" s="55">
        <v>44501</v>
      </c>
      <c r="J452" s="56">
        <f>EFEITO!$J$452*EFEITO!$Y$452</f>
        <v>0</v>
      </c>
      <c r="K452" s="56">
        <f ca="1">EFEITO!$L$452*EFEITO!$Z$452</f>
        <v>5214.1802210871028</v>
      </c>
      <c r="L452" s="56">
        <f>EFEITO!$N$452*EFEITO!$AA$452</f>
        <v>12772.017697736372</v>
      </c>
      <c r="M452" s="56">
        <f>$J$452-EFEITO!$K$452*EFEITO!$Y$452</f>
        <v>0</v>
      </c>
      <c r="N452" s="56">
        <f ca="1">$K$452-EFEITO!$M$452*EFEITO!$Z$452</f>
        <v>0</v>
      </c>
      <c r="O452" s="56">
        <f>$L$452-EFEITO!$O$452*EFEITO!$AA$452</f>
        <v>0</v>
      </c>
      <c r="P452" s="39"/>
      <c r="Q452" s="39"/>
      <c r="R452" s="39"/>
      <c r="S452" s="39"/>
      <c r="T452" s="39"/>
      <c r="U452" s="39"/>
      <c r="V452" s="39"/>
      <c r="W452" s="39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spans="1:36" ht="11.25" customHeight="1" x14ac:dyDescent="0.2">
      <c r="A453" s="35" t="s">
        <v>28</v>
      </c>
      <c r="B453" s="35" t="s">
        <v>39</v>
      </c>
      <c r="C453" s="35" t="s">
        <v>41</v>
      </c>
      <c r="D453" s="35" t="s">
        <v>46</v>
      </c>
      <c r="E453" s="35" t="s">
        <v>25</v>
      </c>
      <c r="F453" s="35" t="s">
        <v>25</v>
      </c>
      <c r="G453" s="35" t="s">
        <v>25</v>
      </c>
      <c r="H453" s="35" t="s">
        <v>35</v>
      </c>
      <c r="I453" s="55">
        <v>44501</v>
      </c>
      <c r="J453" s="56">
        <f>EFEITO!$J$453*EFEITO!$Y$453</f>
        <v>0</v>
      </c>
      <c r="K453" s="56">
        <f ca="1">EFEITO!$L$453*EFEITO!$Z$453</f>
        <v>839.47202294522515</v>
      </c>
      <c r="L453" s="56">
        <f>EFEITO!$N$453*EFEITO!$AA$453</f>
        <v>2056.2679230860176</v>
      </c>
      <c r="M453" s="56">
        <f>$J$453-EFEITO!$K$453*EFEITO!$Y$453</f>
        <v>0</v>
      </c>
      <c r="N453" s="56">
        <f ca="1">$K$453-EFEITO!$M$453*EFEITO!$Z$453</f>
        <v>0</v>
      </c>
      <c r="O453" s="56">
        <f>$L$453-EFEITO!$O$453*EFEITO!$AA$453</f>
        <v>0</v>
      </c>
      <c r="P453" s="39"/>
      <c r="Q453" s="39"/>
      <c r="R453" s="39"/>
      <c r="S453" s="39"/>
      <c r="T453" s="39"/>
      <c r="U453" s="39"/>
      <c r="V453" s="39"/>
      <c r="W453" s="39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spans="1:36" ht="11.25" customHeight="1" x14ac:dyDescent="0.2">
      <c r="A454" s="35" t="s">
        <v>21</v>
      </c>
      <c r="B454" s="35" t="s">
        <v>39</v>
      </c>
      <c r="C454" s="35" t="s">
        <v>41</v>
      </c>
      <c r="D454" s="35" t="s">
        <v>46</v>
      </c>
      <c r="E454" s="35" t="s">
        <v>25</v>
      </c>
      <c r="F454" s="35" t="s">
        <v>25</v>
      </c>
      <c r="G454" s="35" t="s">
        <v>25</v>
      </c>
      <c r="H454" s="35" t="s">
        <v>35</v>
      </c>
      <c r="I454" s="55">
        <v>44531</v>
      </c>
      <c r="J454" s="56">
        <f>EFEITO!$J$454*EFEITO!$Y$454</f>
        <v>0</v>
      </c>
      <c r="K454" s="56">
        <f ca="1">EFEITO!$L$454*EFEITO!$Z$454</f>
        <v>5279.647557664819</v>
      </c>
      <c r="L454" s="56">
        <f>EFEITO!$N$454*EFEITO!$AA$454</f>
        <v>12932.37847276534</v>
      </c>
      <c r="M454" s="56">
        <f>$J$454-EFEITO!$K$454*EFEITO!$Y$454</f>
        <v>0</v>
      </c>
      <c r="N454" s="56">
        <f ca="1">$K$454-EFEITO!$M$454*EFEITO!$Z$454</f>
        <v>0</v>
      </c>
      <c r="O454" s="56">
        <f>$L$454-EFEITO!$O$454*EFEITO!$AA$454</f>
        <v>0</v>
      </c>
      <c r="P454" s="39"/>
      <c r="Q454" s="39"/>
      <c r="R454" s="39"/>
      <c r="S454" s="39"/>
      <c r="T454" s="39"/>
      <c r="U454" s="39"/>
      <c r="V454" s="39"/>
      <c r="W454" s="39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spans="1:36" ht="11.25" customHeight="1" x14ac:dyDescent="0.2">
      <c r="A455" s="35" t="s">
        <v>28</v>
      </c>
      <c r="B455" s="35" t="s">
        <v>39</v>
      </c>
      <c r="C455" s="35" t="s">
        <v>41</v>
      </c>
      <c r="D455" s="35" t="s">
        <v>46</v>
      </c>
      <c r="E455" s="35" t="s">
        <v>25</v>
      </c>
      <c r="F455" s="35" t="s">
        <v>25</v>
      </c>
      <c r="G455" s="35" t="s">
        <v>25</v>
      </c>
      <c r="H455" s="35" t="s">
        <v>35</v>
      </c>
      <c r="I455" s="55">
        <v>44531</v>
      </c>
      <c r="J455" s="56">
        <f>EFEITO!$J$455*EFEITO!$Y$455</f>
        <v>0</v>
      </c>
      <c r="K455" s="56">
        <f ca="1">EFEITO!$L$455*EFEITO!$Z$455</f>
        <v>618.39762144211772</v>
      </c>
      <c r="L455" s="56">
        <f>EFEITO!$N$455*EFEITO!$AA$455</f>
        <v>1514.7511268128192</v>
      </c>
      <c r="M455" s="56">
        <f>$J$455-EFEITO!$K$455*EFEITO!$Y$455</f>
        <v>0</v>
      </c>
      <c r="N455" s="56">
        <f ca="1">$K$455-EFEITO!$M$455*EFEITO!$Z$455</f>
        <v>0</v>
      </c>
      <c r="O455" s="56">
        <f>$L$455-EFEITO!$O$455*EFEITO!$AA$455</f>
        <v>0</v>
      </c>
      <c r="P455" s="39"/>
      <c r="Q455" s="39"/>
      <c r="R455" s="39"/>
      <c r="S455" s="39"/>
      <c r="T455" s="39"/>
      <c r="U455" s="39"/>
      <c r="V455" s="39"/>
      <c r="W455" s="39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 spans="1:36" ht="11.25" customHeight="1" x14ac:dyDescent="0.2">
      <c r="A456" s="35" t="s">
        <v>21</v>
      </c>
      <c r="B456" s="35" t="s">
        <v>39</v>
      </c>
      <c r="C456" s="35" t="s">
        <v>41</v>
      </c>
      <c r="D456" s="35" t="s">
        <v>46</v>
      </c>
      <c r="E456" s="35" t="s">
        <v>25</v>
      </c>
      <c r="F456" s="35" t="s">
        <v>25</v>
      </c>
      <c r="G456" s="35" t="s">
        <v>25</v>
      </c>
      <c r="H456" s="35" t="s">
        <v>35</v>
      </c>
      <c r="I456" s="55">
        <v>44562</v>
      </c>
      <c r="J456" s="56">
        <f>EFEITO!$J$456*EFEITO!$Y$456</f>
        <v>0</v>
      </c>
      <c r="K456" s="56">
        <f ca="1">EFEITO!$L$456*EFEITO!$Z$456</f>
        <v>5072.8636008997582</v>
      </c>
      <c r="L456" s="56">
        <f>EFEITO!$N$456*EFEITO!$AA$456</f>
        <v>12425.865800892123</v>
      </c>
      <c r="M456" s="56">
        <f>$J$456-EFEITO!$K$456*EFEITO!$Y$456</f>
        <v>0</v>
      </c>
      <c r="N456" s="56">
        <f ca="1">$K$456-EFEITO!$M$456*EFEITO!$Z$456</f>
        <v>0</v>
      </c>
      <c r="O456" s="56">
        <f>$L$456-EFEITO!$O$456*EFEITO!$AA$456</f>
        <v>0</v>
      </c>
      <c r="P456" s="39"/>
      <c r="Q456" s="39"/>
      <c r="R456" s="39"/>
      <c r="S456" s="39"/>
      <c r="T456" s="39"/>
      <c r="U456" s="39"/>
      <c r="V456" s="39"/>
      <c r="W456" s="39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 spans="1:36" ht="11.25" customHeight="1" x14ac:dyDescent="0.2">
      <c r="A457" s="35" t="s">
        <v>28</v>
      </c>
      <c r="B457" s="35" t="s">
        <v>39</v>
      </c>
      <c r="C457" s="35" t="s">
        <v>41</v>
      </c>
      <c r="D457" s="35" t="s">
        <v>46</v>
      </c>
      <c r="E457" s="35" t="s">
        <v>25</v>
      </c>
      <c r="F457" s="35" t="s">
        <v>25</v>
      </c>
      <c r="G457" s="35" t="s">
        <v>25</v>
      </c>
      <c r="H457" s="35" t="s">
        <v>35</v>
      </c>
      <c r="I457" s="55">
        <v>44562</v>
      </c>
      <c r="J457" s="56">
        <f>EFEITO!$J$457*EFEITO!$Y$457</f>
        <v>0</v>
      </c>
      <c r="K457" s="56">
        <f ca="1">EFEITO!$L$457*EFEITO!$Z$457</f>
        <v>622.91682191483312</v>
      </c>
      <c r="L457" s="56">
        <f>EFEITO!$N$457*EFEITO!$AA$457</f>
        <v>1525.8208071786248</v>
      </c>
      <c r="M457" s="56">
        <f>$J$457-EFEITO!$K$457*EFEITO!$Y$457</f>
        <v>0</v>
      </c>
      <c r="N457" s="56">
        <f ca="1">$K$457-EFEITO!$M$457*EFEITO!$Z$457</f>
        <v>0</v>
      </c>
      <c r="O457" s="56">
        <f>$L$457-EFEITO!$O$457*EFEITO!$AA$457</f>
        <v>0</v>
      </c>
      <c r="P457" s="39"/>
      <c r="Q457" s="39"/>
      <c r="R457" s="39"/>
      <c r="S457" s="39"/>
      <c r="T457" s="39"/>
      <c r="U457" s="39"/>
      <c r="V457" s="39"/>
      <c r="W457" s="39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 spans="1:36" ht="11.25" customHeight="1" x14ac:dyDescent="0.2">
      <c r="A458" s="35" t="s">
        <v>21</v>
      </c>
      <c r="B458" s="35" t="s">
        <v>39</v>
      </c>
      <c r="C458" s="35" t="s">
        <v>41</v>
      </c>
      <c r="D458" s="35" t="s">
        <v>46</v>
      </c>
      <c r="E458" s="35" t="s">
        <v>25</v>
      </c>
      <c r="F458" s="35" t="s">
        <v>25</v>
      </c>
      <c r="G458" s="35" t="s">
        <v>25</v>
      </c>
      <c r="H458" s="35" t="s">
        <v>35</v>
      </c>
      <c r="I458" s="55">
        <v>44593</v>
      </c>
      <c r="J458" s="56">
        <f>EFEITO!$J$458*EFEITO!$Y$458</f>
        <v>0</v>
      </c>
      <c r="K458" s="56">
        <f ca="1">EFEITO!$L$458*EFEITO!$Z$458</f>
        <v>4913.5923193748677</v>
      </c>
      <c r="L458" s="56">
        <f>EFEITO!$N$458*EFEITO!$AA$458</f>
        <v>12035.734363135078</v>
      </c>
      <c r="M458" s="56">
        <f>$J$458-EFEITO!$K$458*EFEITO!$Y$458</f>
        <v>0</v>
      </c>
      <c r="N458" s="56">
        <f ca="1">$K$458-EFEITO!$M$458*EFEITO!$Z$458</f>
        <v>0</v>
      </c>
      <c r="O458" s="56">
        <f>$L$458-EFEITO!$O$458*EFEITO!$AA$458</f>
        <v>0</v>
      </c>
      <c r="P458" s="39"/>
      <c r="Q458" s="39"/>
      <c r="R458" s="39"/>
      <c r="S458" s="39"/>
      <c r="T458" s="39"/>
      <c r="U458" s="39"/>
      <c r="V458" s="39"/>
      <c r="W458" s="39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 spans="1:36" ht="11.25" customHeight="1" x14ac:dyDescent="0.2">
      <c r="A459" s="35" t="s">
        <v>28</v>
      </c>
      <c r="B459" s="35" t="s">
        <v>39</v>
      </c>
      <c r="C459" s="35" t="s">
        <v>41</v>
      </c>
      <c r="D459" s="35" t="s">
        <v>46</v>
      </c>
      <c r="E459" s="35" t="s">
        <v>25</v>
      </c>
      <c r="F459" s="35" t="s">
        <v>25</v>
      </c>
      <c r="G459" s="35" t="s">
        <v>25</v>
      </c>
      <c r="H459" s="35" t="s">
        <v>35</v>
      </c>
      <c r="I459" s="55">
        <v>44593</v>
      </c>
      <c r="J459" s="56">
        <f>EFEITO!$J$459*EFEITO!$Y$459</f>
        <v>0</v>
      </c>
      <c r="K459" s="56">
        <f ca="1">EFEITO!$L$459*EFEITO!$Z$459</f>
        <v>655.28406854374123</v>
      </c>
      <c r="L459" s="56">
        <f>EFEITO!$N$459*EFEITO!$AA$459</f>
        <v>1605.103653041828</v>
      </c>
      <c r="M459" s="56">
        <f>$J$459-EFEITO!$K$459*EFEITO!$Y$459</f>
        <v>0</v>
      </c>
      <c r="N459" s="56">
        <f ca="1">$K$459-EFEITO!$M$459*EFEITO!$Z$459</f>
        <v>0</v>
      </c>
      <c r="O459" s="56">
        <f>$L$459-EFEITO!$O$459*EFEITO!$AA$459</f>
        <v>0</v>
      </c>
      <c r="P459" s="39"/>
      <c r="Q459" s="39"/>
      <c r="R459" s="39"/>
      <c r="S459" s="39"/>
      <c r="T459" s="39"/>
      <c r="U459" s="39"/>
      <c r="V459" s="39"/>
      <c r="W459" s="39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pans="1:36" ht="11.25" customHeight="1" x14ac:dyDescent="0.2">
      <c r="A460" s="35" t="s">
        <v>21</v>
      </c>
      <c r="B460" s="35" t="s">
        <v>39</v>
      </c>
      <c r="C460" s="35" t="s">
        <v>41</v>
      </c>
      <c r="D460" s="35" t="s">
        <v>46</v>
      </c>
      <c r="E460" s="35" t="s">
        <v>25</v>
      </c>
      <c r="F460" s="35" t="s">
        <v>25</v>
      </c>
      <c r="G460" s="35" t="s">
        <v>25</v>
      </c>
      <c r="H460" s="35" t="s">
        <v>35</v>
      </c>
      <c r="I460" s="55">
        <v>44621</v>
      </c>
      <c r="J460" s="56">
        <f>EFEITO!$J$460*EFEITO!$Y$460</f>
        <v>0</v>
      </c>
      <c r="K460" s="56">
        <f ca="1">EFEITO!$L$460*EFEITO!$Z$460</f>
        <v>5048.9240524496981</v>
      </c>
      <c r="L460" s="56">
        <f>EFEITO!$N$460*EFEITO!$AA$460</f>
        <v>12367.226413008397</v>
      </c>
      <c r="M460" s="56">
        <f>$J$460-EFEITO!$K$460*EFEITO!$Y$460</f>
        <v>0</v>
      </c>
      <c r="N460" s="56">
        <f ca="1">$K$460-EFEITO!$M$460*EFEITO!$Z$460</f>
        <v>0</v>
      </c>
      <c r="O460" s="56">
        <f>$L$460-EFEITO!$O$460*EFEITO!$AA$460</f>
        <v>0</v>
      </c>
      <c r="P460" s="39"/>
      <c r="Q460" s="39"/>
      <c r="R460" s="39"/>
      <c r="S460" s="39"/>
      <c r="T460" s="39"/>
      <c r="U460" s="39"/>
      <c r="V460" s="39"/>
      <c r="W460" s="39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spans="1:36" ht="11.25" customHeight="1" x14ac:dyDescent="0.2">
      <c r="A461" s="35" t="s">
        <v>28</v>
      </c>
      <c r="B461" s="35" t="s">
        <v>39</v>
      </c>
      <c r="C461" s="35" t="s">
        <v>41</v>
      </c>
      <c r="D461" s="35" t="s">
        <v>46</v>
      </c>
      <c r="E461" s="35" t="s">
        <v>25</v>
      </c>
      <c r="F461" s="35" t="s">
        <v>25</v>
      </c>
      <c r="G461" s="35" t="s">
        <v>25</v>
      </c>
      <c r="H461" s="35" t="s">
        <v>35</v>
      </c>
      <c r="I461" s="55">
        <v>44621</v>
      </c>
      <c r="J461" s="56">
        <f>EFEITO!$J$461*EFEITO!$Y$461</f>
        <v>0</v>
      </c>
      <c r="K461" s="56">
        <f ca="1">EFEITO!$L$461*EFEITO!$Z$461</f>
        <v>528.2578930944419</v>
      </c>
      <c r="L461" s="56">
        <f>EFEITO!$N$461*EFEITO!$AA$461</f>
        <v>1293.9558805975594</v>
      </c>
      <c r="M461" s="56">
        <f>$J$461-EFEITO!$K$461*EFEITO!$Y$461</f>
        <v>0</v>
      </c>
      <c r="N461" s="56">
        <f ca="1">$K$461-EFEITO!$M$461*EFEITO!$Z$461</f>
        <v>0</v>
      </c>
      <c r="O461" s="56">
        <f>$L$461-EFEITO!$O$461*EFEITO!$AA$461</f>
        <v>0</v>
      </c>
      <c r="P461" s="39"/>
      <c r="Q461" s="39"/>
      <c r="R461" s="39"/>
      <c r="S461" s="39"/>
      <c r="T461" s="39"/>
      <c r="U461" s="39"/>
      <c r="V461" s="39"/>
      <c r="W461" s="39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spans="1:36" ht="11.25" customHeight="1" x14ac:dyDescent="0.2">
      <c r="A462" s="35" t="s">
        <v>21</v>
      </c>
      <c r="B462" s="35" t="s">
        <v>39</v>
      </c>
      <c r="C462" s="35" t="s">
        <v>41</v>
      </c>
      <c r="D462" s="35" t="s">
        <v>46</v>
      </c>
      <c r="E462" s="35" t="s">
        <v>25</v>
      </c>
      <c r="F462" s="35" t="s">
        <v>25</v>
      </c>
      <c r="G462" s="35" t="s">
        <v>25</v>
      </c>
      <c r="H462" s="35" t="s">
        <v>35</v>
      </c>
      <c r="I462" s="55">
        <v>44652</v>
      </c>
      <c r="J462" s="56">
        <f>EFEITO!$J$462*EFEITO!$Y$462</f>
        <v>0</v>
      </c>
      <c r="K462" s="56">
        <f ca="1">EFEITO!$L$462*EFEITO!$Z$462</f>
        <v>6135.8528364144231</v>
      </c>
      <c r="L462" s="56">
        <f>EFEITO!$N$462*EFEITO!$AA$462</f>
        <v>15029.634131259882</v>
      </c>
      <c r="M462" s="56">
        <f>$J$462-EFEITO!$K$462*EFEITO!$Y$462</f>
        <v>0</v>
      </c>
      <c r="N462" s="56">
        <f ca="1">$K$462-EFEITO!$M$462*EFEITO!$Z$462</f>
        <v>0</v>
      </c>
      <c r="O462" s="56">
        <f>$L$462-EFEITO!$O$462*EFEITO!$AA$462</f>
        <v>0</v>
      </c>
      <c r="P462" s="39"/>
      <c r="Q462" s="39"/>
      <c r="R462" s="39"/>
      <c r="S462" s="39"/>
      <c r="T462" s="39"/>
      <c r="U462" s="39"/>
      <c r="V462" s="39"/>
      <c r="W462" s="39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6" ht="11.25" customHeight="1" x14ac:dyDescent="0.2">
      <c r="A463" s="35" t="s">
        <v>28</v>
      </c>
      <c r="B463" s="35" t="s">
        <v>39</v>
      </c>
      <c r="C463" s="35" t="s">
        <v>41</v>
      </c>
      <c r="D463" s="35" t="s">
        <v>46</v>
      </c>
      <c r="E463" s="35" t="s">
        <v>25</v>
      </c>
      <c r="F463" s="35" t="s">
        <v>25</v>
      </c>
      <c r="G463" s="35" t="s">
        <v>25</v>
      </c>
      <c r="H463" s="35" t="s">
        <v>35</v>
      </c>
      <c r="I463" s="55">
        <v>44652</v>
      </c>
      <c r="J463" s="56">
        <f>EFEITO!$J$463*EFEITO!$Y$463</f>
        <v>0</v>
      </c>
      <c r="K463" s="56">
        <f ca="1">EFEITO!$L$463*EFEITO!$Z$463</f>
        <v>733.08760100643701</v>
      </c>
      <c r="L463" s="56">
        <f>EFEITO!$N$463*EFEITO!$AA$463</f>
        <v>1795.6816636639423</v>
      </c>
      <c r="M463" s="56">
        <f>$J$463-EFEITO!$K$463*EFEITO!$Y$463</f>
        <v>0</v>
      </c>
      <c r="N463" s="56">
        <f ca="1">$K$463-EFEITO!$M$463*EFEITO!$Z$463</f>
        <v>0</v>
      </c>
      <c r="O463" s="56">
        <f>$L$463-EFEITO!$O$463*EFEITO!$AA$463</f>
        <v>0</v>
      </c>
      <c r="P463" s="39"/>
      <c r="Q463" s="39"/>
      <c r="R463" s="39"/>
      <c r="S463" s="39"/>
      <c r="T463" s="39"/>
      <c r="U463" s="39"/>
      <c r="V463" s="39"/>
      <c r="W463" s="39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spans="1:36" ht="11.25" customHeight="1" x14ac:dyDescent="0.2">
      <c r="A464" s="35" t="s">
        <v>21</v>
      </c>
      <c r="B464" s="35" t="s">
        <v>39</v>
      </c>
      <c r="C464" s="35" t="s">
        <v>41</v>
      </c>
      <c r="D464" s="35" t="s">
        <v>46</v>
      </c>
      <c r="E464" s="35" t="s">
        <v>25</v>
      </c>
      <c r="F464" s="35" t="s">
        <v>25</v>
      </c>
      <c r="G464" s="35" t="s">
        <v>25</v>
      </c>
      <c r="H464" s="35" t="s">
        <v>35</v>
      </c>
      <c r="I464" s="55">
        <v>44682</v>
      </c>
      <c r="J464" s="56">
        <f>EFEITO!$J$464*EFEITO!$Y$464</f>
        <v>0</v>
      </c>
      <c r="K464" s="56">
        <f ca="1">EFEITO!$L$464*EFEITO!$Z$464</f>
        <v>5592.8159363686691</v>
      </c>
      <c r="L464" s="56">
        <f>EFEITO!$N$464*EFEITO!$AA$464</f>
        <v>13699.477404060633</v>
      </c>
      <c r="M464" s="56">
        <f>$J$464-EFEITO!$K$464*EFEITO!$Y$464</f>
        <v>0</v>
      </c>
      <c r="N464" s="56">
        <f ca="1">$K$464-EFEITO!$M$464*EFEITO!$Z$464</f>
        <v>0</v>
      </c>
      <c r="O464" s="56">
        <f>$L$464-EFEITO!$O$464*EFEITO!$AA$464</f>
        <v>0</v>
      </c>
      <c r="P464" s="39"/>
      <c r="Q464" s="39"/>
      <c r="R464" s="39"/>
      <c r="S464" s="39"/>
      <c r="T464" s="39"/>
      <c r="U464" s="39"/>
      <c r="V464" s="39"/>
      <c r="W464" s="39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 spans="1:36" ht="11.25" customHeight="1" x14ac:dyDescent="0.2">
      <c r="A465" s="35" t="s">
        <v>28</v>
      </c>
      <c r="B465" s="35" t="s">
        <v>39</v>
      </c>
      <c r="C465" s="35" t="s">
        <v>41</v>
      </c>
      <c r="D465" s="35" t="s">
        <v>46</v>
      </c>
      <c r="E465" s="35" t="s">
        <v>25</v>
      </c>
      <c r="F465" s="35" t="s">
        <v>25</v>
      </c>
      <c r="G465" s="35" t="s">
        <v>25</v>
      </c>
      <c r="H465" s="35" t="s">
        <v>35</v>
      </c>
      <c r="I465" s="55">
        <v>44682</v>
      </c>
      <c r="J465" s="56">
        <f>EFEITO!$J$465*EFEITO!$Y$465</f>
        <v>0</v>
      </c>
      <c r="K465" s="56">
        <f ca="1">EFEITO!$L$465*EFEITO!$Z$465</f>
        <v>728.93482219367149</v>
      </c>
      <c r="L465" s="56">
        <f>EFEITO!$N$465*EFEITO!$AA$465</f>
        <v>1785.5095249494182</v>
      </c>
      <c r="M465" s="56">
        <f>$J$465-EFEITO!$K$465*EFEITO!$Y$465</f>
        <v>0</v>
      </c>
      <c r="N465" s="56">
        <f ca="1">$K$465-EFEITO!$M$465*EFEITO!$Z$465</f>
        <v>0</v>
      </c>
      <c r="O465" s="56">
        <f>$L$465-EFEITO!$O$465*EFEITO!$AA$465</f>
        <v>0</v>
      </c>
      <c r="P465" s="39"/>
      <c r="Q465" s="39"/>
      <c r="R465" s="39"/>
      <c r="S465" s="39"/>
      <c r="T465" s="39"/>
      <c r="U465" s="39"/>
      <c r="V465" s="39"/>
      <c r="W465" s="39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spans="1:36" ht="11.25" customHeight="1" x14ac:dyDescent="0.2">
      <c r="A466" s="35" t="s">
        <v>21</v>
      </c>
      <c r="B466" s="35" t="s">
        <v>39</v>
      </c>
      <c r="C466" s="35" t="s">
        <v>41</v>
      </c>
      <c r="D466" s="35" t="s">
        <v>46</v>
      </c>
      <c r="E466" s="35" t="s">
        <v>25</v>
      </c>
      <c r="F466" s="35" t="s">
        <v>25</v>
      </c>
      <c r="G466" s="35" t="s">
        <v>25</v>
      </c>
      <c r="H466" s="35" t="s">
        <v>35</v>
      </c>
      <c r="I466" s="55">
        <v>44713</v>
      </c>
      <c r="J466" s="56">
        <f>EFEITO!$J$466*EFEITO!$Y$466</f>
        <v>0</v>
      </c>
      <c r="K466" s="56">
        <f ca="1">EFEITO!$L$466*EFEITO!$Z$466</f>
        <v>5756.7285589195917</v>
      </c>
      <c r="L466" s="56">
        <f>EFEITO!$N$466*EFEITO!$AA$466</f>
        <v>14100.97770273391</v>
      </c>
      <c r="M466" s="56">
        <f>$J$466-EFEITO!$K$466*EFEITO!$Y$466</f>
        <v>0</v>
      </c>
      <c r="N466" s="56">
        <f ca="1">$K$466-EFEITO!$M$466*EFEITO!$Z$466</f>
        <v>0</v>
      </c>
      <c r="O466" s="56">
        <f>$L$466-EFEITO!$O$466*EFEITO!$AA$466</f>
        <v>0</v>
      </c>
      <c r="P466" s="39"/>
      <c r="Q466" s="39"/>
      <c r="R466" s="39"/>
      <c r="S466" s="39"/>
      <c r="T466" s="39"/>
      <c r="U466" s="39"/>
      <c r="V466" s="39"/>
      <c r="W466" s="39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 spans="1:36" ht="11.25" customHeight="1" x14ac:dyDescent="0.2">
      <c r="A467" s="35" t="s">
        <v>28</v>
      </c>
      <c r="B467" s="35" t="s">
        <v>39</v>
      </c>
      <c r="C467" s="35" t="s">
        <v>41</v>
      </c>
      <c r="D467" s="35" t="s">
        <v>46</v>
      </c>
      <c r="E467" s="35" t="s">
        <v>25</v>
      </c>
      <c r="F467" s="35" t="s">
        <v>25</v>
      </c>
      <c r="G467" s="35" t="s">
        <v>25</v>
      </c>
      <c r="H467" s="35" t="s">
        <v>35</v>
      </c>
      <c r="I467" s="55">
        <v>44713</v>
      </c>
      <c r="J467" s="56">
        <f>EFEITO!$J$467*EFEITO!$Y$467</f>
        <v>0</v>
      </c>
      <c r="K467" s="56">
        <f ca="1">EFEITO!$L$467*EFEITO!$Z$467</f>
        <v>967.96388503432411</v>
      </c>
      <c r="L467" s="56">
        <f>EFEITO!$N$467*EFEITO!$AA$467</f>
        <v>2371.0058621354119</v>
      </c>
      <c r="M467" s="56">
        <f>$J$467-EFEITO!$K$467*EFEITO!$Y$467</f>
        <v>0</v>
      </c>
      <c r="N467" s="56">
        <f ca="1">$K$467-EFEITO!$M$467*EFEITO!$Z$467</f>
        <v>0</v>
      </c>
      <c r="O467" s="56">
        <f>$L$467-EFEITO!$O$467*EFEITO!$AA$467</f>
        <v>0</v>
      </c>
      <c r="P467" s="39"/>
      <c r="Q467" s="39"/>
      <c r="R467" s="39"/>
      <c r="S467" s="39"/>
      <c r="T467" s="39"/>
      <c r="U467" s="39"/>
      <c r="V467" s="39"/>
      <c r="W467" s="39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 spans="1:36" ht="11.25" customHeight="1" x14ac:dyDescent="0.2">
      <c r="A468" s="35" t="s">
        <v>21</v>
      </c>
      <c r="B468" s="35" t="s">
        <v>39</v>
      </c>
      <c r="C468" s="35" t="s">
        <v>41</v>
      </c>
      <c r="D468" s="35" t="s">
        <v>46</v>
      </c>
      <c r="E468" s="35" t="s">
        <v>25</v>
      </c>
      <c r="F468" s="35" t="s">
        <v>25</v>
      </c>
      <c r="G468" s="35" t="s">
        <v>25</v>
      </c>
      <c r="H468" s="35" t="s">
        <v>35</v>
      </c>
      <c r="I468" s="55">
        <v>44743</v>
      </c>
      <c r="J468" s="56">
        <f>EFEITO!$J$468*EFEITO!$Y$468</f>
        <v>0</v>
      </c>
      <c r="K468" s="56">
        <f ca="1">EFEITO!$L$468*EFEITO!$Z$468</f>
        <v>5646.9242014879374</v>
      </c>
      <c r="L468" s="56">
        <f>EFEITO!$N$468*EFEITO!$AA$468</f>
        <v>13832.014387899873</v>
      </c>
      <c r="M468" s="56">
        <f>$J$468-EFEITO!$K$468*EFEITO!$Y$468</f>
        <v>0</v>
      </c>
      <c r="N468" s="56">
        <f ca="1">$K$468-EFEITO!$M$468*EFEITO!$Z$468</f>
        <v>0</v>
      </c>
      <c r="O468" s="56">
        <f>$L$468-EFEITO!$O$468*EFEITO!$AA$468</f>
        <v>0</v>
      </c>
      <c r="P468" s="39"/>
      <c r="Q468" s="39"/>
      <c r="R468" s="39"/>
      <c r="S468" s="39"/>
      <c r="T468" s="39"/>
      <c r="U468" s="39"/>
      <c r="V468" s="39"/>
      <c r="W468" s="39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spans="1:36" ht="11.25" customHeight="1" x14ac:dyDescent="0.2">
      <c r="A469" s="35" t="s">
        <v>21</v>
      </c>
      <c r="B469" s="35" t="s">
        <v>39</v>
      </c>
      <c r="C469" s="35" t="s">
        <v>41</v>
      </c>
      <c r="D469" s="35" t="s">
        <v>46</v>
      </c>
      <c r="E469" s="35" t="s">
        <v>25</v>
      </c>
      <c r="F469" s="35" t="s">
        <v>25</v>
      </c>
      <c r="G469" s="35" t="s">
        <v>25</v>
      </c>
      <c r="H469" s="35" t="s">
        <v>35</v>
      </c>
      <c r="I469" s="55">
        <v>44774</v>
      </c>
      <c r="J469" s="56">
        <f>EFEITO!$J$469*EFEITO!$Y$469</f>
        <v>0</v>
      </c>
      <c r="K469" s="56">
        <f ca="1">EFEITO!$L$469*EFEITO!$Z$469</f>
        <v>5665.3674250387494</v>
      </c>
      <c r="L469" s="56">
        <f>EFEITO!$N$469*EFEITO!$AA$469</f>
        <v>13877.19065101438</v>
      </c>
      <c r="M469" s="56">
        <f>$J$469-EFEITO!$K$469*EFEITO!$Y$469</f>
        <v>0</v>
      </c>
      <c r="N469" s="56">
        <f ca="1">$K$469-EFEITO!$M$469*EFEITO!$Z$469</f>
        <v>0</v>
      </c>
      <c r="O469" s="56">
        <f>$L$469-EFEITO!$O$469*EFEITO!$AA$469</f>
        <v>0</v>
      </c>
      <c r="P469" s="39"/>
      <c r="Q469" s="39"/>
      <c r="R469" s="39"/>
      <c r="S469" s="39"/>
      <c r="T469" s="39"/>
      <c r="U469" s="39"/>
      <c r="V469" s="39"/>
      <c r="W469" s="39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 spans="1:36" ht="11.25" customHeight="1" x14ac:dyDescent="0.2">
      <c r="A470" s="35" t="s">
        <v>28</v>
      </c>
      <c r="B470" s="35" t="s">
        <v>39</v>
      </c>
      <c r="C470" s="35" t="s">
        <v>41</v>
      </c>
      <c r="D470" s="35" t="s">
        <v>46</v>
      </c>
      <c r="E470" s="35" t="s">
        <v>25</v>
      </c>
      <c r="F470" s="35" t="s">
        <v>25</v>
      </c>
      <c r="G470" s="35" t="s">
        <v>25</v>
      </c>
      <c r="H470" s="35" t="s">
        <v>35</v>
      </c>
      <c r="I470" s="55">
        <v>44774</v>
      </c>
      <c r="J470" s="56">
        <f>EFEITO!$J$470*EFEITO!$Y$470</f>
        <v>0</v>
      </c>
      <c r="K470" s="56">
        <f ca="1">EFEITO!$L$470*EFEITO!$Z$470</f>
        <v>1509.6572389935957</v>
      </c>
      <c r="L470" s="56">
        <f>EFEITO!$N$470*EFEITO!$AA$470</f>
        <v>3697.8716032799612</v>
      </c>
      <c r="M470" s="56">
        <f>$J$470-EFEITO!$K$470*EFEITO!$Y$470</f>
        <v>0</v>
      </c>
      <c r="N470" s="56">
        <f ca="1">$K$470-EFEITO!$M$470*EFEITO!$Z$470</f>
        <v>0</v>
      </c>
      <c r="O470" s="56">
        <f>$L$470-EFEITO!$O$470*EFEITO!$AA$470</f>
        <v>0</v>
      </c>
      <c r="P470" s="39"/>
      <c r="Q470" s="39"/>
      <c r="R470" s="39"/>
      <c r="S470" s="39"/>
      <c r="T470" s="39"/>
      <c r="U470" s="39"/>
      <c r="V470" s="39"/>
      <c r="W470" s="39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spans="1:36" ht="11.25" customHeight="1" x14ac:dyDescent="0.2">
      <c r="A471" s="35" t="s">
        <v>21</v>
      </c>
      <c r="B471" s="35" t="s">
        <v>39</v>
      </c>
      <c r="C471" s="35" t="s">
        <v>41</v>
      </c>
      <c r="D471" s="35" t="s">
        <v>46</v>
      </c>
      <c r="E471" s="35" t="s">
        <v>25</v>
      </c>
      <c r="F471" s="35" t="s">
        <v>25</v>
      </c>
      <c r="G471" s="35" t="s">
        <v>25</v>
      </c>
      <c r="H471" s="35" t="s">
        <v>35</v>
      </c>
      <c r="I471" s="55">
        <v>44805</v>
      </c>
      <c r="J471" s="56">
        <f>EFEITO!$J$471*EFEITO!$Y$471</f>
        <v>0</v>
      </c>
      <c r="K471" s="56">
        <f ca="1">EFEITO!$L$471*EFEITO!$Z$471</f>
        <v>5791.1721949548828</v>
      </c>
      <c r="L471" s="56">
        <f>EFEITO!$N$471*EFEITO!$AA$471</f>
        <v>14185.346617954378</v>
      </c>
      <c r="M471" s="56">
        <f>$J$471-EFEITO!$K$471*EFEITO!$Y$471</f>
        <v>0</v>
      </c>
      <c r="N471" s="56">
        <f ca="1">$K$471-EFEITO!$M$471*EFEITO!$Z$471</f>
        <v>0</v>
      </c>
      <c r="O471" s="56">
        <f>$L$471-EFEITO!$O$471*EFEITO!$AA$471</f>
        <v>0</v>
      </c>
      <c r="P471" s="39"/>
      <c r="Q471" s="39"/>
      <c r="R471" s="39"/>
      <c r="S471" s="39"/>
      <c r="T471" s="39"/>
      <c r="U471" s="39"/>
      <c r="V471" s="39"/>
      <c r="W471" s="39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spans="1:36" ht="11.25" customHeight="1" x14ac:dyDescent="0.2">
      <c r="A472" s="35" t="s">
        <v>28</v>
      </c>
      <c r="B472" s="35" t="s">
        <v>39</v>
      </c>
      <c r="C472" s="35" t="s">
        <v>41</v>
      </c>
      <c r="D472" s="35" t="s">
        <v>46</v>
      </c>
      <c r="E472" s="35" t="s">
        <v>25</v>
      </c>
      <c r="F472" s="35" t="s">
        <v>25</v>
      </c>
      <c r="G472" s="35" t="s">
        <v>25</v>
      </c>
      <c r="H472" s="35" t="s">
        <v>35</v>
      </c>
      <c r="I472" s="55">
        <v>44805</v>
      </c>
      <c r="J472" s="56">
        <f>EFEITO!$J$472*EFEITO!$Y$472</f>
        <v>0</v>
      </c>
      <c r="K472" s="56">
        <f ca="1">EFEITO!$L$472*EFEITO!$Z$472</f>
        <v>1593.8120802287565</v>
      </c>
      <c r="L472" s="56">
        <f>EFEITO!$N$472*EFEITO!$AA$472</f>
        <v>3904.0070025242894</v>
      </c>
      <c r="M472" s="56">
        <f>$J$472-EFEITO!$K$472*EFEITO!$Y$472</f>
        <v>0</v>
      </c>
      <c r="N472" s="56">
        <f ca="1">$K$472-EFEITO!$M$472*EFEITO!$Z$472</f>
        <v>0</v>
      </c>
      <c r="O472" s="56">
        <f>$L$472-EFEITO!$O$472*EFEITO!$AA$472</f>
        <v>0</v>
      </c>
      <c r="P472" s="39"/>
      <c r="Q472" s="39"/>
      <c r="R472" s="39"/>
      <c r="S472" s="39"/>
      <c r="T472" s="39"/>
      <c r="U472" s="39"/>
      <c r="V472" s="39"/>
      <c r="W472" s="39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spans="1:36" ht="11.25" customHeight="1" x14ac:dyDescent="0.2">
      <c r="A473" s="35" t="s">
        <v>53</v>
      </c>
      <c r="B473" s="35" t="s">
        <v>39</v>
      </c>
      <c r="C473" s="35" t="s">
        <v>41</v>
      </c>
      <c r="D473" s="35" t="s">
        <v>46</v>
      </c>
      <c r="E473" s="35" t="s">
        <v>25</v>
      </c>
      <c r="F473" s="35" t="s">
        <v>25</v>
      </c>
      <c r="G473" s="35" t="s">
        <v>25</v>
      </c>
      <c r="H473" s="35" t="s">
        <v>35</v>
      </c>
      <c r="I473" s="55">
        <v>44835</v>
      </c>
      <c r="J473" s="56">
        <f>EFEITO!$J$473*EFEITO!$Y$473</f>
        <v>0</v>
      </c>
      <c r="K473" s="56">
        <f ca="1">EFEITO!$L$473*EFEITO!$Z$473</f>
        <v>5791.1721949548828</v>
      </c>
      <c r="L473" s="56">
        <f>EFEITO!$N$473*EFEITO!$AA$473</f>
        <v>14185.346617954378</v>
      </c>
      <c r="M473" s="56">
        <f>$J$473-EFEITO!$K$473*EFEITO!$Y$473</f>
        <v>0</v>
      </c>
      <c r="N473" s="56">
        <f ca="1">$K$473-EFEITO!$M$473*EFEITO!$Z$473</f>
        <v>0</v>
      </c>
      <c r="O473" s="56">
        <f>$L$473-EFEITO!$O$473*EFEITO!$AA$473</f>
        <v>0</v>
      </c>
      <c r="P473" s="39"/>
      <c r="Q473" s="39"/>
      <c r="R473" s="39"/>
      <c r="S473" s="39"/>
      <c r="T473" s="39"/>
      <c r="U473" s="39"/>
      <c r="V473" s="39"/>
      <c r="W473" s="39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 spans="1:36" ht="11.25" customHeight="1" x14ac:dyDescent="0.2">
      <c r="A474" s="35" t="s">
        <v>53</v>
      </c>
      <c r="B474" s="35" t="s">
        <v>39</v>
      </c>
      <c r="C474" s="35" t="s">
        <v>41</v>
      </c>
      <c r="D474" s="35" t="s">
        <v>46</v>
      </c>
      <c r="E474" s="35" t="s">
        <v>25</v>
      </c>
      <c r="F474" s="35" t="s">
        <v>25</v>
      </c>
      <c r="G474" s="35" t="s">
        <v>25</v>
      </c>
      <c r="H474" s="35" t="s">
        <v>35</v>
      </c>
      <c r="I474" s="55">
        <v>44835</v>
      </c>
      <c r="J474" s="56">
        <f>EFEITO!$J$474*EFEITO!$Y$474</f>
        <v>0</v>
      </c>
      <c r="K474" s="56">
        <f ca="1">EFEITO!$L$474*EFEITO!$Z$474</f>
        <v>1593.8120802287565</v>
      </c>
      <c r="L474" s="56">
        <f>EFEITO!$N$474*EFEITO!$AA$474</f>
        <v>3904.0070025242894</v>
      </c>
      <c r="M474" s="56">
        <f>$J$474-EFEITO!$K$474*EFEITO!$Y$474</f>
        <v>0</v>
      </c>
      <c r="N474" s="56">
        <f ca="1">$K$474-EFEITO!$M$474*EFEITO!$Z$474</f>
        <v>0</v>
      </c>
      <c r="O474" s="56">
        <f>$L$474-EFEITO!$O$474*EFEITO!$AA$474</f>
        <v>0</v>
      </c>
      <c r="P474" s="39"/>
      <c r="Q474" s="39"/>
      <c r="R474" s="39"/>
      <c r="S474" s="39"/>
      <c r="T474" s="39"/>
      <c r="U474" s="39"/>
      <c r="V474" s="39"/>
      <c r="W474" s="39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spans="1:36" ht="11.25" customHeight="1" x14ac:dyDescent="0.2">
      <c r="A475" s="35" t="s">
        <v>21</v>
      </c>
      <c r="B475" s="35" t="s">
        <v>39</v>
      </c>
      <c r="C475" s="35" t="s">
        <v>41</v>
      </c>
      <c r="D475" s="35" t="s">
        <v>46</v>
      </c>
      <c r="E475" s="35" t="s">
        <v>25</v>
      </c>
      <c r="F475" s="35" t="s">
        <v>25</v>
      </c>
      <c r="G475" s="35" t="s">
        <v>25</v>
      </c>
      <c r="H475" s="35" t="s">
        <v>25</v>
      </c>
      <c r="I475" s="55">
        <v>44501</v>
      </c>
      <c r="J475" s="56">
        <f ca="1">EFEITO!$J$475*EFEITO!$Y$475</f>
        <v>8964.0982431423672</v>
      </c>
      <c r="K475" s="56">
        <f>EFEITO!$L$475*EFEITO!$Z$475</f>
        <v>0</v>
      </c>
      <c r="L475" s="56">
        <f>EFEITO!$N$475*EFEITO!$AA$475</f>
        <v>0</v>
      </c>
      <c r="M475" s="56">
        <f ca="1">$J$475-EFEITO!$K$475*EFEITO!$Y$475</f>
        <v>0</v>
      </c>
      <c r="N475" s="56">
        <f>$K$475-EFEITO!$M$475*EFEITO!$Z$475</f>
        <v>0</v>
      </c>
      <c r="O475" s="56">
        <f>$L$475-EFEITO!$O$475*EFEITO!$AA$475</f>
        <v>0</v>
      </c>
      <c r="P475" s="39"/>
      <c r="Q475" s="39"/>
      <c r="R475" s="39"/>
      <c r="S475" s="39"/>
      <c r="T475" s="39"/>
      <c r="U475" s="39"/>
      <c r="V475" s="39"/>
      <c r="W475" s="39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 spans="1:36" ht="11.25" customHeight="1" x14ac:dyDescent="0.2">
      <c r="A476" s="35" t="s">
        <v>28</v>
      </c>
      <c r="B476" s="35" t="s">
        <v>39</v>
      </c>
      <c r="C476" s="35" t="s">
        <v>41</v>
      </c>
      <c r="D476" s="35" t="s">
        <v>46</v>
      </c>
      <c r="E476" s="35" t="s">
        <v>25</v>
      </c>
      <c r="F476" s="35" t="s">
        <v>25</v>
      </c>
      <c r="G476" s="35" t="s">
        <v>25</v>
      </c>
      <c r="H476" s="35" t="s">
        <v>25</v>
      </c>
      <c r="I476" s="55">
        <v>44501</v>
      </c>
      <c r="J476" s="56">
        <f ca="1">EFEITO!$J$476*EFEITO!$Y$476</f>
        <v>3848.6289415995852</v>
      </c>
      <c r="K476" s="56">
        <f>EFEITO!$L$476*EFEITO!$Z$476</f>
        <v>0</v>
      </c>
      <c r="L476" s="56">
        <f>EFEITO!$N$476*EFEITO!$AA$476</f>
        <v>0</v>
      </c>
      <c r="M476" s="56">
        <f ca="1">$J$476-EFEITO!$K$476*EFEITO!$Y$476</f>
        <v>0</v>
      </c>
      <c r="N476" s="56">
        <f>$K$476-EFEITO!$M$476*EFEITO!$Z$476</f>
        <v>0</v>
      </c>
      <c r="O476" s="56">
        <f>$L$476-EFEITO!$O$476*EFEITO!$AA$476</f>
        <v>0</v>
      </c>
      <c r="P476" s="39"/>
      <c r="Q476" s="39"/>
      <c r="R476" s="39"/>
      <c r="S476" s="39"/>
      <c r="T476" s="39"/>
      <c r="U476" s="39"/>
      <c r="V476" s="39"/>
      <c r="W476" s="39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 spans="1:36" ht="11.25" customHeight="1" x14ac:dyDescent="0.2">
      <c r="A477" s="35" t="s">
        <v>21</v>
      </c>
      <c r="B477" s="35" t="s">
        <v>39</v>
      </c>
      <c r="C477" s="35" t="s">
        <v>41</v>
      </c>
      <c r="D477" s="35" t="s">
        <v>46</v>
      </c>
      <c r="E477" s="35" t="s">
        <v>25</v>
      </c>
      <c r="F477" s="35" t="s">
        <v>25</v>
      </c>
      <c r="G477" s="35" t="s">
        <v>25</v>
      </c>
      <c r="H477" s="35" t="s">
        <v>25</v>
      </c>
      <c r="I477" s="55">
        <v>44531</v>
      </c>
      <c r="J477" s="56">
        <f ca="1">EFEITO!$J$477*EFEITO!$Y$477</f>
        <v>8964.0982431423672</v>
      </c>
      <c r="K477" s="56">
        <f>EFEITO!$L$477*EFEITO!$Z$477</f>
        <v>0</v>
      </c>
      <c r="L477" s="56">
        <f>EFEITO!$N$477*EFEITO!$AA$477</f>
        <v>0</v>
      </c>
      <c r="M477" s="56">
        <f ca="1">$J$477-EFEITO!$K$477*EFEITO!$Y$477</f>
        <v>0</v>
      </c>
      <c r="N477" s="56">
        <f>$K$477-EFEITO!$M$477*EFEITO!$Z$477</f>
        <v>0</v>
      </c>
      <c r="O477" s="56">
        <f>$L$477-EFEITO!$O$477*EFEITO!$AA$477</f>
        <v>0</v>
      </c>
      <c r="P477" s="39"/>
      <c r="Q477" s="39"/>
      <c r="R477" s="39"/>
      <c r="S477" s="39"/>
      <c r="T477" s="39"/>
      <c r="U477" s="39"/>
      <c r="V477" s="39"/>
      <c r="W477" s="39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 spans="1:36" ht="11.25" customHeight="1" x14ac:dyDescent="0.2">
      <c r="A478" s="35" t="s">
        <v>28</v>
      </c>
      <c r="B478" s="35" t="s">
        <v>39</v>
      </c>
      <c r="C478" s="35" t="s">
        <v>41</v>
      </c>
      <c r="D478" s="35" t="s">
        <v>46</v>
      </c>
      <c r="E478" s="35" t="s">
        <v>25</v>
      </c>
      <c r="F478" s="35" t="s">
        <v>25</v>
      </c>
      <c r="G478" s="35" t="s">
        <v>25</v>
      </c>
      <c r="H478" s="35" t="s">
        <v>25</v>
      </c>
      <c r="I478" s="55">
        <v>44531</v>
      </c>
      <c r="J478" s="56">
        <f ca="1">EFEITO!$J$478*EFEITO!$Y$478</f>
        <v>3848.6289415995852</v>
      </c>
      <c r="K478" s="56">
        <f>EFEITO!$L$478*EFEITO!$Z$478</f>
        <v>0</v>
      </c>
      <c r="L478" s="56">
        <f>EFEITO!$N$478*EFEITO!$AA$478</f>
        <v>0</v>
      </c>
      <c r="M478" s="56">
        <f ca="1">$J$478-EFEITO!$K$478*EFEITO!$Y$478</f>
        <v>0</v>
      </c>
      <c r="N478" s="56">
        <f>$K$478-EFEITO!$M$478*EFEITO!$Z$478</f>
        <v>0</v>
      </c>
      <c r="O478" s="56">
        <f>$L$478-EFEITO!$O$478*EFEITO!$AA$478</f>
        <v>0</v>
      </c>
      <c r="P478" s="39"/>
      <c r="Q478" s="39"/>
      <c r="R478" s="39"/>
      <c r="S478" s="39"/>
      <c r="T478" s="39"/>
      <c r="U478" s="39"/>
      <c r="V478" s="39"/>
      <c r="W478" s="39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 spans="1:36" ht="11.25" customHeight="1" x14ac:dyDescent="0.2">
      <c r="A479" s="35" t="s">
        <v>21</v>
      </c>
      <c r="B479" s="35" t="s">
        <v>39</v>
      </c>
      <c r="C479" s="35" t="s">
        <v>41</v>
      </c>
      <c r="D479" s="35" t="s">
        <v>46</v>
      </c>
      <c r="E479" s="35" t="s">
        <v>25</v>
      </c>
      <c r="F479" s="35" t="s">
        <v>25</v>
      </c>
      <c r="G479" s="35" t="s">
        <v>25</v>
      </c>
      <c r="H479" s="35" t="s">
        <v>25</v>
      </c>
      <c r="I479" s="55">
        <v>44562</v>
      </c>
      <c r="J479" s="56">
        <f ca="1">EFEITO!$J$479*EFEITO!$Y$479</f>
        <v>8964.0982431423672</v>
      </c>
      <c r="K479" s="56">
        <f>EFEITO!$L$479*EFEITO!$Z$479</f>
        <v>0</v>
      </c>
      <c r="L479" s="56">
        <f>EFEITO!$N$479*EFEITO!$AA$479</f>
        <v>0</v>
      </c>
      <c r="M479" s="56">
        <f ca="1">$J$479-EFEITO!$K$479*EFEITO!$Y$479</f>
        <v>0</v>
      </c>
      <c r="N479" s="56">
        <f>$K$479-EFEITO!$M$479*EFEITO!$Z$479</f>
        <v>0</v>
      </c>
      <c r="O479" s="56">
        <f>$L$479-EFEITO!$O$479*EFEITO!$AA$479</f>
        <v>0</v>
      </c>
      <c r="P479" s="39"/>
      <c r="Q479" s="39"/>
      <c r="R479" s="39"/>
      <c r="S479" s="39"/>
      <c r="T479" s="39"/>
      <c r="U479" s="39"/>
      <c r="V479" s="39"/>
      <c r="W479" s="39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 spans="1:36" ht="11.25" customHeight="1" x14ac:dyDescent="0.2">
      <c r="A480" s="35" t="s">
        <v>28</v>
      </c>
      <c r="B480" s="35" t="s">
        <v>39</v>
      </c>
      <c r="C480" s="35" t="s">
        <v>41</v>
      </c>
      <c r="D480" s="35" t="s">
        <v>46</v>
      </c>
      <c r="E480" s="35" t="s">
        <v>25</v>
      </c>
      <c r="F480" s="35" t="s">
        <v>25</v>
      </c>
      <c r="G480" s="35" t="s">
        <v>25</v>
      </c>
      <c r="H480" s="35" t="s">
        <v>25</v>
      </c>
      <c r="I480" s="55">
        <v>44562</v>
      </c>
      <c r="J480" s="56">
        <f ca="1">EFEITO!$J$480*EFEITO!$Y$480</f>
        <v>3848.6289415995852</v>
      </c>
      <c r="K480" s="56">
        <f>EFEITO!$L$480*EFEITO!$Z$480</f>
        <v>0</v>
      </c>
      <c r="L480" s="56">
        <f>EFEITO!$N$480*EFEITO!$AA$480</f>
        <v>0</v>
      </c>
      <c r="M480" s="56">
        <f ca="1">$J$480-EFEITO!$K$480*EFEITO!$Y$480</f>
        <v>0</v>
      </c>
      <c r="N480" s="56">
        <f>$K$480-EFEITO!$M$480*EFEITO!$Z$480</f>
        <v>0</v>
      </c>
      <c r="O480" s="56">
        <f>$L$480-EFEITO!$O$480*EFEITO!$AA$480</f>
        <v>0</v>
      </c>
      <c r="P480" s="39"/>
      <c r="Q480" s="39"/>
      <c r="R480" s="39"/>
      <c r="S480" s="39"/>
      <c r="T480" s="39"/>
      <c r="U480" s="39"/>
      <c r="V480" s="39"/>
      <c r="W480" s="39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 spans="1:36" ht="11.25" customHeight="1" x14ac:dyDescent="0.2">
      <c r="A481" s="35" t="s">
        <v>21</v>
      </c>
      <c r="B481" s="35" t="s">
        <v>39</v>
      </c>
      <c r="C481" s="35" t="s">
        <v>41</v>
      </c>
      <c r="D481" s="35" t="s">
        <v>46</v>
      </c>
      <c r="E481" s="35" t="s">
        <v>25</v>
      </c>
      <c r="F481" s="35" t="s">
        <v>25</v>
      </c>
      <c r="G481" s="35" t="s">
        <v>25</v>
      </c>
      <c r="H481" s="35" t="s">
        <v>25</v>
      </c>
      <c r="I481" s="55">
        <v>44593</v>
      </c>
      <c r="J481" s="56">
        <f ca="1">EFEITO!$J$481*EFEITO!$Y$481</f>
        <v>9012.2061049123622</v>
      </c>
      <c r="K481" s="56">
        <f>EFEITO!$L$481*EFEITO!$Z$481</f>
        <v>0</v>
      </c>
      <c r="L481" s="56">
        <f>EFEITO!$N$481*EFEITO!$AA$481</f>
        <v>0</v>
      </c>
      <c r="M481" s="56">
        <f ca="1">$J$481-EFEITO!$K$481*EFEITO!$Y$481</f>
        <v>0</v>
      </c>
      <c r="N481" s="56">
        <f>$K$481-EFEITO!$M$481*EFEITO!$Z$481</f>
        <v>0</v>
      </c>
      <c r="O481" s="56">
        <f>$L$481-EFEITO!$O$481*EFEITO!$AA$481</f>
        <v>0</v>
      </c>
      <c r="P481" s="39"/>
      <c r="Q481" s="39"/>
      <c r="R481" s="39"/>
      <c r="S481" s="39"/>
      <c r="T481" s="39"/>
      <c r="U481" s="39"/>
      <c r="V481" s="39"/>
      <c r="W481" s="39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 spans="1:36" ht="11.25" customHeight="1" x14ac:dyDescent="0.2">
      <c r="A482" s="35" t="s">
        <v>28</v>
      </c>
      <c r="B482" s="35" t="s">
        <v>39</v>
      </c>
      <c r="C482" s="35" t="s">
        <v>41</v>
      </c>
      <c r="D482" s="35" t="s">
        <v>46</v>
      </c>
      <c r="E482" s="35" t="s">
        <v>25</v>
      </c>
      <c r="F482" s="35" t="s">
        <v>25</v>
      </c>
      <c r="G482" s="35" t="s">
        <v>25</v>
      </c>
      <c r="H482" s="35" t="s">
        <v>25</v>
      </c>
      <c r="I482" s="55">
        <v>44593</v>
      </c>
      <c r="J482" s="56">
        <f ca="1">EFEITO!$J$482*EFEITO!$Y$482</f>
        <v>4650.4266377661652</v>
      </c>
      <c r="K482" s="56">
        <f>EFEITO!$L$482*EFEITO!$Z$482</f>
        <v>0</v>
      </c>
      <c r="L482" s="56">
        <f>EFEITO!$N$482*EFEITO!$AA$482</f>
        <v>0</v>
      </c>
      <c r="M482" s="56">
        <f ca="1">$J$482-EFEITO!$K$482*EFEITO!$Y$482</f>
        <v>0</v>
      </c>
      <c r="N482" s="56">
        <f>$K$482-EFEITO!$M$482*EFEITO!$Z$482</f>
        <v>0</v>
      </c>
      <c r="O482" s="56">
        <f>$L$482-EFEITO!$O$482*EFEITO!$AA$482</f>
        <v>0</v>
      </c>
      <c r="P482" s="39"/>
      <c r="Q482" s="39"/>
      <c r="R482" s="39"/>
      <c r="S482" s="39"/>
      <c r="T482" s="39"/>
      <c r="U482" s="39"/>
      <c r="V482" s="39"/>
      <c r="W482" s="39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 spans="1:36" ht="11.25" customHeight="1" x14ac:dyDescent="0.2">
      <c r="A483" s="35" t="s">
        <v>21</v>
      </c>
      <c r="B483" s="35" t="s">
        <v>39</v>
      </c>
      <c r="C483" s="35" t="s">
        <v>41</v>
      </c>
      <c r="D483" s="35" t="s">
        <v>46</v>
      </c>
      <c r="E483" s="35" t="s">
        <v>25</v>
      </c>
      <c r="F483" s="35" t="s">
        <v>25</v>
      </c>
      <c r="G483" s="35" t="s">
        <v>25</v>
      </c>
      <c r="H483" s="35" t="s">
        <v>25</v>
      </c>
      <c r="I483" s="55">
        <v>44621</v>
      </c>
      <c r="J483" s="56">
        <f ca="1">EFEITO!$J$483*EFEITO!$Y$483</f>
        <v>8996.1701509890299</v>
      </c>
      <c r="K483" s="56">
        <f>EFEITO!$L$483*EFEITO!$Z$483</f>
        <v>0</v>
      </c>
      <c r="L483" s="56">
        <f>EFEITO!$N$483*EFEITO!$AA$483</f>
        <v>0</v>
      </c>
      <c r="M483" s="56">
        <f ca="1">$J$483-EFEITO!$K$483*EFEITO!$Y$483</f>
        <v>0</v>
      </c>
      <c r="N483" s="56">
        <f>$K$483-EFEITO!$M$483*EFEITO!$Z$483</f>
        <v>0</v>
      </c>
      <c r="O483" s="56">
        <f>$L$483-EFEITO!$O$483*EFEITO!$AA$483</f>
        <v>0</v>
      </c>
      <c r="P483" s="39"/>
      <c r="Q483" s="39"/>
      <c r="R483" s="39"/>
      <c r="S483" s="39"/>
      <c r="T483" s="39"/>
      <c r="U483" s="39"/>
      <c r="V483" s="39"/>
      <c r="W483" s="39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 spans="1:36" ht="11.25" customHeight="1" x14ac:dyDescent="0.2">
      <c r="A484" s="35" t="s">
        <v>28</v>
      </c>
      <c r="B484" s="35" t="s">
        <v>39</v>
      </c>
      <c r="C484" s="35" t="s">
        <v>41</v>
      </c>
      <c r="D484" s="35" t="s">
        <v>46</v>
      </c>
      <c r="E484" s="35" t="s">
        <v>25</v>
      </c>
      <c r="F484" s="35" t="s">
        <v>25</v>
      </c>
      <c r="G484" s="35" t="s">
        <v>25</v>
      </c>
      <c r="H484" s="35" t="s">
        <v>25</v>
      </c>
      <c r="I484" s="55">
        <v>44621</v>
      </c>
      <c r="J484" s="56">
        <f ca="1">EFEITO!$J$484*EFEITO!$Y$484</f>
        <v>4650.4266377661652</v>
      </c>
      <c r="K484" s="56">
        <f>EFEITO!$L$484*EFEITO!$Z$484</f>
        <v>0</v>
      </c>
      <c r="L484" s="56">
        <f>EFEITO!$N$484*EFEITO!$AA$484</f>
        <v>0</v>
      </c>
      <c r="M484" s="56">
        <f ca="1">$J$484-EFEITO!$K$484*EFEITO!$Y$484</f>
        <v>0</v>
      </c>
      <c r="N484" s="56">
        <f>$K$484-EFEITO!$M$484*EFEITO!$Z$484</f>
        <v>0</v>
      </c>
      <c r="O484" s="56">
        <f>$L$484-EFEITO!$O$484*EFEITO!$AA$484</f>
        <v>0</v>
      </c>
      <c r="P484" s="39"/>
      <c r="Q484" s="39"/>
      <c r="R484" s="39"/>
      <c r="S484" s="39"/>
      <c r="T484" s="39"/>
      <c r="U484" s="39"/>
      <c r="V484" s="39"/>
      <c r="W484" s="39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 spans="1:36" ht="11.25" customHeight="1" x14ac:dyDescent="0.2">
      <c r="A485" s="35" t="s">
        <v>21</v>
      </c>
      <c r="B485" s="35" t="s">
        <v>39</v>
      </c>
      <c r="C485" s="35" t="s">
        <v>41</v>
      </c>
      <c r="D485" s="35" t="s">
        <v>46</v>
      </c>
      <c r="E485" s="35" t="s">
        <v>25</v>
      </c>
      <c r="F485" s="35" t="s">
        <v>25</v>
      </c>
      <c r="G485" s="35" t="s">
        <v>25</v>
      </c>
      <c r="H485" s="35" t="s">
        <v>25</v>
      </c>
      <c r="I485" s="55">
        <v>44652</v>
      </c>
      <c r="J485" s="56">
        <f ca="1">EFEITO!$J$485*EFEITO!$Y$485</f>
        <v>9108.4218284523504</v>
      </c>
      <c r="K485" s="56">
        <f>EFEITO!$L$485*EFEITO!$Z$485</f>
        <v>0</v>
      </c>
      <c r="L485" s="56">
        <f>EFEITO!$N$485*EFEITO!$AA$485</f>
        <v>0</v>
      </c>
      <c r="M485" s="56">
        <f ca="1">$J$485-EFEITO!$K$485*EFEITO!$Y$485</f>
        <v>0</v>
      </c>
      <c r="N485" s="56">
        <f>$K$485-EFEITO!$M$485*EFEITO!$Z$485</f>
        <v>0</v>
      </c>
      <c r="O485" s="56">
        <f>$L$485-EFEITO!$O$485*EFEITO!$AA$485</f>
        <v>0</v>
      </c>
      <c r="P485" s="39"/>
      <c r="Q485" s="39"/>
      <c r="R485" s="39"/>
      <c r="S485" s="39"/>
      <c r="T485" s="39"/>
      <c r="U485" s="39"/>
      <c r="V485" s="39"/>
      <c r="W485" s="39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spans="1:36" ht="11.25" customHeight="1" x14ac:dyDescent="0.2">
      <c r="A486" s="35" t="s">
        <v>28</v>
      </c>
      <c r="B486" s="35" t="s">
        <v>39</v>
      </c>
      <c r="C486" s="35" t="s">
        <v>41</v>
      </c>
      <c r="D486" s="35" t="s">
        <v>46</v>
      </c>
      <c r="E486" s="35" t="s">
        <v>25</v>
      </c>
      <c r="F486" s="35" t="s">
        <v>25</v>
      </c>
      <c r="G486" s="35" t="s">
        <v>25</v>
      </c>
      <c r="H486" s="35" t="s">
        <v>25</v>
      </c>
      <c r="I486" s="55">
        <v>44652</v>
      </c>
      <c r="J486" s="56">
        <f ca="1">EFEITO!$J$486*EFEITO!$Y$486</f>
        <v>4650.4266377661652</v>
      </c>
      <c r="K486" s="56">
        <f>EFEITO!$L$486*EFEITO!$Z$486</f>
        <v>0</v>
      </c>
      <c r="L486" s="56">
        <f>EFEITO!$N$486*EFEITO!$AA$486</f>
        <v>0</v>
      </c>
      <c r="M486" s="56">
        <f ca="1">$J$486-EFEITO!$K$486*EFEITO!$Y$486</f>
        <v>0</v>
      </c>
      <c r="N486" s="56">
        <f>$K$486-EFEITO!$M$486*EFEITO!$Z$486</f>
        <v>0</v>
      </c>
      <c r="O486" s="56">
        <f>$L$486-EFEITO!$O$486*EFEITO!$AA$486</f>
        <v>0</v>
      </c>
      <c r="P486" s="39"/>
      <c r="Q486" s="39"/>
      <c r="R486" s="39"/>
      <c r="S486" s="39"/>
      <c r="T486" s="39"/>
      <c r="U486" s="39"/>
      <c r="V486" s="39"/>
      <c r="W486" s="39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 spans="1:36" ht="11.25" customHeight="1" x14ac:dyDescent="0.2">
      <c r="A487" s="35" t="s">
        <v>21</v>
      </c>
      <c r="B487" s="35" t="s">
        <v>39</v>
      </c>
      <c r="C487" s="35" t="s">
        <v>41</v>
      </c>
      <c r="D487" s="35" t="s">
        <v>46</v>
      </c>
      <c r="E487" s="35" t="s">
        <v>25</v>
      </c>
      <c r="F487" s="35" t="s">
        <v>25</v>
      </c>
      <c r="G487" s="35" t="s">
        <v>25</v>
      </c>
      <c r="H487" s="35" t="s">
        <v>25</v>
      </c>
      <c r="I487" s="55">
        <v>44682</v>
      </c>
      <c r="J487" s="56">
        <f ca="1">EFEITO!$J$487*EFEITO!$Y$487</f>
        <v>9060.3139666823572</v>
      </c>
      <c r="K487" s="56">
        <f>EFEITO!$L$487*EFEITO!$Z$487</f>
        <v>0</v>
      </c>
      <c r="L487" s="56">
        <f>EFEITO!$N$487*EFEITO!$AA$487</f>
        <v>0</v>
      </c>
      <c r="M487" s="56">
        <f ca="1">$J$487-EFEITO!$K$487*EFEITO!$Y$487</f>
        <v>0</v>
      </c>
      <c r="N487" s="56">
        <f>$K$487-EFEITO!$M$487*EFEITO!$Z$487</f>
        <v>0</v>
      </c>
      <c r="O487" s="56">
        <f>$L$487-EFEITO!$O$487*EFEITO!$AA$487</f>
        <v>0</v>
      </c>
      <c r="P487" s="39"/>
      <c r="Q487" s="39"/>
      <c r="R487" s="39"/>
      <c r="S487" s="39"/>
      <c r="T487" s="39"/>
      <c r="U487" s="39"/>
      <c r="V487" s="39"/>
      <c r="W487" s="39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 spans="1:36" ht="11.25" customHeight="1" x14ac:dyDescent="0.2">
      <c r="A488" s="35" t="s">
        <v>28</v>
      </c>
      <c r="B488" s="35" t="s">
        <v>39</v>
      </c>
      <c r="C488" s="35" t="s">
        <v>41</v>
      </c>
      <c r="D488" s="35" t="s">
        <v>46</v>
      </c>
      <c r="E488" s="35" t="s">
        <v>25</v>
      </c>
      <c r="F488" s="35" t="s">
        <v>25</v>
      </c>
      <c r="G488" s="35" t="s">
        <v>25</v>
      </c>
      <c r="H488" s="35" t="s">
        <v>25</v>
      </c>
      <c r="I488" s="55">
        <v>44682</v>
      </c>
      <c r="J488" s="56">
        <f ca="1">EFEITO!$J$488*EFEITO!$Y$488</f>
        <v>4650.4266377661652</v>
      </c>
      <c r="K488" s="56">
        <f>EFEITO!$L$488*EFEITO!$Z$488</f>
        <v>0</v>
      </c>
      <c r="L488" s="56">
        <f>EFEITO!$N$488*EFEITO!$AA$488</f>
        <v>0</v>
      </c>
      <c r="M488" s="56">
        <f ca="1">$J$488-EFEITO!$K$488*EFEITO!$Y$488</f>
        <v>0</v>
      </c>
      <c r="N488" s="56">
        <f>$K$488-EFEITO!$M$488*EFEITO!$Z$488</f>
        <v>0</v>
      </c>
      <c r="O488" s="56">
        <f>$L$488-EFEITO!$O$488*EFEITO!$AA$488</f>
        <v>0</v>
      </c>
      <c r="P488" s="39"/>
      <c r="Q488" s="39"/>
      <c r="R488" s="39"/>
      <c r="S488" s="39"/>
      <c r="T488" s="39"/>
      <c r="U488" s="39"/>
      <c r="V488" s="39"/>
      <c r="W488" s="39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 spans="1:36" ht="11.25" customHeight="1" x14ac:dyDescent="0.2">
      <c r="A489" s="35" t="s">
        <v>21</v>
      </c>
      <c r="B489" s="35" t="s">
        <v>39</v>
      </c>
      <c r="C489" s="35" t="s">
        <v>41</v>
      </c>
      <c r="D489" s="35" t="s">
        <v>46</v>
      </c>
      <c r="E489" s="35" t="s">
        <v>25</v>
      </c>
      <c r="F489" s="35" t="s">
        <v>25</v>
      </c>
      <c r="G489" s="35" t="s">
        <v>25</v>
      </c>
      <c r="H489" s="35" t="s">
        <v>25</v>
      </c>
      <c r="I489" s="55">
        <v>44713</v>
      </c>
      <c r="J489" s="56">
        <f ca="1">EFEITO!$J$489*EFEITO!$Y$489</f>
        <v>9044.2780127590249</v>
      </c>
      <c r="K489" s="56">
        <f>EFEITO!$L$489*EFEITO!$Z$489</f>
        <v>0</v>
      </c>
      <c r="L489" s="56">
        <f>EFEITO!$N$489*EFEITO!$AA$489</f>
        <v>0</v>
      </c>
      <c r="M489" s="56">
        <f ca="1">$J$489-EFEITO!$K$489*EFEITO!$Y$489</f>
        <v>0</v>
      </c>
      <c r="N489" s="56">
        <f>$K$489-EFEITO!$M$489*EFEITO!$Z$489</f>
        <v>0</v>
      </c>
      <c r="O489" s="56">
        <f>$L$489-EFEITO!$O$489*EFEITO!$AA$489</f>
        <v>0</v>
      </c>
      <c r="P489" s="39"/>
      <c r="Q489" s="39"/>
      <c r="R489" s="39"/>
      <c r="S489" s="39"/>
      <c r="T489" s="39"/>
      <c r="U489" s="39"/>
      <c r="V489" s="39"/>
      <c r="W489" s="39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 spans="1:36" ht="11.25" customHeight="1" x14ac:dyDescent="0.2">
      <c r="A490" s="35" t="s">
        <v>28</v>
      </c>
      <c r="B490" s="35" t="s">
        <v>39</v>
      </c>
      <c r="C490" s="35" t="s">
        <v>41</v>
      </c>
      <c r="D490" s="35" t="s">
        <v>46</v>
      </c>
      <c r="E490" s="35" t="s">
        <v>25</v>
      </c>
      <c r="F490" s="35" t="s">
        <v>25</v>
      </c>
      <c r="G490" s="35" t="s">
        <v>25</v>
      </c>
      <c r="H490" s="35" t="s">
        <v>25</v>
      </c>
      <c r="I490" s="55">
        <v>44713</v>
      </c>
      <c r="J490" s="56">
        <f ca="1">EFEITO!$J$490*EFEITO!$Y$490</f>
        <v>4650.4266377661652</v>
      </c>
      <c r="K490" s="56">
        <f>EFEITO!$L$490*EFEITO!$Z$490</f>
        <v>0</v>
      </c>
      <c r="L490" s="56">
        <f>EFEITO!$N$490*EFEITO!$AA$490</f>
        <v>0</v>
      </c>
      <c r="M490" s="56">
        <f ca="1">$J$490-EFEITO!$K$490*EFEITO!$Y$490</f>
        <v>0</v>
      </c>
      <c r="N490" s="56">
        <f>$K$490-EFEITO!$M$490*EFEITO!$Z$490</f>
        <v>0</v>
      </c>
      <c r="O490" s="56">
        <f>$L$490-EFEITO!$O$490*EFEITO!$AA$490</f>
        <v>0</v>
      </c>
      <c r="P490" s="39"/>
      <c r="Q490" s="39"/>
      <c r="R490" s="39"/>
      <c r="S490" s="39"/>
      <c r="T490" s="39"/>
      <c r="U490" s="39"/>
      <c r="V490" s="39"/>
      <c r="W490" s="39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 spans="1:36" ht="11.25" customHeight="1" x14ac:dyDescent="0.2">
      <c r="A491" s="35" t="s">
        <v>21</v>
      </c>
      <c r="B491" s="35" t="s">
        <v>39</v>
      </c>
      <c r="C491" s="35" t="s">
        <v>41</v>
      </c>
      <c r="D491" s="35" t="s">
        <v>46</v>
      </c>
      <c r="E491" s="35" t="s">
        <v>25</v>
      </c>
      <c r="F491" s="35" t="s">
        <v>25</v>
      </c>
      <c r="G491" s="35" t="s">
        <v>25</v>
      </c>
      <c r="H491" s="35" t="s">
        <v>25</v>
      </c>
      <c r="I491" s="55">
        <v>44743</v>
      </c>
      <c r="J491" s="56">
        <f ca="1">EFEITO!$J$491*EFEITO!$Y$491</f>
        <v>8964.0982431423672</v>
      </c>
      <c r="K491" s="56">
        <f>EFEITO!$L$491*EFEITO!$Z$491</f>
        <v>0</v>
      </c>
      <c r="L491" s="56">
        <f>EFEITO!$N$491*EFEITO!$AA$491</f>
        <v>0</v>
      </c>
      <c r="M491" s="56">
        <f ca="1">$J$491-EFEITO!$K$491*EFEITO!$Y$491</f>
        <v>0</v>
      </c>
      <c r="N491" s="56">
        <f>$K$491-EFEITO!$M$491*EFEITO!$Z$491</f>
        <v>0</v>
      </c>
      <c r="O491" s="56">
        <f>$L$491-EFEITO!$O$491*EFEITO!$AA$491</f>
        <v>0</v>
      </c>
      <c r="P491" s="39"/>
      <c r="Q491" s="39"/>
      <c r="R491" s="39"/>
      <c r="S491" s="39"/>
      <c r="T491" s="39"/>
      <c r="U491" s="39"/>
      <c r="V491" s="39"/>
      <c r="W491" s="39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 spans="1:36" ht="11.25" customHeight="1" x14ac:dyDescent="0.2">
      <c r="A492" s="35" t="s">
        <v>21</v>
      </c>
      <c r="B492" s="35" t="s">
        <v>39</v>
      </c>
      <c r="C492" s="35" t="s">
        <v>41</v>
      </c>
      <c r="D492" s="35" t="s">
        <v>46</v>
      </c>
      <c r="E492" s="35" t="s">
        <v>25</v>
      </c>
      <c r="F492" s="35" t="s">
        <v>25</v>
      </c>
      <c r="G492" s="35" t="s">
        <v>25</v>
      </c>
      <c r="H492" s="35" t="s">
        <v>25</v>
      </c>
      <c r="I492" s="55">
        <v>44774</v>
      </c>
      <c r="J492" s="56">
        <f ca="1">EFEITO!$J$492*EFEITO!$Y$492</f>
        <v>8964.0982431423672</v>
      </c>
      <c r="K492" s="56">
        <f>EFEITO!$L$492*EFEITO!$Z$492</f>
        <v>0</v>
      </c>
      <c r="L492" s="56">
        <f>EFEITO!$N$492*EFEITO!$AA$492</f>
        <v>0</v>
      </c>
      <c r="M492" s="56">
        <f ca="1">$J$492-EFEITO!$K$492*EFEITO!$Y$492</f>
        <v>0</v>
      </c>
      <c r="N492" s="56">
        <f>$K$492-EFEITO!$M$492*EFEITO!$Z$492</f>
        <v>0</v>
      </c>
      <c r="O492" s="56">
        <f>$L$492-EFEITO!$O$492*EFEITO!$AA$492</f>
        <v>0</v>
      </c>
      <c r="P492" s="39"/>
      <c r="Q492" s="39"/>
      <c r="R492" s="39"/>
      <c r="S492" s="39"/>
      <c r="T492" s="39"/>
      <c r="U492" s="39"/>
      <c r="V492" s="39"/>
      <c r="W492" s="39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 spans="1:36" ht="11.25" customHeight="1" x14ac:dyDescent="0.2">
      <c r="A493" s="35" t="s">
        <v>28</v>
      </c>
      <c r="B493" s="35" t="s">
        <v>39</v>
      </c>
      <c r="C493" s="35" t="s">
        <v>41</v>
      </c>
      <c r="D493" s="35" t="s">
        <v>46</v>
      </c>
      <c r="E493" s="35" t="s">
        <v>25</v>
      </c>
      <c r="F493" s="35" t="s">
        <v>25</v>
      </c>
      <c r="G493" s="35" t="s">
        <v>25</v>
      </c>
      <c r="H493" s="35" t="s">
        <v>25</v>
      </c>
      <c r="I493" s="55">
        <v>44774</v>
      </c>
      <c r="J493" s="56">
        <f ca="1">EFEITO!$J$493*EFEITO!$Y$493</f>
        <v>4650.4266377661652</v>
      </c>
      <c r="K493" s="56">
        <f>EFEITO!$L$493*EFEITO!$Z$493</f>
        <v>0</v>
      </c>
      <c r="L493" s="56">
        <f>EFEITO!$N$493*EFEITO!$AA$493</f>
        <v>0</v>
      </c>
      <c r="M493" s="56">
        <f ca="1">$J$493-EFEITO!$K$493*EFEITO!$Y$493</f>
        <v>0</v>
      </c>
      <c r="N493" s="56">
        <f>$K$493-EFEITO!$M$493*EFEITO!$Z$493</f>
        <v>0</v>
      </c>
      <c r="O493" s="56">
        <f>$L$493-EFEITO!$O$493*EFEITO!$AA$493</f>
        <v>0</v>
      </c>
      <c r="P493" s="39"/>
      <c r="Q493" s="39"/>
      <c r="R493" s="39"/>
      <c r="S493" s="39"/>
      <c r="T493" s="39"/>
      <c r="U493" s="39"/>
      <c r="V493" s="39"/>
      <c r="W493" s="39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 spans="1:36" ht="11.25" customHeight="1" x14ac:dyDescent="0.2">
      <c r="A494" s="35" t="s">
        <v>21</v>
      </c>
      <c r="B494" s="35" t="s">
        <v>39</v>
      </c>
      <c r="C494" s="35" t="s">
        <v>41</v>
      </c>
      <c r="D494" s="35" t="s">
        <v>46</v>
      </c>
      <c r="E494" s="35" t="s">
        <v>25</v>
      </c>
      <c r="F494" s="35" t="s">
        <v>25</v>
      </c>
      <c r="G494" s="35" t="s">
        <v>25</v>
      </c>
      <c r="H494" s="35" t="s">
        <v>25</v>
      </c>
      <c r="I494" s="55">
        <v>44805</v>
      </c>
      <c r="J494" s="56">
        <f ca="1">EFEITO!$J$494*EFEITO!$Y$494</f>
        <v>8964.0982431423672</v>
      </c>
      <c r="K494" s="56">
        <f>EFEITO!$L$494*EFEITO!$Z$494</f>
        <v>0</v>
      </c>
      <c r="L494" s="56">
        <f>EFEITO!$N$494*EFEITO!$AA$494</f>
        <v>0</v>
      </c>
      <c r="M494" s="56">
        <f ca="1">$J$494-EFEITO!$K$494*EFEITO!$Y$494</f>
        <v>0</v>
      </c>
      <c r="N494" s="56">
        <f>$K$494-EFEITO!$M$494*EFEITO!$Z$494</f>
        <v>0</v>
      </c>
      <c r="O494" s="56">
        <f>$L$494-EFEITO!$O$494*EFEITO!$AA$494</f>
        <v>0</v>
      </c>
      <c r="P494" s="39"/>
      <c r="Q494" s="39"/>
      <c r="R494" s="39"/>
      <c r="S494" s="39"/>
      <c r="T494" s="39"/>
      <c r="U494" s="39"/>
      <c r="V494" s="39"/>
      <c r="W494" s="39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 spans="1:36" ht="11.25" customHeight="1" x14ac:dyDescent="0.2">
      <c r="A495" s="35" t="s">
        <v>28</v>
      </c>
      <c r="B495" s="35" t="s">
        <v>39</v>
      </c>
      <c r="C495" s="35" t="s">
        <v>41</v>
      </c>
      <c r="D495" s="35" t="s">
        <v>46</v>
      </c>
      <c r="E495" s="35" t="s">
        <v>25</v>
      </c>
      <c r="F495" s="35" t="s">
        <v>25</v>
      </c>
      <c r="G495" s="35" t="s">
        <v>25</v>
      </c>
      <c r="H495" s="35" t="s">
        <v>25</v>
      </c>
      <c r="I495" s="55">
        <v>44805</v>
      </c>
      <c r="J495" s="56">
        <f ca="1">EFEITO!$J$495*EFEITO!$Y$495</f>
        <v>4650.4266377661652</v>
      </c>
      <c r="K495" s="56">
        <f>EFEITO!$L$495*EFEITO!$Z$495</f>
        <v>0</v>
      </c>
      <c r="L495" s="56">
        <f>EFEITO!$N$495*EFEITO!$AA$495</f>
        <v>0</v>
      </c>
      <c r="M495" s="56">
        <f ca="1">$J$495-EFEITO!$K$495*EFEITO!$Y$495</f>
        <v>0</v>
      </c>
      <c r="N495" s="56">
        <f>$K$495-EFEITO!$M$495*EFEITO!$Z$495</f>
        <v>0</v>
      </c>
      <c r="O495" s="56">
        <f>$L$495-EFEITO!$O$495*EFEITO!$AA$495</f>
        <v>0</v>
      </c>
      <c r="P495" s="39"/>
      <c r="Q495" s="39"/>
      <c r="R495" s="39"/>
      <c r="S495" s="39"/>
      <c r="T495" s="39"/>
      <c r="U495" s="39"/>
      <c r="V495" s="39"/>
      <c r="W495" s="39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 spans="1:36" ht="11.25" customHeight="1" x14ac:dyDescent="0.2">
      <c r="A496" s="35" t="s">
        <v>53</v>
      </c>
      <c r="B496" s="35" t="s">
        <v>39</v>
      </c>
      <c r="C496" s="35" t="s">
        <v>41</v>
      </c>
      <c r="D496" s="35" t="s">
        <v>46</v>
      </c>
      <c r="E496" s="35" t="s">
        <v>25</v>
      </c>
      <c r="F496" s="35" t="s">
        <v>25</v>
      </c>
      <c r="G496" s="35" t="s">
        <v>25</v>
      </c>
      <c r="H496" s="35" t="s">
        <v>25</v>
      </c>
      <c r="I496" s="55">
        <v>44835</v>
      </c>
      <c r="J496" s="56">
        <f ca="1">EFEITO!$J$496*EFEITO!$Y$496</f>
        <v>8964.0982431423672</v>
      </c>
      <c r="K496" s="56">
        <f>EFEITO!$L$496*EFEITO!$Z$496</f>
        <v>0</v>
      </c>
      <c r="L496" s="56">
        <f>EFEITO!$N$496*EFEITO!$AA$496</f>
        <v>0</v>
      </c>
      <c r="M496" s="56">
        <f ca="1">$J$496-EFEITO!$K$496*EFEITO!$Y$496</f>
        <v>0</v>
      </c>
      <c r="N496" s="56">
        <f>$K$496-EFEITO!$M$496*EFEITO!$Z$496</f>
        <v>0</v>
      </c>
      <c r="O496" s="56">
        <f>$L$496-EFEITO!$O$496*EFEITO!$AA$496</f>
        <v>0</v>
      </c>
      <c r="P496" s="39"/>
      <c r="Q496" s="39"/>
      <c r="R496" s="39"/>
      <c r="S496" s="39"/>
      <c r="T496" s="39"/>
      <c r="U496" s="39"/>
      <c r="V496" s="39"/>
      <c r="W496" s="39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 spans="1:36" ht="11.25" customHeight="1" x14ac:dyDescent="0.2">
      <c r="A497" s="35" t="s">
        <v>53</v>
      </c>
      <c r="B497" s="35" t="s">
        <v>39</v>
      </c>
      <c r="C497" s="35" t="s">
        <v>41</v>
      </c>
      <c r="D497" s="35" t="s">
        <v>46</v>
      </c>
      <c r="E497" s="35" t="s">
        <v>25</v>
      </c>
      <c r="F497" s="35" t="s">
        <v>25</v>
      </c>
      <c r="G497" s="35" t="s">
        <v>25</v>
      </c>
      <c r="H497" s="35" t="s">
        <v>25</v>
      </c>
      <c r="I497" s="55">
        <v>44835</v>
      </c>
      <c r="J497" s="56">
        <f ca="1">EFEITO!$J$497*EFEITO!$Y$497</f>
        <v>4650.4266377661652</v>
      </c>
      <c r="K497" s="56">
        <f>EFEITO!$L$497*EFEITO!$Z$497</f>
        <v>0</v>
      </c>
      <c r="L497" s="56">
        <f>EFEITO!$N$497*EFEITO!$AA$497</f>
        <v>0</v>
      </c>
      <c r="M497" s="56">
        <f ca="1">$J$497-EFEITO!$K$497*EFEITO!$Y$497</f>
        <v>0</v>
      </c>
      <c r="N497" s="56">
        <f>$K$497-EFEITO!$M$497*EFEITO!$Z$497</f>
        <v>0</v>
      </c>
      <c r="O497" s="56">
        <f>$L$497-EFEITO!$O$497*EFEITO!$AA$497</f>
        <v>0</v>
      </c>
      <c r="P497" s="39"/>
      <c r="Q497" s="39"/>
      <c r="R497" s="39"/>
      <c r="S497" s="39"/>
      <c r="T497" s="39"/>
      <c r="U497" s="39"/>
      <c r="V497" s="39"/>
      <c r="W497" s="39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 spans="1:36" ht="11.25" customHeight="1" x14ac:dyDescent="0.2">
      <c r="A498" s="35" t="s">
        <v>21</v>
      </c>
      <c r="B498" s="35" t="s">
        <v>39</v>
      </c>
      <c r="C498" s="35" t="s">
        <v>41</v>
      </c>
      <c r="D498" s="35" t="s">
        <v>46</v>
      </c>
      <c r="E498" s="35" t="s">
        <v>25</v>
      </c>
      <c r="F498" s="35" t="s">
        <v>25</v>
      </c>
      <c r="G498" s="35" t="s">
        <v>25</v>
      </c>
      <c r="H498" s="35" t="s">
        <v>34</v>
      </c>
      <c r="I498" s="55">
        <v>44501</v>
      </c>
      <c r="J498" s="56">
        <f>EFEITO!$J$498*EFEITO!$Y$498</f>
        <v>0</v>
      </c>
      <c r="K498" s="56">
        <f ca="1">EFEITO!$L$498*EFEITO!$Z$498</f>
        <v>4523.8521778478244</v>
      </c>
      <c r="L498" s="56">
        <f>EFEITO!$N$498*EFEITO!$AA$498</f>
        <v>1968.6068321825132</v>
      </c>
      <c r="M498" s="56">
        <f>$J$498-EFEITO!$K$498*EFEITO!$Y$498</f>
        <v>0</v>
      </c>
      <c r="N498" s="56">
        <f ca="1">$K$498-EFEITO!$M$498*EFEITO!$Z$498</f>
        <v>0</v>
      </c>
      <c r="O498" s="56">
        <f>$L$498-EFEITO!$O$498*EFEITO!$AA$498</f>
        <v>0</v>
      </c>
      <c r="P498" s="39"/>
      <c r="Q498" s="39"/>
      <c r="R498" s="39"/>
      <c r="S498" s="39"/>
      <c r="T498" s="39"/>
      <c r="U498" s="39"/>
      <c r="V498" s="39"/>
      <c r="W498" s="39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 spans="1:36" ht="11.25" customHeight="1" x14ac:dyDescent="0.2">
      <c r="A499" s="35" t="s">
        <v>28</v>
      </c>
      <c r="B499" s="35" t="s">
        <v>39</v>
      </c>
      <c r="C499" s="35" t="s">
        <v>41</v>
      </c>
      <c r="D499" s="35" t="s">
        <v>46</v>
      </c>
      <c r="E499" s="35" t="s">
        <v>25</v>
      </c>
      <c r="F499" s="35" t="s">
        <v>25</v>
      </c>
      <c r="G499" s="35" t="s">
        <v>25</v>
      </c>
      <c r="H499" s="35" t="s">
        <v>34</v>
      </c>
      <c r="I499" s="55">
        <v>44501</v>
      </c>
      <c r="J499" s="56">
        <f>EFEITO!$J$499*EFEITO!$Y$499</f>
        <v>0</v>
      </c>
      <c r="K499" s="56">
        <f ca="1">EFEITO!$L$499*EFEITO!$Z$499</f>
        <v>1458.7662693578975</v>
      </c>
      <c r="L499" s="56">
        <f>EFEITO!$N$499*EFEITO!$AA$499</f>
        <v>634.79908969562143</v>
      </c>
      <c r="M499" s="56">
        <f>$J$499-EFEITO!$K$499*EFEITO!$Y$499</f>
        <v>0</v>
      </c>
      <c r="N499" s="56">
        <f ca="1">$K$499-EFEITO!$M$499*EFEITO!$Z$499</f>
        <v>0</v>
      </c>
      <c r="O499" s="56">
        <f>$L$499-EFEITO!$O$499*EFEITO!$AA$499</f>
        <v>0</v>
      </c>
      <c r="P499" s="39"/>
      <c r="Q499" s="39"/>
      <c r="R499" s="39"/>
      <c r="S499" s="39"/>
      <c r="T499" s="39"/>
      <c r="U499" s="39"/>
      <c r="V499" s="39"/>
      <c r="W499" s="39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 spans="1:36" ht="11.25" customHeight="1" x14ac:dyDescent="0.2">
      <c r="A500" s="35" t="s">
        <v>21</v>
      </c>
      <c r="B500" s="35" t="s">
        <v>39</v>
      </c>
      <c r="C500" s="35" t="s">
        <v>41</v>
      </c>
      <c r="D500" s="35" t="s">
        <v>46</v>
      </c>
      <c r="E500" s="35" t="s">
        <v>25</v>
      </c>
      <c r="F500" s="35" t="s">
        <v>25</v>
      </c>
      <c r="G500" s="35" t="s">
        <v>25</v>
      </c>
      <c r="H500" s="35" t="s">
        <v>34</v>
      </c>
      <c r="I500" s="55">
        <v>44531</v>
      </c>
      <c r="J500" s="56">
        <f>EFEITO!$J$500*EFEITO!$Y$500</f>
        <v>0</v>
      </c>
      <c r="K500" s="56">
        <f ca="1">EFEITO!$L$500*EFEITO!$Z$500</f>
        <v>4232.0989239762457</v>
      </c>
      <c r="L500" s="56">
        <f>EFEITO!$N$500*EFEITO!$AA$500</f>
        <v>1841.6470142433891</v>
      </c>
      <c r="M500" s="56">
        <f>$J$500-EFEITO!$K$500*EFEITO!$Y$500</f>
        <v>0</v>
      </c>
      <c r="N500" s="56">
        <f ca="1">$K$500-EFEITO!$M$500*EFEITO!$Z$500</f>
        <v>0</v>
      </c>
      <c r="O500" s="56">
        <f>$L$500-EFEITO!$O$500*EFEITO!$AA$500</f>
        <v>0</v>
      </c>
      <c r="P500" s="39"/>
      <c r="Q500" s="39"/>
      <c r="R500" s="39"/>
      <c r="S500" s="39"/>
      <c r="T500" s="39"/>
      <c r="U500" s="39"/>
      <c r="V500" s="39"/>
      <c r="W500" s="39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 spans="1:36" ht="11.25" customHeight="1" x14ac:dyDescent="0.2">
      <c r="A501" s="35" t="s">
        <v>28</v>
      </c>
      <c r="B501" s="35" t="s">
        <v>39</v>
      </c>
      <c r="C501" s="35" t="s">
        <v>41</v>
      </c>
      <c r="D501" s="35" t="s">
        <v>46</v>
      </c>
      <c r="E501" s="35" t="s">
        <v>25</v>
      </c>
      <c r="F501" s="35" t="s">
        <v>25</v>
      </c>
      <c r="G501" s="35" t="s">
        <v>25</v>
      </c>
      <c r="H501" s="35" t="s">
        <v>34</v>
      </c>
      <c r="I501" s="55">
        <v>44531</v>
      </c>
      <c r="J501" s="56">
        <f>EFEITO!$J$501*EFEITO!$Y$501</f>
        <v>0</v>
      </c>
      <c r="K501" s="56">
        <f ca="1">EFEITO!$L$501*EFEITO!$Z$501</f>
        <v>1265.3819286690727</v>
      </c>
      <c r="L501" s="56">
        <f>EFEITO!$N$501*EFEITO!$AA$501</f>
        <v>550.64564715359654</v>
      </c>
      <c r="M501" s="56">
        <f>$J$501-EFEITO!$K$501*EFEITO!$Y$501</f>
        <v>0</v>
      </c>
      <c r="N501" s="56">
        <f ca="1">$K$501-EFEITO!$M$501*EFEITO!$Z$501</f>
        <v>0</v>
      </c>
      <c r="O501" s="56">
        <f>$L$501-EFEITO!$O$501*EFEITO!$AA$501</f>
        <v>0</v>
      </c>
      <c r="P501" s="39"/>
      <c r="Q501" s="39"/>
      <c r="R501" s="39"/>
      <c r="S501" s="39"/>
      <c r="T501" s="39"/>
      <c r="U501" s="39"/>
      <c r="V501" s="39"/>
      <c r="W501" s="39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 spans="1:36" ht="11.25" customHeight="1" x14ac:dyDescent="0.2">
      <c r="A502" s="35" t="s">
        <v>21</v>
      </c>
      <c r="B502" s="35" t="s">
        <v>39</v>
      </c>
      <c r="C502" s="35" t="s">
        <v>41</v>
      </c>
      <c r="D502" s="35" t="s">
        <v>46</v>
      </c>
      <c r="E502" s="35" t="s">
        <v>25</v>
      </c>
      <c r="F502" s="35" t="s">
        <v>25</v>
      </c>
      <c r="G502" s="35" t="s">
        <v>25</v>
      </c>
      <c r="H502" s="35" t="s">
        <v>34</v>
      </c>
      <c r="I502" s="55">
        <v>44562</v>
      </c>
      <c r="J502" s="56">
        <f>EFEITO!$J$502*EFEITO!$Y$502</f>
        <v>0</v>
      </c>
      <c r="K502" s="56">
        <f ca="1">EFEITO!$L$502*EFEITO!$Z$502</f>
        <v>4429.9545789006497</v>
      </c>
      <c r="L502" s="56">
        <f>EFEITO!$N$502*EFEITO!$AA$502</f>
        <v>1927.746201121646</v>
      </c>
      <c r="M502" s="56">
        <f>$J$502-EFEITO!$K$502*EFEITO!$Y$502</f>
        <v>0</v>
      </c>
      <c r="N502" s="56">
        <f ca="1">$K$502-EFEITO!$M$502*EFEITO!$Z$502</f>
        <v>0</v>
      </c>
      <c r="O502" s="56">
        <f>$L$502-EFEITO!$O$502*EFEITO!$AA$502</f>
        <v>0</v>
      </c>
      <c r="P502" s="39"/>
      <c r="Q502" s="39"/>
      <c r="R502" s="39"/>
      <c r="S502" s="39"/>
      <c r="T502" s="39"/>
      <c r="U502" s="39"/>
      <c r="V502" s="39"/>
      <c r="W502" s="39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</row>
    <row r="503" spans="1:36" ht="11.25" customHeight="1" x14ac:dyDescent="0.2">
      <c r="A503" s="35" t="s">
        <v>28</v>
      </c>
      <c r="B503" s="35" t="s">
        <v>39</v>
      </c>
      <c r="C503" s="35" t="s">
        <v>41</v>
      </c>
      <c r="D503" s="35" t="s">
        <v>46</v>
      </c>
      <c r="E503" s="35" t="s">
        <v>25</v>
      </c>
      <c r="F503" s="35" t="s">
        <v>25</v>
      </c>
      <c r="G503" s="35" t="s">
        <v>25</v>
      </c>
      <c r="H503" s="35" t="s">
        <v>34</v>
      </c>
      <c r="I503" s="55">
        <v>44562</v>
      </c>
      <c r="J503" s="56">
        <f>EFEITO!$J$503*EFEITO!$Y$503</f>
        <v>0</v>
      </c>
      <c r="K503" s="56">
        <f ca="1">EFEITO!$L$503*EFEITO!$Z$503</f>
        <v>995.9852459753921</v>
      </c>
      <c r="L503" s="56">
        <f>EFEITO!$N$503*EFEITO!$AA$503</f>
        <v>433.41455089563124</v>
      </c>
      <c r="M503" s="56">
        <f>$J$503-EFEITO!$K$503*EFEITO!$Y$503</f>
        <v>0</v>
      </c>
      <c r="N503" s="56">
        <f ca="1">$K$503-EFEITO!$M$503*EFEITO!$Z$503</f>
        <v>0</v>
      </c>
      <c r="O503" s="56">
        <f>$L$503-EFEITO!$O$503*EFEITO!$AA$503</f>
        <v>0</v>
      </c>
      <c r="P503" s="39"/>
      <c r="Q503" s="39"/>
      <c r="R503" s="39"/>
      <c r="S503" s="39"/>
      <c r="T503" s="39"/>
      <c r="U503" s="39"/>
      <c r="V503" s="39"/>
      <c r="W503" s="39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 spans="1:36" ht="11.25" customHeight="1" x14ac:dyDescent="0.2">
      <c r="A504" s="35" t="s">
        <v>21</v>
      </c>
      <c r="B504" s="35" t="s">
        <v>39</v>
      </c>
      <c r="C504" s="35" t="s">
        <v>41</v>
      </c>
      <c r="D504" s="35" t="s">
        <v>46</v>
      </c>
      <c r="E504" s="35" t="s">
        <v>25</v>
      </c>
      <c r="F504" s="35" t="s">
        <v>25</v>
      </c>
      <c r="G504" s="35" t="s">
        <v>25</v>
      </c>
      <c r="H504" s="35" t="s">
        <v>34</v>
      </c>
      <c r="I504" s="55">
        <v>44593</v>
      </c>
      <c r="J504" s="56">
        <f>EFEITO!$J$504*EFEITO!$Y$504</f>
        <v>0</v>
      </c>
      <c r="K504" s="56">
        <f ca="1">EFEITO!$L$504*EFEITO!$Z$504</f>
        <v>4257.8089808308296</v>
      </c>
      <c r="L504" s="56">
        <f>EFEITO!$N$504*EFEITO!$AA$504</f>
        <v>1852.835044176722</v>
      </c>
      <c r="M504" s="56">
        <f>$J$504-EFEITO!$K$504*EFEITO!$Y$504</f>
        <v>0</v>
      </c>
      <c r="N504" s="56">
        <f ca="1">$K$504-EFEITO!$M$504*EFEITO!$Z$504</f>
        <v>0</v>
      </c>
      <c r="O504" s="56">
        <f>$L$504-EFEITO!$O$504*EFEITO!$AA$504</f>
        <v>0</v>
      </c>
      <c r="P504" s="39"/>
      <c r="Q504" s="39"/>
      <c r="R504" s="39"/>
      <c r="S504" s="39"/>
      <c r="T504" s="39"/>
      <c r="U504" s="39"/>
      <c r="V504" s="39"/>
      <c r="W504" s="39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</row>
    <row r="505" spans="1:36" ht="11.25" customHeight="1" x14ac:dyDescent="0.2">
      <c r="A505" s="35" t="s">
        <v>28</v>
      </c>
      <c r="B505" s="35" t="s">
        <v>39</v>
      </c>
      <c r="C505" s="35" t="s">
        <v>41</v>
      </c>
      <c r="D505" s="35" t="s">
        <v>46</v>
      </c>
      <c r="E505" s="35" t="s">
        <v>25</v>
      </c>
      <c r="F505" s="35" t="s">
        <v>25</v>
      </c>
      <c r="G505" s="35" t="s">
        <v>25</v>
      </c>
      <c r="H505" s="35" t="s">
        <v>34</v>
      </c>
      <c r="I505" s="55">
        <v>44593</v>
      </c>
      <c r="J505" s="56">
        <f>EFEITO!$J$505*EFEITO!$Y$505</f>
        <v>0</v>
      </c>
      <c r="K505" s="56">
        <f ca="1">EFEITO!$L$505*EFEITO!$Z$505</f>
        <v>745.59164878292552</v>
      </c>
      <c r="L505" s="56">
        <f>EFEITO!$N$505*EFEITO!$AA$505</f>
        <v>324.45286806665098</v>
      </c>
      <c r="M505" s="56">
        <f>$J$505-EFEITO!$K$505*EFEITO!$Y$505</f>
        <v>0</v>
      </c>
      <c r="N505" s="56">
        <f ca="1">$K$505-EFEITO!$M$505*EFEITO!$Z$505</f>
        <v>0</v>
      </c>
      <c r="O505" s="56">
        <f>$L$505-EFEITO!$O$505*EFEITO!$AA$505</f>
        <v>0</v>
      </c>
      <c r="P505" s="39"/>
      <c r="Q505" s="39"/>
      <c r="R505" s="39"/>
      <c r="S505" s="39"/>
      <c r="T505" s="39"/>
      <c r="U505" s="39"/>
      <c r="V505" s="39"/>
      <c r="W505" s="39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</row>
    <row r="506" spans="1:36" ht="11.25" customHeight="1" x14ac:dyDescent="0.2">
      <c r="A506" s="35" t="s">
        <v>21</v>
      </c>
      <c r="B506" s="35" t="s">
        <v>39</v>
      </c>
      <c r="C506" s="35" t="s">
        <v>41</v>
      </c>
      <c r="D506" s="35" t="s">
        <v>46</v>
      </c>
      <c r="E506" s="35" t="s">
        <v>25</v>
      </c>
      <c r="F506" s="35" t="s">
        <v>25</v>
      </c>
      <c r="G506" s="35" t="s">
        <v>25</v>
      </c>
      <c r="H506" s="35" t="s">
        <v>34</v>
      </c>
      <c r="I506" s="55">
        <v>44621</v>
      </c>
      <c r="J506" s="56">
        <f>EFEITO!$J$506*EFEITO!$Y$506</f>
        <v>0</v>
      </c>
      <c r="K506" s="56">
        <f ca="1">EFEITO!$L$506*EFEITO!$Z$506</f>
        <v>4497.0242924343456</v>
      </c>
      <c r="L506" s="56">
        <f>EFEITO!$N$506*EFEITO!$AA$506</f>
        <v>1956.9323661651226</v>
      </c>
      <c r="M506" s="56">
        <f>$J$506-EFEITO!$K$506*EFEITO!$Y$506</f>
        <v>0</v>
      </c>
      <c r="N506" s="56">
        <f ca="1">$K$506-EFEITO!$M$506*EFEITO!$Z$506</f>
        <v>0</v>
      </c>
      <c r="O506" s="56">
        <f>$L$506-EFEITO!$O$506*EFEITO!$AA$506</f>
        <v>0</v>
      </c>
      <c r="P506" s="39"/>
      <c r="Q506" s="39"/>
      <c r="R506" s="39"/>
      <c r="S506" s="39"/>
      <c r="T506" s="39"/>
      <c r="U506" s="39"/>
      <c r="V506" s="39"/>
      <c r="W506" s="39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</row>
    <row r="507" spans="1:36" ht="11.25" customHeight="1" x14ac:dyDescent="0.2">
      <c r="A507" s="35" t="s">
        <v>28</v>
      </c>
      <c r="B507" s="35" t="s">
        <v>39</v>
      </c>
      <c r="C507" s="35" t="s">
        <v>41</v>
      </c>
      <c r="D507" s="35" t="s">
        <v>46</v>
      </c>
      <c r="E507" s="35" t="s">
        <v>25</v>
      </c>
      <c r="F507" s="35" t="s">
        <v>25</v>
      </c>
      <c r="G507" s="35" t="s">
        <v>25</v>
      </c>
      <c r="H507" s="35" t="s">
        <v>34</v>
      </c>
      <c r="I507" s="55">
        <v>44621</v>
      </c>
      <c r="J507" s="56">
        <f>EFEITO!$J$507*EFEITO!$Y$507</f>
        <v>0</v>
      </c>
      <c r="K507" s="56">
        <f ca="1">EFEITO!$L$507*EFEITO!$Z$507</f>
        <v>1132.3603301605747</v>
      </c>
      <c r="L507" s="56">
        <f>EFEITO!$N$507*EFEITO!$AA$507</f>
        <v>492.75975315070076</v>
      </c>
      <c r="M507" s="56">
        <f>$J$507-EFEITO!$K$507*EFEITO!$Y$507</f>
        <v>0</v>
      </c>
      <c r="N507" s="56">
        <f ca="1">$K$507-EFEITO!$M$507*EFEITO!$Z$507</f>
        <v>0</v>
      </c>
      <c r="O507" s="56">
        <f>$L$507-EFEITO!$O$507*EFEITO!$AA$507</f>
        <v>0</v>
      </c>
      <c r="P507" s="39"/>
      <c r="Q507" s="39"/>
      <c r="R507" s="39"/>
      <c r="S507" s="39"/>
      <c r="T507" s="39"/>
      <c r="U507" s="39"/>
      <c r="V507" s="39"/>
      <c r="W507" s="39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</row>
    <row r="508" spans="1:36" ht="11.25" customHeight="1" x14ac:dyDescent="0.2">
      <c r="A508" s="35" t="s">
        <v>21</v>
      </c>
      <c r="B508" s="35" t="s">
        <v>39</v>
      </c>
      <c r="C508" s="35" t="s">
        <v>41</v>
      </c>
      <c r="D508" s="35" t="s">
        <v>46</v>
      </c>
      <c r="E508" s="35" t="s">
        <v>25</v>
      </c>
      <c r="F508" s="35" t="s">
        <v>25</v>
      </c>
      <c r="G508" s="35" t="s">
        <v>25</v>
      </c>
      <c r="H508" s="35" t="s">
        <v>34</v>
      </c>
      <c r="I508" s="55">
        <v>44652</v>
      </c>
      <c r="J508" s="56">
        <f>EFEITO!$J$508*EFEITO!$Y$508</f>
        <v>0</v>
      </c>
      <c r="K508" s="56">
        <f ca="1">EFEITO!$L$508*EFEITO!$Z$508</f>
        <v>5319.7461117810226</v>
      </c>
      <c r="L508" s="56">
        <f>EFEITO!$N$508*EFEITO!$AA$508</f>
        <v>2314.9493240317724</v>
      </c>
      <c r="M508" s="56">
        <f>$J$508-EFEITO!$K$508*EFEITO!$Y$508</f>
        <v>0</v>
      </c>
      <c r="N508" s="56">
        <f ca="1">$K$508-EFEITO!$M$508*EFEITO!$Z$508</f>
        <v>0</v>
      </c>
      <c r="O508" s="56">
        <f>$L$508-EFEITO!$O$508*EFEITO!$AA$508</f>
        <v>0</v>
      </c>
      <c r="P508" s="39"/>
      <c r="Q508" s="39"/>
      <c r="R508" s="39"/>
      <c r="S508" s="39"/>
      <c r="T508" s="39"/>
      <c r="U508" s="39"/>
      <c r="V508" s="39"/>
      <c r="W508" s="39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 spans="1:36" ht="11.25" customHeight="1" x14ac:dyDescent="0.2">
      <c r="A509" s="35" t="s">
        <v>28</v>
      </c>
      <c r="B509" s="35" t="s">
        <v>39</v>
      </c>
      <c r="C509" s="35" t="s">
        <v>41</v>
      </c>
      <c r="D509" s="35" t="s">
        <v>46</v>
      </c>
      <c r="E509" s="35" t="s">
        <v>25</v>
      </c>
      <c r="F509" s="35" t="s">
        <v>25</v>
      </c>
      <c r="G509" s="35" t="s">
        <v>25</v>
      </c>
      <c r="H509" s="35" t="s">
        <v>34</v>
      </c>
      <c r="I509" s="55">
        <v>44652</v>
      </c>
      <c r="J509" s="56">
        <f>EFEITO!$J$509*EFEITO!$Y$509</f>
        <v>0</v>
      </c>
      <c r="K509" s="56">
        <f ca="1">EFEITO!$L$509*EFEITO!$Z$509</f>
        <v>1929.3720926526676</v>
      </c>
      <c r="L509" s="56">
        <f>EFEITO!$N$509*EFEITO!$AA$509</f>
        <v>839.58868108401737</v>
      </c>
      <c r="M509" s="56">
        <f>$J$509-EFEITO!$K$509*EFEITO!$Y$509</f>
        <v>0</v>
      </c>
      <c r="N509" s="56">
        <f ca="1">$K$509-EFEITO!$M$509*EFEITO!$Z$509</f>
        <v>0</v>
      </c>
      <c r="O509" s="56">
        <f>$L$509-EFEITO!$O$509*EFEITO!$AA$509</f>
        <v>0</v>
      </c>
      <c r="P509" s="39"/>
      <c r="Q509" s="39"/>
      <c r="R509" s="39"/>
      <c r="S509" s="39"/>
      <c r="T509" s="39"/>
      <c r="U509" s="39"/>
      <c r="V509" s="39"/>
      <c r="W509" s="39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 spans="1:36" ht="11.25" customHeight="1" x14ac:dyDescent="0.2">
      <c r="A510" s="35" t="s">
        <v>21</v>
      </c>
      <c r="B510" s="35" t="s">
        <v>39</v>
      </c>
      <c r="C510" s="35" t="s">
        <v>41</v>
      </c>
      <c r="D510" s="35" t="s">
        <v>46</v>
      </c>
      <c r="E510" s="35" t="s">
        <v>25</v>
      </c>
      <c r="F510" s="35" t="s">
        <v>25</v>
      </c>
      <c r="G510" s="35" t="s">
        <v>25</v>
      </c>
      <c r="H510" s="35" t="s">
        <v>34</v>
      </c>
      <c r="I510" s="55">
        <v>44682</v>
      </c>
      <c r="J510" s="56">
        <f>EFEITO!$J$510*EFEITO!$Y$510</f>
        <v>0</v>
      </c>
      <c r="K510" s="56">
        <f ca="1">EFEITO!$L$510*EFEITO!$Z$510</f>
        <v>4912.856516343264</v>
      </c>
      <c r="L510" s="56">
        <f>EFEITO!$N$510*EFEITO!$AA$510</f>
        <v>2137.8865894346791</v>
      </c>
      <c r="M510" s="56">
        <f>$J$510-EFEITO!$K$510*EFEITO!$Y$510</f>
        <v>0</v>
      </c>
      <c r="N510" s="56">
        <f ca="1">$K$510-EFEITO!$M$510*EFEITO!$Z$510</f>
        <v>0</v>
      </c>
      <c r="O510" s="56">
        <f>$L$510-EFEITO!$O$510*EFEITO!$AA$510</f>
        <v>0</v>
      </c>
      <c r="P510" s="39"/>
      <c r="Q510" s="39"/>
      <c r="R510" s="39"/>
      <c r="S510" s="39"/>
      <c r="T510" s="39"/>
      <c r="U510" s="39"/>
      <c r="V510" s="39"/>
      <c r="W510" s="39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 spans="1:36" ht="11.25" customHeight="1" x14ac:dyDescent="0.2">
      <c r="A511" s="35" t="s">
        <v>28</v>
      </c>
      <c r="B511" s="35" t="s">
        <v>39</v>
      </c>
      <c r="C511" s="35" t="s">
        <v>41</v>
      </c>
      <c r="D511" s="35" t="s">
        <v>46</v>
      </c>
      <c r="E511" s="35" t="s">
        <v>25</v>
      </c>
      <c r="F511" s="35" t="s">
        <v>25</v>
      </c>
      <c r="G511" s="35" t="s">
        <v>25</v>
      </c>
      <c r="H511" s="35" t="s">
        <v>34</v>
      </c>
      <c r="I511" s="55">
        <v>44682</v>
      </c>
      <c r="J511" s="56">
        <f>EFEITO!$J$511*EFEITO!$Y$511</f>
        <v>0</v>
      </c>
      <c r="K511" s="56">
        <f ca="1">EFEITO!$L$511*EFEITO!$Z$511</f>
        <v>1877.9519789435003</v>
      </c>
      <c r="L511" s="56">
        <f>EFEITO!$N$511*EFEITO!$AA$511</f>
        <v>817.21262121735174</v>
      </c>
      <c r="M511" s="56">
        <f>$J$511-EFEITO!$K$511*EFEITO!$Y$511</f>
        <v>0</v>
      </c>
      <c r="N511" s="56">
        <f ca="1">$K$511-EFEITO!$M$511*EFEITO!$Z$511</f>
        <v>0</v>
      </c>
      <c r="O511" s="56">
        <f>$L$511-EFEITO!$O$511*EFEITO!$AA$511</f>
        <v>0</v>
      </c>
      <c r="P511" s="39"/>
      <c r="Q511" s="39"/>
      <c r="R511" s="39"/>
      <c r="S511" s="39"/>
      <c r="T511" s="39"/>
      <c r="U511" s="39"/>
      <c r="V511" s="39"/>
      <c r="W511" s="39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 spans="1:36" ht="11.25" customHeight="1" x14ac:dyDescent="0.2">
      <c r="A512" s="35" t="s">
        <v>21</v>
      </c>
      <c r="B512" s="35" t="s">
        <v>39</v>
      </c>
      <c r="C512" s="35" t="s">
        <v>41</v>
      </c>
      <c r="D512" s="35" t="s">
        <v>46</v>
      </c>
      <c r="E512" s="35" t="s">
        <v>25</v>
      </c>
      <c r="F512" s="35" t="s">
        <v>25</v>
      </c>
      <c r="G512" s="35" t="s">
        <v>25</v>
      </c>
      <c r="H512" s="35" t="s">
        <v>34</v>
      </c>
      <c r="I512" s="55">
        <v>44713</v>
      </c>
      <c r="J512" s="56">
        <f>EFEITO!$J$512*EFEITO!$Y$512</f>
        <v>0</v>
      </c>
      <c r="K512" s="56">
        <f ca="1">EFEITO!$L$512*EFEITO!$Z$512</f>
        <v>5225.8485128338471</v>
      </c>
      <c r="L512" s="56">
        <f>EFEITO!$N$512*EFEITO!$AA$512</f>
        <v>2274.0886929709045</v>
      </c>
      <c r="M512" s="56">
        <f>$J$512-EFEITO!$K$512*EFEITO!$Y$512</f>
        <v>0</v>
      </c>
      <c r="N512" s="56">
        <f ca="1">$K$512-EFEITO!$M$512*EFEITO!$Z$512</f>
        <v>0</v>
      </c>
      <c r="O512" s="56">
        <f>$L$512-EFEITO!$O$512*EFEITO!$AA$512</f>
        <v>0</v>
      </c>
      <c r="P512" s="39"/>
      <c r="Q512" s="39"/>
      <c r="R512" s="39"/>
      <c r="S512" s="39"/>
      <c r="T512" s="39"/>
      <c r="U512" s="39"/>
      <c r="V512" s="39"/>
      <c r="W512" s="39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 spans="1:36" ht="11.25" customHeight="1" x14ac:dyDescent="0.2">
      <c r="A513" s="35" t="s">
        <v>28</v>
      </c>
      <c r="B513" s="35" t="s">
        <v>39</v>
      </c>
      <c r="C513" s="35" t="s">
        <v>41</v>
      </c>
      <c r="D513" s="35" t="s">
        <v>46</v>
      </c>
      <c r="E513" s="35" t="s">
        <v>25</v>
      </c>
      <c r="F513" s="35" t="s">
        <v>25</v>
      </c>
      <c r="G513" s="35" t="s">
        <v>25</v>
      </c>
      <c r="H513" s="35" t="s">
        <v>34</v>
      </c>
      <c r="I513" s="55">
        <v>44713</v>
      </c>
      <c r="J513" s="56">
        <f>EFEITO!$J$513*EFEITO!$Y$513</f>
        <v>0</v>
      </c>
      <c r="K513" s="56">
        <f ca="1">EFEITO!$L$513*EFEITO!$Z$513</f>
        <v>2750.9760834404487</v>
      </c>
      <c r="L513" s="56">
        <f>EFEITO!$N$513*EFEITO!$AA$513</f>
        <v>1197.1192028666087</v>
      </c>
      <c r="M513" s="56">
        <f>$J$513-EFEITO!$K$513*EFEITO!$Y$513</f>
        <v>0</v>
      </c>
      <c r="N513" s="56">
        <f ca="1">$K$513-EFEITO!$M$513*EFEITO!$Z$513</f>
        <v>0</v>
      </c>
      <c r="O513" s="56">
        <f>$L$513-EFEITO!$O$513*EFEITO!$AA$513</f>
        <v>0</v>
      </c>
      <c r="P513" s="39"/>
      <c r="Q513" s="39"/>
      <c r="R513" s="39"/>
      <c r="S513" s="39"/>
      <c r="T513" s="39"/>
      <c r="U513" s="39"/>
      <c r="V513" s="39"/>
      <c r="W513" s="39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 spans="1:36" ht="11.25" customHeight="1" x14ac:dyDescent="0.2">
      <c r="A514" s="35" t="s">
        <v>21</v>
      </c>
      <c r="B514" s="35" t="s">
        <v>39</v>
      </c>
      <c r="C514" s="35" t="s">
        <v>41</v>
      </c>
      <c r="D514" s="35" t="s">
        <v>46</v>
      </c>
      <c r="E514" s="35" t="s">
        <v>25</v>
      </c>
      <c r="F514" s="35" t="s">
        <v>25</v>
      </c>
      <c r="G514" s="35" t="s">
        <v>25</v>
      </c>
      <c r="H514" s="35" t="s">
        <v>34</v>
      </c>
      <c r="I514" s="55">
        <v>44743</v>
      </c>
      <c r="J514" s="56">
        <f>EFEITO!$J$514*EFEITO!$Y$514</f>
        <v>0</v>
      </c>
      <c r="K514" s="56">
        <f ca="1">EFEITO!$L$514*EFEITO!$Z$514</f>
        <v>4954.2161730223779</v>
      </c>
      <c r="L514" s="56">
        <f>EFEITO!$N$514*EFEITO!$AA$514</f>
        <v>2155.8847245448233</v>
      </c>
      <c r="M514" s="56">
        <f>$J$514-EFEITO!$K$514*EFEITO!$Y$514</f>
        <v>0</v>
      </c>
      <c r="N514" s="56">
        <f ca="1">$K$514-EFEITO!$M$514*EFEITO!$Z$514</f>
        <v>0</v>
      </c>
      <c r="O514" s="56">
        <f>$L$514-EFEITO!$O$514*EFEITO!$AA$514</f>
        <v>0</v>
      </c>
      <c r="P514" s="39"/>
      <c r="Q514" s="39"/>
      <c r="R514" s="39"/>
      <c r="S514" s="39"/>
      <c r="T514" s="39"/>
      <c r="U514" s="39"/>
      <c r="V514" s="39"/>
      <c r="W514" s="39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 spans="1:36" ht="11.25" customHeight="1" x14ac:dyDescent="0.2">
      <c r="A515" s="35" t="s">
        <v>21</v>
      </c>
      <c r="B515" s="35" t="s">
        <v>39</v>
      </c>
      <c r="C515" s="35" t="s">
        <v>41</v>
      </c>
      <c r="D515" s="35" t="s">
        <v>46</v>
      </c>
      <c r="E515" s="35" t="s">
        <v>25</v>
      </c>
      <c r="F515" s="35" t="s">
        <v>25</v>
      </c>
      <c r="G515" s="35" t="s">
        <v>25</v>
      </c>
      <c r="H515" s="35" t="s">
        <v>34</v>
      </c>
      <c r="I515" s="55">
        <v>44774</v>
      </c>
      <c r="J515" s="56">
        <f>EFEITO!$J$515*EFEITO!$Y$515</f>
        <v>0</v>
      </c>
      <c r="K515" s="56">
        <f ca="1">EFEITO!$L$515*EFEITO!$Z$515</f>
        <v>4617.7497767949999</v>
      </c>
      <c r="L515" s="56">
        <f>EFEITO!$N$515*EFEITO!$AA$515</f>
        <v>2009.4674632433812</v>
      </c>
      <c r="M515" s="56">
        <f>$J$515-EFEITO!$K$515*EFEITO!$Y$515</f>
        <v>0</v>
      </c>
      <c r="N515" s="56">
        <f ca="1">$K$515-EFEITO!$M$515*EFEITO!$Z$515</f>
        <v>0</v>
      </c>
      <c r="O515" s="56">
        <f>$L$515-EFEITO!$O$515*EFEITO!$AA$515</f>
        <v>0</v>
      </c>
      <c r="P515" s="39"/>
      <c r="Q515" s="39"/>
      <c r="R515" s="39"/>
      <c r="S515" s="39"/>
      <c r="T515" s="39"/>
      <c r="U515" s="39"/>
      <c r="V515" s="39"/>
      <c r="W515" s="39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</row>
    <row r="516" spans="1:36" ht="11.25" customHeight="1" x14ac:dyDescent="0.2">
      <c r="A516" s="35" t="s">
        <v>28</v>
      </c>
      <c r="B516" s="35" t="s">
        <v>39</v>
      </c>
      <c r="C516" s="35" t="s">
        <v>41</v>
      </c>
      <c r="D516" s="35" t="s">
        <v>46</v>
      </c>
      <c r="E516" s="35" t="s">
        <v>25</v>
      </c>
      <c r="F516" s="35" t="s">
        <v>25</v>
      </c>
      <c r="G516" s="35" t="s">
        <v>25</v>
      </c>
      <c r="H516" s="35" t="s">
        <v>34</v>
      </c>
      <c r="I516" s="55">
        <v>44774</v>
      </c>
      <c r="J516" s="56">
        <f>EFEITO!$J$516*EFEITO!$Y$516</f>
        <v>0</v>
      </c>
      <c r="K516" s="56">
        <f ca="1">EFEITO!$L$516*EFEITO!$Z$516</f>
        <v>4066.6602972597939</v>
      </c>
      <c r="L516" s="56">
        <f>EFEITO!$N$516*EFEITO!$AA$516</f>
        <v>1769.6544738028128</v>
      </c>
      <c r="M516" s="56">
        <f>$J$516-EFEITO!$K$516*EFEITO!$Y$516</f>
        <v>0</v>
      </c>
      <c r="N516" s="56">
        <f ca="1">$K$516-EFEITO!$M$516*EFEITO!$Z$516</f>
        <v>0</v>
      </c>
      <c r="O516" s="56">
        <f>$L$516-EFEITO!$O$516*EFEITO!$AA$516</f>
        <v>0</v>
      </c>
      <c r="P516" s="39"/>
      <c r="Q516" s="39"/>
      <c r="R516" s="39"/>
      <c r="S516" s="39"/>
      <c r="T516" s="39"/>
      <c r="U516" s="39"/>
      <c r="V516" s="39"/>
      <c r="W516" s="39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 spans="1:36" ht="11.25" customHeight="1" x14ac:dyDescent="0.2">
      <c r="A517" s="35" t="s">
        <v>21</v>
      </c>
      <c r="B517" s="35" t="s">
        <v>39</v>
      </c>
      <c r="C517" s="35" t="s">
        <v>41</v>
      </c>
      <c r="D517" s="35" t="s">
        <v>46</v>
      </c>
      <c r="E517" s="35" t="s">
        <v>25</v>
      </c>
      <c r="F517" s="35" t="s">
        <v>25</v>
      </c>
      <c r="G517" s="35" t="s">
        <v>25</v>
      </c>
      <c r="H517" s="35" t="s">
        <v>34</v>
      </c>
      <c r="I517" s="55">
        <v>44805</v>
      </c>
      <c r="J517" s="56">
        <f>EFEITO!$J$517*EFEITO!$Y$517</f>
        <v>0</v>
      </c>
      <c r="K517" s="56">
        <f ca="1">EFEITO!$L$517*EFEITO!$Z$517</f>
        <v>5251.5585696884318</v>
      </c>
      <c r="L517" s="56">
        <f>EFEITO!$N$517*EFEITO!$AA$517</f>
        <v>2285.2767229042374</v>
      </c>
      <c r="M517" s="56">
        <f>$J$517-EFEITO!$K$517*EFEITO!$Y$517</f>
        <v>0</v>
      </c>
      <c r="N517" s="56">
        <f ca="1">$K$517-EFEITO!$M$517*EFEITO!$Z$517</f>
        <v>0</v>
      </c>
      <c r="O517" s="56">
        <f>$L$517-EFEITO!$O$517*EFEITO!$AA$517</f>
        <v>0</v>
      </c>
      <c r="P517" s="39"/>
      <c r="Q517" s="39"/>
      <c r="R517" s="39"/>
      <c r="S517" s="39"/>
      <c r="T517" s="39"/>
      <c r="U517" s="39"/>
      <c r="V517" s="39"/>
      <c r="W517" s="39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 spans="1:36" ht="11.25" customHeight="1" x14ac:dyDescent="0.2">
      <c r="A518" s="35" t="s">
        <v>28</v>
      </c>
      <c r="B518" s="35" t="s">
        <v>39</v>
      </c>
      <c r="C518" s="35" t="s">
        <v>41</v>
      </c>
      <c r="D518" s="35" t="s">
        <v>46</v>
      </c>
      <c r="E518" s="35" t="s">
        <v>25</v>
      </c>
      <c r="F518" s="35" t="s">
        <v>25</v>
      </c>
      <c r="G518" s="35" t="s">
        <v>25</v>
      </c>
      <c r="H518" s="35" t="s">
        <v>34</v>
      </c>
      <c r="I518" s="55">
        <v>44805</v>
      </c>
      <c r="J518" s="56">
        <f>EFEITO!$J$518*EFEITO!$Y$518</f>
        <v>0</v>
      </c>
      <c r="K518" s="56">
        <f ca="1">EFEITO!$L$518*EFEITO!$Z$518</f>
        <v>4055.4820116708447</v>
      </c>
      <c r="L518" s="56">
        <f>EFEITO!$N$518*EFEITO!$AA$518</f>
        <v>1764.7901129622335</v>
      </c>
      <c r="M518" s="56">
        <f>$J$518-EFEITO!$K$518*EFEITO!$Y$518</f>
        <v>0</v>
      </c>
      <c r="N518" s="56">
        <f ca="1">$K$518-EFEITO!$M$518*EFEITO!$Z$518</f>
        <v>0</v>
      </c>
      <c r="O518" s="56">
        <f>$L$518-EFEITO!$O$518*EFEITO!$AA$518</f>
        <v>0</v>
      </c>
      <c r="P518" s="39"/>
      <c r="Q518" s="39"/>
      <c r="R518" s="39"/>
      <c r="S518" s="39"/>
      <c r="T518" s="39"/>
      <c r="U518" s="39"/>
      <c r="V518" s="39"/>
      <c r="W518" s="39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 spans="1:36" ht="11.25" customHeight="1" x14ac:dyDescent="0.2">
      <c r="A519" s="35" t="s">
        <v>53</v>
      </c>
      <c r="B519" s="35" t="s">
        <v>39</v>
      </c>
      <c r="C519" s="35" t="s">
        <v>41</v>
      </c>
      <c r="D519" s="35" t="s">
        <v>46</v>
      </c>
      <c r="E519" s="35" t="s">
        <v>25</v>
      </c>
      <c r="F519" s="35" t="s">
        <v>25</v>
      </c>
      <c r="G519" s="35" t="s">
        <v>25</v>
      </c>
      <c r="H519" s="35" t="s">
        <v>34</v>
      </c>
      <c r="I519" s="55">
        <v>44835</v>
      </c>
      <c r="J519" s="56">
        <f>EFEITO!$J$519*EFEITO!$Y$519</f>
        <v>0</v>
      </c>
      <c r="K519" s="56">
        <f ca="1">EFEITO!$L$519*EFEITO!$Z$519</f>
        <v>5251.5585696884318</v>
      </c>
      <c r="L519" s="56">
        <f>EFEITO!$N$519*EFEITO!$AA$519</f>
        <v>2285.2767229042374</v>
      </c>
      <c r="M519" s="56">
        <f>$J$519-EFEITO!$K$519*EFEITO!$Y$519</f>
        <v>0</v>
      </c>
      <c r="N519" s="56">
        <f ca="1">$K$519-EFEITO!$M$519*EFEITO!$Z$519</f>
        <v>0</v>
      </c>
      <c r="O519" s="56">
        <f>$L$519-EFEITO!$O$519*EFEITO!$AA$519</f>
        <v>0</v>
      </c>
      <c r="P519" s="39"/>
      <c r="Q519" s="39"/>
      <c r="R519" s="39"/>
      <c r="S519" s="39"/>
      <c r="T519" s="39"/>
      <c r="U519" s="39"/>
      <c r="V519" s="39"/>
      <c r="W519" s="39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</row>
    <row r="520" spans="1:36" ht="11.25" customHeight="1" x14ac:dyDescent="0.2">
      <c r="A520" s="35" t="s">
        <v>53</v>
      </c>
      <c r="B520" s="35" t="s">
        <v>39</v>
      </c>
      <c r="C520" s="35" t="s">
        <v>41</v>
      </c>
      <c r="D520" s="35" t="s">
        <v>46</v>
      </c>
      <c r="E520" s="35" t="s">
        <v>25</v>
      </c>
      <c r="F520" s="35" t="s">
        <v>25</v>
      </c>
      <c r="G520" s="35" t="s">
        <v>25</v>
      </c>
      <c r="H520" s="35" t="s">
        <v>34</v>
      </c>
      <c r="I520" s="55">
        <v>44835</v>
      </c>
      <c r="J520" s="56">
        <f>EFEITO!$J$520*EFEITO!$Y$520</f>
        <v>0</v>
      </c>
      <c r="K520" s="56">
        <f ca="1">EFEITO!$L$520*EFEITO!$Z$520</f>
        <v>4055.4820116708447</v>
      </c>
      <c r="L520" s="56">
        <f>EFEITO!$N$520*EFEITO!$AA$520</f>
        <v>1764.7901129622335</v>
      </c>
      <c r="M520" s="56">
        <f>$J$520-EFEITO!$K$520*EFEITO!$Y$520</f>
        <v>0</v>
      </c>
      <c r="N520" s="56">
        <f ca="1">$K$520-EFEITO!$M$520*EFEITO!$Z$520</f>
        <v>0</v>
      </c>
      <c r="O520" s="56">
        <f>$L$520-EFEITO!$O$520*EFEITO!$AA$520</f>
        <v>0</v>
      </c>
      <c r="P520" s="39"/>
      <c r="Q520" s="39"/>
      <c r="R520" s="39"/>
      <c r="S520" s="39"/>
      <c r="T520" s="39"/>
      <c r="U520" s="39"/>
      <c r="V520" s="39"/>
      <c r="W520" s="39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</row>
    <row r="521" spans="1:36" ht="11.25" customHeight="1" x14ac:dyDescent="0.2">
      <c r="A521" s="35" t="s">
        <v>21</v>
      </c>
      <c r="B521" s="35" t="s">
        <v>39</v>
      </c>
      <c r="C521" s="35" t="s">
        <v>41</v>
      </c>
      <c r="D521" s="35" t="s">
        <v>45</v>
      </c>
      <c r="E521" s="35" t="s">
        <v>25</v>
      </c>
      <c r="F521" s="35" t="s">
        <v>25</v>
      </c>
      <c r="G521" s="35" t="s">
        <v>25</v>
      </c>
      <c r="H521" s="35" t="s">
        <v>35</v>
      </c>
      <c r="I521" s="55">
        <v>44501</v>
      </c>
      <c r="J521" s="56">
        <f>EFEITO!$J$521*EFEITO!$Y$474</f>
        <v>0</v>
      </c>
      <c r="K521" s="56">
        <f ca="1">EFEITO!$L$521*EFEITO!$Z$474</f>
        <v>13916.08394213069</v>
      </c>
      <c r="L521" s="56">
        <f>EFEITO!$N$521*EFEITO!$AA$474</f>
        <v>34087.136012920906</v>
      </c>
      <c r="M521" s="56">
        <f>$J$521-EFEITO!$K$521*EFEITO!$Y$521</f>
        <v>0</v>
      </c>
      <c r="N521" s="56">
        <f ca="1">$K$521-EFEITO!$M$521*EFEITO!$Z$521</f>
        <v>278.32167884261435</v>
      </c>
      <c r="O521" s="56">
        <f>$L$521-EFEITO!$O$521*EFEITO!$AA$521</f>
        <v>681.74272025841492</v>
      </c>
      <c r="P521" s="39"/>
      <c r="Q521" s="39"/>
      <c r="R521" s="39"/>
      <c r="S521" s="39"/>
      <c r="T521" s="39"/>
      <c r="U521" s="39"/>
      <c r="V521" s="39"/>
      <c r="W521" s="39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</row>
    <row r="522" spans="1:36" ht="11.25" customHeight="1" x14ac:dyDescent="0.2">
      <c r="A522" s="35" t="s">
        <v>21</v>
      </c>
      <c r="B522" s="35" t="s">
        <v>39</v>
      </c>
      <c r="C522" s="35" t="s">
        <v>41</v>
      </c>
      <c r="D522" s="35" t="s">
        <v>45</v>
      </c>
      <c r="E522" s="35" t="s">
        <v>25</v>
      </c>
      <c r="F522" s="35" t="s">
        <v>25</v>
      </c>
      <c r="G522" s="35" t="s">
        <v>25</v>
      </c>
      <c r="H522" s="35" t="s">
        <v>35</v>
      </c>
      <c r="I522" s="55">
        <v>44531</v>
      </c>
      <c r="J522" s="56">
        <f>EFEITO!$J$522*EFEITO!$Y$474</f>
        <v>0</v>
      </c>
      <c r="K522" s="56">
        <f ca="1">EFEITO!$L$522*EFEITO!$Z$474</f>
        <v>13468.072392565276</v>
      </c>
      <c r="L522" s="56">
        <f>EFEITO!$N$522*EFEITO!$AA$474</f>
        <v>32989.741753954004</v>
      </c>
      <c r="M522" s="56">
        <f>$J$522-EFEITO!$K$522*EFEITO!$Y$522</f>
        <v>0</v>
      </c>
      <c r="N522" s="56">
        <f ca="1">$K$522-EFEITO!$M$522*EFEITO!$Z$522</f>
        <v>269.36144785130637</v>
      </c>
      <c r="O522" s="56">
        <f>$L$522-EFEITO!$O$522*EFEITO!$AA$522</f>
        <v>659.79483507907935</v>
      </c>
      <c r="P522" s="39"/>
      <c r="Q522" s="39"/>
      <c r="R522" s="39"/>
      <c r="S522" s="39"/>
      <c r="T522" s="39"/>
      <c r="U522" s="39"/>
      <c r="V522" s="39"/>
      <c r="W522" s="39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 spans="1:36" ht="11.25" customHeight="1" x14ac:dyDescent="0.2">
      <c r="A523" s="35" t="s">
        <v>21</v>
      </c>
      <c r="B523" s="35" t="s">
        <v>39</v>
      </c>
      <c r="C523" s="35" t="s">
        <v>41</v>
      </c>
      <c r="D523" s="35" t="s">
        <v>45</v>
      </c>
      <c r="E523" s="35" t="s">
        <v>25</v>
      </c>
      <c r="F523" s="35" t="s">
        <v>25</v>
      </c>
      <c r="G523" s="35" t="s">
        <v>25</v>
      </c>
      <c r="H523" s="35" t="s">
        <v>35</v>
      </c>
      <c r="I523" s="55">
        <v>44562</v>
      </c>
      <c r="J523" s="56">
        <f>EFEITO!$J$523*EFEITO!$Y$474</f>
        <v>0</v>
      </c>
      <c r="K523" s="56">
        <f ca="1">EFEITO!$L$523*EFEITO!$Z$474</f>
        <v>13612.564667138855</v>
      </c>
      <c r="L523" s="56">
        <f>EFEITO!$N$523*EFEITO!$AA$474</f>
        <v>33343.672345109364</v>
      </c>
      <c r="M523" s="56">
        <f>$J$523-EFEITO!$K$523*EFEITO!$Y$523</f>
        <v>0</v>
      </c>
      <c r="N523" s="56">
        <f ca="1">$K$523-EFEITO!$M$523*EFEITO!$Z$523</f>
        <v>272.25129334277699</v>
      </c>
      <c r="O523" s="56">
        <f>$L$523-EFEITO!$O$523*EFEITO!$AA$523</f>
        <v>666.87344690218742</v>
      </c>
      <c r="P523" s="39"/>
      <c r="Q523" s="39"/>
      <c r="R523" s="39"/>
      <c r="S523" s="39"/>
      <c r="T523" s="39"/>
      <c r="U523" s="39"/>
      <c r="V523" s="39"/>
      <c r="W523" s="39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</row>
    <row r="524" spans="1:36" ht="11.25" customHeight="1" x14ac:dyDescent="0.2">
      <c r="A524" s="35" t="s">
        <v>21</v>
      </c>
      <c r="B524" s="35" t="s">
        <v>39</v>
      </c>
      <c r="C524" s="35" t="s">
        <v>41</v>
      </c>
      <c r="D524" s="35" t="s">
        <v>45</v>
      </c>
      <c r="E524" s="35" t="s">
        <v>25</v>
      </c>
      <c r="F524" s="35" t="s">
        <v>25</v>
      </c>
      <c r="G524" s="35" t="s">
        <v>25</v>
      </c>
      <c r="H524" s="35" t="s">
        <v>35</v>
      </c>
      <c r="I524" s="55">
        <v>44593</v>
      </c>
      <c r="J524" s="56">
        <f>EFEITO!$J$524*EFEITO!$Y$474</f>
        <v>0</v>
      </c>
      <c r="K524" s="56">
        <f ca="1">EFEITO!$L$524*EFEITO!$Z$474</f>
        <v>13150.629094495345</v>
      </c>
      <c r="L524" s="56">
        <f>EFEITO!$N$524*EFEITO!$AA$474</f>
        <v>32212.171503393762</v>
      </c>
      <c r="M524" s="56">
        <f>$J$524-EFEITO!$K$524*EFEITO!$Y$524</f>
        <v>0</v>
      </c>
      <c r="N524" s="56">
        <f ca="1">$K$524-EFEITO!$M$524*EFEITO!$Z$524</f>
        <v>263.01258188990687</v>
      </c>
      <c r="O524" s="56">
        <f>$L$524-EFEITO!$O$524*EFEITO!$AA$524</f>
        <v>644.2434300678724</v>
      </c>
      <c r="P524" s="39"/>
      <c r="Q524" s="39"/>
      <c r="R524" s="39"/>
      <c r="S524" s="39"/>
      <c r="T524" s="39"/>
      <c r="U524" s="39"/>
      <c r="V524" s="39"/>
      <c r="W524" s="39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</row>
    <row r="525" spans="1:36" ht="11.25" customHeight="1" x14ac:dyDescent="0.2">
      <c r="A525" s="35" t="s">
        <v>21</v>
      </c>
      <c r="B525" s="35" t="s">
        <v>39</v>
      </c>
      <c r="C525" s="35" t="s">
        <v>41</v>
      </c>
      <c r="D525" s="35" t="s">
        <v>45</v>
      </c>
      <c r="E525" s="35" t="s">
        <v>25</v>
      </c>
      <c r="F525" s="35" t="s">
        <v>25</v>
      </c>
      <c r="G525" s="35" t="s">
        <v>25</v>
      </c>
      <c r="H525" s="35" t="s">
        <v>35</v>
      </c>
      <c r="I525" s="55">
        <v>44621</v>
      </c>
      <c r="J525" s="56">
        <f>EFEITO!$J$525*EFEITO!$Y$474</f>
        <v>0</v>
      </c>
      <c r="K525" s="56">
        <f ca="1">EFEITO!$L$525*EFEITO!$Z$474</f>
        <v>11459.226712166597</v>
      </c>
      <c r="L525" s="56">
        <f>EFEITO!$N$525*EFEITO!$AA$474</f>
        <v>28069.119241078151</v>
      </c>
      <c r="M525" s="56">
        <f>$J$525-EFEITO!$K$525*EFEITO!$Y$525</f>
        <v>0</v>
      </c>
      <c r="N525" s="56">
        <f ca="1">$K$525-EFEITO!$M$525*EFEITO!$Z$525</f>
        <v>229.18453424333165</v>
      </c>
      <c r="O525" s="56">
        <f>$L$525-EFEITO!$O$525*EFEITO!$AA$525</f>
        <v>561.38238482156157</v>
      </c>
      <c r="P525" s="39"/>
      <c r="Q525" s="39"/>
      <c r="R525" s="39"/>
      <c r="S525" s="39"/>
      <c r="T525" s="39"/>
      <c r="U525" s="39"/>
      <c r="V525" s="39"/>
      <c r="W525" s="39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</row>
    <row r="526" spans="1:36" ht="11.25" customHeight="1" x14ac:dyDescent="0.2">
      <c r="A526" s="35" t="s">
        <v>21</v>
      </c>
      <c r="B526" s="35" t="s">
        <v>39</v>
      </c>
      <c r="C526" s="35" t="s">
        <v>41</v>
      </c>
      <c r="D526" s="35" t="s">
        <v>45</v>
      </c>
      <c r="E526" s="35" t="s">
        <v>25</v>
      </c>
      <c r="F526" s="35" t="s">
        <v>25</v>
      </c>
      <c r="G526" s="35" t="s">
        <v>25</v>
      </c>
      <c r="H526" s="35" t="s">
        <v>35</v>
      </c>
      <c r="I526" s="55">
        <v>44652</v>
      </c>
      <c r="J526" s="56">
        <f>EFEITO!$J$526*EFEITO!$Y$474</f>
        <v>0</v>
      </c>
      <c r="K526" s="56">
        <f ca="1">EFEITO!$L$526*EFEITO!$Z$474</f>
        <v>13025.679308452427</v>
      </c>
      <c r="L526" s="56">
        <f>EFEITO!$N$526*EFEITO!$AA$474</f>
        <v>31906.109800306753</v>
      </c>
      <c r="M526" s="56">
        <f>$J$526-EFEITO!$K$526*EFEITO!$Y$526</f>
        <v>0</v>
      </c>
      <c r="N526" s="56">
        <f ca="1">$K$526-EFEITO!$M$526*EFEITO!$Z$526</f>
        <v>260.51358616904872</v>
      </c>
      <c r="O526" s="56">
        <f>$L$526-EFEITO!$O$526*EFEITO!$AA$526</f>
        <v>638.12219600613389</v>
      </c>
      <c r="P526" s="39"/>
      <c r="Q526" s="39"/>
      <c r="R526" s="39"/>
      <c r="S526" s="39"/>
      <c r="T526" s="39"/>
      <c r="U526" s="39"/>
      <c r="V526" s="39"/>
      <c r="W526" s="39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</row>
    <row r="527" spans="1:36" ht="11.25" customHeight="1" x14ac:dyDescent="0.2">
      <c r="A527" s="35" t="s">
        <v>21</v>
      </c>
      <c r="B527" s="35" t="s">
        <v>39</v>
      </c>
      <c r="C527" s="35" t="s">
        <v>41</v>
      </c>
      <c r="D527" s="35" t="s">
        <v>45</v>
      </c>
      <c r="E527" s="35" t="s">
        <v>25</v>
      </c>
      <c r="F527" s="35" t="s">
        <v>25</v>
      </c>
      <c r="G527" s="35" t="s">
        <v>25</v>
      </c>
      <c r="H527" s="35" t="s">
        <v>35</v>
      </c>
      <c r="I527" s="55">
        <v>44682</v>
      </c>
      <c r="J527" s="56">
        <f>EFEITO!$J$527*EFEITO!$Y$474</f>
        <v>0</v>
      </c>
      <c r="K527" s="56">
        <f ca="1">EFEITO!$L$527*EFEITO!$Z$474</f>
        <v>12614.065643775373</v>
      </c>
      <c r="L527" s="56">
        <f>EFEITO!$N$527*EFEITO!$AA$474</f>
        <v>30897.871345367155</v>
      </c>
      <c r="M527" s="56">
        <f>$J$527-EFEITO!$K$527*EFEITO!$Y$527</f>
        <v>0</v>
      </c>
      <c r="N527" s="56">
        <f ca="1">$K$527-EFEITO!$M$527*EFEITO!$Z$527</f>
        <v>252.28131287550787</v>
      </c>
      <c r="O527" s="56">
        <f>$L$527-EFEITO!$O$527*EFEITO!$AA$527</f>
        <v>617.95742690734187</v>
      </c>
      <c r="P527" s="39"/>
      <c r="Q527" s="39"/>
      <c r="R527" s="39"/>
      <c r="S527" s="39"/>
      <c r="T527" s="39"/>
      <c r="U527" s="39"/>
      <c r="V527" s="39"/>
      <c r="W527" s="39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</row>
    <row r="528" spans="1:36" ht="11.25" customHeight="1" x14ac:dyDescent="0.2">
      <c r="A528" s="35" t="s">
        <v>21</v>
      </c>
      <c r="B528" s="35" t="s">
        <v>39</v>
      </c>
      <c r="C528" s="35" t="s">
        <v>41</v>
      </c>
      <c r="D528" s="35" t="s">
        <v>45</v>
      </c>
      <c r="E528" s="35" t="s">
        <v>25</v>
      </c>
      <c r="F528" s="35" t="s">
        <v>25</v>
      </c>
      <c r="G528" s="35" t="s">
        <v>25</v>
      </c>
      <c r="H528" s="35" t="s">
        <v>35</v>
      </c>
      <c r="I528" s="55">
        <v>44713</v>
      </c>
      <c r="J528" s="56">
        <f>EFEITO!$J$528*EFEITO!$Y$474</f>
        <v>0</v>
      </c>
      <c r="K528" s="56">
        <f ca="1">EFEITO!$L$528*EFEITO!$Z$474</f>
        <v>12247.155421612204</v>
      </c>
      <c r="L528" s="56">
        <f>EFEITO!$N$528*EFEITO!$AA$474</f>
        <v>29999.132971883901</v>
      </c>
      <c r="M528" s="56">
        <f>$J$528-EFEITO!$K$528*EFEITO!$Y$528</f>
        <v>0</v>
      </c>
      <c r="N528" s="56">
        <f ca="1">$K$528-EFEITO!$M$528*EFEITO!$Z$528</f>
        <v>244.94310843224412</v>
      </c>
      <c r="O528" s="56">
        <f>$L$528-EFEITO!$O$528*EFEITO!$AA$528</f>
        <v>599.98265943767547</v>
      </c>
      <c r="P528" s="39"/>
      <c r="Q528" s="39"/>
      <c r="R528" s="39"/>
      <c r="S528" s="39"/>
      <c r="T528" s="39"/>
      <c r="U528" s="39"/>
      <c r="V528" s="39"/>
      <c r="W528" s="39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</row>
    <row r="529" spans="1:36" ht="11.25" customHeight="1" x14ac:dyDescent="0.2">
      <c r="A529" s="35" t="s">
        <v>21</v>
      </c>
      <c r="B529" s="35" t="s">
        <v>39</v>
      </c>
      <c r="C529" s="35" t="s">
        <v>41</v>
      </c>
      <c r="D529" s="35" t="s">
        <v>45</v>
      </c>
      <c r="E529" s="35" t="s">
        <v>25</v>
      </c>
      <c r="F529" s="35" t="s">
        <v>25</v>
      </c>
      <c r="G529" s="35" t="s">
        <v>25</v>
      </c>
      <c r="H529" s="35" t="s">
        <v>35</v>
      </c>
      <c r="I529" s="55">
        <v>44743</v>
      </c>
      <c r="J529" s="56">
        <f>EFEITO!$J$529*EFEITO!$Y$474</f>
        <v>0</v>
      </c>
      <c r="K529" s="56">
        <f ca="1">EFEITO!$L$529*EFEITO!$Z$474</f>
        <v>13185.927714403851</v>
      </c>
      <c r="L529" s="56">
        <f>EFEITO!$N$529*EFEITO!$AA$474</f>
        <v>32298.634682467215</v>
      </c>
      <c r="M529" s="56">
        <f>$J$529-EFEITO!$K$529*EFEITO!$Y$529</f>
        <v>0</v>
      </c>
      <c r="N529" s="56">
        <f ca="1">$K$529-EFEITO!$M$529*EFEITO!$Z$529</f>
        <v>263.71855428807794</v>
      </c>
      <c r="O529" s="56">
        <f>$L$529-EFEITO!$O$529*EFEITO!$AA$529</f>
        <v>645.97269364934255</v>
      </c>
      <c r="P529" s="39"/>
      <c r="Q529" s="39"/>
      <c r="R529" s="39"/>
      <c r="S529" s="39"/>
      <c r="T529" s="39"/>
      <c r="U529" s="39"/>
      <c r="V529" s="39"/>
      <c r="W529" s="39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</row>
    <row r="530" spans="1:36" ht="11.25" customHeight="1" x14ac:dyDescent="0.2">
      <c r="A530" s="35" t="s">
        <v>21</v>
      </c>
      <c r="B530" s="35" t="s">
        <v>39</v>
      </c>
      <c r="C530" s="35" t="s">
        <v>41</v>
      </c>
      <c r="D530" s="35" t="s">
        <v>45</v>
      </c>
      <c r="E530" s="35" t="s">
        <v>25</v>
      </c>
      <c r="F530" s="35" t="s">
        <v>25</v>
      </c>
      <c r="G530" s="35" t="s">
        <v>25</v>
      </c>
      <c r="H530" s="35" t="s">
        <v>35</v>
      </c>
      <c r="I530" s="55">
        <v>44774</v>
      </c>
      <c r="J530" s="56">
        <f>EFEITO!$J$530*EFEITO!$Y$474</f>
        <v>0</v>
      </c>
      <c r="K530" s="56">
        <f ca="1">EFEITO!$L$530*EFEITO!$Z$474</f>
        <v>12533.941440799659</v>
      </c>
      <c r="L530" s="56">
        <f>EFEITO!$N$530*EFEITO!$AA$474</f>
        <v>30701.608904286921</v>
      </c>
      <c r="M530" s="56">
        <f>$J$530-EFEITO!$K$530*EFEITO!$Y$530</f>
        <v>0</v>
      </c>
      <c r="N530" s="56">
        <f ca="1">$K$530-EFEITO!$M$530*EFEITO!$Z$530</f>
        <v>250.67882881599326</v>
      </c>
      <c r="O530" s="56">
        <f>$L$530-EFEITO!$O$530*EFEITO!$AA$530</f>
        <v>614.03217808573754</v>
      </c>
      <c r="P530" s="39"/>
      <c r="Q530" s="39"/>
      <c r="R530" s="39"/>
      <c r="S530" s="39"/>
      <c r="T530" s="39"/>
      <c r="U530" s="39"/>
      <c r="V530" s="39"/>
      <c r="W530" s="39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</row>
    <row r="531" spans="1:36" ht="11.25" customHeight="1" x14ac:dyDescent="0.2">
      <c r="A531" s="35" t="s">
        <v>21</v>
      </c>
      <c r="B531" s="35" t="s">
        <v>39</v>
      </c>
      <c r="C531" s="35" t="s">
        <v>41</v>
      </c>
      <c r="D531" s="35" t="s">
        <v>45</v>
      </c>
      <c r="E531" s="35" t="s">
        <v>25</v>
      </c>
      <c r="F531" s="35" t="s">
        <v>25</v>
      </c>
      <c r="G531" s="35" t="s">
        <v>25</v>
      </c>
      <c r="H531" s="35" t="s">
        <v>35</v>
      </c>
      <c r="I531" s="55">
        <v>44805</v>
      </c>
      <c r="J531" s="56">
        <f>EFEITO!$J$531*EFEITO!$Y$474</f>
        <v>0</v>
      </c>
      <c r="K531" s="56">
        <f ca="1">EFEITO!$L$531*EFEITO!$Z$474</f>
        <v>19657.300650779067</v>
      </c>
      <c r="L531" s="56">
        <f>EFEITO!$N$531*EFEITO!$AA$474</f>
        <v>48150.117785750568</v>
      </c>
      <c r="M531" s="56">
        <f>$J$531-EFEITO!$K$531*EFEITO!$Y$531</f>
        <v>0</v>
      </c>
      <c r="N531" s="56">
        <f ca="1">$K$531-EFEITO!$M$531*EFEITO!$Z$531</f>
        <v>393.14601301557923</v>
      </c>
      <c r="O531" s="56">
        <f>$L$531-EFEITO!$O$531*EFEITO!$AA$531</f>
        <v>963.00235571501253</v>
      </c>
      <c r="P531" s="39"/>
      <c r="Q531" s="39"/>
      <c r="R531" s="39"/>
      <c r="S531" s="39"/>
      <c r="T531" s="39"/>
      <c r="U531" s="39"/>
      <c r="V531" s="39"/>
      <c r="W531" s="39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spans="1:36" ht="11.25" customHeight="1" x14ac:dyDescent="0.2">
      <c r="A532" s="35" t="s">
        <v>53</v>
      </c>
      <c r="B532" s="35" t="s">
        <v>39</v>
      </c>
      <c r="C532" s="35" t="s">
        <v>41</v>
      </c>
      <c r="D532" s="35" t="s">
        <v>45</v>
      </c>
      <c r="E532" s="35" t="s">
        <v>25</v>
      </c>
      <c r="F532" s="35" t="s">
        <v>25</v>
      </c>
      <c r="G532" s="35" t="s">
        <v>25</v>
      </c>
      <c r="H532" s="35" t="s">
        <v>35</v>
      </c>
      <c r="I532" s="55">
        <v>44835</v>
      </c>
      <c r="J532" s="56">
        <f>EFEITO!$J$532*EFEITO!$Y$474</f>
        <v>0</v>
      </c>
      <c r="K532" s="56">
        <f ca="1">EFEITO!$L$532*EFEITO!$Z$474</f>
        <v>19657.300650779067</v>
      </c>
      <c r="L532" s="56">
        <f>EFEITO!$N$532*EFEITO!$AA$474</f>
        <v>48150.117785750568</v>
      </c>
      <c r="M532" s="56">
        <f>$J$532-EFEITO!$K$532*EFEITO!$Y$532</f>
        <v>0</v>
      </c>
      <c r="N532" s="56">
        <f ca="1">$K$532-EFEITO!$M$532*EFEITO!$Z$532</f>
        <v>393.14601301557923</v>
      </c>
      <c r="O532" s="56">
        <f>$L$532-EFEITO!$O$532*EFEITO!$AA$532</f>
        <v>963.00235571501253</v>
      </c>
      <c r="P532" s="39"/>
      <c r="Q532" s="39"/>
      <c r="R532" s="39"/>
      <c r="S532" s="39"/>
      <c r="T532" s="39"/>
      <c r="U532" s="39"/>
      <c r="V532" s="39"/>
      <c r="W532" s="39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 spans="1:36" ht="11.25" customHeight="1" x14ac:dyDescent="0.2">
      <c r="A533" s="35" t="s">
        <v>21</v>
      </c>
      <c r="B533" s="35" t="s">
        <v>39</v>
      </c>
      <c r="C533" s="35" t="s">
        <v>41</v>
      </c>
      <c r="D533" s="35" t="s">
        <v>45</v>
      </c>
      <c r="E533" s="35" t="s">
        <v>25</v>
      </c>
      <c r="F533" s="35" t="s">
        <v>25</v>
      </c>
      <c r="G533" s="35" t="s">
        <v>25</v>
      </c>
      <c r="H533" s="35" t="s">
        <v>25</v>
      </c>
      <c r="I533" s="55">
        <v>44501</v>
      </c>
      <c r="J533" s="56">
        <f ca="1">EFEITO!$J$533*EFEITO!$Y$497</f>
        <v>8290.5881783624391</v>
      </c>
      <c r="K533" s="56">
        <f>EFEITO!$L$533*EFEITO!$Z$497</f>
        <v>0</v>
      </c>
      <c r="L533" s="56">
        <f>EFEITO!$N$533*EFEITO!$AA$497</f>
        <v>0</v>
      </c>
      <c r="M533" s="56">
        <f ca="1">$J$533-EFEITO!$K$533*EFEITO!$Y$533</f>
        <v>165.81176356724882</v>
      </c>
      <c r="N533" s="56">
        <f>$K$533-EFEITO!$M$533*EFEITO!$Z$533</f>
        <v>0</v>
      </c>
      <c r="O533" s="56">
        <f>$L$533-EFEITO!$O$533*EFEITO!$AA$533</f>
        <v>0</v>
      </c>
      <c r="P533" s="39"/>
      <c r="Q533" s="39"/>
      <c r="R533" s="39"/>
      <c r="S533" s="39"/>
      <c r="T533" s="39"/>
      <c r="U533" s="39"/>
      <c r="V533" s="39"/>
      <c r="W533" s="39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</row>
    <row r="534" spans="1:36" ht="11.25" customHeight="1" x14ac:dyDescent="0.2">
      <c r="A534" s="35" t="s">
        <v>21</v>
      </c>
      <c r="B534" s="35" t="s">
        <v>39</v>
      </c>
      <c r="C534" s="35" t="s">
        <v>41</v>
      </c>
      <c r="D534" s="35" t="s">
        <v>45</v>
      </c>
      <c r="E534" s="35" t="s">
        <v>25</v>
      </c>
      <c r="F534" s="35" t="s">
        <v>25</v>
      </c>
      <c r="G534" s="35" t="s">
        <v>25</v>
      </c>
      <c r="H534" s="35" t="s">
        <v>25</v>
      </c>
      <c r="I534" s="55">
        <v>44531</v>
      </c>
      <c r="J534" s="56">
        <f ca="1">EFEITO!$J$534*EFEITO!$Y$497</f>
        <v>6029.5186751726833</v>
      </c>
      <c r="K534" s="56">
        <f>EFEITO!$L$534*EFEITO!$Z$497</f>
        <v>0</v>
      </c>
      <c r="L534" s="56">
        <f>EFEITO!$N$534*EFEITO!$AA$497</f>
        <v>0</v>
      </c>
      <c r="M534" s="56">
        <f ca="1">$J$534-EFEITO!$K$534*EFEITO!$Y$534</f>
        <v>120.59037350345443</v>
      </c>
      <c r="N534" s="56">
        <f>$K$534-EFEITO!$M$534*EFEITO!$Z$534</f>
        <v>0</v>
      </c>
      <c r="O534" s="56">
        <f>$L$534-EFEITO!$O$534*EFEITO!$AA$534</f>
        <v>0</v>
      </c>
      <c r="P534" s="39"/>
      <c r="Q534" s="39"/>
      <c r="R534" s="39"/>
      <c r="S534" s="39"/>
      <c r="T534" s="39"/>
      <c r="U534" s="39"/>
      <c r="V534" s="39"/>
      <c r="W534" s="39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</row>
    <row r="535" spans="1:36" ht="11.25" customHeight="1" x14ac:dyDescent="0.2">
      <c r="A535" s="35" t="s">
        <v>21</v>
      </c>
      <c r="B535" s="35" t="s">
        <v>39</v>
      </c>
      <c r="C535" s="35" t="s">
        <v>41</v>
      </c>
      <c r="D535" s="35" t="s">
        <v>45</v>
      </c>
      <c r="E535" s="35" t="s">
        <v>25</v>
      </c>
      <c r="F535" s="35" t="s">
        <v>25</v>
      </c>
      <c r="G535" s="35" t="s">
        <v>25</v>
      </c>
      <c r="H535" s="35" t="s">
        <v>25</v>
      </c>
      <c r="I535" s="55">
        <v>44562</v>
      </c>
      <c r="J535" s="56">
        <f ca="1">EFEITO!$J$535*EFEITO!$Y$497</f>
        <v>6430.4175232559737</v>
      </c>
      <c r="K535" s="56">
        <f>EFEITO!$L$535*EFEITO!$Z$497</f>
        <v>0</v>
      </c>
      <c r="L535" s="56">
        <f>EFEITO!$N$535*EFEITO!$AA$497</f>
        <v>0</v>
      </c>
      <c r="M535" s="56">
        <f ca="1">$J$535-EFEITO!$K$535*EFEITO!$Y$535</f>
        <v>128.60835046512057</v>
      </c>
      <c r="N535" s="56">
        <f>$K$535-EFEITO!$M$535*EFEITO!$Z$535</f>
        <v>0</v>
      </c>
      <c r="O535" s="56">
        <f>$L$535-EFEITO!$O$535*EFEITO!$AA$535</f>
        <v>0</v>
      </c>
      <c r="P535" s="39"/>
      <c r="Q535" s="39"/>
      <c r="R535" s="39"/>
      <c r="S535" s="39"/>
      <c r="T535" s="39"/>
      <c r="U535" s="39"/>
      <c r="V535" s="39"/>
      <c r="W535" s="39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</row>
    <row r="536" spans="1:36" ht="11.25" customHeight="1" x14ac:dyDescent="0.2">
      <c r="A536" s="35" t="s">
        <v>21</v>
      </c>
      <c r="B536" s="35" t="s">
        <v>39</v>
      </c>
      <c r="C536" s="35" t="s">
        <v>41</v>
      </c>
      <c r="D536" s="35" t="s">
        <v>45</v>
      </c>
      <c r="E536" s="35" t="s">
        <v>25</v>
      </c>
      <c r="F536" s="35" t="s">
        <v>25</v>
      </c>
      <c r="G536" s="35" t="s">
        <v>25</v>
      </c>
      <c r="H536" s="35" t="s">
        <v>25</v>
      </c>
      <c r="I536" s="55">
        <v>44593</v>
      </c>
      <c r="J536" s="56">
        <f ca="1">EFEITO!$J$536*EFEITO!$Y$497</f>
        <v>6334.2017997159837</v>
      </c>
      <c r="K536" s="56">
        <f>EFEITO!$L$536*EFEITO!$Z$497</f>
        <v>0</v>
      </c>
      <c r="L536" s="56">
        <f>EFEITO!$N$536*EFEITO!$AA$497</f>
        <v>0</v>
      </c>
      <c r="M536" s="56">
        <f ca="1">$J$536-EFEITO!$K$536*EFEITO!$Y$536</f>
        <v>126.68403599431986</v>
      </c>
      <c r="N536" s="56">
        <f>$K$536-EFEITO!$M$536*EFEITO!$Z$536</f>
        <v>0</v>
      </c>
      <c r="O536" s="56">
        <f>$L$536-EFEITO!$O$536*EFEITO!$AA$536</f>
        <v>0</v>
      </c>
      <c r="P536" s="39"/>
      <c r="Q536" s="39"/>
      <c r="R536" s="39"/>
      <c r="S536" s="39"/>
      <c r="T536" s="39"/>
      <c r="U536" s="39"/>
      <c r="V536" s="39"/>
      <c r="W536" s="39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</row>
    <row r="537" spans="1:36" ht="11.25" customHeight="1" x14ac:dyDescent="0.2">
      <c r="A537" s="35" t="s">
        <v>21</v>
      </c>
      <c r="B537" s="35" t="s">
        <v>39</v>
      </c>
      <c r="C537" s="35" t="s">
        <v>41</v>
      </c>
      <c r="D537" s="35" t="s">
        <v>45</v>
      </c>
      <c r="E537" s="35" t="s">
        <v>25</v>
      </c>
      <c r="F537" s="35" t="s">
        <v>25</v>
      </c>
      <c r="G537" s="35" t="s">
        <v>25</v>
      </c>
      <c r="H537" s="35" t="s">
        <v>25</v>
      </c>
      <c r="I537" s="55">
        <v>44621</v>
      </c>
      <c r="J537" s="56">
        <f ca="1">EFEITO!$J$537*EFEITO!$Y$497</f>
        <v>5853.1231820160356</v>
      </c>
      <c r="K537" s="56">
        <f>EFEITO!$L$537*EFEITO!$Z$497</f>
        <v>0</v>
      </c>
      <c r="L537" s="56">
        <f>EFEITO!$N$537*EFEITO!$AA$497</f>
        <v>0</v>
      </c>
      <c r="M537" s="56">
        <f ca="1">$J$537-EFEITO!$K$537*EFEITO!$Y$537</f>
        <v>117.06246364032086</v>
      </c>
      <c r="N537" s="56">
        <f>$K$537-EFEITO!$M$537*EFEITO!$Z$537</f>
        <v>0</v>
      </c>
      <c r="O537" s="56">
        <f>$L$537-EFEITO!$O$537*EFEITO!$AA$537</f>
        <v>0</v>
      </c>
      <c r="P537" s="39"/>
      <c r="Q537" s="39"/>
      <c r="R537" s="39"/>
      <c r="S537" s="39"/>
      <c r="T537" s="39"/>
      <c r="U537" s="39"/>
      <c r="V537" s="39"/>
      <c r="W537" s="39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spans="1:36" ht="11.25" customHeight="1" x14ac:dyDescent="0.2">
      <c r="A538" s="35" t="s">
        <v>21</v>
      </c>
      <c r="B538" s="35" t="s">
        <v>39</v>
      </c>
      <c r="C538" s="35" t="s">
        <v>41</v>
      </c>
      <c r="D538" s="35" t="s">
        <v>45</v>
      </c>
      <c r="E538" s="35" t="s">
        <v>25</v>
      </c>
      <c r="F538" s="35" t="s">
        <v>25</v>
      </c>
      <c r="G538" s="35" t="s">
        <v>25</v>
      </c>
      <c r="H538" s="35" t="s">
        <v>25</v>
      </c>
      <c r="I538" s="55">
        <v>44652</v>
      </c>
      <c r="J538" s="56">
        <f ca="1">EFEITO!$J$538*EFEITO!$Y$497</f>
        <v>6767.1725556459369</v>
      </c>
      <c r="K538" s="56">
        <f>EFEITO!$L$538*EFEITO!$Z$497</f>
        <v>0</v>
      </c>
      <c r="L538" s="56">
        <f>EFEITO!$N$538*EFEITO!$AA$497</f>
        <v>0</v>
      </c>
      <c r="M538" s="56">
        <f ca="1">$J$538-EFEITO!$K$538*EFEITO!$Y$538</f>
        <v>135.34345111291896</v>
      </c>
      <c r="N538" s="56">
        <f>$K$538-EFEITO!$M$538*EFEITO!$Z$538</f>
        <v>0</v>
      </c>
      <c r="O538" s="56">
        <f>$L$538-EFEITO!$O$538*EFEITO!$AA$538</f>
        <v>0</v>
      </c>
      <c r="P538" s="39"/>
      <c r="Q538" s="39"/>
      <c r="R538" s="39"/>
      <c r="S538" s="39"/>
      <c r="T538" s="39"/>
      <c r="U538" s="39"/>
      <c r="V538" s="39"/>
      <c r="W538" s="39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 spans="1:36" ht="11.25" customHeight="1" x14ac:dyDescent="0.2">
      <c r="A539" s="35" t="s">
        <v>21</v>
      </c>
      <c r="B539" s="35" t="s">
        <v>39</v>
      </c>
      <c r="C539" s="35" t="s">
        <v>41</v>
      </c>
      <c r="D539" s="35" t="s">
        <v>45</v>
      </c>
      <c r="E539" s="35" t="s">
        <v>25</v>
      </c>
      <c r="F539" s="35" t="s">
        <v>25</v>
      </c>
      <c r="G539" s="35" t="s">
        <v>25</v>
      </c>
      <c r="H539" s="35" t="s">
        <v>25</v>
      </c>
      <c r="I539" s="55">
        <v>44682</v>
      </c>
      <c r="J539" s="56">
        <f ca="1">EFEITO!$J$539*EFEITO!$Y$497</f>
        <v>6462.4894311026364</v>
      </c>
      <c r="K539" s="56">
        <f>EFEITO!$L$539*EFEITO!$Z$497</f>
        <v>0</v>
      </c>
      <c r="L539" s="56">
        <f>EFEITO!$N$539*EFEITO!$AA$497</f>
        <v>0</v>
      </c>
      <c r="M539" s="56">
        <f ca="1">$J$539-EFEITO!$K$539*EFEITO!$Y$539</f>
        <v>129.24978862205262</v>
      </c>
      <c r="N539" s="56">
        <f>$K$539-EFEITO!$M$539*EFEITO!$Z$539</f>
        <v>0</v>
      </c>
      <c r="O539" s="56">
        <f>$L$539-EFEITO!$O$539*EFEITO!$AA$539</f>
        <v>0</v>
      </c>
      <c r="P539" s="39"/>
      <c r="Q539" s="39"/>
      <c r="R539" s="39"/>
      <c r="S539" s="39"/>
      <c r="T539" s="39"/>
      <c r="U539" s="39"/>
      <c r="V539" s="39"/>
      <c r="W539" s="39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</row>
    <row r="540" spans="1:36" ht="11.25" customHeight="1" x14ac:dyDescent="0.2">
      <c r="A540" s="35" t="s">
        <v>21</v>
      </c>
      <c r="B540" s="35" t="s">
        <v>39</v>
      </c>
      <c r="C540" s="35" t="s">
        <v>41</v>
      </c>
      <c r="D540" s="35" t="s">
        <v>45</v>
      </c>
      <c r="E540" s="35" t="s">
        <v>25</v>
      </c>
      <c r="F540" s="35" t="s">
        <v>25</v>
      </c>
      <c r="G540" s="35" t="s">
        <v>25</v>
      </c>
      <c r="H540" s="35" t="s">
        <v>25</v>
      </c>
      <c r="I540" s="55">
        <v>44713</v>
      </c>
      <c r="J540" s="56">
        <f ca="1">EFEITO!$J$540*EFEITO!$Y$497</f>
        <v>5853.1231820160356</v>
      </c>
      <c r="K540" s="56">
        <f>EFEITO!$L$540*EFEITO!$Z$497</f>
        <v>0</v>
      </c>
      <c r="L540" s="56">
        <f>EFEITO!$N$540*EFEITO!$AA$497</f>
        <v>0</v>
      </c>
      <c r="M540" s="56">
        <f ca="1">$J$540-EFEITO!$K$540*EFEITO!$Y$540</f>
        <v>117.06246364032086</v>
      </c>
      <c r="N540" s="56">
        <f>$K$540-EFEITO!$M$540*EFEITO!$Z$540</f>
        <v>0</v>
      </c>
      <c r="O540" s="56">
        <f>$L$540-EFEITO!$O$540*EFEITO!$AA$540</f>
        <v>0</v>
      </c>
      <c r="P540" s="39"/>
      <c r="Q540" s="39"/>
      <c r="R540" s="39"/>
      <c r="S540" s="39"/>
      <c r="T540" s="39"/>
      <c r="U540" s="39"/>
      <c r="V540" s="39"/>
      <c r="W540" s="39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</row>
    <row r="541" spans="1:36" ht="11.25" customHeight="1" x14ac:dyDescent="0.2">
      <c r="A541" s="35" t="s">
        <v>21</v>
      </c>
      <c r="B541" s="35" t="s">
        <v>39</v>
      </c>
      <c r="C541" s="35" t="s">
        <v>41</v>
      </c>
      <c r="D541" s="35" t="s">
        <v>45</v>
      </c>
      <c r="E541" s="35" t="s">
        <v>25</v>
      </c>
      <c r="F541" s="35" t="s">
        <v>25</v>
      </c>
      <c r="G541" s="35" t="s">
        <v>25</v>
      </c>
      <c r="H541" s="35" t="s">
        <v>25</v>
      </c>
      <c r="I541" s="55">
        <v>44743</v>
      </c>
      <c r="J541" s="56">
        <f ca="1">EFEITO!$J$541*EFEITO!$Y$497</f>
        <v>6670.9568321059469</v>
      </c>
      <c r="K541" s="56">
        <f>EFEITO!$L$541*EFEITO!$Z$497</f>
        <v>0</v>
      </c>
      <c r="L541" s="56">
        <f>EFEITO!$N$541*EFEITO!$AA$497</f>
        <v>0</v>
      </c>
      <c r="M541" s="56">
        <f ca="1">$J$541-EFEITO!$K$541*EFEITO!$Y$541</f>
        <v>133.41913664211916</v>
      </c>
      <c r="N541" s="56">
        <f>$K$541-EFEITO!$M$541*EFEITO!$Z$541</f>
        <v>0</v>
      </c>
      <c r="O541" s="56">
        <f>$L$541-EFEITO!$O$541*EFEITO!$AA$541</f>
        <v>0</v>
      </c>
      <c r="P541" s="39"/>
      <c r="Q541" s="39"/>
      <c r="R541" s="39"/>
      <c r="S541" s="39"/>
      <c r="T541" s="39"/>
      <c r="U541" s="39"/>
      <c r="V541" s="39"/>
      <c r="W541" s="39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</row>
    <row r="542" spans="1:36" ht="11.25" customHeight="1" x14ac:dyDescent="0.2">
      <c r="A542" s="35" t="s">
        <v>21</v>
      </c>
      <c r="B542" s="35" t="s">
        <v>39</v>
      </c>
      <c r="C542" s="35" t="s">
        <v>41</v>
      </c>
      <c r="D542" s="35" t="s">
        <v>45</v>
      </c>
      <c r="E542" s="35" t="s">
        <v>25</v>
      </c>
      <c r="F542" s="35" t="s">
        <v>25</v>
      </c>
      <c r="G542" s="35" t="s">
        <v>25</v>
      </c>
      <c r="H542" s="35" t="s">
        <v>25</v>
      </c>
      <c r="I542" s="55">
        <v>44774</v>
      </c>
      <c r="J542" s="56">
        <f ca="1">EFEITO!$J$542*EFEITO!$Y$497</f>
        <v>5869.1591359393669</v>
      </c>
      <c r="K542" s="56">
        <f>EFEITO!$L$542*EFEITO!$Z$497</f>
        <v>0</v>
      </c>
      <c r="L542" s="56">
        <f>EFEITO!$N$542*EFEITO!$AA$497</f>
        <v>0</v>
      </c>
      <c r="M542" s="56">
        <f ca="1">$J$542-EFEITO!$K$542*EFEITO!$Y$542</f>
        <v>117.38318271878779</v>
      </c>
      <c r="N542" s="56">
        <f>$K$542-EFEITO!$M$542*EFEITO!$Z$542</f>
        <v>0</v>
      </c>
      <c r="O542" s="56">
        <f>$L$542-EFEITO!$O$542*EFEITO!$AA$542</f>
        <v>0</v>
      </c>
      <c r="P542" s="39"/>
      <c r="Q542" s="39"/>
      <c r="R542" s="39"/>
      <c r="S542" s="39"/>
      <c r="T542" s="39"/>
      <c r="U542" s="39"/>
      <c r="V542" s="39"/>
      <c r="W542" s="39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</row>
    <row r="543" spans="1:36" ht="11.25" customHeight="1" x14ac:dyDescent="0.2">
      <c r="A543" s="35" t="s">
        <v>21</v>
      </c>
      <c r="B543" s="35" t="s">
        <v>39</v>
      </c>
      <c r="C543" s="35" t="s">
        <v>41</v>
      </c>
      <c r="D543" s="35" t="s">
        <v>45</v>
      </c>
      <c r="E543" s="35" t="s">
        <v>25</v>
      </c>
      <c r="F543" s="35" t="s">
        <v>25</v>
      </c>
      <c r="G543" s="35" t="s">
        <v>25</v>
      </c>
      <c r="H543" s="35" t="s">
        <v>25</v>
      </c>
      <c r="I543" s="55">
        <v>44805</v>
      </c>
      <c r="J543" s="56">
        <f ca="1">EFEITO!$J$543*EFEITO!$Y$497</f>
        <v>13438.129387751884</v>
      </c>
      <c r="K543" s="56">
        <f>EFEITO!$L$543*EFEITO!$Z$497</f>
        <v>0</v>
      </c>
      <c r="L543" s="56">
        <f>EFEITO!$N$543*EFEITO!$AA$497</f>
        <v>0</v>
      </c>
      <c r="M543" s="56">
        <f ca="1">$J$543-EFEITO!$K$543*EFEITO!$Y$543</f>
        <v>268.76258775503811</v>
      </c>
      <c r="N543" s="56">
        <f>$K$543-EFEITO!$M$543*EFEITO!$Z$543</f>
        <v>0</v>
      </c>
      <c r="O543" s="56">
        <f>$L$543-EFEITO!$O$543*EFEITO!$AA$543</f>
        <v>0</v>
      </c>
      <c r="P543" s="39"/>
      <c r="Q543" s="39"/>
      <c r="R543" s="39"/>
      <c r="S543" s="39"/>
      <c r="T543" s="39"/>
      <c r="U543" s="39"/>
      <c r="V543" s="39"/>
      <c r="W543" s="39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spans="1:36" ht="11.25" customHeight="1" x14ac:dyDescent="0.2">
      <c r="A544" s="35" t="s">
        <v>53</v>
      </c>
      <c r="B544" s="35" t="s">
        <v>39</v>
      </c>
      <c r="C544" s="35" t="s">
        <v>41</v>
      </c>
      <c r="D544" s="35" t="s">
        <v>45</v>
      </c>
      <c r="E544" s="35" t="s">
        <v>25</v>
      </c>
      <c r="F544" s="35" t="s">
        <v>25</v>
      </c>
      <c r="G544" s="35" t="s">
        <v>25</v>
      </c>
      <c r="H544" s="35" t="s">
        <v>25</v>
      </c>
      <c r="I544" s="55">
        <v>44835</v>
      </c>
      <c r="J544" s="56">
        <f ca="1">EFEITO!$J$544*EFEITO!$Y$497</f>
        <v>13438.129387751884</v>
      </c>
      <c r="K544" s="56">
        <f>EFEITO!$L$544*EFEITO!$Z$497</f>
        <v>0</v>
      </c>
      <c r="L544" s="56">
        <f>EFEITO!$N$544*EFEITO!$AA$497</f>
        <v>0</v>
      </c>
      <c r="M544" s="56">
        <f ca="1">$J$544-EFEITO!$K$544*EFEITO!$Y$544</f>
        <v>268.76258775503811</v>
      </c>
      <c r="N544" s="56">
        <f>$K$544-EFEITO!$M$544*EFEITO!$Z$544</f>
        <v>0</v>
      </c>
      <c r="O544" s="56">
        <f>$L$544-EFEITO!$O$544*EFEITO!$AA$544</f>
        <v>0</v>
      </c>
      <c r="P544" s="39"/>
      <c r="Q544" s="39"/>
      <c r="R544" s="39"/>
      <c r="S544" s="39"/>
      <c r="T544" s="39"/>
      <c r="U544" s="39"/>
      <c r="V544" s="39"/>
      <c r="W544" s="39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</row>
    <row r="545" spans="1:36" ht="11.25" customHeight="1" x14ac:dyDescent="0.2">
      <c r="A545" s="35" t="s">
        <v>21</v>
      </c>
      <c r="B545" s="35" t="s">
        <v>39</v>
      </c>
      <c r="C545" s="35" t="s">
        <v>41</v>
      </c>
      <c r="D545" s="35" t="s">
        <v>45</v>
      </c>
      <c r="E545" s="35" t="s">
        <v>25</v>
      </c>
      <c r="F545" s="35" t="s">
        <v>25</v>
      </c>
      <c r="G545" s="35" t="s">
        <v>25</v>
      </c>
      <c r="H545" s="35" t="s">
        <v>34</v>
      </c>
      <c r="I545" s="55">
        <v>44501</v>
      </c>
      <c r="J545" s="56">
        <f>EFEITO!$J$545*EFEITO!$Y$520</f>
        <v>0</v>
      </c>
      <c r="K545" s="56">
        <f ca="1">EFEITO!$L$545*EFEITO!$Z$520</f>
        <v>10330.971541307043</v>
      </c>
      <c r="L545" s="56">
        <f>EFEITO!$N$545*EFEITO!$AA$520</f>
        <v>4495.6422888635507</v>
      </c>
      <c r="M545" s="56">
        <f>$J$545-EFEITO!$K$545*EFEITO!$Y$545</f>
        <v>0</v>
      </c>
      <c r="N545" s="56">
        <f ca="1">$K$545-EFEITO!$M$545*EFEITO!$Z$545</f>
        <v>206.61943082614016</v>
      </c>
      <c r="O545" s="56">
        <f>$L$545-EFEITO!$O$545*EFEITO!$AA$545</f>
        <v>89.912845777270377</v>
      </c>
      <c r="P545" s="39"/>
      <c r="Q545" s="39"/>
      <c r="R545" s="39"/>
      <c r="S545" s="39"/>
      <c r="T545" s="39"/>
      <c r="U545" s="39"/>
      <c r="V545" s="39"/>
      <c r="W545" s="39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spans="1:36" ht="11.25" customHeight="1" x14ac:dyDescent="0.2">
      <c r="A546" s="35" t="s">
        <v>21</v>
      </c>
      <c r="B546" s="35" t="s">
        <v>39</v>
      </c>
      <c r="C546" s="35" t="s">
        <v>41</v>
      </c>
      <c r="D546" s="35" t="s">
        <v>45</v>
      </c>
      <c r="E546" s="35" t="s">
        <v>25</v>
      </c>
      <c r="F546" s="35" t="s">
        <v>25</v>
      </c>
      <c r="G546" s="35" t="s">
        <v>25</v>
      </c>
      <c r="H546" s="35" t="s">
        <v>34</v>
      </c>
      <c r="I546" s="55">
        <v>44531</v>
      </c>
      <c r="J546" s="56">
        <f>EFEITO!$J$546*EFEITO!$Y$520</f>
        <v>0</v>
      </c>
      <c r="K546" s="56">
        <f ca="1">EFEITO!$L$546*EFEITO!$Z$520</f>
        <v>11031.850047734169</v>
      </c>
      <c r="L546" s="56">
        <f>EFEITO!$N$546*EFEITO!$AA$520</f>
        <v>4800.637713567884</v>
      </c>
      <c r="M546" s="56">
        <f>$J$546-EFEITO!$K$546*EFEITO!$Y$546</f>
        <v>0</v>
      </c>
      <c r="N546" s="56">
        <f ca="1">$K$546-EFEITO!$M$546*EFEITO!$Z$546</f>
        <v>220.63700095468266</v>
      </c>
      <c r="O546" s="56">
        <f>$L$546-EFEITO!$O$546*EFEITO!$AA$546</f>
        <v>96.012754271358062</v>
      </c>
      <c r="P546" s="39"/>
      <c r="Q546" s="39"/>
      <c r="R546" s="39"/>
      <c r="S546" s="39"/>
      <c r="T546" s="39"/>
      <c r="U546" s="39"/>
      <c r="V546" s="39"/>
      <c r="W546" s="39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 spans="1:36" ht="11.25" customHeight="1" x14ac:dyDescent="0.2">
      <c r="A547" s="35" t="s">
        <v>21</v>
      </c>
      <c r="B547" s="35" t="s">
        <v>39</v>
      </c>
      <c r="C547" s="35" t="s">
        <v>41</v>
      </c>
      <c r="D547" s="35" t="s">
        <v>45</v>
      </c>
      <c r="E547" s="35" t="s">
        <v>25</v>
      </c>
      <c r="F547" s="35" t="s">
        <v>25</v>
      </c>
      <c r="G547" s="35" t="s">
        <v>25</v>
      </c>
      <c r="H547" s="35" t="s">
        <v>34</v>
      </c>
      <c r="I547" s="55">
        <v>44562</v>
      </c>
      <c r="J547" s="56">
        <f>EFEITO!$J$547*EFEITO!$Y$520</f>
        <v>0</v>
      </c>
      <c r="K547" s="56">
        <f ca="1">EFEITO!$L$547*EFEITO!$Z$520</f>
        <v>12660.526258044099</v>
      </c>
      <c r="L547" s="56">
        <f>EFEITO!$N$547*EFEITO!$AA$520</f>
        <v>5509.3750880403131</v>
      </c>
      <c r="M547" s="56">
        <f>$J$547-EFEITO!$K$547*EFEITO!$Y$547</f>
        <v>0</v>
      </c>
      <c r="N547" s="56">
        <f ca="1">$K$547-EFEITO!$M$547*EFEITO!$Z$547</f>
        <v>253.21052516088275</v>
      </c>
      <c r="O547" s="56">
        <f>$L$547-EFEITO!$O$547*EFEITO!$AA$547</f>
        <v>110.1875017608063</v>
      </c>
      <c r="P547" s="39"/>
      <c r="Q547" s="39"/>
      <c r="R547" s="39"/>
      <c r="S547" s="39"/>
      <c r="T547" s="39"/>
      <c r="U547" s="39"/>
      <c r="V547" s="39"/>
      <c r="W547" s="39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spans="1:36" ht="11.25" customHeight="1" x14ac:dyDescent="0.2">
      <c r="A548" s="35" t="s">
        <v>21</v>
      </c>
      <c r="B548" s="35" t="s">
        <v>39</v>
      </c>
      <c r="C548" s="35" t="s">
        <v>41</v>
      </c>
      <c r="D548" s="35" t="s">
        <v>45</v>
      </c>
      <c r="E548" s="35" t="s">
        <v>25</v>
      </c>
      <c r="F548" s="35" t="s">
        <v>25</v>
      </c>
      <c r="G548" s="35" t="s">
        <v>25</v>
      </c>
      <c r="H548" s="35" t="s">
        <v>34</v>
      </c>
      <c r="I548" s="55">
        <v>44593</v>
      </c>
      <c r="J548" s="56">
        <f>EFEITO!$J$548*EFEITO!$Y$520</f>
        <v>0</v>
      </c>
      <c r="K548" s="56">
        <f ca="1">EFEITO!$L$548*EFEITO!$Z$520</f>
        <v>11539.344213472474</v>
      </c>
      <c r="L548" s="56">
        <f>EFEITO!$N$548*EFEITO!$AA$520</f>
        <v>5021.4796957301924</v>
      </c>
      <c r="M548" s="56">
        <f>$J$548-EFEITO!$K$548*EFEITO!$Y$548</f>
        <v>0</v>
      </c>
      <c r="N548" s="56">
        <f ca="1">$K$548-EFEITO!$M$548*EFEITO!$Z$548</f>
        <v>230.78688426944973</v>
      </c>
      <c r="O548" s="56">
        <f>$L$548-EFEITO!$O$548*EFEITO!$AA$548</f>
        <v>100.42959391460408</v>
      </c>
      <c r="P548" s="39"/>
      <c r="Q548" s="39"/>
      <c r="R548" s="39"/>
      <c r="S548" s="39"/>
      <c r="T548" s="39"/>
      <c r="U548" s="39"/>
      <c r="V548" s="39"/>
      <c r="W548" s="39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 spans="1:36" ht="11.25" customHeight="1" x14ac:dyDescent="0.2">
      <c r="A549" s="35" t="s">
        <v>21</v>
      </c>
      <c r="B549" s="35" t="s">
        <v>39</v>
      </c>
      <c r="C549" s="35" t="s">
        <v>41</v>
      </c>
      <c r="D549" s="35" t="s">
        <v>45</v>
      </c>
      <c r="E549" s="35" t="s">
        <v>25</v>
      </c>
      <c r="F549" s="35" t="s">
        <v>25</v>
      </c>
      <c r="G549" s="35" t="s">
        <v>25</v>
      </c>
      <c r="H549" s="35" t="s">
        <v>34</v>
      </c>
      <c r="I549" s="55">
        <v>44621</v>
      </c>
      <c r="J549" s="56">
        <f>EFEITO!$J$549*EFEITO!$Y$520</f>
        <v>0</v>
      </c>
      <c r="K549" s="56">
        <f ca="1">EFEITO!$L$549*EFEITO!$Z$520</f>
        <v>10899.946277784566</v>
      </c>
      <c r="L549" s="56">
        <f>EFEITO!$N$549*EFEITO!$AA$520</f>
        <v>4743.2382556490456</v>
      </c>
      <c r="M549" s="56">
        <f>$J$549-EFEITO!$K$549*EFEITO!$Y$549</f>
        <v>0</v>
      </c>
      <c r="N549" s="56">
        <f ca="1">$K$549-EFEITO!$M$549*EFEITO!$Z$549</f>
        <v>217.99892555569022</v>
      </c>
      <c r="O549" s="56">
        <f>$L$549-EFEITO!$O$549*EFEITO!$AA$549</f>
        <v>94.864765112981331</v>
      </c>
      <c r="P549" s="39"/>
      <c r="Q549" s="39"/>
      <c r="R549" s="39"/>
      <c r="S549" s="39"/>
      <c r="T549" s="39"/>
      <c r="U549" s="39"/>
      <c r="V549" s="39"/>
      <c r="W549" s="39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spans="1:36" ht="11.25" customHeight="1" x14ac:dyDescent="0.2">
      <c r="A550" s="35" t="s">
        <v>21</v>
      </c>
      <c r="B550" s="35" t="s">
        <v>39</v>
      </c>
      <c r="C550" s="35" t="s">
        <v>41</v>
      </c>
      <c r="D550" s="35" t="s">
        <v>45</v>
      </c>
      <c r="E550" s="35" t="s">
        <v>25</v>
      </c>
      <c r="F550" s="35" t="s">
        <v>25</v>
      </c>
      <c r="G550" s="35" t="s">
        <v>25</v>
      </c>
      <c r="H550" s="35" t="s">
        <v>34</v>
      </c>
      <c r="I550" s="55">
        <v>44652</v>
      </c>
      <c r="J550" s="56">
        <f>EFEITO!$J$550*EFEITO!$Y$520</f>
        <v>0</v>
      </c>
      <c r="K550" s="56">
        <f ca="1">EFEITO!$L$550*EFEITO!$Z$520</f>
        <v>12103.847635714417</v>
      </c>
      <c r="L550" s="56">
        <f>EFEITO!$N$550*EFEITO!$AA$520</f>
        <v>5267.1299181794548</v>
      </c>
      <c r="M550" s="56">
        <f>$J$550-EFEITO!$K$550*EFEITO!$Y$550</f>
        <v>0</v>
      </c>
      <c r="N550" s="56">
        <f ca="1">$K$550-EFEITO!$M$550*EFEITO!$Z$550</f>
        <v>242.07695271428929</v>
      </c>
      <c r="O550" s="56">
        <f>$L$550-EFEITO!$O$550*EFEITO!$AA$550</f>
        <v>105.34259836358888</v>
      </c>
      <c r="P550" s="39"/>
      <c r="Q550" s="39"/>
      <c r="R550" s="39"/>
      <c r="S550" s="39"/>
      <c r="T550" s="39"/>
      <c r="U550" s="39"/>
      <c r="V550" s="39"/>
      <c r="W550" s="39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</row>
    <row r="551" spans="1:36" ht="11.25" customHeight="1" x14ac:dyDescent="0.2">
      <c r="A551" s="35" t="s">
        <v>21</v>
      </c>
      <c r="B551" s="35" t="s">
        <v>39</v>
      </c>
      <c r="C551" s="35" t="s">
        <v>41</v>
      </c>
      <c r="D551" s="35" t="s">
        <v>45</v>
      </c>
      <c r="E551" s="35" t="s">
        <v>25</v>
      </c>
      <c r="F551" s="35" t="s">
        <v>25</v>
      </c>
      <c r="G551" s="35" t="s">
        <v>25</v>
      </c>
      <c r="H551" s="35" t="s">
        <v>34</v>
      </c>
      <c r="I551" s="55">
        <v>44682</v>
      </c>
      <c r="J551" s="56">
        <f>EFEITO!$J$551*EFEITO!$Y$520</f>
        <v>0</v>
      </c>
      <c r="K551" s="56">
        <f ca="1">EFEITO!$L$551*EFEITO!$Z$520</f>
        <v>10260.548342096661</v>
      </c>
      <c r="L551" s="56">
        <f>EFEITO!$N$551*EFEITO!$AA$520</f>
        <v>4464.9968155678998</v>
      </c>
      <c r="M551" s="56">
        <f>$J$551-EFEITO!$K$551*EFEITO!$Y$551</f>
        <v>0</v>
      </c>
      <c r="N551" s="56">
        <f ca="1">$K$551-EFEITO!$M$551*EFEITO!$Z$551</f>
        <v>205.21096684193253</v>
      </c>
      <c r="O551" s="56">
        <f>$L$551-EFEITO!$O$551*EFEITO!$AA$551</f>
        <v>89.299936311357669</v>
      </c>
      <c r="P551" s="39"/>
      <c r="Q551" s="39"/>
      <c r="R551" s="39"/>
      <c r="S551" s="39"/>
      <c r="T551" s="39"/>
      <c r="U551" s="39"/>
      <c r="V551" s="39"/>
      <c r="W551" s="39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spans="1:36" ht="11.25" customHeight="1" x14ac:dyDescent="0.2">
      <c r="A552" s="35" t="s">
        <v>21</v>
      </c>
      <c r="B552" s="35" t="s">
        <v>39</v>
      </c>
      <c r="C552" s="35" t="s">
        <v>41</v>
      </c>
      <c r="D552" s="35" t="s">
        <v>45</v>
      </c>
      <c r="E552" s="35" t="s">
        <v>25</v>
      </c>
      <c r="F552" s="35" t="s">
        <v>25</v>
      </c>
      <c r="G552" s="35" t="s">
        <v>25</v>
      </c>
      <c r="H552" s="35" t="s">
        <v>34</v>
      </c>
      <c r="I552" s="55">
        <v>44713</v>
      </c>
      <c r="J552" s="56">
        <f>EFEITO!$J$552*EFEITO!$Y$520</f>
        <v>0</v>
      </c>
      <c r="K552" s="56">
        <f ca="1">EFEITO!$L$552*EFEITO!$Z$520</f>
        <v>11363.845129725967</v>
      </c>
      <c r="L552" s="56">
        <f>EFEITO!$N$552*EFEITO!$AA$520</f>
        <v>4945.109230533094</v>
      </c>
      <c r="M552" s="56">
        <f>$J$552-EFEITO!$K$552*EFEITO!$Y$552</f>
        <v>0</v>
      </c>
      <c r="N552" s="56">
        <f ca="1">$K$552-EFEITO!$M$552*EFEITO!$Z$552</f>
        <v>227.27690259451811</v>
      </c>
      <c r="O552" s="56">
        <f>$L$552-EFEITO!$O$552*EFEITO!$AA$552</f>
        <v>98.902184610661607</v>
      </c>
      <c r="P552" s="39"/>
      <c r="Q552" s="39"/>
      <c r="R552" s="39"/>
      <c r="S552" s="39"/>
      <c r="T552" s="39"/>
      <c r="U552" s="39"/>
      <c r="V552" s="39"/>
      <c r="W552" s="39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 spans="1:36" ht="11.25" customHeight="1" x14ac:dyDescent="0.2">
      <c r="A553" s="35" t="s">
        <v>21</v>
      </c>
      <c r="B553" s="35" t="s">
        <v>39</v>
      </c>
      <c r="C553" s="35" t="s">
        <v>41</v>
      </c>
      <c r="D553" s="35" t="s">
        <v>45</v>
      </c>
      <c r="E553" s="35" t="s">
        <v>25</v>
      </c>
      <c r="F553" s="35" t="s">
        <v>25</v>
      </c>
      <c r="G553" s="35" t="s">
        <v>25</v>
      </c>
      <c r="H553" s="35" t="s">
        <v>34</v>
      </c>
      <c r="I553" s="55">
        <v>44743</v>
      </c>
      <c r="J553" s="56">
        <f>EFEITO!$J$553*EFEITO!$Y$520</f>
        <v>0</v>
      </c>
      <c r="K553" s="56">
        <f ca="1">EFEITO!$L$553*EFEITO!$Z$520</f>
        <v>13076.358481953017</v>
      </c>
      <c r="L553" s="56">
        <f>EFEITO!$N$553*EFEITO!$AA$520</f>
        <v>5690.3293113098698</v>
      </c>
      <c r="M553" s="56">
        <f>$J$553-EFEITO!$K$553*EFEITO!$Y$553</f>
        <v>0</v>
      </c>
      <c r="N553" s="56">
        <f ca="1">$K$553-EFEITO!$M$553*EFEITO!$Z$553</f>
        <v>261.52716963906096</v>
      </c>
      <c r="O553" s="56">
        <f>$L$553-EFEITO!$O$553*EFEITO!$AA$553</f>
        <v>113.8065862261974</v>
      </c>
      <c r="P553" s="39"/>
      <c r="Q553" s="39"/>
      <c r="R553" s="39"/>
      <c r="S553" s="39"/>
      <c r="T553" s="39"/>
      <c r="U553" s="39"/>
      <c r="V553" s="39"/>
      <c r="W553" s="39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</row>
    <row r="554" spans="1:36" ht="11.25" customHeight="1" x14ac:dyDescent="0.2">
      <c r="A554" s="35" t="s">
        <v>21</v>
      </c>
      <c r="B554" s="35" t="s">
        <v>39</v>
      </c>
      <c r="C554" s="35" t="s">
        <v>41</v>
      </c>
      <c r="D554" s="35" t="s">
        <v>45</v>
      </c>
      <c r="E554" s="35" t="s">
        <v>25</v>
      </c>
      <c r="F554" s="35" t="s">
        <v>25</v>
      </c>
      <c r="G554" s="35" t="s">
        <v>25</v>
      </c>
      <c r="H554" s="35" t="s">
        <v>34</v>
      </c>
      <c r="I554" s="55">
        <v>44774</v>
      </c>
      <c r="J554" s="56">
        <f>EFEITO!$J$554*EFEITO!$Y$520</f>
        <v>0</v>
      </c>
      <c r="K554" s="56">
        <f ca="1">EFEITO!$L$554*EFEITO!$Z$520</f>
        <v>12956.750826151256</v>
      </c>
      <c r="L554" s="56">
        <f>EFEITO!$N$554*EFEITO!$AA$520</f>
        <v>5638.2806503156689</v>
      </c>
      <c r="M554" s="56">
        <f>$J$554-EFEITO!$K$554*EFEITO!$Y$554</f>
        <v>0</v>
      </c>
      <c r="N554" s="56">
        <f ca="1">$K$554-EFEITO!$M$554*EFEITO!$Z$554</f>
        <v>259.1350165230233</v>
      </c>
      <c r="O554" s="56">
        <f>$L$554-EFEITO!$O$554*EFEITO!$AA$554</f>
        <v>112.76561300631329</v>
      </c>
      <c r="P554" s="39"/>
      <c r="Q554" s="39"/>
      <c r="R554" s="39"/>
      <c r="S554" s="39"/>
      <c r="T554" s="39"/>
      <c r="U554" s="39"/>
      <c r="V554" s="39"/>
      <c r="W554" s="39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</row>
    <row r="555" spans="1:36" ht="11.25" customHeight="1" x14ac:dyDescent="0.2">
      <c r="A555" s="35" t="s">
        <v>21</v>
      </c>
      <c r="B555" s="35" t="s">
        <v>39</v>
      </c>
      <c r="C555" s="35" t="s">
        <v>41</v>
      </c>
      <c r="D555" s="35" t="s">
        <v>45</v>
      </c>
      <c r="E555" s="35" t="s">
        <v>25</v>
      </c>
      <c r="F555" s="35" t="s">
        <v>25</v>
      </c>
      <c r="G555" s="35" t="s">
        <v>25</v>
      </c>
      <c r="H555" s="35" t="s">
        <v>34</v>
      </c>
      <c r="I555" s="55">
        <v>44805</v>
      </c>
      <c r="J555" s="56">
        <f>EFEITO!$J$555*EFEITO!$Y$520</f>
        <v>0</v>
      </c>
      <c r="K555" s="56">
        <f ca="1">EFEITO!$L$555*EFEITO!$Z$520</f>
        <v>15526.638683050727</v>
      </c>
      <c r="L555" s="56">
        <f>EFEITO!$N$555*EFEITO!$AA$520</f>
        <v>6756.5972075648906</v>
      </c>
      <c r="M555" s="56">
        <f>$J$555-EFEITO!$K$555*EFEITO!$Y$555</f>
        <v>0</v>
      </c>
      <c r="N555" s="56">
        <f ca="1">$K$555-EFEITO!$M$555*EFEITO!$Z$555</f>
        <v>310.53277366101429</v>
      </c>
      <c r="O555" s="56">
        <f>$L$555-EFEITO!$O$555*EFEITO!$AA$555</f>
        <v>135.13194415129783</v>
      </c>
      <c r="P555" s="39"/>
      <c r="Q555" s="39"/>
      <c r="R555" s="39"/>
      <c r="S555" s="39"/>
      <c r="T555" s="39"/>
      <c r="U555" s="39"/>
      <c r="V555" s="39"/>
      <c r="W555" s="39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 spans="1:36" ht="11.25" customHeight="1" x14ac:dyDescent="0.2">
      <c r="A556" s="35" t="s">
        <v>53</v>
      </c>
      <c r="B556" s="35" t="s">
        <v>39</v>
      </c>
      <c r="C556" s="35" t="s">
        <v>41</v>
      </c>
      <c r="D556" s="35" t="s">
        <v>45</v>
      </c>
      <c r="E556" s="35" t="s">
        <v>25</v>
      </c>
      <c r="F556" s="35" t="s">
        <v>25</v>
      </c>
      <c r="G556" s="35" t="s">
        <v>25</v>
      </c>
      <c r="H556" s="35" t="s">
        <v>34</v>
      </c>
      <c r="I556" s="55">
        <v>44835</v>
      </c>
      <c r="J556" s="56">
        <f>EFEITO!$J$556*EFEITO!$Y$520</f>
        <v>0</v>
      </c>
      <c r="K556" s="56">
        <f ca="1">EFEITO!$L$556*EFEITO!$Z$520</f>
        <v>15526.638683050727</v>
      </c>
      <c r="L556" s="56">
        <f>EFEITO!$N$556*EFEITO!$AA$520</f>
        <v>6756.5972075648906</v>
      </c>
      <c r="M556" s="56">
        <f>$J$556-EFEITO!$K$556*EFEITO!$Y$556</f>
        <v>0</v>
      </c>
      <c r="N556" s="56">
        <f ca="1">$K$556-EFEITO!$M$556*EFEITO!$Z$556</f>
        <v>310.53277366101429</v>
      </c>
      <c r="O556" s="56">
        <f>$L$556-EFEITO!$O$556*EFEITO!$AA$556</f>
        <v>135.13194415129783</v>
      </c>
      <c r="P556" s="39"/>
      <c r="Q556" s="39"/>
      <c r="R556" s="39"/>
      <c r="S556" s="39"/>
      <c r="T556" s="39"/>
      <c r="U556" s="39"/>
      <c r="V556" s="39"/>
      <c r="W556" s="39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</row>
    <row r="557" spans="1:36" ht="11.25" customHeight="1" x14ac:dyDescent="0.2">
      <c r="A557" s="35" t="s">
        <v>21</v>
      </c>
      <c r="B557" s="35" t="s">
        <v>39</v>
      </c>
      <c r="C557" s="35" t="s">
        <v>41</v>
      </c>
      <c r="D557" s="35" t="s">
        <v>50</v>
      </c>
      <c r="E557" s="35" t="s">
        <v>51</v>
      </c>
      <c r="F557" s="35" t="s">
        <v>25</v>
      </c>
      <c r="G557" s="35" t="s">
        <v>25</v>
      </c>
      <c r="H557" s="35" t="s">
        <v>35</v>
      </c>
      <c r="I557" s="55">
        <v>44501</v>
      </c>
      <c r="J557" s="56">
        <f>EFEITO!$J$557*EFEITO!$Y$474</f>
        <v>0</v>
      </c>
      <c r="K557" s="56">
        <f ca="1">EFEITO!$L$557*EFEITO!$Z$474</f>
        <v>114669.09352970214</v>
      </c>
      <c r="L557" s="56">
        <f>EFEITO!$N$557*EFEITO!$AA$474</f>
        <v>280879.37697700021</v>
      </c>
      <c r="M557" s="56">
        <f>$J$557-EFEITO!$K$557*EFEITO!$Y$557</f>
        <v>0</v>
      </c>
      <c r="N557" s="56">
        <f ca="1">$K$557-EFEITO!$M$557*EFEITO!$Z$557</f>
        <v>3440.0728058910754</v>
      </c>
      <c r="O557" s="56">
        <f>$L$557-EFEITO!$O$557*EFEITO!$AA$557</f>
        <v>8426.3813093100325</v>
      </c>
      <c r="P557" s="39"/>
      <c r="Q557" s="39"/>
      <c r="R557" s="39"/>
      <c r="S557" s="39"/>
      <c r="T557" s="39"/>
      <c r="U557" s="39"/>
      <c r="V557" s="39"/>
      <c r="W557" s="39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</row>
    <row r="558" spans="1:36" ht="11.25" customHeight="1" x14ac:dyDescent="0.2">
      <c r="A558" s="35" t="s">
        <v>21</v>
      </c>
      <c r="B558" s="35" t="s">
        <v>39</v>
      </c>
      <c r="C558" s="35" t="s">
        <v>41</v>
      </c>
      <c r="D558" s="35" t="s">
        <v>50</v>
      </c>
      <c r="E558" s="35" t="s">
        <v>51</v>
      </c>
      <c r="F558" s="35" t="s">
        <v>25</v>
      </c>
      <c r="G558" s="35" t="s">
        <v>25</v>
      </c>
      <c r="H558" s="35" t="s">
        <v>35</v>
      </c>
      <c r="I558" s="55">
        <v>44531</v>
      </c>
      <c r="J558" s="56">
        <f>EFEITO!$J$558*EFEITO!$Y$474</f>
        <v>0</v>
      </c>
      <c r="K558" s="56">
        <f ca="1">EFEITO!$L$558*EFEITO!$Z$474</f>
        <v>109007.39032126289</v>
      </c>
      <c r="L558" s="56">
        <f>EFEITO!$N$558*EFEITO!$AA$474</f>
        <v>267011.16174249869</v>
      </c>
      <c r="M558" s="56">
        <f>$J$558-EFEITO!$K$558*EFEITO!$Y$558</f>
        <v>0</v>
      </c>
      <c r="N558" s="56">
        <f ca="1">$K$558-EFEITO!$M$558*EFEITO!$Z$558</f>
        <v>3270.2217096379027</v>
      </c>
      <c r="O558" s="56">
        <f>$L$558-EFEITO!$O$558*EFEITO!$AA$558</f>
        <v>8010.334852275002</v>
      </c>
      <c r="P558" s="39"/>
      <c r="Q558" s="39"/>
      <c r="R558" s="39"/>
      <c r="S558" s="39"/>
      <c r="T558" s="39"/>
      <c r="U558" s="39"/>
      <c r="V558" s="39"/>
      <c r="W558" s="39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</row>
    <row r="559" spans="1:36" ht="11.25" customHeight="1" x14ac:dyDescent="0.2">
      <c r="A559" s="35" t="s">
        <v>21</v>
      </c>
      <c r="B559" s="35" t="s">
        <v>39</v>
      </c>
      <c r="C559" s="35" t="s">
        <v>41</v>
      </c>
      <c r="D559" s="35" t="s">
        <v>50</v>
      </c>
      <c r="E559" s="35" t="s">
        <v>51</v>
      </c>
      <c r="F559" s="35" t="s">
        <v>25</v>
      </c>
      <c r="G559" s="35" t="s">
        <v>25</v>
      </c>
      <c r="H559" s="35" t="s">
        <v>35</v>
      </c>
      <c r="I559" s="55">
        <v>44562</v>
      </c>
      <c r="J559" s="56">
        <f>EFEITO!$J$559*EFEITO!$Y$474</f>
        <v>0</v>
      </c>
      <c r="K559" s="56">
        <f ca="1">EFEITO!$L$559*EFEITO!$Z$474</f>
        <v>109423.0346241994</v>
      </c>
      <c r="L559" s="56">
        <f>EFEITO!$N$559*EFEITO!$AA$474</f>
        <v>268029.27315560239</v>
      </c>
      <c r="M559" s="56">
        <f>$J$559-EFEITO!$K$559*EFEITO!$Y$559</f>
        <v>0</v>
      </c>
      <c r="N559" s="56">
        <f ca="1">$K$559-EFEITO!$M$559*EFEITO!$Z$559</f>
        <v>3282.691038725985</v>
      </c>
      <c r="O559" s="56">
        <f>$L$559-EFEITO!$O$559*EFEITO!$AA$559</f>
        <v>8040.8781946680974</v>
      </c>
      <c r="P559" s="39"/>
      <c r="Q559" s="39"/>
      <c r="R559" s="39"/>
      <c r="S559" s="39"/>
      <c r="T559" s="39"/>
      <c r="U559" s="39"/>
      <c r="V559" s="39"/>
      <c r="W559" s="39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 spans="1:36" ht="11.25" customHeight="1" x14ac:dyDescent="0.2">
      <c r="A560" s="35" t="s">
        <v>21</v>
      </c>
      <c r="B560" s="35" t="s">
        <v>39</v>
      </c>
      <c r="C560" s="35" t="s">
        <v>41</v>
      </c>
      <c r="D560" s="35" t="s">
        <v>50</v>
      </c>
      <c r="E560" s="35" t="s">
        <v>51</v>
      </c>
      <c r="F560" s="35" t="s">
        <v>25</v>
      </c>
      <c r="G560" s="35" t="s">
        <v>25</v>
      </c>
      <c r="H560" s="35" t="s">
        <v>35</v>
      </c>
      <c r="I560" s="55">
        <v>44593</v>
      </c>
      <c r="J560" s="56">
        <f>EFEITO!$J$560*EFEITO!$Y$474</f>
        <v>0</v>
      </c>
      <c r="K560" s="56">
        <f ca="1">EFEITO!$L$560*EFEITO!$Z$474</f>
        <v>108724.63494033487</v>
      </c>
      <c r="L560" s="56">
        <f>EFEITO!$N$560*EFEITO!$AA$474</f>
        <v>266318.55876825971</v>
      </c>
      <c r="M560" s="56">
        <f>$J$560-EFEITO!$K$560*EFEITO!$Y$560</f>
        <v>0</v>
      </c>
      <c r="N560" s="56">
        <f ca="1">$K$560-EFEITO!$M$560*EFEITO!$Z$560</f>
        <v>3261.7390482100454</v>
      </c>
      <c r="O560" s="56">
        <f>$L$560-EFEITO!$O$560*EFEITO!$AA$560</f>
        <v>7989.556763047789</v>
      </c>
      <c r="P560" s="39"/>
      <c r="Q560" s="39"/>
      <c r="R560" s="39"/>
      <c r="S560" s="39"/>
      <c r="T560" s="39"/>
      <c r="U560" s="39"/>
      <c r="V560" s="39"/>
      <c r="W560" s="39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 spans="1:36" ht="11.25" customHeight="1" x14ac:dyDescent="0.2">
      <c r="A561" s="35" t="s">
        <v>21</v>
      </c>
      <c r="B561" s="35" t="s">
        <v>39</v>
      </c>
      <c r="C561" s="35" t="s">
        <v>41</v>
      </c>
      <c r="D561" s="35" t="s">
        <v>50</v>
      </c>
      <c r="E561" s="35" t="s">
        <v>51</v>
      </c>
      <c r="F561" s="35" t="s">
        <v>25</v>
      </c>
      <c r="G561" s="35" t="s">
        <v>25</v>
      </c>
      <c r="H561" s="35" t="s">
        <v>35</v>
      </c>
      <c r="I561" s="55">
        <v>44621</v>
      </c>
      <c r="J561" s="56">
        <f>EFEITO!$J$561*EFEITO!$Y$474</f>
        <v>0</v>
      </c>
      <c r="K561" s="56">
        <f ca="1">EFEITO!$L$561*EFEITO!$Z$474</f>
        <v>102799.35241783834</v>
      </c>
      <c r="L561" s="56">
        <f>EFEITO!$N$561*EFEITO!$AA$474</f>
        <v>251804.71190593633</v>
      </c>
      <c r="M561" s="56">
        <f>$J$561-EFEITO!$K$561*EFEITO!$Y$561</f>
        <v>0</v>
      </c>
      <c r="N561" s="56">
        <f ca="1">$K$561-EFEITO!$M$561*EFEITO!$Z$561</f>
        <v>3083.9805725351616</v>
      </c>
      <c r="O561" s="56">
        <f>$L$561-EFEITO!$O$561*EFEITO!$AA$561</f>
        <v>7554.1413571781013</v>
      </c>
      <c r="P561" s="39"/>
      <c r="Q561" s="39"/>
      <c r="R561" s="39"/>
      <c r="S561" s="39"/>
      <c r="T561" s="39"/>
      <c r="U561" s="39"/>
      <c r="V561" s="39"/>
      <c r="W561" s="39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</row>
    <row r="562" spans="1:36" ht="11.25" customHeight="1" x14ac:dyDescent="0.2">
      <c r="A562" s="35" t="s">
        <v>21</v>
      </c>
      <c r="B562" s="35" t="s">
        <v>39</v>
      </c>
      <c r="C562" s="35" t="s">
        <v>41</v>
      </c>
      <c r="D562" s="35" t="s">
        <v>50</v>
      </c>
      <c r="E562" s="35" t="s">
        <v>51</v>
      </c>
      <c r="F562" s="35" t="s">
        <v>25</v>
      </c>
      <c r="G562" s="35" t="s">
        <v>25</v>
      </c>
      <c r="H562" s="35" t="s">
        <v>35</v>
      </c>
      <c r="I562" s="55">
        <v>44652</v>
      </c>
      <c r="J562" s="56">
        <f>EFEITO!$J$562*EFEITO!$Y$474</f>
        <v>0</v>
      </c>
      <c r="K562" s="56">
        <f ca="1">EFEITO!$L$562*EFEITO!$Z$474</f>
        <v>114426.88881247526</v>
      </c>
      <c r="L562" s="56">
        <f>EFEITO!$N$562*EFEITO!$AA$474</f>
        <v>280286.10194550315</v>
      </c>
      <c r="M562" s="56">
        <f>$J$562-EFEITO!$K$562*EFEITO!$Y$562</f>
        <v>0</v>
      </c>
      <c r="N562" s="56">
        <f ca="1">$K$562-EFEITO!$M$562*EFEITO!$Z$562</f>
        <v>3432.8066643742641</v>
      </c>
      <c r="O562" s="56">
        <f>$L$562-EFEITO!$O$562*EFEITO!$AA$562</f>
        <v>8408.5830583650968</v>
      </c>
      <c r="P562" s="39"/>
      <c r="Q562" s="39"/>
      <c r="R562" s="39"/>
      <c r="S562" s="39"/>
      <c r="T562" s="39"/>
      <c r="U562" s="39"/>
      <c r="V562" s="39"/>
      <c r="W562" s="39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 spans="1:36" ht="11.25" customHeight="1" x14ac:dyDescent="0.2">
      <c r="A563" s="35" t="s">
        <v>21</v>
      </c>
      <c r="B563" s="35" t="s">
        <v>39</v>
      </c>
      <c r="C563" s="35" t="s">
        <v>41</v>
      </c>
      <c r="D563" s="35" t="s">
        <v>50</v>
      </c>
      <c r="E563" s="35" t="s">
        <v>51</v>
      </c>
      <c r="F563" s="35" t="s">
        <v>25</v>
      </c>
      <c r="G563" s="35" t="s">
        <v>25</v>
      </c>
      <c r="H563" s="35" t="s">
        <v>35</v>
      </c>
      <c r="I563" s="55">
        <v>44682</v>
      </c>
      <c r="J563" s="56">
        <f>EFEITO!$J$563*EFEITO!$Y$474</f>
        <v>0</v>
      </c>
      <c r="K563" s="56">
        <f ca="1">EFEITO!$L$563*EFEITO!$Z$474</f>
        <v>109515.49502306008</v>
      </c>
      <c r="L563" s="56">
        <f>EFEITO!$N$563*EFEITO!$AA$474</f>
        <v>268255.75283227576</v>
      </c>
      <c r="M563" s="56">
        <f>$J$563-EFEITO!$K$563*EFEITO!$Y$563</f>
        <v>0</v>
      </c>
      <c r="N563" s="56">
        <f ca="1">$K$563-EFEITO!$M$563*EFEITO!$Z$563</f>
        <v>3285.464850691802</v>
      </c>
      <c r="O563" s="56">
        <f>$L$563-EFEITO!$O$563*EFEITO!$AA$563</f>
        <v>8047.6725849682989</v>
      </c>
      <c r="P563" s="39"/>
      <c r="Q563" s="39"/>
      <c r="R563" s="39"/>
      <c r="S563" s="39"/>
      <c r="T563" s="39"/>
      <c r="U563" s="39"/>
      <c r="V563" s="39"/>
      <c r="W563" s="39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 spans="1:36" ht="11.25" customHeight="1" x14ac:dyDescent="0.2">
      <c r="A564" s="35" t="s">
        <v>21</v>
      </c>
      <c r="B564" s="35" t="s">
        <v>39</v>
      </c>
      <c r="C564" s="35" t="s">
        <v>41</v>
      </c>
      <c r="D564" s="35" t="s">
        <v>50</v>
      </c>
      <c r="E564" s="35" t="s">
        <v>51</v>
      </c>
      <c r="F564" s="35" t="s">
        <v>25</v>
      </c>
      <c r="G564" s="35" t="s">
        <v>25</v>
      </c>
      <c r="H564" s="35" t="s">
        <v>35</v>
      </c>
      <c r="I564" s="55">
        <v>44713</v>
      </c>
      <c r="J564" s="56">
        <f>EFEITO!$J$564*EFEITO!$Y$474</f>
        <v>0</v>
      </c>
      <c r="K564" s="56">
        <f ca="1">EFEITO!$L$564*EFEITO!$Z$474</f>
        <v>110204.73416542585</v>
      </c>
      <c r="L564" s="56">
        <f>EFEITO!$N$564*EFEITO!$AA$474</f>
        <v>269944.02867833636</v>
      </c>
      <c r="M564" s="56">
        <f>$J$564-EFEITO!$K$564*EFEITO!$Y$564</f>
        <v>0</v>
      </c>
      <c r="N564" s="56">
        <f ca="1">$K$564-EFEITO!$M$564*EFEITO!$Z$564</f>
        <v>3306.1420249627845</v>
      </c>
      <c r="O564" s="56">
        <f>$L$564-EFEITO!$O$564*EFEITO!$AA$564</f>
        <v>8098.3208603501262</v>
      </c>
      <c r="P564" s="39"/>
      <c r="Q564" s="39"/>
      <c r="R564" s="39"/>
      <c r="S564" s="39"/>
      <c r="T564" s="39"/>
      <c r="U564" s="39"/>
      <c r="V564" s="39"/>
      <c r="W564" s="39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 spans="1:36" ht="11.25" customHeight="1" x14ac:dyDescent="0.2">
      <c r="A565" s="35" t="s">
        <v>21</v>
      </c>
      <c r="B565" s="35" t="s">
        <v>39</v>
      </c>
      <c r="C565" s="35" t="s">
        <v>41</v>
      </c>
      <c r="D565" s="35" t="s">
        <v>50</v>
      </c>
      <c r="E565" s="35" t="s">
        <v>51</v>
      </c>
      <c r="F565" s="35" t="s">
        <v>25</v>
      </c>
      <c r="G565" s="35" t="s">
        <v>25</v>
      </c>
      <c r="H565" s="35" t="s">
        <v>35</v>
      </c>
      <c r="I565" s="55">
        <v>44743</v>
      </c>
      <c r="J565" s="56">
        <f>EFEITO!$J$565*EFEITO!$Y$474</f>
        <v>0</v>
      </c>
      <c r="K565" s="56">
        <f ca="1">EFEITO!$L$565*EFEITO!$Z$474</f>
        <v>107363.50061417431</v>
      </c>
      <c r="L565" s="56">
        <f>EFEITO!$N$565*EFEITO!$AA$474</f>
        <v>262984.4907142992</v>
      </c>
      <c r="M565" s="56">
        <f>$J$565-EFEITO!$K$565*EFEITO!$Y$565</f>
        <v>0</v>
      </c>
      <c r="N565" s="56">
        <f ca="1">$K$565-EFEITO!$M$565*EFEITO!$Z$565</f>
        <v>3220.905018425241</v>
      </c>
      <c r="O565" s="56">
        <f>$L$565-EFEITO!$O$565*EFEITO!$AA$565</f>
        <v>7889.534721428965</v>
      </c>
      <c r="P565" s="39"/>
      <c r="Q565" s="39"/>
      <c r="R565" s="39"/>
      <c r="S565" s="39"/>
      <c r="T565" s="39"/>
      <c r="U565" s="39"/>
      <c r="V565" s="39"/>
      <c r="W565" s="39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</row>
    <row r="566" spans="1:36" ht="11.25" customHeight="1" x14ac:dyDescent="0.2">
      <c r="A566" s="35" t="s">
        <v>21</v>
      </c>
      <c r="B566" s="35" t="s">
        <v>39</v>
      </c>
      <c r="C566" s="35" t="s">
        <v>41</v>
      </c>
      <c r="D566" s="35" t="s">
        <v>50</v>
      </c>
      <c r="E566" s="35" t="s">
        <v>51</v>
      </c>
      <c r="F566" s="35" t="s">
        <v>25</v>
      </c>
      <c r="G566" s="35" t="s">
        <v>25</v>
      </c>
      <c r="H566" s="35" t="s">
        <v>35</v>
      </c>
      <c r="I566" s="55">
        <v>44774</v>
      </c>
      <c r="J566" s="56">
        <f>EFEITO!$J$566*EFEITO!$Y$474</f>
        <v>0</v>
      </c>
      <c r="K566" s="56">
        <f ca="1">EFEITO!$L$566*EFEITO!$Z$474</f>
        <v>113111.06863159516</v>
      </c>
      <c r="L566" s="56">
        <f>EFEITO!$N$566*EFEITO!$AA$474</f>
        <v>277063.02987575112</v>
      </c>
      <c r="M566" s="56">
        <f>$J$566-EFEITO!$K$566*EFEITO!$Y$566</f>
        <v>0</v>
      </c>
      <c r="N566" s="56">
        <f ca="1">$K$566-EFEITO!$M$566*EFEITO!$Z$566</f>
        <v>3393.3320589478681</v>
      </c>
      <c r="O566" s="56">
        <f>$L$566-EFEITO!$O$566*EFEITO!$AA$566</f>
        <v>8311.8908962725545</v>
      </c>
      <c r="P566" s="39"/>
      <c r="Q566" s="39"/>
      <c r="R566" s="39"/>
      <c r="S566" s="39"/>
      <c r="T566" s="39"/>
      <c r="U566" s="39"/>
      <c r="V566" s="39"/>
      <c r="W566" s="39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</row>
    <row r="567" spans="1:36" ht="11.25" customHeight="1" x14ac:dyDescent="0.2">
      <c r="A567" s="35" t="s">
        <v>21</v>
      </c>
      <c r="B567" s="35" t="s">
        <v>39</v>
      </c>
      <c r="C567" s="35" t="s">
        <v>41</v>
      </c>
      <c r="D567" s="35" t="s">
        <v>50</v>
      </c>
      <c r="E567" s="35" t="s">
        <v>51</v>
      </c>
      <c r="F567" s="35" t="s">
        <v>25</v>
      </c>
      <c r="G567" s="35" t="s">
        <v>25</v>
      </c>
      <c r="H567" s="35" t="s">
        <v>35</v>
      </c>
      <c r="I567" s="55">
        <v>44805</v>
      </c>
      <c r="J567" s="56">
        <f>EFEITO!$J$567*EFEITO!$Y$474</f>
        <v>0</v>
      </c>
      <c r="K567" s="56">
        <f ca="1">EFEITO!$L$567*EFEITO!$Z$474</f>
        <v>113374.40366454583</v>
      </c>
      <c r="L567" s="56">
        <f>EFEITO!$N$567*EFEITO!$AA$474</f>
        <v>277708.06314247212</v>
      </c>
      <c r="M567" s="56">
        <f>$J$567-EFEITO!$K$567*EFEITO!$Y$567</f>
        <v>0</v>
      </c>
      <c r="N567" s="56">
        <f ca="1">$K$567-EFEITO!$M$567*EFEITO!$Z$567</f>
        <v>3401.2321099363908</v>
      </c>
      <c r="O567" s="56">
        <f>$L$567-EFEITO!$O$567*EFEITO!$AA$567</f>
        <v>8331.2418942741933</v>
      </c>
      <c r="P567" s="39"/>
      <c r="Q567" s="39"/>
      <c r="R567" s="39"/>
      <c r="S567" s="39"/>
      <c r="T567" s="39"/>
      <c r="U567" s="39"/>
      <c r="V567" s="39"/>
      <c r="W567" s="39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spans="1:36" ht="11.25" customHeight="1" x14ac:dyDescent="0.2">
      <c r="A568" s="35" t="s">
        <v>53</v>
      </c>
      <c r="B568" s="35" t="s">
        <v>39</v>
      </c>
      <c r="C568" s="35" t="s">
        <v>41</v>
      </c>
      <c r="D568" s="35" t="s">
        <v>50</v>
      </c>
      <c r="E568" s="35" t="s">
        <v>51</v>
      </c>
      <c r="F568" s="35" t="s">
        <v>25</v>
      </c>
      <c r="G568" s="35" t="s">
        <v>25</v>
      </c>
      <c r="H568" s="35" t="s">
        <v>35</v>
      </c>
      <c r="I568" s="55">
        <v>44835</v>
      </c>
      <c r="J568" s="56">
        <f>EFEITO!$J$568*EFEITO!$Y$474</f>
        <v>0</v>
      </c>
      <c r="K568" s="56">
        <f ca="1">EFEITO!$L$568*EFEITO!$Z$474</f>
        <v>113374.40366454583</v>
      </c>
      <c r="L568" s="56">
        <f>EFEITO!$N$568*EFEITO!$AA$474</f>
        <v>277708.06314247212</v>
      </c>
      <c r="M568" s="56">
        <f>$J$568-EFEITO!$K$568*EFEITO!$Y$568</f>
        <v>0</v>
      </c>
      <c r="N568" s="56">
        <f ca="1">$K$568-EFEITO!$M$568*EFEITO!$Z$568</f>
        <v>3401.2321099363908</v>
      </c>
      <c r="O568" s="56">
        <f>$L$568-EFEITO!$O$568*EFEITO!$AA$568</f>
        <v>8331.2418942741933</v>
      </c>
      <c r="P568" s="39"/>
      <c r="Q568" s="39"/>
      <c r="R568" s="39"/>
      <c r="S568" s="39"/>
      <c r="T568" s="39"/>
      <c r="U568" s="39"/>
      <c r="V568" s="39"/>
      <c r="W568" s="39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 spans="1:36" ht="11.25" customHeight="1" x14ac:dyDescent="0.2">
      <c r="A569" s="35" t="s">
        <v>21</v>
      </c>
      <c r="B569" s="35" t="s">
        <v>39</v>
      </c>
      <c r="C569" s="35" t="s">
        <v>41</v>
      </c>
      <c r="D569" s="35" t="s">
        <v>50</v>
      </c>
      <c r="E569" s="35" t="s">
        <v>51</v>
      </c>
      <c r="F569" s="35" t="s">
        <v>25</v>
      </c>
      <c r="G569" s="35" t="s">
        <v>25</v>
      </c>
      <c r="H569" s="35" t="s">
        <v>25</v>
      </c>
      <c r="I569" s="55">
        <v>44501</v>
      </c>
      <c r="J569" s="56">
        <f ca="1">EFEITO!$J$569*EFEITO!$Y$497</f>
        <v>32921.813404599787</v>
      </c>
      <c r="K569" s="56">
        <f>EFEITO!$L$569*EFEITO!$Z$497</f>
        <v>0</v>
      </c>
      <c r="L569" s="56">
        <f>EFEITO!$N$569*EFEITO!$AA$497</f>
        <v>0</v>
      </c>
      <c r="M569" s="56">
        <f ca="1">$J$569-EFEITO!$K$569*EFEITO!$Y$569</f>
        <v>987.65440213799593</v>
      </c>
      <c r="N569" s="56">
        <f>$K$569-EFEITO!$M$569*EFEITO!$Z$569</f>
        <v>0</v>
      </c>
      <c r="O569" s="56">
        <f>$L$569-EFEITO!$O$569*EFEITO!$AA$569</f>
        <v>0</v>
      </c>
      <c r="P569" s="39"/>
      <c r="Q569" s="39"/>
      <c r="R569" s="39"/>
      <c r="S569" s="39"/>
      <c r="T569" s="39"/>
      <c r="U569" s="39"/>
      <c r="V569" s="39"/>
      <c r="W569" s="39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spans="1:36" ht="11.25" customHeight="1" x14ac:dyDescent="0.2">
      <c r="A570" s="35" t="s">
        <v>21</v>
      </c>
      <c r="B570" s="35" t="s">
        <v>39</v>
      </c>
      <c r="C570" s="35" t="s">
        <v>41</v>
      </c>
      <c r="D570" s="35" t="s">
        <v>50</v>
      </c>
      <c r="E570" s="35" t="s">
        <v>51</v>
      </c>
      <c r="F570" s="35" t="s">
        <v>25</v>
      </c>
      <c r="G570" s="35" t="s">
        <v>25</v>
      </c>
      <c r="H570" s="35" t="s">
        <v>25</v>
      </c>
      <c r="I570" s="55">
        <v>44531</v>
      </c>
      <c r="J570" s="56">
        <f ca="1">EFEITO!$J$570*EFEITO!$Y$497</f>
        <v>32825.597681059793</v>
      </c>
      <c r="K570" s="56">
        <f>EFEITO!$L$570*EFEITO!$Z$497</f>
        <v>0</v>
      </c>
      <c r="L570" s="56">
        <f>EFEITO!$N$570*EFEITO!$AA$497</f>
        <v>0</v>
      </c>
      <c r="M570" s="56">
        <f ca="1">$J$570-EFEITO!$K$570*EFEITO!$Y$570</f>
        <v>984.7679304317935</v>
      </c>
      <c r="N570" s="56">
        <f>$K$570-EFEITO!$M$570*EFEITO!$Z$570</f>
        <v>0</v>
      </c>
      <c r="O570" s="56">
        <f>$L$570-EFEITO!$O$570*EFEITO!$AA$570</f>
        <v>0</v>
      </c>
      <c r="P570" s="39"/>
      <c r="Q570" s="39"/>
      <c r="R570" s="39"/>
      <c r="S570" s="39"/>
      <c r="T570" s="39"/>
      <c r="U570" s="39"/>
      <c r="V570" s="39"/>
      <c r="W570" s="39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 spans="1:36" ht="11.25" customHeight="1" x14ac:dyDescent="0.2">
      <c r="A571" s="35" t="s">
        <v>21</v>
      </c>
      <c r="B571" s="35" t="s">
        <v>39</v>
      </c>
      <c r="C571" s="35" t="s">
        <v>41</v>
      </c>
      <c r="D571" s="35" t="s">
        <v>50</v>
      </c>
      <c r="E571" s="35" t="s">
        <v>51</v>
      </c>
      <c r="F571" s="35" t="s">
        <v>25</v>
      </c>
      <c r="G571" s="35" t="s">
        <v>25</v>
      </c>
      <c r="H571" s="35" t="s">
        <v>25</v>
      </c>
      <c r="I571" s="55">
        <v>44562</v>
      </c>
      <c r="J571" s="56">
        <f ca="1">EFEITO!$J$571*EFEITO!$Y$497</f>
        <v>32488.84264866983</v>
      </c>
      <c r="K571" s="56">
        <f>EFEITO!$L$571*EFEITO!$Z$497</f>
        <v>0</v>
      </c>
      <c r="L571" s="56">
        <f>EFEITO!$N$571*EFEITO!$AA$497</f>
        <v>0</v>
      </c>
      <c r="M571" s="56">
        <f ca="1">$J$571-EFEITO!$K$571*EFEITO!$Y$571</f>
        <v>974.66527946009592</v>
      </c>
      <c r="N571" s="56">
        <f>$K$571-EFEITO!$M$571*EFEITO!$Z$571</f>
        <v>0</v>
      </c>
      <c r="O571" s="56">
        <f>$L$571-EFEITO!$O$571*EFEITO!$AA$571</f>
        <v>0</v>
      </c>
      <c r="P571" s="39"/>
      <c r="Q571" s="39"/>
      <c r="R571" s="39"/>
      <c r="S571" s="39"/>
      <c r="T571" s="39"/>
      <c r="U571" s="39"/>
      <c r="V571" s="39"/>
      <c r="W571" s="39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spans="1:36" ht="11.25" customHeight="1" x14ac:dyDescent="0.2">
      <c r="A572" s="35" t="s">
        <v>21</v>
      </c>
      <c r="B572" s="35" t="s">
        <v>39</v>
      </c>
      <c r="C572" s="35" t="s">
        <v>41</v>
      </c>
      <c r="D572" s="35" t="s">
        <v>50</v>
      </c>
      <c r="E572" s="35" t="s">
        <v>51</v>
      </c>
      <c r="F572" s="35" t="s">
        <v>25</v>
      </c>
      <c r="G572" s="35" t="s">
        <v>25</v>
      </c>
      <c r="H572" s="35" t="s">
        <v>25</v>
      </c>
      <c r="I572" s="55">
        <v>44593</v>
      </c>
      <c r="J572" s="56">
        <f ca="1">EFEITO!$J$572*EFEITO!$Y$497</f>
        <v>32841.633634983125</v>
      </c>
      <c r="K572" s="56">
        <f>EFEITO!$L$572*EFEITO!$Z$497</f>
        <v>0</v>
      </c>
      <c r="L572" s="56">
        <f>EFEITO!$N$572*EFEITO!$AA$497</f>
        <v>0</v>
      </c>
      <c r="M572" s="56">
        <f ca="1">$J$572-EFEITO!$K$572*EFEITO!$Y$572</f>
        <v>985.24900904949391</v>
      </c>
      <c r="N572" s="56">
        <f>$K$572-EFEITO!$M$572*EFEITO!$Z$572</f>
        <v>0</v>
      </c>
      <c r="O572" s="56">
        <f>$L$572-EFEITO!$O$572*EFEITO!$AA$572</f>
        <v>0</v>
      </c>
      <c r="P572" s="39"/>
      <c r="Q572" s="39"/>
      <c r="R572" s="39"/>
      <c r="S572" s="39"/>
      <c r="T572" s="39"/>
      <c r="U572" s="39"/>
      <c r="V572" s="39"/>
      <c r="W572" s="39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</row>
    <row r="573" spans="1:36" ht="11.25" customHeight="1" x14ac:dyDescent="0.2">
      <c r="A573" s="35" t="s">
        <v>21</v>
      </c>
      <c r="B573" s="35" t="s">
        <v>39</v>
      </c>
      <c r="C573" s="35" t="s">
        <v>41</v>
      </c>
      <c r="D573" s="35" t="s">
        <v>50</v>
      </c>
      <c r="E573" s="35" t="s">
        <v>51</v>
      </c>
      <c r="F573" s="35" t="s">
        <v>25</v>
      </c>
      <c r="G573" s="35" t="s">
        <v>25</v>
      </c>
      <c r="H573" s="35" t="s">
        <v>25</v>
      </c>
      <c r="I573" s="55">
        <v>44621</v>
      </c>
      <c r="J573" s="56">
        <f ca="1">EFEITO!$J$573*EFEITO!$Y$497</f>
        <v>32969.921266369776</v>
      </c>
      <c r="K573" s="56">
        <f>EFEITO!$L$573*EFEITO!$Z$497</f>
        <v>0</v>
      </c>
      <c r="L573" s="56">
        <f>EFEITO!$N$573*EFEITO!$AA$497</f>
        <v>0</v>
      </c>
      <c r="M573" s="56">
        <f ca="1">$J$573-EFEITO!$K$573*EFEITO!$Y$573</f>
        <v>989.09763799108987</v>
      </c>
      <c r="N573" s="56">
        <f>$K$573-EFEITO!$M$573*EFEITO!$Z$573</f>
        <v>0</v>
      </c>
      <c r="O573" s="56">
        <f>$L$573-EFEITO!$O$573*EFEITO!$AA$573</f>
        <v>0</v>
      </c>
      <c r="P573" s="39"/>
      <c r="Q573" s="39"/>
      <c r="R573" s="39"/>
      <c r="S573" s="39"/>
      <c r="T573" s="39"/>
      <c r="U573" s="39"/>
      <c r="V573" s="39"/>
      <c r="W573" s="39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spans="1:36" ht="11.25" customHeight="1" x14ac:dyDescent="0.2">
      <c r="A574" s="35" t="s">
        <v>21</v>
      </c>
      <c r="B574" s="35" t="s">
        <v>39</v>
      </c>
      <c r="C574" s="35" t="s">
        <v>41</v>
      </c>
      <c r="D574" s="35" t="s">
        <v>50</v>
      </c>
      <c r="E574" s="35" t="s">
        <v>51</v>
      </c>
      <c r="F574" s="35" t="s">
        <v>25</v>
      </c>
      <c r="G574" s="35" t="s">
        <v>25</v>
      </c>
      <c r="H574" s="35" t="s">
        <v>25</v>
      </c>
      <c r="I574" s="55">
        <v>44652</v>
      </c>
      <c r="J574" s="56">
        <f ca="1">EFEITO!$J$574*EFEITO!$Y$497</f>
        <v>32873.70554282979</v>
      </c>
      <c r="K574" s="56">
        <f>EFEITO!$L$574*EFEITO!$Z$497</f>
        <v>0</v>
      </c>
      <c r="L574" s="56">
        <f>EFEITO!$N$574*EFEITO!$AA$497</f>
        <v>0</v>
      </c>
      <c r="M574" s="56">
        <f ca="1">$J$574-EFEITO!$K$574*EFEITO!$Y$574</f>
        <v>986.21116628489472</v>
      </c>
      <c r="N574" s="56">
        <f>$K$574-EFEITO!$M$574*EFEITO!$Z$574</f>
        <v>0</v>
      </c>
      <c r="O574" s="56">
        <f>$L$574-EFEITO!$O$574*EFEITO!$AA$574</f>
        <v>0</v>
      </c>
      <c r="P574" s="39"/>
      <c r="Q574" s="39"/>
      <c r="R574" s="39"/>
      <c r="S574" s="39"/>
      <c r="T574" s="39"/>
      <c r="U574" s="39"/>
      <c r="V574" s="39"/>
      <c r="W574" s="39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</row>
    <row r="575" spans="1:36" ht="11.25" customHeight="1" x14ac:dyDescent="0.2">
      <c r="A575" s="35" t="s">
        <v>21</v>
      </c>
      <c r="B575" s="35" t="s">
        <v>39</v>
      </c>
      <c r="C575" s="35" t="s">
        <v>41</v>
      </c>
      <c r="D575" s="35" t="s">
        <v>50</v>
      </c>
      <c r="E575" s="35" t="s">
        <v>51</v>
      </c>
      <c r="F575" s="35" t="s">
        <v>25</v>
      </c>
      <c r="G575" s="35" t="s">
        <v>25</v>
      </c>
      <c r="H575" s="35" t="s">
        <v>25</v>
      </c>
      <c r="I575" s="55">
        <v>44682</v>
      </c>
      <c r="J575" s="56">
        <f ca="1">EFEITO!$J$575*EFEITO!$Y$497</f>
        <v>33226.496529143085</v>
      </c>
      <c r="K575" s="56">
        <f>EFEITO!$L$575*EFEITO!$Z$497</f>
        <v>0</v>
      </c>
      <c r="L575" s="56">
        <f>EFEITO!$N$575*EFEITO!$AA$497</f>
        <v>0</v>
      </c>
      <c r="M575" s="56">
        <f ca="1">$J$575-EFEITO!$K$575*EFEITO!$Y$575</f>
        <v>996.79489587429271</v>
      </c>
      <c r="N575" s="56">
        <f>$K$575-EFEITO!$M$575*EFEITO!$Z$575</f>
        <v>0</v>
      </c>
      <c r="O575" s="56">
        <f>$L$575-EFEITO!$O$575*EFEITO!$AA$575</f>
        <v>0</v>
      </c>
      <c r="P575" s="39"/>
      <c r="Q575" s="39"/>
      <c r="R575" s="39"/>
      <c r="S575" s="39"/>
      <c r="T575" s="39"/>
      <c r="U575" s="39"/>
      <c r="V575" s="39"/>
      <c r="W575" s="39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</row>
    <row r="576" spans="1:36" ht="11.25" customHeight="1" x14ac:dyDescent="0.2">
      <c r="A576" s="35" t="s">
        <v>21</v>
      </c>
      <c r="B576" s="35" t="s">
        <v>39</v>
      </c>
      <c r="C576" s="35" t="s">
        <v>41</v>
      </c>
      <c r="D576" s="35" t="s">
        <v>50</v>
      </c>
      <c r="E576" s="35" t="s">
        <v>51</v>
      </c>
      <c r="F576" s="35" t="s">
        <v>25</v>
      </c>
      <c r="G576" s="35" t="s">
        <v>25</v>
      </c>
      <c r="H576" s="35" t="s">
        <v>25</v>
      </c>
      <c r="I576" s="55">
        <v>44713</v>
      </c>
      <c r="J576" s="56">
        <f ca="1">EFEITO!$J$576*EFEITO!$Y$497</f>
        <v>33050.101035986438</v>
      </c>
      <c r="K576" s="56">
        <f>EFEITO!$L$576*EFEITO!$Z$497</f>
        <v>0</v>
      </c>
      <c r="L576" s="56">
        <f>EFEITO!$N$576*EFEITO!$AA$497</f>
        <v>0</v>
      </c>
      <c r="M576" s="56">
        <f ca="1">$J$576-EFEITO!$K$576*EFEITO!$Y$576</f>
        <v>991.50303107959553</v>
      </c>
      <c r="N576" s="56">
        <f>$K$576-EFEITO!$M$576*EFEITO!$Z$576</f>
        <v>0</v>
      </c>
      <c r="O576" s="56">
        <f>$L$576-EFEITO!$O$576*EFEITO!$AA$576</f>
        <v>0</v>
      </c>
      <c r="P576" s="39"/>
      <c r="Q576" s="39"/>
      <c r="R576" s="39"/>
      <c r="S576" s="39"/>
      <c r="T576" s="39"/>
      <c r="U576" s="39"/>
      <c r="V576" s="39"/>
      <c r="W576" s="39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 spans="1:36" ht="11.25" customHeight="1" x14ac:dyDescent="0.2">
      <c r="A577" s="35" t="s">
        <v>21</v>
      </c>
      <c r="B577" s="35" t="s">
        <v>39</v>
      </c>
      <c r="C577" s="35" t="s">
        <v>41</v>
      </c>
      <c r="D577" s="35" t="s">
        <v>50</v>
      </c>
      <c r="E577" s="35" t="s">
        <v>51</v>
      </c>
      <c r="F577" s="35" t="s">
        <v>25</v>
      </c>
      <c r="G577" s="35" t="s">
        <v>25</v>
      </c>
      <c r="H577" s="35" t="s">
        <v>25</v>
      </c>
      <c r="I577" s="55">
        <v>44743</v>
      </c>
      <c r="J577" s="56">
        <f ca="1">EFEITO!$J$577*EFEITO!$Y$497</f>
        <v>33370.820114453069</v>
      </c>
      <c r="K577" s="56">
        <f>EFEITO!$L$577*EFEITO!$Z$497</f>
        <v>0</v>
      </c>
      <c r="L577" s="56">
        <f>EFEITO!$N$577*EFEITO!$AA$497</f>
        <v>0</v>
      </c>
      <c r="M577" s="56">
        <f ca="1">$J$577-EFEITO!$K$577*EFEITO!$Y$577</f>
        <v>1001.1246034335927</v>
      </c>
      <c r="N577" s="56">
        <f>$K$577-EFEITO!$M$577*EFEITO!$Z$577</f>
        <v>0</v>
      </c>
      <c r="O577" s="56">
        <f>$L$577-EFEITO!$O$577*EFEITO!$AA$577</f>
        <v>0</v>
      </c>
      <c r="P577" s="39"/>
      <c r="Q577" s="39"/>
      <c r="R577" s="39"/>
      <c r="S577" s="39"/>
      <c r="T577" s="39"/>
      <c r="U577" s="39"/>
      <c r="V577" s="39"/>
      <c r="W577" s="39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</row>
    <row r="578" spans="1:36" ht="11.25" customHeight="1" x14ac:dyDescent="0.2">
      <c r="A578" s="35" t="s">
        <v>21</v>
      </c>
      <c r="B578" s="35" t="s">
        <v>39</v>
      </c>
      <c r="C578" s="35" t="s">
        <v>41</v>
      </c>
      <c r="D578" s="35" t="s">
        <v>50</v>
      </c>
      <c r="E578" s="35" t="s">
        <v>51</v>
      </c>
      <c r="F578" s="35" t="s">
        <v>25</v>
      </c>
      <c r="G578" s="35" t="s">
        <v>25</v>
      </c>
      <c r="H578" s="35" t="s">
        <v>25</v>
      </c>
      <c r="I578" s="55">
        <v>44774</v>
      </c>
      <c r="J578" s="56">
        <f ca="1">EFEITO!$J$578*EFEITO!$Y$497</f>
        <v>33515.143699763052</v>
      </c>
      <c r="K578" s="56">
        <f>EFEITO!$L$578*EFEITO!$Z$497</f>
        <v>0</v>
      </c>
      <c r="L578" s="56">
        <f>EFEITO!$N$578*EFEITO!$AA$497</f>
        <v>0</v>
      </c>
      <c r="M578" s="56">
        <f ca="1">$J$578-EFEITO!$K$578*EFEITO!$Y$578</f>
        <v>1005.4543109928891</v>
      </c>
      <c r="N578" s="56">
        <f>$K$578-EFEITO!$M$578*EFEITO!$Z$578</f>
        <v>0</v>
      </c>
      <c r="O578" s="56">
        <f>$L$578-EFEITO!$O$578*EFEITO!$AA$578</f>
        <v>0</v>
      </c>
      <c r="P578" s="39"/>
      <c r="Q578" s="39"/>
      <c r="R578" s="39"/>
      <c r="S578" s="39"/>
      <c r="T578" s="39"/>
      <c r="U578" s="39"/>
      <c r="V578" s="39"/>
      <c r="W578" s="39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</row>
    <row r="579" spans="1:36" ht="11.25" customHeight="1" x14ac:dyDescent="0.2">
      <c r="A579" s="35" t="s">
        <v>21</v>
      </c>
      <c r="B579" s="35" t="s">
        <v>39</v>
      </c>
      <c r="C579" s="35" t="s">
        <v>41</v>
      </c>
      <c r="D579" s="35" t="s">
        <v>50</v>
      </c>
      <c r="E579" s="35" t="s">
        <v>51</v>
      </c>
      <c r="F579" s="35" t="s">
        <v>25</v>
      </c>
      <c r="G579" s="35" t="s">
        <v>25</v>
      </c>
      <c r="H579" s="35" t="s">
        <v>25</v>
      </c>
      <c r="I579" s="55">
        <v>44805</v>
      </c>
      <c r="J579" s="56">
        <f ca="1">EFEITO!$J$579*EFEITO!$Y$497</f>
        <v>33531.179653686384</v>
      </c>
      <c r="K579" s="56">
        <f>EFEITO!$L$579*EFEITO!$Z$497</f>
        <v>0</v>
      </c>
      <c r="L579" s="56">
        <f>EFEITO!$N$579*EFEITO!$AA$497</f>
        <v>0</v>
      </c>
      <c r="M579" s="56">
        <f ca="1">$J$579-EFEITO!$K$579*EFEITO!$Y$579</f>
        <v>1005.9353896105895</v>
      </c>
      <c r="N579" s="56">
        <f>$K$579-EFEITO!$M$579*EFEITO!$Z$579</f>
        <v>0</v>
      </c>
      <c r="O579" s="56">
        <f>$L$579-EFEITO!$O$579*EFEITO!$AA$579</f>
        <v>0</v>
      </c>
      <c r="P579" s="39"/>
      <c r="Q579" s="39"/>
      <c r="R579" s="39"/>
      <c r="S579" s="39"/>
      <c r="T579" s="39"/>
      <c r="U579" s="39"/>
      <c r="V579" s="39"/>
      <c r="W579" s="39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 spans="1:36" ht="11.25" customHeight="1" x14ac:dyDescent="0.2">
      <c r="A580" s="35" t="s">
        <v>53</v>
      </c>
      <c r="B580" s="35" t="s">
        <v>39</v>
      </c>
      <c r="C580" s="35" t="s">
        <v>41</v>
      </c>
      <c r="D580" s="35" t="s">
        <v>50</v>
      </c>
      <c r="E580" s="35" t="s">
        <v>51</v>
      </c>
      <c r="F580" s="35" t="s">
        <v>25</v>
      </c>
      <c r="G580" s="35" t="s">
        <v>25</v>
      </c>
      <c r="H580" s="35" t="s">
        <v>25</v>
      </c>
      <c r="I580" s="55">
        <v>44835</v>
      </c>
      <c r="J580" s="56">
        <f ca="1">EFEITO!$J$580*EFEITO!$Y$497</f>
        <v>33531.179653686384</v>
      </c>
      <c r="K580" s="56">
        <f>EFEITO!$L$580*EFEITO!$Z$497</f>
        <v>0</v>
      </c>
      <c r="L580" s="56">
        <f>EFEITO!$N$580*EFEITO!$AA$497</f>
        <v>0</v>
      </c>
      <c r="M580" s="56">
        <f ca="1">$J$580-EFEITO!$K$580*EFEITO!$Y$580</f>
        <v>1005.9353896105895</v>
      </c>
      <c r="N580" s="56">
        <f>$K$580-EFEITO!$M$580*EFEITO!$Z$580</f>
        <v>0</v>
      </c>
      <c r="O580" s="56">
        <f>$L$580-EFEITO!$O$580*EFEITO!$AA$580</f>
        <v>0</v>
      </c>
      <c r="P580" s="39"/>
      <c r="Q580" s="39"/>
      <c r="R580" s="39"/>
      <c r="S580" s="39"/>
      <c r="T580" s="39"/>
      <c r="U580" s="39"/>
      <c r="V580" s="39"/>
      <c r="W580" s="39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 spans="1:36" ht="11.25" customHeight="1" x14ac:dyDescent="0.2">
      <c r="A581" s="35" t="s">
        <v>21</v>
      </c>
      <c r="B581" s="35" t="s">
        <v>39</v>
      </c>
      <c r="C581" s="35" t="s">
        <v>41</v>
      </c>
      <c r="D581" s="35" t="s">
        <v>50</v>
      </c>
      <c r="E581" s="35" t="s">
        <v>51</v>
      </c>
      <c r="F581" s="35" t="s">
        <v>25</v>
      </c>
      <c r="G581" s="35" t="s">
        <v>25</v>
      </c>
      <c r="H581" s="35" t="s">
        <v>34</v>
      </c>
      <c r="I581" s="55">
        <v>44501</v>
      </c>
      <c r="J581" s="56">
        <f>EFEITO!$J$581*EFEITO!$Y$520</f>
        <v>0</v>
      </c>
      <c r="K581" s="56">
        <f ca="1">EFEITO!$L$581*EFEITO!$Z$520</f>
        <v>55719.28234667721</v>
      </c>
      <c r="L581" s="56">
        <f>EFEITO!$N$581*EFEITO!$AA$520</f>
        <v>24246.893045952449</v>
      </c>
      <c r="M581" s="56">
        <f>$J$581-EFEITO!$K$581*EFEITO!$Y$581</f>
        <v>0</v>
      </c>
      <c r="N581" s="56">
        <f ca="1">$K$581-EFEITO!$M$581*EFEITO!$Z$581</f>
        <v>1671.5784704003163</v>
      </c>
      <c r="O581" s="56">
        <f>$L$581-EFEITO!$O$581*EFEITO!$AA$581</f>
        <v>727.40679137857296</v>
      </c>
      <c r="P581" s="39"/>
      <c r="Q581" s="39"/>
      <c r="R581" s="39"/>
      <c r="S581" s="39"/>
      <c r="T581" s="39"/>
      <c r="U581" s="39"/>
      <c r="V581" s="39"/>
      <c r="W581" s="39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</row>
    <row r="582" spans="1:36" ht="11.25" customHeight="1" x14ac:dyDescent="0.2">
      <c r="A582" s="35" t="s">
        <v>21</v>
      </c>
      <c r="B582" s="35" t="s">
        <v>39</v>
      </c>
      <c r="C582" s="35" t="s">
        <v>41</v>
      </c>
      <c r="D582" s="35" t="s">
        <v>50</v>
      </c>
      <c r="E582" s="35" t="s">
        <v>51</v>
      </c>
      <c r="F582" s="35" t="s">
        <v>25</v>
      </c>
      <c r="G582" s="35" t="s">
        <v>25</v>
      </c>
      <c r="H582" s="35" t="s">
        <v>34</v>
      </c>
      <c r="I582" s="55">
        <v>44531</v>
      </c>
      <c r="J582" s="56">
        <f>EFEITO!$J$582*EFEITO!$Y$520</f>
        <v>0</v>
      </c>
      <c r="K582" s="56">
        <f ca="1">EFEITO!$L$582*EFEITO!$Z$520</f>
        <v>45846.620514517097</v>
      </c>
      <c r="L582" s="56">
        <f>EFEITO!$N$582*EFEITO!$AA$520</f>
        <v>19950.689551552659</v>
      </c>
      <c r="M582" s="56">
        <f>$J$582-EFEITO!$K$582*EFEITO!$Y$582</f>
        <v>0</v>
      </c>
      <c r="N582" s="56">
        <f ca="1">$K$582-EFEITO!$M$582*EFEITO!$Z$582</f>
        <v>1375.398615435508</v>
      </c>
      <c r="O582" s="56">
        <f>$L$582-EFEITO!$O$582*EFEITO!$AA$582</f>
        <v>598.52068654658069</v>
      </c>
      <c r="P582" s="39"/>
      <c r="Q582" s="39"/>
      <c r="R582" s="39"/>
      <c r="S582" s="39"/>
      <c r="T582" s="39"/>
      <c r="U582" s="39"/>
      <c r="V582" s="39"/>
      <c r="W582" s="39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 spans="1:36" ht="11.25" customHeight="1" x14ac:dyDescent="0.2">
      <c r="A583" s="35" t="s">
        <v>21</v>
      </c>
      <c r="B583" s="35" t="s">
        <v>39</v>
      </c>
      <c r="C583" s="35" t="s">
        <v>41</v>
      </c>
      <c r="D583" s="35" t="s">
        <v>50</v>
      </c>
      <c r="E583" s="35" t="s">
        <v>51</v>
      </c>
      <c r="F583" s="35" t="s">
        <v>25</v>
      </c>
      <c r="G583" s="35" t="s">
        <v>25</v>
      </c>
      <c r="H583" s="35" t="s">
        <v>34</v>
      </c>
      <c r="I583" s="55">
        <v>44562</v>
      </c>
      <c r="J583" s="56">
        <f>EFEITO!$J$583*EFEITO!$Y$520</f>
        <v>0</v>
      </c>
      <c r="K583" s="56">
        <f ca="1">EFEITO!$L$583*EFEITO!$Z$520</f>
        <v>56657.140507590069</v>
      </c>
      <c r="L583" s="56">
        <f>EFEITO!$N$583*EFEITO!$AA$520</f>
        <v>24655.012920477071</v>
      </c>
      <c r="M583" s="56">
        <f>$J$583-EFEITO!$K$583*EFEITO!$Y$583</f>
        <v>0</v>
      </c>
      <c r="N583" s="56">
        <f ca="1">$K$583-EFEITO!$M$583*EFEITO!$Z$583</f>
        <v>1699.7142152277011</v>
      </c>
      <c r="O583" s="56">
        <f>$L$583-EFEITO!$O$583*EFEITO!$AA$583</f>
        <v>739.65038761431424</v>
      </c>
      <c r="P583" s="39"/>
      <c r="Q583" s="39"/>
      <c r="R583" s="39"/>
      <c r="S583" s="39"/>
      <c r="T583" s="39"/>
      <c r="U583" s="39"/>
      <c r="V583" s="39"/>
      <c r="W583" s="39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spans="1:36" ht="11.25" customHeight="1" x14ac:dyDescent="0.2">
      <c r="A584" s="35" t="s">
        <v>21</v>
      </c>
      <c r="B584" s="35" t="s">
        <v>39</v>
      </c>
      <c r="C584" s="35" t="s">
        <v>41</v>
      </c>
      <c r="D584" s="35" t="s">
        <v>50</v>
      </c>
      <c r="E584" s="35" t="s">
        <v>51</v>
      </c>
      <c r="F584" s="35" t="s">
        <v>25</v>
      </c>
      <c r="G584" s="35" t="s">
        <v>25</v>
      </c>
      <c r="H584" s="35" t="s">
        <v>34</v>
      </c>
      <c r="I584" s="55">
        <v>44593</v>
      </c>
      <c r="J584" s="56">
        <f>EFEITO!$J$584*EFEITO!$Y$520</f>
        <v>0</v>
      </c>
      <c r="K584" s="56">
        <f ca="1">EFEITO!$L$584*EFEITO!$Z$520</f>
        <v>48083.395460865875</v>
      </c>
      <c r="L584" s="56">
        <f>EFEITO!$N$584*EFEITO!$AA$520</f>
        <v>20924.048155752611</v>
      </c>
      <c r="M584" s="56">
        <f>$J$584-EFEITO!$K$584*EFEITO!$Y$584</f>
        <v>0</v>
      </c>
      <c r="N584" s="56">
        <f ca="1">$K$584-EFEITO!$M$584*EFEITO!$Z$584</f>
        <v>1442.5018638259789</v>
      </c>
      <c r="O584" s="56">
        <f>$L$584-EFEITO!$O$584*EFEITO!$AA$584</f>
        <v>627.72144467257749</v>
      </c>
      <c r="P584" s="39"/>
      <c r="Q584" s="39"/>
      <c r="R584" s="39"/>
      <c r="S584" s="39"/>
      <c r="T584" s="39"/>
      <c r="U584" s="39"/>
      <c r="V584" s="39"/>
      <c r="W584" s="39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 spans="1:36" ht="11.25" customHeight="1" x14ac:dyDescent="0.2">
      <c r="A585" s="35" t="s">
        <v>21</v>
      </c>
      <c r="B585" s="35" t="s">
        <v>39</v>
      </c>
      <c r="C585" s="35" t="s">
        <v>41</v>
      </c>
      <c r="D585" s="35" t="s">
        <v>50</v>
      </c>
      <c r="E585" s="35" t="s">
        <v>51</v>
      </c>
      <c r="F585" s="35" t="s">
        <v>25</v>
      </c>
      <c r="G585" s="35" t="s">
        <v>25</v>
      </c>
      <c r="H585" s="35" t="s">
        <v>34</v>
      </c>
      <c r="I585" s="55">
        <v>44621</v>
      </c>
      <c r="J585" s="56">
        <f>EFEITO!$J$585*EFEITO!$Y$520</f>
        <v>0</v>
      </c>
      <c r="K585" s="56">
        <f ca="1">EFEITO!$L$585*EFEITO!$Z$520</f>
        <v>43104.587059547805</v>
      </c>
      <c r="L585" s="56">
        <f>EFEITO!$N$585*EFEITO!$AA$520</f>
        <v>18757.461837358514</v>
      </c>
      <c r="M585" s="56">
        <f>$J$585-EFEITO!$K$585*EFEITO!$Y$585</f>
        <v>0</v>
      </c>
      <c r="N585" s="56">
        <f ca="1">$K$585-EFEITO!$M$585*EFEITO!$Z$585</f>
        <v>1293.1376117864274</v>
      </c>
      <c r="O585" s="56">
        <f>$L$585-EFEITO!$O$585*EFEITO!$AA$585</f>
        <v>562.72385512075925</v>
      </c>
      <c r="P585" s="39"/>
      <c r="Q585" s="39"/>
      <c r="R585" s="39"/>
      <c r="S585" s="39"/>
      <c r="T585" s="39"/>
      <c r="U585" s="39"/>
      <c r="V585" s="39"/>
      <c r="W585" s="39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 spans="1:36" ht="11.25" customHeight="1" x14ac:dyDescent="0.2">
      <c r="A586" s="35" t="s">
        <v>21</v>
      </c>
      <c r="B586" s="35" t="s">
        <v>39</v>
      </c>
      <c r="C586" s="35" t="s">
        <v>41</v>
      </c>
      <c r="D586" s="35" t="s">
        <v>50</v>
      </c>
      <c r="E586" s="35" t="s">
        <v>51</v>
      </c>
      <c r="F586" s="35" t="s">
        <v>25</v>
      </c>
      <c r="G586" s="35" t="s">
        <v>25</v>
      </c>
      <c r="H586" s="35" t="s">
        <v>34</v>
      </c>
      <c r="I586" s="55">
        <v>44652</v>
      </c>
      <c r="J586" s="56">
        <f>EFEITO!$J$586*EFEITO!$Y$520</f>
        <v>0</v>
      </c>
      <c r="K586" s="56">
        <f ca="1">EFEITO!$L$586*EFEITO!$Z$520</f>
        <v>49371.133960712847</v>
      </c>
      <c r="L586" s="56">
        <f>EFEITO!$N$586*EFEITO!$AA$520</f>
        <v>21484.422524587368</v>
      </c>
      <c r="M586" s="56">
        <f>$J$586-EFEITO!$K$586*EFEITO!$Y$586</f>
        <v>0</v>
      </c>
      <c r="N586" s="56">
        <f ca="1">$K$586-EFEITO!$M$586*EFEITO!$Z$586</f>
        <v>1481.1340188213871</v>
      </c>
      <c r="O586" s="56">
        <f>$L$586-EFEITO!$O$586*EFEITO!$AA$586</f>
        <v>644.53267573762059</v>
      </c>
      <c r="P586" s="39"/>
      <c r="Q586" s="39"/>
      <c r="R586" s="39"/>
      <c r="S586" s="39"/>
      <c r="T586" s="39"/>
      <c r="U586" s="39"/>
      <c r="V586" s="39"/>
      <c r="W586" s="39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 spans="1:36" ht="11.25" customHeight="1" x14ac:dyDescent="0.2">
      <c r="A587" s="35" t="s">
        <v>21</v>
      </c>
      <c r="B587" s="35" t="s">
        <v>39</v>
      </c>
      <c r="C587" s="35" t="s">
        <v>41</v>
      </c>
      <c r="D587" s="35" t="s">
        <v>50</v>
      </c>
      <c r="E587" s="35" t="s">
        <v>51</v>
      </c>
      <c r="F587" s="35" t="s">
        <v>25</v>
      </c>
      <c r="G587" s="35" t="s">
        <v>25</v>
      </c>
      <c r="H587" s="35" t="s">
        <v>34</v>
      </c>
      <c r="I587" s="55">
        <v>44682</v>
      </c>
      <c r="J587" s="56">
        <f>EFEITO!$J$587*EFEITO!$Y$520</f>
        <v>0</v>
      </c>
      <c r="K587" s="56">
        <f ca="1">EFEITO!$L$587*EFEITO!$Z$520</f>
        <v>42967.094146803734</v>
      </c>
      <c r="L587" s="56">
        <f>EFEITO!$N$587*EFEITO!$AA$520</f>
        <v>18697.630199019386</v>
      </c>
      <c r="M587" s="56">
        <f>$J$587-EFEITO!$K$587*EFEITO!$Y$587</f>
        <v>0</v>
      </c>
      <c r="N587" s="56">
        <f ca="1">$K$587-EFEITO!$M$587*EFEITO!$Z$587</f>
        <v>1289.0128244041116</v>
      </c>
      <c r="O587" s="56">
        <f>$L$587-EFEITO!$O$587*EFEITO!$AA$587</f>
        <v>560.92890597058067</v>
      </c>
      <c r="P587" s="39"/>
      <c r="Q587" s="39"/>
      <c r="R587" s="39"/>
      <c r="S587" s="39"/>
      <c r="T587" s="39"/>
      <c r="U587" s="39"/>
      <c r="V587" s="39"/>
      <c r="W587" s="39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spans="1:36" ht="11.25" customHeight="1" x14ac:dyDescent="0.2">
      <c r="A588" s="35" t="s">
        <v>21</v>
      </c>
      <c r="B588" s="35" t="s">
        <v>39</v>
      </c>
      <c r="C588" s="35" t="s">
        <v>41</v>
      </c>
      <c r="D588" s="35" t="s">
        <v>50</v>
      </c>
      <c r="E588" s="35" t="s">
        <v>51</v>
      </c>
      <c r="F588" s="35" t="s">
        <v>25</v>
      </c>
      <c r="G588" s="35" t="s">
        <v>25</v>
      </c>
      <c r="H588" s="35" t="s">
        <v>34</v>
      </c>
      <c r="I588" s="55">
        <v>44713</v>
      </c>
      <c r="J588" s="56">
        <f>EFEITO!$J$588*EFEITO!$Y$520</f>
        <v>0</v>
      </c>
      <c r="K588" s="56">
        <f ca="1">EFEITO!$L$588*EFEITO!$Z$520</f>
        <v>47674.270208310329</v>
      </c>
      <c r="L588" s="56">
        <f>EFEITO!$N$588*EFEITO!$AA$520</f>
        <v>20746.012548987404</v>
      </c>
      <c r="M588" s="56">
        <f>$J$588-EFEITO!$K$588*EFEITO!$Y$588</f>
        <v>0</v>
      </c>
      <c r="N588" s="56">
        <f ca="1">$K$588-EFEITO!$M$588*EFEITO!$Z$588</f>
        <v>1430.228106249313</v>
      </c>
      <c r="O588" s="56">
        <f>$L$588-EFEITO!$O$588*EFEITO!$AA$588</f>
        <v>622.38037646962403</v>
      </c>
      <c r="P588" s="39"/>
      <c r="Q588" s="39"/>
      <c r="R588" s="39"/>
      <c r="S588" s="39"/>
      <c r="T588" s="39"/>
      <c r="U588" s="39"/>
      <c r="V588" s="39"/>
      <c r="W588" s="39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 spans="1:36" ht="11.25" customHeight="1" x14ac:dyDescent="0.2">
      <c r="A589" s="35" t="s">
        <v>21</v>
      </c>
      <c r="B589" s="35" t="s">
        <v>39</v>
      </c>
      <c r="C589" s="35" t="s">
        <v>41</v>
      </c>
      <c r="D589" s="35" t="s">
        <v>50</v>
      </c>
      <c r="E589" s="35" t="s">
        <v>51</v>
      </c>
      <c r="F589" s="35" t="s">
        <v>25</v>
      </c>
      <c r="G589" s="35" t="s">
        <v>25</v>
      </c>
      <c r="H589" s="35" t="s">
        <v>34</v>
      </c>
      <c r="I589" s="55">
        <v>44743</v>
      </c>
      <c r="J589" s="56">
        <f>EFEITO!$J$589*EFEITO!$Y$520</f>
        <v>0</v>
      </c>
      <c r="K589" s="56">
        <f ca="1">EFEITO!$L$589*EFEITO!$Z$520</f>
        <v>42633.981236253036</v>
      </c>
      <c r="L589" s="56">
        <f>EFEITO!$N$589*EFEITO!$AA$520</f>
        <v>18552.672245970116</v>
      </c>
      <c r="M589" s="56">
        <f>$J$589-EFEITO!$K$589*EFEITO!$Y$589</f>
        <v>0</v>
      </c>
      <c r="N589" s="56">
        <f ca="1">$K$589-EFEITO!$M$589*EFEITO!$Z$589</f>
        <v>1279.0194370875906</v>
      </c>
      <c r="O589" s="56">
        <f>$L$589-EFEITO!$O$589*EFEITO!$AA$589</f>
        <v>556.58016737910293</v>
      </c>
      <c r="P589" s="39"/>
      <c r="Q589" s="39"/>
      <c r="R589" s="39"/>
      <c r="S589" s="39"/>
      <c r="T589" s="39"/>
      <c r="U589" s="39"/>
      <c r="V589" s="39"/>
      <c r="W589" s="39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spans="1:36" ht="11.25" customHeight="1" x14ac:dyDescent="0.2">
      <c r="A590" s="35" t="s">
        <v>21</v>
      </c>
      <c r="B590" s="35" t="s">
        <v>39</v>
      </c>
      <c r="C590" s="35" t="s">
        <v>41</v>
      </c>
      <c r="D590" s="35" t="s">
        <v>50</v>
      </c>
      <c r="E590" s="35" t="s">
        <v>51</v>
      </c>
      <c r="F590" s="35" t="s">
        <v>25</v>
      </c>
      <c r="G590" s="35" t="s">
        <v>25</v>
      </c>
      <c r="H590" s="35" t="s">
        <v>34</v>
      </c>
      <c r="I590" s="55">
        <v>44774</v>
      </c>
      <c r="J590" s="56">
        <f>EFEITO!$J$590*EFEITO!$Y$520</f>
        <v>0</v>
      </c>
      <c r="K590" s="56">
        <f ca="1">EFEITO!$L$590*EFEITO!$Z$520</f>
        <v>47023.693987033468</v>
      </c>
      <c r="L590" s="56">
        <f>EFEITO!$N$590*EFEITO!$AA$520</f>
        <v>20462.906748065678</v>
      </c>
      <c r="M590" s="56">
        <f>$J$590-EFEITO!$K$590*EFEITO!$Y$590</f>
        <v>0</v>
      </c>
      <c r="N590" s="56">
        <f ca="1">$K$590-EFEITO!$M$590*EFEITO!$Z$590</f>
        <v>1410.7108196109984</v>
      </c>
      <c r="O590" s="56">
        <f>$L$590-EFEITO!$O$590*EFEITO!$AA$590</f>
        <v>613.88720244197248</v>
      </c>
      <c r="P590" s="39"/>
      <c r="Q590" s="39"/>
      <c r="R590" s="39"/>
      <c r="S590" s="39"/>
      <c r="T590" s="39"/>
      <c r="U590" s="39"/>
      <c r="V590" s="39"/>
      <c r="W590" s="39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</row>
    <row r="591" spans="1:36" ht="11.25" customHeight="1" x14ac:dyDescent="0.2">
      <c r="A591" s="35" t="s">
        <v>21</v>
      </c>
      <c r="B591" s="35" t="s">
        <v>39</v>
      </c>
      <c r="C591" s="35" t="s">
        <v>41</v>
      </c>
      <c r="D591" s="35" t="s">
        <v>50</v>
      </c>
      <c r="E591" s="35" t="s">
        <v>51</v>
      </c>
      <c r="F591" s="35" t="s">
        <v>25</v>
      </c>
      <c r="G591" s="35" t="s">
        <v>25</v>
      </c>
      <c r="H591" s="35" t="s">
        <v>34</v>
      </c>
      <c r="I591" s="55">
        <v>44805</v>
      </c>
      <c r="J591" s="56">
        <f>EFEITO!$J$591*EFEITO!$Y$520</f>
        <v>0</v>
      </c>
      <c r="K591" s="56">
        <f ca="1">EFEITO!$L$591*EFEITO!$Z$520</f>
        <v>44956.828981636725</v>
      </c>
      <c r="L591" s="56">
        <f>EFEITO!$N$591*EFEITO!$AA$520</f>
        <v>19563.486428642533</v>
      </c>
      <c r="M591" s="56">
        <f>$J$591-EFEITO!$K$591*EFEITO!$Y$591</f>
        <v>0</v>
      </c>
      <c r="N591" s="56">
        <f ca="1">$K$591-EFEITO!$M$591*EFEITO!$Z$591</f>
        <v>1348.704869449095</v>
      </c>
      <c r="O591" s="56">
        <f>$L$591-EFEITO!$O$591*EFEITO!$AA$591</f>
        <v>586.904592859275</v>
      </c>
      <c r="P591" s="39"/>
      <c r="Q591" s="39"/>
      <c r="R591" s="39"/>
      <c r="S591" s="39"/>
      <c r="T591" s="39"/>
      <c r="U591" s="39"/>
      <c r="V591" s="39"/>
      <c r="W591" s="39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spans="1:36" ht="11.25" customHeight="1" x14ac:dyDescent="0.2">
      <c r="A592" s="35" t="s">
        <v>53</v>
      </c>
      <c r="B592" s="35" t="s">
        <v>39</v>
      </c>
      <c r="C592" s="35" t="s">
        <v>41</v>
      </c>
      <c r="D592" s="35" t="s">
        <v>50</v>
      </c>
      <c r="E592" s="35" t="s">
        <v>51</v>
      </c>
      <c r="F592" s="35" t="s">
        <v>25</v>
      </c>
      <c r="G592" s="35" t="s">
        <v>25</v>
      </c>
      <c r="H592" s="35" t="s">
        <v>34</v>
      </c>
      <c r="I592" s="55">
        <v>44835</v>
      </c>
      <c r="J592" s="56">
        <f>EFEITO!$J$592*EFEITO!$Y$520</f>
        <v>0</v>
      </c>
      <c r="K592" s="56">
        <f ca="1">EFEITO!$L$592*EFEITO!$Z$520</f>
        <v>44956.828981636725</v>
      </c>
      <c r="L592" s="56">
        <f>EFEITO!$N$592*EFEITO!$AA$520</f>
        <v>19563.486428642533</v>
      </c>
      <c r="M592" s="56">
        <f>$J$592-EFEITO!$K$592*EFEITO!$Y$592</f>
        <v>0</v>
      </c>
      <c r="N592" s="56">
        <f ca="1">$K$592-EFEITO!$M$592*EFEITO!$Z$592</f>
        <v>1348.704869449095</v>
      </c>
      <c r="O592" s="56">
        <f>$L$592-EFEITO!$O$592*EFEITO!$AA$592</f>
        <v>586.904592859275</v>
      </c>
      <c r="P592" s="39"/>
      <c r="Q592" s="39"/>
      <c r="R592" s="39"/>
      <c r="S592" s="39"/>
      <c r="T592" s="39"/>
      <c r="U592" s="39"/>
      <c r="V592" s="39"/>
      <c r="W592" s="39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</row>
    <row r="593" spans="1:36" ht="11.25" customHeight="1" x14ac:dyDescent="0.2">
      <c r="A593" s="35" t="s">
        <v>21</v>
      </c>
      <c r="B593" s="35" t="s">
        <v>43</v>
      </c>
      <c r="C593" s="35" t="s">
        <v>41</v>
      </c>
      <c r="D593" s="35" t="s">
        <v>42</v>
      </c>
      <c r="E593" s="35" t="s">
        <v>25</v>
      </c>
      <c r="F593" s="35" t="s">
        <v>25</v>
      </c>
      <c r="G593" s="35" t="s">
        <v>25</v>
      </c>
      <c r="H593" s="35" t="s">
        <v>35</v>
      </c>
      <c r="I593" s="55">
        <v>44501</v>
      </c>
      <c r="J593" s="56">
        <f>EFEITO!$J$593*EFEITO!$Y$593</f>
        <v>0</v>
      </c>
      <c r="K593" s="56">
        <f ca="1">EFEITO!$L$593*EFEITO!$Z$593</f>
        <v>8309.8180565078565</v>
      </c>
      <c r="L593" s="56">
        <f>EFEITO!$N$593*EFEITO!$AA$593</f>
        <v>14607.191194056701</v>
      </c>
      <c r="M593" s="56">
        <f>$J$593-EFEITO!$K$593*EFEITO!$Y$593</f>
        <v>0</v>
      </c>
      <c r="N593" s="56">
        <f ca="1">$K$593-EFEITO!$M$593*EFEITO!$Z$593</f>
        <v>0</v>
      </c>
      <c r="O593" s="56">
        <f>$L$593-EFEITO!$O$593*EFEITO!$AA$593</f>
        <v>0</v>
      </c>
      <c r="P593" s="39"/>
      <c r="Q593" s="39"/>
      <c r="R593" s="39"/>
      <c r="S593" s="39"/>
      <c r="T593" s="39"/>
      <c r="U593" s="39"/>
      <c r="V593" s="39"/>
      <c r="W593" s="39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 spans="1:36" ht="11.25" customHeight="1" x14ac:dyDescent="0.2">
      <c r="A594" s="35" t="s">
        <v>21</v>
      </c>
      <c r="B594" s="35" t="s">
        <v>43</v>
      </c>
      <c r="C594" s="35" t="s">
        <v>41</v>
      </c>
      <c r="D594" s="35" t="s">
        <v>42</v>
      </c>
      <c r="E594" s="35" t="s">
        <v>25</v>
      </c>
      <c r="F594" s="35" t="s">
        <v>25</v>
      </c>
      <c r="G594" s="35" t="s">
        <v>25</v>
      </c>
      <c r="H594" s="35" t="s">
        <v>35</v>
      </c>
      <c r="I594" s="55">
        <v>44531</v>
      </c>
      <c r="J594" s="56">
        <f>EFEITO!$J$594*EFEITO!$Y$594</f>
        <v>0</v>
      </c>
      <c r="K594" s="56">
        <f ca="1">EFEITO!$L$594*EFEITO!$Z$594</f>
        <v>3579.4646802067982</v>
      </c>
      <c r="L594" s="56">
        <f>EFEITO!$N$594*EFEITO!$AA$594</f>
        <v>6292.0661560340504</v>
      </c>
      <c r="M594" s="56">
        <f>$J$594-EFEITO!$K$594*EFEITO!$Y$594</f>
        <v>0</v>
      </c>
      <c r="N594" s="56">
        <f ca="1">$K$594-EFEITO!$M$594*EFEITO!$Z$594</f>
        <v>0</v>
      </c>
      <c r="O594" s="56">
        <f>$L$594-EFEITO!$O$594*EFEITO!$AA$594</f>
        <v>0</v>
      </c>
      <c r="P594" s="39"/>
      <c r="Q594" s="39"/>
      <c r="R594" s="39"/>
      <c r="S594" s="39"/>
      <c r="T594" s="39"/>
      <c r="U594" s="39"/>
      <c r="V594" s="39"/>
      <c r="W594" s="39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 spans="1:36" ht="11.25" customHeight="1" x14ac:dyDescent="0.2">
      <c r="A595" s="35" t="s">
        <v>21</v>
      </c>
      <c r="B595" s="35" t="s">
        <v>43</v>
      </c>
      <c r="C595" s="35" t="s">
        <v>41</v>
      </c>
      <c r="D595" s="35" t="s">
        <v>42</v>
      </c>
      <c r="E595" s="35" t="s">
        <v>25</v>
      </c>
      <c r="F595" s="35" t="s">
        <v>25</v>
      </c>
      <c r="G595" s="35" t="s">
        <v>25</v>
      </c>
      <c r="H595" s="35" t="s">
        <v>35</v>
      </c>
      <c r="I595" s="55">
        <v>44562</v>
      </c>
      <c r="J595" s="56">
        <f>EFEITO!$J$595*EFEITO!$Y$595</f>
        <v>0</v>
      </c>
      <c r="K595" s="56">
        <f ca="1">EFEITO!$L$595*EFEITO!$Z$595</f>
        <v>3622.0145432685499</v>
      </c>
      <c r="L595" s="56">
        <f>EFEITO!$N$595*EFEITO!$AA$595</f>
        <v>6366.8612936408463</v>
      </c>
      <c r="M595" s="56">
        <f>$J$595-EFEITO!$K$595*EFEITO!$Y$595</f>
        <v>0</v>
      </c>
      <c r="N595" s="56">
        <f ca="1">$K$595-EFEITO!$M$595*EFEITO!$Z$595</f>
        <v>0</v>
      </c>
      <c r="O595" s="56">
        <f>$L$595-EFEITO!$O$595*EFEITO!$AA$595</f>
        <v>0</v>
      </c>
      <c r="P595" s="39"/>
      <c r="Q595" s="39"/>
      <c r="R595" s="39"/>
      <c r="S595" s="39"/>
      <c r="T595" s="39"/>
      <c r="U595" s="39"/>
      <c r="V595" s="39"/>
      <c r="W595" s="39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 spans="1:36" ht="11.25" customHeight="1" x14ac:dyDescent="0.2">
      <c r="A596" s="35" t="s">
        <v>21</v>
      </c>
      <c r="B596" s="35" t="s">
        <v>43</v>
      </c>
      <c r="C596" s="35" t="s">
        <v>41</v>
      </c>
      <c r="D596" s="35" t="s">
        <v>42</v>
      </c>
      <c r="E596" s="35" t="s">
        <v>25</v>
      </c>
      <c r="F596" s="35" t="s">
        <v>25</v>
      </c>
      <c r="G596" s="35" t="s">
        <v>25</v>
      </c>
      <c r="H596" s="35" t="s">
        <v>35</v>
      </c>
      <c r="I596" s="55">
        <v>44593</v>
      </c>
      <c r="J596" s="56">
        <f>EFEITO!$J$596*EFEITO!$Y$596</f>
        <v>0</v>
      </c>
      <c r="K596" s="56">
        <f ca="1">EFEITO!$L$596*EFEITO!$Z$596</f>
        <v>3718.1772337881089</v>
      </c>
      <c r="L596" s="56">
        <f>EFEITO!$N$596*EFEITO!$AA$596</f>
        <v>6535.8983046322037</v>
      </c>
      <c r="M596" s="56">
        <f>$J$596-EFEITO!$K$596*EFEITO!$Y$596</f>
        <v>0</v>
      </c>
      <c r="N596" s="56">
        <f ca="1">$K$596-EFEITO!$M$596*EFEITO!$Z$596</f>
        <v>0</v>
      </c>
      <c r="O596" s="56">
        <f>$L$596-EFEITO!$O$596*EFEITO!$AA$596</f>
        <v>0</v>
      </c>
      <c r="P596" s="39"/>
      <c r="Q596" s="39"/>
      <c r="R596" s="39"/>
      <c r="S596" s="39"/>
      <c r="T596" s="39"/>
      <c r="U596" s="39"/>
      <c r="V596" s="39"/>
      <c r="W596" s="39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 spans="1:36" ht="11.25" customHeight="1" x14ac:dyDescent="0.2">
      <c r="A597" s="35" t="s">
        <v>21</v>
      </c>
      <c r="B597" s="35" t="s">
        <v>43</v>
      </c>
      <c r="C597" s="35" t="s">
        <v>41</v>
      </c>
      <c r="D597" s="35" t="s">
        <v>42</v>
      </c>
      <c r="E597" s="35" t="s">
        <v>25</v>
      </c>
      <c r="F597" s="35" t="s">
        <v>25</v>
      </c>
      <c r="G597" s="35" t="s">
        <v>25</v>
      </c>
      <c r="H597" s="35" t="s">
        <v>35</v>
      </c>
      <c r="I597" s="55">
        <v>44621</v>
      </c>
      <c r="J597" s="56">
        <f>EFEITO!$J$597*EFEITO!$Y$597</f>
        <v>0</v>
      </c>
      <c r="K597" s="56">
        <f ca="1">EFEITO!$L$597*EFEITO!$Z$597</f>
        <v>3165.5396123420778</v>
      </c>
      <c r="L597" s="56">
        <f>EFEITO!$N$597*EFEITO!$AA$597</f>
        <v>5564.4590573951455</v>
      </c>
      <c r="M597" s="56">
        <f>$J$597-EFEITO!$K$597*EFEITO!$Y$597</f>
        <v>0</v>
      </c>
      <c r="N597" s="56">
        <f ca="1">$K$597-EFEITO!$M$597*EFEITO!$Z$597</f>
        <v>0</v>
      </c>
      <c r="O597" s="56">
        <f>$L$597-EFEITO!$O$597*EFEITO!$AA$597</f>
        <v>0</v>
      </c>
      <c r="P597" s="39"/>
      <c r="Q597" s="39"/>
      <c r="R597" s="39"/>
      <c r="S597" s="39"/>
      <c r="T597" s="39"/>
      <c r="U597" s="39"/>
      <c r="V597" s="39"/>
      <c r="W597" s="39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</row>
    <row r="598" spans="1:36" ht="11.25" customHeight="1" x14ac:dyDescent="0.2">
      <c r="A598" s="35" t="s">
        <v>21</v>
      </c>
      <c r="B598" s="35" t="s">
        <v>43</v>
      </c>
      <c r="C598" s="35" t="s">
        <v>41</v>
      </c>
      <c r="D598" s="35" t="s">
        <v>42</v>
      </c>
      <c r="E598" s="35" t="s">
        <v>25</v>
      </c>
      <c r="F598" s="35" t="s">
        <v>25</v>
      </c>
      <c r="G598" s="35" t="s">
        <v>25</v>
      </c>
      <c r="H598" s="35" t="s">
        <v>35</v>
      </c>
      <c r="I598" s="55">
        <v>44652</v>
      </c>
      <c r="J598" s="56">
        <f>EFEITO!$J$598*EFEITO!$Y$598</f>
        <v>0</v>
      </c>
      <c r="K598" s="56">
        <f ca="1">EFEITO!$L$598*EFEITO!$Z$598</f>
        <v>4078.6596736472688</v>
      </c>
      <c r="L598" s="56">
        <f>EFEITO!$N$598*EFEITO!$AA$598</f>
        <v>7169.5627104369732</v>
      </c>
      <c r="M598" s="56">
        <f>$J$598-EFEITO!$K$598*EFEITO!$Y$598</f>
        <v>0</v>
      </c>
      <c r="N598" s="56">
        <f ca="1">$K$598-EFEITO!$M$598*EFEITO!$Z$598</f>
        <v>0</v>
      </c>
      <c r="O598" s="56">
        <f>$L$598-EFEITO!$O$598*EFEITO!$AA$598</f>
        <v>0</v>
      </c>
      <c r="P598" s="39"/>
      <c r="Q598" s="39"/>
      <c r="R598" s="39"/>
      <c r="S598" s="39"/>
      <c r="T598" s="39"/>
      <c r="U598" s="39"/>
      <c r="V598" s="39"/>
      <c r="W598" s="39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</row>
    <row r="599" spans="1:36" ht="11.25" customHeight="1" x14ac:dyDescent="0.2">
      <c r="A599" s="35" t="s">
        <v>21</v>
      </c>
      <c r="B599" s="35" t="s">
        <v>43</v>
      </c>
      <c r="C599" s="35" t="s">
        <v>41</v>
      </c>
      <c r="D599" s="35" t="s">
        <v>42</v>
      </c>
      <c r="E599" s="35" t="s">
        <v>25</v>
      </c>
      <c r="F599" s="35" t="s">
        <v>25</v>
      </c>
      <c r="G599" s="35" t="s">
        <v>25</v>
      </c>
      <c r="H599" s="35" t="s">
        <v>35</v>
      </c>
      <c r="I599" s="55">
        <v>44682</v>
      </c>
      <c r="J599" s="56">
        <f>EFEITO!$J$599*EFEITO!$Y$599</f>
        <v>0</v>
      </c>
      <c r="K599" s="56">
        <f ca="1">EFEITO!$L$599*EFEITO!$Z$599</f>
        <v>3552.0625683950302</v>
      </c>
      <c r="L599" s="56">
        <f>EFEITO!$N$599*EFEITO!$AA$599</f>
        <v>6243.8980874152749</v>
      </c>
      <c r="M599" s="56">
        <f>$J$599-EFEITO!$K$599*EFEITO!$Y$599</f>
        <v>0</v>
      </c>
      <c r="N599" s="56">
        <f ca="1">$K$599-EFEITO!$M$599*EFEITO!$Z$599</f>
        <v>0</v>
      </c>
      <c r="O599" s="56">
        <f>$L$599-EFEITO!$O$599*EFEITO!$AA$599</f>
        <v>0</v>
      </c>
      <c r="P599" s="39"/>
      <c r="Q599" s="39"/>
      <c r="R599" s="39"/>
      <c r="S599" s="39"/>
      <c r="T599" s="39"/>
      <c r="U599" s="39"/>
      <c r="V599" s="39"/>
      <c r="W599" s="39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 spans="1:36" ht="11.25" customHeight="1" x14ac:dyDescent="0.2">
      <c r="A600" s="35" t="s">
        <v>21</v>
      </c>
      <c r="B600" s="35" t="s">
        <v>43</v>
      </c>
      <c r="C600" s="35" t="s">
        <v>41</v>
      </c>
      <c r="D600" s="35" t="s">
        <v>42</v>
      </c>
      <c r="E600" s="35" t="s">
        <v>25</v>
      </c>
      <c r="F600" s="35" t="s">
        <v>25</v>
      </c>
      <c r="G600" s="35" t="s">
        <v>25</v>
      </c>
      <c r="H600" s="35" t="s">
        <v>35</v>
      </c>
      <c r="I600" s="55">
        <v>44713</v>
      </c>
      <c r="J600" s="56">
        <f>EFEITO!$J$600*EFEITO!$Y$600</f>
        <v>0</v>
      </c>
      <c r="K600" s="56">
        <f ca="1">EFEITO!$L$600*EFEITO!$Z$600</f>
        <v>2453.0847052361078</v>
      </c>
      <c r="L600" s="56">
        <f>EFEITO!$N$600*EFEITO!$AA$600</f>
        <v>4312.089273306965</v>
      </c>
      <c r="M600" s="56">
        <f>$J$600-EFEITO!$K$600*EFEITO!$Y$600</f>
        <v>0</v>
      </c>
      <c r="N600" s="56">
        <f ca="1">$K$600-EFEITO!$M$600*EFEITO!$Z$600</f>
        <v>0</v>
      </c>
      <c r="O600" s="56">
        <f>$L$600-EFEITO!$O$600*EFEITO!$AA$600</f>
        <v>0</v>
      </c>
      <c r="P600" s="39"/>
      <c r="Q600" s="39"/>
      <c r="R600" s="39"/>
      <c r="S600" s="39"/>
      <c r="T600" s="39"/>
      <c r="U600" s="39"/>
      <c r="V600" s="39"/>
      <c r="W600" s="39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 spans="1:36" ht="11.25" customHeight="1" x14ac:dyDescent="0.2">
      <c r="A601" s="35" t="s">
        <v>21</v>
      </c>
      <c r="B601" s="35" t="s">
        <v>43</v>
      </c>
      <c r="C601" s="35" t="s">
        <v>41</v>
      </c>
      <c r="D601" s="35" t="s">
        <v>42</v>
      </c>
      <c r="E601" s="35" t="s">
        <v>25</v>
      </c>
      <c r="F601" s="35" t="s">
        <v>25</v>
      </c>
      <c r="G601" s="35" t="s">
        <v>25</v>
      </c>
      <c r="H601" s="35" t="s">
        <v>35</v>
      </c>
      <c r="I601" s="55">
        <v>44743</v>
      </c>
      <c r="J601" s="56">
        <f>EFEITO!$J$601*EFEITO!$Y$601</f>
        <v>0</v>
      </c>
      <c r="K601" s="56">
        <f ca="1">EFEITO!$L$601*EFEITO!$Z$601</f>
        <v>2223.82604305939</v>
      </c>
      <c r="L601" s="56">
        <f>EFEITO!$N$601*EFEITO!$AA$601</f>
        <v>3909.0930718815516</v>
      </c>
      <c r="M601" s="56">
        <f>$J$601-EFEITO!$K$601*EFEITO!$Y$601</f>
        <v>0</v>
      </c>
      <c r="N601" s="56">
        <f ca="1">$K$601-EFEITO!$M$601*EFEITO!$Z$601</f>
        <v>0</v>
      </c>
      <c r="O601" s="56">
        <f>$L$601-EFEITO!$O$601*EFEITO!$AA$601</f>
        <v>0</v>
      </c>
      <c r="P601" s="39"/>
      <c r="Q601" s="39"/>
      <c r="R601" s="39"/>
      <c r="S601" s="39"/>
      <c r="T601" s="39"/>
      <c r="U601" s="39"/>
      <c r="V601" s="39"/>
      <c r="W601" s="39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 spans="1:36" ht="11.25" customHeight="1" x14ac:dyDescent="0.2">
      <c r="A602" s="35" t="s">
        <v>21</v>
      </c>
      <c r="B602" s="35" t="s">
        <v>43</v>
      </c>
      <c r="C602" s="35" t="s">
        <v>41</v>
      </c>
      <c r="D602" s="35" t="s">
        <v>42</v>
      </c>
      <c r="E602" s="35" t="s">
        <v>25</v>
      </c>
      <c r="F602" s="35" t="s">
        <v>25</v>
      </c>
      <c r="G602" s="35" t="s">
        <v>25</v>
      </c>
      <c r="H602" s="35" t="s">
        <v>35</v>
      </c>
      <c r="I602" s="55">
        <v>44774</v>
      </c>
      <c r="J602" s="56">
        <f>EFEITO!$J$602*EFEITO!$Y$602</f>
        <v>0</v>
      </c>
      <c r="K602" s="56">
        <f ca="1">EFEITO!$L$602*EFEITO!$Z$602</f>
        <v>2356.0710174553142</v>
      </c>
      <c r="L602" s="56">
        <f>EFEITO!$N$602*EFEITO!$AA$602</f>
        <v>4141.5563595634712</v>
      </c>
      <c r="M602" s="56">
        <f>$J$602-EFEITO!$K$602*EFEITO!$Y$602</f>
        <v>0</v>
      </c>
      <c r="N602" s="56">
        <f ca="1">$K$602-EFEITO!$M$602*EFEITO!$Z$602</f>
        <v>0</v>
      </c>
      <c r="O602" s="56">
        <f>$L$602-EFEITO!$O$602*EFEITO!$AA$602</f>
        <v>0</v>
      </c>
      <c r="P602" s="39"/>
      <c r="Q602" s="39"/>
      <c r="R602" s="39"/>
      <c r="S602" s="39"/>
      <c r="T602" s="39"/>
      <c r="U602" s="39"/>
      <c r="V602" s="39"/>
      <c r="W602" s="39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</row>
    <row r="603" spans="1:36" ht="11.25" customHeight="1" x14ac:dyDescent="0.2">
      <c r="A603" s="35" t="s">
        <v>21</v>
      </c>
      <c r="B603" s="35" t="s">
        <v>43</v>
      </c>
      <c r="C603" s="35" t="s">
        <v>41</v>
      </c>
      <c r="D603" s="35" t="s">
        <v>42</v>
      </c>
      <c r="E603" s="35" t="s">
        <v>25</v>
      </c>
      <c r="F603" s="35" t="s">
        <v>25</v>
      </c>
      <c r="G603" s="35" t="s">
        <v>25</v>
      </c>
      <c r="H603" s="35" t="s">
        <v>35</v>
      </c>
      <c r="I603" s="55">
        <v>44805</v>
      </c>
      <c r="J603" s="56">
        <f>EFEITO!$J$603*EFEITO!$Y$603</f>
        <v>0</v>
      </c>
      <c r="K603" s="56">
        <f ca="1">EFEITO!$L$603*EFEITO!$Z$603</f>
        <v>2470.6152488175494</v>
      </c>
      <c r="L603" s="56">
        <f>EFEITO!$N$603*EFEITO!$AA$603</f>
        <v>4342.9048700009644</v>
      </c>
      <c r="M603" s="56">
        <f>$J$603-EFEITO!$K$603*EFEITO!$Y$603</f>
        <v>0</v>
      </c>
      <c r="N603" s="56">
        <f ca="1">$K$603-EFEITO!$M$603*EFEITO!$Z$603</f>
        <v>0</v>
      </c>
      <c r="O603" s="56">
        <f>$L$603-EFEITO!$O$603*EFEITO!$AA$603</f>
        <v>0</v>
      </c>
      <c r="P603" s="39"/>
      <c r="Q603" s="39"/>
      <c r="R603" s="39"/>
      <c r="S603" s="39"/>
      <c r="T603" s="39"/>
      <c r="U603" s="39"/>
      <c r="V603" s="39"/>
      <c r="W603" s="39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</row>
    <row r="604" spans="1:36" ht="11.25" customHeight="1" x14ac:dyDescent="0.2">
      <c r="A604" s="35" t="s">
        <v>53</v>
      </c>
      <c r="B604" s="35" t="s">
        <v>43</v>
      </c>
      <c r="C604" s="35" t="s">
        <v>41</v>
      </c>
      <c r="D604" s="35" t="s">
        <v>42</v>
      </c>
      <c r="E604" s="35" t="s">
        <v>25</v>
      </c>
      <c r="F604" s="35" t="s">
        <v>25</v>
      </c>
      <c r="G604" s="35" t="s">
        <v>25</v>
      </c>
      <c r="H604" s="35" t="s">
        <v>35</v>
      </c>
      <c r="I604" s="55">
        <v>44835</v>
      </c>
      <c r="J604" s="56">
        <f>EFEITO!$J$604*EFEITO!$Y$604</f>
        <v>0</v>
      </c>
      <c r="K604" s="56">
        <f ca="1">EFEITO!$L$604*EFEITO!$Z$604</f>
        <v>2470.6152488175494</v>
      </c>
      <c r="L604" s="56">
        <f>EFEITO!$N$604*EFEITO!$AA$604</f>
        <v>4342.9048700009644</v>
      </c>
      <c r="M604" s="56">
        <f>$J$604-EFEITO!$K$604*EFEITO!$Y$604</f>
        <v>0</v>
      </c>
      <c r="N604" s="56">
        <f ca="1">$K$604-EFEITO!$M$604*EFEITO!$Z$604</f>
        <v>0</v>
      </c>
      <c r="O604" s="56">
        <f>$L$604-EFEITO!$O$604*EFEITO!$AA$604</f>
        <v>0</v>
      </c>
      <c r="P604" s="39"/>
      <c r="Q604" s="39"/>
      <c r="R604" s="39"/>
      <c r="S604" s="39"/>
      <c r="T604" s="39"/>
      <c r="U604" s="39"/>
      <c r="V604" s="39"/>
      <c r="W604" s="39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  <row r="605" spans="1:36" ht="11.25" customHeight="1" x14ac:dyDescent="0.2">
      <c r="A605" s="35" t="s">
        <v>21</v>
      </c>
      <c r="B605" s="35" t="s">
        <v>43</v>
      </c>
      <c r="C605" s="35" t="s">
        <v>41</v>
      </c>
      <c r="D605" s="35" t="s">
        <v>42</v>
      </c>
      <c r="E605" s="35" t="s">
        <v>25</v>
      </c>
      <c r="F605" s="35" t="s">
        <v>25</v>
      </c>
      <c r="G605" s="35" t="s">
        <v>25</v>
      </c>
      <c r="H605" s="35" t="s">
        <v>25</v>
      </c>
      <c r="I605" s="55">
        <v>44501</v>
      </c>
      <c r="J605" s="56">
        <f ca="1">EFEITO!$J$605*EFEITO!$Y$605</f>
        <v>3243.4318651636481</v>
      </c>
      <c r="K605" s="56">
        <f>EFEITO!$L$605*EFEITO!$Z$605</f>
        <v>0</v>
      </c>
      <c r="L605" s="56">
        <f>EFEITO!$N$605*EFEITO!$AA$605</f>
        <v>0</v>
      </c>
      <c r="M605" s="56">
        <f ca="1">$J$605-EFEITO!$K$605*EFEITO!$Y$605</f>
        <v>0</v>
      </c>
      <c r="N605" s="56">
        <f>$K$605-EFEITO!$M$605*EFEITO!$Z$605</f>
        <v>0</v>
      </c>
      <c r="O605" s="56">
        <f>$L$605-EFEITO!$O$605*EFEITO!$AA$605</f>
        <v>0</v>
      </c>
      <c r="P605" s="39"/>
      <c r="Q605" s="39"/>
      <c r="R605" s="39"/>
      <c r="S605" s="39"/>
      <c r="T605" s="39"/>
      <c r="U605" s="39"/>
      <c r="V605" s="39"/>
      <c r="W605" s="39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</row>
    <row r="606" spans="1:36" ht="11.25" customHeight="1" x14ac:dyDescent="0.2">
      <c r="A606" s="35" t="s">
        <v>21</v>
      </c>
      <c r="B606" s="35" t="s">
        <v>43</v>
      </c>
      <c r="C606" s="35" t="s">
        <v>41</v>
      </c>
      <c r="D606" s="35" t="s">
        <v>42</v>
      </c>
      <c r="E606" s="35" t="s">
        <v>25</v>
      </c>
      <c r="F606" s="35" t="s">
        <v>25</v>
      </c>
      <c r="G606" s="35" t="s">
        <v>25</v>
      </c>
      <c r="H606" s="35" t="s">
        <v>25</v>
      </c>
      <c r="I606" s="55">
        <v>44531</v>
      </c>
      <c r="J606" s="56">
        <f ca="1">EFEITO!$J$606*EFEITO!$Y$606</f>
        <v>1884.1512909664345</v>
      </c>
      <c r="K606" s="56">
        <f>EFEITO!$L$606*EFEITO!$Z$606</f>
        <v>0</v>
      </c>
      <c r="L606" s="56">
        <f>EFEITO!$N$606*EFEITO!$AA$606</f>
        <v>0</v>
      </c>
      <c r="M606" s="56">
        <f ca="1">$J$606-EFEITO!$K$606*EFEITO!$Y$606</f>
        <v>0</v>
      </c>
      <c r="N606" s="56">
        <f>$K$606-EFEITO!$M$606*EFEITO!$Z$606</f>
        <v>0</v>
      </c>
      <c r="O606" s="56">
        <f>$L$606-EFEITO!$O$606*EFEITO!$AA$606</f>
        <v>0</v>
      </c>
      <c r="P606" s="39"/>
      <c r="Q606" s="39"/>
      <c r="R606" s="39"/>
      <c r="S606" s="39"/>
      <c r="T606" s="39"/>
      <c r="U606" s="39"/>
      <c r="V606" s="39"/>
      <c r="W606" s="39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</row>
    <row r="607" spans="1:36" ht="11.25" customHeight="1" x14ac:dyDescent="0.2">
      <c r="A607" s="35" t="s">
        <v>21</v>
      </c>
      <c r="B607" s="35" t="s">
        <v>43</v>
      </c>
      <c r="C607" s="35" t="s">
        <v>41</v>
      </c>
      <c r="D607" s="35" t="s">
        <v>42</v>
      </c>
      <c r="E607" s="35" t="s">
        <v>25</v>
      </c>
      <c r="F607" s="35" t="s">
        <v>25</v>
      </c>
      <c r="G607" s="35" t="s">
        <v>25</v>
      </c>
      <c r="H607" s="35" t="s">
        <v>25</v>
      </c>
      <c r="I607" s="55">
        <v>44562</v>
      </c>
      <c r="J607" s="56">
        <f ca="1">EFEITO!$J$607*EFEITO!$Y$607</f>
        <v>1884.1512909664345</v>
      </c>
      <c r="K607" s="56">
        <f>EFEITO!$L$607*EFEITO!$Z$607</f>
        <v>0</v>
      </c>
      <c r="L607" s="56">
        <f>EFEITO!$N$607*EFEITO!$AA$607</f>
        <v>0</v>
      </c>
      <c r="M607" s="56">
        <f ca="1">$J$607-EFEITO!$K$607*EFEITO!$Y$607</f>
        <v>0</v>
      </c>
      <c r="N607" s="56">
        <f>$K$607-EFEITO!$M$607*EFEITO!$Z$607</f>
        <v>0</v>
      </c>
      <c r="O607" s="56">
        <f>$L$607-EFEITO!$O$607*EFEITO!$AA$607</f>
        <v>0</v>
      </c>
      <c r="P607" s="39"/>
      <c r="Q607" s="39"/>
      <c r="R607" s="39"/>
      <c r="S607" s="39"/>
      <c r="T607" s="39"/>
      <c r="U607" s="39"/>
      <c r="V607" s="39"/>
      <c r="W607" s="39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</row>
    <row r="608" spans="1:36" ht="11.25" customHeight="1" x14ac:dyDescent="0.2">
      <c r="A608" s="35" t="s">
        <v>21</v>
      </c>
      <c r="B608" s="35" t="s">
        <v>43</v>
      </c>
      <c r="C608" s="35" t="s">
        <v>41</v>
      </c>
      <c r="D608" s="35" t="s">
        <v>42</v>
      </c>
      <c r="E608" s="35" t="s">
        <v>25</v>
      </c>
      <c r="F608" s="35" t="s">
        <v>25</v>
      </c>
      <c r="G608" s="35" t="s">
        <v>25</v>
      </c>
      <c r="H608" s="35" t="s">
        <v>25</v>
      </c>
      <c r="I608" s="55">
        <v>44593</v>
      </c>
      <c r="J608" s="56">
        <f ca="1">EFEITO!$J$608*EFEITO!$Y$608</f>
        <v>1884.1512909664345</v>
      </c>
      <c r="K608" s="56">
        <f>EFEITO!$L$608*EFEITO!$Z$608</f>
        <v>0</v>
      </c>
      <c r="L608" s="56">
        <f>EFEITO!$N$608*EFEITO!$AA$608</f>
        <v>0</v>
      </c>
      <c r="M608" s="56">
        <f ca="1">$J$608-EFEITO!$K$608*EFEITO!$Y$608</f>
        <v>0</v>
      </c>
      <c r="N608" s="56">
        <f>$K$608-EFEITO!$M$608*EFEITO!$Z$608</f>
        <v>0</v>
      </c>
      <c r="O608" s="56">
        <f>$L$608-EFEITO!$O$608*EFEITO!$AA$608</f>
        <v>0</v>
      </c>
      <c r="P608" s="39"/>
      <c r="Q608" s="39"/>
      <c r="R608" s="39"/>
      <c r="S608" s="39"/>
      <c r="T608" s="39"/>
      <c r="U608" s="39"/>
      <c r="V608" s="39"/>
      <c r="W608" s="39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</row>
    <row r="609" spans="1:36" ht="11.25" customHeight="1" x14ac:dyDescent="0.2">
      <c r="A609" s="35" t="s">
        <v>21</v>
      </c>
      <c r="B609" s="35" t="s">
        <v>43</v>
      </c>
      <c r="C609" s="35" t="s">
        <v>41</v>
      </c>
      <c r="D609" s="35" t="s">
        <v>42</v>
      </c>
      <c r="E609" s="35" t="s">
        <v>25</v>
      </c>
      <c r="F609" s="35" t="s">
        <v>25</v>
      </c>
      <c r="G609" s="35" t="s">
        <v>25</v>
      </c>
      <c r="H609" s="35" t="s">
        <v>25</v>
      </c>
      <c r="I609" s="55">
        <v>44621</v>
      </c>
      <c r="J609" s="56">
        <f ca="1">EFEITO!$J$609*EFEITO!$Y$609</f>
        <v>1884.1512909664345</v>
      </c>
      <c r="K609" s="56">
        <f>EFEITO!$L$609*EFEITO!$Z$609</f>
        <v>0</v>
      </c>
      <c r="L609" s="56">
        <f>EFEITO!$N$609*EFEITO!$AA$609</f>
        <v>0</v>
      </c>
      <c r="M609" s="56">
        <f ca="1">$J$609-EFEITO!$K$609*EFEITO!$Y$609</f>
        <v>0</v>
      </c>
      <c r="N609" s="56">
        <f>$K$609-EFEITO!$M$609*EFEITO!$Z$609</f>
        <v>0</v>
      </c>
      <c r="O609" s="56">
        <f>$L$609-EFEITO!$O$609*EFEITO!$AA$609</f>
        <v>0</v>
      </c>
      <c r="P609" s="39"/>
      <c r="Q609" s="39"/>
      <c r="R609" s="39"/>
      <c r="S609" s="39"/>
      <c r="T609" s="39"/>
      <c r="U609" s="39"/>
      <c r="V609" s="39"/>
      <c r="W609" s="39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</row>
    <row r="610" spans="1:36" ht="11.25" customHeight="1" x14ac:dyDescent="0.2">
      <c r="A610" s="35" t="s">
        <v>21</v>
      </c>
      <c r="B610" s="35" t="s">
        <v>43</v>
      </c>
      <c r="C610" s="35" t="s">
        <v>41</v>
      </c>
      <c r="D610" s="35" t="s">
        <v>42</v>
      </c>
      <c r="E610" s="35" t="s">
        <v>25</v>
      </c>
      <c r="F610" s="35" t="s">
        <v>25</v>
      </c>
      <c r="G610" s="35" t="s">
        <v>25</v>
      </c>
      <c r="H610" s="35" t="s">
        <v>25</v>
      </c>
      <c r="I610" s="55">
        <v>44652</v>
      </c>
      <c r="J610" s="56">
        <f ca="1">EFEITO!$J$610*EFEITO!$Y$610</f>
        <v>1884.1512909664345</v>
      </c>
      <c r="K610" s="56">
        <f>EFEITO!$L$610*EFEITO!$Z$610</f>
        <v>0</v>
      </c>
      <c r="L610" s="56">
        <f>EFEITO!$N$610*EFEITO!$AA$610</f>
        <v>0</v>
      </c>
      <c r="M610" s="56">
        <f ca="1">$J$610-EFEITO!$K$610*EFEITO!$Y$610</f>
        <v>0</v>
      </c>
      <c r="N610" s="56">
        <f>$K$610-EFEITO!$M$610*EFEITO!$Z$610</f>
        <v>0</v>
      </c>
      <c r="O610" s="56">
        <f>$L$610-EFEITO!$O$610*EFEITO!$AA$610</f>
        <v>0</v>
      </c>
      <c r="P610" s="39"/>
      <c r="Q610" s="39"/>
      <c r="R610" s="39"/>
      <c r="S610" s="39"/>
      <c r="T610" s="39"/>
      <c r="U610" s="39"/>
      <c r="V610" s="39"/>
      <c r="W610" s="39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</row>
    <row r="611" spans="1:36" ht="11.25" customHeight="1" x14ac:dyDescent="0.2">
      <c r="A611" s="35" t="s">
        <v>21</v>
      </c>
      <c r="B611" s="35" t="s">
        <v>43</v>
      </c>
      <c r="C611" s="35" t="s">
        <v>41</v>
      </c>
      <c r="D611" s="35" t="s">
        <v>42</v>
      </c>
      <c r="E611" s="35" t="s">
        <v>25</v>
      </c>
      <c r="F611" s="35" t="s">
        <v>25</v>
      </c>
      <c r="G611" s="35" t="s">
        <v>25</v>
      </c>
      <c r="H611" s="35" t="s">
        <v>25</v>
      </c>
      <c r="I611" s="55">
        <v>44682</v>
      </c>
      <c r="J611" s="56">
        <f ca="1">EFEITO!$J$611*EFEITO!$Y$611</f>
        <v>1884.1512909664345</v>
      </c>
      <c r="K611" s="56">
        <f>EFEITO!$L$611*EFEITO!$Z$611</f>
        <v>0</v>
      </c>
      <c r="L611" s="56">
        <f>EFEITO!$N$611*EFEITO!$AA$611</f>
        <v>0</v>
      </c>
      <c r="M611" s="56">
        <f ca="1">$J$611-EFEITO!$K$611*EFEITO!$Y$611</f>
        <v>0</v>
      </c>
      <c r="N611" s="56">
        <f>$K$611-EFEITO!$M$611*EFEITO!$Z$611</f>
        <v>0</v>
      </c>
      <c r="O611" s="56">
        <f>$L$611-EFEITO!$O$611*EFEITO!$AA$611</f>
        <v>0</v>
      </c>
      <c r="P611" s="39"/>
      <c r="Q611" s="39"/>
      <c r="R611" s="39"/>
      <c r="S611" s="39"/>
      <c r="T611" s="39"/>
      <c r="U611" s="39"/>
      <c r="V611" s="39"/>
      <c r="W611" s="39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</row>
    <row r="612" spans="1:36" ht="11.25" customHeight="1" x14ac:dyDescent="0.2">
      <c r="A612" s="35" t="s">
        <v>21</v>
      </c>
      <c r="B612" s="35" t="s">
        <v>43</v>
      </c>
      <c r="C612" s="35" t="s">
        <v>41</v>
      </c>
      <c r="D612" s="35" t="s">
        <v>42</v>
      </c>
      <c r="E612" s="35" t="s">
        <v>25</v>
      </c>
      <c r="F612" s="35" t="s">
        <v>25</v>
      </c>
      <c r="G612" s="35" t="s">
        <v>25</v>
      </c>
      <c r="H612" s="35" t="s">
        <v>25</v>
      </c>
      <c r="I612" s="55">
        <v>44713</v>
      </c>
      <c r="J612" s="56">
        <f ca="1">EFEITO!$J$612*EFEITO!$Y$612</f>
        <v>1884.1512909664345</v>
      </c>
      <c r="K612" s="56">
        <f>EFEITO!$L$612*EFEITO!$Z$612</f>
        <v>0</v>
      </c>
      <c r="L612" s="56">
        <f>EFEITO!$N$612*EFEITO!$AA$612</f>
        <v>0</v>
      </c>
      <c r="M612" s="56">
        <f ca="1">$J$612-EFEITO!$K$612*EFEITO!$Y$612</f>
        <v>0</v>
      </c>
      <c r="N612" s="56">
        <f>$K$612-EFEITO!$M$612*EFEITO!$Z$612</f>
        <v>0</v>
      </c>
      <c r="O612" s="56">
        <f>$L$612-EFEITO!$O$612*EFEITO!$AA$612</f>
        <v>0</v>
      </c>
      <c r="P612" s="39"/>
      <c r="Q612" s="39"/>
      <c r="R612" s="39"/>
      <c r="S612" s="39"/>
      <c r="T612" s="39"/>
      <c r="U612" s="39"/>
      <c r="V612" s="39"/>
      <c r="W612" s="39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</row>
    <row r="613" spans="1:36" ht="11.25" customHeight="1" x14ac:dyDescent="0.2">
      <c r="A613" s="35" t="s">
        <v>21</v>
      </c>
      <c r="B613" s="35" t="s">
        <v>43</v>
      </c>
      <c r="C613" s="35" t="s">
        <v>41</v>
      </c>
      <c r="D613" s="35" t="s">
        <v>42</v>
      </c>
      <c r="E613" s="35" t="s">
        <v>25</v>
      </c>
      <c r="F613" s="35" t="s">
        <v>25</v>
      </c>
      <c r="G613" s="35" t="s">
        <v>25</v>
      </c>
      <c r="H613" s="35" t="s">
        <v>25</v>
      </c>
      <c r="I613" s="55">
        <v>44743</v>
      </c>
      <c r="J613" s="56">
        <f ca="1">EFEITO!$J$613*EFEITO!$Y$613</f>
        <v>1884.1512909664345</v>
      </c>
      <c r="K613" s="56">
        <f>EFEITO!$L$613*EFEITO!$Z$613</f>
        <v>0</v>
      </c>
      <c r="L613" s="56">
        <f>EFEITO!$N$613*EFEITO!$AA$613</f>
        <v>0</v>
      </c>
      <c r="M613" s="56">
        <f ca="1">$J$613-EFEITO!$K$613*EFEITO!$Y$613</f>
        <v>0</v>
      </c>
      <c r="N613" s="56">
        <f>$K$613-EFEITO!$M$613*EFEITO!$Z$613</f>
        <v>0</v>
      </c>
      <c r="O613" s="56">
        <f>$L$613-EFEITO!$O$613*EFEITO!$AA$613</f>
        <v>0</v>
      </c>
      <c r="P613" s="39"/>
      <c r="Q613" s="39"/>
      <c r="R613" s="39"/>
      <c r="S613" s="39"/>
      <c r="T613" s="39"/>
      <c r="U613" s="39"/>
      <c r="V613" s="39"/>
      <c r="W613" s="39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</row>
    <row r="614" spans="1:36" ht="11.25" customHeight="1" x14ac:dyDescent="0.2">
      <c r="A614" s="35" t="s">
        <v>21</v>
      </c>
      <c r="B614" s="35" t="s">
        <v>43</v>
      </c>
      <c r="C614" s="35" t="s">
        <v>41</v>
      </c>
      <c r="D614" s="35" t="s">
        <v>42</v>
      </c>
      <c r="E614" s="35" t="s">
        <v>25</v>
      </c>
      <c r="F614" s="35" t="s">
        <v>25</v>
      </c>
      <c r="G614" s="35" t="s">
        <v>25</v>
      </c>
      <c r="H614" s="35" t="s">
        <v>25</v>
      </c>
      <c r="I614" s="55">
        <v>44774</v>
      </c>
      <c r="J614" s="56">
        <f ca="1">EFEITO!$J$614*EFEITO!$Y$614</f>
        <v>1884.1512909664345</v>
      </c>
      <c r="K614" s="56">
        <f>EFEITO!$L$614*EFEITO!$Z$614</f>
        <v>0</v>
      </c>
      <c r="L614" s="56">
        <f>EFEITO!$N$614*EFEITO!$AA$614</f>
        <v>0</v>
      </c>
      <c r="M614" s="56">
        <f ca="1">$J$614-EFEITO!$K$614*EFEITO!$Y$614</f>
        <v>0</v>
      </c>
      <c r="N614" s="56">
        <f>$K$614-EFEITO!$M$614*EFEITO!$Z$614</f>
        <v>0</v>
      </c>
      <c r="O614" s="56">
        <f>$L$614-EFEITO!$O$614*EFEITO!$AA$614</f>
        <v>0</v>
      </c>
      <c r="P614" s="39"/>
      <c r="Q614" s="39"/>
      <c r="R614" s="39"/>
      <c r="S614" s="39"/>
      <c r="T614" s="39"/>
      <c r="U614" s="39"/>
      <c r="V614" s="39"/>
      <c r="W614" s="39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</row>
    <row r="615" spans="1:36" ht="11.25" customHeight="1" x14ac:dyDescent="0.2">
      <c r="A615" s="35" t="s">
        <v>21</v>
      </c>
      <c r="B615" s="35" t="s">
        <v>43</v>
      </c>
      <c r="C615" s="35" t="s">
        <v>41</v>
      </c>
      <c r="D615" s="35" t="s">
        <v>42</v>
      </c>
      <c r="E615" s="35" t="s">
        <v>25</v>
      </c>
      <c r="F615" s="35" t="s">
        <v>25</v>
      </c>
      <c r="G615" s="35" t="s">
        <v>25</v>
      </c>
      <c r="H615" s="35" t="s">
        <v>25</v>
      </c>
      <c r="I615" s="55">
        <v>44805</v>
      </c>
      <c r="J615" s="56">
        <f ca="1">EFEITO!$J$615*EFEITO!$Y$615</f>
        <v>1884.1512909664345</v>
      </c>
      <c r="K615" s="56">
        <f>EFEITO!$L$615*EFEITO!$Z$615</f>
        <v>0</v>
      </c>
      <c r="L615" s="56">
        <f>EFEITO!$N$615*EFEITO!$AA$615</f>
        <v>0</v>
      </c>
      <c r="M615" s="56">
        <f ca="1">$J$615-EFEITO!$K$615*EFEITO!$Y$615</f>
        <v>0</v>
      </c>
      <c r="N615" s="56">
        <f>$K$615-EFEITO!$M$615*EFEITO!$Z$615</f>
        <v>0</v>
      </c>
      <c r="O615" s="56">
        <f>$L$615-EFEITO!$O$615*EFEITO!$AA$615</f>
        <v>0</v>
      </c>
      <c r="P615" s="39"/>
      <c r="Q615" s="39"/>
      <c r="R615" s="39"/>
      <c r="S615" s="39"/>
      <c r="T615" s="39"/>
      <c r="U615" s="39"/>
      <c r="V615" s="39"/>
      <c r="W615" s="39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</row>
    <row r="616" spans="1:36" ht="11.25" customHeight="1" x14ac:dyDescent="0.2">
      <c r="A616" s="35" t="s">
        <v>53</v>
      </c>
      <c r="B616" s="35" t="s">
        <v>43</v>
      </c>
      <c r="C616" s="35" t="s">
        <v>41</v>
      </c>
      <c r="D616" s="35" t="s">
        <v>42</v>
      </c>
      <c r="E616" s="35" t="s">
        <v>25</v>
      </c>
      <c r="F616" s="35" t="s">
        <v>25</v>
      </c>
      <c r="G616" s="35" t="s">
        <v>25</v>
      </c>
      <c r="H616" s="35" t="s">
        <v>25</v>
      </c>
      <c r="I616" s="55">
        <v>44835</v>
      </c>
      <c r="J616" s="56">
        <f ca="1">EFEITO!$J$616*EFEITO!$Y$616</f>
        <v>1884.1512909664345</v>
      </c>
      <c r="K616" s="56">
        <f>EFEITO!$L$616*EFEITO!$Z$616</f>
        <v>0</v>
      </c>
      <c r="L616" s="56">
        <f>EFEITO!$N$616*EFEITO!$AA$616</f>
        <v>0</v>
      </c>
      <c r="M616" s="56">
        <f ca="1">$J$616-EFEITO!$K$616*EFEITO!$Y$616</f>
        <v>0</v>
      </c>
      <c r="N616" s="56">
        <f>$K$616-EFEITO!$M$616*EFEITO!$Z$616</f>
        <v>0</v>
      </c>
      <c r="O616" s="56">
        <f>$L$616-EFEITO!$O$616*EFEITO!$AA$616</f>
        <v>0</v>
      </c>
      <c r="P616" s="39"/>
      <c r="Q616" s="39"/>
      <c r="R616" s="39"/>
      <c r="S616" s="39"/>
      <c r="T616" s="39"/>
      <c r="U616" s="39"/>
      <c r="V616" s="39"/>
      <c r="W616" s="39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</row>
    <row r="617" spans="1:36" ht="11.25" customHeight="1" x14ac:dyDescent="0.2">
      <c r="A617" s="35" t="s">
        <v>21</v>
      </c>
      <c r="B617" s="35" t="s">
        <v>43</v>
      </c>
      <c r="C617" s="35" t="s">
        <v>41</v>
      </c>
      <c r="D617" s="35" t="s">
        <v>42</v>
      </c>
      <c r="E617" s="35" t="s">
        <v>25</v>
      </c>
      <c r="F617" s="35" t="s">
        <v>25</v>
      </c>
      <c r="G617" s="35" t="s">
        <v>25</v>
      </c>
      <c r="H617" s="35" t="s">
        <v>34</v>
      </c>
      <c r="I617" s="55">
        <v>44501</v>
      </c>
      <c r="J617" s="56">
        <f>EFEITO!$J$617*EFEITO!$Y$617</f>
        <v>0</v>
      </c>
      <c r="K617" s="56">
        <f ca="1">EFEITO!$L$617*EFEITO!$Z$617</f>
        <v>9191.6176794159983</v>
      </c>
      <c r="L617" s="56">
        <f>EFEITO!$N$617*EFEITO!$AA$617</f>
        <v>2367.9708571940887</v>
      </c>
      <c r="M617" s="56">
        <f>$J$617-EFEITO!$K$617*EFEITO!$Y$617</f>
        <v>0</v>
      </c>
      <c r="N617" s="56">
        <f ca="1">$K$617-EFEITO!$M$617*EFEITO!$Z$617</f>
        <v>0</v>
      </c>
      <c r="O617" s="56">
        <f>$L$617-EFEITO!$O$617*EFEITO!$AA$617</f>
        <v>0</v>
      </c>
      <c r="P617" s="39"/>
      <c r="Q617" s="39"/>
      <c r="R617" s="39"/>
      <c r="S617" s="39"/>
      <c r="T617" s="39"/>
      <c r="U617" s="39"/>
      <c r="V617" s="39"/>
      <c r="W617" s="39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</row>
    <row r="618" spans="1:36" ht="11.25" customHeight="1" x14ac:dyDescent="0.2">
      <c r="A618" s="35" t="s">
        <v>21</v>
      </c>
      <c r="B618" s="35" t="s">
        <v>43</v>
      </c>
      <c r="C618" s="35" t="s">
        <v>41</v>
      </c>
      <c r="D618" s="35" t="s">
        <v>42</v>
      </c>
      <c r="E618" s="35" t="s">
        <v>25</v>
      </c>
      <c r="F618" s="35" t="s">
        <v>25</v>
      </c>
      <c r="G618" s="35" t="s">
        <v>25</v>
      </c>
      <c r="H618" s="35" t="s">
        <v>34</v>
      </c>
      <c r="I618" s="55">
        <v>44531</v>
      </c>
      <c r="J618" s="56">
        <f>EFEITO!$J$618*EFEITO!$Y$618</f>
        <v>0</v>
      </c>
      <c r="K618" s="56">
        <f ca="1">EFEITO!$L$618*EFEITO!$Z$618</f>
        <v>2369.6549276226533</v>
      </c>
      <c r="L618" s="56">
        <f>EFEITO!$N$618*EFEITO!$AA$618</f>
        <v>610.47728549272404</v>
      </c>
      <c r="M618" s="56">
        <f>$J$618-EFEITO!$K$618*EFEITO!$Y$618</f>
        <v>0</v>
      </c>
      <c r="N618" s="56">
        <f ca="1">$K$618-EFEITO!$M$618*EFEITO!$Z$618</f>
        <v>0</v>
      </c>
      <c r="O618" s="56">
        <f>$L$618-EFEITO!$O$618*EFEITO!$AA$618</f>
        <v>0</v>
      </c>
      <c r="P618" s="39"/>
      <c r="Q618" s="39"/>
      <c r="R618" s="39"/>
      <c r="S618" s="39"/>
      <c r="T618" s="39"/>
      <c r="U618" s="39"/>
      <c r="V618" s="39"/>
      <c r="W618" s="39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</row>
    <row r="619" spans="1:36" ht="11.25" customHeight="1" x14ac:dyDescent="0.2">
      <c r="A619" s="35" t="s">
        <v>21</v>
      </c>
      <c r="B619" s="35" t="s">
        <v>43</v>
      </c>
      <c r="C619" s="35" t="s">
        <v>41</v>
      </c>
      <c r="D619" s="35" t="s">
        <v>42</v>
      </c>
      <c r="E619" s="35" t="s">
        <v>25</v>
      </c>
      <c r="F619" s="35" t="s">
        <v>25</v>
      </c>
      <c r="G619" s="35" t="s">
        <v>25</v>
      </c>
      <c r="H619" s="35" t="s">
        <v>34</v>
      </c>
      <c r="I619" s="55">
        <v>44562</v>
      </c>
      <c r="J619" s="56">
        <f>EFEITO!$J$619*EFEITO!$Y$619</f>
        <v>0</v>
      </c>
      <c r="K619" s="56">
        <f ca="1">EFEITO!$L$619*EFEITO!$Z$619</f>
        <v>2545.2548545301488</v>
      </c>
      <c r="L619" s="56">
        <f>EFEITO!$N$619*EFEITO!$AA$619</f>
        <v>655.71584131011321</v>
      </c>
      <c r="M619" s="56">
        <f>$J$619-EFEITO!$K$619*EFEITO!$Y$619</f>
        <v>0</v>
      </c>
      <c r="N619" s="56">
        <f ca="1">$K$619-EFEITO!$M$619*EFEITO!$Z$619</f>
        <v>0</v>
      </c>
      <c r="O619" s="56">
        <f>$L$619-EFEITO!$O$619*EFEITO!$AA$619</f>
        <v>0</v>
      </c>
      <c r="P619" s="39"/>
      <c r="Q619" s="39"/>
      <c r="R619" s="39"/>
      <c r="S619" s="39"/>
      <c r="T619" s="39"/>
      <c r="U619" s="39"/>
      <c r="V619" s="39"/>
      <c r="W619" s="39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</row>
    <row r="620" spans="1:36" ht="11.25" customHeight="1" x14ac:dyDescent="0.2">
      <c r="A620" s="35" t="s">
        <v>21</v>
      </c>
      <c r="B620" s="35" t="s">
        <v>43</v>
      </c>
      <c r="C620" s="35" t="s">
        <v>41</v>
      </c>
      <c r="D620" s="35" t="s">
        <v>42</v>
      </c>
      <c r="E620" s="35" t="s">
        <v>25</v>
      </c>
      <c r="F620" s="35" t="s">
        <v>25</v>
      </c>
      <c r="G620" s="35" t="s">
        <v>25</v>
      </c>
      <c r="H620" s="35" t="s">
        <v>34</v>
      </c>
      <c r="I620" s="55">
        <v>44593</v>
      </c>
      <c r="J620" s="56">
        <f>EFEITO!$J$620*EFEITO!$Y$620</f>
        <v>0</v>
      </c>
      <c r="K620" s="56">
        <f ca="1">EFEITO!$L$620*EFEITO!$Z$620</f>
        <v>2549.0311970442885</v>
      </c>
      <c r="L620" s="56">
        <f>EFEITO!$N$620*EFEITO!$AA$620</f>
        <v>656.68871347822915</v>
      </c>
      <c r="M620" s="56">
        <f>$J$620-EFEITO!$K$620*EFEITO!$Y$620</f>
        <v>0</v>
      </c>
      <c r="N620" s="56">
        <f ca="1">$K$620-EFEITO!$M$620*EFEITO!$Z$620</f>
        <v>0</v>
      </c>
      <c r="O620" s="56">
        <f>$L$620-EFEITO!$O$620*EFEITO!$AA$620</f>
        <v>0</v>
      </c>
      <c r="P620" s="39"/>
      <c r="Q620" s="39"/>
      <c r="R620" s="39"/>
      <c r="S620" s="39"/>
      <c r="T620" s="39"/>
      <c r="U620" s="39"/>
      <c r="V620" s="39"/>
      <c r="W620" s="39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</row>
    <row r="621" spans="1:36" ht="11.25" customHeight="1" x14ac:dyDescent="0.2">
      <c r="A621" s="35" t="s">
        <v>21</v>
      </c>
      <c r="B621" s="35" t="s">
        <v>43</v>
      </c>
      <c r="C621" s="35" t="s">
        <v>41</v>
      </c>
      <c r="D621" s="35" t="s">
        <v>42</v>
      </c>
      <c r="E621" s="35" t="s">
        <v>25</v>
      </c>
      <c r="F621" s="35" t="s">
        <v>25</v>
      </c>
      <c r="G621" s="35" t="s">
        <v>25</v>
      </c>
      <c r="H621" s="35" t="s">
        <v>34</v>
      </c>
      <c r="I621" s="55">
        <v>44621</v>
      </c>
      <c r="J621" s="56">
        <f>EFEITO!$J$621*EFEITO!$Y$621</f>
        <v>0</v>
      </c>
      <c r="K621" s="56">
        <f ca="1">EFEITO!$L$621*EFEITO!$Z$621</f>
        <v>2248.8119671701834</v>
      </c>
      <c r="L621" s="56">
        <f>EFEITO!$N$621*EFEITO!$AA$621</f>
        <v>579.3453761130155</v>
      </c>
      <c r="M621" s="56">
        <f>$J$621-EFEITO!$K$621*EFEITO!$Y$621</f>
        <v>0</v>
      </c>
      <c r="N621" s="56">
        <f ca="1">$K$621-EFEITO!$M$621*EFEITO!$Z$621</f>
        <v>0</v>
      </c>
      <c r="O621" s="56">
        <f>$L$621-EFEITO!$O$621*EFEITO!$AA$621</f>
        <v>0</v>
      </c>
      <c r="P621" s="39"/>
      <c r="Q621" s="39"/>
      <c r="R621" s="39"/>
      <c r="S621" s="39"/>
      <c r="T621" s="39"/>
      <c r="U621" s="39"/>
      <c r="V621" s="39"/>
      <c r="W621" s="39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</row>
    <row r="622" spans="1:36" ht="11.25" customHeight="1" x14ac:dyDescent="0.2">
      <c r="A622" s="35" t="s">
        <v>21</v>
      </c>
      <c r="B622" s="35" t="s">
        <v>43</v>
      </c>
      <c r="C622" s="35" t="s">
        <v>41</v>
      </c>
      <c r="D622" s="35" t="s">
        <v>42</v>
      </c>
      <c r="E622" s="35" t="s">
        <v>25</v>
      </c>
      <c r="F622" s="35" t="s">
        <v>25</v>
      </c>
      <c r="G622" s="35" t="s">
        <v>25</v>
      </c>
      <c r="H622" s="35" t="s">
        <v>34</v>
      </c>
      <c r="I622" s="55">
        <v>44652</v>
      </c>
      <c r="J622" s="56">
        <f>EFEITO!$J$622*EFEITO!$Y$622</f>
        <v>0</v>
      </c>
      <c r="K622" s="56">
        <f ca="1">EFEITO!$L$622*EFEITO!$Z$622</f>
        <v>2601.8999922422436</v>
      </c>
      <c r="L622" s="56">
        <f>EFEITO!$N$622*EFEITO!$AA$622</f>
        <v>670.30892383185153</v>
      </c>
      <c r="M622" s="56">
        <f>$J$622-EFEITO!$K$622*EFEITO!$Y$622</f>
        <v>0</v>
      </c>
      <c r="N622" s="56">
        <f ca="1">$K$622-EFEITO!$M$622*EFEITO!$Z$622</f>
        <v>0</v>
      </c>
      <c r="O622" s="56">
        <f>$L$622-EFEITO!$O$622*EFEITO!$AA$622</f>
        <v>0</v>
      </c>
      <c r="P622" s="39"/>
      <c r="Q622" s="39"/>
      <c r="R622" s="39"/>
      <c r="S622" s="39"/>
      <c r="T622" s="39"/>
      <c r="U622" s="39"/>
      <c r="V622" s="39"/>
      <c r="W622" s="39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</row>
    <row r="623" spans="1:36" ht="11.25" customHeight="1" x14ac:dyDescent="0.2">
      <c r="A623" s="35" t="s">
        <v>21</v>
      </c>
      <c r="B623" s="35" t="s">
        <v>43</v>
      </c>
      <c r="C623" s="35" t="s">
        <v>41</v>
      </c>
      <c r="D623" s="35" t="s">
        <v>42</v>
      </c>
      <c r="E623" s="35" t="s">
        <v>25</v>
      </c>
      <c r="F623" s="35" t="s">
        <v>25</v>
      </c>
      <c r="G623" s="35" t="s">
        <v>25</v>
      </c>
      <c r="H623" s="35" t="s">
        <v>34</v>
      </c>
      <c r="I623" s="55">
        <v>44682</v>
      </c>
      <c r="J623" s="56">
        <f>EFEITO!$J$623*EFEITO!$Y$623</f>
        <v>0</v>
      </c>
      <c r="K623" s="56">
        <f ca="1">EFEITO!$L$623*EFEITO!$Z$623</f>
        <v>2318.6743036817675</v>
      </c>
      <c r="L623" s="56">
        <f>EFEITO!$N$623*EFEITO!$AA$623</f>
        <v>597.34351122315945</v>
      </c>
      <c r="M623" s="56">
        <f>$J$623-EFEITO!$K$623*EFEITO!$Y$623</f>
        <v>0</v>
      </c>
      <c r="N623" s="56">
        <f ca="1">$K$623-EFEITO!$M$623*EFEITO!$Z$623</f>
        <v>0</v>
      </c>
      <c r="O623" s="56">
        <f>$L$623-EFEITO!$O$623*EFEITO!$AA$623</f>
        <v>0</v>
      </c>
      <c r="P623" s="39"/>
      <c r="Q623" s="39"/>
      <c r="R623" s="39"/>
      <c r="S623" s="39"/>
      <c r="T623" s="39"/>
      <c r="U623" s="39"/>
      <c r="V623" s="39"/>
      <c r="W623" s="39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 spans="1:36" ht="11.25" customHeight="1" x14ac:dyDescent="0.2">
      <c r="A624" s="35" t="s">
        <v>21</v>
      </c>
      <c r="B624" s="35" t="s">
        <v>43</v>
      </c>
      <c r="C624" s="35" t="s">
        <v>41</v>
      </c>
      <c r="D624" s="35" t="s">
        <v>42</v>
      </c>
      <c r="E624" s="35" t="s">
        <v>25</v>
      </c>
      <c r="F624" s="35" t="s">
        <v>25</v>
      </c>
      <c r="G624" s="35" t="s">
        <v>25</v>
      </c>
      <c r="H624" s="35" t="s">
        <v>34</v>
      </c>
      <c r="I624" s="55">
        <v>44713</v>
      </c>
      <c r="J624" s="56">
        <f>EFEITO!$J$624*EFEITO!$Y$624</f>
        <v>0</v>
      </c>
      <c r="K624" s="56">
        <f ca="1">EFEITO!$L$624*EFEITO!$Z$624</f>
        <v>2126.0808354606434</v>
      </c>
      <c r="L624" s="56">
        <f>EFEITO!$N$624*EFEITO!$AA$624</f>
        <v>547.72703064924883</v>
      </c>
      <c r="M624" s="56">
        <f>$J$624-EFEITO!$K$624*EFEITO!$Y$624</f>
        <v>0</v>
      </c>
      <c r="N624" s="56">
        <f ca="1">$K$624-EFEITO!$M$624*EFEITO!$Z$624</f>
        <v>0</v>
      </c>
      <c r="O624" s="56">
        <f>$L$624-EFEITO!$O$624*EFEITO!$AA$624</f>
        <v>0</v>
      </c>
      <c r="P624" s="39"/>
      <c r="Q624" s="39"/>
      <c r="R624" s="39"/>
      <c r="S624" s="39"/>
      <c r="T624" s="39"/>
      <c r="U624" s="39"/>
      <c r="V624" s="39"/>
      <c r="W624" s="39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</row>
    <row r="625" spans="1:36" ht="11.25" customHeight="1" x14ac:dyDescent="0.2">
      <c r="A625" s="35" t="s">
        <v>21</v>
      </c>
      <c r="B625" s="35" t="s">
        <v>43</v>
      </c>
      <c r="C625" s="35" t="s">
        <v>41</v>
      </c>
      <c r="D625" s="35" t="s">
        <v>42</v>
      </c>
      <c r="E625" s="35" t="s">
        <v>25</v>
      </c>
      <c r="F625" s="35" t="s">
        <v>25</v>
      </c>
      <c r="G625" s="35" t="s">
        <v>25</v>
      </c>
      <c r="H625" s="35" t="s">
        <v>34</v>
      </c>
      <c r="I625" s="55">
        <v>44743</v>
      </c>
      <c r="J625" s="56">
        <f>EFEITO!$J$625*EFEITO!$Y$625</f>
        <v>0</v>
      </c>
      <c r="K625" s="56">
        <f ca="1">EFEITO!$L$625*EFEITO!$Z$625</f>
        <v>1814.5325780441192</v>
      </c>
      <c r="L625" s="56">
        <f>EFEITO!$N$625*EFEITO!$AA$625</f>
        <v>467.46507677968754</v>
      </c>
      <c r="M625" s="56">
        <f>$J$625-EFEITO!$K$625*EFEITO!$Y$625</f>
        <v>0</v>
      </c>
      <c r="N625" s="56">
        <f ca="1">$K$625-EFEITO!$M$625*EFEITO!$Z$625</f>
        <v>0</v>
      </c>
      <c r="O625" s="56">
        <f>$L$625-EFEITO!$O$625*EFEITO!$AA$625</f>
        <v>0</v>
      </c>
      <c r="P625" s="39"/>
      <c r="Q625" s="39"/>
      <c r="R625" s="39"/>
      <c r="S625" s="39"/>
      <c r="T625" s="39"/>
      <c r="U625" s="39"/>
      <c r="V625" s="39"/>
      <c r="W625" s="39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</row>
    <row r="626" spans="1:36" ht="11.25" customHeight="1" x14ac:dyDescent="0.2">
      <c r="A626" s="35" t="s">
        <v>21</v>
      </c>
      <c r="B626" s="35" t="s">
        <v>43</v>
      </c>
      <c r="C626" s="35" t="s">
        <v>41</v>
      </c>
      <c r="D626" s="35" t="s">
        <v>42</v>
      </c>
      <c r="E626" s="35" t="s">
        <v>25</v>
      </c>
      <c r="F626" s="35" t="s">
        <v>25</v>
      </c>
      <c r="G626" s="35" t="s">
        <v>25</v>
      </c>
      <c r="H626" s="35" t="s">
        <v>34</v>
      </c>
      <c r="I626" s="55">
        <v>44774</v>
      </c>
      <c r="J626" s="56">
        <f>EFEITO!$J$626*EFEITO!$Y$626</f>
        <v>0</v>
      </c>
      <c r="K626" s="56">
        <f ca="1">EFEITO!$L$626*EFEITO!$Z$626</f>
        <v>1952.369079810218</v>
      </c>
      <c r="L626" s="56">
        <f>EFEITO!$N$626*EFEITO!$AA$626</f>
        <v>502.97491091591769</v>
      </c>
      <c r="M626" s="56">
        <f>$J$626-EFEITO!$K$626*EFEITO!$Y$626</f>
        <v>0</v>
      </c>
      <c r="N626" s="56">
        <f ca="1">$K$626-EFEITO!$M$626*EFEITO!$Z$626</f>
        <v>0</v>
      </c>
      <c r="O626" s="56">
        <f>$L$626-EFEITO!$O$626*EFEITO!$AA$626</f>
        <v>0</v>
      </c>
      <c r="P626" s="39"/>
      <c r="Q626" s="39"/>
      <c r="R626" s="39"/>
      <c r="S626" s="39"/>
      <c r="T626" s="39"/>
      <c r="U626" s="39"/>
      <c r="V626" s="39"/>
      <c r="W626" s="39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</row>
    <row r="627" spans="1:36" ht="11.25" customHeight="1" x14ac:dyDescent="0.2">
      <c r="A627" s="35" t="s">
        <v>21</v>
      </c>
      <c r="B627" s="35" t="s">
        <v>43</v>
      </c>
      <c r="C627" s="35" t="s">
        <v>41</v>
      </c>
      <c r="D627" s="35" t="s">
        <v>42</v>
      </c>
      <c r="E627" s="35" t="s">
        <v>25</v>
      </c>
      <c r="F627" s="35" t="s">
        <v>25</v>
      </c>
      <c r="G627" s="35" t="s">
        <v>25</v>
      </c>
      <c r="H627" s="35" t="s">
        <v>34</v>
      </c>
      <c r="I627" s="55">
        <v>44805</v>
      </c>
      <c r="J627" s="56">
        <f>EFEITO!$J$627*EFEITO!$Y$627</f>
        <v>0</v>
      </c>
      <c r="K627" s="56">
        <f ca="1">EFEITO!$L$627*EFEITO!$Z$627</f>
        <v>2296.0162485969295</v>
      </c>
      <c r="L627" s="56">
        <f>EFEITO!$N$627*EFEITO!$AA$627</f>
        <v>591.50627821446415</v>
      </c>
      <c r="M627" s="56">
        <f>$J$627-EFEITO!$K$627*EFEITO!$Y$627</f>
        <v>0</v>
      </c>
      <c r="N627" s="56">
        <f ca="1">$K$627-EFEITO!$M$627*EFEITO!$Z$627</f>
        <v>0</v>
      </c>
      <c r="O627" s="56">
        <f>$L$627-EFEITO!$O$627*EFEITO!$AA$627</f>
        <v>0</v>
      </c>
      <c r="P627" s="39"/>
      <c r="Q627" s="39"/>
      <c r="R627" s="39"/>
      <c r="S627" s="39"/>
      <c r="T627" s="39"/>
      <c r="U627" s="39"/>
      <c r="V627" s="39"/>
      <c r="W627" s="39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</row>
    <row r="628" spans="1:36" ht="11.25" customHeight="1" x14ac:dyDescent="0.2">
      <c r="A628" s="35" t="s">
        <v>53</v>
      </c>
      <c r="B628" s="35" t="s">
        <v>43</v>
      </c>
      <c r="C628" s="35" t="s">
        <v>41</v>
      </c>
      <c r="D628" s="35" t="s">
        <v>42</v>
      </c>
      <c r="E628" s="35" t="s">
        <v>25</v>
      </c>
      <c r="F628" s="35" t="s">
        <v>25</v>
      </c>
      <c r="G628" s="35" t="s">
        <v>25</v>
      </c>
      <c r="H628" s="35" t="s">
        <v>34</v>
      </c>
      <c r="I628" s="55">
        <v>44835</v>
      </c>
      <c r="J628" s="56">
        <f>EFEITO!$J$628*EFEITO!$Y$628</f>
        <v>0</v>
      </c>
      <c r="K628" s="56">
        <f ca="1">EFEITO!$L$628*EFEITO!$Z$628</f>
        <v>2296.0162485969295</v>
      </c>
      <c r="L628" s="56">
        <f>EFEITO!$N$628*EFEITO!$AA$628</f>
        <v>591.50627821446415</v>
      </c>
      <c r="M628" s="56">
        <f>$J$628-EFEITO!$K$628*EFEITO!$Y$628</f>
        <v>0</v>
      </c>
      <c r="N628" s="56">
        <f ca="1">$K$628-EFEITO!$M$628*EFEITO!$Z$628</f>
        <v>0</v>
      </c>
      <c r="O628" s="56">
        <f>$L$628-EFEITO!$O$628*EFEITO!$AA$628</f>
        <v>0</v>
      </c>
      <c r="P628" s="39"/>
      <c r="Q628" s="39"/>
      <c r="R628" s="39"/>
      <c r="S628" s="39"/>
      <c r="T628" s="39"/>
      <c r="U628" s="39"/>
      <c r="V628" s="39"/>
      <c r="W628" s="39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</row>
    <row r="629" spans="1:36" ht="11.25" customHeight="1" x14ac:dyDescent="0.2">
      <c r="A629" s="35" t="s">
        <v>21</v>
      </c>
      <c r="B629" s="35" t="s">
        <v>43</v>
      </c>
      <c r="C629" s="35" t="s">
        <v>41</v>
      </c>
      <c r="D629" s="35" t="s">
        <v>38</v>
      </c>
      <c r="E629" s="35" t="s">
        <v>25</v>
      </c>
      <c r="F629" s="35" t="s">
        <v>56</v>
      </c>
      <c r="G629" s="35" t="s">
        <v>25</v>
      </c>
      <c r="H629" s="35" t="s">
        <v>35</v>
      </c>
      <c r="I629" s="55">
        <v>44531</v>
      </c>
      <c r="J629" s="56">
        <f>EFEITO!$J$629*EFEITO!$Y$629</f>
        <v>0</v>
      </c>
      <c r="K629" s="56">
        <f ca="1">EFEITO!$L$629*EFEITO!$Z$629</f>
        <v>4598.4488008096278</v>
      </c>
      <c r="L629" s="56">
        <f>EFEITO!$N$629*EFEITO!$AA$629</f>
        <v>0</v>
      </c>
      <c r="M629" s="56">
        <f>$J$629-EFEITO!$K$629*EFEITO!$Y$629</f>
        <v>0</v>
      </c>
      <c r="N629" s="56">
        <f ca="1">$K$629-EFEITO!$M$629*EFEITO!$Z$629</f>
        <v>0</v>
      </c>
      <c r="O629" s="56">
        <f>$L$629-EFEITO!$O$629*EFEITO!$AA$629</f>
        <v>0</v>
      </c>
      <c r="P629" s="39"/>
      <c r="Q629" s="39"/>
      <c r="R629" s="39"/>
      <c r="S629" s="39"/>
      <c r="T629" s="39"/>
      <c r="U629" s="39"/>
      <c r="V629" s="39"/>
      <c r="W629" s="39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</row>
    <row r="630" spans="1:36" ht="11.25" customHeight="1" x14ac:dyDescent="0.2">
      <c r="A630" s="35" t="s">
        <v>21</v>
      </c>
      <c r="B630" s="35" t="s">
        <v>43</v>
      </c>
      <c r="C630" s="35" t="s">
        <v>41</v>
      </c>
      <c r="D630" s="35" t="s">
        <v>38</v>
      </c>
      <c r="E630" s="35" t="s">
        <v>25</v>
      </c>
      <c r="F630" s="35" t="s">
        <v>56</v>
      </c>
      <c r="G630" s="35" t="s">
        <v>25</v>
      </c>
      <c r="H630" s="35" t="s">
        <v>35</v>
      </c>
      <c r="I630" s="55">
        <v>44562</v>
      </c>
      <c r="J630" s="56">
        <f>EFEITO!$J$630*EFEITO!$Y$630</f>
        <v>0</v>
      </c>
      <c r="K630" s="56">
        <f ca="1">EFEITO!$L$630*EFEITO!$Z$630</f>
        <v>4613.08595370287</v>
      </c>
      <c r="L630" s="56">
        <f>EFEITO!$N$630*EFEITO!$AA$630</f>
        <v>0</v>
      </c>
      <c r="M630" s="56">
        <f>$J$630-EFEITO!$K$630*EFEITO!$Y$630</f>
        <v>0</v>
      </c>
      <c r="N630" s="56">
        <f ca="1">$K$630-EFEITO!$M$630*EFEITO!$Z$630</f>
        <v>0</v>
      </c>
      <c r="O630" s="56">
        <f>$L$630-EFEITO!$O$630*EFEITO!$AA$630</f>
        <v>0</v>
      </c>
      <c r="P630" s="39"/>
      <c r="Q630" s="39"/>
      <c r="R630" s="39"/>
      <c r="S630" s="39"/>
      <c r="T630" s="39"/>
      <c r="U630" s="39"/>
      <c r="V630" s="39"/>
      <c r="W630" s="39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</row>
    <row r="631" spans="1:36" ht="11.25" customHeight="1" x14ac:dyDescent="0.2">
      <c r="A631" s="35" t="s">
        <v>21</v>
      </c>
      <c r="B631" s="35" t="s">
        <v>43</v>
      </c>
      <c r="C631" s="35" t="s">
        <v>41</v>
      </c>
      <c r="D631" s="35" t="s">
        <v>38</v>
      </c>
      <c r="E631" s="35" t="s">
        <v>25</v>
      </c>
      <c r="F631" s="35" t="s">
        <v>56</v>
      </c>
      <c r="G631" s="35" t="s">
        <v>25</v>
      </c>
      <c r="H631" s="35" t="s">
        <v>35</v>
      </c>
      <c r="I631" s="55">
        <v>44593</v>
      </c>
      <c r="J631" s="56">
        <f>EFEITO!$J$631*EFEITO!$Y$631</f>
        <v>0</v>
      </c>
      <c r="K631" s="56">
        <f ca="1">EFEITO!$L$631*EFEITO!$Z$631</f>
        <v>4466.3740258659509</v>
      </c>
      <c r="L631" s="56">
        <f>EFEITO!$N$631*EFEITO!$AA$631</f>
        <v>0</v>
      </c>
      <c r="M631" s="56">
        <f>$J$631-EFEITO!$K$631*EFEITO!$Y$631</f>
        <v>0</v>
      </c>
      <c r="N631" s="56">
        <f ca="1">$K$631-EFEITO!$M$631*EFEITO!$Z$631</f>
        <v>0</v>
      </c>
      <c r="O631" s="56">
        <f>$L$631-EFEITO!$O$631*EFEITO!$AA$631</f>
        <v>0</v>
      </c>
      <c r="P631" s="39"/>
      <c r="Q631" s="39"/>
      <c r="R631" s="39"/>
      <c r="S631" s="39"/>
      <c r="T631" s="39"/>
      <c r="U631" s="39"/>
      <c r="V631" s="39"/>
      <c r="W631" s="39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</row>
    <row r="632" spans="1:36" ht="11.25" customHeight="1" x14ac:dyDescent="0.2">
      <c r="A632" s="35" t="s">
        <v>21</v>
      </c>
      <c r="B632" s="35" t="s">
        <v>43</v>
      </c>
      <c r="C632" s="35" t="s">
        <v>41</v>
      </c>
      <c r="D632" s="35" t="s">
        <v>38</v>
      </c>
      <c r="E632" s="35" t="s">
        <v>25</v>
      </c>
      <c r="F632" s="35" t="s">
        <v>56</v>
      </c>
      <c r="G632" s="35" t="s">
        <v>25</v>
      </c>
      <c r="H632" s="35" t="s">
        <v>35</v>
      </c>
      <c r="I632" s="55">
        <v>44621</v>
      </c>
      <c r="J632" s="56">
        <f>EFEITO!$J$632*EFEITO!$Y$632</f>
        <v>0</v>
      </c>
      <c r="K632" s="56">
        <f ca="1">EFEITO!$L$632*EFEITO!$Z$632</f>
        <v>4208.0112573549941</v>
      </c>
      <c r="L632" s="56">
        <f>EFEITO!$N$632*EFEITO!$AA$632</f>
        <v>0</v>
      </c>
      <c r="M632" s="56">
        <f>$J$632-EFEITO!$K$632*EFEITO!$Y$632</f>
        <v>0</v>
      </c>
      <c r="N632" s="56">
        <f ca="1">$K$632-EFEITO!$M$632*EFEITO!$Z$632</f>
        <v>0</v>
      </c>
      <c r="O632" s="56">
        <f>$L$632-EFEITO!$O$632*EFEITO!$AA$632</f>
        <v>0</v>
      </c>
      <c r="P632" s="39"/>
      <c r="Q632" s="39"/>
      <c r="R632" s="39"/>
      <c r="S632" s="39"/>
      <c r="T632" s="39"/>
      <c r="U632" s="39"/>
      <c r="V632" s="39"/>
      <c r="W632" s="39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</row>
    <row r="633" spans="1:36" ht="11.25" customHeight="1" x14ac:dyDescent="0.2">
      <c r="A633" s="35" t="s">
        <v>21</v>
      </c>
      <c r="B633" s="35" t="s">
        <v>43</v>
      </c>
      <c r="C633" s="35" t="s">
        <v>41</v>
      </c>
      <c r="D633" s="35" t="s">
        <v>38</v>
      </c>
      <c r="E633" s="35" t="s">
        <v>25</v>
      </c>
      <c r="F633" s="35" t="s">
        <v>56</v>
      </c>
      <c r="G633" s="35" t="s">
        <v>25</v>
      </c>
      <c r="H633" s="35" t="s">
        <v>35</v>
      </c>
      <c r="I633" s="55">
        <v>44652</v>
      </c>
      <c r="J633" s="56">
        <f>EFEITO!$J$633*EFEITO!$Y$633</f>
        <v>0</v>
      </c>
      <c r="K633" s="56">
        <f ca="1">EFEITO!$L$633*EFEITO!$Z$633</f>
        <v>4890.851459769985</v>
      </c>
      <c r="L633" s="56">
        <f>EFEITO!$N$633*EFEITO!$AA$633</f>
        <v>0</v>
      </c>
      <c r="M633" s="56">
        <f>$J$633-EFEITO!$K$633*EFEITO!$Y$633</f>
        <v>0</v>
      </c>
      <c r="N633" s="56">
        <f ca="1">$K$633-EFEITO!$M$633*EFEITO!$Z$633</f>
        <v>0</v>
      </c>
      <c r="O633" s="56">
        <f>$L$633-EFEITO!$O$633*EFEITO!$AA$633</f>
        <v>0</v>
      </c>
      <c r="P633" s="39"/>
      <c r="Q633" s="39"/>
      <c r="R633" s="39"/>
      <c r="S633" s="39"/>
      <c r="T633" s="39"/>
      <c r="U633" s="39"/>
      <c r="V633" s="39"/>
      <c r="W633" s="39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</row>
    <row r="634" spans="1:36" ht="11.25" customHeight="1" x14ac:dyDescent="0.2">
      <c r="A634" s="35" t="s">
        <v>21</v>
      </c>
      <c r="B634" s="35" t="s">
        <v>43</v>
      </c>
      <c r="C634" s="35" t="s">
        <v>41</v>
      </c>
      <c r="D634" s="35" t="s">
        <v>38</v>
      </c>
      <c r="E634" s="35" t="s">
        <v>25</v>
      </c>
      <c r="F634" s="35" t="s">
        <v>56</v>
      </c>
      <c r="G634" s="35" t="s">
        <v>25</v>
      </c>
      <c r="H634" s="35" t="s">
        <v>35</v>
      </c>
      <c r="I634" s="55">
        <v>44682</v>
      </c>
      <c r="J634" s="56">
        <f>EFEITO!$J$634*EFEITO!$Y$634</f>
        <v>0</v>
      </c>
      <c r="K634" s="56">
        <f ca="1">EFEITO!$L$634*EFEITO!$Z$634</f>
        <v>4387.401480023339</v>
      </c>
      <c r="L634" s="56">
        <f>EFEITO!$N$634*EFEITO!$AA$634</f>
        <v>0</v>
      </c>
      <c r="M634" s="56">
        <f>$J$634-EFEITO!$K$634*EFEITO!$Y$634</f>
        <v>0</v>
      </c>
      <c r="N634" s="56">
        <f ca="1">$K$634-EFEITO!$M$634*EFEITO!$Z$634</f>
        <v>0</v>
      </c>
      <c r="O634" s="56">
        <f>$L$634-EFEITO!$O$634*EFEITO!$AA$634</f>
        <v>0</v>
      </c>
      <c r="P634" s="39"/>
      <c r="Q634" s="39"/>
      <c r="R634" s="39"/>
      <c r="S634" s="39"/>
      <c r="T634" s="39"/>
      <c r="U634" s="39"/>
      <c r="V634" s="39"/>
      <c r="W634" s="39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</row>
    <row r="635" spans="1:36" ht="11.25" customHeight="1" x14ac:dyDescent="0.2">
      <c r="A635" s="35" t="s">
        <v>21</v>
      </c>
      <c r="B635" s="35" t="s">
        <v>43</v>
      </c>
      <c r="C635" s="35" t="s">
        <v>41</v>
      </c>
      <c r="D635" s="35" t="s">
        <v>38</v>
      </c>
      <c r="E635" s="35" t="s">
        <v>25</v>
      </c>
      <c r="F635" s="35" t="s">
        <v>56</v>
      </c>
      <c r="G635" s="35" t="s">
        <v>25</v>
      </c>
      <c r="H635" s="35" t="s">
        <v>35</v>
      </c>
      <c r="I635" s="55">
        <v>44713</v>
      </c>
      <c r="J635" s="56">
        <f>EFEITO!$J$635*EFEITO!$Y$635</f>
        <v>0</v>
      </c>
      <c r="K635" s="56">
        <f ca="1">EFEITO!$L$635*EFEITO!$Z$635</f>
        <v>3231.7471992661635</v>
      </c>
      <c r="L635" s="56">
        <f>EFEITO!$N$635*EFEITO!$AA$635</f>
        <v>0</v>
      </c>
      <c r="M635" s="56">
        <f>$J$635-EFEITO!$K$635*EFEITO!$Y$635</f>
        <v>0</v>
      </c>
      <c r="N635" s="56">
        <f ca="1">$K$635-EFEITO!$M$635*EFEITO!$Z$635</f>
        <v>0</v>
      </c>
      <c r="O635" s="56">
        <f>$L$635-EFEITO!$O$635*EFEITO!$AA$635</f>
        <v>0</v>
      </c>
      <c r="P635" s="39"/>
      <c r="Q635" s="39"/>
      <c r="R635" s="39"/>
      <c r="S635" s="39"/>
      <c r="T635" s="39"/>
      <c r="U635" s="39"/>
      <c r="V635" s="39"/>
      <c r="W635" s="39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</row>
    <row r="636" spans="1:36" ht="11.25" customHeight="1" x14ac:dyDescent="0.2">
      <c r="A636" s="35" t="s">
        <v>21</v>
      </c>
      <c r="B636" s="35" t="s">
        <v>43</v>
      </c>
      <c r="C636" s="35" t="s">
        <v>41</v>
      </c>
      <c r="D636" s="35" t="s">
        <v>38</v>
      </c>
      <c r="E636" s="35" t="s">
        <v>25</v>
      </c>
      <c r="F636" s="35" t="s">
        <v>56</v>
      </c>
      <c r="G636" s="35" t="s">
        <v>25</v>
      </c>
      <c r="H636" s="35" t="s">
        <v>35</v>
      </c>
      <c r="I636" s="55">
        <v>44743</v>
      </c>
      <c r="J636" s="56">
        <f>EFEITO!$J$636*EFEITO!$Y$636</f>
        <v>0</v>
      </c>
      <c r="K636" s="56">
        <f ca="1">EFEITO!$L$636*EFEITO!$Z$636</f>
        <v>3040.6132143927748</v>
      </c>
      <c r="L636" s="56">
        <f>EFEITO!$N$636*EFEITO!$AA$636</f>
        <v>0</v>
      </c>
      <c r="M636" s="56">
        <f>$J$636-EFEITO!$K$636*EFEITO!$Y$636</f>
        <v>0</v>
      </c>
      <c r="N636" s="56">
        <f ca="1">$K$636-EFEITO!$M$636*EFEITO!$Z$636</f>
        <v>0</v>
      </c>
      <c r="O636" s="56">
        <f>$L$636-EFEITO!$O$636*EFEITO!$AA$636</f>
        <v>0</v>
      </c>
      <c r="P636" s="39"/>
      <c r="Q636" s="39"/>
      <c r="R636" s="39"/>
      <c r="S636" s="39"/>
      <c r="T636" s="39"/>
      <c r="U636" s="39"/>
      <c r="V636" s="39"/>
      <c r="W636" s="39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</row>
    <row r="637" spans="1:36" ht="11.25" customHeight="1" x14ac:dyDescent="0.2">
      <c r="A637" s="35" t="s">
        <v>21</v>
      </c>
      <c r="B637" s="35" t="s">
        <v>43</v>
      </c>
      <c r="C637" s="35" t="s">
        <v>41</v>
      </c>
      <c r="D637" s="35" t="s">
        <v>38</v>
      </c>
      <c r="E637" s="35" t="s">
        <v>25</v>
      </c>
      <c r="F637" s="35" t="s">
        <v>56</v>
      </c>
      <c r="G637" s="35" t="s">
        <v>25</v>
      </c>
      <c r="H637" s="35" t="s">
        <v>35</v>
      </c>
      <c r="I637" s="55">
        <v>44774</v>
      </c>
      <c r="J637" s="56">
        <f>EFEITO!$J$637*EFEITO!$Y$637</f>
        <v>0</v>
      </c>
      <c r="K637" s="56">
        <f ca="1">EFEITO!$L$637*EFEITO!$Z$637</f>
        <v>3528.9154428894376</v>
      </c>
      <c r="L637" s="56">
        <f>EFEITO!$N$637*EFEITO!$AA$637</f>
        <v>0</v>
      </c>
      <c r="M637" s="56">
        <f>$J$637-EFEITO!$K$637*EFEITO!$Y$637</f>
        <v>0</v>
      </c>
      <c r="N637" s="56">
        <f ca="1">$K$637-EFEITO!$M$637*EFEITO!$Z$637</f>
        <v>0</v>
      </c>
      <c r="O637" s="56">
        <f>$L$637-EFEITO!$O$637*EFEITO!$AA$637</f>
        <v>0</v>
      </c>
      <c r="P637" s="39"/>
      <c r="Q637" s="39"/>
      <c r="R637" s="39"/>
      <c r="S637" s="39"/>
      <c r="T637" s="39"/>
      <c r="U637" s="39"/>
      <c r="V637" s="39"/>
      <c r="W637" s="39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</row>
    <row r="638" spans="1:36" ht="11.25" customHeight="1" x14ac:dyDescent="0.2">
      <c r="A638" s="35" t="s">
        <v>21</v>
      </c>
      <c r="B638" s="35" t="s">
        <v>43</v>
      </c>
      <c r="C638" s="35" t="s">
        <v>41</v>
      </c>
      <c r="D638" s="35" t="s">
        <v>38</v>
      </c>
      <c r="E638" s="35" t="s">
        <v>25</v>
      </c>
      <c r="F638" s="35" t="s">
        <v>56</v>
      </c>
      <c r="G638" s="35" t="s">
        <v>25</v>
      </c>
      <c r="H638" s="35" t="s">
        <v>35</v>
      </c>
      <c r="I638" s="55">
        <v>44805</v>
      </c>
      <c r="J638" s="56">
        <f>EFEITO!$J$638*EFEITO!$Y$638</f>
        <v>0</v>
      </c>
      <c r="K638" s="56">
        <f ca="1">EFEITO!$L$638*EFEITO!$Z$638</f>
        <v>3909.3112186614976</v>
      </c>
      <c r="L638" s="56">
        <f>EFEITO!$N$638*EFEITO!$AA$638</f>
        <v>0</v>
      </c>
      <c r="M638" s="56">
        <f>$J$638-EFEITO!$K$638*EFEITO!$Y$638</f>
        <v>0</v>
      </c>
      <c r="N638" s="56">
        <f ca="1">$K$638-EFEITO!$M$638*EFEITO!$Z$638</f>
        <v>0</v>
      </c>
      <c r="O638" s="56">
        <f>$L$638-EFEITO!$O$638*EFEITO!$AA$638</f>
        <v>0</v>
      </c>
      <c r="P638" s="39"/>
      <c r="Q638" s="39"/>
      <c r="R638" s="39"/>
      <c r="S638" s="39"/>
      <c r="T638" s="39"/>
      <c r="U638" s="39"/>
      <c r="V638" s="39"/>
      <c r="W638" s="39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</row>
    <row r="639" spans="1:36" ht="11.25" customHeight="1" x14ac:dyDescent="0.2">
      <c r="A639" s="35" t="s">
        <v>53</v>
      </c>
      <c r="B639" s="35" t="s">
        <v>43</v>
      </c>
      <c r="C639" s="35" t="s">
        <v>41</v>
      </c>
      <c r="D639" s="35" t="s">
        <v>38</v>
      </c>
      <c r="E639" s="35" t="s">
        <v>25</v>
      </c>
      <c r="F639" s="35" t="s">
        <v>56</v>
      </c>
      <c r="G639" s="35" t="s">
        <v>25</v>
      </c>
      <c r="H639" s="35" t="s">
        <v>35</v>
      </c>
      <c r="I639" s="55">
        <v>44835</v>
      </c>
      <c r="J639" s="56">
        <f>EFEITO!$J$639*EFEITO!$Y$639</f>
        <v>0</v>
      </c>
      <c r="K639" s="56">
        <f ca="1">EFEITO!$L$639*EFEITO!$Z$639</f>
        <v>3909.3112186614976</v>
      </c>
      <c r="L639" s="56">
        <f>EFEITO!$N$639*EFEITO!$AA$639</f>
        <v>0</v>
      </c>
      <c r="M639" s="56">
        <f>$J$639-EFEITO!$K$639*EFEITO!$Y$639</f>
        <v>0</v>
      </c>
      <c r="N639" s="56">
        <f ca="1">$K$639-EFEITO!$M$639*EFEITO!$Z$639</f>
        <v>0</v>
      </c>
      <c r="O639" s="56">
        <f>$L$639-EFEITO!$O$639*EFEITO!$AA$639</f>
        <v>0</v>
      </c>
      <c r="P639" s="39"/>
      <c r="Q639" s="39"/>
      <c r="R639" s="39"/>
      <c r="S639" s="39"/>
      <c r="T639" s="39"/>
      <c r="U639" s="39"/>
      <c r="V639" s="39"/>
      <c r="W639" s="39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</row>
    <row r="640" spans="1:36" ht="11.25" customHeight="1" x14ac:dyDescent="0.2">
      <c r="A640" s="35" t="s">
        <v>21</v>
      </c>
      <c r="B640" s="35" t="s">
        <v>43</v>
      </c>
      <c r="C640" s="35" t="s">
        <v>41</v>
      </c>
      <c r="D640" s="35" t="s">
        <v>38</v>
      </c>
      <c r="E640" s="35" t="s">
        <v>25</v>
      </c>
      <c r="F640" s="35" t="s">
        <v>56</v>
      </c>
      <c r="G640" s="35" t="s">
        <v>25</v>
      </c>
      <c r="H640" s="35" t="s">
        <v>25</v>
      </c>
      <c r="I640" s="55">
        <v>44531</v>
      </c>
      <c r="J640" s="56">
        <f ca="1">EFEITO!$J$640*EFEITO!$Y$640</f>
        <v>1359.2805741972136</v>
      </c>
      <c r="K640" s="56">
        <f>EFEITO!$L$640*EFEITO!$Z$640</f>
        <v>0</v>
      </c>
      <c r="L640" s="56">
        <f>EFEITO!$N$640*EFEITO!$AA$640</f>
        <v>0</v>
      </c>
      <c r="M640" s="56">
        <f ca="1">$J$640-EFEITO!$K$640*EFEITO!$Y$640</f>
        <v>679.64028709860679</v>
      </c>
      <c r="N640" s="56">
        <f>$K$640-EFEITO!$M$640*EFEITO!$Z$640</f>
        <v>0</v>
      </c>
      <c r="O640" s="56">
        <f>$L$640-EFEITO!$O$640*EFEITO!$AA$640</f>
        <v>0</v>
      </c>
      <c r="P640" s="39"/>
      <c r="Q640" s="39"/>
      <c r="R640" s="39"/>
      <c r="S640" s="39"/>
      <c r="T640" s="39"/>
      <c r="U640" s="39"/>
      <c r="V640" s="39"/>
      <c r="W640" s="39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</row>
    <row r="641" spans="1:36" ht="11.25" customHeight="1" x14ac:dyDescent="0.2">
      <c r="A641" s="35" t="s">
        <v>21</v>
      </c>
      <c r="B641" s="35" t="s">
        <v>43</v>
      </c>
      <c r="C641" s="35" t="s">
        <v>41</v>
      </c>
      <c r="D641" s="35" t="s">
        <v>38</v>
      </c>
      <c r="E641" s="35" t="s">
        <v>25</v>
      </c>
      <c r="F641" s="35" t="s">
        <v>56</v>
      </c>
      <c r="G641" s="35" t="s">
        <v>25</v>
      </c>
      <c r="H641" s="35" t="s">
        <v>25</v>
      </c>
      <c r="I641" s="55">
        <v>44562</v>
      </c>
      <c r="J641" s="56">
        <f ca="1">EFEITO!$J$641*EFEITO!$Y$641</f>
        <v>1359.2805741972136</v>
      </c>
      <c r="K641" s="56">
        <f>EFEITO!$L$641*EFEITO!$Z$641</f>
        <v>0</v>
      </c>
      <c r="L641" s="56">
        <f>EFEITO!$N$641*EFEITO!$AA$641</f>
        <v>0</v>
      </c>
      <c r="M641" s="56">
        <f ca="1">$J$641-EFEITO!$K$641*EFEITO!$Y$641</f>
        <v>679.64028709860679</v>
      </c>
      <c r="N641" s="56">
        <f>$K$641-EFEITO!$M$641*EFEITO!$Z$641</f>
        <v>0</v>
      </c>
      <c r="O641" s="56">
        <f>$L$641-EFEITO!$O$641*EFEITO!$AA$641</f>
        <v>0</v>
      </c>
      <c r="P641" s="39"/>
      <c r="Q641" s="39"/>
      <c r="R641" s="39"/>
      <c r="S641" s="39"/>
      <c r="T641" s="39"/>
      <c r="U641" s="39"/>
      <c r="V641" s="39"/>
      <c r="W641" s="39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</row>
    <row r="642" spans="1:36" ht="11.25" customHeight="1" x14ac:dyDescent="0.2">
      <c r="A642" s="35" t="s">
        <v>21</v>
      </c>
      <c r="B642" s="35" t="s">
        <v>43</v>
      </c>
      <c r="C642" s="35" t="s">
        <v>41</v>
      </c>
      <c r="D642" s="35" t="s">
        <v>38</v>
      </c>
      <c r="E642" s="35" t="s">
        <v>25</v>
      </c>
      <c r="F642" s="35" t="s">
        <v>56</v>
      </c>
      <c r="G642" s="35" t="s">
        <v>25</v>
      </c>
      <c r="H642" s="35" t="s">
        <v>25</v>
      </c>
      <c r="I642" s="55">
        <v>44593</v>
      </c>
      <c r="J642" s="56">
        <f ca="1">EFEITO!$J$642*EFEITO!$Y$642</f>
        <v>1359.2805741972136</v>
      </c>
      <c r="K642" s="56">
        <f>EFEITO!$L$642*EFEITO!$Z$642</f>
        <v>0</v>
      </c>
      <c r="L642" s="56">
        <f>EFEITO!$N$642*EFEITO!$AA$642</f>
        <v>0</v>
      </c>
      <c r="M642" s="56">
        <f ca="1">$J$642-EFEITO!$K$642*EFEITO!$Y$642</f>
        <v>678.09270538646604</v>
      </c>
      <c r="N642" s="56">
        <f>$K$642-EFEITO!$M$642*EFEITO!$Z$642</f>
        <v>0</v>
      </c>
      <c r="O642" s="56">
        <f>$L$642-EFEITO!$O$642*EFEITO!$AA$642</f>
        <v>0</v>
      </c>
      <c r="P642" s="39"/>
      <c r="Q642" s="39"/>
      <c r="R642" s="39"/>
      <c r="S642" s="39"/>
      <c r="T642" s="39"/>
      <c r="U642" s="39"/>
      <c r="V642" s="39"/>
      <c r="W642" s="39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</row>
    <row r="643" spans="1:36" ht="11.25" customHeight="1" x14ac:dyDescent="0.2">
      <c r="A643" s="35" t="s">
        <v>21</v>
      </c>
      <c r="B643" s="35" t="s">
        <v>43</v>
      </c>
      <c r="C643" s="35" t="s">
        <v>41</v>
      </c>
      <c r="D643" s="35" t="s">
        <v>38</v>
      </c>
      <c r="E643" s="35" t="s">
        <v>25</v>
      </c>
      <c r="F643" s="35" t="s">
        <v>56</v>
      </c>
      <c r="G643" s="35" t="s">
        <v>25</v>
      </c>
      <c r="H643" s="35" t="s">
        <v>25</v>
      </c>
      <c r="I643" s="55">
        <v>44621</v>
      </c>
      <c r="J643" s="56">
        <f ca="1">EFEITO!$J$643*EFEITO!$Y$643</f>
        <v>1359.2805741972136</v>
      </c>
      <c r="K643" s="56">
        <f>EFEITO!$L$643*EFEITO!$Z$643</f>
        <v>0</v>
      </c>
      <c r="L643" s="56">
        <f>EFEITO!$N$643*EFEITO!$AA$643</f>
        <v>0</v>
      </c>
      <c r="M643" s="56">
        <f ca="1">$J$643-EFEITO!$K$643*EFEITO!$Y$643</f>
        <v>678.64295575570679</v>
      </c>
      <c r="N643" s="56">
        <f>$K$643-EFEITO!$M$643*EFEITO!$Z$643</f>
        <v>0</v>
      </c>
      <c r="O643" s="56">
        <f>$L$643-EFEITO!$O$643*EFEITO!$AA$643</f>
        <v>0</v>
      </c>
      <c r="P643" s="39"/>
      <c r="Q643" s="39"/>
      <c r="R643" s="39"/>
      <c r="S643" s="39"/>
      <c r="T643" s="39"/>
      <c r="U643" s="39"/>
      <c r="V643" s="39"/>
      <c r="W643" s="39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</row>
    <row r="644" spans="1:36" ht="11.25" customHeight="1" x14ac:dyDescent="0.2">
      <c r="A644" s="35" t="s">
        <v>21</v>
      </c>
      <c r="B644" s="35" t="s">
        <v>43</v>
      </c>
      <c r="C644" s="35" t="s">
        <v>41</v>
      </c>
      <c r="D644" s="35" t="s">
        <v>38</v>
      </c>
      <c r="E644" s="35" t="s">
        <v>25</v>
      </c>
      <c r="F644" s="35" t="s">
        <v>56</v>
      </c>
      <c r="G644" s="35" t="s">
        <v>25</v>
      </c>
      <c r="H644" s="35" t="s">
        <v>25</v>
      </c>
      <c r="I644" s="55">
        <v>44652</v>
      </c>
      <c r="J644" s="56">
        <f ca="1">EFEITO!$J$644*EFEITO!$Y$644</f>
        <v>1359.2805741972136</v>
      </c>
      <c r="K644" s="56">
        <f>EFEITO!$L$644*EFEITO!$Z$644</f>
        <v>0</v>
      </c>
      <c r="L644" s="56">
        <f>EFEITO!$N$644*EFEITO!$AA$644</f>
        <v>0</v>
      </c>
      <c r="M644" s="56">
        <f ca="1">$J$644-EFEITO!$K$644*EFEITO!$Y$644</f>
        <v>678.79198727786184</v>
      </c>
      <c r="N644" s="56">
        <f>$K$644-EFEITO!$M$644*EFEITO!$Z$644</f>
        <v>0</v>
      </c>
      <c r="O644" s="56">
        <f>$L$644-EFEITO!$O$644*EFEITO!$AA$644</f>
        <v>0</v>
      </c>
      <c r="P644" s="39"/>
      <c r="Q644" s="39"/>
      <c r="R644" s="39"/>
      <c r="S644" s="39"/>
      <c r="T644" s="39"/>
      <c r="U644" s="39"/>
      <c r="V644" s="39"/>
      <c r="W644" s="39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</row>
    <row r="645" spans="1:36" ht="11.25" customHeight="1" x14ac:dyDescent="0.2">
      <c r="A645" s="35" t="s">
        <v>21</v>
      </c>
      <c r="B645" s="35" t="s">
        <v>43</v>
      </c>
      <c r="C645" s="35" t="s">
        <v>41</v>
      </c>
      <c r="D645" s="35" t="s">
        <v>38</v>
      </c>
      <c r="E645" s="35" t="s">
        <v>25</v>
      </c>
      <c r="F645" s="35" t="s">
        <v>56</v>
      </c>
      <c r="G645" s="35" t="s">
        <v>25</v>
      </c>
      <c r="H645" s="35" t="s">
        <v>25</v>
      </c>
      <c r="I645" s="55">
        <v>44682</v>
      </c>
      <c r="J645" s="56">
        <f ca="1">EFEITO!$J$645*EFEITO!$Y$645</f>
        <v>1359.2805741972136</v>
      </c>
      <c r="K645" s="56">
        <f>EFEITO!$L$645*EFEITO!$Z$645</f>
        <v>0</v>
      </c>
      <c r="L645" s="56">
        <f>EFEITO!$N$645*EFEITO!$AA$645</f>
        <v>0</v>
      </c>
      <c r="M645" s="56">
        <f ca="1">$J$645-EFEITO!$K$645*EFEITO!$Y$645</f>
        <v>678.05831558793886</v>
      </c>
      <c r="N645" s="56">
        <f>$K$645-EFEITO!$M$645*EFEITO!$Z$645</f>
        <v>0</v>
      </c>
      <c r="O645" s="56">
        <f>$L$645-EFEITO!$O$645*EFEITO!$AA$645</f>
        <v>0</v>
      </c>
      <c r="P645" s="39"/>
      <c r="Q645" s="39"/>
      <c r="R645" s="39"/>
      <c r="S645" s="39"/>
      <c r="T645" s="39"/>
      <c r="U645" s="39"/>
      <c r="V645" s="39"/>
      <c r="W645" s="39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</row>
    <row r="646" spans="1:36" ht="11.25" customHeight="1" x14ac:dyDescent="0.2">
      <c r="A646" s="35" t="s">
        <v>21</v>
      </c>
      <c r="B646" s="35" t="s">
        <v>43</v>
      </c>
      <c r="C646" s="35" t="s">
        <v>41</v>
      </c>
      <c r="D646" s="35" t="s">
        <v>38</v>
      </c>
      <c r="E646" s="35" t="s">
        <v>25</v>
      </c>
      <c r="F646" s="35" t="s">
        <v>56</v>
      </c>
      <c r="G646" s="35" t="s">
        <v>25</v>
      </c>
      <c r="H646" s="35" t="s">
        <v>25</v>
      </c>
      <c r="I646" s="55">
        <v>44713</v>
      </c>
      <c r="J646" s="56">
        <f ca="1">EFEITO!$J$646*EFEITO!$Y$646</f>
        <v>1359.2805741972136</v>
      </c>
      <c r="K646" s="56">
        <f>EFEITO!$L$646*EFEITO!$Z$646</f>
        <v>0</v>
      </c>
      <c r="L646" s="56">
        <f>EFEITO!$N$646*EFEITO!$AA$646</f>
        <v>0</v>
      </c>
      <c r="M646" s="56">
        <f ca="1">$J$646-EFEITO!$K$646*EFEITO!$Y$646</f>
        <v>596.70140412295893</v>
      </c>
      <c r="N646" s="56">
        <f>$K$646-EFEITO!$M$646*EFEITO!$Z$646</f>
        <v>0</v>
      </c>
      <c r="O646" s="56">
        <f>$L$646-EFEITO!$O$646*EFEITO!$AA$646</f>
        <v>0</v>
      </c>
      <c r="P646" s="39"/>
      <c r="Q646" s="39"/>
      <c r="R646" s="39"/>
      <c r="S646" s="39"/>
      <c r="T646" s="39"/>
      <c r="U646" s="39"/>
      <c r="V646" s="39"/>
      <c r="W646" s="39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</row>
    <row r="647" spans="1:36" ht="11.25" customHeight="1" x14ac:dyDescent="0.2">
      <c r="A647" s="35" t="s">
        <v>21</v>
      </c>
      <c r="B647" s="35" t="s">
        <v>43</v>
      </c>
      <c r="C647" s="35" t="s">
        <v>41</v>
      </c>
      <c r="D647" s="35" t="s">
        <v>38</v>
      </c>
      <c r="E647" s="35" t="s">
        <v>25</v>
      </c>
      <c r="F647" s="35" t="s">
        <v>56</v>
      </c>
      <c r="G647" s="35" t="s">
        <v>25</v>
      </c>
      <c r="H647" s="35" t="s">
        <v>25</v>
      </c>
      <c r="I647" s="55">
        <v>44743</v>
      </c>
      <c r="J647" s="56">
        <f ca="1">EFEITO!$J$647*EFEITO!$Y$647</f>
        <v>1359.2805741972136</v>
      </c>
      <c r="K647" s="56">
        <f>EFEITO!$L$647*EFEITO!$Z$647</f>
        <v>0</v>
      </c>
      <c r="L647" s="56">
        <f>EFEITO!$N$647*EFEITO!$AA$647</f>
        <v>0</v>
      </c>
      <c r="M647" s="56">
        <f ca="1">$J$647-EFEITO!$K$647*EFEITO!$Y$647</f>
        <v>679.36515511758353</v>
      </c>
      <c r="N647" s="56">
        <f>$K$647-EFEITO!$M$647*EFEITO!$Z$647</f>
        <v>0</v>
      </c>
      <c r="O647" s="56">
        <f>$L$647-EFEITO!$O$647*EFEITO!$AA$647</f>
        <v>0</v>
      </c>
      <c r="P647" s="39"/>
      <c r="Q647" s="39"/>
      <c r="R647" s="39"/>
      <c r="S647" s="39"/>
      <c r="T647" s="39"/>
      <c r="U647" s="39"/>
      <c r="V647" s="39"/>
      <c r="W647" s="39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</row>
    <row r="648" spans="1:36" ht="11.25" customHeight="1" x14ac:dyDescent="0.2">
      <c r="A648" s="35" t="s">
        <v>21</v>
      </c>
      <c r="B648" s="35" t="s">
        <v>43</v>
      </c>
      <c r="C648" s="35" t="s">
        <v>41</v>
      </c>
      <c r="D648" s="35" t="s">
        <v>38</v>
      </c>
      <c r="E648" s="35" t="s">
        <v>25</v>
      </c>
      <c r="F648" s="35" t="s">
        <v>56</v>
      </c>
      <c r="G648" s="35" t="s">
        <v>25</v>
      </c>
      <c r="H648" s="35" t="s">
        <v>25</v>
      </c>
      <c r="I648" s="55">
        <v>44774</v>
      </c>
      <c r="J648" s="56">
        <f ca="1">EFEITO!$J$648*EFEITO!$Y$648</f>
        <v>1359.2805741972136</v>
      </c>
      <c r="K648" s="56">
        <f>EFEITO!$L$648*EFEITO!$Z$648</f>
        <v>0</v>
      </c>
      <c r="L648" s="56">
        <f>EFEITO!$N$648*EFEITO!$AA$648</f>
        <v>0</v>
      </c>
      <c r="M648" s="56">
        <f ca="1">$J$648-EFEITO!$K$648*EFEITO!$Y$648</f>
        <v>721.1842375511053</v>
      </c>
      <c r="N648" s="56">
        <f>$K$648-EFEITO!$M$648*EFEITO!$Z$648</f>
        <v>0</v>
      </c>
      <c r="O648" s="56">
        <f>$L$648-EFEITO!$O$648*EFEITO!$AA$648</f>
        <v>0</v>
      </c>
      <c r="P648" s="39"/>
      <c r="Q648" s="39"/>
      <c r="R648" s="39"/>
      <c r="S648" s="39"/>
      <c r="T648" s="39"/>
      <c r="U648" s="39"/>
      <c r="V648" s="39"/>
      <c r="W648" s="39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</row>
    <row r="649" spans="1:36" ht="11.25" customHeight="1" x14ac:dyDescent="0.2">
      <c r="A649" s="35" t="s">
        <v>21</v>
      </c>
      <c r="B649" s="35" t="s">
        <v>43</v>
      </c>
      <c r="C649" s="35" t="s">
        <v>41</v>
      </c>
      <c r="D649" s="35" t="s">
        <v>38</v>
      </c>
      <c r="E649" s="35" t="s">
        <v>25</v>
      </c>
      <c r="F649" s="35" t="s">
        <v>56</v>
      </c>
      <c r="G649" s="35" t="s">
        <v>25</v>
      </c>
      <c r="H649" s="35" t="s">
        <v>25</v>
      </c>
      <c r="I649" s="55">
        <v>44805</v>
      </c>
      <c r="J649" s="56">
        <f ca="1">EFEITO!$J$649*EFEITO!$Y$649</f>
        <v>1359.2805741972136</v>
      </c>
      <c r="K649" s="56">
        <f>EFEITO!$L$649*EFEITO!$Z$649</f>
        <v>0</v>
      </c>
      <c r="L649" s="56">
        <f>EFEITO!$N$649*EFEITO!$AA$649</f>
        <v>0</v>
      </c>
      <c r="M649" s="56">
        <f ca="1">$J$649-EFEITO!$K$649*EFEITO!$Y$649</f>
        <v>679.69760796042067</v>
      </c>
      <c r="N649" s="56">
        <f>$K$649-EFEITO!$M$649*EFEITO!$Z$649</f>
        <v>0</v>
      </c>
      <c r="O649" s="56">
        <f>$L$649-EFEITO!$O$649*EFEITO!$AA$649</f>
        <v>0</v>
      </c>
      <c r="P649" s="39"/>
      <c r="Q649" s="39"/>
      <c r="R649" s="39"/>
      <c r="S649" s="39"/>
      <c r="T649" s="39"/>
      <c r="U649" s="39"/>
      <c r="V649" s="39"/>
      <c r="W649" s="39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</row>
    <row r="650" spans="1:36" ht="11.25" customHeight="1" x14ac:dyDescent="0.2">
      <c r="A650" s="35" t="s">
        <v>53</v>
      </c>
      <c r="B650" s="35" t="s">
        <v>43</v>
      </c>
      <c r="C650" s="35" t="s">
        <v>41</v>
      </c>
      <c r="D650" s="35" t="s">
        <v>38</v>
      </c>
      <c r="E650" s="35" t="s">
        <v>25</v>
      </c>
      <c r="F650" s="35" t="s">
        <v>56</v>
      </c>
      <c r="G650" s="35" t="s">
        <v>25</v>
      </c>
      <c r="H650" s="35" t="s">
        <v>25</v>
      </c>
      <c r="I650" s="55">
        <v>44835</v>
      </c>
      <c r="J650" s="56">
        <f ca="1">EFEITO!$J$650*EFEITO!$Y$650</f>
        <v>1359.2805741972136</v>
      </c>
      <c r="K650" s="56">
        <f>EFEITO!$L$650*EFEITO!$Z$650</f>
        <v>0</v>
      </c>
      <c r="L650" s="56">
        <f>EFEITO!$N$650*EFEITO!$AA$650</f>
        <v>0</v>
      </c>
      <c r="M650" s="56">
        <f ca="1">$J$650-EFEITO!$K$650*EFEITO!$Y$650</f>
        <v>679.69760796042067</v>
      </c>
      <c r="N650" s="56">
        <f>$K$650-EFEITO!$M$650*EFEITO!$Z$650</f>
        <v>0</v>
      </c>
      <c r="O650" s="56">
        <f>$L$650-EFEITO!$O$650*EFEITO!$AA$650</f>
        <v>0</v>
      </c>
      <c r="P650" s="39"/>
      <c r="Q650" s="39"/>
      <c r="R650" s="39"/>
      <c r="S650" s="39"/>
      <c r="T650" s="39"/>
      <c r="U650" s="39"/>
      <c r="V650" s="39"/>
      <c r="W650" s="39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</row>
    <row r="651" spans="1:36" ht="11.25" customHeight="1" x14ac:dyDescent="0.2">
      <c r="A651" s="35" t="s">
        <v>21</v>
      </c>
      <c r="B651" s="35" t="s">
        <v>43</v>
      </c>
      <c r="C651" s="35" t="s">
        <v>41</v>
      </c>
      <c r="D651" s="35" t="s">
        <v>38</v>
      </c>
      <c r="E651" s="35" t="s">
        <v>25</v>
      </c>
      <c r="F651" s="35" t="s">
        <v>56</v>
      </c>
      <c r="G651" s="35" t="s">
        <v>25</v>
      </c>
      <c r="H651" s="35" t="s">
        <v>34</v>
      </c>
      <c r="I651" s="55">
        <v>44531</v>
      </c>
      <c r="J651" s="56">
        <f>EFEITO!$J$651*EFEITO!$Y$651</f>
        <v>0</v>
      </c>
      <c r="K651" s="56">
        <f ca="1">EFEITO!$L$651*EFEITO!$Z$651</f>
        <v>6708.6724763691527</v>
      </c>
      <c r="L651" s="56">
        <f>EFEITO!$N$651*EFEITO!$AA$651</f>
        <v>0</v>
      </c>
      <c r="M651" s="56">
        <f>$J$651-EFEITO!$K$651*EFEITO!$Y$651</f>
        <v>0</v>
      </c>
      <c r="N651" s="56">
        <f ca="1">$K$651-EFEITO!$M$651*EFEITO!$Z$651</f>
        <v>3150.0705115373635</v>
      </c>
      <c r="O651" s="56">
        <f>$L$651-EFEITO!$O$651*EFEITO!$AA$651</f>
        <v>0</v>
      </c>
      <c r="P651" s="39"/>
      <c r="Q651" s="39"/>
      <c r="R651" s="39"/>
      <c r="S651" s="39"/>
      <c r="T651" s="39"/>
      <c r="U651" s="39"/>
      <c r="V651" s="39"/>
      <c r="W651" s="39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</row>
    <row r="652" spans="1:36" ht="11.25" customHeight="1" x14ac:dyDescent="0.2">
      <c r="A652" s="35" t="s">
        <v>21</v>
      </c>
      <c r="B652" s="35" t="s">
        <v>43</v>
      </c>
      <c r="C652" s="35" t="s">
        <v>41</v>
      </c>
      <c r="D652" s="35" t="s">
        <v>38</v>
      </c>
      <c r="E652" s="35" t="s">
        <v>25</v>
      </c>
      <c r="F652" s="35" t="s">
        <v>56</v>
      </c>
      <c r="G652" s="35" t="s">
        <v>25</v>
      </c>
      <c r="H652" s="35" t="s">
        <v>34</v>
      </c>
      <c r="I652" s="55">
        <v>44562</v>
      </c>
      <c r="J652" s="56">
        <f>EFEITO!$J$652*EFEITO!$Y$652</f>
        <v>0</v>
      </c>
      <c r="K652" s="56">
        <f ca="1">EFEITO!$L$652*EFEITO!$Z$652</f>
        <v>7569.6785695930021</v>
      </c>
      <c r="L652" s="56">
        <f>EFEITO!$N$652*EFEITO!$AA$652</f>
        <v>0</v>
      </c>
      <c r="M652" s="56">
        <f>$J$652-EFEITO!$K$652*EFEITO!$Y$652</f>
        <v>0</v>
      </c>
      <c r="N652" s="56">
        <f ca="1">$K$652-EFEITO!$M$652*EFEITO!$Z$652</f>
        <v>3535.4461566487621</v>
      </c>
      <c r="O652" s="56">
        <f>$L$652-EFEITO!$O$652*EFEITO!$AA$652</f>
        <v>0</v>
      </c>
      <c r="P652" s="39"/>
      <c r="Q652" s="39"/>
      <c r="R652" s="39"/>
      <c r="S652" s="39"/>
      <c r="T652" s="39"/>
      <c r="U652" s="39"/>
      <c r="V652" s="39"/>
      <c r="W652" s="39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</row>
    <row r="653" spans="1:36" ht="11.25" customHeight="1" x14ac:dyDescent="0.2">
      <c r="A653" s="35" t="s">
        <v>21</v>
      </c>
      <c r="B653" s="35" t="s">
        <v>43</v>
      </c>
      <c r="C653" s="35" t="s">
        <v>41</v>
      </c>
      <c r="D653" s="35" t="s">
        <v>38</v>
      </c>
      <c r="E653" s="35" t="s">
        <v>25</v>
      </c>
      <c r="F653" s="35" t="s">
        <v>56</v>
      </c>
      <c r="G653" s="35" t="s">
        <v>25</v>
      </c>
      <c r="H653" s="35" t="s">
        <v>34</v>
      </c>
      <c r="I653" s="55">
        <v>44593</v>
      </c>
      <c r="J653" s="56">
        <f>EFEITO!$J$653*EFEITO!$Y$653</f>
        <v>0</v>
      </c>
      <c r="K653" s="56">
        <f ca="1">EFEITO!$L$653*EFEITO!$Z$653</f>
        <v>7061.7605014412138</v>
      </c>
      <c r="L653" s="56">
        <f>EFEITO!$N$653*EFEITO!$AA$653</f>
        <v>0</v>
      </c>
      <c r="M653" s="56">
        <f>$J$653-EFEITO!$K$653*EFEITO!$Y$653</f>
        <v>0</v>
      </c>
      <c r="N653" s="56">
        <f ca="1">$K$653-EFEITO!$M$653*EFEITO!$Z$653</f>
        <v>3290.9841254620724</v>
      </c>
      <c r="O653" s="56">
        <f>$L$653-EFEITO!$O$653*EFEITO!$AA$653</f>
        <v>0</v>
      </c>
      <c r="P653" s="39"/>
      <c r="Q653" s="39"/>
      <c r="R653" s="39"/>
      <c r="S653" s="39"/>
      <c r="T653" s="39"/>
      <c r="U653" s="39"/>
      <c r="V653" s="39"/>
      <c r="W653" s="39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</row>
    <row r="654" spans="1:36" ht="11.25" customHeight="1" x14ac:dyDescent="0.2">
      <c r="A654" s="35" t="s">
        <v>21</v>
      </c>
      <c r="B654" s="35" t="s">
        <v>43</v>
      </c>
      <c r="C654" s="35" t="s">
        <v>41</v>
      </c>
      <c r="D654" s="35" t="s">
        <v>38</v>
      </c>
      <c r="E654" s="35" t="s">
        <v>25</v>
      </c>
      <c r="F654" s="35" t="s">
        <v>56</v>
      </c>
      <c r="G654" s="35" t="s">
        <v>25</v>
      </c>
      <c r="H654" s="35" t="s">
        <v>34</v>
      </c>
      <c r="I654" s="55">
        <v>44621</v>
      </c>
      <c r="J654" s="56">
        <f>EFEITO!$J$654*EFEITO!$Y$654</f>
        <v>0</v>
      </c>
      <c r="K654" s="56">
        <f ca="1">EFEITO!$L$654*EFEITO!$Z$654</f>
        <v>6510.4144943768197</v>
      </c>
      <c r="L654" s="56">
        <f>EFEITO!$N$654*EFEITO!$AA$654</f>
        <v>0</v>
      </c>
      <c r="M654" s="56">
        <f>$J$654-EFEITO!$K$654*EFEITO!$Y$654</f>
        <v>0</v>
      </c>
      <c r="N654" s="56">
        <f ca="1">$K$654-EFEITO!$M$654*EFEITO!$Z$654</f>
        <v>3035.9229453556504</v>
      </c>
      <c r="O654" s="56">
        <f>$L$654-EFEITO!$O$654*EFEITO!$AA$654</f>
        <v>0</v>
      </c>
      <c r="P654" s="39"/>
      <c r="Q654" s="39"/>
      <c r="R654" s="39"/>
      <c r="S654" s="39"/>
      <c r="T654" s="39"/>
      <c r="U654" s="39"/>
      <c r="V654" s="39"/>
      <c r="W654" s="39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</row>
    <row r="655" spans="1:36" ht="11.25" customHeight="1" x14ac:dyDescent="0.2">
      <c r="A655" s="35" t="s">
        <v>21</v>
      </c>
      <c r="B655" s="35" t="s">
        <v>43</v>
      </c>
      <c r="C655" s="35" t="s">
        <v>41</v>
      </c>
      <c r="D655" s="35" t="s">
        <v>38</v>
      </c>
      <c r="E655" s="35" t="s">
        <v>25</v>
      </c>
      <c r="F655" s="35" t="s">
        <v>56</v>
      </c>
      <c r="G655" s="35" t="s">
        <v>25</v>
      </c>
      <c r="H655" s="35" t="s">
        <v>34</v>
      </c>
      <c r="I655" s="55">
        <v>44652</v>
      </c>
      <c r="J655" s="56">
        <f>EFEITO!$J$655*EFEITO!$Y$655</f>
        <v>0</v>
      </c>
      <c r="K655" s="56">
        <f ca="1">EFEITO!$L$655*EFEITO!$Z$655</f>
        <v>7873.6741419812461</v>
      </c>
      <c r="L655" s="56">
        <f>EFEITO!$N$655*EFEITO!$AA$655</f>
        <v>0</v>
      </c>
      <c r="M655" s="56">
        <f>$J$655-EFEITO!$K$655*EFEITO!$Y$655</f>
        <v>0</v>
      </c>
      <c r="N655" s="56">
        <f ca="1">$K$655-EFEITO!$M$655*EFEITO!$Z$655</f>
        <v>3672.9392290843916</v>
      </c>
      <c r="O655" s="56">
        <f>$L$655-EFEITO!$O$655*EFEITO!$AA$655</f>
        <v>0</v>
      </c>
      <c r="P655" s="39"/>
      <c r="Q655" s="39"/>
      <c r="R655" s="39"/>
      <c r="S655" s="39"/>
      <c r="T655" s="39"/>
      <c r="U655" s="39"/>
      <c r="V655" s="39"/>
      <c r="W655" s="39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</row>
    <row r="656" spans="1:36" ht="11.25" customHeight="1" x14ac:dyDescent="0.2">
      <c r="A656" s="35" t="s">
        <v>21</v>
      </c>
      <c r="B656" s="35" t="s">
        <v>43</v>
      </c>
      <c r="C656" s="35" t="s">
        <v>41</v>
      </c>
      <c r="D656" s="35" t="s">
        <v>38</v>
      </c>
      <c r="E656" s="35" t="s">
        <v>25</v>
      </c>
      <c r="F656" s="35" t="s">
        <v>56</v>
      </c>
      <c r="G656" s="35" t="s">
        <v>25</v>
      </c>
      <c r="H656" s="35" t="s">
        <v>34</v>
      </c>
      <c r="I656" s="55">
        <v>44682</v>
      </c>
      <c r="J656" s="56">
        <f>EFEITO!$J$656*EFEITO!$Y$656</f>
        <v>0</v>
      </c>
      <c r="K656" s="56">
        <f ca="1">EFEITO!$L$656*EFEITO!$Z$656</f>
        <v>6178.0963531325269</v>
      </c>
      <c r="L656" s="56">
        <f>EFEITO!$N$656*EFEITO!$AA$656</f>
        <v>0</v>
      </c>
      <c r="M656" s="56">
        <f>$J$656-EFEITO!$K$656*EFEITO!$Y$656</f>
        <v>0</v>
      </c>
      <c r="N656" s="56">
        <f ca="1">$K$656-EFEITO!$M$656*EFEITO!$Z$656</f>
        <v>2878.6726280448111</v>
      </c>
      <c r="O656" s="56">
        <f>$L$656-EFEITO!$O$656*EFEITO!$AA$656</f>
        <v>0</v>
      </c>
      <c r="P656" s="39"/>
      <c r="Q656" s="39"/>
      <c r="R656" s="39"/>
      <c r="S656" s="39"/>
      <c r="T656" s="39"/>
      <c r="U656" s="39"/>
      <c r="V656" s="39"/>
      <c r="W656" s="39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</row>
    <row r="657" spans="1:36" ht="11.25" customHeight="1" x14ac:dyDescent="0.2">
      <c r="A657" s="35" t="s">
        <v>21</v>
      </c>
      <c r="B657" s="35" t="s">
        <v>43</v>
      </c>
      <c r="C657" s="35" t="s">
        <v>41</v>
      </c>
      <c r="D657" s="35" t="s">
        <v>38</v>
      </c>
      <c r="E657" s="35" t="s">
        <v>25</v>
      </c>
      <c r="F657" s="35" t="s">
        <v>56</v>
      </c>
      <c r="G657" s="35" t="s">
        <v>25</v>
      </c>
      <c r="H657" s="35" t="s">
        <v>34</v>
      </c>
      <c r="I657" s="55">
        <v>44713</v>
      </c>
      <c r="J657" s="56">
        <f>EFEITO!$J$657*EFEITO!$Y$657</f>
        <v>0</v>
      </c>
      <c r="K657" s="56">
        <f ca="1">EFEITO!$L$657*EFEITO!$Z$657</f>
        <v>5011.2065162633635</v>
      </c>
      <c r="L657" s="56">
        <f>EFEITO!$N$657*EFEITO!$AA$657</f>
        <v>0</v>
      </c>
      <c r="M657" s="56">
        <f>$J$657-EFEITO!$K$657*EFEITO!$Y$657</f>
        <v>0</v>
      </c>
      <c r="N657" s="56">
        <f ca="1">$K$657-EFEITO!$M$657*EFEITO!$Z$657</f>
        <v>1974.0945499665941</v>
      </c>
      <c r="O657" s="56">
        <f>$L$657-EFEITO!$O$657*EFEITO!$AA$657</f>
        <v>0</v>
      </c>
      <c r="P657" s="39"/>
      <c r="Q657" s="39"/>
      <c r="R657" s="39"/>
      <c r="S657" s="39"/>
      <c r="T657" s="39"/>
      <c r="U657" s="39"/>
      <c r="V657" s="39"/>
      <c r="W657" s="39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</row>
    <row r="658" spans="1:36" ht="11.25" customHeight="1" x14ac:dyDescent="0.2">
      <c r="A658" s="35" t="s">
        <v>21</v>
      </c>
      <c r="B658" s="35" t="s">
        <v>43</v>
      </c>
      <c r="C658" s="35" t="s">
        <v>41</v>
      </c>
      <c r="D658" s="35" t="s">
        <v>38</v>
      </c>
      <c r="E658" s="35" t="s">
        <v>25</v>
      </c>
      <c r="F658" s="35" t="s">
        <v>56</v>
      </c>
      <c r="G658" s="35" t="s">
        <v>25</v>
      </c>
      <c r="H658" s="35" t="s">
        <v>34</v>
      </c>
      <c r="I658" s="55">
        <v>44743</v>
      </c>
      <c r="J658" s="56">
        <f>EFEITO!$J$658*EFEITO!$Y$658</f>
        <v>0</v>
      </c>
      <c r="K658" s="56">
        <f ca="1">EFEITO!$L$658*EFEITO!$Z$658</f>
        <v>5205.6881557415581</v>
      </c>
      <c r="L658" s="56">
        <f>EFEITO!$N$658*EFEITO!$AA$658</f>
        <v>0</v>
      </c>
      <c r="M658" s="56">
        <f>$J$658-EFEITO!$K$658*EFEITO!$Y$658</f>
        <v>0</v>
      </c>
      <c r="N658" s="56">
        <f ca="1">$K$658-EFEITO!$M$658*EFEITO!$Z$658</f>
        <v>2430.632885999838</v>
      </c>
      <c r="O658" s="56">
        <f>$L$658-EFEITO!$O$658*EFEITO!$AA$658</f>
        <v>0</v>
      </c>
      <c r="P658" s="39"/>
      <c r="Q658" s="39"/>
      <c r="R658" s="39"/>
      <c r="S658" s="39"/>
      <c r="T658" s="39"/>
      <c r="U658" s="39"/>
      <c r="V658" s="39"/>
      <c r="W658" s="39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</row>
    <row r="659" spans="1:36" ht="11.25" customHeight="1" x14ac:dyDescent="0.2">
      <c r="A659" s="35" t="s">
        <v>21</v>
      </c>
      <c r="B659" s="35" t="s">
        <v>43</v>
      </c>
      <c r="C659" s="35" t="s">
        <v>41</v>
      </c>
      <c r="D659" s="35" t="s">
        <v>38</v>
      </c>
      <c r="E659" s="35" t="s">
        <v>25</v>
      </c>
      <c r="F659" s="35" t="s">
        <v>56</v>
      </c>
      <c r="G659" s="35" t="s">
        <v>25</v>
      </c>
      <c r="H659" s="35" t="s">
        <v>34</v>
      </c>
      <c r="I659" s="55">
        <v>44774</v>
      </c>
      <c r="J659" s="56">
        <f>EFEITO!$J$659*EFEITO!$Y$659</f>
        <v>0</v>
      </c>
      <c r="K659" s="56">
        <f ca="1">EFEITO!$L$659*EFEITO!$Z$659</f>
        <v>5466.2557892171963</v>
      </c>
      <c r="L659" s="56">
        <f>EFEITO!$N$659*EFEITO!$AA$659</f>
        <v>0</v>
      </c>
      <c r="M659" s="56">
        <f>$J$659-EFEITO!$K$659*EFEITO!$Y$659</f>
        <v>0</v>
      </c>
      <c r="N659" s="56">
        <f ca="1">$K$659-EFEITO!$M$659*EFEITO!$Z$659</f>
        <v>2696.028416567181</v>
      </c>
      <c r="O659" s="56">
        <f>$L$659-EFEITO!$O$659*EFEITO!$AA$659</f>
        <v>0</v>
      </c>
      <c r="P659" s="39"/>
      <c r="Q659" s="39"/>
      <c r="R659" s="39"/>
      <c r="S659" s="39"/>
      <c r="T659" s="39"/>
      <c r="U659" s="39"/>
      <c r="V659" s="39"/>
      <c r="W659" s="39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</row>
    <row r="660" spans="1:36" ht="11.25" customHeight="1" x14ac:dyDescent="0.2">
      <c r="A660" s="35" t="s">
        <v>21</v>
      </c>
      <c r="B660" s="35" t="s">
        <v>43</v>
      </c>
      <c r="C660" s="35" t="s">
        <v>41</v>
      </c>
      <c r="D660" s="35" t="s">
        <v>38</v>
      </c>
      <c r="E660" s="35" t="s">
        <v>25</v>
      </c>
      <c r="F660" s="35" t="s">
        <v>56</v>
      </c>
      <c r="G660" s="35" t="s">
        <v>25</v>
      </c>
      <c r="H660" s="35" t="s">
        <v>34</v>
      </c>
      <c r="I660" s="55">
        <v>44805</v>
      </c>
      <c r="J660" s="56">
        <f>EFEITO!$J$660*EFEITO!$Y$660</f>
        <v>0</v>
      </c>
      <c r="K660" s="56">
        <f ca="1">EFEITO!$L$660*EFEITO!$Z$660</f>
        <v>6261.1758884436003</v>
      </c>
      <c r="L660" s="56">
        <f>EFEITO!$N$660*EFEITO!$AA$660</f>
        <v>0</v>
      </c>
      <c r="M660" s="56">
        <f>$J$660-EFEITO!$K$660*EFEITO!$Y$660</f>
        <v>0</v>
      </c>
      <c r="N660" s="56">
        <f ca="1">$K$660-EFEITO!$M$660*EFEITO!$Z$660</f>
        <v>2924.2843901091446</v>
      </c>
      <c r="O660" s="56">
        <f>$L$660-EFEITO!$O$660*EFEITO!$AA$660</f>
        <v>0</v>
      </c>
      <c r="P660" s="39"/>
      <c r="Q660" s="39"/>
      <c r="R660" s="39"/>
      <c r="S660" s="39"/>
      <c r="T660" s="39"/>
      <c r="U660" s="39"/>
      <c r="V660" s="39"/>
      <c r="W660" s="39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</row>
    <row r="661" spans="1:36" ht="11.25" customHeight="1" x14ac:dyDescent="0.2">
      <c r="A661" s="35" t="s">
        <v>53</v>
      </c>
      <c r="B661" s="35" t="s">
        <v>43</v>
      </c>
      <c r="C661" s="35" t="s">
        <v>41</v>
      </c>
      <c r="D661" s="35" t="s">
        <v>38</v>
      </c>
      <c r="E661" s="35" t="s">
        <v>25</v>
      </c>
      <c r="F661" s="35" t="s">
        <v>56</v>
      </c>
      <c r="G661" s="35" t="s">
        <v>25</v>
      </c>
      <c r="H661" s="35" t="s">
        <v>34</v>
      </c>
      <c r="I661" s="55">
        <v>44835</v>
      </c>
      <c r="J661" s="56">
        <f>EFEITO!$J$661*EFEITO!$Y$661</f>
        <v>0</v>
      </c>
      <c r="K661" s="56">
        <f ca="1">EFEITO!$L$661*EFEITO!$Z$661</f>
        <v>6261.1758884436003</v>
      </c>
      <c r="L661" s="56">
        <f>EFEITO!$N$661*EFEITO!$AA$661</f>
        <v>0</v>
      </c>
      <c r="M661" s="56">
        <f>$J$661-EFEITO!$K$661*EFEITO!$Y$661</f>
        <v>0</v>
      </c>
      <c r="N661" s="56">
        <f ca="1">$K$661-EFEITO!$M$661*EFEITO!$Z$661</f>
        <v>2924.2843901091446</v>
      </c>
      <c r="O661" s="56">
        <f>$L$661-EFEITO!$O$661*EFEITO!$AA$661</f>
        <v>0</v>
      </c>
      <c r="P661" s="39"/>
      <c r="Q661" s="39"/>
      <c r="R661" s="39"/>
      <c r="S661" s="39"/>
      <c r="T661" s="39"/>
      <c r="U661" s="39"/>
      <c r="V661" s="39"/>
      <c r="W661" s="39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</row>
    <row r="662" spans="1:36" ht="11.25" customHeight="1" x14ac:dyDescent="0.2">
      <c r="A662" s="35" t="s">
        <v>21</v>
      </c>
      <c r="B662" s="35" t="s">
        <v>22</v>
      </c>
      <c r="C662" s="35" t="s">
        <v>33</v>
      </c>
      <c r="D662" s="35" t="s">
        <v>24</v>
      </c>
      <c r="E662" s="35" t="s">
        <v>24</v>
      </c>
      <c r="F662" s="35" t="s">
        <v>25</v>
      </c>
      <c r="G662" s="35" t="s">
        <v>25</v>
      </c>
      <c r="H662" s="35" t="s">
        <v>35</v>
      </c>
      <c r="I662" s="55">
        <v>44501</v>
      </c>
      <c r="J662" s="56">
        <f>EFEITO!$J$662*EFEITO!$Y$662</f>
        <v>0</v>
      </c>
      <c r="K662" s="56">
        <f ca="1">EFEITO!$L$662*EFEITO!$Z$662</f>
        <v>3538.0297244071789</v>
      </c>
      <c r="L662" s="56">
        <f>EFEITO!$N$662*EFEITO!$AA$662</f>
        <v>3671.2445342919427</v>
      </c>
      <c r="M662" s="56">
        <f>$J$662-EFEITO!$K$662*EFEITO!$Y$662</f>
        <v>0</v>
      </c>
      <c r="N662" s="56">
        <f ca="1">$K$662-EFEITO!$M$662*EFEITO!$Z$662</f>
        <v>0</v>
      </c>
      <c r="O662" s="56">
        <f>$L$662-EFEITO!$O$662*EFEITO!$AA$662</f>
        <v>0</v>
      </c>
      <c r="P662" s="39"/>
      <c r="Q662" s="39"/>
      <c r="R662" s="39"/>
      <c r="S662" s="39"/>
      <c r="T662" s="39"/>
      <c r="U662" s="39"/>
      <c r="V662" s="39"/>
      <c r="W662" s="39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</row>
    <row r="663" spans="1:36" ht="11.25" customHeight="1" x14ac:dyDescent="0.2">
      <c r="A663" s="35" t="s">
        <v>21</v>
      </c>
      <c r="B663" s="35" t="s">
        <v>22</v>
      </c>
      <c r="C663" s="35" t="s">
        <v>33</v>
      </c>
      <c r="D663" s="35" t="s">
        <v>24</v>
      </c>
      <c r="E663" s="35" t="s">
        <v>24</v>
      </c>
      <c r="F663" s="35" t="s">
        <v>25</v>
      </c>
      <c r="G663" s="35" t="s">
        <v>25</v>
      </c>
      <c r="H663" s="35" t="s">
        <v>35</v>
      </c>
      <c r="I663" s="55">
        <v>44531</v>
      </c>
      <c r="J663" s="56">
        <f>EFEITO!$J$663*EFEITO!$Y$663</f>
        <v>0</v>
      </c>
      <c r="K663" s="56">
        <f ca="1">EFEITO!$L$663*EFEITO!$Z$663</f>
        <v>3498.2409458261181</v>
      </c>
      <c r="L663" s="56">
        <f>EFEITO!$N$663*EFEITO!$AA$663</f>
        <v>3629.9576183329909</v>
      </c>
      <c r="M663" s="56">
        <f>$J$663-EFEITO!$K$663*EFEITO!$Y$663</f>
        <v>0</v>
      </c>
      <c r="N663" s="56">
        <f ca="1">$K$663-EFEITO!$M$663*EFEITO!$Z$663</f>
        <v>0</v>
      </c>
      <c r="O663" s="56">
        <f>$L$663-EFEITO!$O$663*EFEITO!$AA$663</f>
        <v>0</v>
      </c>
      <c r="P663" s="39"/>
      <c r="Q663" s="39"/>
      <c r="R663" s="39"/>
      <c r="S663" s="39"/>
      <c r="T663" s="39"/>
      <c r="U663" s="39"/>
      <c r="V663" s="39"/>
      <c r="W663" s="39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</row>
    <row r="664" spans="1:36" ht="11.25" customHeight="1" x14ac:dyDescent="0.2">
      <c r="A664" s="35" t="s">
        <v>28</v>
      </c>
      <c r="B664" s="35" t="s">
        <v>22</v>
      </c>
      <c r="C664" s="35" t="s">
        <v>33</v>
      </c>
      <c r="D664" s="35" t="s">
        <v>24</v>
      </c>
      <c r="E664" s="35" t="s">
        <v>24</v>
      </c>
      <c r="F664" s="35" t="s">
        <v>25</v>
      </c>
      <c r="G664" s="35" t="s">
        <v>25</v>
      </c>
      <c r="H664" s="35" t="s">
        <v>35</v>
      </c>
      <c r="I664" s="55">
        <v>44531</v>
      </c>
      <c r="J664" s="56">
        <f>EFEITO!$J$664*EFEITO!$Y$664</f>
        <v>0</v>
      </c>
      <c r="K664" s="56">
        <f ca="1">EFEITO!$L$664*EFEITO!$Z$664</f>
        <v>17.587793430758527</v>
      </c>
      <c r="L664" s="56">
        <f>EFEITO!$N$664*EFEITO!$AA$664</f>
        <v>18.250013576058063</v>
      </c>
      <c r="M664" s="56">
        <f>$J$664-EFEITO!$K$664*EFEITO!$Y$664</f>
        <v>0</v>
      </c>
      <c r="N664" s="56">
        <f ca="1">$K$664-EFEITO!$M$664*EFEITO!$Z$664</f>
        <v>0</v>
      </c>
      <c r="O664" s="56">
        <f>$L$664-EFEITO!$O$664*EFEITO!$AA$664</f>
        <v>0</v>
      </c>
      <c r="P664" s="39"/>
      <c r="Q664" s="39"/>
      <c r="R664" s="39"/>
      <c r="S664" s="39"/>
      <c r="T664" s="39"/>
      <c r="U664" s="39"/>
      <c r="V664" s="39"/>
      <c r="W664" s="39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</row>
    <row r="665" spans="1:36" ht="11.25" customHeight="1" x14ac:dyDescent="0.2">
      <c r="A665" s="35" t="s">
        <v>21</v>
      </c>
      <c r="B665" s="35" t="s">
        <v>22</v>
      </c>
      <c r="C665" s="35" t="s">
        <v>33</v>
      </c>
      <c r="D665" s="35" t="s">
        <v>24</v>
      </c>
      <c r="E665" s="35" t="s">
        <v>24</v>
      </c>
      <c r="F665" s="35" t="s">
        <v>25</v>
      </c>
      <c r="G665" s="35" t="s">
        <v>25</v>
      </c>
      <c r="H665" s="35" t="s">
        <v>35</v>
      </c>
      <c r="I665" s="55">
        <v>44562</v>
      </c>
      <c r="J665" s="56">
        <f>EFEITO!$J$665*EFEITO!$Y$665</f>
        <v>0</v>
      </c>
      <c r="K665" s="56">
        <f ca="1">EFEITO!$L$665*EFEITO!$Z$665</f>
        <v>3928.7093981559951</v>
      </c>
      <c r="L665" s="56">
        <f>EFEITO!$N$665*EFEITO!$AA$665</f>
        <v>4076.6341801207727</v>
      </c>
      <c r="M665" s="56">
        <f>$J$665-EFEITO!$K$665*EFEITO!$Y$665</f>
        <v>0</v>
      </c>
      <c r="N665" s="56">
        <f ca="1">$K$665-EFEITO!$M$665*EFEITO!$Z$665</f>
        <v>0</v>
      </c>
      <c r="O665" s="56">
        <f>$L$665-EFEITO!$O$665*EFEITO!$AA$665</f>
        <v>0</v>
      </c>
      <c r="P665" s="39"/>
      <c r="Q665" s="39"/>
      <c r="R665" s="39"/>
      <c r="S665" s="39"/>
      <c r="T665" s="39"/>
      <c r="U665" s="39"/>
      <c r="V665" s="39"/>
      <c r="W665" s="39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</row>
    <row r="666" spans="1:36" ht="11.25" customHeight="1" x14ac:dyDescent="0.2">
      <c r="A666" s="35" t="s">
        <v>21</v>
      </c>
      <c r="B666" s="35" t="s">
        <v>22</v>
      </c>
      <c r="C666" s="35" t="s">
        <v>33</v>
      </c>
      <c r="D666" s="35" t="s">
        <v>24</v>
      </c>
      <c r="E666" s="35" t="s">
        <v>24</v>
      </c>
      <c r="F666" s="35" t="s">
        <v>25</v>
      </c>
      <c r="G666" s="35" t="s">
        <v>25</v>
      </c>
      <c r="H666" s="35" t="s">
        <v>35</v>
      </c>
      <c r="I666" s="55">
        <v>44593</v>
      </c>
      <c r="J666" s="56">
        <f>EFEITO!$J$666*EFEITO!$Y$666</f>
        <v>0</v>
      </c>
      <c r="K666" s="56">
        <f ca="1">EFEITO!$L$666*EFEITO!$Z$666</f>
        <v>3623.3737712187285</v>
      </c>
      <c r="L666" s="56">
        <f>EFEITO!$N$666*EFEITO!$AA$666</f>
        <v>3759.8019772183879</v>
      </c>
      <c r="M666" s="56">
        <f>$J$666-EFEITO!$K$666*EFEITO!$Y$666</f>
        <v>0</v>
      </c>
      <c r="N666" s="56">
        <f ca="1">$K$666-EFEITO!$M$666*EFEITO!$Z$666</f>
        <v>0</v>
      </c>
      <c r="O666" s="56">
        <f>$L$666-EFEITO!$O$666*EFEITO!$AA$666</f>
        <v>0</v>
      </c>
      <c r="P666" s="39"/>
      <c r="Q666" s="39"/>
      <c r="R666" s="39"/>
      <c r="S666" s="39"/>
      <c r="T666" s="39"/>
      <c r="U666" s="39"/>
      <c r="V666" s="39"/>
      <c r="W666" s="39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</row>
    <row r="667" spans="1:36" ht="11.25" customHeight="1" x14ac:dyDescent="0.2">
      <c r="A667" s="35" t="s">
        <v>28</v>
      </c>
      <c r="B667" s="35" t="s">
        <v>22</v>
      </c>
      <c r="C667" s="35" t="s">
        <v>33</v>
      </c>
      <c r="D667" s="35" t="s">
        <v>24</v>
      </c>
      <c r="E667" s="35" t="s">
        <v>24</v>
      </c>
      <c r="F667" s="35" t="s">
        <v>25</v>
      </c>
      <c r="G667" s="35" t="s">
        <v>25</v>
      </c>
      <c r="H667" s="35" t="s">
        <v>35</v>
      </c>
      <c r="I667" s="55">
        <v>44593</v>
      </c>
      <c r="J667" s="56">
        <f>EFEITO!$J$667*EFEITO!$Y$667</f>
        <v>0</v>
      </c>
      <c r="K667" s="56">
        <f ca="1">EFEITO!$L$667*EFEITO!$Z$667</f>
        <v>3.7482182721288666</v>
      </c>
      <c r="L667" s="56">
        <f>EFEITO!$N$667*EFEITO!$AA$667</f>
        <v>3.8893471555533572</v>
      </c>
      <c r="M667" s="56">
        <f>$J$667-EFEITO!$K$667*EFEITO!$Y$667</f>
        <v>0</v>
      </c>
      <c r="N667" s="56">
        <f ca="1">$K$667-EFEITO!$M$667*EFEITO!$Z$667</f>
        <v>0</v>
      </c>
      <c r="O667" s="56">
        <f>$L$667-EFEITO!$O$667*EFEITO!$AA$667</f>
        <v>0</v>
      </c>
      <c r="P667" s="39"/>
      <c r="Q667" s="39"/>
      <c r="R667" s="39"/>
      <c r="S667" s="39"/>
      <c r="T667" s="39"/>
      <c r="U667" s="39"/>
      <c r="V667" s="39"/>
      <c r="W667" s="39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</row>
    <row r="668" spans="1:36" ht="11.25" customHeight="1" x14ac:dyDescent="0.2">
      <c r="A668" s="35" t="s">
        <v>21</v>
      </c>
      <c r="B668" s="35" t="s">
        <v>22</v>
      </c>
      <c r="C668" s="35" t="s">
        <v>33</v>
      </c>
      <c r="D668" s="35" t="s">
        <v>24</v>
      </c>
      <c r="E668" s="35" t="s">
        <v>24</v>
      </c>
      <c r="F668" s="35" t="s">
        <v>25</v>
      </c>
      <c r="G668" s="35" t="s">
        <v>25</v>
      </c>
      <c r="H668" s="35" t="s">
        <v>35</v>
      </c>
      <c r="I668" s="55">
        <v>44621</v>
      </c>
      <c r="J668" s="56">
        <f>EFEITO!$J$668*EFEITO!$Y$668</f>
        <v>0</v>
      </c>
      <c r="K668" s="56">
        <f ca="1">EFEITO!$L$668*EFEITO!$Z$668</f>
        <v>3873.3510975214763</v>
      </c>
      <c r="L668" s="56">
        <f>EFEITO!$N$668*EFEITO!$AA$668</f>
        <v>4019.191514438754</v>
      </c>
      <c r="M668" s="56">
        <f>$J$668-EFEITO!$K$668*EFEITO!$Y$668</f>
        <v>0</v>
      </c>
      <c r="N668" s="56">
        <f ca="1">$K$668-EFEITO!$M$668*EFEITO!$Z$668</f>
        <v>0</v>
      </c>
      <c r="O668" s="56">
        <f>$L$668-EFEITO!$O$668*EFEITO!$AA$668</f>
        <v>0</v>
      </c>
      <c r="P668" s="39"/>
      <c r="Q668" s="39"/>
      <c r="R668" s="39"/>
      <c r="S668" s="39"/>
      <c r="T668" s="39"/>
      <c r="U668" s="39"/>
      <c r="V668" s="39"/>
      <c r="W668" s="39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</row>
    <row r="669" spans="1:36" ht="11.25" customHeight="1" x14ac:dyDescent="0.2">
      <c r="A669" s="35" t="s">
        <v>21</v>
      </c>
      <c r="B669" s="35" t="s">
        <v>22</v>
      </c>
      <c r="C669" s="35" t="s">
        <v>33</v>
      </c>
      <c r="D669" s="35" t="s">
        <v>24</v>
      </c>
      <c r="E669" s="35" t="s">
        <v>24</v>
      </c>
      <c r="F669" s="35" t="s">
        <v>25</v>
      </c>
      <c r="G669" s="35" t="s">
        <v>25</v>
      </c>
      <c r="H669" s="35" t="s">
        <v>35</v>
      </c>
      <c r="I669" s="55">
        <v>44652</v>
      </c>
      <c r="J669" s="56">
        <f>EFEITO!$J$669*EFEITO!$Y$669</f>
        <v>0</v>
      </c>
      <c r="K669" s="56">
        <f ca="1">EFEITO!$L$669*EFEITO!$Z$669</f>
        <v>2946.9645353407036</v>
      </c>
      <c r="L669" s="56">
        <f>EFEITO!$N$669*EFEITO!$AA$669</f>
        <v>3057.9244059162206</v>
      </c>
      <c r="M669" s="56">
        <f>$J$669-EFEITO!$K$669*EFEITO!$Y$669</f>
        <v>0</v>
      </c>
      <c r="N669" s="56">
        <f ca="1">$K$669-EFEITO!$M$669*EFEITO!$Z$669</f>
        <v>0</v>
      </c>
      <c r="O669" s="56">
        <f>$L$669-EFEITO!$O$669*EFEITO!$AA$669</f>
        <v>0</v>
      </c>
      <c r="P669" s="39"/>
      <c r="Q669" s="39"/>
      <c r="R669" s="39"/>
      <c r="S669" s="39"/>
      <c r="T669" s="39"/>
      <c r="U669" s="39"/>
      <c r="V669" s="39"/>
      <c r="W669" s="39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</row>
    <row r="670" spans="1:36" ht="11.25" customHeight="1" x14ac:dyDescent="0.2">
      <c r="A670" s="35" t="s">
        <v>28</v>
      </c>
      <c r="B670" s="35" t="s">
        <v>22</v>
      </c>
      <c r="C670" s="35" t="s">
        <v>33</v>
      </c>
      <c r="D670" s="35" t="s">
        <v>24</v>
      </c>
      <c r="E670" s="35" t="s">
        <v>24</v>
      </c>
      <c r="F670" s="35" t="s">
        <v>25</v>
      </c>
      <c r="G670" s="35" t="s">
        <v>25</v>
      </c>
      <c r="H670" s="35" t="s">
        <v>35</v>
      </c>
      <c r="I670" s="55">
        <v>44652</v>
      </c>
      <c r="J670" s="56">
        <f>EFEITO!$J$670*EFEITO!$Y$670</f>
        <v>0</v>
      </c>
      <c r="K670" s="56">
        <f ca="1">EFEITO!$L$670*EFEITO!$Z$670</f>
        <v>3.7482182721288666</v>
      </c>
      <c r="L670" s="56">
        <f>EFEITO!$N$670*EFEITO!$AA$670</f>
        <v>3.8893471555533572</v>
      </c>
      <c r="M670" s="56">
        <f>$J$670-EFEITO!$K$670*EFEITO!$Y$670</f>
        <v>0</v>
      </c>
      <c r="N670" s="56">
        <f ca="1">$K$670-EFEITO!$M$670*EFEITO!$Z$670</f>
        <v>0</v>
      </c>
      <c r="O670" s="56">
        <f>$L$670-EFEITO!$O$670*EFEITO!$AA$670</f>
        <v>0</v>
      </c>
      <c r="P670" s="39"/>
      <c r="Q670" s="39"/>
      <c r="R670" s="39"/>
      <c r="S670" s="39"/>
      <c r="T670" s="39"/>
      <c r="U670" s="39"/>
      <c r="V670" s="39"/>
      <c r="W670" s="39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</row>
    <row r="671" spans="1:36" ht="11.25" customHeight="1" x14ac:dyDescent="0.2">
      <c r="A671" s="35" t="s">
        <v>21</v>
      </c>
      <c r="B671" s="35" t="s">
        <v>22</v>
      </c>
      <c r="C671" s="35" t="s">
        <v>33</v>
      </c>
      <c r="D671" s="35" t="s">
        <v>24</v>
      </c>
      <c r="E671" s="35" t="s">
        <v>24</v>
      </c>
      <c r="F671" s="35" t="s">
        <v>25</v>
      </c>
      <c r="G671" s="35" t="s">
        <v>25</v>
      </c>
      <c r="H671" s="35" t="s">
        <v>35</v>
      </c>
      <c r="I671" s="55">
        <v>44682</v>
      </c>
      <c r="J671" s="56">
        <f>EFEITO!$J$671*EFEITO!$Y$671</f>
        <v>0</v>
      </c>
      <c r="K671" s="56">
        <f ca="1">EFEITO!$L$671*EFEITO!$Z$671</f>
        <v>2880.073255407327</v>
      </c>
      <c r="L671" s="56">
        <f>EFEITO!$N$671*EFEITO!$AA$671</f>
        <v>2988.5145182171145</v>
      </c>
      <c r="M671" s="56">
        <f>$J$671-EFEITO!$K$671*EFEITO!$Y$671</f>
        <v>0</v>
      </c>
      <c r="N671" s="56">
        <f ca="1">$K$671-EFEITO!$M$671*EFEITO!$Z$671</f>
        <v>0</v>
      </c>
      <c r="O671" s="56">
        <f>$L$671-EFEITO!$O$671*EFEITO!$AA$671</f>
        <v>0</v>
      </c>
      <c r="P671" s="39"/>
      <c r="Q671" s="39"/>
      <c r="R671" s="39"/>
      <c r="S671" s="39"/>
      <c r="T671" s="39"/>
      <c r="U671" s="39"/>
      <c r="V671" s="39"/>
      <c r="W671" s="39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</row>
    <row r="672" spans="1:36" ht="11.25" customHeight="1" x14ac:dyDescent="0.2">
      <c r="A672" s="35" t="s">
        <v>28</v>
      </c>
      <c r="B672" s="35" t="s">
        <v>22</v>
      </c>
      <c r="C672" s="35" t="s">
        <v>33</v>
      </c>
      <c r="D672" s="35" t="s">
        <v>24</v>
      </c>
      <c r="E672" s="35" t="s">
        <v>24</v>
      </c>
      <c r="F672" s="35" t="s">
        <v>25</v>
      </c>
      <c r="G672" s="35" t="s">
        <v>25</v>
      </c>
      <c r="H672" s="35" t="s">
        <v>35</v>
      </c>
      <c r="I672" s="55">
        <v>44682</v>
      </c>
      <c r="J672" s="56">
        <f>EFEITO!$J$672*EFEITO!$Y$672</f>
        <v>0</v>
      </c>
      <c r="K672" s="56">
        <f ca="1">EFEITO!$L$672*EFEITO!$Z$672</f>
        <v>13.262926193686759</v>
      </c>
      <c r="L672" s="56">
        <f>EFEITO!$N$672*EFEITO!$AA$672</f>
        <v>13.762305319650341</v>
      </c>
      <c r="M672" s="56">
        <f>$J$672-EFEITO!$K$672*EFEITO!$Y$672</f>
        <v>0</v>
      </c>
      <c r="N672" s="56">
        <f ca="1">$K$672-EFEITO!$M$672*EFEITO!$Z$672</f>
        <v>0</v>
      </c>
      <c r="O672" s="56">
        <f>$L$672-EFEITO!$O$672*EFEITO!$AA$672</f>
        <v>0</v>
      </c>
      <c r="P672" s="39"/>
      <c r="Q672" s="39"/>
      <c r="R672" s="39"/>
      <c r="S672" s="39"/>
      <c r="T672" s="39"/>
      <c r="U672" s="39"/>
      <c r="V672" s="39"/>
      <c r="W672" s="39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</row>
    <row r="673" spans="1:36" ht="11.25" customHeight="1" x14ac:dyDescent="0.2">
      <c r="A673" s="35" t="s">
        <v>21</v>
      </c>
      <c r="B673" s="35" t="s">
        <v>22</v>
      </c>
      <c r="C673" s="35" t="s">
        <v>33</v>
      </c>
      <c r="D673" s="35" t="s">
        <v>24</v>
      </c>
      <c r="E673" s="35" t="s">
        <v>24</v>
      </c>
      <c r="F673" s="35" t="s">
        <v>25</v>
      </c>
      <c r="G673" s="35" t="s">
        <v>25</v>
      </c>
      <c r="H673" s="35" t="s">
        <v>35</v>
      </c>
      <c r="I673" s="55">
        <v>44713</v>
      </c>
      <c r="J673" s="56">
        <f>EFEITO!$J$673*EFEITO!$Y$673</f>
        <v>0</v>
      </c>
      <c r="K673" s="56">
        <f ca="1">EFEITO!$L$673*EFEITO!$Z$673</f>
        <v>2464.5976761659658</v>
      </c>
      <c r="L673" s="56">
        <f>EFEITO!$N$673*EFEITO!$AA$673</f>
        <v>2557.395345051546</v>
      </c>
      <c r="M673" s="56">
        <f>$J$673-EFEITO!$K$673*EFEITO!$Y$673</f>
        <v>0</v>
      </c>
      <c r="N673" s="56">
        <f ca="1">$K$673-EFEITO!$M$673*EFEITO!$Z$673</f>
        <v>0</v>
      </c>
      <c r="O673" s="56">
        <f>$L$673-EFEITO!$O$673*EFEITO!$AA$673</f>
        <v>0</v>
      </c>
      <c r="P673" s="39"/>
      <c r="Q673" s="39"/>
      <c r="R673" s="39"/>
      <c r="S673" s="39"/>
      <c r="T673" s="39"/>
      <c r="U673" s="39"/>
      <c r="V673" s="39"/>
      <c r="W673" s="39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</row>
    <row r="674" spans="1:36" ht="11.25" customHeight="1" x14ac:dyDescent="0.2">
      <c r="A674" s="35" t="s">
        <v>28</v>
      </c>
      <c r="B674" s="35" t="s">
        <v>22</v>
      </c>
      <c r="C674" s="35" t="s">
        <v>33</v>
      </c>
      <c r="D674" s="35" t="s">
        <v>24</v>
      </c>
      <c r="E674" s="35" t="s">
        <v>24</v>
      </c>
      <c r="F674" s="35" t="s">
        <v>25</v>
      </c>
      <c r="G674" s="35" t="s">
        <v>25</v>
      </c>
      <c r="H674" s="35" t="s">
        <v>35</v>
      </c>
      <c r="I674" s="55">
        <v>44713</v>
      </c>
      <c r="J674" s="56">
        <f>EFEITO!$J$674*EFEITO!$Y$674</f>
        <v>0</v>
      </c>
      <c r="K674" s="56">
        <f ca="1">EFEITO!$L$674*EFEITO!$Z$674</f>
        <v>19.60606480805869</v>
      </c>
      <c r="L674" s="56">
        <f>EFEITO!$N$674*EFEITO!$AA$674</f>
        <v>20.344277429048333</v>
      </c>
      <c r="M674" s="56">
        <f>$J$674-EFEITO!$K$674*EFEITO!$Y$674</f>
        <v>0</v>
      </c>
      <c r="N674" s="56">
        <f ca="1">$K$674-EFEITO!$M$674*EFEITO!$Z$674</f>
        <v>0</v>
      </c>
      <c r="O674" s="56">
        <f>$L$674-EFEITO!$O$674*EFEITO!$AA$674</f>
        <v>0</v>
      </c>
      <c r="P674" s="39"/>
      <c r="Q674" s="39"/>
      <c r="R674" s="39"/>
      <c r="S674" s="39"/>
      <c r="T674" s="39"/>
      <c r="U674" s="39"/>
      <c r="V674" s="39"/>
      <c r="W674" s="39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</row>
    <row r="675" spans="1:36" ht="11.25" customHeight="1" x14ac:dyDescent="0.2">
      <c r="A675" s="35" t="s">
        <v>21</v>
      </c>
      <c r="B675" s="35" t="s">
        <v>22</v>
      </c>
      <c r="C675" s="35" t="s">
        <v>33</v>
      </c>
      <c r="D675" s="35" t="s">
        <v>24</v>
      </c>
      <c r="E675" s="35" t="s">
        <v>24</v>
      </c>
      <c r="F675" s="35" t="s">
        <v>25</v>
      </c>
      <c r="G675" s="35" t="s">
        <v>25</v>
      </c>
      <c r="H675" s="35" t="s">
        <v>35</v>
      </c>
      <c r="I675" s="55">
        <v>44743</v>
      </c>
      <c r="J675" s="56">
        <f>EFEITO!$J$675*EFEITO!$Y$675</f>
        <v>0</v>
      </c>
      <c r="K675" s="56">
        <f ca="1">EFEITO!$L$675*EFEITO!$Z$675</f>
        <v>2608.4715929192198</v>
      </c>
      <c r="L675" s="56">
        <f>EFEITO!$N$675*EFEITO!$AA$675</f>
        <v>2706.6864397147096</v>
      </c>
      <c r="M675" s="56">
        <f>$J$675-EFEITO!$K$675*EFEITO!$Y$675</f>
        <v>0</v>
      </c>
      <c r="N675" s="56">
        <f ca="1">$K$675-EFEITO!$M$675*EFEITO!$Z$675</f>
        <v>0</v>
      </c>
      <c r="O675" s="56">
        <f>$L$675-EFEITO!$O$675*EFEITO!$AA$675</f>
        <v>0</v>
      </c>
      <c r="P675" s="39"/>
      <c r="Q675" s="39"/>
      <c r="R675" s="39"/>
      <c r="S675" s="39"/>
      <c r="T675" s="39"/>
      <c r="U675" s="39"/>
      <c r="V675" s="39"/>
      <c r="W675" s="39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</row>
    <row r="676" spans="1:36" ht="11.25" customHeight="1" x14ac:dyDescent="0.2">
      <c r="A676" s="35" t="s">
        <v>21</v>
      </c>
      <c r="B676" s="35" t="s">
        <v>22</v>
      </c>
      <c r="C676" s="35" t="s">
        <v>33</v>
      </c>
      <c r="D676" s="35" t="s">
        <v>24</v>
      </c>
      <c r="E676" s="35" t="s">
        <v>24</v>
      </c>
      <c r="F676" s="35" t="s">
        <v>25</v>
      </c>
      <c r="G676" s="35" t="s">
        <v>25</v>
      </c>
      <c r="H676" s="35" t="s">
        <v>35</v>
      </c>
      <c r="I676" s="55">
        <v>44774</v>
      </c>
      <c r="J676" s="56">
        <f>EFEITO!$J$676*EFEITO!$Y$676</f>
        <v>0</v>
      </c>
      <c r="K676" s="56">
        <f ca="1">EFEITO!$L$676*EFEITO!$Z$676</f>
        <v>2387.0383903811453</v>
      </c>
      <c r="L676" s="56">
        <f>EFEITO!$N$676*EFEITO!$AA$676</f>
        <v>2476.9157769866342</v>
      </c>
      <c r="M676" s="56">
        <f>$J$676-EFEITO!$K$676*EFEITO!$Y$676</f>
        <v>0</v>
      </c>
      <c r="N676" s="56">
        <f ca="1">$K$676-EFEITO!$M$676*EFEITO!$Z$676</f>
        <v>0</v>
      </c>
      <c r="O676" s="56">
        <f>$L$676-EFEITO!$O$676*EFEITO!$AA$676</f>
        <v>0</v>
      </c>
      <c r="P676" s="39"/>
      <c r="Q676" s="39"/>
      <c r="R676" s="39"/>
      <c r="S676" s="39"/>
      <c r="T676" s="39"/>
      <c r="U676" s="39"/>
      <c r="V676" s="39"/>
      <c r="W676" s="39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</row>
    <row r="677" spans="1:36" ht="11.25" customHeight="1" x14ac:dyDescent="0.2">
      <c r="A677" s="35" t="s">
        <v>28</v>
      </c>
      <c r="B677" s="35" t="s">
        <v>22</v>
      </c>
      <c r="C677" s="35" t="s">
        <v>33</v>
      </c>
      <c r="D677" s="35" t="s">
        <v>24</v>
      </c>
      <c r="E677" s="35" t="s">
        <v>24</v>
      </c>
      <c r="F677" s="35" t="s">
        <v>25</v>
      </c>
      <c r="G677" s="35" t="s">
        <v>25</v>
      </c>
      <c r="H677" s="35" t="s">
        <v>35</v>
      </c>
      <c r="I677" s="55">
        <v>44774</v>
      </c>
      <c r="J677" s="56">
        <f>EFEITO!$J$677*EFEITO!$Y$677</f>
        <v>0</v>
      </c>
      <c r="K677" s="56">
        <f ca="1">EFEITO!$L$677*EFEITO!$Z$677</f>
        <v>21.912660667830298</v>
      </c>
      <c r="L677" s="56">
        <f>EFEITO!$N$677*EFEITO!$AA$677</f>
        <v>22.73772183246578</v>
      </c>
      <c r="M677" s="56">
        <f>$J$677-EFEITO!$K$677*EFEITO!$Y$677</f>
        <v>0</v>
      </c>
      <c r="N677" s="56">
        <f ca="1">$K$677-EFEITO!$M$677*EFEITO!$Z$677</f>
        <v>0</v>
      </c>
      <c r="O677" s="56">
        <f>$L$677-EFEITO!$O$677*EFEITO!$AA$677</f>
        <v>0</v>
      </c>
      <c r="P677" s="39"/>
      <c r="Q677" s="39"/>
      <c r="R677" s="39"/>
      <c r="S677" s="39"/>
      <c r="T677" s="39"/>
      <c r="U677" s="39"/>
      <c r="V677" s="39"/>
      <c r="W677" s="39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</row>
    <row r="678" spans="1:36" ht="11.25" customHeight="1" x14ac:dyDescent="0.2">
      <c r="A678" s="35" t="s">
        <v>21</v>
      </c>
      <c r="B678" s="35" t="s">
        <v>22</v>
      </c>
      <c r="C678" s="35" t="s">
        <v>33</v>
      </c>
      <c r="D678" s="35" t="s">
        <v>24</v>
      </c>
      <c r="E678" s="35" t="s">
        <v>24</v>
      </c>
      <c r="F678" s="35" t="s">
        <v>25</v>
      </c>
      <c r="G678" s="35" t="s">
        <v>25</v>
      </c>
      <c r="H678" s="35" t="s">
        <v>35</v>
      </c>
      <c r="I678" s="55">
        <v>44805</v>
      </c>
      <c r="J678" s="56">
        <f>EFEITO!$J$678*EFEITO!$Y$678</f>
        <v>0</v>
      </c>
      <c r="K678" s="56">
        <f ca="1">EFEITO!$L$678*EFEITO!$Z$678</f>
        <v>2491.7001775182821</v>
      </c>
      <c r="L678" s="56">
        <f>EFEITO!$N$678*EFEITO!$AA$678</f>
        <v>2585.5183167917012</v>
      </c>
      <c r="M678" s="56">
        <f>$J$678-EFEITO!$K$678*EFEITO!$Y$678</f>
        <v>0</v>
      </c>
      <c r="N678" s="56">
        <f ca="1">$K$678-EFEITO!$M$678*EFEITO!$Z$678</f>
        <v>0</v>
      </c>
      <c r="O678" s="56">
        <f>$L$678-EFEITO!$O$678*EFEITO!$AA$678</f>
        <v>0</v>
      </c>
      <c r="P678" s="39"/>
      <c r="Q678" s="39"/>
      <c r="R678" s="39"/>
      <c r="S678" s="39"/>
      <c r="T678" s="39"/>
      <c r="U678" s="39"/>
      <c r="V678" s="39"/>
      <c r="W678" s="39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</row>
    <row r="679" spans="1:36" ht="11.25" customHeight="1" x14ac:dyDescent="0.2">
      <c r="A679" s="35" t="s">
        <v>28</v>
      </c>
      <c r="B679" s="35" t="s">
        <v>22</v>
      </c>
      <c r="C679" s="35" t="s">
        <v>33</v>
      </c>
      <c r="D679" s="35" t="s">
        <v>24</v>
      </c>
      <c r="E679" s="35" t="s">
        <v>24</v>
      </c>
      <c r="F679" s="35" t="s">
        <v>25</v>
      </c>
      <c r="G679" s="35" t="s">
        <v>25</v>
      </c>
      <c r="H679" s="35" t="s">
        <v>35</v>
      </c>
      <c r="I679" s="55">
        <v>44805</v>
      </c>
      <c r="J679" s="56">
        <f>EFEITO!$J$679*EFEITO!$Y$679</f>
        <v>0</v>
      </c>
      <c r="K679" s="56">
        <f ca="1">EFEITO!$L$679*EFEITO!$Z$679</f>
        <v>12.974601711215307</v>
      </c>
      <c r="L679" s="56">
        <f>EFEITO!$N$679*EFEITO!$AA$679</f>
        <v>13.46312476922316</v>
      </c>
      <c r="M679" s="56">
        <f>$J$679-EFEITO!$K$679*EFEITO!$Y$679</f>
        <v>0</v>
      </c>
      <c r="N679" s="56">
        <f ca="1">$K$679-EFEITO!$M$679*EFEITO!$Z$679</f>
        <v>0</v>
      </c>
      <c r="O679" s="56">
        <f>$L$679-EFEITO!$O$679*EFEITO!$AA$679</f>
        <v>0</v>
      </c>
      <c r="P679" s="39"/>
      <c r="Q679" s="39"/>
      <c r="R679" s="39"/>
      <c r="S679" s="39"/>
      <c r="T679" s="39"/>
      <c r="U679" s="39"/>
      <c r="V679" s="39"/>
      <c r="W679" s="39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</row>
    <row r="680" spans="1:36" ht="11.25" customHeight="1" x14ac:dyDescent="0.2">
      <c r="A680" s="35" t="s">
        <v>53</v>
      </c>
      <c r="B680" s="35" t="s">
        <v>22</v>
      </c>
      <c r="C680" s="35" t="s">
        <v>33</v>
      </c>
      <c r="D680" s="35" t="s">
        <v>24</v>
      </c>
      <c r="E680" s="35" t="s">
        <v>24</v>
      </c>
      <c r="F680" s="35" t="s">
        <v>25</v>
      </c>
      <c r="G680" s="35" t="s">
        <v>25</v>
      </c>
      <c r="H680" s="35" t="s">
        <v>35</v>
      </c>
      <c r="I680" s="55">
        <v>44835</v>
      </c>
      <c r="J680" s="56">
        <f>EFEITO!$J$680*EFEITO!$Y$680</f>
        <v>0</v>
      </c>
      <c r="K680" s="56">
        <f ca="1">EFEITO!$L$680*EFEITO!$Z$680</f>
        <v>2491.7001775182821</v>
      </c>
      <c r="L680" s="56">
        <f>EFEITO!$N$680*EFEITO!$AA$680</f>
        <v>2585.5183167917012</v>
      </c>
      <c r="M680" s="56">
        <f>$J$680-EFEITO!$K$680*EFEITO!$Y$680</f>
        <v>0</v>
      </c>
      <c r="N680" s="56">
        <f ca="1">$K$680-EFEITO!$M$680*EFEITO!$Z$680</f>
        <v>0</v>
      </c>
      <c r="O680" s="56">
        <f>$L$680-EFEITO!$O$680*EFEITO!$AA$680</f>
        <v>0</v>
      </c>
      <c r="P680" s="39"/>
      <c r="Q680" s="39"/>
      <c r="R680" s="39"/>
      <c r="S680" s="39"/>
      <c r="T680" s="39"/>
      <c r="U680" s="39"/>
      <c r="V680" s="39"/>
      <c r="W680" s="39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</row>
    <row r="681" spans="1:36" ht="11.25" customHeight="1" x14ac:dyDescent="0.2">
      <c r="A681" s="35" t="s">
        <v>53</v>
      </c>
      <c r="B681" s="35" t="s">
        <v>22</v>
      </c>
      <c r="C681" s="35" t="s">
        <v>33</v>
      </c>
      <c r="D681" s="35" t="s">
        <v>24</v>
      </c>
      <c r="E681" s="35" t="s">
        <v>24</v>
      </c>
      <c r="F681" s="35" t="s">
        <v>25</v>
      </c>
      <c r="G681" s="35" t="s">
        <v>25</v>
      </c>
      <c r="H681" s="35" t="s">
        <v>35</v>
      </c>
      <c r="I681" s="55">
        <v>44835</v>
      </c>
      <c r="J681" s="56">
        <f>EFEITO!$J$681*EFEITO!$Y$681</f>
        <v>0</v>
      </c>
      <c r="K681" s="56">
        <f ca="1">EFEITO!$L$681*EFEITO!$Z$681</f>
        <v>12.974601711215307</v>
      </c>
      <c r="L681" s="56">
        <f>EFEITO!$N$681*EFEITO!$AA$681</f>
        <v>13.46312476922316</v>
      </c>
      <c r="M681" s="56">
        <f>$J$681-EFEITO!$K$681*EFEITO!$Y$681</f>
        <v>0</v>
      </c>
      <c r="N681" s="56">
        <f ca="1">$K$681-EFEITO!$M$681*EFEITO!$Z$681</f>
        <v>0</v>
      </c>
      <c r="O681" s="56">
        <f>$L$681-EFEITO!$O$681*EFEITO!$AA$681</f>
        <v>0</v>
      </c>
      <c r="P681" s="39"/>
      <c r="Q681" s="39"/>
      <c r="R681" s="39"/>
      <c r="S681" s="39"/>
      <c r="T681" s="39"/>
      <c r="U681" s="39"/>
      <c r="V681" s="39"/>
      <c r="W681" s="39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</row>
    <row r="682" spans="1:36" ht="11.25" customHeight="1" x14ac:dyDescent="0.2">
      <c r="A682" s="35" t="s">
        <v>21</v>
      </c>
      <c r="B682" s="35" t="s">
        <v>22</v>
      </c>
      <c r="C682" s="35" t="s">
        <v>33</v>
      </c>
      <c r="D682" s="35" t="s">
        <v>24</v>
      </c>
      <c r="E682" s="35" t="s">
        <v>24</v>
      </c>
      <c r="F682" s="35" t="s">
        <v>25</v>
      </c>
      <c r="G682" s="35" t="s">
        <v>25</v>
      </c>
      <c r="H682" s="35" t="s">
        <v>36</v>
      </c>
      <c r="I682" s="55">
        <v>44501</v>
      </c>
      <c r="J682" s="56">
        <f>EFEITO!$J$682*EFEITO!$Y$682</f>
        <v>0</v>
      </c>
      <c r="K682" s="56">
        <f ca="1">EFEITO!$L$682*EFEITO!$Z$682</f>
        <v>380.6559588524205</v>
      </c>
      <c r="L682" s="56">
        <f>EFEITO!$N$682*EFEITO!$AA$682</f>
        <v>216.90589905970646</v>
      </c>
      <c r="M682" s="56">
        <f>$J$682-EFEITO!$K$682*EFEITO!$Y$682</f>
        <v>0</v>
      </c>
      <c r="N682" s="56">
        <f ca="1">$K$682-EFEITO!$M$682*EFEITO!$Z$682</f>
        <v>0</v>
      </c>
      <c r="O682" s="56">
        <f>$L$682-EFEITO!$O$682*EFEITO!$AA$682</f>
        <v>0</v>
      </c>
      <c r="P682" s="39"/>
      <c r="Q682" s="39"/>
      <c r="R682" s="39"/>
      <c r="S682" s="39"/>
      <c r="T682" s="39"/>
      <c r="U682" s="39"/>
      <c r="V682" s="39"/>
      <c r="W682" s="39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</row>
    <row r="683" spans="1:36" ht="11.25" customHeight="1" x14ac:dyDescent="0.2">
      <c r="A683" s="35" t="s">
        <v>21</v>
      </c>
      <c r="B683" s="35" t="s">
        <v>22</v>
      </c>
      <c r="C683" s="35" t="s">
        <v>33</v>
      </c>
      <c r="D683" s="35" t="s">
        <v>24</v>
      </c>
      <c r="E683" s="35" t="s">
        <v>24</v>
      </c>
      <c r="F683" s="35" t="s">
        <v>25</v>
      </c>
      <c r="G683" s="35" t="s">
        <v>25</v>
      </c>
      <c r="H683" s="35" t="s">
        <v>36</v>
      </c>
      <c r="I683" s="55">
        <v>44531</v>
      </c>
      <c r="J683" s="56">
        <f>EFEITO!$J$683*EFEITO!$Y$683</f>
        <v>0</v>
      </c>
      <c r="K683" s="56">
        <f ca="1">EFEITO!$L$683*EFEITO!$Z$683</f>
        <v>410.58339285874877</v>
      </c>
      <c r="L683" s="56">
        <f>EFEITO!$N$683*EFEITO!$AA$683</f>
        <v>233.95919043405581</v>
      </c>
      <c r="M683" s="56">
        <f>$J$683-EFEITO!$K$683*EFEITO!$Y$683</f>
        <v>0</v>
      </c>
      <c r="N683" s="56">
        <f ca="1">$K$683-EFEITO!$M$683*EFEITO!$Z$683</f>
        <v>0</v>
      </c>
      <c r="O683" s="56">
        <f>$L$683-EFEITO!$O$683*EFEITO!$AA$683</f>
        <v>0</v>
      </c>
      <c r="P683" s="39"/>
      <c r="Q683" s="39"/>
      <c r="R683" s="39"/>
      <c r="S683" s="39"/>
      <c r="T683" s="39"/>
      <c r="U683" s="39"/>
      <c r="V683" s="39"/>
      <c r="W683" s="39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</row>
    <row r="684" spans="1:36" ht="11.25" customHeight="1" x14ac:dyDescent="0.2">
      <c r="A684" s="35" t="s">
        <v>21</v>
      </c>
      <c r="B684" s="35" t="s">
        <v>22</v>
      </c>
      <c r="C684" s="35" t="s">
        <v>33</v>
      </c>
      <c r="D684" s="35" t="s">
        <v>24</v>
      </c>
      <c r="E684" s="35" t="s">
        <v>24</v>
      </c>
      <c r="F684" s="35" t="s">
        <v>25</v>
      </c>
      <c r="G684" s="35" t="s">
        <v>25</v>
      </c>
      <c r="H684" s="35" t="s">
        <v>36</v>
      </c>
      <c r="I684" s="55">
        <v>44562</v>
      </c>
      <c r="J684" s="56">
        <f>EFEITO!$J$684*EFEITO!$Y$684</f>
        <v>0</v>
      </c>
      <c r="K684" s="56">
        <f ca="1">EFEITO!$L$684*EFEITO!$Z$684</f>
        <v>469.91321816953979</v>
      </c>
      <c r="L684" s="56">
        <f>EFEITO!$N$684*EFEITO!$AA$684</f>
        <v>267.76659263232733</v>
      </c>
      <c r="M684" s="56">
        <f>$J$684-EFEITO!$K$684*EFEITO!$Y$684</f>
        <v>0</v>
      </c>
      <c r="N684" s="56">
        <f ca="1">$K$684-EFEITO!$M$684*EFEITO!$Z$684</f>
        <v>0</v>
      </c>
      <c r="O684" s="56">
        <f>$L$684-EFEITO!$O$684*EFEITO!$AA$684</f>
        <v>0</v>
      </c>
      <c r="P684" s="39"/>
      <c r="Q684" s="39"/>
      <c r="R684" s="39"/>
      <c r="S684" s="39"/>
      <c r="T684" s="39"/>
      <c r="U684" s="39"/>
      <c r="V684" s="39"/>
      <c r="W684" s="39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</row>
    <row r="685" spans="1:36" ht="11.25" customHeight="1" x14ac:dyDescent="0.2">
      <c r="A685" s="35" t="s">
        <v>28</v>
      </c>
      <c r="B685" s="35" t="s">
        <v>22</v>
      </c>
      <c r="C685" s="35" t="s">
        <v>33</v>
      </c>
      <c r="D685" s="35" t="s">
        <v>24</v>
      </c>
      <c r="E685" s="35" t="s">
        <v>24</v>
      </c>
      <c r="F685" s="35" t="s">
        <v>25</v>
      </c>
      <c r="G685" s="35" t="s">
        <v>25</v>
      </c>
      <c r="H685" s="35" t="s">
        <v>36</v>
      </c>
      <c r="I685" s="55">
        <v>44562</v>
      </c>
      <c r="J685" s="56">
        <f>EFEITO!$J$685*EFEITO!$Y$685</f>
        <v>0</v>
      </c>
      <c r="K685" s="56">
        <f ca="1">EFEITO!$L$685*EFEITO!$Z$685</f>
        <v>48.303928571617497</v>
      </c>
      <c r="L685" s="56">
        <f>EFEITO!$N$685*EFEITO!$AA$685</f>
        <v>27.524610639300683</v>
      </c>
      <c r="M685" s="56">
        <f>$J$685-EFEITO!$K$685*EFEITO!$Y$685</f>
        <v>0</v>
      </c>
      <c r="N685" s="56">
        <f ca="1">$K$685-EFEITO!$M$685*EFEITO!$Z$685</f>
        <v>0</v>
      </c>
      <c r="O685" s="56">
        <f>$L$685-EFEITO!$O$685*EFEITO!$AA$685</f>
        <v>0</v>
      </c>
      <c r="P685" s="39"/>
      <c r="Q685" s="39"/>
      <c r="R685" s="39"/>
      <c r="S685" s="39"/>
      <c r="T685" s="39"/>
      <c r="U685" s="39"/>
      <c r="V685" s="39"/>
      <c r="W685" s="39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</row>
    <row r="686" spans="1:36" ht="11.25" customHeight="1" x14ac:dyDescent="0.2">
      <c r="A686" s="35" t="s">
        <v>21</v>
      </c>
      <c r="B686" s="35" t="s">
        <v>22</v>
      </c>
      <c r="C686" s="35" t="s">
        <v>33</v>
      </c>
      <c r="D686" s="35" t="s">
        <v>24</v>
      </c>
      <c r="E686" s="35" t="s">
        <v>24</v>
      </c>
      <c r="F686" s="35" t="s">
        <v>25</v>
      </c>
      <c r="G686" s="35" t="s">
        <v>25</v>
      </c>
      <c r="H686" s="35" t="s">
        <v>36</v>
      </c>
      <c r="I686" s="55">
        <v>44593</v>
      </c>
      <c r="J686" s="56">
        <f>EFEITO!$J$686*EFEITO!$Y$686</f>
        <v>0</v>
      </c>
      <c r="K686" s="56">
        <f ca="1">EFEITO!$L$686*EFEITO!$Z$686</f>
        <v>445.76125388373106</v>
      </c>
      <c r="L686" s="56">
        <f>EFEITO!$N$686*EFEITO!$AA$686</f>
        <v>254.00428731267695</v>
      </c>
      <c r="M686" s="56">
        <f>$J$686-EFEITO!$K$686*EFEITO!$Y$686</f>
        <v>0</v>
      </c>
      <c r="N686" s="56">
        <f ca="1">$K$686-EFEITO!$M$686*EFEITO!$Z$686</f>
        <v>0</v>
      </c>
      <c r="O686" s="56">
        <f>$L$686-EFEITO!$O$686*EFEITO!$AA$686</f>
        <v>0</v>
      </c>
      <c r="P686" s="39"/>
      <c r="Q686" s="39"/>
      <c r="R686" s="39"/>
      <c r="S686" s="39"/>
      <c r="T686" s="39"/>
      <c r="U686" s="39"/>
      <c r="V686" s="39"/>
      <c r="W686" s="39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</row>
    <row r="687" spans="1:36" ht="11.25" customHeight="1" x14ac:dyDescent="0.2">
      <c r="A687" s="35" t="s">
        <v>28</v>
      </c>
      <c r="B687" s="35" t="s">
        <v>22</v>
      </c>
      <c r="C687" s="35" t="s">
        <v>33</v>
      </c>
      <c r="D687" s="35" t="s">
        <v>24</v>
      </c>
      <c r="E687" s="35" t="s">
        <v>24</v>
      </c>
      <c r="F687" s="35" t="s">
        <v>25</v>
      </c>
      <c r="G687" s="35" t="s">
        <v>25</v>
      </c>
      <c r="H687" s="35" t="s">
        <v>36</v>
      </c>
      <c r="I687" s="55">
        <v>44593</v>
      </c>
      <c r="J687" s="56">
        <f>EFEITO!$J$687*EFEITO!$Y$687</f>
        <v>0</v>
      </c>
      <c r="K687" s="56">
        <f ca="1">EFEITO!$L$687*EFEITO!$Z$687</f>
        <v>50.404099379079128</v>
      </c>
      <c r="L687" s="56">
        <f>EFEITO!$N$687*EFEITO!$AA$687</f>
        <v>28.72133284100941</v>
      </c>
      <c r="M687" s="56">
        <f>$J$687-EFEITO!$K$687*EFEITO!$Y$687</f>
        <v>0</v>
      </c>
      <c r="N687" s="56">
        <f ca="1">$K$687-EFEITO!$M$687*EFEITO!$Z$687</f>
        <v>0</v>
      </c>
      <c r="O687" s="56">
        <f>$L$687-EFEITO!$O$687*EFEITO!$AA$687</f>
        <v>0</v>
      </c>
      <c r="P687" s="39"/>
      <c r="Q687" s="39"/>
      <c r="R687" s="39"/>
      <c r="S687" s="39"/>
      <c r="T687" s="39"/>
      <c r="U687" s="39"/>
      <c r="V687" s="39"/>
      <c r="W687" s="39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</row>
    <row r="688" spans="1:36" ht="11.25" customHeight="1" x14ac:dyDescent="0.2">
      <c r="A688" s="35" t="s">
        <v>21</v>
      </c>
      <c r="B688" s="35" t="s">
        <v>22</v>
      </c>
      <c r="C688" s="35" t="s">
        <v>33</v>
      </c>
      <c r="D688" s="35" t="s">
        <v>24</v>
      </c>
      <c r="E688" s="35" t="s">
        <v>24</v>
      </c>
      <c r="F688" s="35" t="s">
        <v>25</v>
      </c>
      <c r="G688" s="35" t="s">
        <v>25</v>
      </c>
      <c r="H688" s="35" t="s">
        <v>36</v>
      </c>
      <c r="I688" s="55">
        <v>44621</v>
      </c>
      <c r="J688" s="56">
        <f>EFEITO!$J$688*EFEITO!$Y$688</f>
        <v>0</v>
      </c>
      <c r="K688" s="56">
        <f ca="1">EFEITO!$L$688*EFEITO!$Z$688</f>
        <v>441.56091226880778</v>
      </c>
      <c r="L688" s="56">
        <f>EFEITO!$N$688*EFEITO!$AA$688</f>
        <v>251.6108429092595</v>
      </c>
      <c r="M688" s="56">
        <f>$J$688-EFEITO!$K$688*EFEITO!$Y$688</f>
        <v>0</v>
      </c>
      <c r="N688" s="56">
        <f ca="1">$K$688-EFEITO!$M$688*EFEITO!$Z$688</f>
        <v>0</v>
      </c>
      <c r="O688" s="56">
        <f>$L$688-EFEITO!$O$688*EFEITO!$AA$688</f>
        <v>0</v>
      </c>
      <c r="P688" s="39"/>
      <c r="Q688" s="39"/>
      <c r="R688" s="39"/>
      <c r="S688" s="39"/>
      <c r="T688" s="39"/>
      <c r="U688" s="39"/>
      <c r="V688" s="39"/>
      <c r="W688" s="39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</row>
    <row r="689" spans="1:36" ht="11.25" customHeight="1" x14ac:dyDescent="0.2">
      <c r="A689" s="35" t="s">
        <v>28</v>
      </c>
      <c r="B689" s="35" t="s">
        <v>22</v>
      </c>
      <c r="C689" s="35" t="s">
        <v>33</v>
      </c>
      <c r="D689" s="35" t="s">
        <v>24</v>
      </c>
      <c r="E689" s="35" t="s">
        <v>24</v>
      </c>
      <c r="F689" s="35" t="s">
        <v>25</v>
      </c>
      <c r="G689" s="35" t="s">
        <v>25</v>
      </c>
      <c r="H689" s="35" t="s">
        <v>36</v>
      </c>
      <c r="I689" s="55">
        <v>44621</v>
      </c>
      <c r="J689" s="56">
        <f>EFEITO!$J$689*EFEITO!$Y$689</f>
        <v>0</v>
      </c>
      <c r="K689" s="56">
        <f ca="1">EFEITO!$L$689*EFEITO!$Z$689</f>
        <v>41.478373447367197</v>
      </c>
      <c r="L689" s="56">
        <f>EFEITO!$N$689*EFEITO!$AA$689</f>
        <v>23.635263483747327</v>
      </c>
      <c r="M689" s="56">
        <f>$J$689-EFEITO!$K$689*EFEITO!$Y$689</f>
        <v>0</v>
      </c>
      <c r="N689" s="56">
        <f ca="1">$K$689-EFEITO!$M$689*EFEITO!$Z$689</f>
        <v>0</v>
      </c>
      <c r="O689" s="56">
        <f>$L$689-EFEITO!$O$689*EFEITO!$AA$689</f>
        <v>0</v>
      </c>
      <c r="P689" s="39"/>
      <c r="Q689" s="39"/>
      <c r="R689" s="39"/>
      <c r="S689" s="39"/>
      <c r="T689" s="39"/>
      <c r="U689" s="39"/>
      <c r="V689" s="39"/>
      <c r="W689" s="39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</row>
    <row r="690" spans="1:36" ht="11.25" customHeight="1" x14ac:dyDescent="0.2">
      <c r="A690" s="35" t="s">
        <v>21</v>
      </c>
      <c r="B690" s="35" t="s">
        <v>22</v>
      </c>
      <c r="C690" s="35" t="s">
        <v>33</v>
      </c>
      <c r="D690" s="35" t="s">
        <v>24</v>
      </c>
      <c r="E690" s="35" t="s">
        <v>24</v>
      </c>
      <c r="F690" s="35" t="s">
        <v>25</v>
      </c>
      <c r="G690" s="35" t="s">
        <v>25</v>
      </c>
      <c r="H690" s="35" t="s">
        <v>36</v>
      </c>
      <c r="I690" s="55">
        <v>44652</v>
      </c>
      <c r="J690" s="56">
        <f>EFEITO!$J$690*EFEITO!$Y$690</f>
        <v>0</v>
      </c>
      <c r="K690" s="56">
        <f ca="1">EFEITO!$L$690*EFEITO!$Z$690</f>
        <v>413.20860636807578</v>
      </c>
      <c r="L690" s="56">
        <f>EFEITO!$N$690*EFEITO!$AA$690</f>
        <v>235.45509318619173</v>
      </c>
      <c r="M690" s="56">
        <f>$J$690-EFEITO!$K$690*EFEITO!$Y$690</f>
        <v>0</v>
      </c>
      <c r="N690" s="56">
        <f ca="1">$K$690-EFEITO!$M$690*EFEITO!$Z$690</f>
        <v>0</v>
      </c>
      <c r="O690" s="56">
        <f>$L$690-EFEITO!$O$690*EFEITO!$AA$690</f>
        <v>0</v>
      </c>
      <c r="P690" s="39"/>
      <c r="Q690" s="39"/>
      <c r="R690" s="39"/>
      <c r="S690" s="39"/>
      <c r="T690" s="39"/>
      <c r="U690" s="39"/>
      <c r="V690" s="39"/>
      <c r="W690" s="39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</row>
    <row r="691" spans="1:36" ht="11.25" customHeight="1" x14ac:dyDescent="0.2">
      <c r="A691" s="35" t="s">
        <v>28</v>
      </c>
      <c r="B691" s="35" t="s">
        <v>22</v>
      </c>
      <c r="C691" s="35" t="s">
        <v>33</v>
      </c>
      <c r="D691" s="35" t="s">
        <v>24</v>
      </c>
      <c r="E691" s="35" t="s">
        <v>24</v>
      </c>
      <c r="F691" s="35" t="s">
        <v>25</v>
      </c>
      <c r="G691" s="35" t="s">
        <v>25</v>
      </c>
      <c r="H691" s="35" t="s">
        <v>36</v>
      </c>
      <c r="I691" s="55">
        <v>44652</v>
      </c>
      <c r="J691" s="56">
        <f>EFEITO!$J$691*EFEITO!$Y$691</f>
        <v>0</v>
      </c>
      <c r="K691" s="56">
        <f ca="1">EFEITO!$L$691*EFEITO!$Z$691</f>
        <v>45.153672360425048</v>
      </c>
      <c r="L691" s="56">
        <f>EFEITO!$N$691*EFEITO!$AA$691</f>
        <v>25.729527336737593</v>
      </c>
      <c r="M691" s="56">
        <f>$J$691-EFEITO!$K$691*EFEITO!$Y$691</f>
        <v>0</v>
      </c>
      <c r="N691" s="56">
        <f ca="1">$K$691-EFEITO!$M$691*EFEITO!$Z$691</f>
        <v>0</v>
      </c>
      <c r="O691" s="56">
        <f>$L$691-EFEITO!$O$691*EFEITO!$AA$691</f>
        <v>0</v>
      </c>
      <c r="P691" s="39"/>
      <c r="Q691" s="39"/>
      <c r="R691" s="39"/>
      <c r="S691" s="39"/>
      <c r="T691" s="39"/>
      <c r="U691" s="39"/>
      <c r="V691" s="39"/>
      <c r="W691" s="39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</row>
    <row r="692" spans="1:36" ht="11.25" customHeight="1" x14ac:dyDescent="0.2">
      <c r="A692" s="35" t="s">
        <v>21</v>
      </c>
      <c r="B692" s="35" t="s">
        <v>22</v>
      </c>
      <c r="C692" s="35" t="s">
        <v>33</v>
      </c>
      <c r="D692" s="35" t="s">
        <v>24</v>
      </c>
      <c r="E692" s="35" t="s">
        <v>24</v>
      </c>
      <c r="F692" s="35" t="s">
        <v>25</v>
      </c>
      <c r="G692" s="35" t="s">
        <v>25</v>
      </c>
      <c r="H692" s="35" t="s">
        <v>36</v>
      </c>
      <c r="I692" s="55">
        <v>44682</v>
      </c>
      <c r="J692" s="56">
        <f>EFEITO!$J$692*EFEITO!$Y$692</f>
        <v>0</v>
      </c>
      <c r="K692" s="56">
        <f ca="1">EFEITO!$L$692*EFEITO!$Z$692</f>
        <v>673.10474379145251</v>
      </c>
      <c r="L692" s="56">
        <f>EFEITO!$N$692*EFEITO!$AA$692</f>
        <v>383.54946564764651</v>
      </c>
      <c r="M692" s="56">
        <f>$J$692-EFEITO!$K$692*EFEITO!$Y$692</f>
        <v>0</v>
      </c>
      <c r="N692" s="56">
        <f ca="1">$K$692-EFEITO!$M$692*EFEITO!$Z$692</f>
        <v>0</v>
      </c>
      <c r="O692" s="56">
        <f>$L$692-EFEITO!$O$692*EFEITO!$AA$692</f>
        <v>0</v>
      </c>
      <c r="P692" s="39"/>
      <c r="Q692" s="39"/>
      <c r="R692" s="39"/>
      <c r="S692" s="39"/>
      <c r="T692" s="39"/>
      <c r="U692" s="39"/>
      <c r="V692" s="39"/>
      <c r="W692" s="39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</row>
    <row r="693" spans="1:36" ht="11.25" customHeight="1" x14ac:dyDescent="0.2">
      <c r="A693" s="35" t="s">
        <v>28</v>
      </c>
      <c r="B693" s="35" t="s">
        <v>22</v>
      </c>
      <c r="C693" s="35" t="s">
        <v>33</v>
      </c>
      <c r="D693" s="35" t="s">
        <v>24</v>
      </c>
      <c r="E693" s="35" t="s">
        <v>24</v>
      </c>
      <c r="F693" s="35" t="s">
        <v>25</v>
      </c>
      <c r="G693" s="35" t="s">
        <v>25</v>
      </c>
      <c r="H693" s="35" t="s">
        <v>36</v>
      </c>
      <c r="I693" s="55">
        <v>44682</v>
      </c>
      <c r="J693" s="56">
        <f>EFEITO!$J$693*EFEITO!$Y$693</f>
        <v>0</v>
      </c>
      <c r="K693" s="56">
        <f ca="1">EFEITO!$L$693*EFEITO!$Z$693</f>
        <v>57.754697205194837</v>
      </c>
      <c r="L693" s="56">
        <f>EFEITO!$N$693*EFEITO!$AA$693</f>
        <v>32.909860546989947</v>
      </c>
      <c r="M693" s="56">
        <f>$J$693-EFEITO!$K$693*EFEITO!$Y$693</f>
        <v>0</v>
      </c>
      <c r="N693" s="56">
        <f ca="1">$K$693-EFEITO!$M$693*EFEITO!$Z$693</f>
        <v>0</v>
      </c>
      <c r="O693" s="56">
        <f>$L$693-EFEITO!$O$693*EFEITO!$AA$693</f>
        <v>0</v>
      </c>
      <c r="P693" s="39"/>
      <c r="Q693" s="39"/>
      <c r="R693" s="39"/>
      <c r="S693" s="39"/>
      <c r="T693" s="39"/>
      <c r="U693" s="39"/>
      <c r="V693" s="39"/>
      <c r="W693" s="39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</row>
    <row r="694" spans="1:36" ht="11.25" customHeight="1" x14ac:dyDescent="0.2">
      <c r="A694" s="35" t="s">
        <v>21</v>
      </c>
      <c r="B694" s="35" t="s">
        <v>22</v>
      </c>
      <c r="C694" s="35" t="s">
        <v>33</v>
      </c>
      <c r="D694" s="35" t="s">
        <v>24</v>
      </c>
      <c r="E694" s="35" t="s">
        <v>24</v>
      </c>
      <c r="F694" s="35" t="s">
        <v>25</v>
      </c>
      <c r="G694" s="35" t="s">
        <v>25</v>
      </c>
      <c r="H694" s="35" t="s">
        <v>36</v>
      </c>
      <c r="I694" s="55">
        <v>44713</v>
      </c>
      <c r="J694" s="56">
        <f>EFEITO!$J$694*EFEITO!$Y$694</f>
        <v>0</v>
      </c>
      <c r="K694" s="56">
        <f ca="1">EFEITO!$L$694*EFEITO!$Z$694</f>
        <v>326.05151785841809</v>
      </c>
      <c r="L694" s="56">
        <f>EFEITO!$N$694*EFEITO!$AA$694</f>
        <v>185.79112181527961</v>
      </c>
      <c r="M694" s="56">
        <f>$J$694-EFEITO!$K$694*EFEITO!$Y$694</f>
        <v>0</v>
      </c>
      <c r="N694" s="56">
        <f ca="1">$K$694-EFEITO!$M$694*EFEITO!$Z$694</f>
        <v>0</v>
      </c>
      <c r="O694" s="56">
        <f>$L$694-EFEITO!$O$694*EFEITO!$AA$694</f>
        <v>0</v>
      </c>
      <c r="P694" s="39"/>
      <c r="Q694" s="39"/>
      <c r="R694" s="39"/>
      <c r="S694" s="39"/>
      <c r="T694" s="39"/>
      <c r="U694" s="39"/>
      <c r="V694" s="39"/>
      <c r="W694" s="39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</row>
    <row r="695" spans="1:36" ht="11.25" customHeight="1" x14ac:dyDescent="0.2">
      <c r="A695" s="35" t="s">
        <v>28</v>
      </c>
      <c r="B695" s="35" t="s">
        <v>22</v>
      </c>
      <c r="C695" s="35" t="s">
        <v>33</v>
      </c>
      <c r="D695" s="35" t="s">
        <v>24</v>
      </c>
      <c r="E695" s="35" t="s">
        <v>24</v>
      </c>
      <c r="F695" s="35" t="s">
        <v>25</v>
      </c>
      <c r="G695" s="35" t="s">
        <v>25</v>
      </c>
      <c r="H695" s="35" t="s">
        <v>36</v>
      </c>
      <c r="I695" s="55">
        <v>44713</v>
      </c>
      <c r="J695" s="56">
        <f>EFEITO!$J$695*EFEITO!$Y$695</f>
        <v>0</v>
      </c>
      <c r="K695" s="56">
        <f ca="1">EFEITO!$L$695*EFEITO!$Z$695</f>
        <v>61.429996118252689</v>
      </c>
      <c r="L695" s="56">
        <f>EFEITO!$N$695*EFEITO!$AA$695</f>
        <v>35.004124399980221</v>
      </c>
      <c r="M695" s="56">
        <f>$J$695-EFEITO!$K$695*EFEITO!$Y$695</f>
        <v>0</v>
      </c>
      <c r="N695" s="56">
        <f ca="1">$K$695-EFEITO!$M$695*EFEITO!$Z$695</f>
        <v>0</v>
      </c>
      <c r="O695" s="56">
        <f>$L$695-EFEITO!$O$695*EFEITO!$AA$695</f>
        <v>0</v>
      </c>
      <c r="P695" s="39"/>
      <c r="Q695" s="39"/>
      <c r="R695" s="39"/>
      <c r="S695" s="39"/>
      <c r="T695" s="39"/>
      <c r="U695" s="39"/>
      <c r="V695" s="39"/>
      <c r="W695" s="39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</row>
    <row r="696" spans="1:36" ht="11.25" customHeight="1" x14ac:dyDescent="0.2">
      <c r="A696" s="35" t="s">
        <v>21</v>
      </c>
      <c r="B696" s="35" t="s">
        <v>22</v>
      </c>
      <c r="C696" s="35" t="s">
        <v>33</v>
      </c>
      <c r="D696" s="35" t="s">
        <v>24</v>
      </c>
      <c r="E696" s="35" t="s">
        <v>24</v>
      </c>
      <c r="F696" s="35" t="s">
        <v>25</v>
      </c>
      <c r="G696" s="35" t="s">
        <v>25</v>
      </c>
      <c r="H696" s="35" t="s">
        <v>36</v>
      </c>
      <c r="I696" s="55">
        <v>44743</v>
      </c>
      <c r="J696" s="56">
        <f>EFEITO!$J$696*EFEITO!$Y$696</f>
        <v>0</v>
      </c>
      <c r="K696" s="56">
        <f ca="1">EFEITO!$L$696*EFEITO!$Z$696</f>
        <v>537.1186840083119</v>
      </c>
      <c r="L696" s="56">
        <f>EFEITO!$N$696*EFEITO!$AA$696</f>
        <v>306.06170308700649</v>
      </c>
      <c r="M696" s="56">
        <f>$J$696-EFEITO!$K$696*EFEITO!$Y$696</f>
        <v>0</v>
      </c>
      <c r="N696" s="56">
        <f ca="1">$K$696-EFEITO!$M$696*EFEITO!$Z$696</f>
        <v>0</v>
      </c>
      <c r="O696" s="56">
        <f>$L$696-EFEITO!$O$696*EFEITO!$AA$696</f>
        <v>0</v>
      </c>
      <c r="P696" s="39"/>
      <c r="Q696" s="39"/>
      <c r="R696" s="39"/>
      <c r="S696" s="39"/>
      <c r="T696" s="39"/>
      <c r="U696" s="39"/>
      <c r="V696" s="39"/>
      <c r="W696" s="39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</row>
    <row r="697" spans="1:36" ht="11.25" customHeight="1" x14ac:dyDescent="0.2">
      <c r="A697" s="35" t="s">
        <v>21</v>
      </c>
      <c r="B697" s="35" t="s">
        <v>22</v>
      </c>
      <c r="C697" s="35" t="s">
        <v>33</v>
      </c>
      <c r="D697" s="35" t="s">
        <v>24</v>
      </c>
      <c r="E697" s="35" t="s">
        <v>24</v>
      </c>
      <c r="F697" s="35" t="s">
        <v>25</v>
      </c>
      <c r="G697" s="35" t="s">
        <v>25</v>
      </c>
      <c r="H697" s="35" t="s">
        <v>36</v>
      </c>
      <c r="I697" s="55">
        <v>44774</v>
      </c>
      <c r="J697" s="56">
        <f>EFEITO!$J$697*EFEITO!$Y$697</f>
        <v>0</v>
      </c>
      <c r="K697" s="56">
        <f ca="1">EFEITO!$L$697*EFEITO!$Z$697</f>
        <v>372.25527562257395</v>
      </c>
      <c r="L697" s="56">
        <f>EFEITO!$N$697*EFEITO!$AA$697</f>
        <v>212.11901025287156</v>
      </c>
      <c r="M697" s="56">
        <f>$J$697-EFEITO!$K$697*EFEITO!$Y$697</f>
        <v>0</v>
      </c>
      <c r="N697" s="56">
        <f ca="1">$K$697-EFEITO!$M$697*EFEITO!$Z$697</f>
        <v>0</v>
      </c>
      <c r="O697" s="56">
        <f>$L$697-EFEITO!$O$697*EFEITO!$AA$697</f>
        <v>0</v>
      </c>
      <c r="P697" s="39"/>
      <c r="Q697" s="39"/>
      <c r="R697" s="39"/>
      <c r="S697" s="39"/>
      <c r="T697" s="39"/>
      <c r="U697" s="39"/>
      <c r="V697" s="39"/>
      <c r="W697" s="39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</row>
    <row r="698" spans="1:36" ht="11.25" customHeight="1" x14ac:dyDescent="0.2">
      <c r="A698" s="35" t="s">
        <v>28</v>
      </c>
      <c r="B698" s="35" t="s">
        <v>22</v>
      </c>
      <c r="C698" s="35" t="s">
        <v>33</v>
      </c>
      <c r="D698" s="35" t="s">
        <v>24</v>
      </c>
      <c r="E698" s="35" t="s">
        <v>24</v>
      </c>
      <c r="F698" s="35" t="s">
        <v>25</v>
      </c>
      <c r="G698" s="35" t="s">
        <v>25</v>
      </c>
      <c r="H698" s="35" t="s">
        <v>36</v>
      </c>
      <c r="I698" s="55">
        <v>44774</v>
      </c>
      <c r="J698" s="56">
        <f>EFEITO!$J$698*EFEITO!$Y$698</f>
        <v>0</v>
      </c>
      <c r="K698" s="56">
        <f ca="1">EFEITO!$L$698*EFEITO!$Z$698</f>
        <v>47.253843167886679</v>
      </c>
      <c r="L698" s="56">
        <f>EFEITO!$N$698*EFEITO!$AA$698</f>
        <v>26.926249538446321</v>
      </c>
      <c r="M698" s="56">
        <f>$J$698-EFEITO!$K$698*EFEITO!$Y$698</f>
        <v>0</v>
      </c>
      <c r="N698" s="56">
        <f ca="1">$K$698-EFEITO!$M$698*EFEITO!$Z$698</f>
        <v>0</v>
      </c>
      <c r="O698" s="56">
        <f>$L$698-EFEITO!$O$698*EFEITO!$AA$698</f>
        <v>0</v>
      </c>
      <c r="P698" s="39"/>
      <c r="Q698" s="39"/>
      <c r="R698" s="39"/>
      <c r="S698" s="39"/>
      <c r="T698" s="39"/>
      <c r="U698" s="39"/>
      <c r="V698" s="39"/>
      <c r="W698" s="39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</row>
    <row r="699" spans="1:36" ht="11.25" customHeight="1" x14ac:dyDescent="0.2">
      <c r="A699" s="35" t="s">
        <v>21</v>
      </c>
      <c r="B699" s="35" t="s">
        <v>22</v>
      </c>
      <c r="C699" s="35" t="s">
        <v>33</v>
      </c>
      <c r="D699" s="35" t="s">
        <v>24</v>
      </c>
      <c r="E699" s="35" t="s">
        <v>24</v>
      </c>
      <c r="F699" s="35" t="s">
        <v>25</v>
      </c>
      <c r="G699" s="35" t="s">
        <v>25</v>
      </c>
      <c r="H699" s="35" t="s">
        <v>36</v>
      </c>
      <c r="I699" s="55">
        <v>44805</v>
      </c>
      <c r="J699" s="56">
        <f>EFEITO!$J$699*EFEITO!$Y$699</f>
        <v>0</v>
      </c>
      <c r="K699" s="56">
        <f ca="1">EFEITO!$L$699*EFEITO!$Z$699</f>
        <v>392.20689829345946</v>
      </c>
      <c r="L699" s="56">
        <f>EFEITO!$N$699*EFEITO!$AA$699</f>
        <v>223.48787116910447</v>
      </c>
      <c r="M699" s="56">
        <f>$J$699-EFEITO!$K$699*EFEITO!$Y$699</f>
        <v>0</v>
      </c>
      <c r="N699" s="56">
        <f ca="1">$K$699-EFEITO!$M$699*EFEITO!$Z$699</f>
        <v>0</v>
      </c>
      <c r="O699" s="56">
        <f>$L$699-EFEITO!$O$699*EFEITO!$AA$699</f>
        <v>0</v>
      </c>
      <c r="P699" s="39"/>
      <c r="Q699" s="39"/>
      <c r="R699" s="39"/>
      <c r="S699" s="39"/>
      <c r="T699" s="39"/>
      <c r="U699" s="39"/>
      <c r="V699" s="39"/>
      <c r="W699" s="39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</row>
    <row r="700" spans="1:36" ht="11.25" customHeight="1" x14ac:dyDescent="0.2">
      <c r="A700" s="35" t="s">
        <v>28</v>
      </c>
      <c r="B700" s="35" t="s">
        <v>22</v>
      </c>
      <c r="C700" s="35" t="s">
        <v>33</v>
      </c>
      <c r="D700" s="35" t="s">
        <v>24</v>
      </c>
      <c r="E700" s="35" t="s">
        <v>24</v>
      </c>
      <c r="F700" s="35" t="s">
        <v>25</v>
      </c>
      <c r="G700" s="35" t="s">
        <v>25</v>
      </c>
      <c r="H700" s="35" t="s">
        <v>36</v>
      </c>
      <c r="I700" s="55">
        <v>44805</v>
      </c>
      <c r="J700" s="56">
        <f>EFEITO!$J$700*EFEITO!$Y$700</f>
        <v>0</v>
      </c>
      <c r="K700" s="56">
        <f ca="1">EFEITO!$L$700*EFEITO!$Z$700</f>
        <v>58.279739907060247</v>
      </c>
      <c r="L700" s="56">
        <f>EFEITO!$N$700*EFEITO!$AA$700</f>
        <v>33.209041097417128</v>
      </c>
      <c r="M700" s="56">
        <f>$J$700-EFEITO!$K$700*EFEITO!$Y$700</f>
        <v>0</v>
      </c>
      <c r="N700" s="56">
        <f ca="1">$K$700-EFEITO!$M$700*EFEITO!$Z$700</f>
        <v>0</v>
      </c>
      <c r="O700" s="56">
        <f>$L$700-EFEITO!$O$700*EFEITO!$AA$700</f>
        <v>0</v>
      </c>
      <c r="P700" s="39"/>
      <c r="Q700" s="39"/>
      <c r="R700" s="39"/>
      <c r="S700" s="39"/>
      <c r="T700" s="39"/>
      <c r="U700" s="39"/>
      <c r="V700" s="39"/>
      <c r="W700" s="39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</row>
    <row r="701" spans="1:36" ht="11.25" customHeight="1" x14ac:dyDescent="0.2">
      <c r="A701" s="35" t="s">
        <v>53</v>
      </c>
      <c r="B701" s="35" t="s">
        <v>22</v>
      </c>
      <c r="C701" s="35" t="s">
        <v>33</v>
      </c>
      <c r="D701" s="35" t="s">
        <v>24</v>
      </c>
      <c r="E701" s="35" t="s">
        <v>24</v>
      </c>
      <c r="F701" s="35" t="s">
        <v>25</v>
      </c>
      <c r="G701" s="35" t="s">
        <v>25</v>
      </c>
      <c r="H701" s="35" t="s">
        <v>36</v>
      </c>
      <c r="I701" s="55">
        <v>44835</v>
      </c>
      <c r="J701" s="56">
        <f>EFEITO!$J$701*EFEITO!$Y$701</f>
        <v>0</v>
      </c>
      <c r="K701" s="56">
        <f ca="1">EFEITO!$L$701*EFEITO!$Z$701</f>
        <v>392.20689829345946</v>
      </c>
      <c r="L701" s="56">
        <f>EFEITO!$N$701*EFEITO!$AA$701</f>
        <v>223.48787116910447</v>
      </c>
      <c r="M701" s="56">
        <f>$J$701-EFEITO!$K$701*EFEITO!$Y$701</f>
        <v>0</v>
      </c>
      <c r="N701" s="56">
        <f ca="1">$K$701-EFEITO!$M$701*EFEITO!$Z$701</f>
        <v>0</v>
      </c>
      <c r="O701" s="56">
        <f>$L$701-EFEITO!$O$701*EFEITO!$AA$701</f>
        <v>0</v>
      </c>
      <c r="P701" s="39"/>
      <c r="Q701" s="39"/>
      <c r="R701" s="39"/>
      <c r="S701" s="39"/>
      <c r="T701" s="39"/>
      <c r="U701" s="39"/>
      <c r="V701" s="39"/>
      <c r="W701" s="39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</row>
    <row r="702" spans="1:36" ht="11.25" customHeight="1" x14ac:dyDescent="0.2">
      <c r="A702" s="35" t="s">
        <v>53</v>
      </c>
      <c r="B702" s="35" t="s">
        <v>22</v>
      </c>
      <c r="C702" s="35" t="s">
        <v>33</v>
      </c>
      <c r="D702" s="35" t="s">
        <v>24</v>
      </c>
      <c r="E702" s="35" t="s">
        <v>24</v>
      </c>
      <c r="F702" s="35" t="s">
        <v>25</v>
      </c>
      <c r="G702" s="35" t="s">
        <v>25</v>
      </c>
      <c r="H702" s="35" t="s">
        <v>36</v>
      </c>
      <c r="I702" s="55">
        <v>44835</v>
      </c>
      <c r="J702" s="56">
        <f>EFEITO!$J$702*EFEITO!$Y$702</f>
        <v>0</v>
      </c>
      <c r="K702" s="56">
        <f ca="1">EFEITO!$L$702*EFEITO!$Z$702</f>
        <v>58.279739907060247</v>
      </c>
      <c r="L702" s="56">
        <f>EFEITO!$N$702*EFEITO!$AA$702</f>
        <v>33.209041097417128</v>
      </c>
      <c r="M702" s="56">
        <f>$J$702-EFEITO!$K$702*EFEITO!$Y$702</f>
        <v>0</v>
      </c>
      <c r="N702" s="56">
        <f ca="1">$K$702-EFEITO!$M$702*EFEITO!$Z$702</f>
        <v>0</v>
      </c>
      <c r="O702" s="56">
        <f>$L$702-EFEITO!$O$702*EFEITO!$AA$702</f>
        <v>0</v>
      </c>
      <c r="P702" s="39"/>
      <c r="Q702" s="39"/>
      <c r="R702" s="39"/>
      <c r="S702" s="39"/>
      <c r="T702" s="39"/>
      <c r="U702" s="39"/>
      <c r="V702" s="39"/>
      <c r="W702" s="39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</row>
    <row r="703" spans="1:36" ht="11.25" customHeight="1" x14ac:dyDescent="0.2">
      <c r="A703" s="35" t="s">
        <v>21</v>
      </c>
      <c r="B703" s="35" t="s">
        <v>22</v>
      </c>
      <c r="C703" s="35" t="s">
        <v>33</v>
      </c>
      <c r="D703" s="35" t="s">
        <v>24</v>
      </c>
      <c r="E703" s="35" t="s">
        <v>24</v>
      </c>
      <c r="F703" s="35" t="s">
        <v>25</v>
      </c>
      <c r="G703" s="35" t="s">
        <v>25</v>
      </c>
      <c r="H703" s="35" t="s">
        <v>34</v>
      </c>
      <c r="I703" s="55">
        <v>44501</v>
      </c>
      <c r="J703" s="56">
        <f>EFEITO!$J$703*EFEITO!$Y$703</f>
        <v>0</v>
      </c>
      <c r="K703" s="56">
        <f ca="1">EFEITO!$L$703*EFEITO!$Z$703</f>
        <v>1204.3440269192042</v>
      </c>
      <c r="L703" s="56">
        <f>EFEITO!$N$703*EFEITO!$AA$703</f>
        <v>769.05544889561497</v>
      </c>
      <c r="M703" s="56">
        <f>$J$703-EFEITO!$K$703*EFEITO!$Y$703</f>
        <v>0</v>
      </c>
      <c r="N703" s="56">
        <f ca="1">$K$703-EFEITO!$M$703*EFEITO!$Z$703</f>
        <v>0</v>
      </c>
      <c r="O703" s="56">
        <f>$L$703-EFEITO!$O$703*EFEITO!$AA$703</f>
        <v>0</v>
      </c>
      <c r="P703" s="39"/>
      <c r="Q703" s="39"/>
      <c r="R703" s="39"/>
      <c r="S703" s="39"/>
      <c r="T703" s="39"/>
      <c r="U703" s="39"/>
      <c r="V703" s="39"/>
      <c r="W703" s="39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</row>
    <row r="704" spans="1:36" ht="11.25" customHeight="1" x14ac:dyDescent="0.2">
      <c r="A704" s="35" t="s">
        <v>21</v>
      </c>
      <c r="B704" s="35" t="s">
        <v>22</v>
      </c>
      <c r="C704" s="35" t="s">
        <v>33</v>
      </c>
      <c r="D704" s="35" t="s">
        <v>24</v>
      </c>
      <c r="E704" s="35" t="s">
        <v>24</v>
      </c>
      <c r="F704" s="35" t="s">
        <v>25</v>
      </c>
      <c r="G704" s="35" t="s">
        <v>25</v>
      </c>
      <c r="H704" s="35" t="s">
        <v>34</v>
      </c>
      <c r="I704" s="55">
        <v>44531</v>
      </c>
      <c r="J704" s="56">
        <f>EFEITO!$J$704*EFEITO!$Y$704</f>
        <v>0</v>
      </c>
      <c r="K704" s="56">
        <f ca="1">EFEITO!$L$704*EFEITO!$Z$704</f>
        <v>1211.9616361976305</v>
      </c>
      <c r="L704" s="56">
        <f>EFEITO!$N$704*EFEITO!$AA$704</f>
        <v>773.91980973619445</v>
      </c>
      <c r="M704" s="56">
        <f>$J$704-EFEITO!$K$704*EFEITO!$Y$704</f>
        <v>0</v>
      </c>
      <c r="N704" s="56">
        <f ca="1">$K$704-EFEITO!$M$704*EFEITO!$Z$704</f>
        <v>0</v>
      </c>
      <c r="O704" s="56">
        <f>$L$704-EFEITO!$O$704*EFEITO!$AA$704</f>
        <v>0</v>
      </c>
      <c r="P704" s="39"/>
      <c r="Q704" s="39"/>
      <c r="R704" s="39"/>
      <c r="S704" s="39"/>
      <c r="T704" s="39"/>
      <c r="U704" s="39"/>
      <c r="V704" s="39"/>
      <c r="W704" s="39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</row>
    <row r="705" spans="1:36" ht="11.25" customHeight="1" x14ac:dyDescent="0.2">
      <c r="A705" s="35" t="s">
        <v>21</v>
      </c>
      <c r="B705" s="35" t="s">
        <v>22</v>
      </c>
      <c r="C705" s="35" t="s">
        <v>33</v>
      </c>
      <c r="D705" s="35" t="s">
        <v>24</v>
      </c>
      <c r="E705" s="35" t="s">
        <v>24</v>
      </c>
      <c r="F705" s="35" t="s">
        <v>25</v>
      </c>
      <c r="G705" s="35" t="s">
        <v>25</v>
      </c>
      <c r="H705" s="35" t="s">
        <v>34</v>
      </c>
      <c r="I705" s="55">
        <v>44562</v>
      </c>
      <c r="J705" s="56">
        <f>EFEITO!$J$705*EFEITO!$Y$705</f>
        <v>0</v>
      </c>
      <c r="K705" s="56">
        <f ca="1">EFEITO!$L$705*EFEITO!$Z$705</f>
        <v>1339.1757111473505</v>
      </c>
      <c r="L705" s="56">
        <f>EFEITO!$N$705*EFEITO!$AA$705</f>
        <v>855.15463577387163</v>
      </c>
      <c r="M705" s="56">
        <f>$J$705-EFEITO!$K$705*EFEITO!$Y$705</f>
        <v>0</v>
      </c>
      <c r="N705" s="56">
        <f ca="1">$K$705-EFEITO!$M$705*EFEITO!$Z$705</f>
        <v>0</v>
      </c>
      <c r="O705" s="56">
        <f>$L$705-EFEITO!$O$705*EFEITO!$AA$705</f>
        <v>0</v>
      </c>
      <c r="P705" s="39"/>
      <c r="Q705" s="39"/>
      <c r="R705" s="39"/>
      <c r="S705" s="39"/>
      <c r="T705" s="39"/>
      <c r="U705" s="39"/>
      <c r="V705" s="39"/>
      <c r="W705" s="39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</row>
    <row r="706" spans="1:36" ht="11.25" customHeight="1" x14ac:dyDescent="0.2">
      <c r="A706" s="35" t="s">
        <v>21</v>
      </c>
      <c r="B706" s="35" t="s">
        <v>22</v>
      </c>
      <c r="C706" s="35" t="s">
        <v>33</v>
      </c>
      <c r="D706" s="35" t="s">
        <v>24</v>
      </c>
      <c r="E706" s="35" t="s">
        <v>24</v>
      </c>
      <c r="F706" s="35" t="s">
        <v>25</v>
      </c>
      <c r="G706" s="35" t="s">
        <v>25</v>
      </c>
      <c r="H706" s="35" t="s">
        <v>34</v>
      </c>
      <c r="I706" s="55">
        <v>44593</v>
      </c>
      <c r="J706" s="56">
        <f>EFEITO!$J$706*EFEITO!$Y$706</f>
        <v>0</v>
      </c>
      <c r="K706" s="56">
        <f ca="1">EFEITO!$L$706*EFEITO!$Z$706</f>
        <v>1279.7583587756249</v>
      </c>
      <c r="L706" s="56">
        <f>EFEITO!$N$706*EFEITO!$AA$706</f>
        <v>817.21262121735174</v>
      </c>
      <c r="M706" s="56">
        <f>$J$706-EFEITO!$K$706*EFEITO!$Y$706</f>
        <v>0</v>
      </c>
      <c r="N706" s="56">
        <f ca="1">$K$706-EFEITO!$M$706*EFEITO!$Z$706</f>
        <v>0</v>
      </c>
      <c r="O706" s="56">
        <f>$L$706-EFEITO!$O$706*EFEITO!$AA$706</f>
        <v>0</v>
      </c>
      <c r="P706" s="39"/>
      <c r="Q706" s="39"/>
      <c r="R706" s="39"/>
      <c r="S706" s="39"/>
      <c r="T706" s="39"/>
      <c r="U706" s="39"/>
      <c r="V706" s="39"/>
      <c r="W706" s="39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</row>
    <row r="707" spans="1:36" ht="11.25" customHeight="1" x14ac:dyDescent="0.2">
      <c r="A707" s="35" t="s">
        <v>28</v>
      </c>
      <c r="B707" s="35" t="s">
        <v>22</v>
      </c>
      <c r="C707" s="35" t="s">
        <v>33</v>
      </c>
      <c r="D707" s="35" t="s">
        <v>24</v>
      </c>
      <c r="E707" s="35" t="s">
        <v>24</v>
      </c>
      <c r="F707" s="35" t="s">
        <v>25</v>
      </c>
      <c r="G707" s="35" t="s">
        <v>25</v>
      </c>
      <c r="H707" s="35" t="s">
        <v>34</v>
      </c>
      <c r="I707" s="55">
        <v>44593</v>
      </c>
      <c r="J707" s="56">
        <f>EFEITO!$J$707*EFEITO!$Y$707</f>
        <v>0</v>
      </c>
      <c r="K707" s="56">
        <f ca="1">EFEITO!$L$707*EFEITO!$Z$707</f>
        <v>37.326285464289064</v>
      </c>
      <c r="L707" s="56">
        <f>EFEITO!$N$707*EFEITO!$AA$707</f>
        <v>23.835368118839426</v>
      </c>
      <c r="M707" s="56">
        <f>$J$707-EFEITO!$K$707*EFEITO!$Y$707</f>
        <v>0</v>
      </c>
      <c r="N707" s="56">
        <f ca="1">$K$707-EFEITO!$M$707*EFEITO!$Z$707</f>
        <v>0</v>
      </c>
      <c r="O707" s="56">
        <f>$L$707-EFEITO!$O$707*EFEITO!$AA$707</f>
        <v>0</v>
      </c>
      <c r="P707" s="39"/>
      <c r="Q707" s="39"/>
      <c r="R707" s="39"/>
      <c r="S707" s="39"/>
      <c r="T707" s="39"/>
      <c r="U707" s="39"/>
      <c r="V707" s="39"/>
      <c r="W707" s="39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</row>
    <row r="708" spans="1:36" ht="11.25" customHeight="1" x14ac:dyDescent="0.2">
      <c r="A708" s="35" t="s">
        <v>21</v>
      </c>
      <c r="B708" s="35" t="s">
        <v>22</v>
      </c>
      <c r="C708" s="35" t="s">
        <v>33</v>
      </c>
      <c r="D708" s="35" t="s">
        <v>24</v>
      </c>
      <c r="E708" s="35" t="s">
        <v>24</v>
      </c>
      <c r="F708" s="35" t="s">
        <v>25</v>
      </c>
      <c r="G708" s="35" t="s">
        <v>25</v>
      </c>
      <c r="H708" s="35" t="s">
        <v>34</v>
      </c>
      <c r="I708" s="55">
        <v>44621</v>
      </c>
      <c r="J708" s="56">
        <f>EFEITO!$J$708*EFEITO!$Y$708</f>
        <v>0</v>
      </c>
      <c r="K708" s="56">
        <f ca="1">EFEITO!$L$708*EFEITO!$Z$708</f>
        <v>1403.9253900139743</v>
      </c>
      <c r="L708" s="56">
        <f>EFEITO!$N$708*EFEITO!$AA$708</f>
        <v>896.50170291879715</v>
      </c>
      <c r="M708" s="56">
        <f>$J$708-EFEITO!$K$708*EFEITO!$Y$708</f>
        <v>0</v>
      </c>
      <c r="N708" s="56">
        <f ca="1">$K$708-EFEITO!$M$708*EFEITO!$Z$708</f>
        <v>0</v>
      </c>
      <c r="O708" s="56">
        <f>$L$708-EFEITO!$O$708*EFEITO!$AA$708</f>
        <v>0</v>
      </c>
      <c r="P708" s="39"/>
      <c r="Q708" s="39"/>
      <c r="R708" s="39"/>
      <c r="S708" s="39"/>
      <c r="T708" s="39"/>
      <c r="U708" s="39"/>
      <c r="V708" s="39"/>
      <c r="W708" s="39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</row>
    <row r="709" spans="1:36" ht="11.25" customHeight="1" x14ac:dyDescent="0.2">
      <c r="A709" s="35" t="s">
        <v>28</v>
      </c>
      <c r="B709" s="35" t="s">
        <v>22</v>
      </c>
      <c r="C709" s="35" t="s">
        <v>33</v>
      </c>
      <c r="D709" s="35" t="s">
        <v>24</v>
      </c>
      <c r="E709" s="35" t="s">
        <v>24</v>
      </c>
      <c r="F709" s="35" t="s">
        <v>25</v>
      </c>
      <c r="G709" s="35" t="s">
        <v>25</v>
      </c>
      <c r="H709" s="35" t="s">
        <v>34</v>
      </c>
      <c r="I709" s="55">
        <v>44621</v>
      </c>
      <c r="J709" s="56">
        <f>EFEITO!$J$709*EFEITO!$Y$709</f>
        <v>0</v>
      </c>
      <c r="K709" s="56">
        <f ca="1">EFEITO!$L$709*EFEITO!$Z$709</f>
        <v>38.088046392131695</v>
      </c>
      <c r="L709" s="56">
        <f>EFEITO!$N$709*EFEITO!$AA$709</f>
        <v>24.321804202897376</v>
      </c>
      <c r="M709" s="56">
        <f>$J$709-EFEITO!$K$709*EFEITO!$Y$709</f>
        <v>0</v>
      </c>
      <c r="N709" s="56">
        <f ca="1">$K$709-EFEITO!$M$709*EFEITO!$Z$709</f>
        <v>0</v>
      </c>
      <c r="O709" s="56">
        <f>$L$709-EFEITO!$O$709*EFEITO!$AA$709</f>
        <v>0</v>
      </c>
      <c r="P709" s="39"/>
      <c r="Q709" s="39"/>
      <c r="R709" s="39"/>
      <c r="S709" s="39"/>
      <c r="T709" s="39"/>
      <c r="U709" s="39"/>
      <c r="V709" s="39"/>
      <c r="W709" s="39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</row>
    <row r="710" spans="1:36" ht="11.25" customHeight="1" x14ac:dyDescent="0.2">
      <c r="A710" s="35" t="s">
        <v>21</v>
      </c>
      <c r="B710" s="35" t="s">
        <v>22</v>
      </c>
      <c r="C710" s="35" t="s">
        <v>33</v>
      </c>
      <c r="D710" s="35" t="s">
        <v>24</v>
      </c>
      <c r="E710" s="35" t="s">
        <v>24</v>
      </c>
      <c r="F710" s="35" t="s">
        <v>25</v>
      </c>
      <c r="G710" s="35" t="s">
        <v>25</v>
      </c>
      <c r="H710" s="35" t="s">
        <v>34</v>
      </c>
      <c r="I710" s="55">
        <v>44652</v>
      </c>
      <c r="J710" s="56">
        <f>EFEITO!$J$710*EFEITO!$Y$710</f>
        <v>0</v>
      </c>
      <c r="K710" s="56">
        <f ca="1">EFEITO!$L$710*EFEITO!$Z$710</f>
        <v>923.25424454527229</v>
      </c>
      <c r="L710" s="56">
        <f>EFEITO!$N$710*EFEITO!$AA$710</f>
        <v>589.56053387823238</v>
      </c>
      <c r="M710" s="56">
        <f>$J$710-EFEITO!$K$710*EFEITO!$Y$710</f>
        <v>0</v>
      </c>
      <c r="N710" s="56">
        <f ca="1">$K$710-EFEITO!$M$710*EFEITO!$Z$710</f>
        <v>0</v>
      </c>
      <c r="O710" s="56">
        <f>$L$710-EFEITO!$O$710*EFEITO!$AA$710</f>
        <v>0</v>
      </c>
      <c r="P710" s="39"/>
      <c r="Q710" s="39"/>
      <c r="R710" s="39"/>
      <c r="S710" s="39"/>
      <c r="T710" s="39"/>
      <c r="U710" s="39"/>
      <c r="V710" s="39"/>
      <c r="W710" s="39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</row>
    <row r="711" spans="1:36" ht="11.25" customHeight="1" x14ac:dyDescent="0.2">
      <c r="A711" s="35" t="s">
        <v>28</v>
      </c>
      <c r="B711" s="35" t="s">
        <v>22</v>
      </c>
      <c r="C711" s="35" t="s">
        <v>33</v>
      </c>
      <c r="D711" s="35" t="s">
        <v>24</v>
      </c>
      <c r="E711" s="35" t="s">
        <v>24</v>
      </c>
      <c r="F711" s="35" t="s">
        <v>25</v>
      </c>
      <c r="G711" s="35" t="s">
        <v>25</v>
      </c>
      <c r="H711" s="35" t="s">
        <v>34</v>
      </c>
      <c r="I711" s="55">
        <v>44652</v>
      </c>
      <c r="J711" s="56">
        <f>EFEITO!$J$711*EFEITO!$Y$711</f>
        <v>0</v>
      </c>
      <c r="K711" s="56">
        <f ca="1">EFEITO!$L$711*EFEITO!$Z$711</f>
        <v>38.849807319974325</v>
      </c>
      <c r="L711" s="56">
        <f>EFEITO!$N$711*EFEITO!$AA$711</f>
        <v>24.808240286955321</v>
      </c>
      <c r="M711" s="56">
        <f>$J$711-EFEITO!$K$711*EFEITO!$Y$711</f>
        <v>0</v>
      </c>
      <c r="N711" s="56">
        <f ca="1">$K$711-EFEITO!$M$711*EFEITO!$Z$711</f>
        <v>0</v>
      </c>
      <c r="O711" s="56">
        <f>$L$711-EFEITO!$O$711*EFEITO!$AA$711</f>
        <v>0</v>
      </c>
      <c r="P711" s="39"/>
      <c r="Q711" s="39"/>
      <c r="R711" s="39"/>
      <c r="S711" s="39"/>
      <c r="T711" s="39"/>
      <c r="U711" s="39"/>
      <c r="V711" s="39"/>
      <c r="W711" s="39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</row>
    <row r="712" spans="1:36" ht="11.25" customHeight="1" x14ac:dyDescent="0.2">
      <c r="A712" s="35" t="s">
        <v>21</v>
      </c>
      <c r="B712" s="35" t="s">
        <v>22</v>
      </c>
      <c r="C712" s="35" t="s">
        <v>33</v>
      </c>
      <c r="D712" s="35" t="s">
        <v>24</v>
      </c>
      <c r="E712" s="35" t="s">
        <v>24</v>
      </c>
      <c r="F712" s="35" t="s">
        <v>25</v>
      </c>
      <c r="G712" s="35" t="s">
        <v>25</v>
      </c>
      <c r="H712" s="35" t="s">
        <v>34</v>
      </c>
      <c r="I712" s="55">
        <v>44682</v>
      </c>
      <c r="J712" s="56">
        <f>EFEITO!$J$712*EFEITO!$Y$712</f>
        <v>0</v>
      </c>
      <c r="K712" s="56">
        <f ca="1">EFEITO!$L$712*EFEITO!$Z$712</f>
        <v>779.28142918301444</v>
      </c>
      <c r="L712" s="56">
        <f>EFEITO!$N$712*EFEITO!$AA$712</f>
        <v>497.62411399128024</v>
      </c>
      <c r="M712" s="56">
        <f>$J$712-EFEITO!$K$712*EFEITO!$Y$712</f>
        <v>0</v>
      </c>
      <c r="N712" s="56">
        <f ca="1">$K$712-EFEITO!$M$712*EFEITO!$Z$712</f>
        <v>0</v>
      </c>
      <c r="O712" s="56">
        <f>$L$712-EFEITO!$O$712*EFEITO!$AA$712</f>
        <v>0</v>
      </c>
      <c r="P712" s="39"/>
      <c r="Q712" s="39"/>
      <c r="R712" s="39"/>
      <c r="S712" s="39"/>
      <c r="T712" s="39"/>
      <c r="U712" s="39"/>
      <c r="V712" s="39"/>
      <c r="W712" s="39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</row>
    <row r="713" spans="1:36" ht="11.25" customHeight="1" x14ac:dyDescent="0.2">
      <c r="A713" s="35" t="s">
        <v>28</v>
      </c>
      <c r="B713" s="35" t="s">
        <v>22</v>
      </c>
      <c r="C713" s="35" t="s">
        <v>33</v>
      </c>
      <c r="D713" s="35" t="s">
        <v>24</v>
      </c>
      <c r="E713" s="35" t="s">
        <v>24</v>
      </c>
      <c r="F713" s="35" t="s">
        <v>25</v>
      </c>
      <c r="G713" s="35" t="s">
        <v>25</v>
      </c>
      <c r="H713" s="35" t="s">
        <v>34</v>
      </c>
      <c r="I713" s="55">
        <v>44682</v>
      </c>
      <c r="J713" s="56">
        <f>EFEITO!$J$713*EFEITO!$Y$713</f>
        <v>0</v>
      </c>
      <c r="K713" s="56">
        <f ca="1">EFEITO!$L$713*EFEITO!$Z$713</f>
        <v>44.943894742715401</v>
      </c>
      <c r="L713" s="56">
        <f>EFEITO!$N$713*EFEITO!$AA$713</f>
        <v>28.699728959418898</v>
      </c>
      <c r="M713" s="56">
        <f>$J$713-EFEITO!$K$713*EFEITO!$Y$713</f>
        <v>0</v>
      </c>
      <c r="N713" s="56">
        <f ca="1">$K$713-EFEITO!$M$713*EFEITO!$Z$713</f>
        <v>0</v>
      </c>
      <c r="O713" s="56">
        <f>$L$713-EFEITO!$O$713*EFEITO!$AA$713</f>
        <v>0</v>
      </c>
      <c r="P713" s="39"/>
      <c r="Q713" s="39"/>
      <c r="R713" s="39"/>
      <c r="S713" s="39"/>
      <c r="T713" s="39"/>
      <c r="U713" s="39"/>
      <c r="V713" s="39"/>
      <c r="W713" s="39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</row>
    <row r="714" spans="1:36" ht="11.25" customHeight="1" x14ac:dyDescent="0.2">
      <c r="A714" s="35" t="s">
        <v>21</v>
      </c>
      <c r="B714" s="35" t="s">
        <v>22</v>
      </c>
      <c r="C714" s="35" t="s">
        <v>33</v>
      </c>
      <c r="D714" s="35" t="s">
        <v>24</v>
      </c>
      <c r="E714" s="35" t="s">
        <v>24</v>
      </c>
      <c r="F714" s="35" t="s">
        <v>25</v>
      </c>
      <c r="G714" s="35" t="s">
        <v>25</v>
      </c>
      <c r="H714" s="35" t="s">
        <v>34</v>
      </c>
      <c r="I714" s="55">
        <v>44713</v>
      </c>
      <c r="J714" s="56">
        <f>EFEITO!$J$714*EFEITO!$Y$714</f>
        <v>0</v>
      </c>
      <c r="K714" s="56">
        <f ca="1">EFEITO!$L$714*EFEITO!$Z$714</f>
        <v>806.70482258534923</v>
      </c>
      <c r="L714" s="56">
        <f>EFEITO!$N$714*EFEITO!$AA$714</f>
        <v>515.13581301736633</v>
      </c>
      <c r="M714" s="56">
        <f>$J$714-EFEITO!$K$714*EFEITO!$Y$714</f>
        <v>0</v>
      </c>
      <c r="N714" s="56">
        <f ca="1">$K$714-EFEITO!$M$714*EFEITO!$Z$714</f>
        <v>0</v>
      </c>
      <c r="O714" s="56">
        <f>$L$714-EFEITO!$O$714*EFEITO!$AA$714</f>
        <v>0</v>
      </c>
      <c r="P714" s="39"/>
      <c r="Q714" s="39"/>
      <c r="R714" s="39"/>
      <c r="S714" s="39"/>
      <c r="T714" s="39"/>
      <c r="U714" s="39"/>
      <c r="V714" s="39"/>
      <c r="W714" s="39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</row>
    <row r="715" spans="1:36" ht="11.25" customHeight="1" x14ac:dyDescent="0.2">
      <c r="A715" s="35" t="s">
        <v>28</v>
      </c>
      <c r="B715" s="35" t="s">
        <v>22</v>
      </c>
      <c r="C715" s="35" t="s">
        <v>33</v>
      </c>
      <c r="D715" s="35" t="s">
        <v>24</v>
      </c>
      <c r="E715" s="35" t="s">
        <v>24</v>
      </c>
      <c r="F715" s="35" t="s">
        <v>25</v>
      </c>
      <c r="G715" s="35" t="s">
        <v>25</v>
      </c>
      <c r="H715" s="35" t="s">
        <v>34</v>
      </c>
      <c r="I715" s="55">
        <v>44713</v>
      </c>
      <c r="J715" s="56">
        <f>EFEITO!$J$715*EFEITO!$Y$715</f>
        <v>0</v>
      </c>
      <c r="K715" s="56">
        <f ca="1">EFEITO!$L$715*EFEITO!$Z$715</f>
        <v>58.655591443882813</v>
      </c>
      <c r="L715" s="56">
        <f>EFEITO!$N$715*EFEITO!$AA$715</f>
        <v>37.455578472461958</v>
      </c>
      <c r="M715" s="56">
        <f>$J$715-EFEITO!$K$715*EFEITO!$Y$715</f>
        <v>0</v>
      </c>
      <c r="N715" s="56">
        <f ca="1">$K$715-EFEITO!$M$715*EFEITO!$Z$715</f>
        <v>0</v>
      </c>
      <c r="O715" s="56">
        <f>$L$715-EFEITO!$O$715*EFEITO!$AA$715</f>
        <v>0</v>
      </c>
      <c r="P715" s="39"/>
      <c r="Q715" s="39"/>
      <c r="R715" s="39"/>
      <c r="S715" s="39"/>
      <c r="T715" s="39"/>
      <c r="U715" s="39"/>
      <c r="V715" s="39"/>
      <c r="W715" s="39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</row>
    <row r="716" spans="1:36" ht="11.25" customHeight="1" x14ac:dyDescent="0.2">
      <c r="A716" s="35" t="s">
        <v>21</v>
      </c>
      <c r="B716" s="35" t="s">
        <v>22</v>
      </c>
      <c r="C716" s="35" t="s">
        <v>33</v>
      </c>
      <c r="D716" s="35" t="s">
        <v>24</v>
      </c>
      <c r="E716" s="35" t="s">
        <v>24</v>
      </c>
      <c r="F716" s="35" t="s">
        <v>25</v>
      </c>
      <c r="G716" s="35" t="s">
        <v>25</v>
      </c>
      <c r="H716" s="35" t="s">
        <v>34</v>
      </c>
      <c r="I716" s="55">
        <v>44743</v>
      </c>
      <c r="J716" s="56">
        <f>EFEITO!$J$716*EFEITO!$Y$716</f>
        <v>0</v>
      </c>
      <c r="K716" s="56">
        <f ca="1">EFEITO!$L$716*EFEITO!$Z$716</f>
        <v>1223.3880501152701</v>
      </c>
      <c r="L716" s="56">
        <f>EFEITO!$N$716*EFEITO!$AA$716</f>
        <v>781.21635099706373</v>
      </c>
      <c r="M716" s="56">
        <f>$J$716-EFEITO!$K$716*EFEITO!$Y$716</f>
        <v>0</v>
      </c>
      <c r="N716" s="56">
        <f ca="1">$K$716-EFEITO!$M$716*EFEITO!$Z$716</f>
        <v>0</v>
      </c>
      <c r="O716" s="56">
        <f>$L$716-EFEITO!$O$716*EFEITO!$AA$716</f>
        <v>0</v>
      </c>
      <c r="P716" s="39"/>
      <c r="Q716" s="39"/>
      <c r="R716" s="39"/>
      <c r="S716" s="39"/>
      <c r="T716" s="39"/>
      <c r="U716" s="39"/>
      <c r="V716" s="39"/>
      <c r="W716" s="39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</row>
    <row r="717" spans="1:36" ht="11.25" customHeight="1" x14ac:dyDescent="0.2">
      <c r="A717" s="35" t="s">
        <v>21</v>
      </c>
      <c r="B717" s="35" t="s">
        <v>22</v>
      </c>
      <c r="C717" s="35" t="s">
        <v>33</v>
      </c>
      <c r="D717" s="35" t="s">
        <v>24</v>
      </c>
      <c r="E717" s="35" t="s">
        <v>24</v>
      </c>
      <c r="F717" s="35" t="s">
        <v>25</v>
      </c>
      <c r="G717" s="35" t="s">
        <v>25</v>
      </c>
      <c r="H717" s="35" t="s">
        <v>34</v>
      </c>
      <c r="I717" s="55">
        <v>44774</v>
      </c>
      <c r="J717" s="56">
        <f>EFEITO!$J$717*EFEITO!$Y$717</f>
        <v>0</v>
      </c>
      <c r="K717" s="56">
        <f ca="1">EFEITO!$L$717*EFEITO!$Z$717</f>
        <v>855.4575219672779</v>
      </c>
      <c r="L717" s="56">
        <f>EFEITO!$N$717*EFEITO!$AA$717</f>
        <v>546.26772239707498</v>
      </c>
      <c r="M717" s="56">
        <f>$J$717-EFEITO!$K$717*EFEITO!$Y$717</f>
        <v>0</v>
      </c>
      <c r="N717" s="56">
        <f ca="1">$K$717-EFEITO!$M$717*EFEITO!$Z$717</f>
        <v>0</v>
      </c>
      <c r="O717" s="56">
        <f>$L$717-EFEITO!$O$717*EFEITO!$AA$717</f>
        <v>0</v>
      </c>
      <c r="P717" s="39"/>
      <c r="Q717" s="39"/>
      <c r="R717" s="39"/>
      <c r="S717" s="39"/>
      <c r="T717" s="39"/>
      <c r="U717" s="39"/>
      <c r="V717" s="39"/>
      <c r="W717" s="39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</row>
    <row r="718" spans="1:36" ht="11.25" customHeight="1" x14ac:dyDescent="0.2">
      <c r="A718" s="35" t="s">
        <v>28</v>
      </c>
      <c r="B718" s="35" t="s">
        <v>22</v>
      </c>
      <c r="C718" s="35" t="s">
        <v>33</v>
      </c>
      <c r="D718" s="35" t="s">
        <v>24</v>
      </c>
      <c r="E718" s="35" t="s">
        <v>24</v>
      </c>
      <c r="F718" s="35" t="s">
        <v>25</v>
      </c>
      <c r="G718" s="35" t="s">
        <v>25</v>
      </c>
      <c r="H718" s="35" t="s">
        <v>34</v>
      </c>
      <c r="I718" s="55">
        <v>44774</v>
      </c>
      <c r="J718" s="56">
        <f>EFEITO!$J$718*EFEITO!$Y$718</f>
        <v>0</v>
      </c>
      <c r="K718" s="56">
        <f ca="1">EFEITO!$L$718*EFEITO!$Z$718</f>
        <v>52.561504021141744</v>
      </c>
      <c r="L718" s="56">
        <f>EFEITO!$N$718*EFEITO!$AA$718</f>
        <v>33.564089799998378</v>
      </c>
      <c r="M718" s="56">
        <f>$J$718-EFEITO!$K$718*EFEITO!$Y$718</f>
        <v>0</v>
      </c>
      <c r="N718" s="56">
        <f ca="1">$K$718-EFEITO!$M$718*EFEITO!$Z$718</f>
        <v>0</v>
      </c>
      <c r="O718" s="56">
        <f>$L$718-EFEITO!$O$718*EFEITO!$AA$718</f>
        <v>0</v>
      </c>
      <c r="P718" s="39"/>
      <c r="Q718" s="39"/>
      <c r="R718" s="39"/>
      <c r="S718" s="39"/>
      <c r="T718" s="39"/>
      <c r="U718" s="39"/>
      <c r="V718" s="39"/>
      <c r="W718" s="39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</row>
    <row r="719" spans="1:36" ht="11.25" customHeight="1" x14ac:dyDescent="0.2">
      <c r="A719" s="35" t="s">
        <v>21</v>
      </c>
      <c r="B719" s="35" t="s">
        <v>22</v>
      </c>
      <c r="C719" s="35" t="s">
        <v>33</v>
      </c>
      <c r="D719" s="35" t="s">
        <v>24</v>
      </c>
      <c r="E719" s="35" t="s">
        <v>24</v>
      </c>
      <c r="F719" s="35" t="s">
        <v>25</v>
      </c>
      <c r="G719" s="35" t="s">
        <v>25</v>
      </c>
      <c r="H719" s="35" t="s">
        <v>34</v>
      </c>
      <c r="I719" s="55">
        <v>44805</v>
      </c>
      <c r="J719" s="56">
        <f>EFEITO!$J$719*EFEITO!$Y$719</f>
        <v>0</v>
      </c>
      <c r="K719" s="56">
        <f ca="1">EFEITO!$L$719*EFEITO!$Z$719</f>
        <v>757.19036227557808</v>
      </c>
      <c r="L719" s="56">
        <f>EFEITO!$N$719*EFEITO!$AA$719</f>
        <v>483.51746755359977</v>
      </c>
      <c r="M719" s="56">
        <f>$J$719-EFEITO!$K$719*EFEITO!$Y$719</f>
        <v>0</v>
      </c>
      <c r="N719" s="56">
        <f ca="1">$K$719-EFEITO!$M$719*EFEITO!$Z$719</f>
        <v>0</v>
      </c>
      <c r="O719" s="56">
        <f>$L$719-EFEITO!$O$719*EFEITO!$AA$719</f>
        <v>0</v>
      </c>
      <c r="P719" s="39"/>
      <c r="Q719" s="39"/>
      <c r="R719" s="39"/>
      <c r="S719" s="39"/>
      <c r="T719" s="39"/>
      <c r="U719" s="39"/>
      <c r="V719" s="39"/>
      <c r="W719" s="39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</row>
    <row r="720" spans="1:36" ht="11.25" customHeight="1" x14ac:dyDescent="0.2">
      <c r="A720" s="35" t="s">
        <v>28</v>
      </c>
      <c r="B720" s="35" t="s">
        <v>22</v>
      </c>
      <c r="C720" s="35" t="s">
        <v>33</v>
      </c>
      <c r="D720" s="35" t="s">
        <v>24</v>
      </c>
      <c r="E720" s="35" t="s">
        <v>24</v>
      </c>
      <c r="F720" s="35" t="s">
        <v>25</v>
      </c>
      <c r="G720" s="35" t="s">
        <v>25</v>
      </c>
      <c r="H720" s="35" t="s">
        <v>34</v>
      </c>
      <c r="I720" s="55">
        <v>44805</v>
      </c>
      <c r="J720" s="56">
        <f>EFEITO!$J$720*EFEITO!$Y$720</f>
        <v>0</v>
      </c>
      <c r="K720" s="56">
        <f ca="1">EFEITO!$L$720*EFEITO!$Z$720</f>
        <v>67.034961650151786</v>
      </c>
      <c r="L720" s="56">
        <f>EFEITO!$N$720*EFEITO!$AA$720</f>
        <v>42.806375397099373</v>
      </c>
      <c r="M720" s="56">
        <f>$J$720-EFEITO!$K$720*EFEITO!$Y$720</f>
        <v>0</v>
      </c>
      <c r="N720" s="56">
        <f ca="1">$K$720-EFEITO!$M$720*EFEITO!$Z$720</f>
        <v>0</v>
      </c>
      <c r="O720" s="56">
        <f>$L$720-EFEITO!$O$720*EFEITO!$AA$720</f>
        <v>0</v>
      </c>
      <c r="P720" s="39"/>
      <c r="Q720" s="39"/>
      <c r="R720" s="39"/>
      <c r="S720" s="39"/>
      <c r="T720" s="39"/>
      <c r="U720" s="39"/>
      <c r="V720" s="39"/>
      <c r="W720" s="39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</row>
    <row r="721" spans="1:36" ht="11.25" customHeight="1" x14ac:dyDescent="0.2">
      <c r="A721" s="35" t="s">
        <v>53</v>
      </c>
      <c r="B721" s="35" t="s">
        <v>22</v>
      </c>
      <c r="C721" s="35" t="s">
        <v>33</v>
      </c>
      <c r="D721" s="35" t="s">
        <v>24</v>
      </c>
      <c r="E721" s="35" t="s">
        <v>24</v>
      </c>
      <c r="F721" s="35" t="s">
        <v>25</v>
      </c>
      <c r="G721" s="35" t="s">
        <v>25</v>
      </c>
      <c r="H721" s="35" t="s">
        <v>34</v>
      </c>
      <c r="I721" s="55">
        <v>44835</v>
      </c>
      <c r="J721" s="56">
        <f>EFEITO!$J$721*EFEITO!$Y$721</f>
        <v>0</v>
      </c>
      <c r="K721" s="56">
        <f ca="1">EFEITO!$L$721*EFEITO!$Z$721</f>
        <v>757.19036227557808</v>
      </c>
      <c r="L721" s="56">
        <f>EFEITO!$N$721*EFEITO!$AA$721</f>
        <v>483.51746755359977</v>
      </c>
      <c r="M721" s="56">
        <f>$J$721-EFEITO!$K$721*EFEITO!$Y$721</f>
        <v>0</v>
      </c>
      <c r="N721" s="56">
        <f ca="1">$K$721-EFEITO!$M$721*EFEITO!$Z$721</f>
        <v>0</v>
      </c>
      <c r="O721" s="56">
        <f>$L$721-EFEITO!$O$721*EFEITO!$AA$721</f>
        <v>0</v>
      </c>
      <c r="P721" s="39"/>
      <c r="Q721" s="39"/>
      <c r="R721" s="39"/>
      <c r="S721" s="39"/>
      <c r="T721" s="39"/>
      <c r="U721" s="39"/>
      <c r="V721" s="39"/>
      <c r="W721" s="39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</row>
    <row r="722" spans="1:36" ht="11.25" customHeight="1" x14ac:dyDescent="0.2">
      <c r="A722" s="35" t="s">
        <v>53</v>
      </c>
      <c r="B722" s="35" t="s">
        <v>22</v>
      </c>
      <c r="C722" s="35" t="s">
        <v>33</v>
      </c>
      <c r="D722" s="35" t="s">
        <v>24</v>
      </c>
      <c r="E722" s="35" t="s">
        <v>24</v>
      </c>
      <c r="F722" s="35" t="s">
        <v>25</v>
      </c>
      <c r="G722" s="35" t="s">
        <v>25</v>
      </c>
      <c r="H722" s="35" t="s">
        <v>34</v>
      </c>
      <c r="I722" s="55">
        <v>44835</v>
      </c>
      <c r="J722" s="56">
        <f>EFEITO!$J$722*EFEITO!$Y$722</f>
        <v>0</v>
      </c>
      <c r="K722" s="56">
        <f ca="1">EFEITO!$L$722*EFEITO!$Z$722</f>
        <v>67.034961650151786</v>
      </c>
      <c r="L722" s="56">
        <f>EFEITO!$N$722*EFEITO!$AA$722</f>
        <v>42.806375397099373</v>
      </c>
      <c r="M722" s="56">
        <f>$J$722-EFEITO!$K$722*EFEITO!$Y$722</f>
        <v>0</v>
      </c>
      <c r="N722" s="56">
        <f ca="1">$K$722-EFEITO!$M$722*EFEITO!$Z$722</f>
        <v>0</v>
      </c>
      <c r="O722" s="56">
        <f>$L$722-EFEITO!$O$722*EFEITO!$AA$722</f>
        <v>0</v>
      </c>
      <c r="P722" s="39"/>
      <c r="Q722" s="39"/>
      <c r="R722" s="39"/>
      <c r="S722" s="39"/>
      <c r="T722" s="39"/>
      <c r="U722" s="39"/>
      <c r="V722" s="39"/>
      <c r="W722" s="39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</row>
    <row r="723" spans="1:36" ht="11.25" customHeight="1" x14ac:dyDescent="0.2">
      <c r="A723" s="35" t="s">
        <v>21</v>
      </c>
      <c r="B723" s="35" t="s">
        <v>22</v>
      </c>
      <c r="C723" s="35" t="s">
        <v>23</v>
      </c>
      <c r="D723" s="35" t="s">
        <v>24</v>
      </c>
      <c r="E723" s="35" t="s">
        <v>24</v>
      </c>
      <c r="F723" s="35" t="s">
        <v>25</v>
      </c>
      <c r="G723" s="35" t="s">
        <v>25</v>
      </c>
      <c r="H723" s="35" t="s">
        <v>25</v>
      </c>
      <c r="I723" s="55">
        <v>44501</v>
      </c>
      <c r="J723" s="56">
        <f>EFEITO!$J$723*EFEITO!$Y$723</f>
        <v>0</v>
      </c>
      <c r="K723" s="56">
        <f ca="1">EFEITO!$L$723*EFEITO!$Z$723</f>
        <v>4098062.7577746431</v>
      </c>
      <c r="L723" s="56">
        <f>EFEITO!$N$723*EFEITO!$AA$723</f>
        <v>3280093.0356717682</v>
      </c>
      <c r="M723" s="56">
        <f>$J$723-EFEITO!$K$723*EFEITO!$Y$723</f>
        <v>0</v>
      </c>
      <c r="N723" s="56">
        <f ca="1">$K$723-EFEITO!$M$723*EFEITO!$Z$723</f>
        <v>0</v>
      </c>
      <c r="O723" s="56">
        <f>$L$723-EFEITO!$O$723*EFEITO!$AA$723</f>
        <v>0</v>
      </c>
      <c r="P723" s="39"/>
      <c r="Q723" s="39"/>
      <c r="R723" s="39"/>
      <c r="S723" s="39"/>
      <c r="T723" s="39"/>
      <c r="U723" s="39"/>
      <c r="V723" s="39"/>
      <c r="W723" s="39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</row>
    <row r="724" spans="1:36" ht="11.25" customHeight="1" x14ac:dyDescent="0.2">
      <c r="A724" s="35" t="s">
        <v>27</v>
      </c>
      <c r="B724" s="35" t="s">
        <v>22</v>
      </c>
      <c r="C724" s="35" t="s">
        <v>23</v>
      </c>
      <c r="D724" s="35" t="s">
        <v>24</v>
      </c>
      <c r="E724" s="35" t="s">
        <v>24</v>
      </c>
      <c r="F724" s="35" t="s">
        <v>25</v>
      </c>
      <c r="G724" s="35" t="s">
        <v>25</v>
      </c>
      <c r="H724" s="35" t="s">
        <v>25</v>
      </c>
      <c r="I724" s="55">
        <v>44501</v>
      </c>
      <c r="J724" s="56">
        <f>EFEITO!$J$724*EFEITO!$Y$724</f>
        <v>0</v>
      </c>
      <c r="K724" s="56">
        <f ca="1">EFEITO!$L$724*EFEITO!$Z$724</f>
        <v>-2034.0669075354797</v>
      </c>
      <c r="L724" s="56">
        <f>EFEITO!$N$724*EFEITO!$AA$724</f>
        <v>-1628.0689418042421</v>
      </c>
      <c r="M724" s="56">
        <f>$J$724-EFEITO!$K$724*EFEITO!$Y$724</f>
        <v>0</v>
      </c>
      <c r="N724" s="56">
        <f ca="1">$K$724-EFEITO!$M$724*EFEITO!$Z$724</f>
        <v>0</v>
      </c>
      <c r="O724" s="56">
        <f>$L$724-EFEITO!$O$724*EFEITO!$AA$724</f>
        <v>0</v>
      </c>
      <c r="P724" s="39"/>
      <c r="Q724" s="39"/>
      <c r="R724" s="39"/>
      <c r="S724" s="39"/>
      <c r="T724" s="39"/>
      <c r="U724" s="39"/>
      <c r="V724" s="39"/>
      <c r="W724" s="39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</row>
    <row r="725" spans="1:36" ht="11.25" customHeight="1" x14ac:dyDescent="0.2">
      <c r="A725" s="35" t="s">
        <v>28</v>
      </c>
      <c r="B725" s="35" t="s">
        <v>22</v>
      </c>
      <c r="C725" s="35" t="s">
        <v>23</v>
      </c>
      <c r="D725" s="35" t="s">
        <v>24</v>
      </c>
      <c r="E725" s="35" t="s">
        <v>24</v>
      </c>
      <c r="F725" s="35" t="s">
        <v>25</v>
      </c>
      <c r="G725" s="35" t="s">
        <v>25</v>
      </c>
      <c r="H725" s="35" t="s">
        <v>25</v>
      </c>
      <c r="I725" s="55">
        <v>44501</v>
      </c>
      <c r="J725" s="56">
        <f>EFEITO!$J$725*EFEITO!$Y$725</f>
        <v>0</v>
      </c>
      <c r="K725" s="56">
        <f ca="1">EFEITO!$L$725*EFEITO!$Z$725</f>
        <v>21815.092284239276</v>
      </c>
      <c r="L725" s="56">
        <f>EFEITO!$N$725*EFEITO!$AA$725</f>
        <v>17460.819051225739</v>
      </c>
      <c r="M725" s="56">
        <f>$J$725-EFEITO!$K$725*EFEITO!$Y$725</f>
        <v>0</v>
      </c>
      <c r="N725" s="56">
        <f ca="1">$K$725-EFEITO!$M$725*EFEITO!$Z$725</f>
        <v>0</v>
      </c>
      <c r="O725" s="56">
        <f>$L$725-EFEITO!$O$725*EFEITO!$AA$725</f>
        <v>0</v>
      </c>
      <c r="P725" s="39"/>
      <c r="Q725" s="39"/>
      <c r="R725" s="39"/>
      <c r="S725" s="39"/>
      <c r="T725" s="39"/>
      <c r="U725" s="39"/>
      <c r="V725" s="39"/>
      <c r="W725" s="39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</row>
    <row r="726" spans="1:36" ht="11.25" customHeight="1" x14ac:dyDescent="0.2">
      <c r="A726" s="35" t="s">
        <v>28</v>
      </c>
      <c r="B726" s="35" t="s">
        <v>22</v>
      </c>
      <c r="C726" s="35" t="s">
        <v>23</v>
      </c>
      <c r="D726" s="35" t="s">
        <v>24</v>
      </c>
      <c r="E726" s="35" t="s">
        <v>24</v>
      </c>
      <c r="F726" s="35" t="s">
        <v>25</v>
      </c>
      <c r="G726" s="35" t="s">
        <v>25</v>
      </c>
      <c r="H726" s="35" t="s">
        <v>25</v>
      </c>
      <c r="I726" s="55">
        <v>44501</v>
      </c>
      <c r="J726" s="56">
        <f>EFEITO!$J$726*EFEITO!$Y$726</f>
        <v>0</v>
      </c>
      <c r="K726" s="56">
        <f ca="1">EFEITO!$L$726*EFEITO!$Z$726</f>
        <v>-1.5731375928348645</v>
      </c>
      <c r="L726" s="56">
        <f>EFEITO!$N$726*EFEITO!$AA$726</f>
        <v>-1.2591407129189809</v>
      </c>
      <c r="M726" s="56">
        <f>$J$726-EFEITO!$K$726*EFEITO!$Y$726</f>
        <v>0</v>
      </c>
      <c r="N726" s="56">
        <f ca="1">$K$726-EFEITO!$M$726*EFEITO!$Z$726</f>
        <v>0</v>
      </c>
      <c r="O726" s="56">
        <f>$L$726-EFEITO!$O$726*EFEITO!$AA$726</f>
        <v>0</v>
      </c>
      <c r="P726" s="39"/>
      <c r="Q726" s="39"/>
      <c r="R726" s="39"/>
      <c r="S726" s="39"/>
      <c r="T726" s="39"/>
      <c r="U726" s="39"/>
      <c r="V726" s="39"/>
      <c r="W726" s="39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</row>
    <row r="727" spans="1:36" ht="11.25" customHeight="1" x14ac:dyDescent="0.2">
      <c r="A727" s="35" t="s">
        <v>21</v>
      </c>
      <c r="B727" s="35" t="s">
        <v>22</v>
      </c>
      <c r="C727" s="35" t="s">
        <v>23</v>
      </c>
      <c r="D727" s="35" t="s">
        <v>24</v>
      </c>
      <c r="E727" s="35" t="s">
        <v>24</v>
      </c>
      <c r="F727" s="35" t="s">
        <v>25</v>
      </c>
      <c r="G727" s="35" t="s">
        <v>25</v>
      </c>
      <c r="H727" s="35" t="s">
        <v>25</v>
      </c>
      <c r="I727" s="55">
        <v>44531</v>
      </c>
      <c r="J727" s="56">
        <f>EFEITO!$J$727*EFEITO!$Y$727</f>
        <v>0</v>
      </c>
      <c r="K727" s="56">
        <f ca="1">EFEITO!$L$727*EFEITO!$Z$727</f>
        <v>3936525.5173387937</v>
      </c>
      <c r="L727" s="56">
        <f>EFEITO!$N$727*EFEITO!$AA$727</f>
        <v>3150798.4863508609</v>
      </c>
      <c r="M727" s="56">
        <f>$J$727-EFEITO!$K$727*EFEITO!$Y$727</f>
        <v>0</v>
      </c>
      <c r="N727" s="56">
        <f ca="1">$K$727-EFEITO!$M$727*EFEITO!$Z$727</f>
        <v>0</v>
      </c>
      <c r="O727" s="56">
        <f>$L$727-EFEITO!$O$727*EFEITO!$AA$727</f>
        <v>0</v>
      </c>
      <c r="P727" s="39"/>
      <c r="Q727" s="39"/>
      <c r="R727" s="39"/>
      <c r="S727" s="39"/>
      <c r="T727" s="39"/>
      <c r="U727" s="39"/>
      <c r="V727" s="39"/>
      <c r="W727" s="39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</row>
    <row r="728" spans="1:36" ht="11.25" customHeight="1" x14ac:dyDescent="0.2">
      <c r="A728" s="35" t="s">
        <v>27</v>
      </c>
      <c r="B728" s="35" t="s">
        <v>22</v>
      </c>
      <c r="C728" s="35" t="s">
        <v>23</v>
      </c>
      <c r="D728" s="35" t="s">
        <v>24</v>
      </c>
      <c r="E728" s="35" t="s">
        <v>24</v>
      </c>
      <c r="F728" s="35" t="s">
        <v>25</v>
      </c>
      <c r="G728" s="35" t="s">
        <v>25</v>
      </c>
      <c r="H728" s="35" t="s">
        <v>25</v>
      </c>
      <c r="I728" s="55">
        <v>44531</v>
      </c>
      <c r="J728" s="56">
        <f>EFEITO!$J$728*EFEITO!$Y$728</f>
        <v>0</v>
      </c>
      <c r="K728" s="56">
        <f ca="1">EFEITO!$L$728*EFEITO!$Z$728</f>
        <v>-4976.2274905348859</v>
      </c>
      <c r="L728" s="56">
        <f>EFEITO!$N$728*EFEITO!$AA$728</f>
        <v>-3982.9768601409664</v>
      </c>
      <c r="M728" s="56">
        <f>$J$728-EFEITO!$K$728*EFEITO!$Y$728</f>
        <v>0</v>
      </c>
      <c r="N728" s="56">
        <f ca="1">$K$728-EFEITO!$M$728*EFEITO!$Z$728</f>
        <v>0</v>
      </c>
      <c r="O728" s="56">
        <f>$L$728-EFEITO!$O$728*EFEITO!$AA$728</f>
        <v>0</v>
      </c>
      <c r="P728" s="39"/>
      <c r="Q728" s="39"/>
      <c r="R728" s="39"/>
      <c r="S728" s="39"/>
      <c r="T728" s="39"/>
      <c r="U728" s="39"/>
      <c r="V728" s="39"/>
      <c r="W728" s="39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</row>
    <row r="729" spans="1:36" ht="11.25" customHeight="1" x14ac:dyDescent="0.2">
      <c r="A729" s="35" t="s">
        <v>28</v>
      </c>
      <c r="B729" s="35" t="s">
        <v>22</v>
      </c>
      <c r="C729" s="35" t="s">
        <v>23</v>
      </c>
      <c r="D729" s="35" t="s">
        <v>24</v>
      </c>
      <c r="E729" s="35" t="s">
        <v>24</v>
      </c>
      <c r="F729" s="35" t="s">
        <v>25</v>
      </c>
      <c r="G729" s="35" t="s">
        <v>25</v>
      </c>
      <c r="H729" s="35" t="s">
        <v>25</v>
      </c>
      <c r="I729" s="55">
        <v>44531</v>
      </c>
      <c r="J729" s="56">
        <f>EFEITO!$J$729*EFEITO!$Y$729</f>
        <v>0</v>
      </c>
      <c r="K729" s="56">
        <f ca="1">EFEITO!$L$729*EFEITO!$Z$729</f>
        <v>21544.905902669885</v>
      </c>
      <c r="L729" s="56">
        <f>EFEITO!$N$729*EFEITO!$AA$729</f>
        <v>17244.561633781901</v>
      </c>
      <c r="M729" s="56">
        <f>$J$729-EFEITO!$K$729*EFEITO!$Y$729</f>
        <v>0</v>
      </c>
      <c r="N729" s="56">
        <f ca="1">$K$729-EFEITO!$M$729*EFEITO!$Z$729</f>
        <v>0</v>
      </c>
      <c r="O729" s="56">
        <f>$L$729-EFEITO!$O$729*EFEITO!$AA$729</f>
        <v>0</v>
      </c>
      <c r="P729" s="39"/>
      <c r="Q729" s="39"/>
      <c r="R729" s="39"/>
      <c r="S729" s="39"/>
      <c r="T729" s="39"/>
      <c r="U729" s="39"/>
      <c r="V729" s="39"/>
      <c r="W729" s="39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</row>
    <row r="730" spans="1:36" ht="11.25" customHeight="1" x14ac:dyDescent="0.2">
      <c r="A730" s="35" t="s">
        <v>21</v>
      </c>
      <c r="B730" s="35" t="s">
        <v>22</v>
      </c>
      <c r="C730" s="35" t="s">
        <v>23</v>
      </c>
      <c r="D730" s="35" t="s">
        <v>24</v>
      </c>
      <c r="E730" s="35" t="s">
        <v>24</v>
      </c>
      <c r="F730" s="35" t="s">
        <v>25</v>
      </c>
      <c r="G730" s="35" t="s">
        <v>25</v>
      </c>
      <c r="H730" s="35" t="s">
        <v>25</v>
      </c>
      <c r="I730" s="55">
        <v>44562</v>
      </c>
      <c r="J730" s="56">
        <f>EFEITO!$J$730*EFEITO!$Y$730</f>
        <v>0</v>
      </c>
      <c r="K730" s="56">
        <f ca="1">EFEITO!$L$730*EFEITO!$Z$730</f>
        <v>4311936.319502118</v>
      </c>
      <c r="L730" s="56">
        <f>EFEITO!$N$730*EFEITO!$AA$730</f>
        <v>3451277.6225855988</v>
      </c>
      <c r="M730" s="56">
        <f>$J$730-EFEITO!$K$730*EFEITO!$Y$730</f>
        <v>0</v>
      </c>
      <c r="N730" s="56">
        <f ca="1">$K$730-EFEITO!$M$730*EFEITO!$Z$730</f>
        <v>0</v>
      </c>
      <c r="O730" s="56">
        <f>$L$730-EFEITO!$O$730*EFEITO!$AA$730</f>
        <v>0</v>
      </c>
      <c r="P730" s="39"/>
      <c r="Q730" s="39"/>
      <c r="R730" s="39"/>
      <c r="S730" s="39"/>
      <c r="T730" s="39"/>
      <c r="U730" s="39"/>
      <c r="V730" s="39"/>
      <c r="W730" s="39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</row>
    <row r="731" spans="1:36" ht="11.25" customHeight="1" x14ac:dyDescent="0.2">
      <c r="A731" s="35" t="s">
        <v>27</v>
      </c>
      <c r="B731" s="35" t="s">
        <v>22</v>
      </c>
      <c r="C731" s="35" t="s">
        <v>23</v>
      </c>
      <c r="D731" s="35" t="s">
        <v>24</v>
      </c>
      <c r="E731" s="35" t="s">
        <v>24</v>
      </c>
      <c r="F731" s="35" t="s">
        <v>25</v>
      </c>
      <c r="G731" s="35" t="s">
        <v>25</v>
      </c>
      <c r="H731" s="35" t="s">
        <v>25</v>
      </c>
      <c r="I731" s="55">
        <v>44562</v>
      </c>
      <c r="J731" s="56">
        <f>EFEITO!$J$731*EFEITO!$Y$731</f>
        <v>0</v>
      </c>
      <c r="K731" s="56">
        <f ca="1">EFEITO!$L$731*EFEITO!$Z$731</f>
        <v>-3227.2917717007244</v>
      </c>
      <c r="L731" s="56">
        <f>EFEITO!$N$731*EFEITO!$AA$731</f>
        <v>-2583.1271725532893</v>
      </c>
      <c r="M731" s="56">
        <f>$J$731-EFEITO!$K$731*EFEITO!$Y$731</f>
        <v>0</v>
      </c>
      <c r="N731" s="56">
        <f ca="1">$K$731-EFEITO!$M$731*EFEITO!$Z$731</f>
        <v>0</v>
      </c>
      <c r="O731" s="56">
        <f>$L$731-EFEITO!$O$731*EFEITO!$AA$731</f>
        <v>0</v>
      </c>
      <c r="P731" s="39"/>
      <c r="Q731" s="39"/>
      <c r="R731" s="39"/>
      <c r="S731" s="39"/>
      <c r="T731" s="39"/>
      <c r="U731" s="39"/>
      <c r="V731" s="39"/>
      <c r="W731" s="39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</row>
    <row r="732" spans="1:36" ht="11.25" customHeight="1" x14ac:dyDescent="0.2">
      <c r="A732" s="35" t="s">
        <v>28</v>
      </c>
      <c r="B732" s="35" t="s">
        <v>22</v>
      </c>
      <c r="C732" s="35" t="s">
        <v>23</v>
      </c>
      <c r="D732" s="35" t="s">
        <v>24</v>
      </c>
      <c r="E732" s="35" t="s">
        <v>24</v>
      </c>
      <c r="F732" s="35" t="s">
        <v>25</v>
      </c>
      <c r="G732" s="35" t="s">
        <v>25</v>
      </c>
      <c r="H732" s="35" t="s">
        <v>25</v>
      </c>
      <c r="I732" s="55">
        <v>44562</v>
      </c>
      <c r="J732" s="56">
        <f>EFEITO!$J$732*EFEITO!$Y$732</f>
        <v>0</v>
      </c>
      <c r="K732" s="56">
        <f ca="1">EFEITO!$L$732*EFEITO!$Z$732</f>
        <v>26807.837719498926</v>
      </c>
      <c r="L732" s="56">
        <f>EFEITO!$N$732*EFEITO!$AA$732</f>
        <v>21457.016888852355</v>
      </c>
      <c r="M732" s="56">
        <f>$J$732-EFEITO!$K$732*EFEITO!$Y$732</f>
        <v>0</v>
      </c>
      <c r="N732" s="56">
        <f ca="1">$K$732-EFEITO!$M$732*EFEITO!$Z$732</f>
        <v>0</v>
      </c>
      <c r="O732" s="56">
        <f>$L$732-EFEITO!$O$732*EFEITO!$AA$732</f>
        <v>0</v>
      </c>
      <c r="P732" s="39"/>
      <c r="Q732" s="39"/>
      <c r="R732" s="39"/>
      <c r="S732" s="39"/>
      <c r="T732" s="39"/>
      <c r="U732" s="39"/>
      <c r="V732" s="39"/>
      <c r="W732" s="39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</row>
    <row r="733" spans="1:36" ht="11.25" customHeight="1" x14ac:dyDescent="0.2">
      <c r="A733" s="35" t="s">
        <v>21</v>
      </c>
      <c r="B733" s="35" t="s">
        <v>22</v>
      </c>
      <c r="C733" s="35" t="s">
        <v>23</v>
      </c>
      <c r="D733" s="35" t="s">
        <v>24</v>
      </c>
      <c r="E733" s="35" t="s">
        <v>24</v>
      </c>
      <c r="F733" s="35" t="s">
        <v>25</v>
      </c>
      <c r="G733" s="35" t="s">
        <v>25</v>
      </c>
      <c r="H733" s="35" t="s">
        <v>25</v>
      </c>
      <c r="I733" s="55">
        <v>44593</v>
      </c>
      <c r="J733" s="56">
        <f>EFEITO!$J$733*EFEITO!$Y$733</f>
        <v>0</v>
      </c>
      <c r="K733" s="56">
        <f ca="1">EFEITO!$L$733*EFEITO!$Z$733</f>
        <v>3977046.0021706354</v>
      </c>
      <c r="L733" s="56">
        <f>EFEITO!$N$733*EFEITO!$AA$733</f>
        <v>3183231.1180490497</v>
      </c>
      <c r="M733" s="56">
        <f>$J$733-EFEITO!$K$733*EFEITO!$Y$733</f>
        <v>0</v>
      </c>
      <c r="N733" s="56">
        <f ca="1">$K$733-EFEITO!$M$733*EFEITO!$Z$733</f>
        <v>0</v>
      </c>
      <c r="O733" s="56">
        <f>$L$733-EFEITO!$O$733*EFEITO!$AA$733</f>
        <v>0</v>
      </c>
      <c r="P733" s="39"/>
      <c r="Q733" s="39"/>
      <c r="R733" s="39"/>
      <c r="S733" s="39"/>
      <c r="T733" s="39"/>
      <c r="U733" s="39"/>
      <c r="V733" s="39"/>
      <c r="W733" s="39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</row>
    <row r="734" spans="1:36" ht="11.25" customHeight="1" x14ac:dyDescent="0.2">
      <c r="A734" s="35" t="s">
        <v>27</v>
      </c>
      <c r="B734" s="35" t="s">
        <v>22</v>
      </c>
      <c r="C734" s="35" t="s">
        <v>23</v>
      </c>
      <c r="D734" s="35" t="s">
        <v>24</v>
      </c>
      <c r="E734" s="35" t="s">
        <v>24</v>
      </c>
      <c r="F734" s="35" t="s">
        <v>25</v>
      </c>
      <c r="G734" s="35" t="s">
        <v>25</v>
      </c>
      <c r="H734" s="35" t="s">
        <v>25</v>
      </c>
      <c r="I734" s="55">
        <v>44593</v>
      </c>
      <c r="J734" s="56">
        <f>EFEITO!$J$734*EFEITO!$Y$734</f>
        <v>0</v>
      </c>
      <c r="K734" s="56">
        <f ca="1">EFEITO!$L$734*EFEITO!$Z$734</f>
        <v>-6794.7745478519892</v>
      </c>
      <c r="L734" s="56">
        <f>EFEITO!$N$734*EFEITO!$AA$734</f>
        <v>-5438.5435242753083</v>
      </c>
      <c r="M734" s="56">
        <f>$J$734-EFEITO!$K$734*EFEITO!$Y$734</f>
        <v>0</v>
      </c>
      <c r="N734" s="56">
        <f ca="1">$K$734-EFEITO!$M$734*EFEITO!$Z$734</f>
        <v>0</v>
      </c>
      <c r="O734" s="56">
        <f>$L$734-EFEITO!$O$734*EFEITO!$AA$734</f>
        <v>0</v>
      </c>
      <c r="P734" s="39"/>
      <c r="Q734" s="39"/>
      <c r="R734" s="39"/>
      <c r="S734" s="39"/>
      <c r="T734" s="39"/>
      <c r="U734" s="39"/>
      <c r="V734" s="39"/>
      <c r="W734" s="39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</row>
    <row r="735" spans="1:36" ht="11.25" customHeight="1" x14ac:dyDescent="0.2">
      <c r="A735" s="35" t="s">
        <v>28</v>
      </c>
      <c r="B735" s="35" t="s">
        <v>22</v>
      </c>
      <c r="C735" s="35" t="s">
        <v>23</v>
      </c>
      <c r="D735" s="35" t="s">
        <v>24</v>
      </c>
      <c r="E735" s="35" t="s">
        <v>24</v>
      </c>
      <c r="F735" s="35" t="s">
        <v>25</v>
      </c>
      <c r="G735" s="35" t="s">
        <v>25</v>
      </c>
      <c r="H735" s="35" t="s">
        <v>25</v>
      </c>
      <c r="I735" s="55">
        <v>44593</v>
      </c>
      <c r="J735" s="56">
        <f>EFEITO!$J$735*EFEITO!$Y$735</f>
        <v>0</v>
      </c>
      <c r="K735" s="56">
        <f ca="1">EFEITO!$L$735*EFEITO!$Z$735</f>
        <v>26921.103626183038</v>
      </c>
      <c r="L735" s="56">
        <f>EFEITO!$N$735*EFEITO!$AA$735</f>
        <v>21547.67502018252</v>
      </c>
      <c r="M735" s="56">
        <f>$J$735-EFEITO!$K$735*EFEITO!$Y$735</f>
        <v>0</v>
      </c>
      <c r="N735" s="56">
        <f ca="1">$K$735-EFEITO!$M$735*EFEITO!$Z$735</f>
        <v>0</v>
      </c>
      <c r="O735" s="56">
        <f>$L$735-EFEITO!$O$735*EFEITO!$AA$735</f>
        <v>0</v>
      </c>
      <c r="P735" s="39"/>
      <c r="Q735" s="39"/>
      <c r="R735" s="39"/>
      <c r="S735" s="39"/>
      <c r="T735" s="39"/>
      <c r="U735" s="39"/>
      <c r="V735" s="39"/>
      <c r="W735" s="39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</row>
    <row r="736" spans="1:36" ht="11.25" customHeight="1" x14ac:dyDescent="0.2">
      <c r="A736" s="35" t="s">
        <v>21</v>
      </c>
      <c r="B736" s="35" t="s">
        <v>22</v>
      </c>
      <c r="C736" s="35" t="s">
        <v>23</v>
      </c>
      <c r="D736" s="35" t="s">
        <v>24</v>
      </c>
      <c r="E736" s="35" t="s">
        <v>24</v>
      </c>
      <c r="F736" s="35" t="s">
        <v>25</v>
      </c>
      <c r="G736" s="35" t="s">
        <v>25</v>
      </c>
      <c r="H736" s="35" t="s">
        <v>25</v>
      </c>
      <c r="I736" s="55">
        <v>44621</v>
      </c>
      <c r="J736" s="56">
        <f>EFEITO!$J$736*EFEITO!$Y$736</f>
        <v>0</v>
      </c>
      <c r="K736" s="56">
        <f ca="1">EFEITO!$L$736*EFEITO!$Z$736</f>
        <v>4024098.1542879282</v>
      </c>
      <c r="L736" s="56">
        <f>EFEITO!$N$736*EFEITO!$AA$736</f>
        <v>3220891.7019872782</v>
      </c>
      <c r="M736" s="56">
        <f>$J$736-EFEITO!$K$736*EFEITO!$Y$736</f>
        <v>0</v>
      </c>
      <c r="N736" s="56">
        <f ca="1">$K$736-EFEITO!$M$736*EFEITO!$Z$736</f>
        <v>0</v>
      </c>
      <c r="O736" s="56">
        <f>$L$736-EFEITO!$O$736*EFEITO!$AA$736</f>
        <v>0</v>
      </c>
      <c r="P736" s="39"/>
      <c r="Q736" s="39"/>
      <c r="R736" s="39"/>
      <c r="S736" s="39"/>
      <c r="T736" s="39"/>
      <c r="U736" s="39"/>
      <c r="V736" s="39"/>
      <c r="W736" s="39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</row>
    <row r="737" spans="1:36" ht="11.25" customHeight="1" x14ac:dyDescent="0.2">
      <c r="A737" s="35" t="s">
        <v>27</v>
      </c>
      <c r="B737" s="35" t="s">
        <v>22</v>
      </c>
      <c r="C737" s="35" t="s">
        <v>23</v>
      </c>
      <c r="D737" s="35" t="s">
        <v>24</v>
      </c>
      <c r="E737" s="35" t="s">
        <v>24</v>
      </c>
      <c r="F737" s="35" t="s">
        <v>25</v>
      </c>
      <c r="G737" s="35" t="s">
        <v>25</v>
      </c>
      <c r="H737" s="35" t="s">
        <v>25</v>
      </c>
      <c r="I737" s="55">
        <v>44621</v>
      </c>
      <c r="J737" s="56">
        <f>EFEITO!$J$737*EFEITO!$Y$737</f>
        <v>0</v>
      </c>
      <c r="K737" s="56">
        <f ca="1">EFEITO!$L$737*EFEITO!$Z$737</f>
        <v>-4168.0280522159737</v>
      </c>
      <c r="L737" s="56">
        <f>EFEITO!$N$737*EFEITO!$AA$737</f>
        <v>-3336.0933188788399</v>
      </c>
      <c r="M737" s="56">
        <f>$J$737-EFEITO!$K$737*EFEITO!$Y$737</f>
        <v>0</v>
      </c>
      <c r="N737" s="56">
        <f ca="1">$K$737-EFEITO!$M$737*EFEITO!$Z$737</f>
        <v>0</v>
      </c>
      <c r="O737" s="56">
        <f>$L$737-EFEITO!$O$737*EFEITO!$AA$737</f>
        <v>0</v>
      </c>
      <c r="P737" s="39"/>
      <c r="Q737" s="39"/>
      <c r="R737" s="39"/>
      <c r="S737" s="39"/>
      <c r="T737" s="39"/>
      <c r="U737" s="39"/>
      <c r="V737" s="39"/>
      <c r="W737" s="39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</row>
    <row r="738" spans="1:36" ht="11.25" customHeight="1" x14ac:dyDescent="0.2">
      <c r="A738" s="35" t="s">
        <v>28</v>
      </c>
      <c r="B738" s="35" t="s">
        <v>22</v>
      </c>
      <c r="C738" s="35" t="s">
        <v>23</v>
      </c>
      <c r="D738" s="35" t="s">
        <v>24</v>
      </c>
      <c r="E738" s="35" t="s">
        <v>24</v>
      </c>
      <c r="F738" s="35" t="s">
        <v>25</v>
      </c>
      <c r="G738" s="35" t="s">
        <v>25</v>
      </c>
      <c r="H738" s="35" t="s">
        <v>25</v>
      </c>
      <c r="I738" s="55">
        <v>44621</v>
      </c>
      <c r="J738" s="56">
        <f>EFEITO!$J$738*EFEITO!$Y$738</f>
        <v>0</v>
      </c>
      <c r="K738" s="56">
        <f ca="1">EFEITO!$L$738*EFEITO!$Z$738</f>
        <v>27636.094662126481</v>
      </c>
      <c r="L738" s="56">
        <f>EFEITO!$N$738*EFEITO!$AA$738</f>
        <v>22119.954474204194</v>
      </c>
      <c r="M738" s="56">
        <f>$J$738-EFEITO!$K$738*EFEITO!$Y$738</f>
        <v>0</v>
      </c>
      <c r="N738" s="56">
        <f ca="1">$K$738-EFEITO!$M$738*EFEITO!$Z$738</f>
        <v>0</v>
      </c>
      <c r="O738" s="56">
        <f>$L$738-EFEITO!$O$738*EFEITO!$AA$738</f>
        <v>0</v>
      </c>
      <c r="P738" s="39"/>
      <c r="Q738" s="39"/>
      <c r="R738" s="39"/>
      <c r="S738" s="39"/>
      <c r="T738" s="39"/>
      <c r="U738" s="39"/>
      <c r="V738" s="39"/>
      <c r="W738" s="39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</row>
    <row r="739" spans="1:36" ht="11.25" customHeight="1" x14ac:dyDescent="0.2">
      <c r="A739" s="35" t="s">
        <v>28</v>
      </c>
      <c r="B739" s="35" t="s">
        <v>22</v>
      </c>
      <c r="C739" s="35" t="s">
        <v>23</v>
      </c>
      <c r="D739" s="35" t="s">
        <v>24</v>
      </c>
      <c r="E739" s="35" t="s">
        <v>24</v>
      </c>
      <c r="F739" s="35" t="s">
        <v>25</v>
      </c>
      <c r="G739" s="35" t="s">
        <v>25</v>
      </c>
      <c r="H739" s="35" t="s">
        <v>25</v>
      </c>
      <c r="I739" s="55">
        <v>44621</v>
      </c>
      <c r="J739" s="56">
        <f>EFEITO!$J$739*EFEITO!$Y$739</f>
        <v>0</v>
      </c>
      <c r="K739" s="56">
        <f ca="1">EFEITO!$L$739*EFEITO!$Z$739</f>
        <v>121.52487904649328</v>
      </c>
      <c r="L739" s="56">
        <f>EFEITO!$N$739*EFEITO!$AA$739</f>
        <v>97.268620072991268</v>
      </c>
      <c r="M739" s="56">
        <f>$J$739-EFEITO!$K$739*EFEITO!$Y$739</f>
        <v>0</v>
      </c>
      <c r="N739" s="56">
        <f ca="1">$K$739-EFEITO!$M$739*EFEITO!$Z$739</f>
        <v>0</v>
      </c>
      <c r="O739" s="56">
        <f>$L$739-EFEITO!$O$739*EFEITO!$AA$739</f>
        <v>0</v>
      </c>
      <c r="P739" s="39"/>
      <c r="Q739" s="39"/>
      <c r="R739" s="39"/>
      <c r="S739" s="39"/>
      <c r="T739" s="39"/>
      <c r="U739" s="39"/>
      <c r="V739" s="39"/>
      <c r="W739" s="39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</row>
    <row r="740" spans="1:36" ht="11.25" customHeight="1" x14ac:dyDescent="0.2">
      <c r="A740" s="35" t="s">
        <v>21</v>
      </c>
      <c r="B740" s="35" t="s">
        <v>22</v>
      </c>
      <c r="C740" s="35" t="s">
        <v>23</v>
      </c>
      <c r="D740" s="35" t="s">
        <v>24</v>
      </c>
      <c r="E740" s="35" t="s">
        <v>24</v>
      </c>
      <c r="F740" s="35" t="s">
        <v>25</v>
      </c>
      <c r="G740" s="35" t="s">
        <v>25</v>
      </c>
      <c r="H740" s="35" t="s">
        <v>25</v>
      </c>
      <c r="I740" s="55">
        <v>44652</v>
      </c>
      <c r="J740" s="56">
        <f>EFEITO!$J$740*EFEITO!$Y$740</f>
        <v>0</v>
      </c>
      <c r="K740" s="56">
        <f ca="1">EFEITO!$L$740*EFEITO!$Z$740</f>
        <v>4111221.2671699105</v>
      </c>
      <c r="L740" s="56">
        <f>EFEITO!$N$740*EFEITO!$AA$740</f>
        <v>3290625.1181649794</v>
      </c>
      <c r="M740" s="56">
        <f>$J$740-EFEITO!$K$740*EFEITO!$Y$740</f>
        <v>0</v>
      </c>
      <c r="N740" s="56">
        <f ca="1">$K$740-EFEITO!$M$740*EFEITO!$Z$740</f>
        <v>0</v>
      </c>
      <c r="O740" s="56">
        <f>$L$740-EFEITO!$O$740*EFEITO!$AA$740</f>
        <v>0</v>
      </c>
      <c r="P740" s="39"/>
      <c r="Q740" s="39"/>
      <c r="R740" s="39"/>
      <c r="S740" s="39"/>
      <c r="T740" s="39"/>
      <c r="U740" s="39"/>
      <c r="V740" s="39"/>
      <c r="W740" s="39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</row>
    <row r="741" spans="1:36" ht="11.25" customHeight="1" x14ac:dyDescent="0.2">
      <c r="A741" s="35" t="s">
        <v>27</v>
      </c>
      <c r="B741" s="35" t="s">
        <v>22</v>
      </c>
      <c r="C741" s="35" t="s">
        <v>23</v>
      </c>
      <c r="D741" s="35" t="s">
        <v>24</v>
      </c>
      <c r="E741" s="35" t="s">
        <v>24</v>
      </c>
      <c r="F741" s="35" t="s">
        <v>25</v>
      </c>
      <c r="G741" s="35" t="s">
        <v>25</v>
      </c>
      <c r="H741" s="35" t="s">
        <v>25</v>
      </c>
      <c r="I741" s="55">
        <v>44652</v>
      </c>
      <c r="J741" s="56">
        <f>EFEITO!$J$741*EFEITO!$Y$741</f>
        <v>0</v>
      </c>
      <c r="K741" s="56">
        <f ca="1">EFEITO!$L$741*EFEITO!$Z$741</f>
        <v>-3329.1524308367821</v>
      </c>
      <c r="L741" s="56">
        <f>EFEITO!$N$741*EFEITO!$AA$741</f>
        <v>-2664.6565337147931</v>
      </c>
      <c r="M741" s="56">
        <f>$J$741-EFEITO!$K$741*EFEITO!$Y$741</f>
        <v>0</v>
      </c>
      <c r="N741" s="56">
        <f ca="1">$K$741-EFEITO!$M$741*EFEITO!$Z$741</f>
        <v>0</v>
      </c>
      <c r="O741" s="56">
        <f>$L$741-EFEITO!$O$741*EFEITO!$AA$741</f>
        <v>0</v>
      </c>
      <c r="P741" s="39"/>
      <c r="Q741" s="39"/>
      <c r="R741" s="39"/>
      <c r="S741" s="39"/>
      <c r="T741" s="39"/>
      <c r="U741" s="39"/>
      <c r="V741" s="39"/>
      <c r="W741" s="39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</row>
    <row r="742" spans="1:36" ht="11.25" customHeight="1" x14ac:dyDescent="0.2">
      <c r="A742" s="35" t="s">
        <v>28</v>
      </c>
      <c r="B742" s="35" t="s">
        <v>22</v>
      </c>
      <c r="C742" s="35" t="s">
        <v>23</v>
      </c>
      <c r="D742" s="35" t="s">
        <v>24</v>
      </c>
      <c r="E742" s="35" t="s">
        <v>24</v>
      </c>
      <c r="F742" s="35" t="s">
        <v>25</v>
      </c>
      <c r="G742" s="35" t="s">
        <v>25</v>
      </c>
      <c r="H742" s="35" t="s">
        <v>25</v>
      </c>
      <c r="I742" s="55">
        <v>44652</v>
      </c>
      <c r="J742" s="56">
        <f>EFEITO!$J$742*EFEITO!$Y$742</f>
        <v>0</v>
      </c>
      <c r="K742" s="56">
        <f ca="1">EFEITO!$L$742*EFEITO!$Z$742</f>
        <v>32475.065897686527</v>
      </c>
      <c r="L742" s="56">
        <f>EFEITO!$N$742*EFEITO!$AA$742</f>
        <v>25993.071307142982</v>
      </c>
      <c r="M742" s="56">
        <f>$J$742-EFEITO!$K$742*EFEITO!$Y$742</f>
        <v>0</v>
      </c>
      <c r="N742" s="56">
        <f ca="1">$K$742-EFEITO!$M$742*EFEITO!$Z$742</f>
        <v>0</v>
      </c>
      <c r="O742" s="56">
        <f>$L$742-EFEITO!$O$742*EFEITO!$AA$742</f>
        <v>0</v>
      </c>
      <c r="P742" s="39"/>
      <c r="Q742" s="39"/>
      <c r="R742" s="39"/>
      <c r="S742" s="39"/>
      <c r="T742" s="39"/>
      <c r="U742" s="39"/>
      <c r="V742" s="39"/>
      <c r="W742" s="39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</row>
    <row r="743" spans="1:36" ht="11.25" customHeight="1" x14ac:dyDescent="0.2">
      <c r="A743" s="35" t="s">
        <v>21</v>
      </c>
      <c r="B743" s="35" t="s">
        <v>22</v>
      </c>
      <c r="C743" s="35" t="s">
        <v>23</v>
      </c>
      <c r="D743" s="35" t="s">
        <v>24</v>
      </c>
      <c r="E743" s="35" t="s">
        <v>24</v>
      </c>
      <c r="F743" s="35" t="s">
        <v>25</v>
      </c>
      <c r="G743" s="35" t="s">
        <v>25</v>
      </c>
      <c r="H743" s="35" t="s">
        <v>25</v>
      </c>
      <c r="I743" s="55">
        <v>44682</v>
      </c>
      <c r="J743" s="56">
        <f>EFEITO!$J$743*EFEITO!$Y$743</f>
        <v>0</v>
      </c>
      <c r="K743" s="56">
        <f ca="1">EFEITO!$L$743*EFEITO!$Z$743</f>
        <v>4033483.0998823829</v>
      </c>
      <c r="L743" s="56">
        <f>EFEITO!$N$743*EFEITO!$AA$743</f>
        <v>3228403.4206953747</v>
      </c>
      <c r="M743" s="56">
        <f>$J$743-EFEITO!$K$743*EFEITO!$Y$743</f>
        <v>0</v>
      </c>
      <c r="N743" s="56">
        <f ca="1">$K$743-EFEITO!$M$743*EFEITO!$Z$743</f>
        <v>0</v>
      </c>
      <c r="O743" s="56">
        <f>$L$743-EFEITO!$O$743*EFEITO!$AA$743</f>
        <v>0</v>
      </c>
      <c r="P743" s="39"/>
      <c r="Q743" s="39"/>
      <c r="R743" s="39"/>
      <c r="S743" s="39"/>
      <c r="T743" s="39"/>
      <c r="U743" s="39"/>
      <c r="V743" s="39"/>
      <c r="W743" s="39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</row>
    <row r="744" spans="1:36" ht="11.25" customHeight="1" x14ac:dyDescent="0.2">
      <c r="A744" s="35" t="s">
        <v>27</v>
      </c>
      <c r="B744" s="35" t="s">
        <v>22</v>
      </c>
      <c r="C744" s="35" t="s">
        <v>23</v>
      </c>
      <c r="D744" s="35" t="s">
        <v>24</v>
      </c>
      <c r="E744" s="35" t="s">
        <v>24</v>
      </c>
      <c r="F744" s="35" t="s">
        <v>25</v>
      </c>
      <c r="G744" s="35" t="s">
        <v>25</v>
      </c>
      <c r="H744" s="35" t="s">
        <v>25</v>
      </c>
      <c r="I744" s="55">
        <v>44682</v>
      </c>
      <c r="J744" s="56">
        <f>EFEITO!$J$744*EFEITO!$Y$744</f>
        <v>0</v>
      </c>
      <c r="K744" s="56">
        <f ca="1">EFEITO!$L$744*EFEITO!$Z$744</f>
        <v>-7618.3120777010399</v>
      </c>
      <c r="L744" s="56">
        <f>EFEITO!$N$744*EFEITO!$AA$744</f>
        <v>-6097.7036874883943</v>
      </c>
      <c r="M744" s="56">
        <f>$J$744-EFEITO!$K$744*EFEITO!$Y$744</f>
        <v>0</v>
      </c>
      <c r="N744" s="56">
        <f ca="1">$K$744-EFEITO!$M$744*EFEITO!$Z$744</f>
        <v>0</v>
      </c>
      <c r="O744" s="56">
        <f>$L$744-EFEITO!$O$744*EFEITO!$AA$744</f>
        <v>0</v>
      </c>
      <c r="P744" s="39"/>
      <c r="Q744" s="39"/>
      <c r="R744" s="39"/>
      <c r="S744" s="39"/>
      <c r="T744" s="39"/>
      <c r="U744" s="39"/>
      <c r="V744" s="39"/>
      <c r="W744" s="39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</row>
    <row r="745" spans="1:36" ht="11.25" customHeight="1" x14ac:dyDescent="0.2">
      <c r="A745" s="35" t="s">
        <v>28</v>
      </c>
      <c r="B745" s="35" t="s">
        <v>22</v>
      </c>
      <c r="C745" s="35" t="s">
        <v>23</v>
      </c>
      <c r="D745" s="35" t="s">
        <v>24</v>
      </c>
      <c r="E745" s="35" t="s">
        <v>24</v>
      </c>
      <c r="F745" s="35" t="s">
        <v>25</v>
      </c>
      <c r="G745" s="35" t="s">
        <v>25</v>
      </c>
      <c r="H745" s="35" t="s">
        <v>25</v>
      </c>
      <c r="I745" s="55">
        <v>44682</v>
      </c>
      <c r="J745" s="56">
        <f>EFEITO!$J$745*EFEITO!$Y$745</f>
        <v>0</v>
      </c>
      <c r="K745" s="56">
        <f ca="1">EFEITO!$L$745*EFEITO!$Z$745</f>
        <v>33584.914469431526</v>
      </c>
      <c r="L745" s="56">
        <f>EFEITO!$N$745*EFEITO!$AA$745</f>
        <v>26881.395080107322</v>
      </c>
      <c r="M745" s="56">
        <f>$J$745-EFEITO!$K$745*EFEITO!$Y$745</f>
        <v>0</v>
      </c>
      <c r="N745" s="56">
        <f ca="1">$K$745-EFEITO!$M$745*EFEITO!$Z$745</f>
        <v>0</v>
      </c>
      <c r="O745" s="56">
        <f>$L$745-EFEITO!$O$745*EFEITO!$AA$745</f>
        <v>0</v>
      </c>
      <c r="P745" s="39"/>
      <c r="Q745" s="39"/>
      <c r="R745" s="39"/>
      <c r="S745" s="39"/>
      <c r="T745" s="39"/>
      <c r="U745" s="39"/>
      <c r="V745" s="39"/>
      <c r="W745" s="39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</row>
    <row r="746" spans="1:36" ht="11.25" customHeight="1" x14ac:dyDescent="0.2">
      <c r="A746" s="35" t="s">
        <v>28</v>
      </c>
      <c r="B746" s="35" t="s">
        <v>22</v>
      </c>
      <c r="C746" s="35" t="s">
        <v>23</v>
      </c>
      <c r="D746" s="35" t="s">
        <v>24</v>
      </c>
      <c r="E746" s="35" t="s">
        <v>24</v>
      </c>
      <c r="F746" s="35" t="s">
        <v>25</v>
      </c>
      <c r="G746" s="35" t="s">
        <v>25</v>
      </c>
      <c r="H746" s="35" t="s">
        <v>25</v>
      </c>
      <c r="I746" s="55">
        <v>44682</v>
      </c>
      <c r="J746" s="56">
        <f>EFEITO!$J$746*EFEITO!$Y$746</f>
        <v>0</v>
      </c>
      <c r="K746" s="56">
        <f ca="1">EFEITO!$L$746*EFEITO!$Z$746</f>
        <v>19.664219910435808</v>
      </c>
      <c r="L746" s="56">
        <f>EFEITO!$N$746*EFEITO!$AA$746</f>
        <v>15.739258911487262</v>
      </c>
      <c r="M746" s="56">
        <f>$J$746-EFEITO!$K$746*EFEITO!$Y$746</f>
        <v>0</v>
      </c>
      <c r="N746" s="56">
        <f ca="1">$K$746-EFEITO!$M$746*EFEITO!$Z$746</f>
        <v>0</v>
      </c>
      <c r="O746" s="56">
        <f>$L$746-EFEITO!$O$746*EFEITO!$AA$746</f>
        <v>0</v>
      </c>
      <c r="P746" s="39"/>
      <c r="Q746" s="39"/>
      <c r="R746" s="39"/>
      <c r="S746" s="39"/>
      <c r="T746" s="39"/>
      <c r="U746" s="39"/>
      <c r="V746" s="39"/>
      <c r="W746" s="39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</row>
    <row r="747" spans="1:36" ht="11.25" customHeight="1" x14ac:dyDescent="0.2">
      <c r="A747" s="35" t="s">
        <v>21</v>
      </c>
      <c r="B747" s="35" t="s">
        <v>22</v>
      </c>
      <c r="C747" s="35" t="s">
        <v>23</v>
      </c>
      <c r="D747" s="35" t="s">
        <v>24</v>
      </c>
      <c r="E747" s="35" t="s">
        <v>24</v>
      </c>
      <c r="F747" s="35" t="s">
        <v>25</v>
      </c>
      <c r="G747" s="35" t="s">
        <v>25</v>
      </c>
      <c r="H747" s="35" t="s">
        <v>25</v>
      </c>
      <c r="I747" s="55">
        <v>44713</v>
      </c>
      <c r="J747" s="56">
        <f>EFEITO!$J$747*EFEITO!$Y$747</f>
        <v>0</v>
      </c>
      <c r="K747" s="56">
        <f ca="1">EFEITO!$L$747*EFEITO!$Z$747</f>
        <v>4059657.3564363671</v>
      </c>
      <c r="L747" s="56">
        <f>EFEITO!$N$747*EFEITO!$AA$747</f>
        <v>3249353.3186620986</v>
      </c>
      <c r="M747" s="56">
        <f>$J$747-EFEITO!$K$747*EFEITO!$Y$747</f>
        <v>0</v>
      </c>
      <c r="N747" s="56">
        <f ca="1">$K$747-EFEITO!$M$747*EFEITO!$Z$747</f>
        <v>0</v>
      </c>
      <c r="O747" s="56">
        <f>$L$747-EFEITO!$O$747*EFEITO!$AA$747</f>
        <v>0</v>
      </c>
      <c r="P747" s="39"/>
      <c r="Q747" s="39"/>
      <c r="R747" s="39"/>
      <c r="S747" s="39"/>
      <c r="T747" s="39"/>
      <c r="U747" s="39"/>
      <c r="V747" s="39"/>
      <c r="W747" s="39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</row>
    <row r="748" spans="1:36" ht="11.25" customHeight="1" x14ac:dyDescent="0.2">
      <c r="A748" s="35" t="s">
        <v>27</v>
      </c>
      <c r="B748" s="35" t="s">
        <v>22</v>
      </c>
      <c r="C748" s="35" t="s">
        <v>23</v>
      </c>
      <c r="D748" s="35" t="s">
        <v>24</v>
      </c>
      <c r="E748" s="35" t="s">
        <v>24</v>
      </c>
      <c r="F748" s="35" t="s">
        <v>25</v>
      </c>
      <c r="G748" s="35" t="s">
        <v>25</v>
      </c>
      <c r="H748" s="35" t="s">
        <v>25</v>
      </c>
      <c r="I748" s="55">
        <v>44713</v>
      </c>
      <c r="J748" s="56">
        <f>EFEITO!$J$748*EFEITO!$Y$748</f>
        <v>0</v>
      </c>
      <c r="K748" s="56">
        <f ca="1">EFEITO!$L$748*EFEITO!$Z$748</f>
        <v>-2652.7032659177903</v>
      </c>
      <c r="L748" s="56">
        <f>EFEITO!$N$748*EFEITO!$AA$748</f>
        <v>-2123.2260271596315</v>
      </c>
      <c r="M748" s="56">
        <f>$J$748-EFEITO!$K$748*EFEITO!$Y$748</f>
        <v>0</v>
      </c>
      <c r="N748" s="56">
        <f ca="1">$K$748-EFEITO!$M$748*EFEITO!$Z$748</f>
        <v>0</v>
      </c>
      <c r="O748" s="56">
        <f>$L$748-EFEITO!$O$748*EFEITO!$AA$748</f>
        <v>0</v>
      </c>
      <c r="P748" s="39"/>
      <c r="Q748" s="39"/>
      <c r="R748" s="39"/>
      <c r="S748" s="39"/>
      <c r="T748" s="39"/>
      <c r="U748" s="39"/>
      <c r="V748" s="39"/>
      <c r="W748" s="39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</row>
    <row r="749" spans="1:36" ht="11.25" customHeight="1" x14ac:dyDescent="0.2">
      <c r="A749" s="35" t="s">
        <v>28</v>
      </c>
      <c r="B749" s="35" t="s">
        <v>22</v>
      </c>
      <c r="C749" s="35" t="s">
        <v>23</v>
      </c>
      <c r="D749" s="35" t="s">
        <v>24</v>
      </c>
      <c r="E749" s="35" t="s">
        <v>24</v>
      </c>
      <c r="F749" s="35" t="s">
        <v>25</v>
      </c>
      <c r="G749" s="35" t="s">
        <v>25</v>
      </c>
      <c r="H749" s="35" t="s">
        <v>25</v>
      </c>
      <c r="I749" s="55">
        <v>44713</v>
      </c>
      <c r="J749" s="56">
        <f>EFEITO!$J$749*EFEITO!$Y$749</f>
        <v>0</v>
      </c>
      <c r="K749" s="56">
        <f ca="1">EFEITO!$L$749*EFEITO!$Z$749</f>
        <v>43743.84375956087</v>
      </c>
      <c r="L749" s="56">
        <f>EFEITO!$N$749*EFEITO!$AA$749</f>
        <v>35012.611018959869</v>
      </c>
      <c r="M749" s="56">
        <f>$J$749-EFEITO!$K$749*EFEITO!$Y$749</f>
        <v>0</v>
      </c>
      <c r="N749" s="56">
        <f ca="1">$K$749-EFEITO!$M$749*EFEITO!$Z$749</f>
        <v>0</v>
      </c>
      <c r="O749" s="56">
        <f>$L$749-EFEITO!$O$749*EFEITO!$AA$749</f>
        <v>0</v>
      </c>
      <c r="P749" s="39"/>
      <c r="Q749" s="39"/>
      <c r="R749" s="39"/>
      <c r="S749" s="39"/>
      <c r="T749" s="39"/>
      <c r="U749" s="39"/>
      <c r="V749" s="39"/>
      <c r="W749" s="39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</row>
    <row r="750" spans="1:36" ht="11.25" customHeight="1" x14ac:dyDescent="0.2">
      <c r="A750" s="35" t="s">
        <v>28</v>
      </c>
      <c r="B750" s="35" t="s">
        <v>22</v>
      </c>
      <c r="C750" s="35" t="s">
        <v>23</v>
      </c>
      <c r="D750" s="35" t="s">
        <v>24</v>
      </c>
      <c r="E750" s="35" t="s">
        <v>24</v>
      </c>
      <c r="F750" s="35" t="s">
        <v>25</v>
      </c>
      <c r="G750" s="35" t="s">
        <v>25</v>
      </c>
      <c r="H750" s="35" t="s">
        <v>25</v>
      </c>
      <c r="I750" s="55">
        <v>44713</v>
      </c>
      <c r="J750" s="56">
        <f>EFEITO!$J$750*EFEITO!$Y$750</f>
        <v>0</v>
      </c>
      <c r="K750" s="56">
        <f ca="1">EFEITO!$L$750*EFEITO!$Z$750</f>
        <v>70.004622881151477</v>
      </c>
      <c r="L750" s="56">
        <f>EFEITO!$N$750*EFEITO!$AA$750</f>
        <v>56.031761724894643</v>
      </c>
      <c r="M750" s="56">
        <f>$J$750-EFEITO!$K$750*EFEITO!$Y$750</f>
        <v>0</v>
      </c>
      <c r="N750" s="56">
        <f ca="1">$K$750-EFEITO!$M$750*EFEITO!$Z$750</f>
        <v>0</v>
      </c>
      <c r="O750" s="56">
        <f>$L$750-EFEITO!$O$750*EFEITO!$AA$750</f>
        <v>0</v>
      </c>
      <c r="P750" s="39"/>
      <c r="Q750" s="39"/>
      <c r="R750" s="39"/>
      <c r="S750" s="39"/>
      <c r="T750" s="39"/>
      <c r="U750" s="39"/>
      <c r="V750" s="39"/>
      <c r="W750" s="39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</row>
    <row r="751" spans="1:36" ht="11.25" customHeight="1" x14ac:dyDescent="0.2">
      <c r="A751" s="35" t="s">
        <v>21</v>
      </c>
      <c r="B751" s="35" t="s">
        <v>22</v>
      </c>
      <c r="C751" s="35" t="s">
        <v>23</v>
      </c>
      <c r="D751" s="35" t="s">
        <v>24</v>
      </c>
      <c r="E751" s="35" t="s">
        <v>24</v>
      </c>
      <c r="F751" s="35" t="s">
        <v>25</v>
      </c>
      <c r="G751" s="35" t="s">
        <v>25</v>
      </c>
      <c r="H751" s="35" t="s">
        <v>25</v>
      </c>
      <c r="I751" s="55">
        <v>44743</v>
      </c>
      <c r="J751" s="56">
        <f>EFEITO!$J$751*EFEITO!$Y$751</f>
        <v>0</v>
      </c>
      <c r="K751" s="56">
        <f ca="1">EFEITO!$L$751*EFEITO!$Z$751</f>
        <v>4218231.1989317145</v>
      </c>
      <c r="L751" s="56">
        <f>EFEITO!$N$751*EFEITO!$AA$751</f>
        <v>3376275.961665045</v>
      </c>
      <c r="M751" s="56">
        <f>$J$751-EFEITO!$K$751*EFEITO!$Y$751</f>
        <v>0</v>
      </c>
      <c r="N751" s="56">
        <f ca="1">$K$751-EFEITO!$M$751*EFEITO!$Z$751</f>
        <v>0</v>
      </c>
      <c r="O751" s="56">
        <f>$L$751-EFEITO!$O$751*EFEITO!$AA$751</f>
        <v>0</v>
      </c>
      <c r="P751" s="39"/>
      <c r="Q751" s="39"/>
      <c r="R751" s="39"/>
      <c r="S751" s="39"/>
      <c r="T751" s="39"/>
      <c r="U751" s="39"/>
      <c r="V751" s="39"/>
      <c r="W751" s="39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</row>
    <row r="752" spans="1:36" ht="11.25" customHeight="1" x14ac:dyDescent="0.2">
      <c r="A752" s="35" t="s">
        <v>21</v>
      </c>
      <c r="B752" s="35" t="s">
        <v>22</v>
      </c>
      <c r="C752" s="35" t="s">
        <v>23</v>
      </c>
      <c r="D752" s="35" t="s">
        <v>24</v>
      </c>
      <c r="E752" s="35" t="s">
        <v>24</v>
      </c>
      <c r="F752" s="35" t="s">
        <v>25</v>
      </c>
      <c r="G752" s="35" t="s">
        <v>25</v>
      </c>
      <c r="H752" s="35" t="s">
        <v>25</v>
      </c>
      <c r="I752" s="55">
        <v>44774</v>
      </c>
      <c r="J752" s="56">
        <f>EFEITO!$J$752*EFEITO!$Y$752</f>
        <v>0</v>
      </c>
      <c r="K752" s="56">
        <f ca="1">EFEITO!$L$752*EFEITO!$Z$752</f>
        <v>3968411.0499235648</v>
      </c>
      <c r="L752" s="56">
        <f>EFEITO!$N$752*EFEITO!$AA$752</f>
        <v>3176319.6946758372</v>
      </c>
      <c r="M752" s="56">
        <f>$J$752-EFEITO!$K$752*EFEITO!$Y$752</f>
        <v>0</v>
      </c>
      <c r="N752" s="56">
        <f ca="1">$K$752-EFEITO!$M$752*EFEITO!$Z$752</f>
        <v>0</v>
      </c>
      <c r="O752" s="56">
        <f>$L$752-EFEITO!$O$752*EFEITO!$AA$752</f>
        <v>0</v>
      </c>
      <c r="P752" s="39"/>
      <c r="Q752" s="39"/>
      <c r="R752" s="39"/>
      <c r="S752" s="39"/>
      <c r="T752" s="39"/>
      <c r="U752" s="39"/>
      <c r="V752" s="39"/>
      <c r="W752" s="39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</row>
    <row r="753" spans="1:36" ht="11.25" customHeight="1" x14ac:dyDescent="0.2">
      <c r="A753" s="35" t="s">
        <v>27</v>
      </c>
      <c r="B753" s="35" t="s">
        <v>22</v>
      </c>
      <c r="C753" s="35" t="s">
        <v>23</v>
      </c>
      <c r="D753" s="35" t="s">
        <v>24</v>
      </c>
      <c r="E753" s="35" t="s">
        <v>24</v>
      </c>
      <c r="F753" s="35" t="s">
        <v>25</v>
      </c>
      <c r="G753" s="35" t="s">
        <v>25</v>
      </c>
      <c r="H753" s="35" t="s">
        <v>25</v>
      </c>
      <c r="I753" s="55">
        <v>44774</v>
      </c>
      <c r="J753" s="56">
        <f>EFEITO!$J$753*EFEITO!$Y$753</f>
        <v>0</v>
      </c>
      <c r="K753" s="56">
        <f ca="1">EFEITO!$L$753*EFEITO!$Z$753</f>
        <v>-2567.7538359047076</v>
      </c>
      <c r="L753" s="56">
        <f>EFEITO!$N$753*EFEITO!$AA$753</f>
        <v>-2055.2324286620064</v>
      </c>
      <c r="M753" s="56">
        <f>$J$753-EFEITO!$K$753*EFEITO!$Y$753</f>
        <v>0</v>
      </c>
      <c r="N753" s="56">
        <f ca="1">$K$753-EFEITO!$M$753*EFEITO!$Z$753</f>
        <v>0</v>
      </c>
      <c r="O753" s="56">
        <f>$L$753-EFEITO!$O$753*EFEITO!$AA$753</f>
        <v>0</v>
      </c>
      <c r="P753" s="39"/>
      <c r="Q753" s="39"/>
      <c r="R753" s="39"/>
      <c r="S753" s="39"/>
      <c r="T753" s="39"/>
      <c r="U753" s="39"/>
      <c r="V753" s="39"/>
      <c r="W753" s="39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</row>
    <row r="754" spans="1:36" ht="11.25" customHeight="1" x14ac:dyDescent="0.2">
      <c r="A754" s="35" t="s">
        <v>28</v>
      </c>
      <c r="B754" s="35" t="s">
        <v>22</v>
      </c>
      <c r="C754" s="35" t="s">
        <v>23</v>
      </c>
      <c r="D754" s="35" t="s">
        <v>24</v>
      </c>
      <c r="E754" s="35" t="s">
        <v>24</v>
      </c>
      <c r="F754" s="35" t="s">
        <v>25</v>
      </c>
      <c r="G754" s="35" t="s">
        <v>25</v>
      </c>
      <c r="H754" s="35" t="s">
        <v>25</v>
      </c>
      <c r="I754" s="55">
        <v>44774</v>
      </c>
      <c r="J754" s="56">
        <f>EFEITO!$J$754*EFEITO!$Y$754</f>
        <v>0</v>
      </c>
      <c r="K754" s="56">
        <f ca="1">EFEITO!$L$754*EFEITO!$Z$754</f>
        <v>40401.712943583203</v>
      </c>
      <c r="L754" s="56">
        <f>EFEITO!$N$754*EFEITO!$AA$754</f>
        <v>32337.566574363496</v>
      </c>
      <c r="M754" s="56">
        <f>$J$754-EFEITO!$K$754*EFEITO!$Y$754</f>
        <v>0</v>
      </c>
      <c r="N754" s="56">
        <f ca="1">$K$754-EFEITO!$M$754*EFEITO!$Z$754</f>
        <v>0</v>
      </c>
      <c r="O754" s="56">
        <f>$L$754-EFEITO!$O$754*EFEITO!$AA$754</f>
        <v>0</v>
      </c>
      <c r="P754" s="39"/>
      <c r="Q754" s="39"/>
      <c r="R754" s="39"/>
      <c r="S754" s="39"/>
      <c r="T754" s="39"/>
      <c r="U754" s="39"/>
      <c r="V754" s="39"/>
      <c r="W754" s="39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</row>
    <row r="755" spans="1:36" ht="11.25" customHeight="1" x14ac:dyDescent="0.2">
      <c r="A755" s="35" t="s">
        <v>28</v>
      </c>
      <c r="B755" s="35" t="s">
        <v>22</v>
      </c>
      <c r="C755" s="35" t="s">
        <v>23</v>
      </c>
      <c r="D755" s="35" t="s">
        <v>24</v>
      </c>
      <c r="E755" s="35" t="s">
        <v>24</v>
      </c>
      <c r="F755" s="35" t="s">
        <v>25</v>
      </c>
      <c r="G755" s="35" t="s">
        <v>25</v>
      </c>
      <c r="H755" s="35" t="s">
        <v>25</v>
      </c>
      <c r="I755" s="55">
        <v>44774</v>
      </c>
      <c r="J755" s="56">
        <f>EFEITO!$J$755*EFEITO!$Y$755</f>
        <v>0</v>
      </c>
      <c r="K755" s="56">
        <f ca="1">EFEITO!$L$755*EFEITO!$Z$755</f>
        <v>-36.182164635201886</v>
      </c>
      <c r="L755" s="56">
        <f>EFEITO!$N$755*EFEITO!$AA$755</f>
        <v>-28.960236397136558</v>
      </c>
      <c r="M755" s="56">
        <f>$J$755-EFEITO!$K$755*EFEITO!$Y$755</f>
        <v>0</v>
      </c>
      <c r="N755" s="56">
        <f ca="1">$K$755-EFEITO!$M$755*EFEITO!$Z$755</f>
        <v>0</v>
      </c>
      <c r="O755" s="56">
        <f>$L$755-EFEITO!$O$755*EFEITO!$AA$755</f>
        <v>0</v>
      </c>
      <c r="P755" s="39"/>
      <c r="Q755" s="39"/>
      <c r="R755" s="39"/>
      <c r="S755" s="39"/>
      <c r="T755" s="39"/>
      <c r="U755" s="39"/>
      <c r="V755" s="39"/>
      <c r="W755" s="39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</row>
    <row r="756" spans="1:36" ht="11.25" customHeight="1" x14ac:dyDescent="0.2">
      <c r="A756" s="35" t="s">
        <v>21</v>
      </c>
      <c r="B756" s="35" t="s">
        <v>22</v>
      </c>
      <c r="C756" s="35" t="s">
        <v>23</v>
      </c>
      <c r="D756" s="35" t="s">
        <v>24</v>
      </c>
      <c r="E756" s="35" t="s">
        <v>24</v>
      </c>
      <c r="F756" s="35" t="s">
        <v>25</v>
      </c>
      <c r="G756" s="35" t="s">
        <v>25</v>
      </c>
      <c r="H756" s="35" t="s">
        <v>25</v>
      </c>
      <c r="I756" s="55">
        <v>44805</v>
      </c>
      <c r="J756" s="56">
        <f>EFEITO!$J$756*EFEITO!$Y$756</f>
        <v>0</v>
      </c>
      <c r="K756" s="56">
        <f ca="1">EFEITO!$L$756*EFEITO!$Z$756</f>
        <v>4356648.4294500686</v>
      </c>
      <c r="L756" s="56">
        <f>EFEITO!$N$756*EFEITO!$AA$756</f>
        <v>3487065.2347133602</v>
      </c>
      <c r="M756" s="56">
        <f>$J$756-EFEITO!$K$756*EFEITO!$Y$756</f>
        <v>0</v>
      </c>
      <c r="N756" s="56">
        <f ca="1">$K$756-EFEITO!$M$756*EFEITO!$Z$756</f>
        <v>0</v>
      </c>
      <c r="O756" s="56">
        <f>$L$756-EFEITO!$O$756*EFEITO!$AA$756</f>
        <v>0</v>
      </c>
      <c r="P756" s="39"/>
      <c r="Q756" s="39"/>
      <c r="R756" s="39"/>
      <c r="S756" s="39"/>
      <c r="T756" s="39"/>
      <c r="U756" s="39"/>
      <c r="V756" s="39"/>
      <c r="W756" s="39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</row>
    <row r="757" spans="1:36" ht="11.25" customHeight="1" x14ac:dyDescent="0.2">
      <c r="A757" s="35" t="s">
        <v>27</v>
      </c>
      <c r="B757" s="35" t="s">
        <v>22</v>
      </c>
      <c r="C757" s="35" t="s">
        <v>23</v>
      </c>
      <c r="D757" s="35" t="s">
        <v>24</v>
      </c>
      <c r="E757" s="35" t="s">
        <v>24</v>
      </c>
      <c r="F757" s="35" t="s">
        <v>25</v>
      </c>
      <c r="G757" s="35" t="s">
        <v>25</v>
      </c>
      <c r="H757" s="35" t="s">
        <v>25</v>
      </c>
      <c r="I757" s="55">
        <v>44805</v>
      </c>
      <c r="J757" s="56">
        <f>EFEITO!$J$757*EFEITO!$Y$757</f>
        <v>0</v>
      </c>
      <c r="K757" s="56">
        <f ca="1">EFEITO!$L$757*EFEITO!$Z$757</f>
        <v>-4131.0593187843542</v>
      </c>
      <c r="L757" s="56">
        <f>EFEITO!$N$757*EFEITO!$AA$757</f>
        <v>-3306.5035121252436</v>
      </c>
      <c r="M757" s="56">
        <f>$J$757-EFEITO!$K$757*EFEITO!$Y$757</f>
        <v>0</v>
      </c>
      <c r="N757" s="56">
        <f ca="1">$K$757-EFEITO!$M$757*EFEITO!$Z$757</f>
        <v>0</v>
      </c>
      <c r="O757" s="56">
        <f>$L$757-EFEITO!$O$757*EFEITO!$AA$757</f>
        <v>0</v>
      </c>
      <c r="P757" s="39"/>
      <c r="Q757" s="39"/>
      <c r="R757" s="39"/>
      <c r="S757" s="39"/>
      <c r="T757" s="39"/>
      <c r="U757" s="39"/>
      <c r="V757" s="39"/>
      <c r="W757" s="39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</row>
    <row r="758" spans="1:36" ht="11.25" customHeight="1" x14ac:dyDescent="0.2">
      <c r="A758" s="35" t="s">
        <v>28</v>
      </c>
      <c r="B758" s="35" t="s">
        <v>22</v>
      </c>
      <c r="C758" s="35" t="s">
        <v>23</v>
      </c>
      <c r="D758" s="35" t="s">
        <v>24</v>
      </c>
      <c r="E758" s="35" t="s">
        <v>24</v>
      </c>
      <c r="F758" s="35" t="s">
        <v>25</v>
      </c>
      <c r="G758" s="35" t="s">
        <v>25</v>
      </c>
      <c r="H758" s="35" t="s">
        <v>25</v>
      </c>
      <c r="I758" s="55">
        <v>44805</v>
      </c>
      <c r="J758" s="56">
        <f>EFEITO!$J$758*EFEITO!$Y$758</f>
        <v>0</v>
      </c>
      <c r="K758" s="56">
        <f ca="1">EFEITO!$L$758*EFEITO!$Z$758</f>
        <v>45316.588067997523</v>
      </c>
      <c r="L758" s="56">
        <f>EFEITO!$N$758*EFEITO!$AA$758</f>
        <v>36271.436946700618</v>
      </c>
      <c r="M758" s="56">
        <f>$J$758-EFEITO!$K$758*EFEITO!$Y$758</f>
        <v>0</v>
      </c>
      <c r="N758" s="56">
        <f ca="1">$K$758-EFEITO!$M$758*EFEITO!$Z$758</f>
        <v>0</v>
      </c>
      <c r="O758" s="56">
        <f>$L$758-EFEITO!$O$758*EFEITO!$AA$758</f>
        <v>0</v>
      </c>
      <c r="P758" s="39"/>
      <c r="Q758" s="39"/>
      <c r="R758" s="39"/>
      <c r="S758" s="39"/>
      <c r="T758" s="39"/>
      <c r="U758" s="39"/>
      <c r="V758" s="39"/>
      <c r="W758" s="39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</row>
    <row r="759" spans="1:36" ht="11.25" customHeight="1" x14ac:dyDescent="0.2">
      <c r="A759" s="35" t="s">
        <v>53</v>
      </c>
      <c r="B759" s="35" t="s">
        <v>22</v>
      </c>
      <c r="C759" s="35" t="s">
        <v>23</v>
      </c>
      <c r="D759" s="35" t="s">
        <v>24</v>
      </c>
      <c r="E759" s="35" t="s">
        <v>24</v>
      </c>
      <c r="F759" s="35" t="s">
        <v>25</v>
      </c>
      <c r="G759" s="35" t="s">
        <v>25</v>
      </c>
      <c r="H759" s="35" t="s">
        <v>25</v>
      </c>
      <c r="I759" s="55">
        <v>44835</v>
      </c>
      <c r="J759" s="56">
        <f>EFEITO!$J$759*EFEITO!$Y$759</f>
        <v>0</v>
      </c>
      <c r="K759" s="56">
        <f ca="1">EFEITO!$L$759*EFEITO!$Z$759</f>
        <v>4356648.4294500686</v>
      </c>
      <c r="L759" s="56">
        <f>EFEITO!$N$759*EFEITO!$AA$759</f>
        <v>3487065.2347133602</v>
      </c>
      <c r="M759" s="56">
        <f>$J$759-EFEITO!$K$759*EFEITO!$Y$759</f>
        <v>0</v>
      </c>
      <c r="N759" s="56">
        <f ca="1">$K$759-EFEITO!$M$759*EFEITO!$Z$759</f>
        <v>0</v>
      </c>
      <c r="O759" s="56">
        <f>$L$759-EFEITO!$O$759*EFEITO!$AA$759</f>
        <v>0</v>
      </c>
      <c r="P759" s="39"/>
      <c r="Q759" s="39"/>
      <c r="R759" s="39"/>
      <c r="S759" s="39"/>
      <c r="T759" s="39"/>
      <c r="U759" s="39"/>
      <c r="V759" s="39"/>
      <c r="W759" s="39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</row>
    <row r="760" spans="1:36" ht="11.25" customHeight="1" x14ac:dyDescent="0.2">
      <c r="A760" s="35" t="s">
        <v>53</v>
      </c>
      <c r="B760" s="35" t="s">
        <v>22</v>
      </c>
      <c r="C760" s="35" t="s">
        <v>23</v>
      </c>
      <c r="D760" s="35" t="s">
        <v>24</v>
      </c>
      <c r="E760" s="35" t="s">
        <v>24</v>
      </c>
      <c r="F760" s="35" t="s">
        <v>25</v>
      </c>
      <c r="G760" s="35" t="s">
        <v>25</v>
      </c>
      <c r="H760" s="35" t="s">
        <v>25</v>
      </c>
      <c r="I760" s="55">
        <v>44835</v>
      </c>
      <c r="J760" s="56">
        <f>EFEITO!$J$760*EFEITO!$Y$760</f>
        <v>0</v>
      </c>
      <c r="K760" s="56">
        <f ca="1">EFEITO!$L$760*EFEITO!$Z$760</f>
        <v>-4131.0593187843542</v>
      </c>
      <c r="L760" s="56">
        <f>EFEITO!$N$760*EFEITO!$AA$760</f>
        <v>-3306.5035121252436</v>
      </c>
      <c r="M760" s="56">
        <f>$J$760-EFEITO!$K$760*EFEITO!$Y$760</f>
        <v>0</v>
      </c>
      <c r="N760" s="56">
        <f ca="1">$K$760-EFEITO!$M$760*EFEITO!$Z$760</f>
        <v>0</v>
      </c>
      <c r="O760" s="56">
        <f>$L$760-EFEITO!$O$760*EFEITO!$AA$760</f>
        <v>0</v>
      </c>
      <c r="P760" s="39"/>
      <c r="Q760" s="39"/>
      <c r="R760" s="39"/>
      <c r="S760" s="39"/>
      <c r="T760" s="39"/>
      <c r="U760" s="39"/>
      <c r="V760" s="39"/>
      <c r="W760" s="39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</row>
    <row r="761" spans="1:36" ht="11.25" customHeight="1" x14ac:dyDescent="0.2">
      <c r="A761" s="35" t="s">
        <v>53</v>
      </c>
      <c r="B761" s="35" t="s">
        <v>22</v>
      </c>
      <c r="C761" s="35" t="s">
        <v>23</v>
      </c>
      <c r="D761" s="35" t="s">
        <v>24</v>
      </c>
      <c r="E761" s="35" t="s">
        <v>24</v>
      </c>
      <c r="F761" s="35" t="s">
        <v>25</v>
      </c>
      <c r="G761" s="35" t="s">
        <v>25</v>
      </c>
      <c r="H761" s="35" t="s">
        <v>25</v>
      </c>
      <c r="I761" s="55">
        <v>44835</v>
      </c>
      <c r="J761" s="56">
        <f>EFEITO!$J$761*EFEITO!$Y$761</f>
        <v>0</v>
      </c>
      <c r="K761" s="56">
        <f ca="1">EFEITO!$L$761*EFEITO!$Z$761</f>
        <v>45316.588067997523</v>
      </c>
      <c r="L761" s="56">
        <f>EFEITO!$N$761*EFEITO!$AA$761</f>
        <v>36271.436946700618</v>
      </c>
      <c r="M761" s="56">
        <f>$J$761-EFEITO!$K$761*EFEITO!$Y$761</f>
        <v>0</v>
      </c>
      <c r="N761" s="56">
        <f ca="1">$K$761-EFEITO!$M$761*EFEITO!$Z$761</f>
        <v>0</v>
      </c>
      <c r="O761" s="56">
        <f>$L$761-EFEITO!$O$761*EFEITO!$AA$761</f>
        <v>0</v>
      </c>
      <c r="P761" s="39"/>
      <c r="Q761" s="39"/>
      <c r="R761" s="39"/>
      <c r="S761" s="39"/>
      <c r="T761" s="39"/>
      <c r="U761" s="39"/>
      <c r="V761" s="39"/>
      <c r="W761" s="39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</row>
    <row r="762" spans="1:36" ht="11.25" customHeight="1" x14ac:dyDescent="0.2">
      <c r="A762" s="35" t="s">
        <v>21</v>
      </c>
      <c r="B762" s="35" t="s">
        <v>22</v>
      </c>
      <c r="C762" s="35" t="s">
        <v>23</v>
      </c>
      <c r="D762" s="35" t="s">
        <v>24</v>
      </c>
      <c r="E762" s="35" t="s">
        <v>29</v>
      </c>
      <c r="F762" s="35" t="s">
        <v>25</v>
      </c>
      <c r="G762" s="35" t="s">
        <v>25</v>
      </c>
      <c r="H762" s="35" t="s">
        <v>25</v>
      </c>
      <c r="I762" s="55">
        <v>44501</v>
      </c>
      <c r="J762" s="56">
        <f>EFEITO!$J$762*EFEITO!$Y$723</f>
        <v>0</v>
      </c>
      <c r="K762" s="56">
        <f ca="1">EFEITO!$L$762*EFEITO!$Z$851</f>
        <v>41942.685178471773</v>
      </c>
      <c r="L762" s="56">
        <f>EFEITO!$N$762*EFEITO!$AA$851</f>
        <v>50789.644151834706</v>
      </c>
      <c r="M762" s="56">
        <f>$J$762-EFEITO!$K$762*EFEITO!$Y$762</f>
        <v>0</v>
      </c>
      <c r="N762" s="56">
        <f ca="1">$K$762-EFEITO!$M$762*EFEITO!$Z$762</f>
        <v>27262.745366006653</v>
      </c>
      <c r="O762" s="56">
        <f>$L$762-EFEITO!$O$762*EFEITO!$AA$762</f>
        <v>33013.268698692562</v>
      </c>
      <c r="P762" s="39"/>
      <c r="Q762" s="39"/>
      <c r="R762" s="39"/>
      <c r="S762" s="39"/>
      <c r="T762" s="39"/>
      <c r="U762" s="39"/>
      <c r="V762" s="39"/>
      <c r="W762" s="39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</row>
    <row r="763" spans="1:36" ht="11.25" customHeight="1" x14ac:dyDescent="0.2">
      <c r="A763" s="35" t="s">
        <v>27</v>
      </c>
      <c r="B763" s="35" t="s">
        <v>22</v>
      </c>
      <c r="C763" s="35" t="s">
        <v>23</v>
      </c>
      <c r="D763" s="35" t="s">
        <v>24</v>
      </c>
      <c r="E763" s="35" t="s">
        <v>29</v>
      </c>
      <c r="F763" s="35" t="s">
        <v>25</v>
      </c>
      <c r="G763" s="35" t="s">
        <v>25</v>
      </c>
      <c r="H763" s="35" t="s">
        <v>25</v>
      </c>
      <c r="I763" s="55">
        <v>44501</v>
      </c>
      <c r="J763" s="56">
        <f>EFEITO!$J$763*EFEITO!$Y$723</f>
        <v>0</v>
      </c>
      <c r="K763" s="56">
        <f ca="1">EFEITO!$L$763*EFEITO!$Z$851</f>
        <v>-7.7985990155017015</v>
      </c>
      <c r="L763" s="56">
        <f>EFEITO!$N$763*EFEITO!$AA$851</f>
        <v>-9.4435553468923565</v>
      </c>
      <c r="M763" s="56">
        <f>$J$763-EFEITO!$K$763*EFEITO!$Y$763</f>
        <v>0</v>
      </c>
      <c r="N763" s="56">
        <f ca="1">$K$763-EFEITO!$M$763*EFEITO!$Z$763</f>
        <v>-5.0690893600761058</v>
      </c>
      <c r="O763" s="56">
        <f>$L$763-EFEITO!$O$763*EFEITO!$AA$763</f>
        <v>-6.1383109754800325</v>
      </c>
      <c r="P763" s="39"/>
      <c r="Q763" s="39"/>
      <c r="R763" s="39"/>
      <c r="S763" s="39"/>
      <c r="T763" s="39"/>
      <c r="U763" s="39"/>
      <c r="V763" s="39"/>
      <c r="W763" s="39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</row>
    <row r="764" spans="1:36" ht="11.25" customHeight="1" x14ac:dyDescent="0.2">
      <c r="A764" s="35" t="s">
        <v>28</v>
      </c>
      <c r="B764" s="35" t="s">
        <v>22</v>
      </c>
      <c r="C764" s="35" t="s">
        <v>23</v>
      </c>
      <c r="D764" s="35" t="s">
        <v>24</v>
      </c>
      <c r="E764" s="35" t="s">
        <v>29</v>
      </c>
      <c r="F764" s="35" t="s">
        <v>25</v>
      </c>
      <c r="G764" s="35" t="s">
        <v>25</v>
      </c>
      <c r="H764" s="35" t="s">
        <v>25</v>
      </c>
      <c r="I764" s="55">
        <v>44501</v>
      </c>
      <c r="J764" s="56">
        <f>EFEITO!$J$764*EFEITO!$Y$723</f>
        <v>0</v>
      </c>
      <c r="K764" s="56">
        <f ca="1">EFEITO!$L$764*EFEITO!$Z$851</f>
        <v>15.597198031003403</v>
      </c>
      <c r="L764" s="56">
        <f>EFEITO!$N$764*EFEITO!$AA$851</f>
        <v>18.887110693784713</v>
      </c>
      <c r="M764" s="56">
        <f>$J$764-EFEITO!$K$764*EFEITO!$Y$764</f>
        <v>0</v>
      </c>
      <c r="N764" s="56">
        <f ca="1">$K$764-EFEITO!$M$764*EFEITO!$Z$764</f>
        <v>17.234903824258762</v>
      </c>
      <c r="O764" s="56">
        <f>$L$764-EFEITO!$O$764*EFEITO!$AA$764</f>
        <v>20.870257316632106</v>
      </c>
      <c r="P764" s="39"/>
      <c r="Q764" s="39"/>
      <c r="R764" s="39"/>
      <c r="S764" s="39"/>
      <c r="T764" s="39"/>
      <c r="U764" s="39"/>
      <c r="V764" s="39"/>
      <c r="W764" s="39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</row>
    <row r="765" spans="1:36" ht="11.25" customHeight="1" x14ac:dyDescent="0.2">
      <c r="A765" s="35" t="s">
        <v>21</v>
      </c>
      <c r="B765" s="35" t="s">
        <v>22</v>
      </c>
      <c r="C765" s="35" t="s">
        <v>23</v>
      </c>
      <c r="D765" s="35" t="s">
        <v>24</v>
      </c>
      <c r="E765" s="35" t="s">
        <v>29</v>
      </c>
      <c r="F765" s="35" t="s">
        <v>25</v>
      </c>
      <c r="G765" s="35" t="s">
        <v>25</v>
      </c>
      <c r="H765" s="35" t="s">
        <v>25</v>
      </c>
      <c r="I765" s="55">
        <v>44531</v>
      </c>
      <c r="J765" s="56">
        <f>EFEITO!$J$765*EFEITO!$Y$723</f>
        <v>0</v>
      </c>
      <c r="K765" s="56">
        <f ca="1">EFEITO!$L$765*EFEITO!$Z$851</f>
        <v>44051.166398962916</v>
      </c>
      <c r="L765" s="56">
        <f>EFEITO!$N$765*EFEITO!$AA$851</f>
        <v>53342.866732456161</v>
      </c>
      <c r="M765" s="56">
        <f>$J$765-EFEITO!$K$765*EFEITO!$Y$765</f>
        <v>0</v>
      </c>
      <c r="N765" s="56">
        <f ca="1">$K$765-EFEITO!$M$765*EFEITO!$Z$765</f>
        <v>28633.258159325895</v>
      </c>
      <c r="O765" s="56">
        <f>$L$765-EFEITO!$O$765*EFEITO!$AA$765</f>
        <v>34672.863376096502</v>
      </c>
      <c r="P765" s="39"/>
      <c r="Q765" s="39"/>
      <c r="R765" s="39"/>
      <c r="S765" s="39"/>
      <c r="T765" s="39"/>
      <c r="U765" s="39"/>
      <c r="V765" s="39"/>
      <c r="W765" s="39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</row>
    <row r="766" spans="1:36" ht="11.25" customHeight="1" x14ac:dyDescent="0.2">
      <c r="A766" s="35" t="s">
        <v>27</v>
      </c>
      <c r="B766" s="35" t="s">
        <v>22</v>
      </c>
      <c r="C766" s="35" t="s">
        <v>23</v>
      </c>
      <c r="D766" s="35" t="s">
        <v>24</v>
      </c>
      <c r="E766" s="35" t="s">
        <v>29</v>
      </c>
      <c r="F766" s="35" t="s">
        <v>25</v>
      </c>
      <c r="G766" s="35" t="s">
        <v>25</v>
      </c>
      <c r="H766" s="35" t="s">
        <v>25</v>
      </c>
      <c r="I766" s="55">
        <v>44531</v>
      </c>
      <c r="J766" s="56">
        <f>EFEITO!$J$766*EFEITO!$Y$723</f>
        <v>0</v>
      </c>
      <c r="K766" s="56">
        <f ca="1">EFEITO!$L$766*EFEITO!$Z$851</f>
        <v>38.99299507750851</v>
      </c>
      <c r="L766" s="56">
        <f>EFEITO!$N$766*EFEITO!$AA$851</f>
        <v>47.217776734461779</v>
      </c>
      <c r="M766" s="56">
        <f>$J$766-EFEITO!$K$766*EFEITO!$Y$766</f>
        <v>0</v>
      </c>
      <c r="N766" s="56">
        <f ca="1">$K$766-EFEITO!$M$766*EFEITO!$Z$766</f>
        <v>25.345446800380532</v>
      </c>
      <c r="O766" s="56">
        <f>$L$766-EFEITO!$O$766*EFEITO!$AA$766</f>
        <v>30.691554877400158</v>
      </c>
      <c r="P766" s="39"/>
      <c r="Q766" s="39"/>
      <c r="R766" s="39"/>
      <c r="S766" s="39"/>
      <c r="T766" s="39"/>
      <c r="U766" s="39"/>
      <c r="V766" s="39"/>
      <c r="W766" s="39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</row>
    <row r="767" spans="1:36" ht="11.25" customHeight="1" x14ac:dyDescent="0.2">
      <c r="A767" s="35" t="s">
        <v>28</v>
      </c>
      <c r="B767" s="35" t="s">
        <v>22</v>
      </c>
      <c r="C767" s="35" t="s">
        <v>23</v>
      </c>
      <c r="D767" s="35" t="s">
        <v>24</v>
      </c>
      <c r="E767" s="35" t="s">
        <v>29</v>
      </c>
      <c r="F767" s="35" t="s">
        <v>25</v>
      </c>
      <c r="G767" s="35" t="s">
        <v>25</v>
      </c>
      <c r="H767" s="35" t="s">
        <v>25</v>
      </c>
      <c r="I767" s="55">
        <v>44531</v>
      </c>
      <c r="J767" s="56">
        <f>EFEITO!$J$767*EFEITO!$Y$723</f>
        <v>0</v>
      </c>
      <c r="K767" s="56">
        <f ca="1">EFEITO!$L$767*EFEITO!$Z$851</f>
        <v>15.597198031003403</v>
      </c>
      <c r="L767" s="56">
        <f>EFEITO!$N$767*EFEITO!$AA$851</f>
        <v>18.887110693784713</v>
      </c>
      <c r="M767" s="56">
        <f>$J$767-EFEITO!$K$767*EFEITO!$Y$767</f>
        <v>0</v>
      </c>
      <c r="N767" s="56">
        <f ca="1">$K$767-EFEITO!$M$767*EFEITO!$Z$767</f>
        <v>17.234903824258762</v>
      </c>
      <c r="O767" s="56">
        <f>$L$767-EFEITO!$O$767*EFEITO!$AA$767</f>
        <v>20.870257316632106</v>
      </c>
      <c r="P767" s="39"/>
      <c r="Q767" s="39"/>
      <c r="R767" s="39"/>
      <c r="S767" s="39"/>
      <c r="T767" s="39"/>
      <c r="U767" s="39"/>
      <c r="V767" s="39"/>
      <c r="W767" s="39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</row>
    <row r="768" spans="1:36" ht="11.25" customHeight="1" x14ac:dyDescent="0.2">
      <c r="A768" s="35" t="s">
        <v>21</v>
      </c>
      <c r="B768" s="35" t="s">
        <v>22</v>
      </c>
      <c r="C768" s="35" t="s">
        <v>23</v>
      </c>
      <c r="D768" s="35" t="s">
        <v>24</v>
      </c>
      <c r="E768" s="35" t="s">
        <v>29</v>
      </c>
      <c r="F768" s="35" t="s">
        <v>25</v>
      </c>
      <c r="G768" s="35" t="s">
        <v>25</v>
      </c>
      <c r="H768" s="35" t="s">
        <v>25</v>
      </c>
      <c r="I768" s="55">
        <v>44562</v>
      </c>
      <c r="J768" s="56">
        <f>EFEITO!$J$768*EFEITO!$Y$723</f>
        <v>0</v>
      </c>
      <c r="K768" s="56">
        <f ca="1">EFEITO!$L$768*EFEITO!$Z$851</f>
        <v>42617.26399331267</v>
      </c>
      <c r="L768" s="56">
        <f>EFEITO!$N$768*EFEITO!$AA$851</f>
        <v>51606.511689340892</v>
      </c>
      <c r="M768" s="56">
        <f>$J$768-EFEITO!$K$768*EFEITO!$Y$768</f>
        <v>0</v>
      </c>
      <c r="N768" s="56">
        <f ca="1">$K$768-EFEITO!$M$768*EFEITO!$Z$768</f>
        <v>27701.221595653238</v>
      </c>
      <c r="O768" s="56">
        <f>$L$768-EFEITO!$O$768*EFEITO!$AA$768</f>
        <v>33544.232598071583</v>
      </c>
      <c r="P768" s="39"/>
      <c r="Q768" s="39"/>
      <c r="R768" s="39"/>
      <c r="S768" s="39"/>
      <c r="T768" s="39"/>
      <c r="U768" s="39"/>
      <c r="V768" s="39"/>
      <c r="W768" s="39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</row>
    <row r="769" spans="1:36" ht="11.25" customHeight="1" x14ac:dyDescent="0.2">
      <c r="A769" s="35" t="s">
        <v>28</v>
      </c>
      <c r="B769" s="35" t="s">
        <v>22</v>
      </c>
      <c r="C769" s="35" t="s">
        <v>23</v>
      </c>
      <c r="D769" s="35" t="s">
        <v>24</v>
      </c>
      <c r="E769" s="35" t="s">
        <v>29</v>
      </c>
      <c r="F769" s="35" t="s">
        <v>25</v>
      </c>
      <c r="G769" s="35" t="s">
        <v>25</v>
      </c>
      <c r="H769" s="35" t="s">
        <v>25</v>
      </c>
      <c r="I769" s="55">
        <v>44562</v>
      </c>
      <c r="J769" s="56">
        <f>EFEITO!$J$769*EFEITO!$Y$723</f>
        <v>0</v>
      </c>
      <c r="K769" s="56">
        <f ca="1">EFEITO!$L$769*EFEITO!$Z$851</f>
        <v>15.597198031003403</v>
      </c>
      <c r="L769" s="56">
        <f>EFEITO!$N$769*EFEITO!$AA$851</f>
        <v>18.887110693784713</v>
      </c>
      <c r="M769" s="56">
        <f>$J$769-EFEITO!$K$769*EFEITO!$Y$769</f>
        <v>0</v>
      </c>
      <c r="N769" s="56">
        <f ca="1">$K$769-EFEITO!$M$769*EFEITO!$Z$769</f>
        <v>17.234903824258762</v>
      </c>
      <c r="O769" s="56">
        <f>$L$769-EFEITO!$O$769*EFEITO!$AA$769</f>
        <v>20.870257316632106</v>
      </c>
      <c r="P769" s="39"/>
      <c r="Q769" s="39"/>
      <c r="R769" s="39"/>
      <c r="S769" s="39"/>
      <c r="T769" s="39"/>
      <c r="U769" s="39"/>
      <c r="V769" s="39"/>
      <c r="W769" s="39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</row>
    <row r="770" spans="1:36" ht="11.25" customHeight="1" x14ac:dyDescent="0.2">
      <c r="A770" s="35" t="s">
        <v>21</v>
      </c>
      <c r="B770" s="35" t="s">
        <v>22</v>
      </c>
      <c r="C770" s="35" t="s">
        <v>23</v>
      </c>
      <c r="D770" s="35" t="s">
        <v>24</v>
      </c>
      <c r="E770" s="35" t="s">
        <v>29</v>
      </c>
      <c r="F770" s="35" t="s">
        <v>25</v>
      </c>
      <c r="G770" s="35" t="s">
        <v>25</v>
      </c>
      <c r="H770" s="35" t="s">
        <v>25</v>
      </c>
      <c r="I770" s="55">
        <v>44593</v>
      </c>
      <c r="J770" s="56">
        <f>EFEITO!$J$770*EFEITO!$Y$723</f>
        <v>0</v>
      </c>
      <c r="K770" s="56">
        <f ca="1">EFEITO!$L$770*EFEITO!$Z$851</f>
        <v>47373.109626266123</v>
      </c>
      <c r="L770" s="56">
        <f>EFEITO!$N$770*EFEITO!$AA$851</f>
        <v>57365.506525054079</v>
      </c>
      <c r="M770" s="56">
        <f>$J$770-EFEITO!$K$770*EFEITO!$Y$770</f>
        <v>0</v>
      </c>
      <c r="N770" s="56">
        <f ca="1">$K$770-EFEITO!$M$770*EFEITO!$Z$770</f>
        <v>30792.521257072982</v>
      </c>
      <c r="O770" s="56">
        <f>$L$770-EFEITO!$O$770*EFEITO!$AA$770</f>
        <v>37287.579241285159</v>
      </c>
      <c r="P770" s="39"/>
      <c r="Q770" s="39"/>
      <c r="R770" s="39"/>
      <c r="S770" s="39"/>
      <c r="T770" s="39"/>
      <c r="U770" s="39"/>
      <c r="V770" s="39"/>
      <c r="W770" s="39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</row>
    <row r="771" spans="1:36" ht="11.25" customHeight="1" x14ac:dyDescent="0.2">
      <c r="A771" s="35" t="s">
        <v>28</v>
      </c>
      <c r="B771" s="35" t="s">
        <v>22</v>
      </c>
      <c r="C771" s="35" t="s">
        <v>23</v>
      </c>
      <c r="D771" s="35" t="s">
        <v>24</v>
      </c>
      <c r="E771" s="35" t="s">
        <v>29</v>
      </c>
      <c r="F771" s="35" t="s">
        <v>25</v>
      </c>
      <c r="G771" s="35" t="s">
        <v>25</v>
      </c>
      <c r="H771" s="35" t="s">
        <v>25</v>
      </c>
      <c r="I771" s="55">
        <v>44593</v>
      </c>
      <c r="J771" s="56">
        <f>EFEITO!$J$771*EFEITO!$Y$723</f>
        <v>0</v>
      </c>
      <c r="K771" s="56">
        <f ca="1">EFEITO!$L$771*EFEITO!$Z$851</f>
        <v>15.597198031003403</v>
      </c>
      <c r="L771" s="56">
        <f>EFEITO!$N$771*EFEITO!$AA$851</f>
        <v>18.887110693784713</v>
      </c>
      <c r="M771" s="56">
        <f>$J$771-EFEITO!$K$771*EFEITO!$Y$771</f>
        <v>0</v>
      </c>
      <c r="N771" s="56">
        <f ca="1">$K$771-EFEITO!$M$771*EFEITO!$Z$771</f>
        <v>17.234903824258762</v>
      </c>
      <c r="O771" s="56">
        <f>$L$771-EFEITO!$O$771*EFEITO!$AA$771</f>
        <v>20.870257316632106</v>
      </c>
      <c r="P771" s="39"/>
      <c r="Q771" s="39"/>
      <c r="R771" s="39"/>
      <c r="S771" s="39"/>
      <c r="T771" s="39"/>
      <c r="U771" s="39"/>
      <c r="V771" s="39"/>
      <c r="W771" s="39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</row>
    <row r="772" spans="1:36" ht="11.25" customHeight="1" x14ac:dyDescent="0.2">
      <c r="A772" s="35" t="s">
        <v>21</v>
      </c>
      <c r="B772" s="35" t="s">
        <v>22</v>
      </c>
      <c r="C772" s="35" t="s">
        <v>23</v>
      </c>
      <c r="D772" s="35" t="s">
        <v>24</v>
      </c>
      <c r="E772" s="35" t="s">
        <v>29</v>
      </c>
      <c r="F772" s="35" t="s">
        <v>25</v>
      </c>
      <c r="G772" s="35" t="s">
        <v>25</v>
      </c>
      <c r="H772" s="35" t="s">
        <v>25</v>
      </c>
      <c r="I772" s="55">
        <v>44621</v>
      </c>
      <c r="J772" s="56">
        <f>EFEITO!$J$772*EFEITO!$Y$723</f>
        <v>0</v>
      </c>
      <c r="K772" s="56">
        <f ca="1">EFEITO!$L$772*EFEITO!$Z$851</f>
        <v>48875.11979665175</v>
      </c>
      <c r="L772" s="56">
        <f>EFEITO!$N$772*EFEITO!$AA$851</f>
        <v>59184.335284865541</v>
      </c>
      <c r="M772" s="56">
        <f>$J$772-EFEITO!$K$772*EFEITO!$Y$772</f>
        <v>0</v>
      </c>
      <c r="N772" s="56">
        <f ca="1">$K$772-EFEITO!$M$772*EFEITO!$Z$772</f>
        <v>31768.827867823638</v>
      </c>
      <c r="O772" s="56">
        <f>$L$772-EFEITO!$O$772*EFEITO!$AA$772</f>
        <v>38469.817935162602</v>
      </c>
      <c r="P772" s="39"/>
      <c r="Q772" s="39"/>
      <c r="R772" s="39"/>
      <c r="S772" s="39"/>
      <c r="T772" s="39"/>
      <c r="U772" s="39"/>
      <c r="V772" s="39"/>
      <c r="W772" s="39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</row>
    <row r="773" spans="1:36" ht="11.25" customHeight="1" x14ac:dyDescent="0.2">
      <c r="A773" s="35" t="s">
        <v>28</v>
      </c>
      <c r="B773" s="35" t="s">
        <v>22</v>
      </c>
      <c r="C773" s="35" t="s">
        <v>23</v>
      </c>
      <c r="D773" s="35" t="s">
        <v>24</v>
      </c>
      <c r="E773" s="35" t="s">
        <v>29</v>
      </c>
      <c r="F773" s="35" t="s">
        <v>25</v>
      </c>
      <c r="G773" s="35" t="s">
        <v>25</v>
      </c>
      <c r="H773" s="35" t="s">
        <v>25</v>
      </c>
      <c r="I773" s="55">
        <v>44621</v>
      </c>
      <c r="J773" s="56">
        <f>EFEITO!$J$773*EFEITO!$Y$723</f>
        <v>0</v>
      </c>
      <c r="K773" s="56">
        <f ca="1">EFEITO!$L$773*EFEITO!$Z$851</f>
        <v>15.597198031003403</v>
      </c>
      <c r="L773" s="56">
        <f>EFEITO!$N$773*EFEITO!$AA$851</f>
        <v>18.887110693784713</v>
      </c>
      <c r="M773" s="56">
        <f>$J$773-EFEITO!$K$773*EFEITO!$Y$773</f>
        <v>0</v>
      </c>
      <c r="N773" s="56">
        <f ca="1">$K$773-EFEITO!$M$773*EFEITO!$Z$773</f>
        <v>17.234903824258762</v>
      </c>
      <c r="O773" s="56">
        <f>$L$773-EFEITO!$O$773*EFEITO!$AA$773</f>
        <v>20.870257316632106</v>
      </c>
      <c r="P773" s="39"/>
      <c r="Q773" s="39"/>
      <c r="R773" s="39"/>
      <c r="S773" s="39"/>
      <c r="T773" s="39"/>
      <c r="U773" s="39"/>
      <c r="V773" s="39"/>
      <c r="W773" s="39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</row>
    <row r="774" spans="1:36" ht="11.25" customHeight="1" x14ac:dyDescent="0.2">
      <c r="A774" s="35" t="s">
        <v>21</v>
      </c>
      <c r="B774" s="35" t="s">
        <v>22</v>
      </c>
      <c r="C774" s="35" t="s">
        <v>23</v>
      </c>
      <c r="D774" s="35" t="s">
        <v>24</v>
      </c>
      <c r="E774" s="35" t="s">
        <v>29</v>
      </c>
      <c r="F774" s="35" t="s">
        <v>25</v>
      </c>
      <c r="G774" s="35" t="s">
        <v>25</v>
      </c>
      <c r="H774" s="35" t="s">
        <v>25</v>
      </c>
      <c r="I774" s="55">
        <v>44652</v>
      </c>
      <c r="J774" s="56">
        <f>EFEITO!$J$774*EFEITO!$Y$723</f>
        <v>0</v>
      </c>
      <c r="K774" s="56">
        <f ca="1">EFEITO!$L$774*EFEITO!$Z$851</f>
        <v>49179.785064857351</v>
      </c>
      <c r="L774" s="56">
        <f>EFEITO!$N$774*EFEITO!$AA$851</f>
        <v>59553.263513750811</v>
      </c>
      <c r="M774" s="56">
        <f>$J$774-EFEITO!$K$774*EFEITO!$Y$774</f>
        <v>0</v>
      </c>
      <c r="N774" s="56">
        <f ca="1">$K$774-EFEITO!$M$774*EFEITO!$Z$774</f>
        <v>31966.860292157278</v>
      </c>
      <c r="O774" s="56">
        <f>$L$774-EFEITO!$O$774*EFEITO!$AA$774</f>
        <v>38709.621283938031</v>
      </c>
      <c r="P774" s="39"/>
      <c r="Q774" s="39"/>
      <c r="R774" s="39"/>
      <c r="S774" s="39"/>
      <c r="T774" s="39"/>
      <c r="U774" s="39"/>
      <c r="V774" s="39"/>
      <c r="W774" s="39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</row>
    <row r="775" spans="1:36" ht="11.25" customHeight="1" x14ac:dyDescent="0.2">
      <c r="A775" s="35" t="s">
        <v>27</v>
      </c>
      <c r="B775" s="35" t="s">
        <v>22</v>
      </c>
      <c r="C775" s="35" t="s">
        <v>23</v>
      </c>
      <c r="D775" s="35" t="s">
        <v>24</v>
      </c>
      <c r="E775" s="35" t="s">
        <v>29</v>
      </c>
      <c r="F775" s="35" t="s">
        <v>25</v>
      </c>
      <c r="G775" s="35" t="s">
        <v>25</v>
      </c>
      <c r="H775" s="35" t="s">
        <v>25</v>
      </c>
      <c r="I775" s="55">
        <v>44652</v>
      </c>
      <c r="J775" s="56">
        <f>EFEITO!$J$775*EFEITO!$Y$723</f>
        <v>0</v>
      </c>
      <c r="K775" s="56">
        <f ca="1">EFEITO!$L$775*EFEITO!$Z$851</f>
        <v>23.395797046505105</v>
      </c>
      <c r="L775" s="56">
        <f>EFEITO!$N$775*EFEITO!$AA$851</f>
        <v>28.33066604067707</v>
      </c>
      <c r="M775" s="56">
        <f>$J$775-EFEITO!$K$775*EFEITO!$Y$775</f>
        <v>0</v>
      </c>
      <c r="N775" s="56">
        <f ca="1">$K$775-EFEITO!$M$775*EFEITO!$Z$775</f>
        <v>15.207268080228319</v>
      </c>
      <c r="O775" s="56">
        <f>$L$775-EFEITO!$O$775*EFEITO!$AA$775</f>
        <v>18.414932926440095</v>
      </c>
      <c r="P775" s="39"/>
      <c r="Q775" s="39"/>
      <c r="R775" s="39"/>
      <c r="S775" s="39"/>
      <c r="T775" s="39"/>
      <c r="U775" s="39"/>
      <c r="V775" s="39"/>
      <c r="W775" s="39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</row>
    <row r="776" spans="1:36" ht="11.25" customHeight="1" x14ac:dyDescent="0.2">
      <c r="A776" s="35" t="s">
        <v>28</v>
      </c>
      <c r="B776" s="35" t="s">
        <v>22</v>
      </c>
      <c r="C776" s="35" t="s">
        <v>23</v>
      </c>
      <c r="D776" s="35" t="s">
        <v>24</v>
      </c>
      <c r="E776" s="35" t="s">
        <v>29</v>
      </c>
      <c r="F776" s="35" t="s">
        <v>25</v>
      </c>
      <c r="G776" s="35" t="s">
        <v>25</v>
      </c>
      <c r="H776" s="35" t="s">
        <v>25</v>
      </c>
      <c r="I776" s="55">
        <v>44652</v>
      </c>
      <c r="J776" s="56">
        <f>EFEITO!$J$776*EFEITO!$Y$723</f>
        <v>0</v>
      </c>
      <c r="K776" s="56">
        <f ca="1">EFEITO!$L$776*EFEITO!$Z$851</f>
        <v>7.7985990155017015</v>
      </c>
      <c r="L776" s="56">
        <f>EFEITO!$N$776*EFEITO!$AA$851</f>
        <v>9.4435553468923565</v>
      </c>
      <c r="M776" s="56">
        <f>$J$776-EFEITO!$K$776*EFEITO!$Y$776</f>
        <v>0</v>
      </c>
      <c r="N776" s="56">
        <f ca="1">$K$776-EFEITO!$M$776*EFEITO!$Z$776</f>
        <v>8.6174519121293809</v>
      </c>
      <c r="O776" s="56">
        <f>$L$776-EFEITO!$O$776*EFEITO!$AA$776</f>
        <v>10.435128658316053</v>
      </c>
      <c r="P776" s="39"/>
      <c r="Q776" s="39"/>
      <c r="R776" s="39"/>
      <c r="S776" s="39"/>
      <c r="T776" s="39"/>
      <c r="U776" s="39"/>
      <c r="V776" s="39"/>
      <c r="W776" s="39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</row>
    <row r="777" spans="1:36" ht="11.25" customHeight="1" x14ac:dyDescent="0.2">
      <c r="A777" s="35" t="s">
        <v>21</v>
      </c>
      <c r="B777" s="35" t="s">
        <v>22</v>
      </c>
      <c r="C777" s="35" t="s">
        <v>23</v>
      </c>
      <c r="D777" s="35" t="s">
        <v>24</v>
      </c>
      <c r="E777" s="35" t="s">
        <v>29</v>
      </c>
      <c r="F777" s="35" t="s">
        <v>25</v>
      </c>
      <c r="G777" s="35" t="s">
        <v>25</v>
      </c>
      <c r="H777" s="35" t="s">
        <v>25</v>
      </c>
      <c r="I777" s="55">
        <v>44682</v>
      </c>
      <c r="J777" s="56">
        <f>EFEITO!$J$777*EFEITO!$Y$723</f>
        <v>0</v>
      </c>
      <c r="K777" s="56">
        <f ca="1">EFEITO!$L$777*EFEITO!$Z$851</f>
        <v>50343.336037970206</v>
      </c>
      <c r="L777" s="56">
        <f>EFEITO!$N$777*EFEITO!$AA$851</f>
        <v>60962.241971507152</v>
      </c>
      <c r="M777" s="56">
        <f>$J$777-EFEITO!$K$777*EFEITO!$Y$777</f>
        <v>0</v>
      </c>
      <c r="N777" s="56">
        <f ca="1">$K$777-EFEITO!$M$777*EFEITO!$Z$777</f>
        <v>32723.168424680633</v>
      </c>
      <c r="O777" s="56">
        <f>$L$777-EFEITO!$O$777*EFEITO!$AA$777</f>
        <v>39625.457281479656</v>
      </c>
      <c r="P777" s="39"/>
      <c r="Q777" s="39"/>
      <c r="R777" s="39"/>
      <c r="S777" s="39"/>
      <c r="T777" s="39"/>
      <c r="U777" s="39"/>
      <c r="V777" s="39"/>
      <c r="W777" s="39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</row>
    <row r="778" spans="1:36" ht="11.25" customHeight="1" x14ac:dyDescent="0.2">
      <c r="A778" s="35" t="s">
        <v>28</v>
      </c>
      <c r="B778" s="35" t="s">
        <v>22</v>
      </c>
      <c r="C778" s="35" t="s">
        <v>23</v>
      </c>
      <c r="D778" s="35" t="s">
        <v>24</v>
      </c>
      <c r="E778" s="35" t="s">
        <v>29</v>
      </c>
      <c r="F778" s="35" t="s">
        <v>25</v>
      </c>
      <c r="G778" s="35" t="s">
        <v>25</v>
      </c>
      <c r="H778" s="35" t="s">
        <v>25</v>
      </c>
      <c r="I778" s="55">
        <v>44682</v>
      </c>
      <c r="J778" s="56">
        <f>EFEITO!$J$778*EFEITO!$Y$723</f>
        <v>0</v>
      </c>
      <c r="K778" s="56">
        <f ca="1">EFEITO!$L$778*EFEITO!$Z$851</f>
        <v>13.257618326352892</v>
      </c>
      <c r="L778" s="56">
        <f>EFEITO!$N$778*EFEITO!$AA$851</f>
        <v>16.054044089717006</v>
      </c>
      <c r="M778" s="56">
        <f>$J$778-EFEITO!$K$778*EFEITO!$Y$778</f>
        <v>0</v>
      </c>
      <c r="N778" s="56">
        <f ca="1">$K$778-EFEITO!$M$778*EFEITO!$Z$778</f>
        <v>14.649668250619946</v>
      </c>
      <c r="O778" s="56">
        <f>$L$778-EFEITO!$O$778*EFEITO!$AA$778</f>
        <v>17.739718719137294</v>
      </c>
      <c r="P778" s="39"/>
      <c r="Q778" s="39"/>
      <c r="R778" s="39"/>
      <c r="S778" s="39"/>
      <c r="T778" s="39"/>
      <c r="U778" s="39"/>
      <c r="V778" s="39"/>
      <c r="W778" s="39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</row>
    <row r="779" spans="1:36" ht="11.25" customHeight="1" x14ac:dyDescent="0.2">
      <c r="A779" s="35" t="s">
        <v>21</v>
      </c>
      <c r="B779" s="35" t="s">
        <v>22</v>
      </c>
      <c r="C779" s="35" t="s">
        <v>23</v>
      </c>
      <c r="D779" s="35" t="s">
        <v>24</v>
      </c>
      <c r="E779" s="35" t="s">
        <v>29</v>
      </c>
      <c r="F779" s="35" t="s">
        <v>25</v>
      </c>
      <c r="G779" s="35" t="s">
        <v>25</v>
      </c>
      <c r="H779" s="35" t="s">
        <v>25</v>
      </c>
      <c r="I779" s="55">
        <v>44713</v>
      </c>
      <c r="J779" s="56">
        <f>EFEITO!$J$779*EFEITO!$Y$723</f>
        <v>0</v>
      </c>
      <c r="K779" s="56">
        <f ca="1">EFEITO!$L$779*EFEITO!$Z$851</f>
        <v>48681.454587766792</v>
      </c>
      <c r="L779" s="56">
        <f>EFEITO!$N$779*EFEITO!$AA$851</f>
        <v>58949.820327084388</v>
      </c>
      <c r="M779" s="56">
        <f>$J$779-EFEITO!$K$779*EFEITO!$Y$779</f>
        <v>0</v>
      </c>
      <c r="N779" s="56">
        <f ca="1">$K$779-EFEITO!$M$779*EFEITO!$Z$779</f>
        <v>31642.945482048413</v>
      </c>
      <c r="O779" s="56">
        <f>$L$779-EFEITO!$O$779*EFEITO!$AA$779</f>
        <v>38317.383212604851</v>
      </c>
      <c r="P779" s="39"/>
      <c r="Q779" s="39"/>
      <c r="R779" s="39"/>
      <c r="S779" s="39"/>
      <c r="T779" s="39"/>
      <c r="U779" s="39"/>
      <c r="V779" s="39"/>
      <c r="W779" s="39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</row>
    <row r="780" spans="1:36" ht="11.25" customHeight="1" x14ac:dyDescent="0.2">
      <c r="A780" s="35" t="s">
        <v>28</v>
      </c>
      <c r="B780" s="35" t="s">
        <v>22</v>
      </c>
      <c r="C780" s="35" t="s">
        <v>23</v>
      </c>
      <c r="D780" s="35" t="s">
        <v>24</v>
      </c>
      <c r="E780" s="35" t="s">
        <v>29</v>
      </c>
      <c r="F780" s="35" t="s">
        <v>25</v>
      </c>
      <c r="G780" s="35" t="s">
        <v>25</v>
      </c>
      <c r="H780" s="35" t="s">
        <v>25</v>
      </c>
      <c r="I780" s="55">
        <v>44713</v>
      </c>
      <c r="J780" s="56">
        <f>EFEITO!$J$780*EFEITO!$Y$723</f>
        <v>0</v>
      </c>
      <c r="K780" s="56">
        <f ca="1">EFEITO!$L$780*EFEITO!$Z$851</f>
        <v>6.758785813434808</v>
      </c>
      <c r="L780" s="56">
        <f>EFEITO!$N$780*EFEITO!$AA$851</f>
        <v>8.1844146339733754</v>
      </c>
      <c r="M780" s="56">
        <f>$J$780-EFEITO!$K$780*EFEITO!$Y$780</f>
        <v>0</v>
      </c>
      <c r="N780" s="56">
        <f ca="1">$K$780-EFEITO!$M$780*EFEITO!$Z$780</f>
        <v>7.4684583238454625</v>
      </c>
      <c r="O780" s="56">
        <f>$L$780-EFEITO!$O$780*EFEITO!$AA$780</f>
        <v>9.0437781705405804</v>
      </c>
      <c r="P780" s="39"/>
      <c r="Q780" s="39"/>
      <c r="R780" s="39"/>
      <c r="S780" s="39"/>
      <c r="T780" s="39"/>
      <c r="U780" s="39"/>
      <c r="V780" s="39"/>
      <c r="W780" s="39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</row>
    <row r="781" spans="1:36" ht="11.25" customHeight="1" x14ac:dyDescent="0.2">
      <c r="A781" s="35" t="s">
        <v>21</v>
      </c>
      <c r="B781" s="35" t="s">
        <v>22</v>
      </c>
      <c r="C781" s="35" t="s">
        <v>23</v>
      </c>
      <c r="D781" s="35" t="s">
        <v>24</v>
      </c>
      <c r="E781" s="35" t="s">
        <v>29</v>
      </c>
      <c r="F781" s="35" t="s">
        <v>25</v>
      </c>
      <c r="G781" s="35" t="s">
        <v>25</v>
      </c>
      <c r="H781" s="35" t="s">
        <v>25</v>
      </c>
      <c r="I781" s="55">
        <v>44743</v>
      </c>
      <c r="J781" s="56">
        <f>EFEITO!$J$781*EFEITO!$Y$723</f>
        <v>0</v>
      </c>
      <c r="K781" s="56">
        <f ca="1">EFEITO!$L$781*EFEITO!$Z$851</f>
        <v>46189.542249013481</v>
      </c>
      <c r="L781" s="56">
        <f>EFEITO!$N$781*EFEITO!$AA$851</f>
        <v>55932.28960857405</v>
      </c>
      <c r="M781" s="56">
        <f>$J$781-EFEITO!$K$781*EFEITO!$Y$781</f>
        <v>0</v>
      </c>
      <c r="N781" s="56">
        <f ca="1">$K$781-EFEITO!$M$781*EFEITO!$Z$781</f>
        <v>30023.20246185876</v>
      </c>
      <c r="O781" s="56">
        <f>$L$781-EFEITO!$O$781*EFEITO!$AA$781</f>
        <v>36355.988245573135</v>
      </c>
      <c r="P781" s="39"/>
      <c r="Q781" s="39"/>
      <c r="R781" s="39"/>
      <c r="S781" s="39"/>
      <c r="T781" s="39"/>
      <c r="U781" s="39"/>
      <c r="V781" s="39"/>
      <c r="W781" s="39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</row>
    <row r="782" spans="1:36" ht="11.25" customHeight="1" x14ac:dyDescent="0.2">
      <c r="A782" s="35" t="s">
        <v>21</v>
      </c>
      <c r="B782" s="35" t="s">
        <v>22</v>
      </c>
      <c r="C782" s="35" t="s">
        <v>23</v>
      </c>
      <c r="D782" s="35" t="s">
        <v>24</v>
      </c>
      <c r="E782" s="35" t="s">
        <v>29</v>
      </c>
      <c r="F782" s="35" t="s">
        <v>25</v>
      </c>
      <c r="G782" s="35" t="s">
        <v>25</v>
      </c>
      <c r="H782" s="35" t="s">
        <v>25</v>
      </c>
      <c r="I782" s="55">
        <v>44774</v>
      </c>
      <c r="J782" s="56">
        <f>EFEITO!$J$782*EFEITO!$Y$723</f>
        <v>0</v>
      </c>
      <c r="K782" s="56">
        <f ca="1">EFEITO!$L$782*EFEITO!$Z$851</f>
        <v>47716.767889549228</v>
      </c>
      <c r="L782" s="56">
        <f>EFEITO!$N$782*EFEITO!$AA$851</f>
        <v>57781.652530673804</v>
      </c>
      <c r="M782" s="56">
        <f>$J$782-EFEITO!$K$782*EFEITO!$Y$782</f>
        <v>0</v>
      </c>
      <c r="N782" s="56">
        <f ca="1">$K$782-EFEITO!$M$782*EFEITO!$Z$782</f>
        <v>31015.899128206998</v>
      </c>
      <c r="O782" s="56">
        <f>$L$782-EFEITO!$O$782*EFEITO!$AA$782</f>
        <v>37558.074144937971</v>
      </c>
      <c r="P782" s="39"/>
      <c r="Q782" s="39"/>
      <c r="R782" s="39"/>
      <c r="S782" s="39"/>
      <c r="T782" s="39"/>
      <c r="U782" s="39"/>
      <c r="V782" s="39"/>
      <c r="W782" s="39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</row>
    <row r="783" spans="1:36" ht="11.25" customHeight="1" x14ac:dyDescent="0.2">
      <c r="A783" s="35" t="s">
        <v>27</v>
      </c>
      <c r="B783" s="35" t="s">
        <v>22</v>
      </c>
      <c r="C783" s="35" t="s">
        <v>23</v>
      </c>
      <c r="D783" s="35" t="s">
        <v>24</v>
      </c>
      <c r="E783" s="35" t="s">
        <v>29</v>
      </c>
      <c r="F783" s="35" t="s">
        <v>25</v>
      </c>
      <c r="G783" s="35" t="s">
        <v>25</v>
      </c>
      <c r="H783" s="35" t="s">
        <v>25</v>
      </c>
      <c r="I783" s="55">
        <v>44774</v>
      </c>
      <c r="J783" s="56">
        <f>EFEITO!$J$783*EFEITO!$Y$723</f>
        <v>0</v>
      </c>
      <c r="K783" s="56">
        <f ca="1">EFEITO!$L$783*EFEITO!$Z$851</f>
        <v>-7.7985990155017015</v>
      </c>
      <c r="L783" s="56">
        <f>EFEITO!$N$783*EFEITO!$AA$851</f>
        <v>-9.4435553468923565</v>
      </c>
      <c r="M783" s="56">
        <f>$J$783-EFEITO!$K$783*EFEITO!$Y$783</f>
        <v>0</v>
      </c>
      <c r="N783" s="56">
        <f ca="1">$K$783-EFEITO!$M$783*EFEITO!$Z$783</f>
        <v>-5.0690893600761058</v>
      </c>
      <c r="O783" s="56">
        <f>$L$783-EFEITO!$O$783*EFEITO!$AA$783</f>
        <v>-6.1383109754800325</v>
      </c>
      <c r="P783" s="39"/>
      <c r="Q783" s="39"/>
      <c r="R783" s="39"/>
      <c r="S783" s="39"/>
      <c r="T783" s="39"/>
      <c r="U783" s="39"/>
      <c r="V783" s="39"/>
      <c r="W783" s="39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</row>
    <row r="784" spans="1:36" ht="11.25" customHeight="1" x14ac:dyDescent="0.2">
      <c r="A784" s="35" t="s">
        <v>28</v>
      </c>
      <c r="B784" s="35" t="s">
        <v>22</v>
      </c>
      <c r="C784" s="35" t="s">
        <v>23</v>
      </c>
      <c r="D784" s="35" t="s">
        <v>24</v>
      </c>
      <c r="E784" s="35" t="s">
        <v>29</v>
      </c>
      <c r="F784" s="35" t="s">
        <v>25</v>
      </c>
      <c r="G784" s="35" t="s">
        <v>25</v>
      </c>
      <c r="H784" s="35" t="s">
        <v>25</v>
      </c>
      <c r="I784" s="55">
        <v>44774</v>
      </c>
      <c r="J784" s="56">
        <f>EFEITO!$J$784*EFEITO!$Y$723</f>
        <v>0</v>
      </c>
      <c r="K784" s="56">
        <f ca="1">EFEITO!$L$784*EFEITO!$Z$851</f>
        <v>4.419206108784298</v>
      </c>
      <c r="L784" s="56">
        <f>EFEITO!$N$784*EFEITO!$AA$851</f>
        <v>5.3513480299056688</v>
      </c>
      <c r="M784" s="56">
        <f>$J$784-EFEITO!$K$784*EFEITO!$Y$784</f>
        <v>0</v>
      </c>
      <c r="N784" s="56">
        <f ca="1">$K$784-EFEITO!$M$784*EFEITO!$Z$784</f>
        <v>3.8778533604582215</v>
      </c>
      <c r="O784" s="56">
        <f>$L$784-EFEITO!$O$784*EFEITO!$AA$784</f>
        <v>4.6958078962422247</v>
      </c>
      <c r="P784" s="39"/>
      <c r="Q784" s="39"/>
      <c r="R784" s="39"/>
      <c r="S784" s="39"/>
      <c r="T784" s="39"/>
      <c r="U784" s="39"/>
      <c r="V784" s="39"/>
      <c r="W784" s="39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</row>
    <row r="785" spans="1:36" ht="11.25" customHeight="1" x14ac:dyDescent="0.2">
      <c r="A785" s="35" t="s">
        <v>21</v>
      </c>
      <c r="B785" s="35" t="s">
        <v>22</v>
      </c>
      <c r="C785" s="35" t="s">
        <v>23</v>
      </c>
      <c r="D785" s="35" t="s">
        <v>24</v>
      </c>
      <c r="E785" s="35" t="s">
        <v>29</v>
      </c>
      <c r="F785" s="35" t="s">
        <v>25</v>
      </c>
      <c r="G785" s="35" t="s">
        <v>25</v>
      </c>
      <c r="H785" s="35" t="s">
        <v>25</v>
      </c>
      <c r="I785" s="55">
        <v>44805</v>
      </c>
      <c r="J785" s="56">
        <f>EFEITO!$J$785*EFEITO!$Y$723</f>
        <v>0</v>
      </c>
      <c r="K785" s="56">
        <f ca="1">EFEITO!$L$785*EFEITO!$Z$851</f>
        <v>47622.664794762175</v>
      </c>
      <c r="L785" s="56">
        <f>EFEITO!$N$785*EFEITO!$AA$851</f>
        <v>57667.700296154631</v>
      </c>
      <c r="M785" s="56">
        <f>$J$785-EFEITO!$K$785*EFEITO!$Y$785</f>
        <v>0</v>
      </c>
      <c r="N785" s="56">
        <f ca="1">$K$785-EFEITO!$M$785*EFEITO!$Z$785</f>
        <v>30954.732116595413</v>
      </c>
      <c r="O785" s="56">
        <f>$L$785-EFEITO!$O$785*EFEITO!$AA$785</f>
        <v>37484.00519250051</v>
      </c>
      <c r="P785" s="39"/>
      <c r="Q785" s="39"/>
      <c r="R785" s="39"/>
      <c r="S785" s="39"/>
      <c r="T785" s="39"/>
      <c r="U785" s="39"/>
      <c r="V785" s="39"/>
      <c r="W785" s="39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</row>
    <row r="786" spans="1:36" ht="11.25" customHeight="1" x14ac:dyDescent="0.2">
      <c r="A786" s="35" t="s">
        <v>27</v>
      </c>
      <c r="B786" s="35" t="s">
        <v>22</v>
      </c>
      <c r="C786" s="35" t="s">
        <v>23</v>
      </c>
      <c r="D786" s="35" t="s">
        <v>24</v>
      </c>
      <c r="E786" s="35" t="s">
        <v>29</v>
      </c>
      <c r="F786" s="35" t="s">
        <v>25</v>
      </c>
      <c r="G786" s="35" t="s">
        <v>25</v>
      </c>
      <c r="H786" s="35" t="s">
        <v>25</v>
      </c>
      <c r="I786" s="55">
        <v>44805</v>
      </c>
      <c r="J786" s="56">
        <f>EFEITO!$J$786*EFEITO!$Y$723</f>
        <v>0</v>
      </c>
      <c r="K786" s="56">
        <f ca="1">EFEITO!$L$786*EFEITO!$Z$851</f>
        <v>-15.597198031003403</v>
      </c>
      <c r="L786" s="56">
        <f>EFEITO!$N$786*EFEITO!$AA$851</f>
        <v>-18.887110693784713</v>
      </c>
      <c r="M786" s="56">
        <f>$J$786-EFEITO!$K$786*EFEITO!$Y$786</f>
        <v>0</v>
      </c>
      <c r="N786" s="56">
        <f ca="1">$K$786-EFEITO!$M$786*EFEITO!$Z$786</f>
        <v>-10.138178720152212</v>
      </c>
      <c r="O786" s="56">
        <f>$L$786-EFEITO!$O$786*EFEITO!$AA$786</f>
        <v>-12.276621950960065</v>
      </c>
      <c r="P786" s="39"/>
      <c r="Q786" s="39"/>
      <c r="R786" s="39"/>
      <c r="S786" s="39"/>
      <c r="T786" s="39"/>
      <c r="U786" s="39"/>
      <c r="V786" s="39"/>
      <c r="W786" s="39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</row>
    <row r="787" spans="1:36" ht="11.25" customHeight="1" x14ac:dyDescent="0.2">
      <c r="A787" s="35" t="s">
        <v>28</v>
      </c>
      <c r="B787" s="35" t="s">
        <v>22</v>
      </c>
      <c r="C787" s="35" t="s">
        <v>23</v>
      </c>
      <c r="D787" s="35" t="s">
        <v>24</v>
      </c>
      <c r="E787" s="35" t="s">
        <v>29</v>
      </c>
      <c r="F787" s="35" t="s">
        <v>25</v>
      </c>
      <c r="G787" s="35" t="s">
        <v>25</v>
      </c>
      <c r="H787" s="35" t="s">
        <v>25</v>
      </c>
      <c r="I787" s="55">
        <v>44805</v>
      </c>
      <c r="J787" s="56">
        <f>EFEITO!$J$787*EFEITO!$Y$723</f>
        <v>0</v>
      </c>
      <c r="K787" s="56">
        <f ca="1">EFEITO!$L$787*EFEITO!$Z$851</f>
        <v>9.0983655180853198</v>
      </c>
      <c r="L787" s="56">
        <f>EFEITO!$N$787*EFEITO!$AA$851</f>
        <v>11.017481238041084</v>
      </c>
      <c r="M787" s="56">
        <f>$J$787-EFEITO!$K$787*EFEITO!$Y$787</f>
        <v>0</v>
      </c>
      <c r="N787" s="56">
        <f ca="1">$K$787-EFEITO!$M$787*EFEITO!$Z$787</f>
        <v>7.9838157421198677</v>
      </c>
      <c r="O787" s="56">
        <f>$L$787-EFEITO!$O$787*EFEITO!$AA$787</f>
        <v>9.6678397863810517</v>
      </c>
      <c r="P787" s="39"/>
      <c r="Q787" s="39"/>
      <c r="R787" s="39"/>
      <c r="S787" s="39"/>
      <c r="T787" s="39"/>
      <c r="U787" s="39"/>
      <c r="V787" s="39"/>
      <c r="W787" s="39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</row>
    <row r="788" spans="1:36" ht="11.25" customHeight="1" x14ac:dyDescent="0.2">
      <c r="A788" s="35" t="s">
        <v>53</v>
      </c>
      <c r="B788" s="35" t="s">
        <v>22</v>
      </c>
      <c r="C788" s="35" t="s">
        <v>23</v>
      </c>
      <c r="D788" s="35" t="s">
        <v>24</v>
      </c>
      <c r="E788" s="35" t="s">
        <v>29</v>
      </c>
      <c r="F788" s="35" t="s">
        <v>25</v>
      </c>
      <c r="G788" s="35" t="s">
        <v>25</v>
      </c>
      <c r="H788" s="35" t="s">
        <v>25</v>
      </c>
      <c r="I788" s="55">
        <v>44835</v>
      </c>
      <c r="J788" s="56">
        <f>EFEITO!$J$788*EFEITO!$Y$723</f>
        <v>0</v>
      </c>
      <c r="K788" s="56">
        <f ca="1">EFEITO!$L$788*EFEITO!$Z$851</f>
        <v>47622.664794762175</v>
      </c>
      <c r="L788" s="56">
        <f>EFEITO!$N$788*EFEITO!$AA$851</f>
        <v>57667.700296154631</v>
      </c>
      <c r="M788" s="56">
        <f>$J$788-EFEITO!$K$788*EFEITO!$Y$788</f>
        <v>0</v>
      </c>
      <c r="N788" s="56">
        <f ca="1">$K$788-EFEITO!$M$788*EFEITO!$Z$788</f>
        <v>30954.732116595413</v>
      </c>
      <c r="O788" s="56">
        <f>$L$788-EFEITO!$O$788*EFEITO!$AA$788</f>
        <v>37484.00519250051</v>
      </c>
      <c r="P788" s="39"/>
      <c r="Q788" s="39"/>
      <c r="R788" s="39"/>
      <c r="S788" s="39"/>
      <c r="T788" s="39"/>
      <c r="U788" s="39"/>
      <c r="V788" s="39"/>
      <c r="W788" s="39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</row>
    <row r="789" spans="1:36" ht="11.25" customHeight="1" x14ac:dyDescent="0.2">
      <c r="A789" s="35" t="s">
        <v>53</v>
      </c>
      <c r="B789" s="35" t="s">
        <v>22</v>
      </c>
      <c r="C789" s="35" t="s">
        <v>23</v>
      </c>
      <c r="D789" s="35" t="s">
        <v>24</v>
      </c>
      <c r="E789" s="35" t="s">
        <v>29</v>
      </c>
      <c r="F789" s="35" t="s">
        <v>25</v>
      </c>
      <c r="G789" s="35" t="s">
        <v>25</v>
      </c>
      <c r="H789" s="35" t="s">
        <v>25</v>
      </c>
      <c r="I789" s="55">
        <v>44835</v>
      </c>
      <c r="J789" s="56">
        <f>EFEITO!$J$789*EFEITO!$Y$723</f>
        <v>0</v>
      </c>
      <c r="K789" s="56">
        <f ca="1">EFEITO!$L$789*EFEITO!$Z$851</f>
        <v>-15.597198031003403</v>
      </c>
      <c r="L789" s="56">
        <f>EFEITO!$N$789*EFEITO!$AA$851</f>
        <v>-18.887110693784713</v>
      </c>
      <c r="M789" s="56">
        <f>$J$789-EFEITO!$K$789*EFEITO!$Y$789</f>
        <v>0</v>
      </c>
      <c r="N789" s="56">
        <f ca="1">$K$789-EFEITO!$M$789*EFEITO!$Z$789</f>
        <v>-10.138178720152212</v>
      </c>
      <c r="O789" s="56">
        <f>$L$789-EFEITO!$O$789*EFEITO!$AA$789</f>
        <v>-12.276621950960065</v>
      </c>
      <c r="P789" s="39"/>
      <c r="Q789" s="39"/>
      <c r="R789" s="39"/>
      <c r="S789" s="39"/>
      <c r="T789" s="39"/>
      <c r="U789" s="39"/>
      <c r="V789" s="39"/>
      <c r="W789" s="39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</row>
    <row r="790" spans="1:36" ht="11.25" customHeight="1" x14ac:dyDescent="0.2">
      <c r="A790" s="35" t="s">
        <v>53</v>
      </c>
      <c r="B790" s="35" t="s">
        <v>22</v>
      </c>
      <c r="C790" s="35" t="s">
        <v>23</v>
      </c>
      <c r="D790" s="35" t="s">
        <v>24</v>
      </c>
      <c r="E790" s="35" t="s">
        <v>29</v>
      </c>
      <c r="F790" s="35" t="s">
        <v>25</v>
      </c>
      <c r="G790" s="35" t="s">
        <v>25</v>
      </c>
      <c r="H790" s="35" t="s">
        <v>25</v>
      </c>
      <c r="I790" s="55">
        <v>44835</v>
      </c>
      <c r="J790" s="56">
        <f>EFEITO!$J$790*EFEITO!$Y$723</f>
        <v>0</v>
      </c>
      <c r="K790" s="56">
        <f ca="1">EFEITO!$L$790*EFEITO!$Z$851</f>
        <v>9.0983655180853198</v>
      </c>
      <c r="L790" s="56">
        <f>EFEITO!$N$790*EFEITO!$AA$851</f>
        <v>11.017481238041084</v>
      </c>
      <c r="M790" s="56">
        <f>$J$790-EFEITO!$K$790*EFEITO!$Y$790</f>
        <v>0</v>
      </c>
      <c r="N790" s="56">
        <f ca="1">$K$790-EFEITO!$M$790*EFEITO!$Z$790</f>
        <v>7.9838157421198677</v>
      </c>
      <c r="O790" s="56">
        <f>$L$790-EFEITO!$O$790*EFEITO!$AA$790</f>
        <v>9.6678397863810517</v>
      </c>
      <c r="P790" s="39"/>
      <c r="Q790" s="39"/>
      <c r="R790" s="39"/>
      <c r="S790" s="39"/>
      <c r="T790" s="39"/>
      <c r="U790" s="39"/>
      <c r="V790" s="39"/>
      <c r="W790" s="39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</row>
    <row r="791" spans="1:36" ht="11.25" customHeight="1" x14ac:dyDescent="0.2">
      <c r="A791" s="35" t="s">
        <v>21</v>
      </c>
      <c r="B791" s="35" t="s">
        <v>22</v>
      </c>
      <c r="C791" s="35" t="s">
        <v>23</v>
      </c>
      <c r="D791" s="35" t="s">
        <v>24</v>
      </c>
      <c r="E791" s="35" t="s">
        <v>30</v>
      </c>
      <c r="F791" s="35" t="s">
        <v>25</v>
      </c>
      <c r="G791" s="35" t="s">
        <v>25</v>
      </c>
      <c r="H791" s="35" t="s">
        <v>25</v>
      </c>
      <c r="I791" s="55">
        <v>44501</v>
      </c>
      <c r="J791" s="56">
        <f>EFEITO!$J$791*EFEITO!$Y$723</f>
        <v>0</v>
      </c>
      <c r="K791" s="56">
        <f ca="1">EFEITO!$L$791*EFEITO!$Z$851</f>
        <v>85072.577080403425</v>
      </c>
      <c r="L791" s="56">
        <f>EFEITO!$N$791*EFEITO!$AA$851</f>
        <v>103016.91221264466</v>
      </c>
      <c r="M791" s="56">
        <f>$J$791-EFEITO!$K$791*EFEITO!$Y$791</f>
        <v>0</v>
      </c>
      <c r="N791" s="56">
        <f ca="1">$K$791-EFEITO!$M$791*EFEITO!$Z$791</f>
        <v>34029.03083216137</v>
      </c>
      <c r="O791" s="56">
        <f>$L$791-EFEITO!$O$791*EFEITO!$AA$791</f>
        <v>41206.76488505787</v>
      </c>
      <c r="P791" s="39"/>
      <c r="Q791" s="39"/>
      <c r="R791" s="39"/>
      <c r="S791" s="39"/>
      <c r="T791" s="39"/>
      <c r="U791" s="39"/>
      <c r="V791" s="39"/>
      <c r="W791" s="39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</row>
    <row r="792" spans="1:36" ht="11.25" customHeight="1" x14ac:dyDescent="0.2">
      <c r="A792" s="35" t="s">
        <v>27</v>
      </c>
      <c r="B792" s="35" t="s">
        <v>22</v>
      </c>
      <c r="C792" s="35" t="s">
        <v>23</v>
      </c>
      <c r="D792" s="35" t="s">
        <v>24</v>
      </c>
      <c r="E792" s="35" t="s">
        <v>30</v>
      </c>
      <c r="F792" s="35" t="s">
        <v>25</v>
      </c>
      <c r="G792" s="35" t="s">
        <v>25</v>
      </c>
      <c r="H792" s="35" t="s">
        <v>25</v>
      </c>
      <c r="I792" s="55">
        <v>44501</v>
      </c>
      <c r="J792" s="56">
        <f>EFEITO!$J$792*EFEITO!$Y$723</f>
        <v>0</v>
      </c>
      <c r="K792" s="56">
        <f ca="1">EFEITO!$L$792*EFEITO!$Z$851</f>
        <v>-30.154582859939918</v>
      </c>
      <c r="L792" s="56">
        <f>EFEITO!$N$792*EFEITO!$AA$851</f>
        <v>-36.515080674650449</v>
      </c>
      <c r="M792" s="56">
        <f>$J$792-EFEITO!$K$792*EFEITO!$Y$792</f>
        <v>0</v>
      </c>
      <c r="N792" s="56">
        <f ca="1">$K$792-EFEITO!$M$792*EFEITO!$Z$792</f>
        <v>-12.061833143975967</v>
      </c>
      <c r="O792" s="56">
        <f>$L$792-EFEITO!$O$792*EFEITO!$AA$792</f>
        <v>-14.606032269860183</v>
      </c>
      <c r="P792" s="39"/>
      <c r="Q792" s="39"/>
      <c r="R792" s="39"/>
      <c r="S792" s="39"/>
      <c r="T792" s="39"/>
      <c r="U792" s="39"/>
      <c r="V792" s="39"/>
      <c r="W792" s="39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</row>
    <row r="793" spans="1:36" ht="11.25" customHeight="1" x14ac:dyDescent="0.2">
      <c r="A793" s="35" t="s">
        <v>28</v>
      </c>
      <c r="B793" s="35" t="s">
        <v>22</v>
      </c>
      <c r="C793" s="35" t="s">
        <v>23</v>
      </c>
      <c r="D793" s="35" t="s">
        <v>24</v>
      </c>
      <c r="E793" s="35" t="s">
        <v>30</v>
      </c>
      <c r="F793" s="35" t="s">
        <v>25</v>
      </c>
      <c r="G793" s="35" t="s">
        <v>25</v>
      </c>
      <c r="H793" s="35" t="s">
        <v>25</v>
      </c>
      <c r="I793" s="55">
        <v>44501</v>
      </c>
      <c r="J793" s="56">
        <f>EFEITO!$J$793*EFEITO!$Y$723</f>
        <v>0</v>
      </c>
      <c r="K793" s="56">
        <f ca="1">EFEITO!$L$793*EFEITO!$Z$851</f>
        <v>25.99533005167234</v>
      </c>
      <c r="L793" s="56">
        <f>EFEITO!$N$793*EFEITO!$AA$851</f>
        <v>31.478517822974524</v>
      </c>
      <c r="M793" s="56">
        <f>$J$793-EFEITO!$K$793*EFEITO!$Y$793</f>
        <v>0</v>
      </c>
      <c r="N793" s="56">
        <f ca="1">$K$793-EFEITO!$M$793*EFEITO!$Z$793</f>
        <v>22.875890445471658</v>
      </c>
      <c r="O793" s="56">
        <f>$L$793-EFEITO!$O$793*EFEITO!$AA$793</f>
        <v>27.701095684217581</v>
      </c>
      <c r="P793" s="39"/>
      <c r="Q793" s="39"/>
      <c r="R793" s="39"/>
      <c r="S793" s="39"/>
      <c r="T793" s="39"/>
      <c r="U793" s="39"/>
      <c r="V793" s="39"/>
      <c r="W793" s="39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</row>
    <row r="794" spans="1:36" ht="11.25" customHeight="1" x14ac:dyDescent="0.2">
      <c r="A794" s="35" t="s">
        <v>21</v>
      </c>
      <c r="B794" s="35" t="s">
        <v>22</v>
      </c>
      <c r="C794" s="35" t="s">
        <v>23</v>
      </c>
      <c r="D794" s="35" t="s">
        <v>24</v>
      </c>
      <c r="E794" s="35" t="s">
        <v>30</v>
      </c>
      <c r="F794" s="35" t="s">
        <v>25</v>
      </c>
      <c r="G794" s="35" t="s">
        <v>25</v>
      </c>
      <c r="H794" s="35" t="s">
        <v>25</v>
      </c>
      <c r="I794" s="55">
        <v>44531</v>
      </c>
      <c r="J794" s="56">
        <f>EFEITO!$J$794*EFEITO!$Y$723</f>
        <v>0</v>
      </c>
      <c r="K794" s="56">
        <f ca="1">EFEITO!$L$794*EFEITO!$Z$851</f>
        <v>88279.360995577706</v>
      </c>
      <c r="L794" s="56">
        <f>EFEITO!$N$794*EFEITO!$AA$851</f>
        <v>106900.10217128678</v>
      </c>
      <c r="M794" s="56">
        <f>$J$794-EFEITO!$K$794*EFEITO!$Y$794</f>
        <v>0</v>
      </c>
      <c r="N794" s="56">
        <f ca="1">$K$794-EFEITO!$M$794*EFEITO!$Z$794</f>
        <v>35311.74439823108</v>
      </c>
      <c r="O794" s="56">
        <f>$L$794-EFEITO!$O$794*EFEITO!$AA$794</f>
        <v>42760.040868514719</v>
      </c>
      <c r="P794" s="39"/>
      <c r="Q794" s="39"/>
      <c r="R794" s="39"/>
      <c r="S794" s="39"/>
      <c r="T794" s="39"/>
      <c r="U794" s="39"/>
      <c r="V794" s="39"/>
      <c r="W794" s="39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</row>
    <row r="795" spans="1:36" ht="11.25" customHeight="1" x14ac:dyDescent="0.2">
      <c r="A795" s="35" t="s">
        <v>27</v>
      </c>
      <c r="B795" s="35" t="s">
        <v>22</v>
      </c>
      <c r="C795" s="35" t="s">
        <v>23</v>
      </c>
      <c r="D795" s="35" t="s">
        <v>24</v>
      </c>
      <c r="E795" s="35" t="s">
        <v>30</v>
      </c>
      <c r="F795" s="35" t="s">
        <v>25</v>
      </c>
      <c r="G795" s="35" t="s">
        <v>25</v>
      </c>
      <c r="H795" s="35" t="s">
        <v>25</v>
      </c>
      <c r="I795" s="55">
        <v>44531</v>
      </c>
      <c r="J795" s="56">
        <f>EFEITO!$J$795*EFEITO!$Y$723</f>
        <v>0</v>
      </c>
      <c r="K795" s="56">
        <f ca="1">EFEITO!$L$795*EFEITO!$Z$851</f>
        <v>90.983655180853191</v>
      </c>
      <c r="L795" s="56">
        <f>EFEITO!$N$795*EFEITO!$AA$851</f>
        <v>110.17481238041081</v>
      </c>
      <c r="M795" s="56">
        <f>$J$795-EFEITO!$K$795*EFEITO!$Y$795</f>
        <v>0</v>
      </c>
      <c r="N795" s="56">
        <f ca="1">$K$795-EFEITO!$M$795*EFEITO!$Z$795</f>
        <v>36.393462072341279</v>
      </c>
      <c r="O795" s="56">
        <f>$L$795-EFEITO!$O$795*EFEITO!$AA$795</f>
        <v>44.069924952164328</v>
      </c>
      <c r="P795" s="39"/>
      <c r="Q795" s="39"/>
      <c r="R795" s="39"/>
      <c r="S795" s="39"/>
      <c r="T795" s="39"/>
      <c r="U795" s="39"/>
      <c r="V795" s="39"/>
      <c r="W795" s="39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</row>
    <row r="796" spans="1:36" ht="11.25" customHeight="1" x14ac:dyDescent="0.2">
      <c r="A796" s="35" t="s">
        <v>28</v>
      </c>
      <c r="B796" s="35" t="s">
        <v>22</v>
      </c>
      <c r="C796" s="35" t="s">
        <v>23</v>
      </c>
      <c r="D796" s="35" t="s">
        <v>24</v>
      </c>
      <c r="E796" s="35" t="s">
        <v>30</v>
      </c>
      <c r="F796" s="35" t="s">
        <v>25</v>
      </c>
      <c r="G796" s="35" t="s">
        <v>25</v>
      </c>
      <c r="H796" s="35" t="s">
        <v>25</v>
      </c>
      <c r="I796" s="55">
        <v>44531</v>
      </c>
      <c r="J796" s="56">
        <f>EFEITO!$J$796*EFEITO!$Y$723</f>
        <v>0</v>
      </c>
      <c r="K796" s="56">
        <f ca="1">EFEITO!$L$796*EFEITO!$Z$851</f>
        <v>30.154582859939918</v>
      </c>
      <c r="L796" s="56">
        <f>EFEITO!$N$796*EFEITO!$AA$851</f>
        <v>36.515080674650449</v>
      </c>
      <c r="M796" s="56">
        <f>$J$796-EFEITO!$K$796*EFEITO!$Y$796</f>
        <v>0</v>
      </c>
      <c r="N796" s="56">
        <f ca="1">$K$796-EFEITO!$M$796*EFEITO!$Z$796</f>
        <v>26.536032916747128</v>
      </c>
      <c r="O796" s="56">
        <f>$L$796-EFEITO!$O$796*EFEITO!$AA$796</f>
        <v>32.133270993692392</v>
      </c>
      <c r="P796" s="39"/>
      <c r="Q796" s="39"/>
      <c r="R796" s="39"/>
      <c r="S796" s="39"/>
      <c r="T796" s="39"/>
      <c r="U796" s="39"/>
      <c r="V796" s="39"/>
      <c r="W796" s="39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</row>
    <row r="797" spans="1:36" ht="11.25" customHeight="1" x14ac:dyDescent="0.2">
      <c r="A797" s="35" t="s">
        <v>21</v>
      </c>
      <c r="B797" s="35" t="s">
        <v>22</v>
      </c>
      <c r="C797" s="35" t="s">
        <v>23</v>
      </c>
      <c r="D797" s="35" t="s">
        <v>24</v>
      </c>
      <c r="E797" s="35" t="s">
        <v>30</v>
      </c>
      <c r="F797" s="35" t="s">
        <v>25</v>
      </c>
      <c r="G797" s="35" t="s">
        <v>25</v>
      </c>
      <c r="H797" s="35" t="s">
        <v>25</v>
      </c>
      <c r="I797" s="55">
        <v>44562</v>
      </c>
      <c r="J797" s="56">
        <f>EFEITO!$J$797*EFEITO!$Y$723</f>
        <v>0</v>
      </c>
      <c r="K797" s="56">
        <f ca="1">EFEITO!$L$797*EFEITO!$Z$851</f>
        <v>87345.348786821138</v>
      </c>
      <c r="L797" s="56">
        <f>EFEITO!$N$797*EFEITO!$AA$851</f>
        <v>105769.07902590731</v>
      </c>
      <c r="M797" s="56">
        <f>$J$797-EFEITO!$K$797*EFEITO!$Y$797</f>
        <v>0</v>
      </c>
      <c r="N797" s="56">
        <f ca="1">$K$797-EFEITO!$M$797*EFEITO!$Z$797</f>
        <v>34938.139514728457</v>
      </c>
      <c r="O797" s="56">
        <f>$L$797-EFEITO!$O$797*EFEITO!$AA$797</f>
        <v>42307.631610362921</v>
      </c>
      <c r="P797" s="39"/>
      <c r="Q797" s="39"/>
      <c r="R797" s="39"/>
      <c r="S797" s="39"/>
      <c r="T797" s="39"/>
      <c r="U797" s="39"/>
      <c r="V797" s="39"/>
      <c r="W797" s="39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</row>
    <row r="798" spans="1:36" ht="11.25" customHeight="1" x14ac:dyDescent="0.2">
      <c r="A798" s="35" t="s">
        <v>27</v>
      </c>
      <c r="B798" s="35" t="s">
        <v>22</v>
      </c>
      <c r="C798" s="35" t="s">
        <v>23</v>
      </c>
      <c r="D798" s="35" t="s">
        <v>24</v>
      </c>
      <c r="E798" s="35" t="s">
        <v>30</v>
      </c>
      <c r="F798" s="35" t="s">
        <v>25</v>
      </c>
      <c r="G798" s="35" t="s">
        <v>25</v>
      </c>
      <c r="H798" s="35" t="s">
        <v>25</v>
      </c>
      <c r="I798" s="55">
        <v>44562</v>
      </c>
      <c r="J798" s="56">
        <f>EFEITO!$J$798*EFEITO!$Y$723</f>
        <v>0</v>
      </c>
      <c r="K798" s="56">
        <f ca="1">EFEITO!$L$798*EFEITO!$Z$851</f>
        <v>-27.815003155289403</v>
      </c>
      <c r="L798" s="56">
        <f>EFEITO!$N$798*EFEITO!$AA$851</f>
        <v>-33.682014070582738</v>
      </c>
      <c r="M798" s="56">
        <f>$J$798-EFEITO!$K$798*EFEITO!$Y$798</f>
        <v>0</v>
      </c>
      <c r="N798" s="56">
        <f ca="1">$K$798-EFEITO!$M$798*EFEITO!$Z$798</f>
        <v>-11.126001262115761</v>
      </c>
      <c r="O798" s="56">
        <f>$L$798-EFEITO!$O$798*EFEITO!$AA$798</f>
        <v>-13.472805628233097</v>
      </c>
      <c r="P798" s="39"/>
      <c r="Q798" s="39"/>
      <c r="R798" s="39"/>
      <c r="S798" s="39"/>
      <c r="T798" s="39"/>
      <c r="U798" s="39"/>
      <c r="V798" s="39"/>
      <c r="W798" s="39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</row>
    <row r="799" spans="1:36" ht="11.25" customHeight="1" x14ac:dyDescent="0.2">
      <c r="A799" s="35" t="s">
        <v>28</v>
      </c>
      <c r="B799" s="35" t="s">
        <v>22</v>
      </c>
      <c r="C799" s="35" t="s">
        <v>23</v>
      </c>
      <c r="D799" s="35" t="s">
        <v>24</v>
      </c>
      <c r="E799" s="35" t="s">
        <v>30</v>
      </c>
      <c r="F799" s="35" t="s">
        <v>25</v>
      </c>
      <c r="G799" s="35" t="s">
        <v>25</v>
      </c>
      <c r="H799" s="35" t="s">
        <v>25</v>
      </c>
      <c r="I799" s="55">
        <v>44562</v>
      </c>
      <c r="J799" s="56">
        <f>EFEITO!$J$799*EFEITO!$Y$723</f>
        <v>0</v>
      </c>
      <c r="K799" s="56">
        <f ca="1">EFEITO!$L$799*EFEITO!$Z$851</f>
        <v>22.615937144954934</v>
      </c>
      <c r="L799" s="56">
        <f>EFEITO!$N$799*EFEITO!$AA$851</f>
        <v>27.386310505987833</v>
      </c>
      <c r="M799" s="56">
        <f>$J$799-EFEITO!$K$799*EFEITO!$Y$799</f>
        <v>0</v>
      </c>
      <c r="N799" s="56">
        <f ca="1">$K$799-EFEITO!$M$799*EFEITO!$Z$799</f>
        <v>19.902024687560342</v>
      </c>
      <c r="O799" s="56">
        <f>$L$799-EFEITO!$O$799*EFEITO!$AA$799</f>
        <v>24.099953245269294</v>
      </c>
      <c r="P799" s="39"/>
      <c r="Q799" s="39"/>
      <c r="R799" s="39"/>
      <c r="S799" s="39"/>
      <c r="T799" s="39"/>
      <c r="U799" s="39"/>
      <c r="V799" s="39"/>
      <c r="W799" s="39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</row>
    <row r="800" spans="1:36" ht="11.25" customHeight="1" x14ac:dyDescent="0.2">
      <c r="A800" s="35" t="s">
        <v>21</v>
      </c>
      <c r="B800" s="35" t="s">
        <v>22</v>
      </c>
      <c r="C800" s="35" t="s">
        <v>23</v>
      </c>
      <c r="D800" s="35" t="s">
        <v>24</v>
      </c>
      <c r="E800" s="35" t="s">
        <v>30</v>
      </c>
      <c r="F800" s="35" t="s">
        <v>25</v>
      </c>
      <c r="G800" s="35" t="s">
        <v>25</v>
      </c>
      <c r="H800" s="35" t="s">
        <v>25</v>
      </c>
      <c r="I800" s="55">
        <v>44593</v>
      </c>
      <c r="J800" s="56">
        <f>EFEITO!$J$800*EFEITO!$Y$723</f>
        <v>0</v>
      </c>
      <c r="K800" s="56">
        <f ca="1">EFEITO!$L$800*EFEITO!$Z$851</f>
        <v>94415.558654274966</v>
      </c>
      <c r="L800" s="56">
        <f>EFEITO!$N$800*EFEITO!$AA$851</f>
        <v>114330.60630339992</v>
      </c>
      <c r="M800" s="56">
        <f>$J$800-EFEITO!$K$800*EFEITO!$Y$800</f>
        <v>0</v>
      </c>
      <c r="N800" s="56">
        <f ca="1">$K$800-EFEITO!$M$800*EFEITO!$Z$800</f>
        <v>37766.223461709982</v>
      </c>
      <c r="O800" s="56">
        <f>$L$800-EFEITO!$O$800*EFEITO!$AA$800</f>
        <v>45732.242521359978</v>
      </c>
      <c r="P800" s="39"/>
      <c r="Q800" s="39"/>
      <c r="R800" s="39"/>
      <c r="S800" s="39"/>
      <c r="T800" s="39"/>
      <c r="U800" s="39"/>
      <c r="V800" s="39"/>
      <c r="W800" s="39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</row>
    <row r="801" spans="1:36" ht="11.25" customHeight="1" x14ac:dyDescent="0.2">
      <c r="A801" s="35" t="s">
        <v>27</v>
      </c>
      <c r="B801" s="35" t="s">
        <v>22</v>
      </c>
      <c r="C801" s="35" t="s">
        <v>23</v>
      </c>
      <c r="D801" s="35" t="s">
        <v>24</v>
      </c>
      <c r="E801" s="35" t="s">
        <v>30</v>
      </c>
      <c r="F801" s="35" t="s">
        <v>25</v>
      </c>
      <c r="G801" s="35" t="s">
        <v>25</v>
      </c>
      <c r="H801" s="35" t="s">
        <v>25</v>
      </c>
      <c r="I801" s="55">
        <v>44593</v>
      </c>
      <c r="J801" s="56">
        <f>EFEITO!$J$801*EFEITO!$Y$723</f>
        <v>0</v>
      </c>
      <c r="K801" s="56">
        <f ca="1">EFEITO!$L$801*EFEITO!$Z$851</f>
        <v>4.1592528082675742</v>
      </c>
      <c r="L801" s="56">
        <f>EFEITO!$N$801*EFEITO!$AA$851</f>
        <v>5.0365628516759235</v>
      </c>
      <c r="M801" s="56">
        <f>$J$801-EFEITO!$K$801*EFEITO!$Y$801</f>
        <v>0</v>
      </c>
      <c r="N801" s="56">
        <f ca="1">$K$801-EFEITO!$M$801*EFEITO!$Z$801</f>
        <v>1.6637011233070296</v>
      </c>
      <c r="O801" s="56">
        <f>$L$801-EFEITO!$O$801*EFEITO!$AA$801</f>
        <v>2.0146251406703697</v>
      </c>
      <c r="P801" s="39"/>
      <c r="Q801" s="39"/>
      <c r="R801" s="39"/>
      <c r="S801" s="39"/>
      <c r="T801" s="39"/>
      <c r="U801" s="39"/>
      <c r="V801" s="39"/>
      <c r="W801" s="39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</row>
    <row r="802" spans="1:36" ht="11.25" customHeight="1" x14ac:dyDescent="0.2">
      <c r="A802" s="35" t="s">
        <v>28</v>
      </c>
      <c r="B802" s="35" t="s">
        <v>22</v>
      </c>
      <c r="C802" s="35" t="s">
        <v>23</v>
      </c>
      <c r="D802" s="35" t="s">
        <v>24</v>
      </c>
      <c r="E802" s="35" t="s">
        <v>30</v>
      </c>
      <c r="F802" s="35" t="s">
        <v>25</v>
      </c>
      <c r="G802" s="35" t="s">
        <v>25</v>
      </c>
      <c r="H802" s="35" t="s">
        <v>25</v>
      </c>
      <c r="I802" s="55">
        <v>44593</v>
      </c>
      <c r="J802" s="56">
        <f>EFEITO!$J$802*EFEITO!$Y$723</f>
        <v>0</v>
      </c>
      <c r="K802" s="56">
        <f ca="1">EFEITO!$L$802*EFEITO!$Z$851</f>
        <v>25.735376751155616</v>
      </c>
      <c r="L802" s="56">
        <f>EFEITO!$N$802*EFEITO!$AA$851</f>
        <v>31.163732644744776</v>
      </c>
      <c r="M802" s="56">
        <f>$J$802-EFEITO!$K$802*EFEITO!$Y$802</f>
        <v>0</v>
      </c>
      <c r="N802" s="56">
        <f ca="1">$K$802-EFEITO!$M$802*EFEITO!$Z$802</f>
        <v>22.647131541016943</v>
      </c>
      <c r="O802" s="56">
        <f>$L$802-EFEITO!$O$802*EFEITO!$AA$802</f>
        <v>27.424084727375401</v>
      </c>
      <c r="P802" s="39"/>
      <c r="Q802" s="39"/>
      <c r="R802" s="39"/>
      <c r="S802" s="39"/>
      <c r="T802" s="39"/>
      <c r="U802" s="39"/>
      <c r="V802" s="39"/>
      <c r="W802" s="39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</row>
    <row r="803" spans="1:36" ht="11.25" customHeight="1" x14ac:dyDescent="0.2">
      <c r="A803" s="35" t="s">
        <v>21</v>
      </c>
      <c r="B803" s="35" t="s">
        <v>22</v>
      </c>
      <c r="C803" s="35" t="s">
        <v>23</v>
      </c>
      <c r="D803" s="35" t="s">
        <v>24</v>
      </c>
      <c r="E803" s="35" t="s">
        <v>30</v>
      </c>
      <c r="F803" s="35" t="s">
        <v>25</v>
      </c>
      <c r="G803" s="35" t="s">
        <v>25</v>
      </c>
      <c r="H803" s="35" t="s">
        <v>25</v>
      </c>
      <c r="I803" s="55">
        <v>44621</v>
      </c>
      <c r="J803" s="56">
        <f>EFEITO!$J$803*EFEITO!$Y$723</f>
        <v>0</v>
      </c>
      <c r="K803" s="56">
        <f ca="1">EFEITO!$L$803*EFEITO!$Z$851</f>
        <v>98825.926350841706</v>
      </c>
      <c r="L803" s="56">
        <f>EFEITO!$N$803*EFEITO!$AA$851</f>
        <v>119671.25163724578</v>
      </c>
      <c r="M803" s="56">
        <f>$J$803-EFEITO!$K$803*EFEITO!$Y$803</f>
        <v>0</v>
      </c>
      <c r="N803" s="56">
        <f ca="1">$K$803-EFEITO!$M$803*EFEITO!$Z$803</f>
        <v>39530.370540336684</v>
      </c>
      <c r="O803" s="56">
        <f>$L$803-EFEITO!$O$803*EFEITO!$AA$803</f>
        <v>47868.500654898307</v>
      </c>
      <c r="P803" s="39"/>
      <c r="Q803" s="39"/>
      <c r="R803" s="39"/>
      <c r="S803" s="39"/>
      <c r="T803" s="39"/>
      <c r="U803" s="39"/>
      <c r="V803" s="39"/>
      <c r="W803" s="39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</row>
    <row r="804" spans="1:36" ht="11.25" customHeight="1" x14ac:dyDescent="0.2">
      <c r="A804" s="35" t="s">
        <v>27</v>
      </c>
      <c r="B804" s="35" t="s">
        <v>22</v>
      </c>
      <c r="C804" s="35" t="s">
        <v>23</v>
      </c>
      <c r="D804" s="35" t="s">
        <v>24</v>
      </c>
      <c r="E804" s="35" t="s">
        <v>30</v>
      </c>
      <c r="F804" s="35" t="s">
        <v>25</v>
      </c>
      <c r="G804" s="35" t="s">
        <v>25</v>
      </c>
      <c r="H804" s="35" t="s">
        <v>25</v>
      </c>
      <c r="I804" s="55">
        <v>44621</v>
      </c>
      <c r="J804" s="56">
        <f>EFEITO!$J$804*EFEITO!$Y$723</f>
        <v>0</v>
      </c>
      <c r="K804" s="56">
        <f ca="1">EFEITO!$L$804*EFEITO!$Z$851</f>
        <v>-15.857151331520127</v>
      </c>
      <c r="L804" s="56">
        <f>EFEITO!$N$804*EFEITO!$AA$851</f>
        <v>-19.201895872014457</v>
      </c>
      <c r="M804" s="56">
        <f>$J$804-EFEITO!$K$804*EFEITO!$Y$804</f>
        <v>0</v>
      </c>
      <c r="N804" s="56">
        <f ca="1">$K$804-EFEITO!$M$804*EFEITO!$Z$804</f>
        <v>-6.3428605326080501</v>
      </c>
      <c r="O804" s="56">
        <f>$L$804-EFEITO!$O$804*EFEITO!$AA$804</f>
        <v>-7.6807583488057833</v>
      </c>
      <c r="P804" s="39"/>
      <c r="Q804" s="39"/>
      <c r="R804" s="39"/>
      <c r="S804" s="39"/>
      <c r="T804" s="39"/>
      <c r="U804" s="39"/>
      <c r="V804" s="39"/>
      <c r="W804" s="39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</row>
    <row r="805" spans="1:36" ht="11.25" customHeight="1" x14ac:dyDescent="0.2">
      <c r="A805" s="35" t="s">
        <v>28</v>
      </c>
      <c r="B805" s="35" t="s">
        <v>22</v>
      </c>
      <c r="C805" s="35" t="s">
        <v>23</v>
      </c>
      <c r="D805" s="35" t="s">
        <v>24</v>
      </c>
      <c r="E805" s="35" t="s">
        <v>30</v>
      </c>
      <c r="F805" s="35" t="s">
        <v>25</v>
      </c>
      <c r="G805" s="35" t="s">
        <v>25</v>
      </c>
      <c r="H805" s="35" t="s">
        <v>25</v>
      </c>
      <c r="I805" s="55">
        <v>44621</v>
      </c>
      <c r="J805" s="56">
        <f>EFEITO!$J$805*EFEITO!$Y$723</f>
        <v>0</v>
      </c>
      <c r="K805" s="56">
        <f ca="1">EFEITO!$L$805*EFEITO!$Z$851</f>
        <v>25.475423450638896</v>
      </c>
      <c r="L805" s="56">
        <f>EFEITO!$N$805*EFEITO!$AA$851</f>
        <v>30.848947466515032</v>
      </c>
      <c r="M805" s="56">
        <f>$J$805-EFEITO!$K$805*EFEITO!$Y$805</f>
        <v>0</v>
      </c>
      <c r="N805" s="56">
        <f ca="1">$K$805-EFEITO!$M$805*EFEITO!$Z$805</f>
        <v>22.418372636562228</v>
      </c>
      <c r="O805" s="56">
        <f>$L$805-EFEITO!$O$805*EFEITO!$AA$805</f>
        <v>27.147073770533229</v>
      </c>
      <c r="P805" s="39"/>
      <c r="Q805" s="39"/>
      <c r="R805" s="39"/>
      <c r="S805" s="39"/>
      <c r="T805" s="39"/>
      <c r="U805" s="39"/>
      <c r="V805" s="39"/>
      <c r="W805" s="39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</row>
    <row r="806" spans="1:36" ht="11.25" customHeight="1" x14ac:dyDescent="0.2">
      <c r="A806" s="35" t="s">
        <v>21</v>
      </c>
      <c r="B806" s="35" t="s">
        <v>22</v>
      </c>
      <c r="C806" s="35" t="s">
        <v>23</v>
      </c>
      <c r="D806" s="35" t="s">
        <v>24</v>
      </c>
      <c r="E806" s="35" t="s">
        <v>30</v>
      </c>
      <c r="F806" s="35" t="s">
        <v>25</v>
      </c>
      <c r="G806" s="35" t="s">
        <v>25</v>
      </c>
      <c r="H806" s="35" t="s">
        <v>25</v>
      </c>
      <c r="I806" s="55">
        <v>44652</v>
      </c>
      <c r="J806" s="56">
        <f>EFEITO!$J$806*EFEITO!$Y$723</f>
        <v>0</v>
      </c>
      <c r="K806" s="56">
        <f ca="1">EFEITO!$L$806*EFEITO!$Z$851</f>
        <v>98774.975503940426</v>
      </c>
      <c r="L806" s="56">
        <f>EFEITO!$N$806*EFEITO!$AA$851</f>
        <v>119609.55374231274</v>
      </c>
      <c r="M806" s="56">
        <f>$J$806-EFEITO!$K$806*EFEITO!$Y$806</f>
        <v>0</v>
      </c>
      <c r="N806" s="56">
        <f ca="1">$K$806-EFEITO!$M$806*EFEITO!$Z$806</f>
        <v>39509.990201576176</v>
      </c>
      <c r="O806" s="56">
        <f>$L$806-EFEITO!$O$806*EFEITO!$AA$806</f>
        <v>47843.821496925098</v>
      </c>
      <c r="P806" s="39"/>
      <c r="Q806" s="39"/>
      <c r="R806" s="39"/>
      <c r="S806" s="39"/>
      <c r="T806" s="39"/>
      <c r="U806" s="39"/>
      <c r="V806" s="39"/>
      <c r="W806" s="39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</row>
    <row r="807" spans="1:36" ht="11.25" customHeight="1" x14ac:dyDescent="0.2">
      <c r="A807" s="35" t="s">
        <v>27</v>
      </c>
      <c r="B807" s="35" t="s">
        <v>22</v>
      </c>
      <c r="C807" s="35" t="s">
        <v>23</v>
      </c>
      <c r="D807" s="35" t="s">
        <v>24</v>
      </c>
      <c r="E807" s="35" t="s">
        <v>30</v>
      </c>
      <c r="F807" s="35" t="s">
        <v>25</v>
      </c>
      <c r="G807" s="35" t="s">
        <v>25</v>
      </c>
      <c r="H807" s="35" t="s">
        <v>25</v>
      </c>
      <c r="I807" s="55">
        <v>44652</v>
      </c>
      <c r="J807" s="56">
        <f>EFEITO!$J$807*EFEITO!$Y$723</f>
        <v>0</v>
      </c>
      <c r="K807" s="56">
        <f ca="1">EFEITO!$L$807*EFEITO!$Z$851</f>
        <v>28.594863056839575</v>
      </c>
      <c r="L807" s="56">
        <f>EFEITO!$N$807*EFEITO!$AA$851</f>
        <v>34.626369605271975</v>
      </c>
      <c r="M807" s="56">
        <f>$J$807-EFEITO!$K$807*EFEITO!$Y$807</f>
        <v>0</v>
      </c>
      <c r="N807" s="56">
        <f ca="1">$K$807-EFEITO!$M$807*EFEITO!$Z$807</f>
        <v>11.437945222735831</v>
      </c>
      <c r="O807" s="56">
        <f>$L$807-EFEITO!$O$807*EFEITO!$AA$807</f>
        <v>13.850547842108792</v>
      </c>
      <c r="P807" s="39"/>
      <c r="Q807" s="39"/>
      <c r="R807" s="39"/>
      <c r="S807" s="39"/>
      <c r="T807" s="39"/>
      <c r="U807" s="39"/>
      <c r="V807" s="39"/>
      <c r="W807" s="39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</row>
    <row r="808" spans="1:36" ht="11.25" customHeight="1" x14ac:dyDescent="0.2">
      <c r="A808" s="35" t="s">
        <v>28</v>
      </c>
      <c r="B808" s="35" t="s">
        <v>22</v>
      </c>
      <c r="C808" s="35" t="s">
        <v>23</v>
      </c>
      <c r="D808" s="35" t="s">
        <v>24</v>
      </c>
      <c r="E808" s="35" t="s">
        <v>30</v>
      </c>
      <c r="F808" s="35" t="s">
        <v>25</v>
      </c>
      <c r="G808" s="35" t="s">
        <v>25</v>
      </c>
      <c r="H808" s="35" t="s">
        <v>25</v>
      </c>
      <c r="I808" s="55">
        <v>44652</v>
      </c>
      <c r="J808" s="56">
        <f>EFEITO!$J$808*EFEITO!$Y$723</f>
        <v>0</v>
      </c>
      <c r="K808" s="56">
        <f ca="1">EFEITO!$L$808*EFEITO!$Z$851</f>
        <v>16.117104632036853</v>
      </c>
      <c r="L808" s="56">
        <f>EFEITO!$N$808*EFEITO!$AA$851</f>
        <v>19.516681050244202</v>
      </c>
      <c r="M808" s="56">
        <f>$J$808-EFEITO!$K$808*EFEITO!$Y$808</f>
        <v>0</v>
      </c>
      <c r="N808" s="56">
        <f ca="1">$K$808-EFEITO!$M$808*EFEITO!$Z$808</f>
        <v>14.18305207619243</v>
      </c>
      <c r="O808" s="56">
        <f>$L$808-EFEITO!$O$808*EFEITO!$AA$808</f>
        <v>17.1746793242149</v>
      </c>
      <c r="P808" s="39"/>
      <c r="Q808" s="39"/>
      <c r="R808" s="39"/>
      <c r="S808" s="39"/>
      <c r="T808" s="39"/>
      <c r="U808" s="39"/>
      <c r="V808" s="39"/>
      <c r="W808" s="39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</row>
    <row r="809" spans="1:36" ht="11.25" customHeight="1" x14ac:dyDescent="0.2">
      <c r="A809" s="35" t="s">
        <v>21</v>
      </c>
      <c r="B809" s="35" t="s">
        <v>22</v>
      </c>
      <c r="C809" s="35" t="s">
        <v>23</v>
      </c>
      <c r="D809" s="35" t="s">
        <v>24</v>
      </c>
      <c r="E809" s="35" t="s">
        <v>30</v>
      </c>
      <c r="F809" s="35" t="s">
        <v>25</v>
      </c>
      <c r="G809" s="35" t="s">
        <v>25</v>
      </c>
      <c r="H809" s="35" t="s">
        <v>25</v>
      </c>
      <c r="I809" s="55">
        <v>44682</v>
      </c>
      <c r="J809" s="56">
        <f>EFEITO!$J$809*EFEITO!$Y$723</f>
        <v>0</v>
      </c>
      <c r="K809" s="56">
        <f ca="1">EFEITO!$L$809*EFEITO!$Z$851</f>
        <v>100902.95322197033</v>
      </c>
      <c r="L809" s="56">
        <f>EFEITO!$N$809*EFEITO!$AA$851</f>
        <v>122186.38521130144</v>
      </c>
      <c r="M809" s="56">
        <f>$J$809-EFEITO!$K$809*EFEITO!$Y$809</f>
        <v>0</v>
      </c>
      <c r="N809" s="56">
        <f ca="1">$K$809-EFEITO!$M$809*EFEITO!$Z$809</f>
        <v>40361.181288788131</v>
      </c>
      <c r="O809" s="56">
        <f>$L$809-EFEITO!$O$809*EFEITO!$AA$809</f>
        <v>48874.554084520583</v>
      </c>
      <c r="P809" s="39"/>
      <c r="Q809" s="39"/>
      <c r="R809" s="39"/>
      <c r="S809" s="39"/>
      <c r="T809" s="39"/>
      <c r="U809" s="39"/>
      <c r="V809" s="39"/>
      <c r="W809" s="39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</row>
    <row r="810" spans="1:36" ht="11.25" customHeight="1" x14ac:dyDescent="0.2">
      <c r="A810" s="35" t="s">
        <v>28</v>
      </c>
      <c r="B810" s="35" t="s">
        <v>22</v>
      </c>
      <c r="C810" s="35" t="s">
        <v>23</v>
      </c>
      <c r="D810" s="35" t="s">
        <v>24</v>
      </c>
      <c r="E810" s="35" t="s">
        <v>30</v>
      </c>
      <c r="F810" s="35" t="s">
        <v>25</v>
      </c>
      <c r="G810" s="35" t="s">
        <v>25</v>
      </c>
      <c r="H810" s="35" t="s">
        <v>25</v>
      </c>
      <c r="I810" s="55">
        <v>44682</v>
      </c>
      <c r="J810" s="56">
        <f>EFEITO!$J$810*EFEITO!$Y$723</f>
        <v>0</v>
      </c>
      <c r="K810" s="56">
        <f ca="1">EFEITO!$L$810*EFEITO!$Z$851</f>
        <v>0.51990660103344677</v>
      </c>
      <c r="L810" s="56">
        <f>EFEITO!$N$810*EFEITO!$AA$851</f>
        <v>0.62957035645949044</v>
      </c>
      <c r="M810" s="56">
        <f>$J$810-EFEITO!$K$810*EFEITO!$Y$810</f>
        <v>0</v>
      </c>
      <c r="N810" s="56">
        <f ca="1">$K$810-EFEITO!$M$810*EFEITO!$Z$810</f>
        <v>0.45751780890943317</v>
      </c>
      <c r="O810" s="56">
        <f>$L$810-EFEITO!$O$810*EFEITO!$AA$810</f>
        <v>0.55402191368435161</v>
      </c>
      <c r="P810" s="39"/>
      <c r="Q810" s="39"/>
      <c r="R810" s="39"/>
      <c r="S810" s="39"/>
      <c r="T810" s="39"/>
      <c r="U810" s="39"/>
      <c r="V810" s="39"/>
      <c r="W810" s="39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</row>
    <row r="811" spans="1:36" ht="11.25" customHeight="1" x14ac:dyDescent="0.2">
      <c r="A811" s="35" t="s">
        <v>21</v>
      </c>
      <c r="B811" s="35" t="s">
        <v>22</v>
      </c>
      <c r="C811" s="35" t="s">
        <v>23</v>
      </c>
      <c r="D811" s="35" t="s">
        <v>24</v>
      </c>
      <c r="E811" s="35" t="s">
        <v>30</v>
      </c>
      <c r="F811" s="35" t="s">
        <v>25</v>
      </c>
      <c r="G811" s="35" t="s">
        <v>25</v>
      </c>
      <c r="H811" s="35" t="s">
        <v>25</v>
      </c>
      <c r="I811" s="55">
        <v>44713</v>
      </c>
      <c r="J811" s="56">
        <f>EFEITO!$J$811*EFEITO!$Y$723</f>
        <v>0</v>
      </c>
      <c r="K811" s="56">
        <f ca="1">EFEITO!$L$811*EFEITO!$Z$851</f>
        <v>95515.161115460724</v>
      </c>
      <c r="L811" s="56">
        <f>EFEITO!$N$811*EFEITO!$AA$851</f>
        <v>115662.14760731175</v>
      </c>
      <c r="M811" s="56">
        <f>$J$811-EFEITO!$K$811*EFEITO!$Y$811</f>
        <v>0</v>
      </c>
      <c r="N811" s="56">
        <f ca="1">$K$811-EFEITO!$M$811*EFEITO!$Z$811</f>
        <v>38206.064446184297</v>
      </c>
      <c r="O811" s="56">
        <f>$L$811-EFEITO!$O$811*EFEITO!$AA$811</f>
        <v>46264.859042924712</v>
      </c>
      <c r="P811" s="39"/>
      <c r="Q811" s="39"/>
      <c r="R811" s="39"/>
      <c r="S811" s="39"/>
      <c r="T811" s="39"/>
      <c r="U811" s="39"/>
      <c r="V811" s="39"/>
      <c r="W811" s="39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</row>
    <row r="812" spans="1:36" ht="11.25" customHeight="1" x14ac:dyDescent="0.2">
      <c r="A812" s="35" t="s">
        <v>27</v>
      </c>
      <c r="B812" s="35" t="s">
        <v>22</v>
      </c>
      <c r="C812" s="35" t="s">
        <v>23</v>
      </c>
      <c r="D812" s="35" t="s">
        <v>24</v>
      </c>
      <c r="E812" s="35" t="s">
        <v>30</v>
      </c>
      <c r="F812" s="35" t="s">
        <v>25</v>
      </c>
      <c r="G812" s="35" t="s">
        <v>25</v>
      </c>
      <c r="H812" s="35" t="s">
        <v>25</v>
      </c>
      <c r="I812" s="55">
        <v>44713</v>
      </c>
      <c r="J812" s="56">
        <f>EFEITO!$J$812*EFEITO!$Y$723</f>
        <v>0</v>
      </c>
      <c r="K812" s="56">
        <f ca="1">EFEITO!$L$812*EFEITO!$Z$851</f>
        <v>-1.2997665025836171</v>
      </c>
      <c r="L812" s="56">
        <f>EFEITO!$N$812*EFEITO!$AA$851</f>
        <v>-1.5739258911487262</v>
      </c>
      <c r="M812" s="56">
        <f>$J$812-EFEITO!$K$812*EFEITO!$Y$812</f>
        <v>0</v>
      </c>
      <c r="N812" s="56">
        <f ca="1">$K$812-EFEITO!$M$812*EFEITO!$Z$812</f>
        <v>-0.51990660103344688</v>
      </c>
      <c r="O812" s="56">
        <f>$L$812-EFEITO!$O$812*EFEITO!$AA$812</f>
        <v>-0.62957035645949055</v>
      </c>
      <c r="P812" s="39"/>
      <c r="Q812" s="39"/>
      <c r="R812" s="39"/>
      <c r="S812" s="39"/>
      <c r="T812" s="39"/>
      <c r="U812" s="39"/>
      <c r="V812" s="39"/>
      <c r="W812" s="39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</row>
    <row r="813" spans="1:36" ht="11.25" customHeight="1" x14ac:dyDescent="0.2">
      <c r="A813" s="35" t="s">
        <v>21</v>
      </c>
      <c r="B813" s="35" t="s">
        <v>22</v>
      </c>
      <c r="C813" s="35" t="s">
        <v>23</v>
      </c>
      <c r="D813" s="35" t="s">
        <v>24</v>
      </c>
      <c r="E813" s="35" t="s">
        <v>30</v>
      </c>
      <c r="F813" s="35" t="s">
        <v>25</v>
      </c>
      <c r="G813" s="35" t="s">
        <v>25</v>
      </c>
      <c r="H813" s="35" t="s">
        <v>25</v>
      </c>
      <c r="I813" s="55">
        <v>44743</v>
      </c>
      <c r="J813" s="56">
        <f>EFEITO!$J$813*EFEITO!$Y$723</f>
        <v>0</v>
      </c>
      <c r="K813" s="56">
        <f ca="1">EFEITO!$L$813*EFEITO!$Z$851</f>
        <v>90331.952256457764</v>
      </c>
      <c r="L813" s="56">
        <f>EFEITO!$N$813*EFEITO!$AA$851</f>
        <v>109385.64593858884</v>
      </c>
      <c r="M813" s="56">
        <f>$J$813-EFEITO!$K$813*EFEITO!$Y$813</f>
        <v>0</v>
      </c>
      <c r="N813" s="56">
        <f ca="1">$K$813-EFEITO!$M$813*EFEITO!$Z$813</f>
        <v>36132.780902583108</v>
      </c>
      <c r="O813" s="56">
        <f>$L$813-EFEITO!$O$813*EFEITO!$AA$813</f>
        <v>43754.258375435544</v>
      </c>
      <c r="P813" s="39"/>
      <c r="Q813" s="39"/>
      <c r="R813" s="39"/>
      <c r="S813" s="39"/>
      <c r="T813" s="39"/>
      <c r="U813" s="39"/>
      <c r="V813" s="39"/>
      <c r="W813" s="39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</row>
    <row r="814" spans="1:36" ht="11.25" customHeight="1" x14ac:dyDescent="0.2">
      <c r="A814" s="35" t="s">
        <v>21</v>
      </c>
      <c r="B814" s="35" t="s">
        <v>22</v>
      </c>
      <c r="C814" s="35" t="s">
        <v>23</v>
      </c>
      <c r="D814" s="35" t="s">
        <v>24</v>
      </c>
      <c r="E814" s="35" t="s">
        <v>30</v>
      </c>
      <c r="F814" s="35" t="s">
        <v>25</v>
      </c>
      <c r="G814" s="35" t="s">
        <v>25</v>
      </c>
      <c r="H814" s="35" t="s">
        <v>25</v>
      </c>
      <c r="I814" s="55">
        <v>44774</v>
      </c>
      <c r="J814" s="56">
        <f>EFEITO!$J$814*EFEITO!$Y$723</f>
        <v>0</v>
      </c>
      <c r="K814" s="56">
        <f ca="1">EFEITO!$L$814*EFEITO!$Z$851</f>
        <v>93253.827354265741</v>
      </c>
      <c r="L814" s="56">
        <f>EFEITO!$N$814*EFEITO!$AA$851</f>
        <v>112923.83134189119</v>
      </c>
      <c r="M814" s="56">
        <f>$J$814-EFEITO!$K$814*EFEITO!$Y$814</f>
        <v>0</v>
      </c>
      <c r="N814" s="56">
        <f ca="1">$K$814-EFEITO!$M$814*EFEITO!$Z$814</f>
        <v>37301.530941706296</v>
      </c>
      <c r="O814" s="56">
        <f>$L$814-EFEITO!$O$814*EFEITO!$AA$814</f>
        <v>45169.53253675648</v>
      </c>
      <c r="P814" s="39"/>
      <c r="Q814" s="39"/>
      <c r="R814" s="39"/>
      <c r="S814" s="39"/>
      <c r="T814" s="39"/>
      <c r="U814" s="39"/>
      <c r="V814" s="39"/>
      <c r="W814" s="39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</row>
    <row r="815" spans="1:36" ht="11.25" customHeight="1" x14ac:dyDescent="0.2">
      <c r="A815" s="35" t="s">
        <v>27</v>
      </c>
      <c r="B815" s="35" t="s">
        <v>22</v>
      </c>
      <c r="C815" s="35" t="s">
        <v>23</v>
      </c>
      <c r="D815" s="35" t="s">
        <v>24</v>
      </c>
      <c r="E815" s="35" t="s">
        <v>30</v>
      </c>
      <c r="F815" s="35" t="s">
        <v>25</v>
      </c>
      <c r="G815" s="35" t="s">
        <v>25</v>
      </c>
      <c r="H815" s="35" t="s">
        <v>25</v>
      </c>
      <c r="I815" s="55">
        <v>44774</v>
      </c>
      <c r="J815" s="56">
        <f>EFEITO!$J$815*EFEITO!$Y$723</f>
        <v>0</v>
      </c>
      <c r="K815" s="56">
        <f ca="1">EFEITO!$L$815*EFEITO!$Z$851</f>
        <v>-2.8594863056839572</v>
      </c>
      <c r="L815" s="56">
        <f>EFEITO!$N$815*EFEITO!$AA$851</f>
        <v>-3.4626369605271972</v>
      </c>
      <c r="M815" s="56">
        <f>$J$815-EFEITO!$K$815*EFEITO!$Y$815</f>
        <v>0</v>
      </c>
      <c r="N815" s="56">
        <f ca="1">$K$815-EFEITO!$M$815*EFEITO!$Z$815</f>
        <v>-1.1437945222735828</v>
      </c>
      <c r="O815" s="56">
        <f>$L$815-EFEITO!$O$815*EFEITO!$AA$815</f>
        <v>-1.3850547842108791</v>
      </c>
      <c r="P815" s="39"/>
      <c r="Q815" s="39"/>
      <c r="R815" s="39"/>
      <c r="S815" s="39"/>
      <c r="T815" s="39"/>
      <c r="U815" s="39"/>
      <c r="V815" s="39"/>
      <c r="W815" s="39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</row>
    <row r="816" spans="1:36" ht="11.25" customHeight="1" x14ac:dyDescent="0.2">
      <c r="A816" s="35" t="s">
        <v>21</v>
      </c>
      <c r="B816" s="35" t="s">
        <v>22</v>
      </c>
      <c r="C816" s="35" t="s">
        <v>23</v>
      </c>
      <c r="D816" s="35" t="s">
        <v>24</v>
      </c>
      <c r="E816" s="35" t="s">
        <v>30</v>
      </c>
      <c r="F816" s="35" t="s">
        <v>25</v>
      </c>
      <c r="G816" s="35" t="s">
        <v>25</v>
      </c>
      <c r="H816" s="35" t="s">
        <v>25</v>
      </c>
      <c r="I816" s="55">
        <v>44805</v>
      </c>
      <c r="J816" s="56">
        <f>EFEITO!$J$816*EFEITO!$Y$723</f>
        <v>0</v>
      </c>
      <c r="K816" s="56">
        <f ca="1">EFEITO!$L$816*EFEITO!$Z$851</f>
        <v>96262.266901145777</v>
      </c>
      <c r="L816" s="56">
        <f>EFEITO!$N$816*EFEITO!$AA$851</f>
        <v>116566.84020954403</v>
      </c>
      <c r="M816" s="56">
        <f>$J$816-EFEITO!$K$816*EFEITO!$Y$816</f>
        <v>0</v>
      </c>
      <c r="N816" s="56">
        <f ca="1">$K$816-EFEITO!$M$816*EFEITO!$Z$816</f>
        <v>38504.906760458311</v>
      </c>
      <c r="O816" s="56">
        <f>$L$816-EFEITO!$O$816*EFEITO!$AA$816</f>
        <v>46626.73608381761</v>
      </c>
      <c r="P816" s="39"/>
      <c r="Q816" s="39"/>
      <c r="R816" s="39"/>
      <c r="S816" s="39"/>
      <c r="T816" s="39"/>
      <c r="U816" s="39"/>
      <c r="V816" s="39"/>
      <c r="W816" s="39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</row>
    <row r="817" spans="1:36" ht="11.25" customHeight="1" x14ac:dyDescent="0.2">
      <c r="A817" s="35" t="s">
        <v>27</v>
      </c>
      <c r="B817" s="35" t="s">
        <v>22</v>
      </c>
      <c r="C817" s="35" t="s">
        <v>23</v>
      </c>
      <c r="D817" s="35" t="s">
        <v>24</v>
      </c>
      <c r="E817" s="35" t="s">
        <v>30</v>
      </c>
      <c r="F817" s="35" t="s">
        <v>25</v>
      </c>
      <c r="G817" s="35" t="s">
        <v>25</v>
      </c>
      <c r="H817" s="35" t="s">
        <v>25</v>
      </c>
      <c r="I817" s="55">
        <v>44805</v>
      </c>
      <c r="J817" s="56">
        <f>EFEITO!$J$817*EFEITO!$Y$723</f>
        <v>0</v>
      </c>
      <c r="K817" s="56">
        <f ca="1">EFEITO!$L$817*EFEITO!$Z$851</f>
        <v>-35.093695569757664</v>
      </c>
      <c r="L817" s="56">
        <f>EFEITO!$N$817*EFEITO!$AA$851</f>
        <v>-42.49599906101561</v>
      </c>
      <c r="M817" s="56">
        <f>$J$817-EFEITO!$K$817*EFEITO!$Y$817</f>
        <v>0</v>
      </c>
      <c r="N817" s="56">
        <f ca="1">$K$817-EFEITO!$M$817*EFEITO!$Z$817</f>
        <v>-14.037478227903065</v>
      </c>
      <c r="O817" s="56">
        <f>$L$817-EFEITO!$O$817*EFEITO!$AA$817</f>
        <v>-16.998399624406247</v>
      </c>
      <c r="P817" s="39"/>
      <c r="Q817" s="39"/>
      <c r="R817" s="39"/>
      <c r="S817" s="39"/>
      <c r="T817" s="39"/>
      <c r="U817" s="39"/>
      <c r="V817" s="39"/>
      <c r="W817" s="39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</row>
    <row r="818" spans="1:36" ht="11.25" customHeight="1" x14ac:dyDescent="0.2">
      <c r="A818" s="35" t="s">
        <v>28</v>
      </c>
      <c r="B818" s="35" t="s">
        <v>22</v>
      </c>
      <c r="C818" s="35" t="s">
        <v>23</v>
      </c>
      <c r="D818" s="35" t="s">
        <v>24</v>
      </c>
      <c r="E818" s="35" t="s">
        <v>30</v>
      </c>
      <c r="F818" s="35" t="s">
        <v>25</v>
      </c>
      <c r="G818" s="35" t="s">
        <v>25</v>
      </c>
      <c r="H818" s="35" t="s">
        <v>25</v>
      </c>
      <c r="I818" s="55">
        <v>44805</v>
      </c>
      <c r="J818" s="56">
        <f>EFEITO!$J$818*EFEITO!$Y$723</f>
        <v>0</v>
      </c>
      <c r="K818" s="56">
        <f ca="1">EFEITO!$L$818*EFEITO!$Z$851</f>
        <v>18.19673103617064</v>
      </c>
      <c r="L818" s="56">
        <f>EFEITO!$N$818*EFEITO!$AA$851</f>
        <v>22.034962476082168</v>
      </c>
      <c r="M818" s="56">
        <f>$J$818-EFEITO!$K$818*EFEITO!$Y$818</f>
        <v>0</v>
      </c>
      <c r="N818" s="56">
        <f ca="1">$K$818-EFEITO!$M$818*EFEITO!$Z$818</f>
        <v>11.645907863149208</v>
      </c>
      <c r="O818" s="56">
        <f>$L$818-EFEITO!$O$818*EFEITO!$AA$818</f>
        <v>14.102375984692589</v>
      </c>
      <c r="P818" s="39"/>
      <c r="Q818" s="39"/>
      <c r="R818" s="39"/>
      <c r="S818" s="39"/>
      <c r="T818" s="39"/>
      <c r="U818" s="39"/>
      <c r="V818" s="39"/>
      <c r="W818" s="39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</row>
    <row r="819" spans="1:36" ht="11.25" customHeight="1" x14ac:dyDescent="0.2">
      <c r="A819" s="35" t="s">
        <v>53</v>
      </c>
      <c r="B819" s="35" t="s">
        <v>22</v>
      </c>
      <c r="C819" s="35" t="s">
        <v>23</v>
      </c>
      <c r="D819" s="35" t="s">
        <v>24</v>
      </c>
      <c r="E819" s="35" t="s">
        <v>30</v>
      </c>
      <c r="F819" s="35" t="s">
        <v>25</v>
      </c>
      <c r="G819" s="35" t="s">
        <v>25</v>
      </c>
      <c r="H819" s="35" t="s">
        <v>25</v>
      </c>
      <c r="I819" s="55">
        <v>44835</v>
      </c>
      <c r="J819" s="56">
        <f>EFEITO!$J$819*EFEITO!$Y$723</f>
        <v>0</v>
      </c>
      <c r="K819" s="56">
        <f ca="1">EFEITO!$L$819*EFEITO!$Z$851</f>
        <v>96262.266901145777</v>
      </c>
      <c r="L819" s="56">
        <f>EFEITO!$N$819*EFEITO!$AA$851</f>
        <v>116566.84020954403</v>
      </c>
      <c r="M819" s="56">
        <f>$J$819-EFEITO!$K$819*EFEITO!$Y$819</f>
        <v>0</v>
      </c>
      <c r="N819" s="56">
        <f ca="1">$K$819-EFEITO!$M$819*EFEITO!$Z$819</f>
        <v>38504.906760458311</v>
      </c>
      <c r="O819" s="56">
        <f>$L$819-EFEITO!$O$819*EFEITO!$AA$819</f>
        <v>46626.73608381761</v>
      </c>
      <c r="P819" s="39"/>
      <c r="Q819" s="39"/>
      <c r="R819" s="39"/>
      <c r="S819" s="39"/>
      <c r="T819" s="39"/>
      <c r="U819" s="39"/>
      <c r="V819" s="39"/>
      <c r="W819" s="39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</row>
    <row r="820" spans="1:36" ht="11.25" customHeight="1" x14ac:dyDescent="0.2">
      <c r="A820" s="35" t="s">
        <v>53</v>
      </c>
      <c r="B820" s="35" t="s">
        <v>22</v>
      </c>
      <c r="C820" s="35" t="s">
        <v>23</v>
      </c>
      <c r="D820" s="35" t="s">
        <v>24</v>
      </c>
      <c r="E820" s="35" t="s">
        <v>30</v>
      </c>
      <c r="F820" s="35" t="s">
        <v>25</v>
      </c>
      <c r="G820" s="35" t="s">
        <v>25</v>
      </c>
      <c r="H820" s="35" t="s">
        <v>25</v>
      </c>
      <c r="I820" s="55">
        <v>44835</v>
      </c>
      <c r="J820" s="56">
        <f>EFEITO!$J$820*EFEITO!$Y$723</f>
        <v>0</v>
      </c>
      <c r="K820" s="56">
        <f ca="1">EFEITO!$L$820*EFEITO!$Z$851</f>
        <v>-35.093695569757664</v>
      </c>
      <c r="L820" s="56">
        <f>EFEITO!$N$820*EFEITO!$AA$851</f>
        <v>-42.49599906101561</v>
      </c>
      <c r="M820" s="56">
        <f>$J$820-EFEITO!$K$820*EFEITO!$Y$820</f>
        <v>0</v>
      </c>
      <c r="N820" s="56">
        <f ca="1">$K$820-EFEITO!$M$820*EFEITO!$Z$820</f>
        <v>-14.037478227903065</v>
      </c>
      <c r="O820" s="56">
        <f>$L$820-EFEITO!$O$820*EFEITO!$AA$820</f>
        <v>-16.998399624406247</v>
      </c>
      <c r="P820" s="39"/>
      <c r="Q820" s="39"/>
      <c r="R820" s="39"/>
      <c r="S820" s="39"/>
      <c r="T820" s="39"/>
      <c r="U820" s="39"/>
      <c r="V820" s="39"/>
      <c r="W820" s="39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</row>
    <row r="821" spans="1:36" ht="11.25" customHeight="1" x14ac:dyDescent="0.2">
      <c r="A821" s="35" t="s">
        <v>53</v>
      </c>
      <c r="B821" s="35" t="s">
        <v>22</v>
      </c>
      <c r="C821" s="35" t="s">
        <v>23</v>
      </c>
      <c r="D821" s="35" t="s">
        <v>24</v>
      </c>
      <c r="E821" s="35" t="s">
        <v>30</v>
      </c>
      <c r="F821" s="35" t="s">
        <v>25</v>
      </c>
      <c r="G821" s="35" t="s">
        <v>25</v>
      </c>
      <c r="H821" s="35" t="s">
        <v>25</v>
      </c>
      <c r="I821" s="55">
        <v>44835</v>
      </c>
      <c r="J821" s="56">
        <f>EFEITO!$J$821*EFEITO!$Y$723</f>
        <v>0</v>
      </c>
      <c r="K821" s="56">
        <f ca="1">EFEITO!$L$821*EFEITO!$Z$851</f>
        <v>18.19673103617064</v>
      </c>
      <c r="L821" s="56">
        <f>EFEITO!$N$821*EFEITO!$AA$851</f>
        <v>22.034962476082168</v>
      </c>
      <c r="M821" s="56">
        <f>$J$821-EFEITO!$K$821*EFEITO!$Y$821</f>
        <v>0</v>
      </c>
      <c r="N821" s="56">
        <f ca="1">$K$821-EFEITO!$M$821*EFEITO!$Z$821</f>
        <v>11.645907863149208</v>
      </c>
      <c r="O821" s="56">
        <f>$L$821-EFEITO!$O$821*EFEITO!$AA$821</f>
        <v>14.102375984692589</v>
      </c>
      <c r="P821" s="39"/>
      <c r="Q821" s="39"/>
      <c r="R821" s="39"/>
      <c r="S821" s="39"/>
      <c r="T821" s="39"/>
      <c r="U821" s="39"/>
      <c r="V821" s="39"/>
      <c r="W821" s="39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</row>
    <row r="822" spans="1:36" ht="11.25" customHeight="1" x14ac:dyDescent="0.2">
      <c r="A822" s="35" t="s">
        <v>21</v>
      </c>
      <c r="B822" s="35" t="s">
        <v>22</v>
      </c>
      <c r="C822" s="35" t="s">
        <v>23</v>
      </c>
      <c r="D822" s="35" t="s">
        <v>24</v>
      </c>
      <c r="E822" s="35" t="s">
        <v>31</v>
      </c>
      <c r="F822" s="35" t="s">
        <v>25</v>
      </c>
      <c r="G822" s="35" t="s">
        <v>25</v>
      </c>
      <c r="H822" s="35" t="s">
        <v>25</v>
      </c>
      <c r="I822" s="55">
        <v>44501</v>
      </c>
      <c r="J822" s="56">
        <f>EFEITO!$J$822*EFEITO!$Y$723</f>
        <v>0</v>
      </c>
      <c r="K822" s="56">
        <f ca="1">EFEITO!$L$822*EFEITO!$Z$851</f>
        <v>62407.248808350305</v>
      </c>
      <c r="L822" s="56">
        <f>EFEITO!$N$822*EFEITO!$AA$851</f>
        <v>75570.792522793156</v>
      </c>
      <c r="M822" s="56">
        <f>$J$822-EFEITO!$K$822*EFEITO!$Y$822</f>
        <v>0</v>
      </c>
      <c r="N822" s="56">
        <f ca="1">$K$822-EFEITO!$M$822*EFEITO!$Z$822</f>
        <v>6240.7248808350341</v>
      </c>
      <c r="O822" s="56">
        <f>$L$822-EFEITO!$O$822*EFEITO!$AA$822</f>
        <v>7557.0792522793199</v>
      </c>
      <c r="P822" s="39"/>
      <c r="Q822" s="39"/>
      <c r="R822" s="39"/>
      <c r="S822" s="39"/>
      <c r="T822" s="39"/>
      <c r="U822" s="39"/>
      <c r="V822" s="39"/>
      <c r="W822" s="39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</row>
    <row r="823" spans="1:36" ht="11.25" customHeight="1" x14ac:dyDescent="0.2">
      <c r="A823" s="35" t="s">
        <v>27</v>
      </c>
      <c r="B823" s="35" t="s">
        <v>22</v>
      </c>
      <c r="C823" s="35" t="s">
        <v>23</v>
      </c>
      <c r="D823" s="35" t="s">
        <v>24</v>
      </c>
      <c r="E823" s="35" t="s">
        <v>31</v>
      </c>
      <c r="F823" s="35" t="s">
        <v>25</v>
      </c>
      <c r="G823" s="35" t="s">
        <v>25</v>
      </c>
      <c r="H823" s="35" t="s">
        <v>25</v>
      </c>
      <c r="I823" s="55">
        <v>44501</v>
      </c>
      <c r="J823" s="56">
        <f>EFEITO!$J$823*EFEITO!$Y$723</f>
        <v>0</v>
      </c>
      <c r="K823" s="56">
        <f ca="1">EFEITO!$L$823*EFEITO!$Z$851</f>
        <v>-4.419206108784298</v>
      </c>
      <c r="L823" s="56">
        <f>EFEITO!$N$823*EFEITO!$AA$851</f>
        <v>-5.3513480299056688</v>
      </c>
      <c r="M823" s="56">
        <f>$J$823-EFEITO!$K$823*EFEITO!$Y$823</f>
        <v>0</v>
      </c>
      <c r="N823" s="56">
        <f ca="1">$K$823-EFEITO!$M$823*EFEITO!$Z$823</f>
        <v>-0.44192061087842971</v>
      </c>
      <c r="O823" s="56">
        <f>$L$823-EFEITO!$O$823*EFEITO!$AA$823</f>
        <v>-0.5351348029905667</v>
      </c>
      <c r="P823" s="39"/>
      <c r="Q823" s="39"/>
      <c r="R823" s="39"/>
      <c r="S823" s="39"/>
      <c r="T823" s="39"/>
      <c r="U823" s="39"/>
      <c r="V823" s="39"/>
      <c r="W823" s="39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</row>
    <row r="824" spans="1:36" ht="11.25" customHeight="1" x14ac:dyDescent="0.2">
      <c r="A824" s="35" t="s">
        <v>21</v>
      </c>
      <c r="B824" s="35" t="s">
        <v>22</v>
      </c>
      <c r="C824" s="35" t="s">
        <v>23</v>
      </c>
      <c r="D824" s="35" t="s">
        <v>24</v>
      </c>
      <c r="E824" s="35" t="s">
        <v>31</v>
      </c>
      <c r="F824" s="35" t="s">
        <v>25</v>
      </c>
      <c r="G824" s="35" t="s">
        <v>25</v>
      </c>
      <c r="H824" s="35" t="s">
        <v>25</v>
      </c>
      <c r="I824" s="55">
        <v>44531</v>
      </c>
      <c r="J824" s="56">
        <f>EFEITO!$J$824*EFEITO!$Y$723</f>
        <v>0</v>
      </c>
      <c r="K824" s="56">
        <f ca="1">EFEITO!$L$824*EFEITO!$Z$851</f>
        <v>60059.610551383776</v>
      </c>
      <c r="L824" s="56">
        <f>EFEITO!$N$824*EFEITO!$AA$851</f>
        <v>72727.967578200332</v>
      </c>
      <c r="M824" s="56">
        <f>$J$824-EFEITO!$K$824*EFEITO!$Y$824</f>
        <v>0</v>
      </c>
      <c r="N824" s="56">
        <f ca="1">$K$824-EFEITO!$M$824*EFEITO!$Z$824</f>
        <v>6005.9610551383812</v>
      </c>
      <c r="O824" s="56">
        <f>$L$824-EFEITO!$O$824*EFEITO!$AA$824</f>
        <v>7272.7967578200405</v>
      </c>
      <c r="P824" s="39"/>
      <c r="Q824" s="39"/>
      <c r="R824" s="39"/>
      <c r="S824" s="39"/>
      <c r="T824" s="39"/>
      <c r="U824" s="39"/>
      <c r="V824" s="39"/>
      <c r="W824" s="39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</row>
    <row r="825" spans="1:36" ht="11.25" customHeight="1" x14ac:dyDescent="0.2">
      <c r="A825" s="35" t="s">
        <v>27</v>
      </c>
      <c r="B825" s="35" t="s">
        <v>22</v>
      </c>
      <c r="C825" s="35" t="s">
        <v>23</v>
      </c>
      <c r="D825" s="35" t="s">
        <v>24</v>
      </c>
      <c r="E825" s="35" t="s">
        <v>31</v>
      </c>
      <c r="F825" s="35" t="s">
        <v>25</v>
      </c>
      <c r="G825" s="35" t="s">
        <v>25</v>
      </c>
      <c r="H825" s="35" t="s">
        <v>25</v>
      </c>
      <c r="I825" s="55">
        <v>44531</v>
      </c>
      <c r="J825" s="56">
        <f>EFEITO!$J$825*EFEITO!$Y$723</f>
        <v>0</v>
      </c>
      <c r="K825" s="56">
        <f ca="1">EFEITO!$L$825*EFEITO!$Z$851</f>
        <v>16.377057932553573</v>
      </c>
      <c r="L825" s="56">
        <f>EFEITO!$N$825*EFEITO!$AA$851</f>
        <v>19.83146622847395</v>
      </c>
      <c r="M825" s="56">
        <f>$J$825-EFEITO!$K$825*EFEITO!$Y$825</f>
        <v>0</v>
      </c>
      <c r="N825" s="56">
        <f ca="1">$K$825-EFEITO!$M$825*EFEITO!$Z$825</f>
        <v>1.6377057932553551</v>
      </c>
      <c r="O825" s="56">
        <f>$L$825-EFEITO!$O$825*EFEITO!$AA$825</f>
        <v>1.9831466228473964</v>
      </c>
      <c r="P825" s="39"/>
      <c r="Q825" s="39"/>
      <c r="R825" s="39"/>
      <c r="S825" s="39"/>
      <c r="T825" s="39"/>
      <c r="U825" s="39"/>
      <c r="V825" s="39"/>
      <c r="W825" s="39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</row>
    <row r="826" spans="1:36" ht="11.25" customHeight="1" x14ac:dyDescent="0.2">
      <c r="A826" s="35" t="s">
        <v>28</v>
      </c>
      <c r="B826" s="35" t="s">
        <v>22</v>
      </c>
      <c r="C826" s="35" t="s">
        <v>23</v>
      </c>
      <c r="D826" s="35" t="s">
        <v>24</v>
      </c>
      <c r="E826" s="35" t="s">
        <v>31</v>
      </c>
      <c r="F826" s="35" t="s">
        <v>25</v>
      </c>
      <c r="G826" s="35" t="s">
        <v>25</v>
      </c>
      <c r="H826" s="35" t="s">
        <v>25</v>
      </c>
      <c r="I826" s="55">
        <v>44531</v>
      </c>
      <c r="J826" s="56">
        <f>EFEITO!$J$826*EFEITO!$Y$723</f>
        <v>0</v>
      </c>
      <c r="K826" s="56">
        <f ca="1">EFEITO!$L$826*EFEITO!$Z$851</f>
        <v>6.4988325129180851</v>
      </c>
      <c r="L826" s="56">
        <f>EFEITO!$N$826*EFEITO!$AA$851</f>
        <v>7.869629455743631</v>
      </c>
      <c r="M826" s="56">
        <f>$J$826-EFEITO!$K$826*EFEITO!$Y$826</f>
        <v>0</v>
      </c>
      <c r="N826" s="56">
        <f ca="1">$K$826-EFEITO!$M$826*EFEITO!$Z$826</f>
        <v>1.2347781774544364</v>
      </c>
      <c r="O826" s="56">
        <f>$L$826-EFEITO!$O$826*EFEITO!$AA$826</f>
        <v>1.4952295965912912</v>
      </c>
      <c r="P826" s="39"/>
      <c r="Q826" s="39"/>
      <c r="R826" s="39"/>
      <c r="S826" s="39"/>
      <c r="T826" s="39"/>
      <c r="U826" s="39"/>
      <c r="V826" s="39"/>
      <c r="W826" s="39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</row>
    <row r="827" spans="1:36" ht="11.25" customHeight="1" x14ac:dyDescent="0.2">
      <c r="A827" s="35" t="s">
        <v>21</v>
      </c>
      <c r="B827" s="35" t="s">
        <v>22</v>
      </c>
      <c r="C827" s="35" t="s">
        <v>23</v>
      </c>
      <c r="D827" s="35" t="s">
        <v>24</v>
      </c>
      <c r="E827" s="35" t="s">
        <v>31</v>
      </c>
      <c r="F827" s="35" t="s">
        <v>25</v>
      </c>
      <c r="G827" s="35" t="s">
        <v>25</v>
      </c>
      <c r="H827" s="35" t="s">
        <v>25</v>
      </c>
      <c r="I827" s="55">
        <v>44562</v>
      </c>
      <c r="J827" s="56">
        <f>EFEITO!$J$827*EFEITO!$Y$723</f>
        <v>0</v>
      </c>
      <c r="K827" s="56">
        <f ca="1">EFEITO!$L$827*EFEITO!$Z$851</f>
        <v>68823.676125004597</v>
      </c>
      <c r="L827" s="56">
        <f>EFEITO!$N$827*EFEITO!$AA$851</f>
        <v>83340.635077037965</v>
      </c>
      <c r="M827" s="56">
        <f>$J$827-EFEITO!$K$827*EFEITO!$Y$827</f>
        <v>0</v>
      </c>
      <c r="N827" s="56">
        <f ca="1">$K$827-EFEITO!$M$827*EFEITO!$Z$827</f>
        <v>6882.367612500464</v>
      </c>
      <c r="O827" s="56">
        <f>$L$827-EFEITO!$O$827*EFEITO!$AA$827</f>
        <v>8334.0635077038023</v>
      </c>
      <c r="P827" s="39"/>
      <c r="Q827" s="39"/>
      <c r="R827" s="39"/>
      <c r="S827" s="39"/>
      <c r="T827" s="39"/>
      <c r="U827" s="39"/>
      <c r="V827" s="39"/>
      <c r="W827" s="39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</row>
    <row r="828" spans="1:36" ht="11.25" customHeight="1" x14ac:dyDescent="0.2">
      <c r="A828" s="35" t="s">
        <v>27</v>
      </c>
      <c r="B828" s="35" t="s">
        <v>22</v>
      </c>
      <c r="C828" s="35" t="s">
        <v>23</v>
      </c>
      <c r="D828" s="35" t="s">
        <v>24</v>
      </c>
      <c r="E828" s="35" t="s">
        <v>31</v>
      </c>
      <c r="F828" s="35" t="s">
        <v>25</v>
      </c>
      <c r="G828" s="35" t="s">
        <v>25</v>
      </c>
      <c r="H828" s="35" t="s">
        <v>25</v>
      </c>
      <c r="I828" s="55">
        <v>44562</v>
      </c>
      <c r="J828" s="56">
        <f>EFEITO!$J$828*EFEITO!$Y$723</f>
        <v>0</v>
      </c>
      <c r="K828" s="56">
        <f ca="1">EFEITO!$L$828*EFEITO!$Z$851</f>
        <v>-14.297431528419787</v>
      </c>
      <c r="L828" s="56">
        <f>EFEITO!$N$828*EFEITO!$AA$851</f>
        <v>-17.313184802635988</v>
      </c>
      <c r="M828" s="56">
        <f>$J$828-EFEITO!$K$828*EFEITO!$Y$828</f>
        <v>0</v>
      </c>
      <c r="N828" s="56">
        <f ca="1">$K$828-EFEITO!$M$828*EFEITO!$Z$828</f>
        <v>-1.4297431528419793</v>
      </c>
      <c r="O828" s="56">
        <f>$L$828-EFEITO!$O$828*EFEITO!$AA$828</f>
        <v>-1.7313184802636012</v>
      </c>
      <c r="P828" s="39"/>
      <c r="Q828" s="39"/>
      <c r="R828" s="39"/>
      <c r="S828" s="39"/>
      <c r="T828" s="39"/>
      <c r="U828" s="39"/>
      <c r="V828" s="39"/>
      <c r="W828" s="39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</row>
    <row r="829" spans="1:36" ht="11.25" customHeight="1" x14ac:dyDescent="0.2">
      <c r="A829" s="35" t="s">
        <v>28</v>
      </c>
      <c r="B829" s="35" t="s">
        <v>22</v>
      </c>
      <c r="C829" s="35" t="s">
        <v>23</v>
      </c>
      <c r="D829" s="35" t="s">
        <v>24</v>
      </c>
      <c r="E829" s="35" t="s">
        <v>31</v>
      </c>
      <c r="F829" s="35" t="s">
        <v>25</v>
      </c>
      <c r="G829" s="35" t="s">
        <v>25</v>
      </c>
      <c r="H829" s="35" t="s">
        <v>25</v>
      </c>
      <c r="I829" s="55">
        <v>44562</v>
      </c>
      <c r="J829" s="56">
        <f>EFEITO!$J$829*EFEITO!$Y$723</f>
        <v>0</v>
      </c>
      <c r="K829" s="56">
        <f ca="1">EFEITO!$L$829*EFEITO!$Z$851</f>
        <v>11.697898523252553</v>
      </c>
      <c r="L829" s="56">
        <f>EFEITO!$N$829*EFEITO!$AA$851</f>
        <v>14.165333020338535</v>
      </c>
      <c r="M829" s="56">
        <f>$J$829-EFEITO!$K$829*EFEITO!$Y$829</f>
        <v>0</v>
      </c>
      <c r="N829" s="56">
        <f ca="1">$K$829-EFEITO!$M$829*EFEITO!$Z$829</f>
        <v>2.2226007194179846</v>
      </c>
      <c r="O829" s="56">
        <f>$L$829-EFEITO!$O$829*EFEITO!$AA$829</f>
        <v>2.6914132738643222</v>
      </c>
      <c r="P829" s="39"/>
      <c r="Q829" s="39"/>
      <c r="R829" s="39"/>
      <c r="S829" s="39"/>
      <c r="T829" s="39"/>
      <c r="U829" s="39"/>
      <c r="V829" s="39"/>
      <c r="W829" s="39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</row>
    <row r="830" spans="1:36" ht="11.25" customHeight="1" x14ac:dyDescent="0.2">
      <c r="A830" s="35" t="s">
        <v>21</v>
      </c>
      <c r="B830" s="35" t="s">
        <v>22</v>
      </c>
      <c r="C830" s="35" t="s">
        <v>23</v>
      </c>
      <c r="D830" s="35" t="s">
        <v>24</v>
      </c>
      <c r="E830" s="35" t="s">
        <v>31</v>
      </c>
      <c r="F830" s="35" t="s">
        <v>25</v>
      </c>
      <c r="G830" s="35" t="s">
        <v>25</v>
      </c>
      <c r="H830" s="35" t="s">
        <v>25</v>
      </c>
      <c r="I830" s="55">
        <v>44593</v>
      </c>
      <c r="J830" s="56">
        <f>EFEITO!$J$830*EFEITO!$Y$723</f>
        <v>0</v>
      </c>
      <c r="K830" s="56">
        <f ca="1">EFEITO!$L$830*EFEITO!$Z$851</f>
        <v>65044.215088791949</v>
      </c>
      <c r="L830" s="56">
        <f>EFEITO!$N$830*EFEITO!$AA$851</f>
        <v>78763.973370755702</v>
      </c>
      <c r="M830" s="56">
        <f>$J$830-EFEITO!$K$830*EFEITO!$Y$830</f>
        <v>0</v>
      </c>
      <c r="N830" s="56">
        <f ca="1">$K$830-EFEITO!$M$830*EFEITO!$Z$830</f>
        <v>6504.4215088791971</v>
      </c>
      <c r="O830" s="56">
        <f>$L$830-EFEITO!$O$830*EFEITO!$AA$830</f>
        <v>7876.3973370755702</v>
      </c>
      <c r="P830" s="39"/>
      <c r="Q830" s="39"/>
      <c r="R830" s="39"/>
      <c r="S830" s="39"/>
      <c r="T830" s="39"/>
      <c r="U830" s="39"/>
      <c r="V830" s="39"/>
      <c r="W830" s="39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</row>
    <row r="831" spans="1:36" ht="11.25" customHeight="1" x14ac:dyDescent="0.2">
      <c r="A831" s="35" t="s">
        <v>27</v>
      </c>
      <c r="B831" s="35" t="s">
        <v>22</v>
      </c>
      <c r="C831" s="35" t="s">
        <v>23</v>
      </c>
      <c r="D831" s="35" t="s">
        <v>24</v>
      </c>
      <c r="E831" s="35" t="s">
        <v>31</v>
      </c>
      <c r="F831" s="35" t="s">
        <v>25</v>
      </c>
      <c r="G831" s="35" t="s">
        <v>25</v>
      </c>
      <c r="H831" s="35" t="s">
        <v>25</v>
      </c>
      <c r="I831" s="55">
        <v>44593</v>
      </c>
      <c r="J831" s="56">
        <f>EFEITO!$J$831*EFEITO!$Y$723</f>
        <v>0</v>
      </c>
      <c r="K831" s="56">
        <f ca="1">EFEITO!$L$831*EFEITO!$Z$851</f>
        <v>-11.697898523252553</v>
      </c>
      <c r="L831" s="56">
        <f>EFEITO!$N$831*EFEITO!$AA$851</f>
        <v>-14.165333020338535</v>
      </c>
      <c r="M831" s="56">
        <f>$J$831-EFEITO!$K$831*EFEITO!$Y$831</f>
        <v>0</v>
      </c>
      <c r="N831" s="56">
        <f ca="1">$K$831-EFEITO!$M$831*EFEITO!$Z$831</f>
        <v>-1.1697898523252555</v>
      </c>
      <c r="O831" s="56">
        <f>$L$831-EFEITO!$O$831*EFEITO!$AA$831</f>
        <v>-1.4165333020338551</v>
      </c>
      <c r="P831" s="39"/>
      <c r="Q831" s="39"/>
      <c r="R831" s="39"/>
      <c r="S831" s="39"/>
      <c r="T831" s="39"/>
      <c r="U831" s="39"/>
      <c r="V831" s="39"/>
      <c r="W831" s="39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</row>
    <row r="832" spans="1:36" ht="11.25" customHeight="1" x14ac:dyDescent="0.2">
      <c r="A832" s="35" t="s">
        <v>28</v>
      </c>
      <c r="B832" s="35" t="s">
        <v>22</v>
      </c>
      <c r="C832" s="35" t="s">
        <v>23</v>
      </c>
      <c r="D832" s="35" t="s">
        <v>24</v>
      </c>
      <c r="E832" s="35" t="s">
        <v>31</v>
      </c>
      <c r="F832" s="35" t="s">
        <v>25</v>
      </c>
      <c r="G832" s="35" t="s">
        <v>25</v>
      </c>
      <c r="H832" s="35" t="s">
        <v>25</v>
      </c>
      <c r="I832" s="55">
        <v>44593</v>
      </c>
      <c r="J832" s="56">
        <f>EFEITO!$J$832*EFEITO!$Y$723</f>
        <v>0</v>
      </c>
      <c r="K832" s="56">
        <f ca="1">EFEITO!$L$832*EFEITO!$Z$851</f>
        <v>23.655750347021829</v>
      </c>
      <c r="L832" s="56">
        <f>EFEITO!$N$832*EFEITO!$AA$851</f>
        <v>28.645451218906814</v>
      </c>
      <c r="M832" s="56">
        <f>$J$832-EFEITO!$K$832*EFEITO!$Y$832</f>
        <v>0</v>
      </c>
      <c r="N832" s="56">
        <f ca="1">$K$832-EFEITO!$M$832*EFEITO!$Z$832</f>
        <v>4.4945925659341484</v>
      </c>
      <c r="O832" s="56">
        <f>$L$832-EFEITO!$O$832*EFEITO!$AA$832</f>
        <v>5.4426357315922971</v>
      </c>
      <c r="P832" s="39"/>
      <c r="Q832" s="39"/>
      <c r="R832" s="39"/>
      <c r="S832" s="39"/>
      <c r="T832" s="39"/>
      <c r="U832" s="39"/>
      <c r="V832" s="39"/>
      <c r="W832" s="39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</row>
    <row r="833" spans="1:36" ht="11.25" customHeight="1" x14ac:dyDescent="0.2">
      <c r="A833" s="35" t="s">
        <v>21</v>
      </c>
      <c r="B833" s="35" t="s">
        <v>22</v>
      </c>
      <c r="C833" s="35" t="s">
        <v>23</v>
      </c>
      <c r="D833" s="35" t="s">
        <v>24</v>
      </c>
      <c r="E833" s="35" t="s">
        <v>31</v>
      </c>
      <c r="F833" s="35" t="s">
        <v>25</v>
      </c>
      <c r="G833" s="35" t="s">
        <v>25</v>
      </c>
      <c r="H833" s="35" t="s">
        <v>25</v>
      </c>
      <c r="I833" s="55">
        <v>44621</v>
      </c>
      <c r="J833" s="56">
        <f>EFEITO!$J$833*EFEITO!$Y$723</f>
        <v>0</v>
      </c>
      <c r="K833" s="56">
        <f ca="1">EFEITO!$L$833*EFEITO!$Z$851</f>
        <v>71266.717243260748</v>
      </c>
      <c r="L833" s="56">
        <f>EFEITO!$N$833*EFEITO!$AA$851</f>
        <v>86298.986182041102</v>
      </c>
      <c r="M833" s="56">
        <f>$J$833-EFEITO!$K$833*EFEITO!$Y$833</f>
        <v>0</v>
      </c>
      <c r="N833" s="56">
        <f ca="1">$K$833-EFEITO!$M$833*EFEITO!$Z$833</f>
        <v>7126.6717243260719</v>
      </c>
      <c r="O833" s="56">
        <f>$L$833-EFEITO!$O$833*EFEITO!$AA$833</f>
        <v>8629.8986182041117</v>
      </c>
      <c r="P833" s="39"/>
      <c r="Q833" s="39"/>
      <c r="R833" s="39"/>
      <c r="S833" s="39"/>
      <c r="T833" s="39"/>
      <c r="U833" s="39"/>
      <c r="V833" s="39"/>
      <c r="W833" s="39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</row>
    <row r="834" spans="1:36" ht="11.25" customHeight="1" x14ac:dyDescent="0.2">
      <c r="A834" s="35" t="s">
        <v>27</v>
      </c>
      <c r="B834" s="35" t="s">
        <v>22</v>
      </c>
      <c r="C834" s="35" t="s">
        <v>23</v>
      </c>
      <c r="D834" s="35" t="s">
        <v>24</v>
      </c>
      <c r="E834" s="35" t="s">
        <v>31</v>
      </c>
      <c r="F834" s="35" t="s">
        <v>25</v>
      </c>
      <c r="G834" s="35" t="s">
        <v>25</v>
      </c>
      <c r="H834" s="35" t="s">
        <v>25</v>
      </c>
      <c r="I834" s="55">
        <v>44621</v>
      </c>
      <c r="J834" s="56">
        <f>EFEITO!$J$834*EFEITO!$Y$723</f>
        <v>0</v>
      </c>
      <c r="K834" s="56">
        <f ca="1">EFEITO!$L$834*EFEITO!$Z$851</f>
        <v>-33.793929067174041</v>
      </c>
      <c r="L834" s="56">
        <f>EFEITO!$N$834*EFEITO!$AA$851</f>
        <v>-40.922073169866877</v>
      </c>
      <c r="M834" s="56">
        <f>$J$834-EFEITO!$K$834*EFEITO!$Y$834</f>
        <v>0</v>
      </c>
      <c r="N834" s="56">
        <f ca="1">$K$834-EFEITO!$M$834*EFEITO!$Z$834</f>
        <v>-3.3793929067174027</v>
      </c>
      <c r="O834" s="56">
        <f>$L$834-EFEITO!$O$834*EFEITO!$AA$834</f>
        <v>-4.0922073169866877</v>
      </c>
      <c r="P834" s="39"/>
      <c r="Q834" s="39"/>
      <c r="R834" s="39"/>
      <c r="S834" s="39"/>
      <c r="T834" s="39"/>
      <c r="U834" s="39"/>
      <c r="V834" s="39"/>
      <c r="W834" s="39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</row>
    <row r="835" spans="1:36" ht="11.25" customHeight="1" x14ac:dyDescent="0.2">
      <c r="A835" s="35" t="s">
        <v>28</v>
      </c>
      <c r="B835" s="35" t="s">
        <v>22</v>
      </c>
      <c r="C835" s="35" t="s">
        <v>23</v>
      </c>
      <c r="D835" s="35" t="s">
        <v>24</v>
      </c>
      <c r="E835" s="35" t="s">
        <v>31</v>
      </c>
      <c r="F835" s="35" t="s">
        <v>25</v>
      </c>
      <c r="G835" s="35" t="s">
        <v>25</v>
      </c>
      <c r="H835" s="35" t="s">
        <v>25</v>
      </c>
      <c r="I835" s="55">
        <v>44621</v>
      </c>
      <c r="J835" s="56">
        <f>EFEITO!$J$835*EFEITO!$Y$723</f>
        <v>0</v>
      </c>
      <c r="K835" s="56">
        <f ca="1">EFEITO!$L$835*EFEITO!$Z$851</f>
        <v>15.857151331520127</v>
      </c>
      <c r="L835" s="56">
        <f>EFEITO!$N$835*EFEITO!$AA$851</f>
        <v>19.201895872014457</v>
      </c>
      <c r="M835" s="56">
        <f>$J$835-EFEITO!$K$835*EFEITO!$Y$835</f>
        <v>0</v>
      </c>
      <c r="N835" s="56">
        <f ca="1">$K$835-EFEITO!$M$835*EFEITO!$Z$835</f>
        <v>3.0128587529888247</v>
      </c>
      <c r="O835" s="56">
        <f>$L$835-EFEITO!$O$835*EFEITO!$AA$835</f>
        <v>3.6483602156827484</v>
      </c>
      <c r="P835" s="39"/>
      <c r="Q835" s="39"/>
      <c r="R835" s="39"/>
      <c r="S835" s="39"/>
      <c r="T835" s="39"/>
      <c r="U835" s="39"/>
      <c r="V835" s="39"/>
      <c r="W835" s="39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</row>
    <row r="836" spans="1:36" ht="11.25" customHeight="1" x14ac:dyDescent="0.2">
      <c r="A836" s="35" t="s">
        <v>21</v>
      </c>
      <c r="B836" s="35" t="s">
        <v>22</v>
      </c>
      <c r="C836" s="35" t="s">
        <v>23</v>
      </c>
      <c r="D836" s="35" t="s">
        <v>24</v>
      </c>
      <c r="E836" s="35" t="s">
        <v>31</v>
      </c>
      <c r="F836" s="35" t="s">
        <v>25</v>
      </c>
      <c r="G836" s="35" t="s">
        <v>25</v>
      </c>
      <c r="H836" s="35" t="s">
        <v>25</v>
      </c>
      <c r="I836" s="55">
        <v>44652</v>
      </c>
      <c r="J836" s="56">
        <f>EFEITO!$J$836*EFEITO!$Y$723</f>
        <v>0</v>
      </c>
      <c r="K836" s="56">
        <f ca="1">EFEITO!$L$836*EFEITO!$Z$851</f>
        <v>71312.209070851182</v>
      </c>
      <c r="L836" s="56">
        <f>EFEITO!$N$836*EFEITO!$AA$851</f>
        <v>86354.073588231317</v>
      </c>
      <c r="M836" s="56">
        <f>$J$836-EFEITO!$K$836*EFEITO!$Y$836</f>
        <v>0</v>
      </c>
      <c r="N836" s="56">
        <f ca="1">$K$836-EFEITO!$M$836*EFEITO!$Z$836</f>
        <v>7131.2209070851168</v>
      </c>
      <c r="O836" s="56">
        <f>$L$836-EFEITO!$O$836*EFEITO!$AA$836</f>
        <v>8635.4073588231404</v>
      </c>
      <c r="P836" s="39"/>
      <c r="Q836" s="39"/>
      <c r="R836" s="39"/>
      <c r="S836" s="39"/>
      <c r="T836" s="39"/>
      <c r="U836" s="39"/>
      <c r="V836" s="39"/>
      <c r="W836" s="39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</row>
    <row r="837" spans="1:36" ht="11.25" customHeight="1" x14ac:dyDescent="0.2">
      <c r="A837" s="35" t="s">
        <v>27</v>
      </c>
      <c r="B837" s="35" t="s">
        <v>22</v>
      </c>
      <c r="C837" s="35" t="s">
        <v>23</v>
      </c>
      <c r="D837" s="35" t="s">
        <v>24</v>
      </c>
      <c r="E837" s="35" t="s">
        <v>31</v>
      </c>
      <c r="F837" s="35" t="s">
        <v>25</v>
      </c>
      <c r="G837" s="35" t="s">
        <v>25</v>
      </c>
      <c r="H837" s="35" t="s">
        <v>25</v>
      </c>
      <c r="I837" s="55">
        <v>44652</v>
      </c>
      <c r="J837" s="56">
        <f>EFEITO!$J$837*EFEITO!$Y$723</f>
        <v>0</v>
      </c>
      <c r="K837" s="56">
        <f ca="1">EFEITO!$L$837*EFEITO!$Z$851</f>
        <v>54.850146409028639</v>
      </c>
      <c r="L837" s="56">
        <f>EFEITO!$N$837*EFEITO!$AA$851</f>
        <v>66.41967260647624</v>
      </c>
      <c r="M837" s="56">
        <f>$J$837-EFEITO!$K$837*EFEITO!$Y$837</f>
        <v>0</v>
      </c>
      <c r="N837" s="56">
        <f ca="1">$K$837-EFEITO!$M$837*EFEITO!$Z$837</f>
        <v>5.4850146409028682</v>
      </c>
      <c r="O837" s="56">
        <f>$L$837-EFEITO!$O$837*EFEITO!$AA$837</f>
        <v>6.6419672606476325</v>
      </c>
      <c r="P837" s="39"/>
      <c r="Q837" s="39"/>
      <c r="R837" s="39"/>
      <c r="S837" s="39"/>
      <c r="T837" s="39"/>
      <c r="U837" s="39"/>
      <c r="V837" s="39"/>
      <c r="W837" s="39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</row>
    <row r="838" spans="1:36" ht="11.25" customHeight="1" x14ac:dyDescent="0.2">
      <c r="A838" s="35" t="s">
        <v>21</v>
      </c>
      <c r="B838" s="35" t="s">
        <v>22</v>
      </c>
      <c r="C838" s="35" t="s">
        <v>23</v>
      </c>
      <c r="D838" s="35" t="s">
        <v>24</v>
      </c>
      <c r="E838" s="35" t="s">
        <v>31</v>
      </c>
      <c r="F838" s="35" t="s">
        <v>25</v>
      </c>
      <c r="G838" s="35" t="s">
        <v>25</v>
      </c>
      <c r="H838" s="35" t="s">
        <v>25</v>
      </c>
      <c r="I838" s="55">
        <v>44682</v>
      </c>
      <c r="J838" s="56">
        <f>EFEITO!$J$838*EFEITO!$Y$723</f>
        <v>0</v>
      </c>
      <c r="K838" s="56">
        <f ca="1">EFEITO!$L$838*EFEITO!$Z$851</f>
        <v>74720.976700526968</v>
      </c>
      <c r="L838" s="56">
        <f>EFEITO!$N$838*EFEITO!$AA$851</f>
        <v>90481.851630357967</v>
      </c>
      <c r="M838" s="56">
        <f>$J$838-EFEITO!$K$838*EFEITO!$Y$838</f>
        <v>0</v>
      </c>
      <c r="N838" s="56">
        <f ca="1">$K$838-EFEITO!$M$838*EFEITO!$Z$838</f>
        <v>7472.0976700526953</v>
      </c>
      <c r="O838" s="56">
        <f>$L$838-EFEITO!$O$838*EFEITO!$AA$838</f>
        <v>9048.1851630357996</v>
      </c>
      <c r="P838" s="39"/>
      <c r="Q838" s="39"/>
      <c r="R838" s="39"/>
      <c r="S838" s="39"/>
      <c r="T838" s="39"/>
      <c r="U838" s="39"/>
      <c r="V838" s="39"/>
      <c r="W838" s="39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</row>
    <row r="839" spans="1:36" ht="11.25" customHeight="1" x14ac:dyDescent="0.2">
      <c r="A839" s="35" t="s">
        <v>27</v>
      </c>
      <c r="B839" s="35" t="s">
        <v>22</v>
      </c>
      <c r="C839" s="35" t="s">
        <v>23</v>
      </c>
      <c r="D839" s="35" t="s">
        <v>24</v>
      </c>
      <c r="E839" s="35" t="s">
        <v>31</v>
      </c>
      <c r="F839" s="35" t="s">
        <v>25</v>
      </c>
      <c r="G839" s="35" t="s">
        <v>25</v>
      </c>
      <c r="H839" s="35" t="s">
        <v>25</v>
      </c>
      <c r="I839" s="55">
        <v>44682</v>
      </c>
      <c r="J839" s="56">
        <f>EFEITO!$J$839*EFEITO!$Y$723</f>
        <v>0</v>
      </c>
      <c r="K839" s="56">
        <f ca="1">EFEITO!$L$839*EFEITO!$Z$851</f>
        <v>-29.63467625890647</v>
      </c>
      <c r="L839" s="56">
        <f>EFEITO!$N$839*EFEITO!$AA$851</f>
        <v>-35.885510318190953</v>
      </c>
      <c r="M839" s="56">
        <f>$J$839-EFEITO!$K$839*EFEITO!$Y$839</f>
        <v>0</v>
      </c>
      <c r="N839" s="56">
        <f ca="1">$K$839-EFEITO!$M$839*EFEITO!$Z$839</f>
        <v>-2.9634676258906474</v>
      </c>
      <c r="O839" s="56">
        <f>$L$839-EFEITO!$O$839*EFEITO!$AA$839</f>
        <v>-3.5885510318190939</v>
      </c>
      <c r="P839" s="39"/>
      <c r="Q839" s="39"/>
      <c r="R839" s="39"/>
      <c r="S839" s="39"/>
      <c r="T839" s="39"/>
      <c r="U839" s="39"/>
      <c r="V839" s="39"/>
      <c r="W839" s="39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</row>
    <row r="840" spans="1:36" ht="11.25" customHeight="1" x14ac:dyDescent="0.2">
      <c r="A840" s="35" t="s">
        <v>21</v>
      </c>
      <c r="B840" s="35" t="s">
        <v>22</v>
      </c>
      <c r="C840" s="35" t="s">
        <v>23</v>
      </c>
      <c r="D840" s="35" t="s">
        <v>24</v>
      </c>
      <c r="E840" s="35" t="s">
        <v>31</v>
      </c>
      <c r="F840" s="35" t="s">
        <v>25</v>
      </c>
      <c r="G840" s="35" t="s">
        <v>25</v>
      </c>
      <c r="H840" s="35" t="s">
        <v>25</v>
      </c>
      <c r="I840" s="55">
        <v>44713</v>
      </c>
      <c r="J840" s="56">
        <f>EFEITO!$J$840*EFEITO!$Y$723</f>
        <v>0</v>
      </c>
      <c r="K840" s="56">
        <f ca="1">EFEITO!$L$840*EFEITO!$Z$851</f>
        <v>69679.702343606157</v>
      </c>
      <c r="L840" s="56">
        <f>EFEITO!$N$840*EFEITO!$AA$851</f>
        <v>84377.222668948525</v>
      </c>
      <c r="M840" s="56">
        <f>$J$840-EFEITO!$K$840*EFEITO!$Y$840</f>
        <v>0</v>
      </c>
      <c r="N840" s="56">
        <f ca="1">$K$840-EFEITO!$M$840*EFEITO!$Z$840</f>
        <v>6967.9702343606114</v>
      </c>
      <c r="O840" s="56">
        <f>$L$840-EFEITO!$O$840*EFEITO!$AA$840</f>
        <v>8437.7222668948525</v>
      </c>
      <c r="P840" s="39"/>
      <c r="Q840" s="39"/>
      <c r="R840" s="39"/>
      <c r="S840" s="39"/>
      <c r="T840" s="39"/>
      <c r="U840" s="39"/>
      <c r="V840" s="39"/>
      <c r="W840" s="39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</row>
    <row r="841" spans="1:36" ht="11.25" customHeight="1" x14ac:dyDescent="0.2">
      <c r="A841" s="35" t="s">
        <v>27</v>
      </c>
      <c r="B841" s="35" t="s">
        <v>22</v>
      </c>
      <c r="C841" s="35" t="s">
        <v>23</v>
      </c>
      <c r="D841" s="35" t="s">
        <v>24</v>
      </c>
      <c r="E841" s="35" t="s">
        <v>31</v>
      </c>
      <c r="F841" s="35" t="s">
        <v>25</v>
      </c>
      <c r="G841" s="35" t="s">
        <v>25</v>
      </c>
      <c r="H841" s="35" t="s">
        <v>25</v>
      </c>
      <c r="I841" s="55">
        <v>44713</v>
      </c>
      <c r="J841" s="56">
        <f>EFEITO!$J$841*EFEITO!$Y$723</f>
        <v>0</v>
      </c>
      <c r="K841" s="56">
        <f ca="1">EFEITO!$L$841*EFEITO!$Z$851</f>
        <v>-9.3583188186020418</v>
      </c>
      <c r="L841" s="56">
        <f>EFEITO!$N$841*EFEITO!$AA$851</f>
        <v>-11.332266416270826</v>
      </c>
      <c r="M841" s="56">
        <f>$J$841-EFEITO!$K$841*EFEITO!$Y$841</f>
        <v>0</v>
      </c>
      <c r="N841" s="56">
        <f ca="1">$K$841-EFEITO!$M$841*EFEITO!$Z$841</f>
        <v>-0.93583188186020472</v>
      </c>
      <c r="O841" s="56">
        <f>$L$841-EFEITO!$O$841*EFEITO!$AA$841</f>
        <v>-1.1332266416270826</v>
      </c>
      <c r="P841" s="39"/>
      <c r="Q841" s="39"/>
      <c r="R841" s="39"/>
      <c r="S841" s="39"/>
      <c r="T841" s="39"/>
      <c r="U841" s="39"/>
      <c r="V841" s="39"/>
      <c r="W841" s="39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</row>
    <row r="842" spans="1:36" ht="11.25" customHeight="1" x14ac:dyDescent="0.2">
      <c r="A842" s="35" t="s">
        <v>21</v>
      </c>
      <c r="B842" s="35" t="s">
        <v>22</v>
      </c>
      <c r="C842" s="35" t="s">
        <v>23</v>
      </c>
      <c r="D842" s="35" t="s">
        <v>24</v>
      </c>
      <c r="E842" s="35" t="s">
        <v>31</v>
      </c>
      <c r="F842" s="35" t="s">
        <v>25</v>
      </c>
      <c r="G842" s="35" t="s">
        <v>25</v>
      </c>
      <c r="H842" s="35" t="s">
        <v>25</v>
      </c>
      <c r="I842" s="55">
        <v>44743</v>
      </c>
      <c r="J842" s="56">
        <f>EFEITO!$J$842*EFEITO!$Y$723</f>
        <v>0</v>
      </c>
      <c r="K842" s="56">
        <f ca="1">EFEITO!$L$842*EFEITO!$Z$851</f>
        <v>69288.992532929522</v>
      </c>
      <c r="L842" s="56">
        <f>EFEITO!$N$842*EFEITO!$AA$851</f>
        <v>83904.100546069196</v>
      </c>
      <c r="M842" s="56">
        <f>$J$842-EFEITO!$K$842*EFEITO!$Y$842</f>
        <v>0</v>
      </c>
      <c r="N842" s="56">
        <f ca="1">$K$842-EFEITO!$M$842*EFEITO!$Z$842</f>
        <v>6928.8992532929551</v>
      </c>
      <c r="O842" s="56">
        <f>$L$842-EFEITO!$O$842*EFEITO!$AA$842</f>
        <v>8390.4100546069239</v>
      </c>
      <c r="P842" s="39"/>
      <c r="Q842" s="39"/>
      <c r="R842" s="39"/>
      <c r="S842" s="39"/>
      <c r="T842" s="39"/>
      <c r="U842" s="39"/>
      <c r="V842" s="39"/>
      <c r="W842" s="39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</row>
    <row r="843" spans="1:36" ht="11.25" customHeight="1" x14ac:dyDescent="0.2">
      <c r="A843" s="35" t="s">
        <v>21</v>
      </c>
      <c r="B843" s="35" t="s">
        <v>22</v>
      </c>
      <c r="C843" s="35" t="s">
        <v>23</v>
      </c>
      <c r="D843" s="35" t="s">
        <v>24</v>
      </c>
      <c r="E843" s="35" t="s">
        <v>31</v>
      </c>
      <c r="F843" s="35" t="s">
        <v>25</v>
      </c>
      <c r="G843" s="35" t="s">
        <v>25</v>
      </c>
      <c r="H843" s="35" t="s">
        <v>25</v>
      </c>
      <c r="I843" s="55">
        <v>44774</v>
      </c>
      <c r="J843" s="56">
        <f>EFEITO!$J$843*EFEITO!$Y$723</f>
        <v>0</v>
      </c>
      <c r="K843" s="56">
        <f ca="1">EFEITO!$L$843*EFEITO!$Z$851</f>
        <v>69113.524055080736</v>
      </c>
      <c r="L843" s="56">
        <f>EFEITO!$N$843*EFEITO!$AA$851</f>
        <v>83691.620550764143</v>
      </c>
      <c r="M843" s="56">
        <f>$J$843-EFEITO!$K$843*EFEITO!$Y$843</f>
        <v>0</v>
      </c>
      <c r="N843" s="56">
        <f ca="1">$K$843-EFEITO!$M$843*EFEITO!$Z$843</f>
        <v>6911.3524055080707</v>
      </c>
      <c r="O843" s="56">
        <f>$L$843-EFEITO!$O$843*EFEITO!$AA$843</f>
        <v>8369.1620550764201</v>
      </c>
      <c r="P843" s="39"/>
      <c r="Q843" s="39"/>
      <c r="R843" s="39"/>
      <c r="S843" s="39"/>
      <c r="T843" s="39"/>
      <c r="U843" s="39"/>
      <c r="V843" s="39"/>
      <c r="W843" s="39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</row>
    <row r="844" spans="1:36" ht="11.25" customHeight="1" x14ac:dyDescent="0.2">
      <c r="A844" s="35" t="s">
        <v>27</v>
      </c>
      <c r="B844" s="35" t="s">
        <v>22</v>
      </c>
      <c r="C844" s="35" t="s">
        <v>23</v>
      </c>
      <c r="D844" s="35" t="s">
        <v>24</v>
      </c>
      <c r="E844" s="35" t="s">
        <v>31</v>
      </c>
      <c r="F844" s="35" t="s">
        <v>25</v>
      </c>
      <c r="G844" s="35" t="s">
        <v>25</v>
      </c>
      <c r="H844" s="35" t="s">
        <v>25</v>
      </c>
      <c r="I844" s="55">
        <v>44774</v>
      </c>
      <c r="J844" s="56">
        <f>EFEITO!$J$844*EFEITO!$Y$723</f>
        <v>0</v>
      </c>
      <c r="K844" s="56">
        <f ca="1">EFEITO!$L$844*EFEITO!$Z$851</f>
        <v>-13.257618326352892</v>
      </c>
      <c r="L844" s="56">
        <f>EFEITO!$N$844*EFEITO!$AA$851</f>
        <v>-16.054044089717006</v>
      </c>
      <c r="M844" s="56">
        <f>$J$844-EFEITO!$K$844*EFEITO!$Y$844</f>
        <v>0</v>
      </c>
      <c r="N844" s="56">
        <f ca="1">$K$844-EFEITO!$M$844*EFEITO!$Z$844</f>
        <v>-1.3257618326352887</v>
      </c>
      <c r="O844" s="56">
        <f>$L$844-EFEITO!$O$844*EFEITO!$AA$844</f>
        <v>-1.6054044089717028</v>
      </c>
      <c r="P844" s="39"/>
      <c r="Q844" s="39"/>
      <c r="R844" s="39"/>
      <c r="S844" s="39"/>
      <c r="T844" s="39"/>
      <c r="U844" s="39"/>
      <c r="V844" s="39"/>
      <c r="W844" s="39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</row>
    <row r="845" spans="1:36" ht="11.25" customHeight="1" x14ac:dyDescent="0.2">
      <c r="A845" s="35" t="s">
        <v>21</v>
      </c>
      <c r="B845" s="35" t="s">
        <v>22</v>
      </c>
      <c r="C845" s="35" t="s">
        <v>23</v>
      </c>
      <c r="D845" s="35" t="s">
        <v>24</v>
      </c>
      <c r="E845" s="35" t="s">
        <v>31</v>
      </c>
      <c r="F845" s="35" t="s">
        <v>25</v>
      </c>
      <c r="G845" s="35" t="s">
        <v>25</v>
      </c>
      <c r="H845" s="35" t="s">
        <v>25</v>
      </c>
      <c r="I845" s="55">
        <v>44805</v>
      </c>
      <c r="J845" s="56">
        <f>EFEITO!$J$845*EFEITO!$Y$723</f>
        <v>0</v>
      </c>
      <c r="K845" s="56">
        <f ca="1">EFEITO!$L$845*EFEITO!$Z$851</f>
        <v>79970.213697861167</v>
      </c>
      <c r="L845" s="56">
        <f>EFEITO!$N$845*EFEITO!$AA$851</f>
        <v>96838.308734351202</v>
      </c>
      <c r="M845" s="56">
        <f>$J$845-EFEITO!$K$845*EFEITO!$Y$845</f>
        <v>0</v>
      </c>
      <c r="N845" s="56">
        <f ca="1">$K$845-EFEITO!$M$845*EFEITO!$Z$845</f>
        <v>7997.0213697861182</v>
      </c>
      <c r="O845" s="56">
        <f>$L$845-EFEITO!$O$845*EFEITO!$AA$845</f>
        <v>9683.8308734351303</v>
      </c>
      <c r="P845" s="39"/>
      <c r="Q845" s="39"/>
      <c r="R845" s="39"/>
      <c r="S845" s="39"/>
      <c r="T845" s="39"/>
      <c r="U845" s="39"/>
      <c r="V845" s="39"/>
      <c r="W845" s="39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</row>
    <row r="846" spans="1:36" ht="11.25" customHeight="1" x14ac:dyDescent="0.2">
      <c r="A846" s="35" t="s">
        <v>27</v>
      </c>
      <c r="B846" s="35" t="s">
        <v>22</v>
      </c>
      <c r="C846" s="35" t="s">
        <v>23</v>
      </c>
      <c r="D846" s="35" t="s">
        <v>24</v>
      </c>
      <c r="E846" s="35" t="s">
        <v>31</v>
      </c>
      <c r="F846" s="35" t="s">
        <v>25</v>
      </c>
      <c r="G846" s="35" t="s">
        <v>25</v>
      </c>
      <c r="H846" s="35" t="s">
        <v>25</v>
      </c>
      <c r="I846" s="55">
        <v>44805</v>
      </c>
      <c r="J846" s="56">
        <f>EFEITO!$J$846*EFEITO!$Y$723</f>
        <v>0</v>
      </c>
      <c r="K846" s="56">
        <f ca="1">EFEITO!$L$846*EFEITO!$Z$851</f>
        <v>-19.496497538754255</v>
      </c>
      <c r="L846" s="56">
        <f>EFEITO!$N$846*EFEITO!$AA$851</f>
        <v>-23.60888836723089</v>
      </c>
      <c r="M846" s="56">
        <f>$J$846-EFEITO!$K$846*EFEITO!$Y$846</f>
        <v>0</v>
      </c>
      <c r="N846" s="56">
        <f ca="1">$K$846-EFEITO!$M$846*EFEITO!$Z$846</f>
        <v>-1.9496497538754269</v>
      </c>
      <c r="O846" s="56">
        <f>$L$846-EFEITO!$O$846*EFEITO!$AA$846</f>
        <v>-2.3608888367230882</v>
      </c>
      <c r="P846" s="39"/>
      <c r="Q846" s="39"/>
      <c r="R846" s="39"/>
      <c r="S846" s="39"/>
      <c r="T846" s="39"/>
      <c r="U846" s="39"/>
      <c r="V846" s="39"/>
      <c r="W846" s="39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</row>
    <row r="847" spans="1:36" ht="11.25" customHeight="1" x14ac:dyDescent="0.2">
      <c r="A847" s="35" t="s">
        <v>28</v>
      </c>
      <c r="B847" s="35" t="s">
        <v>22</v>
      </c>
      <c r="C847" s="35" t="s">
        <v>23</v>
      </c>
      <c r="D847" s="35" t="s">
        <v>24</v>
      </c>
      <c r="E847" s="35" t="s">
        <v>31</v>
      </c>
      <c r="F847" s="35" t="s">
        <v>25</v>
      </c>
      <c r="G847" s="35" t="s">
        <v>25</v>
      </c>
      <c r="H847" s="35" t="s">
        <v>25</v>
      </c>
      <c r="I847" s="55">
        <v>44805</v>
      </c>
      <c r="J847" s="56">
        <f>EFEITO!$J$847*EFEITO!$Y$723</f>
        <v>0</v>
      </c>
      <c r="K847" s="56">
        <f ca="1">EFEITO!$L$847*EFEITO!$Z$851</f>
        <v>29.63467625890647</v>
      </c>
      <c r="L847" s="56">
        <f>EFEITO!$N$847*EFEITO!$AA$851</f>
        <v>35.885510318190953</v>
      </c>
      <c r="M847" s="56">
        <f>$J$847-EFEITO!$K$847*EFEITO!$Y$847</f>
        <v>0</v>
      </c>
      <c r="N847" s="56">
        <f ca="1">$K$847-EFEITO!$M$847*EFEITO!$Z$847</f>
        <v>5.6305884891922311</v>
      </c>
      <c r="O847" s="56">
        <f>$L$847-EFEITO!$O$847*EFEITO!$AA$847</f>
        <v>6.8182469604562819</v>
      </c>
      <c r="P847" s="39"/>
      <c r="Q847" s="39"/>
      <c r="R847" s="39"/>
      <c r="S847" s="39"/>
      <c r="T847" s="39"/>
      <c r="U847" s="39"/>
      <c r="V847" s="39"/>
      <c r="W847" s="39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</row>
    <row r="848" spans="1:36" ht="11.25" customHeight="1" x14ac:dyDescent="0.2">
      <c r="A848" s="35" t="s">
        <v>53</v>
      </c>
      <c r="B848" s="35" t="s">
        <v>22</v>
      </c>
      <c r="C848" s="35" t="s">
        <v>23</v>
      </c>
      <c r="D848" s="35" t="s">
        <v>24</v>
      </c>
      <c r="E848" s="35" t="s">
        <v>31</v>
      </c>
      <c r="F848" s="35" t="s">
        <v>25</v>
      </c>
      <c r="G848" s="35" t="s">
        <v>25</v>
      </c>
      <c r="H848" s="35" t="s">
        <v>25</v>
      </c>
      <c r="I848" s="55">
        <v>44835</v>
      </c>
      <c r="J848" s="56">
        <f>EFEITO!$J$848*EFEITO!$Y$723</f>
        <v>0</v>
      </c>
      <c r="K848" s="56">
        <f ca="1">EFEITO!$L$848*EFEITO!$Z$851</f>
        <v>79970.213697861167</v>
      </c>
      <c r="L848" s="56">
        <f>EFEITO!$N$848*EFEITO!$AA$851</f>
        <v>96838.308734351202</v>
      </c>
      <c r="M848" s="56">
        <f>$J$848-EFEITO!$K$848*EFEITO!$Y$848</f>
        <v>0</v>
      </c>
      <c r="N848" s="56">
        <f ca="1">$K$848-EFEITO!$M$848*EFEITO!$Z$848</f>
        <v>7997.0213697861182</v>
      </c>
      <c r="O848" s="56">
        <f>$L$848-EFEITO!$O$848*EFEITO!$AA$848</f>
        <v>9683.8308734351303</v>
      </c>
      <c r="P848" s="39"/>
      <c r="Q848" s="39"/>
      <c r="R848" s="39"/>
      <c r="S848" s="39"/>
      <c r="T848" s="39"/>
      <c r="U848" s="39"/>
      <c r="V848" s="39"/>
      <c r="W848" s="39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</row>
    <row r="849" spans="1:36" ht="11.25" customHeight="1" x14ac:dyDescent="0.2">
      <c r="A849" s="35" t="s">
        <v>53</v>
      </c>
      <c r="B849" s="35" t="s">
        <v>22</v>
      </c>
      <c r="C849" s="35" t="s">
        <v>23</v>
      </c>
      <c r="D849" s="35" t="s">
        <v>24</v>
      </c>
      <c r="E849" s="35" t="s">
        <v>31</v>
      </c>
      <c r="F849" s="35" t="s">
        <v>25</v>
      </c>
      <c r="G849" s="35" t="s">
        <v>25</v>
      </c>
      <c r="H849" s="35" t="s">
        <v>25</v>
      </c>
      <c r="I849" s="55">
        <v>44835</v>
      </c>
      <c r="J849" s="56">
        <f>EFEITO!$J$849*EFEITO!$Y$723</f>
        <v>0</v>
      </c>
      <c r="K849" s="56">
        <f ca="1">EFEITO!$L$849*EFEITO!$Z$851</f>
        <v>-19.496497538754255</v>
      </c>
      <c r="L849" s="56">
        <f>EFEITO!$N$849*EFEITO!$AA$851</f>
        <v>-23.60888836723089</v>
      </c>
      <c r="M849" s="56">
        <f>$J$849-EFEITO!$K$849*EFEITO!$Y$849</f>
        <v>0</v>
      </c>
      <c r="N849" s="56">
        <f ca="1">$K$849-EFEITO!$M$849*EFEITO!$Z$849</f>
        <v>-1.9496497538754269</v>
      </c>
      <c r="O849" s="56">
        <f>$L$849-EFEITO!$O$849*EFEITO!$AA$849</f>
        <v>-2.3608888367230882</v>
      </c>
      <c r="P849" s="39"/>
      <c r="Q849" s="39"/>
      <c r="R849" s="39"/>
      <c r="S849" s="39"/>
      <c r="T849" s="39"/>
      <c r="U849" s="39"/>
      <c r="V849" s="39"/>
      <c r="W849" s="39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</row>
    <row r="850" spans="1:36" ht="11.25" customHeight="1" x14ac:dyDescent="0.2">
      <c r="A850" s="35" t="s">
        <v>53</v>
      </c>
      <c r="B850" s="35" t="s">
        <v>22</v>
      </c>
      <c r="C850" s="35" t="s">
        <v>23</v>
      </c>
      <c r="D850" s="35" t="s">
        <v>24</v>
      </c>
      <c r="E850" s="35" t="s">
        <v>31</v>
      </c>
      <c r="F850" s="35" t="s">
        <v>25</v>
      </c>
      <c r="G850" s="35" t="s">
        <v>25</v>
      </c>
      <c r="H850" s="35" t="s">
        <v>25</v>
      </c>
      <c r="I850" s="55">
        <v>44835</v>
      </c>
      <c r="J850" s="56">
        <f>EFEITO!$J$850*EFEITO!$Y$723</f>
        <v>0</v>
      </c>
      <c r="K850" s="56">
        <f ca="1">EFEITO!$L$850*EFEITO!$Z$851</f>
        <v>29.63467625890647</v>
      </c>
      <c r="L850" s="56">
        <f>EFEITO!$N$850*EFEITO!$AA$851</f>
        <v>35.885510318190953</v>
      </c>
      <c r="M850" s="56">
        <f>$J$850-EFEITO!$K$850*EFEITO!$Y$850</f>
        <v>0</v>
      </c>
      <c r="N850" s="56">
        <f ca="1">$K$850-EFEITO!$M$850*EFEITO!$Z$850</f>
        <v>5.6305884891922311</v>
      </c>
      <c r="O850" s="56">
        <f>$L$850-EFEITO!$O$850*EFEITO!$AA$850</f>
        <v>6.8182469604562819</v>
      </c>
      <c r="P850" s="39"/>
      <c r="Q850" s="39"/>
      <c r="R850" s="39"/>
      <c r="S850" s="39"/>
      <c r="T850" s="39"/>
      <c r="U850" s="39"/>
      <c r="V850" s="39"/>
      <c r="W850" s="39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</row>
    <row r="851" spans="1:36" ht="11.25" customHeight="1" x14ac:dyDescent="0.2">
      <c r="A851" s="35" t="s">
        <v>21</v>
      </c>
      <c r="B851" s="35" t="s">
        <v>22</v>
      </c>
      <c r="C851" s="35" t="s">
        <v>23</v>
      </c>
      <c r="D851" s="35" t="s">
        <v>24</v>
      </c>
      <c r="E851" s="35" t="s">
        <v>32</v>
      </c>
      <c r="F851" s="35" t="s">
        <v>25</v>
      </c>
      <c r="G851" s="35" t="s">
        <v>25</v>
      </c>
      <c r="H851" s="35" t="s">
        <v>25</v>
      </c>
      <c r="I851" s="55">
        <v>44501</v>
      </c>
      <c r="J851" s="56">
        <f>EFEITO!$J$851*EFEITO!$Y$723</f>
        <v>0</v>
      </c>
      <c r="K851" s="56">
        <f ca="1">EFEITO!$L$851*EFEITO!$Z$851</f>
        <v>10433.485669539212</v>
      </c>
      <c r="L851" s="56">
        <f>EFEITO!$N$851*EFEITO!$AA$851</f>
        <v>12634.217913429055</v>
      </c>
      <c r="M851" s="56">
        <f>$J$851-EFEITO!$K$851*EFEITO!$Y$851</f>
        <v>0</v>
      </c>
      <c r="N851" s="56">
        <f ca="1">$K$851-EFEITO!$M$851*EFEITO!$Z$851</f>
        <v>0</v>
      </c>
      <c r="O851" s="56">
        <f>$L$851-EFEITO!$O$851*EFEITO!$AA$851</f>
        <v>0</v>
      </c>
      <c r="P851" s="39"/>
      <c r="Q851" s="39"/>
      <c r="R851" s="39"/>
      <c r="S851" s="39"/>
      <c r="T851" s="39"/>
      <c r="U851" s="39"/>
      <c r="V851" s="39"/>
      <c r="W851" s="39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</row>
    <row r="852" spans="1:36" ht="11.25" customHeight="1" x14ac:dyDescent="0.2">
      <c r="A852" s="35" t="s">
        <v>27</v>
      </c>
      <c r="B852" s="35" t="s">
        <v>22</v>
      </c>
      <c r="C852" s="35" t="s">
        <v>23</v>
      </c>
      <c r="D852" s="35" t="s">
        <v>24</v>
      </c>
      <c r="E852" s="35" t="s">
        <v>32</v>
      </c>
      <c r="F852" s="35" t="s">
        <v>25</v>
      </c>
      <c r="G852" s="35" t="s">
        <v>25</v>
      </c>
      <c r="H852" s="35" t="s">
        <v>25</v>
      </c>
      <c r="I852" s="55">
        <v>44501</v>
      </c>
      <c r="J852" s="56">
        <f>EFEITO!$J$852*EFEITO!$Y$723</f>
        <v>0</v>
      </c>
      <c r="K852" s="56">
        <f ca="1">EFEITO!$L$852*EFEITO!$Z$851</f>
        <v>-48.091360595593827</v>
      </c>
      <c r="L852" s="56">
        <f>EFEITO!$N$852*EFEITO!$AA$851</f>
        <v>-58.235257972502865</v>
      </c>
      <c r="M852" s="56">
        <f>$J$852-EFEITO!$K$852*EFEITO!$Y$852</f>
        <v>0</v>
      </c>
      <c r="N852" s="56">
        <f ca="1">$K$852-EFEITO!$M$852*EFEITO!$Z$852</f>
        <v>0</v>
      </c>
      <c r="O852" s="56">
        <f>$L$852-EFEITO!$O$852*EFEITO!$AA$852</f>
        <v>0</v>
      </c>
      <c r="P852" s="39"/>
      <c r="Q852" s="39"/>
      <c r="R852" s="39"/>
      <c r="S852" s="39"/>
      <c r="T852" s="39"/>
      <c r="U852" s="39"/>
      <c r="V852" s="39"/>
      <c r="W852" s="39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</row>
    <row r="853" spans="1:36" ht="11.25" customHeight="1" x14ac:dyDescent="0.2">
      <c r="A853" s="35" t="s">
        <v>21</v>
      </c>
      <c r="B853" s="35" t="s">
        <v>22</v>
      </c>
      <c r="C853" s="35" t="s">
        <v>23</v>
      </c>
      <c r="D853" s="35" t="s">
        <v>24</v>
      </c>
      <c r="E853" s="35" t="s">
        <v>32</v>
      </c>
      <c r="F853" s="35" t="s">
        <v>25</v>
      </c>
      <c r="G853" s="35" t="s">
        <v>25</v>
      </c>
      <c r="H853" s="35" t="s">
        <v>25</v>
      </c>
      <c r="I853" s="55">
        <v>44531</v>
      </c>
      <c r="J853" s="56">
        <f>EFEITO!$J$853*EFEITO!$Y$723</f>
        <v>0</v>
      </c>
      <c r="K853" s="56">
        <f ca="1">EFEITO!$L$853*EFEITO!$Z$851</f>
        <v>9257.1969847010369</v>
      </c>
      <c r="L853" s="56">
        <f>EFEITO!$N$853*EFEITO!$AA$851</f>
        <v>11209.814981939457</v>
      </c>
      <c r="M853" s="56">
        <f>$J$853-EFEITO!$K$853*EFEITO!$Y$853</f>
        <v>0</v>
      </c>
      <c r="N853" s="56">
        <f ca="1">$K$853-EFEITO!$M$853*EFEITO!$Z$853</f>
        <v>0</v>
      </c>
      <c r="O853" s="56">
        <f>$L$853-EFEITO!$O$853*EFEITO!$AA$853</f>
        <v>0</v>
      </c>
      <c r="P853" s="39"/>
      <c r="Q853" s="39"/>
      <c r="R853" s="39"/>
      <c r="S853" s="39"/>
      <c r="T853" s="39"/>
      <c r="U853" s="39"/>
      <c r="V853" s="39"/>
      <c r="W853" s="39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</row>
    <row r="854" spans="1:36" ht="11.25" customHeight="1" x14ac:dyDescent="0.2">
      <c r="A854" s="35" t="s">
        <v>27</v>
      </c>
      <c r="B854" s="35" t="s">
        <v>22</v>
      </c>
      <c r="C854" s="35" t="s">
        <v>23</v>
      </c>
      <c r="D854" s="35" t="s">
        <v>24</v>
      </c>
      <c r="E854" s="35" t="s">
        <v>32</v>
      </c>
      <c r="F854" s="35" t="s">
        <v>25</v>
      </c>
      <c r="G854" s="35" t="s">
        <v>25</v>
      </c>
      <c r="H854" s="35" t="s">
        <v>25</v>
      </c>
      <c r="I854" s="55">
        <v>44531</v>
      </c>
      <c r="J854" s="56">
        <f>EFEITO!$J$854*EFEITO!$Y$723</f>
        <v>0</v>
      </c>
      <c r="K854" s="56">
        <f ca="1">EFEITO!$L$854*EFEITO!$Z$851</f>
        <v>-9.6182721191187657</v>
      </c>
      <c r="L854" s="56">
        <f>EFEITO!$N$854*EFEITO!$AA$851</f>
        <v>-11.647051594500573</v>
      </c>
      <c r="M854" s="56">
        <f>$J$854-EFEITO!$K$854*EFEITO!$Y$854</f>
        <v>0</v>
      </c>
      <c r="N854" s="56">
        <f ca="1">$K$854-EFEITO!$M$854*EFEITO!$Z$854</f>
        <v>0</v>
      </c>
      <c r="O854" s="56">
        <f>$L$854-EFEITO!$O$854*EFEITO!$AA$854</f>
        <v>0</v>
      </c>
      <c r="P854" s="39"/>
      <c r="Q854" s="39"/>
      <c r="R854" s="39"/>
      <c r="S854" s="39"/>
      <c r="T854" s="39"/>
      <c r="U854" s="39"/>
      <c r="V854" s="39"/>
      <c r="W854" s="39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</row>
    <row r="855" spans="1:36" ht="11.25" customHeight="1" x14ac:dyDescent="0.2">
      <c r="A855" s="35" t="s">
        <v>21</v>
      </c>
      <c r="B855" s="35" t="s">
        <v>22</v>
      </c>
      <c r="C855" s="35" t="s">
        <v>23</v>
      </c>
      <c r="D855" s="35" t="s">
        <v>24</v>
      </c>
      <c r="E855" s="35" t="s">
        <v>32</v>
      </c>
      <c r="F855" s="35" t="s">
        <v>25</v>
      </c>
      <c r="G855" s="35" t="s">
        <v>25</v>
      </c>
      <c r="H855" s="35" t="s">
        <v>25</v>
      </c>
      <c r="I855" s="55">
        <v>44562</v>
      </c>
      <c r="J855" s="56">
        <f>EFEITO!$J$855*EFEITO!$Y$723</f>
        <v>0</v>
      </c>
      <c r="K855" s="56">
        <f ca="1">EFEITO!$L$855*EFEITO!$Z$851</f>
        <v>14057.494632042852</v>
      </c>
      <c r="L855" s="56">
        <f>EFEITO!$N$855*EFEITO!$AA$851</f>
        <v>17022.638083129932</v>
      </c>
      <c r="M855" s="56">
        <f>$J$855-EFEITO!$K$855*EFEITO!$Y$855</f>
        <v>0</v>
      </c>
      <c r="N855" s="56">
        <f ca="1">$K$855-EFEITO!$M$855*EFEITO!$Z$855</f>
        <v>0</v>
      </c>
      <c r="O855" s="56">
        <f>$L$855-EFEITO!$O$855*EFEITO!$AA$855</f>
        <v>0</v>
      </c>
      <c r="P855" s="39"/>
      <c r="Q855" s="39"/>
      <c r="R855" s="39"/>
      <c r="S855" s="39"/>
      <c r="T855" s="39"/>
      <c r="U855" s="39"/>
      <c r="V855" s="39"/>
      <c r="W855" s="39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</row>
    <row r="856" spans="1:36" ht="11.25" customHeight="1" x14ac:dyDescent="0.2">
      <c r="A856" s="35" t="s">
        <v>27</v>
      </c>
      <c r="B856" s="35" t="s">
        <v>22</v>
      </c>
      <c r="C856" s="35" t="s">
        <v>23</v>
      </c>
      <c r="D856" s="35" t="s">
        <v>24</v>
      </c>
      <c r="E856" s="35" t="s">
        <v>32</v>
      </c>
      <c r="F856" s="35" t="s">
        <v>25</v>
      </c>
      <c r="G856" s="35" t="s">
        <v>25</v>
      </c>
      <c r="H856" s="35" t="s">
        <v>25</v>
      </c>
      <c r="I856" s="55">
        <v>44562</v>
      </c>
      <c r="J856" s="56">
        <f>EFEITO!$J$856*EFEITO!$Y$723</f>
        <v>0</v>
      </c>
      <c r="K856" s="56">
        <f ca="1">EFEITO!$L$856*EFEITO!$Z$851</f>
        <v>-142.71436198368116</v>
      </c>
      <c r="L856" s="56">
        <f>EFEITO!$N$856*EFEITO!$AA$851</f>
        <v>-172.81706284813015</v>
      </c>
      <c r="M856" s="56">
        <f>$J$856-EFEITO!$K$856*EFEITO!$Y$856</f>
        <v>0</v>
      </c>
      <c r="N856" s="56">
        <f ca="1">$K$856-EFEITO!$M$856*EFEITO!$Z$856</f>
        <v>0</v>
      </c>
      <c r="O856" s="56">
        <f>$L$856-EFEITO!$O$856*EFEITO!$AA$856</f>
        <v>0</v>
      </c>
      <c r="P856" s="39"/>
      <c r="Q856" s="39"/>
      <c r="R856" s="39"/>
      <c r="S856" s="39"/>
      <c r="T856" s="39"/>
      <c r="U856" s="39"/>
      <c r="V856" s="39"/>
      <c r="W856" s="39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</row>
    <row r="857" spans="1:36" ht="11.25" customHeight="1" x14ac:dyDescent="0.2">
      <c r="A857" s="35" t="s">
        <v>21</v>
      </c>
      <c r="B857" s="35" t="s">
        <v>22</v>
      </c>
      <c r="C857" s="35" t="s">
        <v>23</v>
      </c>
      <c r="D857" s="35" t="s">
        <v>24</v>
      </c>
      <c r="E857" s="35" t="s">
        <v>32</v>
      </c>
      <c r="F857" s="35" t="s">
        <v>25</v>
      </c>
      <c r="G857" s="35" t="s">
        <v>25</v>
      </c>
      <c r="H857" s="35" t="s">
        <v>25</v>
      </c>
      <c r="I857" s="55">
        <v>44593</v>
      </c>
      <c r="J857" s="56">
        <f>EFEITO!$J$857*EFEITO!$Y$723</f>
        <v>0</v>
      </c>
      <c r="K857" s="56">
        <f ca="1">EFEITO!$L$857*EFEITO!$Z$851</f>
        <v>10853.050296573201</v>
      </c>
      <c r="L857" s="56">
        <f>EFEITO!$N$857*EFEITO!$AA$851</f>
        <v>13142.281191091863</v>
      </c>
      <c r="M857" s="56">
        <f>$J$857-EFEITO!$K$857*EFEITO!$Y$857</f>
        <v>0</v>
      </c>
      <c r="N857" s="56">
        <f ca="1">$K$857-EFEITO!$M$857*EFEITO!$Z$857</f>
        <v>0</v>
      </c>
      <c r="O857" s="56">
        <f>$L$857-EFEITO!$O$857*EFEITO!$AA$857</f>
        <v>0</v>
      </c>
      <c r="P857" s="39"/>
      <c r="Q857" s="39"/>
      <c r="R857" s="39"/>
      <c r="S857" s="39"/>
      <c r="T857" s="39"/>
      <c r="U857" s="39"/>
      <c r="V857" s="39"/>
      <c r="W857" s="39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</row>
    <row r="858" spans="1:36" ht="11.25" customHeight="1" x14ac:dyDescent="0.2">
      <c r="A858" s="35" t="s">
        <v>21</v>
      </c>
      <c r="B858" s="35" t="s">
        <v>22</v>
      </c>
      <c r="C858" s="35" t="s">
        <v>23</v>
      </c>
      <c r="D858" s="35" t="s">
        <v>24</v>
      </c>
      <c r="E858" s="35" t="s">
        <v>32</v>
      </c>
      <c r="F858" s="35" t="s">
        <v>25</v>
      </c>
      <c r="G858" s="35" t="s">
        <v>25</v>
      </c>
      <c r="H858" s="35" t="s">
        <v>25</v>
      </c>
      <c r="I858" s="55">
        <v>44621</v>
      </c>
      <c r="J858" s="56">
        <f>EFEITO!$J$858*EFEITO!$Y$723</f>
        <v>0</v>
      </c>
      <c r="K858" s="56">
        <f ca="1">EFEITO!$L$858*EFEITO!$Z$851</f>
        <v>12579.400165304762</v>
      </c>
      <c r="L858" s="56">
        <f>EFEITO!$N$858*EFEITO!$AA$851</f>
        <v>15232.7695597156</v>
      </c>
      <c r="M858" s="56">
        <f>$J$858-EFEITO!$K$858*EFEITO!$Y$858</f>
        <v>0</v>
      </c>
      <c r="N858" s="56">
        <f ca="1">$K$858-EFEITO!$M$858*EFEITO!$Z$858</f>
        <v>0</v>
      </c>
      <c r="O858" s="56">
        <f>$L$858-EFEITO!$O$858*EFEITO!$AA$858</f>
        <v>0</v>
      </c>
      <c r="P858" s="39"/>
      <c r="Q858" s="39"/>
      <c r="R858" s="39"/>
      <c r="S858" s="39"/>
      <c r="T858" s="39"/>
      <c r="U858" s="39"/>
      <c r="V858" s="39"/>
      <c r="W858" s="39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</row>
    <row r="859" spans="1:36" ht="11.25" customHeight="1" x14ac:dyDescent="0.2">
      <c r="A859" s="35" t="s">
        <v>21</v>
      </c>
      <c r="B859" s="35" t="s">
        <v>22</v>
      </c>
      <c r="C859" s="35" t="s">
        <v>23</v>
      </c>
      <c r="D859" s="35" t="s">
        <v>24</v>
      </c>
      <c r="E859" s="35" t="s">
        <v>32</v>
      </c>
      <c r="F859" s="35" t="s">
        <v>25</v>
      </c>
      <c r="G859" s="35" t="s">
        <v>25</v>
      </c>
      <c r="H859" s="35" t="s">
        <v>25</v>
      </c>
      <c r="I859" s="55">
        <v>44652</v>
      </c>
      <c r="J859" s="56">
        <f>EFEITO!$J$859*EFEITO!$Y$723</f>
        <v>0</v>
      </c>
      <c r="K859" s="56">
        <f ca="1">EFEITO!$L$859*EFEITO!$Z$851</f>
        <v>12963.351190167963</v>
      </c>
      <c r="L859" s="56">
        <f>EFEITO!$N$859*EFEITO!$AA$851</f>
        <v>15697.707267960935</v>
      </c>
      <c r="M859" s="56">
        <f>$J$859-EFEITO!$K$859*EFEITO!$Y$859</f>
        <v>0</v>
      </c>
      <c r="N859" s="56">
        <f ca="1">$K$859-EFEITO!$M$859*EFEITO!$Z$859</f>
        <v>0</v>
      </c>
      <c r="O859" s="56">
        <f>$L$859-EFEITO!$O$859*EFEITO!$AA$859</f>
        <v>0</v>
      </c>
      <c r="P859" s="39"/>
      <c r="Q859" s="39"/>
      <c r="R859" s="39"/>
      <c r="S859" s="39"/>
      <c r="T859" s="39"/>
      <c r="U859" s="39"/>
      <c r="V859" s="39"/>
      <c r="W859" s="39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</row>
    <row r="860" spans="1:36" ht="11.25" customHeight="1" x14ac:dyDescent="0.2">
      <c r="A860" s="35" t="s">
        <v>27</v>
      </c>
      <c r="B860" s="35" t="s">
        <v>22</v>
      </c>
      <c r="C860" s="35" t="s">
        <v>23</v>
      </c>
      <c r="D860" s="35" t="s">
        <v>24</v>
      </c>
      <c r="E860" s="35" t="s">
        <v>32</v>
      </c>
      <c r="F860" s="35" t="s">
        <v>25</v>
      </c>
      <c r="G860" s="35" t="s">
        <v>25</v>
      </c>
      <c r="H860" s="35" t="s">
        <v>25</v>
      </c>
      <c r="I860" s="55">
        <v>44652</v>
      </c>
      <c r="J860" s="56">
        <f>EFEITO!$J$860*EFEITO!$Y$723</f>
        <v>0</v>
      </c>
      <c r="K860" s="56">
        <f ca="1">EFEITO!$L$860*EFEITO!$Z$851</f>
        <v>82.145242963284602</v>
      </c>
      <c r="L860" s="56">
        <f>EFEITO!$N$860*EFEITO!$AA$851</f>
        <v>99.472116320599483</v>
      </c>
      <c r="M860" s="56">
        <f>$J$860-EFEITO!$K$860*EFEITO!$Y$860</f>
        <v>0</v>
      </c>
      <c r="N860" s="56">
        <f ca="1">$K$860-EFEITO!$M$860*EFEITO!$Z$860</f>
        <v>0</v>
      </c>
      <c r="O860" s="56">
        <f>$L$860-EFEITO!$O$860*EFEITO!$AA$860</f>
        <v>0</v>
      </c>
      <c r="P860" s="39"/>
      <c r="Q860" s="39"/>
      <c r="R860" s="39"/>
      <c r="S860" s="39"/>
      <c r="T860" s="39"/>
      <c r="U860" s="39"/>
      <c r="V860" s="39"/>
      <c r="W860" s="39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</row>
    <row r="861" spans="1:36" ht="11.25" customHeight="1" x14ac:dyDescent="0.2">
      <c r="A861" s="35" t="s">
        <v>21</v>
      </c>
      <c r="B861" s="35" t="s">
        <v>22</v>
      </c>
      <c r="C861" s="35" t="s">
        <v>23</v>
      </c>
      <c r="D861" s="35" t="s">
        <v>24</v>
      </c>
      <c r="E861" s="35" t="s">
        <v>32</v>
      </c>
      <c r="F861" s="35" t="s">
        <v>25</v>
      </c>
      <c r="G861" s="35" t="s">
        <v>25</v>
      </c>
      <c r="H861" s="35" t="s">
        <v>25</v>
      </c>
      <c r="I861" s="55">
        <v>44682</v>
      </c>
      <c r="J861" s="56">
        <f>EFEITO!$J$861*EFEITO!$Y$723</f>
        <v>0</v>
      </c>
      <c r="K861" s="56">
        <f ca="1">EFEITO!$L$861*EFEITO!$Z$851</f>
        <v>14132.101229291151</v>
      </c>
      <c r="L861" s="56">
        <f>EFEITO!$N$861*EFEITO!$AA$851</f>
        <v>17112.981429281866</v>
      </c>
      <c r="M861" s="56">
        <f>$J$861-EFEITO!$K$861*EFEITO!$Y$861</f>
        <v>0</v>
      </c>
      <c r="N861" s="56">
        <f ca="1">$K$861-EFEITO!$M$861*EFEITO!$Z$861</f>
        <v>0</v>
      </c>
      <c r="O861" s="56">
        <f>$L$861-EFEITO!$O$861*EFEITO!$AA$861</f>
        <v>0</v>
      </c>
      <c r="P861" s="39"/>
      <c r="Q861" s="39"/>
      <c r="R861" s="39"/>
      <c r="S861" s="39"/>
      <c r="T861" s="39"/>
      <c r="U861" s="39"/>
      <c r="V861" s="39"/>
      <c r="W861" s="39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</row>
    <row r="862" spans="1:36" ht="11.25" customHeight="1" x14ac:dyDescent="0.2">
      <c r="A862" s="35" t="s">
        <v>27</v>
      </c>
      <c r="B862" s="35" t="s">
        <v>22</v>
      </c>
      <c r="C862" s="35" t="s">
        <v>23</v>
      </c>
      <c r="D862" s="35" t="s">
        <v>24</v>
      </c>
      <c r="E862" s="35" t="s">
        <v>32</v>
      </c>
      <c r="F862" s="35" t="s">
        <v>25</v>
      </c>
      <c r="G862" s="35" t="s">
        <v>25</v>
      </c>
      <c r="H862" s="35" t="s">
        <v>25</v>
      </c>
      <c r="I862" s="55">
        <v>44682</v>
      </c>
      <c r="J862" s="56">
        <f>EFEITO!$J$862*EFEITO!$Y$723</f>
        <v>0</v>
      </c>
      <c r="K862" s="56">
        <f ca="1">EFEITO!$L$862*EFEITO!$Z$851</f>
        <v>-46.531640792493484</v>
      </c>
      <c r="L862" s="56">
        <f>EFEITO!$N$862*EFEITO!$AA$851</f>
        <v>-56.346546903124391</v>
      </c>
      <c r="M862" s="56">
        <f>$J$862-EFEITO!$K$862*EFEITO!$Y$862</f>
        <v>0</v>
      </c>
      <c r="N862" s="56">
        <f ca="1">$K$862-EFEITO!$M$862*EFEITO!$Z$862</f>
        <v>0</v>
      </c>
      <c r="O862" s="56">
        <f>$L$862-EFEITO!$O$862*EFEITO!$AA$862</f>
        <v>0</v>
      </c>
      <c r="P862" s="39"/>
      <c r="Q862" s="39"/>
      <c r="R862" s="39"/>
      <c r="S862" s="39"/>
      <c r="T862" s="39"/>
      <c r="U862" s="39"/>
      <c r="V862" s="39"/>
      <c r="W862" s="39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</row>
    <row r="863" spans="1:36" ht="11.25" customHeight="1" x14ac:dyDescent="0.2">
      <c r="A863" s="35" t="s">
        <v>21</v>
      </c>
      <c r="B863" s="35" t="s">
        <v>22</v>
      </c>
      <c r="C863" s="35" t="s">
        <v>23</v>
      </c>
      <c r="D863" s="35" t="s">
        <v>24</v>
      </c>
      <c r="E863" s="35" t="s">
        <v>32</v>
      </c>
      <c r="F863" s="35" t="s">
        <v>25</v>
      </c>
      <c r="G863" s="35" t="s">
        <v>25</v>
      </c>
      <c r="H863" s="35" t="s">
        <v>25</v>
      </c>
      <c r="I863" s="55">
        <v>44713</v>
      </c>
      <c r="J863" s="56">
        <f>EFEITO!$J$863*EFEITO!$Y$723</f>
        <v>0</v>
      </c>
      <c r="K863" s="56">
        <f ca="1">EFEITO!$L$863*EFEITO!$Z$851</f>
        <v>13954.553125038228</v>
      </c>
      <c r="L863" s="56">
        <f>EFEITO!$N$863*EFEITO!$AA$851</f>
        <v>16897.983152550951</v>
      </c>
      <c r="M863" s="56">
        <f>$J$863-EFEITO!$K$863*EFEITO!$Y$863</f>
        <v>0</v>
      </c>
      <c r="N863" s="56">
        <f ca="1">$K$863-EFEITO!$M$863*EFEITO!$Z$863</f>
        <v>0</v>
      </c>
      <c r="O863" s="56">
        <f>$L$863-EFEITO!$O$863*EFEITO!$AA$863</f>
        <v>0</v>
      </c>
      <c r="P863" s="39"/>
      <c r="Q863" s="39"/>
      <c r="R863" s="39"/>
      <c r="S863" s="39"/>
      <c r="T863" s="39"/>
      <c r="U863" s="39"/>
      <c r="V863" s="39"/>
      <c r="W863" s="39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</row>
    <row r="864" spans="1:36" ht="11.25" customHeight="1" x14ac:dyDescent="0.2">
      <c r="A864" s="35" t="s">
        <v>21</v>
      </c>
      <c r="B864" s="35" t="s">
        <v>22</v>
      </c>
      <c r="C864" s="35" t="s">
        <v>23</v>
      </c>
      <c r="D864" s="35" t="s">
        <v>24</v>
      </c>
      <c r="E864" s="35" t="s">
        <v>32</v>
      </c>
      <c r="F864" s="35" t="s">
        <v>25</v>
      </c>
      <c r="G864" s="35" t="s">
        <v>25</v>
      </c>
      <c r="H864" s="35" t="s">
        <v>25</v>
      </c>
      <c r="I864" s="55">
        <v>44743</v>
      </c>
      <c r="J864" s="56">
        <f>EFEITO!$J$864*EFEITO!$Y$723</f>
        <v>0</v>
      </c>
      <c r="K864" s="56">
        <f ca="1">EFEITO!$L$864*EFEITO!$Z$851</f>
        <v>15525.450920060788</v>
      </c>
      <c r="L864" s="56">
        <f>EFEITO!$N$864*EFEITO!$AA$851</f>
        <v>18800.229984593301</v>
      </c>
      <c r="M864" s="56">
        <f>$J$864-EFEITO!$K$864*EFEITO!$Y$864</f>
        <v>0</v>
      </c>
      <c r="N864" s="56">
        <f ca="1">$K$864-EFEITO!$M$864*EFEITO!$Z$864</f>
        <v>0</v>
      </c>
      <c r="O864" s="56">
        <f>$L$864-EFEITO!$O$864*EFEITO!$AA$864</f>
        <v>0</v>
      </c>
      <c r="P864" s="39"/>
      <c r="Q864" s="39"/>
      <c r="R864" s="39"/>
      <c r="S864" s="39"/>
      <c r="T864" s="39"/>
      <c r="U864" s="39"/>
      <c r="V864" s="39"/>
      <c r="W864" s="39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</row>
    <row r="865" spans="1:36" ht="11.25" customHeight="1" x14ac:dyDescent="0.2">
      <c r="A865" s="35" t="s">
        <v>21</v>
      </c>
      <c r="B865" s="35" t="s">
        <v>22</v>
      </c>
      <c r="C865" s="35" t="s">
        <v>23</v>
      </c>
      <c r="D865" s="35" t="s">
        <v>24</v>
      </c>
      <c r="E865" s="35" t="s">
        <v>32</v>
      </c>
      <c r="F865" s="35" t="s">
        <v>25</v>
      </c>
      <c r="G865" s="35" t="s">
        <v>25</v>
      </c>
      <c r="H865" s="35" t="s">
        <v>25</v>
      </c>
      <c r="I865" s="55">
        <v>44774</v>
      </c>
      <c r="J865" s="56">
        <f>EFEITO!$J$865*EFEITO!$Y$723</f>
        <v>0</v>
      </c>
      <c r="K865" s="56">
        <f ca="1">EFEITO!$L$865*EFEITO!$Z$851</f>
        <v>13503.534148641713</v>
      </c>
      <c r="L865" s="56">
        <f>EFEITO!$N$865*EFEITO!$AA$851</f>
        <v>16351.830868322344</v>
      </c>
      <c r="M865" s="56">
        <f>$J$865-EFEITO!$K$865*EFEITO!$Y$865</f>
        <v>0</v>
      </c>
      <c r="N865" s="56">
        <f ca="1">$K$865-EFEITO!$M$865*EFEITO!$Z$865</f>
        <v>0</v>
      </c>
      <c r="O865" s="56">
        <f>$L$865-EFEITO!$O$865*EFEITO!$AA$865</f>
        <v>0</v>
      </c>
      <c r="P865" s="39"/>
      <c r="Q865" s="39"/>
      <c r="R865" s="39"/>
      <c r="S865" s="39"/>
      <c r="T865" s="39"/>
      <c r="U865" s="39"/>
      <c r="V865" s="39"/>
      <c r="W865" s="39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</row>
    <row r="866" spans="1:36" ht="11.25" customHeight="1" x14ac:dyDescent="0.2">
      <c r="A866" s="35" t="s">
        <v>27</v>
      </c>
      <c r="B866" s="35" t="s">
        <v>22</v>
      </c>
      <c r="C866" s="35" t="s">
        <v>23</v>
      </c>
      <c r="D866" s="35" t="s">
        <v>24</v>
      </c>
      <c r="E866" s="35" t="s">
        <v>32</v>
      </c>
      <c r="F866" s="35" t="s">
        <v>25</v>
      </c>
      <c r="G866" s="35" t="s">
        <v>25</v>
      </c>
      <c r="H866" s="35" t="s">
        <v>25</v>
      </c>
      <c r="I866" s="55">
        <v>44774</v>
      </c>
      <c r="J866" s="56">
        <f>EFEITO!$J$866*EFEITO!$Y$723</f>
        <v>0</v>
      </c>
      <c r="K866" s="56">
        <f ca="1">EFEITO!$L$866*EFEITO!$Z$851</f>
        <v>-29.894629559423194</v>
      </c>
      <c r="L866" s="56">
        <f>EFEITO!$N$866*EFEITO!$AA$851</f>
        <v>-36.200295496420701</v>
      </c>
      <c r="M866" s="56">
        <f>$J$866-EFEITO!$K$866*EFEITO!$Y$866</f>
        <v>0</v>
      </c>
      <c r="N866" s="56">
        <f ca="1">$K$866-EFEITO!$M$866*EFEITO!$Z$866</f>
        <v>0</v>
      </c>
      <c r="O866" s="56">
        <f>$L$866-EFEITO!$O$866*EFEITO!$AA$866</f>
        <v>0</v>
      </c>
      <c r="P866" s="39"/>
      <c r="Q866" s="39"/>
      <c r="R866" s="39"/>
      <c r="S866" s="39"/>
      <c r="T866" s="39"/>
      <c r="U866" s="39"/>
      <c r="V866" s="39"/>
      <c r="W866" s="39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</row>
    <row r="867" spans="1:36" ht="11.25" customHeight="1" x14ac:dyDescent="0.2">
      <c r="A867" s="35" t="s">
        <v>21</v>
      </c>
      <c r="B867" s="35" t="s">
        <v>22</v>
      </c>
      <c r="C867" s="35" t="s">
        <v>23</v>
      </c>
      <c r="D867" s="35" t="s">
        <v>24</v>
      </c>
      <c r="E867" s="35" t="s">
        <v>32</v>
      </c>
      <c r="F867" s="35" t="s">
        <v>25</v>
      </c>
      <c r="G867" s="35" t="s">
        <v>25</v>
      </c>
      <c r="H867" s="35" t="s">
        <v>25</v>
      </c>
      <c r="I867" s="55">
        <v>44805</v>
      </c>
      <c r="J867" s="56">
        <f>EFEITO!$J$867*EFEITO!$Y$723</f>
        <v>0</v>
      </c>
      <c r="K867" s="56">
        <f ca="1">EFEITO!$L$867*EFEITO!$Z$851</f>
        <v>18864.031158597067</v>
      </c>
      <c r="L867" s="56">
        <f>EFEITO!$N$867*EFEITO!$AA$851</f>
        <v>22843.016028597918</v>
      </c>
      <c r="M867" s="56">
        <f>$J$867-EFEITO!$K$867*EFEITO!$Y$867</f>
        <v>0</v>
      </c>
      <c r="N867" s="56">
        <f ca="1">$K$867-EFEITO!$M$867*EFEITO!$Z$867</f>
        <v>0</v>
      </c>
      <c r="O867" s="56">
        <f>$L$867-EFEITO!$O$867*EFEITO!$AA$867</f>
        <v>0</v>
      </c>
      <c r="P867" s="39"/>
      <c r="Q867" s="39"/>
      <c r="R867" s="39"/>
      <c r="S867" s="39"/>
      <c r="T867" s="39"/>
      <c r="U867" s="39"/>
      <c r="V867" s="39"/>
      <c r="W867" s="39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</row>
    <row r="868" spans="1:36" ht="11.25" customHeight="1" x14ac:dyDescent="0.2">
      <c r="A868" s="35" t="s">
        <v>53</v>
      </c>
      <c r="B868" s="35" t="s">
        <v>22</v>
      </c>
      <c r="C868" s="35" t="s">
        <v>23</v>
      </c>
      <c r="D868" s="35" t="s">
        <v>24</v>
      </c>
      <c r="E868" s="35" t="s">
        <v>32</v>
      </c>
      <c r="F868" s="35" t="s">
        <v>25</v>
      </c>
      <c r="G868" s="35" t="s">
        <v>25</v>
      </c>
      <c r="H868" s="35" t="s">
        <v>25</v>
      </c>
      <c r="I868" s="55">
        <v>44835</v>
      </c>
      <c r="J868" s="56">
        <f>EFEITO!$J$868*EFEITO!$Y$723</f>
        <v>0</v>
      </c>
      <c r="K868" s="56">
        <f ca="1">EFEITO!$L$868*EFEITO!$Z$851</f>
        <v>18864.031158597067</v>
      </c>
      <c r="L868" s="56">
        <f>EFEITO!$N$868*EFEITO!$AA$851</f>
        <v>22843.016028597918</v>
      </c>
      <c r="M868" s="56">
        <f>$J$868-EFEITO!$K$868*EFEITO!$Y$868</f>
        <v>0</v>
      </c>
      <c r="N868" s="56">
        <f ca="1">$K$868-EFEITO!$M$868*EFEITO!$Z$868</f>
        <v>0</v>
      </c>
      <c r="O868" s="56">
        <f>$L$868-EFEITO!$O$868*EFEITO!$AA$868</f>
        <v>0</v>
      </c>
      <c r="P868" s="39"/>
      <c r="Q868" s="39"/>
      <c r="R868" s="39"/>
      <c r="S868" s="39"/>
      <c r="T868" s="39"/>
      <c r="U868" s="39"/>
      <c r="V868" s="39"/>
      <c r="W868" s="39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</row>
    <row r="869" spans="1:36" ht="11.25" customHeight="1" x14ac:dyDescent="0.2">
      <c r="A869" s="35" t="s">
        <v>21</v>
      </c>
      <c r="B869" s="35" t="s">
        <v>44</v>
      </c>
      <c r="C869" s="35" t="s">
        <v>23</v>
      </c>
      <c r="D869" s="35" t="s">
        <v>45</v>
      </c>
      <c r="E869" s="35" t="s">
        <v>25</v>
      </c>
      <c r="F869" s="35" t="s">
        <v>25</v>
      </c>
      <c r="G869" s="35" t="s">
        <v>25</v>
      </c>
      <c r="H869" s="35" t="s">
        <v>25</v>
      </c>
      <c r="I869" s="55">
        <v>44501</v>
      </c>
      <c r="J869" s="56">
        <f>EFEITO!$J$869*EFEITO!$Y$723</f>
        <v>0</v>
      </c>
      <c r="K869" s="56">
        <f ca="1">EFEITO!$L$869*EFEITO!$Z$723</f>
        <v>118147.74591907505</v>
      </c>
      <c r="L869" s="56">
        <f>EFEITO!$N$869*EFEITO!$AA$723</f>
        <v>94565.559747532447</v>
      </c>
      <c r="M869" s="56">
        <f>$J$869-EFEITO!$K$869*EFEITO!$Y$869</f>
        <v>0</v>
      </c>
      <c r="N869" s="56">
        <f ca="1">$K$869-EFEITO!$M$869*EFEITO!$Z$869</f>
        <v>7088.8647551445174</v>
      </c>
      <c r="O869" s="56">
        <f>$L$869-EFEITO!$O$869*EFEITO!$AA$869</f>
        <v>5673.9335848519549</v>
      </c>
      <c r="P869" s="39"/>
      <c r="Q869" s="39"/>
      <c r="R869" s="39"/>
      <c r="S869" s="39"/>
      <c r="T869" s="39"/>
      <c r="U869" s="39"/>
      <c r="V869" s="39"/>
      <c r="W869" s="39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</row>
    <row r="870" spans="1:36" ht="11.25" customHeight="1" x14ac:dyDescent="0.2">
      <c r="A870" s="35" t="s">
        <v>27</v>
      </c>
      <c r="B870" s="35" t="s">
        <v>44</v>
      </c>
      <c r="C870" s="35" t="s">
        <v>23</v>
      </c>
      <c r="D870" s="35" t="s">
        <v>45</v>
      </c>
      <c r="E870" s="35" t="s">
        <v>25</v>
      </c>
      <c r="F870" s="35" t="s">
        <v>25</v>
      </c>
      <c r="G870" s="35" t="s">
        <v>25</v>
      </c>
      <c r="H870" s="35" t="s">
        <v>25</v>
      </c>
      <c r="I870" s="55">
        <v>44501</v>
      </c>
      <c r="J870" s="56">
        <f>EFEITO!$J$870*EFEITO!$Y$723</f>
        <v>0</v>
      </c>
      <c r="K870" s="56">
        <f ca="1">EFEITO!$L$870*EFEITO!$Z$723</f>
        <v>-943.88255570091872</v>
      </c>
      <c r="L870" s="56">
        <f>EFEITO!$N$870*EFEITO!$AA$723</f>
        <v>-755.48442775138847</v>
      </c>
      <c r="M870" s="56">
        <f>$J$870-EFEITO!$K$870*EFEITO!$Y$870</f>
        <v>0</v>
      </c>
      <c r="N870" s="56">
        <f ca="1">$K$870-EFEITO!$M$870*EFEITO!$Z$870</f>
        <v>-56.632953342055202</v>
      </c>
      <c r="O870" s="56">
        <f>$L$870-EFEITO!$O$870*EFEITO!$AA$870</f>
        <v>-45.329065665083363</v>
      </c>
      <c r="P870" s="39"/>
      <c r="Q870" s="39"/>
      <c r="R870" s="39"/>
      <c r="S870" s="39"/>
      <c r="T870" s="39"/>
      <c r="U870" s="39"/>
      <c r="V870" s="39"/>
      <c r="W870" s="39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</row>
    <row r="871" spans="1:36" ht="11.25" customHeight="1" x14ac:dyDescent="0.2">
      <c r="A871" s="35" t="s">
        <v>28</v>
      </c>
      <c r="B871" s="35" t="s">
        <v>44</v>
      </c>
      <c r="C871" s="35" t="s">
        <v>23</v>
      </c>
      <c r="D871" s="35" t="s">
        <v>45</v>
      </c>
      <c r="E871" s="35" t="s">
        <v>25</v>
      </c>
      <c r="F871" s="35" t="s">
        <v>25</v>
      </c>
      <c r="G871" s="35" t="s">
        <v>25</v>
      </c>
      <c r="H871" s="35" t="s">
        <v>25</v>
      </c>
      <c r="I871" s="55">
        <v>44501</v>
      </c>
      <c r="J871" s="56">
        <f>EFEITO!$J$871*EFEITO!$Y$723</f>
        <v>0</v>
      </c>
      <c r="K871" s="56">
        <f ca="1">EFEITO!$L$871*EFEITO!$Z$723</f>
        <v>2374.2579119860193</v>
      </c>
      <c r="L871" s="56">
        <f>EFEITO!$N$871*EFEITO!$AA$723</f>
        <v>1900.3581209729718</v>
      </c>
      <c r="M871" s="56">
        <f>$J$871-EFEITO!$K$871*EFEITO!$Y$871</f>
        <v>0</v>
      </c>
      <c r="N871" s="56">
        <f ca="1">$K$871-EFEITO!$M$871*EFEITO!$Z$871</f>
        <v>142.45547471916143</v>
      </c>
      <c r="O871" s="56">
        <f>$L$871-EFEITO!$O$871*EFEITO!$AA$871</f>
        <v>114.02148725837856</v>
      </c>
      <c r="P871" s="39"/>
      <c r="Q871" s="39"/>
      <c r="R871" s="39"/>
      <c r="S871" s="39"/>
      <c r="T871" s="39"/>
      <c r="U871" s="39"/>
      <c r="V871" s="39"/>
      <c r="W871" s="39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</row>
    <row r="872" spans="1:36" ht="11.25" customHeight="1" x14ac:dyDescent="0.2">
      <c r="A872" s="35" t="s">
        <v>28</v>
      </c>
      <c r="B872" s="35" t="s">
        <v>44</v>
      </c>
      <c r="C872" s="35" t="s">
        <v>23</v>
      </c>
      <c r="D872" s="35" t="s">
        <v>45</v>
      </c>
      <c r="E872" s="35" t="s">
        <v>25</v>
      </c>
      <c r="F872" s="35" t="s">
        <v>25</v>
      </c>
      <c r="G872" s="35" t="s">
        <v>25</v>
      </c>
      <c r="H872" s="35" t="s">
        <v>25</v>
      </c>
      <c r="I872" s="55">
        <v>44501</v>
      </c>
      <c r="J872" s="56">
        <f>EFEITO!$J$872*EFEITO!$Y$723</f>
        <v>0</v>
      </c>
      <c r="K872" s="56">
        <f ca="1">EFEITO!$L$872*EFEITO!$Z$723</f>
        <v>424.74715006541345</v>
      </c>
      <c r="L872" s="56">
        <f>EFEITO!$N$872*EFEITO!$AA$723</f>
        <v>339.96799248812488</v>
      </c>
      <c r="M872" s="56">
        <f>$J$872-EFEITO!$K$872*EFEITO!$Y$872</f>
        <v>0</v>
      </c>
      <c r="N872" s="56">
        <f ca="1">$K$872-EFEITO!$M$872*EFEITO!$Z$872</f>
        <v>25.484829003924858</v>
      </c>
      <c r="O872" s="56">
        <f>$L$872-EFEITO!$O$872*EFEITO!$AA$872</f>
        <v>20.398079549287559</v>
      </c>
      <c r="P872" s="39"/>
      <c r="Q872" s="39"/>
      <c r="R872" s="39"/>
      <c r="S872" s="39"/>
      <c r="T872" s="39"/>
      <c r="U872" s="39"/>
      <c r="V872" s="39"/>
      <c r="W872" s="39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</row>
    <row r="873" spans="1:36" ht="11.25" customHeight="1" x14ac:dyDescent="0.2">
      <c r="A873" s="35" t="s">
        <v>21</v>
      </c>
      <c r="B873" s="35" t="s">
        <v>44</v>
      </c>
      <c r="C873" s="35" t="s">
        <v>23</v>
      </c>
      <c r="D873" s="35" t="s">
        <v>45</v>
      </c>
      <c r="E873" s="35" t="s">
        <v>25</v>
      </c>
      <c r="F873" s="35" t="s">
        <v>25</v>
      </c>
      <c r="G873" s="35" t="s">
        <v>25</v>
      </c>
      <c r="H873" s="35" t="s">
        <v>25</v>
      </c>
      <c r="I873" s="55">
        <v>44531</v>
      </c>
      <c r="J873" s="56">
        <f>EFEITO!$J$873*EFEITO!$Y$723</f>
        <v>0</v>
      </c>
      <c r="K873" s="56">
        <f ca="1">EFEITO!$L$873*EFEITO!$Z$723</f>
        <v>113926.23118870267</v>
      </c>
      <c r="L873" s="56">
        <f>EFEITO!$N$873*EFEITO!$AA$723</f>
        <v>91186.65564441435</v>
      </c>
      <c r="M873" s="56">
        <f>$J$873-EFEITO!$K$873*EFEITO!$Y$873</f>
        <v>0</v>
      </c>
      <c r="N873" s="56">
        <f ca="1">$K$873-EFEITO!$M$873*EFEITO!$Z$873</f>
        <v>6835.5738713221799</v>
      </c>
      <c r="O873" s="56">
        <f>$L$873-EFEITO!$O$873*EFEITO!$AA$873</f>
        <v>5471.1993386648683</v>
      </c>
      <c r="P873" s="39"/>
      <c r="Q873" s="39"/>
      <c r="R873" s="39"/>
      <c r="S873" s="39"/>
      <c r="T873" s="39"/>
      <c r="U873" s="39"/>
      <c r="V873" s="39"/>
      <c r="W873" s="39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</row>
    <row r="874" spans="1:36" ht="11.25" customHeight="1" x14ac:dyDescent="0.2">
      <c r="A874" s="35" t="s">
        <v>27</v>
      </c>
      <c r="B874" s="35" t="s">
        <v>44</v>
      </c>
      <c r="C874" s="35" t="s">
        <v>23</v>
      </c>
      <c r="D874" s="35" t="s">
        <v>45</v>
      </c>
      <c r="E874" s="35" t="s">
        <v>25</v>
      </c>
      <c r="F874" s="35" t="s">
        <v>25</v>
      </c>
      <c r="G874" s="35" t="s">
        <v>25</v>
      </c>
      <c r="H874" s="35" t="s">
        <v>25</v>
      </c>
      <c r="I874" s="55">
        <v>44531</v>
      </c>
      <c r="J874" s="56">
        <f>EFEITO!$J$874*EFEITO!$Y$723</f>
        <v>0</v>
      </c>
      <c r="K874" s="56">
        <f ca="1">EFEITO!$L$874*EFEITO!$Z$723</f>
        <v>-291.03045467444991</v>
      </c>
      <c r="L874" s="56">
        <f>EFEITO!$N$874*EFEITO!$AA$723</f>
        <v>-232.94103189001146</v>
      </c>
      <c r="M874" s="56">
        <f>$J$874-EFEITO!$K$874*EFEITO!$Y$874</f>
        <v>0</v>
      </c>
      <c r="N874" s="56">
        <f ca="1">$K$874-EFEITO!$M$874*EFEITO!$Z$874</f>
        <v>-17.461827280466991</v>
      </c>
      <c r="O874" s="56">
        <f>$L$874-EFEITO!$O$874*EFEITO!$AA$874</f>
        <v>-13.976461913400698</v>
      </c>
      <c r="P874" s="39"/>
      <c r="Q874" s="39"/>
      <c r="R874" s="39"/>
      <c r="S874" s="39"/>
      <c r="T874" s="39"/>
      <c r="U874" s="39"/>
      <c r="V874" s="39"/>
      <c r="W874" s="39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</row>
    <row r="875" spans="1:36" ht="11.25" customHeight="1" x14ac:dyDescent="0.2">
      <c r="A875" s="35" t="s">
        <v>28</v>
      </c>
      <c r="B875" s="35" t="s">
        <v>44</v>
      </c>
      <c r="C875" s="35" t="s">
        <v>23</v>
      </c>
      <c r="D875" s="35" t="s">
        <v>45</v>
      </c>
      <c r="E875" s="35" t="s">
        <v>25</v>
      </c>
      <c r="F875" s="35" t="s">
        <v>25</v>
      </c>
      <c r="G875" s="35" t="s">
        <v>25</v>
      </c>
      <c r="H875" s="35" t="s">
        <v>25</v>
      </c>
      <c r="I875" s="55">
        <v>44531</v>
      </c>
      <c r="J875" s="56">
        <f>EFEITO!$J$875*EFEITO!$Y$723</f>
        <v>0</v>
      </c>
      <c r="K875" s="56">
        <f ca="1">EFEITO!$L$875*EFEITO!$Z$723</f>
        <v>2612.588257300501</v>
      </c>
      <c r="L875" s="56">
        <f>EFEITO!$N$875*EFEITO!$AA$723</f>
        <v>2091.1179389801973</v>
      </c>
      <c r="M875" s="56">
        <f>$J$875-EFEITO!$K$875*EFEITO!$Y$875</f>
        <v>0</v>
      </c>
      <c r="N875" s="56">
        <f ca="1">$K$875-EFEITO!$M$875*EFEITO!$Z$875</f>
        <v>156.75529543803032</v>
      </c>
      <c r="O875" s="56">
        <f>$L$875-EFEITO!$O$875*EFEITO!$AA$875</f>
        <v>125.46707633881192</v>
      </c>
      <c r="P875" s="39"/>
      <c r="Q875" s="39"/>
      <c r="R875" s="39"/>
      <c r="S875" s="39"/>
      <c r="T875" s="39"/>
      <c r="U875" s="39"/>
      <c r="V875" s="39"/>
      <c r="W875" s="39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</row>
    <row r="876" spans="1:36" ht="11.25" customHeight="1" x14ac:dyDescent="0.2">
      <c r="A876" s="35" t="s">
        <v>28</v>
      </c>
      <c r="B876" s="35" t="s">
        <v>44</v>
      </c>
      <c r="C876" s="35" t="s">
        <v>23</v>
      </c>
      <c r="D876" s="35" t="s">
        <v>45</v>
      </c>
      <c r="E876" s="35" t="s">
        <v>25</v>
      </c>
      <c r="F876" s="35" t="s">
        <v>25</v>
      </c>
      <c r="G876" s="35" t="s">
        <v>25</v>
      </c>
      <c r="H876" s="35" t="s">
        <v>25</v>
      </c>
      <c r="I876" s="55">
        <v>44531</v>
      </c>
      <c r="J876" s="56">
        <f>EFEITO!$J$876*EFEITO!$Y$723</f>
        <v>0</v>
      </c>
      <c r="K876" s="56">
        <f ca="1">EFEITO!$L$876*EFEITO!$Z$723</f>
        <v>19.664219910435808</v>
      </c>
      <c r="L876" s="56">
        <f>EFEITO!$N$876*EFEITO!$AA$723</f>
        <v>15.739258911487262</v>
      </c>
      <c r="M876" s="56">
        <f>$J$876-EFEITO!$K$876*EFEITO!$Y$876</f>
        <v>0</v>
      </c>
      <c r="N876" s="56">
        <f ca="1">$K$876-EFEITO!$M$876*EFEITO!$Z$876</f>
        <v>1.1798531946261512</v>
      </c>
      <c r="O876" s="56">
        <f>$L$876-EFEITO!$O$876*EFEITO!$AA$876</f>
        <v>0.94435553468923672</v>
      </c>
      <c r="P876" s="39"/>
      <c r="Q876" s="39"/>
      <c r="R876" s="39"/>
      <c r="S876" s="39"/>
      <c r="T876" s="39"/>
      <c r="U876" s="39"/>
      <c r="V876" s="39"/>
      <c r="W876" s="39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</row>
    <row r="877" spans="1:36" ht="11.25" customHeight="1" x14ac:dyDescent="0.2">
      <c r="A877" s="35" t="s">
        <v>21</v>
      </c>
      <c r="B877" s="35" t="s">
        <v>44</v>
      </c>
      <c r="C877" s="35" t="s">
        <v>23</v>
      </c>
      <c r="D877" s="35" t="s">
        <v>45</v>
      </c>
      <c r="E877" s="35" t="s">
        <v>25</v>
      </c>
      <c r="F877" s="35" t="s">
        <v>25</v>
      </c>
      <c r="G877" s="35" t="s">
        <v>25</v>
      </c>
      <c r="H877" s="35" t="s">
        <v>25</v>
      </c>
      <c r="I877" s="55">
        <v>44562</v>
      </c>
      <c r="J877" s="56">
        <f>EFEITO!$J$877*EFEITO!$Y$723</f>
        <v>0</v>
      </c>
      <c r="K877" s="56">
        <f ca="1">EFEITO!$L$877*EFEITO!$Z$723</f>
        <v>125054.60652041652</v>
      </c>
      <c r="L877" s="56">
        <f>EFEITO!$N$877*EFEITO!$AA$723</f>
        <v>100093.81704760324</v>
      </c>
      <c r="M877" s="56">
        <f>$J$877-EFEITO!$K$877*EFEITO!$Y$877</f>
        <v>0</v>
      </c>
      <c r="N877" s="56">
        <f ca="1">$K$877-EFEITO!$M$877*EFEITO!$Z$877</f>
        <v>7503.2763912250084</v>
      </c>
      <c r="O877" s="56">
        <f>$L$877-EFEITO!$O$877*EFEITO!$AA$877</f>
        <v>6005.6290228561993</v>
      </c>
      <c r="P877" s="39"/>
      <c r="Q877" s="39"/>
      <c r="R877" s="39"/>
      <c r="S877" s="39"/>
      <c r="T877" s="39"/>
      <c r="U877" s="39"/>
      <c r="V877" s="39"/>
      <c r="W877" s="39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</row>
    <row r="878" spans="1:36" ht="11.25" customHeight="1" x14ac:dyDescent="0.2">
      <c r="A878" s="35" t="s">
        <v>27</v>
      </c>
      <c r="B878" s="35" t="s">
        <v>44</v>
      </c>
      <c r="C878" s="35" t="s">
        <v>23</v>
      </c>
      <c r="D878" s="35" t="s">
        <v>45</v>
      </c>
      <c r="E878" s="35" t="s">
        <v>25</v>
      </c>
      <c r="F878" s="35" t="s">
        <v>25</v>
      </c>
      <c r="G878" s="35" t="s">
        <v>25</v>
      </c>
      <c r="H878" s="35" t="s">
        <v>25</v>
      </c>
      <c r="I878" s="55">
        <v>44562</v>
      </c>
      <c r="J878" s="56">
        <f>EFEITO!$J$878*EFEITO!$Y$723</f>
        <v>0</v>
      </c>
      <c r="K878" s="56">
        <f ca="1">EFEITO!$L$878*EFEITO!$Z$723</f>
        <v>-390.53140742125515</v>
      </c>
      <c r="L878" s="56">
        <f>EFEITO!$N$878*EFEITO!$AA$723</f>
        <v>-312.58168198213701</v>
      </c>
      <c r="M878" s="56">
        <f>$J$878-EFEITO!$K$878*EFEITO!$Y$878</f>
        <v>0</v>
      </c>
      <c r="N878" s="56">
        <f ca="1">$K$878-EFEITO!$M$878*EFEITO!$Z$878</f>
        <v>-23.431884445275386</v>
      </c>
      <c r="O878" s="56">
        <f>$L$878-EFEITO!$O$878*EFEITO!$AA$878</f>
        <v>-18.754900918928286</v>
      </c>
      <c r="P878" s="39"/>
      <c r="Q878" s="39"/>
      <c r="R878" s="39"/>
      <c r="S878" s="39"/>
      <c r="T878" s="39"/>
      <c r="U878" s="39"/>
      <c r="V878" s="39"/>
      <c r="W878" s="39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</row>
    <row r="879" spans="1:36" ht="11.25" customHeight="1" x14ac:dyDescent="0.2">
      <c r="A879" s="35" t="s">
        <v>28</v>
      </c>
      <c r="B879" s="35" t="s">
        <v>44</v>
      </c>
      <c r="C879" s="35" t="s">
        <v>23</v>
      </c>
      <c r="D879" s="35" t="s">
        <v>45</v>
      </c>
      <c r="E879" s="35" t="s">
        <v>25</v>
      </c>
      <c r="F879" s="35" t="s">
        <v>25</v>
      </c>
      <c r="G879" s="35" t="s">
        <v>25</v>
      </c>
      <c r="H879" s="35" t="s">
        <v>25</v>
      </c>
      <c r="I879" s="55">
        <v>44562</v>
      </c>
      <c r="J879" s="56">
        <f>EFEITO!$J$879*EFEITO!$Y$723</f>
        <v>0</v>
      </c>
      <c r="K879" s="56">
        <f ca="1">EFEITO!$L$879*EFEITO!$Z$723</f>
        <v>3476.6340801650508</v>
      </c>
      <c r="L879" s="56">
        <f>EFEITO!$N$879*EFEITO!$AA$723</f>
        <v>2782.7009755509475</v>
      </c>
      <c r="M879" s="56">
        <f>$J$879-EFEITO!$K$879*EFEITO!$Y$879</f>
        <v>0</v>
      </c>
      <c r="N879" s="56">
        <f ca="1">$K$879-EFEITO!$M$879*EFEITO!$Z$879</f>
        <v>208.59804480990351</v>
      </c>
      <c r="O879" s="56">
        <f>$L$879-EFEITO!$O$879*EFEITO!$AA$879</f>
        <v>166.96205853305673</v>
      </c>
      <c r="P879" s="39"/>
      <c r="Q879" s="39"/>
      <c r="R879" s="39"/>
      <c r="S879" s="39"/>
      <c r="T879" s="39"/>
      <c r="U879" s="39"/>
      <c r="V879" s="39"/>
      <c r="W879" s="39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</row>
    <row r="880" spans="1:36" ht="11.25" customHeight="1" x14ac:dyDescent="0.2">
      <c r="A880" s="35" t="s">
        <v>21</v>
      </c>
      <c r="B880" s="35" t="s">
        <v>44</v>
      </c>
      <c r="C880" s="35" t="s">
        <v>23</v>
      </c>
      <c r="D880" s="35" t="s">
        <v>45</v>
      </c>
      <c r="E880" s="35" t="s">
        <v>25</v>
      </c>
      <c r="F880" s="35" t="s">
        <v>25</v>
      </c>
      <c r="G880" s="35" t="s">
        <v>25</v>
      </c>
      <c r="H880" s="35" t="s">
        <v>25</v>
      </c>
      <c r="I880" s="55">
        <v>44593</v>
      </c>
      <c r="J880" s="56">
        <f>EFEITO!$J$880*EFEITO!$Y$723</f>
        <v>0</v>
      </c>
      <c r="K880" s="56">
        <f ca="1">EFEITO!$L$880*EFEITO!$Z$723</f>
        <v>108966.91492729078</v>
      </c>
      <c r="L880" s="56">
        <f>EFEITO!$N$880*EFEITO!$AA$723</f>
        <v>87217.214546937277</v>
      </c>
      <c r="M880" s="56">
        <f>$J$880-EFEITO!$K$880*EFEITO!$Y$880</f>
        <v>0</v>
      </c>
      <c r="N880" s="56">
        <f ca="1">$K$880-EFEITO!$M$880*EFEITO!$Z$880</f>
        <v>6538.0148956374614</v>
      </c>
      <c r="O880" s="56">
        <f>$L$880-EFEITO!$O$880*EFEITO!$AA$880</f>
        <v>5233.0328728162422</v>
      </c>
      <c r="P880" s="39"/>
      <c r="Q880" s="39"/>
      <c r="R880" s="39"/>
      <c r="S880" s="39"/>
      <c r="T880" s="39"/>
      <c r="U880" s="39"/>
      <c r="V880" s="39"/>
      <c r="W880" s="39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</row>
    <row r="881" spans="1:36" ht="11.25" customHeight="1" x14ac:dyDescent="0.2">
      <c r="A881" s="35" t="s">
        <v>27</v>
      </c>
      <c r="B881" s="35" t="s">
        <v>44</v>
      </c>
      <c r="C881" s="35" t="s">
        <v>23</v>
      </c>
      <c r="D881" s="35" t="s">
        <v>45</v>
      </c>
      <c r="E881" s="35" t="s">
        <v>25</v>
      </c>
      <c r="F881" s="35" t="s">
        <v>25</v>
      </c>
      <c r="G881" s="35" t="s">
        <v>25</v>
      </c>
      <c r="H881" s="35" t="s">
        <v>25</v>
      </c>
      <c r="I881" s="55">
        <v>44593</v>
      </c>
      <c r="J881" s="56">
        <f>EFEITO!$J$881*EFEITO!$Y$723</f>
        <v>0</v>
      </c>
      <c r="K881" s="56">
        <f ca="1">EFEITO!$L$881*EFEITO!$Z$723</f>
        <v>-151.80777770856443</v>
      </c>
      <c r="L881" s="56">
        <f>EFEITO!$N$881*EFEITO!$AA$723</f>
        <v>-121.50707879668165</v>
      </c>
      <c r="M881" s="56">
        <f>$J$881-EFEITO!$K$881*EFEITO!$Y$881</f>
        <v>0</v>
      </c>
      <c r="N881" s="56">
        <f ca="1">$K$881-EFEITO!$M$881*EFEITO!$Z$881</f>
        <v>-9.1084666625138766</v>
      </c>
      <c r="O881" s="56">
        <f>$L$881-EFEITO!$O$881*EFEITO!$AA$881</f>
        <v>-7.2904247278009109</v>
      </c>
      <c r="P881" s="39"/>
      <c r="Q881" s="39"/>
      <c r="R881" s="39"/>
      <c r="S881" s="39"/>
      <c r="T881" s="39"/>
      <c r="U881" s="39"/>
      <c r="V881" s="39"/>
      <c r="W881" s="39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</row>
    <row r="882" spans="1:36" ht="11.25" customHeight="1" x14ac:dyDescent="0.2">
      <c r="A882" s="35" t="s">
        <v>28</v>
      </c>
      <c r="B882" s="35" t="s">
        <v>44</v>
      </c>
      <c r="C882" s="35" t="s">
        <v>23</v>
      </c>
      <c r="D882" s="35" t="s">
        <v>45</v>
      </c>
      <c r="E882" s="35" t="s">
        <v>25</v>
      </c>
      <c r="F882" s="35" t="s">
        <v>25</v>
      </c>
      <c r="G882" s="35" t="s">
        <v>25</v>
      </c>
      <c r="H882" s="35" t="s">
        <v>25</v>
      </c>
      <c r="I882" s="55">
        <v>44593</v>
      </c>
      <c r="J882" s="56">
        <f>EFEITO!$J$882*EFEITO!$Y$723</f>
        <v>0</v>
      </c>
      <c r="K882" s="56">
        <f ca="1">EFEITO!$L$882*EFEITO!$Z$723</f>
        <v>2999.1868207396692</v>
      </c>
      <c r="L882" s="56">
        <f>EFEITO!$N$882*EFEITO!$AA$723</f>
        <v>2400.5517691800369</v>
      </c>
      <c r="M882" s="56">
        <f>$J$882-EFEITO!$K$882*EFEITO!$Y$882</f>
        <v>0</v>
      </c>
      <c r="N882" s="56">
        <f ca="1">$K$882-EFEITO!$M$882*EFEITO!$Z$882</f>
        <v>179.95120924438015</v>
      </c>
      <c r="O882" s="56">
        <f>$L$882-EFEITO!$O$882*EFEITO!$AA$882</f>
        <v>144.03310615080227</v>
      </c>
      <c r="P882" s="39"/>
      <c r="Q882" s="39"/>
      <c r="R882" s="39"/>
      <c r="S882" s="39"/>
      <c r="T882" s="39"/>
      <c r="U882" s="39"/>
      <c r="V882" s="39"/>
      <c r="W882" s="39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</row>
    <row r="883" spans="1:36" ht="11.25" customHeight="1" x14ac:dyDescent="0.2">
      <c r="A883" s="35" t="s">
        <v>28</v>
      </c>
      <c r="B883" s="35" t="s">
        <v>44</v>
      </c>
      <c r="C883" s="35" t="s">
        <v>23</v>
      </c>
      <c r="D883" s="35" t="s">
        <v>45</v>
      </c>
      <c r="E883" s="35" t="s">
        <v>25</v>
      </c>
      <c r="F883" s="35" t="s">
        <v>25</v>
      </c>
      <c r="G883" s="35" t="s">
        <v>25</v>
      </c>
      <c r="H883" s="35" t="s">
        <v>25</v>
      </c>
      <c r="I883" s="55">
        <v>44593</v>
      </c>
      <c r="J883" s="56">
        <f>EFEITO!$J$883*EFEITO!$Y$723</f>
        <v>0</v>
      </c>
      <c r="K883" s="56">
        <f ca="1">EFEITO!$L$883*EFEITO!$Z$723</f>
        <v>39.328439820871615</v>
      </c>
      <c r="L883" s="56">
        <f>EFEITO!$N$883*EFEITO!$AA$723</f>
        <v>31.478517822974524</v>
      </c>
      <c r="M883" s="56">
        <f>$J$883-EFEITO!$K$883*EFEITO!$Y$883</f>
        <v>0</v>
      </c>
      <c r="N883" s="56">
        <f ca="1">$K$883-EFEITO!$M$883*EFEITO!$Z$883</f>
        <v>2.3597063892523025</v>
      </c>
      <c r="O883" s="56">
        <f>$L$883-EFEITO!$O$883*EFEITO!$AA$883</f>
        <v>1.8887110693784734</v>
      </c>
      <c r="P883" s="39"/>
      <c r="Q883" s="39"/>
      <c r="R883" s="39"/>
      <c r="S883" s="39"/>
      <c r="T883" s="39"/>
      <c r="U883" s="39"/>
      <c r="V883" s="39"/>
      <c r="W883" s="39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</row>
    <row r="884" spans="1:36" ht="11.25" customHeight="1" x14ac:dyDescent="0.2">
      <c r="A884" s="35" t="s">
        <v>21</v>
      </c>
      <c r="B884" s="35" t="s">
        <v>44</v>
      </c>
      <c r="C884" s="35" t="s">
        <v>23</v>
      </c>
      <c r="D884" s="35" t="s">
        <v>45</v>
      </c>
      <c r="E884" s="35" t="s">
        <v>25</v>
      </c>
      <c r="F884" s="35" t="s">
        <v>25</v>
      </c>
      <c r="G884" s="35" t="s">
        <v>25</v>
      </c>
      <c r="H884" s="35" t="s">
        <v>25</v>
      </c>
      <c r="I884" s="55">
        <v>44621</v>
      </c>
      <c r="J884" s="56">
        <f>EFEITO!$J$884*EFEITO!$Y$723</f>
        <v>0</v>
      </c>
      <c r="K884" s="56">
        <f ca="1">EFEITO!$L$884*EFEITO!$Z$723</f>
        <v>113139.66239228525</v>
      </c>
      <c r="L884" s="56">
        <f>EFEITO!$N$884*EFEITO!$AA$723</f>
        <v>90557.085287954862</v>
      </c>
      <c r="M884" s="56">
        <f>$J$884-EFEITO!$K$884*EFEITO!$Y$884</f>
        <v>0</v>
      </c>
      <c r="N884" s="56">
        <f ca="1">$K$884-EFEITO!$M$884*EFEITO!$Z$884</f>
        <v>6788.379743537138</v>
      </c>
      <c r="O884" s="56">
        <f>$L$884-EFEITO!$O$884*EFEITO!$AA$884</f>
        <v>5433.4251172772929</v>
      </c>
      <c r="P884" s="39"/>
      <c r="Q884" s="39"/>
      <c r="R884" s="39"/>
      <c r="S884" s="39"/>
      <c r="T884" s="39"/>
      <c r="U884" s="39"/>
      <c r="V884" s="39"/>
      <c r="W884" s="39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</row>
    <row r="885" spans="1:36" ht="11.25" customHeight="1" x14ac:dyDescent="0.2">
      <c r="A885" s="35" t="s">
        <v>27</v>
      </c>
      <c r="B885" s="35" t="s">
        <v>44</v>
      </c>
      <c r="C885" s="35" t="s">
        <v>23</v>
      </c>
      <c r="D885" s="35" t="s">
        <v>45</v>
      </c>
      <c r="E885" s="35" t="s">
        <v>25</v>
      </c>
      <c r="F885" s="35" t="s">
        <v>25</v>
      </c>
      <c r="G885" s="35" t="s">
        <v>25</v>
      </c>
      <c r="H885" s="35" t="s">
        <v>25</v>
      </c>
      <c r="I885" s="55">
        <v>44621</v>
      </c>
      <c r="J885" s="56">
        <f>EFEITO!$J$885*EFEITO!$Y$723</f>
        <v>0</v>
      </c>
      <c r="K885" s="56">
        <f ca="1">EFEITO!$L$885*EFEITO!$Z$723</f>
        <v>-416.88146210123915</v>
      </c>
      <c r="L885" s="56">
        <f>EFEITO!$N$885*EFEITO!$AA$723</f>
        <v>-333.67228892352995</v>
      </c>
      <c r="M885" s="56">
        <f>$J$885-EFEITO!$K$885*EFEITO!$Y$885</f>
        <v>0</v>
      </c>
      <c r="N885" s="56">
        <f ca="1">$K$885-EFEITO!$M$885*EFEITO!$Z$885</f>
        <v>-25.012887726074439</v>
      </c>
      <c r="O885" s="56">
        <f>$L$885-EFEITO!$O$885*EFEITO!$AA$885</f>
        <v>-20.020337335411853</v>
      </c>
      <c r="P885" s="39"/>
      <c r="Q885" s="39"/>
      <c r="R885" s="39"/>
      <c r="S885" s="39"/>
      <c r="T885" s="39"/>
      <c r="U885" s="39"/>
      <c r="V885" s="39"/>
      <c r="W885" s="39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</row>
    <row r="886" spans="1:36" ht="11.25" customHeight="1" x14ac:dyDescent="0.2">
      <c r="A886" s="35" t="s">
        <v>28</v>
      </c>
      <c r="B886" s="35" t="s">
        <v>44</v>
      </c>
      <c r="C886" s="35" t="s">
        <v>23</v>
      </c>
      <c r="D886" s="35" t="s">
        <v>45</v>
      </c>
      <c r="E886" s="35" t="s">
        <v>25</v>
      </c>
      <c r="F886" s="35" t="s">
        <v>25</v>
      </c>
      <c r="G886" s="35" t="s">
        <v>25</v>
      </c>
      <c r="H886" s="35" t="s">
        <v>25</v>
      </c>
      <c r="I886" s="55">
        <v>44621</v>
      </c>
      <c r="J886" s="56">
        <f>EFEITO!$J$886*EFEITO!$Y$723</f>
        <v>0</v>
      </c>
      <c r="K886" s="56">
        <f ca="1">EFEITO!$L$886*EFEITO!$Z$723</f>
        <v>3392.4712189483853</v>
      </c>
      <c r="L886" s="56">
        <f>EFEITO!$N$886*EFEITO!$AA$723</f>
        <v>2715.3369474097822</v>
      </c>
      <c r="M886" s="56">
        <f>$J$886-EFEITO!$K$886*EFEITO!$Y$886</f>
        <v>0</v>
      </c>
      <c r="N886" s="56">
        <f ca="1">$K$886-EFEITO!$M$886*EFEITO!$Z$886</f>
        <v>203.54827313690339</v>
      </c>
      <c r="O886" s="56">
        <f>$L$886-EFEITO!$O$886*EFEITO!$AA$886</f>
        <v>162.92021684458723</v>
      </c>
      <c r="P886" s="39"/>
      <c r="Q886" s="39"/>
      <c r="R886" s="39"/>
      <c r="S886" s="39"/>
      <c r="T886" s="39"/>
      <c r="U886" s="39"/>
      <c r="V886" s="39"/>
      <c r="W886" s="39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</row>
    <row r="887" spans="1:36" ht="11.25" customHeight="1" x14ac:dyDescent="0.2">
      <c r="A887" s="35" t="s">
        <v>21</v>
      </c>
      <c r="B887" s="35" t="s">
        <v>44</v>
      </c>
      <c r="C887" s="35" t="s">
        <v>23</v>
      </c>
      <c r="D887" s="35" t="s">
        <v>45</v>
      </c>
      <c r="E887" s="35" t="s">
        <v>25</v>
      </c>
      <c r="F887" s="35" t="s">
        <v>25</v>
      </c>
      <c r="G887" s="35" t="s">
        <v>25</v>
      </c>
      <c r="H887" s="35" t="s">
        <v>25</v>
      </c>
      <c r="I887" s="55">
        <v>44652</v>
      </c>
      <c r="J887" s="56">
        <f>EFEITO!$J$887*EFEITO!$Y$723</f>
        <v>0</v>
      </c>
      <c r="K887" s="56">
        <f ca="1">EFEITO!$L$887*EFEITO!$Z$723</f>
        <v>109070.74200841789</v>
      </c>
      <c r="L887" s="56">
        <f>EFEITO!$N$887*EFEITO!$AA$723</f>
        <v>87300.317833989931</v>
      </c>
      <c r="M887" s="56">
        <f>$J$887-EFEITO!$K$887*EFEITO!$Y$887</f>
        <v>0</v>
      </c>
      <c r="N887" s="56">
        <f ca="1">$K$887-EFEITO!$M$887*EFEITO!$Z$887</f>
        <v>6544.2445205050899</v>
      </c>
      <c r="O887" s="56">
        <f>$L$887-EFEITO!$O$887*EFEITO!$AA$887</f>
        <v>5238.0190700394014</v>
      </c>
      <c r="P887" s="39"/>
      <c r="Q887" s="39"/>
      <c r="R887" s="39"/>
      <c r="S887" s="39"/>
      <c r="T887" s="39"/>
      <c r="U887" s="39"/>
      <c r="V887" s="39"/>
      <c r="W887" s="39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</row>
    <row r="888" spans="1:36" ht="11.25" customHeight="1" x14ac:dyDescent="0.2">
      <c r="A888" s="35" t="s">
        <v>28</v>
      </c>
      <c r="B888" s="35" t="s">
        <v>44</v>
      </c>
      <c r="C888" s="35" t="s">
        <v>23</v>
      </c>
      <c r="D888" s="35" t="s">
        <v>45</v>
      </c>
      <c r="E888" s="35" t="s">
        <v>25</v>
      </c>
      <c r="F888" s="35" t="s">
        <v>25</v>
      </c>
      <c r="G888" s="35" t="s">
        <v>25</v>
      </c>
      <c r="H888" s="35" t="s">
        <v>25</v>
      </c>
      <c r="I888" s="55">
        <v>44652</v>
      </c>
      <c r="J888" s="56">
        <f>EFEITO!$J$888*EFEITO!$Y$723</f>
        <v>0</v>
      </c>
      <c r="K888" s="56">
        <f ca="1">EFEITO!$L$888*EFEITO!$Z$723</f>
        <v>2998.4002519432515</v>
      </c>
      <c r="L888" s="56">
        <f>EFEITO!$N$888*EFEITO!$AA$723</f>
        <v>2399.9221988235772</v>
      </c>
      <c r="M888" s="56">
        <f>$J$888-EFEITO!$K$888*EFEITO!$Y$888</f>
        <v>0</v>
      </c>
      <c r="N888" s="56">
        <f ca="1">$K$888-EFEITO!$M$888*EFEITO!$Z$888</f>
        <v>179.90401511659502</v>
      </c>
      <c r="O888" s="56">
        <f>$L$888-EFEITO!$O$888*EFEITO!$AA$888</f>
        <v>143.99533192941453</v>
      </c>
      <c r="P888" s="39"/>
      <c r="Q888" s="39"/>
      <c r="R888" s="39"/>
      <c r="S888" s="39"/>
      <c r="T888" s="39"/>
      <c r="U888" s="39"/>
      <c r="V888" s="39"/>
      <c r="W888" s="39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</row>
    <row r="889" spans="1:36" ht="11.25" customHeight="1" x14ac:dyDescent="0.2">
      <c r="A889" s="35" t="s">
        <v>21</v>
      </c>
      <c r="B889" s="35" t="s">
        <v>44</v>
      </c>
      <c r="C889" s="35" t="s">
        <v>23</v>
      </c>
      <c r="D889" s="35" t="s">
        <v>45</v>
      </c>
      <c r="E889" s="35" t="s">
        <v>25</v>
      </c>
      <c r="F889" s="35" t="s">
        <v>25</v>
      </c>
      <c r="G889" s="35" t="s">
        <v>25</v>
      </c>
      <c r="H889" s="35" t="s">
        <v>25</v>
      </c>
      <c r="I889" s="55">
        <v>44682</v>
      </c>
      <c r="J889" s="56">
        <f>EFEITO!$J$889*EFEITO!$Y$723</f>
        <v>0</v>
      </c>
      <c r="K889" s="56">
        <f ca="1">EFEITO!$L$889*EFEITO!$Z$723</f>
        <v>116546.29184956916</v>
      </c>
      <c r="L889" s="56">
        <f>EFEITO!$N$889*EFEITO!$AA$723</f>
        <v>93283.754501780932</v>
      </c>
      <c r="M889" s="56">
        <f>$J$889-EFEITO!$K$889*EFEITO!$Y$889</f>
        <v>0</v>
      </c>
      <c r="N889" s="56">
        <f ca="1">$K$889-EFEITO!$M$889*EFEITO!$Z$889</f>
        <v>6992.7775109741633</v>
      </c>
      <c r="O889" s="56">
        <f>$L$889-EFEITO!$O$889*EFEITO!$AA$889</f>
        <v>5597.0252701068675</v>
      </c>
      <c r="P889" s="39"/>
      <c r="Q889" s="39"/>
      <c r="R889" s="39"/>
      <c r="S889" s="39"/>
      <c r="T889" s="39"/>
      <c r="U889" s="39"/>
      <c r="V889" s="39"/>
      <c r="W889" s="39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</row>
    <row r="890" spans="1:36" ht="11.25" customHeight="1" x14ac:dyDescent="0.2">
      <c r="A890" s="35" t="s">
        <v>27</v>
      </c>
      <c r="B890" s="35" t="s">
        <v>44</v>
      </c>
      <c r="C890" s="35" t="s">
        <v>23</v>
      </c>
      <c r="D890" s="35" t="s">
        <v>45</v>
      </c>
      <c r="E890" s="35" t="s">
        <v>25</v>
      </c>
      <c r="F890" s="35" t="s">
        <v>25</v>
      </c>
      <c r="G890" s="35" t="s">
        <v>25</v>
      </c>
      <c r="H890" s="35" t="s">
        <v>25</v>
      </c>
      <c r="I890" s="55">
        <v>44682</v>
      </c>
      <c r="J890" s="56">
        <f>EFEITO!$J$890*EFEITO!$Y$723</f>
        <v>0</v>
      </c>
      <c r="K890" s="56">
        <f ca="1">EFEITO!$L$890*EFEITO!$Z$723</f>
        <v>-141.18909895692909</v>
      </c>
      <c r="L890" s="56">
        <f>EFEITO!$N$890*EFEITO!$AA$723</f>
        <v>-113.00787898447852</v>
      </c>
      <c r="M890" s="56">
        <f>$J$890-EFEITO!$K$890*EFEITO!$Y$890</f>
        <v>0</v>
      </c>
      <c r="N890" s="56">
        <f ca="1">$K$890-EFEITO!$M$890*EFEITO!$Z$890</f>
        <v>-8.471345937415748</v>
      </c>
      <c r="O890" s="56">
        <f>$L$890-EFEITO!$O$890*EFEITO!$AA$890</f>
        <v>-6.7804727390687134</v>
      </c>
      <c r="P890" s="39"/>
      <c r="Q890" s="39"/>
      <c r="R890" s="39"/>
      <c r="S890" s="39"/>
      <c r="T890" s="39"/>
      <c r="U890" s="39"/>
      <c r="V890" s="39"/>
      <c r="W890" s="39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</row>
    <row r="891" spans="1:36" ht="11.25" customHeight="1" x14ac:dyDescent="0.2">
      <c r="A891" s="35" t="s">
        <v>28</v>
      </c>
      <c r="B891" s="35" t="s">
        <v>44</v>
      </c>
      <c r="C891" s="35" t="s">
        <v>23</v>
      </c>
      <c r="D891" s="35" t="s">
        <v>45</v>
      </c>
      <c r="E891" s="35" t="s">
        <v>25</v>
      </c>
      <c r="F891" s="35" t="s">
        <v>25</v>
      </c>
      <c r="G891" s="35" t="s">
        <v>25</v>
      </c>
      <c r="H891" s="35" t="s">
        <v>25</v>
      </c>
      <c r="I891" s="55">
        <v>44682</v>
      </c>
      <c r="J891" s="56">
        <f>EFEITO!$J$891*EFEITO!$Y$723</f>
        <v>0</v>
      </c>
      <c r="K891" s="56">
        <f ca="1">EFEITO!$L$891*EFEITO!$Z$723</f>
        <v>3029.8630037999492</v>
      </c>
      <c r="L891" s="56">
        <f>EFEITO!$N$891*EFEITO!$AA$723</f>
        <v>2425.1050130819572</v>
      </c>
      <c r="M891" s="56">
        <f>$J$891-EFEITO!$K$891*EFEITO!$Y$891</f>
        <v>0</v>
      </c>
      <c r="N891" s="56">
        <f ca="1">$K$891-EFEITO!$M$891*EFEITO!$Z$891</f>
        <v>181.79178022799761</v>
      </c>
      <c r="O891" s="56">
        <f>$L$891-EFEITO!$O$891*EFEITO!$AA$891</f>
        <v>145.50630078491758</v>
      </c>
      <c r="P891" s="39"/>
      <c r="Q891" s="39"/>
      <c r="R891" s="39"/>
      <c r="S891" s="39"/>
      <c r="T891" s="39"/>
      <c r="U891" s="39"/>
      <c r="V891" s="39"/>
      <c r="W891" s="39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</row>
    <row r="892" spans="1:36" ht="11.25" customHeight="1" x14ac:dyDescent="0.2">
      <c r="A892" s="35" t="s">
        <v>28</v>
      </c>
      <c r="B892" s="35" t="s">
        <v>44</v>
      </c>
      <c r="C892" s="35" t="s">
        <v>23</v>
      </c>
      <c r="D892" s="35" t="s">
        <v>45</v>
      </c>
      <c r="E892" s="35" t="s">
        <v>25</v>
      </c>
      <c r="F892" s="35" t="s">
        <v>25</v>
      </c>
      <c r="G892" s="35" t="s">
        <v>25</v>
      </c>
      <c r="H892" s="35" t="s">
        <v>25</v>
      </c>
      <c r="I892" s="55">
        <v>44682</v>
      </c>
      <c r="J892" s="56">
        <f>EFEITO!$J$892*EFEITO!$Y$723</f>
        <v>0</v>
      </c>
      <c r="K892" s="56">
        <f ca="1">EFEITO!$L$892*EFEITO!$Z$723</f>
        <v>53.486678156385402</v>
      </c>
      <c r="L892" s="56">
        <f>EFEITO!$N$892*EFEITO!$AA$723</f>
        <v>42.810784239245351</v>
      </c>
      <c r="M892" s="56">
        <f>$J$892-EFEITO!$K$892*EFEITO!$Y$892</f>
        <v>0</v>
      </c>
      <c r="N892" s="56">
        <f ca="1">$K$892-EFEITO!$M$892*EFEITO!$Z$892</f>
        <v>3.2092006893831311</v>
      </c>
      <c r="O892" s="56">
        <f>$L$892-EFEITO!$O$892*EFEITO!$AA$892</f>
        <v>2.5686470543547202</v>
      </c>
      <c r="P892" s="39"/>
      <c r="Q892" s="39"/>
      <c r="R892" s="39"/>
      <c r="S892" s="39"/>
      <c r="T892" s="39"/>
      <c r="U892" s="39"/>
      <c r="V892" s="39"/>
      <c r="W892" s="39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</row>
    <row r="893" spans="1:36" ht="11.25" customHeight="1" x14ac:dyDescent="0.2">
      <c r="A893" s="35" t="s">
        <v>21</v>
      </c>
      <c r="B893" s="35" t="s">
        <v>44</v>
      </c>
      <c r="C893" s="35" t="s">
        <v>23</v>
      </c>
      <c r="D893" s="35" t="s">
        <v>45</v>
      </c>
      <c r="E893" s="35" t="s">
        <v>25</v>
      </c>
      <c r="F893" s="35" t="s">
        <v>25</v>
      </c>
      <c r="G893" s="35" t="s">
        <v>25</v>
      </c>
      <c r="H893" s="35" t="s">
        <v>25</v>
      </c>
      <c r="I893" s="55">
        <v>44713</v>
      </c>
      <c r="J893" s="56">
        <f>EFEITO!$J$893*EFEITO!$Y$723</f>
        <v>0</v>
      </c>
      <c r="K893" s="56">
        <f ca="1">EFEITO!$L$893*EFEITO!$Z$723</f>
        <v>123304.88423278595</v>
      </c>
      <c r="L893" s="56">
        <f>EFEITO!$N$893*EFEITO!$AA$723</f>
        <v>98693.337789659097</v>
      </c>
      <c r="M893" s="56">
        <f>$J$893-EFEITO!$K$893*EFEITO!$Y$893</f>
        <v>0</v>
      </c>
      <c r="N893" s="56">
        <f ca="1">$K$893-EFEITO!$M$893*EFEITO!$Z$893</f>
        <v>7398.2930539671797</v>
      </c>
      <c r="O893" s="56">
        <f>$L$893-EFEITO!$O$893*EFEITO!$AA$893</f>
        <v>5921.6002673795447</v>
      </c>
      <c r="P893" s="39"/>
      <c r="Q893" s="39"/>
      <c r="R893" s="39"/>
      <c r="S893" s="39"/>
      <c r="T893" s="39"/>
      <c r="U893" s="39"/>
      <c r="V893" s="39"/>
      <c r="W893" s="39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</row>
    <row r="894" spans="1:36" ht="11.25" customHeight="1" x14ac:dyDescent="0.2">
      <c r="A894" s="35" t="s">
        <v>28</v>
      </c>
      <c r="B894" s="35" t="s">
        <v>44</v>
      </c>
      <c r="C894" s="35" t="s">
        <v>23</v>
      </c>
      <c r="D894" s="35" t="s">
        <v>45</v>
      </c>
      <c r="E894" s="35" t="s">
        <v>25</v>
      </c>
      <c r="F894" s="35" t="s">
        <v>25</v>
      </c>
      <c r="G894" s="35" t="s">
        <v>25</v>
      </c>
      <c r="H894" s="35" t="s">
        <v>25</v>
      </c>
      <c r="I894" s="55">
        <v>44713</v>
      </c>
      <c r="J894" s="56">
        <f>EFEITO!$J$894*EFEITO!$Y$723</f>
        <v>0</v>
      </c>
      <c r="K894" s="56">
        <f ca="1">EFEITO!$L$894*EFEITO!$Z$723</f>
        <v>3739.7413425666819</v>
      </c>
      <c r="L894" s="56">
        <f>EFEITO!$N$894*EFEITO!$AA$723</f>
        <v>2993.2922597866473</v>
      </c>
      <c r="M894" s="56">
        <f>$J$894-EFEITO!$K$894*EFEITO!$Y$894</f>
        <v>0</v>
      </c>
      <c r="N894" s="56">
        <f ca="1">$K$894-EFEITO!$M$894*EFEITO!$Z$894</f>
        <v>224.38448055400113</v>
      </c>
      <c r="O894" s="56">
        <f>$L$894-EFEITO!$O$894*EFEITO!$AA$894</f>
        <v>179.59753558719876</v>
      </c>
      <c r="P894" s="39"/>
      <c r="Q894" s="39"/>
      <c r="R894" s="39"/>
      <c r="S894" s="39"/>
      <c r="T894" s="39"/>
      <c r="U894" s="39"/>
      <c r="V894" s="39"/>
      <c r="W894" s="39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</row>
    <row r="895" spans="1:36" ht="11.25" customHeight="1" x14ac:dyDescent="0.2">
      <c r="A895" s="35" t="s">
        <v>21</v>
      </c>
      <c r="B895" s="35" t="s">
        <v>44</v>
      </c>
      <c r="C895" s="35" t="s">
        <v>23</v>
      </c>
      <c r="D895" s="35" t="s">
        <v>45</v>
      </c>
      <c r="E895" s="35" t="s">
        <v>25</v>
      </c>
      <c r="F895" s="35" t="s">
        <v>25</v>
      </c>
      <c r="G895" s="35" t="s">
        <v>25</v>
      </c>
      <c r="H895" s="35" t="s">
        <v>25</v>
      </c>
      <c r="I895" s="55">
        <v>44743</v>
      </c>
      <c r="J895" s="56">
        <f>EFEITO!$J$895*EFEITO!$Y$723</f>
        <v>0</v>
      </c>
      <c r="K895" s="56">
        <f ca="1">EFEITO!$L$895*EFEITO!$Z$723</f>
        <v>132963.94905279201</v>
      </c>
      <c r="L895" s="56">
        <f>EFEITO!$N$895*EFEITO!$AA$723</f>
        <v>106424.46176698165</v>
      </c>
      <c r="M895" s="56">
        <f>$J$895-EFEITO!$K$895*EFEITO!$Y$895</f>
        <v>0</v>
      </c>
      <c r="N895" s="56">
        <f ca="1">$K$895-EFEITO!$M$895*EFEITO!$Z$895</f>
        <v>7977.8369431675383</v>
      </c>
      <c r="O895" s="56">
        <f>$L$895-EFEITO!$O$895*EFEITO!$AA$895</f>
        <v>6385.4677060189133</v>
      </c>
      <c r="P895" s="39"/>
      <c r="Q895" s="39"/>
      <c r="R895" s="39"/>
      <c r="S895" s="39"/>
      <c r="T895" s="39"/>
      <c r="U895" s="39"/>
      <c r="V895" s="39"/>
      <c r="W895" s="39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</row>
    <row r="896" spans="1:36" ht="11.25" customHeight="1" x14ac:dyDescent="0.2">
      <c r="A896" s="35" t="s">
        <v>21</v>
      </c>
      <c r="B896" s="35" t="s">
        <v>44</v>
      </c>
      <c r="C896" s="35" t="s">
        <v>23</v>
      </c>
      <c r="D896" s="35" t="s">
        <v>45</v>
      </c>
      <c r="E896" s="35" t="s">
        <v>25</v>
      </c>
      <c r="F896" s="35" t="s">
        <v>25</v>
      </c>
      <c r="G896" s="35" t="s">
        <v>25</v>
      </c>
      <c r="H896" s="35" t="s">
        <v>25</v>
      </c>
      <c r="I896" s="55">
        <v>44774</v>
      </c>
      <c r="J896" s="56">
        <f>EFEITO!$J$896*EFEITO!$Y$723</f>
        <v>0</v>
      </c>
      <c r="K896" s="56">
        <f ca="1">EFEITO!$L$896*EFEITO!$Z$723</f>
        <v>132258.00355800736</v>
      </c>
      <c r="L896" s="56">
        <f>EFEITO!$N$896*EFEITO!$AA$723</f>
        <v>105859.42237205924</v>
      </c>
      <c r="M896" s="56">
        <f>$J$896-EFEITO!$K$896*EFEITO!$Y$896</f>
        <v>0</v>
      </c>
      <c r="N896" s="56">
        <f ca="1">$K$896-EFEITO!$M$896*EFEITO!$Z$896</f>
        <v>7935.4802134804631</v>
      </c>
      <c r="O896" s="56">
        <f>$L$896-EFEITO!$O$896*EFEITO!$AA$896</f>
        <v>6351.5653423235635</v>
      </c>
      <c r="P896" s="39"/>
      <c r="Q896" s="39"/>
      <c r="R896" s="39"/>
      <c r="S896" s="39"/>
      <c r="T896" s="39"/>
      <c r="U896" s="39"/>
      <c r="V896" s="39"/>
      <c r="W896" s="39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</row>
    <row r="897" spans="1:36" ht="11.25" customHeight="1" x14ac:dyDescent="0.2">
      <c r="A897" s="35" t="s">
        <v>27</v>
      </c>
      <c r="B897" s="35" t="s">
        <v>44</v>
      </c>
      <c r="C897" s="35" t="s">
        <v>23</v>
      </c>
      <c r="D897" s="35" t="s">
        <v>45</v>
      </c>
      <c r="E897" s="35" t="s">
        <v>25</v>
      </c>
      <c r="F897" s="35" t="s">
        <v>25</v>
      </c>
      <c r="G897" s="35" t="s">
        <v>25</v>
      </c>
      <c r="H897" s="35" t="s">
        <v>25</v>
      </c>
      <c r="I897" s="55">
        <v>44774</v>
      </c>
      <c r="J897" s="56">
        <f>EFEITO!$J$897*EFEITO!$Y$723</f>
        <v>0</v>
      </c>
      <c r="K897" s="56">
        <f ca="1">EFEITO!$L$897*EFEITO!$Z$723</f>
        <v>-1125.1866632751369</v>
      </c>
      <c r="L897" s="56">
        <f>EFEITO!$N$897*EFEITO!$AA$723</f>
        <v>-900.60039491530108</v>
      </c>
      <c r="M897" s="56">
        <f>$J$897-EFEITO!$K$897*EFEITO!$Y$897</f>
        <v>0</v>
      </c>
      <c r="N897" s="56">
        <f ca="1">$K$897-EFEITO!$M$897*EFEITO!$Z$897</f>
        <v>-67.511199796508208</v>
      </c>
      <c r="O897" s="56">
        <f>$L$897-EFEITO!$O$897*EFEITO!$AA$897</f>
        <v>-54.036023694918072</v>
      </c>
      <c r="P897" s="39"/>
      <c r="Q897" s="39"/>
      <c r="R897" s="39"/>
      <c r="S897" s="39"/>
      <c r="T897" s="39"/>
      <c r="U897" s="39"/>
      <c r="V897" s="39"/>
      <c r="W897" s="39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</row>
    <row r="898" spans="1:36" ht="11.25" customHeight="1" x14ac:dyDescent="0.2">
      <c r="A898" s="35" t="s">
        <v>28</v>
      </c>
      <c r="B898" s="35" t="s">
        <v>44</v>
      </c>
      <c r="C898" s="35" t="s">
        <v>23</v>
      </c>
      <c r="D898" s="35" t="s">
        <v>45</v>
      </c>
      <c r="E898" s="35" t="s">
        <v>25</v>
      </c>
      <c r="F898" s="35" t="s">
        <v>25</v>
      </c>
      <c r="G898" s="35" t="s">
        <v>25</v>
      </c>
      <c r="H898" s="35" t="s">
        <v>25</v>
      </c>
      <c r="I898" s="55">
        <v>44774</v>
      </c>
      <c r="J898" s="56">
        <f>EFEITO!$J$898*EFEITO!$Y$723</f>
        <v>0</v>
      </c>
      <c r="K898" s="56">
        <f ca="1">EFEITO!$L$898*EFEITO!$Z$723</f>
        <v>3806.5996902621637</v>
      </c>
      <c r="L898" s="56">
        <f>EFEITO!$N$898*EFEITO!$AA$723</f>
        <v>3046.8057400857042</v>
      </c>
      <c r="M898" s="56">
        <f>$J$898-EFEITO!$K$898*EFEITO!$Y$898</f>
        <v>0</v>
      </c>
      <c r="N898" s="56">
        <f ca="1">$K$898-EFEITO!$M$898*EFEITO!$Z$898</f>
        <v>228.39598141573015</v>
      </c>
      <c r="O898" s="56">
        <f>$L$898-EFEITO!$O$898*EFEITO!$AA$898</f>
        <v>182.80834440514263</v>
      </c>
      <c r="P898" s="39"/>
      <c r="Q898" s="39"/>
      <c r="R898" s="39"/>
      <c r="S898" s="39"/>
      <c r="T898" s="39"/>
      <c r="U898" s="39"/>
      <c r="V898" s="39"/>
      <c r="W898" s="39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</row>
    <row r="899" spans="1:36" ht="11.25" customHeight="1" x14ac:dyDescent="0.2">
      <c r="A899" s="35" t="s">
        <v>21</v>
      </c>
      <c r="B899" s="35" t="s">
        <v>44</v>
      </c>
      <c r="C899" s="35" t="s">
        <v>23</v>
      </c>
      <c r="D899" s="35" t="s">
        <v>45</v>
      </c>
      <c r="E899" s="35" t="s">
        <v>25</v>
      </c>
      <c r="F899" s="35" t="s">
        <v>25</v>
      </c>
      <c r="G899" s="35" t="s">
        <v>25</v>
      </c>
      <c r="H899" s="35" t="s">
        <v>25</v>
      </c>
      <c r="I899" s="55">
        <v>44805</v>
      </c>
      <c r="J899" s="56">
        <f>EFEITO!$J$899*EFEITO!$Y$723</f>
        <v>0</v>
      </c>
      <c r="K899" s="56">
        <f ca="1">EFEITO!$L$899*EFEITO!$Z$723</f>
        <v>129784.63797767274</v>
      </c>
      <c r="L899" s="56">
        <f>EFEITO!$N$899*EFEITO!$AA$723</f>
        <v>103879.73838617238</v>
      </c>
      <c r="M899" s="56">
        <f>$J$899-EFEITO!$K$899*EFEITO!$Y$899</f>
        <v>0</v>
      </c>
      <c r="N899" s="56">
        <f ca="1">$K$899-EFEITO!$M$899*EFEITO!$Z$899</f>
        <v>7787.0782786603668</v>
      </c>
      <c r="O899" s="56">
        <f>$L$899-EFEITO!$O$899*EFEITO!$AA$899</f>
        <v>6232.7843031703524</v>
      </c>
      <c r="P899" s="39"/>
      <c r="Q899" s="39"/>
      <c r="R899" s="39"/>
      <c r="S899" s="39"/>
      <c r="T899" s="39"/>
      <c r="U899" s="39"/>
      <c r="V899" s="39"/>
      <c r="W899" s="39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</row>
    <row r="900" spans="1:36" ht="11.25" customHeight="1" x14ac:dyDescent="0.2">
      <c r="A900" s="35" t="s">
        <v>27</v>
      </c>
      <c r="B900" s="35" t="s">
        <v>44</v>
      </c>
      <c r="C900" s="35" t="s">
        <v>23</v>
      </c>
      <c r="D900" s="35" t="s">
        <v>45</v>
      </c>
      <c r="E900" s="35" t="s">
        <v>25</v>
      </c>
      <c r="F900" s="35" t="s">
        <v>25</v>
      </c>
      <c r="G900" s="35" t="s">
        <v>25</v>
      </c>
      <c r="H900" s="35" t="s">
        <v>25</v>
      </c>
      <c r="I900" s="55">
        <v>44805</v>
      </c>
      <c r="J900" s="56">
        <f>EFEITO!$J$900*EFEITO!$Y$723</f>
        <v>0</v>
      </c>
      <c r="K900" s="56">
        <f ca="1">EFEITO!$L$900*EFEITO!$Z$723</f>
        <v>-488.06593817701679</v>
      </c>
      <c r="L900" s="56">
        <f>EFEITO!$N$900*EFEITO!$AA$723</f>
        <v>-390.64840618311382</v>
      </c>
      <c r="M900" s="56">
        <f>$J$900-EFEITO!$K$900*EFEITO!$Y$900</f>
        <v>0</v>
      </c>
      <c r="N900" s="56">
        <f ca="1">$K$900-EFEITO!$M$900*EFEITO!$Z$900</f>
        <v>-29.283956290621063</v>
      </c>
      <c r="O900" s="56">
        <f>$L$900-EFEITO!$O$900*EFEITO!$AA$900</f>
        <v>-23.438904370986847</v>
      </c>
      <c r="P900" s="39"/>
      <c r="Q900" s="39"/>
      <c r="R900" s="39"/>
      <c r="S900" s="39"/>
      <c r="T900" s="39"/>
      <c r="U900" s="39"/>
      <c r="V900" s="39"/>
      <c r="W900" s="39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</row>
    <row r="901" spans="1:36" ht="11.25" customHeight="1" x14ac:dyDescent="0.2">
      <c r="A901" s="35" t="s">
        <v>28</v>
      </c>
      <c r="B901" s="35" t="s">
        <v>44</v>
      </c>
      <c r="C901" s="35" t="s">
        <v>23</v>
      </c>
      <c r="D901" s="35" t="s">
        <v>45</v>
      </c>
      <c r="E901" s="35" t="s">
        <v>25</v>
      </c>
      <c r="F901" s="35" t="s">
        <v>25</v>
      </c>
      <c r="G901" s="35" t="s">
        <v>25</v>
      </c>
      <c r="H901" s="35" t="s">
        <v>25</v>
      </c>
      <c r="I901" s="55">
        <v>44805</v>
      </c>
      <c r="J901" s="56">
        <f>EFEITO!$J$901*EFEITO!$Y$723</f>
        <v>0</v>
      </c>
      <c r="K901" s="56">
        <f ca="1">EFEITO!$L$901*EFEITO!$Z$723</f>
        <v>3326.7927244475295</v>
      </c>
      <c r="L901" s="56">
        <f>EFEITO!$N$901*EFEITO!$AA$723</f>
        <v>2662.7678226454145</v>
      </c>
      <c r="M901" s="56">
        <f>$J$901-EFEITO!$K$901*EFEITO!$Y$901</f>
        <v>0</v>
      </c>
      <c r="N901" s="56">
        <f ca="1">$K$901-EFEITO!$M$901*EFEITO!$Z$901</f>
        <v>199.60756346685184</v>
      </c>
      <c r="O901" s="56">
        <f>$L$901-EFEITO!$O$901*EFEITO!$AA$901</f>
        <v>159.76606935872496</v>
      </c>
      <c r="P901" s="39"/>
      <c r="Q901" s="39"/>
      <c r="R901" s="39"/>
      <c r="S901" s="39"/>
      <c r="T901" s="39"/>
      <c r="U901" s="39"/>
      <c r="V901" s="39"/>
      <c r="W901" s="39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</row>
    <row r="902" spans="1:36" ht="11.25" customHeight="1" x14ac:dyDescent="0.2">
      <c r="A902" s="35" t="s">
        <v>53</v>
      </c>
      <c r="B902" s="35" t="s">
        <v>44</v>
      </c>
      <c r="C902" s="35" t="s">
        <v>23</v>
      </c>
      <c r="D902" s="35" t="s">
        <v>45</v>
      </c>
      <c r="E902" s="35" t="s">
        <v>25</v>
      </c>
      <c r="F902" s="35" t="s">
        <v>25</v>
      </c>
      <c r="G902" s="35" t="s">
        <v>25</v>
      </c>
      <c r="H902" s="35" t="s">
        <v>25</v>
      </c>
      <c r="I902" s="55">
        <v>44835</v>
      </c>
      <c r="J902" s="56">
        <f>EFEITO!$J$902*EFEITO!$Y$723</f>
        <v>0</v>
      </c>
      <c r="K902" s="56">
        <f ca="1">EFEITO!$L$902*EFEITO!$Z$723</f>
        <v>129784.63797767274</v>
      </c>
      <c r="L902" s="56">
        <f>EFEITO!$N$902*EFEITO!$AA$723</f>
        <v>103879.73838617238</v>
      </c>
      <c r="M902" s="56">
        <f>$J$902-EFEITO!$K$902*EFEITO!$Y$902</f>
        <v>0</v>
      </c>
      <c r="N902" s="56">
        <f ca="1">$K$902-EFEITO!$M$902*EFEITO!$Z$902</f>
        <v>7787.0782786603668</v>
      </c>
      <c r="O902" s="56">
        <f>$L$902-EFEITO!$O$902*EFEITO!$AA$902</f>
        <v>6232.7843031703524</v>
      </c>
      <c r="P902" s="39"/>
      <c r="Q902" s="39"/>
      <c r="R902" s="39"/>
      <c r="S902" s="39"/>
      <c r="T902" s="39"/>
      <c r="U902" s="39"/>
      <c r="V902" s="39"/>
      <c r="W902" s="39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</row>
    <row r="903" spans="1:36" ht="11.25" customHeight="1" x14ac:dyDescent="0.2">
      <c r="A903" s="35" t="s">
        <v>53</v>
      </c>
      <c r="B903" s="35" t="s">
        <v>44</v>
      </c>
      <c r="C903" s="35" t="s">
        <v>23</v>
      </c>
      <c r="D903" s="35" t="s">
        <v>45</v>
      </c>
      <c r="E903" s="35" t="s">
        <v>25</v>
      </c>
      <c r="F903" s="35" t="s">
        <v>25</v>
      </c>
      <c r="G903" s="35" t="s">
        <v>25</v>
      </c>
      <c r="H903" s="35" t="s">
        <v>25</v>
      </c>
      <c r="I903" s="55">
        <v>44835</v>
      </c>
      <c r="J903" s="56">
        <f>EFEITO!$J$903*EFEITO!$Y$723</f>
        <v>0</v>
      </c>
      <c r="K903" s="56">
        <f ca="1">EFEITO!$L$903*EFEITO!$Z$723</f>
        <v>-488.06593817701679</v>
      </c>
      <c r="L903" s="56">
        <f>EFEITO!$N$903*EFEITO!$AA$723</f>
        <v>-390.64840618311382</v>
      </c>
      <c r="M903" s="56">
        <f>$J$903-EFEITO!$K$903*EFEITO!$Y$903</f>
        <v>0</v>
      </c>
      <c r="N903" s="56">
        <f ca="1">$K$903-EFEITO!$M$903*EFEITO!$Z$903</f>
        <v>-29.283956290621063</v>
      </c>
      <c r="O903" s="56">
        <f>$L$903-EFEITO!$O$903*EFEITO!$AA$903</f>
        <v>-23.438904370986847</v>
      </c>
      <c r="P903" s="39"/>
      <c r="Q903" s="39"/>
      <c r="R903" s="39"/>
      <c r="S903" s="39"/>
      <c r="T903" s="39"/>
      <c r="U903" s="39"/>
      <c r="V903" s="39"/>
      <c r="W903" s="39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</row>
    <row r="904" spans="1:36" ht="11.25" customHeight="1" x14ac:dyDescent="0.2">
      <c r="A904" s="35" t="s">
        <v>53</v>
      </c>
      <c r="B904" s="35" t="s">
        <v>44</v>
      </c>
      <c r="C904" s="35" t="s">
        <v>23</v>
      </c>
      <c r="D904" s="35" t="s">
        <v>45</v>
      </c>
      <c r="E904" s="35" t="s">
        <v>25</v>
      </c>
      <c r="F904" s="35" t="s">
        <v>25</v>
      </c>
      <c r="G904" s="35" t="s">
        <v>25</v>
      </c>
      <c r="H904" s="35" t="s">
        <v>25</v>
      </c>
      <c r="I904" s="55">
        <v>44835</v>
      </c>
      <c r="J904" s="56">
        <f>EFEITO!$J$904*EFEITO!$Y$723</f>
        <v>0</v>
      </c>
      <c r="K904" s="56">
        <f ca="1">EFEITO!$L$904*EFEITO!$Z$723</f>
        <v>3326.7927244475295</v>
      </c>
      <c r="L904" s="56">
        <f>EFEITO!$N$904*EFEITO!$AA$723</f>
        <v>2662.7678226454145</v>
      </c>
      <c r="M904" s="56">
        <f>$J$904-EFEITO!$K$904*EFEITO!$Y$904</f>
        <v>0</v>
      </c>
      <c r="N904" s="56">
        <f ca="1">$K$904-EFEITO!$M$904*EFEITO!$Z$904</f>
        <v>199.60756346685184</v>
      </c>
      <c r="O904" s="56">
        <f>$L$904-EFEITO!$O$904*EFEITO!$AA$904</f>
        <v>159.76606935872496</v>
      </c>
      <c r="P904" s="39"/>
      <c r="Q904" s="39"/>
      <c r="R904" s="39"/>
      <c r="S904" s="39"/>
      <c r="T904" s="39"/>
      <c r="U904" s="39"/>
      <c r="V904" s="39"/>
      <c r="W904" s="39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</row>
    <row r="905" spans="1:36" ht="11.25" customHeight="1" x14ac:dyDescent="0.2">
      <c r="A905" s="35" t="s">
        <v>21</v>
      </c>
      <c r="B905" s="35" t="s">
        <v>37</v>
      </c>
      <c r="C905" s="35" t="s">
        <v>33</v>
      </c>
      <c r="D905" s="35" t="s">
        <v>42</v>
      </c>
      <c r="E905" s="35" t="s">
        <v>25</v>
      </c>
      <c r="F905" s="35" t="s">
        <v>25</v>
      </c>
      <c r="G905" s="35" t="s">
        <v>25</v>
      </c>
      <c r="H905" s="35" t="s">
        <v>35</v>
      </c>
      <c r="I905" s="55">
        <v>44501</v>
      </c>
      <c r="J905" s="56">
        <f>EFEITO!$J$905*EFEITO!$Y$905</f>
        <v>0</v>
      </c>
      <c r="K905" s="56">
        <f ca="1">EFEITO!$L$905*EFEITO!$Z$905</f>
        <v>7554.3418212449806</v>
      </c>
      <c r="L905" s="56">
        <f>EFEITO!$N$905*EFEITO!$AA$905</f>
        <v>7121.6938223686238</v>
      </c>
      <c r="M905" s="56">
        <f>$J$905-EFEITO!$K$905*EFEITO!$Y$905</f>
        <v>0</v>
      </c>
      <c r="N905" s="56">
        <f ca="1">$K$905-EFEITO!$M$905*EFEITO!$Z$905</f>
        <v>0</v>
      </c>
      <c r="O905" s="56">
        <f>$L$905-EFEITO!$O$905*EFEITO!$AA$905</f>
        <v>0</v>
      </c>
      <c r="P905" s="39"/>
      <c r="Q905" s="39"/>
      <c r="R905" s="39"/>
      <c r="S905" s="39"/>
      <c r="T905" s="39"/>
      <c r="U905" s="39"/>
      <c r="V905" s="39"/>
      <c r="W905" s="39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</row>
    <row r="906" spans="1:36" ht="11.25" customHeight="1" x14ac:dyDescent="0.2">
      <c r="A906" s="35" t="s">
        <v>28</v>
      </c>
      <c r="B906" s="35" t="s">
        <v>37</v>
      </c>
      <c r="C906" s="35" t="s">
        <v>33</v>
      </c>
      <c r="D906" s="35" t="s">
        <v>42</v>
      </c>
      <c r="E906" s="35" t="s">
        <v>25</v>
      </c>
      <c r="F906" s="35" t="s">
        <v>25</v>
      </c>
      <c r="G906" s="35" t="s">
        <v>25</v>
      </c>
      <c r="H906" s="35" t="s">
        <v>35</v>
      </c>
      <c r="I906" s="55">
        <v>44501</v>
      </c>
      <c r="J906" s="56">
        <f>EFEITO!$J$906*EFEITO!$Y$906</f>
        <v>0</v>
      </c>
      <c r="K906" s="56">
        <f ca="1">EFEITO!$L$906*EFEITO!$Z$906</f>
        <v>2284.0110102293784</v>
      </c>
      <c r="L906" s="56">
        <f>EFEITO!$N$906*EFEITO!$AA$906</f>
        <v>2153.2024214244243</v>
      </c>
      <c r="M906" s="56">
        <f>$J$906-EFEITO!$K$906*EFEITO!$Y$906</f>
        <v>0</v>
      </c>
      <c r="N906" s="56">
        <f ca="1">$K$906-EFEITO!$M$906*EFEITO!$Z$906</f>
        <v>0</v>
      </c>
      <c r="O906" s="56">
        <f>$L$906-EFEITO!$O$906*EFEITO!$AA$906</f>
        <v>0</v>
      </c>
      <c r="P906" s="39"/>
      <c r="Q906" s="39"/>
      <c r="R906" s="39"/>
      <c r="S906" s="39"/>
      <c r="T906" s="39"/>
      <c r="U906" s="39"/>
      <c r="V906" s="39"/>
      <c r="W906" s="39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</row>
    <row r="907" spans="1:36" ht="11.25" customHeight="1" x14ac:dyDescent="0.2">
      <c r="A907" s="35" t="s">
        <v>21</v>
      </c>
      <c r="B907" s="35" t="s">
        <v>37</v>
      </c>
      <c r="C907" s="35" t="s">
        <v>33</v>
      </c>
      <c r="D907" s="35" t="s">
        <v>42</v>
      </c>
      <c r="E907" s="35" t="s">
        <v>25</v>
      </c>
      <c r="F907" s="35" t="s">
        <v>25</v>
      </c>
      <c r="G907" s="35" t="s">
        <v>25</v>
      </c>
      <c r="H907" s="35" t="s">
        <v>35</v>
      </c>
      <c r="I907" s="55">
        <v>44531</v>
      </c>
      <c r="J907" s="56">
        <f>EFEITO!$J$907*EFEITO!$Y$907</f>
        <v>0</v>
      </c>
      <c r="K907" s="56">
        <f ca="1">EFEITO!$L$907*EFEITO!$Z$907</f>
        <v>7509.5946276306495</v>
      </c>
      <c r="L907" s="56">
        <f>EFEITO!$N$907*EFEITO!$AA$907</f>
        <v>7079.5093647583926</v>
      </c>
      <c r="M907" s="56">
        <f>$J$907-EFEITO!$K$907*EFEITO!$Y$907</f>
        <v>0</v>
      </c>
      <c r="N907" s="56">
        <f ca="1">$K$907-EFEITO!$M$907*EFEITO!$Z$907</f>
        <v>0</v>
      </c>
      <c r="O907" s="56">
        <f>$L$907-EFEITO!$O$907*EFEITO!$AA$907</f>
        <v>0</v>
      </c>
      <c r="P907" s="39"/>
      <c r="Q907" s="39"/>
      <c r="R907" s="39"/>
      <c r="S907" s="39"/>
      <c r="T907" s="39"/>
      <c r="U907" s="39"/>
      <c r="V907" s="39"/>
      <c r="W907" s="39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</row>
    <row r="908" spans="1:36" ht="11.25" customHeight="1" x14ac:dyDescent="0.2">
      <c r="A908" s="35" t="s">
        <v>28</v>
      </c>
      <c r="B908" s="35" t="s">
        <v>37</v>
      </c>
      <c r="C908" s="35" t="s">
        <v>33</v>
      </c>
      <c r="D908" s="35" t="s">
        <v>42</v>
      </c>
      <c r="E908" s="35" t="s">
        <v>25</v>
      </c>
      <c r="F908" s="35" t="s">
        <v>25</v>
      </c>
      <c r="G908" s="35" t="s">
        <v>25</v>
      </c>
      <c r="H908" s="35" t="s">
        <v>35</v>
      </c>
      <c r="I908" s="55">
        <v>44531</v>
      </c>
      <c r="J908" s="56">
        <f>EFEITO!$J$908*EFEITO!$Y$908</f>
        <v>0</v>
      </c>
      <c r="K908" s="56">
        <f ca="1">EFEITO!$L$908*EFEITO!$Z$908</f>
        <v>2111.0519994505803</v>
      </c>
      <c r="L908" s="56">
        <f>EFEITO!$N$908*EFEITO!$AA$908</f>
        <v>1990.1490214416103</v>
      </c>
      <c r="M908" s="56">
        <f>$J$908-EFEITO!$K$908*EFEITO!$Y$908</f>
        <v>0</v>
      </c>
      <c r="N908" s="56">
        <f ca="1">$K$908-EFEITO!$M$908*EFEITO!$Z$908</f>
        <v>0</v>
      </c>
      <c r="O908" s="56">
        <f>$L$908-EFEITO!$O$908*EFEITO!$AA$908</f>
        <v>0</v>
      </c>
      <c r="P908" s="39"/>
      <c r="Q908" s="39"/>
      <c r="R908" s="39"/>
      <c r="S908" s="39"/>
      <c r="T908" s="39"/>
      <c r="U908" s="39"/>
      <c r="V908" s="39"/>
      <c r="W908" s="39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</row>
    <row r="909" spans="1:36" ht="11.25" customHeight="1" x14ac:dyDescent="0.2">
      <c r="A909" s="35" t="s">
        <v>21</v>
      </c>
      <c r="B909" s="35" t="s">
        <v>37</v>
      </c>
      <c r="C909" s="35" t="s">
        <v>33</v>
      </c>
      <c r="D909" s="35" t="s">
        <v>42</v>
      </c>
      <c r="E909" s="35" t="s">
        <v>25</v>
      </c>
      <c r="F909" s="35" t="s">
        <v>25</v>
      </c>
      <c r="G909" s="35" t="s">
        <v>25</v>
      </c>
      <c r="H909" s="35" t="s">
        <v>35</v>
      </c>
      <c r="I909" s="55">
        <v>44562</v>
      </c>
      <c r="J909" s="56">
        <f>EFEITO!$J$909*EFEITO!$Y$909</f>
        <v>0</v>
      </c>
      <c r="K909" s="56">
        <f ca="1">EFEITO!$L$909*EFEITO!$Z$909</f>
        <v>7582.2691477560529</v>
      </c>
      <c r="L909" s="56">
        <f>EFEITO!$N$909*EFEITO!$AA$909</f>
        <v>7148.0217108062161</v>
      </c>
      <c r="M909" s="56">
        <f>$J$909-EFEITO!$K$909*EFEITO!$Y$909</f>
        <v>0</v>
      </c>
      <c r="N909" s="56">
        <f ca="1">$K$909-EFEITO!$M$909*EFEITO!$Z$909</f>
        <v>0</v>
      </c>
      <c r="O909" s="56">
        <f>$L$909-EFEITO!$O$909*EFEITO!$AA$909</f>
        <v>0</v>
      </c>
      <c r="P909" s="39"/>
      <c r="Q909" s="39"/>
      <c r="R909" s="39"/>
      <c r="S909" s="39"/>
      <c r="T909" s="39"/>
      <c r="U909" s="39"/>
      <c r="V909" s="39"/>
      <c r="W909" s="39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</row>
    <row r="910" spans="1:36" ht="11.25" customHeight="1" x14ac:dyDescent="0.2">
      <c r="A910" s="35" t="s">
        <v>28</v>
      </c>
      <c r="B910" s="35" t="s">
        <v>37</v>
      </c>
      <c r="C910" s="35" t="s">
        <v>33</v>
      </c>
      <c r="D910" s="35" t="s">
        <v>42</v>
      </c>
      <c r="E910" s="35" t="s">
        <v>25</v>
      </c>
      <c r="F910" s="35" t="s">
        <v>25</v>
      </c>
      <c r="G910" s="35" t="s">
        <v>25</v>
      </c>
      <c r="H910" s="35" t="s">
        <v>35</v>
      </c>
      <c r="I910" s="55">
        <v>44562</v>
      </c>
      <c r="J910" s="56">
        <f>EFEITO!$J$910*EFEITO!$Y$910</f>
        <v>0</v>
      </c>
      <c r="K910" s="56">
        <f ca="1">EFEITO!$L$910*EFEITO!$Z$910</f>
        <v>2686.1010407921999</v>
      </c>
      <c r="L910" s="56">
        <f>EFEITO!$N$910*EFEITO!$AA$910</f>
        <v>2532.2641788156629</v>
      </c>
      <c r="M910" s="56">
        <f>$J$910-EFEITO!$K$910*EFEITO!$Y$910</f>
        <v>0</v>
      </c>
      <c r="N910" s="56">
        <f ca="1">$K$910-EFEITO!$M$910*EFEITO!$Z$910</f>
        <v>0</v>
      </c>
      <c r="O910" s="56">
        <f>$L$910-EFEITO!$O$910*EFEITO!$AA$910</f>
        <v>0</v>
      </c>
      <c r="P910" s="39"/>
      <c r="Q910" s="39"/>
      <c r="R910" s="39"/>
      <c r="S910" s="39"/>
      <c r="T910" s="39"/>
      <c r="U910" s="39"/>
      <c r="V910" s="39"/>
      <c r="W910" s="39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</row>
    <row r="911" spans="1:36" ht="11.25" customHeight="1" x14ac:dyDescent="0.2">
      <c r="A911" s="35" t="s">
        <v>21</v>
      </c>
      <c r="B911" s="35" t="s">
        <v>37</v>
      </c>
      <c r="C911" s="35" t="s">
        <v>33</v>
      </c>
      <c r="D911" s="35" t="s">
        <v>42</v>
      </c>
      <c r="E911" s="35" t="s">
        <v>25</v>
      </c>
      <c r="F911" s="35" t="s">
        <v>25</v>
      </c>
      <c r="G911" s="35" t="s">
        <v>25</v>
      </c>
      <c r="H911" s="35" t="s">
        <v>35</v>
      </c>
      <c r="I911" s="55">
        <v>44593</v>
      </c>
      <c r="J911" s="56">
        <f>EFEITO!$J$911*EFEITO!$Y$911</f>
        <v>0</v>
      </c>
      <c r="K911" s="56">
        <f ca="1">EFEITO!$L$911*EFEITO!$Z$911</f>
        <v>9460.3818556256465</v>
      </c>
      <c r="L911" s="56">
        <f>EFEITO!$N$911*EFEITO!$AA$911</f>
        <v>8918.5722082342763</v>
      </c>
      <c r="M911" s="56">
        <f>$J$911-EFEITO!$K$911*EFEITO!$Y$911</f>
        <v>0</v>
      </c>
      <c r="N911" s="56">
        <f ca="1">$K$911-EFEITO!$M$911*EFEITO!$Z$911</f>
        <v>0</v>
      </c>
      <c r="O911" s="56">
        <f>$L$911-EFEITO!$O$911*EFEITO!$AA$911</f>
        <v>0</v>
      </c>
      <c r="P911" s="39"/>
      <c r="Q911" s="39"/>
      <c r="R911" s="39"/>
      <c r="S911" s="39"/>
      <c r="T911" s="39"/>
      <c r="U911" s="39"/>
      <c r="V911" s="39"/>
      <c r="W911" s="39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</row>
    <row r="912" spans="1:36" ht="11.25" customHeight="1" x14ac:dyDescent="0.2">
      <c r="A912" s="35" t="s">
        <v>28</v>
      </c>
      <c r="B912" s="35" t="s">
        <v>37</v>
      </c>
      <c r="C912" s="35" t="s">
        <v>33</v>
      </c>
      <c r="D912" s="35" t="s">
        <v>42</v>
      </c>
      <c r="E912" s="35" t="s">
        <v>25</v>
      </c>
      <c r="F912" s="35" t="s">
        <v>25</v>
      </c>
      <c r="G912" s="35" t="s">
        <v>25</v>
      </c>
      <c r="H912" s="35" t="s">
        <v>35</v>
      </c>
      <c r="I912" s="55">
        <v>44593</v>
      </c>
      <c r="J912" s="56">
        <f>EFEITO!$J$912*EFEITO!$Y$912</f>
        <v>0</v>
      </c>
      <c r="K912" s="56">
        <f ca="1">EFEITO!$L$912*EFEITO!$Z$912</f>
        <v>18.406647018661104</v>
      </c>
      <c r="L912" s="56">
        <f>EFEITO!$N$912*EFEITO!$AA$912</f>
        <v>17.35247192477652</v>
      </c>
      <c r="M912" s="56">
        <f>$J$912-EFEITO!$K$912*EFEITO!$Y$912</f>
        <v>0</v>
      </c>
      <c r="N912" s="56">
        <f ca="1">$K$912-EFEITO!$M$912*EFEITO!$Z$912</f>
        <v>0</v>
      </c>
      <c r="O912" s="56">
        <f>$L$912-EFEITO!$O$912*EFEITO!$AA$912</f>
        <v>0</v>
      </c>
      <c r="P912" s="39"/>
      <c r="Q912" s="39"/>
      <c r="R912" s="39"/>
      <c r="S912" s="39"/>
      <c r="T912" s="39"/>
      <c r="U912" s="39"/>
      <c r="V912" s="39"/>
      <c r="W912" s="39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</row>
    <row r="913" spans="1:36" ht="11.25" customHeight="1" x14ac:dyDescent="0.2">
      <c r="A913" s="35" t="s">
        <v>21</v>
      </c>
      <c r="B913" s="35" t="s">
        <v>37</v>
      </c>
      <c r="C913" s="35" t="s">
        <v>33</v>
      </c>
      <c r="D913" s="35" t="s">
        <v>42</v>
      </c>
      <c r="E913" s="35" t="s">
        <v>25</v>
      </c>
      <c r="F913" s="35" t="s">
        <v>25</v>
      </c>
      <c r="G913" s="35" t="s">
        <v>25</v>
      </c>
      <c r="H913" s="35" t="s">
        <v>35</v>
      </c>
      <c r="I913" s="55">
        <v>44621</v>
      </c>
      <c r="J913" s="56">
        <f>EFEITO!$J$913*EFEITO!$Y$913</f>
        <v>0</v>
      </c>
      <c r="K913" s="56">
        <f ca="1">EFEITO!$L$913*EFEITO!$Z$913</f>
        <v>7760.6232102472177</v>
      </c>
      <c r="L913" s="56">
        <f>EFEITO!$N$913*EFEITO!$AA$913</f>
        <v>7316.1611801462932</v>
      </c>
      <c r="M913" s="56">
        <f>$J$913-EFEITO!$K$913*EFEITO!$Y$913</f>
        <v>0</v>
      </c>
      <c r="N913" s="56">
        <f ca="1">$K$913-EFEITO!$M$913*EFEITO!$Z$913</f>
        <v>0</v>
      </c>
      <c r="O913" s="56">
        <f>$L$913-EFEITO!$O$913*EFEITO!$AA$913</f>
        <v>0</v>
      </c>
      <c r="P913" s="39"/>
      <c r="Q913" s="39"/>
      <c r="R913" s="39"/>
      <c r="S913" s="39"/>
      <c r="T913" s="39"/>
      <c r="U913" s="39"/>
      <c r="V913" s="39"/>
      <c r="W913" s="39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</row>
    <row r="914" spans="1:36" ht="11.25" customHeight="1" x14ac:dyDescent="0.2">
      <c r="A914" s="35" t="s">
        <v>28</v>
      </c>
      <c r="B914" s="35" t="s">
        <v>37</v>
      </c>
      <c r="C914" s="35" t="s">
        <v>33</v>
      </c>
      <c r="D914" s="35" t="s">
        <v>42</v>
      </c>
      <c r="E914" s="35" t="s">
        <v>25</v>
      </c>
      <c r="F914" s="35" t="s">
        <v>25</v>
      </c>
      <c r="G914" s="35" t="s">
        <v>25</v>
      </c>
      <c r="H914" s="35" t="s">
        <v>35</v>
      </c>
      <c r="I914" s="55">
        <v>44621</v>
      </c>
      <c r="J914" s="56">
        <f>EFEITO!$J$914*EFEITO!$Y$914</f>
        <v>0</v>
      </c>
      <c r="K914" s="56">
        <f ca="1">EFEITO!$L$914*EFEITO!$Z$914</f>
        <v>2150.7214973356258</v>
      </c>
      <c r="L914" s="56">
        <f>EFEITO!$N$914*EFEITO!$AA$914</f>
        <v>2027.546590245008</v>
      </c>
      <c r="M914" s="56">
        <f>$J$914-EFEITO!$K$914*EFEITO!$Y$914</f>
        <v>0</v>
      </c>
      <c r="N914" s="56">
        <f ca="1">$K$914-EFEITO!$M$914*EFEITO!$Z$914</f>
        <v>0</v>
      </c>
      <c r="O914" s="56">
        <f>$L$914-EFEITO!$O$914*EFEITO!$AA$914</f>
        <v>0</v>
      </c>
      <c r="P914" s="39"/>
      <c r="Q914" s="39"/>
      <c r="R914" s="39"/>
      <c r="S914" s="39"/>
      <c r="T914" s="39"/>
      <c r="U914" s="39"/>
      <c r="V914" s="39"/>
      <c r="W914" s="39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</row>
    <row r="915" spans="1:36" ht="11.25" customHeight="1" x14ac:dyDescent="0.2">
      <c r="A915" s="35" t="s">
        <v>21</v>
      </c>
      <c r="B915" s="35" t="s">
        <v>37</v>
      </c>
      <c r="C915" s="35" t="s">
        <v>33</v>
      </c>
      <c r="D915" s="35" t="s">
        <v>42</v>
      </c>
      <c r="E915" s="35" t="s">
        <v>25</v>
      </c>
      <c r="F915" s="35" t="s">
        <v>25</v>
      </c>
      <c r="G915" s="35" t="s">
        <v>25</v>
      </c>
      <c r="H915" s="35" t="s">
        <v>35</v>
      </c>
      <c r="I915" s="55">
        <v>44652</v>
      </c>
      <c r="J915" s="56">
        <f>EFEITO!$J$915*EFEITO!$Y$915</f>
        <v>0</v>
      </c>
      <c r="K915" s="56">
        <f ca="1">EFEITO!$L$915*EFEITO!$Z$915</f>
        <v>11724.082082937881</v>
      </c>
      <c r="L915" s="56">
        <f>EFEITO!$N$915*EFEITO!$AA$915</f>
        <v>11052.627074431361</v>
      </c>
      <c r="M915" s="56">
        <f>$J$915-EFEITO!$K$915*EFEITO!$Y$915</f>
        <v>0</v>
      </c>
      <c r="N915" s="56">
        <f ca="1">$K$915-EFEITO!$M$915*EFEITO!$Z$915</f>
        <v>0</v>
      </c>
      <c r="O915" s="56">
        <f>$L$915-EFEITO!$O$915*EFEITO!$AA$915</f>
        <v>0</v>
      </c>
      <c r="P915" s="39"/>
      <c r="Q915" s="39"/>
      <c r="R915" s="39"/>
      <c r="S915" s="39"/>
      <c r="T915" s="39"/>
      <c r="U915" s="39"/>
      <c r="V915" s="39"/>
      <c r="W915" s="39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</row>
    <row r="916" spans="1:36" ht="11.25" customHeight="1" x14ac:dyDescent="0.2">
      <c r="A916" s="35" t="s">
        <v>21</v>
      </c>
      <c r="B916" s="35" t="s">
        <v>37</v>
      </c>
      <c r="C916" s="35" t="s">
        <v>33</v>
      </c>
      <c r="D916" s="35" t="s">
        <v>42</v>
      </c>
      <c r="E916" s="35" t="s">
        <v>25</v>
      </c>
      <c r="F916" s="35" t="s">
        <v>25</v>
      </c>
      <c r="G916" s="35" t="s">
        <v>25</v>
      </c>
      <c r="H916" s="35" t="s">
        <v>35</v>
      </c>
      <c r="I916" s="55">
        <v>44682</v>
      </c>
      <c r="J916" s="56">
        <f>EFEITO!$J$916*EFEITO!$Y$916</f>
        <v>0</v>
      </c>
      <c r="K916" s="56">
        <f ca="1">EFEITO!$L$916*EFEITO!$Z$916</f>
        <v>8248.0820002586552</v>
      </c>
      <c r="L916" s="56">
        <f>EFEITO!$N$916*EFEITO!$AA$916</f>
        <v>7775.7025056024431</v>
      </c>
      <c r="M916" s="56">
        <f>$J$916-EFEITO!$K$916*EFEITO!$Y$916</f>
        <v>0</v>
      </c>
      <c r="N916" s="56">
        <f ca="1">$K$916-EFEITO!$M$916*EFEITO!$Z$916</f>
        <v>0</v>
      </c>
      <c r="O916" s="56">
        <f>$L$916-EFEITO!$O$916*EFEITO!$AA$916</f>
        <v>0</v>
      </c>
      <c r="P916" s="39"/>
      <c r="Q916" s="39"/>
      <c r="R916" s="39"/>
      <c r="S916" s="39"/>
      <c r="T916" s="39"/>
      <c r="U916" s="39"/>
      <c r="V916" s="39"/>
      <c r="W916" s="39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</row>
    <row r="917" spans="1:36" ht="11.25" customHeight="1" x14ac:dyDescent="0.2">
      <c r="A917" s="35" t="s">
        <v>28</v>
      </c>
      <c r="B917" s="35" t="s">
        <v>37</v>
      </c>
      <c r="C917" s="35" t="s">
        <v>33</v>
      </c>
      <c r="D917" s="35" t="s">
        <v>42</v>
      </c>
      <c r="E917" s="35" t="s">
        <v>25</v>
      </c>
      <c r="F917" s="35" t="s">
        <v>25</v>
      </c>
      <c r="G917" s="35" t="s">
        <v>25</v>
      </c>
      <c r="H917" s="35" t="s">
        <v>35</v>
      </c>
      <c r="I917" s="55">
        <v>44682</v>
      </c>
      <c r="J917" s="56">
        <f>EFEITO!$J$917*EFEITO!$Y$917</f>
        <v>0</v>
      </c>
      <c r="K917" s="56">
        <f ca="1">EFEITO!$L$917*EFEITO!$Z$917</f>
        <v>2058.0535502761595</v>
      </c>
      <c r="L917" s="56">
        <f>EFEITO!$N$917*EFEITO!$AA$917</f>
        <v>1940.1858695202711</v>
      </c>
      <c r="M917" s="56">
        <f>$J$917-EFEITO!$K$917*EFEITO!$Y$917</f>
        <v>0</v>
      </c>
      <c r="N917" s="56">
        <f ca="1">$K$917-EFEITO!$M$917*EFEITO!$Z$917</f>
        <v>0</v>
      </c>
      <c r="O917" s="56">
        <f>$L$917-EFEITO!$O$917*EFEITO!$AA$917</f>
        <v>0</v>
      </c>
      <c r="P917" s="39"/>
      <c r="Q917" s="39"/>
      <c r="R917" s="39"/>
      <c r="S917" s="39"/>
      <c r="T917" s="39"/>
      <c r="U917" s="39"/>
      <c r="V917" s="39"/>
      <c r="W917" s="39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</row>
    <row r="918" spans="1:36" ht="11.25" customHeight="1" x14ac:dyDescent="0.2">
      <c r="A918" s="35" t="s">
        <v>21</v>
      </c>
      <c r="B918" s="35" t="s">
        <v>37</v>
      </c>
      <c r="C918" s="35" t="s">
        <v>33</v>
      </c>
      <c r="D918" s="35" t="s">
        <v>42</v>
      </c>
      <c r="E918" s="35" t="s">
        <v>25</v>
      </c>
      <c r="F918" s="35" t="s">
        <v>25</v>
      </c>
      <c r="G918" s="35" t="s">
        <v>25</v>
      </c>
      <c r="H918" s="35" t="s">
        <v>35</v>
      </c>
      <c r="I918" s="55">
        <v>44713</v>
      </c>
      <c r="J918" s="56">
        <f>EFEITO!$J$918*EFEITO!$Y$918</f>
        <v>0</v>
      </c>
      <c r="K918" s="56">
        <f ca="1">EFEITO!$L$918*EFEITO!$Z$918</f>
        <v>7748.8810388732445</v>
      </c>
      <c r="L918" s="56">
        <f>EFEITO!$N$918*EFEITO!$AA$918</f>
        <v>7305.0914997804875</v>
      </c>
      <c r="M918" s="56">
        <f>$J$918-EFEITO!$K$918*EFEITO!$Y$918</f>
        <v>0</v>
      </c>
      <c r="N918" s="56">
        <f ca="1">$K$918-EFEITO!$M$918*EFEITO!$Z$918</f>
        <v>0</v>
      </c>
      <c r="O918" s="56">
        <f>$L$918-EFEITO!$O$918*EFEITO!$AA$918</f>
        <v>0</v>
      </c>
      <c r="P918" s="39"/>
      <c r="Q918" s="39"/>
      <c r="R918" s="39"/>
      <c r="S918" s="39"/>
      <c r="T918" s="39"/>
      <c r="U918" s="39"/>
      <c r="V918" s="39"/>
      <c r="W918" s="39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</row>
    <row r="919" spans="1:36" ht="11.25" customHeight="1" x14ac:dyDescent="0.2">
      <c r="A919" s="35" t="s">
        <v>28</v>
      </c>
      <c r="B919" s="35" t="s">
        <v>37</v>
      </c>
      <c r="C919" s="35" t="s">
        <v>33</v>
      </c>
      <c r="D919" s="35" t="s">
        <v>42</v>
      </c>
      <c r="E919" s="35" t="s">
        <v>25</v>
      </c>
      <c r="F919" s="35" t="s">
        <v>25</v>
      </c>
      <c r="G919" s="35" t="s">
        <v>25</v>
      </c>
      <c r="H919" s="35" t="s">
        <v>35</v>
      </c>
      <c r="I919" s="55">
        <v>44713</v>
      </c>
      <c r="J919" s="56">
        <f>EFEITO!$J$919*EFEITO!$Y$919</f>
        <v>0</v>
      </c>
      <c r="K919" s="56">
        <f ca="1">EFEITO!$L$919*EFEITO!$Z$919</f>
        <v>1924.7640373824067</v>
      </c>
      <c r="L919" s="56">
        <f>EFEITO!$N$919*EFEITO!$AA$919</f>
        <v>1814.5300383408551</v>
      </c>
      <c r="M919" s="56">
        <f>$J$919-EFEITO!$K$919*EFEITO!$Y$919</f>
        <v>0</v>
      </c>
      <c r="N919" s="56">
        <f ca="1">$K$919-EFEITO!$M$919*EFEITO!$Z$919</f>
        <v>0</v>
      </c>
      <c r="O919" s="56">
        <f>$L$919-EFEITO!$O$919*EFEITO!$AA$919</f>
        <v>0</v>
      </c>
      <c r="P919" s="39"/>
      <c r="Q919" s="39"/>
      <c r="R919" s="39"/>
      <c r="S919" s="39"/>
      <c r="T919" s="39"/>
      <c r="U919" s="39"/>
      <c r="V919" s="39"/>
      <c r="W919" s="39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</row>
    <row r="920" spans="1:36" ht="11.25" customHeight="1" x14ac:dyDescent="0.2">
      <c r="A920" s="35" t="s">
        <v>21</v>
      </c>
      <c r="B920" s="35" t="s">
        <v>37</v>
      </c>
      <c r="C920" s="35" t="s">
        <v>33</v>
      </c>
      <c r="D920" s="35" t="s">
        <v>42</v>
      </c>
      <c r="E920" s="35" t="s">
        <v>25</v>
      </c>
      <c r="F920" s="35" t="s">
        <v>25</v>
      </c>
      <c r="G920" s="35" t="s">
        <v>25</v>
      </c>
      <c r="H920" s="35" t="s">
        <v>35</v>
      </c>
      <c r="I920" s="55">
        <v>44743</v>
      </c>
      <c r="J920" s="56">
        <f>EFEITO!$J$920*EFEITO!$Y$920</f>
        <v>0</v>
      </c>
      <c r="K920" s="56">
        <f ca="1">EFEITO!$L$920*EFEITO!$Z$920</f>
        <v>10434.664723682365</v>
      </c>
      <c r="L920" s="56">
        <f>EFEITO!$N$920*EFEITO!$AA$920</f>
        <v>9837.0564980457239</v>
      </c>
      <c r="M920" s="56">
        <f>$J$920-EFEITO!$K$920*EFEITO!$Y$920</f>
        <v>0</v>
      </c>
      <c r="N920" s="56">
        <f ca="1">$K$920-EFEITO!$M$920*EFEITO!$Z$920</f>
        <v>0</v>
      </c>
      <c r="O920" s="56">
        <f>$L$920-EFEITO!$O$920*EFEITO!$AA$920</f>
        <v>0</v>
      </c>
      <c r="P920" s="39"/>
      <c r="Q920" s="39"/>
      <c r="R920" s="39"/>
      <c r="S920" s="39"/>
      <c r="T920" s="39"/>
      <c r="U920" s="39"/>
      <c r="V920" s="39"/>
      <c r="W920" s="39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</row>
    <row r="921" spans="1:36" ht="11.25" customHeight="1" x14ac:dyDescent="0.2">
      <c r="A921" s="35" t="s">
        <v>21</v>
      </c>
      <c r="B921" s="35" t="s">
        <v>37</v>
      </c>
      <c r="C921" s="35" t="s">
        <v>33</v>
      </c>
      <c r="D921" s="35" t="s">
        <v>42</v>
      </c>
      <c r="E921" s="35" t="s">
        <v>25</v>
      </c>
      <c r="F921" s="35" t="s">
        <v>25</v>
      </c>
      <c r="G921" s="35" t="s">
        <v>25</v>
      </c>
      <c r="H921" s="35" t="s">
        <v>35</v>
      </c>
      <c r="I921" s="55">
        <v>44774</v>
      </c>
      <c r="J921" s="56">
        <f>EFEITO!$J$921*EFEITO!$Y$921</f>
        <v>0</v>
      </c>
      <c r="K921" s="56">
        <f ca="1">EFEITO!$L$921*EFEITO!$Z$921</f>
        <v>7972.6170069449008</v>
      </c>
      <c r="L921" s="56">
        <f>EFEITO!$N$921*EFEITO!$AA$921</f>
        <v>7516.01378783165</v>
      </c>
      <c r="M921" s="56">
        <f>$J$921-EFEITO!$K$921*EFEITO!$Y$921</f>
        <v>0</v>
      </c>
      <c r="N921" s="56">
        <f ca="1">$K$921-EFEITO!$M$921*EFEITO!$Z$921</f>
        <v>0</v>
      </c>
      <c r="O921" s="56">
        <f>$L$921-EFEITO!$O$921*EFEITO!$AA$921</f>
        <v>0</v>
      </c>
      <c r="P921" s="39"/>
      <c r="Q921" s="39"/>
      <c r="R921" s="39"/>
      <c r="S921" s="39"/>
      <c r="T921" s="39"/>
      <c r="U921" s="39"/>
      <c r="V921" s="39"/>
      <c r="W921" s="39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</row>
    <row r="922" spans="1:36" ht="11.25" customHeight="1" x14ac:dyDescent="0.2">
      <c r="A922" s="35" t="s">
        <v>28</v>
      </c>
      <c r="B922" s="35" t="s">
        <v>37</v>
      </c>
      <c r="C922" s="35" t="s">
        <v>33</v>
      </c>
      <c r="D922" s="35" t="s">
        <v>42</v>
      </c>
      <c r="E922" s="35" t="s">
        <v>25</v>
      </c>
      <c r="F922" s="35" t="s">
        <v>25</v>
      </c>
      <c r="G922" s="35" t="s">
        <v>25</v>
      </c>
      <c r="H922" s="35" t="s">
        <v>35</v>
      </c>
      <c r="I922" s="55">
        <v>44774</v>
      </c>
      <c r="J922" s="56">
        <f>EFEITO!$J$922*EFEITO!$Y$922</f>
        <v>0</v>
      </c>
      <c r="K922" s="56">
        <f ca="1">EFEITO!$L$922*EFEITO!$Z$922</f>
        <v>1992.0435057954439</v>
      </c>
      <c r="L922" s="56">
        <f>EFEITO!$N$922*EFEITO!$AA$922</f>
        <v>1877.9563150314173</v>
      </c>
      <c r="M922" s="56">
        <f>$J$922-EFEITO!$K$922*EFEITO!$Y$922</f>
        <v>0</v>
      </c>
      <c r="N922" s="56">
        <f ca="1">$K$922-EFEITO!$M$922*EFEITO!$Z$922</f>
        <v>0</v>
      </c>
      <c r="O922" s="56">
        <f>$L$922-EFEITO!$O$922*EFEITO!$AA$922</f>
        <v>0</v>
      </c>
      <c r="P922" s="39"/>
      <c r="Q922" s="39"/>
      <c r="R922" s="39"/>
      <c r="S922" s="39"/>
      <c r="T922" s="39"/>
      <c r="U922" s="39"/>
      <c r="V922" s="39"/>
      <c r="W922" s="39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</row>
    <row r="923" spans="1:36" ht="11.25" customHeight="1" x14ac:dyDescent="0.2">
      <c r="A923" s="35" t="s">
        <v>21</v>
      </c>
      <c r="B923" s="35" t="s">
        <v>37</v>
      </c>
      <c r="C923" s="35" t="s">
        <v>33</v>
      </c>
      <c r="D923" s="35" t="s">
        <v>42</v>
      </c>
      <c r="E923" s="35" t="s">
        <v>25</v>
      </c>
      <c r="F923" s="35" t="s">
        <v>25</v>
      </c>
      <c r="G923" s="35" t="s">
        <v>25</v>
      </c>
      <c r="H923" s="35" t="s">
        <v>35</v>
      </c>
      <c r="I923" s="55">
        <v>44805</v>
      </c>
      <c r="J923" s="56">
        <f>EFEITO!$J$923*EFEITO!$Y$923</f>
        <v>0</v>
      </c>
      <c r="K923" s="56">
        <f ca="1">EFEITO!$L$923*EFEITO!$Z$923</f>
        <v>7753.6413786194489</v>
      </c>
      <c r="L923" s="56">
        <f>EFEITO!$N$923*EFEITO!$AA$923</f>
        <v>7309.5792080368938</v>
      </c>
      <c r="M923" s="56">
        <f>$J$923-EFEITO!$K$923*EFEITO!$Y$923</f>
        <v>0</v>
      </c>
      <c r="N923" s="56">
        <f ca="1">$K$923-EFEITO!$M$923*EFEITO!$Z$923</f>
        <v>0</v>
      </c>
      <c r="O923" s="56">
        <f>$L$923-EFEITO!$O$923*EFEITO!$AA$923</f>
        <v>0</v>
      </c>
      <c r="P923" s="39"/>
      <c r="Q923" s="39"/>
      <c r="R923" s="39"/>
      <c r="S923" s="39"/>
      <c r="T923" s="39"/>
      <c r="U923" s="39"/>
      <c r="V923" s="39"/>
      <c r="W923" s="39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</row>
    <row r="924" spans="1:36" ht="11.25" customHeight="1" x14ac:dyDescent="0.2">
      <c r="A924" s="35" t="s">
        <v>28</v>
      </c>
      <c r="B924" s="35" t="s">
        <v>37</v>
      </c>
      <c r="C924" s="35" t="s">
        <v>33</v>
      </c>
      <c r="D924" s="35" t="s">
        <v>42</v>
      </c>
      <c r="E924" s="35" t="s">
        <v>25</v>
      </c>
      <c r="F924" s="35" t="s">
        <v>25</v>
      </c>
      <c r="G924" s="35" t="s">
        <v>25</v>
      </c>
      <c r="H924" s="35" t="s">
        <v>35</v>
      </c>
      <c r="I924" s="55">
        <v>44805</v>
      </c>
      <c r="J924" s="56">
        <f>EFEITO!$J$924*EFEITO!$Y$924</f>
        <v>0</v>
      </c>
      <c r="K924" s="56">
        <f ca="1">EFEITO!$L$924*EFEITO!$Z$924</f>
        <v>1264.6635925752498</v>
      </c>
      <c r="L924" s="56">
        <f>EFEITO!$N$924*EFEITO!$AA$924</f>
        <v>1192.2344934523176</v>
      </c>
      <c r="M924" s="56">
        <f>$J$924-EFEITO!$K$924*EFEITO!$Y$924</f>
        <v>0</v>
      </c>
      <c r="N924" s="56">
        <f ca="1">$K$924-EFEITO!$M$924*EFEITO!$Z$924</f>
        <v>0</v>
      </c>
      <c r="O924" s="56">
        <f>$L$924-EFEITO!$O$924*EFEITO!$AA$924</f>
        <v>0</v>
      </c>
      <c r="P924" s="39"/>
      <c r="Q924" s="39"/>
      <c r="R924" s="39"/>
      <c r="S924" s="39"/>
      <c r="T924" s="39"/>
      <c r="U924" s="39"/>
      <c r="V924" s="39"/>
      <c r="W924" s="39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</row>
    <row r="925" spans="1:36" ht="11.25" customHeight="1" x14ac:dyDescent="0.2">
      <c r="A925" s="35" t="s">
        <v>53</v>
      </c>
      <c r="B925" s="35" t="s">
        <v>37</v>
      </c>
      <c r="C925" s="35" t="s">
        <v>33</v>
      </c>
      <c r="D925" s="35" t="s">
        <v>42</v>
      </c>
      <c r="E925" s="35" t="s">
        <v>25</v>
      </c>
      <c r="F925" s="35" t="s">
        <v>25</v>
      </c>
      <c r="G925" s="35" t="s">
        <v>25</v>
      </c>
      <c r="H925" s="35" t="s">
        <v>35</v>
      </c>
      <c r="I925" s="55">
        <v>44835</v>
      </c>
      <c r="J925" s="56">
        <f>EFEITO!$J$925*EFEITO!$Y$925</f>
        <v>0</v>
      </c>
      <c r="K925" s="56">
        <f ca="1">EFEITO!$L$925*EFEITO!$Z$925</f>
        <v>7753.6413786194489</v>
      </c>
      <c r="L925" s="56">
        <f>EFEITO!$N$925*EFEITO!$AA$925</f>
        <v>7309.5792080368938</v>
      </c>
      <c r="M925" s="56">
        <f>$J$925-EFEITO!$K$925*EFEITO!$Y$925</f>
        <v>0</v>
      </c>
      <c r="N925" s="56">
        <f ca="1">$K$925-EFEITO!$M$925*EFEITO!$Z$925</f>
        <v>0</v>
      </c>
      <c r="O925" s="56">
        <f>$L$925-EFEITO!$O$925*EFEITO!$AA$925</f>
        <v>0</v>
      </c>
      <c r="P925" s="39"/>
      <c r="Q925" s="39"/>
      <c r="R925" s="39"/>
      <c r="S925" s="39"/>
      <c r="T925" s="39"/>
      <c r="U925" s="39"/>
      <c r="V925" s="39"/>
      <c r="W925" s="39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</row>
    <row r="926" spans="1:36" ht="11.25" customHeight="1" x14ac:dyDescent="0.2">
      <c r="A926" s="35" t="s">
        <v>53</v>
      </c>
      <c r="B926" s="35" t="s">
        <v>37</v>
      </c>
      <c r="C926" s="35" t="s">
        <v>33</v>
      </c>
      <c r="D926" s="35" t="s">
        <v>42</v>
      </c>
      <c r="E926" s="35" t="s">
        <v>25</v>
      </c>
      <c r="F926" s="35" t="s">
        <v>25</v>
      </c>
      <c r="G926" s="35" t="s">
        <v>25</v>
      </c>
      <c r="H926" s="35" t="s">
        <v>35</v>
      </c>
      <c r="I926" s="55">
        <v>44835</v>
      </c>
      <c r="J926" s="56">
        <f>EFEITO!$J$926*EFEITO!$Y$926</f>
        <v>0</v>
      </c>
      <c r="K926" s="56">
        <f ca="1">EFEITO!$L$926*EFEITO!$Z$926</f>
        <v>1264.6635925752498</v>
      </c>
      <c r="L926" s="56">
        <f>EFEITO!$N$926*EFEITO!$AA$926</f>
        <v>1192.2344934523176</v>
      </c>
      <c r="M926" s="56">
        <f>$J$926-EFEITO!$K$926*EFEITO!$Y$926</f>
        <v>0</v>
      </c>
      <c r="N926" s="56">
        <f ca="1">$K$926-EFEITO!$M$926*EFEITO!$Z$926</f>
        <v>0</v>
      </c>
      <c r="O926" s="56">
        <f>$L$926-EFEITO!$O$926*EFEITO!$AA$926</f>
        <v>0</v>
      </c>
      <c r="P926" s="39"/>
      <c r="Q926" s="39"/>
      <c r="R926" s="39"/>
      <c r="S926" s="39"/>
      <c r="T926" s="39"/>
      <c r="U926" s="39"/>
      <c r="V926" s="39"/>
      <c r="W926" s="39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</row>
    <row r="927" spans="1:36" ht="11.25" customHeight="1" x14ac:dyDescent="0.2">
      <c r="A927" s="35" t="s">
        <v>21</v>
      </c>
      <c r="B927" s="35" t="s">
        <v>37</v>
      </c>
      <c r="C927" s="35" t="s">
        <v>33</v>
      </c>
      <c r="D927" s="35" t="s">
        <v>42</v>
      </c>
      <c r="E927" s="35" t="s">
        <v>25</v>
      </c>
      <c r="F927" s="35" t="s">
        <v>25</v>
      </c>
      <c r="G927" s="35" t="s">
        <v>25</v>
      </c>
      <c r="H927" s="35" t="s">
        <v>36</v>
      </c>
      <c r="I927" s="55">
        <v>44501</v>
      </c>
      <c r="J927" s="56">
        <f>EFEITO!$J$927*EFEITO!$Y$927</f>
        <v>0</v>
      </c>
      <c r="K927" s="56">
        <f ca="1">EFEITO!$L$927*EFEITO!$Z$927</f>
        <v>744.97073422779977</v>
      </c>
      <c r="L927" s="56">
        <f>EFEITO!$N$927*EFEITO!$AA$927</f>
        <v>364.10272986987974</v>
      </c>
      <c r="M927" s="56">
        <f>$J$927-EFEITO!$K$927*EFEITO!$Y$927</f>
        <v>0</v>
      </c>
      <c r="N927" s="56">
        <f ca="1">$K$927-EFEITO!$M$927*EFEITO!$Z$927</f>
        <v>0</v>
      </c>
      <c r="O927" s="56">
        <f>$L$927-EFEITO!$O$927*EFEITO!$AA$927</f>
        <v>0</v>
      </c>
      <c r="P927" s="39"/>
      <c r="Q927" s="39"/>
      <c r="R927" s="39"/>
      <c r="S927" s="39"/>
      <c r="T927" s="39"/>
      <c r="U927" s="39"/>
      <c r="V927" s="39"/>
      <c r="W927" s="39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</row>
    <row r="928" spans="1:36" ht="11.25" customHeight="1" x14ac:dyDescent="0.2">
      <c r="A928" s="35" t="s">
        <v>28</v>
      </c>
      <c r="B928" s="35" t="s">
        <v>37</v>
      </c>
      <c r="C928" s="35" t="s">
        <v>33</v>
      </c>
      <c r="D928" s="35" t="s">
        <v>42</v>
      </c>
      <c r="E928" s="35" t="s">
        <v>25</v>
      </c>
      <c r="F928" s="35" t="s">
        <v>25</v>
      </c>
      <c r="G928" s="35" t="s">
        <v>25</v>
      </c>
      <c r="H928" s="35" t="s">
        <v>36</v>
      </c>
      <c r="I928" s="55">
        <v>44501</v>
      </c>
      <c r="J928" s="56">
        <f>EFEITO!$J$928*EFEITO!$Y$928</f>
        <v>0</v>
      </c>
      <c r="K928" s="56">
        <f ca="1">EFEITO!$L$928*EFEITO!$Z$928</f>
        <v>334.83894134971774</v>
      </c>
      <c r="L928" s="56">
        <f>EFEITO!$N$928*EFEITO!$AA$928</f>
        <v>163.65176108366822</v>
      </c>
      <c r="M928" s="56">
        <f>$J$928-EFEITO!$K$928*EFEITO!$Y$928</f>
        <v>0</v>
      </c>
      <c r="N928" s="56">
        <f ca="1">$K$928-EFEITO!$M$928*EFEITO!$Z$928</f>
        <v>0</v>
      </c>
      <c r="O928" s="56">
        <f>$L$928-EFEITO!$O$928*EFEITO!$AA$928</f>
        <v>0</v>
      </c>
      <c r="P928" s="39"/>
      <c r="Q928" s="39"/>
      <c r="R928" s="39"/>
      <c r="S928" s="39"/>
      <c r="T928" s="39"/>
      <c r="U928" s="39"/>
      <c r="V928" s="39"/>
      <c r="W928" s="39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</row>
    <row r="929" spans="1:36" ht="11.25" customHeight="1" x14ac:dyDescent="0.2">
      <c r="A929" s="35" t="s">
        <v>21</v>
      </c>
      <c r="B929" s="35" t="s">
        <v>37</v>
      </c>
      <c r="C929" s="35" t="s">
        <v>33</v>
      </c>
      <c r="D929" s="35" t="s">
        <v>42</v>
      </c>
      <c r="E929" s="35" t="s">
        <v>25</v>
      </c>
      <c r="F929" s="35" t="s">
        <v>25</v>
      </c>
      <c r="G929" s="35" t="s">
        <v>25</v>
      </c>
      <c r="H929" s="35" t="s">
        <v>36</v>
      </c>
      <c r="I929" s="55">
        <v>44531</v>
      </c>
      <c r="J929" s="56">
        <f>EFEITO!$J$929*EFEITO!$Y$929</f>
        <v>0</v>
      </c>
      <c r="K929" s="56">
        <f ca="1">EFEITO!$L$929*EFEITO!$Z$929</f>
        <v>789.04459853708613</v>
      </c>
      <c r="L929" s="56">
        <f>EFEITO!$N$929*EFEITO!$AA$929</f>
        <v>385.64372950063671</v>
      </c>
      <c r="M929" s="56">
        <f>$J$929-EFEITO!$K$929*EFEITO!$Y$929</f>
        <v>0</v>
      </c>
      <c r="N929" s="56">
        <f ca="1">$K$929-EFEITO!$M$929*EFEITO!$Z$929</f>
        <v>0</v>
      </c>
      <c r="O929" s="56">
        <f>$L$929-EFEITO!$O$929*EFEITO!$AA$929</f>
        <v>0</v>
      </c>
      <c r="P929" s="39"/>
      <c r="Q929" s="39"/>
      <c r="R929" s="39"/>
      <c r="S929" s="39"/>
      <c r="T929" s="39"/>
      <c r="U929" s="39"/>
      <c r="V929" s="39"/>
      <c r="W929" s="39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</row>
    <row r="930" spans="1:36" ht="11.25" customHeight="1" x14ac:dyDescent="0.2">
      <c r="A930" s="35" t="s">
        <v>28</v>
      </c>
      <c r="B930" s="35" t="s">
        <v>37</v>
      </c>
      <c r="C930" s="35" t="s">
        <v>33</v>
      </c>
      <c r="D930" s="35" t="s">
        <v>42</v>
      </c>
      <c r="E930" s="35" t="s">
        <v>25</v>
      </c>
      <c r="F930" s="35" t="s">
        <v>25</v>
      </c>
      <c r="G930" s="35" t="s">
        <v>25</v>
      </c>
      <c r="H930" s="35" t="s">
        <v>36</v>
      </c>
      <c r="I930" s="55">
        <v>44531</v>
      </c>
      <c r="J930" s="56">
        <f>EFEITO!$J$930*EFEITO!$Y$930</f>
        <v>0</v>
      </c>
      <c r="K930" s="56">
        <f ca="1">EFEITO!$L$930*EFEITO!$Z$930</f>
        <v>326.26902328957868</v>
      </c>
      <c r="L930" s="56">
        <f>EFEITO!$N$930*EFEITO!$AA$930</f>
        <v>159.46323337768766</v>
      </c>
      <c r="M930" s="56">
        <f>$J$930-EFEITO!$K$930*EFEITO!$Y$930</f>
        <v>0</v>
      </c>
      <c r="N930" s="56">
        <f ca="1">$K$930-EFEITO!$M$930*EFEITO!$Z$930</f>
        <v>0</v>
      </c>
      <c r="O930" s="56">
        <f>$L$930-EFEITO!$O$930*EFEITO!$AA$930</f>
        <v>0</v>
      </c>
      <c r="P930" s="39"/>
      <c r="Q930" s="39"/>
      <c r="R930" s="39"/>
      <c r="S930" s="39"/>
      <c r="T930" s="39"/>
      <c r="U930" s="39"/>
      <c r="V930" s="39"/>
      <c r="W930" s="39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</row>
    <row r="931" spans="1:36" ht="11.25" customHeight="1" x14ac:dyDescent="0.2">
      <c r="A931" s="35" t="s">
        <v>21</v>
      </c>
      <c r="B931" s="35" t="s">
        <v>37</v>
      </c>
      <c r="C931" s="35" t="s">
        <v>33</v>
      </c>
      <c r="D931" s="35" t="s">
        <v>42</v>
      </c>
      <c r="E931" s="35" t="s">
        <v>25</v>
      </c>
      <c r="F931" s="35" t="s">
        <v>25</v>
      </c>
      <c r="G931" s="35" t="s">
        <v>25</v>
      </c>
      <c r="H931" s="35" t="s">
        <v>36</v>
      </c>
      <c r="I931" s="55">
        <v>44562</v>
      </c>
      <c r="J931" s="56">
        <f>EFEITO!$J$931*EFEITO!$Y$931</f>
        <v>0</v>
      </c>
      <c r="K931" s="56">
        <f ca="1">EFEITO!$L$931*EFEITO!$Z$931</f>
        <v>761.49843334378215</v>
      </c>
      <c r="L931" s="56">
        <f>EFEITO!$N$931*EFEITO!$AA$931</f>
        <v>372.18060473141361</v>
      </c>
      <c r="M931" s="56">
        <f>$J$931-EFEITO!$K$931*EFEITO!$Y$931</f>
        <v>0</v>
      </c>
      <c r="N931" s="56">
        <f ca="1">$K$931-EFEITO!$M$931*EFEITO!$Z$931</f>
        <v>0</v>
      </c>
      <c r="O931" s="56">
        <f>$L$931-EFEITO!$O$931*EFEITO!$AA$931</f>
        <v>0</v>
      </c>
      <c r="P931" s="39"/>
      <c r="Q931" s="39"/>
      <c r="R931" s="39"/>
      <c r="S931" s="39"/>
      <c r="T931" s="39"/>
      <c r="U931" s="39"/>
      <c r="V931" s="39"/>
      <c r="W931" s="39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</row>
    <row r="932" spans="1:36" ht="11.25" customHeight="1" x14ac:dyDescent="0.2">
      <c r="A932" s="35" t="s">
        <v>28</v>
      </c>
      <c r="B932" s="35" t="s">
        <v>37</v>
      </c>
      <c r="C932" s="35" t="s">
        <v>33</v>
      </c>
      <c r="D932" s="35" t="s">
        <v>42</v>
      </c>
      <c r="E932" s="35" t="s">
        <v>25</v>
      </c>
      <c r="F932" s="35" t="s">
        <v>25</v>
      </c>
      <c r="G932" s="35" t="s">
        <v>25</v>
      </c>
      <c r="H932" s="35" t="s">
        <v>36</v>
      </c>
      <c r="I932" s="55">
        <v>44562</v>
      </c>
      <c r="J932" s="56">
        <f>EFEITO!$J$932*EFEITO!$Y$932</f>
        <v>0</v>
      </c>
      <c r="K932" s="56">
        <f ca="1">EFEITO!$L$932*EFEITO!$Z$932</f>
        <v>373.40357262034331</v>
      </c>
      <c r="L932" s="56">
        <f>EFEITO!$N$932*EFEITO!$AA$932</f>
        <v>182.5001357605806</v>
      </c>
      <c r="M932" s="56">
        <f>$J$932-EFEITO!$K$932*EFEITO!$Y$932</f>
        <v>0</v>
      </c>
      <c r="N932" s="56">
        <f ca="1">$K$932-EFEITO!$M$932*EFEITO!$Z$932</f>
        <v>0</v>
      </c>
      <c r="O932" s="56">
        <f>$L$932-EFEITO!$O$932*EFEITO!$AA$932</f>
        <v>0</v>
      </c>
      <c r="P932" s="39"/>
      <c r="Q932" s="39"/>
      <c r="R932" s="39"/>
      <c r="S932" s="39"/>
      <c r="T932" s="39"/>
      <c r="U932" s="39"/>
      <c r="V932" s="39"/>
      <c r="W932" s="39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</row>
    <row r="933" spans="1:36" ht="11.25" customHeight="1" x14ac:dyDescent="0.2">
      <c r="A933" s="35" t="s">
        <v>21</v>
      </c>
      <c r="B933" s="35" t="s">
        <v>37</v>
      </c>
      <c r="C933" s="35" t="s">
        <v>33</v>
      </c>
      <c r="D933" s="35" t="s">
        <v>42</v>
      </c>
      <c r="E933" s="35" t="s">
        <v>25</v>
      </c>
      <c r="F933" s="35" t="s">
        <v>25</v>
      </c>
      <c r="G933" s="35" t="s">
        <v>25</v>
      </c>
      <c r="H933" s="35" t="s">
        <v>36</v>
      </c>
      <c r="I933" s="55">
        <v>44593</v>
      </c>
      <c r="J933" s="56">
        <f>EFEITO!$J$933*EFEITO!$Y$933</f>
        <v>0</v>
      </c>
      <c r="K933" s="56">
        <f ca="1">EFEITO!$L$933*EFEITO!$Z$933</f>
        <v>1204.685624453829</v>
      </c>
      <c r="L933" s="56">
        <f>EFEITO!$N$933*EFEITO!$AA$933</f>
        <v>588.7873232406929</v>
      </c>
      <c r="M933" s="56">
        <f>$J$933-EFEITO!$K$933*EFEITO!$Y$933</f>
        <v>0</v>
      </c>
      <c r="N933" s="56">
        <f ca="1">$K$933-EFEITO!$M$933*EFEITO!$Z$933</f>
        <v>0</v>
      </c>
      <c r="O933" s="56">
        <f>$L$933-EFEITO!$O$933*EFEITO!$AA$933</f>
        <v>0</v>
      </c>
      <c r="P933" s="39"/>
      <c r="Q933" s="39"/>
      <c r="R933" s="39"/>
      <c r="S933" s="39"/>
      <c r="T933" s="39"/>
      <c r="U933" s="39"/>
      <c r="V933" s="39"/>
      <c r="W933" s="39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</row>
    <row r="934" spans="1:36" ht="11.25" customHeight="1" x14ac:dyDescent="0.2">
      <c r="A934" s="35" t="s">
        <v>21</v>
      </c>
      <c r="B934" s="35" t="s">
        <v>37</v>
      </c>
      <c r="C934" s="35" t="s">
        <v>33</v>
      </c>
      <c r="D934" s="35" t="s">
        <v>42</v>
      </c>
      <c r="E934" s="35" t="s">
        <v>25</v>
      </c>
      <c r="F934" s="35" t="s">
        <v>25</v>
      </c>
      <c r="G934" s="35" t="s">
        <v>25</v>
      </c>
      <c r="H934" s="35" t="s">
        <v>36</v>
      </c>
      <c r="I934" s="55">
        <v>44621</v>
      </c>
      <c r="J934" s="56">
        <f>EFEITO!$J$934*EFEITO!$Y$934</f>
        <v>0</v>
      </c>
      <c r="K934" s="56">
        <f ca="1">EFEITO!$L$934*EFEITO!$Z$934</f>
        <v>796.3902425886339</v>
      </c>
      <c r="L934" s="56">
        <f>EFEITO!$N$934*EFEITO!$AA$934</f>
        <v>389.23389610576294</v>
      </c>
      <c r="M934" s="56">
        <f>$J$934-EFEITO!$K$934*EFEITO!$Y$934</f>
        <v>0</v>
      </c>
      <c r="N934" s="56">
        <f ca="1">$K$934-EFEITO!$M$934*EFEITO!$Z$934</f>
        <v>0</v>
      </c>
      <c r="O934" s="56">
        <f>$L$934-EFEITO!$O$934*EFEITO!$AA$934</f>
        <v>0</v>
      </c>
      <c r="P934" s="39"/>
      <c r="Q934" s="39"/>
      <c r="R934" s="39"/>
      <c r="S934" s="39"/>
      <c r="T934" s="39"/>
      <c r="U934" s="39"/>
      <c r="V934" s="39"/>
      <c r="W934" s="39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</row>
    <row r="935" spans="1:36" ht="11.25" customHeight="1" x14ac:dyDescent="0.2">
      <c r="A935" s="35" t="s">
        <v>28</v>
      </c>
      <c r="B935" s="35" t="s">
        <v>37</v>
      </c>
      <c r="C935" s="35" t="s">
        <v>33</v>
      </c>
      <c r="D935" s="35" t="s">
        <v>42</v>
      </c>
      <c r="E935" s="35" t="s">
        <v>25</v>
      </c>
      <c r="F935" s="35" t="s">
        <v>25</v>
      </c>
      <c r="G935" s="35" t="s">
        <v>25</v>
      </c>
      <c r="H935" s="35" t="s">
        <v>36</v>
      </c>
      <c r="I935" s="55">
        <v>44621</v>
      </c>
      <c r="J935" s="56">
        <f>EFEITO!$J$935*EFEITO!$Y$935</f>
        <v>0</v>
      </c>
      <c r="K935" s="56">
        <f ca="1">EFEITO!$L$935*EFEITO!$Z$935</f>
        <v>361.7729695387261</v>
      </c>
      <c r="L935" s="56">
        <f>EFEITO!$N$935*EFEITO!$AA$935</f>
        <v>176.81570530246415</v>
      </c>
      <c r="M935" s="56">
        <f>$J$935-EFEITO!$K$935*EFEITO!$Y$935</f>
        <v>0</v>
      </c>
      <c r="N935" s="56">
        <f ca="1">$K$935-EFEITO!$M$935*EFEITO!$Z$935</f>
        <v>0</v>
      </c>
      <c r="O935" s="56">
        <f>$L$935-EFEITO!$O$935*EFEITO!$AA$935</f>
        <v>0</v>
      </c>
      <c r="P935" s="39"/>
      <c r="Q935" s="39"/>
      <c r="R935" s="39"/>
      <c r="S935" s="39"/>
      <c r="T935" s="39"/>
      <c r="U935" s="39"/>
      <c r="V935" s="39"/>
      <c r="W935" s="39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</row>
    <row r="936" spans="1:36" ht="11.25" customHeight="1" x14ac:dyDescent="0.2">
      <c r="A936" s="35" t="s">
        <v>21</v>
      </c>
      <c r="B936" s="35" t="s">
        <v>37</v>
      </c>
      <c r="C936" s="35" t="s">
        <v>33</v>
      </c>
      <c r="D936" s="35" t="s">
        <v>42</v>
      </c>
      <c r="E936" s="35" t="s">
        <v>25</v>
      </c>
      <c r="F936" s="35" t="s">
        <v>25</v>
      </c>
      <c r="G936" s="35" t="s">
        <v>25</v>
      </c>
      <c r="H936" s="35" t="s">
        <v>36</v>
      </c>
      <c r="I936" s="55">
        <v>44652</v>
      </c>
      <c r="J936" s="56">
        <f>EFEITO!$J$936*EFEITO!$Y$936</f>
        <v>0</v>
      </c>
      <c r="K936" s="56">
        <f ca="1">EFEITO!$L$936*EFEITO!$Z$936</f>
        <v>1172.2423632261598</v>
      </c>
      <c r="L936" s="56">
        <f>EFEITO!$N$936*EFEITO!$AA$936</f>
        <v>572.93075406805224</v>
      </c>
      <c r="M936" s="56">
        <f>$J$936-EFEITO!$K$936*EFEITO!$Y$936</f>
        <v>0</v>
      </c>
      <c r="N936" s="56">
        <f ca="1">$K$936-EFEITO!$M$936*EFEITO!$Z$936</f>
        <v>0</v>
      </c>
      <c r="O936" s="56">
        <f>$L$936-EFEITO!$O$936*EFEITO!$AA$936</f>
        <v>0</v>
      </c>
      <c r="P936" s="39"/>
      <c r="Q936" s="39"/>
      <c r="R936" s="39"/>
      <c r="S936" s="39"/>
      <c r="T936" s="39"/>
      <c r="U936" s="39"/>
      <c r="V936" s="39"/>
      <c r="W936" s="39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</row>
    <row r="937" spans="1:36" ht="11.25" customHeight="1" x14ac:dyDescent="0.2">
      <c r="A937" s="35" t="s">
        <v>21</v>
      </c>
      <c r="B937" s="35" t="s">
        <v>37</v>
      </c>
      <c r="C937" s="35" t="s">
        <v>33</v>
      </c>
      <c r="D937" s="35" t="s">
        <v>42</v>
      </c>
      <c r="E937" s="35" t="s">
        <v>25</v>
      </c>
      <c r="F937" s="35" t="s">
        <v>25</v>
      </c>
      <c r="G937" s="35" t="s">
        <v>25</v>
      </c>
      <c r="H937" s="35" t="s">
        <v>36</v>
      </c>
      <c r="I937" s="55">
        <v>44682</v>
      </c>
      <c r="J937" s="56">
        <f>EFEITO!$J$937*EFEITO!$Y$937</f>
        <v>0</v>
      </c>
      <c r="K937" s="56">
        <f ca="1">EFEITO!$L$937*EFEITO!$Z$937</f>
        <v>825.77281879482484</v>
      </c>
      <c r="L937" s="56">
        <f>EFEITO!$N$937*EFEITO!$AA$937</f>
        <v>403.59456252626762</v>
      </c>
      <c r="M937" s="56">
        <f>$J$937-EFEITO!$K$937*EFEITO!$Y$937</f>
        <v>0</v>
      </c>
      <c r="N937" s="56">
        <f ca="1">$K$937-EFEITO!$M$937*EFEITO!$Z$937</f>
        <v>0</v>
      </c>
      <c r="O937" s="56">
        <f>$L$937-EFEITO!$O$937*EFEITO!$AA$937</f>
        <v>0</v>
      </c>
      <c r="P937" s="39"/>
      <c r="Q937" s="39"/>
      <c r="R937" s="39"/>
      <c r="S937" s="39"/>
      <c r="T937" s="39"/>
      <c r="U937" s="39"/>
      <c r="V937" s="39"/>
      <c r="W937" s="39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</row>
    <row r="938" spans="1:36" ht="11.25" customHeight="1" x14ac:dyDescent="0.2">
      <c r="A938" s="35" t="s">
        <v>28</v>
      </c>
      <c r="B938" s="35" t="s">
        <v>37</v>
      </c>
      <c r="C938" s="35" t="s">
        <v>33</v>
      </c>
      <c r="D938" s="35" t="s">
        <v>42</v>
      </c>
      <c r="E938" s="35" t="s">
        <v>25</v>
      </c>
      <c r="F938" s="35" t="s">
        <v>25</v>
      </c>
      <c r="G938" s="35" t="s">
        <v>25</v>
      </c>
      <c r="H938" s="35" t="s">
        <v>36</v>
      </c>
      <c r="I938" s="55">
        <v>44682</v>
      </c>
      <c r="J938" s="56">
        <f>EFEITO!$J$938*EFEITO!$Y$938</f>
        <v>0</v>
      </c>
      <c r="K938" s="56">
        <f ca="1">EFEITO!$L$938*EFEITO!$Z$938</f>
        <v>344.63313341844798</v>
      </c>
      <c r="L938" s="56">
        <f>EFEITO!$N$938*EFEITO!$AA$938</f>
        <v>168.43864989050309</v>
      </c>
      <c r="M938" s="56">
        <f>$J$938-EFEITO!$K$938*EFEITO!$Y$938</f>
        <v>0</v>
      </c>
      <c r="N938" s="56">
        <f ca="1">$K$938-EFEITO!$M$938*EFEITO!$Z$938</f>
        <v>0</v>
      </c>
      <c r="O938" s="56">
        <f>$L$938-EFEITO!$O$938*EFEITO!$AA$938</f>
        <v>0</v>
      </c>
      <c r="P938" s="39"/>
      <c r="Q938" s="39"/>
      <c r="R938" s="39"/>
      <c r="S938" s="39"/>
      <c r="T938" s="39"/>
      <c r="U938" s="39"/>
      <c r="V938" s="39"/>
      <c r="W938" s="39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</row>
    <row r="939" spans="1:36" ht="11.25" customHeight="1" x14ac:dyDescent="0.2">
      <c r="A939" s="35" t="s">
        <v>21</v>
      </c>
      <c r="B939" s="35" t="s">
        <v>37</v>
      </c>
      <c r="C939" s="35" t="s">
        <v>33</v>
      </c>
      <c r="D939" s="35" t="s">
        <v>42</v>
      </c>
      <c r="E939" s="35" t="s">
        <v>25</v>
      </c>
      <c r="F939" s="35" t="s">
        <v>25</v>
      </c>
      <c r="G939" s="35" t="s">
        <v>25</v>
      </c>
      <c r="H939" s="35" t="s">
        <v>36</v>
      </c>
      <c r="I939" s="55">
        <v>44713</v>
      </c>
      <c r="J939" s="56">
        <f>EFEITO!$J$939*EFEITO!$Y$939</f>
        <v>0</v>
      </c>
      <c r="K939" s="56">
        <f ca="1">EFEITO!$L$939*EFEITO!$Z$939</f>
        <v>411.35606688667337</v>
      </c>
      <c r="L939" s="56">
        <f>EFEITO!$N$939*EFEITO!$AA$939</f>
        <v>201.04932988706588</v>
      </c>
      <c r="M939" s="56">
        <f>$J$939-EFEITO!$K$939*EFEITO!$Y$939</f>
        <v>0</v>
      </c>
      <c r="N939" s="56">
        <f ca="1">$K$939-EFEITO!$M$939*EFEITO!$Z$939</f>
        <v>0</v>
      </c>
      <c r="O939" s="56">
        <f>$L$939-EFEITO!$O$939*EFEITO!$AA$939</f>
        <v>0</v>
      </c>
      <c r="P939" s="39"/>
      <c r="Q939" s="39"/>
      <c r="R939" s="39"/>
      <c r="S939" s="39"/>
      <c r="T939" s="39"/>
      <c r="U939" s="39"/>
      <c r="V939" s="39"/>
      <c r="W939" s="39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</row>
    <row r="940" spans="1:36" ht="11.25" customHeight="1" x14ac:dyDescent="0.2">
      <c r="A940" s="35" t="s">
        <v>28</v>
      </c>
      <c r="B940" s="35" t="s">
        <v>37</v>
      </c>
      <c r="C940" s="35" t="s">
        <v>33</v>
      </c>
      <c r="D940" s="35" t="s">
        <v>42</v>
      </c>
      <c r="E940" s="35" t="s">
        <v>25</v>
      </c>
      <c r="F940" s="35" t="s">
        <v>25</v>
      </c>
      <c r="G940" s="35" t="s">
        <v>25</v>
      </c>
      <c r="H940" s="35" t="s">
        <v>36</v>
      </c>
      <c r="I940" s="55">
        <v>44713</v>
      </c>
      <c r="J940" s="56">
        <f>EFEITO!$J$940*EFEITO!$Y$940</f>
        <v>0</v>
      </c>
      <c r="K940" s="56">
        <f ca="1">EFEITO!$L$940*EFEITO!$Z$940</f>
        <v>338.51176337549163</v>
      </c>
      <c r="L940" s="56">
        <f>EFEITO!$N$940*EFEITO!$AA$940</f>
        <v>165.44684438623131</v>
      </c>
      <c r="M940" s="56">
        <f>$J$940-EFEITO!$K$940*EFEITO!$Y$940</f>
        <v>0</v>
      </c>
      <c r="N940" s="56">
        <f ca="1">$K$940-EFEITO!$M$940*EFEITO!$Z$940</f>
        <v>0</v>
      </c>
      <c r="O940" s="56">
        <f>$L$940-EFEITO!$O$940*EFEITO!$AA$940</f>
        <v>0</v>
      </c>
      <c r="P940" s="39"/>
      <c r="Q940" s="39"/>
      <c r="R940" s="39"/>
      <c r="S940" s="39"/>
      <c r="T940" s="39"/>
      <c r="U940" s="39"/>
      <c r="V940" s="39"/>
      <c r="W940" s="39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</row>
    <row r="941" spans="1:36" ht="11.25" customHeight="1" x14ac:dyDescent="0.2">
      <c r="A941" s="35" t="s">
        <v>21</v>
      </c>
      <c r="B941" s="35" t="s">
        <v>37</v>
      </c>
      <c r="C941" s="35" t="s">
        <v>33</v>
      </c>
      <c r="D941" s="35" t="s">
        <v>42</v>
      </c>
      <c r="E941" s="35" t="s">
        <v>25</v>
      </c>
      <c r="F941" s="35" t="s">
        <v>25</v>
      </c>
      <c r="G941" s="35" t="s">
        <v>25</v>
      </c>
      <c r="H941" s="35" t="s">
        <v>36</v>
      </c>
      <c r="I941" s="55">
        <v>44743</v>
      </c>
      <c r="J941" s="56">
        <f>EFEITO!$J$941*EFEITO!$Y$941</f>
        <v>0</v>
      </c>
      <c r="K941" s="56">
        <f ca="1">EFEITO!$L$941*EFEITO!$Z$941</f>
        <v>1238.9652966943852</v>
      </c>
      <c r="L941" s="56">
        <f>EFEITO!$N$941*EFEITO!$AA$941</f>
        <v>605.54143406461503</v>
      </c>
      <c r="M941" s="56">
        <f>$J$941-EFEITO!$K$941*EFEITO!$Y$941</f>
        <v>0</v>
      </c>
      <c r="N941" s="56">
        <f ca="1">$K$941-EFEITO!$M$941*EFEITO!$Z$941</f>
        <v>0</v>
      </c>
      <c r="O941" s="56">
        <f>$L$941-EFEITO!$O$941*EFEITO!$AA$941</f>
        <v>0</v>
      </c>
      <c r="P941" s="39"/>
      <c r="Q941" s="39"/>
      <c r="R941" s="39"/>
      <c r="S941" s="39"/>
      <c r="T941" s="39"/>
      <c r="U941" s="39"/>
      <c r="V941" s="39"/>
      <c r="W941" s="39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</row>
    <row r="942" spans="1:36" ht="11.25" customHeight="1" x14ac:dyDescent="0.2">
      <c r="A942" s="35" t="s">
        <v>21</v>
      </c>
      <c r="B942" s="35" t="s">
        <v>37</v>
      </c>
      <c r="C942" s="35" t="s">
        <v>33</v>
      </c>
      <c r="D942" s="35" t="s">
        <v>42</v>
      </c>
      <c r="E942" s="35" t="s">
        <v>25</v>
      </c>
      <c r="F942" s="35" t="s">
        <v>25</v>
      </c>
      <c r="G942" s="35" t="s">
        <v>25</v>
      </c>
      <c r="H942" s="35" t="s">
        <v>36</v>
      </c>
      <c r="I942" s="55">
        <v>44774</v>
      </c>
      <c r="J942" s="56">
        <f>EFEITO!$J$942*EFEITO!$Y$942</f>
        <v>0</v>
      </c>
      <c r="K942" s="56">
        <f ca="1">EFEITO!$L$942*EFEITO!$Z$942</f>
        <v>691.71481485407855</v>
      </c>
      <c r="L942" s="56">
        <f>EFEITO!$N$942*EFEITO!$AA$942</f>
        <v>338.0740219827149</v>
      </c>
      <c r="M942" s="56">
        <f>$J$942-EFEITO!$K$942*EFEITO!$Y$942</f>
        <v>0</v>
      </c>
      <c r="N942" s="56">
        <f ca="1">$K$942-EFEITO!$M$942*EFEITO!$Z$942</f>
        <v>0</v>
      </c>
      <c r="O942" s="56">
        <f>$L$942-EFEITO!$O$942*EFEITO!$AA$942</f>
        <v>0</v>
      </c>
      <c r="P942" s="39"/>
      <c r="Q942" s="39"/>
      <c r="R942" s="39"/>
      <c r="S942" s="39"/>
      <c r="T942" s="39"/>
      <c r="U942" s="39"/>
      <c r="V942" s="39"/>
      <c r="W942" s="39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</row>
    <row r="943" spans="1:36" ht="11.25" customHeight="1" x14ac:dyDescent="0.2">
      <c r="A943" s="35" t="s">
        <v>28</v>
      </c>
      <c r="B943" s="35" t="s">
        <v>37</v>
      </c>
      <c r="C943" s="35" t="s">
        <v>33</v>
      </c>
      <c r="D943" s="35" t="s">
        <v>42</v>
      </c>
      <c r="E943" s="35" t="s">
        <v>25</v>
      </c>
      <c r="F943" s="35" t="s">
        <v>25</v>
      </c>
      <c r="G943" s="35" t="s">
        <v>25</v>
      </c>
      <c r="H943" s="35" t="s">
        <v>36</v>
      </c>
      <c r="I943" s="55">
        <v>44774</v>
      </c>
      <c r="J943" s="56">
        <f>EFEITO!$J$943*EFEITO!$Y$943</f>
        <v>0</v>
      </c>
      <c r="K943" s="56">
        <f ca="1">EFEITO!$L$943*EFEITO!$Z$943</f>
        <v>304.84422813923112</v>
      </c>
      <c r="L943" s="56">
        <f>EFEITO!$N$943*EFEITO!$AA$943</f>
        <v>148.99191411273631</v>
      </c>
      <c r="M943" s="56">
        <f>$J$943-EFEITO!$K$943*EFEITO!$Y$943</f>
        <v>0</v>
      </c>
      <c r="N943" s="56">
        <f ca="1">$K$943-EFEITO!$M$943*EFEITO!$Z$943</f>
        <v>0</v>
      </c>
      <c r="O943" s="56">
        <f>$L$943-EFEITO!$O$943*EFEITO!$AA$943</f>
        <v>0</v>
      </c>
      <c r="P943" s="39"/>
      <c r="Q943" s="39"/>
      <c r="R943" s="39"/>
      <c r="S943" s="39"/>
      <c r="T943" s="39"/>
      <c r="U943" s="39"/>
      <c r="V943" s="39"/>
      <c r="W943" s="39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</row>
    <row r="944" spans="1:36" ht="11.25" customHeight="1" x14ac:dyDescent="0.2">
      <c r="A944" s="35" t="s">
        <v>21</v>
      </c>
      <c r="B944" s="35" t="s">
        <v>37</v>
      </c>
      <c r="C944" s="35" t="s">
        <v>33</v>
      </c>
      <c r="D944" s="35" t="s">
        <v>42</v>
      </c>
      <c r="E944" s="35" t="s">
        <v>25</v>
      </c>
      <c r="F944" s="35" t="s">
        <v>25</v>
      </c>
      <c r="G944" s="35" t="s">
        <v>25</v>
      </c>
      <c r="H944" s="35" t="s">
        <v>36</v>
      </c>
      <c r="I944" s="55">
        <v>44805</v>
      </c>
      <c r="J944" s="56">
        <f>EFEITO!$J$944*EFEITO!$Y$944</f>
        <v>0</v>
      </c>
      <c r="K944" s="56">
        <f ca="1">EFEITO!$L$944*EFEITO!$Z$944</f>
        <v>722.93380207315658</v>
      </c>
      <c r="L944" s="56">
        <f>EFEITO!$N$944*EFEITO!$AA$944</f>
        <v>353.33223005450117</v>
      </c>
      <c r="M944" s="56">
        <f>$J$944-EFEITO!$K$944*EFEITO!$Y$944</f>
        <v>0</v>
      </c>
      <c r="N944" s="56">
        <f ca="1">$K$944-EFEITO!$M$944*EFEITO!$Z$944</f>
        <v>0</v>
      </c>
      <c r="O944" s="56">
        <f>$L$944-EFEITO!$O$944*EFEITO!$AA$944</f>
        <v>0</v>
      </c>
      <c r="P944" s="39"/>
      <c r="Q944" s="39"/>
      <c r="R944" s="39"/>
      <c r="S944" s="39"/>
      <c r="T944" s="39"/>
      <c r="U944" s="39"/>
      <c r="V944" s="39"/>
      <c r="W944" s="39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</row>
    <row r="945" spans="1:36" ht="11.25" customHeight="1" x14ac:dyDescent="0.2">
      <c r="A945" s="35" t="s">
        <v>28</v>
      </c>
      <c r="B945" s="35" t="s">
        <v>37</v>
      </c>
      <c r="C945" s="35" t="s">
        <v>33</v>
      </c>
      <c r="D945" s="35" t="s">
        <v>42</v>
      </c>
      <c r="E945" s="35" t="s">
        <v>25</v>
      </c>
      <c r="F945" s="35" t="s">
        <v>25</v>
      </c>
      <c r="G945" s="35" t="s">
        <v>25</v>
      </c>
      <c r="H945" s="35" t="s">
        <v>36</v>
      </c>
      <c r="I945" s="55">
        <v>44805</v>
      </c>
      <c r="J945" s="56">
        <f>EFEITO!$J$945*EFEITO!$Y$945</f>
        <v>0</v>
      </c>
      <c r="K945" s="56">
        <f ca="1">EFEITO!$L$945*EFEITO!$Z$945</f>
        <v>296.88644708338774</v>
      </c>
      <c r="L945" s="56">
        <f>EFEITO!$N$945*EFEITO!$AA$945</f>
        <v>145.10256695718294</v>
      </c>
      <c r="M945" s="56">
        <f>$J$945-EFEITO!$K$945*EFEITO!$Y$945</f>
        <v>0</v>
      </c>
      <c r="N945" s="56">
        <f ca="1">$K$945-EFEITO!$M$945*EFEITO!$Z$945</f>
        <v>0</v>
      </c>
      <c r="O945" s="56">
        <f>$L$945-EFEITO!$O$945*EFEITO!$AA$945</f>
        <v>0</v>
      </c>
      <c r="P945" s="39"/>
      <c r="Q945" s="39"/>
      <c r="R945" s="39"/>
      <c r="S945" s="39"/>
      <c r="T945" s="39"/>
      <c r="U945" s="39"/>
      <c r="V945" s="39"/>
      <c r="W945" s="39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</row>
    <row r="946" spans="1:36" ht="11.25" customHeight="1" x14ac:dyDescent="0.2">
      <c r="A946" s="35" t="s">
        <v>53</v>
      </c>
      <c r="B946" s="35" t="s">
        <v>37</v>
      </c>
      <c r="C946" s="35" t="s">
        <v>33</v>
      </c>
      <c r="D946" s="35" t="s">
        <v>42</v>
      </c>
      <c r="E946" s="35" t="s">
        <v>25</v>
      </c>
      <c r="F946" s="35" t="s">
        <v>25</v>
      </c>
      <c r="G946" s="35" t="s">
        <v>25</v>
      </c>
      <c r="H946" s="35" t="s">
        <v>36</v>
      </c>
      <c r="I946" s="55">
        <v>44835</v>
      </c>
      <c r="J946" s="56">
        <f>EFEITO!$J$946*EFEITO!$Y$946</f>
        <v>0</v>
      </c>
      <c r="K946" s="56">
        <f ca="1">EFEITO!$L$946*EFEITO!$Z$946</f>
        <v>722.93380207315658</v>
      </c>
      <c r="L946" s="56">
        <f>EFEITO!$N$946*EFEITO!$AA$946</f>
        <v>353.33223005450117</v>
      </c>
      <c r="M946" s="56">
        <f>$J$946-EFEITO!$K$946*EFEITO!$Y$946</f>
        <v>0</v>
      </c>
      <c r="N946" s="56">
        <f ca="1">$K$946-EFEITO!$M$946*EFEITO!$Z$946</f>
        <v>0</v>
      </c>
      <c r="O946" s="56">
        <f>$L$946-EFEITO!$O$946*EFEITO!$AA$946</f>
        <v>0</v>
      </c>
      <c r="P946" s="39"/>
      <c r="Q946" s="39"/>
      <c r="R946" s="39"/>
      <c r="S946" s="39"/>
      <c r="T946" s="39"/>
      <c r="U946" s="39"/>
      <c r="V946" s="39"/>
      <c r="W946" s="39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</row>
    <row r="947" spans="1:36" ht="11.25" customHeight="1" x14ac:dyDescent="0.2">
      <c r="A947" s="35" t="s">
        <v>53</v>
      </c>
      <c r="B947" s="35" t="s">
        <v>37</v>
      </c>
      <c r="C947" s="35" t="s">
        <v>33</v>
      </c>
      <c r="D947" s="35" t="s">
        <v>42</v>
      </c>
      <c r="E947" s="35" t="s">
        <v>25</v>
      </c>
      <c r="F947" s="35" t="s">
        <v>25</v>
      </c>
      <c r="G947" s="35" t="s">
        <v>25</v>
      </c>
      <c r="H947" s="35" t="s">
        <v>36</v>
      </c>
      <c r="I947" s="55">
        <v>44835</v>
      </c>
      <c r="J947" s="56">
        <f>EFEITO!$J$947*EFEITO!$Y$947</f>
        <v>0</v>
      </c>
      <c r="K947" s="56">
        <f ca="1">EFEITO!$L$947*EFEITO!$Z$947</f>
        <v>296.88644708338774</v>
      </c>
      <c r="L947" s="56">
        <f>EFEITO!$N$947*EFEITO!$AA$947</f>
        <v>145.10256695718294</v>
      </c>
      <c r="M947" s="56">
        <f>$J$947-EFEITO!$K$947*EFEITO!$Y$947</f>
        <v>0</v>
      </c>
      <c r="N947" s="56">
        <f ca="1">$K$947-EFEITO!$M$947*EFEITO!$Z$947</f>
        <v>0</v>
      </c>
      <c r="O947" s="56">
        <f>$L$947-EFEITO!$O$947*EFEITO!$AA$947</f>
        <v>0</v>
      </c>
      <c r="P947" s="39"/>
      <c r="Q947" s="39"/>
      <c r="R947" s="39"/>
      <c r="S947" s="39"/>
      <c r="T947" s="39"/>
      <c r="U947" s="39"/>
      <c r="V947" s="39"/>
      <c r="W947" s="39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</row>
    <row r="948" spans="1:36" ht="11.25" customHeight="1" x14ac:dyDescent="0.2">
      <c r="A948" s="35" t="s">
        <v>21</v>
      </c>
      <c r="B948" s="35" t="s">
        <v>37</v>
      </c>
      <c r="C948" s="35" t="s">
        <v>33</v>
      </c>
      <c r="D948" s="35" t="s">
        <v>42</v>
      </c>
      <c r="E948" s="35" t="s">
        <v>25</v>
      </c>
      <c r="F948" s="35" t="s">
        <v>25</v>
      </c>
      <c r="G948" s="35" t="s">
        <v>25</v>
      </c>
      <c r="H948" s="35" t="s">
        <v>34</v>
      </c>
      <c r="I948" s="55">
        <v>44501</v>
      </c>
      <c r="J948" s="56">
        <f>EFEITO!$J$948*EFEITO!$Y$948</f>
        <v>0</v>
      </c>
      <c r="K948" s="56">
        <f ca="1">EFEITO!$L$948*EFEITO!$Z$948</f>
        <v>1473.742254080759</v>
      </c>
      <c r="L948" s="56">
        <f>EFEITO!$N$948*EFEITO!$AA$948</f>
        <v>790.45863659416466</v>
      </c>
      <c r="M948" s="56">
        <f>$J$948-EFEITO!$K$948*EFEITO!$Y$948</f>
        <v>0</v>
      </c>
      <c r="N948" s="56">
        <f ca="1">$K$948-EFEITO!$M$948*EFEITO!$Z$948</f>
        <v>0</v>
      </c>
      <c r="O948" s="56">
        <f>$L$948-EFEITO!$O$948*EFEITO!$AA$948</f>
        <v>0</v>
      </c>
      <c r="P948" s="39"/>
      <c r="Q948" s="39"/>
      <c r="R948" s="39"/>
      <c r="S948" s="39"/>
      <c r="T948" s="39"/>
      <c r="U948" s="39"/>
      <c r="V948" s="39"/>
      <c r="W948" s="39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</row>
    <row r="949" spans="1:36" ht="11.25" customHeight="1" x14ac:dyDescent="0.2">
      <c r="A949" s="35" t="s">
        <v>28</v>
      </c>
      <c r="B949" s="35" t="s">
        <v>37</v>
      </c>
      <c r="C949" s="35" t="s">
        <v>33</v>
      </c>
      <c r="D949" s="35" t="s">
        <v>42</v>
      </c>
      <c r="E949" s="35" t="s">
        <v>25</v>
      </c>
      <c r="F949" s="35" t="s">
        <v>25</v>
      </c>
      <c r="G949" s="35" t="s">
        <v>25</v>
      </c>
      <c r="H949" s="35" t="s">
        <v>34</v>
      </c>
      <c r="I949" s="55">
        <v>44501</v>
      </c>
      <c r="J949" s="56">
        <f>EFEITO!$J$949*EFEITO!$Y$949</f>
        <v>0</v>
      </c>
      <c r="K949" s="56">
        <f ca="1">EFEITO!$L$949*EFEITO!$Z$949</f>
        <v>212.2188845876293</v>
      </c>
      <c r="L949" s="56">
        <f>EFEITO!$N$949*EFEITO!$AA$949</f>
        <v>113.82604366955972</v>
      </c>
      <c r="M949" s="56">
        <f>$J$949-EFEITO!$K$949*EFEITO!$Y$949</f>
        <v>0</v>
      </c>
      <c r="N949" s="56">
        <f ca="1">$K$949-EFEITO!$M$949*EFEITO!$Z$949</f>
        <v>0</v>
      </c>
      <c r="O949" s="56">
        <f>$L$949-EFEITO!$O$949*EFEITO!$AA$949</f>
        <v>0</v>
      </c>
      <c r="P949" s="39"/>
      <c r="Q949" s="39"/>
      <c r="R949" s="39"/>
      <c r="S949" s="39"/>
      <c r="T949" s="39"/>
      <c r="U949" s="39"/>
      <c r="V949" s="39"/>
      <c r="W949" s="39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</row>
    <row r="950" spans="1:36" ht="11.25" customHeight="1" x14ac:dyDescent="0.2">
      <c r="A950" s="35" t="s">
        <v>21</v>
      </c>
      <c r="B950" s="35" t="s">
        <v>37</v>
      </c>
      <c r="C950" s="35" t="s">
        <v>33</v>
      </c>
      <c r="D950" s="35" t="s">
        <v>42</v>
      </c>
      <c r="E950" s="35" t="s">
        <v>25</v>
      </c>
      <c r="F950" s="35" t="s">
        <v>25</v>
      </c>
      <c r="G950" s="35" t="s">
        <v>25</v>
      </c>
      <c r="H950" s="35" t="s">
        <v>34</v>
      </c>
      <c r="I950" s="55">
        <v>44531</v>
      </c>
      <c r="J950" s="56">
        <f>EFEITO!$J$950*EFEITO!$Y$950</f>
        <v>0</v>
      </c>
      <c r="K950" s="56">
        <f ca="1">EFEITO!$L$950*EFEITO!$Z$950</f>
        <v>1258.802614562519</v>
      </c>
      <c r="L950" s="56">
        <f>EFEITO!$N$950*EFEITO!$AA$950</f>
        <v>675.17328467243101</v>
      </c>
      <c r="M950" s="56">
        <f>$J$950-EFEITO!$K$950*EFEITO!$Y$950</f>
        <v>0</v>
      </c>
      <c r="N950" s="56">
        <f ca="1">$K$950-EFEITO!$M$950*EFEITO!$Z$950</f>
        <v>0</v>
      </c>
      <c r="O950" s="56">
        <f>$L$950-EFEITO!$O$950*EFEITO!$AA$950</f>
        <v>0</v>
      </c>
      <c r="P950" s="39"/>
      <c r="Q950" s="39"/>
      <c r="R950" s="39"/>
      <c r="S950" s="39"/>
      <c r="T950" s="39"/>
      <c r="U950" s="39"/>
      <c r="V950" s="39"/>
      <c r="W950" s="39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</row>
    <row r="951" spans="1:36" ht="11.25" customHeight="1" x14ac:dyDescent="0.2">
      <c r="A951" s="35" t="s">
        <v>28</v>
      </c>
      <c r="B951" s="35" t="s">
        <v>37</v>
      </c>
      <c r="C951" s="35" t="s">
        <v>33</v>
      </c>
      <c r="D951" s="35" t="s">
        <v>42</v>
      </c>
      <c r="E951" s="35" t="s">
        <v>25</v>
      </c>
      <c r="F951" s="35" t="s">
        <v>25</v>
      </c>
      <c r="G951" s="35" t="s">
        <v>25</v>
      </c>
      <c r="H951" s="35" t="s">
        <v>34</v>
      </c>
      <c r="I951" s="55">
        <v>44531</v>
      </c>
      <c r="J951" s="56">
        <f>EFEITO!$J$951*EFEITO!$Y$951</f>
        <v>0</v>
      </c>
      <c r="K951" s="56">
        <f ca="1">EFEITO!$L$951*EFEITO!$Z$951</f>
        <v>135.13082822032806</v>
      </c>
      <c r="L951" s="56">
        <f>EFEITO!$N$951*EFEITO!$AA$951</f>
        <v>72.478976524634177</v>
      </c>
      <c r="M951" s="56">
        <f>$J$951-EFEITO!$K$951*EFEITO!$Y$951</f>
        <v>0</v>
      </c>
      <c r="N951" s="56">
        <f ca="1">$K$951-EFEITO!$M$951*EFEITO!$Z$951</f>
        <v>0</v>
      </c>
      <c r="O951" s="56">
        <f>$L$951-EFEITO!$O$951*EFEITO!$AA$951</f>
        <v>0</v>
      </c>
      <c r="P951" s="39"/>
      <c r="Q951" s="39"/>
      <c r="R951" s="39"/>
      <c r="S951" s="39"/>
      <c r="T951" s="39"/>
      <c r="U951" s="39"/>
      <c r="V951" s="39"/>
      <c r="W951" s="39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</row>
    <row r="952" spans="1:36" ht="11.25" customHeight="1" x14ac:dyDescent="0.2">
      <c r="A952" s="35" t="s">
        <v>21</v>
      </c>
      <c r="B952" s="35" t="s">
        <v>37</v>
      </c>
      <c r="C952" s="35" t="s">
        <v>33</v>
      </c>
      <c r="D952" s="35" t="s">
        <v>42</v>
      </c>
      <c r="E952" s="35" t="s">
        <v>25</v>
      </c>
      <c r="F952" s="35" t="s">
        <v>25</v>
      </c>
      <c r="G952" s="35" t="s">
        <v>25</v>
      </c>
      <c r="H952" s="35" t="s">
        <v>34</v>
      </c>
      <c r="I952" s="55">
        <v>44562</v>
      </c>
      <c r="J952" s="56">
        <f>EFEITO!$J$952*EFEITO!$Y$952</f>
        <v>0</v>
      </c>
      <c r="K952" s="56">
        <f ca="1">EFEITO!$L$952*EFEITO!$Z$952</f>
        <v>1257.8956962523155</v>
      </c>
      <c r="L952" s="56">
        <f>EFEITO!$N$952*EFEITO!$AA$952</f>
        <v>674.68684858837321</v>
      </c>
      <c r="M952" s="56">
        <f>$J$952-EFEITO!$K$952*EFEITO!$Y$952</f>
        <v>0</v>
      </c>
      <c r="N952" s="56">
        <f ca="1">$K$952-EFEITO!$M$952*EFEITO!$Z$952</f>
        <v>0</v>
      </c>
      <c r="O952" s="56">
        <f>$L$952-EFEITO!$O$952*EFEITO!$AA$952</f>
        <v>0</v>
      </c>
      <c r="P952" s="39"/>
      <c r="Q952" s="39"/>
      <c r="R952" s="39"/>
      <c r="S952" s="39"/>
      <c r="T952" s="39"/>
      <c r="U952" s="39"/>
      <c r="V952" s="39"/>
      <c r="W952" s="39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</row>
    <row r="953" spans="1:36" ht="11.25" customHeight="1" x14ac:dyDescent="0.2">
      <c r="A953" s="35" t="s">
        <v>28</v>
      </c>
      <c r="B953" s="35" t="s">
        <v>37</v>
      </c>
      <c r="C953" s="35" t="s">
        <v>33</v>
      </c>
      <c r="D953" s="35" t="s">
        <v>42</v>
      </c>
      <c r="E953" s="35" t="s">
        <v>25</v>
      </c>
      <c r="F953" s="35" t="s">
        <v>25</v>
      </c>
      <c r="G953" s="35" t="s">
        <v>25</v>
      </c>
      <c r="H953" s="35" t="s">
        <v>34</v>
      </c>
      <c r="I953" s="55">
        <v>44562</v>
      </c>
      <c r="J953" s="56">
        <f>EFEITO!$J$953*EFEITO!$Y$953</f>
        <v>0</v>
      </c>
      <c r="K953" s="56">
        <f ca="1">EFEITO!$L$953*EFEITO!$Z$953</f>
        <v>258.47171840801002</v>
      </c>
      <c r="L953" s="56">
        <f>EFEITO!$N$953*EFEITO!$AA$953</f>
        <v>138.63428395651502</v>
      </c>
      <c r="M953" s="56">
        <f>$J$953-EFEITO!$K$953*EFEITO!$Y$953</f>
        <v>0</v>
      </c>
      <c r="N953" s="56">
        <f ca="1">$K$953-EFEITO!$M$953*EFEITO!$Z$953</f>
        <v>0</v>
      </c>
      <c r="O953" s="56">
        <f>$L$953-EFEITO!$O$953*EFEITO!$AA$953</f>
        <v>0</v>
      </c>
      <c r="P953" s="39"/>
      <c r="Q953" s="39"/>
      <c r="R953" s="39"/>
      <c r="S953" s="39"/>
      <c r="T953" s="39"/>
      <c r="U953" s="39"/>
      <c r="V953" s="39"/>
      <c r="W953" s="39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</row>
    <row r="954" spans="1:36" ht="11.25" customHeight="1" x14ac:dyDescent="0.2">
      <c r="A954" s="35" t="s">
        <v>21</v>
      </c>
      <c r="B954" s="35" t="s">
        <v>37</v>
      </c>
      <c r="C954" s="35" t="s">
        <v>33</v>
      </c>
      <c r="D954" s="35" t="s">
        <v>42</v>
      </c>
      <c r="E954" s="35" t="s">
        <v>25</v>
      </c>
      <c r="F954" s="35" t="s">
        <v>25</v>
      </c>
      <c r="G954" s="35" t="s">
        <v>25</v>
      </c>
      <c r="H954" s="35" t="s">
        <v>34</v>
      </c>
      <c r="I954" s="55">
        <v>44593</v>
      </c>
      <c r="J954" s="56">
        <f>EFEITO!$J$954*EFEITO!$Y$954</f>
        <v>0</v>
      </c>
      <c r="K954" s="56">
        <f ca="1">EFEITO!$L$954*EFEITO!$Z$954</f>
        <v>1419.3271554685464</v>
      </c>
      <c r="L954" s="56">
        <f>EFEITO!$N$954*EFEITO!$AA$954</f>
        <v>761.27247155068778</v>
      </c>
      <c r="M954" s="56">
        <f>$J$954-EFEITO!$K$954*EFEITO!$Y$954</f>
        <v>0</v>
      </c>
      <c r="N954" s="56">
        <f ca="1">$K$954-EFEITO!$M$954*EFEITO!$Z$954</f>
        <v>0</v>
      </c>
      <c r="O954" s="56">
        <f>$L$954-EFEITO!$O$954*EFEITO!$AA$954</f>
        <v>0</v>
      </c>
      <c r="P954" s="39"/>
      <c r="Q954" s="39"/>
      <c r="R954" s="39"/>
      <c r="S954" s="39"/>
      <c r="T954" s="39"/>
      <c r="U954" s="39"/>
      <c r="V954" s="39"/>
      <c r="W954" s="39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</row>
    <row r="955" spans="1:36" ht="11.25" customHeight="1" x14ac:dyDescent="0.2">
      <c r="A955" s="35" t="s">
        <v>21</v>
      </c>
      <c r="B955" s="35" t="s">
        <v>37</v>
      </c>
      <c r="C955" s="35" t="s">
        <v>33</v>
      </c>
      <c r="D955" s="35" t="s">
        <v>42</v>
      </c>
      <c r="E955" s="35" t="s">
        <v>25</v>
      </c>
      <c r="F955" s="35" t="s">
        <v>25</v>
      </c>
      <c r="G955" s="35" t="s">
        <v>25</v>
      </c>
      <c r="H955" s="35" t="s">
        <v>34</v>
      </c>
      <c r="I955" s="55">
        <v>44621</v>
      </c>
      <c r="J955" s="56">
        <f>EFEITO!$J$955*EFEITO!$Y$955</f>
        <v>0</v>
      </c>
      <c r="K955" s="56">
        <f ca="1">EFEITO!$L$955*EFEITO!$Z$955</f>
        <v>1261.5233694931298</v>
      </c>
      <c r="L955" s="56">
        <f>EFEITO!$N$955*EFEITO!$AA$955</f>
        <v>676.63259292460498</v>
      </c>
      <c r="M955" s="56">
        <f>$J$955-EFEITO!$K$955*EFEITO!$Y$955</f>
        <v>0</v>
      </c>
      <c r="N955" s="56">
        <f ca="1">$K$955-EFEITO!$M$955*EFEITO!$Z$955</f>
        <v>0</v>
      </c>
      <c r="O955" s="56">
        <f>$L$955-EFEITO!$O$955*EFEITO!$AA$955</f>
        <v>0</v>
      </c>
      <c r="P955" s="39"/>
      <c r="Q955" s="39"/>
      <c r="R955" s="39"/>
      <c r="S955" s="39"/>
      <c r="T955" s="39"/>
      <c r="U955" s="39"/>
      <c r="V955" s="39"/>
      <c r="W955" s="39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</row>
    <row r="956" spans="1:36" ht="11.25" customHeight="1" x14ac:dyDescent="0.2">
      <c r="A956" s="35" t="s">
        <v>28</v>
      </c>
      <c r="B956" s="35" t="s">
        <v>37</v>
      </c>
      <c r="C956" s="35" t="s">
        <v>33</v>
      </c>
      <c r="D956" s="35" t="s">
        <v>42</v>
      </c>
      <c r="E956" s="35" t="s">
        <v>25</v>
      </c>
      <c r="F956" s="35" t="s">
        <v>25</v>
      </c>
      <c r="G956" s="35" t="s">
        <v>25</v>
      </c>
      <c r="H956" s="35" t="s">
        <v>34</v>
      </c>
      <c r="I956" s="55">
        <v>44621</v>
      </c>
      <c r="J956" s="56">
        <f>EFEITO!$J$956*EFEITO!$Y$956</f>
        <v>0</v>
      </c>
      <c r="K956" s="56">
        <f ca="1">EFEITO!$L$956*EFEITO!$Z$956</f>
        <v>104.29560567340756</v>
      </c>
      <c r="L956" s="56">
        <f>EFEITO!$N$956*EFEITO!$AA$956</f>
        <v>55.940149666663963</v>
      </c>
      <c r="M956" s="56">
        <f>$J$956-EFEITO!$K$956*EFEITO!$Y$956</f>
        <v>0</v>
      </c>
      <c r="N956" s="56">
        <f ca="1">$K$956-EFEITO!$M$956*EFEITO!$Z$956</f>
        <v>0</v>
      </c>
      <c r="O956" s="56">
        <f>$L$956-EFEITO!$O$956*EFEITO!$AA$956</f>
        <v>0</v>
      </c>
      <c r="P956" s="39"/>
      <c r="Q956" s="39"/>
      <c r="R956" s="39"/>
      <c r="S956" s="39"/>
      <c r="T956" s="39"/>
      <c r="U956" s="39"/>
      <c r="V956" s="39"/>
      <c r="W956" s="39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</row>
    <row r="957" spans="1:36" ht="11.25" customHeight="1" x14ac:dyDescent="0.2">
      <c r="A957" s="35" t="s">
        <v>21</v>
      </c>
      <c r="B957" s="35" t="s">
        <v>37</v>
      </c>
      <c r="C957" s="35" t="s">
        <v>33</v>
      </c>
      <c r="D957" s="35" t="s">
        <v>42</v>
      </c>
      <c r="E957" s="35" t="s">
        <v>25</v>
      </c>
      <c r="F957" s="35" t="s">
        <v>25</v>
      </c>
      <c r="G957" s="35" t="s">
        <v>25</v>
      </c>
      <c r="H957" s="35" t="s">
        <v>34</v>
      </c>
      <c r="I957" s="55">
        <v>44652</v>
      </c>
      <c r="J957" s="56">
        <f>EFEITO!$J$957*EFEITO!$Y$957</f>
        <v>0</v>
      </c>
      <c r="K957" s="56">
        <f ca="1">EFEITO!$L$957*EFEITO!$Z$957</f>
        <v>1273.3133075257758</v>
      </c>
      <c r="L957" s="56">
        <f>EFEITO!$N$957*EFEITO!$AA$957</f>
        <v>682.9562620173582</v>
      </c>
      <c r="M957" s="56">
        <f>$J$957-EFEITO!$K$957*EFEITO!$Y$957</f>
        <v>0</v>
      </c>
      <c r="N957" s="56">
        <f ca="1">$K$957-EFEITO!$M$957*EFEITO!$Z$957</f>
        <v>0</v>
      </c>
      <c r="O957" s="56">
        <f>$L$957-EFEITO!$O$957*EFEITO!$AA$957</f>
        <v>0</v>
      </c>
      <c r="P957" s="39"/>
      <c r="Q957" s="39"/>
      <c r="R957" s="39"/>
      <c r="S957" s="39"/>
      <c r="T957" s="39"/>
      <c r="U957" s="39"/>
      <c r="V957" s="39"/>
      <c r="W957" s="39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</row>
    <row r="958" spans="1:36" ht="11.25" customHeight="1" x14ac:dyDescent="0.2">
      <c r="A958" s="35" t="s">
        <v>21</v>
      </c>
      <c r="B958" s="35" t="s">
        <v>37</v>
      </c>
      <c r="C958" s="35" t="s">
        <v>33</v>
      </c>
      <c r="D958" s="35" t="s">
        <v>42</v>
      </c>
      <c r="E958" s="35" t="s">
        <v>25</v>
      </c>
      <c r="F958" s="35" t="s">
        <v>25</v>
      </c>
      <c r="G958" s="35" t="s">
        <v>25</v>
      </c>
      <c r="H958" s="35" t="s">
        <v>34</v>
      </c>
      <c r="I958" s="55">
        <v>44682</v>
      </c>
      <c r="J958" s="56">
        <f>EFEITO!$J$958*EFEITO!$Y$958</f>
        <v>0</v>
      </c>
      <c r="K958" s="56">
        <f ca="1">EFEITO!$L$958*EFEITO!$Z$958</f>
        <v>1511.8328231093078</v>
      </c>
      <c r="L958" s="56">
        <f>EFEITO!$N$958*EFEITO!$AA$958</f>
        <v>810.88895212459852</v>
      </c>
      <c r="M958" s="56">
        <f>$J$958-EFEITO!$K$958*EFEITO!$Y$958</f>
        <v>0</v>
      </c>
      <c r="N958" s="56">
        <f ca="1">$K$958-EFEITO!$M$958*EFEITO!$Z$958</f>
        <v>0</v>
      </c>
      <c r="O958" s="56">
        <f>$L$958-EFEITO!$O$958*EFEITO!$AA$958</f>
        <v>0</v>
      </c>
      <c r="P958" s="39"/>
      <c r="Q958" s="39"/>
      <c r="R958" s="39"/>
      <c r="S958" s="39"/>
      <c r="T958" s="39"/>
      <c r="U958" s="39"/>
      <c r="V958" s="39"/>
      <c r="W958" s="39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</row>
    <row r="959" spans="1:36" ht="11.25" customHeight="1" x14ac:dyDescent="0.2">
      <c r="A959" s="35" t="s">
        <v>28</v>
      </c>
      <c r="B959" s="35" t="s">
        <v>37</v>
      </c>
      <c r="C959" s="35" t="s">
        <v>33</v>
      </c>
      <c r="D959" s="35" t="s">
        <v>42</v>
      </c>
      <c r="E959" s="35" t="s">
        <v>25</v>
      </c>
      <c r="F959" s="35" t="s">
        <v>25</v>
      </c>
      <c r="G959" s="35" t="s">
        <v>25</v>
      </c>
      <c r="H959" s="35" t="s">
        <v>34</v>
      </c>
      <c r="I959" s="55">
        <v>44682</v>
      </c>
      <c r="J959" s="56">
        <f>EFEITO!$J$959*EFEITO!$Y$959</f>
        <v>0</v>
      </c>
      <c r="K959" s="56">
        <f ca="1">EFEITO!$L$959*EFEITO!$Z$959</f>
        <v>91.598749330557951</v>
      </c>
      <c r="L959" s="56">
        <f>EFEITO!$N$959*EFEITO!$AA$959</f>
        <v>49.1300444898527</v>
      </c>
      <c r="M959" s="56">
        <f>$J$959-EFEITO!$K$959*EFEITO!$Y$959</f>
        <v>0</v>
      </c>
      <c r="N959" s="56">
        <f ca="1">$K$959-EFEITO!$M$959*EFEITO!$Z$959</f>
        <v>0</v>
      </c>
      <c r="O959" s="56">
        <f>$L$959-EFEITO!$O$959*EFEITO!$AA$959</f>
        <v>0</v>
      </c>
      <c r="P959" s="39"/>
      <c r="Q959" s="39"/>
      <c r="R959" s="39"/>
      <c r="S959" s="39"/>
      <c r="T959" s="39"/>
      <c r="U959" s="39"/>
      <c r="V959" s="39"/>
      <c r="W959" s="39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</row>
    <row r="960" spans="1:36" ht="11.25" customHeight="1" x14ac:dyDescent="0.2">
      <c r="A960" s="35" t="s">
        <v>21</v>
      </c>
      <c r="B960" s="35" t="s">
        <v>37</v>
      </c>
      <c r="C960" s="35" t="s">
        <v>33</v>
      </c>
      <c r="D960" s="35" t="s">
        <v>42</v>
      </c>
      <c r="E960" s="35" t="s">
        <v>25</v>
      </c>
      <c r="F960" s="35" t="s">
        <v>25</v>
      </c>
      <c r="G960" s="35" t="s">
        <v>25</v>
      </c>
      <c r="H960" s="35" t="s">
        <v>34</v>
      </c>
      <c r="I960" s="55">
        <v>44713</v>
      </c>
      <c r="J960" s="56">
        <f>EFEITO!$J$960*EFEITO!$Y$960</f>
        <v>0</v>
      </c>
      <c r="K960" s="56">
        <f ca="1">EFEITO!$L$960*EFEITO!$Z$960</f>
        <v>1038.421465183058</v>
      </c>
      <c r="L960" s="56">
        <f>EFEITO!$N$960*EFEITO!$AA$960</f>
        <v>556.96931624634988</v>
      </c>
      <c r="M960" s="56">
        <f>$J$960-EFEITO!$K$960*EFEITO!$Y$960</f>
        <v>0</v>
      </c>
      <c r="N960" s="56">
        <f ca="1">$K$960-EFEITO!$M$960*EFEITO!$Z$960</f>
        <v>0</v>
      </c>
      <c r="O960" s="56">
        <f>$L$960-EFEITO!$O$960*EFEITO!$AA$960</f>
        <v>0</v>
      </c>
      <c r="P960" s="39"/>
      <c r="Q960" s="39"/>
      <c r="R960" s="39"/>
      <c r="S960" s="39"/>
      <c r="T960" s="39"/>
      <c r="U960" s="39"/>
      <c r="V960" s="39"/>
      <c r="W960" s="39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</row>
    <row r="961" spans="1:36" ht="11.25" customHeight="1" x14ac:dyDescent="0.2">
      <c r="A961" s="35" t="s">
        <v>28</v>
      </c>
      <c r="B961" s="35" t="s">
        <v>37</v>
      </c>
      <c r="C961" s="35" t="s">
        <v>33</v>
      </c>
      <c r="D961" s="35" t="s">
        <v>42</v>
      </c>
      <c r="E961" s="35" t="s">
        <v>25</v>
      </c>
      <c r="F961" s="35" t="s">
        <v>25</v>
      </c>
      <c r="G961" s="35" t="s">
        <v>25</v>
      </c>
      <c r="H961" s="35" t="s">
        <v>34</v>
      </c>
      <c r="I961" s="55">
        <v>44713</v>
      </c>
      <c r="J961" s="56">
        <f>EFEITO!$J$961*EFEITO!$Y$961</f>
        <v>0</v>
      </c>
      <c r="K961" s="56">
        <f ca="1">EFEITO!$L$961*EFEITO!$Z$961</f>
        <v>84.3434028489296</v>
      </c>
      <c r="L961" s="56">
        <f>EFEITO!$N$961*EFEITO!$AA$961</f>
        <v>45.238555817389113</v>
      </c>
      <c r="M961" s="56">
        <f>$J$961-EFEITO!$K$961*EFEITO!$Y$961</f>
        <v>0</v>
      </c>
      <c r="N961" s="56">
        <f ca="1">$K$961-EFEITO!$M$961*EFEITO!$Z$961</f>
        <v>0</v>
      </c>
      <c r="O961" s="56">
        <f>$L$961-EFEITO!$O$961*EFEITO!$AA$961</f>
        <v>0</v>
      </c>
      <c r="P961" s="39"/>
      <c r="Q961" s="39"/>
      <c r="R961" s="39"/>
      <c r="S961" s="39"/>
      <c r="T961" s="39"/>
      <c r="U961" s="39"/>
      <c r="V961" s="39"/>
      <c r="W961" s="39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</row>
    <row r="962" spans="1:36" ht="11.25" customHeight="1" x14ac:dyDescent="0.2">
      <c r="A962" s="35" t="s">
        <v>21</v>
      </c>
      <c r="B962" s="35" t="s">
        <v>37</v>
      </c>
      <c r="C962" s="35" t="s">
        <v>33</v>
      </c>
      <c r="D962" s="35" t="s">
        <v>42</v>
      </c>
      <c r="E962" s="35" t="s">
        <v>25</v>
      </c>
      <c r="F962" s="35" t="s">
        <v>25</v>
      </c>
      <c r="G962" s="35" t="s">
        <v>25</v>
      </c>
      <c r="H962" s="35" t="s">
        <v>34</v>
      </c>
      <c r="I962" s="55">
        <v>44743</v>
      </c>
      <c r="J962" s="56">
        <f>EFEITO!$J$962*EFEITO!$Y$962</f>
        <v>0</v>
      </c>
      <c r="K962" s="56">
        <f ca="1">EFEITO!$L$962*EFEITO!$Z$962</f>
        <v>1803.8605189948491</v>
      </c>
      <c r="L962" s="56">
        <f>EFEITO!$N$962*EFEITO!$AA$962</f>
        <v>967.52137119125757</v>
      </c>
      <c r="M962" s="56">
        <f>$J$962-EFEITO!$K$962*EFEITO!$Y$962</f>
        <v>0</v>
      </c>
      <c r="N962" s="56">
        <f ca="1">$K$962-EFEITO!$M$962*EFEITO!$Z$962</f>
        <v>0</v>
      </c>
      <c r="O962" s="56">
        <f>$L$962-EFEITO!$O$962*EFEITO!$AA$962</f>
        <v>0</v>
      </c>
      <c r="P962" s="39"/>
      <c r="Q962" s="39"/>
      <c r="R962" s="39"/>
      <c r="S962" s="39"/>
      <c r="T962" s="39"/>
      <c r="U962" s="39"/>
      <c r="V962" s="39"/>
      <c r="W962" s="39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</row>
    <row r="963" spans="1:36" ht="11.25" customHeight="1" x14ac:dyDescent="0.2">
      <c r="A963" s="35" t="s">
        <v>21</v>
      </c>
      <c r="B963" s="35" t="s">
        <v>37</v>
      </c>
      <c r="C963" s="35" t="s">
        <v>33</v>
      </c>
      <c r="D963" s="35" t="s">
        <v>42</v>
      </c>
      <c r="E963" s="35" t="s">
        <v>25</v>
      </c>
      <c r="F963" s="35" t="s">
        <v>25</v>
      </c>
      <c r="G963" s="35" t="s">
        <v>25</v>
      </c>
      <c r="H963" s="35" t="s">
        <v>34</v>
      </c>
      <c r="I963" s="55">
        <v>44774</v>
      </c>
      <c r="J963" s="56">
        <f>EFEITO!$J$963*EFEITO!$Y$963</f>
        <v>0</v>
      </c>
      <c r="K963" s="56">
        <f ca="1">EFEITO!$L$963*EFEITO!$Z$963</f>
        <v>1537.2265357950071</v>
      </c>
      <c r="L963" s="56">
        <f>EFEITO!$N$963*EFEITO!$AA$963</f>
        <v>824.50916247822101</v>
      </c>
      <c r="M963" s="56">
        <f>$J$963-EFEITO!$K$963*EFEITO!$Y$963</f>
        <v>0</v>
      </c>
      <c r="N963" s="56">
        <f ca="1">$K$963-EFEITO!$M$963*EFEITO!$Z$963</f>
        <v>0</v>
      </c>
      <c r="O963" s="56">
        <f>$L$963-EFEITO!$O$963*EFEITO!$AA$963</f>
        <v>0</v>
      </c>
      <c r="P963" s="39"/>
      <c r="Q963" s="39"/>
      <c r="R963" s="39"/>
      <c r="S963" s="39"/>
      <c r="T963" s="39"/>
      <c r="U963" s="39"/>
      <c r="V963" s="39"/>
      <c r="W963" s="39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</row>
    <row r="964" spans="1:36" ht="11.25" customHeight="1" x14ac:dyDescent="0.2">
      <c r="A964" s="35" t="s">
        <v>28</v>
      </c>
      <c r="B964" s="35" t="s">
        <v>37</v>
      </c>
      <c r="C964" s="35" t="s">
        <v>33</v>
      </c>
      <c r="D964" s="35" t="s">
        <v>42</v>
      </c>
      <c r="E964" s="35" t="s">
        <v>25</v>
      </c>
      <c r="F964" s="35" t="s">
        <v>25</v>
      </c>
      <c r="G964" s="35" t="s">
        <v>25</v>
      </c>
      <c r="H964" s="35" t="s">
        <v>34</v>
      </c>
      <c r="I964" s="55">
        <v>44774</v>
      </c>
      <c r="J964" s="56">
        <f>EFEITO!$J$964*EFEITO!$Y$964</f>
        <v>0</v>
      </c>
      <c r="K964" s="56">
        <f ca="1">EFEITO!$L$964*EFEITO!$Z$964</f>
        <v>128.78240004890324</v>
      </c>
      <c r="L964" s="56">
        <f>EFEITO!$N$964*EFEITO!$AA$964</f>
        <v>69.073923936228539</v>
      </c>
      <c r="M964" s="56">
        <f>$J$964-EFEITO!$K$964*EFEITO!$Y$964</f>
        <v>0</v>
      </c>
      <c r="N964" s="56">
        <f ca="1">$K$964-EFEITO!$M$964*EFEITO!$Z$964</f>
        <v>0</v>
      </c>
      <c r="O964" s="56">
        <f>$L$964-EFEITO!$O$964*EFEITO!$AA$964</f>
        <v>0</v>
      </c>
      <c r="P964" s="39"/>
      <c r="Q964" s="39"/>
      <c r="R964" s="39"/>
      <c r="S964" s="39"/>
      <c r="T964" s="39"/>
      <c r="U964" s="39"/>
      <c r="V964" s="39"/>
      <c r="W964" s="39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</row>
    <row r="965" spans="1:36" ht="11.25" customHeight="1" x14ac:dyDescent="0.2">
      <c r="A965" s="35" t="s">
        <v>21</v>
      </c>
      <c r="B965" s="35" t="s">
        <v>37</v>
      </c>
      <c r="C965" s="35" t="s">
        <v>33</v>
      </c>
      <c r="D965" s="35" t="s">
        <v>42</v>
      </c>
      <c r="E965" s="35" t="s">
        <v>25</v>
      </c>
      <c r="F965" s="35" t="s">
        <v>25</v>
      </c>
      <c r="G965" s="35" t="s">
        <v>25</v>
      </c>
      <c r="H965" s="35" t="s">
        <v>34</v>
      </c>
      <c r="I965" s="55">
        <v>44805</v>
      </c>
      <c r="J965" s="56">
        <f>EFEITO!$J$965*EFEITO!$Y$965</f>
        <v>0</v>
      </c>
      <c r="K965" s="56">
        <f ca="1">EFEITO!$L$965*EFEITO!$Z$965</f>
        <v>1377.6089131991832</v>
      </c>
      <c r="L965" s="56">
        <f>EFEITO!$N$965*EFEITO!$AA$965</f>
        <v>738.89641168402215</v>
      </c>
      <c r="M965" s="56">
        <f>$J$965-EFEITO!$K$965*EFEITO!$Y$965</f>
        <v>0</v>
      </c>
      <c r="N965" s="56">
        <f ca="1">$K$965-EFEITO!$M$965*EFEITO!$Z$965</f>
        <v>0</v>
      </c>
      <c r="O965" s="56">
        <f>$L$965-EFEITO!$O$965*EFEITO!$AA$965</f>
        <v>0</v>
      </c>
      <c r="P965" s="39"/>
      <c r="Q965" s="39"/>
      <c r="R965" s="39"/>
      <c r="S965" s="39"/>
      <c r="T965" s="39"/>
      <c r="U965" s="39"/>
      <c r="V965" s="39"/>
      <c r="W965" s="39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</row>
    <row r="966" spans="1:36" ht="11.25" customHeight="1" x14ac:dyDescent="0.2">
      <c r="A966" s="35" t="s">
        <v>28</v>
      </c>
      <c r="B966" s="35" t="s">
        <v>37</v>
      </c>
      <c r="C966" s="35" t="s">
        <v>33</v>
      </c>
      <c r="D966" s="35" t="s">
        <v>42</v>
      </c>
      <c r="E966" s="35" t="s">
        <v>25</v>
      </c>
      <c r="F966" s="35" t="s">
        <v>25</v>
      </c>
      <c r="G966" s="35" t="s">
        <v>25</v>
      </c>
      <c r="H966" s="35" t="s">
        <v>34</v>
      </c>
      <c r="I966" s="55">
        <v>44805</v>
      </c>
      <c r="J966" s="56">
        <f>EFEITO!$J$966*EFEITO!$Y$966</f>
        <v>0</v>
      </c>
      <c r="K966" s="56">
        <f ca="1">EFEITO!$L$966*EFEITO!$Z$966</f>
        <v>141.47925639175287</v>
      </c>
      <c r="L966" s="56">
        <f>EFEITO!$N$966*EFEITO!$AA$966</f>
        <v>75.884029113039801</v>
      </c>
      <c r="M966" s="56">
        <f>$J$966-EFEITO!$K$966*EFEITO!$Y$966</f>
        <v>0</v>
      </c>
      <c r="N966" s="56">
        <f ca="1">$K$966-EFEITO!$M$966*EFEITO!$Z$966</f>
        <v>0</v>
      </c>
      <c r="O966" s="56">
        <f>$L$966-EFEITO!$O$966*EFEITO!$AA$966</f>
        <v>0</v>
      </c>
      <c r="P966" s="39"/>
      <c r="Q966" s="39"/>
      <c r="R966" s="39"/>
      <c r="S966" s="39"/>
      <c r="T966" s="39"/>
      <c r="U966" s="39"/>
      <c r="V966" s="39"/>
      <c r="W966" s="39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</row>
    <row r="967" spans="1:36" ht="11.25" customHeight="1" x14ac:dyDescent="0.2">
      <c r="A967" s="35" t="s">
        <v>53</v>
      </c>
      <c r="B967" s="35" t="s">
        <v>37</v>
      </c>
      <c r="C967" s="35" t="s">
        <v>33</v>
      </c>
      <c r="D967" s="35" t="s">
        <v>42</v>
      </c>
      <c r="E967" s="35" t="s">
        <v>25</v>
      </c>
      <c r="F967" s="35" t="s">
        <v>25</v>
      </c>
      <c r="G967" s="35" t="s">
        <v>25</v>
      </c>
      <c r="H967" s="35" t="s">
        <v>34</v>
      </c>
      <c r="I967" s="55">
        <v>44835</v>
      </c>
      <c r="J967" s="56">
        <f>EFEITO!$J$967*EFEITO!$Y$967</f>
        <v>0</v>
      </c>
      <c r="K967" s="56">
        <f ca="1">EFEITO!$L$967*EFEITO!$Z$967</f>
        <v>1377.6089131991832</v>
      </c>
      <c r="L967" s="56">
        <f>EFEITO!$N$967*EFEITO!$AA$967</f>
        <v>738.89641168402215</v>
      </c>
      <c r="M967" s="56">
        <f>$J$967-EFEITO!$K$967*EFEITO!$Y$967</f>
        <v>0</v>
      </c>
      <c r="N967" s="56">
        <f ca="1">$K$967-EFEITO!$M$967*EFEITO!$Z$967</f>
        <v>0</v>
      </c>
      <c r="O967" s="56">
        <f>$L$967-EFEITO!$O$967*EFEITO!$AA$967</f>
        <v>0</v>
      </c>
      <c r="P967" s="39"/>
      <c r="Q967" s="39"/>
      <c r="R967" s="39"/>
      <c r="S967" s="39"/>
      <c r="T967" s="39"/>
      <c r="U967" s="39"/>
      <c r="V967" s="39"/>
      <c r="W967" s="39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</row>
    <row r="968" spans="1:36" ht="11.25" customHeight="1" x14ac:dyDescent="0.2">
      <c r="A968" s="35" t="s">
        <v>53</v>
      </c>
      <c r="B968" s="35" t="s">
        <v>37</v>
      </c>
      <c r="C968" s="35" t="s">
        <v>33</v>
      </c>
      <c r="D968" s="35" t="s">
        <v>42</v>
      </c>
      <c r="E968" s="35" t="s">
        <v>25</v>
      </c>
      <c r="F968" s="35" t="s">
        <v>25</v>
      </c>
      <c r="G968" s="35" t="s">
        <v>25</v>
      </c>
      <c r="H968" s="35" t="s">
        <v>34</v>
      </c>
      <c r="I968" s="55">
        <v>44835</v>
      </c>
      <c r="J968" s="56">
        <f>EFEITO!$J$968*EFEITO!$Y$968</f>
        <v>0</v>
      </c>
      <c r="K968" s="56">
        <f ca="1">EFEITO!$L$968*EFEITO!$Z$968</f>
        <v>141.47925639175287</v>
      </c>
      <c r="L968" s="56">
        <f>EFEITO!$N$968*EFEITO!$AA$968</f>
        <v>75.884029113039801</v>
      </c>
      <c r="M968" s="56">
        <f>$J$968-EFEITO!$K$968*EFEITO!$Y$968</f>
        <v>0</v>
      </c>
      <c r="N968" s="56">
        <f ca="1">$K$968-EFEITO!$M$968*EFEITO!$Z$968</f>
        <v>0</v>
      </c>
      <c r="O968" s="56">
        <f>$L$968-EFEITO!$O$968*EFEITO!$AA$968</f>
        <v>0</v>
      </c>
      <c r="P968" s="39"/>
      <c r="Q968" s="39"/>
      <c r="R968" s="39"/>
      <c r="S968" s="39"/>
      <c r="T968" s="39"/>
      <c r="U968" s="39"/>
      <c r="V968" s="39"/>
      <c r="W968" s="39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</row>
    <row r="969" spans="1:36" ht="11.25" customHeight="1" x14ac:dyDescent="0.2">
      <c r="A969" s="35" t="s">
        <v>21</v>
      </c>
      <c r="B969" s="35" t="s">
        <v>37</v>
      </c>
      <c r="C969" s="35" t="s">
        <v>33</v>
      </c>
      <c r="D969" s="35" t="s">
        <v>38</v>
      </c>
      <c r="E969" s="35" t="s">
        <v>25</v>
      </c>
      <c r="F969" s="35" t="s">
        <v>25</v>
      </c>
      <c r="G969" s="35" t="s">
        <v>25</v>
      </c>
      <c r="H969" s="35" t="s">
        <v>35</v>
      </c>
      <c r="I969" s="55">
        <v>44501</v>
      </c>
      <c r="J969" s="56">
        <f>EFEITO!$J$969*EFEITO!$Y$969</f>
        <v>0</v>
      </c>
      <c r="K969" s="56">
        <f ca="1">EFEITO!$L$969*EFEITO!$Z$969</f>
        <v>2110.4172874844198</v>
      </c>
      <c r="L969" s="56">
        <f>EFEITO!$N$969*EFEITO!$AA$969</f>
        <v>1989.5506603407559</v>
      </c>
      <c r="M969" s="56">
        <f>$J$969-EFEITO!$K$969*EFEITO!$Y$969</f>
        <v>0</v>
      </c>
      <c r="N969" s="56">
        <f ca="1">$K$969-EFEITO!$M$969*EFEITO!$Z$969</f>
        <v>0</v>
      </c>
      <c r="O969" s="56">
        <f>$L$969-EFEITO!$O$969*EFEITO!$AA$969</f>
        <v>0</v>
      </c>
      <c r="P969" s="39"/>
      <c r="Q969" s="39"/>
      <c r="R969" s="39"/>
      <c r="S969" s="39"/>
      <c r="T969" s="39"/>
      <c r="U969" s="39"/>
      <c r="V969" s="39"/>
      <c r="W969" s="39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</row>
    <row r="970" spans="1:36" ht="11.25" customHeight="1" x14ac:dyDescent="0.2">
      <c r="A970" s="35" t="s">
        <v>28</v>
      </c>
      <c r="B970" s="35" t="s">
        <v>37</v>
      </c>
      <c r="C970" s="35" t="s">
        <v>33</v>
      </c>
      <c r="D970" s="35" t="s">
        <v>38</v>
      </c>
      <c r="E970" s="35" t="s">
        <v>25</v>
      </c>
      <c r="F970" s="35" t="s">
        <v>25</v>
      </c>
      <c r="G970" s="35" t="s">
        <v>25</v>
      </c>
      <c r="H970" s="35" t="s">
        <v>35</v>
      </c>
      <c r="I970" s="55">
        <v>44501</v>
      </c>
      <c r="J970" s="56">
        <f>EFEITO!$J$970*EFEITO!$Y$970</f>
        <v>0</v>
      </c>
      <c r="K970" s="56">
        <f ca="1">EFEITO!$L$970*EFEITO!$Z$970</f>
        <v>3.4909158138840022</v>
      </c>
      <c r="L970" s="56">
        <f>EFEITO!$N$970*EFEITO!$AA$970</f>
        <v>3.2909860546989944</v>
      </c>
      <c r="M970" s="56">
        <f>$J$970-EFEITO!$K$970*EFEITO!$Y$970</f>
        <v>0</v>
      </c>
      <c r="N970" s="56">
        <f ca="1">$K$970-EFEITO!$M$970*EFEITO!$Z$970</f>
        <v>0</v>
      </c>
      <c r="O970" s="56">
        <f>$L$970-EFEITO!$O$970*EFEITO!$AA$970</f>
        <v>0</v>
      </c>
      <c r="P970" s="39"/>
      <c r="Q970" s="39"/>
      <c r="R970" s="39"/>
      <c r="S970" s="39"/>
      <c r="T970" s="39"/>
      <c r="U970" s="39"/>
      <c r="V970" s="39"/>
      <c r="W970" s="39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</row>
    <row r="971" spans="1:36" ht="11.25" customHeight="1" x14ac:dyDescent="0.2">
      <c r="A971" s="35" t="s">
        <v>21</v>
      </c>
      <c r="B971" s="35" t="s">
        <v>37</v>
      </c>
      <c r="C971" s="35" t="s">
        <v>33</v>
      </c>
      <c r="D971" s="35" t="s">
        <v>38</v>
      </c>
      <c r="E971" s="35" t="s">
        <v>25</v>
      </c>
      <c r="F971" s="35" t="s">
        <v>25</v>
      </c>
      <c r="G971" s="35" t="s">
        <v>25</v>
      </c>
      <c r="H971" s="35" t="s">
        <v>35</v>
      </c>
      <c r="I971" s="55">
        <v>44531</v>
      </c>
      <c r="J971" s="56">
        <f>EFEITO!$J$971*EFEITO!$Y$971</f>
        <v>0</v>
      </c>
      <c r="K971" s="56">
        <f ca="1">EFEITO!$L$971*EFEITO!$Z$971</f>
        <v>2332.5664756406741</v>
      </c>
      <c r="L971" s="56">
        <f>EFEITO!$N$971*EFEITO!$AA$971</f>
        <v>2198.9770456397828</v>
      </c>
      <c r="M971" s="56">
        <f>$J$971-EFEITO!$K$971*EFEITO!$Y$971</f>
        <v>0</v>
      </c>
      <c r="N971" s="56">
        <f ca="1">$K$971-EFEITO!$M$971*EFEITO!$Z$971</f>
        <v>0</v>
      </c>
      <c r="O971" s="56">
        <f>$L$971-EFEITO!$O$971*EFEITO!$AA$971</f>
        <v>0</v>
      </c>
      <c r="P971" s="39"/>
      <c r="Q971" s="39"/>
      <c r="R971" s="39"/>
      <c r="S971" s="39"/>
      <c r="T971" s="39"/>
      <c r="U971" s="39"/>
      <c r="V971" s="39"/>
      <c r="W971" s="39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</row>
    <row r="972" spans="1:36" ht="11.25" customHeight="1" x14ac:dyDescent="0.2">
      <c r="A972" s="35" t="s">
        <v>28</v>
      </c>
      <c r="B972" s="35" t="s">
        <v>37</v>
      </c>
      <c r="C972" s="35" t="s">
        <v>33</v>
      </c>
      <c r="D972" s="35" t="s">
        <v>38</v>
      </c>
      <c r="E972" s="35" t="s">
        <v>25</v>
      </c>
      <c r="F972" s="35" t="s">
        <v>25</v>
      </c>
      <c r="G972" s="35" t="s">
        <v>25</v>
      </c>
      <c r="H972" s="35" t="s">
        <v>35</v>
      </c>
      <c r="I972" s="55">
        <v>44531</v>
      </c>
      <c r="J972" s="56">
        <f>EFEITO!$J$972*EFEITO!$Y$972</f>
        <v>0</v>
      </c>
      <c r="K972" s="56">
        <f ca="1">EFEITO!$L$972*EFEITO!$Z$972</f>
        <v>23.484342747946922</v>
      </c>
      <c r="L972" s="56">
        <f>EFEITO!$N$972*EFEITO!$AA$972</f>
        <v>22.139360731611418</v>
      </c>
      <c r="M972" s="56">
        <f>$J$972-EFEITO!$K$972*EFEITO!$Y$972</f>
        <v>0</v>
      </c>
      <c r="N972" s="56">
        <f ca="1">$K$972-EFEITO!$M$972*EFEITO!$Z$972</f>
        <v>0</v>
      </c>
      <c r="O972" s="56">
        <f>$L$972-EFEITO!$O$972*EFEITO!$AA$972</f>
        <v>0</v>
      </c>
      <c r="P972" s="39"/>
      <c r="Q972" s="39"/>
      <c r="R972" s="39"/>
      <c r="S972" s="39"/>
      <c r="T972" s="39"/>
      <c r="U972" s="39"/>
      <c r="V972" s="39"/>
      <c r="W972" s="39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</row>
    <row r="973" spans="1:36" ht="11.25" customHeight="1" x14ac:dyDescent="0.2">
      <c r="A973" s="35" t="s">
        <v>21</v>
      </c>
      <c r="B973" s="35" t="s">
        <v>37</v>
      </c>
      <c r="C973" s="35" t="s">
        <v>33</v>
      </c>
      <c r="D973" s="35" t="s">
        <v>38</v>
      </c>
      <c r="E973" s="35" t="s">
        <v>25</v>
      </c>
      <c r="F973" s="35" t="s">
        <v>25</v>
      </c>
      <c r="G973" s="35" t="s">
        <v>25</v>
      </c>
      <c r="H973" s="35" t="s">
        <v>35</v>
      </c>
      <c r="I973" s="55">
        <v>44562</v>
      </c>
      <c r="J973" s="56">
        <f>EFEITO!$J$973*EFEITO!$Y$973</f>
        <v>0</v>
      </c>
      <c r="K973" s="56">
        <f ca="1">EFEITO!$L$973*EFEITO!$Z$973</f>
        <v>2348.4342747946926</v>
      </c>
      <c r="L973" s="56">
        <f>EFEITO!$N$973*EFEITO!$AA$973</f>
        <v>2213.9360731611418</v>
      </c>
      <c r="M973" s="56">
        <f>$J$973-EFEITO!$K$973*EFEITO!$Y$973</f>
        <v>0</v>
      </c>
      <c r="N973" s="56">
        <f ca="1">$K$973-EFEITO!$M$973*EFEITO!$Z$973</f>
        <v>0</v>
      </c>
      <c r="O973" s="56">
        <f>$L$973-EFEITO!$O$973*EFEITO!$AA$973</f>
        <v>0</v>
      </c>
      <c r="P973" s="39"/>
      <c r="Q973" s="39"/>
      <c r="R973" s="39"/>
      <c r="S973" s="39"/>
      <c r="T973" s="39"/>
      <c r="U973" s="39"/>
      <c r="V973" s="39"/>
      <c r="W973" s="39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</row>
    <row r="974" spans="1:36" ht="11.25" customHeight="1" x14ac:dyDescent="0.2">
      <c r="A974" s="35" t="s">
        <v>28</v>
      </c>
      <c r="B974" s="35" t="s">
        <v>37</v>
      </c>
      <c r="C974" s="35" t="s">
        <v>33</v>
      </c>
      <c r="D974" s="35" t="s">
        <v>38</v>
      </c>
      <c r="E974" s="35" t="s">
        <v>25</v>
      </c>
      <c r="F974" s="35" t="s">
        <v>25</v>
      </c>
      <c r="G974" s="35" t="s">
        <v>25</v>
      </c>
      <c r="H974" s="35" t="s">
        <v>35</v>
      </c>
      <c r="I974" s="55">
        <v>44562</v>
      </c>
      <c r="J974" s="56">
        <f>EFEITO!$J$974*EFEITO!$Y$974</f>
        <v>0</v>
      </c>
      <c r="K974" s="56">
        <f ca="1">EFEITO!$L$974*EFEITO!$Z$974</f>
        <v>69.81831627768004</v>
      </c>
      <c r="L974" s="56">
        <f>EFEITO!$N$974*EFEITO!$AA$974</f>
        <v>65.819721093979894</v>
      </c>
      <c r="M974" s="56">
        <f>$J$974-EFEITO!$K$974*EFEITO!$Y$974</f>
        <v>0</v>
      </c>
      <c r="N974" s="56">
        <f ca="1">$K$974-EFEITO!$M$974*EFEITO!$Z$974</f>
        <v>0</v>
      </c>
      <c r="O974" s="56">
        <f>$L$974-EFEITO!$O$974*EFEITO!$AA$974</f>
        <v>0</v>
      </c>
      <c r="P974" s="39"/>
      <c r="Q974" s="39"/>
      <c r="R974" s="39"/>
      <c r="S974" s="39"/>
      <c r="T974" s="39"/>
      <c r="U974" s="39"/>
      <c r="V974" s="39"/>
      <c r="W974" s="39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</row>
    <row r="975" spans="1:36" ht="11.25" customHeight="1" x14ac:dyDescent="0.2">
      <c r="A975" s="35" t="s">
        <v>21</v>
      </c>
      <c r="B975" s="35" t="s">
        <v>37</v>
      </c>
      <c r="C975" s="35" t="s">
        <v>33</v>
      </c>
      <c r="D975" s="35" t="s">
        <v>38</v>
      </c>
      <c r="E975" s="35" t="s">
        <v>25</v>
      </c>
      <c r="F975" s="35" t="s">
        <v>25</v>
      </c>
      <c r="G975" s="35" t="s">
        <v>25</v>
      </c>
      <c r="H975" s="35" t="s">
        <v>35</v>
      </c>
      <c r="I975" s="55">
        <v>44593</v>
      </c>
      <c r="J975" s="56">
        <f>EFEITO!$J$975*EFEITO!$Y$975</f>
        <v>0</v>
      </c>
      <c r="K975" s="56">
        <f ca="1">EFEITO!$L$975*EFEITO!$Z$975</f>
        <v>2554.7156637969292</v>
      </c>
      <c r="L975" s="56">
        <f>EFEITO!$N$975*EFEITO!$AA$975</f>
        <v>2408.4034309388098</v>
      </c>
      <c r="M975" s="56">
        <f>$J$975-EFEITO!$K$975*EFEITO!$Y$975</f>
        <v>0</v>
      </c>
      <c r="N975" s="56">
        <f ca="1">$K$975-EFEITO!$M$975*EFEITO!$Z$975</f>
        <v>0</v>
      </c>
      <c r="O975" s="56">
        <f>$L$975-EFEITO!$O$975*EFEITO!$AA$975</f>
        <v>0</v>
      </c>
      <c r="P975" s="39"/>
      <c r="Q975" s="39"/>
      <c r="R975" s="39"/>
      <c r="S975" s="39"/>
      <c r="T975" s="39"/>
      <c r="U975" s="39"/>
      <c r="V975" s="39"/>
      <c r="W975" s="39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</row>
    <row r="976" spans="1:36" ht="11.25" customHeight="1" x14ac:dyDescent="0.2">
      <c r="A976" s="35" t="s">
        <v>28</v>
      </c>
      <c r="B976" s="35" t="s">
        <v>37</v>
      </c>
      <c r="C976" s="35" t="s">
        <v>33</v>
      </c>
      <c r="D976" s="35" t="s">
        <v>38</v>
      </c>
      <c r="E976" s="35" t="s">
        <v>25</v>
      </c>
      <c r="F976" s="35" t="s">
        <v>25</v>
      </c>
      <c r="G976" s="35" t="s">
        <v>25</v>
      </c>
      <c r="H976" s="35" t="s">
        <v>35</v>
      </c>
      <c r="I976" s="55">
        <v>44593</v>
      </c>
      <c r="J976" s="56">
        <f>EFEITO!$J$976*EFEITO!$Y$976</f>
        <v>0</v>
      </c>
      <c r="K976" s="56">
        <f ca="1">EFEITO!$L$976*EFEITO!$Z$976</f>
        <v>67.914180379197859</v>
      </c>
      <c r="L976" s="56">
        <f>EFEITO!$N$976*EFEITO!$AA$976</f>
        <v>64.024637791416808</v>
      </c>
      <c r="M976" s="56">
        <f>$J$976-EFEITO!$K$976*EFEITO!$Y$976</f>
        <v>0</v>
      </c>
      <c r="N976" s="56">
        <f ca="1">$K$976-EFEITO!$M$976*EFEITO!$Z$976</f>
        <v>0</v>
      </c>
      <c r="O976" s="56">
        <f>$L$976-EFEITO!$O$976*EFEITO!$AA$976</f>
        <v>0</v>
      </c>
      <c r="P976" s="39"/>
      <c r="Q976" s="39"/>
      <c r="R976" s="39"/>
      <c r="S976" s="39"/>
      <c r="T976" s="39"/>
      <c r="U976" s="39"/>
      <c r="V976" s="39"/>
      <c r="W976" s="39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</row>
    <row r="977" spans="1:36" ht="11.25" customHeight="1" x14ac:dyDescent="0.2">
      <c r="A977" s="35" t="s">
        <v>21</v>
      </c>
      <c r="B977" s="35" t="s">
        <v>37</v>
      </c>
      <c r="C977" s="35" t="s">
        <v>33</v>
      </c>
      <c r="D977" s="35" t="s">
        <v>38</v>
      </c>
      <c r="E977" s="35" t="s">
        <v>25</v>
      </c>
      <c r="F977" s="35" t="s">
        <v>25</v>
      </c>
      <c r="G977" s="35" t="s">
        <v>25</v>
      </c>
      <c r="H977" s="35" t="s">
        <v>35</v>
      </c>
      <c r="I977" s="55">
        <v>44621</v>
      </c>
      <c r="J977" s="56">
        <f>EFEITO!$J$977*EFEITO!$Y$977</f>
        <v>0</v>
      </c>
      <c r="K977" s="56">
        <f ca="1">EFEITO!$L$977*EFEITO!$Z$977</f>
        <v>2158.0206849464739</v>
      </c>
      <c r="L977" s="56">
        <f>EFEITO!$N$977*EFEITO!$AA$977</f>
        <v>2034.4277429048332</v>
      </c>
      <c r="M977" s="56">
        <f>$J$977-EFEITO!$K$977*EFEITO!$Y$977</f>
        <v>0</v>
      </c>
      <c r="N977" s="56">
        <f ca="1">$K$977-EFEITO!$M$977*EFEITO!$Z$977</f>
        <v>0</v>
      </c>
      <c r="O977" s="56">
        <f>$L$977-EFEITO!$O$977*EFEITO!$AA$977</f>
        <v>0</v>
      </c>
      <c r="P977" s="39"/>
      <c r="Q977" s="39"/>
      <c r="R977" s="39"/>
      <c r="S977" s="39"/>
      <c r="T977" s="39"/>
      <c r="U977" s="39"/>
      <c r="V977" s="39"/>
      <c r="W977" s="39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</row>
    <row r="978" spans="1:36" ht="11.25" customHeight="1" x14ac:dyDescent="0.2">
      <c r="A978" s="35" t="s">
        <v>28</v>
      </c>
      <c r="B978" s="35" t="s">
        <v>37</v>
      </c>
      <c r="C978" s="35" t="s">
        <v>33</v>
      </c>
      <c r="D978" s="35" t="s">
        <v>38</v>
      </c>
      <c r="E978" s="35" t="s">
        <v>25</v>
      </c>
      <c r="F978" s="35" t="s">
        <v>25</v>
      </c>
      <c r="G978" s="35" t="s">
        <v>25</v>
      </c>
      <c r="H978" s="35" t="s">
        <v>35</v>
      </c>
      <c r="I978" s="55">
        <v>44621</v>
      </c>
      <c r="J978" s="56">
        <f>EFEITO!$J$978*EFEITO!$Y$978</f>
        <v>0</v>
      </c>
      <c r="K978" s="56">
        <f ca="1">EFEITO!$L$978*EFEITO!$Z$978</f>
        <v>56.806720971385126</v>
      </c>
      <c r="L978" s="56">
        <f>EFEITO!$N$978*EFEITO!$AA$978</f>
        <v>53.553318526465461</v>
      </c>
      <c r="M978" s="56">
        <f>$J$978-EFEITO!$K$978*EFEITO!$Y$978</f>
        <v>0</v>
      </c>
      <c r="N978" s="56">
        <f ca="1">$K$978-EFEITO!$M$978*EFEITO!$Z$978</f>
        <v>0</v>
      </c>
      <c r="O978" s="56">
        <f>$L$978-EFEITO!$O$978*EFEITO!$AA$978</f>
        <v>0</v>
      </c>
      <c r="P978" s="39"/>
      <c r="Q978" s="39"/>
      <c r="R978" s="39"/>
      <c r="S978" s="39"/>
      <c r="T978" s="39"/>
      <c r="U978" s="39"/>
      <c r="V978" s="39"/>
      <c r="W978" s="39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</row>
    <row r="979" spans="1:36" ht="11.25" customHeight="1" x14ac:dyDescent="0.2">
      <c r="A979" s="35" t="s">
        <v>28</v>
      </c>
      <c r="B979" s="35" t="s">
        <v>37</v>
      </c>
      <c r="C979" s="35" t="s">
        <v>33</v>
      </c>
      <c r="D979" s="35" t="s">
        <v>38</v>
      </c>
      <c r="E979" s="35" t="s">
        <v>25</v>
      </c>
      <c r="F979" s="35" t="s">
        <v>25</v>
      </c>
      <c r="G979" s="35" t="s">
        <v>25</v>
      </c>
      <c r="H979" s="35" t="s">
        <v>35</v>
      </c>
      <c r="I979" s="55">
        <v>44652</v>
      </c>
      <c r="J979" s="56">
        <f>EFEITO!$J$979*EFEITO!$Y$979</f>
        <v>0</v>
      </c>
      <c r="K979" s="56">
        <f ca="1">EFEITO!$L$979*EFEITO!$Z$979</f>
        <v>52.998449174420763</v>
      </c>
      <c r="L979" s="56">
        <f>EFEITO!$N$979*EFEITO!$AA$979</f>
        <v>49.963151921339289</v>
      </c>
      <c r="M979" s="56">
        <f>$J$979-EFEITO!$K$979*EFEITO!$Y$979</f>
        <v>0</v>
      </c>
      <c r="N979" s="56">
        <f ca="1">$K$979-EFEITO!$M$979*EFEITO!$Z$979</f>
        <v>0</v>
      </c>
      <c r="O979" s="56">
        <f>$L$979-EFEITO!$O$979*EFEITO!$AA$979</f>
        <v>0</v>
      </c>
      <c r="P979" s="39"/>
      <c r="Q979" s="39"/>
      <c r="R979" s="39"/>
      <c r="S979" s="39"/>
      <c r="T979" s="39"/>
      <c r="U979" s="39"/>
      <c r="V979" s="39"/>
      <c r="W979" s="39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</row>
    <row r="980" spans="1:36" ht="11.25" customHeight="1" x14ac:dyDescent="0.2">
      <c r="A980" s="35" t="s">
        <v>28</v>
      </c>
      <c r="B980" s="35" t="s">
        <v>37</v>
      </c>
      <c r="C980" s="35" t="s">
        <v>33</v>
      </c>
      <c r="D980" s="35" t="s">
        <v>38</v>
      </c>
      <c r="E980" s="35" t="s">
        <v>25</v>
      </c>
      <c r="F980" s="35" t="s">
        <v>25</v>
      </c>
      <c r="G980" s="35" t="s">
        <v>25</v>
      </c>
      <c r="H980" s="35" t="s">
        <v>35</v>
      </c>
      <c r="I980" s="55">
        <v>44682</v>
      </c>
      <c r="J980" s="56">
        <f>EFEITO!$J$980*EFEITO!$Y$980</f>
        <v>0</v>
      </c>
      <c r="K980" s="56">
        <f ca="1">EFEITO!$L$980*EFEITO!$Z$980</f>
        <v>49.507533360536762</v>
      </c>
      <c r="L980" s="56">
        <f>EFEITO!$N$980*EFEITO!$AA$980</f>
        <v>46.672165866640292</v>
      </c>
      <c r="M980" s="56">
        <f>$J$980-EFEITO!$K$980*EFEITO!$Y$980</f>
        <v>0</v>
      </c>
      <c r="N980" s="56">
        <f ca="1">$K$980-EFEITO!$M$980*EFEITO!$Z$980</f>
        <v>0</v>
      </c>
      <c r="O980" s="56">
        <f>$L$980-EFEITO!$O$980*EFEITO!$AA$980</f>
        <v>0</v>
      </c>
      <c r="P980" s="39"/>
      <c r="Q980" s="39"/>
      <c r="R980" s="39"/>
      <c r="S980" s="39"/>
      <c r="T980" s="39"/>
      <c r="U980" s="39"/>
      <c r="V980" s="39"/>
      <c r="W980" s="39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</row>
    <row r="981" spans="1:36" ht="11.25" customHeight="1" x14ac:dyDescent="0.2">
      <c r="A981" s="35" t="s">
        <v>28</v>
      </c>
      <c r="B981" s="35" t="s">
        <v>37</v>
      </c>
      <c r="C981" s="35" t="s">
        <v>33</v>
      </c>
      <c r="D981" s="35" t="s">
        <v>38</v>
      </c>
      <c r="E981" s="35" t="s">
        <v>25</v>
      </c>
      <c r="F981" s="35" t="s">
        <v>25</v>
      </c>
      <c r="G981" s="35" t="s">
        <v>25</v>
      </c>
      <c r="H981" s="35" t="s">
        <v>35</v>
      </c>
      <c r="I981" s="55">
        <v>44713</v>
      </c>
      <c r="J981" s="56">
        <f>EFEITO!$J$981*EFEITO!$Y$981</f>
        <v>0</v>
      </c>
      <c r="K981" s="56">
        <f ca="1">EFEITO!$L$981*EFEITO!$Z$981</f>
        <v>45.699261563572392</v>
      </c>
      <c r="L981" s="56">
        <f>EFEITO!$N$981*EFEITO!$AA$981</f>
        <v>43.081999261514113</v>
      </c>
      <c r="M981" s="56">
        <f>$J$981-EFEITO!$K$981*EFEITO!$Y$981</f>
        <v>0</v>
      </c>
      <c r="N981" s="56">
        <f ca="1">$K$981-EFEITO!$M$981*EFEITO!$Z$981</f>
        <v>0</v>
      </c>
      <c r="O981" s="56">
        <f>$L$981-EFEITO!$O$981*EFEITO!$AA$981</f>
        <v>0</v>
      </c>
      <c r="P981" s="39"/>
      <c r="Q981" s="39"/>
      <c r="R981" s="39"/>
      <c r="S981" s="39"/>
      <c r="T981" s="39"/>
      <c r="U981" s="39"/>
      <c r="V981" s="39"/>
      <c r="W981" s="39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</row>
    <row r="982" spans="1:36" ht="11.25" customHeight="1" x14ac:dyDescent="0.2">
      <c r="A982" s="35" t="s">
        <v>28</v>
      </c>
      <c r="B982" s="35" t="s">
        <v>37</v>
      </c>
      <c r="C982" s="35" t="s">
        <v>33</v>
      </c>
      <c r="D982" s="35" t="s">
        <v>38</v>
      </c>
      <c r="E982" s="35" t="s">
        <v>25</v>
      </c>
      <c r="F982" s="35" t="s">
        <v>25</v>
      </c>
      <c r="G982" s="35" t="s">
        <v>25</v>
      </c>
      <c r="H982" s="35" t="s">
        <v>35</v>
      </c>
      <c r="I982" s="55">
        <v>44774</v>
      </c>
      <c r="J982" s="56">
        <f>EFEITO!$J$982*EFEITO!$Y$982</f>
        <v>0</v>
      </c>
      <c r="K982" s="56">
        <f ca="1">EFEITO!$L$982*EFEITO!$Z$982</f>
        <v>75.213367990046223</v>
      </c>
      <c r="L982" s="56">
        <f>EFEITO!$N$982*EFEITO!$AA$982</f>
        <v>70.90579045124197</v>
      </c>
      <c r="M982" s="56">
        <f>$J$982-EFEITO!$K$982*EFEITO!$Y$982</f>
        <v>0</v>
      </c>
      <c r="N982" s="56">
        <f ca="1">$K$982-EFEITO!$M$982*EFEITO!$Z$982</f>
        <v>0</v>
      </c>
      <c r="O982" s="56">
        <f>$L$982-EFEITO!$O$982*EFEITO!$AA$982</f>
        <v>0</v>
      </c>
      <c r="P982" s="39"/>
      <c r="Q982" s="39"/>
      <c r="R982" s="39"/>
      <c r="S982" s="39"/>
      <c r="T982" s="39"/>
      <c r="U982" s="39"/>
      <c r="V982" s="39"/>
      <c r="W982" s="39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</row>
    <row r="983" spans="1:36" ht="11.25" customHeight="1" x14ac:dyDescent="0.2">
      <c r="A983" s="35" t="s">
        <v>28</v>
      </c>
      <c r="B983" s="35" t="s">
        <v>37</v>
      </c>
      <c r="C983" s="35" t="s">
        <v>33</v>
      </c>
      <c r="D983" s="35" t="s">
        <v>38</v>
      </c>
      <c r="E983" s="35" t="s">
        <v>25</v>
      </c>
      <c r="F983" s="35" t="s">
        <v>25</v>
      </c>
      <c r="G983" s="35" t="s">
        <v>25</v>
      </c>
      <c r="H983" s="35" t="s">
        <v>35</v>
      </c>
      <c r="I983" s="55">
        <v>44805</v>
      </c>
      <c r="J983" s="56">
        <f>EFEITO!$J$983*EFEITO!$Y$983</f>
        <v>0</v>
      </c>
      <c r="K983" s="56">
        <f ca="1">EFEITO!$L$983*EFEITO!$Z$983</f>
        <v>100.9192026195557</v>
      </c>
      <c r="L983" s="56">
        <f>EFEITO!$N$983*EFEITO!$AA$983</f>
        <v>95.139415035843669</v>
      </c>
      <c r="M983" s="56">
        <f>$J$983-EFEITO!$K$983*EFEITO!$Y$983</f>
        <v>0</v>
      </c>
      <c r="N983" s="56">
        <f ca="1">$K$983-EFEITO!$M$983*EFEITO!$Z$983</f>
        <v>0</v>
      </c>
      <c r="O983" s="56">
        <f>$L$983-EFEITO!$O$983*EFEITO!$AA$983</f>
        <v>0</v>
      </c>
      <c r="P983" s="39"/>
      <c r="Q983" s="39"/>
      <c r="R983" s="39"/>
      <c r="S983" s="39"/>
      <c r="T983" s="39"/>
      <c r="U983" s="39"/>
      <c r="V983" s="39"/>
      <c r="W983" s="39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</row>
    <row r="984" spans="1:36" ht="11.25" customHeight="1" x14ac:dyDescent="0.2">
      <c r="A984" s="35" t="s">
        <v>53</v>
      </c>
      <c r="B984" s="35" t="s">
        <v>37</v>
      </c>
      <c r="C984" s="35" t="s">
        <v>33</v>
      </c>
      <c r="D984" s="35" t="s">
        <v>38</v>
      </c>
      <c r="E984" s="35" t="s">
        <v>25</v>
      </c>
      <c r="F984" s="35" t="s">
        <v>25</v>
      </c>
      <c r="G984" s="35" t="s">
        <v>25</v>
      </c>
      <c r="H984" s="35" t="s">
        <v>35</v>
      </c>
      <c r="I984" s="55">
        <v>44835</v>
      </c>
      <c r="J984" s="56">
        <f>EFEITO!$J$984*EFEITO!$Y$984</f>
        <v>0</v>
      </c>
      <c r="K984" s="56">
        <f ca="1">EFEITO!$L$984*EFEITO!$Z$984</f>
        <v>100.9192026195557</v>
      </c>
      <c r="L984" s="56">
        <f>EFEITO!$N$984*EFEITO!$AA$984</f>
        <v>95.139415035843669</v>
      </c>
      <c r="M984" s="56">
        <f>$J$984-EFEITO!$K$984*EFEITO!$Y$984</f>
        <v>0</v>
      </c>
      <c r="N984" s="56">
        <f ca="1">$K$984-EFEITO!$M$984*EFEITO!$Z$984</f>
        <v>0</v>
      </c>
      <c r="O984" s="56">
        <f>$L$984-EFEITO!$O$984*EFEITO!$AA$984</f>
        <v>0</v>
      </c>
      <c r="P984" s="39"/>
      <c r="Q984" s="39"/>
      <c r="R984" s="39"/>
      <c r="S984" s="39"/>
      <c r="T984" s="39"/>
      <c r="U984" s="39"/>
      <c r="V984" s="39"/>
      <c r="W984" s="39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</row>
    <row r="985" spans="1:36" ht="11.25" customHeight="1" x14ac:dyDescent="0.2">
      <c r="A985" s="35" t="s">
        <v>21</v>
      </c>
      <c r="B985" s="35" t="s">
        <v>37</v>
      </c>
      <c r="C985" s="35" t="s">
        <v>33</v>
      </c>
      <c r="D985" s="35" t="s">
        <v>38</v>
      </c>
      <c r="E985" s="35" t="s">
        <v>25</v>
      </c>
      <c r="F985" s="35" t="s">
        <v>25</v>
      </c>
      <c r="G985" s="35" t="s">
        <v>25</v>
      </c>
      <c r="H985" s="35" t="s">
        <v>36</v>
      </c>
      <c r="I985" s="55">
        <v>44501</v>
      </c>
      <c r="J985" s="56">
        <f>EFEITO!$J$985*EFEITO!$Y$985</f>
        <v>0</v>
      </c>
      <c r="K985" s="56">
        <f ca="1">EFEITO!$L$985*EFEITO!$Z$985</f>
        <v>244.85480171825793</v>
      </c>
      <c r="L985" s="56">
        <f>EFEITO!$N$985*EFEITO!$AA$985</f>
        <v>119.67222017087255</v>
      </c>
      <c r="M985" s="56">
        <f>$J$985-EFEITO!$K$985*EFEITO!$Y$985</f>
        <v>0</v>
      </c>
      <c r="N985" s="56">
        <f ca="1">$K$985-EFEITO!$M$985*EFEITO!$Z$985</f>
        <v>0</v>
      </c>
      <c r="O985" s="56">
        <f>$L$985-EFEITO!$O$985*EFEITO!$AA$985</f>
        <v>0</v>
      </c>
      <c r="P985" s="39"/>
      <c r="Q985" s="39"/>
      <c r="R985" s="39"/>
      <c r="S985" s="39"/>
      <c r="T985" s="39"/>
      <c r="U985" s="39"/>
      <c r="V985" s="39"/>
      <c r="W985" s="39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</row>
    <row r="986" spans="1:36" ht="11.25" customHeight="1" x14ac:dyDescent="0.2">
      <c r="A986" s="35" t="s">
        <v>28</v>
      </c>
      <c r="B986" s="35" t="s">
        <v>37</v>
      </c>
      <c r="C986" s="35" t="s">
        <v>33</v>
      </c>
      <c r="D986" s="35" t="s">
        <v>38</v>
      </c>
      <c r="E986" s="35" t="s">
        <v>25</v>
      </c>
      <c r="F986" s="35" t="s">
        <v>25</v>
      </c>
      <c r="G986" s="35" t="s">
        <v>25</v>
      </c>
      <c r="H986" s="35" t="s">
        <v>36</v>
      </c>
      <c r="I986" s="55">
        <v>44501</v>
      </c>
      <c r="J986" s="56">
        <f>EFEITO!$J$986*EFEITO!$Y$986</f>
        <v>0</v>
      </c>
      <c r="K986" s="56">
        <f ca="1">EFEITO!$L$986*EFEITO!$Z$986</f>
        <v>26.321891184712726</v>
      </c>
      <c r="L986" s="56">
        <f>EFEITO!$N$986*EFEITO!$AA$986</f>
        <v>12.864763668368797</v>
      </c>
      <c r="M986" s="56">
        <f>$J$986-EFEITO!$K$986*EFEITO!$Y$986</f>
        <v>0</v>
      </c>
      <c r="N986" s="56">
        <f ca="1">$K$986-EFEITO!$M$986*EFEITO!$Z$986</f>
        <v>0</v>
      </c>
      <c r="O986" s="56">
        <f>$L$986-EFEITO!$O$986*EFEITO!$AA$986</f>
        <v>0</v>
      </c>
      <c r="P986" s="39"/>
      <c r="Q986" s="39"/>
      <c r="R986" s="39"/>
      <c r="S986" s="39"/>
      <c r="T986" s="39"/>
      <c r="U986" s="39"/>
      <c r="V986" s="39"/>
      <c r="W986" s="39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</row>
    <row r="987" spans="1:36" ht="11.25" customHeight="1" x14ac:dyDescent="0.2">
      <c r="A987" s="35" t="s">
        <v>21</v>
      </c>
      <c r="B987" s="35" t="s">
        <v>37</v>
      </c>
      <c r="C987" s="35" t="s">
        <v>33</v>
      </c>
      <c r="D987" s="35" t="s">
        <v>38</v>
      </c>
      <c r="E987" s="35" t="s">
        <v>25</v>
      </c>
      <c r="F987" s="35" t="s">
        <v>25</v>
      </c>
      <c r="G987" s="35" t="s">
        <v>25</v>
      </c>
      <c r="H987" s="35" t="s">
        <v>36</v>
      </c>
      <c r="I987" s="55">
        <v>44531</v>
      </c>
      <c r="J987" s="56">
        <f>EFEITO!$J$987*EFEITO!$Y$987</f>
        <v>0</v>
      </c>
      <c r="K987" s="56">
        <f ca="1">EFEITO!$L$987*EFEITO!$Z$987</f>
        <v>306.06850214782241</v>
      </c>
      <c r="L987" s="56">
        <f>EFEITO!$N$987*EFEITO!$AA$987</f>
        <v>149.59027521359067</v>
      </c>
      <c r="M987" s="56">
        <f>$J$987-EFEITO!$K$987*EFEITO!$Y$987</f>
        <v>0</v>
      </c>
      <c r="N987" s="56">
        <f ca="1">$K$987-EFEITO!$M$987*EFEITO!$Z$987</f>
        <v>0</v>
      </c>
      <c r="O987" s="56">
        <f>$L$987-EFEITO!$O$987*EFEITO!$AA$987</f>
        <v>0</v>
      </c>
      <c r="P987" s="39"/>
      <c r="Q987" s="39"/>
      <c r="R987" s="39"/>
      <c r="S987" s="39"/>
      <c r="T987" s="39"/>
      <c r="U987" s="39"/>
      <c r="V987" s="39"/>
      <c r="W987" s="39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</row>
    <row r="988" spans="1:36" ht="11.25" customHeight="1" x14ac:dyDescent="0.2">
      <c r="A988" s="35" t="s">
        <v>28</v>
      </c>
      <c r="B988" s="35" t="s">
        <v>37</v>
      </c>
      <c r="C988" s="35" t="s">
        <v>33</v>
      </c>
      <c r="D988" s="35" t="s">
        <v>38</v>
      </c>
      <c r="E988" s="35" t="s">
        <v>25</v>
      </c>
      <c r="F988" s="35" t="s">
        <v>25</v>
      </c>
      <c r="G988" s="35" t="s">
        <v>25</v>
      </c>
      <c r="H988" s="35" t="s">
        <v>36</v>
      </c>
      <c r="I988" s="55">
        <v>44531</v>
      </c>
      <c r="J988" s="56">
        <f>EFEITO!$J$988*EFEITO!$Y$988</f>
        <v>0</v>
      </c>
      <c r="K988" s="56">
        <f ca="1">EFEITO!$L$988*EFEITO!$Z$988</f>
        <v>29.994713210486598</v>
      </c>
      <c r="L988" s="56">
        <f>EFEITO!$N$988*EFEITO!$AA$988</f>
        <v>14.659846970931886</v>
      </c>
      <c r="M988" s="56">
        <f>$J$988-EFEITO!$K$988*EFEITO!$Y$988</f>
        <v>0</v>
      </c>
      <c r="N988" s="56">
        <f ca="1">$K$988-EFEITO!$M$988*EFEITO!$Z$988</f>
        <v>0</v>
      </c>
      <c r="O988" s="56">
        <f>$L$988-EFEITO!$O$988*EFEITO!$AA$988</f>
        <v>0</v>
      </c>
      <c r="P988" s="39"/>
      <c r="Q988" s="39"/>
      <c r="R988" s="39"/>
      <c r="S988" s="39"/>
      <c r="T988" s="39"/>
      <c r="U988" s="39"/>
      <c r="V988" s="39"/>
      <c r="W988" s="39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</row>
    <row r="989" spans="1:36" ht="11.25" customHeight="1" x14ac:dyDescent="0.2">
      <c r="A989" s="35" t="s">
        <v>21</v>
      </c>
      <c r="B989" s="35" t="s">
        <v>37</v>
      </c>
      <c r="C989" s="35" t="s">
        <v>33</v>
      </c>
      <c r="D989" s="35" t="s">
        <v>38</v>
      </c>
      <c r="E989" s="35" t="s">
        <v>25</v>
      </c>
      <c r="F989" s="35" t="s">
        <v>25</v>
      </c>
      <c r="G989" s="35" t="s">
        <v>25</v>
      </c>
      <c r="H989" s="35" t="s">
        <v>36</v>
      </c>
      <c r="I989" s="55">
        <v>44562</v>
      </c>
      <c r="J989" s="56">
        <f>EFEITO!$J$989*EFEITO!$Y$989</f>
        <v>0</v>
      </c>
      <c r="K989" s="56">
        <f ca="1">EFEITO!$L$989*EFEITO!$Z$989</f>
        <v>244.85480171825793</v>
      </c>
      <c r="L989" s="56">
        <f>EFEITO!$N$989*EFEITO!$AA$989</f>
        <v>119.67222017087255</v>
      </c>
      <c r="M989" s="56">
        <f>$J$989-EFEITO!$K$989*EFEITO!$Y$989</f>
        <v>0</v>
      </c>
      <c r="N989" s="56">
        <f ca="1">$K$989-EFEITO!$M$989*EFEITO!$Z$989</f>
        <v>0</v>
      </c>
      <c r="O989" s="56">
        <f>$L$989-EFEITO!$O$989*EFEITO!$AA$989</f>
        <v>0</v>
      </c>
      <c r="P989" s="39"/>
      <c r="Q989" s="39"/>
      <c r="R989" s="39"/>
      <c r="S989" s="39"/>
      <c r="T989" s="39"/>
      <c r="U989" s="39"/>
      <c r="V989" s="39"/>
      <c r="W989" s="39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</row>
    <row r="990" spans="1:36" ht="11.25" customHeight="1" x14ac:dyDescent="0.2">
      <c r="A990" s="35" t="s">
        <v>28</v>
      </c>
      <c r="B990" s="35" t="s">
        <v>37</v>
      </c>
      <c r="C990" s="35" t="s">
        <v>33</v>
      </c>
      <c r="D990" s="35" t="s">
        <v>38</v>
      </c>
      <c r="E990" s="35" t="s">
        <v>25</v>
      </c>
      <c r="F990" s="35" t="s">
        <v>25</v>
      </c>
      <c r="G990" s="35" t="s">
        <v>25</v>
      </c>
      <c r="H990" s="35" t="s">
        <v>36</v>
      </c>
      <c r="I990" s="55">
        <v>44562</v>
      </c>
      <c r="J990" s="56">
        <f>EFEITO!$J$990*EFEITO!$Y$990</f>
        <v>0</v>
      </c>
      <c r="K990" s="56">
        <f ca="1">EFEITO!$L$990*EFEITO!$Z$990</f>
        <v>33.055398231964823</v>
      </c>
      <c r="L990" s="56">
        <f>EFEITO!$N$990*EFEITO!$AA$990</f>
        <v>16.155749723067792</v>
      </c>
      <c r="M990" s="56">
        <f>$J$990-EFEITO!$K$990*EFEITO!$Y$990</f>
        <v>0</v>
      </c>
      <c r="N990" s="56">
        <f ca="1">$K$990-EFEITO!$M$990*EFEITO!$Z$990</f>
        <v>0</v>
      </c>
      <c r="O990" s="56">
        <f>$L$990-EFEITO!$O$990*EFEITO!$AA$990</f>
        <v>0</v>
      </c>
      <c r="P990" s="39"/>
      <c r="Q990" s="39"/>
      <c r="R990" s="39"/>
      <c r="S990" s="39"/>
      <c r="T990" s="39"/>
      <c r="U990" s="39"/>
      <c r="V990" s="39"/>
      <c r="W990" s="39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</row>
    <row r="991" spans="1:36" ht="11.25" customHeight="1" x14ac:dyDescent="0.2">
      <c r="A991" s="35" t="s">
        <v>21</v>
      </c>
      <c r="B991" s="35" t="s">
        <v>37</v>
      </c>
      <c r="C991" s="35" t="s">
        <v>33</v>
      </c>
      <c r="D991" s="35" t="s">
        <v>38</v>
      </c>
      <c r="E991" s="35" t="s">
        <v>25</v>
      </c>
      <c r="F991" s="35" t="s">
        <v>25</v>
      </c>
      <c r="G991" s="35" t="s">
        <v>25</v>
      </c>
      <c r="H991" s="35" t="s">
        <v>36</v>
      </c>
      <c r="I991" s="55">
        <v>44593</v>
      </c>
      <c r="J991" s="56">
        <f>EFEITO!$J$991*EFEITO!$Y$991</f>
        <v>0</v>
      </c>
      <c r="K991" s="56">
        <f ca="1">EFEITO!$L$991*EFEITO!$Z$991</f>
        <v>275.46165193304017</v>
      </c>
      <c r="L991" s="56">
        <f>EFEITO!$N$991*EFEITO!$AA$991</f>
        <v>134.6312476922316</v>
      </c>
      <c r="M991" s="56">
        <f>$J$991-EFEITO!$K$991*EFEITO!$Y$991</f>
        <v>0</v>
      </c>
      <c r="N991" s="56">
        <f ca="1">$K$991-EFEITO!$M$991*EFEITO!$Z$991</f>
        <v>0</v>
      </c>
      <c r="O991" s="56">
        <f>$L$991-EFEITO!$O$991*EFEITO!$AA$991</f>
        <v>0</v>
      </c>
      <c r="P991" s="39"/>
      <c r="Q991" s="39"/>
      <c r="R991" s="39"/>
      <c r="S991" s="39"/>
      <c r="T991" s="39"/>
      <c r="U991" s="39"/>
      <c r="V991" s="39"/>
      <c r="W991" s="39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</row>
    <row r="992" spans="1:36" ht="11.25" customHeight="1" x14ac:dyDescent="0.2">
      <c r="A992" s="35" t="s">
        <v>28</v>
      </c>
      <c r="B992" s="35" t="s">
        <v>37</v>
      </c>
      <c r="C992" s="35" t="s">
        <v>33</v>
      </c>
      <c r="D992" s="35" t="s">
        <v>38</v>
      </c>
      <c r="E992" s="35" t="s">
        <v>25</v>
      </c>
      <c r="F992" s="35" t="s">
        <v>25</v>
      </c>
      <c r="G992" s="35" t="s">
        <v>25</v>
      </c>
      <c r="H992" s="35" t="s">
        <v>36</v>
      </c>
      <c r="I992" s="55">
        <v>44593</v>
      </c>
      <c r="J992" s="56">
        <f>EFEITO!$J$992*EFEITO!$Y$992</f>
        <v>0</v>
      </c>
      <c r="K992" s="56">
        <f ca="1">EFEITO!$L$992*EFEITO!$Z$992</f>
        <v>25.709754180417086</v>
      </c>
      <c r="L992" s="56">
        <f>EFEITO!$N$992*EFEITO!$AA$992</f>
        <v>12.565583117941618</v>
      </c>
      <c r="M992" s="56">
        <f>$J$992-EFEITO!$K$992*EFEITO!$Y$992</f>
        <v>0</v>
      </c>
      <c r="N992" s="56">
        <f ca="1">$K$992-EFEITO!$M$992*EFEITO!$Z$992</f>
        <v>0</v>
      </c>
      <c r="O992" s="56">
        <f>$L$992-EFEITO!$O$992*EFEITO!$AA$992</f>
        <v>0</v>
      </c>
      <c r="P992" s="39"/>
      <c r="Q992" s="39"/>
      <c r="R992" s="39"/>
      <c r="S992" s="39"/>
      <c r="T992" s="39"/>
      <c r="U992" s="39"/>
      <c r="V992" s="39"/>
      <c r="W992" s="39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</row>
    <row r="993" spans="1:36" ht="11.25" customHeight="1" x14ac:dyDescent="0.2">
      <c r="A993" s="35" t="s">
        <v>21</v>
      </c>
      <c r="B993" s="35" t="s">
        <v>37</v>
      </c>
      <c r="C993" s="35" t="s">
        <v>33</v>
      </c>
      <c r="D993" s="35" t="s">
        <v>38</v>
      </c>
      <c r="E993" s="35" t="s">
        <v>25</v>
      </c>
      <c r="F993" s="35" t="s">
        <v>25</v>
      </c>
      <c r="G993" s="35" t="s">
        <v>25</v>
      </c>
      <c r="H993" s="35" t="s">
        <v>36</v>
      </c>
      <c r="I993" s="55">
        <v>44621</v>
      </c>
      <c r="J993" s="56">
        <f>EFEITO!$J$993*EFEITO!$Y$993</f>
        <v>0</v>
      </c>
      <c r="K993" s="56">
        <f ca="1">EFEITO!$L$993*EFEITO!$Z$993</f>
        <v>275.46165193304017</v>
      </c>
      <c r="L993" s="56">
        <f>EFEITO!$N$993*EFEITO!$AA$993</f>
        <v>134.6312476922316</v>
      </c>
      <c r="M993" s="56">
        <f>$J$993-EFEITO!$K$993*EFEITO!$Y$993</f>
        <v>0</v>
      </c>
      <c r="N993" s="56">
        <f ca="1">$K$993-EFEITO!$M$993*EFEITO!$Z$993</f>
        <v>0</v>
      </c>
      <c r="O993" s="56">
        <f>$L$993-EFEITO!$O$993*EFEITO!$AA$993</f>
        <v>0</v>
      </c>
      <c r="P993" s="39"/>
      <c r="Q993" s="39"/>
      <c r="R993" s="39"/>
      <c r="S993" s="39"/>
      <c r="T993" s="39"/>
      <c r="U993" s="39"/>
      <c r="V993" s="39"/>
      <c r="W993" s="39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</row>
    <row r="994" spans="1:36" ht="11.25" customHeight="1" x14ac:dyDescent="0.2">
      <c r="A994" s="35" t="s">
        <v>28</v>
      </c>
      <c r="B994" s="35" t="s">
        <v>37</v>
      </c>
      <c r="C994" s="35" t="s">
        <v>33</v>
      </c>
      <c r="D994" s="35" t="s">
        <v>38</v>
      </c>
      <c r="E994" s="35" t="s">
        <v>25</v>
      </c>
      <c r="F994" s="35" t="s">
        <v>25</v>
      </c>
      <c r="G994" s="35" t="s">
        <v>25</v>
      </c>
      <c r="H994" s="35" t="s">
        <v>36</v>
      </c>
      <c r="I994" s="55">
        <v>44621</v>
      </c>
      <c r="J994" s="56">
        <f>EFEITO!$J$994*EFEITO!$Y$994</f>
        <v>0</v>
      </c>
      <c r="K994" s="56">
        <f ca="1">EFEITO!$L$994*EFEITO!$Z$994</f>
        <v>31.831124223373529</v>
      </c>
      <c r="L994" s="56">
        <f>EFEITO!$N$994*EFEITO!$AA$994</f>
        <v>15.557388622213429</v>
      </c>
      <c r="M994" s="56">
        <f>$J$994-EFEITO!$K$994*EFEITO!$Y$994</f>
        <v>0</v>
      </c>
      <c r="N994" s="56">
        <f ca="1">$K$994-EFEITO!$M$994*EFEITO!$Z$994</f>
        <v>0</v>
      </c>
      <c r="O994" s="56">
        <f>$L$994-EFEITO!$O$994*EFEITO!$AA$994</f>
        <v>0</v>
      </c>
      <c r="P994" s="39"/>
      <c r="Q994" s="39"/>
      <c r="R994" s="39"/>
      <c r="S994" s="39"/>
      <c r="T994" s="39"/>
      <c r="U994" s="39"/>
      <c r="V994" s="39"/>
      <c r="W994" s="39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</row>
    <row r="995" spans="1:36" ht="11.25" customHeight="1" x14ac:dyDescent="0.2">
      <c r="A995" s="35" t="s">
        <v>28</v>
      </c>
      <c r="B995" s="35" t="s">
        <v>37</v>
      </c>
      <c r="C995" s="35" t="s">
        <v>33</v>
      </c>
      <c r="D995" s="35" t="s">
        <v>38</v>
      </c>
      <c r="E995" s="35" t="s">
        <v>25</v>
      </c>
      <c r="F995" s="35" t="s">
        <v>25</v>
      </c>
      <c r="G995" s="35" t="s">
        <v>25</v>
      </c>
      <c r="H995" s="35" t="s">
        <v>36</v>
      </c>
      <c r="I995" s="55">
        <v>44652</v>
      </c>
      <c r="J995" s="56">
        <f>EFEITO!$J$995*EFEITO!$Y$995</f>
        <v>0</v>
      </c>
      <c r="K995" s="56">
        <f ca="1">EFEITO!$L$995*EFEITO!$Z$995</f>
        <v>31.218987219077885</v>
      </c>
      <c r="L995" s="56">
        <f>EFEITO!$N$995*EFEITO!$AA$995</f>
        <v>15.258208071786248</v>
      </c>
      <c r="M995" s="56">
        <f>$J$995-EFEITO!$K$995*EFEITO!$Y$995</f>
        <v>0</v>
      </c>
      <c r="N995" s="56">
        <f ca="1">$K$995-EFEITO!$M$995*EFEITO!$Z$995</f>
        <v>0</v>
      </c>
      <c r="O995" s="56">
        <f>$L$995-EFEITO!$O$995*EFEITO!$AA$995</f>
        <v>0</v>
      </c>
      <c r="P995" s="39"/>
      <c r="Q995" s="39"/>
      <c r="R995" s="39"/>
      <c r="S995" s="39"/>
      <c r="T995" s="39"/>
      <c r="U995" s="39"/>
      <c r="V995" s="39"/>
      <c r="W995" s="39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</row>
    <row r="996" spans="1:36" ht="11.25" customHeight="1" x14ac:dyDescent="0.2">
      <c r="A996" s="35" t="s">
        <v>28</v>
      </c>
      <c r="B996" s="35" t="s">
        <v>37</v>
      </c>
      <c r="C996" s="35" t="s">
        <v>33</v>
      </c>
      <c r="D996" s="35" t="s">
        <v>38</v>
      </c>
      <c r="E996" s="35" t="s">
        <v>25</v>
      </c>
      <c r="F996" s="35" t="s">
        <v>25</v>
      </c>
      <c r="G996" s="35" t="s">
        <v>25</v>
      </c>
      <c r="H996" s="35" t="s">
        <v>36</v>
      </c>
      <c r="I996" s="55">
        <v>44682</v>
      </c>
      <c r="J996" s="56">
        <f>EFEITO!$J$996*EFEITO!$Y$996</f>
        <v>0</v>
      </c>
      <c r="K996" s="56">
        <f ca="1">EFEITO!$L$996*EFEITO!$Z$996</f>
        <v>34.891809244851757</v>
      </c>
      <c r="L996" s="56">
        <f>EFEITO!$N$996*EFEITO!$AA$996</f>
        <v>17.053291374349339</v>
      </c>
      <c r="M996" s="56">
        <f>$J$996-EFEITO!$K$996*EFEITO!$Y$996</f>
        <v>0</v>
      </c>
      <c r="N996" s="56">
        <f ca="1">$K$996-EFEITO!$M$996*EFEITO!$Z$996</f>
        <v>0</v>
      </c>
      <c r="O996" s="56">
        <f>$L$996-EFEITO!$O$996*EFEITO!$AA$996</f>
        <v>0</v>
      </c>
      <c r="P996" s="39"/>
      <c r="Q996" s="39"/>
      <c r="R996" s="39"/>
      <c r="S996" s="39"/>
      <c r="T996" s="39"/>
      <c r="U996" s="39"/>
      <c r="V996" s="39"/>
      <c r="W996" s="39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</row>
    <row r="997" spans="1:36" ht="11.25" customHeight="1" x14ac:dyDescent="0.2">
      <c r="A997" s="35" t="s">
        <v>28</v>
      </c>
      <c r="B997" s="35" t="s">
        <v>37</v>
      </c>
      <c r="C997" s="35" t="s">
        <v>33</v>
      </c>
      <c r="D997" s="35" t="s">
        <v>38</v>
      </c>
      <c r="E997" s="35" t="s">
        <v>25</v>
      </c>
      <c r="F997" s="35" t="s">
        <v>25</v>
      </c>
      <c r="G997" s="35" t="s">
        <v>25</v>
      </c>
      <c r="H997" s="35" t="s">
        <v>36</v>
      </c>
      <c r="I997" s="55">
        <v>44713</v>
      </c>
      <c r="J997" s="56">
        <f>EFEITO!$J$997*EFEITO!$Y$997</f>
        <v>0</v>
      </c>
      <c r="K997" s="56">
        <f ca="1">EFEITO!$L$997*EFEITO!$Z$997</f>
        <v>36.728220257738691</v>
      </c>
      <c r="L997" s="56">
        <f>EFEITO!$N$997*EFEITO!$AA$997</f>
        <v>17.950833025630882</v>
      </c>
      <c r="M997" s="56">
        <f>$J$997-EFEITO!$K$997*EFEITO!$Y$997</f>
        <v>0</v>
      </c>
      <c r="N997" s="56">
        <f ca="1">$K$997-EFEITO!$M$997*EFEITO!$Z$997</f>
        <v>0</v>
      </c>
      <c r="O997" s="56">
        <f>$L$997-EFEITO!$O$997*EFEITO!$AA$997</f>
        <v>0</v>
      </c>
      <c r="P997" s="39"/>
      <c r="Q997" s="39"/>
      <c r="R997" s="39"/>
      <c r="S997" s="39"/>
      <c r="T997" s="39"/>
      <c r="U997" s="39"/>
      <c r="V997" s="39"/>
      <c r="W997" s="39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</row>
    <row r="998" spans="1:36" ht="11.25" customHeight="1" x14ac:dyDescent="0.2">
      <c r="A998" s="35" t="s">
        <v>28</v>
      </c>
      <c r="B998" s="35" t="s">
        <v>37</v>
      </c>
      <c r="C998" s="35" t="s">
        <v>33</v>
      </c>
      <c r="D998" s="35" t="s">
        <v>38</v>
      </c>
      <c r="E998" s="35" t="s">
        <v>25</v>
      </c>
      <c r="F998" s="35" t="s">
        <v>25</v>
      </c>
      <c r="G998" s="35" t="s">
        <v>25</v>
      </c>
      <c r="H998" s="35" t="s">
        <v>36</v>
      </c>
      <c r="I998" s="55">
        <v>44774</v>
      </c>
      <c r="J998" s="56">
        <f>EFEITO!$J$998*EFEITO!$Y$998</f>
        <v>0</v>
      </c>
      <c r="K998" s="56">
        <f ca="1">EFEITO!$L$998*EFEITO!$Z$998</f>
        <v>37.952494266329978</v>
      </c>
      <c r="L998" s="56">
        <f>EFEITO!$N$998*EFEITO!$AA$998</f>
        <v>18.549194126485244</v>
      </c>
      <c r="M998" s="56">
        <f>$J$998-EFEITO!$K$998*EFEITO!$Y$998</f>
        <v>0</v>
      </c>
      <c r="N998" s="56">
        <f ca="1">$K$998-EFEITO!$M$998*EFEITO!$Z$998</f>
        <v>0</v>
      </c>
      <c r="O998" s="56">
        <f>$L$998-EFEITO!$O$998*EFEITO!$AA$998</f>
        <v>0</v>
      </c>
      <c r="P998" s="39"/>
      <c r="Q998" s="39"/>
      <c r="R998" s="39"/>
      <c r="S998" s="39"/>
      <c r="T998" s="39"/>
      <c r="U998" s="39"/>
      <c r="V998" s="39"/>
      <c r="W998" s="39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</row>
    <row r="999" spans="1:36" ht="11.25" customHeight="1" x14ac:dyDescent="0.2">
      <c r="A999" s="35" t="s">
        <v>28</v>
      </c>
      <c r="B999" s="35" t="s">
        <v>37</v>
      </c>
      <c r="C999" s="35" t="s">
        <v>33</v>
      </c>
      <c r="D999" s="35" t="s">
        <v>38</v>
      </c>
      <c r="E999" s="35" t="s">
        <v>25</v>
      </c>
      <c r="F999" s="35" t="s">
        <v>25</v>
      </c>
      <c r="G999" s="35" t="s">
        <v>25</v>
      </c>
      <c r="H999" s="35" t="s">
        <v>36</v>
      </c>
      <c r="I999" s="55">
        <v>44805</v>
      </c>
      <c r="J999" s="56">
        <f>EFEITO!$J$999*EFEITO!$Y$999</f>
        <v>0</v>
      </c>
      <c r="K999" s="56">
        <f ca="1">EFEITO!$L$999*EFEITO!$Z$999</f>
        <v>39.788905279216912</v>
      </c>
      <c r="L999" s="56">
        <f>EFEITO!$N$999*EFEITO!$AA$999</f>
        <v>19.446735777766786</v>
      </c>
      <c r="M999" s="56">
        <f>$J$999-EFEITO!$K$999*EFEITO!$Y$999</f>
        <v>0</v>
      </c>
      <c r="N999" s="56">
        <f ca="1">$K$999-EFEITO!$M$999*EFEITO!$Z$999</f>
        <v>0</v>
      </c>
      <c r="O999" s="56">
        <f>$L$999-EFEITO!$O$999*EFEITO!$AA$999</f>
        <v>0</v>
      </c>
      <c r="P999" s="39"/>
      <c r="Q999" s="39"/>
      <c r="R999" s="39"/>
      <c r="S999" s="39"/>
      <c r="T999" s="39"/>
      <c r="U999" s="39"/>
      <c r="V999" s="39"/>
      <c r="W999" s="39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</row>
    <row r="1000" spans="1:36" ht="11.25" customHeight="1" x14ac:dyDescent="0.2">
      <c r="A1000" s="35" t="s">
        <v>53</v>
      </c>
      <c r="B1000" s="35" t="s">
        <v>37</v>
      </c>
      <c r="C1000" s="35" t="s">
        <v>33</v>
      </c>
      <c r="D1000" s="35" t="s">
        <v>38</v>
      </c>
      <c r="E1000" s="35" t="s">
        <v>25</v>
      </c>
      <c r="F1000" s="35" t="s">
        <v>25</v>
      </c>
      <c r="G1000" s="35" t="s">
        <v>25</v>
      </c>
      <c r="H1000" s="35" t="s">
        <v>36</v>
      </c>
      <c r="I1000" s="55">
        <v>44835</v>
      </c>
      <c r="J1000" s="56">
        <f>EFEITO!$J$1000*EFEITO!$Y$1000</f>
        <v>0</v>
      </c>
      <c r="K1000" s="56">
        <f ca="1">EFEITO!$L$1000*EFEITO!$Z$1000</f>
        <v>39.788905279216912</v>
      </c>
      <c r="L1000" s="56">
        <f>EFEITO!$N$1000*EFEITO!$AA$1000</f>
        <v>19.446735777766786</v>
      </c>
      <c r="M1000" s="56">
        <f>$J$1000-EFEITO!$K$1000*EFEITO!$Y$1000</f>
        <v>0</v>
      </c>
      <c r="N1000" s="56">
        <f ca="1">$K$1000-EFEITO!$M$1000*EFEITO!$Z$1000</f>
        <v>0</v>
      </c>
      <c r="O1000" s="56">
        <f>$L$1000-EFEITO!$O$1000*EFEITO!$AA$1000</f>
        <v>0</v>
      </c>
      <c r="P1000" s="39"/>
      <c r="Q1000" s="39"/>
      <c r="R1000" s="39"/>
      <c r="S1000" s="39"/>
      <c r="T1000" s="39"/>
      <c r="U1000" s="39"/>
      <c r="V1000" s="39"/>
      <c r="W1000" s="39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</row>
    <row r="1001" spans="1:36" ht="11.25" customHeight="1" x14ac:dyDescent="0.2">
      <c r="A1001" s="35" t="s">
        <v>21</v>
      </c>
      <c r="B1001" s="35" t="s">
        <v>37</v>
      </c>
      <c r="C1001" s="35" t="s">
        <v>33</v>
      </c>
      <c r="D1001" s="35" t="s">
        <v>38</v>
      </c>
      <c r="E1001" s="35" t="s">
        <v>25</v>
      </c>
      <c r="F1001" s="35" t="s">
        <v>25</v>
      </c>
      <c r="G1001" s="35" t="s">
        <v>25</v>
      </c>
      <c r="H1001" s="35" t="s">
        <v>34</v>
      </c>
      <c r="I1001" s="55">
        <v>44501</v>
      </c>
      <c r="J1001" s="56">
        <f>EFEITO!$J$1001*EFEITO!$Y$1001</f>
        <v>0</v>
      </c>
      <c r="K1001" s="56">
        <f ca="1">EFEITO!$L$1001*EFEITO!$Z$1001</f>
        <v>226.72957755088601</v>
      </c>
      <c r="L1001" s="56">
        <f>EFEITO!$N$1001*EFEITO!$AA$1001</f>
        <v>121.60902101448687</v>
      </c>
      <c r="M1001" s="56">
        <f>$J$1001-EFEITO!$K$1001*EFEITO!$Y$1001</f>
        <v>0</v>
      </c>
      <c r="N1001" s="56">
        <f ca="1">$K$1001-EFEITO!$M$1001*EFEITO!$Z$1001</f>
        <v>0</v>
      </c>
      <c r="O1001" s="56">
        <f>$L$1001-EFEITO!$O$1001*EFEITO!$AA$1001</f>
        <v>0</v>
      </c>
      <c r="P1001" s="39"/>
      <c r="Q1001" s="39"/>
      <c r="R1001" s="39"/>
      <c r="S1001" s="39"/>
      <c r="T1001" s="39"/>
      <c r="U1001" s="39"/>
      <c r="V1001" s="39"/>
      <c r="W1001" s="39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</row>
    <row r="1002" spans="1:36" ht="11.25" customHeight="1" x14ac:dyDescent="0.2">
      <c r="A1002" s="35" t="s">
        <v>28</v>
      </c>
      <c r="B1002" s="35" t="s">
        <v>37</v>
      </c>
      <c r="C1002" s="35" t="s">
        <v>33</v>
      </c>
      <c r="D1002" s="35" t="s">
        <v>38</v>
      </c>
      <c r="E1002" s="35" t="s">
        <v>25</v>
      </c>
      <c r="F1002" s="35" t="s">
        <v>25</v>
      </c>
      <c r="G1002" s="35" t="s">
        <v>25</v>
      </c>
      <c r="H1002" s="35" t="s">
        <v>34</v>
      </c>
      <c r="I1002" s="55">
        <v>44501</v>
      </c>
      <c r="J1002" s="56">
        <f>EFEITO!$J$1002*EFEITO!$Y$1002</f>
        <v>0</v>
      </c>
      <c r="K1002" s="56">
        <f ca="1">EFEITO!$L$1002*EFEITO!$Z$1002</f>
        <v>74.36730143669061</v>
      </c>
      <c r="L1002" s="56">
        <f>EFEITO!$N$1002*EFEITO!$AA$1002</f>
        <v>39.887758892751698</v>
      </c>
      <c r="M1002" s="56">
        <f>$J$1002-EFEITO!$K$1002*EFEITO!$Y$1002</f>
        <v>0</v>
      </c>
      <c r="N1002" s="56">
        <f ca="1">$K$1002-EFEITO!$M$1002*EFEITO!$Z$1002</f>
        <v>0</v>
      </c>
      <c r="O1002" s="56">
        <f>$L$1002-EFEITO!$O$1002*EFEITO!$AA$1002</f>
        <v>0</v>
      </c>
      <c r="P1002" s="39"/>
      <c r="Q1002" s="39"/>
      <c r="R1002" s="39"/>
      <c r="S1002" s="39"/>
      <c r="T1002" s="39"/>
      <c r="U1002" s="39"/>
      <c r="V1002" s="39"/>
      <c r="W1002" s="39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</row>
    <row r="1003" spans="1:36" ht="11.25" customHeight="1" x14ac:dyDescent="0.2">
      <c r="A1003" s="35" t="s">
        <v>21</v>
      </c>
      <c r="B1003" s="35" t="s">
        <v>37</v>
      </c>
      <c r="C1003" s="35" t="s">
        <v>33</v>
      </c>
      <c r="D1003" s="35" t="s">
        <v>38</v>
      </c>
      <c r="E1003" s="35" t="s">
        <v>25</v>
      </c>
      <c r="F1003" s="35" t="s">
        <v>25</v>
      </c>
      <c r="G1003" s="35" t="s">
        <v>25</v>
      </c>
      <c r="H1003" s="35" t="s">
        <v>34</v>
      </c>
      <c r="I1003" s="55">
        <v>44531</v>
      </c>
      <c r="J1003" s="56">
        <f>EFEITO!$J$1003*EFEITO!$Y$1003</f>
        <v>0</v>
      </c>
      <c r="K1003" s="56">
        <f ca="1">EFEITO!$L$1003*EFEITO!$Z$1003</f>
        <v>272.07549306106318</v>
      </c>
      <c r="L1003" s="56">
        <f>EFEITO!$N$1003*EFEITO!$AA$1003</f>
        <v>145.93082521738424</v>
      </c>
      <c r="M1003" s="56">
        <f>$J$1003-EFEITO!$K$1003*EFEITO!$Y$1003</f>
        <v>0</v>
      </c>
      <c r="N1003" s="56">
        <f ca="1">$K$1003-EFEITO!$M$1003*EFEITO!$Z$1003</f>
        <v>0</v>
      </c>
      <c r="O1003" s="56">
        <f>$L$1003-EFEITO!$O$1003*EFEITO!$AA$1003</f>
        <v>0</v>
      </c>
      <c r="P1003" s="39"/>
      <c r="Q1003" s="39"/>
      <c r="R1003" s="39"/>
      <c r="S1003" s="39"/>
      <c r="T1003" s="39"/>
      <c r="U1003" s="39"/>
      <c r="V1003" s="39"/>
      <c r="W1003" s="39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</row>
    <row r="1004" spans="1:36" ht="11.25" customHeight="1" x14ac:dyDescent="0.2">
      <c r="A1004" s="35" t="s">
        <v>28</v>
      </c>
      <c r="B1004" s="35" t="s">
        <v>37</v>
      </c>
      <c r="C1004" s="35" t="s">
        <v>33</v>
      </c>
      <c r="D1004" s="35" t="s">
        <v>38</v>
      </c>
      <c r="E1004" s="35" t="s">
        <v>25</v>
      </c>
      <c r="F1004" s="35" t="s">
        <v>25</v>
      </c>
      <c r="G1004" s="35" t="s">
        <v>25</v>
      </c>
      <c r="H1004" s="35" t="s">
        <v>34</v>
      </c>
      <c r="I1004" s="55">
        <v>44531</v>
      </c>
      <c r="J1004" s="56">
        <f>EFEITO!$J$1004*EFEITO!$Y$1004</f>
        <v>0</v>
      </c>
      <c r="K1004" s="56">
        <f ca="1">EFEITO!$L$1004*EFEITO!$Z$1004</f>
        <v>88.877994399947312</v>
      </c>
      <c r="L1004" s="56">
        <f>EFEITO!$N$1004*EFEITO!$AA$1004</f>
        <v>47.670736237678852</v>
      </c>
      <c r="M1004" s="56">
        <f>$J$1004-EFEITO!$K$1004*EFEITO!$Y$1004</f>
        <v>0</v>
      </c>
      <c r="N1004" s="56">
        <f ca="1">$K$1004-EFEITO!$M$1004*EFEITO!$Z$1004</f>
        <v>0</v>
      </c>
      <c r="O1004" s="56">
        <f>$L$1004-EFEITO!$O$1004*EFEITO!$AA$1004</f>
        <v>0</v>
      </c>
      <c r="P1004" s="39"/>
      <c r="Q1004" s="39"/>
      <c r="R1004" s="39"/>
      <c r="S1004" s="39"/>
      <c r="T1004" s="39"/>
      <c r="U1004" s="39"/>
      <c r="V1004" s="39"/>
      <c r="W1004" s="39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</row>
    <row r="1005" spans="1:36" ht="11.25" customHeight="1" x14ac:dyDescent="0.2">
      <c r="A1005" s="35" t="s">
        <v>21</v>
      </c>
      <c r="B1005" s="35" t="s">
        <v>37</v>
      </c>
      <c r="C1005" s="35" t="s">
        <v>33</v>
      </c>
      <c r="D1005" s="35" t="s">
        <v>38</v>
      </c>
      <c r="E1005" s="35" t="s">
        <v>25</v>
      </c>
      <c r="F1005" s="35" t="s">
        <v>25</v>
      </c>
      <c r="G1005" s="35" t="s">
        <v>25</v>
      </c>
      <c r="H1005" s="35" t="s">
        <v>34</v>
      </c>
      <c r="I1005" s="55">
        <v>44562</v>
      </c>
      <c r="J1005" s="56">
        <f>EFEITO!$J$1005*EFEITO!$Y$1005</f>
        <v>0</v>
      </c>
      <c r="K1005" s="56">
        <f ca="1">EFEITO!$L$1005*EFEITO!$Z$1005</f>
        <v>181.38366204070883</v>
      </c>
      <c r="L1005" s="56">
        <f>EFEITO!$N$1005*EFEITO!$AA$1005</f>
        <v>97.287216811589502</v>
      </c>
      <c r="M1005" s="56">
        <f>$J$1005-EFEITO!$K$1005*EFEITO!$Y$1005</f>
        <v>0</v>
      </c>
      <c r="N1005" s="56">
        <f ca="1">$K$1005-EFEITO!$M$1005*EFEITO!$Z$1005</f>
        <v>0</v>
      </c>
      <c r="O1005" s="56">
        <f>$L$1005-EFEITO!$O$1005*EFEITO!$AA$1005</f>
        <v>0</v>
      </c>
      <c r="P1005" s="39"/>
      <c r="Q1005" s="39"/>
      <c r="R1005" s="39"/>
      <c r="S1005" s="39"/>
      <c r="T1005" s="39"/>
      <c r="U1005" s="39"/>
      <c r="V1005" s="39"/>
      <c r="W1005" s="39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</row>
    <row r="1006" spans="1:36" ht="11.25" customHeight="1" x14ac:dyDescent="0.2">
      <c r="A1006" s="35" t="s">
        <v>28</v>
      </c>
      <c r="B1006" s="35" t="s">
        <v>37</v>
      </c>
      <c r="C1006" s="35" t="s">
        <v>33</v>
      </c>
      <c r="D1006" s="35" t="s">
        <v>38</v>
      </c>
      <c r="E1006" s="35" t="s">
        <v>25</v>
      </c>
      <c r="F1006" s="35" t="s">
        <v>25</v>
      </c>
      <c r="G1006" s="35" t="s">
        <v>25</v>
      </c>
      <c r="H1006" s="35" t="s">
        <v>34</v>
      </c>
      <c r="I1006" s="55">
        <v>44562</v>
      </c>
      <c r="J1006" s="56">
        <f>EFEITO!$J$1006*EFEITO!$Y$1006</f>
        <v>0</v>
      </c>
      <c r="K1006" s="56">
        <f ca="1">EFEITO!$L$1006*EFEITO!$Z$1006</f>
        <v>91.598749330557951</v>
      </c>
      <c r="L1006" s="56">
        <f>EFEITO!$N$1006*EFEITO!$AA$1006</f>
        <v>49.1300444898527</v>
      </c>
      <c r="M1006" s="56">
        <f>$J$1006-EFEITO!$K$1006*EFEITO!$Y$1006</f>
        <v>0</v>
      </c>
      <c r="N1006" s="56">
        <f ca="1">$K$1006-EFEITO!$M$1006*EFEITO!$Z$1006</f>
        <v>0</v>
      </c>
      <c r="O1006" s="56">
        <f>$L$1006-EFEITO!$O$1006*EFEITO!$AA$1006</f>
        <v>0</v>
      </c>
      <c r="P1006" s="39"/>
      <c r="Q1006" s="39"/>
      <c r="R1006" s="39"/>
      <c r="S1006" s="39"/>
      <c r="T1006" s="39"/>
      <c r="U1006" s="39"/>
      <c r="V1006" s="39"/>
      <c r="W1006" s="39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</row>
    <row r="1007" spans="1:36" ht="11.25" customHeight="1" x14ac:dyDescent="0.2">
      <c r="A1007" s="35" t="s">
        <v>21</v>
      </c>
      <c r="B1007" s="35" t="s">
        <v>37</v>
      </c>
      <c r="C1007" s="35" t="s">
        <v>33</v>
      </c>
      <c r="D1007" s="35" t="s">
        <v>38</v>
      </c>
      <c r="E1007" s="35" t="s">
        <v>25</v>
      </c>
      <c r="F1007" s="35" t="s">
        <v>25</v>
      </c>
      <c r="G1007" s="35" t="s">
        <v>25</v>
      </c>
      <c r="H1007" s="35" t="s">
        <v>34</v>
      </c>
      <c r="I1007" s="55">
        <v>44593</v>
      </c>
      <c r="J1007" s="56">
        <f>EFEITO!$J$1007*EFEITO!$Y$1007</f>
        <v>0</v>
      </c>
      <c r="K1007" s="56">
        <f ca="1">EFEITO!$L$1007*EFEITO!$Z$1007</f>
        <v>90.691831020354414</v>
      </c>
      <c r="L1007" s="56">
        <f>EFEITO!$N$1007*EFEITO!$AA$1007</f>
        <v>48.643608405794751</v>
      </c>
      <c r="M1007" s="56">
        <f>$J$1007-EFEITO!$K$1007*EFEITO!$Y$1007</f>
        <v>0</v>
      </c>
      <c r="N1007" s="56">
        <f ca="1">$K$1007-EFEITO!$M$1007*EFEITO!$Z$1007</f>
        <v>0</v>
      </c>
      <c r="O1007" s="56">
        <f>$L$1007-EFEITO!$O$1007*EFEITO!$AA$1007</f>
        <v>0</v>
      </c>
      <c r="P1007" s="39"/>
      <c r="Q1007" s="39"/>
      <c r="R1007" s="39"/>
      <c r="S1007" s="39"/>
      <c r="T1007" s="39"/>
      <c r="U1007" s="39"/>
      <c r="V1007" s="39"/>
      <c r="W1007" s="39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</row>
    <row r="1008" spans="1:36" ht="11.25" customHeight="1" x14ac:dyDescent="0.2">
      <c r="A1008" s="35" t="s">
        <v>28</v>
      </c>
      <c r="B1008" s="35" t="s">
        <v>37</v>
      </c>
      <c r="C1008" s="35" t="s">
        <v>33</v>
      </c>
      <c r="D1008" s="35" t="s">
        <v>38</v>
      </c>
      <c r="E1008" s="35" t="s">
        <v>25</v>
      </c>
      <c r="F1008" s="35" t="s">
        <v>25</v>
      </c>
      <c r="G1008" s="35" t="s">
        <v>25</v>
      </c>
      <c r="H1008" s="35" t="s">
        <v>34</v>
      </c>
      <c r="I1008" s="55">
        <v>44593</v>
      </c>
      <c r="J1008" s="56">
        <f>EFEITO!$J$1008*EFEITO!$Y$1008</f>
        <v>0</v>
      </c>
      <c r="K1008" s="56">
        <f ca="1">EFEITO!$L$1008*EFEITO!$Z$1008</f>
        <v>78.901892987708322</v>
      </c>
      <c r="L1008" s="56">
        <f>EFEITO!$N$1008*EFEITO!$AA$1008</f>
        <v>42.319939313041431</v>
      </c>
      <c r="M1008" s="56">
        <f>$J$1008-EFEITO!$K$1008*EFEITO!$Y$1008</f>
        <v>0</v>
      </c>
      <c r="N1008" s="56">
        <f ca="1">$K$1008-EFEITO!$M$1008*EFEITO!$Z$1008</f>
        <v>0</v>
      </c>
      <c r="O1008" s="56">
        <f>$L$1008-EFEITO!$O$1008*EFEITO!$AA$1008</f>
        <v>0</v>
      </c>
      <c r="P1008" s="39"/>
      <c r="Q1008" s="39"/>
      <c r="R1008" s="39"/>
      <c r="S1008" s="39"/>
      <c r="T1008" s="39"/>
      <c r="U1008" s="39"/>
      <c r="V1008" s="39"/>
      <c r="W1008" s="39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</row>
    <row r="1009" spans="1:36" ht="11.25" customHeight="1" x14ac:dyDescent="0.2">
      <c r="A1009" s="35" t="s">
        <v>21</v>
      </c>
      <c r="B1009" s="35" t="s">
        <v>37</v>
      </c>
      <c r="C1009" s="35" t="s">
        <v>33</v>
      </c>
      <c r="D1009" s="35" t="s">
        <v>38</v>
      </c>
      <c r="E1009" s="35" t="s">
        <v>25</v>
      </c>
      <c r="F1009" s="35" t="s">
        <v>25</v>
      </c>
      <c r="G1009" s="35" t="s">
        <v>25</v>
      </c>
      <c r="H1009" s="35" t="s">
        <v>34</v>
      </c>
      <c r="I1009" s="55">
        <v>44621</v>
      </c>
      <c r="J1009" s="56">
        <f>EFEITO!$J$1009*EFEITO!$Y$1009</f>
        <v>0</v>
      </c>
      <c r="K1009" s="56">
        <f ca="1">EFEITO!$L$1009*EFEITO!$Z$1009</f>
        <v>136.03774653053159</v>
      </c>
      <c r="L1009" s="56">
        <f>EFEITO!$N$1009*EFEITO!$AA$1009</f>
        <v>72.96541260869212</v>
      </c>
      <c r="M1009" s="56">
        <f>$J$1009-EFEITO!$K$1009*EFEITO!$Y$1009</f>
        <v>0</v>
      </c>
      <c r="N1009" s="56">
        <f ca="1">$K$1009-EFEITO!$M$1009*EFEITO!$Z$1009</f>
        <v>0</v>
      </c>
      <c r="O1009" s="56">
        <f>$L$1009-EFEITO!$O$1009*EFEITO!$AA$1009</f>
        <v>0</v>
      </c>
      <c r="P1009" s="39"/>
      <c r="Q1009" s="39"/>
      <c r="R1009" s="39"/>
      <c r="S1009" s="39"/>
      <c r="T1009" s="39"/>
      <c r="U1009" s="39"/>
      <c r="V1009" s="39"/>
      <c r="W1009" s="39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</row>
    <row r="1010" spans="1:36" ht="11.25" customHeight="1" x14ac:dyDescent="0.2">
      <c r="A1010" s="35" t="s">
        <v>28</v>
      </c>
      <c r="B1010" s="35" t="s">
        <v>37</v>
      </c>
      <c r="C1010" s="35" t="s">
        <v>33</v>
      </c>
      <c r="D1010" s="35" t="s">
        <v>38</v>
      </c>
      <c r="E1010" s="35" t="s">
        <v>25</v>
      </c>
      <c r="F1010" s="35" t="s">
        <v>25</v>
      </c>
      <c r="G1010" s="35" t="s">
        <v>25</v>
      </c>
      <c r="H1010" s="35" t="s">
        <v>34</v>
      </c>
      <c r="I1010" s="55">
        <v>44621</v>
      </c>
      <c r="J1010" s="56">
        <f>EFEITO!$J$1010*EFEITO!$Y$1010</f>
        <v>0</v>
      </c>
      <c r="K1010" s="56">
        <f ca="1">EFEITO!$L$1010*EFEITO!$Z$1010</f>
        <v>97.040259191779214</v>
      </c>
      <c r="L1010" s="56">
        <f>EFEITO!$N$1010*EFEITO!$AA$1010</f>
        <v>52.048660994200382</v>
      </c>
      <c r="M1010" s="56">
        <f>$J$1010-EFEITO!$K$1010*EFEITO!$Y$1010</f>
        <v>0</v>
      </c>
      <c r="N1010" s="56">
        <f ca="1">$K$1010-EFEITO!$M$1010*EFEITO!$Z$1010</f>
        <v>0</v>
      </c>
      <c r="O1010" s="56">
        <f>$L$1010-EFEITO!$O$1010*EFEITO!$AA$1010</f>
        <v>0</v>
      </c>
      <c r="P1010" s="39"/>
      <c r="Q1010" s="39"/>
      <c r="R1010" s="39"/>
      <c r="S1010" s="39"/>
      <c r="T1010" s="39"/>
      <c r="U1010" s="39"/>
      <c r="V1010" s="39"/>
      <c r="W1010" s="39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</row>
    <row r="1011" spans="1:36" ht="11.25" customHeight="1" x14ac:dyDescent="0.2">
      <c r="A1011" s="35" t="s">
        <v>28</v>
      </c>
      <c r="B1011" s="35" t="s">
        <v>37</v>
      </c>
      <c r="C1011" s="35" t="s">
        <v>33</v>
      </c>
      <c r="D1011" s="35" t="s">
        <v>38</v>
      </c>
      <c r="E1011" s="35" t="s">
        <v>25</v>
      </c>
      <c r="F1011" s="35" t="s">
        <v>25</v>
      </c>
      <c r="G1011" s="35" t="s">
        <v>25</v>
      </c>
      <c r="H1011" s="35" t="s">
        <v>34</v>
      </c>
      <c r="I1011" s="55">
        <v>44652</v>
      </c>
      <c r="J1011" s="56">
        <f>EFEITO!$J$1011*EFEITO!$Y$1011</f>
        <v>0</v>
      </c>
      <c r="K1011" s="56">
        <f ca="1">EFEITO!$L$1011*EFEITO!$Z$1011</f>
        <v>89.784912710150863</v>
      </c>
      <c r="L1011" s="56">
        <f>EFEITO!$N$1011*EFEITO!$AA$1011</f>
        <v>48.157172321736802</v>
      </c>
      <c r="M1011" s="56">
        <f>$J$1011-EFEITO!$K$1011*EFEITO!$Y$1011</f>
        <v>0</v>
      </c>
      <c r="N1011" s="56">
        <f ca="1">$K$1011-EFEITO!$M$1011*EFEITO!$Z$1011</f>
        <v>0</v>
      </c>
      <c r="O1011" s="56">
        <f>$L$1011-EFEITO!$O$1011*EFEITO!$AA$1011</f>
        <v>0</v>
      </c>
      <c r="P1011" s="39"/>
      <c r="Q1011" s="39"/>
      <c r="R1011" s="39"/>
      <c r="S1011" s="39"/>
      <c r="T1011" s="39"/>
      <c r="U1011" s="39"/>
      <c r="V1011" s="39"/>
      <c r="W1011" s="39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</row>
    <row r="1012" spans="1:36" ht="11.25" customHeight="1" x14ac:dyDescent="0.2">
      <c r="A1012" s="35" t="s">
        <v>28</v>
      </c>
      <c r="B1012" s="35" t="s">
        <v>37</v>
      </c>
      <c r="C1012" s="35" t="s">
        <v>33</v>
      </c>
      <c r="D1012" s="35" t="s">
        <v>38</v>
      </c>
      <c r="E1012" s="35" t="s">
        <v>25</v>
      </c>
      <c r="F1012" s="35" t="s">
        <v>25</v>
      </c>
      <c r="G1012" s="35" t="s">
        <v>25</v>
      </c>
      <c r="H1012" s="35" t="s">
        <v>34</v>
      </c>
      <c r="I1012" s="55">
        <v>44682</v>
      </c>
      <c r="J1012" s="56">
        <f>EFEITO!$J$1012*EFEITO!$Y$1012</f>
        <v>0</v>
      </c>
      <c r="K1012" s="56">
        <f ca="1">EFEITO!$L$1012*EFEITO!$Z$1012</f>
        <v>87.971076089743775</v>
      </c>
      <c r="L1012" s="56">
        <f>EFEITO!$N$1012*EFEITO!$AA$1012</f>
        <v>47.18430015362091</v>
      </c>
      <c r="M1012" s="56">
        <f>$J$1012-EFEITO!$K$1012*EFEITO!$Y$1012</f>
        <v>0</v>
      </c>
      <c r="N1012" s="56">
        <f ca="1">$K$1012-EFEITO!$M$1012*EFEITO!$Z$1012</f>
        <v>0</v>
      </c>
      <c r="O1012" s="56">
        <f>$L$1012-EFEITO!$O$1012*EFEITO!$AA$1012</f>
        <v>0</v>
      </c>
      <c r="P1012" s="39"/>
      <c r="Q1012" s="39"/>
      <c r="R1012" s="39"/>
      <c r="S1012" s="39"/>
      <c r="T1012" s="39"/>
      <c r="U1012" s="39"/>
      <c r="V1012" s="39"/>
      <c r="W1012" s="39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</row>
    <row r="1013" spans="1:36" ht="11.25" customHeight="1" x14ac:dyDescent="0.2">
      <c r="A1013" s="35" t="s">
        <v>28</v>
      </c>
      <c r="B1013" s="35" t="s">
        <v>37</v>
      </c>
      <c r="C1013" s="35" t="s">
        <v>33</v>
      </c>
      <c r="D1013" s="35" t="s">
        <v>38</v>
      </c>
      <c r="E1013" s="35" t="s">
        <v>25</v>
      </c>
      <c r="F1013" s="35" t="s">
        <v>25</v>
      </c>
      <c r="G1013" s="35" t="s">
        <v>25</v>
      </c>
      <c r="H1013" s="35" t="s">
        <v>34</v>
      </c>
      <c r="I1013" s="55">
        <v>44713</v>
      </c>
      <c r="J1013" s="56">
        <f>EFEITO!$J$1013*EFEITO!$Y$1013</f>
        <v>0</v>
      </c>
      <c r="K1013" s="56">
        <f ca="1">EFEITO!$L$1013*EFEITO!$Z$1013</f>
        <v>81.622647918318961</v>
      </c>
      <c r="L1013" s="56">
        <f>EFEITO!$N$1013*EFEITO!$AA$1013</f>
        <v>43.779247565215272</v>
      </c>
      <c r="M1013" s="56">
        <f>$J$1013-EFEITO!$K$1013*EFEITO!$Y$1013</f>
        <v>0</v>
      </c>
      <c r="N1013" s="56">
        <f ca="1">$K$1013-EFEITO!$M$1013*EFEITO!$Z$1013</f>
        <v>0</v>
      </c>
      <c r="O1013" s="56">
        <f>$L$1013-EFEITO!$O$1013*EFEITO!$AA$1013</f>
        <v>0</v>
      </c>
      <c r="P1013" s="39"/>
      <c r="Q1013" s="39"/>
      <c r="R1013" s="39"/>
      <c r="S1013" s="39"/>
      <c r="T1013" s="39"/>
      <c r="U1013" s="39"/>
      <c r="V1013" s="39"/>
      <c r="W1013" s="39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</row>
    <row r="1014" spans="1:36" ht="11.25" customHeight="1" x14ac:dyDescent="0.2">
      <c r="A1014" s="35" t="s">
        <v>28</v>
      </c>
      <c r="B1014" s="35" t="s">
        <v>37</v>
      </c>
      <c r="C1014" s="35" t="s">
        <v>33</v>
      </c>
      <c r="D1014" s="35" t="s">
        <v>38</v>
      </c>
      <c r="E1014" s="35" t="s">
        <v>25</v>
      </c>
      <c r="F1014" s="35" t="s">
        <v>25</v>
      </c>
      <c r="G1014" s="35" t="s">
        <v>25</v>
      </c>
      <c r="H1014" s="35" t="s">
        <v>34</v>
      </c>
      <c r="I1014" s="55">
        <v>44774</v>
      </c>
      <c r="J1014" s="56">
        <f>EFEITO!$J$1014*EFEITO!$Y$1014</f>
        <v>0</v>
      </c>
      <c r="K1014" s="56">
        <f ca="1">EFEITO!$L$1014*EFEITO!$Z$1014</f>
        <v>93.412585950965024</v>
      </c>
      <c r="L1014" s="56">
        <f>EFEITO!$N$1014*EFEITO!$AA$1014</f>
        <v>50.102916657968585</v>
      </c>
      <c r="M1014" s="56">
        <f>$J$1014-EFEITO!$K$1014*EFEITO!$Y$1014</f>
        <v>0</v>
      </c>
      <c r="N1014" s="56">
        <f ca="1">$K$1014-EFEITO!$M$1014*EFEITO!$Z$1014</f>
        <v>0</v>
      </c>
      <c r="O1014" s="56">
        <f>$L$1014-EFEITO!$O$1014*EFEITO!$AA$1014</f>
        <v>0</v>
      </c>
      <c r="P1014" s="39"/>
      <c r="Q1014" s="39"/>
      <c r="R1014" s="39"/>
      <c r="S1014" s="39"/>
      <c r="T1014" s="39"/>
      <c r="U1014" s="39"/>
      <c r="V1014" s="39"/>
      <c r="W1014" s="39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</row>
    <row r="1015" spans="1:36" ht="11.25" customHeight="1" x14ac:dyDescent="0.2">
      <c r="A1015" s="35" t="s">
        <v>28</v>
      </c>
      <c r="B1015" s="35" t="s">
        <v>37</v>
      </c>
      <c r="C1015" s="35" t="s">
        <v>33</v>
      </c>
      <c r="D1015" s="35" t="s">
        <v>38</v>
      </c>
      <c r="E1015" s="35" t="s">
        <v>25</v>
      </c>
      <c r="F1015" s="35" t="s">
        <v>25</v>
      </c>
      <c r="G1015" s="35" t="s">
        <v>25</v>
      </c>
      <c r="H1015" s="35" t="s">
        <v>34</v>
      </c>
      <c r="I1015" s="55">
        <v>44805</v>
      </c>
      <c r="J1015" s="56">
        <f>EFEITO!$J$1015*EFEITO!$Y$1015</f>
        <v>0</v>
      </c>
      <c r="K1015" s="56">
        <f ca="1">EFEITO!$L$1015*EFEITO!$Z$1015</f>
        <v>101.57485074279693</v>
      </c>
      <c r="L1015" s="56">
        <f>EFEITO!$N$1015*EFEITO!$AA$1015</f>
        <v>54.480841414490122</v>
      </c>
      <c r="M1015" s="56">
        <f>$J$1015-EFEITO!$K$1015*EFEITO!$Y$1015</f>
        <v>0</v>
      </c>
      <c r="N1015" s="56">
        <f ca="1">$K$1015-EFEITO!$M$1015*EFEITO!$Z$1015</f>
        <v>0</v>
      </c>
      <c r="O1015" s="56">
        <f>$L$1015-EFEITO!$O$1015*EFEITO!$AA$1015</f>
        <v>0</v>
      </c>
      <c r="P1015" s="39"/>
      <c r="Q1015" s="39"/>
      <c r="R1015" s="39"/>
      <c r="S1015" s="39"/>
      <c r="T1015" s="39"/>
      <c r="U1015" s="39"/>
      <c r="V1015" s="39"/>
      <c r="W1015" s="39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</row>
    <row r="1016" spans="1:36" ht="11.25" customHeight="1" x14ac:dyDescent="0.2">
      <c r="A1016" s="35" t="s">
        <v>53</v>
      </c>
      <c r="B1016" s="35" t="s">
        <v>37</v>
      </c>
      <c r="C1016" s="35" t="s">
        <v>33</v>
      </c>
      <c r="D1016" s="35" t="s">
        <v>38</v>
      </c>
      <c r="E1016" s="35" t="s">
        <v>25</v>
      </c>
      <c r="F1016" s="35" t="s">
        <v>25</v>
      </c>
      <c r="G1016" s="35" t="s">
        <v>25</v>
      </c>
      <c r="H1016" s="35" t="s">
        <v>34</v>
      </c>
      <c r="I1016" s="55">
        <v>44835</v>
      </c>
      <c r="J1016" s="56">
        <f>EFEITO!$J$1016*EFEITO!$Y$1016</f>
        <v>0</v>
      </c>
      <c r="K1016" s="56">
        <f ca="1">EFEITO!$L$1016*EFEITO!$Z$1016</f>
        <v>101.57485074279693</v>
      </c>
      <c r="L1016" s="56">
        <f>EFEITO!$N$1016*EFEITO!$AA$1016</f>
        <v>54.480841414490122</v>
      </c>
      <c r="M1016" s="56">
        <f>$J$1016-EFEITO!$K$1016*EFEITO!$Y$1016</f>
        <v>0</v>
      </c>
      <c r="N1016" s="56">
        <f ca="1">$K$1016-EFEITO!$M$1016*EFEITO!$Z$1016</f>
        <v>0</v>
      </c>
      <c r="O1016" s="56">
        <f>$L$1016-EFEITO!$O$1016*EFEITO!$AA$1016</f>
        <v>0</v>
      </c>
      <c r="P1016" s="39"/>
      <c r="Q1016" s="39"/>
      <c r="R1016" s="39"/>
      <c r="S1016" s="39"/>
      <c r="T1016" s="39"/>
      <c r="U1016" s="39"/>
      <c r="V1016" s="39"/>
      <c r="W1016" s="39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</row>
    <row r="1017" spans="1:36" ht="11.25" customHeight="1" x14ac:dyDescent="0.2">
      <c r="A1017" s="35" t="s">
        <v>21</v>
      </c>
      <c r="B1017" s="35" t="s">
        <v>37</v>
      </c>
      <c r="C1017" s="35" t="s">
        <v>33</v>
      </c>
      <c r="D1017" s="35" t="s">
        <v>50</v>
      </c>
      <c r="E1017" s="35" t="s">
        <v>51</v>
      </c>
      <c r="F1017" s="35" t="s">
        <v>25</v>
      </c>
      <c r="G1017" s="35" t="s">
        <v>25</v>
      </c>
      <c r="H1017" s="35" t="s">
        <v>35</v>
      </c>
      <c r="I1017" s="55">
        <v>44682</v>
      </c>
      <c r="J1017" s="56">
        <f>EFEITO!$J$1017*EFEITO!$Y$984</f>
        <v>0</v>
      </c>
      <c r="K1017" s="56">
        <f ca="1">EFEITO!$L$1017*EFEITO!$Z$984</f>
        <v>3432.8396689802958</v>
      </c>
      <c r="L1017" s="56">
        <f>EFEITO!$N$1017*EFEITO!$AA$984</f>
        <v>3236.2360139708207</v>
      </c>
      <c r="M1017" s="56">
        <f>$J$1017-EFEITO!$K$1017*EFEITO!$Y$1017</f>
        <v>0</v>
      </c>
      <c r="N1017" s="56">
        <f ca="1">$K$1017-EFEITO!$M$1017*EFEITO!$Z$1017</f>
        <v>102.98519006940887</v>
      </c>
      <c r="O1017" s="56">
        <f>$L$1017-EFEITO!$O$1017*EFEITO!$AA$1017</f>
        <v>97.087080419124959</v>
      </c>
      <c r="P1017" s="39"/>
      <c r="Q1017" s="39"/>
      <c r="R1017" s="39"/>
      <c r="S1017" s="39"/>
      <c r="T1017" s="39"/>
      <c r="U1017" s="39"/>
      <c r="V1017" s="39"/>
      <c r="W1017" s="39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</row>
    <row r="1018" spans="1:36" ht="11.25" customHeight="1" x14ac:dyDescent="0.2">
      <c r="A1018" s="35" t="s">
        <v>21</v>
      </c>
      <c r="B1018" s="35" t="s">
        <v>37</v>
      </c>
      <c r="C1018" s="35" t="s">
        <v>33</v>
      </c>
      <c r="D1018" s="35" t="s">
        <v>50</v>
      </c>
      <c r="E1018" s="35" t="s">
        <v>51</v>
      </c>
      <c r="F1018" s="35" t="s">
        <v>25</v>
      </c>
      <c r="G1018" s="35" t="s">
        <v>25</v>
      </c>
      <c r="H1018" s="35" t="s">
        <v>35</v>
      </c>
      <c r="I1018" s="55">
        <v>44713</v>
      </c>
      <c r="J1018" s="56">
        <f>EFEITO!$J$1018*EFEITO!$Y$984</f>
        <v>0</v>
      </c>
      <c r="K1018" s="56">
        <f ca="1">EFEITO!$L$1018*EFEITO!$Z$984</f>
        <v>2267.5084991091994</v>
      </c>
      <c r="L1018" s="56">
        <f>EFEITO!$N$1018*EFEITO!$AA$984</f>
        <v>2137.6450328022106</v>
      </c>
      <c r="M1018" s="56">
        <f>$J$1018-EFEITO!$K$1018*EFEITO!$Y$1018</f>
        <v>0</v>
      </c>
      <c r="N1018" s="56">
        <f ca="1">$K$1018-EFEITO!$M$1018*EFEITO!$Z$1018</f>
        <v>68.025254973275878</v>
      </c>
      <c r="O1018" s="56">
        <f>$L$1018-EFEITO!$O$1018*EFEITO!$AA$1018</f>
        <v>64.129350984066605</v>
      </c>
      <c r="P1018" s="39"/>
      <c r="Q1018" s="39"/>
      <c r="R1018" s="39"/>
      <c r="S1018" s="39"/>
      <c r="T1018" s="39"/>
      <c r="U1018" s="39"/>
      <c r="V1018" s="39"/>
      <c r="W1018" s="39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</row>
    <row r="1019" spans="1:36" ht="11.25" customHeight="1" x14ac:dyDescent="0.2">
      <c r="A1019" s="35" t="s">
        <v>21</v>
      </c>
      <c r="B1019" s="35" t="s">
        <v>37</v>
      </c>
      <c r="C1019" s="35" t="s">
        <v>33</v>
      </c>
      <c r="D1019" s="35" t="s">
        <v>50</v>
      </c>
      <c r="E1019" s="35" t="s">
        <v>51</v>
      </c>
      <c r="F1019" s="35" t="s">
        <v>25</v>
      </c>
      <c r="G1019" s="35" t="s">
        <v>25</v>
      </c>
      <c r="H1019" s="35" t="s">
        <v>35</v>
      </c>
      <c r="I1019" s="55">
        <v>44743</v>
      </c>
      <c r="J1019" s="56">
        <f>EFEITO!$J$1019*EFEITO!$Y$984</f>
        <v>0</v>
      </c>
      <c r="K1019" s="56">
        <f ca="1">EFEITO!$L$1019*EFEITO!$Z$984</f>
        <v>2309.7168448588877</v>
      </c>
      <c r="L1019" s="56">
        <f>EFEITO!$N$1019*EFEITO!$AA$984</f>
        <v>2177.4360460090256</v>
      </c>
      <c r="M1019" s="56">
        <f>$J$1019-EFEITO!$K$1019*EFEITO!$Y$1019</f>
        <v>0</v>
      </c>
      <c r="N1019" s="56">
        <f ca="1">$K$1019-EFEITO!$M$1019*EFEITO!$Z$1019</f>
        <v>69.291505345766382</v>
      </c>
      <c r="O1019" s="56">
        <f>$L$1019-EFEITO!$O$1019*EFEITO!$AA$1019</f>
        <v>65.323081380270651</v>
      </c>
      <c r="P1019" s="39"/>
      <c r="Q1019" s="39"/>
      <c r="R1019" s="39"/>
      <c r="S1019" s="39"/>
      <c r="T1019" s="39"/>
      <c r="U1019" s="39"/>
      <c r="V1019" s="39"/>
      <c r="W1019" s="39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</row>
    <row r="1020" spans="1:36" ht="11.25" customHeight="1" x14ac:dyDescent="0.2">
      <c r="A1020" s="35" t="s">
        <v>21</v>
      </c>
      <c r="B1020" s="35" t="s">
        <v>37</v>
      </c>
      <c r="C1020" s="35" t="s">
        <v>33</v>
      </c>
      <c r="D1020" s="35" t="s">
        <v>50</v>
      </c>
      <c r="E1020" s="35" t="s">
        <v>51</v>
      </c>
      <c r="F1020" s="35" t="s">
        <v>25</v>
      </c>
      <c r="G1020" s="35" t="s">
        <v>25</v>
      </c>
      <c r="H1020" s="35" t="s">
        <v>35</v>
      </c>
      <c r="I1020" s="55">
        <v>44774</v>
      </c>
      <c r="J1020" s="56">
        <f>EFEITO!$J$1020*EFEITO!$Y$984</f>
        <v>0</v>
      </c>
      <c r="K1020" s="56">
        <f ca="1">EFEITO!$L$1020*EFEITO!$Z$984</f>
        <v>2635.3240834993412</v>
      </c>
      <c r="L1020" s="56">
        <f>EFEITO!$N$1020*EFEITO!$AA$984</f>
        <v>2484.395290747314</v>
      </c>
      <c r="M1020" s="56">
        <f>$J$1020-EFEITO!$K$1020*EFEITO!$Y$1020</f>
        <v>0</v>
      </c>
      <c r="N1020" s="56">
        <f ca="1">$K$1020-EFEITO!$M$1020*EFEITO!$Z$1020</f>
        <v>79.059722504980073</v>
      </c>
      <c r="O1020" s="56">
        <f>$L$1020-EFEITO!$O$1020*EFEITO!$AA$1020</f>
        <v>74.531858722419656</v>
      </c>
      <c r="P1020" s="39"/>
      <c r="Q1020" s="39"/>
      <c r="R1020" s="39"/>
      <c r="S1020" s="39"/>
      <c r="T1020" s="39"/>
      <c r="U1020" s="39"/>
      <c r="V1020" s="39"/>
      <c r="W1020" s="39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</row>
    <row r="1021" spans="1:36" ht="11.25" customHeight="1" x14ac:dyDescent="0.2">
      <c r="A1021" s="35" t="s">
        <v>21</v>
      </c>
      <c r="B1021" s="35" t="s">
        <v>37</v>
      </c>
      <c r="C1021" s="35" t="s">
        <v>33</v>
      </c>
      <c r="D1021" s="35" t="s">
        <v>50</v>
      </c>
      <c r="E1021" s="35" t="s">
        <v>51</v>
      </c>
      <c r="F1021" s="35" t="s">
        <v>25</v>
      </c>
      <c r="G1021" s="35" t="s">
        <v>25</v>
      </c>
      <c r="H1021" s="35" t="s">
        <v>35</v>
      </c>
      <c r="I1021" s="55">
        <v>44805</v>
      </c>
      <c r="J1021" s="56">
        <f>EFEITO!$J$1021*EFEITO!$Y$984</f>
        <v>0</v>
      </c>
      <c r="K1021" s="56">
        <f ca="1">EFEITO!$L$1021*EFEITO!$Z$984</f>
        <v>2627.072827939252</v>
      </c>
      <c r="L1021" s="56">
        <f>EFEITO!$N$1021*EFEITO!$AA$984</f>
        <v>2476.6165964362071</v>
      </c>
      <c r="M1021" s="56">
        <f>$J$1021-EFEITO!$K$1021*EFEITO!$Y$1021</f>
        <v>0</v>
      </c>
      <c r="N1021" s="56">
        <f ca="1">$K$1021-EFEITO!$M$1021*EFEITO!$Z$1021</f>
        <v>78.812184838177473</v>
      </c>
      <c r="O1021" s="56">
        <f>$L$1021-EFEITO!$O$1021*EFEITO!$AA$1021</f>
        <v>74.298497893086278</v>
      </c>
      <c r="P1021" s="39"/>
      <c r="Q1021" s="39"/>
      <c r="R1021" s="39"/>
      <c r="S1021" s="39"/>
      <c r="T1021" s="39"/>
      <c r="U1021" s="39"/>
      <c r="V1021" s="39"/>
      <c r="W1021" s="39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</row>
    <row r="1022" spans="1:36" ht="11.25" customHeight="1" x14ac:dyDescent="0.2">
      <c r="A1022" s="35" t="s">
        <v>53</v>
      </c>
      <c r="B1022" s="35" t="s">
        <v>37</v>
      </c>
      <c r="C1022" s="35" t="s">
        <v>33</v>
      </c>
      <c r="D1022" s="35" t="s">
        <v>50</v>
      </c>
      <c r="E1022" s="35" t="s">
        <v>51</v>
      </c>
      <c r="F1022" s="35" t="s">
        <v>25</v>
      </c>
      <c r="G1022" s="35" t="s">
        <v>25</v>
      </c>
      <c r="H1022" s="35" t="s">
        <v>35</v>
      </c>
      <c r="I1022" s="55">
        <v>44835</v>
      </c>
      <c r="J1022" s="56">
        <f>EFEITO!$J$1022*EFEITO!$Y$984</f>
        <v>0</v>
      </c>
      <c r="K1022" s="56">
        <f ca="1">EFEITO!$L$1022*EFEITO!$Z$984</f>
        <v>2627.072827939252</v>
      </c>
      <c r="L1022" s="56">
        <f>EFEITO!$N$1022*EFEITO!$AA$984</f>
        <v>2476.6165964362071</v>
      </c>
      <c r="M1022" s="56">
        <f>$J$1022-EFEITO!$K$1022*EFEITO!$Y$1022</f>
        <v>0</v>
      </c>
      <c r="N1022" s="56">
        <f ca="1">$K$1022-EFEITO!$M$1022*EFEITO!$Z$1022</f>
        <v>78.812184838177473</v>
      </c>
      <c r="O1022" s="56">
        <f>$L$1022-EFEITO!$O$1022*EFEITO!$AA$1022</f>
        <v>74.298497893086278</v>
      </c>
      <c r="P1022" s="39"/>
      <c r="Q1022" s="39"/>
      <c r="R1022" s="39"/>
      <c r="S1022" s="39"/>
      <c r="T1022" s="39"/>
      <c r="U1022" s="39"/>
      <c r="V1022" s="39"/>
      <c r="W1022" s="39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</row>
    <row r="1023" spans="1:36" ht="11.25" customHeight="1" x14ac:dyDescent="0.2">
      <c r="A1023" s="35" t="s">
        <v>21</v>
      </c>
      <c r="B1023" s="35" t="s">
        <v>37</v>
      </c>
      <c r="C1023" s="35" t="s">
        <v>33</v>
      </c>
      <c r="D1023" s="35" t="s">
        <v>50</v>
      </c>
      <c r="E1023" s="35" t="s">
        <v>51</v>
      </c>
      <c r="F1023" s="35" t="s">
        <v>25</v>
      </c>
      <c r="G1023" s="35" t="s">
        <v>25</v>
      </c>
      <c r="H1023" s="35" t="s">
        <v>36</v>
      </c>
      <c r="I1023" s="55">
        <v>44682</v>
      </c>
      <c r="J1023" s="56">
        <f>EFEITO!$J$1023*EFEITO!$Y$1000</f>
        <v>0</v>
      </c>
      <c r="K1023" s="56">
        <f ca="1">EFEITO!$L$1023*EFEITO!$Z$1000</f>
        <v>134.0580039407462</v>
      </c>
      <c r="L1023" s="56">
        <f>EFEITO!$N$1023*EFEITO!$AA$1000</f>
        <v>65.520540543552713</v>
      </c>
      <c r="M1023" s="56">
        <f>$J$1023-EFEITO!$K$1023*EFEITO!$Y$1023</f>
        <v>0</v>
      </c>
      <c r="N1023" s="56">
        <f ca="1">$K$1023-EFEITO!$M$1023*EFEITO!$Z$1023</f>
        <v>4.0217401182223682</v>
      </c>
      <c r="O1023" s="56">
        <f>$L$1023-EFEITO!$O$1023*EFEITO!$AA$1023</f>
        <v>1.9656162163065858</v>
      </c>
      <c r="P1023" s="39"/>
      <c r="Q1023" s="39"/>
      <c r="R1023" s="39"/>
      <c r="S1023" s="39"/>
      <c r="T1023" s="39"/>
      <c r="U1023" s="39"/>
      <c r="V1023" s="39"/>
      <c r="W1023" s="39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</row>
    <row r="1024" spans="1:36" ht="11.25" customHeight="1" x14ac:dyDescent="0.2">
      <c r="A1024" s="35" t="s">
        <v>21</v>
      </c>
      <c r="B1024" s="35" t="s">
        <v>37</v>
      </c>
      <c r="C1024" s="35" t="s">
        <v>33</v>
      </c>
      <c r="D1024" s="35" t="s">
        <v>50</v>
      </c>
      <c r="E1024" s="35" t="s">
        <v>51</v>
      </c>
      <c r="F1024" s="35" t="s">
        <v>25</v>
      </c>
      <c r="G1024" s="35" t="s">
        <v>25</v>
      </c>
      <c r="H1024" s="35" t="s">
        <v>36</v>
      </c>
      <c r="I1024" s="55">
        <v>44713</v>
      </c>
      <c r="J1024" s="56">
        <f>EFEITO!$J$1024*EFEITO!$Y$1000</f>
        <v>0</v>
      </c>
      <c r="K1024" s="56">
        <f ca="1">EFEITO!$L$1024*EFEITO!$Z$1000</f>
        <v>32.443261227669176</v>
      </c>
      <c r="L1024" s="56">
        <f>EFEITO!$N$1024*EFEITO!$AA$1000</f>
        <v>15.856569172640611</v>
      </c>
      <c r="M1024" s="56">
        <f>$J$1024-EFEITO!$K$1024*EFEITO!$Y$1024</f>
        <v>0</v>
      </c>
      <c r="N1024" s="56">
        <f ca="1">$K$1024-EFEITO!$M$1024*EFEITO!$Z$1024</f>
        <v>0.97329783683007776</v>
      </c>
      <c r="O1024" s="56">
        <f>$L$1024-EFEITO!$O$1024*EFEITO!$AA$1024</f>
        <v>0.47569707517921955</v>
      </c>
      <c r="P1024" s="39"/>
      <c r="Q1024" s="39"/>
      <c r="R1024" s="39"/>
      <c r="S1024" s="39"/>
      <c r="T1024" s="39"/>
      <c r="U1024" s="39"/>
      <c r="V1024" s="39"/>
      <c r="W1024" s="39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</row>
    <row r="1025" spans="1:36" ht="11.25" customHeight="1" x14ac:dyDescent="0.2">
      <c r="A1025" s="35" t="s">
        <v>21</v>
      </c>
      <c r="B1025" s="35" t="s">
        <v>37</v>
      </c>
      <c r="C1025" s="35" t="s">
        <v>33</v>
      </c>
      <c r="D1025" s="35" t="s">
        <v>50</v>
      </c>
      <c r="E1025" s="35" t="s">
        <v>51</v>
      </c>
      <c r="F1025" s="35" t="s">
        <v>25</v>
      </c>
      <c r="G1025" s="35" t="s">
        <v>25</v>
      </c>
      <c r="H1025" s="35" t="s">
        <v>36</v>
      </c>
      <c r="I1025" s="55">
        <v>44743</v>
      </c>
      <c r="J1025" s="56">
        <f>EFEITO!$J$1025*EFEITO!$Y$1000</f>
        <v>0</v>
      </c>
      <c r="K1025" s="56">
        <f ca="1">EFEITO!$L$1025*EFEITO!$Z$1000</f>
        <v>10.406329073025963</v>
      </c>
      <c r="L1025" s="56">
        <f>EFEITO!$N$1025*EFEITO!$AA$1000</f>
        <v>5.0860693572620832</v>
      </c>
      <c r="M1025" s="56">
        <f>$J$1025-EFEITO!$K$1025*EFEITO!$Y$1025</f>
        <v>0</v>
      </c>
      <c r="N1025" s="56">
        <f ca="1">$K$1025-EFEITO!$M$1025*EFEITO!$Z$1025</f>
        <v>0.31218987219078009</v>
      </c>
      <c r="O1025" s="56">
        <f>$L$1025-EFEITO!$O$1025*EFEITO!$AA$1025</f>
        <v>0.15258208071786239</v>
      </c>
      <c r="P1025" s="39"/>
      <c r="Q1025" s="39"/>
      <c r="R1025" s="39"/>
      <c r="S1025" s="39"/>
      <c r="T1025" s="39"/>
      <c r="U1025" s="39"/>
      <c r="V1025" s="39"/>
      <c r="W1025" s="39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</row>
    <row r="1026" spans="1:36" ht="11.25" customHeight="1" x14ac:dyDescent="0.2">
      <c r="A1026" s="35" t="s">
        <v>21</v>
      </c>
      <c r="B1026" s="35" t="s">
        <v>37</v>
      </c>
      <c r="C1026" s="35" t="s">
        <v>33</v>
      </c>
      <c r="D1026" s="35" t="s">
        <v>50</v>
      </c>
      <c r="E1026" s="35" t="s">
        <v>51</v>
      </c>
      <c r="F1026" s="35" t="s">
        <v>25</v>
      </c>
      <c r="G1026" s="35" t="s">
        <v>25</v>
      </c>
      <c r="H1026" s="35" t="s">
        <v>36</v>
      </c>
      <c r="I1026" s="55">
        <v>44774</v>
      </c>
      <c r="J1026" s="56">
        <f>EFEITO!$J$1026*EFEITO!$Y$1000</f>
        <v>0</v>
      </c>
      <c r="K1026" s="56">
        <f ca="1">EFEITO!$L$1026*EFEITO!$Z$1000</f>
        <v>12.242740085912898</v>
      </c>
      <c r="L1026" s="56">
        <f>EFEITO!$N$1026*EFEITO!$AA$1000</f>
        <v>5.9836110085436269</v>
      </c>
      <c r="M1026" s="56">
        <f>$J$1026-EFEITO!$K$1026*EFEITO!$Y$1026</f>
        <v>0</v>
      </c>
      <c r="N1026" s="56">
        <f ca="1">$K$1026-EFEITO!$M$1026*EFEITO!$Z$1026</f>
        <v>0.3672822025773872</v>
      </c>
      <c r="O1026" s="56">
        <f>$L$1026-EFEITO!$O$1026*EFEITO!$AA$1026</f>
        <v>0.17950833025630875</v>
      </c>
      <c r="P1026" s="39"/>
      <c r="Q1026" s="39"/>
      <c r="R1026" s="39"/>
      <c r="S1026" s="39"/>
      <c r="T1026" s="39"/>
      <c r="U1026" s="39"/>
      <c r="V1026" s="39"/>
      <c r="W1026" s="39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</row>
    <row r="1027" spans="1:36" ht="11.25" customHeight="1" x14ac:dyDescent="0.2">
      <c r="A1027" s="35" t="s">
        <v>21</v>
      </c>
      <c r="B1027" s="35" t="s">
        <v>37</v>
      </c>
      <c r="C1027" s="35" t="s">
        <v>33</v>
      </c>
      <c r="D1027" s="35" t="s">
        <v>50</v>
      </c>
      <c r="E1027" s="35" t="s">
        <v>51</v>
      </c>
      <c r="F1027" s="35" t="s">
        <v>25</v>
      </c>
      <c r="G1027" s="35" t="s">
        <v>25</v>
      </c>
      <c r="H1027" s="35" t="s">
        <v>36</v>
      </c>
      <c r="I1027" s="55">
        <v>44805</v>
      </c>
      <c r="J1027" s="56">
        <f>EFEITO!$J$1027*EFEITO!$Y$1000</f>
        <v>0</v>
      </c>
      <c r="K1027" s="56">
        <f ca="1">EFEITO!$L$1027*EFEITO!$Z$1000</f>
        <v>13.467014094504185</v>
      </c>
      <c r="L1027" s="56">
        <f>EFEITO!$N$1027*EFEITO!$AA$1000</f>
        <v>6.5819721093979888</v>
      </c>
      <c r="M1027" s="56">
        <f>$J$1027-EFEITO!$K$1027*EFEITO!$Y$1027</f>
        <v>0</v>
      </c>
      <c r="N1027" s="56">
        <f ca="1">$K$1027-EFEITO!$M$1027*EFEITO!$Z$1027</f>
        <v>0.40401042283512467</v>
      </c>
      <c r="O1027" s="56">
        <f>$L$1027-EFEITO!$O$1027*EFEITO!$AA$1027</f>
        <v>0.19745916328193935</v>
      </c>
      <c r="P1027" s="39"/>
      <c r="Q1027" s="39"/>
      <c r="R1027" s="39"/>
      <c r="S1027" s="39"/>
      <c r="T1027" s="39"/>
      <c r="U1027" s="39"/>
      <c r="V1027" s="39"/>
      <c r="W1027" s="39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</row>
    <row r="1028" spans="1:36" ht="11.25" customHeight="1" x14ac:dyDescent="0.2">
      <c r="A1028" s="35" t="s">
        <v>53</v>
      </c>
      <c r="B1028" s="35" t="s">
        <v>37</v>
      </c>
      <c r="C1028" s="35" t="s">
        <v>33</v>
      </c>
      <c r="D1028" s="35" t="s">
        <v>50</v>
      </c>
      <c r="E1028" s="35" t="s">
        <v>51</v>
      </c>
      <c r="F1028" s="35" t="s">
        <v>25</v>
      </c>
      <c r="G1028" s="35" t="s">
        <v>25</v>
      </c>
      <c r="H1028" s="35" t="s">
        <v>36</v>
      </c>
      <c r="I1028" s="55">
        <v>44835</v>
      </c>
      <c r="J1028" s="56">
        <f>EFEITO!$J$1028*EFEITO!$Y$1000</f>
        <v>0</v>
      </c>
      <c r="K1028" s="56">
        <f ca="1">EFEITO!$L$1028*EFEITO!$Z$1000</f>
        <v>13.467014094504185</v>
      </c>
      <c r="L1028" s="56">
        <f>EFEITO!$N$1028*EFEITO!$AA$1000</f>
        <v>6.5819721093979888</v>
      </c>
      <c r="M1028" s="56">
        <f>$J$1028-EFEITO!$K$1028*EFEITO!$Y$1028</f>
        <v>0</v>
      </c>
      <c r="N1028" s="56">
        <f ca="1">$K$1028-EFEITO!$M$1028*EFEITO!$Z$1028</f>
        <v>0.40401042283512467</v>
      </c>
      <c r="O1028" s="56">
        <f>$L$1028-EFEITO!$O$1028*EFEITO!$AA$1028</f>
        <v>0.19745916328193935</v>
      </c>
      <c r="P1028" s="39"/>
      <c r="Q1028" s="39"/>
      <c r="R1028" s="39"/>
      <c r="S1028" s="39"/>
      <c r="T1028" s="39"/>
      <c r="U1028" s="39"/>
      <c r="V1028" s="39"/>
      <c r="W1028" s="39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</row>
    <row r="1029" spans="1:36" ht="11.25" customHeight="1" x14ac:dyDescent="0.2">
      <c r="A1029" s="35" t="s">
        <v>21</v>
      </c>
      <c r="B1029" s="35" t="s">
        <v>37</v>
      </c>
      <c r="C1029" s="35" t="s">
        <v>33</v>
      </c>
      <c r="D1029" s="35" t="s">
        <v>50</v>
      </c>
      <c r="E1029" s="35" t="s">
        <v>51</v>
      </c>
      <c r="F1029" s="35" t="s">
        <v>25</v>
      </c>
      <c r="G1029" s="35" t="s">
        <v>25</v>
      </c>
      <c r="H1029" s="35" t="s">
        <v>34</v>
      </c>
      <c r="I1029" s="55">
        <v>44682</v>
      </c>
      <c r="J1029" s="56">
        <f>EFEITO!$J$1029*EFEITO!$Y$1016</f>
        <v>0</v>
      </c>
      <c r="K1029" s="56">
        <f ca="1">EFEITO!$L$1029*EFEITO!$Z$1016</f>
        <v>323.76983674266518</v>
      </c>
      <c r="L1029" s="56">
        <f>EFEITO!$N$1029*EFEITO!$AA$1016</f>
        <v>173.65768200868723</v>
      </c>
      <c r="M1029" s="56">
        <f>$J$1029-EFEITO!$K$1029*EFEITO!$Y$1029</f>
        <v>0</v>
      </c>
      <c r="N1029" s="56">
        <f ca="1">$K$1029-EFEITO!$M$1029*EFEITO!$Z$1029</f>
        <v>9.7130951022799081</v>
      </c>
      <c r="O1029" s="56">
        <f>$L$1029-EFEITO!$O$1029*EFEITO!$AA$1029</f>
        <v>5.2097304602606016</v>
      </c>
      <c r="P1029" s="39"/>
      <c r="Q1029" s="39"/>
      <c r="R1029" s="39"/>
      <c r="S1029" s="39"/>
      <c r="T1029" s="39"/>
      <c r="U1029" s="39"/>
      <c r="V1029" s="39"/>
      <c r="W1029" s="39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</row>
    <row r="1030" spans="1:36" ht="11.25" customHeight="1" x14ac:dyDescent="0.2">
      <c r="A1030" s="35" t="s">
        <v>21</v>
      </c>
      <c r="B1030" s="35" t="s">
        <v>37</v>
      </c>
      <c r="C1030" s="35" t="s">
        <v>33</v>
      </c>
      <c r="D1030" s="35" t="s">
        <v>50</v>
      </c>
      <c r="E1030" s="35" t="s">
        <v>51</v>
      </c>
      <c r="F1030" s="35" t="s">
        <v>25</v>
      </c>
      <c r="G1030" s="35" t="s">
        <v>25</v>
      </c>
      <c r="H1030" s="35" t="s">
        <v>34</v>
      </c>
      <c r="I1030" s="55">
        <v>44713</v>
      </c>
      <c r="J1030" s="56">
        <f>EFEITO!$J$1030*EFEITO!$Y$1016</f>
        <v>0</v>
      </c>
      <c r="K1030" s="56">
        <f ca="1">EFEITO!$L$1030*EFEITO!$Z$1016</f>
        <v>15.417611273460249</v>
      </c>
      <c r="L1030" s="56">
        <f>EFEITO!$N$1030*EFEITO!$AA$1016</f>
        <v>8.2694134289851071</v>
      </c>
      <c r="M1030" s="56">
        <f>$J$1030-EFEITO!$K$1030*EFEITO!$Y$1030</f>
        <v>0</v>
      </c>
      <c r="N1030" s="56">
        <f ca="1">$K$1030-EFEITO!$M$1030*EFEITO!$Z$1030</f>
        <v>0.46252833820380701</v>
      </c>
      <c r="O1030" s="56">
        <f>$L$1030-EFEITO!$O$1030*EFEITO!$AA$1030</f>
        <v>0.24808240286955296</v>
      </c>
      <c r="P1030" s="39"/>
      <c r="Q1030" s="39"/>
      <c r="R1030" s="39"/>
      <c r="S1030" s="39"/>
      <c r="T1030" s="39"/>
      <c r="U1030" s="39"/>
      <c r="V1030" s="39"/>
      <c r="W1030" s="39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</row>
    <row r="1031" spans="1:36" ht="11.25" customHeight="1" x14ac:dyDescent="0.2">
      <c r="A1031" s="35" t="s">
        <v>21</v>
      </c>
      <c r="B1031" s="35" t="s">
        <v>37</v>
      </c>
      <c r="C1031" s="35" t="s">
        <v>33</v>
      </c>
      <c r="D1031" s="35" t="s">
        <v>50</v>
      </c>
      <c r="E1031" s="35" t="s">
        <v>51</v>
      </c>
      <c r="F1031" s="35" t="s">
        <v>25</v>
      </c>
      <c r="G1031" s="35" t="s">
        <v>25</v>
      </c>
      <c r="H1031" s="35" t="s">
        <v>34</v>
      </c>
      <c r="I1031" s="55">
        <v>44743</v>
      </c>
      <c r="J1031" s="56">
        <f>EFEITO!$J$1031*EFEITO!$Y$1016</f>
        <v>0</v>
      </c>
      <c r="K1031" s="56">
        <f ca="1">EFEITO!$L$1031*EFEITO!$Z$1016</f>
        <v>27.207549306106319</v>
      </c>
      <c r="L1031" s="56">
        <f>EFEITO!$N$1031*EFEITO!$AA$1016</f>
        <v>14.593082521738424</v>
      </c>
      <c r="M1031" s="56">
        <f>$J$1031-EFEITO!$K$1031*EFEITO!$Y$1031</f>
        <v>0</v>
      </c>
      <c r="N1031" s="56">
        <f ca="1">$K$1031-EFEITO!$M$1031*EFEITO!$Z$1031</f>
        <v>0.81622647918318947</v>
      </c>
      <c r="O1031" s="56">
        <f>$L$1031-EFEITO!$O$1031*EFEITO!$AA$1031</f>
        <v>0.43779247565215229</v>
      </c>
      <c r="P1031" s="39"/>
      <c r="Q1031" s="39"/>
      <c r="R1031" s="39"/>
      <c r="S1031" s="39"/>
      <c r="T1031" s="39"/>
      <c r="U1031" s="39"/>
      <c r="V1031" s="39"/>
      <c r="W1031" s="39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</row>
    <row r="1032" spans="1:36" ht="11.25" customHeight="1" x14ac:dyDescent="0.2">
      <c r="A1032" s="35" t="s">
        <v>21</v>
      </c>
      <c r="B1032" s="35" t="s">
        <v>37</v>
      </c>
      <c r="C1032" s="35" t="s">
        <v>33</v>
      </c>
      <c r="D1032" s="35" t="s">
        <v>50</v>
      </c>
      <c r="E1032" s="35" t="s">
        <v>51</v>
      </c>
      <c r="F1032" s="35" t="s">
        <v>25</v>
      </c>
      <c r="G1032" s="35" t="s">
        <v>25</v>
      </c>
      <c r="H1032" s="35" t="s">
        <v>34</v>
      </c>
      <c r="I1032" s="55">
        <v>44774</v>
      </c>
      <c r="J1032" s="56">
        <f>EFEITO!$J$1032*EFEITO!$Y$1016</f>
        <v>0</v>
      </c>
      <c r="K1032" s="56">
        <f ca="1">EFEITO!$L$1032*EFEITO!$Z$1016</f>
        <v>14.510692963256705</v>
      </c>
      <c r="L1032" s="56">
        <f>EFEITO!$N$1032*EFEITO!$AA$1016</f>
        <v>7.7829773449271595</v>
      </c>
      <c r="M1032" s="56">
        <f>$J$1032-EFEITO!$K$1032*EFEITO!$Y$1032</f>
        <v>0</v>
      </c>
      <c r="N1032" s="56">
        <f ca="1">$K$1032-EFEITO!$M$1032*EFEITO!$Z$1032</f>
        <v>0.43532078889770176</v>
      </c>
      <c r="O1032" s="56">
        <f>$L$1032-EFEITO!$O$1032*EFEITO!$AA$1032</f>
        <v>0.23348932034781456</v>
      </c>
      <c r="P1032" s="39"/>
      <c r="Q1032" s="39"/>
      <c r="R1032" s="39"/>
      <c r="S1032" s="39"/>
      <c r="T1032" s="39"/>
      <c r="U1032" s="39"/>
      <c r="V1032" s="39"/>
      <c r="W1032" s="39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</row>
    <row r="1033" spans="1:36" ht="11.25" customHeight="1" x14ac:dyDescent="0.2">
      <c r="A1033" s="35" t="s">
        <v>21</v>
      </c>
      <c r="B1033" s="35" t="s">
        <v>37</v>
      </c>
      <c r="C1033" s="35" t="s">
        <v>33</v>
      </c>
      <c r="D1033" s="35" t="s">
        <v>50</v>
      </c>
      <c r="E1033" s="35" t="s">
        <v>51</v>
      </c>
      <c r="F1033" s="35" t="s">
        <v>25</v>
      </c>
      <c r="G1033" s="35" t="s">
        <v>25</v>
      </c>
      <c r="H1033" s="35" t="s">
        <v>34</v>
      </c>
      <c r="I1033" s="55">
        <v>44805</v>
      </c>
      <c r="J1033" s="56">
        <f>EFEITO!$J$1033*EFEITO!$Y$1016</f>
        <v>0</v>
      </c>
      <c r="K1033" s="56">
        <f ca="1">EFEITO!$L$1033*EFEITO!$Z$1016</f>
        <v>30.835222546920498</v>
      </c>
      <c r="L1033" s="56">
        <f>EFEITO!$N$1033*EFEITO!$AA$1016</f>
        <v>16.538826857970214</v>
      </c>
      <c r="M1033" s="56">
        <f>$J$1033-EFEITO!$K$1033*EFEITO!$Y$1033</f>
        <v>0</v>
      </c>
      <c r="N1033" s="56">
        <f ca="1">$K$1033-EFEITO!$M$1033*EFEITO!$Z$1033</f>
        <v>0.92505667640761402</v>
      </c>
      <c r="O1033" s="56">
        <f>$L$1033-EFEITO!$O$1033*EFEITO!$AA$1033</f>
        <v>0.49616480573910593</v>
      </c>
      <c r="P1033" s="39"/>
      <c r="Q1033" s="39"/>
      <c r="R1033" s="39"/>
      <c r="S1033" s="39"/>
      <c r="T1033" s="39"/>
      <c r="U1033" s="39"/>
      <c r="V1033" s="39"/>
      <c r="W1033" s="39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</row>
    <row r="1034" spans="1:36" ht="11.25" customHeight="1" x14ac:dyDescent="0.2">
      <c r="A1034" s="35" t="s">
        <v>53</v>
      </c>
      <c r="B1034" s="35" t="s">
        <v>37</v>
      </c>
      <c r="C1034" s="35" t="s">
        <v>33</v>
      </c>
      <c r="D1034" s="35" t="s">
        <v>50</v>
      </c>
      <c r="E1034" s="35" t="s">
        <v>51</v>
      </c>
      <c r="F1034" s="35" t="s">
        <v>25</v>
      </c>
      <c r="G1034" s="35" t="s">
        <v>25</v>
      </c>
      <c r="H1034" s="35" t="s">
        <v>34</v>
      </c>
      <c r="I1034" s="55">
        <v>44835</v>
      </c>
      <c r="J1034" s="56">
        <f>EFEITO!$J$1034*EFEITO!$Y$1016</f>
        <v>0</v>
      </c>
      <c r="K1034" s="56">
        <f ca="1">EFEITO!$L$1034*EFEITO!$Z$1016</f>
        <v>30.835222546920498</v>
      </c>
      <c r="L1034" s="56">
        <f>EFEITO!$N$1034*EFEITO!$AA$1016</f>
        <v>16.538826857970214</v>
      </c>
      <c r="M1034" s="56">
        <f>$J$1034-EFEITO!$K$1034*EFEITO!$Y$1034</f>
        <v>0</v>
      </c>
      <c r="N1034" s="56">
        <f ca="1">$K$1034-EFEITO!$M$1034*EFEITO!$Z$1034</f>
        <v>0.92505667640761402</v>
      </c>
      <c r="O1034" s="56">
        <f>$L$1034-EFEITO!$O$1034*EFEITO!$AA$1034</f>
        <v>0.49616480573910593</v>
      </c>
      <c r="P1034" s="39"/>
      <c r="Q1034" s="39"/>
      <c r="R1034" s="39"/>
      <c r="S1034" s="39"/>
      <c r="T1034" s="39"/>
      <c r="U1034" s="39"/>
      <c r="V1034" s="39"/>
      <c r="W1034" s="39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</row>
    <row r="1035" spans="1:36" ht="11.25" customHeight="1" x14ac:dyDescent="0.2">
      <c r="A1035" s="35" t="s">
        <v>21</v>
      </c>
      <c r="B1035" s="35" t="s">
        <v>37</v>
      </c>
      <c r="C1035" s="35" t="s">
        <v>23</v>
      </c>
      <c r="D1035" s="35" t="s">
        <v>42</v>
      </c>
      <c r="E1035" s="35" t="s">
        <v>25</v>
      </c>
      <c r="F1035" s="35" t="s">
        <v>25</v>
      </c>
      <c r="G1035" s="35" t="s">
        <v>25</v>
      </c>
      <c r="H1035" s="35" t="s">
        <v>25</v>
      </c>
      <c r="I1035" s="55">
        <v>44501</v>
      </c>
      <c r="J1035" s="56">
        <f>EFEITO!$J$1035*EFEITO!$Y$1035</f>
        <v>0</v>
      </c>
      <c r="K1035" s="56">
        <f ca="1">EFEITO!$L$1035*EFEITO!$Z$1035</f>
        <v>1262423.2540300684</v>
      </c>
      <c r="L1035" s="56">
        <f>EFEITO!$N$1035*EFEITO!$AA$1035</f>
        <v>1010444.6828585706</v>
      </c>
      <c r="M1035" s="56">
        <f>$J$1035-EFEITO!$K$1035*EFEITO!$Y$1035</f>
        <v>0</v>
      </c>
      <c r="N1035" s="56">
        <f ca="1">$K$1035-EFEITO!$M$1035*EFEITO!$Z$1035</f>
        <v>0</v>
      </c>
      <c r="O1035" s="56">
        <f>$L$1035-EFEITO!$O$1035*EFEITO!$AA$1035</f>
        <v>0</v>
      </c>
      <c r="P1035" s="39"/>
      <c r="Q1035" s="39"/>
      <c r="R1035" s="39"/>
      <c r="S1035" s="39"/>
      <c r="T1035" s="39"/>
      <c r="U1035" s="39"/>
      <c r="V1035" s="39"/>
      <c r="W1035" s="39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</row>
    <row r="1036" spans="1:36" ht="11.25" customHeight="1" x14ac:dyDescent="0.2">
      <c r="A1036" s="35" t="s">
        <v>27</v>
      </c>
      <c r="B1036" s="35" t="s">
        <v>37</v>
      </c>
      <c r="C1036" s="35" t="s">
        <v>23</v>
      </c>
      <c r="D1036" s="35" t="s">
        <v>42</v>
      </c>
      <c r="E1036" s="35" t="s">
        <v>25</v>
      </c>
      <c r="F1036" s="35" t="s">
        <v>25</v>
      </c>
      <c r="G1036" s="35" t="s">
        <v>25</v>
      </c>
      <c r="H1036" s="35" t="s">
        <v>25</v>
      </c>
      <c r="I1036" s="55">
        <v>44501</v>
      </c>
      <c r="J1036" s="56">
        <f>EFEITO!$J$1036*EFEITO!$Y$1036</f>
        <v>0</v>
      </c>
      <c r="K1036" s="56">
        <f ca="1">EFEITO!$L$1036*EFEITO!$Z$1036</f>
        <v>-3837.6691577206516</v>
      </c>
      <c r="L1036" s="56">
        <f>EFEITO!$N$1036*EFEITO!$AA$1036</f>
        <v>-3071.6737691658536</v>
      </c>
      <c r="M1036" s="56">
        <f>$J$1036-EFEITO!$K$1036*EFEITO!$Y$1036</f>
        <v>0</v>
      </c>
      <c r="N1036" s="56">
        <f ca="1">$K$1036-EFEITO!$M$1036*EFEITO!$Z$1036</f>
        <v>0</v>
      </c>
      <c r="O1036" s="56">
        <f>$L$1036-EFEITO!$O$1036*EFEITO!$AA$1036</f>
        <v>0</v>
      </c>
      <c r="P1036" s="39"/>
      <c r="Q1036" s="39"/>
      <c r="R1036" s="39"/>
      <c r="S1036" s="39"/>
      <c r="T1036" s="39"/>
      <c r="U1036" s="39"/>
      <c r="V1036" s="39"/>
      <c r="W1036" s="39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</row>
    <row r="1037" spans="1:36" ht="11.25" customHeight="1" x14ac:dyDescent="0.2">
      <c r="A1037" s="35" t="s">
        <v>28</v>
      </c>
      <c r="B1037" s="35" t="s">
        <v>37</v>
      </c>
      <c r="C1037" s="35" t="s">
        <v>23</v>
      </c>
      <c r="D1037" s="35" t="s">
        <v>42</v>
      </c>
      <c r="E1037" s="35" t="s">
        <v>25</v>
      </c>
      <c r="F1037" s="35" t="s">
        <v>25</v>
      </c>
      <c r="G1037" s="35" t="s">
        <v>25</v>
      </c>
      <c r="H1037" s="35" t="s">
        <v>25</v>
      </c>
      <c r="I1037" s="55">
        <v>44501</v>
      </c>
      <c r="J1037" s="56">
        <f>EFEITO!$J$1037*EFEITO!$Y$1037</f>
        <v>0</v>
      </c>
      <c r="K1037" s="56">
        <f ca="1">EFEITO!$L$1037*EFEITO!$Z$1037</f>
        <v>18603.925172865111</v>
      </c>
      <c r="L1037" s="56">
        <f>EFEITO!$N$1037*EFEITO!$AA$1037</f>
        <v>14890.598070979868</v>
      </c>
      <c r="M1037" s="56">
        <f>$J$1037-EFEITO!$K$1037*EFEITO!$Y$1037</f>
        <v>0</v>
      </c>
      <c r="N1037" s="56">
        <f ca="1">$K$1037-EFEITO!$M$1037*EFEITO!$Z$1037</f>
        <v>0</v>
      </c>
      <c r="O1037" s="56">
        <f>$L$1037-EFEITO!$O$1037*EFEITO!$AA$1037</f>
        <v>0</v>
      </c>
      <c r="P1037" s="39"/>
      <c r="Q1037" s="39"/>
      <c r="R1037" s="39"/>
      <c r="S1037" s="39"/>
      <c r="T1037" s="39"/>
      <c r="U1037" s="39"/>
      <c r="V1037" s="39"/>
      <c r="W1037" s="39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</row>
    <row r="1038" spans="1:36" ht="11.25" customHeight="1" x14ac:dyDescent="0.2">
      <c r="A1038" s="35" t="s">
        <v>21</v>
      </c>
      <c r="B1038" s="35" t="s">
        <v>37</v>
      </c>
      <c r="C1038" s="35" t="s">
        <v>23</v>
      </c>
      <c r="D1038" s="35" t="s">
        <v>42</v>
      </c>
      <c r="E1038" s="35" t="s">
        <v>25</v>
      </c>
      <c r="F1038" s="35" t="s">
        <v>25</v>
      </c>
      <c r="G1038" s="35" t="s">
        <v>25</v>
      </c>
      <c r="H1038" s="35" t="s">
        <v>25</v>
      </c>
      <c r="I1038" s="55">
        <v>44531</v>
      </c>
      <c r="J1038" s="56">
        <f>EFEITO!$J$1038*EFEITO!$Y$1038</f>
        <v>0</v>
      </c>
      <c r="K1038" s="56">
        <f ca="1">EFEITO!$L$1038*EFEITO!$Z$1038</f>
        <v>1271799.5473677625</v>
      </c>
      <c r="L1038" s="56">
        <f>EFEITO!$N$1038*EFEITO!$AA$1038</f>
        <v>1017949.476292746</v>
      </c>
      <c r="M1038" s="56">
        <f>$J$1038-EFEITO!$K$1038*EFEITO!$Y$1038</f>
        <v>0</v>
      </c>
      <c r="N1038" s="56">
        <f ca="1">$K$1038-EFEITO!$M$1038*EFEITO!$Z$1038</f>
        <v>0</v>
      </c>
      <c r="O1038" s="56">
        <f>$L$1038-EFEITO!$O$1038*EFEITO!$AA$1038</f>
        <v>0</v>
      </c>
      <c r="P1038" s="39"/>
      <c r="Q1038" s="39"/>
      <c r="R1038" s="39"/>
      <c r="S1038" s="39"/>
      <c r="T1038" s="39"/>
      <c r="U1038" s="39"/>
      <c r="V1038" s="39"/>
      <c r="W1038" s="39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</row>
    <row r="1039" spans="1:36" ht="11.25" customHeight="1" x14ac:dyDescent="0.2">
      <c r="A1039" s="35" t="s">
        <v>27</v>
      </c>
      <c r="B1039" s="35" t="s">
        <v>37</v>
      </c>
      <c r="C1039" s="35" t="s">
        <v>23</v>
      </c>
      <c r="D1039" s="35" t="s">
        <v>42</v>
      </c>
      <c r="E1039" s="35" t="s">
        <v>25</v>
      </c>
      <c r="F1039" s="35" t="s">
        <v>25</v>
      </c>
      <c r="G1039" s="35" t="s">
        <v>25</v>
      </c>
      <c r="H1039" s="35" t="s">
        <v>25</v>
      </c>
      <c r="I1039" s="55">
        <v>44531</v>
      </c>
      <c r="J1039" s="56">
        <f>EFEITO!$J$1039*EFEITO!$Y$1039</f>
        <v>0</v>
      </c>
      <c r="K1039" s="56">
        <f ca="1">EFEITO!$L$1039*EFEITO!$Z$1039</f>
        <v>-349.23654560933994</v>
      </c>
      <c r="L1039" s="56">
        <f>EFEITO!$N$1039*EFEITO!$AA$1039</f>
        <v>-279.52923826801373</v>
      </c>
      <c r="M1039" s="56">
        <f>$J$1039-EFEITO!$K$1039*EFEITO!$Y$1039</f>
        <v>0</v>
      </c>
      <c r="N1039" s="56">
        <f ca="1">$K$1039-EFEITO!$M$1039*EFEITO!$Z$1039</f>
        <v>0</v>
      </c>
      <c r="O1039" s="56">
        <f>$L$1039-EFEITO!$O$1039*EFEITO!$AA$1039</f>
        <v>0</v>
      </c>
      <c r="P1039" s="39"/>
      <c r="Q1039" s="39"/>
      <c r="R1039" s="39"/>
      <c r="S1039" s="39"/>
      <c r="T1039" s="39"/>
      <c r="U1039" s="39"/>
      <c r="V1039" s="39"/>
      <c r="W1039" s="39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</row>
    <row r="1040" spans="1:36" ht="11.25" customHeight="1" x14ac:dyDescent="0.2">
      <c r="A1040" s="35" t="s">
        <v>28</v>
      </c>
      <c r="B1040" s="35" t="s">
        <v>37</v>
      </c>
      <c r="C1040" s="35" t="s">
        <v>23</v>
      </c>
      <c r="D1040" s="35" t="s">
        <v>42</v>
      </c>
      <c r="E1040" s="35" t="s">
        <v>25</v>
      </c>
      <c r="F1040" s="35" t="s">
        <v>25</v>
      </c>
      <c r="G1040" s="35" t="s">
        <v>25</v>
      </c>
      <c r="H1040" s="35" t="s">
        <v>25</v>
      </c>
      <c r="I1040" s="55">
        <v>44531</v>
      </c>
      <c r="J1040" s="56">
        <f>EFEITO!$J$1040*EFEITO!$Y$1040</f>
        <v>0</v>
      </c>
      <c r="K1040" s="56">
        <f ca="1">EFEITO!$L$1040*EFEITO!$Z$1040</f>
        <v>21567.716397765995</v>
      </c>
      <c r="L1040" s="56">
        <f>EFEITO!$N$1040*EFEITO!$AA$1040</f>
        <v>17262.819174119228</v>
      </c>
      <c r="M1040" s="56">
        <f>$J$1040-EFEITO!$K$1040*EFEITO!$Y$1040</f>
        <v>0</v>
      </c>
      <c r="N1040" s="56">
        <f ca="1">$K$1040-EFEITO!$M$1040*EFEITO!$Z$1040</f>
        <v>0</v>
      </c>
      <c r="O1040" s="56">
        <f>$L$1040-EFEITO!$O$1040*EFEITO!$AA$1040</f>
        <v>0</v>
      </c>
      <c r="P1040" s="39"/>
      <c r="Q1040" s="39"/>
      <c r="R1040" s="39"/>
      <c r="S1040" s="39"/>
      <c r="T1040" s="39"/>
      <c r="U1040" s="39"/>
      <c r="V1040" s="39"/>
      <c r="W1040" s="39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</row>
    <row r="1041" spans="1:36" ht="11.25" customHeight="1" x14ac:dyDescent="0.2">
      <c r="A1041" s="35" t="s">
        <v>21</v>
      </c>
      <c r="B1041" s="35" t="s">
        <v>37</v>
      </c>
      <c r="C1041" s="35" t="s">
        <v>23</v>
      </c>
      <c r="D1041" s="35" t="s">
        <v>42</v>
      </c>
      <c r="E1041" s="35" t="s">
        <v>25</v>
      </c>
      <c r="F1041" s="35" t="s">
        <v>25</v>
      </c>
      <c r="G1041" s="35" t="s">
        <v>25</v>
      </c>
      <c r="H1041" s="35" t="s">
        <v>25</v>
      </c>
      <c r="I1041" s="55">
        <v>44562</v>
      </c>
      <c r="J1041" s="56">
        <f>EFEITO!$J$1041*EFEITO!$Y$1041</f>
        <v>0</v>
      </c>
      <c r="K1041" s="56">
        <f ca="1">EFEITO!$L$1041*EFEITO!$Z$1041</f>
        <v>1384637.1673422235</v>
      </c>
      <c r="L1041" s="56">
        <f>EFEITO!$N$1041*EFEITO!$AA$1041</f>
        <v>1108264.8065638205</v>
      </c>
      <c r="M1041" s="56">
        <f>$J$1041-EFEITO!$K$1041*EFEITO!$Y$1041</f>
        <v>0</v>
      </c>
      <c r="N1041" s="56">
        <f ca="1">$K$1041-EFEITO!$M$1041*EFEITO!$Z$1041</f>
        <v>0</v>
      </c>
      <c r="O1041" s="56">
        <f>$L$1041-EFEITO!$O$1041*EFEITO!$AA$1041</f>
        <v>0</v>
      </c>
      <c r="P1041" s="39"/>
      <c r="Q1041" s="39"/>
      <c r="R1041" s="39"/>
      <c r="S1041" s="39"/>
      <c r="T1041" s="39"/>
      <c r="U1041" s="39"/>
      <c r="V1041" s="39"/>
      <c r="W1041" s="39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</row>
    <row r="1042" spans="1:36" ht="11.25" customHeight="1" x14ac:dyDescent="0.2">
      <c r="A1042" s="35" t="s">
        <v>27</v>
      </c>
      <c r="B1042" s="35" t="s">
        <v>37</v>
      </c>
      <c r="C1042" s="35" t="s">
        <v>23</v>
      </c>
      <c r="D1042" s="35" t="s">
        <v>42</v>
      </c>
      <c r="E1042" s="35" t="s">
        <v>25</v>
      </c>
      <c r="F1042" s="35" t="s">
        <v>25</v>
      </c>
      <c r="G1042" s="35" t="s">
        <v>25</v>
      </c>
      <c r="H1042" s="35" t="s">
        <v>25</v>
      </c>
      <c r="I1042" s="55">
        <v>44562</v>
      </c>
      <c r="J1042" s="56">
        <f>EFEITO!$J$1042*EFEITO!$Y$1042</f>
        <v>0</v>
      </c>
      <c r="K1042" s="56">
        <f ca="1">EFEITO!$L$1042*EFEITO!$Z$1042</f>
        <v>-1262.0496338517701</v>
      </c>
      <c r="L1042" s="56">
        <f>EFEITO!$N$1042*EFEITO!$AA$1042</f>
        <v>-1010.1456369392524</v>
      </c>
      <c r="M1042" s="56">
        <f>$J$1042-EFEITO!$K$1042*EFEITO!$Y$1042</f>
        <v>0</v>
      </c>
      <c r="N1042" s="56">
        <f ca="1">$K$1042-EFEITO!$M$1042*EFEITO!$Z$1042</f>
        <v>0</v>
      </c>
      <c r="O1042" s="56">
        <f>$L$1042-EFEITO!$O$1042*EFEITO!$AA$1042</f>
        <v>0</v>
      </c>
      <c r="P1042" s="39"/>
      <c r="Q1042" s="39"/>
      <c r="R1042" s="39"/>
      <c r="S1042" s="39"/>
      <c r="T1042" s="39"/>
      <c r="U1042" s="39"/>
      <c r="V1042" s="39"/>
      <c r="W1042" s="39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</row>
    <row r="1043" spans="1:36" ht="11.25" customHeight="1" x14ac:dyDescent="0.2">
      <c r="A1043" s="35" t="s">
        <v>28</v>
      </c>
      <c r="B1043" s="35" t="s">
        <v>37</v>
      </c>
      <c r="C1043" s="35" t="s">
        <v>23</v>
      </c>
      <c r="D1043" s="35" t="s">
        <v>42</v>
      </c>
      <c r="E1043" s="35" t="s">
        <v>25</v>
      </c>
      <c r="F1043" s="35" t="s">
        <v>25</v>
      </c>
      <c r="G1043" s="35" t="s">
        <v>25</v>
      </c>
      <c r="H1043" s="35" t="s">
        <v>25</v>
      </c>
      <c r="I1043" s="55">
        <v>44562</v>
      </c>
      <c r="J1043" s="56">
        <f>EFEITO!$J$1043*EFEITO!$Y$1043</f>
        <v>0</v>
      </c>
      <c r="K1043" s="56">
        <f ca="1">EFEITO!$L$1043*EFEITO!$Z$1043</f>
        <v>29325.644436831128</v>
      </c>
      <c r="L1043" s="56">
        <f>EFEITO!$N$1043*EFEITO!$AA$1043</f>
        <v>23472.271599879183</v>
      </c>
      <c r="M1043" s="56">
        <f>$J$1043-EFEITO!$K$1043*EFEITO!$Y$1043</f>
        <v>0</v>
      </c>
      <c r="N1043" s="56">
        <f ca="1">$K$1043-EFEITO!$M$1043*EFEITO!$Z$1043</f>
        <v>0</v>
      </c>
      <c r="O1043" s="56">
        <f>$L$1043-EFEITO!$O$1043*EFEITO!$AA$1043</f>
        <v>0</v>
      </c>
      <c r="P1043" s="39"/>
      <c r="Q1043" s="39"/>
      <c r="R1043" s="39"/>
      <c r="S1043" s="39"/>
      <c r="T1043" s="39"/>
      <c r="U1043" s="39"/>
      <c r="V1043" s="39"/>
      <c r="W1043" s="39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</row>
    <row r="1044" spans="1:36" ht="11.25" customHeight="1" x14ac:dyDescent="0.2">
      <c r="A1044" s="35" t="s">
        <v>21</v>
      </c>
      <c r="B1044" s="35" t="s">
        <v>37</v>
      </c>
      <c r="C1044" s="35" t="s">
        <v>23</v>
      </c>
      <c r="D1044" s="35" t="s">
        <v>42</v>
      </c>
      <c r="E1044" s="35" t="s">
        <v>25</v>
      </c>
      <c r="F1044" s="35" t="s">
        <v>25</v>
      </c>
      <c r="G1044" s="35" t="s">
        <v>25</v>
      </c>
      <c r="H1044" s="35" t="s">
        <v>25</v>
      </c>
      <c r="I1044" s="55">
        <v>44593</v>
      </c>
      <c r="J1044" s="56">
        <f>EFEITO!$J$1044*EFEITO!$Y$1044</f>
        <v>0</v>
      </c>
      <c r="K1044" s="56">
        <f ca="1">EFEITO!$L$1044*EFEITO!$Z$1044</f>
        <v>1282318.3318822526</v>
      </c>
      <c r="L1044" s="56">
        <f>EFEITO!$N$1044*EFEITO!$AA$1044</f>
        <v>1026368.7206696788</v>
      </c>
      <c r="M1044" s="56">
        <f>$J$1044-EFEITO!$K$1044*EFEITO!$Y$1044</f>
        <v>0</v>
      </c>
      <c r="N1044" s="56">
        <f ca="1">$K$1044-EFEITO!$M$1044*EFEITO!$Z$1044</f>
        <v>0</v>
      </c>
      <c r="O1044" s="56">
        <f>$L$1044-EFEITO!$O$1044*EFEITO!$AA$1044</f>
        <v>0</v>
      </c>
      <c r="P1044" s="39"/>
      <c r="Q1044" s="39"/>
      <c r="R1044" s="39"/>
      <c r="S1044" s="39"/>
      <c r="T1044" s="39"/>
      <c r="U1044" s="39"/>
      <c r="V1044" s="39"/>
      <c r="W1044" s="39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</row>
    <row r="1045" spans="1:36" ht="11.25" customHeight="1" x14ac:dyDescent="0.2">
      <c r="A1045" s="35" t="s">
        <v>27</v>
      </c>
      <c r="B1045" s="35" t="s">
        <v>37</v>
      </c>
      <c r="C1045" s="35" t="s">
        <v>23</v>
      </c>
      <c r="D1045" s="35" t="s">
        <v>42</v>
      </c>
      <c r="E1045" s="35" t="s">
        <v>25</v>
      </c>
      <c r="F1045" s="35" t="s">
        <v>25</v>
      </c>
      <c r="G1045" s="35" t="s">
        <v>25</v>
      </c>
      <c r="H1045" s="35" t="s">
        <v>25</v>
      </c>
      <c r="I1045" s="55">
        <v>44593</v>
      </c>
      <c r="J1045" s="56">
        <f>EFEITO!$J$1045*EFEITO!$Y$1045</f>
        <v>0</v>
      </c>
      <c r="K1045" s="56">
        <f ca="1">EFEITO!$L$1045*EFEITO!$Z$1045</f>
        <v>-438.11881960450984</v>
      </c>
      <c r="L1045" s="56">
        <f>EFEITO!$N$1045*EFEITO!$AA$1045</f>
        <v>-350.67068854793621</v>
      </c>
      <c r="M1045" s="56">
        <f>$J$1045-EFEITO!$K$1045*EFEITO!$Y$1045</f>
        <v>0</v>
      </c>
      <c r="N1045" s="56">
        <f ca="1">$K$1045-EFEITO!$M$1045*EFEITO!$Z$1045</f>
        <v>0</v>
      </c>
      <c r="O1045" s="56">
        <f>$L$1045-EFEITO!$O$1045*EFEITO!$AA$1045</f>
        <v>0</v>
      </c>
      <c r="P1045" s="39"/>
      <c r="Q1045" s="39"/>
      <c r="R1045" s="39"/>
      <c r="S1045" s="39"/>
      <c r="T1045" s="39"/>
      <c r="U1045" s="39"/>
      <c r="V1045" s="39"/>
      <c r="W1045" s="39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</row>
    <row r="1046" spans="1:36" ht="11.25" customHeight="1" x14ac:dyDescent="0.2">
      <c r="A1046" s="35" t="s">
        <v>28</v>
      </c>
      <c r="B1046" s="35" t="s">
        <v>37</v>
      </c>
      <c r="C1046" s="35" t="s">
        <v>23</v>
      </c>
      <c r="D1046" s="35" t="s">
        <v>42</v>
      </c>
      <c r="E1046" s="35" t="s">
        <v>25</v>
      </c>
      <c r="F1046" s="35" t="s">
        <v>25</v>
      </c>
      <c r="G1046" s="35" t="s">
        <v>25</v>
      </c>
      <c r="H1046" s="35" t="s">
        <v>25</v>
      </c>
      <c r="I1046" s="55">
        <v>44593</v>
      </c>
      <c r="J1046" s="56">
        <f>EFEITO!$J$1046*EFEITO!$Y$1046</f>
        <v>0</v>
      </c>
      <c r="K1046" s="56">
        <f ca="1">EFEITO!$L$1046*EFEITO!$Z$1046</f>
        <v>24667.190740048885</v>
      </c>
      <c r="L1046" s="56">
        <f>EFEITO!$N$1046*EFEITO!$AA$1046</f>
        <v>19743.641163747849</v>
      </c>
      <c r="M1046" s="56">
        <f>$J$1046-EFEITO!$K$1046*EFEITO!$Y$1046</f>
        <v>0</v>
      </c>
      <c r="N1046" s="56">
        <f ca="1">$K$1046-EFEITO!$M$1046*EFEITO!$Z$1046</f>
        <v>0</v>
      </c>
      <c r="O1046" s="56">
        <f>$L$1046-EFEITO!$O$1046*EFEITO!$AA$1046</f>
        <v>0</v>
      </c>
      <c r="P1046" s="39"/>
      <c r="Q1046" s="39"/>
      <c r="R1046" s="39"/>
      <c r="S1046" s="39"/>
      <c r="T1046" s="39"/>
      <c r="U1046" s="39"/>
      <c r="V1046" s="39"/>
      <c r="W1046" s="39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</row>
    <row r="1047" spans="1:36" ht="11.25" customHeight="1" x14ac:dyDescent="0.2">
      <c r="A1047" s="35" t="s">
        <v>21</v>
      </c>
      <c r="B1047" s="35" t="s">
        <v>37</v>
      </c>
      <c r="C1047" s="35" t="s">
        <v>23</v>
      </c>
      <c r="D1047" s="35" t="s">
        <v>42</v>
      </c>
      <c r="E1047" s="35" t="s">
        <v>25</v>
      </c>
      <c r="F1047" s="35" t="s">
        <v>25</v>
      </c>
      <c r="G1047" s="35" t="s">
        <v>25</v>
      </c>
      <c r="H1047" s="35" t="s">
        <v>25</v>
      </c>
      <c r="I1047" s="55">
        <v>44621</v>
      </c>
      <c r="J1047" s="56">
        <f>EFEITO!$J$1047*EFEITO!$Y$1047</f>
        <v>0</v>
      </c>
      <c r="K1047" s="56">
        <f ca="1">EFEITO!$L$1047*EFEITO!$Z$1047</f>
        <v>1319273.6936443329</v>
      </c>
      <c r="L1047" s="56">
        <f>EFEITO!$N$1047*EFEITO!$AA$1047</f>
        <v>1055947.8247272151</v>
      </c>
      <c r="M1047" s="56">
        <f>$J$1047-EFEITO!$K$1047*EFEITO!$Y$1047</f>
        <v>0</v>
      </c>
      <c r="N1047" s="56">
        <f ca="1">$K$1047-EFEITO!$M$1047*EFEITO!$Z$1047</f>
        <v>0</v>
      </c>
      <c r="O1047" s="56">
        <f>$L$1047-EFEITO!$O$1047*EFEITO!$AA$1047</f>
        <v>0</v>
      </c>
      <c r="P1047" s="39"/>
      <c r="Q1047" s="39"/>
      <c r="R1047" s="39"/>
      <c r="S1047" s="39"/>
      <c r="T1047" s="39"/>
      <c r="U1047" s="39"/>
      <c r="V1047" s="39"/>
      <c r="W1047" s="39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</row>
    <row r="1048" spans="1:36" ht="11.25" customHeight="1" x14ac:dyDescent="0.2">
      <c r="A1048" s="35" t="s">
        <v>27</v>
      </c>
      <c r="B1048" s="35" t="s">
        <v>37</v>
      </c>
      <c r="C1048" s="35" t="s">
        <v>23</v>
      </c>
      <c r="D1048" s="35" t="s">
        <v>42</v>
      </c>
      <c r="E1048" s="35" t="s">
        <v>25</v>
      </c>
      <c r="F1048" s="35" t="s">
        <v>25</v>
      </c>
      <c r="G1048" s="35" t="s">
        <v>25</v>
      </c>
      <c r="H1048" s="35" t="s">
        <v>25</v>
      </c>
      <c r="I1048" s="55">
        <v>44621</v>
      </c>
      <c r="J1048" s="56">
        <f>EFEITO!$J$1048*EFEITO!$Y$1048</f>
        <v>0</v>
      </c>
      <c r="K1048" s="56">
        <f ca="1">EFEITO!$L$1048*EFEITO!$Z$1048</f>
        <v>26.743339078192701</v>
      </c>
      <c r="L1048" s="56">
        <f>EFEITO!$N$1048*EFEITO!$AA$1048</f>
        <v>21.405392119622675</v>
      </c>
      <c r="M1048" s="56">
        <f>$J$1048-EFEITO!$K$1048*EFEITO!$Y$1048</f>
        <v>0</v>
      </c>
      <c r="N1048" s="56">
        <f ca="1">$K$1048-EFEITO!$M$1048*EFEITO!$Z$1048</f>
        <v>0</v>
      </c>
      <c r="O1048" s="56">
        <f>$L$1048-EFEITO!$O$1048*EFEITO!$AA$1048</f>
        <v>0</v>
      </c>
      <c r="P1048" s="39"/>
      <c r="Q1048" s="39"/>
      <c r="R1048" s="39"/>
      <c r="S1048" s="39"/>
      <c r="T1048" s="39"/>
      <c r="U1048" s="39"/>
      <c r="V1048" s="39"/>
      <c r="W1048" s="39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</row>
    <row r="1049" spans="1:36" ht="11.25" customHeight="1" x14ac:dyDescent="0.2">
      <c r="A1049" s="35" t="s">
        <v>28</v>
      </c>
      <c r="B1049" s="35" t="s">
        <v>37</v>
      </c>
      <c r="C1049" s="35" t="s">
        <v>23</v>
      </c>
      <c r="D1049" s="35" t="s">
        <v>42</v>
      </c>
      <c r="E1049" s="35" t="s">
        <v>25</v>
      </c>
      <c r="F1049" s="35" t="s">
        <v>25</v>
      </c>
      <c r="G1049" s="35" t="s">
        <v>25</v>
      </c>
      <c r="H1049" s="35" t="s">
        <v>25</v>
      </c>
      <c r="I1049" s="55">
        <v>44621</v>
      </c>
      <c r="J1049" s="56">
        <f>EFEITO!$J$1049*EFEITO!$Y$1049</f>
        <v>0</v>
      </c>
      <c r="K1049" s="56">
        <f ca="1">EFEITO!$L$1049*EFEITO!$Z$1049</f>
        <v>23818.089724316265</v>
      </c>
      <c r="L1049" s="56">
        <f>EFEITO!$N$1049*EFEITO!$AA$1049</f>
        <v>19064.019963949828</v>
      </c>
      <c r="M1049" s="56">
        <f>$J$1049-EFEITO!$K$1049*EFEITO!$Y$1049</f>
        <v>0</v>
      </c>
      <c r="N1049" s="56">
        <f ca="1">$K$1049-EFEITO!$M$1049*EFEITO!$Z$1049</f>
        <v>0</v>
      </c>
      <c r="O1049" s="56">
        <f>$L$1049-EFEITO!$O$1049*EFEITO!$AA$1049</f>
        <v>0</v>
      </c>
      <c r="P1049" s="39"/>
      <c r="Q1049" s="39"/>
      <c r="R1049" s="39"/>
      <c r="S1049" s="39"/>
      <c r="T1049" s="39"/>
      <c r="U1049" s="39"/>
      <c r="V1049" s="39"/>
      <c r="W1049" s="39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</row>
    <row r="1050" spans="1:36" ht="11.25" customHeight="1" x14ac:dyDescent="0.2">
      <c r="A1050" s="35" t="s">
        <v>21</v>
      </c>
      <c r="B1050" s="35" t="s">
        <v>37</v>
      </c>
      <c r="C1050" s="35" t="s">
        <v>23</v>
      </c>
      <c r="D1050" s="35" t="s">
        <v>42</v>
      </c>
      <c r="E1050" s="35" t="s">
        <v>25</v>
      </c>
      <c r="F1050" s="35" t="s">
        <v>25</v>
      </c>
      <c r="G1050" s="35" t="s">
        <v>25</v>
      </c>
      <c r="H1050" s="35" t="s">
        <v>25</v>
      </c>
      <c r="I1050" s="55">
        <v>44652</v>
      </c>
      <c r="J1050" s="56">
        <f>EFEITO!$J$1050*EFEITO!$Y$1050</f>
        <v>0</v>
      </c>
      <c r="K1050" s="56">
        <f ca="1">EFEITO!$L$1050*EFEITO!$Z$1050</f>
        <v>1402325.5264360586</v>
      </c>
      <c r="L1050" s="56">
        <f>EFEITO!$N$1050*EFEITO!$AA$1050</f>
        <v>1122422.5847398813</v>
      </c>
      <c r="M1050" s="56">
        <f>$J$1050-EFEITO!$K$1050*EFEITO!$Y$1050</f>
        <v>0</v>
      </c>
      <c r="N1050" s="56">
        <f ca="1">$K$1050-EFEITO!$M$1050*EFEITO!$Z$1050</f>
        <v>0</v>
      </c>
      <c r="O1050" s="56">
        <f>$L$1050-EFEITO!$O$1050*EFEITO!$AA$1050</f>
        <v>0</v>
      </c>
      <c r="P1050" s="39"/>
      <c r="Q1050" s="39"/>
      <c r="R1050" s="39"/>
      <c r="S1050" s="39"/>
      <c r="T1050" s="39"/>
      <c r="U1050" s="39"/>
      <c r="V1050" s="39"/>
      <c r="W1050" s="39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</row>
    <row r="1051" spans="1:36" ht="11.25" customHeight="1" x14ac:dyDescent="0.2">
      <c r="A1051" s="35" t="s">
        <v>27</v>
      </c>
      <c r="B1051" s="35" t="s">
        <v>37</v>
      </c>
      <c r="C1051" s="35" t="s">
        <v>23</v>
      </c>
      <c r="D1051" s="35" t="s">
        <v>42</v>
      </c>
      <c r="E1051" s="35" t="s">
        <v>25</v>
      </c>
      <c r="F1051" s="35" t="s">
        <v>25</v>
      </c>
      <c r="G1051" s="35" t="s">
        <v>25</v>
      </c>
      <c r="H1051" s="35" t="s">
        <v>25</v>
      </c>
      <c r="I1051" s="55">
        <v>44652</v>
      </c>
      <c r="J1051" s="56">
        <f>EFEITO!$J$1051*EFEITO!$Y$1051</f>
        <v>0</v>
      </c>
      <c r="K1051" s="56">
        <f ca="1">EFEITO!$L$1051*EFEITO!$Z$1051</f>
        <v>1923.5539916388307</v>
      </c>
      <c r="L1051" s="56">
        <f>EFEITO!$N$1051*EFEITO!$AA$1051</f>
        <v>1539.6143067216838</v>
      </c>
      <c r="M1051" s="56">
        <f>$J$1051-EFEITO!$K$1051*EFEITO!$Y$1051</f>
        <v>0</v>
      </c>
      <c r="N1051" s="56">
        <f ca="1">$K$1051-EFEITO!$M$1051*EFEITO!$Z$1051</f>
        <v>0</v>
      </c>
      <c r="O1051" s="56">
        <f>$L$1051-EFEITO!$O$1051*EFEITO!$AA$1051</f>
        <v>0</v>
      </c>
      <c r="P1051" s="39"/>
      <c r="Q1051" s="39"/>
      <c r="R1051" s="39"/>
      <c r="S1051" s="39"/>
      <c r="T1051" s="39"/>
      <c r="U1051" s="39"/>
      <c r="V1051" s="39"/>
      <c r="W1051" s="39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</row>
    <row r="1052" spans="1:36" ht="11.25" customHeight="1" x14ac:dyDescent="0.2">
      <c r="A1052" s="35" t="s">
        <v>28</v>
      </c>
      <c r="B1052" s="35" t="s">
        <v>37</v>
      </c>
      <c r="C1052" s="35" t="s">
        <v>23</v>
      </c>
      <c r="D1052" s="35" t="s">
        <v>42</v>
      </c>
      <c r="E1052" s="35" t="s">
        <v>25</v>
      </c>
      <c r="F1052" s="35" t="s">
        <v>25</v>
      </c>
      <c r="G1052" s="35" t="s">
        <v>25</v>
      </c>
      <c r="H1052" s="35" t="s">
        <v>25</v>
      </c>
      <c r="I1052" s="55">
        <v>44652</v>
      </c>
      <c r="J1052" s="56">
        <f>EFEITO!$J$1052*EFEITO!$Y$1052</f>
        <v>0</v>
      </c>
      <c r="K1052" s="56">
        <f ca="1">EFEITO!$L$1052*EFEITO!$Z$1052</f>
        <v>30578.648529524096</v>
      </c>
      <c r="L1052" s="56">
        <f>EFEITO!$N$1052*EFEITO!$AA$1052</f>
        <v>24475.17717771915</v>
      </c>
      <c r="M1052" s="56">
        <f>$J$1052-EFEITO!$K$1052*EFEITO!$Y$1052</f>
        <v>0</v>
      </c>
      <c r="N1052" s="56">
        <f ca="1">$K$1052-EFEITO!$M$1052*EFEITO!$Z$1052</f>
        <v>0</v>
      </c>
      <c r="O1052" s="56">
        <f>$L$1052-EFEITO!$O$1052*EFEITO!$AA$1052</f>
        <v>0</v>
      </c>
      <c r="P1052" s="39"/>
      <c r="Q1052" s="39"/>
      <c r="R1052" s="39"/>
      <c r="S1052" s="39"/>
      <c r="T1052" s="39"/>
      <c r="U1052" s="39"/>
      <c r="V1052" s="39"/>
      <c r="W1052" s="39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</row>
    <row r="1053" spans="1:36" ht="11.25" customHeight="1" x14ac:dyDescent="0.2">
      <c r="A1053" s="35" t="s">
        <v>21</v>
      </c>
      <c r="B1053" s="35" t="s">
        <v>37</v>
      </c>
      <c r="C1053" s="35" t="s">
        <v>23</v>
      </c>
      <c r="D1053" s="35" t="s">
        <v>42</v>
      </c>
      <c r="E1053" s="35" t="s">
        <v>25</v>
      </c>
      <c r="F1053" s="35" t="s">
        <v>25</v>
      </c>
      <c r="G1053" s="35" t="s">
        <v>25</v>
      </c>
      <c r="H1053" s="35" t="s">
        <v>25</v>
      </c>
      <c r="I1053" s="55">
        <v>44682</v>
      </c>
      <c r="J1053" s="56">
        <f>EFEITO!$J$1053*EFEITO!$Y$1053</f>
        <v>0</v>
      </c>
      <c r="K1053" s="56">
        <f ca="1">EFEITO!$L$1053*EFEITO!$Z$1053</f>
        <v>1277969.3930068607</v>
      </c>
      <c r="L1053" s="56">
        <f>EFEITO!$N$1053*EFEITO!$AA$1053</f>
        <v>1022887.8261688142</v>
      </c>
      <c r="M1053" s="56">
        <f>$J$1053-EFEITO!$K$1053*EFEITO!$Y$1053</f>
        <v>0</v>
      </c>
      <c r="N1053" s="56">
        <f ca="1">$K$1053-EFEITO!$M$1053*EFEITO!$Z$1053</f>
        <v>0</v>
      </c>
      <c r="O1053" s="56">
        <f>$L$1053-EFEITO!$O$1053*EFEITO!$AA$1053</f>
        <v>0</v>
      </c>
      <c r="P1053" s="39"/>
      <c r="Q1053" s="39"/>
      <c r="R1053" s="39"/>
      <c r="S1053" s="39"/>
      <c r="T1053" s="39"/>
      <c r="U1053" s="39"/>
      <c r="V1053" s="39"/>
      <c r="W1053" s="39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</row>
    <row r="1054" spans="1:36" ht="11.25" customHeight="1" x14ac:dyDescent="0.2">
      <c r="A1054" s="35" t="s">
        <v>27</v>
      </c>
      <c r="B1054" s="35" t="s">
        <v>37</v>
      </c>
      <c r="C1054" s="35" t="s">
        <v>23</v>
      </c>
      <c r="D1054" s="35" t="s">
        <v>42</v>
      </c>
      <c r="E1054" s="35" t="s">
        <v>25</v>
      </c>
      <c r="F1054" s="35" t="s">
        <v>25</v>
      </c>
      <c r="G1054" s="35" t="s">
        <v>25</v>
      </c>
      <c r="H1054" s="35" t="s">
        <v>25</v>
      </c>
      <c r="I1054" s="55">
        <v>44682</v>
      </c>
      <c r="J1054" s="56">
        <f>EFEITO!$J$1054*EFEITO!$Y$1054</f>
        <v>0</v>
      </c>
      <c r="K1054" s="56">
        <f ca="1">EFEITO!$L$1054*EFEITO!$Z$1054</f>
        <v>-4233.3132623186202</v>
      </c>
      <c r="L1054" s="56">
        <f>EFEITO!$N$1054*EFEITO!$AA$1054</f>
        <v>-3388.3476584649775</v>
      </c>
      <c r="M1054" s="56">
        <f>$J$1054-EFEITO!$K$1054*EFEITO!$Y$1054</f>
        <v>0</v>
      </c>
      <c r="N1054" s="56">
        <f ca="1">$K$1054-EFEITO!$M$1054*EFEITO!$Z$1054</f>
        <v>0</v>
      </c>
      <c r="O1054" s="56">
        <f>$L$1054-EFEITO!$O$1054*EFEITO!$AA$1054</f>
        <v>0</v>
      </c>
      <c r="P1054" s="39"/>
      <c r="Q1054" s="39"/>
      <c r="R1054" s="39"/>
      <c r="S1054" s="39"/>
      <c r="T1054" s="39"/>
      <c r="U1054" s="39"/>
      <c r="V1054" s="39"/>
      <c r="W1054" s="39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</row>
    <row r="1055" spans="1:36" ht="11.25" customHeight="1" x14ac:dyDescent="0.2">
      <c r="A1055" s="35" t="s">
        <v>28</v>
      </c>
      <c r="B1055" s="35" t="s">
        <v>37</v>
      </c>
      <c r="C1055" s="35" t="s">
        <v>23</v>
      </c>
      <c r="D1055" s="35" t="s">
        <v>42</v>
      </c>
      <c r="E1055" s="35" t="s">
        <v>25</v>
      </c>
      <c r="F1055" s="35" t="s">
        <v>25</v>
      </c>
      <c r="G1055" s="35" t="s">
        <v>25</v>
      </c>
      <c r="H1055" s="35" t="s">
        <v>25</v>
      </c>
      <c r="I1055" s="55">
        <v>44682</v>
      </c>
      <c r="J1055" s="56">
        <f>EFEITO!$J$1055*EFEITO!$Y$1055</f>
        <v>0</v>
      </c>
      <c r="K1055" s="56">
        <f ca="1">EFEITO!$L$1055*EFEITO!$Z$1055</f>
        <v>28115.901627941115</v>
      </c>
      <c r="L1055" s="56">
        <f>EFEITO!$N$1055*EFEITO!$AA$1055</f>
        <v>22503.992391644482</v>
      </c>
      <c r="M1055" s="56">
        <f>$J$1055-EFEITO!$K$1055*EFEITO!$Y$1055</f>
        <v>0</v>
      </c>
      <c r="N1055" s="56">
        <f ca="1">$K$1055-EFEITO!$M$1055*EFEITO!$Z$1055</f>
        <v>0</v>
      </c>
      <c r="O1055" s="56">
        <f>$L$1055-EFEITO!$O$1055*EFEITO!$AA$1055</f>
        <v>0</v>
      </c>
      <c r="P1055" s="39"/>
      <c r="Q1055" s="39"/>
      <c r="R1055" s="39"/>
      <c r="S1055" s="39"/>
      <c r="T1055" s="39"/>
      <c r="U1055" s="39"/>
      <c r="V1055" s="39"/>
      <c r="W1055" s="39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</row>
    <row r="1056" spans="1:36" ht="11.25" customHeight="1" x14ac:dyDescent="0.2">
      <c r="A1056" s="35" t="s">
        <v>21</v>
      </c>
      <c r="B1056" s="35" t="s">
        <v>37</v>
      </c>
      <c r="C1056" s="35" t="s">
        <v>23</v>
      </c>
      <c r="D1056" s="35" t="s">
        <v>42</v>
      </c>
      <c r="E1056" s="35" t="s">
        <v>25</v>
      </c>
      <c r="F1056" s="35" t="s">
        <v>25</v>
      </c>
      <c r="G1056" s="35" t="s">
        <v>25</v>
      </c>
      <c r="H1056" s="35" t="s">
        <v>25</v>
      </c>
      <c r="I1056" s="55">
        <v>44713</v>
      </c>
      <c r="J1056" s="56">
        <f>EFEITO!$J$1056*EFEITO!$Y$1056</f>
        <v>0</v>
      </c>
      <c r="K1056" s="56">
        <f ca="1">EFEITO!$L$1056*EFEITO!$Z$1056</f>
        <v>1198244.7462239808</v>
      </c>
      <c r="L1056" s="56">
        <f>EFEITO!$N$1056*EFEITO!$AA$1056</f>
        <v>959076.14876397152</v>
      </c>
      <c r="M1056" s="56">
        <f>$J$1056-EFEITO!$K$1056*EFEITO!$Y$1056</f>
        <v>0</v>
      </c>
      <c r="N1056" s="56">
        <f ca="1">$K$1056-EFEITO!$M$1056*EFEITO!$Z$1056</f>
        <v>0</v>
      </c>
      <c r="O1056" s="56">
        <f>$L$1056-EFEITO!$O$1056*EFEITO!$AA$1056</f>
        <v>0</v>
      </c>
      <c r="P1056" s="39"/>
      <c r="Q1056" s="39"/>
      <c r="R1056" s="39"/>
      <c r="S1056" s="39"/>
      <c r="T1056" s="39"/>
      <c r="U1056" s="39"/>
      <c r="V1056" s="39"/>
      <c r="W1056" s="39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</row>
    <row r="1057" spans="1:36" ht="11.25" customHeight="1" x14ac:dyDescent="0.2">
      <c r="A1057" s="35" t="s">
        <v>27</v>
      </c>
      <c r="B1057" s="35" t="s">
        <v>37</v>
      </c>
      <c r="C1057" s="35" t="s">
        <v>23</v>
      </c>
      <c r="D1057" s="35" t="s">
        <v>42</v>
      </c>
      <c r="E1057" s="35" t="s">
        <v>25</v>
      </c>
      <c r="F1057" s="35" t="s">
        <v>25</v>
      </c>
      <c r="G1057" s="35" t="s">
        <v>25</v>
      </c>
      <c r="H1057" s="35" t="s">
        <v>25</v>
      </c>
      <c r="I1057" s="55">
        <v>44713</v>
      </c>
      <c r="J1057" s="56">
        <f>EFEITO!$J$1057*EFEITO!$Y$1057</f>
        <v>0</v>
      </c>
      <c r="K1057" s="56">
        <f ca="1">EFEITO!$L$1057*EFEITO!$Z$1057</f>
        <v>-8995.9873246261723</v>
      </c>
      <c r="L1057" s="56">
        <f>EFEITO!$N$1057*EFEITO!$AA$1057</f>
        <v>-7200.3961668271913</v>
      </c>
      <c r="M1057" s="56">
        <f>$J$1057-EFEITO!$K$1057*EFEITO!$Y$1057</f>
        <v>0</v>
      </c>
      <c r="N1057" s="56">
        <f ca="1">$K$1057-EFEITO!$M$1057*EFEITO!$Z$1057</f>
        <v>0</v>
      </c>
      <c r="O1057" s="56">
        <f>$L$1057-EFEITO!$O$1057*EFEITO!$AA$1057</f>
        <v>0</v>
      </c>
      <c r="P1057" s="39"/>
      <c r="Q1057" s="39"/>
      <c r="R1057" s="39"/>
      <c r="S1057" s="39"/>
      <c r="T1057" s="39"/>
      <c r="U1057" s="39"/>
      <c r="V1057" s="39"/>
      <c r="W1057" s="39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</row>
    <row r="1058" spans="1:36" ht="11.25" customHeight="1" x14ac:dyDescent="0.2">
      <c r="A1058" s="35" t="s">
        <v>28</v>
      </c>
      <c r="B1058" s="35" t="s">
        <v>37</v>
      </c>
      <c r="C1058" s="35" t="s">
        <v>23</v>
      </c>
      <c r="D1058" s="35" t="s">
        <v>42</v>
      </c>
      <c r="E1058" s="35" t="s">
        <v>25</v>
      </c>
      <c r="F1058" s="35" t="s">
        <v>25</v>
      </c>
      <c r="G1058" s="35" t="s">
        <v>25</v>
      </c>
      <c r="H1058" s="35" t="s">
        <v>25</v>
      </c>
      <c r="I1058" s="55">
        <v>44713</v>
      </c>
      <c r="J1058" s="56">
        <f>EFEITO!$J$1058*EFEITO!$Y$1058</f>
        <v>0</v>
      </c>
      <c r="K1058" s="56">
        <f ca="1">EFEITO!$L$1058*EFEITO!$Z$1058</f>
        <v>31177.227383597765</v>
      </c>
      <c r="L1058" s="56">
        <f>EFEITO!$N$1058*EFEITO!$AA$1058</f>
        <v>24954.280218984823</v>
      </c>
      <c r="M1058" s="56">
        <f>$J$1058-EFEITO!$K$1058*EFEITO!$Y$1058</f>
        <v>0</v>
      </c>
      <c r="N1058" s="56">
        <f ca="1">$K$1058-EFEITO!$M$1058*EFEITO!$Z$1058</f>
        <v>0</v>
      </c>
      <c r="O1058" s="56">
        <f>$L$1058-EFEITO!$O$1058*EFEITO!$AA$1058</f>
        <v>0</v>
      </c>
      <c r="P1058" s="39"/>
      <c r="Q1058" s="39"/>
      <c r="R1058" s="39"/>
      <c r="S1058" s="39"/>
      <c r="T1058" s="39"/>
      <c r="U1058" s="39"/>
      <c r="V1058" s="39"/>
      <c r="W1058" s="39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</row>
    <row r="1059" spans="1:36" ht="11.25" customHeight="1" x14ac:dyDescent="0.2">
      <c r="A1059" s="35" t="s">
        <v>21</v>
      </c>
      <c r="B1059" s="35" t="s">
        <v>37</v>
      </c>
      <c r="C1059" s="35" t="s">
        <v>23</v>
      </c>
      <c r="D1059" s="35" t="s">
        <v>42</v>
      </c>
      <c r="E1059" s="35" t="s">
        <v>25</v>
      </c>
      <c r="F1059" s="35" t="s">
        <v>25</v>
      </c>
      <c r="G1059" s="35" t="s">
        <v>25</v>
      </c>
      <c r="H1059" s="35" t="s">
        <v>25</v>
      </c>
      <c r="I1059" s="55">
        <v>44743</v>
      </c>
      <c r="J1059" s="56">
        <f>EFEITO!$J$1059*EFEITO!$Y$1059</f>
        <v>0</v>
      </c>
      <c r="K1059" s="56">
        <f ca="1">EFEITO!$L$1059*EFEITO!$Z$1059</f>
        <v>1245086.0979038337</v>
      </c>
      <c r="L1059" s="56">
        <f>EFEITO!$N$1059*EFEITO!$AA$1059</f>
        <v>996568.00784666883</v>
      </c>
      <c r="M1059" s="56">
        <f>$J$1059-EFEITO!$K$1059*EFEITO!$Y$1059</f>
        <v>0</v>
      </c>
      <c r="N1059" s="56">
        <f ca="1">$K$1059-EFEITO!$M$1059*EFEITO!$Z$1059</f>
        <v>0</v>
      </c>
      <c r="O1059" s="56">
        <f>$L$1059-EFEITO!$O$1059*EFEITO!$AA$1059</f>
        <v>0</v>
      </c>
      <c r="P1059" s="39"/>
      <c r="Q1059" s="39"/>
      <c r="R1059" s="39"/>
      <c r="S1059" s="39"/>
      <c r="T1059" s="39"/>
      <c r="U1059" s="39"/>
      <c r="V1059" s="39"/>
      <c r="W1059" s="39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</row>
    <row r="1060" spans="1:36" ht="11.25" customHeight="1" x14ac:dyDescent="0.2">
      <c r="A1060" s="35" t="s">
        <v>21</v>
      </c>
      <c r="B1060" s="35" t="s">
        <v>37</v>
      </c>
      <c r="C1060" s="35" t="s">
        <v>23</v>
      </c>
      <c r="D1060" s="35" t="s">
        <v>42</v>
      </c>
      <c r="E1060" s="35" t="s">
        <v>25</v>
      </c>
      <c r="F1060" s="35" t="s">
        <v>25</v>
      </c>
      <c r="G1060" s="35" t="s">
        <v>25</v>
      </c>
      <c r="H1060" s="35" t="s">
        <v>25</v>
      </c>
      <c r="I1060" s="55">
        <v>44774</v>
      </c>
      <c r="J1060" s="56">
        <f>EFEITO!$J$1060*EFEITO!$Y$1060</f>
        <v>0</v>
      </c>
      <c r="K1060" s="56">
        <f ca="1">EFEITO!$L$1060*EFEITO!$Z$1060</f>
        <v>1177242.1795064406</v>
      </c>
      <c r="L1060" s="56">
        <f>EFEITO!$N$1060*EFEITO!$AA$1060</f>
        <v>942265.6758909683</v>
      </c>
      <c r="M1060" s="56">
        <f>$J$1060-EFEITO!$K$1060*EFEITO!$Y$1060</f>
        <v>0</v>
      </c>
      <c r="N1060" s="56">
        <f ca="1">$K$1060-EFEITO!$M$1060*EFEITO!$Z$1060</f>
        <v>0</v>
      </c>
      <c r="O1060" s="56">
        <f>$L$1060-EFEITO!$O$1060*EFEITO!$AA$1060</f>
        <v>0</v>
      </c>
      <c r="P1060" s="39"/>
      <c r="Q1060" s="39"/>
      <c r="R1060" s="39"/>
      <c r="S1060" s="39"/>
      <c r="T1060" s="39"/>
      <c r="U1060" s="39"/>
      <c r="V1060" s="39"/>
      <c r="W1060" s="39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</row>
    <row r="1061" spans="1:36" ht="11.25" customHeight="1" x14ac:dyDescent="0.2">
      <c r="A1061" s="35" t="s">
        <v>27</v>
      </c>
      <c r="B1061" s="35" t="s">
        <v>37</v>
      </c>
      <c r="C1061" s="35" t="s">
        <v>23</v>
      </c>
      <c r="D1061" s="35" t="s">
        <v>42</v>
      </c>
      <c r="E1061" s="35" t="s">
        <v>25</v>
      </c>
      <c r="F1061" s="35" t="s">
        <v>25</v>
      </c>
      <c r="G1061" s="35" t="s">
        <v>25</v>
      </c>
      <c r="H1061" s="35" t="s">
        <v>25</v>
      </c>
      <c r="I1061" s="55">
        <v>44774</v>
      </c>
      <c r="J1061" s="56">
        <f>EFEITO!$J$1061*EFEITO!$Y$1061</f>
        <v>0</v>
      </c>
      <c r="K1061" s="56">
        <f ca="1">EFEITO!$L$1061*EFEITO!$Z$1061</f>
        <v>-167.53915363691308</v>
      </c>
      <c r="L1061" s="56">
        <f>EFEITO!$N$1061*EFEITO!$AA$1061</f>
        <v>-134.09848592587144</v>
      </c>
      <c r="M1061" s="56">
        <f>$J$1061-EFEITO!$K$1061*EFEITO!$Y$1061</f>
        <v>0</v>
      </c>
      <c r="N1061" s="56">
        <f ca="1">$K$1061-EFEITO!$M$1061*EFEITO!$Z$1061</f>
        <v>0</v>
      </c>
      <c r="O1061" s="56">
        <f>$L$1061-EFEITO!$O$1061*EFEITO!$AA$1061</f>
        <v>0</v>
      </c>
      <c r="P1061" s="39"/>
      <c r="Q1061" s="39"/>
      <c r="R1061" s="39"/>
      <c r="S1061" s="39"/>
      <c r="T1061" s="39"/>
      <c r="U1061" s="39"/>
      <c r="V1061" s="39"/>
      <c r="W1061" s="39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</row>
    <row r="1062" spans="1:36" ht="11.25" customHeight="1" x14ac:dyDescent="0.2">
      <c r="A1062" s="35" t="s">
        <v>28</v>
      </c>
      <c r="B1062" s="35" t="s">
        <v>37</v>
      </c>
      <c r="C1062" s="35" t="s">
        <v>23</v>
      </c>
      <c r="D1062" s="35" t="s">
        <v>42</v>
      </c>
      <c r="E1062" s="35" t="s">
        <v>25</v>
      </c>
      <c r="F1062" s="35" t="s">
        <v>25</v>
      </c>
      <c r="G1062" s="35" t="s">
        <v>25</v>
      </c>
      <c r="H1062" s="35" t="s">
        <v>25</v>
      </c>
      <c r="I1062" s="55">
        <v>44774</v>
      </c>
      <c r="J1062" s="56">
        <f>EFEITO!$J$1062*EFEITO!$Y$1062</f>
        <v>0</v>
      </c>
      <c r="K1062" s="56">
        <f ca="1">EFEITO!$L$1062*EFEITO!$Z$1062</f>
        <v>34147.311158869983</v>
      </c>
      <c r="L1062" s="56">
        <f>EFEITO!$N$1062*EFEITO!$AA$1062</f>
        <v>27331.537884975856</v>
      </c>
      <c r="M1062" s="56">
        <f>$J$1062-EFEITO!$K$1062*EFEITO!$Y$1062</f>
        <v>0</v>
      </c>
      <c r="N1062" s="56">
        <f ca="1">$K$1062-EFEITO!$M$1062*EFEITO!$Z$1062</f>
        <v>0</v>
      </c>
      <c r="O1062" s="56">
        <f>$L$1062-EFEITO!$O$1062*EFEITO!$AA$1062</f>
        <v>0</v>
      </c>
      <c r="P1062" s="39"/>
      <c r="Q1062" s="39"/>
      <c r="R1062" s="39"/>
      <c r="S1062" s="39"/>
      <c r="T1062" s="39"/>
      <c r="U1062" s="39"/>
      <c r="V1062" s="39"/>
      <c r="W1062" s="39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</row>
    <row r="1063" spans="1:36" ht="11.25" customHeight="1" x14ac:dyDescent="0.2">
      <c r="A1063" s="35" t="s">
        <v>28</v>
      </c>
      <c r="B1063" s="35" t="s">
        <v>37</v>
      </c>
      <c r="C1063" s="35" t="s">
        <v>23</v>
      </c>
      <c r="D1063" s="35" t="s">
        <v>42</v>
      </c>
      <c r="E1063" s="35" t="s">
        <v>25</v>
      </c>
      <c r="F1063" s="35" t="s">
        <v>25</v>
      </c>
      <c r="G1063" s="35" t="s">
        <v>25</v>
      </c>
      <c r="H1063" s="35" t="s">
        <v>25</v>
      </c>
      <c r="I1063" s="55">
        <v>44774</v>
      </c>
      <c r="J1063" s="56">
        <f>EFEITO!$J$1063*EFEITO!$Y$1063</f>
        <v>0</v>
      </c>
      <c r="K1063" s="56">
        <f ca="1">EFEITO!$L$1063*EFEITO!$Z$1063</f>
        <v>-357.88880236993168</v>
      </c>
      <c r="L1063" s="56">
        <f>EFEITO!$N$1063*EFEITO!$AA$1063</f>
        <v>-286.45451218906817</v>
      </c>
      <c r="M1063" s="56">
        <f>$J$1063-EFEITO!$K$1063*EFEITO!$Y$1063</f>
        <v>0</v>
      </c>
      <c r="N1063" s="56">
        <f ca="1">$K$1063-EFEITO!$M$1063*EFEITO!$Z$1063</f>
        <v>0</v>
      </c>
      <c r="O1063" s="56">
        <f>$L$1063-EFEITO!$O$1063*EFEITO!$AA$1063</f>
        <v>0</v>
      </c>
      <c r="P1063" s="39"/>
      <c r="Q1063" s="39"/>
      <c r="R1063" s="39"/>
      <c r="S1063" s="39"/>
      <c r="T1063" s="39"/>
      <c r="U1063" s="39"/>
      <c r="V1063" s="39"/>
      <c r="W1063" s="39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</row>
    <row r="1064" spans="1:36" ht="11.25" customHeight="1" x14ac:dyDescent="0.2">
      <c r="A1064" s="35" t="s">
        <v>21</v>
      </c>
      <c r="B1064" s="35" t="s">
        <v>37</v>
      </c>
      <c r="C1064" s="35" t="s">
        <v>23</v>
      </c>
      <c r="D1064" s="35" t="s">
        <v>42</v>
      </c>
      <c r="E1064" s="35" t="s">
        <v>25</v>
      </c>
      <c r="F1064" s="35" t="s">
        <v>25</v>
      </c>
      <c r="G1064" s="35" t="s">
        <v>25</v>
      </c>
      <c r="H1064" s="35" t="s">
        <v>25</v>
      </c>
      <c r="I1064" s="55">
        <v>44805</v>
      </c>
      <c r="J1064" s="56">
        <f>EFEITO!$J$1064*EFEITO!$Y$1064</f>
        <v>0</v>
      </c>
      <c r="K1064" s="56">
        <f ca="1">EFEITO!$L$1064*EFEITO!$Z$1064</f>
        <v>1282981.8026620308</v>
      </c>
      <c r="L1064" s="56">
        <f>EFEITO!$N$1064*EFEITO!$AA$1064</f>
        <v>1026899.7632653523</v>
      </c>
      <c r="M1064" s="56">
        <f>$J$1064-EFEITO!$K$1064*EFEITO!$Y$1064</f>
        <v>0</v>
      </c>
      <c r="N1064" s="56">
        <f ca="1">$K$1064-EFEITO!$M$1064*EFEITO!$Z$1064</f>
        <v>0</v>
      </c>
      <c r="O1064" s="56">
        <f>$L$1064-EFEITO!$O$1064*EFEITO!$AA$1064</f>
        <v>0</v>
      </c>
      <c r="P1064" s="39"/>
      <c r="Q1064" s="39"/>
      <c r="R1064" s="39"/>
      <c r="S1064" s="39"/>
      <c r="T1064" s="39"/>
      <c r="U1064" s="39"/>
      <c r="V1064" s="39"/>
      <c r="W1064" s="39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</row>
    <row r="1065" spans="1:36" ht="11.25" customHeight="1" x14ac:dyDescent="0.2">
      <c r="A1065" s="35" t="s">
        <v>27</v>
      </c>
      <c r="B1065" s="35" t="s">
        <v>37</v>
      </c>
      <c r="C1065" s="35" t="s">
        <v>23</v>
      </c>
      <c r="D1065" s="35" t="s">
        <v>42</v>
      </c>
      <c r="E1065" s="35" t="s">
        <v>25</v>
      </c>
      <c r="F1065" s="35" t="s">
        <v>25</v>
      </c>
      <c r="G1065" s="35" t="s">
        <v>25</v>
      </c>
      <c r="H1065" s="35" t="s">
        <v>25</v>
      </c>
      <c r="I1065" s="55">
        <v>44805</v>
      </c>
      <c r="J1065" s="56">
        <f>EFEITO!$J$1065*EFEITO!$Y$1065</f>
        <v>0</v>
      </c>
      <c r="K1065" s="56">
        <f ca="1">EFEITO!$L$1065*EFEITO!$Z$1065</f>
        <v>-2330.210059386643</v>
      </c>
      <c r="L1065" s="56">
        <f>EFEITO!$N$1065*EFEITO!$AA$1065</f>
        <v>-1865.1021810112404</v>
      </c>
      <c r="M1065" s="56">
        <f>$J$1065-EFEITO!$K$1065*EFEITO!$Y$1065</f>
        <v>0</v>
      </c>
      <c r="N1065" s="56">
        <f ca="1">$K$1065-EFEITO!$M$1065*EFEITO!$Z$1065</f>
        <v>0</v>
      </c>
      <c r="O1065" s="56">
        <f>$L$1065-EFEITO!$O$1065*EFEITO!$AA$1065</f>
        <v>0</v>
      </c>
      <c r="P1065" s="39"/>
      <c r="Q1065" s="39"/>
      <c r="R1065" s="39"/>
      <c r="S1065" s="39"/>
      <c r="T1065" s="39"/>
      <c r="U1065" s="39"/>
      <c r="V1065" s="39"/>
      <c r="W1065" s="39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</row>
    <row r="1066" spans="1:36" ht="11.25" customHeight="1" x14ac:dyDescent="0.2">
      <c r="A1066" s="35" t="s">
        <v>28</v>
      </c>
      <c r="B1066" s="35" t="s">
        <v>37</v>
      </c>
      <c r="C1066" s="35" t="s">
        <v>23</v>
      </c>
      <c r="D1066" s="35" t="s">
        <v>42</v>
      </c>
      <c r="E1066" s="35" t="s">
        <v>25</v>
      </c>
      <c r="F1066" s="35" t="s">
        <v>25</v>
      </c>
      <c r="G1066" s="35" t="s">
        <v>25</v>
      </c>
      <c r="H1066" s="35" t="s">
        <v>25</v>
      </c>
      <c r="I1066" s="55">
        <v>44805</v>
      </c>
      <c r="J1066" s="56">
        <f>EFEITO!$J$1066*EFEITO!$Y$1066</f>
        <v>0</v>
      </c>
      <c r="K1066" s="56">
        <f ca="1">EFEITO!$L$1066*EFEITO!$Z$1066</f>
        <v>39248.209803637037</v>
      </c>
      <c r="L1066" s="56">
        <f>EFEITO!$N$1066*EFEITO!$AA$1066</f>
        <v>31414.301646615655</v>
      </c>
      <c r="M1066" s="56">
        <f>$J$1066-EFEITO!$K$1066*EFEITO!$Y$1066</f>
        <v>0</v>
      </c>
      <c r="N1066" s="56">
        <f ca="1">$K$1066-EFEITO!$M$1066*EFEITO!$Z$1066</f>
        <v>0</v>
      </c>
      <c r="O1066" s="56">
        <f>$L$1066-EFEITO!$O$1066*EFEITO!$AA$1066</f>
        <v>0</v>
      </c>
      <c r="P1066" s="39"/>
      <c r="Q1066" s="39"/>
      <c r="R1066" s="39"/>
      <c r="S1066" s="39"/>
      <c r="T1066" s="39"/>
      <c r="U1066" s="39"/>
      <c r="V1066" s="39"/>
      <c r="W1066" s="39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</row>
    <row r="1067" spans="1:36" ht="11.25" customHeight="1" x14ac:dyDescent="0.2">
      <c r="A1067" s="35" t="s">
        <v>28</v>
      </c>
      <c r="B1067" s="35" t="s">
        <v>37</v>
      </c>
      <c r="C1067" s="35" t="s">
        <v>23</v>
      </c>
      <c r="D1067" s="35" t="s">
        <v>42</v>
      </c>
      <c r="E1067" s="35" t="s">
        <v>25</v>
      </c>
      <c r="F1067" s="35" t="s">
        <v>25</v>
      </c>
      <c r="G1067" s="35" t="s">
        <v>25</v>
      </c>
      <c r="H1067" s="35" t="s">
        <v>25</v>
      </c>
      <c r="I1067" s="55">
        <v>44805</v>
      </c>
      <c r="J1067" s="56">
        <f>EFEITO!$J$1067*EFEITO!$Y$1067</f>
        <v>0</v>
      </c>
      <c r="K1067" s="56">
        <f ca="1">EFEITO!$L$1067*EFEITO!$Z$1067</f>
        <v>284.34461990490178</v>
      </c>
      <c r="L1067" s="56">
        <f>EFEITO!$N$1067*EFEITO!$AA$1067</f>
        <v>227.58968386010579</v>
      </c>
      <c r="M1067" s="56">
        <f>$J$1067-EFEITO!$K$1067*EFEITO!$Y$1067</f>
        <v>0</v>
      </c>
      <c r="N1067" s="56">
        <f ca="1">$K$1067-EFEITO!$M$1067*EFEITO!$Z$1067</f>
        <v>0</v>
      </c>
      <c r="O1067" s="56">
        <f>$L$1067-EFEITO!$O$1067*EFEITO!$AA$1067</f>
        <v>0</v>
      </c>
      <c r="P1067" s="39"/>
      <c r="Q1067" s="39"/>
      <c r="R1067" s="39"/>
      <c r="S1067" s="39"/>
      <c r="T1067" s="39"/>
      <c r="U1067" s="39"/>
      <c r="V1067" s="39"/>
      <c r="W1067" s="39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</row>
    <row r="1068" spans="1:36" ht="11.25" customHeight="1" x14ac:dyDescent="0.2">
      <c r="A1068" s="35" t="s">
        <v>53</v>
      </c>
      <c r="B1068" s="35" t="s">
        <v>37</v>
      </c>
      <c r="C1068" s="35" t="s">
        <v>23</v>
      </c>
      <c r="D1068" s="35" t="s">
        <v>42</v>
      </c>
      <c r="E1068" s="35" t="s">
        <v>25</v>
      </c>
      <c r="F1068" s="35" t="s">
        <v>25</v>
      </c>
      <c r="G1068" s="35" t="s">
        <v>25</v>
      </c>
      <c r="H1068" s="35" t="s">
        <v>25</v>
      </c>
      <c r="I1068" s="55">
        <v>44835</v>
      </c>
      <c r="J1068" s="56">
        <f>EFEITO!$J$1068*EFEITO!$Y$1068</f>
        <v>0</v>
      </c>
      <c r="K1068" s="56">
        <f ca="1">EFEITO!$L$1068*EFEITO!$Z$1068</f>
        <v>1282981.8026620308</v>
      </c>
      <c r="L1068" s="56">
        <f>EFEITO!$N$1068*EFEITO!$AA$1068</f>
        <v>1026899.7632653523</v>
      </c>
      <c r="M1068" s="56">
        <f>$J$1068-EFEITO!$K$1068*EFEITO!$Y$1068</f>
        <v>0</v>
      </c>
      <c r="N1068" s="56">
        <f ca="1">$K$1068-EFEITO!$M$1068*EFEITO!$Z$1068</f>
        <v>0</v>
      </c>
      <c r="O1068" s="56">
        <f>$L$1068-EFEITO!$O$1068*EFEITO!$AA$1068</f>
        <v>0</v>
      </c>
      <c r="P1068" s="39"/>
      <c r="Q1068" s="39"/>
      <c r="R1068" s="39"/>
      <c r="S1068" s="39"/>
      <c r="T1068" s="39"/>
      <c r="U1068" s="39"/>
      <c r="V1068" s="39"/>
      <c r="W1068" s="39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</row>
    <row r="1069" spans="1:36" ht="11.25" customHeight="1" x14ac:dyDescent="0.2">
      <c r="A1069" s="35" t="s">
        <v>53</v>
      </c>
      <c r="B1069" s="35" t="s">
        <v>37</v>
      </c>
      <c r="C1069" s="35" t="s">
        <v>23</v>
      </c>
      <c r="D1069" s="35" t="s">
        <v>42</v>
      </c>
      <c r="E1069" s="35" t="s">
        <v>25</v>
      </c>
      <c r="F1069" s="35" t="s">
        <v>25</v>
      </c>
      <c r="G1069" s="35" t="s">
        <v>25</v>
      </c>
      <c r="H1069" s="35" t="s">
        <v>25</v>
      </c>
      <c r="I1069" s="55">
        <v>44835</v>
      </c>
      <c r="J1069" s="56">
        <f>EFEITO!$J$1069*EFEITO!$Y$1069</f>
        <v>0</v>
      </c>
      <c r="K1069" s="56">
        <f ca="1">EFEITO!$L$1069*EFEITO!$Z$1069</f>
        <v>-2330.210059386643</v>
      </c>
      <c r="L1069" s="56">
        <f>EFEITO!$N$1069*EFEITO!$AA$1069</f>
        <v>-1865.1021810112404</v>
      </c>
      <c r="M1069" s="56">
        <f>$J$1069-EFEITO!$K$1069*EFEITO!$Y$1069</f>
        <v>0</v>
      </c>
      <c r="N1069" s="56">
        <f ca="1">$K$1069-EFEITO!$M$1069*EFEITO!$Z$1069</f>
        <v>0</v>
      </c>
      <c r="O1069" s="56">
        <f>$L$1069-EFEITO!$O$1069*EFEITO!$AA$1069</f>
        <v>0</v>
      </c>
      <c r="P1069" s="39"/>
      <c r="Q1069" s="39"/>
      <c r="R1069" s="39"/>
      <c r="S1069" s="39"/>
      <c r="T1069" s="39"/>
      <c r="U1069" s="39"/>
      <c r="V1069" s="39"/>
      <c r="W1069" s="39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</row>
    <row r="1070" spans="1:36" ht="11.25" customHeight="1" x14ac:dyDescent="0.2">
      <c r="A1070" s="35" t="s">
        <v>53</v>
      </c>
      <c r="B1070" s="35" t="s">
        <v>37</v>
      </c>
      <c r="C1070" s="35" t="s">
        <v>23</v>
      </c>
      <c r="D1070" s="35" t="s">
        <v>42</v>
      </c>
      <c r="E1070" s="35" t="s">
        <v>25</v>
      </c>
      <c r="F1070" s="35" t="s">
        <v>25</v>
      </c>
      <c r="G1070" s="35" t="s">
        <v>25</v>
      </c>
      <c r="H1070" s="35" t="s">
        <v>25</v>
      </c>
      <c r="I1070" s="55">
        <v>44835</v>
      </c>
      <c r="J1070" s="56">
        <f>EFEITO!$J$1070*EFEITO!$Y$1070</f>
        <v>0</v>
      </c>
      <c r="K1070" s="56">
        <f ca="1">EFEITO!$L$1070*EFEITO!$Z$1070</f>
        <v>39248.209803637037</v>
      </c>
      <c r="L1070" s="56">
        <f>EFEITO!$N$1070*EFEITO!$AA$1070</f>
        <v>31414.301646615655</v>
      </c>
      <c r="M1070" s="56">
        <f>$J$1070-EFEITO!$K$1070*EFEITO!$Y$1070</f>
        <v>0</v>
      </c>
      <c r="N1070" s="56">
        <f ca="1">$K$1070-EFEITO!$M$1070*EFEITO!$Z$1070</f>
        <v>0</v>
      </c>
      <c r="O1070" s="56">
        <f>$L$1070-EFEITO!$O$1070*EFEITO!$AA$1070</f>
        <v>0</v>
      </c>
      <c r="P1070" s="39"/>
      <c r="Q1070" s="39"/>
      <c r="R1070" s="39"/>
      <c r="S1070" s="39"/>
      <c r="T1070" s="39"/>
      <c r="U1070" s="39"/>
      <c r="V1070" s="39"/>
      <c r="W1070" s="39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</row>
    <row r="1071" spans="1:36" ht="11.25" customHeight="1" x14ac:dyDescent="0.2">
      <c r="A1071" s="35" t="s">
        <v>53</v>
      </c>
      <c r="B1071" s="35" t="s">
        <v>37</v>
      </c>
      <c r="C1071" s="35" t="s">
        <v>23</v>
      </c>
      <c r="D1071" s="35" t="s">
        <v>42</v>
      </c>
      <c r="E1071" s="35" t="s">
        <v>25</v>
      </c>
      <c r="F1071" s="35" t="s">
        <v>25</v>
      </c>
      <c r="G1071" s="35" t="s">
        <v>25</v>
      </c>
      <c r="H1071" s="35" t="s">
        <v>25</v>
      </c>
      <c r="I1071" s="55">
        <v>44835</v>
      </c>
      <c r="J1071" s="56">
        <f>EFEITO!$J$1071*EFEITO!$Y$1071</f>
        <v>0</v>
      </c>
      <c r="K1071" s="56">
        <f ca="1">EFEITO!$L$1071*EFEITO!$Z$1071</f>
        <v>284.34461990490178</v>
      </c>
      <c r="L1071" s="56">
        <f>EFEITO!$N$1071*EFEITO!$AA$1071</f>
        <v>227.58968386010579</v>
      </c>
      <c r="M1071" s="56">
        <f>$J$1071-EFEITO!$K$1071*EFEITO!$Y$1071</f>
        <v>0</v>
      </c>
      <c r="N1071" s="56">
        <f ca="1">$K$1071-EFEITO!$M$1071*EFEITO!$Z$1071</f>
        <v>0</v>
      </c>
      <c r="O1071" s="56">
        <f>$L$1071-EFEITO!$O$1071*EFEITO!$AA$1071</f>
        <v>0</v>
      </c>
      <c r="P1071" s="39"/>
      <c r="Q1071" s="39"/>
      <c r="R1071" s="39"/>
      <c r="S1071" s="39"/>
      <c r="T1071" s="39"/>
      <c r="U1071" s="39"/>
      <c r="V1071" s="39"/>
      <c r="W1071" s="39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</row>
    <row r="1072" spans="1:36" ht="11.25" customHeight="1" x14ac:dyDescent="0.2">
      <c r="A1072" s="35" t="s">
        <v>21</v>
      </c>
      <c r="B1072" s="35" t="s">
        <v>37</v>
      </c>
      <c r="C1072" s="35" t="s">
        <v>23</v>
      </c>
      <c r="D1072" s="35" t="s">
        <v>52</v>
      </c>
      <c r="E1072" s="35" t="s">
        <v>25</v>
      </c>
      <c r="F1072" s="35" t="s">
        <v>25</v>
      </c>
      <c r="G1072" s="35" t="s">
        <v>25</v>
      </c>
      <c r="H1072" s="35" t="s">
        <v>25</v>
      </c>
      <c r="I1072" s="55">
        <v>44501</v>
      </c>
      <c r="J1072" s="56">
        <f>EFEITO!$J$1072*EFEITO!$Y$1072</f>
        <v>0</v>
      </c>
      <c r="K1072" s="56">
        <f ca="1">EFEITO!$L$1072*EFEITO!$Z$1072</f>
        <v>7612.0195273297013</v>
      </c>
      <c r="L1072" s="56">
        <f>EFEITO!$N$1072*EFEITO!$AA$1072</f>
        <v>6092.6671246367187</v>
      </c>
      <c r="M1072" s="56">
        <f>$J$1072-EFEITO!$K$1072*EFEITO!$Y$1072</f>
        <v>0</v>
      </c>
      <c r="N1072" s="56">
        <f ca="1">$K$1072-EFEITO!$M$1072*EFEITO!$Z$1072</f>
        <v>0</v>
      </c>
      <c r="O1072" s="56">
        <f>$L$1072-EFEITO!$O$1072*EFEITO!$AA$1072</f>
        <v>0</v>
      </c>
      <c r="P1072" s="39"/>
      <c r="Q1072" s="39"/>
      <c r="R1072" s="39"/>
      <c r="S1072" s="39"/>
      <c r="T1072" s="39"/>
      <c r="U1072" s="39"/>
      <c r="V1072" s="39"/>
      <c r="W1072" s="39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</row>
    <row r="1073" spans="1:36" ht="11.25" customHeight="1" x14ac:dyDescent="0.2">
      <c r="A1073" s="35" t="s">
        <v>28</v>
      </c>
      <c r="B1073" s="35" t="s">
        <v>37</v>
      </c>
      <c r="C1073" s="35" t="s">
        <v>23</v>
      </c>
      <c r="D1073" s="35" t="s">
        <v>52</v>
      </c>
      <c r="E1073" s="35" t="s">
        <v>25</v>
      </c>
      <c r="F1073" s="35" t="s">
        <v>25</v>
      </c>
      <c r="G1073" s="35" t="s">
        <v>25</v>
      </c>
      <c r="H1073" s="35" t="s">
        <v>25</v>
      </c>
      <c r="I1073" s="55">
        <v>44501</v>
      </c>
      <c r="J1073" s="56">
        <f>EFEITO!$J$1073*EFEITO!$Y$1073</f>
        <v>0</v>
      </c>
      <c r="K1073" s="56">
        <f ca="1">EFEITO!$L$1073*EFEITO!$Z$1073</f>
        <v>39.328439820871615</v>
      </c>
      <c r="L1073" s="56">
        <f>EFEITO!$N$1073*EFEITO!$AA$1073</f>
        <v>31.478517822974524</v>
      </c>
      <c r="M1073" s="56">
        <f>$J$1073-EFEITO!$K$1073*EFEITO!$Y$1073</f>
        <v>0</v>
      </c>
      <c r="N1073" s="56">
        <f ca="1">$K$1073-EFEITO!$M$1073*EFEITO!$Z$1073</f>
        <v>0</v>
      </c>
      <c r="O1073" s="56">
        <f>$L$1073-EFEITO!$O$1073*EFEITO!$AA$1073</f>
        <v>0</v>
      </c>
      <c r="P1073" s="39"/>
      <c r="Q1073" s="39"/>
      <c r="R1073" s="39"/>
      <c r="S1073" s="39"/>
      <c r="T1073" s="39"/>
      <c r="U1073" s="39"/>
      <c r="V1073" s="39"/>
      <c r="W1073" s="39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</row>
    <row r="1074" spans="1:36" ht="11.25" customHeight="1" x14ac:dyDescent="0.2">
      <c r="A1074" s="35" t="s">
        <v>21</v>
      </c>
      <c r="B1074" s="35" t="s">
        <v>37</v>
      </c>
      <c r="C1074" s="35" t="s">
        <v>23</v>
      </c>
      <c r="D1074" s="35" t="s">
        <v>52</v>
      </c>
      <c r="E1074" s="35" t="s">
        <v>25</v>
      </c>
      <c r="F1074" s="35" t="s">
        <v>25</v>
      </c>
      <c r="G1074" s="35" t="s">
        <v>25</v>
      </c>
      <c r="H1074" s="35" t="s">
        <v>25</v>
      </c>
      <c r="I1074" s="55">
        <v>44531</v>
      </c>
      <c r="J1074" s="56">
        <f>EFEITO!$J$1074*EFEITO!$Y$1074</f>
        <v>0</v>
      </c>
      <c r="K1074" s="56">
        <f ca="1">EFEITO!$L$1074*EFEITO!$Z$1074</f>
        <v>7104.6826536404578</v>
      </c>
      <c r="L1074" s="56">
        <f>EFEITO!$N$1074*EFEITO!$AA$1074</f>
        <v>5686.5942447203479</v>
      </c>
      <c r="M1074" s="56">
        <f>$J$1074-EFEITO!$K$1074*EFEITO!$Y$1074</f>
        <v>0</v>
      </c>
      <c r="N1074" s="56">
        <f ca="1">$K$1074-EFEITO!$M$1074*EFEITO!$Z$1074</f>
        <v>0</v>
      </c>
      <c r="O1074" s="56">
        <f>$L$1074-EFEITO!$O$1074*EFEITO!$AA$1074</f>
        <v>0</v>
      </c>
      <c r="P1074" s="39"/>
      <c r="Q1074" s="39"/>
      <c r="R1074" s="39"/>
      <c r="S1074" s="39"/>
      <c r="T1074" s="39"/>
      <c r="U1074" s="39"/>
      <c r="V1074" s="39"/>
      <c r="W1074" s="39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</row>
    <row r="1075" spans="1:36" ht="11.25" customHeight="1" x14ac:dyDescent="0.2">
      <c r="A1075" s="35" t="s">
        <v>28</v>
      </c>
      <c r="B1075" s="35" t="s">
        <v>37</v>
      </c>
      <c r="C1075" s="35" t="s">
        <v>23</v>
      </c>
      <c r="D1075" s="35" t="s">
        <v>52</v>
      </c>
      <c r="E1075" s="35" t="s">
        <v>25</v>
      </c>
      <c r="F1075" s="35" t="s">
        <v>25</v>
      </c>
      <c r="G1075" s="35" t="s">
        <v>25</v>
      </c>
      <c r="H1075" s="35" t="s">
        <v>25</v>
      </c>
      <c r="I1075" s="55">
        <v>44531</v>
      </c>
      <c r="J1075" s="56">
        <f>EFEITO!$J$1075*EFEITO!$Y$1075</f>
        <v>0</v>
      </c>
      <c r="K1075" s="56">
        <f ca="1">EFEITO!$L$1075*EFEITO!$Z$1075</f>
        <v>78.656879641743231</v>
      </c>
      <c r="L1075" s="56">
        <f>EFEITO!$N$1075*EFEITO!$AA$1075</f>
        <v>62.957035645949048</v>
      </c>
      <c r="M1075" s="56">
        <f>$J$1075-EFEITO!$K$1075*EFEITO!$Y$1075</f>
        <v>0</v>
      </c>
      <c r="N1075" s="56">
        <f ca="1">$K$1075-EFEITO!$M$1075*EFEITO!$Z$1075</f>
        <v>0</v>
      </c>
      <c r="O1075" s="56">
        <f>$L$1075-EFEITO!$O$1075*EFEITO!$AA$1075</f>
        <v>0</v>
      </c>
      <c r="P1075" s="39"/>
      <c r="Q1075" s="39"/>
      <c r="R1075" s="39"/>
      <c r="S1075" s="39"/>
      <c r="T1075" s="39"/>
      <c r="U1075" s="39"/>
      <c r="V1075" s="39"/>
      <c r="W1075" s="39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</row>
    <row r="1076" spans="1:36" ht="11.25" customHeight="1" x14ac:dyDescent="0.2">
      <c r="A1076" s="35" t="s">
        <v>21</v>
      </c>
      <c r="B1076" s="35" t="s">
        <v>37</v>
      </c>
      <c r="C1076" s="35" t="s">
        <v>23</v>
      </c>
      <c r="D1076" s="35" t="s">
        <v>52</v>
      </c>
      <c r="E1076" s="35" t="s">
        <v>25</v>
      </c>
      <c r="F1076" s="35" t="s">
        <v>25</v>
      </c>
      <c r="G1076" s="35" t="s">
        <v>25</v>
      </c>
      <c r="H1076" s="35" t="s">
        <v>25</v>
      </c>
      <c r="I1076" s="55">
        <v>44562</v>
      </c>
      <c r="J1076" s="56">
        <f>EFEITO!$J$1076*EFEITO!$Y$1076</f>
        <v>0</v>
      </c>
      <c r="K1076" s="56">
        <f ca="1">EFEITO!$L$1076*EFEITO!$Z$1076</f>
        <v>2224.02327187029</v>
      </c>
      <c r="L1076" s="56">
        <f>EFEITO!$N$1076*EFEITO!$AA$1076</f>
        <v>1780.1101828892092</v>
      </c>
      <c r="M1076" s="56">
        <f>$J$1076-EFEITO!$K$1076*EFEITO!$Y$1076</f>
        <v>0</v>
      </c>
      <c r="N1076" s="56">
        <f ca="1">$K$1076-EFEITO!$M$1076*EFEITO!$Z$1076</f>
        <v>0</v>
      </c>
      <c r="O1076" s="56">
        <f>$L$1076-EFEITO!$O$1076*EFEITO!$AA$1076</f>
        <v>0</v>
      </c>
      <c r="P1076" s="39"/>
      <c r="Q1076" s="39"/>
      <c r="R1076" s="39"/>
      <c r="S1076" s="39"/>
      <c r="T1076" s="39"/>
      <c r="U1076" s="39"/>
      <c r="V1076" s="39"/>
      <c r="W1076" s="39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</row>
    <row r="1077" spans="1:36" ht="11.25" customHeight="1" x14ac:dyDescent="0.2">
      <c r="A1077" s="35" t="s">
        <v>28</v>
      </c>
      <c r="B1077" s="35" t="s">
        <v>37</v>
      </c>
      <c r="C1077" s="35" t="s">
        <v>23</v>
      </c>
      <c r="D1077" s="35" t="s">
        <v>52</v>
      </c>
      <c r="E1077" s="35" t="s">
        <v>25</v>
      </c>
      <c r="F1077" s="35" t="s">
        <v>25</v>
      </c>
      <c r="G1077" s="35" t="s">
        <v>25</v>
      </c>
      <c r="H1077" s="35" t="s">
        <v>25</v>
      </c>
      <c r="I1077" s="55">
        <v>44562</v>
      </c>
      <c r="J1077" s="56">
        <f>EFEITO!$J$1077*EFEITO!$Y$1077</f>
        <v>0</v>
      </c>
      <c r="K1077" s="56">
        <f ca="1">EFEITO!$L$1077*EFEITO!$Z$1077</f>
        <v>5205.905579088776</v>
      </c>
      <c r="L1077" s="56">
        <f>EFEITO!$N$1077*EFEITO!$AA$1077</f>
        <v>4166.8114042271372</v>
      </c>
      <c r="M1077" s="56">
        <f>$J$1077-EFEITO!$K$1077*EFEITO!$Y$1077</f>
        <v>0</v>
      </c>
      <c r="N1077" s="56">
        <f ca="1">$K$1077-EFEITO!$M$1077*EFEITO!$Z$1077</f>
        <v>0</v>
      </c>
      <c r="O1077" s="56">
        <f>$L$1077-EFEITO!$O$1077*EFEITO!$AA$1077</f>
        <v>0</v>
      </c>
      <c r="P1077" s="39"/>
      <c r="Q1077" s="39"/>
      <c r="R1077" s="39"/>
      <c r="S1077" s="39"/>
      <c r="T1077" s="39"/>
      <c r="U1077" s="39"/>
      <c r="V1077" s="39"/>
      <c r="W1077" s="39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</row>
    <row r="1078" spans="1:36" ht="11.25" customHeight="1" x14ac:dyDescent="0.2">
      <c r="A1078" s="35" t="s">
        <v>21</v>
      </c>
      <c r="B1078" s="35" t="s">
        <v>37</v>
      </c>
      <c r="C1078" s="35" t="s">
        <v>23</v>
      </c>
      <c r="D1078" s="35" t="s">
        <v>52</v>
      </c>
      <c r="E1078" s="35" t="s">
        <v>25</v>
      </c>
      <c r="F1078" s="35" t="s">
        <v>25</v>
      </c>
      <c r="G1078" s="35" t="s">
        <v>25</v>
      </c>
      <c r="H1078" s="35" t="s">
        <v>25</v>
      </c>
      <c r="I1078" s="55">
        <v>44593</v>
      </c>
      <c r="J1078" s="56">
        <f>EFEITO!$J$1078*EFEITO!$Y$1078</f>
        <v>0</v>
      </c>
      <c r="K1078" s="56">
        <f ca="1">EFEITO!$L$1078*EFEITO!$Z$1078</f>
        <v>1168.4479470780957</v>
      </c>
      <c r="L1078" s="56">
        <f>EFEITO!$N$1078*EFEITO!$AA$1078</f>
        <v>935.22676452057306</v>
      </c>
      <c r="M1078" s="56">
        <f>$J$1078-EFEITO!$K$1078*EFEITO!$Y$1078</f>
        <v>0</v>
      </c>
      <c r="N1078" s="56">
        <f ca="1">$K$1078-EFEITO!$M$1078*EFEITO!$Z$1078</f>
        <v>0</v>
      </c>
      <c r="O1078" s="56">
        <f>$L$1078-EFEITO!$O$1078*EFEITO!$AA$1078</f>
        <v>0</v>
      </c>
      <c r="P1078" s="39"/>
      <c r="Q1078" s="39"/>
      <c r="R1078" s="39"/>
      <c r="S1078" s="39"/>
      <c r="T1078" s="39"/>
      <c r="U1078" s="39"/>
      <c r="V1078" s="39"/>
      <c r="W1078" s="39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</row>
    <row r="1079" spans="1:36" ht="11.25" customHeight="1" x14ac:dyDescent="0.2">
      <c r="A1079" s="35" t="s">
        <v>28</v>
      </c>
      <c r="B1079" s="35" t="s">
        <v>37</v>
      </c>
      <c r="C1079" s="35" t="s">
        <v>23</v>
      </c>
      <c r="D1079" s="35" t="s">
        <v>52</v>
      </c>
      <c r="E1079" s="35" t="s">
        <v>25</v>
      </c>
      <c r="F1079" s="35" t="s">
        <v>25</v>
      </c>
      <c r="G1079" s="35" t="s">
        <v>25</v>
      </c>
      <c r="H1079" s="35" t="s">
        <v>25</v>
      </c>
      <c r="I1079" s="55">
        <v>44593</v>
      </c>
      <c r="J1079" s="56">
        <f>EFEITO!$J$1079*EFEITO!$Y$1079</f>
        <v>0</v>
      </c>
      <c r="K1079" s="56">
        <f ca="1">EFEITO!$L$1079*EFEITO!$Z$1079</f>
        <v>5379.3439986988196</v>
      </c>
      <c r="L1079" s="56">
        <f>EFEITO!$N$1079*EFEITO!$AA$1079</f>
        <v>4305.6316678264557</v>
      </c>
      <c r="M1079" s="56">
        <f>$J$1079-EFEITO!$K$1079*EFEITO!$Y$1079</f>
        <v>0</v>
      </c>
      <c r="N1079" s="56">
        <f ca="1">$K$1079-EFEITO!$M$1079*EFEITO!$Z$1079</f>
        <v>0</v>
      </c>
      <c r="O1079" s="56">
        <f>$L$1079-EFEITO!$O$1079*EFEITO!$AA$1079</f>
        <v>0</v>
      </c>
      <c r="P1079" s="39"/>
      <c r="Q1079" s="39"/>
      <c r="R1079" s="39"/>
      <c r="S1079" s="39"/>
      <c r="T1079" s="39"/>
      <c r="U1079" s="39"/>
      <c r="V1079" s="39"/>
      <c r="W1079" s="39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</row>
    <row r="1080" spans="1:36" ht="11.25" customHeight="1" x14ac:dyDescent="0.2">
      <c r="A1080" s="35" t="s">
        <v>21</v>
      </c>
      <c r="B1080" s="35" t="s">
        <v>37</v>
      </c>
      <c r="C1080" s="35" t="s">
        <v>23</v>
      </c>
      <c r="D1080" s="35" t="s">
        <v>52</v>
      </c>
      <c r="E1080" s="35" t="s">
        <v>25</v>
      </c>
      <c r="F1080" s="35" t="s">
        <v>25</v>
      </c>
      <c r="G1080" s="35" t="s">
        <v>25</v>
      </c>
      <c r="H1080" s="35" t="s">
        <v>25</v>
      </c>
      <c r="I1080" s="55">
        <v>44621</v>
      </c>
      <c r="J1080" s="56">
        <f>EFEITO!$J$1080*EFEITO!$Y$1080</f>
        <v>0</v>
      </c>
      <c r="K1080" s="56">
        <f ca="1">EFEITO!$L$1080*EFEITO!$Z$1080</f>
        <v>2202.7859143670189</v>
      </c>
      <c r="L1080" s="56">
        <f>EFEITO!$N$1080*EFEITO!$AA$1080</f>
        <v>1763.1117832648029</v>
      </c>
      <c r="M1080" s="56">
        <f>$J$1080-EFEITO!$K$1080*EFEITO!$Y$1080</f>
        <v>0</v>
      </c>
      <c r="N1080" s="56">
        <f ca="1">$K$1080-EFEITO!$M$1080*EFEITO!$Z$1080</f>
        <v>0</v>
      </c>
      <c r="O1080" s="56">
        <f>$L$1080-EFEITO!$O$1080*EFEITO!$AA$1080</f>
        <v>0</v>
      </c>
      <c r="P1080" s="39"/>
      <c r="Q1080" s="39"/>
      <c r="R1080" s="39"/>
      <c r="S1080" s="39"/>
      <c r="T1080" s="39"/>
      <c r="U1080" s="39"/>
      <c r="V1080" s="39"/>
      <c r="W1080" s="39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</row>
    <row r="1081" spans="1:36" ht="11.25" customHeight="1" x14ac:dyDescent="0.2">
      <c r="A1081" s="35" t="s">
        <v>28</v>
      </c>
      <c r="B1081" s="35" t="s">
        <v>37</v>
      </c>
      <c r="C1081" s="35" t="s">
        <v>23</v>
      </c>
      <c r="D1081" s="35" t="s">
        <v>52</v>
      </c>
      <c r="E1081" s="35" t="s">
        <v>25</v>
      </c>
      <c r="F1081" s="35" t="s">
        <v>25</v>
      </c>
      <c r="G1081" s="35" t="s">
        <v>25</v>
      </c>
      <c r="H1081" s="35" t="s">
        <v>25</v>
      </c>
      <c r="I1081" s="55">
        <v>44621</v>
      </c>
      <c r="J1081" s="56">
        <f>EFEITO!$J$1081*EFEITO!$Y$1081</f>
        <v>0</v>
      </c>
      <c r="K1081" s="56">
        <f ca="1">EFEITO!$L$1081*EFEITO!$Z$1081</f>
        <v>5237.3683309454727</v>
      </c>
      <c r="L1081" s="56">
        <f>EFEITO!$N$1081*EFEITO!$AA$1081</f>
        <v>4191.9942184855172</v>
      </c>
      <c r="M1081" s="56">
        <f>$J$1081-EFEITO!$K$1081*EFEITO!$Y$1081</f>
        <v>0</v>
      </c>
      <c r="N1081" s="56">
        <f ca="1">$K$1081-EFEITO!$M$1081*EFEITO!$Z$1081</f>
        <v>0</v>
      </c>
      <c r="O1081" s="56">
        <f>$L$1081-EFEITO!$O$1081*EFEITO!$AA$1081</f>
        <v>0</v>
      </c>
      <c r="P1081" s="39"/>
      <c r="Q1081" s="39"/>
      <c r="R1081" s="39"/>
      <c r="S1081" s="39"/>
      <c r="T1081" s="39"/>
      <c r="U1081" s="39"/>
      <c r="V1081" s="39"/>
      <c r="W1081" s="39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</row>
    <row r="1082" spans="1:36" ht="11.25" customHeight="1" x14ac:dyDescent="0.2">
      <c r="A1082" s="35" t="s">
        <v>21</v>
      </c>
      <c r="B1082" s="35" t="s">
        <v>37</v>
      </c>
      <c r="C1082" s="35" t="s">
        <v>23</v>
      </c>
      <c r="D1082" s="35" t="s">
        <v>52</v>
      </c>
      <c r="E1082" s="35" t="s">
        <v>25</v>
      </c>
      <c r="F1082" s="35" t="s">
        <v>25</v>
      </c>
      <c r="G1082" s="35" t="s">
        <v>25</v>
      </c>
      <c r="H1082" s="35" t="s">
        <v>25</v>
      </c>
      <c r="I1082" s="55">
        <v>44652</v>
      </c>
      <c r="J1082" s="56">
        <f>EFEITO!$J$1082*EFEITO!$Y$1082</f>
        <v>0</v>
      </c>
      <c r="K1082" s="56">
        <f ca="1">EFEITO!$L$1082*EFEITO!$Z$1082</f>
        <v>1889.7315333928809</v>
      </c>
      <c r="L1082" s="56">
        <f>EFEITO!$N$1082*EFEITO!$AA$1082</f>
        <v>1512.5427813939257</v>
      </c>
      <c r="M1082" s="56">
        <f>$J$1082-EFEITO!$K$1082*EFEITO!$Y$1082</f>
        <v>0</v>
      </c>
      <c r="N1082" s="56">
        <f ca="1">$K$1082-EFEITO!$M$1082*EFEITO!$Z$1082</f>
        <v>0</v>
      </c>
      <c r="O1082" s="56">
        <f>$L$1082-EFEITO!$O$1082*EFEITO!$AA$1082</f>
        <v>0</v>
      </c>
      <c r="P1082" s="39"/>
      <c r="Q1082" s="39"/>
      <c r="R1082" s="39"/>
      <c r="S1082" s="39"/>
      <c r="T1082" s="39"/>
      <c r="U1082" s="39"/>
      <c r="V1082" s="39"/>
      <c r="W1082" s="39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</row>
    <row r="1083" spans="1:36" ht="11.25" customHeight="1" x14ac:dyDescent="0.2">
      <c r="A1083" s="35" t="s">
        <v>28</v>
      </c>
      <c r="B1083" s="35" t="s">
        <v>37</v>
      </c>
      <c r="C1083" s="35" t="s">
        <v>23</v>
      </c>
      <c r="D1083" s="35" t="s">
        <v>52</v>
      </c>
      <c r="E1083" s="35" t="s">
        <v>25</v>
      </c>
      <c r="F1083" s="35" t="s">
        <v>25</v>
      </c>
      <c r="G1083" s="35" t="s">
        <v>25</v>
      </c>
      <c r="H1083" s="35" t="s">
        <v>25</v>
      </c>
      <c r="I1083" s="55">
        <v>44652</v>
      </c>
      <c r="J1083" s="56">
        <f>EFEITO!$J$1083*EFEITO!$Y$1083</f>
        <v>0</v>
      </c>
      <c r="K1083" s="56">
        <f ca="1">EFEITO!$L$1083*EFEITO!$Z$1083</f>
        <v>6014.1050174076872</v>
      </c>
      <c r="L1083" s="56">
        <f>EFEITO!$N$1083*EFEITO!$AA$1083</f>
        <v>4813.6949454892638</v>
      </c>
      <c r="M1083" s="56">
        <f>$J$1083-EFEITO!$K$1083*EFEITO!$Y$1083</f>
        <v>0</v>
      </c>
      <c r="N1083" s="56">
        <f ca="1">$K$1083-EFEITO!$M$1083*EFEITO!$Z$1083</f>
        <v>0</v>
      </c>
      <c r="O1083" s="56">
        <f>$L$1083-EFEITO!$O$1083*EFEITO!$AA$1083</f>
        <v>0</v>
      </c>
      <c r="P1083" s="39"/>
      <c r="Q1083" s="39"/>
      <c r="R1083" s="39"/>
      <c r="S1083" s="39"/>
      <c r="T1083" s="39"/>
      <c r="U1083" s="39"/>
      <c r="V1083" s="39"/>
      <c r="W1083" s="39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</row>
    <row r="1084" spans="1:36" ht="11.25" customHeight="1" x14ac:dyDescent="0.2">
      <c r="A1084" s="35" t="s">
        <v>21</v>
      </c>
      <c r="B1084" s="35" t="s">
        <v>37</v>
      </c>
      <c r="C1084" s="35" t="s">
        <v>23</v>
      </c>
      <c r="D1084" s="35" t="s">
        <v>52</v>
      </c>
      <c r="E1084" s="35" t="s">
        <v>25</v>
      </c>
      <c r="F1084" s="35" t="s">
        <v>25</v>
      </c>
      <c r="G1084" s="35" t="s">
        <v>25</v>
      </c>
      <c r="H1084" s="35" t="s">
        <v>25</v>
      </c>
      <c r="I1084" s="55">
        <v>44682</v>
      </c>
      <c r="J1084" s="56">
        <f>EFEITO!$J$1084*EFEITO!$Y$1084</f>
        <v>0</v>
      </c>
      <c r="K1084" s="56">
        <f ca="1">EFEITO!$L$1084*EFEITO!$Z$1084</f>
        <v>1910.1823220997344</v>
      </c>
      <c r="L1084" s="56">
        <f>EFEITO!$N$1084*EFEITO!$AA$1084</f>
        <v>1528.9116106618726</v>
      </c>
      <c r="M1084" s="56">
        <f>$J$1084-EFEITO!$K$1084*EFEITO!$Y$1084</f>
        <v>0</v>
      </c>
      <c r="N1084" s="56">
        <f ca="1">$K$1084-EFEITO!$M$1084*EFEITO!$Z$1084</f>
        <v>0</v>
      </c>
      <c r="O1084" s="56">
        <f>$L$1084-EFEITO!$O$1084*EFEITO!$AA$1084</f>
        <v>0</v>
      </c>
      <c r="P1084" s="39"/>
      <c r="Q1084" s="39"/>
      <c r="R1084" s="39"/>
      <c r="S1084" s="39"/>
      <c r="T1084" s="39"/>
      <c r="U1084" s="39"/>
      <c r="V1084" s="39"/>
      <c r="W1084" s="39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</row>
    <row r="1085" spans="1:36" ht="11.25" customHeight="1" x14ac:dyDescent="0.2">
      <c r="A1085" s="35" t="s">
        <v>28</v>
      </c>
      <c r="B1085" s="35" t="s">
        <v>37</v>
      </c>
      <c r="C1085" s="35" t="s">
        <v>23</v>
      </c>
      <c r="D1085" s="35" t="s">
        <v>52</v>
      </c>
      <c r="E1085" s="35" t="s">
        <v>25</v>
      </c>
      <c r="F1085" s="35" t="s">
        <v>25</v>
      </c>
      <c r="G1085" s="35" t="s">
        <v>25</v>
      </c>
      <c r="H1085" s="35" t="s">
        <v>25</v>
      </c>
      <c r="I1085" s="55">
        <v>44682</v>
      </c>
      <c r="J1085" s="56">
        <f>EFEITO!$J$1085*EFEITO!$Y$1085</f>
        <v>0</v>
      </c>
      <c r="K1085" s="56">
        <f ca="1">EFEITO!$L$1085*EFEITO!$Z$1085</f>
        <v>5588.9645829440651</v>
      </c>
      <c r="L1085" s="56">
        <f>EFEITO!$N$1085*EFEITO!$AA$1085</f>
        <v>4473.4121678229094</v>
      </c>
      <c r="M1085" s="56">
        <f>$J$1085-EFEITO!$K$1085*EFEITO!$Y$1085</f>
        <v>0</v>
      </c>
      <c r="N1085" s="56">
        <f ca="1">$K$1085-EFEITO!$M$1085*EFEITO!$Z$1085</f>
        <v>0</v>
      </c>
      <c r="O1085" s="56">
        <f>$L$1085-EFEITO!$O$1085*EFEITO!$AA$1085</f>
        <v>0</v>
      </c>
      <c r="P1085" s="39"/>
      <c r="Q1085" s="39"/>
      <c r="R1085" s="39"/>
      <c r="S1085" s="39"/>
      <c r="T1085" s="39"/>
      <c r="U1085" s="39"/>
      <c r="V1085" s="39"/>
      <c r="W1085" s="39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</row>
    <row r="1086" spans="1:36" ht="11.25" customHeight="1" x14ac:dyDescent="0.2">
      <c r="A1086" s="35" t="s">
        <v>21</v>
      </c>
      <c r="B1086" s="35" t="s">
        <v>37</v>
      </c>
      <c r="C1086" s="35" t="s">
        <v>23</v>
      </c>
      <c r="D1086" s="35" t="s">
        <v>52</v>
      </c>
      <c r="E1086" s="35" t="s">
        <v>25</v>
      </c>
      <c r="F1086" s="35" t="s">
        <v>25</v>
      </c>
      <c r="G1086" s="35" t="s">
        <v>25</v>
      </c>
      <c r="H1086" s="35" t="s">
        <v>25</v>
      </c>
      <c r="I1086" s="55">
        <v>44713</v>
      </c>
      <c r="J1086" s="56">
        <f>EFEITO!$J$1086*EFEITO!$Y$1086</f>
        <v>0</v>
      </c>
      <c r="K1086" s="56">
        <f ca="1">EFEITO!$L$1086*EFEITO!$Z$1086</f>
        <v>2598.4300189649875</v>
      </c>
      <c r="L1086" s="56">
        <f>EFEITO!$N$1086*EFEITO!$AA$1086</f>
        <v>2079.7856725639267</v>
      </c>
      <c r="M1086" s="56">
        <f>$J$1086-EFEITO!$K$1086*EFEITO!$Y$1086</f>
        <v>0</v>
      </c>
      <c r="N1086" s="56">
        <f ca="1">$K$1086-EFEITO!$M$1086*EFEITO!$Z$1086</f>
        <v>0</v>
      </c>
      <c r="O1086" s="56">
        <f>$L$1086-EFEITO!$O$1086*EFEITO!$AA$1086</f>
        <v>0</v>
      </c>
      <c r="P1086" s="39"/>
      <c r="Q1086" s="39"/>
      <c r="R1086" s="39"/>
      <c r="S1086" s="39"/>
      <c r="T1086" s="39"/>
      <c r="U1086" s="39"/>
      <c r="V1086" s="39"/>
      <c r="W1086" s="39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</row>
    <row r="1087" spans="1:36" ht="11.25" customHeight="1" x14ac:dyDescent="0.2">
      <c r="A1087" s="35" t="s">
        <v>28</v>
      </c>
      <c r="B1087" s="35" t="s">
        <v>37</v>
      </c>
      <c r="C1087" s="35" t="s">
        <v>23</v>
      </c>
      <c r="D1087" s="35" t="s">
        <v>52</v>
      </c>
      <c r="E1087" s="35" t="s">
        <v>25</v>
      </c>
      <c r="F1087" s="35" t="s">
        <v>25</v>
      </c>
      <c r="G1087" s="35" t="s">
        <v>25</v>
      </c>
      <c r="H1087" s="35" t="s">
        <v>25</v>
      </c>
      <c r="I1087" s="55">
        <v>44713</v>
      </c>
      <c r="J1087" s="56">
        <f>EFEITO!$J$1087*EFEITO!$Y$1087</f>
        <v>0</v>
      </c>
      <c r="K1087" s="56">
        <f ca="1">EFEITO!$L$1087*EFEITO!$Z$1087</f>
        <v>5937.0212753587793</v>
      </c>
      <c r="L1087" s="56">
        <f>EFEITO!$N$1087*EFEITO!$AA$1087</f>
        <v>4751.9970505562342</v>
      </c>
      <c r="M1087" s="56">
        <f>$J$1087-EFEITO!$K$1087*EFEITO!$Y$1087</f>
        <v>0</v>
      </c>
      <c r="N1087" s="56">
        <f ca="1">$K$1087-EFEITO!$M$1087*EFEITO!$Z$1087</f>
        <v>0</v>
      </c>
      <c r="O1087" s="56">
        <f>$L$1087-EFEITO!$O$1087*EFEITO!$AA$1087</f>
        <v>0</v>
      </c>
      <c r="P1087" s="39"/>
      <c r="Q1087" s="39"/>
      <c r="R1087" s="39"/>
      <c r="S1087" s="39"/>
      <c r="T1087" s="39"/>
      <c r="U1087" s="39"/>
      <c r="V1087" s="39"/>
      <c r="W1087" s="39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</row>
    <row r="1088" spans="1:36" ht="11.25" customHeight="1" x14ac:dyDescent="0.2">
      <c r="A1088" s="35" t="s">
        <v>21</v>
      </c>
      <c r="B1088" s="35" t="s">
        <v>37</v>
      </c>
      <c r="C1088" s="35" t="s">
        <v>23</v>
      </c>
      <c r="D1088" s="35" t="s">
        <v>52</v>
      </c>
      <c r="E1088" s="35" t="s">
        <v>25</v>
      </c>
      <c r="F1088" s="35" t="s">
        <v>25</v>
      </c>
      <c r="G1088" s="35" t="s">
        <v>25</v>
      </c>
      <c r="H1088" s="35" t="s">
        <v>25</v>
      </c>
      <c r="I1088" s="55">
        <v>44743</v>
      </c>
      <c r="J1088" s="56">
        <f>EFEITO!$J$1088*EFEITO!$Y$1088</f>
        <v>0</v>
      </c>
      <c r="K1088" s="56">
        <f ca="1">EFEITO!$L$1088*EFEITO!$Z$1088</f>
        <v>2984.242013607738</v>
      </c>
      <c r="L1088" s="56">
        <f>EFEITO!$N$1088*EFEITO!$AA$1088</f>
        <v>2388.5899324073066</v>
      </c>
      <c r="M1088" s="56">
        <f>$J$1088-EFEITO!$K$1088*EFEITO!$Y$1088</f>
        <v>0</v>
      </c>
      <c r="N1088" s="56">
        <f ca="1">$K$1088-EFEITO!$M$1088*EFEITO!$Z$1088</f>
        <v>0</v>
      </c>
      <c r="O1088" s="56">
        <f>$L$1088-EFEITO!$O$1088*EFEITO!$AA$1088</f>
        <v>0</v>
      </c>
      <c r="P1088" s="39"/>
      <c r="Q1088" s="39"/>
      <c r="R1088" s="39"/>
      <c r="S1088" s="39"/>
      <c r="T1088" s="39"/>
      <c r="U1088" s="39"/>
      <c r="V1088" s="39"/>
      <c r="W1088" s="39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</row>
    <row r="1089" spans="1:36" ht="11.25" customHeight="1" x14ac:dyDescent="0.2">
      <c r="A1089" s="35" t="s">
        <v>21</v>
      </c>
      <c r="B1089" s="35" t="s">
        <v>37</v>
      </c>
      <c r="C1089" s="35" t="s">
        <v>23</v>
      </c>
      <c r="D1089" s="35" t="s">
        <v>52</v>
      </c>
      <c r="E1089" s="35" t="s">
        <v>25</v>
      </c>
      <c r="F1089" s="35" t="s">
        <v>25</v>
      </c>
      <c r="G1089" s="35" t="s">
        <v>25</v>
      </c>
      <c r="H1089" s="35" t="s">
        <v>25</v>
      </c>
      <c r="I1089" s="55">
        <v>44774</v>
      </c>
      <c r="J1089" s="56">
        <f>EFEITO!$J$1089*EFEITO!$Y$1089</f>
        <v>0</v>
      </c>
      <c r="K1089" s="56">
        <f ca="1">EFEITO!$L$1089*EFEITO!$Z$1089</f>
        <v>2303.4667203084505</v>
      </c>
      <c r="L1089" s="56">
        <f>EFEITO!$N$1089*EFEITO!$AA$1089</f>
        <v>1843.6967888916179</v>
      </c>
      <c r="M1089" s="56">
        <f>$J$1089-EFEITO!$K$1089*EFEITO!$Y$1089</f>
        <v>0</v>
      </c>
      <c r="N1089" s="56">
        <f ca="1">$K$1089-EFEITO!$M$1089*EFEITO!$Z$1089</f>
        <v>0</v>
      </c>
      <c r="O1089" s="56">
        <f>$L$1089-EFEITO!$O$1089*EFEITO!$AA$1089</f>
        <v>0</v>
      </c>
      <c r="P1089" s="39"/>
      <c r="Q1089" s="39"/>
      <c r="R1089" s="39"/>
      <c r="S1089" s="39"/>
      <c r="T1089" s="39"/>
      <c r="U1089" s="39"/>
      <c r="V1089" s="39"/>
      <c r="W1089" s="39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</row>
    <row r="1090" spans="1:36" ht="11.25" customHeight="1" x14ac:dyDescent="0.2">
      <c r="A1090" s="35" t="s">
        <v>28</v>
      </c>
      <c r="B1090" s="35" t="s">
        <v>37</v>
      </c>
      <c r="C1090" s="35" t="s">
        <v>23</v>
      </c>
      <c r="D1090" s="35" t="s">
        <v>52</v>
      </c>
      <c r="E1090" s="35" t="s">
        <v>25</v>
      </c>
      <c r="F1090" s="35" t="s">
        <v>25</v>
      </c>
      <c r="G1090" s="35" t="s">
        <v>25</v>
      </c>
      <c r="H1090" s="35" t="s">
        <v>25</v>
      </c>
      <c r="I1090" s="55">
        <v>44774</v>
      </c>
      <c r="J1090" s="56">
        <f>EFEITO!$J$1090*EFEITO!$Y$1090</f>
        <v>0</v>
      </c>
      <c r="K1090" s="56">
        <f ca="1">EFEITO!$L$1090*EFEITO!$Z$1090</f>
        <v>6152.1478411789467</v>
      </c>
      <c r="L1090" s="56">
        <f>EFEITO!$N$1090*EFEITO!$AA$1090</f>
        <v>4924.1845430479043</v>
      </c>
      <c r="M1090" s="56">
        <f>$J$1090-EFEITO!$K$1090*EFEITO!$Y$1090</f>
        <v>0</v>
      </c>
      <c r="N1090" s="56">
        <f ca="1">$K$1090-EFEITO!$M$1090*EFEITO!$Z$1090</f>
        <v>0</v>
      </c>
      <c r="O1090" s="56">
        <f>$L$1090-EFEITO!$O$1090*EFEITO!$AA$1090</f>
        <v>0</v>
      </c>
      <c r="P1090" s="39"/>
      <c r="Q1090" s="39"/>
      <c r="R1090" s="39"/>
      <c r="S1090" s="39"/>
      <c r="T1090" s="39"/>
      <c r="U1090" s="39"/>
      <c r="V1090" s="39"/>
      <c r="W1090" s="39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</row>
    <row r="1091" spans="1:36" ht="11.25" customHeight="1" x14ac:dyDescent="0.2">
      <c r="A1091" s="35" t="s">
        <v>21</v>
      </c>
      <c r="B1091" s="35" t="s">
        <v>37</v>
      </c>
      <c r="C1091" s="35" t="s">
        <v>23</v>
      </c>
      <c r="D1091" s="35" t="s">
        <v>52</v>
      </c>
      <c r="E1091" s="35" t="s">
        <v>25</v>
      </c>
      <c r="F1091" s="35" t="s">
        <v>25</v>
      </c>
      <c r="G1091" s="35" t="s">
        <v>25</v>
      </c>
      <c r="H1091" s="35" t="s">
        <v>25</v>
      </c>
      <c r="I1091" s="55">
        <v>44805</v>
      </c>
      <c r="J1091" s="56">
        <f>EFEITO!$J$1091*EFEITO!$Y$1091</f>
        <v>0</v>
      </c>
      <c r="K1091" s="56">
        <f ca="1">EFEITO!$L$1091*EFEITO!$Z$1091</f>
        <v>2500.8954882092257</v>
      </c>
      <c r="L1091" s="56">
        <f>EFEITO!$N$1091*EFEITO!$AA$1091</f>
        <v>2001.7189483629497</v>
      </c>
      <c r="M1091" s="56">
        <f>$J$1091-EFEITO!$K$1091*EFEITO!$Y$1091</f>
        <v>0</v>
      </c>
      <c r="N1091" s="56">
        <f ca="1">$K$1091-EFEITO!$M$1091*EFEITO!$Z$1091</f>
        <v>0</v>
      </c>
      <c r="O1091" s="56">
        <f>$L$1091-EFEITO!$O$1091*EFEITO!$AA$1091</f>
        <v>0</v>
      </c>
      <c r="P1091" s="39"/>
      <c r="Q1091" s="39"/>
      <c r="R1091" s="39"/>
      <c r="S1091" s="39"/>
      <c r="T1091" s="39"/>
      <c r="U1091" s="39"/>
      <c r="V1091" s="39"/>
      <c r="W1091" s="39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</row>
    <row r="1092" spans="1:36" ht="11.25" customHeight="1" x14ac:dyDescent="0.2">
      <c r="A1092" s="35" t="s">
        <v>28</v>
      </c>
      <c r="B1092" s="35" t="s">
        <v>37</v>
      </c>
      <c r="C1092" s="35" t="s">
        <v>23</v>
      </c>
      <c r="D1092" s="35" t="s">
        <v>52</v>
      </c>
      <c r="E1092" s="35" t="s">
        <v>25</v>
      </c>
      <c r="F1092" s="35" t="s">
        <v>25</v>
      </c>
      <c r="G1092" s="35" t="s">
        <v>25</v>
      </c>
      <c r="H1092" s="35" t="s">
        <v>25</v>
      </c>
      <c r="I1092" s="55">
        <v>44805</v>
      </c>
      <c r="J1092" s="56">
        <f>EFEITO!$J$1092*EFEITO!$Y$1092</f>
        <v>0</v>
      </c>
      <c r="K1092" s="56">
        <f ca="1">EFEITO!$L$1092*EFEITO!$Z$1092</f>
        <v>6228.4450144314378</v>
      </c>
      <c r="L1092" s="56">
        <f>EFEITO!$N$1092*EFEITO!$AA$1092</f>
        <v>4985.2528676244747</v>
      </c>
      <c r="M1092" s="56">
        <f>$J$1092-EFEITO!$K$1092*EFEITO!$Y$1092</f>
        <v>0</v>
      </c>
      <c r="N1092" s="56">
        <f ca="1">$K$1092-EFEITO!$M$1092*EFEITO!$Z$1092</f>
        <v>0</v>
      </c>
      <c r="O1092" s="56">
        <f>$L$1092-EFEITO!$O$1092*EFEITO!$AA$1092</f>
        <v>0</v>
      </c>
      <c r="P1092" s="39"/>
      <c r="Q1092" s="39"/>
      <c r="R1092" s="39"/>
      <c r="S1092" s="39"/>
      <c r="T1092" s="39"/>
      <c r="U1092" s="39"/>
      <c r="V1092" s="39"/>
      <c r="W1092" s="39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</row>
    <row r="1093" spans="1:36" ht="11.25" customHeight="1" x14ac:dyDescent="0.2">
      <c r="A1093" s="35" t="s">
        <v>53</v>
      </c>
      <c r="B1093" s="35" t="s">
        <v>37</v>
      </c>
      <c r="C1093" s="35" t="s">
        <v>23</v>
      </c>
      <c r="D1093" s="35" t="s">
        <v>52</v>
      </c>
      <c r="E1093" s="35" t="s">
        <v>25</v>
      </c>
      <c r="F1093" s="35" t="s">
        <v>25</v>
      </c>
      <c r="G1093" s="35" t="s">
        <v>25</v>
      </c>
      <c r="H1093" s="35" t="s">
        <v>25</v>
      </c>
      <c r="I1093" s="55">
        <v>44835</v>
      </c>
      <c r="J1093" s="56">
        <f>EFEITO!$J$1093*EFEITO!$Y$1093</f>
        <v>0</v>
      </c>
      <c r="K1093" s="56">
        <f ca="1">EFEITO!$L$1093*EFEITO!$Z$1093</f>
        <v>2500.8954882092257</v>
      </c>
      <c r="L1093" s="56">
        <f>EFEITO!$N$1093*EFEITO!$AA$1093</f>
        <v>2001.7189483629497</v>
      </c>
      <c r="M1093" s="56">
        <f>$J$1093-EFEITO!$K$1093*EFEITO!$Y$1093</f>
        <v>0</v>
      </c>
      <c r="N1093" s="56">
        <f ca="1">$K$1093-EFEITO!$M$1093*EFEITO!$Z$1093</f>
        <v>0</v>
      </c>
      <c r="O1093" s="56">
        <f>$L$1093-EFEITO!$O$1093*EFEITO!$AA$1093</f>
        <v>0</v>
      </c>
      <c r="P1093" s="39"/>
      <c r="Q1093" s="39"/>
      <c r="R1093" s="39"/>
      <c r="S1093" s="39"/>
      <c r="T1093" s="39"/>
      <c r="U1093" s="39"/>
      <c r="V1093" s="39"/>
      <c r="W1093" s="39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</row>
    <row r="1094" spans="1:36" ht="11.25" customHeight="1" x14ac:dyDescent="0.2">
      <c r="A1094" s="35" t="s">
        <v>53</v>
      </c>
      <c r="B1094" s="35" t="s">
        <v>37</v>
      </c>
      <c r="C1094" s="35" t="s">
        <v>23</v>
      </c>
      <c r="D1094" s="35" t="s">
        <v>52</v>
      </c>
      <c r="E1094" s="35" t="s">
        <v>25</v>
      </c>
      <c r="F1094" s="35" t="s">
        <v>25</v>
      </c>
      <c r="G1094" s="35" t="s">
        <v>25</v>
      </c>
      <c r="H1094" s="35" t="s">
        <v>25</v>
      </c>
      <c r="I1094" s="55">
        <v>44835</v>
      </c>
      <c r="J1094" s="56">
        <f>EFEITO!$J$1094*EFEITO!$Y$1094</f>
        <v>0</v>
      </c>
      <c r="K1094" s="56">
        <f ca="1">EFEITO!$L$1094*EFEITO!$Z$1094</f>
        <v>6228.4450144314378</v>
      </c>
      <c r="L1094" s="56">
        <f>EFEITO!$N$1094*EFEITO!$AA$1094</f>
        <v>4985.2528676244747</v>
      </c>
      <c r="M1094" s="56">
        <f>$J$1094-EFEITO!$K$1094*EFEITO!$Y$1094</f>
        <v>0</v>
      </c>
      <c r="N1094" s="56">
        <f ca="1">$K$1094-EFEITO!$M$1094*EFEITO!$Z$1094</f>
        <v>0</v>
      </c>
      <c r="O1094" s="56">
        <f>$L$1094-EFEITO!$O$1094*EFEITO!$AA$1094</f>
        <v>0</v>
      </c>
      <c r="P1094" s="39"/>
      <c r="Q1094" s="39"/>
      <c r="R1094" s="39"/>
      <c r="S1094" s="39"/>
      <c r="T1094" s="39"/>
      <c r="U1094" s="39"/>
      <c r="V1094" s="39"/>
      <c r="W1094" s="39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</row>
    <row r="1095" spans="1:36" ht="11.25" customHeight="1" x14ac:dyDescent="0.2">
      <c r="A1095" s="35" t="s">
        <v>21</v>
      </c>
      <c r="B1095" s="35" t="s">
        <v>37</v>
      </c>
      <c r="C1095" s="35" t="s">
        <v>23</v>
      </c>
      <c r="D1095" s="35" t="s">
        <v>38</v>
      </c>
      <c r="E1095" s="35" t="s">
        <v>25</v>
      </c>
      <c r="F1095" s="35" t="s">
        <v>25</v>
      </c>
      <c r="G1095" s="35" t="s">
        <v>25</v>
      </c>
      <c r="H1095" s="35" t="s">
        <v>25</v>
      </c>
      <c r="I1095" s="55">
        <v>44501</v>
      </c>
      <c r="J1095" s="56">
        <f>EFEITO!$J$1095*EFEITO!$Y$1095</f>
        <v>0</v>
      </c>
      <c r="K1095" s="56">
        <f ca="1">EFEITO!$L$1095*EFEITO!$Z$1095</f>
        <v>73142.245810060616</v>
      </c>
      <c r="L1095" s="56">
        <f>EFEITO!$N$1095*EFEITO!$AA$1095</f>
        <v>58543.117876811557</v>
      </c>
      <c r="M1095" s="56">
        <f>$J$1095-EFEITO!$K$1095*EFEITO!$Y$1095</f>
        <v>0</v>
      </c>
      <c r="N1095" s="56">
        <f ca="1">$K$1095-EFEITO!$M$1095*EFEITO!$Z$1095</f>
        <v>0</v>
      </c>
      <c r="O1095" s="56">
        <f>$L$1095-EFEITO!$O$1095*EFEITO!$AA$1095</f>
        <v>0</v>
      </c>
      <c r="P1095" s="39"/>
      <c r="Q1095" s="39"/>
      <c r="R1095" s="39"/>
      <c r="S1095" s="39"/>
      <c r="T1095" s="39"/>
      <c r="U1095" s="39"/>
      <c r="V1095" s="39"/>
      <c r="W1095" s="39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</row>
    <row r="1096" spans="1:36" ht="11.25" customHeight="1" x14ac:dyDescent="0.2">
      <c r="A1096" s="35" t="s">
        <v>28</v>
      </c>
      <c r="B1096" s="35" t="s">
        <v>37</v>
      </c>
      <c r="C1096" s="35" t="s">
        <v>23</v>
      </c>
      <c r="D1096" s="35" t="s">
        <v>38</v>
      </c>
      <c r="E1096" s="35" t="s">
        <v>25</v>
      </c>
      <c r="F1096" s="35" t="s">
        <v>25</v>
      </c>
      <c r="G1096" s="35" t="s">
        <v>25</v>
      </c>
      <c r="H1096" s="35" t="s">
        <v>25</v>
      </c>
      <c r="I1096" s="55">
        <v>44501</v>
      </c>
      <c r="J1096" s="56">
        <f>EFEITO!$J$1096*EFEITO!$Y$1096</f>
        <v>0</v>
      </c>
      <c r="K1096" s="56">
        <f ca="1">EFEITO!$L$1096*EFEITO!$Z$1096</f>
        <v>1238.0592855610385</v>
      </c>
      <c r="L1096" s="56">
        <f>EFEITO!$N$1096*EFEITO!$AA$1096</f>
        <v>990.94374106723797</v>
      </c>
      <c r="M1096" s="56">
        <f>$J$1096-EFEITO!$K$1096*EFEITO!$Y$1096</f>
        <v>0</v>
      </c>
      <c r="N1096" s="56">
        <f ca="1">$K$1096-EFEITO!$M$1096*EFEITO!$Z$1096</f>
        <v>0</v>
      </c>
      <c r="O1096" s="56">
        <f>$L$1096-EFEITO!$O$1096*EFEITO!$AA$1096</f>
        <v>0</v>
      </c>
      <c r="P1096" s="39"/>
      <c r="Q1096" s="39"/>
      <c r="R1096" s="39"/>
      <c r="S1096" s="39"/>
      <c r="T1096" s="39"/>
      <c r="U1096" s="39"/>
      <c r="V1096" s="39"/>
      <c r="W1096" s="39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</row>
    <row r="1097" spans="1:36" ht="11.25" customHeight="1" x14ac:dyDescent="0.2">
      <c r="A1097" s="35" t="s">
        <v>21</v>
      </c>
      <c r="B1097" s="35" t="s">
        <v>37</v>
      </c>
      <c r="C1097" s="35" t="s">
        <v>23</v>
      </c>
      <c r="D1097" s="35" t="s">
        <v>38</v>
      </c>
      <c r="E1097" s="35" t="s">
        <v>25</v>
      </c>
      <c r="F1097" s="35" t="s">
        <v>25</v>
      </c>
      <c r="G1097" s="35" t="s">
        <v>25</v>
      </c>
      <c r="H1097" s="35" t="s">
        <v>25</v>
      </c>
      <c r="I1097" s="55">
        <v>44531</v>
      </c>
      <c r="J1097" s="56">
        <f>EFEITO!$J$1097*EFEITO!$Y$1097</f>
        <v>0</v>
      </c>
      <c r="K1097" s="56">
        <f ca="1">EFEITO!$L$1097*EFEITO!$Z$1097</f>
        <v>72815.033190750954</v>
      </c>
      <c r="L1097" s="56">
        <f>EFEITO!$N$1097*EFEITO!$AA$1097</f>
        <v>58281.216608524403</v>
      </c>
      <c r="M1097" s="56">
        <f>$J$1097-EFEITO!$K$1097*EFEITO!$Y$1097</f>
        <v>0</v>
      </c>
      <c r="N1097" s="56">
        <f ca="1">$K$1097-EFEITO!$M$1097*EFEITO!$Z$1097</f>
        <v>0</v>
      </c>
      <c r="O1097" s="56">
        <f>$L$1097-EFEITO!$O$1097*EFEITO!$AA$1097</f>
        <v>0</v>
      </c>
      <c r="P1097" s="39"/>
      <c r="Q1097" s="39"/>
      <c r="R1097" s="39"/>
      <c r="S1097" s="39"/>
      <c r="T1097" s="39"/>
      <c r="U1097" s="39"/>
      <c r="V1097" s="39"/>
      <c r="W1097" s="39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</row>
    <row r="1098" spans="1:36" ht="11.25" customHeight="1" x14ac:dyDescent="0.2">
      <c r="A1098" s="35" t="s">
        <v>28</v>
      </c>
      <c r="B1098" s="35" t="s">
        <v>37</v>
      </c>
      <c r="C1098" s="35" t="s">
        <v>23</v>
      </c>
      <c r="D1098" s="35" t="s">
        <v>38</v>
      </c>
      <c r="E1098" s="35" t="s">
        <v>25</v>
      </c>
      <c r="F1098" s="35" t="s">
        <v>25</v>
      </c>
      <c r="G1098" s="35" t="s">
        <v>25</v>
      </c>
      <c r="H1098" s="35" t="s">
        <v>25</v>
      </c>
      <c r="I1098" s="55">
        <v>44531</v>
      </c>
      <c r="J1098" s="56">
        <f>EFEITO!$J$1098*EFEITO!$Y$1098</f>
        <v>0</v>
      </c>
      <c r="K1098" s="56">
        <f ca="1">EFEITO!$L$1098*EFEITO!$Z$1098</f>
        <v>1759.5543975857961</v>
      </c>
      <c r="L1098" s="56">
        <f>EFEITO!$N$1098*EFEITO!$AA$1098</f>
        <v>1408.3488873998801</v>
      </c>
      <c r="M1098" s="56">
        <f>$J$1098-EFEITO!$K$1098*EFEITO!$Y$1098</f>
        <v>0</v>
      </c>
      <c r="N1098" s="56">
        <f ca="1">$K$1098-EFEITO!$M$1098*EFEITO!$Z$1098</f>
        <v>0</v>
      </c>
      <c r="O1098" s="56">
        <f>$L$1098-EFEITO!$O$1098*EFEITO!$AA$1098</f>
        <v>0</v>
      </c>
      <c r="P1098" s="39"/>
      <c r="Q1098" s="39"/>
      <c r="R1098" s="39"/>
      <c r="S1098" s="39"/>
      <c r="T1098" s="39"/>
      <c r="U1098" s="39"/>
      <c r="V1098" s="39"/>
      <c r="W1098" s="39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</row>
    <row r="1099" spans="1:36" ht="11.25" customHeight="1" x14ac:dyDescent="0.2">
      <c r="A1099" s="35" t="s">
        <v>21</v>
      </c>
      <c r="B1099" s="35" t="s">
        <v>37</v>
      </c>
      <c r="C1099" s="35" t="s">
        <v>23</v>
      </c>
      <c r="D1099" s="35" t="s">
        <v>38</v>
      </c>
      <c r="E1099" s="35" t="s">
        <v>25</v>
      </c>
      <c r="F1099" s="35" t="s">
        <v>25</v>
      </c>
      <c r="G1099" s="35" t="s">
        <v>25</v>
      </c>
      <c r="H1099" s="35" t="s">
        <v>25</v>
      </c>
      <c r="I1099" s="55">
        <v>44562</v>
      </c>
      <c r="J1099" s="56">
        <f>EFEITO!$J$1099*EFEITO!$Y$1099</f>
        <v>0</v>
      </c>
      <c r="K1099" s="56">
        <f ca="1">EFEITO!$L$1099*EFEITO!$Z$1099</f>
        <v>70369.984087087374</v>
      </c>
      <c r="L1099" s="56">
        <f>EFEITO!$N$1099*EFEITO!$AA$1099</f>
        <v>56324.197155470079</v>
      </c>
      <c r="M1099" s="56">
        <f>$J$1099-EFEITO!$K$1099*EFEITO!$Y$1099</f>
        <v>0</v>
      </c>
      <c r="N1099" s="56">
        <f ca="1">$K$1099-EFEITO!$M$1099*EFEITO!$Z$1099</f>
        <v>0</v>
      </c>
      <c r="O1099" s="56">
        <f>$L$1099-EFEITO!$O$1099*EFEITO!$AA$1099</f>
        <v>0</v>
      </c>
      <c r="P1099" s="39"/>
      <c r="Q1099" s="39"/>
      <c r="R1099" s="39"/>
      <c r="S1099" s="39"/>
      <c r="T1099" s="39"/>
      <c r="U1099" s="39"/>
      <c r="V1099" s="39"/>
      <c r="W1099" s="39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</row>
    <row r="1100" spans="1:36" ht="11.25" customHeight="1" x14ac:dyDescent="0.2">
      <c r="A1100" s="35" t="s">
        <v>28</v>
      </c>
      <c r="B1100" s="35" t="s">
        <v>37</v>
      </c>
      <c r="C1100" s="35" t="s">
        <v>23</v>
      </c>
      <c r="D1100" s="35" t="s">
        <v>38</v>
      </c>
      <c r="E1100" s="35" t="s">
        <v>25</v>
      </c>
      <c r="F1100" s="35" t="s">
        <v>25</v>
      </c>
      <c r="G1100" s="35" t="s">
        <v>25</v>
      </c>
      <c r="H1100" s="35" t="s">
        <v>25</v>
      </c>
      <c r="I1100" s="55">
        <v>44562</v>
      </c>
      <c r="J1100" s="56">
        <f>EFEITO!$J$1100*EFEITO!$Y$1100</f>
        <v>0</v>
      </c>
      <c r="K1100" s="56">
        <f ca="1">EFEITO!$L$1100*EFEITO!$Z$1100</f>
        <v>2128.8484475037808</v>
      </c>
      <c r="L1100" s="56">
        <f>EFEITO!$N$1100*EFEITO!$AA$1100</f>
        <v>1703.9321697576108</v>
      </c>
      <c r="M1100" s="56">
        <f>$J$1100-EFEITO!$K$1100*EFEITO!$Y$1100</f>
        <v>0</v>
      </c>
      <c r="N1100" s="56">
        <f ca="1">$K$1100-EFEITO!$M$1100*EFEITO!$Z$1100</f>
        <v>0</v>
      </c>
      <c r="O1100" s="56">
        <f>$L$1100-EFEITO!$O$1100*EFEITO!$AA$1100</f>
        <v>0</v>
      </c>
      <c r="P1100" s="39"/>
      <c r="Q1100" s="39"/>
      <c r="R1100" s="39"/>
      <c r="S1100" s="39"/>
      <c r="T1100" s="39"/>
      <c r="U1100" s="39"/>
      <c r="V1100" s="39"/>
      <c r="W1100" s="39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</row>
    <row r="1101" spans="1:36" ht="11.25" customHeight="1" x14ac:dyDescent="0.2">
      <c r="A1101" s="35" t="s">
        <v>21</v>
      </c>
      <c r="B1101" s="35" t="s">
        <v>37</v>
      </c>
      <c r="C1101" s="35" t="s">
        <v>23</v>
      </c>
      <c r="D1101" s="35" t="s">
        <v>38</v>
      </c>
      <c r="E1101" s="35" t="s">
        <v>25</v>
      </c>
      <c r="F1101" s="35" t="s">
        <v>25</v>
      </c>
      <c r="G1101" s="35" t="s">
        <v>25</v>
      </c>
      <c r="H1101" s="35" t="s">
        <v>25</v>
      </c>
      <c r="I1101" s="55">
        <v>44593</v>
      </c>
      <c r="J1101" s="56">
        <f>EFEITO!$J$1101*EFEITO!$Y$1101</f>
        <v>0</v>
      </c>
      <c r="K1101" s="56">
        <f ca="1">EFEITO!$L$1101*EFEITO!$Z$1101</f>
        <v>68901.460144176017</v>
      </c>
      <c r="L1101" s="56">
        <f>EFEITO!$N$1101*EFEITO!$AA$1101</f>
        <v>55148.789299960212</v>
      </c>
      <c r="M1101" s="56">
        <f>$J$1101-EFEITO!$K$1101*EFEITO!$Y$1101</f>
        <v>0</v>
      </c>
      <c r="N1101" s="56">
        <f ca="1">$K$1101-EFEITO!$M$1101*EFEITO!$Z$1101</f>
        <v>0</v>
      </c>
      <c r="O1101" s="56">
        <f>$L$1101-EFEITO!$O$1101*EFEITO!$AA$1101</f>
        <v>0</v>
      </c>
      <c r="P1101" s="39"/>
      <c r="Q1101" s="39"/>
      <c r="R1101" s="39"/>
      <c r="S1101" s="39"/>
      <c r="T1101" s="39"/>
      <c r="U1101" s="39"/>
      <c r="V1101" s="39"/>
      <c r="W1101" s="39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</row>
    <row r="1102" spans="1:36" ht="11.25" customHeight="1" x14ac:dyDescent="0.2">
      <c r="A1102" s="35" t="s">
        <v>27</v>
      </c>
      <c r="B1102" s="35" t="s">
        <v>37</v>
      </c>
      <c r="C1102" s="35" t="s">
        <v>23</v>
      </c>
      <c r="D1102" s="35" t="s">
        <v>38</v>
      </c>
      <c r="E1102" s="35" t="s">
        <v>25</v>
      </c>
      <c r="F1102" s="35" t="s">
        <v>25</v>
      </c>
      <c r="G1102" s="35" t="s">
        <v>25</v>
      </c>
      <c r="H1102" s="35" t="s">
        <v>25</v>
      </c>
      <c r="I1102" s="55">
        <v>44593</v>
      </c>
      <c r="J1102" s="56">
        <f>EFEITO!$J$1102*EFEITO!$Y$1102</f>
        <v>0</v>
      </c>
      <c r="K1102" s="56">
        <f ca="1">EFEITO!$L$1102*EFEITO!$Z$1102</f>
        <v>-609.59081722351004</v>
      </c>
      <c r="L1102" s="56">
        <f>EFEITO!$N$1102*EFEITO!$AA$1102</f>
        <v>-487.91702625610509</v>
      </c>
      <c r="M1102" s="56">
        <f>$J$1102-EFEITO!$K$1102*EFEITO!$Y$1102</f>
        <v>0</v>
      </c>
      <c r="N1102" s="56">
        <f ca="1">$K$1102-EFEITO!$M$1102*EFEITO!$Z$1102</f>
        <v>0</v>
      </c>
      <c r="O1102" s="56">
        <f>$L$1102-EFEITO!$O$1102*EFEITO!$AA$1102</f>
        <v>0</v>
      </c>
      <c r="P1102" s="39"/>
      <c r="Q1102" s="39"/>
      <c r="R1102" s="39"/>
      <c r="S1102" s="39"/>
      <c r="T1102" s="39"/>
      <c r="U1102" s="39"/>
      <c r="V1102" s="39"/>
      <c r="W1102" s="39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</row>
    <row r="1103" spans="1:36" ht="11.25" customHeight="1" x14ac:dyDescent="0.2">
      <c r="A1103" s="35" t="s">
        <v>28</v>
      </c>
      <c r="B1103" s="35" t="s">
        <v>37</v>
      </c>
      <c r="C1103" s="35" t="s">
        <v>23</v>
      </c>
      <c r="D1103" s="35" t="s">
        <v>38</v>
      </c>
      <c r="E1103" s="35" t="s">
        <v>25</v>
      </c>
      <c r="F1103" s="35" t="s">
        <v>25</v>
      </c>
      <c r="G1103" s="35" t="s">
        <v>25</v>
      </c>
      <c r="H1103" s="35" t="s">
        <v>25</v>
      </c>
      <c r="I1103" s="55">
        <v>44593</v>
      </c>
      <c r="J1103" s="56">
        <f>EFEITO!$J$1103*EFEITO!$Y$1103</f>
        <v>0</v>
      </c>
      <c r="K1103" s="56">
        <f ca="1">EFEITO!$L$1103*EFEITO!$Z$1103</f>
        <v>1860.628487925436</v>
      </c>
      <c r="L1103" s="56">
        <f>EFEITO!$N$1103*EFEITO!$AA$1103</f>
        <v>1489.2486782049245</v>
      </c>
      <c r="M1103" s="56">
        <f>$J$1103-EFEITO!$K$1103*EFEITO!$Y$1103</f>
        <v>0</v>
      </c>
      <c r="N1103" s="56">
        <f ca="1">$K$1103-EFEITO!$M$1103*EFEITO!$Z$1103</f>
        <v>0</v>
      </c>
      <c r="O1103" s="56">
        <f>$L$1103-EFEITO!$O$1103*EFEITO!$AA$1103</f>
        <v>0</v>
      </c>
      <c r="P1103" s="39"/>
      <c r="Q1103" s="39"/>
      <c r="R1103" s="39"/>
      <c r="S1103" s="39"/>
      <c r="T1103" s="39"/>
      <c r="U1103" s="39"/>
      <c r="V1103" s="39"/>
      <c r="W1103" s="39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</row>
    <row r="1104" spans="1:36" ht="11.25" customHeight="1" x14ac:dyDescent="0.2">
      <c r="A1104" s="35" t="s">
        <v>21</v>
      </c>
      <c r="B1104" s="35" t="s">
        <v>37</v>
      </c>
      <c r="C1104" s="35" t="s">
        <v>23</v>
      </c>
      <c r="D1104" s="35" t="s">
        <v>38</v>
      </c>
      <c r="E1104" s="35" t="s">
        <v>25</v>
      </c>
      <c r="F1104" s="35" t="s">
        <v>25</v>
      </c>
      <c r="G1104" s="35" t="s">
        <v>25</v>
      </c>
      <c r="H1104" s="35" t="s">
        <v>25</v>
      </c>
      <c r="I1104" s="55">
        <v>44621</v>
      </c>
      <c r="J1104" s="56">
        <f>EFEITO!$J$1104*EFEITO!$Y$1104</f>
        <v>0</v>
      </c>
      <c r="K1104" s="56">
        <f ca="1">EFEITO!$L$1104*EFEITO!$Z$1104</f>
        <v>74315.806454315418</v>
      </c>
      <c r="L1104" s="56">
        <f>EFEITO!$N$1104*EFEITO!$AA$1104</f>
        <v>59482.436848649115</v>
      </c>
      <c r="M1104" s="56">
        <f>$J$1104-EFEITO!$K$1104*EFEITO!$Y$1104</f>
        <v>0</v>
      </c>
      <c r="N1104" s="56">
        <f ca="1">$K$1104-EFEITO!$M$1104*EFEITO!$Z$1104</f>
        <v>0</v>
      </c>
      <c r="O1104" s="56">
        <f>$L$1104-EFEITO!$O$1104*EFEITO!$AA$1104</f>
        <v>0</v>
      </c>
      <c r="P1104" s="39"/>
      <c r="Q1104" s="39"/>
      <c r="R1104" s="39"/>
      <c r="S1104" s="39"/>
      <c r="T1104" s="39"/>
      <c r="U1104" s="39"/>
      <c r="V1104" s="39"/>
      <c r="W1104" s="39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</row>
    <row r="1105" spans="1:36" ht="11.25" customHeight="1" x14ac:dyDescent="0.2">
      <c r="A1105" s="35" t="s">
        <v>28</v>
      </c>
      <c r="B1105" s="35" t="s">
        <v>37</v>
      </c>
      <c r="C1105" s="35" t="s">
        <v>23</v>
      </c>
      <c r="D1105" s="35" t="s">
        <v>38</v>
      </c>
      <c r="E1105" s="35" t="s">
        <v>25</v>
      </c>
      <c r="F1105" s="35" t="s">
        <v>25</v>
      </c>
      <c r="G1105" s="35" t="s">
        <v>25</v>
      </c>
      <c r="H1105" s="35" t="s">
        <v>25</v>
      </c>
      <c r="I1105" s="55">
        <v>44621</v>
      </c>
      <c r="J1105" s="56">
        <f>EFEITO!$J$1105*EFEITO!$Y$1105</f>
        <v>0</v>
      </c>
      <c r="K1105" s="56">
        <f ca="1">EFEITO!$L$1105*EFEITO!$Z$1105</f>
        <v>2032.8870543408536</v>
      </c>
      <c r="L1105" s="56">
        <f>EFEITO!$N$1105*EFEITO!$AA$1105</f>
        <v>1627.124586269553</v>
      </c>
      <c r="M1105" s="56">
        <f>$J$1105-EFEITO!$K$1105*EFEITO!$Y$1105</f>
        <v>0</v>
      </c>
      <c r="N1105" s="56">
        <f ca="1">$K$1105-EFEITO!$M$1105*EFEITO!$Z$1105</f>
        <v>0</v>
      </c>
      <c r="O1105" s="56">
        <f>$L$1105-EFEITO!$O$1105*EFEITO!$AA$1105</f>
        <v>0</v>
      </c>
      <c r="P1105" s="39"/>
      <c r="Q1105" s="39"/>
      <c r="R1105" s="39"/>
      <c r="S1105" s="39"/>
      <c r="T1105" s="39"/>
      <c r="U1105" s="39"/>
      <c r="V1105" s="39"/>
      <c r="W1105" s="39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</row>
    <row r="1106" spans="1:36" ht="11.25" customHeight="1" x14ac:dyDescent="0.2">
      <c r="A1106" s="35" t="s">
        <v>21</v>
      </c>
      <c r="B1106" s="35" t="s">
        <v>37</v>
      </c>
      <c r="C1106" s="35" t="s">
        <v>23</v>
      </c>
      <c r="D1106" s="35" t="s">
        <v>38</v>
      </c>
      <c r="E1106" s="35" t="s">
        <v>25</v>
      </c>
      <c r="F1106" s="35" t="s">
        <v>25</v>
      </c>
      <c r="G1106" s="35" t="s">
        <v>25</v>
      </c>
      <c r="H1106" s="35" t="s">
        <v>25</v>
      </c>
      <c r="I1106" s="55">
        <v>44652</v>
      </c>
      <c r="J1106" s="56">
        <f>EFEITO!$J$1106*EFEITO!$Y$1106</f>
        <v>0</v>
      </c>
      <c r="K1106" s="56">
        <f ca="1">EFEITO!$L$1106*EFEITO!$Z$1106</f>
        <v>74623.354853714642</v>
      </c>
      <c r="L1106" s="56">
        <f>EFEITO!$N$1106*EFEITO!$AA$1106</f>
        <v>59728.598858024772</v>
      </c>
      <c r="M1106" s="56">
        <f>$J$1106-EFEITO!$K$1106*EFEITO!$Y$1106</f>
        <v>0</v>
      </c>
      <c r="N1106" s="56">
        <f ca="1">$K$1106-EFEITO!$M$1106*EFEITO!$Z$1106</f>
        <v>0</v>
      </c>
      <c r="O1106" s="56">
        <f>$L$1106-EFEITO!$O$1106*EFEITO!$AA$1106</f>
        <v>0</v>
      </c>
      <c r="P1106" s="39"/>
      <c r="Q1106" s="39"/>
      <c r="R1106" s="39"/>
      <c r="S1106" s="39"/>
      <c r="T1106" s="39"/>
      <c r="U1106" s="39"/>
      <c r="V1106" s="39"/>
      <c r="W1106" s="39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</row>
    <row r="1107" spans="1:36" ht="11.25" customHeight="1" x14ac:dyDescent="0.2">
      <c r="A1107" s="35" t="s">
        <v>28</v>
      </c>
      <c r="B1107" s="35" t="s">
        <v>37</v>
      </c>
      <c r="C1107" s="35" t="s">
        <v>23</v>
      </c>
      <c r="D1107" s="35" t="s">
        <v>38</v>
      </c>
      <c r="E1107" s="35" t="s">
        <v>25</v>
      </c>
      <c r="F1107" s="35" t="s">
        <v>25</v>
      </c>
      <c r="G1107" s="35" t="s">
        <v>25</v>
      </c>
      <c r="H1107" s="35" t="s">
        <v>25</v>
      </c>
      <c r="I1107" s="55">
        <v>44652</v>
      </c>
      <c r="J1107" s="56">
        <f>EFEITO!$J$1107*EFEITO!$Y$1107</f>
        <v>0</v>
      </c>
      <c r="K1107" s="56">
        <f ca="1">EFEITO!$L$1107*EFEITO!$Z$1107</f>
        <v>2277.5099500266751</v>
      </c>
      <c r="L1107" s="56">
        <f>EFEITO!$N$1107*EFEITO!$AA$1107</f>
        <v>1822.9209671284545</v>
      </c>
      <c r="M1107" s="56">
        <f>$J$1107-EFEITO!$K$1107*EFEITO!$Y$1107</f>
        <v>0</v>
      </c>
      <c r="N1107" s="56">
        <f ca="1">$K$1107-EFEITO!$M$1107*EFEITO!$Z$1107</f>
        <v>0</v>
      </c>
      <c r="O1107" s="56">
        <f>$L$1107-EFEITO!$O$1107*EFEITO!$AA$1107</f>
        <v>0</v>
      </c>
      <c r="P1107" s="39"/>
      <c r="Q1107" s="39"/>
      <c r="R1107" s="39"/>
      <c r="S1107" s="39"/>
      <c r="T1107" s="39"/>
      <c r="U1107" s="39"/>
      <c r="V1107" s="39"/>
      <c r="W1107" s="39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</row>
    <row r="1108" spans="1:36" ht="11.25" customHeight="1" x14ac:dyDescent="0.2">
      <c r="A1108" s="35" t="s">
        <v>21</v>
      </c>
      <c r="B1108" s="35" t="s">
        <v>37</v>
      </c>
      <c r="C1108" s="35" t="s">
        <v>23</v>
      </c>
      <c r="D1108" s="35" t="s">
        <v>38</v>
      </c>
      <c r="E1108" s="35" t="s">
        <v>25</v>
      </c>
      <c r="F1108" s="35" t="s">
        <v>25</v>
      </c>
      <c r="G1108" s="35" t="s">
        <v>25</v>
      </c>
      <c r="H1108" s="35" t="s">
        <v>25</v>
      </c>
      <c r="I1108" s="55">
        <v>44682</v>
      </c>
      <c r="J1108" s="56">
        <f>EFEITO!$J$1108*EFEITO!$Y$1108</f>
        <v>0</v>
      </c>
      <c r="K1108" s="56">
        <f ca="1">EFEITO!$L$1108*EFEITO!$Z$1108</f>
        <v>72083.130925684542</v>
      </c>
      <c r="L1108" s="56">
        <f>EFEITO!$N$1108*EFEITO!$AA$1108</f>
        <v>57695.401391838852</v>
      </c>
      <c r="M1108" s="56">
        <f>$J$1108-EFEITO!$K$1108*EFEITO!$Y$1108</f>
        <v>0</v>
      </c>
      <c r="N1108" s="56">
        <f ca="1">$K$1108-EFEITO!$M$1108*EFEITO!$Z$1108</f>
        <v>0</v>
      </c>
      <c r="O1108" s="56">
        <f>$L$1108-EFEITO!$O$1108*EFEITO!$AA$1108</f>
        <v>0</v>
      </c>
      <c r="P1108" s="39"/>
      <c r="Q1108" s="39"/>
      <c r="R1108" s="39"/>
      <c r="S1108" s="39"/>
      <c r="T1108" s="39"/>
      <c r="U1108" s="39"/>
      <c r="V1108" s="39"/>
      <c r="W1108" s="39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</row>
    <row r="1109" spans="1:36" ht="11.25" customHeight="1" x14ac:dyDescent="0.2">
      <c r="A1109" s="35" t="s">
        <v>28</v>
      </c>
      <c r="B1109" s="35" t="s">
        <v>37</v>
      </c>
      <c r="C1109" s="35" t="s">
        <v>23</v>
      </c>
      <c r="D1109" s="35" t="s">
        <v>38</v>
      </c>
      <c r="E1109" s="35" t="s">
        <v>25</v>
      </c>
      <c r="F1109" s="35" t="s">
        <v>25</v>
      </c>
      <c r="G1109" s="35" t="s">
        <v>25</v>
      </c>
      <c r="H1109" s="35" t="s">
        <v>25</v>
      </c>
      <c r="I1109" s="55">
        <v>44682</v>
      </c>
      <c r="J1109" s="56">
        <f>EFEITO!$J$1109*EFEITO!$Y$1109</f>
        <v>0</v>
      </c>
      <c r="K1109" s="56">
        <f ca="1">EFEITO!$L$1109*EFEITO!$Z$1109</f>
        <v>2020.3019535981746</v>
      </c>
      <c r="L1109" s="56">
        <f>EFEITO!$N$1109*EFEITO!$AA$1109</f>
        <v>1617.0514605662011</v>
      </c>
      <c r="M1109" s="56">
        <f>$J$1109-EFEITO!$K$1109*EFEITO!$Y$1109</f>
        <v>0</v>
      </c>
      <c r="N1109" s="56">
        <f ca="1">$K$1109-EFEITO!$M$1109*EFEITO!$Z$1109</f>
        <v>0</v>
      </c>
      <c r="O1109" s="56">
        <f>$L$1109-EFEITO!$O$1109*EFEITO!$AA$1109</f>
        <v>0</v>
      </c>
      <c r="P1109" s="39"/>
      <c r="Q1109" s="39"/>
      <c r="R1109" s="39"/>
      <c r="S1109" s="39"/>
      <c r="T1109" s="39"/>
      <c r="U1109" s="39"/>
      <c r="V1109" s="39"/>
      <c r="W1109" s="39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</row>
    <row r="1110" spans="1:36" ht="11.25" customHeight="1" x14ac:dyDescent="0.2">
      <c r="A1110" s="35" t="s">
        <v>21</v>
      </c>
      <c r="B1110" s="35" t="s">
        <v>37</v>
      </c>
      <c r="C1110" s="35" t="s">
        <v>23</v>
      </c>
      <c r="D1110" s="35" t="s">
        <v>38</v>
      </c>
      <c r="E1110" s="35" t="s">
        <v>25</v>
      </c>
      <c r="F1110" s="35" t="s">
        <v>25</v>
      </c>
      <c r="G1110" s="35" t="s">
        <v>25</v>
      </c>
      <c r="H1110" s="35" t="s">
        <v>25</v>
      </c>
      <c r="I1110" s="55">
        <v>44713</v>
      </c>
      <c r="J1110" s="56">
        <f>EFEITO!$J$1110*EFEITO!$Y$1110</f>
        <v>0</v>
      </c>
      <c r="K1110" s="56">
        <f ca="1">EFEITO!$L$1110*EFEITO!$Z$1110</f>
        <v>70776.246870436968</v>
      </c>
      <c r="L1110" s="56">
        <f>EFEITO!$N$1110*EFEITO!$AA$1110</f>
        <v>56649.370244581405</v>
      </c>
      <c r="M1110" s="56">
        <f>$J$1110-EFEITO!$K$1110*EFEITO!$Y$1110</f>
        <v>0</v>
      </c>
      <c r="N1110" s="56">
        <f ca="1">$K$1110-EFEITO!$M$1110*EFEITO!$Z$1110</f>
        <v>0</v>
      </c>
      <c r="O1110" s="56">
        <f>$L$1110-EFEITO!$O$1110*EFEITO!$AA$1110</f>
        <v>0</v>
      </c>
      <c r="P1110" s="39"/>
      <c r="Q1110" s="39"/>
      <c r="R1110" s="39"/>
      <c r="S1110" s="39"/>
      <c r="T1110" s="39"/>
      <c r="U1110" s="39"/>
      <c r="V1110" s="39"/>
      <c r="W1110" s="39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</row>
    <row r="1111" spans="1:36" ht="11.25" customHeight="1" x14ac:dyDescent="0.2">
      <c r="A1111" s="35" t="s">
        <v>28</v>
      </c>
      <c r="B1111" s="35" t="s">
        <v>37</v>
      </c>
      <c r="C1111" s="35" t="s">
        <v>23</v>
      </c>
      <c r="D1111" s="35" t="s">
        <v>38</v>
      </c>
      <c r="E1111" s="35" t="s">
        <v>25</v>
      </c>
      <c r="F1111" s="35" t="s">
        <v>25</v>
      </c>
      <c r="G1111" s="35" t="s">
        <v>25</v>
      </c>
      <c r="H1111" s="35" t="s">
        <v>25</v>
      </c>
      <c r="I1111" s="55">
        <v>44713</v>
      </c>
      <c r="J1111" s="56">
        <f>EFEITO!$J$1111*EFEITO!$Y$1111</f>
        <v>0</v>
      </c>
      <c r="K1111" s="56">
        <f ca="1">EFEITO!$L$1111*EFEITO!$Z$1111</f>
        <v>633.18788111603305</v>
      </c>
      <c r="L1111" s="56">
        <f>EFEITO!$N$1111*EFEITO!$AA$1111</f>
        <v>506.80413694988982</v>
      </c>
      <c r="M1111" s="56">
        <f>$J$1111-EFEITO!$K$1111*EFEITO!$Y$1111</f>
        <v>0</v>
      </c>
      <c r="N1111" s="56">
        <f ca="1">$K$1111-EFEITO!$M$1111*EFEITO!$Z$1111</f>
        <v>0</v>
      </c>
      <c r="O1111" s="56">
        <f>$L$1111-EFEITO!$O$1111*EFEITO!$AA$1111</f>
        <v>0</v>
      </c>
      <c r="P1111" s="39"/>
      <c r="Q1111" s="39"/>
      <c r="R1111" s="39"/>
      <c r="S1111" s="39"/>
      <c r="T1111" s="39"/>
      <c r="U1111" s="39"/>
      <c r="V1111" s="39"/>
      <c r="W1111" s="39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</row>
    <row r="1112" spans="1:36" ht="11.25" customHeight="1" x14ac:dyDescent="0.2">
      <c r="A1112" s="35" t="s">
        <v>21</v>
      </c>
      <c r="B1112" s="35" t="s">
        <v>37</v>
      </c>
      <c r="C1112" s="35" t="s">
        <v>23</v>
      </c>
      <c r="D1112" s="35" t="s">
        <v>38</v>
      </c>
      <c r="E1112" s="35" t="s">
        <v>25</v>
      </c>
      <c r="F1112" s="35" t="s">
        <v>25</v>
      </c>
      <c r="G1112" s="35" t="s">
        <v>25</v>
      </c>
      <c r="H1112" s="35" t="s">
        <v>25</v>
      </c>
      <c r="I1112" s="55">
        <v>44743</v>
      </c>
      <c r="J1112" s="56">
        <f>EFEITO!$J$1112*EFEITO!$Y$1112</f>
        <v>0</v>
      </c>
      <c r="K1112" s="56">
        <f ca="1">EFEITO!$L$1112*EFEITO!$Z$1112</f>
        <v>73940.613138424305</v>
      </c>
      <c r="L1112" s="56">
        <f>EFEITO!$N$1112*EFEITO!$AA$1112</f>
        <v>59182.131788617939</v>
      </c>
      <c r="M1112" s="56">
        <f>$J$1112-EFEITO!$K$1112*EFEITO!$Y$1112</f>
        <v>0</v>
      </c>
      <c r="N1112" s="56">
        <f ca="1">$K$1112-EFEITO!$M$1112*EFEITO!$Z$1112</f>
        <v>0</v>
      </c>
      <c r="O1112" s="56">
        <f>$L$1112-EFEITO!$O$1112*EFEITO!$AA$1112</f>
        <v>0</v>
      </c>
      <c r="P1112" s="39"/>
      <c r="Q1112" s="39"/>
      <c r="R1112" s="39"/>
      <c r="S1112" s="39"/>
      <c r="T1112" s="39"/>
      <c r="U1112" s="39"/>
      <c r="V1112" s="39"/>
      <c r="W1112" s="39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</row>
    <row r="1113" spans="1:36" ht="11.25" customHeight="1" x14ac:dyDescent="0.2">
      <c r="A1113" s="35" t="s">
        <v>21</v>
      </c>
      <c r="B1113" s="35" t="s">
        <v>37</v>
      </c>
      <c r="C1113" s="35" t="s">
        <v>23</v>
      </c>
      <c r="D1113" s="35" t="s">
        <v>38</v>
      </c>
      <c r="E1113" s="35" t="s">
        <v>25</v>
      </c>
      <c r="F1113" s="35" t="s">
        <v>25</v>
      </c>
      <c r="G1113" s="35" t="s">
        <v>25</v>
      </c>
      <c r="H1113" s="35" t="s">
        <v>25</v>
      </c>
      <c r="I1113" s="55">
        <v>44774</v>
      </c>
      <c r="J1113" s="56">
        <f>EFEITO!$J$1113*EFEITO!$Y$1113</f>
        <v>0</v>
      </c>
      <c r="K1113" s="56">
        <f ca="1">EFEITO!$L$1113*EFEITO!$Z$1113</f>
        <v>70880.073951564074</v>
      </c>
      <c r="L1113" s="56">
        <f>EFEITO!$N$1113*EFEITO!$AA$1113</f>
        <v>56732.473531634059</v>
      </c>
      <c r="M1113" s="56">
        <f>$J$1113-EFEITO!$K$1113*EFEITO!$Y$1113</f>
        <v>0</v>
      </c>
      <c r="N1113" s="56">
        <f ca="1">$K$1113-EFEITO!$M$1113*EFEITO!$Z$1113</f>
        <v>0</v>
      </c>
      <c r="O1113" s="56">
        <f>$L$1113-EFEITO!$O$1113*EFEITO!$AA$1113</f>
        <v>0</v>
      </c>
      <c r="P1113" s="39"/>
      <c r="Q1113" s="39"/>
      <c r="R1113" s="39"/>
      <c r="S1113" s="39"/>
      <c r="T1113" s="39"/>
      <c r="U1113" s="39"/>
      <c r="V1113" s="39"/>
      <c r="W1113" s="39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</row>
    <row r="1114" spans="1:36" ht="11.25" customHeight="1" x14ac:dyDescent="0.2">
      <c r="A1114" s="35" t="s">
        <v>28</v>
      </c>
      <c r="B1114" s="35" t="s">
        <v>37</v>
      </c>
      <c r="C1114" s="35" t="s">
        <v>23</v>
      </c>
      <c r="D1114" s="35" t="s">
        <v>38</v>
      </c>
      <c r="E1114" s="35" t="s">
        <v>25</v>
      </c>
      <c r="F1114" s="35" t="s">
        <v>25</v>
      </c>
      <c r="G1114" s="35" t="s">
        <v>25</v>
      </c>
      <c r="H1114" s="35" t="s">
        <v>25</v>
      </c>
      <c r="I1114" s="55">
        <v>44774</v>
      </c>
      <c r="J1114" s="56">
        <f>EFEITO!$J$1114*EFEITO!$Y$1114</f>
        <v>0</v>
      </c>
      <c r="K1114" s="56">
        <f ca="1">EFEITO!$L$1114*EFEITO!$Z$1114</f>
        <v>2104.8580992130487</v>
      </c>
      <c r="L1114" s="56">
        <f>EFEITO!$N$1114*EFEITO!$AA$1114</f>
        <v>1684.7302738855965</v>
      </c>
      <c r="M1114" s="56">
        <f>$J$1114-EFEITO!$K$1114*EFEITO!$Y$1114</f>
        <v>0</v>
      </c>
      <c r="N1114" s="56">
        <f ca="1">$K$1114-EFEITO!$M$1114*EFEITO!$Z$1114</f>
        <v>0</v>
      </c>
      <c r="O1114" s="56">
        <f>$L$1114-EFEITO!$O$1114*EFEITO!$AA$1114</f>
        <v>0</v>
      </c>
      <c r="P1114" s="39"/>
      <c r="Q1114" s="39"/>
      <c r="R1114" s="39"/>
      <c r="S1114" s="39"/>
      <c r="T1114" s="39"/>
      <c r="U1114" s="39"/>
      <c r="V1114" s="39"/>
      <c r="W1114" s="39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</row>
    <row r="1115" spans="1:36" ht="11.25" customHeight="1" x14ac:dyDescent="0.2">
      <c r="A1115" s="35" t="s">
        <v>21</v>
      </c>
      <c r="B1115" s="35" t="s">
        <v>37</v>
      </c>
      <c r="C1115" s="35" t="s">
        <v>23</v>
      </c>
      <c r="D1115" s="35" t="s">
        <v>38</v>
      </c>
      <c r="E1115" s="35" t="s">
        <v>25</v>
      </c>
      <c r="F1115" s="35" t="s">
        <v>25</v>
      </c>
      <c r="G1115" s="35" t="s">
        <v>25</v>
      </c>
      <c r="H1115" s="35" t="s">
        <v>25</v>
      </c>
      <c r="I1115" s="55">
        <v>44805</v>
      </c>
      <c r="J1115" s="56">
        <f>EFEITO!$J$1115*EFEITO!$Y$1115</f>
        <v>0</v>
      </c>
      <c r="K1115" s="56">
        <f ca="1">EFEITO!$L$1115*EFEITO!$Z$1115</f>
        <v>74961.579436174143</v>
      </c>
      <c r="L1115" s="56">
        <f>EFEITO!$N$1115*EFEITO!$AA$1115</f>
        <v>59999.314111302359</v>
      </c>
      <c r="M1115" s="56">
        <f>$J$1115-EFEITO!$K$1115*EFEITO!$Y$1115</f>
        <v>0</v>
      </c>
      <c r="N1115" s="56">
        <f ca="1">$K$1115-EFEITO!$M$1115*EFEITO!$Z$1115</f>
        <v>0</v>
      </c>
      <c r="O1115" s="56">
        <f>$L$1115-EFEITO!$O$1115*EFEITO!$AA$1115</f>
        <v>0</v>
      </c>
      <c r="P1115" s="39"/>
      <c r="Q1115" s="39"/>
      <c r="R1115" s="39"/>
      <c r="S1115" s="39"/>
      <c r="T1115" s="39"/>
      <c r="U1115" s="39"/>
      <c r="V1115" s="39"/>
      <c r="W1115" s="39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</row>
    <row r="1116" spans="1:36" ht="11.25" customHeight="1" x14ac:dyDescent="0.2">
      <c r="A1116" s="35" t="s">
        <v>28</v>
      </c>
      <c r="B1116" s="35" t="s">
        <v>37</v>
      </c>
      <c r="C1116" s="35" t="s">
        <v>23</v>
      </c>
      <c r="D1116" s="35" t="s">
        <v>38</v>
      </c>
      <c r="E1116" s="35" t="s">
        <v>25</v>
      </c>
      <c r="F1116" s="35" t="s">
        <v>25</v>
      </c>
      <c r="G1116" s="35" t="s">
        <v>25</v>
      </c>
      <c r="H1116" s="35" t="s">
        <v>25</v>
      </c>
      <c r="I1116" s="55">
        <v>44805</v>
      </c>
      <c r="J1116" s="56">
        <f>EFEITO!$J$1116*EFEITO!$Y$1116</f>
        <v>0</v>
      </c>
      <c r="K1116" s="56">
        <f ca="1">EFEITO!$L$1116*EFEITO!$Z$1116</f>
        <v>5423.3918512981954</v>
      </c>
      <c r="L1116" s="56">
        <f>EFEITO!$N$1116*EFEITO!$AA$1116</f>
        <v>4340.887607788186</v>
      </c>
      <c r="M1116" s="56">
        <f>$J$1116-EFEITO!$K$1116*EFEITO!$Y$1116</f>
        <v>0</v>
      </c>
      <c r="N1116" s="56">
        <f ca="1">$K$1116-EFEITO!$M$1116*EFEITO!$Z$1116</f>
        <v>0</v>
      </c>
      <c r="O1116" s="56">
        <f>$L$1116-EFEITO!$O$1116*EFEITO!$AA$1116</f>
        <v>0</v>
      </c>
      <c r="P1116" s="39"/>
      <c r="Q1116" s="39"/>
      <c r="R1116" s="39"/>
      <c r="S1116" s="39"/>
      <c r="T1116" s="39"/>
      <c r="U1116" s="39"/>
      <c r="V1116" s="39"/>
      <c r="W1116" s="39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</row>
    <row r="1117" spans="1:36" ht="11.25" customHeight="1" x14ac:dyDescent="0.2">
      <c r="A1117" s="35" t="s">
        <v>53</v>
      </c>
      <c r="B1117" s="35" t="s">
        <v>37</v>
      </c>
      <c r="C1117" s="35" t="s">
        <v>23</v>
      </c>
      <c r="D1117" s="35" t="s">
        <v>38</v>
      </c>
      <c r="E1117" s="35" t="s">
        <v>25</v>
      </c>
      <c r="F1117" s="35" t="s">
        <v>25</v>
      </c>
      <c r="G1117" s="35" t="s">
        <v>25</v>
      </c>
      <c r="H1117" s="35" t="s">
        <v>25</v>
      </c>
      <c r="I1117" s="55">
        <v>44835</v>
      </c>
      <c r="J1117" s="56">
        <f>EFEITO!$J$1117*EFEITO!$Y$1117</f>
        <v>0</v>
      </c>
      <c r="K1117" s="56">
        <f ca="1">EFEITO!$L$1117*EFEITO!$Z$1117</f>
        <v>74961.579436174143</v>
      </c>
      <c r="L1117" s="56">
        <f>EFEITO!$N$1117*EFEITO!$AA$1117</f>
        <v>59999.314111302359</v>
      </c>
      <c r="M1117" s="56">
        <f>$J$1117-EFEITO!$K$1117*EFEITO!$Y$1117</f>
        <v>0</v>
      </c>
      <c r="N1117" s="56">
        <f ca="1">$K$1117-EFEITO!$M$1117*EFEITO!$Z$1117</f>
        <v>0</v>
      </c>
      <c r="O1117" s="56">
        <f>$L$1117-EFEITO!$O$1117*EFEITO!$AA$1117</f>
        <v>0</v>
      </c>
      <c r="P1117" s="39"/>
      <c r="Q1117" s="39"/>
      <c r="R1117" s="39"/>
      <c r="S1117" s="39"/>
      <c r="T1117" s="39"/>
      <c r="U1117" s="39"/>
      <c r="V1117" s="39"/>
      <c r="W1117" s="39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</row>
    <row r="1118" spans="1:36" ht="11.25" customHeight="1" x14ac:dyDescent="0.2">
      <c r="A1118" s="35" t="s">
        <v>53</v>
      </c>
      <c r="B1118" s="35" t="s">
        <v>37</v>
      </c>
      <c r="C1118" s="35" t="s">
        <v>23</v>
      </c>
      <c r="D1118" s="35" t="s">
        <v>38</v>
      </c>
      <c r="E1118" s="35" t="s">
        <v>25</v>
      </c>
      <c r="F1118" s="35" t="s">
        <v>25</v>
      </c>
      <c r="G1118" s="35" t="s">
        <v>25</v>
      </c>
      <c r="H1118" s="35" t="s">
        <v>25</v>
      </c>
      <c r="I1118" s="55">
        <v>44835</v>
      </c>
      <c r="J1118" s="56">
        <f>EFEITO!$J$1118*EFEITO!$Y$1118</f>
        <v>0</v>
      </c>
      <c r="K1118" s="56">
        <f ca="1">EFEITO!$L$1118*EFEITO!$Z$1118</f>
        <v>5423.3918512981954</v>
      </c>
      <c r="L1118" s="56">
        <f>EFEITO!$N$1118*EFEITO!$AA$1118</f>
        <v>4340.887607788186</v>
      </c>
      <c r="M1118" s="56">
        <f>$J$1118-EFEITO!$K$1118*EFEITO!$Y$1118</f>
        <v>0</v>
      </c>
      <c r="N1118" s="56">
        <f ca="1">$K$1118-EFEITO!$M$1118*EFEITO!$Z$1118</f>
        <v>0</v>
      </c>
      <c r="O1118" s="56">
        <f>$L$1118-EFEITO!$O$1118*EFEITO!$AA$1118</f>
        <v>0</v>
      </c>
      <c r="P1118" s="39"/>
      <c r="Q1118" s="39"/>
      <c r="R1118" s="39"/>
      <c r="S1118" s="39"/>
      <c r="T1118" s="39"/>
      <c r="U1118" s="39"/>
      <c r="V1118" s="39"/>
      <c r="W1118" s="39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</row>
    <row r="1119" spans="1:36" ht="11.25" customHeight="1" x14ac:dyDescent="0.2">
      <c r="A1119" s="35" t="s">
        <v>21</v>
      </c>
      <c r="B1119" s="35" t="s">
        <v>37</v>
      </c>
      <c r="C1119" s="35" t="s">
        <v>23</v>
      </c>
      <c r="D1119" s="35" t="s">
        <v>46</v>
      </c>
      <c r="E1119" s="35" t="s">
        <v>25</v>
      </c>
      <c r="F1119" s="35" t="s">
        <v>25</v>
      </c>
      <c r="G1119" s="35" t="s">
        <v>25</v>
      </c>
      <c r="H1119" s="35" t="s">
        <v>25</v>
      </c>
      <c r="I1119" s="55">
        <v>44501</v>
      </c>
      <c r="J1119" s="56">
        <f>EFEITO!$J$1119*EFEITO!$Y$1119</f>
        <v>0</v>
      </c>
      <c r="K1119" s="56">
        <f ca="1">EFEITO!$L$1119*EFEITO!$Z$1119</f>
        <v>112785.7064338974</v>
      </c>
      <c r="L1119" s="56">
        <f>EFEITO!$N$1119*EFEITO!$AA$1119</f>
        <v>90273.778627548105</v>
      </c>
      <c r="M1119" s="56">
        <f>$J$1119-EFEITO!$K$1119*EFEITO!$Y$1119</f>
        <v>0</v>
      </c>
      <c r="N1119" s="56">
        <f ca="1">$K$1119-EFEITO!$M$1119*EFEITO!$Z$1119</f>
        <v>0</v>
      </c>
      <c r="O1119" s="56">
        <f>$L$1119-EFEITO!$O$1119*EFEITO!$AA$1119</f>
        <v>0</v>
      </c>
      <c r="P1119" s="39"/>
      <c r="Q1119" s="39"/>
      <c r="R1119" s="39"/>
      <c r="S1119" s="39"/>
      <c r="T1119" s="39"/>
      <c r="U1119" s="39"/>
      <c r="V1119" s="39"/>
      <c r="W1119" s="39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</row>
    <row r="1120" spans="1:36" ht="11.25" customHeight="1" x14ac:dyDescent="0.2">
      <c r="A1120" s="35" t="s">
        <v>21</v>
      </c>
      <c r="B1120" s="35" t="s">
        <v>37</v>
      </c>
      <c r="C1120" s="35" t="s">
        <v>23</v>
      </c>
      <c r="D1120" s="35" t="s">
        <v>46</v>
      </c>
      <c r="E1120" s="35" t="s">
        <v>25</v>
      </c>
      <c r="F1120" s="35" t="s">
        <v>25</v>
      </c>
      <c r="G1120" s="35" t="s">
        <v>25</v>
      </c>
      <c r="H1120" s="35" t="s">
        <v>25</v>
      </c>
      <c r="I1120" s="55">
        <v>44531</v>
      </c>
      <c r="J1120" s="56">
        <f>EFEITO!$J$1120*EFEITO!$Y$1120</f>
        <v>0</v>
      </c>
      <c r="K1120" s="56">
        <f ca="1">EFEITO!$L$1120*EFEITO!$Z$1120</f>
        <v>123427.19568062884</v>
      </c>
      <c r="L1120" s="56">
        <f>EFEITO!$N$1120*EFEITO!$AA$1120</f>
        <v>98791.235980088546</v>
      </c>
      <c r="M1120" s="56">
        <f>$J$1120-EFEITO!$K$1120*EFEITO!$Y$1120</f>
        <v>0</v>
      </c>
      <c r="N1120" s="56">
        <f ca="1">$K$1120-EFEITO!$M$1120*EFEITO!$Z$1120</f>
        <v>0</v>
      </c>
      <c r="O1120" s="56">
        <f>$L$1120-EFEITO!$O$1120*EFEITO!$AA$1120</f>
        <v>0</v>
      </c>
      <c r="P1120" s="39"/>
      <c r="Q1120" s="39"/>
      <c r="R1120" s="39"/>
      <c r="S1120" s="39"/>
      <c r="T1120" s="39"/>
      <c r="U1120" s="39"/>
      <c r="V1120" s="39"/>
      <c r="W1120" s="39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</row>
    <row r="1121" spans="1:36" ht="11.25" customHeight="1" x14ac:dyDescent="0.2">
      <c r="A1121" s="35" t="s">
        <v>21</v>
      </c>
      <c r="B1121" s="35" t="s">
        <v>37</v>
      </c>
      <c r="C1121" s="35" t="s">
        <v>23</v>
      </c>
      <c r="D1121" s="35" t="s">
        <v>46</v>
      </c>
      <c r="E1121" s="35" t="s">
        <v>25</v>
      </c>
      <c r="F1121" s="35" t="s">
        <v>25</v>
      </c>
      <c r="G1121" s="35" t="s">
        <v>25</v>
      </c>
      <c r="H1121" s="35" t="s">
        <v>25</v>
      </c>
      <c r="I1121" s="55">
        <v>44562</v>
      </c>
      <c r="J1121" s="56">
        <f>EFEITO!$J$1121*EFEITO!$Y$1121</f>
        <v>0</v>
      </c>
      <c r="K1121" s="56">
        <f ca="1">EFEITO!$L$1121*EFEITO!$Z$1121</f>
        <v>121767.53552018807</v>
      </c>
      <c r="L1121" s="56">
        <f>EFEITO!$N$1121*EFEITO!$AA$1121</f>
        <v>97462.84252795903</v>
      </c>
      <c r="M1121" s="56">
        <f>$J$1121-EFEITO!$K$1121*EFEITO!$Y$1121</f>
        <v>0</v>
      </c>
      <c r="N1121" s="56">
        <f ca="1">$K$1121-EFEITO!$M$1121*EFEITO!$Z$1121</f>
        <v>0</v>
      </c>
      <c r="O1121" s="56">
        <f>$L$1121-EFEITO!$O$1121*EFEITO!$AA$1121</f>
        <v>0</v>
      </c>
      <c r="P1121" s="39"/>
      <c r="Q1121" s="39"/>
      <c r="R1121" s="39"/>
      <c r="S1121" s="39"/>
      <c r="T1121" s="39"/>
      <c r="U1121" s="39"/>
      <c r="V1121" s="39"/>
      <c r="W1121" s="39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</row>
    <row r="1122" spans="1:36" ht="11.25" customHeight="1" x14ac:dyDescent="0.2">
      <c r="A1122" s="35" t="s">
        <v>27</v>
      </c>
      <c r="B1122" s="35" t="s">
        <v>37</v>
      </c>
      <c r="C1122" s="35" t="s">
        <v>23</v>
      </c>
      <c r="D1122" s="35" t="s">
        <v>46</v>
      </c>
      <c r="E1122" s="35" t="s">
        <v>25</v>
      </c>
      <c r="F1122" s="35" t="s">
        <v>25</v>
      </c>
      <c r="G1122" s="35" t="s">
        <v>25</v>
      </c>
      <c r="H1122" s="35" t="s">
        <v>25</v>
      </c>
      <c r="I1122" s="55">
        <v>44562</v>
      </c>
      <c r="J1122" s="56">
        <f>EFEITO!$J$1122*EFEITO!$Y$1122</f>
        <v>0</v>
      </c>
      <c r="K1122" s="56">
        <f ca="1">EFEITO!$L$1122*EFEITO!$Z$1122</f>
        <v>-11.798531946261484</v>
      </c>
      <c r="L1122" s="56">
        <f>EFEITO!$N$1122*EFEITO!$AA$1122</f>
        <v>-9.4435553468923565</v>
      </c>
      <c r="M1122" s="56">
        <f>$J$1122-EFEITO!$K$1122*EFEITO!$Y$1122</f>
        <v>0</v>
      </c>
      <c r="N1122" s="56">
        <f ca="1">$K$1122-EFEITO!$M$1122*EFEITO!$Z$1122</f>
        <v>0</v>
      </c>
      <c r="O1122" s="56">
        <f>$L$1122-EFEITO!$O$1122*EFEITO!$AA$1122</f>
        <v>0</v>
      </c>
      <c r="P1122" s="39"/>
      <c r="Q1122" s="39"/>
      <c r="R1122" s="39"/>
      <c r="S1122" s="39"/>
      <c r="T1122" s="39"/>
      <c r="U1122" s="39"/>
      <c r="V1122" s="39"/>
      <c r="W1122" s="39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</row>
    <row r="1123" spans="1:36" ht="11.25" customHeight="1" x14ac:dyDescent="0.2">
      <c r="A1123" s="35" t="s">
        <v>21</v>
      </c>
      <c r="B1123" s="35" t="s">
        <v>37</v>
      </c>
      <c r="C1123" s="35" t="s">
        <v>23</v>
      </c>
      <c r="D1123" s="35" t="s">
        <v>46</v>
      </c>
      <c r="E1123" s="35" t="s">
        <v>25</v>
      </c>
      <c r="F1123" s="35" t="s">
        <v>25</v>
      </c>
      <c r="G1123" s="35" t="s">
        <v>25</v>
      </c>
      <c r="H1123" s="35" t="s">
        <v>25</v>
      </c>
      <c r="I1123" s="55">
        <v>44593</v>
      </c>
      <c r="J1123" s="56">
        <f>EFEITO!$J$1123*EFEITO!$Y$1123</f>
        <v>0</v>
      </c>
      <c r="K1123" s="56">
        <f ca="1">EFEITO!$L$1123*EFEITO!$Z$1123</f>
        <v>109194.23330945541</v>
      </c>
      <c r="L1123" s="56">
        <f>EFEITO!$N$1123*EFEITO!$AA$1123</f>
        <v>87399.160379954061</v>
      </c>
      <c r="M1123" s="56">
        <f>$J$1123-EFEITO!$K$1123*EFEITO!$Y$1123</f>
        <v>0</v>
      </c>
      <c r="N1123" s="56">
        <f ca="1">$K$1123-EFEITO!$M$1123*EFEITO!$Z$1123</f>
        <v>0</v>
      </c>
      <c r="O1123" s="56">
        <f>$L$1123-EFEITO!$O$1123*EFEITO!$AA$1123</f>
        <v>0</v>
      </c>
      <c r="P1123" s="39"/>
      <c r="Q1123" s="39"/>
      <c r="R1123" s="39"/>
      <c r="S1123" s="39"/>
      <c r="T1123" s="39"/>
      <c r="U1123" s="39"/>
      <c r="V1123" s="39"/>
      <c r="W1123" s="39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</row>
    <row r="1124" spans="1:36" ht="11.25" customHeight="1" x14ac:dyDescent="0.2">
      <c r="A1124" s="35" t="s">
        <v>21</v>
      </c>
      <c r="B1124" s="35" t="s">
        <v>37</v>
      </c>
      <c r="C1124" s="35" t="s">
        <v>23</v>
      </c>
      <c r="D1124" s="35" t="s">
        <v>46</v>
      </c>
      <c r="E1124" s="35" t="s">
        <v>25</v>
      </c>
      <c r="F1124" s="35" t="s">
        <v>25</v>
      </c>
      <c r="G1124" s="35" t="s">
        <v>25</v>
      </c>
      <c r="H1124" s="35" t="s">
        <v>25</v>
      </c>
      <c r="I1124" s="55">
        <v>44621</v>
      </c>
      <c r="J1124" s="56">
        <f>EFEITO!$J$1124*EFEITO!$Y$1124</f>
        <v>0</v>
      </c>
      <c r="K1124" s="56">
        <f ca="1">EFEITO!$L$1124*EFEITO!$Z$1124</f>
        <v>117354.49128788807</v>
      </c>
      <c r="L1124" s="56">
        <f>EFEITO!$N$1124*EFEITO!$AA$1124</f>
        <v>93930.638043043058</v>
      </c>
      <c r="M1124" s="56">
        <f>$J$1124-EFEITO!$K$1124*EFEITO!$Y$1124</f>
        <v>0</v>
      </c>
      <c r="N1124" s="56">
        <f ca="1">$K$1124-EFEITO!$M$1124*EFEITO!$Z$1124</f>
        <v>0</v>
      </c>
      <c r="O1124" s="56">
        <f>$L$1124-EFEITO!$O$1124*EFEITO!$AA$1124</f>
        <v>0</v>
      </c>
      <c r="P1124" s="39"/>
      <c r="Q1124" s="39"/>
      <c r="R1124" s="39"/>
      <c r="S1124" s="39"/>
      <c r="T1124" s="39"/>
      <c r="U1124" s="39"/>
      <c r="V1124" s="39"/>
      <c r="W1124" s="39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</row>
    <row r="1125" spans="1:36" ht="11.25" customHeight="1" x14ac:dyDescent="0.2">
      <c r="A1125" s="35" t="s">
        <v>21</v>
      </c>
      <c r="B1125" s="35" t="s">
        <v>37</v>
      </c>
      <c r="C1125" s="35" t="s">
        <v>23</v>
      </c>
      <c r="D1125" s="35" t="s">
        <v>46</v>
      </c>
      <c r="E1125" s="35" t="s">
        <v>25</v>
      </c>
      <c r="F1125" s="35" t="s">
        <v>25</v>
      </c>
      <c r="G1125" s="35" t="s">
        <v>25</v>
      </c>
      <c r="H1125" s="35" t="s">
        <v>25</v>
      </c>
      <c r="I1125" s="55">
        <v>44652</v>
      </c>
      <c r="J1125" s="56">
        <f>EFEITO!$J$1125*EFEITO!$Y$1125</f>
        <v>0</v>
      </c>
      <c r="K1125" s="56">
        <f ca="1">EFEITO!$L$1125*EFEITO!$Z$1125</f>
        <v>124932.2950725736</v>
      </c>
      <c r="L1125" s="56">
        <f>EFEITO!$N$1125*EFEITO!$AA$1125</f>
        <v>99995.918857173776</v>
      </c>
      <c r="M1125" s="56">
        <f>$J$1125-EFEITO!$K$1125*EFEITO!$Y$1125</f>
        <v>0</v>
      </c>
      <c r="N1125" s="56">
        <f ca="1">$K$1125-EFEITO!$M$1125*EFEITO!$Z$1125</f>
        <v>0</v>
      </c>
      <c r="O1125" s="56">
        <f>$L$1125-EFEITO!$O$1125*EFEITO!$AA$1125</f>
        <v>0</v>
      </c>
      <c r="P1125" s="39"/>
      <c r="Q1125" s="39"/>
      <c r="R1125" s="39"/>
      <c r="S1125" s="39"/>
      <c r="T1125" s="39"/>
      <c r="U1125" s="39"/>
      <c r="V1125" s="39"/>
      <c r="W1125" s="39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</row>
    <row r="1126" spans="1:36" ht="11.25" customHeight="1" x14ac:dyDescent="0.2">
      <c r="A1126" s="35" t="s">
        <v>27</v>
      </c>
      <c r="B1126" s="35" t="s">
        <v>37</v>
      </c>
      <c r="C1126" s="35" t="s">
        <v>23</v>
      </c>
      <c r="D1126" s="35" t="s">
        <v>46</v>
      </c>
      <c r="E1126" s="35" t="s">
        <v>25</v>
      </c>
      <c r="F1126" s="35" t="s">
        <v>25</v>
      </c>
      <c r="G1126" s="35" t="s">
        <v>25</v>
      </c>
      <c r="H1126" s="35" t="s">
        <v>25</v>
      </c>
      <c r="I1126" s="55">
        <v>44652</v>
      </c>
      <c r="J1126" s="56">
        <f>EFEITO!$J$1126*EFEITO!$Y$1126</f>
        <v>0</v>
      </c>
      <c r="K1126" s="56">
        <f ca="1">EFEITO!$L$1126*EFEITO!$Z$1126</f>
        <v>-836.12263059173051</v>
      </c>
      <c r="L1126" s="56">
        <f>EFEITO!$N$1126*EFEITO!$AA$1126</f>
        <v>-669.23328891643826</v>
      </c>
      <c r="M1126" s="56">
        <f>$J$1126-EFEITO!$K$1126*EFEITO!$Y$1126</f>
        <v>0</v>
      </c>
      <c r="N1126" s="56">
        <f ca="1">$K$1126-EFEITO!$M$1126*EFEITO!$Z$1126</f>
        <v>0</v>
      </c>
      <c r="O1126" s="56">
        <f>$L$1126-EFEITO!$O$1126*EFEITO!$AA$1126</f>
        <v>0</v>
      </c>
      <c r="P1126" s="39"/>
      <c r="Q1126" s="39"/>
      <c r="R1126" s="39"/>
      <c r="S1126" s="39"/>
      <c r="T1126" s="39"/>
      <c r="U1126" s="39"/>
      <c r="V1126" s="39"/>
      <c r="W1126" s="39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</row>
    <row r="1127" spans="1:36" ht="11.25" customHeight="1" x14ac:dyDescent="0.2">
      <c r="A1127" s="35" t="s">
        <v>21</v>
      </c>
      <c r="B1127" s="35" t="s">
        <v>37</v>
      </c>
      <c r="C1127" s="35" t="s">
        <v>23</v>
      </c>
      <c r="D1127" s="35" t="s">
        <v>46</v>
      </c>
      <c r="E1127" s="35" t="s">
        <v>25</v>
      </c>
      <c r="F1127" s="35" t="s">
        <v>25</v>
      </c>
      <c r="G1127" s="35" t="s">
        <v>25</v>
      </c>
      <c r="H1127" s="35" t="s">
        <v>25</v>
      </c>
      <c r="I1127" s="55">
        <v>44682</v>
      </c>
      <c r="J1127" s="56">
        <f>EFEITO!$J$1127*EFEITO!$Y$1127</f>
        <v>0</v>
      </c>
      <c r="K1127" s="56">
        <f ca="1">EFEITO!$L$1127*EFEITO!$Z$1127</f>
        <v>121081.64752971206</v>
      </c>
      <c r="L1127" s="56">
        <f>EFEITO!$N$1127*EFEITO!$AA$1127</f>
        <v>96913.857177126338</v>
      </c>
      <c r="M1127" s="56">
        <f>$J$1127-EFEITO!$K$1127*EFEITO!$Y$1127</f>
        <v>0</v>
      </c>
      <c r="N1127" s="56">
        <f ca="1">$K$1127-EFEITO!$M$1127*EFEITO!$Z$1127</f>
        <v>0</v>
      </c>
      <c r="O1127" s="56">
        <f>$L$1127-EFEITO!$O$1127*EFEITO!$AA$1127</f>
        <v>0</v>
      </c>
      <c r="P1127" s="39"/>
      <c r="Q1127" s="39"/>
      <c r="R1127" s="39"/>
      <c r="S1127" s="39"/>
      <c r="T1127" s="39"/>
      <c r="U1127" s="39"/>
      <c r="V1127" s="39"/>
      <c r="W1127" s="39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</row>
    <row r="1128" spans="1:36" ht="11.25" customHeight="1" x14ac:dyDescent="0.2">
      <c r="A1128" s="35" t="s">
        <v>21</v>
      </c>
      <c r="B1128" s="35" t="s">
        <v>37</v>
      </c>
      <c r="C1128" s="35" t="s">
        <v>23</v>
      </c>
      <c r="D1128" s="35" t="s">
        <v>46</v>
      </c>
      <c r="E1128" s="35" t="s">
        <v>25</v>
      </c>
      <c r="F1128" s="35" t="s">
        <v>25</v>
      </c>
      <c r="G1128" s="35" t="s">
        <v>25</v>
      </c>
      <c r="H1128" s="35" t="s">
        <v>25</v>
      </c>
      <c r="I1128" s="55">
        <v>44713</v>
      </c>
      <c r="J1128" s="56">
        <f>EFEITO!$J$1128*EFEITO!$Y$1128</f>
        <v>0</v>
      </c>
      <c r="K1128" s="56">
        <f ca="1">EFEITO!$L$1128*EFEITO!$Z$1128</f>
        <v>121927.60227025901</v>
      </c>
      <c r="L1128" s="56">
        <f>EFEITO!$N$1128*EFEITO!$AA$1128</f>
        <v>97590.960095498536</v>
      </c>
      <c r="M1128" s="56">
        <f>$J$1128-EFEITO!$K$1128*EFEITO!$Y$1128</f>
        <v>0</v>
      </c>
      <c r="N1128" s="56">
        <f ca="1">$K$1128-EFEITO!$M$1128*EFEITO!$Z$1128</f>
        <v>0</v>
      </c>
      <c r="O1128" s="56">
        <f>$L$1128-EFEITO!$O$1128*EFEITO!$AA$1128</f>
        <v>0</v>
      </c>
      <c r="P1128" s="39"/>
      <c r="Q1128" s="39"/>
      <c r="R1128" s="39"/>
      <c r="S1128" s="39"/>
      <c r="T1128" s="39"/>
      <c r="U1128" s="39"/>
      <c r="V1128" s="39"/>
      <c r="W1128" s="39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</row>
    <row r="1129" spans="1:36" ht="11.25" customHeight="1" x14ac:dyDescent="0.2">
      <c r="A1129" s="35" t="s">
        <v>21</v>
      </c>
      <c r="B1129" s="35" t="s">
        <v>37</v>
      </c>
      <c r="C1129" s="35" t="s">
        <v>23</v>
      </c>
      <c r="D1129" s="35" t="s">
        <v>46</v>
      </c>
      <c r="E1129" s="35" t="s">
        <v>25</v>
      </c>
      <c r="F1129" s="35" t="s">
        <v>25</v>
      </c>
      <c r="G1129" s="35" t="s">
        <v>25</v>
      </c>
      <c r="H1129" s="35" t="s">
        <v>25</v>
      </c>
      <c r="I1129" s="55">
        <v>44743</v>
      </c>
      <c r="J1129" s="56">
        <f>EFEITO!$J$1129*EFEITO!$Y$1129</f>
        <v>0</v>
      </c>
      <c r="K1129" s="56">
        <f ca="1">EFEITO!$L$1129*EFEITO!$Z$1129</f>
        <v>186102.5705167627</v>
      </c>
      <c r="L1129" s="56">
        <f>EFEITO!$N$1129*EFEITO!$AA$1129</f>
        <v>148956.66112349366</v>
      </c>
      <c r="M1129" s="56">
        <f>$J$1129-EFEITO!$K$1129*EFEITO!$Y$1129</f>
        <v>0</v>
      </c>
      <c r="N1129" s="56">
        <f ca="1">$K$1129-EFEITO!$M$1129*EFEITO!$Z$1129</f>
        <v>0</v>
      </c>
      <c r="O1129" s="56">
        <f>$L$1129-EFEITO!$O$1129*EFEITO!$AA$1129</f>
        <v>0</v>
      </c>
      <c r="P1129" s="39"/>
      <c r="Q1129" s="39"/>
      <c r="R1129" s="39"/>
      <c r="S1129" s="39"/>
      <c r="T1129" s="39"/>
      <c r="U1129" s="39"/>
      <c r="V1129" s="39"/>
      <c r="W1129" s="39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</row>
    <row r="1130" spans="1:36" ht="11.25" customHeight="1" x14ac:dyDescent="0.2">
      <c r="A1130" s="35" t="s">
        <v>21</v>
      </c>
      <c r="B1130" s="35" t="s">
        <v>37</v>
      </c>
      <c r="C1130" s="35" t="s">
        <v>23</v>
      </c>
      <c r="D1130" s="35" t="s">
        <v>46</v>
      </c>
      <c r="E1130" s="35" t="s">
        <v>25</v>
      </c>
      <c r="F1130" s="35" t="s">
        <v>25</v>
      </c>
      <c r="G1130" s="35" t="s">
        <v>25</v>
      </c>
      <c r="H1130" s="35" t="s">
        <v>25</v>
      </c>
      <c r="I1130" s="55">
        <v>44774</v>
      </c>
      <c r="J1130" s="56">
        <f>EFEITO!$J$1130*EFEITO!$Y$1130</f>
        <v>0</v>
      </c>
      <c r="K1130" s="56">
        <f ca="1">EFEITO!$L$1130*EFEITO!$Z$1130</f>
        <v>116739.78777348784</v>
      </c>
      <c r="L1130" s="56">
        <f>EFEITO!$N$1130*EFEITO!$AA$1130</f>
        <v>93438.62880946997</v>
      </c>
      <c r="M1130" s="56">
        <f>$J$1130-EFEITO!$K$1130*EFEITO!$Y$1130</f>
        <v>0</v>
      </c>
      <c r="N1130" s="56">
        <f ca="1">$K$1130-EFEITO!$M$1130*EFEITO!$Z$1130</f>
        <v>0</v>
      </c>
      <c r="O1130" s="56">
        <f>$L$1130-EFEITO!$O$1130*EFEITO!$AA$1130</f>
        <v>0</v>
      </c>
      <c r="P1130" s="39"/>
      <c r="Q1130" s="39"/>
      <c r="R1130" s="39"/>
      <c r="S1130" s="39"/>
      <c r="T1130" s="39"/>
      <c r="U1130" s="39"/>
      <c r="V1130" s="39"/>
      <c r="W1130" s="39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</row>
    <row r="1131" spans="1:36" ht="11.25" customHeight="1" x14ac:dyDescent="0.2">
      <c r="A1131" s="35" t="s">
        <v>27</v>
      </c>
      <c r="B1131" s="35" t="s">
        <v>37</v>
      </c>
      <c r="C1131" s="35" t="s">
        <v>23</v>
      </c>
      <c r="D1131" s="35" t="s">
        <v>46</v>
      </c>
      <c r="E1131" s="35" t="s">
        <v>25</v>
      </c>
      <c r="F1131" s="35" t="s">
        <v>25</v>
      </c>
      <c r="G1131" s="35" t="s">
        <v>25</v>
      </c>
      <c r="H1131" s="35" t="s">
        <v>25</v>
      </c>
      <c r="I1131" s="55">
        <v>44774</v>
      </c>
      <c r="J1131" s="56">
        <f>EFEITO!$J$1131*EFEITO!$Y$1131</f>
        <v>0</v>
      </c>
      <c r="K1131" s="56">
        <f ca="1">EFEITO!$L$1131*EFEITO!$Z$1131</f>
        <v>681.56186209570512</v>
      </c>
      <c r="L1131" s="56">
        <f>EFEITO!$N$1131*EFEITO!$AA$1131</f>
        <v>545.52271387214853</v>
      </c>
      <c r="M1131" s="56">
        <f>$J$1131-EFEITO!$K$1131*EFEITO!$Y$1131</f>
        <v>0</v>
      </c>
      <c r="N1131" s="56">
        <f ca="1">$K$1131-EFEITO!$M$1131*EFEITO!$Z$1131</f>
        <v>0</v>
      </c>
      <c r="O1131" s="56">
        <f>$L$1131-EFEITO!$O$1131*EFEITO!$AA$1131</f>
        <v>0</v>
      </c>
      <c r="P1131" s="39"/>
      <c r="Q1131" s="39"/>
      <c r="R1131" s="39"/>
      <c r="S1131" s="39"/>
      <c r="T1131" s="39"/>
      <c r="U1131" s="39"/>
      <c r="V1131" s="39"/>
      <c r="W1131" s="39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</row>
    <row r="1132" spans="1:36" ht="11.25" customHeight="1" x14ac:dyDescent="0.2">
      <c r="A1132" s="35" t="s">
        <v>21</v>
      </c>
      <c r="B1132" s="35" t="s">
        <v>37</v>
      </c>
      <c r="C1132" s="35" t="s">
        <v>23</v>
      </c>
      <c r="D1132" s="35" t="s">
        <v>46</v>
      </c>
      <c r="E1132" s="35" t="s">
        <v>25</v>
      </c>
      <c r="F1132" s="35" t="s">
        <v>25</v>
      </c>
      <c r="G1132" s="35" t="s">
        <v>25</v>
      </c>
      <c r="H1132" s="35" t="s">
        <v>25</v>
      </c>
      <c r="I1132" s="55">
        <v>44805</v>
      </c>
      <c r="J1132" s="56">
        <f>EFEITO!$J$1132*EFEITO!$Y$1132</f>
        <v>0</v>
      </c>
      <c r="K1132" s="56">
        <f ca="1">EFEITO!$L$1132*EFEITO!$Z$1132</f>
        <v>136312.76570353922</v>
      </c>
      <c r="L1132" s="56">
        <f>EFEITO!$N$1132*EFEITO!$AA$1132</f>
        <v>109104.85755960792</v>
      </c>
      <c r="M1132" s="56">
        <f>$J$1132-EFEITO!$K$1132*EFEITO!$Y$1132</f>
        <v>0</v>
      </c>
      <c r="N1132" s="56">
        <f ca="1">$K$1132-EFEITO!$M$1132*EFEITO!$Z$1132</f>
        <v>0</v>
      </c>
      <c r="O1132" s="56">
        <f>$L$1132-EFEITO!$O$1132*EFEITO!$AA$1132</f>
        <v>0</v>
      </c>
      <c r="P1132" s="39"/>
      <c r="Q1132" s="39"/>
      <c r="R1132" s="39"/>
      <c r="S1132" s="39"/>
      <c r="T1132" s="39"/>
      <c r="U1132" s="39"/>
      <c r="V1132" s="39"/>
      <c r="W1132" s="39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</row>
    <row r="1133" spans="1:36" ht="11.25" customHeight="1" x14ac:dyDescent="0.2">
      <c r="A1133" s="35" t="s">
        <v>53</v>
      </c>
      <c r="B1133" s="35" t="s">
        <v>37</v>
      </c>
      <c r="C1133" s="35" t="s">
        <v>23</v>
      </c>
      <c r="D1133" s="35" t="s">
        <v>46</v>
      </c>
      <c r="E1133" s="35" t="s">
        <v>25</v>
      </c>
      <c r="F1133" s="35" t="s">
        <v>25</v>
      </c>
      <c r="G1133" s="35" t="s">
        <v>25</v>
      </c>
      <c r="H1133" s="35" t="s">
        <v>25</v>
      </c>
      <c r="I1133" s="55">
        <v>44835</v>
      </c>
      <c r="J1133" s="56">
        <f>EFEITO!$J$1133*EFEITO!$Y$1133</f>
        <v>0</v>
      </c>
      <c r="K1133" s="56">
        <f ca="1">EFEITO!$L$1133*EFEITO!$Z$1133</f>
        <v>136312.76570353922</v>
      </c>
      <c r="L1133" s="56">
        <f>EFEITO!$N$1133*EFEITO!$AA$1133</f>
        <v>109104.85755960792</v>
      </c>
      <c r="M1133" s="56">
        <f>$J$1133-EFEITO!$K$1133*EFEITO!$Y$1133</f>
        <v>0</v>
      </c>
      <c r="N1133" s="56">
        <f ca="1">$K$1133-EFEITO!$M$1133*EFEITO!$Z$1133</f>
        <v>0</v>
      </c>
      <c r="O1133" s="56">
        <f>$L$1133-EFEITO!$O$1133*EFEITO!$AA$1133</f>
        <v>0</v>
      </c>
      <c r="P1133" s="39"/>
      <c r="Q1133" s="39"/>
      <c r="R1133" s="39"/>
      <c r="S1133" s="39"/>
      <c r="T1133" s="39"/>
      <c r="U1133" s="39"/>
      <c r="V1133" s="39"/>
      <c r="W1133" s="39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</row>
    <row r="1134" spans="1:36" ht="11.25" customHeight="1" x14ac:dyDescent="0.2">
      <c r="A1134" s="35" t="s">
        <v>21</v>
      </c>
      <c r="B1134" s="35" t="s">
        <v>37</v>
      </c>
      <c r="C1134" s="35" t="s">
        <v>23</v>
      </c>
      <c r="D1134" s="35" t="s">
        <v>50</v>
      </c>
      <c r="E1134" s="35" t="s">
        <v>51</v>
      </c>
      <c r="F1134" s="35" t="s">
        <v>25</v>
      </c>
      <c r="G1134" s="35" t="s">
        <v>25</v>
      </c>
      <c r="H1134" s="35" t="s">
        <v>25</v>
      </c>
      <c r="I1134" s="55">
        <v>44501</v>
      </c>
      <c r="J1134" s="56">
        <f>EFEITO!$J$1134*EFEITO!$Y$1133</f>
        <v>0</v>
      </c>
      <c r="K1134" s="56">
        <f ca="1">EFEITO!$L$1134*EFEITO!$Z$1133</f>
        <v>45209.221427286546</v>
      </c>
      <c r="L1134" s="56">
        <f>EFEITO!$N$1134*EFEITO!$AA$1133</f>
        <v>36185.5005930439</v>
      </c>
      <c r="M1134" s="56">
        <f>$J$1134-EFEITO!$K$1134*EFEITO!$Y$1134</f>
        <v>0</v>
      </c>
      <c r="N1134" s="56">
        <f ca="1">$K$1134-EFEITO!$M$1134*EFEITO!$Z$1134</f>
        <v>1356.2766428186005</v>
      </c>
      <c r="O1134" s="56">
        <f>$L$1134-EFEITO!$O$1134*EFEITO!$AA$1134</f>
        <v>1085.5650177913194</v>
      </c>
      <c r="P1134" s="39"/>
      <c r="Q1134" s="39"/>
      <c r="R1134" s="39"/>
      <c r="S1134" s="39"/>
      <c r="T1134" s="39"/>
      <c r="U1134" s="39"/>
      <c r="V1134" s="39"/>
      <c r="W1134" s="39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</row>
    <row r="1135" spans="1:36" ht="11.25" customHeight="1" x14ac:dyDescent="0.2">
      <c r="A1135" s="35" t="s">
        <v>21</v>
      </c>
      <c r="B1135" s="35" t="s">
        <v>37</v>
      </c>
      <c r="C1135" s="35" t="s">
        <v>23</v>
      </c>
      <c r="D1135" s="35" t="s">
        <v>50</v>
      </c>
      <c r="E1135" s="35" t="s">
        <v>51</v>
      </c>
      <c r="F1135" s="35" t="s">
        <v>25</v>
      </c>
      <c r="G1135" s="35" t="s">
        <v>25</v>
      </c>
      <c r="H1135" s="35" t="s">
        <v>25</v>
      </c>
      <c r="I1135" s="55">
        <v>44531</v>
      </c>
      <c r="J1135" s="56">
        <f>EFEITO!$J$1135*EFEITO!$Y$1133</f>
        <v>0</v>
      </c>
      <c r="K1135" s="56">
        <f ca="1">EFEITO!$L$1135*EFEITO!$Z$1133</f>
        <v>48079.017681015546</v>
      </c>
      <c r="L1135" s="56">
        <f>EFEITO!$N$1135*EFEITO!$AA$1133</f>
        <v>38482.488038586351</v>
      </c>
      <c r="M1135" s="56">
        <f>$J$1135-EFEITO!$K$1135*EFEITO!$Y$1135</f>
        <v>0</v>
      </c>
      <c r="N1135" s="56">
        <f ca="1">$K$1135-EFEITO!$M$1135*EFEITO!$Z$1135</f>
        <v>1442.3705304304676</v>
      </c>
      <c r="O1135" s="56">
        <f>$L$1135-EFEITO!$O$1135*EFEITO!$AA$1135</f>
        <v>1154.4746411575907</v>
      </c>
      <c r="P1135" s="39"/>
      <c r="Q1135" s="39"/>
      <c r="R1135" s="39"/>
      <c r="S1135" s="39"/>
      <c r="T1135" s="39"/>
      <c r="U1135" s="39"/>
      <c r="V1135" s="39"/>
      <c r="W1135" s="39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</row>
    <row r="1136" spans="1:36" ht="11.25" customHeight="1" x14ac:dyDescent="0.2">
      <c r="A1136" s="35" t="s">
        <v>21</v>
      </c>
      <c r="B1136" s="35" t="s">
        <v>37</v>
      </c>
      <c r="C1136" s="35" t="s">
        <v>23</v>
      </c>
      <c r="D1136" s="35" t="s">
        <v>50</v>
      </c>
      <c r="E1136" s="35" t="s">
        <v>51</v>
      </c>
      <c r="F1136" s="35" t="s">
        <v>25</v>
      </c>
      <c r="G1136" s="35" t="s">
        <v>25</v>
      </c>
      <c r="H1136" s="35" t="s">
        <v>25</v>
      </c>
      <c r="I1136" s="55">
        <v>44562</v>
      </c>
      <c r="J1136" s="56">
        <f>EFEITO!$J$1136*EFEITO!$Y$1133</f>
        <v>0</v>
      </c>
      <c r="K1136" s="56">
        <f ca="1">EFEITO!$L$1136*EFEITO!$Z$1133</f>
        <v>54182.398256816618</v>
      </c>
      <c r="L1136" s="56">
        <f>EFEITO!$N$1136*EFEITO!$AA$1133</f>
        <v>43367.639219533768</v>
      </c>
      <c r="M1136" s="56">
        <f>$J$1136-EFEITO!$K$1136*EFEITO!$Y$1136</f>
        <v>0</v>
      </c>
      <c r="N1136" s="56">
        <f ca="1">$K$1136-EFEITO!$M$1136*EFEITO!$Z$1136</f>
        <v>1625.4719477045001</v>
      </c>
      <c r="O1136" s="56">
        <f>$L$1136-EFEITO!$O$1136*EFEITO!$AA$1136</f>
        <v>1301.0291765860165</v>
      </c>
      <c r="P1136" s="39"/>
      <c r="Q1136" s="39"/>
      <c r="R1136" s="39"/>
      <c r="S1136" s="39"/>
      <c r="T1136" s="39"/>
      <c r="U1136" s="39"/>
      <c r="V1136" s="39"/>
      <c r="W1136" s="39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</row>
    <row r="1137" spans="1:36" ht="11.25" customHeight="1" x14ac:dyDescent="0.2">
      <c r="A1137" s="35" t="s">
        <v>21</v>
      </c>
      <c r="B1137" s="35" t="s">
        <v>37</v>
      </c>
      <c r="C1137" s="35" t="s">
        <v>23</v>
      </c>
      <c r="D1137" s="35" t="s">
        <v>50</v>
      </c>
      <c r="E1137" s="35" t="s">
        <v>51</v>
      </c>
      <c r="F1137" s="35" t="s">
        <v>25</v>
      </c>
      <c r="G1137" s="35" t="s">
        <v>25</v>
      </c>
      <c r="H1137" s="35" t="s">
        <v>25</v>
      </c>
      <c r="I1137" s="55">
        <v>44593</v>
      </c>
      <c r="J1137" s="56">
        <f>EFEITO!$J$1137*EFEITO!$Y$1133</f>
        <v>0</v>
      </c>
      <c r="K1137" s="56">
        <f ca="1">EFEITO!$L$1137*EFEITO!$Z$1133</f>
        <v>49458.26606553352</v>
      </c>
      <c r="L1137" s="56">
        <f>EFEITO!$N$1137*EFEITO!$AA$1133</f>
        <v>39586.439658638068</v>
      </c>
      <c r="M1137" s="56">
        <f>$J$1137-EFEITO!$K$1137*EFEITO!$Y$1137</f>
        <v>0</v>
      </c>
      <c r="N1137" s="56">
        <f ca="1">$K$1137-EFEITO!$M$1137*EFEITO!$Z$1137</f>
        <v>1483.7479819660075</v>
      </c>
      <c r="O1137" s="56">
        <f>$L$1137-EFEITO!$O$1137*EFEITO!$AA$1137</f>
        <v>1187.5931897591436</v>
      </c>
      <c r="P1137" s="39"/>
      <c r="Q1137" s="39"/>
      <c r="R1137" s="39"/>
      <c r="S1137" s="39"/>
      <c r="T1137" s="39"/>
      <c r="U1137" s="39"/>
      <c r="V1137" s="39"/>
      <c r="W1137" s="39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</row>
    <row r="1138" spans="1:36" ht="11.25" customHeight="1" x14ac:dyDescent="0.2">
      <c r="A1138" s="35" t="s">
        <v>21</v>
      </c>
      <c r="B1138" s="35" t="s">
        <v>37</v>
      </c>
      <c r="C1138" s="35" t="s">
        <v>23</v>
      </c>
      <c r="D1138" s="35" t="s">
        <v>50</v>
      </c>
      <c r="E1138" s="35" t="s">
        <v>51</v>
      </c>
      <c r="F1138" s="35" t="s">
        <v>25</v>
      </c>
      <c r="G1138" s="35" t="s">
        <v>25</v>
      </c>
      <c r="H1138" s="35" t="s">
        <v>25</v>
      </c>
      <c r="I1138" s="55">
        <v>44621</v>
      </c>
      <c r="J1138" s="56">
        <f>EFEITO!$J$1138*EFEITO!$Y$1133</f>
        <v>0</v>
      </c>
      <c r="K1138" s="56">
        <f ca="1">EFEITO!$L$1138*EFEITO!$Z$1133</f>
        <v>50478.445794486928</v>
      </c>
      <c r="L1138" s="56">
        <f>EFEITO!$N$1138*EFEITO!$AA$1133</f>
        <v>40402.992410966028</v>
      </c>
      <c r="M1138" s="56">
        <f>$J$1138-EFEITO!$K$1138*EFEITO!$Y$1138</f>
        <v>0</v>
      </c>
      <c r="N1138" s="56">
        <f ca="1">$K$1138-EFEITO!$M$1138*EFEITO!$Z$1138</f>
        <v>1514.3533738346159</v>
      </c>
      <c r="O1138" s="56">
        <f>$L$1138-EFEITO!$O$1138*EFEITO!$AA$1138</f>
        <v>1212.0897723289818</v>
      </c>
      <c r="P1138" s="39"/>
      <c r="Q1138" s="39"/>
      <c r="R1138" s="39"/>
      <c r="S1138" s="39"/>
      <c r="T1138" s="39"/>
      <c r="U1138" s="39"/>
      <c r="V1138" s="39"/>
      <c r="W1138" s="39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</row>
    <row r="1139" spans="1:36" ht="11.25" customHeight="1" x14ac:dyDescent="0.2">
      <c r="A1139" s="35" t="s">
        <v>21</v>
      </c>
      <c r="B1139" s="35" t="s">
        <v>37</v>
      </c>
      <c r="C1139" s="35" t="s">
        <v>23</v>
      </c>
      <c r="D1139" s="35" t="s">
        <v>50</v>
      </c>
      <c r="E1139" s="35" t="s">
        <v>51</v>
      </c>
      <c r="F1139" s="35" t="s">
        <v>25</v>
      </c>
      <c r="G1139" s="35" t="s">
        <v>25</v>
      </c>
      <c r="H1139" s="35" t="s">
        <v>25</v>
      </c>
      <c r="I1139" s="55">
        <v>44652</v>
      </c>
      <c r="J1139" s="56">
        <f>EFEITO!$J$1139*EFEITO!$Y$1133</f>
        <v>0</v>
      </c>
      <c r="K1139" s="56">
        <f ca="1">EFEITO!$L$1139*EFEITO!$Z$1133</f>
        <v>42983.231733425215</v>
      </c>
      <c r="L1139" s="56">
        <f>EFEITO!$N$1139*EFEITO!$AA$1133</f>
        <v>34403.816484263545</v>
      </c>
      <c r="M1139" s="56">
        <f>$J$1139-EFEITO!$K$1139*EFEITO!$Y$1139</f>
        <v>0</v>
      </c>
      <c r="N1139" s="56">
        <f ca="1">$K$1139-EFEITO!$M$1139*EFEITO!$Z$1139</f>
        <v>1289.4969520027589</v>
      </c>
      <c r="O1139" s="56">
        <f>$L$1139-EFEITO!$O$1139*EFEITO!$AA$1139</f>
        <v>1032.1144945279084</v>
      </c>
      <c r="P1139" s="39"/>
      <c r="Q1139" s="39"/>
      <c r="R1139" s="39"/>
      <c r="S1139" s="39"/>
      <c r="T1139" s="39"/>
      <c r="U1139" s="39"/>
      <c r="V1139" s="39"/>
      <c r="W1139" s="39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</row>
    <row r="1140" spans="1:36" ht="11.25" customHeight="1" x14ac:dyDescent="0.2">
      <c r="A1140" s="35" t="s">
        <v>21</v>
      </c>
      <c r="B1140" s="35" t="s">
        <v>37</v>
      </c>
      <c r="C1140" s="35" t="s">
        <v>23</v>
      </c>
      <c r="D1140" s="35" t="s">
        <v>50</v>
      </c>
      <c r="E1140" s="35" t="s">
        <v>51</v>
      </c>
      <c r="F1140" s="35" t="s">
        <v>25</v>
      </c>
      <c r="G1140" s="35" t="s">
        <v>25</v>
      </c>
      <c r="H1140" s="35" t="s">
        <v>25</v>
      </c>
      <c r="I1140" s="55">
        <v>44682</v>
      </c>
      <c r="J1140" s="56">
        <f>EFEITO!$J$1140*EFEITO!$Y$1133</f>
        <v>0</v>
      </c>
      <c r="K1140" s="56">
        <f ca="1">EFEITO!$L$1140*EFEITO!$Z$1133</f>
        <v>41471.839791109116</v>
      </c>
      <c r="L1140" s="56">
        <f>EFEITO!$N$1140*EFEITO!$AA$1133</f>
        <v>33194.097044326634</v>
      </c>
      <c r="M1140" s="56">
        <f>$J$1140-EFEITO!$K$1140*EFEITO!$Y$1140</f>
        <v>0</v>
      </c>
      <c r="N1140" s="56">
        <f ca="1">$K$1140-EFEITO!$M$1140*EFEITO!$Z$1140</f>
        <v>1244.155193733277</v>
      </c>
      <c r="O1140" s="56">
        <f>$L$1140-EFEITO!$O$1140*EFEITO!$AA$1140</f>
        <v>995.82291132980026</v>
      </c>
      <c r="P1140" s="39"/>
      <c r="Q1140" s="39"/>
      <c r="R1140" s="39"/>
      <c r="S1140" s="39"/>
      <c r="T1140" s="39"/>
      <c r="U1140" s="39"/>
      <c r="V1140" s="39"/>
      <c r="W1140" s="39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</row>
    <row r="1141" spans="1:36" ht="11.25" customHeight="1" x14ac:dyDescent="0.2">
      <c r="A1141" s="35" t="s">
        <v>21</v>
      </c>
      <c r="B1141" s="35" t="s">
        <v>37</v>
      </c>
      <c r="C1141" s="35" t="s">
        <v>23</v>
      </c>
      <c r="D1141" s="35" t="s">
        <v>50</v>
      </c>
      <c r="E1141" s="35" t="s">
        <v>51</v>
      </c>
      <c r="F1141" s="35" t="s">
        <v>25</v>
      </c>
      <c r="G1141" s="35" t="s">
        <v>25</v>
      </c>
      <c r="H1141" s="35" t="s">
        <v>25</v>
      </c>
      <c r="I1141" s="55">
        <v>44713</v>
      </c>
      <c r="J1141" s="56">
        <f>EFEITO!$J$1141*EFEITO!$Y$1133</f>
        <v>0</v>
      </c>
      <c r="K1141" s="56">
        <f ca="1">EFEITO!$L$1141*EFEITO!$Z$1133</f>
        <v>44426.97875924941</v>
      </c>
      <c r="L1141" s="56">
        <f>EFEITO!$N$1141*EFEITO!$AA$1133</f>
        <v>35559.392873544937</v>
      </c>
      <c r="M1141" s="56">
        <f>$J$1141-EFEITO!$K$1141*EFEITO!$Y$1141</f>
        <v>0</v>
      </c>
      <c r="N1141" s="56">
        <f ca="1">$K$1141-EFEITO!$M$1141*EFEITO!$Z$1141</f>
        <v>1332.809362777487</v>
      </c>
      <c r="O1141" s="56">
        <f>$L$1141-EFEITO!$O$1141*EFEITO!$AA$1141</f>
        <v>1066.7817862063457</v>
      </c>
      <c r="P1141" s="39"/>
      <c r="Q1141" s="39"/>
      <c r="R1141" s="39"/>
      <c r="S1141" s="39"/>
      <c r="T1141" s="39"/>
      <c r="U1141" s="39"/>
      <c r="V1141" s="39"/>
      <c r="W1141" s="39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</row>
    <row r="1142" spans="1:36" ht="11.25" customHeight="1" x14ac:dyDescent="0.2">
      <c r="A1142" s="35" t="s">
        <v>21</v>
      </c>
      <c r="B1142" s="35" t="s">
        <v>37</v>
      </c>
      <c r="C1142" s="35" t="s">
        <v>23</v>
      </c>
      <c r="D1142" s="35" t="s">
        <v>50</v>
      </c>
      <c r="E1142" s="35" t="s">
        <v>51</v>
      </c>
      <c r="F1142" s="35" t="s">
        <v>25</v>
      </c>
      <c r="G1142" s="35" t="s">
        <v>25</v>
      </c>
      <c r="H1142" s="35" t="s">
        <v>25</v>
      </c>
      <c r="I1142" s="55">
        <v>44743</v>
      </c>
      <c r="J1142" s="56">
        <f>EFEITO!$J$1142*EFEITO!$Y$1133</f>
        <v>0</v>
      </c>
      <c r="K1142" s="56">
        <f ca="1">EFEITO!$L$1142*EFEITO!$Z$1133</f>
        <v>51426.261194169929</v>
      </c>
      <c r="L1142" s="56">
        <f>EFEITO!$N$1142*EFEITO!$AA$1133</f>
        <v>41161.62469049971</v>
      </c>
      <c r="M1142" s="56">
        <f>$J$1142-EFEITO!$K$1142*EFEITO!$Y$1142</f>
        <v>0</v>
      </c>
      <c r="N1142" s="56">
        <f ca="1">$K$1142-EFEITO!$M$1142*EFEITO!$Z$1142</f>
        <v>1542.7878358250964</v>
      </c>
      <c r="O1142" s="56">
        <f>$L$1142-EFEITO!$O$1142*EFEITO!$AA$1142</f>
        <v>1234.8487407149878</v>
      </c>
      <c r="P1142" s="39"/>
      <c r="Q1142" s="39"/>
      <c r="R1142" s="39"/>
      <c r="S1142" s="39"/>
      <c r="T1142" s="39"/>
      <c r="U1142" s="39"/>
      <c r="V1142" s="39"/>
      <c r="W1142" s="39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</row>
    <row r="1143" spans="1:36" ht="11.25" customHeight="1" x14ac:dyDescent="0.2">
      <c r="A1143" s="35" t="s">
        <v>21</v>
      </c>
      <c r="B1143" s="35" t="s">
        <v>37</v>
      </c>
      <c r="C1143" s="35" t="s">
        <v>23</v>
      </c>
      <c r="D1143" s="35" t="s">
        <v>50</v>
      </c>
      <c r="E1143" s="35" t="s">
        <v>51</v>
      </c>
      <c r="F1143" s="35" t="s">
        <v>25</v>
      </c>
      <c r="G1143" s="35" t="s">
        <v>25</v>
      </c>
      <c r="H1143" s="35" t="s">
        <v>25</v>
      </c>
      <c r="I1143" s="55">
        <v>44774</v>
      </c>
      <c r="J1143" s="56">
        <f>EFEITO!$J$1143*EFEITO!$Y$1133</f>
        <v>0</v>
      </c>
      <c r="K1143" s="56">
        <f ca="1">EFEITO!$L$1143*EFEITO!$Z$1133</f>
        <v>44395.909291790922</v>
      </c>
      <c r="L1143" s="56">
        <f>EFEITO!$N$1143*EFEITO!$AA$1133</f>
        <v>35534.524844464788</v>
      </c>
      <c r="M1143" s="56">
        <f>$J$1143-EFEITO!$K$1143*EFEITO!$Y$1143</f>
        <v>0</v>
      </c>
      <c r="N1143" s="56">
        <f ca="1">$K$1143-EFEITO!$M$1143*EFEITO!$Z$1143</f>
        <v>1331.8772787537309</v>
      </c>
      <c r="O1143" s="56">
        <f>$L$1143-EFEITO!$O$1143*EFEITO!$AA$1143</f>
        <v>1066.0357453339457</v>
      </c>
      <c r="P1143" s="39"/>
      <c r="Q1143" s="39"/>
      <c r="R1143" s="39"/>
      <c r="S1143" s="39"/>
      <c r="T1143" s="39"/>
      <c r="U1143" s="39"/>
      <c r="V1143" s="39"/>
      <c r="W1143" s="39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</row>
    <row r="1144" spans="1:36" ht="11.25" customHeight="1" x14ac:dyDescent="0.2">
      <c r="A1144" s="35" t="s">
        <v>21</v>
      </c>
      <c r="B1144" s="35" t="s">
        <v>37</v>
      </c>
      <c r="C1144" s="35" t="s">
        <v>23</v>
      </c>
      <c r="D1144" s="35" t="s">
        <v>50</v>
      </c>
      <c r="E1144" s="35" t="s">
        <v>51</v>
      </c>
      <c r="F1144" s="35" t="s">
        <v>25</v>
      </c>
      <c r="G1144" s="35" t="s">
        <v>25</v>
      </c>
      <c r="H1144" s="35" t="s">
        <v>25</v>
      </c>
      <c r="I1144" s="55">
        <v>44805</v>
      </c>
      <c r="J1144" s="56">
        <f>EFEITO!$J$1144*EFEITO!$Y$1133</f>
        <v>0</v>
      </c>
      <c r="K1144" s="56">
        <f ca="1">EFEITO!$L$1144*EFEITO!$Z$1133</f>
        <v>50847.739844404903</v>
      </c>
      <c r="L1144" s="56">
        <f>EFEITO!$N$1144*EFEITO!$AA$1133</f>
        <v>40698.575693323757</v>
      </c>
      <c r="M1144" s="56">
        <f>$J$1144-EFEITO!$K$1144*EFEITO!$Y$1144</f>
        <v>0</v>
      </c>
      <c r="N1144" s="56">
        <f ca="1">$K$1144-EFEITO!$M$1144*EFEITO!$Z$1144</f>
        <v>1525.4321953321487</v>
      </c>
      <c r="O1144" s="56">
        <f>$L$1144-EFEITO!$O$1144*EFEITO!$AA$1144</f>
        <v>1220.957270799714</v>
      </c>
      <c r="P1144" s="39"/>
      <c r="Q1144" s="39"/>
      <c r="R1144" s="39"/>
      <c r="S1144" s="39"/>
      <c r="T1144" s="39"/>
      <c r="U1144" s="39"/>
      <c r="V1144" s="39"/>
      <c r="W1144" s="39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</row>
    <row r="1145" spans="1:36" ht="11.25" customHeight="1" x14ac:dyDescent="0.2">
      <c r="A1145" s="35" t="s">
        <v>53</v>
      </c>
      <c r="B1145" s="35" t="s">
        <v>37</v>
      </c>
      <c r="C1145" s="35" t="s">
        <v>23</v>
      </c>
      <c r="D1145" s="35" t="s">
        <v>50</v>
      </c>
      <c r="E1145" s="35" t="s">
        <v>51</v>
      </c>
      <c r="F1145" s="35" t="s">
        <v>25</v>
      </c>
      <c r="G1145" s="35" t="s">
        <v>25</v>
      </c>
      <c r="H1145" s="35" t="s">
        <v>25</v>
      </c>
      <c r="I1145" s="55">
        <v>44835</v>
      </c>
      <c r="J1145" s="56">
        <f>EFEITO!$J$1145*EFEITO!$Y$1133</f>
        <v>0</v>
      </c>
      <c r="K1145" s="56">
        <f ca="1">EFEITO!$L$1145*EFEITO!$Z$1133</f>
        <v>50847.739844404903</v>
      </c>
      <c r="L1145" s="56">
        <f>EFEITO!$N$1145*EFEITO!$AA$1133</f>
        <v>40698.575693323757</v>
      </c>
      <c r="M1145" s="56">
        <f>$J$1145-EFEITO!$K$1145*EFEITO!$Y$1145</f>
        <v>0</v>
      </c>
      <c r="N1145" s="56">
        <f ca="1">$K$1145-EFEITO!$M$1145*EFEITO!$Z$1145</f>
        <v>1525.4321953321487</v>
      </c>
      <c r="O1145" s="56">
        <f>$L$1145-EFEITO!$O$1145*EFEITO!$AA$1145</f>
        <v>1220.957270799714</v>
      </c>
      <c r="P1145" s="39"/>
      <c r="Q1145" s="39"/>
      <c r="R1145" s="39"/>
      <c r="S1145" s="39"/>
      <c r="T1145" s="39"/>
      <c r="U1145" s="39"/>
      <c r="V1145" s="39"/>
      <c r="W1145" s="39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</row>
    <row r="1146" spans="1:36" ht="11.25" customHeight="1" x14ac:dyDescent="0.2">
      <c r="A1146" s="35" t="s">
        <v>21</v>
      </c>
      <c r="B1146" s="35" t="s">
        <v>47</v>
      </c>
      <c r="C1146" s="35" t="s">
        <v>23</v>
      </c>
      <c r="D1146" s="35" t="s">
        <v>48</v>
      </c>
      <c r="E1146" s="35" t="s">
        <v>49</v>
      </c>
      <c r="F1146" s="35" t="s">
        <v>25</v>
      </c>
      <c r="G1146" s="35" t="s">
        <v>25</v>
      </c>
      <c r="H1146" s="35" t="s">
        <v>25</v>
      </c>
      <c r="I1146" s="55">
        <v>44501</v>
      </c>
      <c r="J1146" s="56">
        <f>EFEITO!$J$1146*EFEITO!$Y$1146</f>
        <v>0</v>
      </c>
      <c r="K1146" s="56">
        <f ca="1">EFEITO!$L$1146*EFEITO!$Z$1146</f>
        <v>358166.00887800916</v>
      </c>
      <c r="L1146" s="56">
        <f>EFEITO!$N$1146*EFEITO!$AA$1146</f>
        <v>286676.38852194336</v>
      </c>
      <c r="M1146" s="56">
        <f>$J$1146-EFEITO!$K$1146*EFEITO!$Y$1146</f>
        <v>0</v>
      </c>
      <c r="N1146" s="56">
        <f ca="1">$K$1146-EFEITO!$M$1146*EFEITO!$Z$1146</f>
        <v>0</v>
      </c>
      <c r="O1146" s="56">
        <f>$L$1146-EFEITO!$O$1146*EFEITO!$AA$1146</f>
        <v>0</v>
      </c>
      <c r="P1146" s="39"/>
      <c r="Q1146" s="39"/>
      <c r="R1146" s="39"/>
      <c r="S1146" s="39"/>
      <c r="T1146" s="39"/>
      <c r="U1146" s="39"/>
      <c r="V1146" s="39"/>
      <c r="W1146" s="39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</row>
    <row r="1147" spans="1:36" ht="11.25" customHeight="1" x14ac:dyDescent="0.2">
      <c r="A1147" s="35" t="s">
        <v>21</v>
      </c>
      <c r="B1147" s="35" t="s">
        <v>47</v>
      </c>
      <c r="C1147" s="35" t="s">
        <v>23</v>
      </c>
      <c r="D1147" s="35" t="s">
        <v>48</v>
      </c>
      <c r="E1147" s="35" t="s">
        <v>49</v>
      </c>
      <c r="F1147" s="35" t="s">
        <v>25</v>
      </c>
      <c r="G1147" s="35" t="s">
        <v>25</v>
      </c>
      <c r="H1147" s="35" t="s">
        <v>25</v>
      </c>
      <c r="I1147" s="55">
        <v>44531</v>
      </c>
      <c r="J1147" s="56">
        <f>EFEITO!$J$1147*EFEITO!$Y$1147</f>
        <v>0</v>
      </c>
      <c r="K1147" s="56">
        <f ca="1">EFEITO!$L$1147*EFEITO!$Z$1147</f>
        <v>328919.00165659987</v>
      </c>
      <c r="L1147" s="56">
        <f>EFEITO!$N$1147*EFEITO!$AA$1147</f>
        <v>263267.05821845122</v>
      </c>
      <c r="M1147" s="56">
        <f>$J$1147-EFEITO!$K$1147*EFEITO!$Y$1147</f>
        <v>0</v>
      </c>
      <c r="N1147" s="56">
        <f ca="1">$K$1147-EFEITO!$M$1147*EFEITO!$Z$1147</f>
        <v>0</v>
      </c>
      <c r="O1147" s="56">
        <f>$L$1147-EFEITO!$O$1147*EFEITO!$AA$1147</f>
        <v>0</v>
      </c>
      <c r="P1147" s="39"/>
      <c r="Q1147" s="39"/>
      <c r="R1147" s="39"/>
      <c r="S1147" s="39"/>
      <c r="T1147" s="39"/>
      <c r="U1147" s="39"/>
      <c r="V1147" s="39"/>
      <c r="W1147" s="39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</row>
    <row r="1148" spans="1:36" ht="11.25" customHeight="1" x14ac:dyDescent="0.2">
      <c r="A1148" s="35" t="s">
        <v>21</v>
      </c>
      <c r="B1148" s="35" t="s">
        <v>47</v>
      </c>
      <c r="C1148" s="35" t="s">
        <v>23</v>
      </c>
      <c r="D1148" s="35" t="s">
        <v>48</v>
      </c>
      <c r="E1148" s="35" t="s">
        <v>49</v>
      </c>
      <c r="F1148" s="35" t="s">
        <v>25</v>
      </c>
      <c r="G1148" s="35" t="s">
        <v>25</v>
      </c>
      <c r="H1148" s="35" t="s">
        <v>25</v>
      </c>
      <c r="I1148" s="55">
        <v>44562</v>
      </c>
      <c r="J1148" s="56">
        <f>EFEITO!$J$1148*EFEITO!$Y$1148</f>
        <v>0</v>
      </c>
      <c r="K1148" s="56">
        <f ca="1">EFEITO!$L$1148*EFEITO!$Z$1148</f>
        <v>342050.53174214996</v>
      </c>
      <c r="L1148" s="56">
        <f>EFEITO!$N$1148*EFEITO!$AA$1148</f>
        <v>273777.54644843546</v>
      </c>
      <c r="M1148" s="56">
        <f>$J$1148-EFEITO!$K$1148*EFEITO!$Y$1148</f>
        <v>0</v>
      </c>
      <c r="N1148" s="56">
        <f ca="1">$K$1148-EFEITO!$M$1148*EFEITO!$Z$1148</f>
        <v>0</v>
      </c>
      <c r="O1148" s="56">
        <f>$L$1148-EFEITO!$O$1148*EFEITO!$AA$1148</f>
        <v>0</v>
      </c>
      <c r="P1148" s="39"/>
      <c r="Q1148" s="39"/>
      <c r="R1148" s="39"/>
      <c r="S1148" s="39"/>
      <c r="T1148" s="39"/>
      <c r="U1148" s="39"/>
      <c r="V1148" s="39"/>
      <c r="W1148" s="39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</row>
    <row r="1149" spans="1:36" ht="11.25" customHeight="1" x14ac:dyDescent="0.2">
      <c r="A1149" s="35" t="s">
        <v>21</v>
      </c>
      <c r="B1149" s="35" t="s">
        <v>47</v>
      </c>
      <c r="C1149" s="35" t="s">
        <v>23</v>
      </c>
      <c r="D1149" s="35" t="s">
        <v>48</v>
      </c>
      <c r="E1149" s="35" t="s">
        <v>49</v>
      </c>
      <c r="F1149" s="35" t="s">
        <v>25</v>
      </c>
      <c r="G1149" s="35" t="s">
        <v>25</v>
      </c>
      <c r="H1149" s="35" t="s">
        <v>25</v>
      </c>
      <c r="I1149" s="55">
        <v>44593</v>
      </c>
      <c r="J1149" s="56">
        <f>EFEITO!$J$1149*EFEITO!$Y$1149</f>
        <v>0</v>
      </c>
      <c r="K1149" s="56">
        <f ca="1">EFEITO!$L$1149*EFEITO!$Z$1149</f>
        <v>331631.91676388338</v>
      </c>
      <c r="L1149" s="56">
        <f>EFEITO!$N$1149*EFEITO!$AA$1149</f>
        <v>265438.4778563978</v>
      </c>
      <c r="M1149" s="56">
        <f>$J$1149-EFEITO!$K$1149*EFEITO!$Y$1149</f>
        <v>0</v>
      </c>
      <c r="N1149" s="56">
        <f ca="1">$K$1149-EFEITO!$M$1149*EFEITO!$Z$1149</f>
        <v>0</v>
      </c>
      <c r="O1149" s="56">
        <f>$L$1149-EFEITO!$O$1149*EFEITO!$AA$1149</f>
        <v>0</v>
      </c>
      <c r="P1149" s="39"/>
      <c r="Q1149" s="39"/>
      <c r="R1149" s="39"/>
      <c r="S1149" s="39"/>
      <c r="T1149" s="39"/>
      <c r="U1149" s="39"/>
      <c r="V1149" s="39"/>
      <c r="W1149" s="39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</row>
    <row r="1150" spans="1:36" ht="11.25" customHeight="1" x14ac:dyDescent="0.2">
      <c r="A1150" s="35" t="s">
        <v>21</v>
      </c>
      <c r="B1150" s="35" t="s">
        <v>47</v>
      </c>
      <c r="C1150" s="35" t="s">
        <v>23</v>
      </c>
      <c r="D1150" s="35" t="s">
        <v>48</v>
      </c>
      <c r="E1150" s="35" t="s">
        <v>49</v>
      </c>
      <c r="F1150" s="35" t="s">
        <v>25</v>
      </c>
      <c r="G1150" s="35" t="s">
        <v>25</v>
      </c>
      <c r="H1150" s="35" t="s">
        <v>25</v>
      </c>
      <c r="I1150" s="55">
        <v>44621</v>
      </c>
      <c r="J1150" s="56">
        <f>EFEITO!$J$1150*EFEITO!$Y$1150</f>
        <v>0</v>
      </c>
      <c r="K1150" s="56">
        <f ca="1">EFEITO!$L$1150*EFEITO!$Z$1150</f>
        <v>310255.00229190831</v>
      </c>
      <c r="L1150" s="56">
        <f>EFEITO!$N$1150*EFEITO!$AA$1150</f>
        <v>248328.37671149673</v>
      </c>
      <c r="M1150" s="56">
        <f>$J$1150-EFEITO!$K$1150*EFEITO!$Y$1150</f>
        <v>0</v>
      </c>
      <c r="N1150" s="56">
        <f ca="1">$K$1150-EFEITO!$M$1150*EFEITO!$Z$1150</f>
        <v>0</v>
      </c>
      <c r="O1150" s="56">
        <f>$L$1150-EFEITO!$O$1150*EFEITO!$AA$1150</f>
        <v>0</v>
      </c>
      <c r="P1150" s="39"/>
      <c r="Q1150" s="39"/>
      <c r="R1150" s="39"/>
      <c r="S1150" s="39"/>
      <c r="T1150" s="39"/>
      <c r="U1150" s="39"/>
      <c r="V1150" s="39"/>
      <c r="W1150" s="39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</row>
    <row r="1151" spans="1:36" ht="11.25" customHeight="1" x14ac:dyDescent="0.2">
      <c r="A1151" s="35" t="s">
        <v>21</v>
      </c>
      <c r="B1151" s="35" t="s">
        <v>47</v>
      </c>
      <c r="C1151" s="35" t="s">
        <v>23</v>
      </c>
      <c r="D1151" s="35" t="s">
        <v>48</v>
      </c>
      <c r="E1151" s="35" t="s">
        <v>49</v>
      </c>
      <c r="F1151" s="35" t="s">
        <v>25</v>
      </c>
      <c r="G1151" s="35" t="s">
        <v>25</v>
      </c>
      <c r="H1151" s="35" t="s">
        <v>25</v>
      </c>
      <c r="I1151" s="55">
        <v>44652</v>
      </c>
      <c r="J1151" s="56">
        <f>EFEITO!$J$1151*EFEITO!$Y$1151</f>
        <v>0</v>
      </c>
      <c r="K1151" s="56">
        <f ca="1">EFEITO!$L$1151*EFEITO!$Z$1151</f>
        <v>354660.97966429341</v>
      </c>
      <c r="L1151" s="56">
        <f>EFEITO!$N$1151*EFEITO!$AA$1151</f>
        <v>283870.9600565242</v>
      </c>
      <c r="M1151" s="56">
        <f>$J$1151-EFEITO!$K$1151*EFEITO!$Y$1151</f>
        <v>0</v>
      </c>
      <c r="N1151" s="56">
        <f ca="1">$K$1151-EFEITO!$M$1151*EFEITO!$Z$1151</f>
        <v>0</v>
      </c>
      <c r="O1151" s="56">
        <f>$L$1151-EFEITO!$O$1151*EFEITO!$AA$1151</f>
        <v>0</v>
      </c>
      <c r="P1151" s="39"/>
      <c r="Q1151" s="39"/>
      <c r="R1151" s="39"/>
      <c r="S1151" s="39"/>
      <c r="T1151" s="39"/>
      <c r="U1151" s="39"/>
      <c r="V1151" s="39"/>
      <c r="W1151" s="39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</row>
    <row r="1152" spans="1:36" ht="11.25" customHeight="1" x14ac:dyDescent="0.2">
      <c r="A1152" s="35" t="s">
        <v>21</v>
      </c>
      <c r="B1152" s="35" t="s">
        <v>47</v>
      </c>
      <c r="C1152" s="35" t="s">
        <v>23</v>
      </c>
      <c r="D1152" s="35" t="s">
        <v>48</v>
      </c>
      <c r="E1152" s="35" t="s">
        <v>49</v>
      </c>
      <c r="F1152" s="35" t="s">
        <v>25</v>
      </c>
      <c r="G1152" s="35" t="s">
        <v>25</v>
      </c>
      <c r="H1152" s="35" t="s">
        <v>25</v>
      </c>
      <c r="I1152" s="55">
        <v>44682</v>
      </c>
      <c r="J1152" s="56">
        <f>EFEITO!$J$1152*EFEITO!$Y$1152</f>
        <v>0</v>
      </c>
      <c r="K1152" s="56">
        <f ca="1">EFEITO!$L$1152*EFEITO!$Z$1152</f>
        <v>358890.63538170868</v>
      </c>
      <c r="L1152" s="56">
        <f>EFEITO!$N$1152*EFEITO!$AA$1152</f>
        <v>287256.38021283166</v>
      </c>
      <c r="M1152" s="56">
        <f>$J$1152-EFEITO!$K$1152*EFEITO!$Y$1152</f>
        <v>0</v>
      </c>
      <c r="N1152" s="56">
        <f ca="1">$K$1152-EFEITO!$M$1152*EFEITO!$Z$1152</f>
        <v>0</v>
      </c>
      <c r="O1152" s="56">
        <f>$L$1152-EFEITO!$O$1152*EFEITO!$AA$1152</f>
        <v>0</v>
      </c>
      <c r="P1152" s="39"/>
      <c r="Q1152" s="39"/>
      <c r="R1152" s="39"/>
      <c r="S1152" s="39"/>
      <c r="T1152" s="39"/>
      <c r="U1152" s="39"/>
      <c r="V1152" s="39"/>
      <c r="W1152" s="39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</row>
    <row r="1153" spans="1:36" ht="11.25" customHeight="1" x14ac:dyDescent="0.2">
      <c r="A1153" s="35" t="s">
        <v>21</v>
      </c>
      <c r="B1153" s="35" t="s">
        <v>47</v>
      </c>
      <c r="C1153" s="35" t="s">
        <v>23</v>
      </c>
      <c r="D1153" s="35" t="s">
        <v>48</v>
      </c>
      <c r="E1153" s="35" t="s">
        <v>49</v>
      </c>
      <c r="F1153" s="35" t="s">
        <v>25</v>
      </c>
      <c r="G1153" s="35" t="s">
        <v>25</v>
      </c>
      <c r="H1153" s="35" t="s">
        <v>25</v>
      </c>
      <c r="I1153" s="55">
        <v>44713</v>
      </c>
      <c r="J1153" s="56">
        <f>EFEITO!$J$1153*EFEITO!$Y$1153</f>
        <v>0</v>
      </c>
      <c r="K1153" s="56">
        <f ca="1">EFEITO!$L$1153*EFEITO!$Z$1153</f>
        <v>384311.18205074634</v>
      </c>
      <c r="L1153" s="56">
        <f>EFEITO!$N$1153*EFEITO!$AA$1153</f>
        <v>307603.00812473748</v>
      </c>
      <c r="M1153" s="56">
        <f>$J$1153-EFEITO!$K$1153*EFEITO!$Y$1153</f>
        <v>0</v>
      </c>
      <c r="N1153" s="56">
        <f ca="1">$K$1153-EFEITO!$M$1153*EFEITO!$Z$1153</f>
        <v>0</v>
      </c>
      <c r="O1153" s="56">
        <f>$L$1153-EFEITO!$O$1153*EFEITO!$AA$1153</f>
        <v>0</v>
      </c>
      <c r="P1153" s="39"/>
      <c r="Q1153" s="39"/>
      <c r="R1153" s="39"/>
      <c r="S1153" s="39"/>
      <c r="T1153" s="39"/>
      <c r="U1153" s="39"/>
      <c r="V1153" s="39"/>
      <c r="W1153" s="39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</row>
    <row r="1154" spans="1:36" ht="11.25" customHeight="1" x14ac:dyDescent="0.2">
      <c r="A1154" s="35" t="s">
        <v>21</v>
      </c>
      <c r="B1154" s="35" t="s">
        <v>47</v>
      </c>
      <c r="C1154" s="35" t="s">
        <v>23</v>
      </c>
      <c r="D1154" s="35" t="s">
        <v>48</v>
      </c>
      <c r="E1154" s="35" t="s">
        <v>49</v>
      </c>
      <c r="F1154" s="35" t="s">
        <v>25</v>
      </c>
      <c r="G1154" s="35" t="s">
        <v>25</v>
      </c>
      <c r="H1154" s="35" t="s">
        <v>25</v>
      </c>
      <c r="I1154" s="55">
        <v>44743</v>
      </c>
      <c r="J1154" s="56">
        <f>EFEITO!$J$1154*EFEITO!$Y$1154</f>
        <v>0</v>
      </c>
      <c r="K1154" s="56">
        <f ca="1">EFEITO!$L$1154*EFEITO!$Z$1154</f>
        <v>374578.04211433762</v>
      </c>
      <c r="L1154" s="56">
        <f>EFEITO!$N$1154*EFEITO!$AA$1154</f>
        <v>299812.59435909538</v>
      </c>
      <c r="M1154" s="56">
        <f>$J$1154-EFEITO!$K$1154*EFEITO!$Y$1154</f>
        <v>0</v>
      </c>
      <c r="N1154" s="56">
        <f ca="1">$K$1154-EFEITO!$M$1154*EFEITO!$Z$1154</f>
        <v>0</v>
      </c>
      <c r="O1154" s="56">
        <f>$L$1154-EFEITO!$O$1154*EFEITO!$AA$1154</f>
        <v>0</v>
      </c>
      <c r="P1154" s="39"/>
      <c r="Q1154" s="39"/>
      <c r="R1154" s="39"/>
      <c r="S1154" s="39"/>
      <c r="T1154" s="39"/>
      <c r="U1154" s="39"/>
      <c r="V1154" s="39"/>
      <c r="W1154" s="39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</row>
    <row r="1155" spans="1:36" ht="11.25" customHeight="1" x14ac:dyDescent="0.2">
      <c r="A1155" s="35" t="s">
        <v>21</v>
      </c>
      <c r="B1155" s="35" t="s">
        <v>47</v>
      </c>
      <c r="C1155" s="35" t="s">
        <v>23</v>
      </c>
      <c r="D1155" s="35" t="s">
        <v>48</v>
      </c>
      <c r="E1155" s="35" t="s">
        <v>49</v>
      </c>
      <c r="F1155" s="35" t="s">
        <v>25</v>
      </c>
      <c r="G1155" s="35" t="s">
        <v>25</v>
      </c>
      <c r="H1155" s="35" t="s">
        <v>25</v>
      </c>
      <c r="I1155" s="55">
        <v>44774</v>
      </c>
      <c r="J1155" s="56">
        <f>EFEITO!$J$1155*EFEITO!$Y$1155</f>
        <v>0</v>
      </c>
      <c r="K1155" s="56">
        <f ca="1">EFEITO!$L$1155*EFEITO!$Z$1155</f>
        <v>383127.12071305932</v>
      </c>
      <c r="L1155" s="56">
        <f>EFEITO!$N$1155*EFEITO!$AA$1155</f>
        <v>306655.28438864119</v>
      </c>
      <c r="M1155" s="56">
        <f>$J$1155-EFEITO!$K$1155*EFEITO!$Y$1155</f>
        <v>0</v>
      </c>
      <c r="N1155" s="56">
        <f ca="1">$K$1155-EFEITO!$M$1155*EFEITO!$Z$1155</f>
        <v>0</v>
      </c>
      <c r="O1155" s="56">
        <f>$L$1155-EFEITO!$O$1155*EFEITO!$AA$1155</f>
        <v>0</v>
      </c>
      <c r="P1155" s="39"/>
      <c r="Q1155" s="39"/>
      <c r="R1155" s="39"/>
      <c r="S1155" s="39"/>
      <c r="T1155" s="39"/>
      <c r="U1155" s="39"/>
      <c r="V1155" s="39"/>
      <c r="W1155" s="39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</row>
    <row r="1156" spans="1:36" ht="11.25" customHeight="1" x14ac:dyDescent="0.2">
      <c r="A1156" s="35" t="s">
        <v>21</v>
      </c>
      <c r="B1156" s="35" t="s">
        <v>47</v>
      </c>
      <c r="C1156" s="35" t="s">
        <v>23</v>
      </c>
      <c r="D1156" s="35" t="s">
        <v>48</v>
      </c>
      <c r="E1156" s="35" t="s">
        <v>49</v>
      </c>
      <c r="F1156" s="35" t="s">
        <v>25</v>
      </c>
      <c r="G1156" s="35" t="s">
        <v>25</v>
      </c>
      <c r="H1156" s="35" t="s">
        <v>25</v>
      </c>
      <c r="I1156" s="55">
        <v>44805</v>
      </c>
      <c r="J1156" s="56">
        <f>EFEITO!$J$1156*EFEITO!$Y$1156</f>
        <v>0</v>
      </c>
      <c r="K1156" s="56">
        <f ca="1">EFEITO!$L$1156*EFEITO!$Z$1156</f>
        <v>362385.28188731172</v>
      </c>
      <c r="L1156" s="56">
        <f>EFEITO!$N$1156*EFEITO!$AA$1156</f>
        <v>290053.49834954552</v>
      </c>
      <c r="M1156" s="56">
        <f>$J$1156-EFEITO!$K$1156*EFEITO!$Y$1156</f>
        <v>0</v>
      </c>
      <c r="N1156" s="56">
        <f ca="1">$K$1156-EFEITO!$M$1156*EFEITO!$Z$1156</f>
        <v>0</v>
      </c>
      <c r="O1156" s="56">
        <f>$L$1156-EFEITO!$O$1156*EFEITO!$AA$1156</f>
        <v>0</v>
      </c>
      <c r="P1156" s="39"/>
      <c r="Q1156" s="39"/>
      <c r="R1156" s="39"/>
      <c r="S1156" s="39"/>
      <c r="T1156" s="39"/>
      <c r="U1156" s="39"/>
      <c r="V1156" s="39"/>
      <c r="W1156" s="39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</row>
    <row r="1157" spans="1:36" ht="11.25" customHeight="1" x14ac:dyDescent="0.2">
      <c r="A1157" s="35" t="s">
        <v>53</v>
      </c>
      <c r="B1157" s="35" t="s">
        <v>47</v>
      </c>
      <c r="C1157" s="35" t="s">
        <v>23</v>
      </c>
      <c r="D1157" s="35" t="s">
        <v>48</v>
      </c>
      <c r="E1157" s="35" t="s">
        <v>49</v>
      </c>
      <c r="F1157" s="35" t="s">
        <v>25</v>
      </c>
      <c r="G1157" s="35" t="s">
        <v>25</v>
      </c>
      <c r="H1157" s="35" t="s">
        <v>25</v>
      </c>
      <c r="I1157" s="55">
        <v>44835</v>
      </c>
      <c r="J1157" s="56">
        <f>EFEITO!$J$1157*EFEITO!$Y$1157</f>
        <v>0</v>
      </c>
      <c r="K1157" s="56">
        <f ca="1">EFEITO!$L$1157*EFEITO!$Z$1157</f>
        <v>362385.28188731172</v>
      </c>
      <c r="L1157" s="56">
        <f>EFEITO!$N$1157*EFEITO!$AA$1157</f>
        <v>290053.49834954552</v>
      </c>
      <c r="M1157" s="56">
        <f>$J$1157-EFEITO!$K$1157*EFEITO!$Y$1157</f>
        <v>0</v>
      </c>
      <c r="N1157" s="56">
        <f ca="1">$K$1157-EFEITO!$M$1157*EFEITO!$Z$1157</f>
        <v>0</v>
      </c>
      <c r="O1157" s="56">
        <f>$L$1157-EFEITO!$O$1157*EFEITO!$AA$1157</f>
        <v>0</v>
      </c>
      <c r="P1157" s="39"/>
      <c r="Q1157" s="39"/>
      <c r="R1157" s="39"/>
      <c r="S1157" s="39"/>
      <c r="T1157" s="39"/>
      <c r="U1157" s="39"/>
      <c r="V1157" s="39"/>
      <c r="W1157" s="39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</row>
  </sheetData>
  <mergeCells count="1">
    <mergeCell ref="Q1:AJ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EAB63-3B64-425D-B0CA-56CFE218436E}">
  <sheetPr codeName="Planilha22"/>
  <dimension ref="A1:BD143"/>
  <sheetViews>
    <sheetView showGridLines="0" topLeftCell="C56" workbookViewId="0">
      <selection activeCell="L73" sqref="L73:BD143"/>
    </sheetView>
  </sheetViews>
  <sheetFormatPr defaultRowHeight="11.25" customHeight="1" x14ac:dyDescent="0.3"/>
  <cols>
    <col min="1" max="1" width="9" style="9" bestFit="1" customWidth="1"/>
    <col min="2" max="2" width="21.33203125" style="9" bestFit="1" customWidth="1"/>
    <col min="3" max="3" width="30.33203125" style="9" bestFit="1" customWidth="1"/>
    <col min="4" max="4" width="51.5546875" style="9" bestFit="1" customWidth="1"/>
    <col min="5" max="5" width="60.5546875" style="9" bestFit="1" customWidth="1"/>
    <col min="6" max="6" width="69.5546875" style="9" bestFit="1" customWidth="1"/>
    <col min="7" max="7" width="70.664062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4.109375" style="9" bestFit="1" customWidth="1"/>
    <col min="12" max="12" width="12.44140625" style="9" bestFit="1" customWidth="1"/>
    <col min="13" max="14" width="7.88671875" style="9" bestFit="1" customWidth="1"/>
    <col min="15" max="15" width="3.88671875" style="9" bestFit="1" customWidth="1"/>
    <col min="16" max="16" width="3.77734375" style="9" bestFit="1" customWidth="1"/>
    <col min="17" max="17" width="9.88671875" style="9" bestFit="1" customWidth="1"/>
    <col min="18" max="18" width="9.109375" style="9" bestFit="1" customWidth="1"/>
    <col min="19" max="19" width="8" style="9" bestFit="1" customWidth="1"/>
    <col min="20" max="20" width="9.109375" style="9" bestFit="1" customWidth="1"/>
    <col min="21" max="21" width="7.88671875" style="9" bestFit="1" customWidth="1"/>
    <col min="22" max="22" width="9.21875" style="9" bestFit="1" customWidth="1"/>
    <col min="23" max="23" width="9.33203125" style="9" bestFit="1" customWidth="1"/>
    <col min="24" max="24" width="4.77734375" style="9" bestFit="1" customWidth="1"/>
    <col min="25" max="25" width="7.109375" style="9" bestFit="1" customWidth="1"/>
    <col min="26" max="26" width="9.33203125" style="9" bestFit="1" customWidth="1"/>
    <col min="27" max="27" width="11.109375" style="9" bestFit="1" customWidth="1"/>
    <col min="28" max="28" width="7.77734375" style="9" bestFit="1" customWidth="1"/>
    <col min="29" max="29" width="6.88671875" style="9" bestFit="1" customWidth="1"/>
    <col min="30" max="30" width="14.44140625" style="9" bestFit="1" customWidth="1"/>
    <col min="31" max="31" width="17.5546875" style="9" bestFit="1" customWidth="1"/>
    <col min="32" max="32" width="18.109375" style="9" bestFit="1" customWidth="1"/>
    <col min="33" max="33" width="3.5546875" style="9" bestFit="1" customWidth="1"/>
    <col min="34" max="34" width="8.88671875" style="9"/>
    <col min="35" max="35" width="12.44140625" style="9" bestFit="1" customWidth="1"/>
    <col min="36" max="37" width="7.88671875" style="9" bestFit="1" customWidth="1"/>
    <col min="38" max="38" width="3.88671875" style="9" bestFit="1" customWidth="1"/>
    <col min="39" max="39" width="3.77734375" style="9" bestFit="1" customWidth="1"/>
    <col min="40" max="40" width="9.88671875" style="9" bestFit="1" customWidth="1"/>
    <col min="41" max="41" width="9.109375" style="9" bestFit="1" customWidth="1"/>
    <col min="42" max="42" width="8" style="9" bestFit="1" customWidth="1"/>
    <col min="43" max="43" width="9.109375" style="9" bestFit="1" customWidth="1"/>
    <col min="44" max="44" width="7.88671875" style="9" bestFit="1" customWidth="1"/>
    <col min="45" max="45" width="9.21875" style="9" bestFit="1" customWidth="1"/>
    <col min="46" max="46" width="9.33203125" style="9" bestFit="1" customWidth="1"/>
    <col min="47" max="47" width="4.77734375" style="9" bestFit="1" customWidth="1"/>
    <col min="48" max="48" width="7.109375" style="9" bestFit="1" customWidth="1"/>
    <col min="49" max="49" width="9.33203125" style="9" bestFit="1" customWidth="1"/>
    <col min="50" max="50" width="11.109375" style="9" bestFit="1" customWidth="1"/>
    <col min="51" max="51" width="7.77734375" style="9" bestFit="1" customWidth="1"/>
    <col min="52" max="52" width="6.88671875" style="9" bestFit="1" customWidth="1"/>
    <col min="53" max="53" width="14.44140625" style="9" bestFit="1" customWidth="1"/>
    <col min="54" max="54" width="17.5546875" style="9" bestFit="1" customWidth="1"/>
    <col min="55" max="55" width="18.109375" style="9" bestFit="1" customWidth="1"/>
    <col min="56" max="56" width="3.5546875" style="9" bestFit="1" customWidth="1"/>
    <col min="57" max="16384" width="8.88671875" style="9"/>
  </cols>
  <sheetData>
    <row r="1" spans="1:56" ht="11.25" customHeight="1" x14ac:dyDescent="0.3">
      <c r="A1" s="127" t="s">
        <v>68</v>
      </c>
      <c r="B1" s="127" t="s">
        <v>69</v>
      </c>
      <c r="C1" s="127" t="s">
        <v>70</v>
      </c>
      <c r="D1" s="127" t="s">
        <v>71</v>
      </c>
      <c r="E1" s="127" t="s">
        <v>72</v>
      </c>
      <c r="F1" s="127" t="s">
        <v>15</v>
      </c>
      <c r="G1" s="127" t="s">
        <v>74</v>
      </c>
      <c r="H1" s="127" t="s">
        <v>75</v>
      </c>
      <c r="I1" s="127" t="s">
        <v>757</v>
      </c>
      <c r="J1" s="123"/>
      <c r="L1" s="125" t="s">
        <v>1059</v>
      </c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I1" s="125" t="s">
        <v>1060</v>
      </c>
      <c r="AJ1" s="125"/>
      <c r="AK1" s="125"/>
      <c r="AL1" s="125"/>
      <c r="AM1" s="125"/>
      <c r="AN1" s="125"/>
      <c r="AO1" s="125"/>
      <c r="AP1" s="125"/>
      <c r="AQ1" s="125"/>
      <c r="AR1" s="125"/>
      <c r="AS1" s="125"/>
      <c r="AT1" s="125"/>
      <c r="AU1" s="125"/>
      <c r="AV1" s="125"/>
      <c r="AW1" s="125"/>
      <c r="AX1" s="125"/>
      <c r="AY1" s="125"/>
      <c r="AZ1" s="125"/>
      <c r="BA1" s="125"/>
      <c r="BB1" s="125"/>
      <c r="BC1" s="125"/>
      <c r="BD1" s="125"/>
    </row>
    <row r="2" spans="1:56" ht="11.25" customHeight="1" x14ac:dyDescent="0.3">
      <c r="A2" s="127"/>
      <c r="B2" s="127"/>
      <c r="C2" s="127"/>
      <c r="D2" s="127"/>
      <c r="E2" s="127"/>
      <c r="F2" s="127"/>
      <c r="G2" s="127"/>
      <c r="H2" s="127"/>
      <c r="I2" s="127"/>
      <c r="J2" s="123"/>
      <c r="L2" s="125" t="s">
        <v>656</v>
      </c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I2" s="125" t="s">
        <v>656</v>
      </c>
      <c r="AJ2" s="125"/>
      <c r="AK2" s="125"/>
      <c r="AL2" s="125"/>
      <c r="AM2" s="125"/>
      <c r="AN2" s="125"/>
      <c r="AO2" s="125"/>
      <c r="AP2" s="125"/>
      <c r="AQ2" s="125"/>
      <c r="AR2" s="125"/>
      <c r="AS2" s="125"/>
      <c r="AT2" s="125"/>
      <c r="AU2" s="125"/>
      <c r="AV2" s="125"/>
      <c r="AW2" s="125"/>
      <c r="AX2" s="125"/>
      <c r="AY2" s="125"/>
      <c r="AZ2" s="125"/>
      <c r="BA2" s="125"/>
      <c r="BB2" s="125"/>
      <c r="BC2" s="125"/>
      <c r="BD2" s="125"/>
    </row>
    <row r="3" spans="1:56" ht="11.25" customHeight="1" x14ac:dyDescent="0.3">
      <c r="A3" s="127"/>
      <c r="B3" s="127"/>
      <c r="C3" s="127"/>
      <c r="D3" s="127"/>
      <c r="E3" s="127"/>
      <c r="F3" s="127"/>
      <c r="G3" s="127"/>
      <c r="H3" s="127"/>
      <c r="I3" s="127"/>
      <c r="J3" s="123"/>
      <c r="L3" s="125" t="s">
        <v>657</v>
      </c>
      <c r="M3" s="125"/>
      <c r="N3" s="125"/>
      <c r="O3" s="125"/>
      <c r="P3" s="125"/>
      <c r="Q3" s="125"/>
      <c r="R3" s="125"/>
      <c r="S3" s="125"/>
      <c r="T3" s="125" t="s">
        <v>666</v>
      </c>
      <c r="U3" s="125"/>
      <c r="V3" s="125"/>
      <c r="W3" s="125"/>
      <c r="X3" s="125"/>
      <c r="Y3" s="125"/>
      <c r="Z3" s="125"/>
      <c r="AA3" s="10" t="s">
        <v>674</v>
      </c>
      <c r="AB3" s="125" t="s">
        <v>676</v>
      </c>
      <c r="AC3" s="125"/>
      <c r="AD3" s="125" t="s">
        <v>679</v>
      </c>
      <c r="AE3" s="125"/>
      <c r="AF3" s="125"/>
      <c r="AG3" s="125"/>
      <c r="AI3" s="125" t="s">
        <v>657</v>
      </c>
      <c r="AJ3" s="125"/>
      <c r="AK3" s="125"/>
      <c r="AL3" s="125"/>
      <c r="AM3" s="125"/>
      <c r="AN3" s="125"/>
      <c r="AO3" s="125"/>
      <c r="AP3" s="125"/>
      <c r="AQ3" s="125" t="s">
        <v>666</v>
      </c>
      <c r="AR3" s="125"/>
      <c r="AS3" s="125"/>
      <c r="AT3" s="125"/>
      <c r="AU3" s="125"/>
      <c r="AV3" s="125"/>
      <c r="AW3" s="125"/>
      <c r="AX3" s="10" t="s">
        <v>674</v>
      </c>
      <c r="AY3" s="125" t="s">
        <v>676</v>
      </c>
      <c r="AZ3" s="125"/>
      <c r="BA3" s="125" t="s">
        <v>679</v>
      </c>
      <c r="BB3" s="125"/>
      <c r="BC3" s="125"/>
      <c r="BD3" s="125"/>
    </row>
    <row r="4" spans="1:56" ht="11.25" customHeight="1" x14ac:dyDescent="0.3">
      <c r="A4" s="127"/>
      <c r="B4" s="127"/>
      <c r="C4" s="127"/>
      <c r="D4" s="127"/>
      <c r="E4" s="127"/>
      <c r="F4" s="127"/>
      <c r="G4" s="127"/>
      <c r="H4" s="127"/>
      <c r="I4" s="127"/>
      <c r="J4" s="123"/>
      <c r="L4" s="10" t="s">
        <v>742</v>
      </c>
      <c r="M4" s="10" t="s">
        <v>658</v>
      </c>
      <c r="N4" s="10" t="s">
        <v>659</v>
      </c>
      <c r="O4" s="10" t="s">
        <v>660</v>
      </c>
      <c r="P4" s="10" t="s">
        <v>661</v>
      </c>
      <c r="Q4" s="10" t="s">
        <v>662</v>
      </c>
      <c r="R4" s="10" t="s">
        <v>663</v>
      </c>
      <c r="S4" s="10" t="s">
        <v>664</v>
      </c>
      <c r="T4" s="10" t="s">
        <v>667</v>
      </c>
      <c r="U4" s="10" t="s">
        <v>668</v>
      </c>
      <c r="V4" s="10" t="s">
        <v>669</v>
      </c>
      <c r="W4" s="10" t="s">
        <v>670</v>
      </c>
      <c r="X4" s="10" t="s">
        <v>671</v>
      </c>
      <c r="Y4" s="10" t="s">
        <v>672</v>
      </c>
      <c r="Z4" s="10" t="s">
        <v>673</v>
      </c>
      <c r="AA4" s="10" t="s">
        <v>675</v>
      </c>
      <c r="AB4" s="10" t="s">
        <v>677</v>
      </c>
      <c r="AC4" s="10" t="s">
        <v>678</v>
      </c>
      <c r="AD4" s="10" t="s">
        <v>680</v>
      </c>
      <c r="AE4" s="10" t="s">
        <v>681</v>
      </c>
      <c r="AF4" s="10" t="s">
        <v>682</v>
      </c>
      <c r="AG4" s="10" t="s">
        <v>683</v>
      </c>
      <c r="AI4" s="10" t="s">
        <v>742</v>
      </c>
      <c r="AJ4" s="10" t="s">
        <v>658</v>
      </c>
      <c r="AK4" s="10" t="s">
        <v>659</v>
      </c>
      <c r="AL4" s="10" t="s">
        <v>660</v>
      </c>
      <c r="AM4" s="10" t="s">
        <v>661</v>
      </c>
      <c r="AN4" s="10" t="s">
        <v>662</v>
      </c>
      <c r="AO4" s="10" t="s">
        <v>663</v>
      </c>
      <c r="AP4" s="10" t="s">
        <v>664</v>
      </c>
      <c r="AQ4" s="10" t="s">
        <v>667</v>
      </c>
      <c r="AR4" s="10" t="s">
        <v>668</v>
      </c>
      <c r="AS4" s="10" t="s">
        <v>669</v>
      </c>
      <c r="AT4" s="10" t="s">
        <v>670</v>
      </c>
      <c r="AU4" s="10" t="s">
        <v>671</v>
      </c>
      <c r="AV4" s="10" t="s">
        <v>672</v>
      </c>
      <c r="AW4" s="10" t="s">
        <v>673</v>
      </c>
      <c r="AX4" s="10" t="s">
        <v>675</v>
      </c>
      <c r="AY4" s="10" t="s">
        <v>677</v>
      </c>
      <c r="AZ4" s="10" t="s">
        <v>678</v>
      </c>
      <c r="BA4" s="10" t="s">
        <v>680</v>
      </c>
      <c r="BB4" s="10" t="s">
        <v>681</v>
      </c>
      <c r="BC4" s="10" t="s">
        <v>682</v>
      </c>
      <c r="BD4" s="10" t="s">
        <v>683</v>
      </c>
    </row>
    <row r="5" spans="1:56" ht="11.25" customHeight="1" x14ac:dyDescent="0.3">
      <c r="A5" s="128" t="s">
        <v>54</v>
      </c>
      <c r="B5" s="128" t="s">
        <v>40</v>
      </c>
      <c r="C5" s="128" t="s">
        <v>25</v>
      </c>
      <c r="D5" s="128" t="s">
        <v>25</v>
      </c>
      <c r="E5" s="128" t="s">
        <v>25</v>
      </c>
      <c r="F5" s="128" t="s">
        <v>25</v>
      </c>
      <c r="G5" s="18" t="s">
        <v>82</v>
      </c>
      <c r="H5" s="18" t="s">
        <v>81</v>
      </c>
      <c r="I5" s="18">
        <f>'MERCADO TUSD'!$U$2</f>
        <v>45208</v>
      </c>
      <c r="J5" s="15"/>
      <c r="L5" s="13">
        <f>('TUSD BE'!$L$5+'TUSD BF'!$L$5+'TUSD CVA'!$L$5)*1</f>
        <v>0</v>
      </c>
      <c r="M5" s="13">
        <f>('TUSD BE'!$M$5+'TUSD BF'!$M$5+'TUSD CVA'!$M$5)*1</f>
        <v>0</v>
      </c>
      <c r="N5" s="13">
        <f ca="1">('TUSD BE'!$N$5+'TUSD BF'!$N$5+'TUSD CVA'!$N$5)*1</f>
        <v>0</v>
      </c>
      <c r="O5" s="13">
        <f>('TUSD BE'!$O$5+'TUSD BF'!$O$5+'TUSD CVA'!$O$5)*1</f>
        <v>0</v>
      </c>
      <c r="P5" s="13">
        <f>('TUSD BE'!$P$5+'TUSD BF'!$P$5+'TUSD CVA'!$P$5)*1</f>
        <v>0</v>
      </c>
      <c r="Q5" s="13">
        <f>('TUSD BE'!$Q$5+'TUSD BF'!$Q$5+'TUSD CVA'!$Q$5)*1</f>
        <v>0</v>
      </c>
      <c r="R5" s="13">
        <f>('TUSD BE'!$R$5+'TUSD BF'!$R$5+'TUSD CVA'!$R$5)*1</f>
        <v>0</v>
      </c>
      <c r="S5" s="13">
        <f>('TUSD BE'!$S$5+'TUSD BF'!$S$5+'TUSD CVA'!$S$5)*1</f>
        <v>0</v>
      </c>
      <c r="T5" s="13">
        <f>('TUSD BE'!$U$5+'TUSD BF'!$U$5+'TUSD CVA'!$U$5)*1</f>
        <v>7.0834660801399361</v>
      </c>
      <c r="U5" s="13">
        <f>('TUSD BE'!$V$5+'TUSD BF'!$V$5+'TUSD CVA'!$V$5)*1</f>
        <v>1.4275714143871929</v>
      </c>
      <c r="V5" s="13">
        <f>('TUSD BE'!$W$5+'TUSD BF'!$W$5+'TUSD CVA'!$W$5)*1</f>
        <v>0.20922571142765842</v>
      </c>
      <c r="W5" s="13">
        <f>('TUSD BE'!$X$5+'TUSD BF'!$X$5+'TUSD CVA'!$X$5)*1</f>
        <v>0</v>
      </c>
      <c r="X5" s="13">
        <f>('TUSD BE'!$Y$5+'TUSD BF'!$Y$5+'TUSD CVA'!$Y$5)*1</f>
        <v>0</v>
      </c>
      <c r="Y5" s="13">
        <f>('TUSD BE'!$Z$5+'TUSD BF'!$Z$5+'TUSD CVA'!$Z$5)*1</f>
        <v>0</v>
      </c>
      <c r="Z5" s="13">
        <f>('TUSD BE'!$AA$5+'TUSD BF'!$AA$5+'TUSD CVA'!$AA$5)*1</f>
        <v>0</v>
      </c>
      <c r="AA5" s="13">
        <f>('TUSD BE'!$AC$5+'TUSD BF'!$AC$5+'TUSD CVA'!$AC$5)*1</f>
        <v>12.516048480394735</v>
      </c>
      <c r="AB5" s="13">
        <f ca="1">('TUSD BE'!$AE$5+'TUSD BF'!$AE$5+'TUSD CVA'!$AE$5)*1</f>
        <v>0</v>
      </c>
      <c r="AC5" s="13">
        <f ca="1">('TUSD BE'!$AF$5+'TUSD BF'!$AF$5+'TUSD CVA'!$AF$5)*1</f>
        <v>0</v>
      </c>
      <c r="AD5" s="13">
        <f>('TUSD BE'!$AH$5+'TUSD BF'!$AH$5+'TUSD CVA'!$AH$5)*1</f>
        <v>0</v>
      </c>
      <c r="AE5" s="13">
        <f>('TUSD BE'!$AI$5+'TUSD BF'!$AI$5+'TUSD CVA'!$AI$5)*1</f>
        <v>0</v>
      </c>
      <c r="AF5" s="13">
        <f ca="1">('TUSD BE'!$AJ$5+'TUSD BF'!$AJ$5+'TUSD CVA'!$AJ$5)*1</f>
        <v>0</v>
      </c>
      <c r="AG5" s="13">
        <f ca="1">('TUSD BE'!$AK$5+'TUSD BF'!$AK$5+'TUSD CVA'!$AK$5)*1</f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5.87424751351453</v>
      </c>
      <c r="AR5" s="13">
        <v>1.6879622649598101</v>
      </c>
      <c r="AS5" s="13">
        <v>2.0169438862765201E-2</v>
      </c>
      <c r="AT5" s="13">
        <v>0</v>
      </c>
      <c r="AU5" s="13">
        <v>0</v>
      </c>
      <c r="AV5" s="13">
        <v>0</v>
      </c>
      <c r="AW5" s="13">
        <v>0</v>
      </c>
      <c r="AX5" s="13">
        <v>10.936983207121401</v>
      </c>
      <c r="AY5" s="13">
        <v>0</v>
      </c>
      <c r="AZ5" s="13">
        <v>0</v>
      </c>
      <c r="BA5" s="13">
        <v>0</v>
      </c>
      <c r="BB5" s="13">
        <v>0</v>
      </c>
      <c r="BC5" s="13">
        <v>0</v>
      </c>
      <c r="BD5" s="13">
        <v>0</v>
      </c>
    </row>
    <row r="6" spans="1:56" ht="11.25" customHeight="1" x14ac:dyDescent="0.3">
      <c r="A6" s="128"/>
      <c r="B6" s="128"/>
      <c r="C6" s="128"/>
      <c r="D6" s="128"/>
      <c r="E6" s="128"/>
      <c r="F6" s="128"/>
      <c r="G6" s="18" t="s">
        <v>83</v>
      </c>
      <c r="H6" s="18" t="s">
        <v>81</v>
      </c>
      <c r="I6" s="18">
        <f>'MERCADO TUSD'!$U$3</f>
        <v>240000</v>
      </c>
      <c r="J6" s="15"/>
      <c r="L6" s="13">
        <f>('TUSD BE'!$L$6+'TUSD BF'!$L$6+'TUSD CVA'!$L$6)*1</f>
        <v>0</v>
      </c>
      <c r="M6" s="13">
        <f>('TUSD BE'!$M$6+'TUSD BF'!$M$6+'TUSD CVA'!$M$6)*1</f>
        <v>0</v>
      </c>
      <c r="N6" s="13">
        <f ca="1">('TUSD BE'!$N$6+'TUSD BF'!$N$6+'TUSD CVA'!$N$6)*1</f>
        <v>0</v>
      </c>
      <c r="O6" s="13">
        <f>('TUSD BE'!$O$6+'TUSD BF'!$O$6+'TUSD CVA'!$O$6)*1</f>
        <v>0</v>
      </c>
      <c r="P6" s="13">
        <f>('TUSD BE'!$P$6+'TUSD BF'!$P$6+'TUSD CVA'!$P$6)*1</f>
        <v>0</v>
      </c>
      <c r="Q6" s="13">
        <f>('TUSD BE'!$Q$6+'TUSD BF'!$Q$6+'TUSD CVA'!$Q$6)*1</f>
        <v>0</v>
      </c>
      <c r="R6" s="13">
        <f>('TUSD BE'!$R$6+'TUSD BF'!$R$6+'TUSD CVA'!$R$6)*1</f>
        <v>0</v>
      </c>
      <c r="S6" s="13">
        <f>('TUSD BE'!$S$6+'TUSD BF'!$S$6+'TUSD CVA'!$S$6)*1</f>
        <v>0</v>
      </c>
      <c r="T6" s="13">
        <f>('TUSD BE'!$U$6+'TUSD BF'!$U$6+'TUSD CVA'!$U$6)*1</f>
        <v>5.2663450521303679</v>
      </c>
      <c r="U6" s="13">
        <f>('TUSD BE'!$V$6+'TUSD BF'!$V$6+'TUSD CVA'!$V$6)*1</f>
        <v>1.0698846479805921</v>
      </c>
      <c r="V6" s="13">
        <f>('TUSD BE'!$W$6+'TUSD BF'!$W$6+'TUSD CVA'!$W$6)*1</f>
        <v>0.15026582405861183</v>
      </c>
      <c r="W6" s="13">
        <f>('TUSD BE'!$X$6+'TUSD BF'!$X$6+'TUSD CVA'!$X$6)*1</f>
        <v>0</v>
      </c>
      <c r="X6" s="13">
        <f>('TUSD BE'!$Y$6+'TUSD BF'!$Y$6+'TUSD CVA'!$Y$6)*1</f>
        <v>0</v>
      </c>
      <c r="Y6" s="13">
        <f>('TUSD BE'!$Z$6+'TUSD BF'!$Z$6+'TUSD CVA'!$Z$6)*1</f>
        <v>0</v>
      </c>
      <c r="Z6" s="13">
        <f>('TUSD BE'!$AA$6+'TUSD BF'!$AA$6+'TUSD CVA'!$AA$6)*1</f>
        <v>0</v>
      </c>
      <c r="AA6" s="13">
        <f>('TUSD BE'!$AC$6+'TUSD BF'!$AC$6+'TUSD CVA'!$AC$6)*1</f>
        <v>1.4724124549037567</v>
      </c>
      <c r="AB6" s="13">
        <f ca="1">('TUSD BE'!$AE$6+'TUSD BF'!$AE$6+'TUSD CVA'!$AE$6)*1</f>
        <v>0</v>
      </c>
      <c r="AC6" s="13">
        <f ca="1">('TUSD BE'!$AF$6+'TUSD BF'!$AF$6+'TUSD CVA'!$AF$6)*1</f>
        <v>0</v>
      </c>
      <c r="AD6" s="13">
        <f>('TUSD BE'!$AH$6+'TUSD BF'!$AH$6+'TUSD CVA'!$AH$6)*1</f>
        <v>0</v>
      </c>
      <c r="AE6" s="13">
        <f>('TUSD BE'!$AI$6+'TUSD BF'!$AI$6+'TUSD CVA'!$AI$6)*1</f>
        <v>0</v>
      </c>
      <c r="AF6" s="13">
        <f ca="1">('TUSD BE'!$AJ$6+'TUSD BF'!$AJ$6+'TUSD CVA'!$AJ$6)*1</f>
        <v>0</v>
      </c>
      <c r="AG6" s="13">
        <f ca="1">('TUSD BE'!$AK$6+'TUSD BF'!$AK$6+'TUSD CVA'!$AK$6)*1</f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4.3673272346883598</v>
      </c>
      <c r="AR6" s="13">
        <v>1.2650329751988501</v>
      </c>
      <c r="AS6" s="13">
        <v>1.44856830971327E-2</v>
      </c>
      <c r="AT6" s="13">
        <v>0</v>
      </c>
      <c r="AU6" s="13">
        <v>0</v>
      </c>
      <c r="AV6" s="13">
        <v>0</v>
      </c>
      <c r="AW6" s="13">
        <v>0</v>
      </c>
      <c r="AX6" s="13">
        <v>1.2866481236840701</v>
      </c>
      <c r="AY6" s="13">
        <v>0</v>
      </c>
      <c r="AZ6" s="13">
        <v>0</v>
      </c>
      <c r="BA6" s="13">
        <v>0</v>
      </c>
      <c r="BB6" s="13">
        <v>0</v>
      </c>
      <c r="BC6" s="13">
        <v>0</v>
      </c>
      <c r="BD6" s="13">
        <v>0</v>
      </c>
    </row>
    <row r="7" spans="1:56" ht="11.25" customHeight="1" x14ac:dyDescent="0.3">
      <c r="A7" s="128"/>
      <c r="B7" s="128"/>
      <c r="C7" s="128"/>
      <c r="D7" s="128"/>
      <c r="E7" s="128"/>
      <c r="F7" s="128"/>
      <c r="G7" s="18" t="s">
        <v>84</v>
      </c>
      <c r="H7" s="18" t="s">
        <v>78</v>
      </c>
      <c r="I7" s="18">
        <f>'MERCADO TUSD'!$U$4</f>
        <v>117715.17200000002</v>
      </c>
      <c r="J7" s="15"/>
      <c r="L7" s="13">
        <f>('TUSD BE'!$L$7+'TUSD BF'!$L$7+'TUSD CVA'!$L$7)*1</f>
        <v>4.1179105520322938</v>
      </c>
      <c r="M7" s="13">
        <f>('TUSD BE'!$M$7+'TUSD BF'!$M$7+'TUSD CVA'!$M$7)*1</f>
        <v>4.0309008627529612E-2</v>
      </c>
      <c r="N7" s="13">
        <f ca="1">('TUSD BE'!$N$7+'TUSD BF'!$N$7+'TUSD CVA'!$N$7)*1</f>
        <v>4.0938669761996067E-2</v>
      </c>
      <c r="O7" s="13">
        <f>('TUSD BE'!$O$7+'TUSD BF'!$O$7+'TUSD CVA'!$O$7)*1</f>
        <v>0</v>
      </c>
      <c r="P7" s="13">
        <f>('TUSD BE'!$P$7+'TUSD BF'!$P$7+'TUSD CVA'!$P$7)*1</f>
        <v>0</v>
      </c>
      <c r="Q7" s="13">
        <f>('TUSD BE'!$Q$7+'TUSD BF'!$Q$7+'TUSD CVA'!$Q$7)*1</f>
        <v>67.055944650666973</v>
      </c>
      <c r="R7" s="13">
        <f>('TUSD BE'!$R$7+'TUSD BF'!$R$7+'TUSD CVA'!$R$7)*1</f>
        <v>18.52197764795989</v>
      </c>
      <c r="S7" s="13">
        <f>('TUSD BE'!$S$7+'TUSD BF'!$S$7+'TUSD CVA'!$S$7)*1</f>
        <v>0</v>
      </c>
      <c r="T7" s="13">
        <f>('TUSD BE'!$U$7+'TUSD BF'!$U$7+'TUSD CVA'!$U$7)*1</f>
        <v>0</v>
      </c>
      <c r="U7" s="13">
        <f>('TUSD BE'!$V$7+'TUSD BF'!$V$7+'TUSD CVA'!$V$7)*1</f>
        <v>0</v>
      </c>
      <c r="V7" s="13">
        <f>('TUSD BE'!$W$7+'TUSD BF'!$W$7+'TUSD CVA'!$W$7)*1</f>
        <v>0</v>
      </c>
      <c r="W7" s="13">
        <f>('TUSD BE'!$X$7+'TUSD BF'!$X$7+'TUSD CVA'!$X$7)*1</f>
        <v>0</v>
      </c>
      <c r="X7" s="13">
        <f>('TUSD BE'!$Y$7+'TUSD BF'!$Y$7+'TUSD CVA'!$Y$7)*1</f>
        <v>0</v>
      </c>
      <c r="Y7" s="13">
        <f>('TUSD BE'!$Z$7+'TUSD BF'!$Z$7+'TUSD CVA'!$Z$7)*1</f>
        <v>0</v>
      </c>
      <c r="Z7" s="13">
        <f>('TUSD BE'!$AA$7+'TUSD BF'!$AA$7+'TUSD CVA'!$AA$7)*1</f>
        <v>0</v>
      </c>
      <c r="AA7" s="13">
        <f>('TUSD BE'!$AC$7+'TUSD BF'!$AC$7+'TUSD CVA'!$AC$7)*1</f>
        <v>0</v>
      </c>
      <c r="AB7" s="13">
        <f ca="1">('TUSD BE'!$AE$7+'TUSD BF'!$AE$7+'TUSD CVA'!$AE$7)*1</f>
        <v>0</v>
      </c>
      <c r="AC7" s="13">
        <f ca="1">('TUSD BE'!$AF$7+'TUSD BF'!$AF$7+'TUSD CVA'!$AF$7)*1</f>
        <v>0</v>
      </c>
      <c r="AD7" s="13">
        <f>('TUSD BE'!$AH$7+'TUSD BF'!$AH$7+'TUSD CVA'!$AH$7)*1</f>
        <v>5.8091874705137179E-2</v>
      </c>
      <c r="AE7" s="13">
        <f>('TUSD BE'!$AI$7+'TUSD BF'!$AI$7+'TUSD CVA'!$AI$7)*1</f>
        <v>1.0067951000186492E-3</v>
      </c>
      <c r="AF7" s="13">
        <f ca="1">('TUSD BE'!$AJ$7+'TUSD BF'!$AJ$7+'TUSD CVA'!$AJ$7)*1</f>
        <v>0.59796318774645363</v>
      </c>
      <c r="AG7" s="13">
        <f ca="1">('TUSD BE'!$AK$7+'TUSD BF'!$AK$7+'TUSD CVA'!$AK$7)*1</f>
        <v>8.2901209518496874E-2</v>
      </c>
      <c r="AI7" s="13">
        <v>4.5119647913719803</v>
      </c>
      <c r="AJ7" s="13">
        <v>3.73386634022283E-2</v>
      </c>
      <c r="AK7" s="13">
        <v>3.1135914512436799E-2</v>
      </c>
      <c r="AL7" s="13">
        <v>0</v>
      </c>
      <c r="AM7" s="13">
        <v>0</v>
      </c>
      <c r="AN7" s="13">
        <v>38.594052947149699</v>
      </c>
      <c r="AO7" s="13">
        <v>10.076820057623801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4.9046366631188401E-2</v>
      </c>
      <c r="BB7" s="13">
        <v>9.9503887906905101E-4</v>
      </c>
      <c r="BC7" s="13">
        <v>0.50453438667382</v>
      </c>
      <c r="BD7" s="13">
        <v>8.4133284167680303E-2</v>
      </c>
    </row>
    <row r="8" spans="1:56" ht="11.25" customHeight="1" x14ac:dyDescent="0.3">
      <c r="A8" s="128"/>
      <c r="B8" s="128"/>
      <c r="C8" s="128"/>
      <c r="D8" s="128"/>
      <c r="E8" s="17" t="s">
        <v>85</v>
      </c>
      <c r="F8" s="17" t="s">
        <v>25</v>
      </c>
      <c r="G8" s="18" t="s">
        <v>84</v>
      </c>
      <c r="H8" s="18" t="s">
        <v>78</v>
      </c>
      <c r="I8" s="18">
        <f>'MERCADO TUSD'!$U$5</f>
        <v>0</v>
      </c>
      <c r="J8" s="15"/>
      <c r="L8" s="13">
        <f>('TUSD BE'!$L$8+'TUSD BF'!$L$8+'TUSD CVA'!$L$8)*1</f>
        <v>0</v>
      </c>
      <c r="M8" s="13">
        <f>('TUSD BE'!$M$8+'TUSD BF'!$M$8+'TUSD CVA'!$M$8)*1</f>
        <v>4.0309008627529612E-2</v>
      </c>
      <c r="N8" s="13">
        <f ca="1">('TUSD BE'!$N$8+'TUSD BF'!$N$8+'TUSD CVA'!$N$8)*1</f>
        <v>2.8359275244072859E-2</v>
      </c>
      <c r="O8" s="13">
        <f>('TUSD BE'!$O$8+'TUSD BF'!$O$8+'TUSD CVA'!$O$8)*1</f>
        <v>0</v>
      </c>
      <c r="P8" s="13">
        <f>('TUSD BE'!$P$8+'TUSD BF'!$P$8+'TUSD CVA'!$P$8)*1</f>
        <v>0</v>
      </c>
      <c r="Q8" s="13">
        <f>('TUSD BE'!$Q$8+'TUSD BF'!$Q$8+'TUSD CVA'!$Q$8)*1</f>
        <v>0</v>
      </c>
      <c r="R8" s="13">
        <f>('TUSD BE'!$R$8+'TUSD BF'!$R$8+'TUSD CVA'!$R$8)*1</f>
        <v>0</v>
      </c>
      <c r="S8" s="13">
        <f>('TUSD BE'!$S$8+'TUSD BF'!$S$8+'TUSD CVA'!$S$8)*1</f>
        <v>0</v>
      </c>
      <c r="T8" s="13">
        <f>('TUSD BE'!$U$8+'TUSD BF'!$U$8+'TUSD CVA'!$U$8)*1</f>
        <v>0</v>
      </c>
      <c r="U8" s="13">
        <f>('TUSD BE'!$V$8+'TUSD BF'!$V$8+'TUSD CVA'!$V$8)*1</f>
        <v>0</v>
      </c>
      <c r="V8" s="13">
        <f>('TUSD BE'!$W$8+'TUSD BF'!$W$8+'TUSD CVA'!$W$8)*1</f>
        <v>0</v>
      </c>
      <c r="W8" s="13">
        <f>('TUSD BE'!$X$8+'TUSD BF'!$X$8+'TUSD CVA'!$X$8)*1</f>
        <v>0</v>
      </c>
      <c r="X8" s="13">
        <f>('TUSD BE'!$Y$8+'TUSD BF'!$Y$8+'TUSD CVA'!$Y$8)*1</f>
        <v>0</v>
      </c>
      <c r="Y8" s="13">
        <f>('TUSD BE'!$Z$8+'TUSD BF'!$Z$8+'TUSD CVA'!$Z$8)*1</f>
        <v>0</v>
      </c>
      <c r="Z8" s="13">
        <f>('TUSD BE'!$AA$8+'TUSD BF'!$AA$8+'TUSD CVA'!$AA$8)*1</f>
        <v>0</v>
      </c>
      <c r="AA8" s="13">
        <f>('TUSD BE'!$AC$8+'TUSD BF'!$AC$8+'TUSD CVA'!$AC$8)*1</f>
        <v>0</v>
      </c>
      <c r="AB8" s="13">
        <f ca="1">('TUSD BE'!$AE$8+'TUSD BF'!$AE$8+'TUSD CVA'!$AE$8)*1</f>
        <v>0</v>
      </c>
      <c r="AC8" s="13">
        <f ca="1">('TUSD BE'!$AF$8+'TUSD BF'!$AF$8+'TUSD CVA'!$AF$8)*1</f>
        <v>0</v>
      </c>
      <c r="AD8" s="13">
        <f>('TUSD BE'!$AH$8+'TUSD BF'!$AH$8+'TUSD CVA'!$AH$8)*1</f>
        <v>5.8091874705137179E-2</v>
      </c>
      <c r="AE8" s="13">
        <f>('TUSD BE'!$AI$8+'TUSD BF'!$AI$8+'TUSD CVA'!$AI$8)*1</f>
        <v>1.0067951000186492E-3</v>
      </c>
      <c r="AF8" s="13">
        <f ca="1">('TUSD BE'!$AJ$8+'TUSD BF'!$AJ$8+'TUSD CVA'!$AJ$8)*1</f>
        <v>0.59796318774645363</v>
      </c>
      <c r="AG8" s="13">
        <f ca="1">('TUSD BE'!$AK$8+'TUSD BF'!$AK$8+'TUSD CVA'!$AK$8)*1</f>
        <v>8.2901209518496874E-2</v>
      </c>
      <c r="AI8" s="13">
        <v>0</v>
      </c>
      <c r="AJ8" s="13">
        <v>3.73386634022283E-2</v>
      </c>
      <c r="AK8" s="13">
        <v>2.1378107873188001E-2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0</v>
      </c>
      <c r="AZ8" s="13">
        <v>0</v>
      </c>
      <c r="BA8" s="13">
        <v>4.9046366631188401E-2</v>
      </c>
      <c r="BB8" s="13">
        <v>9.9503887906905101E-4</v>
      </c>
      <c r="BC8" s="13">
        <v>0.50453438667382</v>
      </c>
      <c r="BD8" s="13">
        <v>8.4133284167680303E-2</v>
      </c>
    </row>
    <row r="9" spans="1:56" ht="11.25" customHeight="1" x14ac:dyDescent="0.3">
      <c r="A9" s="128" t="s">
        <v>60</v>
      </c>
      <c r="B9" s="128" t="s">
        <v>40</v>
      </c>
      <c r="C9" s="128" t="s">
        <v>25</v>
      </c>
      <c r="D9" s="128" t="s">
        <v>25</v>
      </c>
      <c r="E9" s="128" t="s">
        <v>25</v>
      </c>
      <c r="F9" s="128" t="s">
        <v>25</v>
      </c>
      <c r="G9" s="18" t="s">
        <v>82</v>
      </c>
      <c r="H9" s="18" t="s">
        <v>81</v>
      </c>
      <c r="I9" s="18">
        <f>'MERCADO TUSD'!$U$6</f>
        <v>0</v>
      </c>
      <c r="J9" s="15"/>
      <c r="L9" s="13">
        <f>('TUSD BE'!$L$9+'TUSD BF'!$L$9+'TUSD CVA'!$L$9)*1</f>
        <v>0</v>
      </c>
      <c r="M9" s="13">
        <f>('TUSD BE'!$M$9+'TUSD BF'!$M$9+'TUSD CVA'!$M$9)*1</f>
        <v>0</v>
      </c>
      <c r="N9" s="13">
        <f ca="1">('TUSD BE'!$N$9+'TUSD BF'!$N$9+'TUSD CVA'!$N$9)*1</f>
        <v>0</v>
      </c>
      <c r="O9" s="13">
        <f>('TUSD BE'!$O$9+'TUSD BF'!$O$9+'TUSD CVA'!$O$9)*1</f>
        <v>0</v>
      </c>
      <c r="P9" s="13">
        <f>('TUSD BE'!$P$9+'TUSD BF'!$P$9+'TUSD CVA'!$P$9)*1</f>
        <v>0</v>
      </c>
      <c r="Q9" s="13">
        <f>('TUSD BE'!$Q$9+'TUSD BF'!$Q$9+'TUSD CVA'!$Q$9)*1</f>
        <v>0</v>
      </c>
      <c r="R9" s="13">
        <f>('TUSD BE'!$R$9+'TUSD BF'!$R$9+'TUSD CVA'!$R$9)*1</f>
        <v>0</v>
      </c>
      <c r="S9" s="13">
        <f>('TUSD BE'!$S$9+'TUSD BF'!$S$9+'TUSD CVA'!$S$9)*1</f>
        <v>0</v>
      </c>
      <c r="T9" s="13">
        <f>('TUSD BE'!$U$9+'TUSD BF'!$U$9+'TUSD CVA'!$U$9)*1</f>
        <v>6.4769990871028655</v>
      </c>
      <c r="U9" s="13">
        <f>('TUSD BE'!$V$9+'TUSD BF'!$V$9+'TUSD CVA'!$V$9)*1</f>
        <v>1.3053475691317542</v>
      </c>
      <c r="V9" s="13">
        <f>('TUSD BE'!$W$9+'TUSD BF'!$W$9+'TUSD CVA'!$W$9)*1</f>
        <v>0.1914149121182589</v>
      </c>
      <c r="W9" s="13">
        <f>('TUSD BE'!$X$9+'TUSD BF'!$X$9+'TUSD CVA'!$X$9)*1</f>
        <v>0</v>
      </c>
      <c r="X9" s="13">
        <f>('TUSD BE'!$Y$9+'TUSD BF'!$Y$9+'TUSD CVA'!$Y$9)*1</f>
        <v>0</v>
      </c>
      <c r="Y9" s="13">
        <f>('TUSD BE'!$Z$9+'TUSD BF'!$Z$9+'TUSD CVA'!$Z$9)*1</f>
        <v>0</v>
      </c>
      <c r="Z9" s="13">
        <f>('TUSD BE'!$AA$9+'TUSD BF'!$AA$9+'TUSD CVA'!$AA$9)*1</f>
        <v>0</v>
      </c>
      <c r="AA9" s="13">
        <f>('TUSD BE'!$AC$9+'TUSD BF'!$AC$9+'TUSD CVA'!$AC$9)*1</f>
        <v>23.126317020591792</v>
      </c>
      <c r="AB9" s="13">
        <f ca="1">('TUSD BE'!$AE$9+'TUSD BF'!$AE$9+'TUSD CVA'!$AE$9)*1</f>
        <v>0</v>
      </c>
      <c r="AC9" s="13">
        <f ca="1">('TUSD BE'!$AF$9+'TUSD BF'!$AF$9+'TUSD CVA'!$AF$9)*1</f>
        <v>0</v>
      </c>
      <c r="AD9" s="13">
        <f>('TUSD BE'!$AH$9+'TUSD BF'!$AH$9+'TUSD CVA'!$AH$9)*1</f>
        <v>0</v>
      </c>
      <c r="AE9" s="13">
        <f>('TUSD BE'!$AI$9+'TUSD BF'!$AI$9+'TUSD CVA'!$AI$9)*1</f>
        <v>0</v>
      </c>
      <c r="AF9" s="13">
        <f ca="1">('TUSD BE'!$AJ$9+'TUSD BF'!$AJ$9+'TUSD CVA'!$AJ$9)*1</f>
        <v>0</v>
      </c>
      <c r="AG9" s="13">
        <f ca="1">('TUSD BE'!$AK$9+'TUSD BF'!$AK$9+'TUSD CVA'!$AK$9)*1</f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5.3713105070305103</v>
      </c>
      <c r="AR9" s="13">
        <v>1.5434446341146799</v>
      </c>
      <c r="AS9" s="13">
        <v>1.8452470975230399E-2</v>
      </c>
      <c r="AT9" s="13">
        <v>0</v>
      </c>
      <c r="AU9" s="13">
        <v>0</v>
      </c>
      <c r="AV9" s="13">
        <v>0</v>
      </c>
      <c r="AW9" s="13">
        <v>0</v>
      </c>
      <c r="AX9" s="13">
        <v>20.208625852877901</v>
      </c>
      <c r="AY9" s="13">
        <v>0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</row>
    <row r="10" spans="1:56" ht="11.25" customHeight="1" x14ac:dyDescent="0.3">
      <c r="A10" s="128"/>
      <c r="B10" s="128"/>
      <c r="C10" s="128"/>
      <c r="D10" s="128"/>
      <c r="E10" s="128"/>
      <c r="F10" s="128"/>
      <c r="G10" s="18" t="s">
        <v>83</v>
      </c>
      <c r="H10" s="18" t="s">
        <v>81</v>
      </c>
      <c r="I10" s="18">
        <f>'MERCADO TUSD'!$U$7</f>
        <v>0</v>
      </c>
      <c r="J10" s="15"/>
      <c r="L10" s="13">
        <f>('TUSD BE'!$L$10+'TUSD BF'!$L$10+'TUSD CVA'!$L$10)*1</f>
        <v>0</v>
      </c>
      <c r="M10" s="13">
        <f>('TUSD BE'!$M$10+'TUSD BF'!$M$10+'TUSD CVA'!$M$10)*1</f>
        <v>0</v>
      </c>
      <c r="N10" s="13">
        <f ca="1">('TUSD BE'!$N$10+'TUSD BF'!$N$10+'TUSD CVA'!$N$10)*1</f>
        <v>0</v>
      </c>
      <c r="O10" s="13">
        <f>('TUSD BE'!$O$10+'TUSD BF'!$O$10+'TUSD CVA'!$O$10)*1</f>
        <v>0</v>
      </c>
      <c r="P10" s="13">
        <f>('TUSD BE'!$P$10+'TUSD BF'!$P$10+'TUSD CVA'!$P$10)*1</f>
        <v>0</v>
      </c>
      <c r="Q10" s="13">
        <f>('TUSD BE'!$Q$10+'TUSD BF'!$Q$10+'TUSD CVA'!$Q$10)*1</f>
        <v>0</v>
      </c>
      <c r="R10" s="13">
        <f>('TUSD BE'!$R$10+'TUSD BF'!$R$10+'TUSD CVA'!$R$10)*1</f>
        <v>0</v>
      </c>
      <c r="S10" s="13">
        <f>('TUSD BE'!$S$10+'TUSD BF'!$S$10+'TUSD CVA'!$S$10)*1</f>
        <v>0</v>
      </c>
      <c r="T10" s="13">
        <f>('TUSD BE'!$U$10+'TUSD BF'!$U$10+'TUSD CVA'!$U$10)*1</f>
        <v>4.6823355774444808</v>
      </c>
      <c r="U10" s="13">
        <f>('TUSD BE'!$V$10+'TUSD BF'!$V$10+'TUSD CVA'!$V$10)*1</f>
        <v>0.95122372850573034</v>
      </c>
      <c r="V10" s="13">
        <f>('TUSD BE'!$W$10+'TUSD BF'!$W$10+'TUSD CVA'!$W$10)*1</f>
        <v>0.13368335573606746</v>
      </c>
      <c r="W10" s="13">
        <f>('TUSD BE'!$X$10+'TUSD BF'!$X$10+'TUSD CVA'!$X$10)*1</f>
        <v>0</v>
      </c>
      <c r="X10" s="13">
        <f>('TUSD BE'!$Y$10+'TUSD BF'!$Y$10+'TUSD CVA'!$Y$10)*1</f>
        <v>0</v>
      </c>
      <c r="Y10" s="13">
        <f>('TUSD BE'!$Z$10+'TUSD BF'!$Z$10+'TUSD CVA'!$Z$10)*1</f>
        <v>0</v>
      </c>
      <c r="Z10" s="13">
        <f>('TUSD BE'!$AA$10+'TUSD BF'!$AA$10+'TUSD CVA'!$AA$10)*1</f>
        <v>0</v>
      </c>
      <c r="AA10" s="13">
        <f>('TUSD BE'!$AC$10+'TUSD BF'!$AC$10+'TUSD CVA'!$AC$10)*1</f>
        <v>6.2302906504317574</v>
      </c>
      <c r="AB10" s="13">
        <f ca="1">('TUSD BE'!$AE$10+'TUSD BF'!$AE$10+'TUSD CVA'!$AE$10)*1</f>
        <v>0</v>
      </c>
      <c r="AC10" s="13">
        <f ca="1">('TUSD BE'!$AF$10+'TUSD BF'!$AF$10+'TUSD CVA'!$AF$10)*1</f>
        <v>0</v>
      </c>
      <c r="AD10" s="13">
        <f>('TUSD BE'!$AH$10+'TUSD BF'!$AH$10+'TUSD CVA'!$AH$10)*1</f>
        <v>0</v>
      </c>
      <c r="AE10" s="13">
        <f>('TUSD BE'!$AI$10+'TUSD BF'!$AI$10+'TUSD CVA'!$AI$10)*1</f>
        <v>0</v>
      </c>
      <c r="AF10" s="13">
        <f ca="1">('TUSD BE'!$AJ$10+'TUSD BF'!$AJ$10+'TUSD CVA'!$AJ$10)*1</f>
        <v>0</v>
      </c>
      <c r="AG10" s="13">
        <f ca="1">('TUSD BE'!$AK$10+'TUSD BF'!$AK$10+'TUSD CVA'!$AK$10)*1</f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3.88301402336926</v>
      </c>
      <c r="AR10" s="13">
        <v>1.12472815235047</v>
      </c>
      <c r="AS10" s="13">
        <v>1.2887126788048601E-2</v>
      </c>
      <c r="AT10" s="13">
        <v>0</v>
      </c>
      <c r="AU10" s="13">
        <v>0</v>
      </c>
      <c r="AV10" s="13">
        <v>0</v>
      </c>
      <c r="AW10" s="13">
        <v>0</v>
      </c>
      <c r="AX10" s="13">
        <v>5.4442569734364303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</row>
    <row r="11" spans="1:56" ht="11.25" customHeight="1" x14ac:dyDescent="0.3">
      <c r="A11" s="128"/>
      <c r="B11" s="128"/>
      <c r="C11" s="128"/>
      <c r="D11" s="128"/>
      <c r="E11" s="128"/>
      <c r="F11" s="128"/>
      <c r="G11" s="18" t="s">
        <v>84</v>
      </c>
      <c r="H11" s="18" t="s">
        <v>78</v>
      </c>
      <c r="I11" s="18">
        <f>'MERCADO TUSD'!$U$8</f>
        <v>0</v>
      </c>
      <c r="J11" s="15"/>
      <c r="L11" s="13">
        <f>('TUSD BE'!$L$11+'TUSD BF'!$L$11+'TUSD CVA'!$L$11)*1</f>
        <v>4.1179105520322938</v>
      </c>
      <c r="M11" s="13">
        <f>('TUSD BE'!$M$11+'TUSD BF'!$M$11+'TUSD CVA'!$M$11)*1</f>
        <v>0</v>
      </c>
      <c r="N11" s="13">
        <f ca="1">('TUSD BE'!$N$11+'TUSD BF'!$N$11+'TUSD CVA'!$N$11)*1</f>
        <v>0.19553410838659832</v>
      </c>
      <c r="O11" s="13">
        <f>('TUSD BE'!$O$11+'TUSD BF'!$O$11+'TUSD CVA'!$O$11)*1</f>
        <v>0</v>
      </c>
      <c r="P11" s="13">
        <f>('TUSD BE'!$P$11+'TUSD BF'!$P$11+'TUSD CVA'!$P$11)*1</f>
        <v>0</v>
      </c>
      <c r="Q11" s="13">
        <f>('TUSD BE'!$Q$11+'TUSD BF'!$Q$11+'TUSD CVA'!$Q$11)*1</f>
        <v>67.055944650666973</v>
      </c>
      <c r="R11" s="13">
        <f>('TUSD BE'!$R$11+'TUSD BF'!$R$11+'TUSD CVA'!$R$11)*1</f>
        <v>18.52197764795989</v>
      </c>
      <c r="S11" s="13">
        <f>('TUSD BE'!$S$11+'TUSD BF'!$S$11+'TUSD CVA'!$S$11)*1</f>
        <v>0</v>
      </c>
      <c r="T11" s="13">
        <f>('TUSD BE'!$U$11+'TUSD BF'!$U$11+'TUSD CVA'!$U$11)*1</f>
        <v>0</v>
      </c>
      <c r="U11" s="13">
        <f>('TUSD BE'!$V$11+'TUSD BF'!$V$11+'TUSD CVA'!$V$11)*1</f>
        <v>0</v>
      </c>
      <c r="V11" s="13">
        <f>('TUSD BE'!$W$11+'TUSD BF'!$W$11+'TUSD CVA'!$W$11)*1</f>
        <v>0</v>
      </c>
      <c r="W11" s="13">
        <f>('TUSD BE'!$X$11+'TUSD BF'!$X$11+'TUSD CVA'!$X$11)*1</f>
        <v>0</v>
      </c>
      <c r="X11" s="13">
        <f>('TUSD BE'!$Y$11+'TUSD BF'!$Y$11+'TUSD CVA'!$Y$11)*1</f>
        <v>0</v>
      </c>
      <c r="Y11" s="13">
        <f>('TUSD BE'!$Z$11+'TUSD BF'!$Z$11+'TUSD CVA'!$Z$11)*1</f>
        <v>0</v>
      </c>
      <c r="Z11" s="13">
        <f>('TUSD BE'!$AA$11+'TUSD BF'!$AA$11+'TUSD CVA'!$AA$11)*1</f>
        <v>0</v>
      </c>
      <c r="AA11" s="13">
        <f>('TUSD BE'!$AC$11+'TUSD BF'!$AC$11+'TUSD CVA'!$AC$11)*1</f>
        <v>0</v>
      </c>
      <c r="AB11" s="13">
        <f ca="1">('TUSD BE'!$AE$11+'TUSD BF'!$AE$11+'TUSD CVA'!$AE$11)*1</f>
        <v>0</v>
      </c>
      <c r="AC11" s="13">
        <f ca="1">('TUSD BE'!$AF$11+'TUSD BF'!$AF$11+'TUSD CVA'!$AF$11)*1</f>
        <v>0</v>
      </c>
      <c r="AD11" s="13">
        <f>('TUSD BE'!$AH$11+'TUSD BF'!$AH$11+'TUSD CVA'!$AH$11)*1</f>
        <v>2.3472444839092423</v>
      </c>
      <c r="AE11" s="13">
        <f>('TUSD BE'!$AI$11+'TUSD BF'!$AI$11+'TUSD CVA'!$AI$11)*1</f>
        <v>4.0680288886195071E-2</v>
      </c>
      <c r="AF11" s="13">
        <f ca="1">('TUSD BE'!$AJ$11+'TUSD BF'!$AJ$11+'TUSD CVA'!$AJ$11)*1</f>
        <v>0</v>
      </c>
      <c r="AG11" s="13">
        <f ca="1">('TUSD BE'!$AK$11+'TUSD BF'!$AK$11+'TUSD CVA'!$AK$11)*1</f>
        <v>0</v>
      </c>
      <c r="AI11" s="13">
        <v>4.5119647913719803</v>
      </c>
      <c r="AJ11" s="13">
        <v>0</v>
      </c>
      <c r="AK11" s="13">
        <v>0.151675346400483</v>
      </c>
      <c r="AL11" s="13">
        <v>0</v>
      </c>
      <c r="AM11" s="13">
        <v>0</v>
      </c>
      <c r="AN11" s="13">
        <v>38.594052947149699</v>
      </c>
      <c r="AO11" s="13">
        <v>10.076820057623801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3">
        <v>0</v>
      </c>
      <c r="BA11" s="13">
        <v>1.98175414574229</v>
      </c>
      <c r="BB11" s="13">
        <v>4.0205270221095497E-2</v>
      </c>
      <c r="BC11" s="13">
        <v>0</v>
      </c>
      <c r="BD11" s="13">
        <v>0</v>
      </c>
    </row>
    <row r="12" spans="1:56" ht="11.25" customHeight="1" x14ac:dyDescent="0.3">
      <c r="A12" s="128"/>
      <c r="B12" s="128"/>
      <c r="C12" s="128"/>
      <c r="D12" s="128"/>
      <c r="E12" s="17" t="s">
        <v>85</v>
      </c>
      <c r="F12" s="17" t="s">
        <v>25</v>
      </c>
      <c r="G12" s="18" t="s">
        <v>84</v>
      </c>
      <c r="H12" s="18" t="s">
        <v>78</v>
      </c>
      <c r="I12" s="18">
        <f>'MERCADO TUSD'!$U$9</f>
        <v>0</v>
      </c>
      <c r="J12" s="15"/>
      <c r="L12" s="13">
        <f>('TUSD BE'!$L$12+'TUSD BF'!$L$12+'TUSD CVA'!$L$12)*1</f>
        <v>0</v>
      </c>
      <c r="M12" s="13">
        <f>('TUSD BE'!$M$12+'TUSD BF'!$M$12+'TUSD CVA'!$M$12)*1</f>
        <v>0</v>
      </c>
      <c r="N12" s="13">
        <f ca="1">('TUSD BE'!$N$12+'TUSD BF'!$N$12+'TUSD CVA'!$N$12)*1</f>
        <v>0.18295471386867515</v>
      </c>
      <c r="O12" s="13">
        <f>('TUSD BE'!$O$12+'TUSD BF'!$O$12+'TUSD CVA'!$O$12)*1</f>
        <v>0</v>
      </c>
      <c r="P12" s="13">
        <f>('TUSD BE'!$P$12+'TUSD BF'!$P$12+'TUSD CVA'!$P$12)*1</f>
        <v>0</v>
      </c>
      <c r="Q12" s="13">
        <f>('TUSD BE'!$Q$12+'TUSD BF'!$Q$12+'TUSD CVA'!$Q$12)*1</f>
        <v>0</v>
      </c>
      <c r="R12" s="13">
        <f>('TUSD BE'!$R$12+'TUSD BF'!$R$12+'TUSD CVA'!$R$12)*1</f>
        <v>0</v>
      </c>
      <c r="S12" s="13">
        <f>('TUSD BE'!$S$12+'TUSD BF'!$S$12+'TUSD CVA'!$S$12)*1</f>
        <v>0</v>
      </c>
      <c r="T12" s="13">
        <f>('TUSD BE'!$U$12+'TUSD BF'!$U$12+'TUSD CVA'!$U$12)*1</f>
        <v>0</v>
      </c>
      <c r="U12" s="13">
        <f>('TUSD BE'!$V$12+'TUSD BF'!$V$12+'TUSD CVA'!$V$12)*1</f>
        <v>0</v>
      </c>
      <c r="V12" s="13">
        <f>('TUSD BE'!$W$12+'TUSD BF'!$W$12+'TUSD CVA'!$W$12)*1</f>
        <v>0</v>
      </c>
      <c r="W12" s="13">
        <f>('TUSD BE'!$X$12+'TUSD BF'!$X$12+'TUSD CVA'!$X$12)*1</f>
        <v>0</v>
      </c>
      <c r="X12" s="13">
        <f>('TUSD BE'!$Y$12+'TUSD BF'!$Y$12+'TUSD CVA'!$Y$12)*1</f>
        <v>0</v>
      </c>
      <c r="Y12" s="13">
        <f>('TUSD BE'!$Z$12+'TUSD BF'!$Z$12+'TUSD CVA'!$Z$12)*1</f>
        <v>0</v>
      </c>
      <c r="Z12" s="13">
        <f>('TUSD BE'!$AA$12+'TUSD BF'!$AA$12+'TUSD CVA'!$AA$12)*1</f>
        <v>0</v>
      </c>
      <c r="AA12" s="13">
        <f>('TUSD BE'!$AC$12+'TUSD BF'!$AC$12+'TUSD CVA'!$AC$12)*1</f>
        <v>0</v>
      </c>
      <c r="AB12" s="13">
        <f ca="1">('TUSD BE'!$AE$12+'TUSD BF'!$AE$12+'TUSD CVA'!$AE$12)*1</f>
        <v>0</v>
      </c>
      <c r="AC12" s="13">
        <f ca="1">('TUSD BE'!$AF$12+'TUSD BF'!$AF$12+'TUSD CVA'!$AF$12)*1</f>
        <v>0</v>
      </c>
      <c r="AD12" s="13">
        <f>('TUSD BE'!$AH$12+'TUSD BF'!$AH$12+'TUSD CVA'!$AH$12)*1</f>
        <v>2.3472444839092423</v>
      </c>
      <c r="AE12" s="13">
        <f>('TUSD BE'!$AI$12+'TUSD BF'!$AI$12+'TUSD CVA'!$AI$12)*1</f>
        <v>4.0680288886195071E-2</v>
      </c>
      <c r="AF12" s="13">
        <f ca="1">('TUSD BE'!$AJ$12+'TUSD BF'!$AJ$12+'TUSD CVA'!$AJ$12)*1</f>
        <v>0</v>
      </c>
      <c r="AG12" s="13">
        <f ca="1">('TUSD BE'!$AK$12+'TUSD BF'!$AK$12+'TUSD CVA'!$AK$12)*1</f>
        <v>0</v>
      </c>
      <c r="AI12" s="13">
        <v>0</v>
      </c>
      <c r="AJ12" s="13">
        <v>0</v>
      </c>
      <c r="AK12" s="13">
        <v>0.141917539761235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1.98175414574229</v>
      </c>
      <c r="BB12" s="13">
        <v>4.0205270221095497E-2</v>
      </c>
      <c r="BC12" s="13">
        <v>0</v>
      </c>
      <c r="BD12" s="13">
        <v>0</v>
      </c>
    </row>
    <row r="13" spans="1:56" ht="11.25" customHeight="1" x14ac:dyDescent="0.3">
      <c r="A13" s="128"/>
      <c r="B13" s="17" t="s">
        <v>57</v>
      </c>
      <c r="C13" s="17" t="s">
        <v>25</v>
      </c>
      <c r="D13" s="17" t="s">
        <v>25</v>
      </c>
      <c r="E13" s="17" t="s">
        <v>25</v>
      </c>
      <c r="F13" s="17" t="s">
        <v>25</v>
      </c>
      <c r="G13" s="18" t="s">
        <v>9</v>
      </c>
      <c r="H13" s="18" t="s">
        <v>81</v>
      </c>
      <c r="I13" s="18">
        <f>'MERCADO TUSD'!$U$10</f>
        <v>93600</v>
      </c>
      <c r="J13" s="15"/>
      <c r="L13" s="13">
        <f>('TUSD BE'!$L$13+'TUSD BF'!$L$13+'TUSD CVA'!$L$13)*1</f>
        <v>0</v>
      </c>
      <c r="M13" s="13">
        <f>('TUSD BE'!$M$13+'TUSD BF'!$M$13+'TUSD CVA'!$M$13)*1</f>
        <v>2.5522421336842314E-2</v>
      </c>
      <c r="N13" s="13">
        <f ca="1">('TUSD BE'!$N$13+'TUSD BF'!$N$13+'TUSD CVA'!$N$13)*1</f>
        <v>7.6656089889971676E-2</v>
      </c>
      <c r="O13" s="13">
        <f>('TUSD BE'!$O$13+'TUSD BF'!$O$13+'TUSD CVA'!$O$13)*1</f>
        <v>0</v>
      </c>
      <c r="P13" s="13">
        <f>('TUSD BE'!$P$13+'TUSD BF'!$P$13+'TUSD CVA'!$P$13)*1</f>
        <v>0</v>
      </c>
      <c r="Q13" s="13">
        <f>('TUSD BE'!$Q$13+'TUSD BF'!$Q$13+'TUSD CVA'!$Q$13)*1</f>
        <v>0</v>
      </c>
      <c r="R13" s="13">
        <f>('TUSD BE'!$R$13+'TUSD BF'!$R$13+'TUSD CVA'!$R$13)*1</f>
        <v>0</v>
      </c>
      <c r="S13" s="13">
        <f>('TUSD BE'!$S$13+'TUSD BF'!$S$13+'TUSD CVA'!$S$13)*1</f>
        <v>0</v>
      </c>
      <c r="T13" s="13">
        <f>('TUSD BE'!$U$13+'TUSD BF'!$U$13+'TUSD CVA'!$U$13)*1</f>
        <v>6.5950691965243005</v>
      </c>
      <c r="U13" s="13">
        <f>('TUSD BE'!$V$13+'TUSD BF'!$V$13+'TUSD CVA'!$V$13)*1</f>
        <v>2.7034018709140137</v>
      </c>
      <c r="V13" s="13">
        <f>('TUSD BE'!$W$13+'TUSD BF'!$W$13+'TUSD CVA'!$W$13)*1</f>
        <v>0.61616933361794135</v>
      </c>
      <c r="W13" s="13">
        <f>('TUSD BE'!$X$13+'TUSD BF'!$X$13+'TUSD CVA'!$X$13)*1</f>
        <v>0</v>
      </c>
      <c r="X13" s="13">
        <f>('TUSD BE'!$Y$13+'TUSD BF'!$Y$13+'TUSD CVA'!$Y$13)*1</f>
        <v>0</v>
      </c>
      <c r="Y13" s="13">
        <f>('TUSD BE'!$Z$13+'TUSD BF'!$Z$13+'TUSD CVA'!$Z$13)*1</f>
        <v>0</v>
      </c>
      <c r="Z13" s="13">
        <f>('TUSD BE'!$AA$13+'TUSD BF'!$AA$13+'TUSD CVA'!$AA$13)*1</f>
        <v>0</v>
      </c>
      <c r="AA13" s="13">
        <f>('TUSD BE'!$AC$13+'TUSD BF'!$AC$13+'TUSD CVA'!$AC$13)*1</f>
        <v>1.581994803548153</v>
      </c>
      <c r="AB13" s="13">
        <f ca="1">('TUSD BE'!$AE$13+'TUSD BF'!$AE$13+'TUSD CVA'!$AE$13)*1</f>
        <v>0</v>
      </c>
      <c r="AC13" s="13">
        <f ca="1">('TUSD BE'!$AF$13+'TUSD BF'!$AF$13+'TUSD CVA'!$AF$13)*1</f>
        <v>0</v>
      </c>
      <c r="AD13" s="13">
        <f>('TUSD BE'!$AH$13+'TUSD BF'!$AH$13+'TUSD CVA'!$AH$13)*1</f>
        <v>0</v>
      </c>
      <c r="AE13" s="13">
        <f>('TUSD BE'!$AI$13+'TUSD BF'!$AI$13+'TUSD CVA'!$AI$13)*1</f>
        <v>0</v>
      </c>
      <c r="AF13" s="13">
        <f ca="1">('TUSD BE'!$AJ$13+'TUSD BF'!$AJ$13+'TUSD CVA'!$AJ$13)*1</f>
        <v>0</v>
      </c>
      <c r="AG13" s="13">
        <f ca="1">('TUSD BE'!$AK$13+'TUSD BF'!$AK$13+'TUSD CVA'!$AK$13)*1</f>
        <v>0</v>
      </c>
      <c r="AI13" s="13">
        <v>0</v>
      </c>
      <c r="AJ13" s="13">
        <v>2.3013283636845801E-2</v>
      </c>
      <c r="AK13" s="13">
        <v>7.1966185669239194E-2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6.3594039029435399</v>
      </c>
      <c r="AR13" s="13">
        <v>2.6059362876212302</v>
      </c>
      <c r="AS13" s="13">
        <v>0.55934457758054601</v>
      </c>
      <c r="AT13" s="13">
        <v>0</v>
      </c>
      <c r="AU13" s="13">
        <v>0</v>
      </c>
      <c r="AV13" s="13">
        <v>0</v>
      </c>
      <c r="AW13" s="13">
        <v>0</v>
      </c>
      <c r="AX13" s="13">
        <v>1.4105196839198999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</row>
    <row r="14" spans="1:56" ht="11.25" customHeight="1" x14ac:dyDescent="0.3">
      <c r="A14" s="128" t="s">
        <v>39</v>
      </c>
      <c r="B14" s="128" t="s">
        <v>40</v>
      </c>
      <c r="C14" s="128" t="s">
        <v>25</v>
      </c>
      <c r="D14" s="128" t="s">
        <v>25</v>
      </c>
      <c r="E14" s="128" t="s">
        <v>25</v>
      </c>
      <c r="F14" s="128" t="s">
        <v>25</v>
      </c>
      <c r="G14" s="18" t="s">
        <v>82</v>
      </c>
      <c r="H14" s="18" t="s">
        <v>81</v>
      </c>
      <c r="I14" s="18">
        <f>'MERCADO TUSD'!$U$11</f>
        <v>355389</v>
      </c>
      <c r="J14" s="15"/>
      <c r="L14" s="13">
        <f>('TUSD BE'!$L$14+'TUSD BF'!$L$14+'TUSD CVA'!$L$14)*1</f>
        <v>0</v>
      </c>
      <c r="M14" s="13">
        <f>('TUSD BE'!$M$14+'TUSD BF'!$M$14+'TUSD CVA'!$M$14)*1</f>
        <v>0</v>
      </c>
      <c r="N14" s="13">
        <f ca="1">('TUSD BE'!$N$14+'TUSD BF'!$N$14+'TUSD CVA'!$N$14)*1</f>
        <v>0</v>
      </c>
      <c r="O14" s="13">
        <f>('TUSD BE'!$O$14+'TUSD BF'!$O$14+'TUSD CVA'!$O$14)*1</f>
        <v>0</v>
      </c>
      <c r="P14" s="13">
        <f>('TUSD BE'!$P$14+'TUSD BF'!$P$14+'TUSD CVA'!$P$14)*1</f>
        <v>0</v>
      </c>
      <c r="Q14" s="13">
        <f>('TUSD BE'!$Q$14+'TUSD BF'!$Q$14+'TUSD CVA'!$Q$14)*1</f>
        <v>0</v>
      </c>
      <c r="R14" s="13">
        <f>('TUSD BE'!$R$14+'TUSD BF'!$R$14+'TUSD CVA'!$R$14)*1</f>
        <v>0</v>
      </c>
      <c r="S14" s="13">
        <f>('TUSD BE'!$S$14+'TUSD BF'!$S$14+'TUSD CVA'!$S$14)*1</f>
        <v>0</v>
      </c>
      <c r="T14" s="13">
        <f>('TUSD BE'!$U$14+'TUSD BF'!$U$14+'TUSD CVA'!$U$14)*1</f>
        <v>5.8705320940657941</v>
      </c>
      <c r="U14" s="13">
        <f>('TUSD BE'!$V$14+'TUSD BF'!$V$14+'TUSD CVA'!$V$14)*1</f>
        <v>1.1831237238763155</v>
      </c>
      <c r="V14" s="13">
        <f>('TUSD BE'!$W$14+'TUSD BF'!$W$14+'TUSD CVA'!$W$14)*1</f>
        <v>0.17339939097771689</v>
      </c>
      <c r="W14" s="13">
        <f>('TUSD BE'!$X$14+'TUSD BF'!$X$14+'TUSD CVA'!$X$14)*1</f>
        <v>0</v>
      </c>
      <c r="X14" s="13">
        <f>('TUSD BE'!$Y$14+'TUSD BF'!$Y$14+'TUSD CVA'!$Y$14)*1</f>
        <v>0</v>
      </c>
      <c r="Y14" s="13">
        <f>('TUSD BE'!$Z$14+'TUSD BF'!$Z$14+'TUSD CVA'!$Z$14)*1</f>
        <v>0</v>
      </c>
      <c r="Z14" s="13">
        <f>('TUSD BE'!$AA$14+'TUSD BF'!$AA$14+'TUSD CVA'!$AA$14)*1</f>
        <v>0</v>
      </c>
      <c r="AA14" s="13">
        <f>('TUSD BE'!$AC$14+'TUSD BF'!$AC$14+'TUSD CVA'!$AC$14)*1</f>
        <v>33.736585560788846</v>
      </c>
      <c r="AB14" s="13">
        <f ca="1">('TUSD BE'!$AE$14+'TUSD BF'!$AE$14+'TUSD CVA'!$AE$14)*1</f>
        <v>0</v>
      </c>
      <c r="AC14" s="13">
        <f ca="1">('TUSD BE'!$AF$14+'TUSD BF'!$AF$14+'TUSD CVA'!$AF$14)*1</f>
        <v>0</v>
      </c>
      <c r="AD14" s="13">
        <f>('TUSD BE'!$AH$14+'TUSD BF'!$AH$14+'TUSD CVA'!$AH$14)*1</f>
        <v>0</v>
      </c>
      <c r="AE14" s="13">
        <f>('TUSD BE'!$AI$14+'TUSD BF'!$AI$14+'TUSD CVA'!$AI$14)*1</f>
        <v>0</v>
      </c>
      <c r="AF14" s="13">
        <f ca="1">('TUSD BE'!$AJ$14+'TUSD BF'!$AJ$14+'TUSD CVA'!$AJ$14)*1</f>
        <v>0</v>
      </c>
      <c r="AG14" s="13">
        <f ca="1">('TUSD BE'!$AK$14+'TUSD BF'!$AK$14+'TUSD CVA'!$AK$14)*1</f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4.8683735005465003</v>
      </c>
      <c r="AR14" s="13">
        <v>1.39892700326956</v>
      </c>
      <c r="AS14" s="13">
        <v>1.6715767824620399E-2</v>
      </c>
      <c r="AT14" s="13">
        <v>0</v>
      </c>
      <c r="AU14" s="13">
        <v>0</v>
      </c>
      <c r="AV14" s="13">
        <v>0</v>
      </c>
      <c r="AW14" s="13">
        <v>0</v>
      </c>
      <c r="AX14" s="13">
        <v>29.480268498634299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</row>
    <row r="15" spans="1:56" ht="11.25" customHeight="1" x14ac:dyDescent="0.3">
      <c r="A15" s="128"/>
      <c r="B15" s="128"/>
      <c r="C15" s="128"/>
      <c r="D15" s="128"/>
      <c r="E15" s="128"/>
      <c r="F15" s="128"/>
      <c r="G15" s="18" t="s">
        <v>83</v>
      </c>
      <c r="H15" s="18" t="s">
        <v>81</v>
      </c>
      <c r="I15" s="18">
        <f>'MERCADO TUSD'!$U$12</f>
        <v>371113</v>
      </c>
      <c r="J15" s="15"/>
      <c r="L15" s="13">
        <f>('TUSD BE'!$L$15+'TUSD BF'!$L$15+'TUSD CVA'!$L$15)*1</f>
        <v>0</v>
      </c>
      <c r="M15" s="13">
        <f>('TUSD BE'!$M$15+'TUSD BF'!$M$15+'TUSD CVA'!$M$15)*1</f>
        <v>0</v>
      </c>
      <c r="N15" s="13">
        <f ca="1">('TUSD BE'!$N$15+'TUSD BF'!$N$15+'TUSD CVA'!$N$15)*1</f>
        <v>0</v>
      </c>
      <c r="O15" s="13">
        <f>('TUSD BE'!$O$15+'TUSD BF'!$O$15+'TUSD CVA'!$O$15)*1</f>
        <v>0</v>
      </c>
      <c r="P15" s="13">
        <f>('TUSD BE'!$P$15+'TUSD BF'!$P$15+'TUSD CVA'!$P$15)*1</f>
        <v>0</v>
      </c>
      <c r="Q15" s="13">
        <f>('TUSD BE'!$Q$15+'TUSD BF'!$Q$15+'TUSD CVA'!$Q$15)*1</f>
        <v>0</v>
      </c>
      <c r="R15" s="13">
        <f>('TUSD BE'!$R$15+'TUSD BF'!$R$15+'TUSD CVA'!$R$15)*1</f>
        <v>0</v>
      </c>
      <c r="S15" s="13">
        <f>('TUSD BE'!$S$15+'TUSD BF'!$S$15+'TUSD CVA'!$S$15)*1</f>
        <v>0</v>
      </c>
      <c r="T15" s="13">
        <f>('TUSD BE'!$U$15+'TUSD BF'!$U$15+'TUSD CVA'!$U$15)*1</f>
        <v>4.0983261027585955</v>
      </c>
      <c r="U15" s="13">
        <f>('TUSD BE'!$V$15+'TUSD BF'!$V$15+'TUSD CVA'!$V$15)*1</f>
        <v>0.83256280903086843</v>
      </c>
      <c r="V15" s="13">
        <f>('TUSD BE'!$W$15+'TUSD BF'!$W$15+'TUSD CVA'!$W$15)*1</f>
        <v>0.11689616558238058</v>
      </c>
      <c r="W15" s="13">
        <f>('TUSD BE'!$X$15+'TUSD BF'!$X$15+'TUSD CVA'!$X$15)*1</f>
        <v>0</v>
      </c>
      <c r="X15" s="13">
        <f>('TUSD BE'!$Y$15+'TUSD BF'!$Y$15+'TUSD CVA'!$Y$15)*1</f>
        <v>0</v>
      </c>
      <c r="Y15" s="13">
        <f>('TUSD BE'!$Z$15+'TUSD BF'!$Z$15+'TUSD CVA'!$Z$15)*1</f>
        <v>0</v>
      </c>
      <c r="Z15" s="13">
        <f>('TUSD BE'!$AA$15+'TUSD BF'!$AA$15+'TUSD CVA'!$AA$15)*1</f>
        <v>0</v>
      </c>
      <c r="AA15" s="13">
        <f>('TUSD BE'!$AC$15+'TUSD BF'!$AC$15+'TUSD CVA'!$AC$15)*1</f>
        <v>10.988168845959759</v>
      </c>
      <c r="AB15" s="13">
        <f ca="1">('TUSD BE'!$AE$15+'TUSD BF'!$AE$15+'TUSD CVA'!$AE$15)*1</f>
        <v>0</v>
      </c>
      <c r="AC15" s="13">
        <f ca="1">('TUSD BE'!$AF$15+'TUSD BF'!$AF$15+'TUSD CVA'!$AF$15)*1</f>
        <v>0</v>
      </c>
      <c r="AD15" s="13">
        <f>('TUSD BE'!$AH$15+'TUSD BF'!$AH$15+'TUSD CVA'!$AH$15)*1</f>
        <v>0</v>
      </c>
      <c r="AE15" s="13">
        <f>('TUSD BE'!$AI$15+'TUSD BF'!$AI$15+'TUSD CVA'!$AI$15)*1</f>
        <v>0</v>
      </c>
      <c r="AF15" s="13">
        <f ca="1">('TUSD BE'!$AJ$15+'TUSD BF'!$AJ$15+'TUSD CVA'!$AJ$15)*1</f>
        <v>0</v>
      </c>
      <c r="AG15" s="13">
        <f ca="1">('TUSD BE'!$AK$15+'TUSD BF'!$AK$15+'TUSD CVA'!$AK$15)*1</f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3.3987008120501598</v>
      </c>
      <c r="AR15" s="13">
        <v>0.98442332950209099</v>
      </c>
      <c r="AS15" s="13">
        <v>1.1268835215889301E-2</v>
      </c>
      <c r="AT15" s="13">
        <v>0</v>
      </c>
      <c r="AU15" s="13">
        <v>0</v>
      </c>
      <c r="AV15" s="13">
        <v>0</v>
      </c>
      <c r="AW15" s="13">
        <v>0</v>
      </c>
      <c r="AX15" s="13">
        <v>9.6018658231887901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</row>
    <row r="16" spans="1:56" ht="11.25" customHeight="1" x14ac:dyDescent="0.3">
      <c r="A16" s="128"/>
      <c r="B16" s="128"/>
      <c r="C16" s="128"/>
      <c r="D16" s="128"/>
      <c r="E16" s="128"/>
      <c r="F16" s="128"/>
      <c r="G16" s="18" t="s">
        <v>84</v>
      </c>
      <c r="H16" s="18" t="s">
        <v>78</v>
      </c>
      <c r="I16" s="18">
        <f>'MERCADO TUSD'!$U$13</f>
        <v>175397.889</v>
      </c>
      <c r="J16" s="15"/>
      <c r="L16" s="13">
        <f>('TUSD BE'!$L$16+'TUSD BF'!$L$16+'TUSD CVA'!$L$16)*1</f>
        <v>5.5791046188824627</v>
      </c>
      <c r="M16" s="13">
        <f>('TUSD BE'!$M$16+'TUSD BF'!$M$16+'TUSD CVA'!$M$16)*1</f>
        <v>0.50121508158618233</v>
      </c>
      <c r="N16" s="13">
        <f ca="1">('TUSD BE'!$N$16+'TUSD BF'!$N$16+'TUSD CVA'!$N$16)*1</f>
        <v>0.39356140156909958</v>
      </c>
      <c r="O16" s="13">
        <f>('TUSD BE'!$O$16+'TUSD BF'!$O$16+'TUSD CVA'!$O$16)*1</f>
        <v>0</v>
      </c>
      <c r="P16" s="13">
        <f>('TUSD BE'!$P$16+'TUSD BF'!$P$16+'TUSD CVA'!$P$16)*1</f>
        <v>0</v>
      </c>
      <c r="Q16" s="13">
        <f>('TUSD BE'!$Q$16+'TUSD BF'!$Q$16+'TUSD CVA'!$Q$16)*1</f>
        <v>90.84998952671009</v>
      </c>
      <c r="R16" s="13">
        <f>('TUSD BE'!$R$16+'TUSD BF'!$R$16+'TUSD CVA'!$R$16)*1</f>
        <v>18.52197764795989</v>
      </c>
      <c r="S16" s="13">
        <f>('TUSD BE'!$S$16+'TUSD BF'!$S$16+'TUSD CVA'!$S$16)*1</f>
        <v>0</v>
      </c>
      <c r="T16" s="13">
        <f>('TUSD BE'!$U$16+'TUSD BF'!$U$16+'TUSD CVA'!$U$16)*1</f>
        <v>0</v>
      </c>
      <c r="U16" s="13">
        <f>('TUSD BE'!$V$16+'TUSD BF'!$V$16+'TUSD CVA'!$V$16)*1</f>
        <v>0</v>
      </c>
      <c r="V16" s="13">
        <f>('TUSD BE'!$W$16+'TUSD BF'!$W$16+'TUSD CVA'!$W$16)*1</f>
        <v>0</v>
      </c>
      <c r="W16" s="13">
        <f>('TUSD BE'!$X$16+'TUSD BF'!$X$16+'TUSD CVA'!$X$16)*1</f>
        <v>0</v>
      </c>
      <c r="X16" s="13">
        <f>('TUSD BE'!$Y$16+'TUSD BF'!$Y$16+'TUSD CVA'!$Y$16)*1</f>
        <v>0</v>
      </c>
      <c r="Y16" s="13">
        <f>('TUSD BE'!$Z$16+'TUSD BF'!$Z$16+'TUSD CVA'!$Z$16)*1</f>
        <v>0</v>
      </c>
      <c r="Z16" s="13">
        <f>('TUSD BE'!$AA$16+'TUSD BF'!$AA$16+'TUSD CVA'!$AA$16)*1</f>
        <v>0</v>
      </c>
      <c r="AA16" s="13">
        <f>('TUSD BE'!$AC$16+'TUSD BF'!$AC$16+'TUSD CVA'!$AC$16)*1</f>
        <v>0</v>
      </c>
      <c r="AB16" s="13">
        <f ca="1">('TUSD BE'!$AE$16+'TUSD BF'!$AE$16+'TUSD CVA'!$AE$16)*1</f>
        <v>0</v>
      </c>
      <c r="AC16" s="13">
        <f ca="1">('TUSD BE'!$AF$16+'TUSD BF'!$AF$16+'TUSD CVA'!$AF$16)*1</f>
        <v>0</v>
      </c>
      <c r="AD16" s="13">
        <f>('TUSD BE'!$AH$16+'TUSD BF'!$AH$16+'TUSD CVA'!$AH$16)*1</f>
        <v>4.6364317541364404</v>
      </c>
      <c r="AE16" s="13">
        <f>('TUSD BE'!$AI$16+'TUSD BF'!$AI$16+'TUSD CVA'!$AI$16)*1</f>
        <v>8.0354383385438322E-2</v>
      </c>
      <c r="AF16" s="13">
        <f ca="1">('TUSD BE'!$AJ$16+'TUSD BF'!$AJ$16+'TUSD CVA'!$AJ$16)*1</f>
        <v>1.3857934423907272</v>
      </c>
      <c r="AG16" s="13">
        <f ca="1">('TUSD BE'!$AK$16+'TUSD BF'!$AK$16+'TUSD CVA'!$AK$16)*1</f>
        <v>0.19212546001361111</v>
      </c>
      <c r="AI16" s="13">
        <v>5.8588199529755602</v>
      </c>
      <c r="AJ16" s="13">
        <v>0.41732406501047098</v>
      </c>
      <c r="AK16" s="13">
        <v>0.30352049336377201</v>
      </c>
      <c r="AL16" s="13">
        <v>0</v>
      </c>
      <c r="AM16" s="13">
        <v>0</v>
      </c>
      <c r="AN16" s="13">
        <v>50.114665767194303</v>
      </c>
      <c r="AO16" s="13">
        <v>10.076820057623801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3.91449118879529</v>
      </c>
      <c r="BB16" s="13">
        <v>7.9416095261737193E-2</v>
      </c>
      <c r="BC16" s="13">
        <v>1.1872121571058201</v>
      </c>
      <c r="BD16" s="13">
        <v>0.19797274560333</v>
      </c>
    </row>
    <row r="17" spans="1:56" ht="11.25" customHeight="1" x14ac:dyDescent="0.3">
      <c r="A17" s="128"/>
      <c r="B17" s="128"/>
      <c r="C17" s="128"/>
      <c r="D17" s="128"/>
      <c r="E17" s="17" t="s">
        <v>85</v>
      </c>
      <c r="F17" s="17" t="s">
        <v>25</v>
      </c>
      <c r="G17" s="18" t="s">
        <v>84</v>
      </c>
      <c r="H17" s="18" t="s">
        <v>78</v>
      </c>
      <c r="I17" s="18">
        <f>'MERCADO TUSD'!$U$14</f>
        <v>0</v>
      </c>
      <c r="J17" s="15"/>
      <c r="L17" s="13">
        <f>('TUSD BE'!$L$17+'TUSD BF'!$L$17+'TUSD CVA'!$L$17)*1</f>
        <v>0</v>
      </c>
      <c r="M17" s="13">
        <f>('TUSD BE'!$M$17+'TUSD BF'!$M$17+'TUSD CVA'!$M$17)*1</f>
        <v>0.50121508158618233</v>
      </c>
      <c r="N17" s="13">
        <f ca="1">('TUSD BE'!$N$17+'TUSD BF'!$N$17+'TUSD CVA'!$N$17)*1</f>
        <v>0.38098200705117635</v>
      </c>
      <c r="O17" s="13">
        <f>('TUSD BE'!$O$17+'TUSD BF'!$O$17+'TUSD CVA'!$O$17)*1</f>
        <v>0</v>
      </c>
      <c r="P17" s="13">
        <f>('TUSD BE'!$P$17+'TUSD BF'!$P$17+'TUSD CVA'!$P$17)*1</f>
        <v>0</v>
      </c>
      <c r="Q17" s="13">
        <f>('TUSD BE'!$Q$17+'TUSD BF'!$Q$17+'TUSD CVA'!$Q$17)*1</f>
        <v>0</v>
      </c>
      <c r="R17" s="13">
        <f>('TUSD BE'!$R$17+'TUSD BF'!$R$17+'TUSD CVA'!$R$17)*1</f>
        <v>0</v>
      </c>
      <c r="S17" s="13">
        <f>('TUSD BE'!$S$17+'TUSD BF'!$S$17+'TUSD CVA'!$S$17)*1</f>
        <v>0</v>
      </c>
      <c r="T17" s="13">
        <f>('TUSD BE'!$U$17+'TUSD BF'!$U$17+'TUSD CVA'!$U$17)*1</f>
        <v>0</v>
      </c>
      <c r="U17" s="13">
        <f>('TUSD BE'!$V$17+'TUSD BF'!$V$17+'TUSD CVA'!$V$17)*1</f>
        <v>0</v>
      </c>
      <c r="V17" s="13">
        <f>('TUSD BE'!$W$17+'TUSD BF'!$W$17+'TUSD CVA'!$W$17)*1</f>
        <v>0</v>
      </c>
      <c r="W17" s="13">
        <f>('TUSD BE'!$X$17+'TUSD BF'!$X$17+'TUSD CVA'!$X$17)*1</f>
        <v>0</v>
      </c>
      <c r="X17" s="13">
        <f>('TUSD BE'!$Y$17+'TUSD BF'!$Y$17+'TUSD CVA'!$Y$17)*1</f>
        <v>0</v>
      </c>
      <c r="Y17" s="13">
        <f>('TUSD BE'!$Z$17+'TUSD BF'!$Z$17+'TUSD CVA'!$Z$17)*1</f>
        <v>0</v>
      </c>
      <c r="Z17" s="13">
        <f>('TUSD BE'!$AA$17+'TUSD BF'!$AA$17+'TUSD CVA'!$AA$17)*1</f>
        <v>0</v>
      </c>
      <c r="AA17" s="13">
        <f>('TUSD BE'!$AC$17+'TUSD BF'!$AC$17+'TUSD CVA'!$AC$17)*1</f>
        <v>0</v>
      </c>
      <c r="AB17" s="13">
        <f ca="1">('TUSD BE'!$AE$17+'TUSD BF'!$AE$17+'TUSD CVA'!$AE$17)*1</f>
        <v>0</v>
      </c>
      <c r="AC17" s="13">
        <f ca="1">('TUSD BE'!$AF$17+'TUSD BF'!$AF$17+'TUSD CVA'!$AF$17)*1</f>
        <v>0</v>
      </c>
      <c r="AD17" s="13">
        <f>('TUSD BE'!$AH$17+'TUSD BF'!$AH$17+'TUSD CVA'!$AH$17)*1</f>
        <v>4.6364317541364404</v>
      </c>
      <c r="AE17" s="13">
        <f>('TUSD BE'!$AI$17+'TUSD BF'!$AI$17+'TUSD CVA'!$AI$17)*1</f>
        <v>8.0354383385438322E-2</v>
      </c>
      <c r="AF17" s="13">
        <f ca="1">('TUSD BE'!$AJ$17+'TUSD BF'!$AJ$17+'TUSD CVA'!$AJ$17)*1</f>
        <v>1.3857934423907272</v>
      </c>
      <c r="AG17" s="13">
        <f ca="1">('TUSD BE'!$AK$17+'TUSD BF'!$AK$17+'TUSD CVA'!$AK$17)*1</f>
        <v>0.19212546001361111</v>
      </c>
      <c r="AI17" s="13">
        <v>0</v>
      </c>
      <c r="AJ17" s="13">
        <v>0.41732406501047098</v>
      </c>
      <c r="AK17" s="13">
        <v>0.29376268672452299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3.91449118879529</v>
      </c>
      <c r="BB17" s="13">
        <v>7.9416095261737193E-2</v>
      </c>
      <c r="BC17" s="13">
        <v>1.1872121571058201</v>
      </c>
      <c r="BD17" s="13">
        <v>0.19797274560333</v>
      </c>
    </row>
    <row r="18" spans="1:56" ht="11.25" customHeight="1" x14ac:dyDescent="0.3">
      <c r="A18" s="128"/>
      <c r="B18" s="17" t="s">
        <v>57</v>
      </c>
      <c r="C18" s="17" t="s">
        <v>25</v>
      </c>
      <c r="D18" s="17" t="s">
        <v>25</v>
      </c>
      <c r="E18" s="17" t="s">
        <v>25</v>
      </c>
      <c r="F18" s="17" t="s">
        <v>25</v>
      </c>
      <c r="G18" s="18" t="s">
        <v>9</v>
      </c>
      <c r="H18" s="18" t="s">
        <v>81</v>
      </c>
      <c r="I18" s="18">
        <f>'MERCADO TUSD'!$U$15</f>
        <v>105360</v>
      </c>
      <c r="J18" s="15"/>
      <c r="L18" s="13">
        <f>('TUSD BE'!$L$18+'TUSD BF'!$L$18+'TUSD CVA'!$L$18)*1</f>
        <v>0</v>
      </c>
      <c r="M18" s="13">
        <f>('TUSD BE'!$M$18+'TUSD BF'!$M$18+'TUSD CVA'!$M$18)*1</f>
        <v>1.234905988225693E-2</v>
      </c>
      <c r="N18" s="13">
        <f ca="1">('TUSD BE'!$N$18+'TUSD BF'!$N$18+'TUSD CVA'!$N$18)*1</f>
        <v>3.8744535115203482E-2</v>
      </c>
      <c r="O18" s="13">
        <f>('TUSD BE'!$O$18+'TUSD BF'!$O$18+'TUSD CVA'!$O$18)*1</f>
        <v>0</v>
      </c>
      <c r="P18" s="13">
        <f>('TUSD BE'!$P$18+'TUSD BF'!$P$18+'TUSD CVA'!$P$18)*1</f>
        <v>0</v>
      </c>
      <c r="Q18" s="13">
        <f>('TUSD BE'!$Q$18+'TUSD BF'!$Q$18+'TUSD CVA'!$Q$18)*1</f>
        <v>0</v>
      </c>
      <c r="R18" s="13">
        <f>('TUSD BE'!$R$18+'TUSD BF'!$R$18+'TUSD CVA'!$R$18)*1</f>
        <v>0</v>
      </c>
      <c r="S18" s="13">
        <f>('TUSD BE'!$S$18+'TUSD BF'!$S$18+'TUSD CVA'!$S$18)*1</f>
        <v>0</v>
      </c>
      <c r="T18" s="13">
        <f>('TUSD BE'!$U$18+'TUSD BF'!$U$18+'TUSD CVA'!$U$18)*1</f>
        <v>0</v>
      </c>
      <c r="U18" s="13">
        <f>('TUSD BE'!$V$18+'TUSD BF'!$V$18+'TUSD CVA'!$V$18)*1</f>
        <v>0</v>
      </c>
      <c r="V18" s="13">
        <f>('TUSD BE'!$W$18+'TUSD BF'!$W$18+'TUSD CVA'!$W$18)*1</f>
        <v>0</v>
      </c>
      <c r="W18" s="13">
        <f>('TUSD BE'!$X$18+'TUSD BF'!$X$18+'TUSD CVA'!$X$18)*1</f>
        <v>0</v>
      </c>
      <c r="X18" s="13">
        <f>('TUSD BE'!$Y$18+'TUSD BF'!$Y$18+'TUSD CVA'!$Y$18)*1</f>
        <v>0</v>
      </c>
      <c r="Y18" s="13">
        <f>('TUSD BE'!$Z$18+'TUSD BF'!$Z$18+'TUSD CVA'!$Z$18)*1</f>
        <v>0</v>
      </c>
      <c r="Z18" s="13">
        <f>('TUSD BE'!$AA$18+'TUSD BF'!$AA$18+'TUSD CVA'!$AA$18)*1</f>
        <v>0</v>
      </c>
      <c r="AA18" s="13">
        <f>('TUSD BE'!$AC$18+'TUSD BF'!$AC$18+'TUSD CVA'!$AC$18)*1</f>
        <v>3.6892909237765403</v>
      </c>
      <c r="AB18" s="13">
        <f ca="1">('TUSD BE'!$AE$18+'TUSD BF'!$AE$18+'TUSD CVA'!$AE$18)*1</f>
        <v>0</v>
      </c>
      <c r="AC18" s="13">
        <f ca="1">('TUSD BE'!$AF$18+'TUSD BF'!$AF$18+'TUSD CVA'!$AF$18)*1</f>
        <v>0</v>
      </c>
      <c r="AD18" s="13">
        <f>('TUSD BE'!$AH$18+'TUSD BF'!$AH$18+'TUSD CVA'!$AH$18)*1</f>
        <v>2.2183054780004654E-3</v>
      </c>
      <c r="AE18" s="13">
        <f>('TUSD BE'!$AI$18+'TUSD BF'!$AI$18+'TUSD CVA'!$AI$18)*1</f>
        <v>0</v>
      </c>
      <c r="AF18" s="13">
        <f ca="1">('TUSD BE'!$AJ$18+'TUSD BF'!$AJ$18+'TUSD CVA'!$AJ$18)*1</f>
        <v>0</v>
      </c>
      <c r="AG18" s="13">
        <f ca="1">('TUSD BE'!$AK$18+'TUSD BF'!$AK$18+'TUSD CVA'!$AK$18)*1</f>
        <v>0</v>
      </c>
      <c r="AI18" s="13">
        <v>0</v>
      </c>
      <c r="AJ18" s="13">
        <v>1.18591536774636E-2</v>
      </c>
      <c r="AK18" s="13">
        <v>3.0054044448886302E-2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3.22383801426892</v>
      </c>
      <c r="AY18" s="13">
        <v>0</v>
      </c>
      <c r="AZ18" s="13">
        <v>0</v>
      </c>
      <c r="BA18" s="13">
        <v>1.8728922818592199E-3</v>
      </c>
      <c r="BB18" s="13">
        <v>0</v>
      </c>
      <c r="BC18" s="13">
        <v>0</v>
      </c>
      <c r="BD18" s="13">
        <v>0</v>
      </c>
    </row>
    <row r="19" spans="1:56" ht="11.25" customHeight="1" x14ac:dyDescent="0.3">
      <c r="A19" s="128"/>
      <c r="B19" s="128" t="s">
        <v>41</v>
      </c>
      <c r="C19" s="128" t="s">
        <v>25</v>
      </c>
      <c r="D19" s="128" t="s">
        <v>25</v>
      </c>
      <c r="E19" s="128" t="s">
        <v>25</v>
      </c>
      <c r="F19" s="128" t="s">
        <v>25</v>
      </c>
      <c r="G19" s="18" t="s">
        <v>9</v>
      </c>
      <c r="H19" s="18" t="s">
        <v>81</v>
      </c>
      <c r="I19" s="18">
        <f>'MERCADO TUSD'!$U$16</f>
        <v>334187</v>
      </c>
      <c r="J19" s="15"/>
      <c r="L19" s="13">
        <f>('TUSD BE'!$L$19+'TUSD BF'!$L$19+'TUSD CVA'!$L$19)*1</f>
        <v>0</v>
      </c>
      <c r="M19" s="13">
        <f>('TUSD BE'!$M$19+'TUSD BF'!$M$19+'TUSD CVA'!$M$19)*1</f>
        <v>0</v>
      </c>
      <c r="N19" s="13">
        <f ca="1">('TUSD BE'!$N$19+'TUSD BF'!$N$19+'TUSD CVA'!$N$19)*1</f>
        <v>0</v>
      </c>
      <c r="O19" s="13">
        <f>('TUSD BE'!$O$19+'TUSD BF'!$O$19+'TUSD CVA'!$O$19)*1</f>
        <v>0</v>
      </c>
      <c r="P19" s="13">
        <f>('TUSD BE'!$P$19+'TUSD BF'!$P$19+'TUSD CVA'!$P$19)*1</f>
        <v>0</v>
      </c>
      <c r="Q19" s="13">
        <f>('TUSD BE'!$Q$19+'TUSD BF'!$Q$19+'TUSD CVA'!$Q$19)*1</f>
        <v>0</v>
      </c>
      <c r="R19" s="13">
        <f>('TUSD BE'!$R$19+'TUSD BF'!$R$19+'TUSD CVA'!$R$19)*1</f>
        <v>0</v>
      </c>
      <c r="S19" s="13">
        <f>('TUSD BE'!$S$19+'TUSD BF'!$S$19+'TUSD CVA'!$S$19)*1</f>
        <v>0</v>
      </c>
      <c r="T19" s="13">
        <f>('TUSD BE'!$U$19+'TUSD BF'!$U$19+'TUSD CVA'!$U$19)*1</f>
        <v>4.0983261027585955</v>
      </c>
      <c r="U19" s="13">
        <f>('TUSD BE'!$V$19+'TUSD BF'!$V$19+'TUSD CVA'!$V$19)*1</f>
        <v>0.83256280903086843</v>
      </c>
      <c r="V19" s="13">
        <f>('TUSD BE'!$W$19+'TUSD BF'!$W$19+'TUSD CVA'!$W$19)*1</f>
        <v>0.11689616558238058</v>
      </c>
      <c r="W19" s="13">
        <f>('TUSD BE'!$X$19+'TUSD BF'!$X$19+'TUSD CVA'!$X$19)*1</f>
        <v>0</v>
      </c>
      <c r="X19" s="13">
        <f>('TUSD BE'!$Y$19+'TUSD BF'!$Y$19+'TUSD CVA'!$Y$19)*1</f>
        <v>0</v>
      </c>
      <c r="Y19" s="13">
        <f>('TUSD BE'!$Z$19+'TUSD BF'!$Z$19+'TUSD CVA'!$Z$19)*1</f>
        <v>0</v>
      </c>
      <c r="Z19" s="13">
        <f>('TUSD BE'!$AA$19+'TUSD BF'!$AA$19+'TUSD CVA'!$AA$19)*1</f>
        <v>0</v>
      </c>
      <c r="AA19" s="13">
        <f>('TUSD BE'!$AC$19+'TUSD BF'!$AC$19+'TUSD CVA'!$AC$19)*1</f>
        <v>10.988168845959759</v>
      </c>
      <c r="AB19" s="13">
        <f ca="1">('TUSD BE'!$AE$19+'TUSD BF'!$AE$19+'TUSD CVA'!$AE$19)*1</f>
        <v>0</v>
      </c>
      <c r="AC19" s="13">
        <f ca="1">('TUSD BE'!$AF$19+'TUSD BF'!$AF$19+'TUSD CVA'!$AF$19)*1</f>
        <v>0</v>
      </c>
      <c r="AD19" s="13">
        <f>('TUSD BE'!$AH$19+'TUSD BF'!$AH$19+'TUSD CVA'!$AH$19)*1</f>
        <v>0</v>
      </c>
      <c r="AE19" s="13">
        <f>('TUSD BE'!$AI$19+'TUSD BF'!$AI$19+'TUSD CVA'!$AI$19)*1</f>
        <v>0</v>
      </c>
      <c r="AF19" s="13">
        <f ca="1">('TUSD BE'!$AJ$19+'TUSD BF'!$AJ$19+'TUSD CVA'!$AJ$19)*1</f>
        <v>0</v>
      </c>
      <c r="AG19" s="13">
        <f ca="1">('TUSD BE'!$AK$19+'TUSD BF'!$AK$19+'TUSD CVA'!$AK$19)*1</f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3.3987008120501598</v>
      </c>
      <c r="AR19" s="13">
        <v>0.98442332950209099</v>
      </c>
      <c r="AS19" s="13">
        <v>1.1268835215889301E-2</v>
      </c>
      <c r="AT19" s="13">
        <v>0</v>
      </c>
      <c r="AU19" s="13">
        <v>0</v>
      </c>
      <c r="AV19" s="13">
        <v>0</v>
      </c>
      <c r="AW19" s="13">
        <v>0</v>
      </c>
      <c r="AX19" s="13">
        <v>9.6018658231887901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</row>
    <row r="20" spans="1:56" ht="11.25" customHeight="1" x14ac:dyDescent="0.3">
      <c r="A20" s="128"/>
      <c r="B20" s="128"/>
      <c r="C20" s="128"/>
      <c r="D20" s="128"/>
      <c r="E20" s="128"/>
      <c r="F20" s="128"/>
      <c r="G20" s="18" t="s">
        <v>79</v>
      </c>
      <c r="H20" s="18" t="s">
        <v>78</v>
      </c>
      <c r="I20" s="18">
        <f>'MERCADO TUSD'!$U$17</f>
        <v>7190.6020000000008</v>
      </c>
      <c r="J20" s="15"/>
      <c r="L20" s="13">
        <f>('TUSD BE'!$L$20+'TUSD BF'!$L$20+'TUSD CVA'!$L$20)*1</f>
        <v>5.5791046188824627</v>
      </c>
      <c r="M20" s="13">
        <f>('TUSD BE'!$M$20+'TUSD BF'!$M$20+'TUSD CVA'!$M$20)*1</f>
        <v>0.50121508158618233</v>
      </c>
      <c r="N20" s="13">
        <f ca="1">('TUSD BE'!$N$20+'TUSD BF'!$N$20+'TUSD CVA'!$N$20)*1</f>
        <v>10.903718481782143</v>
      </c>
      <c r="O20" s="13">
        <f>('TUSD BE'!$O$20+'TUSD BF'!$O$20+'TUSD CVA'!$O$20)*1</f>
        <v>0</v>
      </c>
      <c r="P20" s="13">
        <f>('TUSD BE'!$P$20+'TUSD BF'!$P$20+'TUSD CVA'!$P$20)*1</f>
        <v>0</v>
      </c>
      <c r="Q20" s="13">
        <f>('TUSD BE'!$Q$20+'TUSD BF'!$Q$20+'TUSD CVA'!$Q$20)*1</f>
        <v>90.84998952671009</v>
      </c>
      <c r="R20" s="13">
        <f>('TUSD BE'!$R$20+'TUSD BF'!$R$20+'TUSD CVA'!$R$20)*1</f>
        <v>18.52197764795989</v>
      </c>
      <c r="S20" s="13">
        <f>('TUSD BE'!$S$20+'TUSD BF'!$S$20+'TUSD CVA'!$S$20)*1</f>
        <v>0</v>
      </c>
      <c r="T20" s="13">
        <f>('TUSD BE'!$U$20+'TUSD BF'!$U$20+'TUSD CVA'!$U$20)*1</f>
        <v>141.18699794724611</v>
      </c>
      <c r="U20" s="13">
        <f>('TUSD BE'!$V$20+'TUSD BF'!$V$20+'TUSD CVA'!$V$20)*1</f>
        <v>28.454532197493826</v>
      </c>
      <c r="V20" s="13">
        <f>('TUSD BE'!$W$20+'TUSD BF'!$W$20+'TUSD CVA'!$W$20)*1</f>
        <v>4.1718214750223312</v>
      </c>
      <c r="W20" s="13">
        <f>('TUSD BE'!$X$20+'TUSD BF'!$X$20+'TUSD CVA'!$X$20)*1</f>
        <v>0</v>
      </c>
      <c r="X20" s="13">
        <f>('TUSD BE'!$Y$20+'TUSD BF'!$Y$20+'TUSD CVA'!$Y$20)*1</f>
        <v>0</v>
      </c>
      <c r="Y20" s="13">
        <f>('TUSD BE'!$Z$20+'TUSD BF'!$Z$20+'TUSD CVA'!$Z$20)*1</f>
        <v>0</v>
      </c>
      <c r="Z20" s="13">
        <f>('TUSD BE'!$AA$20+'TUSD BF'!$AA$20+'TUSD CVA'!$AA$20)*1</f>
        <v>0</v>
      </c>
      <c r="AA20" s="13">
        <f>('TUSD BE'!$AC$20+'TUSD BF'!$AC$20+'TUSD CVA'!$AC$20)*1</f>
        <v>811.36449687833147</v>
      </c>
      <c r="AB20" s="13">
        <f ca="1">('TUSD BE'!$AE$20+'TUSD BF'!$AE$20+'TUSD CVA'!$AE$20)*1</f>
        <v>0</v>
      </c>
      <c r="AC20" s="13">
        <f ca="1">('TUSD BE'!$AF$20+'TUSD BF'!$AF$20+'TUSD CVA'!$AF$20)*1</f>
        <v>0</v>
      </c>
      <c r="AD20" s="13">
        <f>('TUSD BE'!$AH$20+'TUSD BF'!$AH$20+'TUSD CVA'!$AH$20)*1</f>
        <v>4.6364317541364404</v>
      </c>
      <c r="AE20" s="13">
        <f>('TUSD BE'!$AI$20+'TUSD BF'!$AI$20+'TUSD CVA'!$AI$20)*1</f>
        <v>8.0354383385438322E-2</v>
      </c>
      <c r="AF20" s="13">
        <f ca="1">('TUSD BE'!$AJ$20+'TUSD BF'!$AJ$20+'TUSD CVA'!$AJ$20)*1</f>
        <v>1.3857934423907272</v>
      </c>
      <c r="AG20" s="13">
        <f ca="1">('TUSD BE'!$AK$20+'TUSD BF'!$AK$20+'TUSD CVA'!$AK$20)*1</f>
        <v>0.19212546001361111</v>
      </c>
      <c r="AI20" s="13">
        <v>5.8588199529755602</v>
      </c>
      <c r="AJ20" s="13">
        <v>0.41732406501047098</v>
      </c>
      <c r="AK20" s="13">
        <v>8.4562245357346502</v>
      </c>
      <c r="AL20" s="13">
        <v>0</v>
      </c>
      <c r="AM20" s="13">
        <v>0</v>
      </c>
      <c r="AN20" s="13">
        <v>50.114665767194303</v>
      </c>
      <c r="AO20" s="13">
        <v>10.076820057623801</v>
      </c>
      <c r="AP20" s="13">
        <v>0</v>
      </c>
      <c r="AQ20" s="13">
        <v>117.084964090886</v>
      </c>
      <c r="AR20" s="13">
        <v>33.644675238241099</v>
      </c>
      <c r="AS20" s="13">
        <v>0.40216519094464598</v>
      </c>
      <c r="AT20" s="13">
        <v>0</v>
      </c>
      <c r="AU20" s="13">
        <v>0</v>
      </c>
      <c r="AV20" s="13">
        <v>0</v>
      </c>
      <c r="AW20" s="13">
        <v>0</v>
      </c>
      <c r="AX20" s="13">
        <v>709.00012021469297</v>
      </c>
      <c r="AY20" s="13">
        <v>0</v>
      </c>
      <c r="AZ20" s="13">
        <v>0</v>
      </c>
      <c r="BA20" s="13">
        <v>3.91449118879529</v>
      </c>
      <c r="BB20" s="13">
        <v>7.9416095261737193E-2</v>
      </c>
      <c r="BC20" s="13">
        <v>1.1872121571058201</v>
      </c>
      <c r="BD20" s="13">
        <v>0.19797274560333</v>
      </c>
    </row>
    <row r="21" spans="1:56" ht="11.25" customHeight="1" x14ac:dyDescent="0.3">
      <c r="A21" s="128"/>
      <c r="B21" s="128"/>
      <c r="C21" s="128"/>
      <c r="D21" s="128"/>
      <c r="E21" s="128"/>
      <c r="F21" s="128"/>
      <c r="G21" s="18" t="s">
        <v>80</v>
      </c>
      <c r="H21" s="18" t="s">
        <v>78</v>
      </c>
      <c r="I21" s="18">
        <f>'MERCADO TUSD'!$U$18</f>
        <v>80797.680999999997</v>
      </c>
      <c r="J21" s="15"/>
      <c r="L21" s="13">
        <f>('TUSD BE'!$L$21+'TUSD BF'!$L$21+'TUSD CVA'!$L$21)*1</f>
        <v>5.5791046188824627</v>
      </c>
      <c r="M21" s="13">
        <f>('TUSD BE'!$M$21+'TUSD BF'!$M$21+'TUSD CVA'!$M$21)*1</f>
        <v>0.50121508158618233</v>
      </c>
      <c r="N21" s="13">
        <f ca="1">('TUSD BE'!$N$21+'TUSD BF'!$N$21+'TUSD CVA'!$N$21)*1</f>
        <v>0.39356140156909958</v>
      </c>
      <c r="O21" s="13">
        <f>('TUSD BE'!$O$21+'TUSD BF'!$O$21+'TUSD CVA'!$O$21)*1</f>
        <v>0</v>
      </c>
      <c r="P21" s="13">
        <f>('TUSD BE'!$P$21+'TUSD BF'!$P$21+'TUSD CVA'!$P$21)*1</f>
        <v>0</v>
      </c>
      <c r="Q21" s="13">
        <f>('TUSD BE'!$Q$21+'TUSD BF'!$Q$21+'TUSD CVA'!$Q$21)*1</f>
        <v>90.84998952671009</v>
      </c>
      <c r="R21" s="13">
        <f>('TUSD BE'!$R$21+'TUSD BF'!$R$21+'TUSD CVA'!$R$21)*1</f>
        <v>18.52197764795989</v>
      </c>
      <c r="S21" s="13">
        <f>('TUSD BE'!$S$21+'TUSD BF'!$S$21+'TUSD CVA'!$S$21)*1</f>
        <v>0</v>
      </c>
      <c r="T21" s="13">
        <f>('TUSD BE'!$U$21+'TUSD BF'!$U$21+'TUSD CVA'!$U$21)*1</f>
        <v>0</v>
      </c>
      <c r="U21" s="13">
        <f>('TUSD BE'!$V$21+'TUSD BF'!$V$21+'TUSD CVA'!$V$21)*1</f>
        <v>0</v>
      </c>
      <c r="V21" s="13">
        <f>('TUSD BE'!$W$21+'TUSD BF'!$W$21+'TUSD CVA'!$W$21)*1</f>
        <v>0</v>
      </c>
      <c r="W21" s="13">
        <f>('TUSD BE'!$X$21+'TUSD BF'!$X$21+'TUSD CVA'!$X$21)*1</f>
        <v>0</v>
      </c>
      <c r="X21" s="13">
        <f>('TUSD BE'!$Y$21+'TUSD BF'!$Y$21+'TUSD CVA'!$Y$21)*1</f>
        <v>0</v>
      </c>
      <c r="Y21" s="13">
        <f>('TUSD BE'!$Z$21+'TUSD BF'!$Z$21+'TUSD CVA'!$Z$21)*1</f>
        <v>0</v>
      </c>
      <c r="Z21" s="13">
        <f>('TUSD BE'!$AA$21+'TUSD BF'!$AA$21+'TUSD CVA'!$AA$21)*1</f>
        <v>0</v>
      </c>
      <c r="AA21" s="13">
        <f>('TUSD BE'!$AC$21+'TUSD BF'!$AC$21+'TUSD CVA'!$AC$21)*1</f>
        <v>0</v>
      </c>
      <c r="AB21" s="13">
        <f ca="1">('TUSD BE'!$AE$21+'TUSD BF'!$AE$21+'TUSD CVA'!$AE$21)*1</f>
        <v>0</v>
      </c>
      <c r="AC21" s="13">
        <f ca="1">('TUSD BE'!$AF$21+'TUSD BF'!$AF$21+'TUSD CVA'!$AF$21)*1</f>
        <v>0</v>
      </c>
      <c r="AD21" s="13">
        <f>('TUSD BE'!$AH$21+'TUSD BF'!$AH$21+'TUSD CVA'!$AH$21)*1</f>
        <v>4.6364317541364404</v>
      </c>
      <c r="AE21" s="13">
        <f>('TUSD BE'!$AI$21+'TUSD BF'!$AI$21+'TUSD CVA'!$AI$21)*1</f>
        <v>8.0354383385438322E-2</v>
      </c>
      <c r="AF21" s="13">
        <f ca="1">('TUSD BE'!$AJ$21+'TUSD BF'!$AJ$21+'TUSD CVA'!$AJ$21)*1</f>
        <v>1.3857934423907272</v>
      </c>
      <c r="AG21" s="13">
        <f ca="1">('TUSD BE'!$AK$21+'TUSD BF'!$AK$21+'TUSD CVA'!$AK$21)*1</f>
        <v>0.19212546001361111</v>
      </c>
      <c r="AI21" s="13">
        <v>5.8588199529755602</v>
      </c>
      <c r="AJ21" s="13">
        <v>0.41732406501047098</v>
      </c>
      <c r="AK21" s="13">
        <v>0.30352049336377201</v>
      </c>
      <c r="AL21" s="13">
        <v>0</v>
      </c>
      <c r="AM21" s="13">
        <v>0</v>
      </c>
      <c r="AN21" s="13">
        <v>50.114665767194303</v>
      </c>
      <c r="AO21" s="13">
        <v>10.076820057623801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3.91449118879529</v>
      </c>
      <c r="BB21" s="13">
        <v>7.9416095261737193E-2</v>
      </c>
      <c r="BC21" s="13">
        <v>1.1872121571058201</v>
      </c>
      <c r="BD21" s="13">
        <v>0.19797274560333</v>
      </c>
    </row>
    <row r="22" spans="1:56" ht="11.25" customHeight="1" x14ac:dyDescent="0.3">
      <c r="A22" s="128"/>
      <c r="B22" s="128"/>
      <c r="C22" s="128"/>
      <c r="D22" s="128"/>
      <c r="E22" s="128" t="s">
        <v>85</v>
      </c>
      <c r="F22" s="128" t="s">
        <v>25</v>
      </c>
      <c r="G22" s="18" t="s">
        <v>79</v>
      </c>
      <c r="H22" s="18" t="s">
        <v>78</v>
      </c>
      <c r="I22" s="18">
        <f>'MERCADO TUSD'!$U$19</f>
        <v>0</v>
      </c>
      <c r="J22" s="15"/>
      <c r="L22" s="13">
        <f>('TUSD BE'!$L$22+'TUSD BF'!$L$22+'TUSD CVA'!$L$22)*1</f>
        <v>0</v>
      </c>
      <c r="M22" s="13">
        <f>('TUSD BE'!$M$22+'TUSD BF'!$M$22+'TUSD CVA'!$M$22)*1</f>
        <v>0.50121508158618233</v>
      </c>
      <c r="N22" s="13">
        <f ca="1">('TUSD BE'!$N$22+'TUSD BF'!$N$22+'TUSD CVA'!$N$22)*1</f>
        <v>10.89113908726422</v>
      </c>
      <c r="O22" s="13">
        <f>('TUSD BE'!$O$22+'TUSD BF'!$O$22+'TUSD CVA'!$O$22)*1</f>
        <v>0</v>
      </c>
      <c r="P22" s="13">
        <f>('TUSD BE'!$P$22+'TUSD BF'!$P$22+'TUSD CVA'!$P$22)*1</f>
        <v>0</v>
      </c>
      <c r="Q22" s="13">
        <f>('TUSD BE'!$Q$22+'TUSD BF'!$Q$22+'TUSD CVA'!$Q$22)*1</f>
        <v>0</v>
      </c>
      <c r="R22" s="13">
        <f>('TUSD BE'!$R$22+'TUSD BF'!$R$22+'TUSD CVA'!$R$22)*1</f>
        <v>0</v>
      </c>
      <c r="S22" s="13">
        <f>('TUSD BE'!$S$22+'TUSD BF'!$S$22+'TUSD CVA'!$S$22)*1</f>
        <v>0</v>
      </c>
      <c r="T22" s="13">
        <f>('TUSD BE'!$U$22+'TUSD BF'!$U$22+'TUSD CVA'!$U$22)*1</f>
        <v>141.18699794724611</v>
      </c>
      <c r="U22" s="13">
        <f>('TUSD BE'!$V$22+'TUSD BF'!$V$22+'TUSD CVA'!$V$22)*1</f>
        <v>28.454532197493826</v>
      </c>
      <c r="V22" s="13">
        <f>('TUSD BE'!$W$22+'TUSD BF'!$W$22+'TUSD CVA'!$W$22)*1</f>
        <v>4.1718214750223312</v>
      </c>
      <c r="W22" s="13">
        <f>('TUSD BE'!$X$22+'TUSD BF'!$X$22+'TUSD CVA'!$X$22)*1</f>
        <v>0</v>
      </c>
      <c r="X22" s="13">
        <f>('TUSD BE'!$Y$22+'TUSD BF'!$Y$22+'TUSD CVA'!$Y$22)*1</f>
        <v>0</v>
      </c>
      <c r="Y22" s="13">
        <f>('TUSD BE'!$Z$22+'TUSD BF'!$Z$22+'TUSD CVA'!$Z$22)*1</f>
        <v>0</v>
      </c>
      <c r="Z22" s="13">
        <f>('TUSD BE'!$AA$22+'TUSD BF'!$AA$22+'TUSD CVA'!$AA$22)*1</f>
        <v>0</v>
      </c>
      <c r="AA22" s="13">
        <f>('TUSD BE'!$AC$22+'TUSD BF'!$AC$22+'TUSD CVA'!$AC$22)*1</f>
        <v>811.36449687833147</v>
      </c>
      <c r="AB22" s="13">
        <f ca="1">('TUSD BE'!$AE$22+'TUSD BF'!$AE$22+'TUSD CVA'!$AE$22)*1</f>
        <v>0</v>
      </c>
      <c r="AC22" s="13">
        <f ca="1">('TUSD BE'!$AF$22+'TUSD BF'!$AF$22+'TUSD CVA'!$AF$22)*1</f>
        <v>0</v>
      </c>
      <c r="AD22" s="13">
        <f>('TUSD BE'!$AH$22+'TUSD BF'!$AH$22+'TUSD CVA'!$AH$22)*1</f>
        <v>4.6364317541364404</v>
      </c>
      <c r="AE22" s="13">
        <f>('TUSD BE'!$AI$22+'TUSD BF'!$AI$22+'TUSD CVA'!$AI$22)*1</f>
        <v>8.0354383385438322E-2</v>
      </c>
      <c r="AF22" s="13">
        <f ca="1">('TUSD BE'!$AJ$22+'TUSD BF'!$AJ$22+'TUSD CVA'!$AJ$22)*1</f>
        <v>1.3857934423907272</v>
      </c>
      <c r="AG22" s="13">
        <f ca="1">('TUSD BE'!$AK$22+'TUSD BF'!$AK$22+'TUSD CVA'!$AK$22)*1</f>
        <v>0.19212546001361111</v>
      </c>
      <c r="AI22" s="13">
        <v>0</v>
      </c>
      <c r="AJ22" s="13">
        <v>0.41732406501047098</v>
      </c>
      <c r="AK22" s="13">
        <v>8.4464667290954001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117.084964090886</v>
      </c>
      <c r="AR22" s="13">
        <v>33.644675238241099</v>
      </c>
      <c r="AS22" s="13">
        <v>0.40216519094464598</v>
      </c>
      <c r="AT22" s="13">
        <v>0</v>
      </c>
      <c r="AU22" s="13">
        <v>0</v>
      </c>
      <c r="AV22" s="13">
        <v>0</v>
      </c>
      <c r="AW22" s="13">
        <v>0</v>
      </c>
      <c r="AX22" s="13">
        <v>709.00012021469297</v>
      </c>
      <c r="AY22" s="13">
        <v>0</v>
      </c>
      <c r="AZ22" s="13">
        <v>0</v>
      </c>
      <c r="BA22" s="13">
        <v>3.91449118879529</v>
      </c>
      <c r="BB22" s="13">
        <v>7.9416095261737193E-2</v>
      </c>
      <c r="BC22" s="13">
        <v>1.1872121571058201</v>
      </c>
      <c r="BD22" s="13">
        <v>0.19797274560333</v>
      </c>
    </row>
    <row r="23" spans="1:56" ht="11.25" customHeight="1" x14ac:dyDescent="0.3">
      <c r="A23" s="128"/>
      <c r="B23" s="128"/>
      <c r="C23" s="128"/>
      <c r="D23" s="128"/>
      <c r="E23" s="128"/>
      <c r="F23" s="128"/>
      <c r="G23" s="18" t="s">
        <v>80</v>
      </c>
      <c r="H23" s="18" t="s">
        <v>78</v>
      </c>
      <c r="I23" s="18">
        <f>'MERCADO TUSD'!$U$20</f>
        <v>0</v>
      </c>
      <c r="J23" s="15"/>
      <c r="L23" s="13">
        <f>('TUSD BE'!$L$23+'TUSD BF'!$L$23+'TUSD CVA'!$L$23)*1</f>
        <v>0</v>
      </c>
      <c r="M23" s="13">
        <f>('TUSD BE'!$M$23+'TUSD BF'!$M$23+'TUSD CVA'!$M$23)*1</f>
        <v>0.50121508158618233</v>
      </c>
      <c r="N23" s="13">
        <f ca="1">('TUSD BE'!$N$23+'TUSD BF'!$N$23+'TUSD CVA'!$N$23)*1</f>
        <v>0.38098200705117635</v>
      </c>
      <c r="O23" s="13">
        <f>('TUSD BE'!$O$23+'TUSD BF'!$O$23+'TUSD CVA'!$O$23)*1</f>
        <v>0</v>
      </c>
      <c r="P23" s="13">
        <f>('TUSD BE'!$P$23+'TUSD BF'!$P$23+'TUSD CVA'!$P$23)*1</f>
        <v>0</v>
      </c>
      <c r="Q23" s="13">
        <f>('TUSD BE'!$Q$23+'TUSD BF'!$Q$23+'TUSD CVA'!$Q$23)*1</f>
        <v>0</v>
      </c>
      <c r="R23" s="13">
        <f>('TUSD BE'!$R$23+'TUSD BF'!$R$23+'TUSD CVA'!$R$23)*1</f>
        <v>0</v>
      </c>
      <c r="S23" s="13">
        <f>('TUSD BE'!$S$23+'TUSD BF'!$S$23+'TUSD CVA'!$S$23)*1</f>
        <v>0</v>
      </c>
      <c r="T23" s="13">
        <f>('TUSD BE'!$U$23+'TUSD BF'!$U$23+'TUSD CVA'!$U$23)*1</f>
        <v>0</v>
      </c>
      <c r="U23" s="13">
        <f>('TUSD BE'!$V$23+'TUSD BF'!$V$23+'TUSD CVA'!$V$23)*1</f>
        <v>0</v>
      </c>
      <c r="V23" s="13">
        <f>('TUSD BE'!$W$23+'TUSD BF'!$W$23+'TUSD CVA'!$W$23)*1</f>
        <v>0</v>
      </c>
      <c r="W23" s="13">
        <f>('TUSD BE'!$X$23+'TUSD BF'!$X$23+'TUSD CVA'!$X$23)*1</f>
        <v>0</v>
      </c>
      <c r="X23" s="13">
        <f>('TUSD BE'!$Y$23+'TUSD BF'!$Y$23+'TUSD CVA'!$Y$23)*1</f>
        <v>0</v>
      </c>
      <c r="Y23" s="13">
        <f>('TUSD BE'!$Z$23+'TUSD BF'!$Z$23+'TUSD CVA'!$Z$23)*1</f>
        <v>0</v>
      </c>
      <c r="Z23" s="13">
        <f>('TUSD BE'!$AA$23+'TUSD BF'!$AA$23+'TUSD CVA'!$AA$23)*1</f>
        <v>0</v>
      </c>
      <c r="AA23" s="13">
        <f>('TUSD BE'!$AC$23+'TUSD BF'!$AC$23+'TUSD CVA'!$AC$23)*1</f>
        <v>0</v>
      </c>
      <c r="AB23" s="13">
        <f ca="1">('TUSD BE'!$AE$23+'TUSD BF'!$AE$23+'TUSD CVA'!$AE$23)*1</f>
        <v>0</v>
      </c>
      <c r="AC23" s="13">
        <f ca="1">('TUSD BE'!$AF$23+'TUSD BF'!$AF$23+'TUSD CVA'!$AF$23)*1</f>
        <v>0</v>
      </c>
      <c r="AD23" s="13">
        <f>('TUSD BE'!$AH$23+'TUSD BF'!$AH$23+'TUSD CVA'!$AH$23)*1</f>
        <v>4.6364317541364404</v>
      </c>
      <c r="AE23" s="13">
        <f>('TUSD BE'!$AI$23+'TUSD BF'!$AI$23+'TUSD CVA'!$AI$23)*1</f>
        <v>8.0354383385438322E-2</v>
      </c>
      <c r="AF23" s="13">
        <f ca="1">('TUSD BE'!$AJ$23+'TUSD BF'!$AJ$23+'TUSD CVA'!$AJ$23)*1</f>
        <v>1.3857934423907272</v>
      </c>
      <c r="AG23" s="13">
        <f ca="1">('TUSD BE'!$AK$23+'TUSD BF'!$AK$23+'TUSD CVA'!$AK$23)*1</f>
        <v>0.19212546001361111</v>
      </c>
      <c r="AI23" s="13">
        <v>0</v>
      </c>
      <c r="AJ23" s="13">
        <v>0.41732406501047098</v>
      </c>
      <c r="AK23" s="13">
        <v>0.29376268672452299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3.91449118879529</v>
      </c>
      <c r="BB23" s="13">
        <v>7.9416095261737193E-2</v>
      </c>
      <c r="BC23" s="13">
        <v>1.1872121571058201</v>
      </c>
      <c r="BD23" s="13">
        <v>0.19797274560333</v>
      </c>
    </row>
    <row r="24" spans="1:56" ht="11.25" customHeight="1" x14ac:dyDescent="0.3">
      <c r="A24" s="128" t="s">
        <v>43</v>
      </c>
      <c r="B24" s="128" t="s">
        <v>40</v>
      </c>
      <c r="C24" s="128" t="s">
        <v>25</v>
      </c>
      <c r="D24" s="128" t="s">
        <v>25</v>
      </c>
      <c r="E24" s="128" t="s">
        <v>25</v>
      </c>
      <c r="F24" s="128" t="s">
        <v>25</v>
      </c>
      <c r="G24" s="18" t="s">
        <v>82</v>
      </c>
      <c r="H24" s="18" t="s">
        <v>81</v>
      </c>
      <c r="I24" s="18">
        <f>'MERCADO TUSD'!$U$21</f>
        <v>0</v>
      </c>
      <c r="J24" s="15"/>
      <c r="L24" s="13">
        <f>('TUSD BE'!$L$24+'TUSD BF'!$L$24+'TUSD CVA'!$L$24)*1</f>
        <v>0</v>
      </c>
      <c r="M24" s="13">
        <f>('TUSD BE'!$M$24+'TUSD BF'!$M$24+'TUSD CVA'!$M$24)*1</f>
        <v>0</v>
      </c>
      <c r="N24" s="13">
        <f ca="1">('TUSD BE'!$N$24+'TUSD BF'!$N$24+'TUSD CVA'!$N$24)*1</f>
        <v>0</v>
      </c>
      <c r="O24" s="13">
        <f>('TUSD BE'!$O$24+'TUSD BF'!$O$24+'TUSD CVA'!$O$24)*1</f>
        <v>0</v>
      </c>
      <c r="P24" s="13">
        <f>('TUSD BE'!$P$24+'TUSD BF'!$P$24+'TUSD CVA'!$P$24)*1</f>
        <v>0</v>
      </c>
      <c r="Q24" s="13">
        <f>('TUSD BE'!$Q$24+'TUSD BF'!$Q$24+'TUSD CVA'!$Q$24)*1</f>
        <v>0</v>
      </c>
      <c r="R24" s="13">
        <f>('TUSD BE'!$R$24+'TUSD BF'!$R$24+'TUSD CVA'!$R$24)*1</f>
        <v>0</v>
      </c>
      <c r="S24" s="13">
        <f>('TUSD BE'!$S$24+'TUSD BF'!$S$24+'TUSD CVA'!$S$24)*1</f>
        <v>0</v>
      </c>
      <c r="T24" s="13">
        <f>('TUSD BE'!$U$24+'TUSD BF'!$U$24+'TUSD CVA'!$U$24)*1</f>
        <v>5.755052570767571</v>
      </c>
      <c r="U24" s="13">
        <f>('TUSD BE'!$V$24+'TUSD BF'!$V$24+'TUSD CVA'!$V$24)*1</f>
        <v>1.1598872513942931</v>
      </c>
      <c r="V24" s="13">
        <f>('TUSD BE'!$W$24+'TUSD BF'!$W$24+'TUSD CVA'!$W$24)*1</f>
        <v>0.1701238416794365</v>
      </c>
      <c r="W24" s="13">
        <f>('TUSD BE'!$X$24+'TUSD BF'!$X$24+'TUSD CVA'!$X$24)*1</f>
        <v>0</v>
      </c>
      <c r="X24" s="13">
        <f>('TUSD BE'!$Y$24+'TUSD BF'!$Y$24+'TUSD CVA'!$Y$24)*1</f>
        <v>0</v>
      </c>
      <c r="Y24" s="13">
        <f>('TUSD BE'!$Z$24+'TUSD BF'!$Z$24+'TUSD CVA'!$Z$24)*1</f>
        <v>0</v>
      </c>
      <c r="Z24" s="13">
        <f>('TUSD BE'!$AA$24+'TUSD BF'!$AA$24+'TUSD CVA'!$AA$24)*1</f>
        <v>0</v>
      </c>
      <c r="AA24" s="13">
        <f>('TUSD BE'!$AC$24+'TUSD BF'!$AC$24+'TUSD CVA'!$AC$24)*1</f>
        <v>63.601441409473466</v>
      </c>
      <c r="AB24" s="13">
        <f ca="1">('TUSD BE'!$AE$24+'TUSD BF'!$AE$24+'TUSD CVA'!$AE$24)*1</f>
        <v>0</v>
      </c>
      <c r="AC24" s="13">
        <f ca="1">('TUSD BE'!$AF$24+'TUSD BF'!$AF$24+'TUSD CVA'!$AF$24)*1</f>
        <v>0</v>
      </c>
      <c r="AD24" s="13">
        <f>('TUSD BE'!$AH$24+'TUSD BF'!$AH$24+'TUSD CVA'!$AH$24)*1</f>
        <v>0</v>
      </c>
      <c r="AE24" s="13">
        <f>('TUSD BE'!$AI$24+'TUSD BF'!$AI$24+'TUSD CVA'!$AI$24)*1</f>
        <v>0</v>
      </c>
      <c r="AF24" s="13">
        <f ca="1">('TUSD BE'!$AJ$24+'TUSD BF'!$AJ$24+'TUSD CVA'!$AJ$24)*1</f>
        <v>0</v>
      </c>
      <c r="AG24" s="13">
        <f ca="1">('TUSD BE'!$AK$24+'TUSD BF'!$AK$24+'TUSD CVA'!$AK$24)*1</f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4.7726074878456899</v>
      </c>
      <c r="AR24" s="13">
        <v>1.37145216850812</v>
      </c>
      <c r="AS24" s="13">
        <v>1.6400003615418601E-2</v>
      </c>
      <c r="AT24" s="13">
        <v>0</v>
      </c>
      <c r="AU24" s="13">
        <v>0</v>
      </c>
      <c r="AV24" s="13">
        <v>0</v>
      </c>
      <c r="AW24" s="13">
        <v>0</v>
      </c>
      <c r="AX24" s="13">
        <v>55.577277263965001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</row>
    <row r="25" spans="1:56" ht="11.25" customHeight="1" x14ac:dyDescent="0.3">
      <c r="A25" s="128"/>
      <c r="B25" s="128"/>
      <c r="C25" s="128"/>
      <c r="D25" s="128"/>
      <c r="E25" s="128"/>
      <c r="F25" s="128"/>
      <c r="G25" s="18" t="s">
        <v>83</v>
      </c>
      <c r="H25" s="18" t="s">
        <v>81</v>
      </c>
      <c r="I25" s="18">
        <f>'MERCADO TUSD'!$U$22</f>
        <v>0</v>
      </c>
      <c r="J25" s="15"/>
      <c r="L25" s="13">
        <f>('TUSD BE'!$L$25+'TUSD BF'!$L$25+'TUSD CVA'!$L$25)*1</f>
        <v>0</v>
      </c>
      <c r="M25" s="13">
        <f>('TUSD BE'!$M$25+'TUSD BF'!$M$25+'TUSD CVA'!$M$25)*1</f>
        <v>0</v>
      </c>
      <c r="N25" s="13">
        <f ca="1">('TUSD BE'!$N$25+'TUSD BF'!$N$25+'TUSD CVA'!$N$25)*1</f>
        <v>0</v>
      </c>
      <c r="O25" s="13">
        <f>('TUSD BE'!$O$25+'TUSD BF'!$O$25+'TUSD CVA'!$O$25)*1</f>
        <v>0</v>
      </c>
      <c r="P25" s="13">
        <f>('TUSD BE'!$P$25+'TUSD BF'!$P$25+'TUSD CVA'!$P$25)*1</f>
        <v>0</v>
      </c>
      <c r="Q25" s="13">
        <f>('TUSD BE'!$Q$25+'TUSD BF'!$Q$25+'TUSD CVA'!$Q$25)*1</f>
        <v>0</v>
      </c>
      <c r="R25" s="13">
        <f>('TUSD BE'!$R$25+'TUSD BF'!$R$25+'TUSD CVA'!$R$25)*1</f>
        <v>0</v>
      </c>
      <c r="S25" s="13">
        <f>('TUSD BE'!$S$25+'TUSD BF'!$S$25+'TUSD CVA'!$S$25)*1</f>
        <v>0</v>
      </c>
      <c r="T25" s="13">
        <f>('TUSD BE'!$U$25+'TUSD BF'!$U$25+'TUSD CVA'!$U$25)*1</f>
        <v>5.4083860057627335</v>
      </c>
      <c r="U25" s="13">
        <f>('TUSD BE'!$V$25+'TUSD BF'!$V$25+'TUSD CVA'!$V$25)*1</f>
        <v>1.0986978738583002</v>
      </c>
      <c r="V25" s="13">
        <f>('TUSD BE'!$W$25+'TUSD BF'!$W$25+'TUSD CVA'!$W$25)*1</f>
        <v>0.15436026068146227</v>
      </c>
      <c r="W25" s="13">
        <f>('TUSD BE'!$X$25+'TUSD BF'!$X$25+'TUSD CVA'!$X$25)*1</f>
        <v>0</v>
      </c>
      <c r="X25" s="13">
        <f>('TUSD BE'!$Y$25+'TUSD BF'!$Y$25+'TUSD CVA'!$Y$25)*1</f>
        <v>0</v>
      </c>
      <c r="Y25" s="13">
        <f>('TUSD BE'!$Z$25+'TUSD BF'!$Z$25+'TUSD CVA'!$Z$25)*1</f>
        <v>0</v>
      </c>
      <c r="Z25" s="13">
        <f>('TUSD BE'!$AA$25+'TUSD BF'!$AA$25+'TUSD CVA'!$AA$25)*1</f>
        <v>0</v>
      </c>
      <c r="AA25" s="13">
        <f>('TUSD BE'!$AC$25+'TUSD BF'!$AC$25+'TUSD CVA'!$AC$25)*1</f>
        <v>6.7967793666006093</v>
      </c>
      <c r="AB25" s="13">
        <f ca="1">('TUSD BE'!$AE$25+'TUSD BF'!$AE$25+'TUSD CVA'!$AE$25)*1</f>
        <v>0</v>
      </c>
      <c r="AC25" s="13">
        <f ca="1">('TUSD BE'!$AF$25+'TUSD BF'!$AF$25+'TUSD CVA'!$AF$25)*1</f>
        <v>0</v>
      </c>
      <c r="AD25" s="13">
        <f>('TUSD BE'!$AH$25+'TUSD BF'!$AH$25+'TUSD CVA'!$AH$25)*1</f>
        <v>0</v>
      </c>
      <c r="AE25" s="13">
        <f>('TUSD BE'!$AI$25+'TUSD BF'!$AI$25+'TUSD CVA'!$AI$25)*1</f>
        <v>0</v>
      </c>
      <c r="AF25" s="13">
        <f ca="1">('TUSD BE'!$AJ$25+'TUSD BF'!$AJ$25+'TUSD CVA'!$AJ$25)*1</f>
        <v>0</v>
      </c>
      <c r="AG25" s="13">
        <f ca="1">('TUSD BE'!$AK$25+'TUSD BF'!$AK$25+'TUSD CVA'!$AK$25)*1</f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4.4851203756806699</v>
      </c>
      <c r="AR25" s="13">
        <v>1.2991017703030201</v>
      </c>
      <c r="AS25" s="13">
        <v>1.4880388358635E-2</v>
      </c>
      <c r="AT25" s="13">
        <v>0</v>
      </c>
      <c r="AU25" s="13">
        <v>0</v>
      </c>
      <c r="AV25" s="13">
        <v>0</v>
      </c>
      <c r="AW25" s="13">
        <v>0</v>
      </c>
      <c r="AX25" s="13">
        <v>5.9392756357136998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</row>
    <row r="26" spans="1:56" ht="11.25" customHeight="1" x14ac:dyDescent="0.3">
      <c r="A26" s="128"/>
      <c r="B26" s="128"/>
      <c r="C26" s="128"/>
      <c r="D26" s="128"/>
      <c r="E26" s="128"/>
      <c r="F26" s="128"/>
      <c r="G26" s="18" t="s">
        <v>84</v>
      </c>
      <c r="H26" s="18" t="s">
        <v>78</v>
      </c>
      <c r="I26" s="18">
        <f>'MERCADO TUSD'!$U$23</f>
        <v>0</v>
      </c>
      <c r="J26" s="15"/>
      <c r="L26" s="13">
        <f>('TUSD BE'!$L$26+'TUSD BF'!$L$26+'TUSD CVA'!$L$26)*1</f>
        <v>6.6417912129553125</v>
      </c>
      <c r="M26" s="13">
        <f>('TUSD BE'!$M$26+'TUSD BF'!$M$26+'TUSD CVA'!$M$26)*1</f>
        <v>0.95209478842407302</v>
      </c>
      <c r="N26" s="13">
        <f ca="1">('TUSD BE'!$N$26+'TUSD BF'!$N$26+'TUSD CVA'!$N$26)*1</f>
        <v>2.2918854925115975</v>
      </c>
      <c r="O26" s="13">
        <f>('TUSD BE'!$O$26+'TUSD BF'!$O$26+'TUSD CVA'!$O$26)*1</f>
        <v>0</v>
      </c>
      <c r="P26" s="13">
        <f>('TUSD BE'!$P$26+'TUSD BF'!$P$26+'TUSD CVA'!$P$26)*1</f>
        <v>0</v>
      </c>
      <c r="Q26" s="13">
        <f>('TUSD BE'!$Q$26+'TUSD BF'!$Q$26+'TUSD CVA'!$Q$26)*1</f>
        <v>108.15474943655964</v>
      </c>
      <c r="R26" s="13">
        <f>('TUSD BE'!$R$26+'TUSD BF'!$R$26+'TUSD CVA'!$R$26)*1</f>
        <v>18.52197764795989</v>
      </c>
      <c r="S26" s="13">
        <f>('TUSD BE'!$S$26+'TUSD BF'!$S$26+'TUSD CVA'!$S$26)*1</f>
        <v>0</v>
      </c>
      <c r="T26" s="13">
        <f>('TUSD BE'!$U$26+'TUSD BF'!$U$26+'TUSD CVA'!$U$26)*1</f>
        <v>0</v>
      </c>
      <c r="U26" s="13">
        <f>('TUSD BE'!$V$26+'TUSD BF'!$V$26+'TUSD CVA'!$V$26)*1</f>
        <v>0</v>
      </c>
      <c r="V26" s="13">
        <f>('TUSD BE'!$W$26+'TUSD BF'!$W$26+'TUSD CVA'!$W$26)*1</f>
        <v>0</v>
      </c>
      <c r="W26" s="13">
        <f>('TUSD BE'!$X$26+'TUSD BF'!$X$26+'TUSD CVA'!$X$26)*1</f>
        <v>0</v>
      </c>
      <c r="X26" s="13">
        <f>('TUSD BE'!$Y$26+'TUSD BF'!$Y$26+'TUSD CVA'!$Y$26)*1</f>
        <v>0</v>
      </c>
      <c r="Y26" s="13">
        <f>('TUSD BE'!$Z$26+'TUSD BF'!$Z$26+'TUSD CVA'!$Z$26)*1</f>
        <v>0</v>
      </c>
      <c r="Z26" s="13">
        <f>('TUSD BE'!$AA$26+'TUSD BF'!$AA$26+'TUSD CVA'!$AA$26)*1</f>
        <v>0</v>
      </c>
      <c r="AA26" s="13">
        <f>('TUSD BE'!$AC$26+'TUSD BF'!$AC$26+'TUSD CVA'!$AC$26)*1</f>
        <v>0</v>
      </c>
      <c r="AB26" s="13">
        <f ca="1">('TUSD BE'!$AE$26+'TUSD BF'!$AE$26+'TUSD CVA'!$AE$26)*1</f>
        <v>0</v>
      </c>
      <c r="AC26" s="13">
        <f ca="1">('TUSD BE'!$AF$26+'TUSD BF'!$AF$26+'TUSD CVA'!$AF$26)*1</f>
        <v>0</v>
      </c>
      <c r="AD26" s="13">
        <f>('TUSD BE'!$AH$26+'TUSD BF'!$AH$26+'TUSD CVA'!$AH$26)*1</f>
        <v>30.476189809509393</v>
      </c>
      <c r="AE26" s="13">
        <f>('TUSD BE'!$AI$26+'TUSD BF'!$AI$26+'TUSD CVA'!$AI$26)*1</f>
        <v>0.52818537399928256</v>
      </c>
      <c r="AF26" s="13">
        <f ca="1">('TUSD BE'!$AJ$26+'TUSD BF'!$AJ$26+'TUSD CVA'!$AJ$26)*1</f>
        <v>2.312038974661065</v>
      </c>
      <c r="AG26" s="13">
        <f ca="1">('TUSD BE'!$AK$26+'TUSD BF'!$AK$26+'TUSD CVA'!$AK$26)*1</f>
        <v>0.32053951042648349</v>
      </c>
      <c r="AI26" s="13">
        <v>6.7342758080178804</v>
      </c>
      <c r="AJ26" s="13">
        <v>0.83631238803095698</v>
      </c>
      <c r="AK26" s="13">
        <v>1.77707026289765</v>
      </c>
      <c r="AL26" s="13">
        <v>0</v>
      </c>
      <c r="AM26" s="13">
        <v>0</v>
      </c>
      <c r="AN26" s="13">
        <v>57.603064100223399</v>
      </c>
      <c r="AO26" s="13">
        <v>10.076820057623801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25.730730614322901</v>
      </c>
      <c r="BB26" s="13">
        <v>0.52201781919198698</v>
      </c>
      <c r="BC26" s="13">
        <v>2.1018547344389198</v>
      </c>
      <c r="BD26" s="13">
        <v>0.35049333865534499</v>
      </c>
    </row>
    <row r="27" spans="1:56" ht="11.25" customHeight="1" x14ac:dyDescent="0.3">
      <c r="A27" s="128"/>
      <c r="B27" s="128"/>
      <c r="C27" s="128"/>
      <c r="D27" s="128"/>
      <c r="E27" s="17" t="s">
        <v>85</v>
      </c>
      <c r="F27" s="17" t="s">
        <v>25</v>
      </c>
      <c r="G27" s="18" t="s">
        <v>84</v>
      </c>
      <c r="H27" s="18" t="s">
        <v>78</v>
      </c>
      <c r="I27" s="18">
        <f>'MERCADO TUSD'!$U$24</f>
        <v>0</v>
      </c>
      <c r="J27" s="15"/>
      <c r="L27" s="13">
        <f>('TUSD BE'!$L$27+'TUSD BF'!$L$27+'TUSD CVA'!$L$27)*1</f>
        <v>0</v>
      </c>
      <c r="M27" s="13">
        <f>('TUSD BE'!$M$27+'TUSD BF'!$M$27+'TUSD CVA'!$M$27)*1</f>
        <v>0.95209478842407302</v>
      </c>
      <c r="N27" s="13">
        <f ca="1">('TUSD BE'!$N$27+'TUSD BF'!$N$27+'TUSD CVA'!$N$27)*1</f>
        <v>2.2793060979936746</v>
      </c>
      <c r="O27" s="13">
        <f>('TUSD BE'!$O$27+'TUSD BF'!$O$27+'TUSD CVA'!$O$27)*1</f>
        <v>0</v>
      </c>
      <c r="P27" s="13">
        <f>('TUSD BE'!$P$27+'TUSD BF'!$P$27+'TUSD CVA'!$P$27)*1</f>
        <v>0</v>
      </c>
      <c r="Q27" s="13">
        <f>('TUSD BE'!$Q$27+'TUSD BF'!$Q$27+'TUSD CVA'!$Q$27)*1</f>
        <v>0</v>
      </c>
      <c r="R27" s="13">
        <f>('TUSD BE'!$R$27+'TUSD BF'!$R$27+'TUSD CVA'!$R$27)*1</f>
        <v>0</v>
      </c>
      <c r="S27" s="13">
        <f>('TUSD BE'!$S$27+'TUSD BF'!$S$27+'TUSD CVA'!$S$27)*1</f>
        <v>0</v>
      </c>
      <c r="T27" s="13">
        <f>('TUSD BE'!$U$27+'TUSD BF'!$U$27+'TUSD CVA'!$U$27)*1</f>
        <v>0</v>
      </c>
      <c r="U27" s="13">
        <f>('TUSD BE'!$V$27+'TUSD BF'!$V$27+'TUSD CVA'!$V$27)*1</f>
        <v>0</v>
      </c>
      <c r="V27" s="13">
        <f>('TUSD BE'!$W$27+'TUSD BF'!$W$27+'TUSD CVA'!$W$27)*1</f>
        <v>0</v>
      </c>
      <c r="W27" s="13">
        <f>('TUSD BE'!$X$27+'TUSD BF'!$X$27+'TUSD CVA'!$X$27)*1</f>
        <v>0</v>
      </c>
      <c r="X27" s="13">
        <f>('TUSD BE'!$Y$27+'TUSD BF'!$Y$27+'TUSD CVA'!$Y$27)*1</f>
        <v>0</v>
      </c>
      <c r="Y27" s="13">
        <f>('TUSD BE'!$Z$27+'TUSD BF'!$Z$27+'TUSD CVA'!$Z$27)*1</f>
        <v>0</v>
      </c>
      <c r="Z27" s="13">
        <f>('TUSD BE'!$AA$27+'TUSD BF'!$AA$27+'TUSD CVA'!$AA$27)*1</f>
        <v>0</v>
      </c>
      <c r="AA27" s="13">
        <f>('TUSD BE'!$AC$27+'TUSD BF'!$AC$27+'TUSD CVA'!$AC$27)*1</f>
        <v>0</v>
      </c>
      <c r="AB27" s="13">
        <f ca="1">('TUSD BE'!$AE$27+'TUSD BF'!$AE$27+'TUSD CVA'!$AE$27)*1</f>
        <v>0</v>
      </c>
      <c r="AC27" s="13">
        <f ca="1">('TUSD BE'!$AF$27+'TUSD BF'!$AF$27+'TUSD CVA'!$AF$27)*1</f>
        <v>0</v>
      </c>
      <c r="AD27" s="13">
        <f>('TUSD BE'!$AH$27+'TUSD BF'!$AH$27+'TUSD CVA'!$AH$27)*1</f>
        <v>30.476189809509393</v>
      </c>
      <c r="AE27" s="13">
        <f>('TUSD BE'!$AI$27+'TUSD BF'!$AI$27+'TUSD CVA'!$AI$27)*1</f>
        <v>0.52818537399928256</v>
      </c>
      <c r="AF27" s="13">
        <f ca="1">('TUSD BE'!$AJ$27+'TUSD BF'!$AJ$27+'TUSD CVA'!$AJ$27)*1</f>
        <v>2.312038974661065</v>
      </c>
      <c r="AG27" s="13">
        <f ca="1">('TUSD BE'!$AK$27+'TUSD BF'!$AK$27+'TUSD CVA'!$AK$27)*1</f>
        <v>0.32053951042648349</v>
      </c>
      <c r="AI27" s="13">
        <v>0</v>
      </c>
      <c r="AJ27" s="13">
        <v>0.83631238803095698</v>
      </c>
      <c r="AK27" s="13">
        <v>1.7673124562583999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25.730730614322901</v>
      </c>
      <c r="BB27" s="13">
        <v>0.52201781919198698</v>
      </c>
      <c r="BC27" s="13">
        <v>2.1018547344389198</v>
      </c>
      <c r="BD27" s="13">
        <v>0.35049333865534499</v>
      </c>
    </row>
    <row r="28" spans="1:56" ht="11.25" customHeight="1" x14ac:dyDescent="0.3">
      <c r="A28" s="128"/>
      <c r="B28" s="128" t="s">
        <v>41</v>
      </c>
      <c r="C28" s="128" t="s">
        <v>25</v>
      </c>
      <c r="D28" s="128" t="s">
        <v>25</v>
      </c>
      <c r="E28" s="128" t="s">
        <v>25</v>
      </c>
      <c r="F28" s="128" t="s">
        <v>25</v>
      </c>
      <c r="G28" s="18" t="s">
        <v>9</v>
      </c>
      <c r="H28" s="18" t="s">
        <v>81</v>
      </c>
      <c r="I28" s="18">
        <f>'MERCADO TUSD'!$U$25</f>
        <v>2892</v>
      </c>
      <c r="J28" s="15"/>
      <c r="L28" s="13">
        <f>('TUSD BE'!$L$28+'TUSD BF'!$L$28+'TUSD CVA'!$L$28)*1</f>
        <v>0</v>
      </c>
      <c r="M28" s="13">
        <f>('TUSD BE'!$M$28+'TUSD BF'!$M$28+'TUSD CVA'!$M$28)*1</f>
        <v>0</v>
      </c>
      <c r="N28" s="13">
        <f ca="1">('TUSD BE'!$N$28+'TUSD BF'!$N$28+'TUSD CVA'!$N$28)*1</f>
        <v>0</v>
      </c>
      <c r="O28" s="13">
        <f>('TUSD BE'!$O$28+'TUSD BF'!$O$28+'TUSD CVA'!$O$28)*1</f>
        <v>0</v>
      </c>
      <c r="P28" s="13">
        <f>('TUSD BE'!$P$28+'TUSD BF'!$P$28+'TUSD CVA'!$P$28)*1</f>
        <v>0</v>
      </c>
      <c r="Q28" s="13">
        <f>('TUSD BE'!$Q$28+'TUSD BF'!$Q$28+'TUSD CVA'!$Q$28)*1</f>
        <v>0</v>
      </c>
      <c r="R28" s="13">
        <f>('TUSD BE'!$R$28+'TUSD BF'!$R$28+'TUSD CVA'!$R$28)*1</f>
        <v>0</v>
      </c>
      <c r="S28" s="13">
        <f>('TUSD BE'!$S$28+'TUSD BF'!$S$28+'TUSD CVA'!$S$28)*1</f>
        <v>0</v>
      </c>
      <c r="T28" s="13">
        <f>('TUSD BE'!$U$28+'TUSD BF'!$U$28+'TUSD CVA'!$U$28)*1</f>
        <v>5.4083860057627335</v>
      </c>
      <c r="U28" s="13">
        <f>('TUSD BE'!$V$28+'TUSD BF'!$V$28+'TUSD CVA'!$V$28)*1</f>
        <v>1.0986978738583002</v>
      </c>
      <c r="V28" s="13">
        <f>('TUSD BE'!$W$28+'TUSD BF'!$W$28+'TUSD CVA'!$W$28)*1</f>
        <v>0.15436026068146227</v>
      </c>
      <c r="W28" s="13">
        <f>('TUSD BE'!$X$28+'TUSD BF'!$X$28+'TUSD CVA'!$X$28)*1</f>
        <v>0</v>
      </c>
      <c r="X28" s="13">
        <f>('TUSD BE'!$Y$28+'TUSD BF'!$Y$28+'TUSD CVA'!$Y$28)*1</f>
        <v>0</v>
      </c>
      <c r="Y28" s="13">
        <f>('TUSD BE'!$Z$28+'TUSD BF'!$Z$28+'TUSD CVA'!$Z$28)*1</f>
        <v>0</v>
      </c>
      <c r="Z28" s="13">
        <f>('TUSD BE'!$AA$28+'TUSD BF'!$AA$28+'TUSD CVA'!$AA$28)*1</f>
        <v>0</v>
      </c>
      <c r="AA28" s="13">
        <f>('TUSD BE'!$AC$28+'TUSD BF'!$AC$28+'TUSD CVA'!$AC$28)*1</f>
        <v>6.7967793666006093</v>
      </c>
      <c r="AB28" s="13">
        <f ca="1">('TUSD BE'!$AE$28+'TUSD BF'!$AE$28+'TUSD CVA'!$AE$28)*1</f>
        <v>0</v>
      </c>
      <c r="AC28" s="13">
        <f ca="1">('TUSD BE'!$AF$28+'TUSD BF'!$AF$28+'TUSD CVA'!$AF$28)*1</f>
        <v>0</v>
      </c>
      <c r="AD28" s="13">
        <f>('TUSD BE'!$AH$28+'TUSD BF'!$AH$28+'TUSD CVA'!$AH$28)*1</f>
        <v>0</v>
      </c>
      <c r="AE28" s="13">
        <f>('TUSD BE'!$AI$28+'TUSD BF'!$AI$28+'TUSD CVA'!$AI$28)*1</f>
        <v>0</v>
      </c>
      <c r="AF28" s="13">
        <f ca="1">('TUSD BE'!$AJ$28+'TUSD BF'!$AJ$28+'TUSD CVA'!$AJ$28)*1</f>
        <v>0</v>
      </c>
      <c r="AG28" s="13">
        <f ca="1">('TUSD BE'!$AK$28+'TUSD BF'!$AK$28+'TUSD CVA'!$AK$28)*1</f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4.4851203756806699</v>
      </c>
      <c r="AR28" s="13">
        <v>1.2991017703030201</v>
      </c>
      <c r="AS28" s="13">
        <v>1.4880388358635E-2</v>
      </c>
      <c r="AT28" s="13">
        <v>0</v>
      </c>
      <c r="AU28" s="13">
        <v>0</v>
      </c>
      <c r="AV28" s="13">
        <v>0</v>
      </c>
      <c r="AW28" s="13">
        <v>0</v>
      </c>
      <c r="AX28" s="13">
        <v>5.9392756357136998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</row>
    <row r="29" spans="1:56" ht="11.25" customHeight="1" x14ac:dyDescent="0.3">
      <c r="A29" s="128"/>
      <c r="B29" s="128"/>
      <c r="C29" s="128"/>
      <c r="D29" s="128"/>
      <c r="E29" s="128"/>
      <c r="F29" s="128"/>
      <c r="G29" s="18" t="s">
        <v>79</v>
      </c>
      <c r="H29" s="18" t="s">
        <v>78</v>
      </c>
      <c r="I29" s="18">
        <f>'MERCADO TUSD'!$U$26</f>
        <v>55.301000000000002</v>
      </c>
      <c r="J29" s="15"/>
      <c r="L29" s="13">
        <f>('TUSD BE'!$L$29+'TUSD BF'!$L$29+'TUSD CVA'!$L$29)*1</f>
        <v>6.6417912129553125</v>
      </c>
      <c r="M29" s="13">
        <f>('TUSD BE'!$M$29+'TUSD BF'!$M$29+'TUSD CVA'!$M$29)*1</f>
        <v>0.95209478842407302</v>
      </c>
      <c r="N29" s="13">
        <f ca="1">('TUSD BE'!$N$29+'TUSD BF'!$N$29+'TUSD CVA'!$N$29)*1</f>
        <v>20.254824359116164</v>
      </c>
      <c r="O29" s="13">
        <f>('TUSD BE'!$O$29+'TUSD BF'!$O$29+'TUSD CVA'!$O$29)*1</f>
        <v>0</v>
      </c>
      <c r="P29" s="13">
        <f>('TUSD BE'!$P$29+'TUSD BF'!$P$29+'TUSD CVA'!$P$29)*1</f>
        <v>0</v>
      </c>
      <c r="Q29" s="13">
        <f>('TUSD BE'!$Q$29+'TUSD BF'!$Q$29+'TUSD CVA'!$Q$29)*1</f>
        <v>108.15474943655964</v>
      </c>
      <c r="R29" s="13">
        <f>('TUSD BE'!$R$29+'TUSD BF'!$R$29+'TUSD CVA'!$R$29)*1</f>
        <v>18.52197764795989</v>
      </c>
      <c r="S29" s="13">
        <f>('TUSD BE'!$S$29+'TUSD BF'!$S$29+'TUSD CVA'!$S$29)*1</f>
        <v>0</v>
      </c>
      <c r="T29" s="13">
        <f>('TUSD BE'!$U$29+'TUSD BF'!$U$29+'TUSD CVA'!$U$29)*1</f>
        <v>138.40864953478379</v>
      </c>
      <c r="U29" s="13">
        <f>('TUSD BE'!$V$29+'TUSD BF'!$V$29+'TUSD CVA'!$V$29)*1</f>
        <v>27.894610665585354</v>
      </c>
      <c r="V29" s="13">
        <f>('TUSD BE'!$W$29+'TUSD BF'!$W$29+'TUSD CVA'!$W$29)*1</f>
        <v>4.0897280207341797</v>
      </c>
      <c r="W29" s="13">
        <f>('TUSD BE'!$X$29+'TUSD BF'!$X$29+'TUSD CVA'!$X$29)*1</f>
        <v>0</v>
      </c>
      <c r="X29" s="13">
        <f>('TUSD BE'!$Y$29+'TUSD BF'!$Y$29+'TUSD CVA'!$Y$29)*1</f>
        <v>0</v>
      </c>
      <c r="Y29" s="13">
        <f>('TUSD BE'!$Z$29+'TUSD BF'!$Z$29+'TUSD CVA'!$Z$29)*1</f>
        <v>0</v>
      </c>
      <c r="Z29" s="13">
        <f>('TUSD BE'!$AA$29+'TUSD BF'!$AA$29+'TUSD CVA'!$AA$29)*1</f>
        <v>0</v>
      </c>
      <c r="AA29" s="13">
        <f>('TUSD BE'!$AC$29+'TUSD BF'!$AC$29+'TUSD CVA'!$AC$29)*1</f>
        <v>1529.6158777351288</v>
      </c>
      <c r="AB29" s="13">
        <f ca="1">('TUSD BE'!$AE$29+'TUSD BF'!$AE$29+'TUSD CVA'!$AE$29)*1</f>
        <v>0</v>
      </c>
      <c r="AC29" s="13">
        <f ca="1">('TUSD BE'!$AF$29+'TUSD BF'!$AF$29+'TUSD CVA'!$AF$29)*1</f>
        <v>0</v>
      </c>
      <c r="AD29" s="13">
        <f>('TUSD BE'!$AH$29+'TUSD BF'!$AH$29+'TUSD CVA'!$AH$29)*1</f>
        <v>30.476189809509393</v>
      </c>
      <c r="AE29" s="13">
        <f>('TUSD BE'!$AI$29+'TUSD BF'!$AI$29+'TUSD CVA'!$AI$29)*1</f>
        <v>0.52818537399928256</v>
      </c>
      <c r="AF29" s="13">
        <f ca="1">('TUSD BE'!$AJ$29+'TUSD BF'!$AJ$29+'TUSD CVA'!$AJ$29)*1</f>
        <v>2.312038974661065</v>
      </c>
      <c r="AG29" s="13">
        <f ca="1">('TUSD BE'!$AK$29+'TUSD BF'!$AK$29+'TUSD CVA'!$AK$29)*1</f>
        <v>0.32053951042648349</v>
      </c>
      <c r="AI29" s="13">
        <v>6.7342758080178804</v>
      </c>
      <c r="AJ29" s="13">
        <v>0.83631238803095698</v>
      </c>
      <c r="AK29" s="13">
        <v>15.710879547854599</v>
      </c>
      <c r="AL29" s="13">
        <v>0</v>
      </c>
      <c r="AM29" s="13">
        <v>0</v>
      </c>
      <c r="AN29" s="13">
        <v>57.603064100223399</v>
      </c>
      <c r="AO29" s="13">
        <v>10.076820057623801</v>
      </c>
      <c r="AP29" s="13">
        <v>0</v>
      </c>
      <c r="AQ29" s="13">
        <v>114.78090756418899</v>
      </c>
      <c r="AR29" s="13">
        <v>32.982623303273201</v>
      </c>
      <c r="AS29" s="13">
        <v>0.39425135045152598</v>
      </c>
      <c r="AT29" s="13">
        <v>0</v>
      </c>
      <c r="AU29" s="13">
        <v>0</v>
      </c>
      <c r="AV29" s="13">
        <v>0</v>
      </c>
      <c r="AW29" s="13">
        <v>0</v>
      </c>
      <c r="AX29" s="13">
        <v>1336.63457714633</v>
      </c>
      <c r="AY29" s="13">
        <v>0</v>
      </c>
      <c r="AZ29" s="13">
        <v>0</v>
      </c>
      <c r="BA29" s="13">
        <v>25.730730614322901</v>
      </c>
      <c r="BB29" s="13">
        <v>0.52201781919198698</v>
      </c>
      <c r="BC29" s="13">
        <v>2.1018547344389198</v>
      </c>
      <c r="BD29" s="13">
        <v>0.35049333865534499</v>
      </c>
    </row>
    <row r="30" spans="1:56" ht="11.25" customHeight="1" x14ac:dyDescent="0.3">
      <c r="A30" s="128"/>
      <c r="B30" s="128"/>
      <c r="C30" s="128"/>
      <c r="D30" s="128"/>
      <c r="E30" s="128"/>
      <c r="F30" s="128"/>
      <c r="G30" s="18" t="s">
        <v>80</v>
      </c>
      <c r="H30" s="18" t="s">
        <v>78</v>
      </c>
      <c r="I30" s="18">
        <f>'MERCADO TUSD'!$U$27</f>
        <v>509.89599999999996</v>
      </c>
      <c r="J30" s="15"/>
      <c r="L30" s="13">
        <f>('TUSD BE'!$L$30+'TUSD BF'!$L$30+'TUSD CVA'!$L$30)*1</f>
        <v>6.6417912129553125</v>
      </c>
      <c r="M30" s="13">
        <f>('TUSD BE'!$M$30+'TUSD BF'!$M$30+'TUSD CVA'!$M$30)*1</f>
        <v>0.95209478842407302</v>
      </c>
      <c r="N30" s="13">
        <f ca="1">('TUSD BE'!$N$30+'TUSD BF'!$N$30+'TUSD CVA'!$N$30)*1</f>
        <v>2.2918854925115975</v>
      </c>
      <c r="O30" s="13">
        <f>('TUSD BE'!$O$30+'TUSD BF'!$O$30+'TUSD CVA'!$O$30)*1</f>
        <v>0</v>
      </c>
      <c r="P30" s="13">
        <f>('TUSD BE'!$P$30+'TUSD BF'!$P$30+'TUSD CVA'!$P$30)*1</f>
        <v>0</v>
      </c>
      <c r="Q30" s="13">
        <f>('TUSD BE'!$Q$30+'TUSD BF'!$Q$30+'TUSD CVA'!$Q$30)*1</f>
        <v>108.15474943655964</v>
      </c>
      <c r="R30" s="13">
        <f>('TUSD BE'!$R$30+'TUSD BF'!$R$30+'TUSD CVA'!$R$30)*1</f>
        <v>18.52197764795989</v>
      </c>
      <c r="S30" s="13">
        <f>('TUSD BE'!$S$30+'TUSD BF'!$S$30+'TUSD CVA'!$S$30)*1</f>
        <v>0</v>
      </c>
      <c r="T30" s="13">
        <f>('TUSD BE'!$U$30+'TUSD BF'!$U$30+'TUSD CVA'!$U$30)*1</f>
        <v>0</v>
      </c>
      <c r="U30" s="13">
        <f>('TUSD BE'!$V$30+'TUSD BF'!$V$30+'TUSD CVA'!$V$30)*1</f>
        <v>0</v>
      </c>
      <c r="V30" s="13">
        <f>('TUSD BE'!$W$30+'TUSD BF'!$W$30+'TUSD CVA'!$W$30)*1</f>
        <v>0</v>
      </c>
      <c r="W30" s="13">
        <f>('TUSD BE'!$X$30+'TUSD BF'!$X$30+'TUSD CVA'!$X$30)*1</f>
        <v>0</v>
      </c>
      <c r="X30" s="13">
        <f>('TUSD BE'!$Y$30+'TUSD BF'!$Y$30+'TUSD CVA'!$Y$30)*1</f>
        <v>0</v>
      </c>
      <c r="Y30" s="13">
        <f>('TUSD BE'!$Z$30+'TUSD BF'!$Z$30+'TUSD CVA'!$Z$30)*1</f>
        <v>0</v>
      </c>
      <c r="Z30" s="13">
        <f>('TUSD BE'!$AA$30+'TUSD BF'!$AA$30+'TUSD CVA'!$AA$30)*1</f>
        <v>0</v>
      </c>
      <c r="AA30" s="13">
        <f>('TUSD BE'!$AC$30+'TUSD BF'!$AC$30+'TUSD CVA'!$AC$30)*1</f>
        <v>0</v>
      </c>
      <c r="AB30" s="13">
        <f ca="1">('TUSD BE'!$AE$30+'TUSD BF'!$AE$30+'TUSD CVA'!$AE$30)*1</f>
        <v>0</v>
      </c>
      <c r="AC30" s="13">
        <f ca="1">('TUSD BE'!$AF$30+'TUSD BF'!$AF$30+'TUSD CVA'!$AF$30)*1</f>
        <v>0</v>
      </c>
      <c r="AD30" s="13">
        <f>('TUSD BE'!$AH$30+'TUSD BF'!$AH$30+'TUSD CVA'!$AH$30)*1</f>
        <v>30.476189809509393</v>
      </c>
      <c r="AE30" s="13">
        <f>('TUSD BE'!$AI$30+'TUSD BF'!$AI$30+'TUSD CVA'!$AI$30)*1</f>
        <v>0.52818537399928256</v>
      </c>
      <c r="AF30" s="13">
        <f ca="1">('TUSD BE'!$AJ$30+'TUSD BF'!$AJ$30+'TUSD CVA'!$AJ$30)*1</f>
        <v>2.312038974661065</v>
      </c>
      <c r="AG30" s="13">
        <f ca="1">('TUSD BE'!$AK$30+'TUSD BF'!$AK$30+'TUSD CVA'!$AK$30)*1</f>
        <v>0.32053951042648349</v>
      </c>
      <c r="AI30" s="13">
        <v>6.7342758080178804</v>
      </c>
      <c r="AJ30" s="13">
        <v>0.83631238803095698</v>
      </c>
      <c r="AK30" s="13">
        <v>1.77707026289765</v>
      </c>
      <c r="AL30" s="13">
        <v>0</v>
      </c>
      <c r="AM30" s="13">
        <v>0</v>
      </c>
      <c r="AN30" s="13">
        <v>57.603064100223399</v>
      </c>
      <c r="AO30" s="13">
        <v>10.076820057623801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25.730730614322901</v>
      </c>
      <c r="BB30" s="13">
        <v>0.52201781919198698</v>
      </c>
      <c r="BC30" s="13">
        <v>2.1018547344389198</v>
      </c>
      <c r="BD30" s="13">
        <v>0.35049333865534499</v>
      </c>
    </row>
    <row r="31" spans="1:56" ht="11.25" customHeight="1" x14ac:dyDescent="0.3">
      <c r="A31" s="128"/>
      <c r="B31" s="128"/>
      <c r="C31" s="128"/>
      <c r="D31" s="128"/>
      <c r="E31" s="128" t="s">
        <v>85</v>
      </c>
      <c r="F31" s="128" t="s">
        <v>25</v>
      </c>
      <c r="G31" s="18" t="s">
        <v>79</v>
      </c>
      <c r="H31" s="18" t="s">
        <v>78</v>
      </c>
      <c r="I31" s="18">
        <f>'MERCADO TUSD'!$U$28</f>
        <v>0</v>
      </c>
      <c r="J31" s="15"/>
      <c r="L31" s="13">
        <f>('TUSD BE'!$L$31+'TUSD BF'!$L$31+'TUSD CVA'!$L$31)*1</f>
        <v>0</v>
      </c>
      <c r="M31" s="13">
        <f>('TUSD BE'!$M$31+'TUSD BF'!$M$31+'TUSD CVA'!$M$31)*1</f>
        <v>0.95209478842407302</v>
      </c>
      <c r="N31" s="13">
        <f ca="1">('TUSD BE'!$N$31+'TUSD BF'!$N$31+'TUSD CVA'!$N$31)*1</f>
        <v>20.242244964598243</v>
      </c>
      <c r="O31" s="13">
        <f>('TUSD BE'!$O$31+'TUSD BF'!$O$31+'TUSD CVA'!$O$31)*1</f>
        <v>0</v>
      </c>
      <c r="P31" s="13">
        <f>('TUSD BE'!$P$31+'TUSD BF'!$P$31+'TUSD CVA'!$P$31)*1</f>
        <v>0</v>
      </c>
      <c r="Q31" s="13">
        <f>('TUSD BE'!$Q$31+'TUSD BF'!$Q$31+'TUSD CVA'!$Q$31)*1</f>
        <v>0</v>
      </c>
      <c r="R31" s="13">
        <f>('TUSD BE'!$R$31+'TUSD BF'!$R$31+'TUSD CVA'!$R$31)*1</f>
        <v>0</v>
      </c>
      <c r="S31" s="13">
        <f>('TUSD BE'!$S$31+'TUSD BF'!$S$31+'TUSD CVA'!$S$31)*1</f>
        <v>0</v>
      </c>
      <c r="T31" s="13">
        <f>('TUSD BE'!$U$31+'TUSD BF'!$U$31+'TUSD CVA'!$U$31)*1</f>
        <v>138.40864953478379</v>
      </c>
      <c r="U31" s="13">
        <f>('TUSD BE'!$V$31+'TUSD BF'!$V$31+'TUSD CVA'!$V$31)*1</f>
        <v>27.894610665585354</v>
      </c>
      <c r="V31" s="13">
        <f>('TUSD BE'!$W$31+'TUSD BF'!$W$31+'TUSD CVA'!$W$31)*1</f>
        <v>4.0897280207341797</v>
      </c>
      <c r="W31" s="13">
        <f>('TUSD BE'!$X$31+'TUSD BF'!$X$31+'TUSD CVA'!$X$31)*1</f>
        <v>0</v>
      </c>
      <c r="X31" s="13">
        <f>('TUSD BE'!$Y$31+'TUSD BF'!$Y$31+'TUSD CVA'!$Y$31)*1</f>
        <v>0</v>
      </c>
      <c r="Y31" s="13">
        <f>('TUSD BE'!$Z$31+'TUSD BF'!$Z$31+'TUSD CVA'!$Z$31)*1</f>
        <v>0</v>
      </c>
      <c r="Z31" s="13">
        <f>('TUSD BE'!$AA$31+'TUSD BF'!$AA$31+'TUSD CVA'!$AA$31)*1</f>
        <v>0</v>
      </c>
      <c r="AA31" s="13">
        <f>('TUSD BE'!$AC$31+'TUSD BF'!$AC$31+'TUSD CVA'!$AC$31)*1</f>
        <v>1529.6158777351288</v>
      </c>
      <c r="AB31" s="13">
        <f ca="1">('TUSD BE'!$AE$31+'TUSD BF'!$AE$31+'TUSD CVA'!$AE$31)*1</f>
        <v>0</v>
      </c>
      <c r="AC31" s="13">
        <f ca="1">('TUSD BE'!$AF$31+'TUSD BF'!$AF$31+'TUSD CVA'!$AF$31)*1</f>
        <v>0</v>
      </c>
      <c r="AD31" s="13">
        <f>('TUSD BE'!$AH$31+'TUSD BF'!$AH$31+'TUSD CVA'!$AH$31)*1</f>
        <v>30.476189809509393</v>
      </c>
      <c r="AE31" s="13">
        <f>('TUSD BE'!$AI$31+'TUSD BF'!$AI$31+'TUSD CVA'!$AI$31)*1</f>
        <v>0.52818537399928256</v>
      </c>
      <c r="AF31" s="13">
        <f ca="1">('TUSD BE'!$AJ$31+'TUSD BF'!$AJ$31+'TUSD CVA'!$AJ$31)*1</f>
        <v>2.312038974661065</v>
      </c>
      <c r="AG31" s="13">
        <f ca="1">('TUSD BE'!$AK$31+'TUSD BF'!$AK$31+'TUSD CVA'!$AK$31)*1</f>
        <v>0.32053951042648349</v>
      </c>
      <c r="AI31" s="13">
        <v>0</v>
      </c>
      <c r="AJ31" s="13">
        <v>0.83631238803095698</v>
      </c>
      <c r="AK31" s="13">
        <v>15.701121741215299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114.78090756418899</v>
      </c>
      <c r="AR31" s="13">
        <v>32.982623303273201</v>
      </c>
      <c r="AS31" s="13">
        <v>0.39425135045152598</v>
      </c>
      <c r="AT31" s="13">
        <v>0</v>
      </c>
      <c r="AU31" s="13">
        <v>0</v>
      </c>
      <c r="AV31" s="13">
        <v>0</v>
      </c>
      <c r="AW31" s="13">
        <v>0</v>
      </c>
      <c r="AX31" s="13">
        <v>1336.63457714633</v>
      </c>
      <c r="AY31" s="13">
        <v>0</v>
      </c>
      <c r="AZ31" s="13">
        <v>0</v>
      </c>
      <c r="BA31" s="13">
        <v>25.730730614322901</v>
      </c>
      <c r="BB31" s="13">
        <v>0.52201781919198698</v>
      </c>
      <c r="BC31" s="13">
        <v>2.1018547344389198</v>
      </c>
      <c r="BD31" s="13">
        <v>0.35049333865534499</v>
      </c>
    </row>
    <row r="32" spans="1:56" ht="11.25" customHeight="1" x14ac:dyDescent="0.3">
      <c r="A32" s="128"/>
      <c r="B32" s="128"/>
      <c r="C32" s="128"/>
      <c r="D32" s="128"/>
      <c r="E32" s="128"/>
      <c r="F32" s="128"/>
      <c r="G32" s="18" t="s">
        <v>80</v>
      </c>
      <c r="H32" s="18" t="s">
        <v>78</v>
      </c>
      <c r="I32" s="18">
        <f>'MERCADO TUSD'!$U$29</f>
        <v>0</v>
      </c>
      <c r="J32" s="15"/>
      <c r="L32" s="13">
        <f>('TUSD BE'!$L$32+'TUSD BF'!$L$32+'TUSD CVA'!$L$32)*1</f>
        <v>0</v>
      </c>
      <c r="M32" s="13">
        <f>('TUSD BE'!$M$32+'TUSD BF'!$M$32+'TUSD CVA'!$M$32)*1</f>
        <v>0.95209478842407302</v>
      </c>
      <c r="N32" s="13">
        <f ca="1">('TUSD BE'!$N$32+'TUSD BF'!$N$32+'TUSD CVA'!$N$32)*1</f>
        <v>2.2793060979936746</v>
      </c>
      <c r="O32" s="13">
        <f>('TUSD BE'!$O$32+'TUSD BF'!$O$32+'TUSD CVA'!$O$32)*1</f>
        <v>0</v>
      </c>
      <c r="P32" s="13">
        <f>('TUSD BE'!$P$32+'TUSD BF'!$P$32+'TUSD CVA'!$P$32)*1</f>
        <v>0</v>
      </c>
      <c r="Q32" s="13">
        <f>('TUSD BE'!$Q$32+'TUSD BF'!$Q$32+'TUSD CVA'!$Q$32)*1</f>
        <v>0</v>
      </c>
      <c r="R32" s="13">
        <f>('TUSD BE'!$R$32+'TUSD BF'!$R$32+'TUSD CVA'!$R$32)*1</f>
        <v>0</v>
      </c>
      <c r="S32" s="13">
        <f>('TUSD BE'!$S$32+'TUSD BF'!$S$32+'TUSD CVA'!$S$32)*1</f>
        <v>0</v>
      </c>
      <c r="T32" s="13">
        <f>('TUSD BE'!$U$32+'TUSD BF'!$U$32+'TUSD CVA'!$U$32)*1</f>
        <v>0</v>
      </c>
      <c r="U32" s="13">
        <f>('TUSD BE'!$V$32+'TUSD BF'!$V$32+'TUSD CVA'!$V$32)*1</f>
        <v>0</v>
      </c>
      <c r="V32" s="13">
        <f>('TUSD BE'!$W$32+'TUSD BF'!$W$32+'TUSD CVA'!$W$32)*1</f>
        <v>0</v>
      </c>
      <c r="W32" s="13">
        <f>('TUSD BE'!$X$32+'TUSD BF'!$X$32+'TUSD CVA'!$X$32)*1</f>
        <v>0</v>
      </c>
      <c r="X32" s="13">
        <f>('TUSD BE'!$Y$32+'TUSD BF'!$Y$32+'TUSD CVA'!$Y$32)*1</f>
        <v>0</v>
      </c>
      <c r="Y32" s="13">
        <f>('TUSD BE'!$Z$32+'TUSD BF'!$Z$32+'TUSD CVA'!$Z$32)*1</f>
        <v>0</v>
      </c>
      <c r="Z32" s="13">
        <f>('TUSD BE'!$AA$32+'TUSD BF'!$AA$32+'TUSD CVA'!$AA$32)*1</f>
        <v>0</v>
      </c>
      <c r="AA32" s="13">
        <f>('TUSD BE'!$AC$32+'TUSD BF'!$AC$32+'TUSD CVA'!$AC$32)*1</f>
        <v>0</v>
      </c>
      <c r="AB32" s="13">
        <f ca="1">('TUSD BE'!$AE$32+'TUSD BF'!$AE$32+'TUSD CVA'!$AE$32)*1</f>
        <v>0</v>
      </c>
      <c r="AC32" s="13">
        <f ca="1">('TUSD BE'!$AF$32+'TUSD BF'!$AF$32+'TUSD CVA'!$AF$32)*1</f>
        <v>0</v>
      </c>
      <c r="AD32" s="13">
        <f>('TUSD BE'!$AH$32+'TUSD BF'!$AH$32+'TUSD CVA'!$AH$32)*1</f>
        <v>30.476189809509393</v>
      </c>
      <c r="AE32" s="13">
        <f>('TUSD BE'!$AI$32+'TUSD BF'!$AI$32+'TUSD CVA'!$AI$32)*1</f>
        <v>0.52818537399928256</v>
      </c>
      <c r="AF32" s="13">
        <f ca="1">('TUSD BE'!$AJ$32+'TUSD BF'!$AJ$32+'TUSD CVA'!$AJ$32)*1</f>
        <v>2.312038974661065</v>
      </c>
      <c r="AG32" s="13">
        <f ca="1">('TUSD BE'!$AK$32+'TUSD BF'!$AK$32+'TUSD CVA'!$AK$32)*1</f>
        <v>0.32053951042648349</v>
      </c>
      <c r="AI32" s="13">
        <v>0</v>
      </c>
      <c r="AJ32" s="13">
        <v>0.83631238803095698</v>
      </c>
      <c r="AK32" s="13">
        <v>1.7673124562583999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25.730730614322901</v>
      </c>
      <c r="BB32" s="13">
        <v>0.52201781919198698</v>
      </c>
      <c r="BC32" s="13">
        <v>2.1018547344389198</v>
      </c>
      <c r="BD32" s="13">
        <v>0.35049333865534499</v>
      </c>
    </row>
    <row r="33" spans="1:56" ht="11.25" customHeight="1" x14ac:dyDescent="0.3">
      <c r="A33" s="128"/>
      <c r="B33" s="128" t="s">
        <v>23</v>
      </c>
      <c r="C33" s="128" t="s">
        <v>25</v>
      </c>
      <c r="D33" s="128" t="s">
        <v>25</v>
      </c>
      <c r="E33" s="128" t="s">
        <v>25</v>
      </c>
      <c r="F33" s="128" t="s">
        <v>25</v>
      </c>
      <c r="G33" s="18" t="s">
        <v>9</v>
      </c>
      <c r="H33" s="18" t="s">
        <v>81</v>
      </c>
      <c r="I33" s="18">
        <f>'MERCADO TUSD'!$U$30</f>
        <v>0</v>
      </c>
      <c r="J33" s="15"/>
      <c r="L33" s="13">
        <f>('TUSD BE'!$L$33+'TUSD BF'!$L$33+'TUSD CVA'!$L$33)*1</f>
        <v>0</v>
      </c>
      <c r="M33" s="13">
        <f>('TUSD BE'!$M$33+'TUSD BF'!$M$33+'TUSD CVA'!$M$33)*1</f>
        <v>0</v>
      </c>
      <c r="N33" s="13">
        <f ca="1">('TUSD BE'!$N$33+'TUSD BF'!$N$33+'TUSD CVA'!$N$33)*1</f>
        <v>0</v>
      </c>
      <c r="O33" s="13">
        <f>('TUSD BE'!$O$33+'TUSD BF'!$O$33+'TUSD CVA'!$O$33)*1</f>
        <v>0</v>
      </c>
      <c r="P33" s="13">
        <f>('TUSD BE'!$P$33+'TUSD BF'!$P$33+'TUSD CVA'!$P$33)*1</f>
        <v>0</v>
      </c>
      <c r="Q33" s="13">
        <f>('TUSD BE'!$Q$33+'TUSD BF'!$Q$33+'TUSD CVA'!$Q$33)*1</f>
        <v>0</v>
      </c>
      <c r="R33" s="13">
        <f>('TUSD BE'!$R$33+'TUSD BF'!$R$33+'TUSD CVA'!$R$33)*1</f>
        <v>0</v>
      </c>
      <c r="S33" s="13">
        <f>('TUSD BE'!$S$33+'TUSD BF'!$S$33+'TUSD CVA'!$S$33)*1</f>
        <v>0</v>
      </c>
      <c r="T33" s="13">
        <f>('TUSD BE'!$U$33+'TUSD BF'!$U$33+'TUSD CVA'!$U$33)*1</f>
        <v>9.5520831354440272</v>
      </c>
      <c r="U33" s="13">
        <f>('TUSD BE'!$V$33+'TUSD BF'!$V$33+'TUSD CVA'!$V$33)*1</f>
        <v>1.9338166948621913</v>
      </c>
      <c r="V33" s="13">
        <f>('TUSD BE'!$W$33+'TUSD BF'!$W$33+'TUSD CVA'!$W$33)*1</f>
        <v>0.27678391570469096</v>
      </c>
      <c r="W33" s="13">
        <f>('TUSD BE'!$X$33+'TUSD BF'!$X$33+'TUSD CVA'!$X$33)*1</f>
        <v>0</v>
      </c>
      <c r="X33" s="13">
        <f>('TUSD BE'!$Y$33+'TUSD BF'!$Y$33+'TUSD CVA'!$Y$33)*1</f>
        <v>0</v>
      </c>
      <c r="Y33" s="13">
        <f>('TUSD BE'!$Z$33+'TUSD BF'!$Z$33+'TUSD CVA'!$Z$33)*1</f>
        <v>0</v>
      </c>
      <c r="Z33" s="13">
        <f>('TUSD BE'!$AA$33+'TUSD BF'!$AA$33+'TUSD CVA'!$AA$33)*1</f>
        <v>0</v>
      </c>
      <c r="AA33" s="13">
        <f>('TUSD BE'!$AC$33+'TUSD BF'!$AC$33+'TUSD CVA'!$AC$33)*1</f>
        <v>52.589759302625474</v>
      </c>
      <c r="AB33" s="13">
        <f ca="1">('TUSD BE'!$AE$33+'TUSD BF'!$AE$33+'TUSD CVA'!$AE$33)*1</f>
        <v>0</v>
      </c>
      <c r="AC33" s="13">
        <f ca="1">('TUSD BE'!$AF$33+'TUSD BF'!$AF$33+'TUSD CVA'!$AF$33)*1</f>
        <v>0</v>
      </c>
      <c r="AD33" s="13">
        <f>('TUSD BE'!$AH$33+'TUSD BF'!$AH$33+'TUSD CVA'!$AH$33)*1</f>
        <v>0</v>
      </c>
      <c r="AE33" s="13">
        <f>('TUSD BE'!$AI$33+'TUSD BF'!$AI$33+'TUSD CVA'!$AI$33)*1</f>
        <v>0</v>
      </c>
      <c r="AF33" s="13">
        <f ca="1">('TUSD BE'!$AJ$33+'TUSD BF'!$AJ$33+'TUSD CVA'!$AJ$33)*1</f>
        <v>0</v>
      </c>
      <c r="AG33" s="13">
        <f ca="1">('TUSD BE'!$AK$33+'TUSD BF'!$AK$33+'TUSD CVA'!$AK$33)*1</f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7.9214469261858396</v>
      </c>
      <c r="AR33" s="13">
        <v>2.2865473316288698</v>
      </c>
      <c r="AS33" s="13">
        <v>2.6682075677552299E-2</v>
      </c>
      <c r="AT33" s="13">
        <v>0</v>
      </c>
      <c r="AU33" s="13">
        <v>0</v>
      </c>
      <c r="AV33" s="13">
        <v>0</v>
      </c>
      <c r="AW33" s="13">
        <v>0</v>
      </c>
      <c r="AX33" s="13">
        <v>45.954864689149098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</row>
    <row r="34" spans="1:56" ht="11.25" customHeight="1" x14ac:dyDescent="0.3">
      <c r="A34" s="128"/>
      <c r="B34" s="128"/>
      <c r="C34" s="128"/>
      <c r="D34" s="128"/>
      <c r="E34" s="128"/>
      <c r="F34" s="128"/>
      <c r="G34" s="18" t="s">
        <v>84</v>
      </c>
      <c r="H34" s="18" t="s">
        <v>78</v>
      </c>
      <c r="I34" s="18">
        <f>'MERCADO TUSD'!$U$31</f>
        <v>0</v>
      </c>
      <c r="J34" s="15"/>
      <c r="L34" s="13">
        <f>('TUSD BE'!$L$34+'TUSD BF'!$L$34+'TUSD CVA'!$L$34)*1</f>
        <v>6.6417912129553125</v>
      </c>
      <c r="M34" s="13">
        <f>('TUSD BE'!$M$34+'TUSD BF'!$M$34+'TUSD CVA'!$M$34)*1</f>
        <v>0.95209478842407302</v>
      </c>
      <c r="N34" s="13">
        <f ca="1">('TUSD BE'!$N$34+'TUSD BF'!$N$34+'TUSD CVA'!$N$34)*1</f>
        <v>2.2918854925115975</v>
      </c>
      <c r="O34" s="13">
        <f>('TUSD BE'!$O$34+'TUSD BF'!$O$34+'TUSD CVA'!$O$34)*1</f>
        <v>0</v>
      </c>
      <c r="P34" s="13">
        <f>('TUSD BE'!$P$34+'TUSD BF'!$P$34+'TUSD CVA'!$P$34)*1</f>
        <v>0</v>
      </c>
      <c r="Q34" s="13">
        <f>('TUSD BE'!$Q$34+'TUSD BF'!$Q$34+'TUSD CVA'!$Q$34)*1</f>
        <v>108.15474943655964</v>
      </c>
      <c r="R34" s="13">
        <f>('TUSD BE'!$R$34+'TUSD BF'!$R$34+'TUSD CVA'!$R$34)*1</f>
        <v>18.52197764795989</v>
      </c>
      <c r="S34" s="13">
        <f>('TUSD BE'!$S$34+'TUSD BF'!$S$34+'TUSD CVA'!$S$34)*1</f>
        <v>0</v>
      </c>
      <c r="T34" s="13">
        <f>('TUSD BE'!$U$34+'TUSD BF'!$U$34+'TUSD CVA'!$U$34)*1</f>
        <v>0</v>
      </c>
      <c r="U34" s="13">
        <f>('TUSD BE'!$V$34+'TUSD BF'!$V$34+'TUSD CVA'!$V$34)*1</f>
        <v>0</v>
      </c>
      <c r="V34" s="13">
        <f>('TUSD BE'!$W$34+'TUSD BF'!$W$34+'TUSD CVA'!$W$34)*1</f>
        <v>0</v>
      </c>
      <c r="W34" s="13">
        <f>('TUSD BE'!$X$34+'TUSD BF'!$X$34+'TUSD CVA'!$X$34)*1</f>
        <v>0</v>
      </c>
      <c r="X34" s="13">
        <f>('TUSD BE'!$Y$34+'TUSD BF'!$Y$34+'TUSD CVA'!$Y$34)*1</f>
        <v>0</v>
      </c>
      <c r="Y34" s="13">
        <f>('TUSD BE'!$Z$34+'TUSD BF'!$Z$34+'TUSD CVA'!$Z$34)*1</f>
        <v>0</v>
      </c>
      <c r="Z34" s="13">
        <f>('TUSD BE'!$AA$34+'TUSD BF'!$AA$34+'TUSD CVA'!$AA$34)*1</f>
        <v>0</v>
      </c>
      <c r="AA34" s="13">
        <f>('TUSD BE'!$AC$34+'TUSD BF'!$AC$34+'TUSD CVA'!$AC$34)*1</f>
        <v>0</v>
      </c>
      <c r="AB34" s="13">
        <f ca="1">('TUSD BE'!$AE$34+'TUSD BF'!$AE$34+'TUSD CVA'!$AE$34)*1</f>
        <v>0</v>
      </c>
      <c r="AC34" s="13">
        <f ca="1">('TUSD BE'!$AF$34+'TUSD BF'!$AF$34+'TUSD CVA'!$AF$34)*1</f>
        <v>0</v>
      </c>
      <c r="AD34" s="13">
        <f>('TUSD BE'!$AH$34+'TUSD BF'!$AH$34+'TUSD CVA'!$AH$34)*1</f>
        <v>30.476189809509393</v>
      </c>
      <c r="AE34" s="13">
        <f>('TUSD BE'!$AI$34+'TUSD BF'!$AI$34+'TUSD CVA'!$AI$34)*1</f>
        <v>0.52818537399928256</v>
      </c>
      <c r="AF34" s="13">
        <f ca="1">('TUSD BE'!$AJ$34+'TUSD BF'!$AJ$34+'TUSD CVA'!$AJ$34)*1</f>
        <v>2.312038974661065</v>
      </c>
      <c r="AG34" s="13">
        <f ca="1">('TUSD BE'!$AK$34+'TUSD BF'!$AK$34+'TUSD CVA'!$AK$34)*1</f>
        <v>0.32053951042648349</v>
      </c>
      <c r="AI34" s="13">
        <v>6.7342758080178804</v>
      </c>
      <c r="AJ34" s="13">
        <v>0.83631238803095698</v>
      </c>
      <c r="AK34" s="13">
        <v>1.77707026289765</v>
      </c>
      <c r="AL34" s="13">
        <v>0</v>
      </c>
      <c r="AM34" s="13">
        <v>0</v>
      </c>
      <c r="AN34" s="13">
        <v>57.603064100223399</v>
      </c>
      <c r="AO34" s="13">
        <v>10.076820057623801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25.730730614322901</v>
      </c>
      <c r="BB34" s="13">
        <v>0.52201781919198698</v>
      </c>
      <c r="BC34" s="13">
        <v>2.1018547344389198</v>
      </c>
      <c r="BD34" s="13">
        <v>0.35049333865534499</v>
      </c>
    </row>
    <row r="35" spans="1:56" ht="11.25" customHeight="1" x14ac:dyDescent="0.3">
      <c r="A35" s="128" t="s">
        <v>87</v>
      </c>
      <c r="B35" s="128" t="s">
        <v>57</v>
      </c>
      <c r="C35" s="128" t="s">
        <v>25</v>
      </c>
      <c r="D35" s="128" t="s">
        <v>25</v>
      </c>
      <c r="E35" s="17" t="s">
        <v>88</v>
      </c>
      <c r="F35" s="17" t="s">
        <v>25</v>
      </c>
      <c r="G35" s="18" t="s">
        <v>9</v>
      </c>
      <c r="H35" s="18" t="s">
        <v>81</v>
      </c>
      <c r="I35" s="18">
        <f>'MERCADO TUSD'!$U$32+0.00000001</f>
        <v>1E-8</v>
      </c>
      <c r="J35" s="15"/>
      <c r="L35" s="13">
        <f>('TUSD BE'!$L$35+'TUSD BF'!$L$35+'TUSD CVA'!$L$35)*1</f>
        <v>0</v>
      </c>
      <c r="M35" s="13">
        <f>('TUSD BE'!$M$35+'TUSD BF'!$M$35+'TUSD CVA'!$M$35)*1</f>
        <v>9.6160712197902315E-3</v>
      </c>
      <c r="N35" s="13">
        <f ca="1">('TUSD BE'!$N$35+'TUSD BF'!$N$35+'TUSD CVA'!$N$35)*1</f>
        <v>3.0190546843015698E-2</v>
      </c>
      <c r="O35" s="13">
        <f>('TUSD BE'!$O$35+'TUSD BF'!$O$35+'TUSD CVA'!$O$35)*1</f>
        <v>0</v>
      </c>
      <c r="P35" s="13">
        <f>('TUSD BE'!$P$35+'TUSD BF'!$P$35+'TUSD CVA'!$P$35)*1</f>
        <v>0</v>
      </c>
      <c r="Q35" s="13">
        <f>('TUSD BE'!$Q$35+'TUSD BF'!$Q$35+'TUSD CVA'!$Q$35)*1</f>
        <v>0</v>
      </c>
      <c r="R35" s="13">
        <f>('TUSD BE'!$R$35+'TUSD BF'!$R$35+'TUSD CVA'!$R$35)*1</f>
        <v>0</v>
      </c>
      <c r="S35" s="13">
        <f>('TUSD BE'!$S$35+'TUSD BF'!$S$35+'TUSD CVA'!$S$35)*1</f>
        <v>0</v>
      </c>
      <c r="T35" s="13">
        <f>('TUSD BE'!$U$35+'TUSD BF'!$U$35+'TUSD CVA'!$U$35)*1</f>
        <v>0</v>
      </c>
      <c r="U35" s="13">
        <f>('TUSD BE'!$V$35+'TUSD BF'!$V$35+'TUSD CVA'!$V$35)*1</f>
        <v>0</v>
      </c>
      <c r="V35" s="13">
        <f>('TUSD BE'!$W$35+'TUSD BF'!$W$35+'TUSD CVA'!$W$35)*1</f>
        <v>0</v>
      </c>
      <c r="W35" s="13">
        <f>('TUSD BE'!$X$35+'TUSD BF'!$X$35+'TUSD CVA'!$X$35)*1</f>
        <v>0</v>
      </c>
      <c r="X35" s="13">
        <f>('TUSD BE'!$Y$35+'TUSD BF'!$Y$35+'TUSD CVA'!$Y$35)*1</f>
        <v>0</v>
      </c>
      <c r="Y35" s="13">
        <f>('TUSD BE'!$Z$35+'TUSD BF'!$Z$35+'TUSD CVA'!$Z$35)*1</f>
        <v>0</v>
      </c>
      <c r="Z35" s="13">
        <f>('TUSD BE'!$AA$35+'TUSD BF'!$AA$35+'TUSD CVA'!$AA$35)*1</f>
        <v>0</v>
      </c>
      <c r="AA35" s="13">
        <f>('TUSD BE'!$AC$35+'TUSD BF'!$AC$35+'TUSD CVA'!$AC$35)*1</f>
        <v>2.8774202285945738</v>
      </c>
      <c r="AB35" s="13">
        <f ca="1">('TUSD BE'!$AE$35+'TUSD BF'!$AE$35+'TUSD CVA'!$AE$35)*1</f>
        <v>0</v>
      </c>
      <c r="AC35" s="13">
        <f ca="1">('TUSD BE'!$AF$35+'TUSD BF'!$AF$35+'TUSD CVA'!$AF$35)*1</f>
        <v>0</v>
      </c>
      <c r="AD35" s="13">
        <f>('TUSD BE'!$AH$35+'TUSD BF'!$AH$35+'TUSD CVA'!$AH$35)*1</f>
        <v>0</v>
      </c>
      <c r="AE35" s="13">
        <f>('TUSD BE'!$AI$35+'TUSD BF'!$AI$35+'TUSD CVA'!$AI$35)*1</f>
        <v>0</v>
      </c>
      <c r="AF35" s="13">
        <f ca="1">('TUSD BE'!$AJ$35+'TUSD BF'!$AJ$35+'TUSD CVA'!$AJ$35)*1</f>
        <v>0</v>
      </c>
      <c r="AG35" s="13">
        <f ca="1">('TUSD BE'!$AK$35+'TUSD BF'!$AK$35+'TUSD CVA'!$AK$35)*1</f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</row>
    <row r="36" spans="1:56" ht="11.25" customHeight="1" x14ac:dyDescent="0.3">
      <c r="A36" s="128"/>
      <c r="B36" s="128"/>
      <c r="C36" s="128"/>
      <c r="D36" s="128"/>
      <c r="E36" s="17" t="s">
        <v>89</v>
      </c>
      <c r="F36" s="17" t="s">
        <v>25</v>
      </c>
      <c r="G36" s="18" t="s">
        <v>9</v>
      </c>
      <c r="H36" s="18" t="s">
        <v>81</v>
      </c>
      <c r="I36" s="18">
        <f>'MERCADO TUSD'!$U$33+0.00000001</f>
        <v>1E-8</v>
      </c>
      <c r="J36" s="15"/>
      <c r="L36" s="13">
        <f>('TUSD BE'!$L$36+'TUSD BF'!$L$36+'TUSD CVA'!$L$36)*1</f>
        <v>0</v>
      </c>
      <c r="M36" s="13">
        <f>('TUSD BE'!$M$36+'TUSD BF'!$M$36+'TUSD CVA'!$M$36)*1</f>
        <v>9.6160712197902315E-3</v>
      </c>
      <c r="N36" s="13">
        <f ca="1">('TUSD BE'!$N$36+'TUSD BF'!$N$36+'TUSD CVA'!$N$36)*1</f>
        <v>3.0190546843015698E-2</v>
      </c>
      <c r="O36" s="13">
        <f>('TUSD BE'!$O$36+'TUSD BF'!$O$36+'TUSD CVA'!$O$36)*1</f>
        <v>0</v>
      </c>
      <c r="P36" s="13">
        <f>('TUSD BE'!$P$36+'TUSD BF'!$P$36+'TUSD CVA'!$P$36)*1</f>
        <v>0</v>
      </c>
      <c r="Q36" s="13">
        <f>('TUSD BE'!$Q$36+'TUSD BF'!$Q$36+'TUSD CVA'!$Q$36)*1</f>
        <v>0</v>
      </c>
      <c r="R36" s="13">
        <f>('TUSD BE'!$R$36+'TUSD BF'!$R$36+'TUSD CVA'!$R$36)*1</f>
        <v>0</v>
      </c>
      <c r="S36" s="13">
        <f>('TUSD BE'!$S$36+'TUSD BF'!$S$36+'TUSD CVA'!$S$36)*1</f>
        <v>0</v>
      </c>
      <c r="T36" s="13">
        <f>('TUSD BE'!$U$36+'TUSD BF'!$U$36+'TUSD CVA'!$U$36)*1</f>
        <v>0</v>
      </c>
      <c r="U36" s="13">
        <f>('TUSD BE'!$V$36+'TUSD BF'!$V$36+'TUSD CVA'!$V$36)*1</f>
        <v>0</v>
      </c>
      <c r="V36" s="13">
        <f>('TUSD BE'!$W$36+'TUSD BF'!$W$36+'TUSD CVA'!$W$36)*1</f>
        <v>0</v>
      </c>
      <c r="W36" s="13">
        <f>('TUSD BE'!$X$36+'TUSD BF'!$X$36+'TUSD CVA'!$X$36)*1</f>
        <v>0</v>
      </c>
      <c r="X36" s="13">
        <f>('TUSD BE'!$Y$36+'TUSD BF'!$Y$36+'TUSD CVA'!$Y$36)*1</f>
        <v>0</v>
      </c>
      <c r="Y36" s="13">
        <f>('TUSD BE'!$Z$36+'TUSD BF'!$Z$36+'TUSD CVA'!$Z$36)*1</f>
        <v>0</v>
      </c>
      <c r="Z36" s="13">
        <f>('TUSD BE'!$AA$36+'TUSD BF'!$AA$36+'TUSD CVA'!$AA$36)*1</f>
        <v>0</v>
      </c>
      <c r="AA36" s="13">
        <f>('TUSD BE'!$AC$36+'TUSD BF'!$AC$36+'TUSD CVA'!$AC$36)*1</f>
        <v>7.7440623283337935</v>
      </c>
      <c r="AB36" s="13">
        <f ca="1">('TUSD BE'!$AE$36+'TUSD BF'!$AE$36+'TUSD CVA'!$AE$36)*1</f>
        <v>0</v>
      </c>
      <c r="AC36" s="13">
        <f ca="1">('TUSD BE'!$AF$36+'TUSD BF'!$AF$36+'TUSD CVA'!$AF$36)*1</f>
        <v>0</v>
      </c>
      <c r="AD36" s="13">
        <f>('TUSD BE'!$AH$36+'TUSD BF'!$AH$36+'TUSD CVA'!$AH$36)*1</f>
        <v>0</v>
      </c>
      <c r="AE36" s="13">
        <f>('TUSD BE'!$AI$36+'TUSD BF'!$AI$36+'TUSD CVA'!$AI$36)*1</f>
        <v>0</v>
      </c>
      <c r="AF36" s="13">
        <f ca="1">('TUSD BE'!$AJ$36+'TUSD BF'!$AJ$36+'TUSD CVA'!$AJ$36)*1</f>
        <v>0</v>
      </c>
      <c r="AG36" s="13">
        <f ca="1">('TUSD BE'!$AK$36+'TUSD BF'!$AK$36+'TUSD CVA'!$AK$36)*1</f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</row>
    <row r="37" spans="1:56" ht="11.25" customHeight="1" x14ac:dyDescent="0.3">
      <c r="A37" s="128" t="s">
        <v>22</v>
      </c>
      <c r="B37" s="128" t="s">
        <v>33</v>
      </c>
      <c r="C37" s="128" t="s">
        <v>24</v>
      </c>
      <c r="D37" s="128" t="s">
        <v>24</v>
      </c>
      <c r="E37" s="128" t="s">
        <v>25</v>
      </c>
      <c r="F37" s="128" t="s">
        <v>25</v>
      </c>
      <c r="G37" s="18" t="s">
        <v>79</v>
      </c>
      <c r="H37" s="18" t="s">
        <v>78</v>
      </c>
      <c r="I37" s="18">
        <f>'MERCADO TUSD'!$U$34</f>
        <v>16.994999999999997</v>
      </c>
      <c r="J37" s="15"/>
      <c r="L37" s="13">
        <f>('TUSD BE'!$L$37+'TUSD BF'!$L$37+'TUSD CVA'!$L$37)*1</f>
        <v>6.6417912129553125</v>
      </c>
      <c r="M37" s="13">
        <f>('TUSD BE'!$M$37+'TUSD BF'!$M$37+'TUSD CVA'!$M$37)*1</f>
        <v>0.95878176933935289</v>
      </c>
      <c r="N37" s="13">
        <f ca="1">('TUSD BE'!$N$37+'TUSD BF'!$N$37+'TUSD CVA'!$N$37)*1</f>
        <v>8.5218620740929421</v>
      </c>
      <c r="O37" s="13">
        <f>('TUSD BE'!$O$37+'TUSD BF'!$O$37+'TUSD CVA'!$O$37)*1</f>
        <v>0</v>
      </c>
      <c r="P37" s="13">
        <f>('TUSD BE'!$P$37+'TUSD BF'!$P$37+'TUSD CVA'!$P$37)*1</f>
        <v>0</v>
      </c>
      <c r="Q37" s="13">
        <f>('TUSD BE'!$Q$37+'TUSD BF'!$Q$37+'TUSD CVA'!$Q$37)*1</f>
        <v>108.15474943655964</v>
      </c>
      <c r="R37" s="13">
        <f>('TUSD BE'!$R$37+'TUSD BF'!$R$37+'TUSD CVA'!$R$37)*1</f>
        <v>18.52197764795989</v>
      </c>
      <c r="S37" s="13">
        <f>('TUSD BE'!$S$37+'TUSD BF'!$S$37+'TUSD CVA'!$S$37)*1</f>
        <v>0</v>
      </c>
      <c r="T37" s="13">
        <f>('TUSD BE'!$U$37+'TUSD BF'!$U$37+'TUSD CVA'!$U$37)*1</f>
        <v>75.611044361786611</v>
      </c>
      <c r="U37" s="13">
        <f>('TUSD BE'!$V$37+'TUSD BF'!$V$37+'TUSD CVA'!$V$37)*1</f>
        <v>15.295020736749985</v>
      </c>
      <c r="V37" s="13">
        <f>('TUSD BE'!$W$37+'TUSD BF'!$W$37+'TUSD CVA'!$W$37)*1</f>
        <v>2.1987124664706958</v>
      </c>
      <c r="W37" s="13">
        <f>('TUSD BE'!$X$37+'TUSD BF'!$X$37+'TUSD CVA'!$X$37)*1</f>
        <v>0</v>
      </c>
      <c r="X37" s="13">
        <f>('TUSD BE'!$Y$37+'TUSD BF'!$Y$37+'TUSD CVA'!$Y$37)*1</f>
        <v>0</v>
      </c>
      <c r="Y37" s="13">
        <f>('TUSD BE'!$Z$37+'TUSD BF'!$Z$37+'TUSD CVA'!$Z$37)*1</f>
        <v>0</v>
      </c>
      <c r="Z37" s="13">
        <f>('TUSD BE'!$AA$37+'TUSD BF'!$AA$37+'TUSD CVA'!$AA$37)*1</f>
        <v>0</v>
      </c>
      <c r="AA37" s="13">
        <f>('TUSD BE'!$AC$37+'TUSD BF'!$AC$37+'TUSD CVA'!$AC$37)*1</f>
        <v>492.45703339100754</v>
      </c>
      <c r="AB37" s="13">
        <f ca="1">('TUSD BE'!$AE$37+'TUSD BF'!$AE$37+'TUSD CVA'!$AE$37)*1</f>
        <v>0</v>
      </c>
      <c r="AC37" s="13">
        <f ca="1">('TUSD BE'!$AF$37+'TUSD BF'!$AF$37+'TUSD CVA'!$AF$37)*1</f>
        <v>0</v>
      </c>
      <c r="AD37" s="13">
        <f>('TUSD BE'!$AH$37+'TUSD BF'!$AH$37+'TUSD CVA'!$AH$37)*1</f>
        <v>30.476189809509393</v>
      </c>
      <c r="AE37" s="13">
        <f>('TUSD BE'!$AI$37+'TUSD BF'!$AI$37+'TUSD CVA'!$AI$37)*1</f>
        <v>0.52818537399928256</v>
      </c>
      <c r="AF37" s="13">
        <f ca="1">('TUSD BE'!$AJ$37+'TUSD BF'!$AJ$37+'TUSD CVA'!$AJ$37)*1</f>
        <v>2.1038967484120761</v>
      </c>
      <c r="AG37" s="13">
        <f ca="1">('TUSD BE'!$AK$37+'TUSD BF'!$AK$37+'TUSD CVA'!$AK$37)*1</f>
        <v>0.29168281379112077</v>
      </c>
      <c r="AI37" s="13">
        <v>6.7342758080178804</v>
      </c>
      <c r="AJ37" s="13">
        <v>0.84174244934057596</v>
      </c>
      <c r="AK37" s="13">
        <v>6.6097061849382204</v>
      </c>
      <c r="AL37" s="13">
        <v>0</v>
      </c>
      <c r="AM37" s="13">
        <v>0</v>
      </c>
      <c r="AN37" s="13">
        <v>57.603064100223399</v>
      </c>
      <c r="AO37" s="13">
        <v>10.076820057623801</v>
      </c>
      <c r="AP37" s="13">
        <v>0</v>
      </c>
      <c r="AQ37" s="13">
        <v>62.703482209332101</v>
      </c>
      <c r="AR37" s="13">
        <v>18.084852067799599</v>
      </c>
      <c r="AS37" s="13">
        <v>0.21195672542671001</v>
      </c>
      <c r="AT37" s="13">
        <v>0</v>
      </c>
      <c r="AU37" s="13">
        <v>0</v>
      </c>
      <c r="AV37" s="13">
        <v>0</v>
      </c>
      <c r="AW37" s="13">
        <v>0</v>
      </c>
      <c r="AX37" s="13">
        <v>430.32705672744402</v>
      </c>
      <c r="AY37" s="13">
        <v>0</v>
      </c>
      <c r="AZ37" s="13">
        <v>0</v>
      </c>
      <c r="BA37" s="13">
        <v>25.730730614322901</v>
      </c>
      <c r="BB37" s="13">
        <v>0.52201781919198698</v>
      </c>
      <c r="BC37" s="13">
        <v>1.9171664866684499</v>
      </c>
      <c r="BD37" s="13">
        <v>0.31969577709657399</v>
      </c>
    </row>
    <row r="38" spans="1:56" ht="11.25" customHeight="1" x14ac:dyDescent="0.3">
      <c r="A38" s="128"/>
      <c r="B38" s="128"/>
      <c r="C38" s="128"/>
      <c r="D38" s="128"/>
      <c r="E38" s="128"/>
      <c r="F38" s="128"/>
      <c r="G38" s="18" t="s">
        <v>90</v>
      </c>
      <c r="H38" s="18" t="s">
        <v>78</v>
      </c>
      <c r="I38" s="18">
        <f>'MERCADO TUSD'!$U$35</f>
        <v>10.9</v>
      </c>
      <c r="J38" s="15"/>
      <c r="L38" s="13">
        <f>('TUSD BE'!$L$38+'TUSD BF'!$L$38+'TUSD CVA'!$L$38)*1</f>
        <v>6.6417912129553125</v>
      </c>
      <c r="M38" s="13">
        <f>('TUSD BE'!$M$38+'TUSD BF'!$M$38+'TUSD CVA'!$M$38)*1</f>
        <v>0.95878176933935289</v>
      </c>
      <c r="N38" s="13">
        <f ca="1">('TUSD BE'!$N$38+'TUSD BF'!$N$38+'TUSD CVA'!$N$38)*1</f>
        <v>6.0283644292345873</v>
      </c>
      <c r="O38" s="13">
        <f>('TUSD BE'!$O$38+'TUSD BF'!$O$38+'TUSD CVA'!$O$38)*1</f>
        <v>0</v>
      </c>
      <c r="P38" s="13">
        <f>('TUSD BE'!$P$38+'TUSD BF'!$P$38+'TUSD CVA'!$P$38)*1</f>
        <v>0</v>
      </c>
      <c r="Q38" s="13">
        <f>('TUSD BE'!$Q$38+'TUSD BF'!$Q$38+'TUSD CVA'!$Q$38)*1</f>
        <v>108.15474943655964</v>
      </c>
      <c r="R38" s="13">
        <f>('TUSD BE'!$R$38+'TUSD BF'!$R$38+'TUSD CVA'!$R$38)*1</f>
        <v>18.52197764795989</v>
      </c>
      <c r="S38" s="13">
        <f>('TUSD BE'!$S$38+'TUSD BF'!$S$38+'TUSD CVA'!$S$38)*1</f>
        <v>0</v>
      </c>
      <c r="T38" s="13">
        <f>('TUSD BE'!$U$38+'TUSD BF'!$U$38+'TUSD CVA'!$U$38)*1</f>
        <v>45.366695015605018</v>
      </c>
      <c r="U38" s="13">
        <f>('TUSD BE'!$V$38+'TUSD BF'!$V$38+'TUSD CVA'!$V$38)*1</f>
        <v>9.1770124420499908</v>
      </c>
      <c r="V38" s="13">
        <f>('TUSD BE'!$W$38+'TUSD BF'!$W$38+'TUSD CVA'!$W$38)*1</f>
        <v>1.3192274798824175</v>
      </c>
      <c r="W38" s="13">
        <f>('TUSD BE'!$X$38+'TUSD BF'!$X$38+'TUSD CVA'!$X$38)*1</f>
        <v>0</v>
      </c>
      <c r="X38" s="13">
        <f>('TUSD BE'!$Y$38+'TUSD BF'!$Y$38+'TUSD CVA'!$Y$38)*1</f>
        <v>0</v>
      </c>
      <c r="Y38" s="13">
        <f>('TUSD BE'!$Z$38+'TUSD BF'!$Z$38+'TUSD CVA'!$Z$38)*1</f>
        <v>0</v>
      </c>
      <c r="Z38" s="13">
        <f>('TUSD BE'!$AA$38+'TUSD BF'!$AA$38+'TUSD CVA'!$AA$38)*1</f>
        <v>0</v>
      </c>
      <c r="AA38" s="13">
        <f>('TUSD BE'!$AC$38+'TUSD BF'!$AC$38+'TUSD CVA'!$AC$38)*1</f>
        <v>295.47414768610946</v>
      </c>
      <c r="AB38" s="13">
        <f ca="1">('TUSD BE'!$AE$38+'TUSD BF'!$AE$38+'TUSD CVA'!$AE$38)*1</f>
        <v>0</v>
      </c>
      <c r="AC38" s="13">
        <f ca="1">('TUSD BE'!$AF$38+'TUSD BF'!$AF$38+'TUSD CVA'!$AF$38)*1</f>
        <v>0</v>
      </c>
      <c r="AD38" s="13">
        <f>('TUSD BE'!$AH$38+'TUSD BF'!$AH$38+'TUSD CVA'!$AH$38)*1</f>
        <v>30.476189809509393</v>
      </c>
      <c r="AE38" s="13">
        <f>('TUSD BE'!$AI$38+'TUSD BF'!$AI$38+'TUSD CVA'!$AI$38)*1</f>
        <v>0.52818537399928256</v>
      </c>
      <c r="AF38" s="13">
        <f ca="1">('TUSD BE'!$AJ$38+'TUSD BF'!$AJ$38+'TUSD CVA'!$AJ$38)*1</f>
        <v>2.1038967484120761</v>
      </c>
      <c r="AG38" s="13">
        <f ca="1">('TUSD BE'!$AK$38+'TUSD BF'!$AK$38+'TUSD CVA'!$AK$38)*1</f>
        <v>0.29168281379112077</v>
      </c>
      <c r="AI38" s="13">
        <v>6.7342758080178804</v>
      </c>
      <c r="AJ38" s="13">
        <v>0.84174244934057596</v>
      </c>
      <c r="AK38" s="13">
        <v>4.6755059466610103</v>
      </c>
      <c r="AL38" s="13">
        <v>0</v>
      </c>
      <c r="AM38" s="13">
        <v>0</v>
      </c>
      <c r="AN38" s="13">
        <v>57.603064100223399</v>
      </c>
      <c r="AO38" s="13">
        <v>10.076820057623801</v>
      </c>
      <c r="AP38" s="13">
        <v>0</v>
      </c>
      <c r="AQ38" s="13">
        <v>37.622146047817999</v>
      </c>
      <c r="AR38" s="13">
        <v>10.8509112406798</v>
      </c>
      <c r="AS38" s="13">
        <v>0.127174035256026</v>
      </c>
      <c r="AT38" s="13">
        <v>0</v>
      </c>
      <c r="AU38" s="13">
        <v>0</v>
      </c>
      <c r="AV38" s="13">
        <v>0</v>
      </c>
      <c r="AW38" s="13">
        <v>0</v>
      </c>
      <c r="AX38" s="13">
        <v>258.19617081569203</v>
      </c>
      <c r="AY38" s="13">
        <v>0</v>
      </c>
      <c r="AZ38" s="13">
        <v>0</v>
      </c>
      <c r="BA38" s="13">
        <v>25.730730614322901</v>
      </c>
      <c r="BB38" s="13">
        <v>0.52201781919198698</v>
      </c>
      <c r="BC38" s="13">
        <v>1.9171664866684499</v>
      </c>
      <c r="BD38" s="13">
        <v>0.31969577709657399</v>
      </c>
    </row>
    <row r="39" spans="1:56" ht="11.25" customHeight="1" x14ac:dyDescent="0.3">
      <c r="A39" s="128"/>
      <c r="B39" s="128"/>
      <c r="C39" s="128"/>
      <c r="D39" s="128"/>
      <c r="E39" s="128"/>
      <c r="F39" s="128"/>
      <c r="G39" s="18" t="s">
        <v>80</v>
      </c>
      <c r="H39" s="18" t="s">
        <v>78</v>
      </c>
      <c r="I39" s="18">
        <f>'MERCADO TUSD'!$U$36</f>
        <v>127.76599999999999</v>
      </c>
      <c r="J39" s="15"/>
      <c r="L39" s="13">
        <f>('TUSD BE'!$L$39+'TUSD BF'!$L$39+'TUSD CVA'!$L$39)*1</f>
        <v>6.6417912129553125</v>
      </c>
      <c r="M39" s="13">
        <f>('TUSD BE'!$M$39+'TUSD BF'!$M$39+'TUSD CVA'!$M$39)*1</f>
        <v>0.95878176933935289</v>
      </c>
      <c r="N39" s="13">
        <f ca="1">('TUSD BE'!$N$39+'TUSD BF'!$N$39+'TUSD CVA'!$N$39)*1</f>
        <v>3.534866784376236</v>
      </c>
      <c r="O39" s="13">
        <f>('TUSD BE'!$O$39+'TUSD BF'!$O$39+'TUSD CVA'!$O$39)*1</f>
        <v>0</v>
      </c>
      <c r="P39" s="13">
        <f>('TUSD BE'!$P$39+'TUSD BF'!$P$39+'TUSD CVA'!$P$39)*1</f>
        <v>0</v>
      </c>
      <c r="Q39" s="13">
        <f>('TUSD BE'!$Q$39+'TUSD BF'!$Q$39+'TUSD CVA'!$Q$39)*1</f>
        <v>108.15474943655964</v>
      </c>
      <c r="R39" s="13">
        <f>('TUSD BE'!$R$39+'TUSD BF'!$R$39+'TUSD CVA'!$R$39)*1</f>
        <v>18.52197764795989</v>
      </c>
      <c r="S39" s="13">
        <f>('TUSD BE'!$S$39+'TUSD BF'!$S$39+'TUSD CVA'!$S$39)*1</f>
        <v>0</v>
      </c>
      <c r="T39" s="13">
        <f>('TUSD BE'!$U$39+'TUSD BF'!$U$39+'TUSD CVA'!$U$39)*1</f>
        <v>15.12223167186834</v>
      </c>
      <c r="U39" s="13">
        <f>('TUSD BE'!$V$39+'TUSD BF'!$V$39+'TUSD CVA'!$V$39)*1</f>
        <v>3.0590041473499969</v>
      </c>
      <c r="V39" s="13">
        <f>('TUSD BE'!$W$39+'TUSD BF'!$W$39+'TUSD CVA'!$W$39)*1</f>
        <v>0.43974249329413923</v>
      </c>
      <c r="W39" s="13">
        <f>('TUSD BE'!$X$39+'TUSD BF'!$X$39+'TUSD CVA'!$X$39)*1</f>
        <v>0</v>
      </c>
      <c r="X39" s="13">
        <f>('TUSD BE'!$Y$39+'TUSD BF'!$Y$39+'TUSD CVA'!$Y$39)*1</f>
        <v>0</v>
      </c>
      <c r="Y39" s="13">
        <f>('TUSD BE'!$Z$39+'TUSD BF'!$Z$39+'TUSD CVA'!$Z$39)*1</f>
        <v>0</v>
      </c>
      <c r="Z39" s="13">
        <f>('TUSD BE'!$AA$39+'TUSD BF'!$AA$39+'TUSD CVA'!$AA$39)*1</f>
        <v>0</v>
      </c>
      <c r="AA39" s="13">
        <f>('TUSD BE'!$AC$39+'TUSD BF'!$AC$39+'TUSD CVA'!$AC$39)*1</f>
        <v>98.491382562036492</v>
      </c>
      <c r="AB39" s="13">
        <f ca="1">('TUSD BE'!$AE$39+'TUSD BF'!$AE$39+'TUSD CVA'!$AE$39)*1</f>
        <v>0</v>
      </c>
      <c r="AC39" s="13">
        <f ca="1">('TUSD BE'!$AF$39+'TUSD BF'!$AF$39+'TUSD CVA'!$AF$39)*1</f>
        <v>0</v>
      </c>
      <c r="AD39" s="13">
        <f>('TUSD BE'!$AH$39+'TUSD BF'!$AH$39+'TUSD CVA'!$AH$39)*1</f>
        <v>30.476189809509393</v>
      </c>
      <c r="AE39" s="13">
        <f>('TUSD BE'!$AI$39+'TUSD BF'!$AI$39+'TUSD CVA'!$AI$39)*1</f>
        <v>0.52818537399928256</v>
      </c>
      <c r="AF39" s="13">
        <f ca="1">('TUSD BE'!$AJ$39+'TUSD BF'!$AJ$39+'TUSD CVA'!$AJ$39)*1</f>
        <v>2.1038967484120761</v>
      </c>
      <c r="AG39" s="13">
        <f ca="1">('TUSD BE'!$AK$39+'TUSD BF'!$AK$39+'TUSD CVA'!$AK$39)*1</f>
        <v>0.29168281379112077</v>
      </c>
      <c r="AI39" s="13">
        <v>6.7342758080178804</v>
      </c>
      <c r="AJ39" s="13">
        <v>0.84174244934057596</v>
      </c>
      <c r="AK39" s="13">
        <v>2.7413057083838002</v>
      </c>
      <c r="AL39" s="13">
        <v>0</v>
      </c>
      <c r="AM39" s="13">
        <v>0</v>
      </c>
      <c r="AN39" s="13">
        <v>57.603064100223399</v>
      </c>
      <c r="AO39" s="13">
        <v>10.076820057623801</v>
      </c>
      <c r="AP39" s="13">
        <v>0</v>
      </c>
      <c r="AQ39" s="13">
        <v>12.5407153492727</v>
      </c>
      <c r="AR39" s="13">
        <v>3.6169704135599199</v>
      </c>
      <c r="AS39" s="13">
        <v>4.2391345085342098E-2</v>
      </c>
      <c r="AT39" s="13">
        <v>0</v>
      </c>
      <c r="AU39" s="13">
        <v>0</v>
      </c>
      <c r="AV39" s="13">
        <v>0</v>
      </c>
      <c r="AW39" s="13">
        <v>0</v>
      </c>
      <c r="AX39" s="13">
        <v>86.0653902718973</v>
      </c>
      <c r="AY39" s="13">
        <v>0</v>
      </c>
      <c r="AZ39" s="13">
        <v>0</v>
      </c>
      <c r="BA39" s="13">
        <v>25.730730614322901</v>
      </c>
      <c r="BB39" s="13">
        <v>0.52201781919198698</v>
      </c>
      <c r="BC39" s="13">
        <v>1.9171664866684499</v>
      </c>
      <c r="BD39" s="13">
        <v>0.31969577709657399</v>
      </c>
    </row>
    <row r="40" spans="1:56" ht="11.25" customHeight="1" x14ac:dyDescent="0.3">
      <c r="A40" s="128"/>
      <c r="B40" s="128" t="s">
        <v>23</v>
      </c>
      <c r="C40" s="128" t="s">
        <v>24</v>
      </c>
      <c r="D40" s="17" t="s">
        <v>24</v>
      </c>
      <c r="E40" s="17" t="s">
        <v>25</v>
      </c>
      <c r="F40" s="17" t="s">
        <v>25</v>
      </c>
      <c r="G40" s="18" t="s">
        <v>84</v>
      </c>
      <c r="H40" s="18" t="s">
        <v>78</v>
      </c>
      <c r="I40" s="18">
        <f>'MERCADO TUSD'!$U$37</f>
        <v>126554.92199999999</v>
      </c>
      <c r="J40" s="15"/>
      <c r="L40" s="13">
        <f>('TUSD BE'!$L$40+'TUSD BF'!$L$40+'TUSD CVA'!$L$40)*1</f>
        <v>6.6417912129553125</v>
      </c>
      <c r="M40" s="13">
        <f>('TUSD BE'!$M$40+'TUSD BF'!$M$40+'TUSD CVA'!$M$40)*1</f>
        <v>0.95878176933935289</v>
      </c>
      <c r="N40" s="13">
        <f ca="1">('TUSD BE'!$N$40+'TUSD BF'!$N$40+'TUSD CVA'!$N$40)*1</f>
        <v>4.6404735423748606</v>
      </c>
      <c r="O40" s="13">
        <f>('TUSD BE'!$O$40+'TUSD BF'!$O$40+'TUSD CVA'!$O$40)*1</f>
        <v>0</v>
      </c>
      <c r="P40" s="13">
        <f>('TUSD BE'!$P$40+'TUSD BF'!$P$40+'TUSD CVA'!$P$40)*1</f>
        <v>0</v>
      </c>
      <c r="Q40" s="13">
        <f>('TUSD BE'!$Q$40+'TUSD BF'!$Q$40+'TUSD CVA'!$Q$40)*1</f>
        <v>108.15474943655964</v>
      </c>
      <c r="R40" s="13">
        <f>('TUSD BE'!$R$40+'TUSD BF'!$R$40+'TUSD CVA'!$R$40)*1</f>
        <v>18.52197764795989</v>
      </c>
      <c r="S40" s="13">
        <f>('TUSD BE'!$S$40+'TUSD BF'!$S$40+'TUSD CVA'!$S$40)*1</f>
        <v>0</v>
      </c>
      <c r="T40" s="13">
        <f>('TUSD BE'!$U$40+'TUSD BF'!$U$40+'TUSD CVA'!$U$40)*1</f>
        <v>28.532448061512863</v>
      </c>
      <c r="U40" s="13">
        <f>('TUSD BE'!$V$40+'TUSD BF'!$V$40+'TUSD CVA'!$V$40)*1</f>
        <v>5.7717073998095847</v>
      </c>
      <c r="V40" s="13">
        <f>('TUSD BE'!$W$40+'TUSD BF'!$W$40+'TUSD CVA'!$W$40)*1</f>
        <v>0.82973758162064537</v>
      </c>
      <c r="W40" s="13">
        <f>('TUSD BE'!$X$40+'TUSD BF'!$X$40+'TUSD CVA'!$X$40)*1</f>
        <v>0</v>
      </c>
      <c r="X40" s="13">
        <f>('TUSD BE'!$Y$40+'TUSD BF'!$Y$40+'TUSD CVA'!$Y$40)*1</f>
        <v>0</v>
      </c>
      <c r="Y40" s="13">
        <f>('TUSD BE'!$Z$40+'TUSD BF'!$Z$40+'TUSD CVA'!$Z$40)*1</f>
        <v>0</v>
      </c>
      <c r="Z40" s="13">
        <f>('TUSD BE'!$AA$40+'TUSD BF'!$AA$40+'TUSD CVA'!$AA$40)*1</f>
        <v>0</v>
      </c>
      <c r="AA40" s="13">
        <f>('TUSD BE'!$AC$40+'TUSD BF'!$AC$40+'TUSD CVA'!$AC$40)*1</f>
        <v>185.83277681087213</v>
      </c>
      <c r="AB40" s="13">
        <f ca="1">('TUSD BE'!$AE$40+'TUSD BF'!$AE$40+'TUSD CVA'!$AE$40)*1</f>
        <v>0</v>
      </c>
      <c r="AC40" s="13">
        <f ca="1">('TUSD BE'!$AF$40+'TUSD BF'!$AF$40+'TUSD CVA'!$AF$40)*1</f>
        <v>0</v>
      </c>
      <c r="AD40" s="13">
        <f>('TUSD BE'!$AH$40+'TUSD BF'!$AH$40+'TUSD CVA'!$AH$40)*1</f>
        <v>30.476189809509393</v>
      </c>
      <c r="AE40" s="13">
        <f>('TUSD BE'!$AI$40+'TUSD BF'!$AI$40+'TUSD CVA'!$AI$40)*1</f>
        <v>0.52818537399928256</v>
      </c>
      <c r="AF40" s="13">
        <f ca="1">('TUSD BE'!$AJ$40+'TUSD BF'!$AJ$40+'TUSD CVA'!$AJ$40)*1</f>
        <v>2.1038967484120761</v>
      </c>
      <c r="AG40" s="13">
        <f ca="1">('TUSD BE'!$AK$40+'TUSD BF'!$AK$40+'TUSD CVA'!$AK$40)*1</f>
        <v>0.29168281379112077</v>
      </c>
      <c r="AI40" s="13">
        <v>6.7342758080178804</v>
      </c>
      <c r="AJ40" s="13">
        <v>0.84174244934057596</v>
      </c>
      <c r="AK40" s="13">
        <v>3.5989222612493701</v>
      </c>
      <c r="AL40" s="13">
        <v>0</v>
      </c>
      <c r="AM40" s="13">
        <v>0</v>
      </c>
      <c r="AN40" s="13">
        <v>57.603064100223399</v>
      </c>
      <c r="AO40" s="13">
        <v>10.076820057623801</v>
      </c>
      <c r="AP40" s="13">
        <v>0</v>
      </c>
      <c r="AQ40" s="13">
        <v>23.661673562572201</v>
      </c>
      <c r="AR40" s="13">
        <v>6.8244742063919803</v>
      </c>
      <c r="AS40" s="13">
        <v>7.9987021243431697E-2</v>
      </c>
      <c r="AT40" s="13">
        <v>0</v>
      </c>
      <c r="AU40" s="13">
        <v>0</v>
      </c>
      <c r="AV40" s="13">
        <v>0</v>
      </c>
      <c r="AW40" s="13">
        <v>0</v>
      </c>
      <c r="AX40" s="13">
        <v>162.38751092222901</v>
      </c>
      <c r="AY40" s="13">
        <v>0</v>
      </c>
      <c r="AZ40" s="13">
        <v>0</v>
      </c>
      <c r="BA40" s="13">
        <v>25.730730614322901</v>
      </c>
      <c r="BB40" s="13">
        <v>0.52201781919198698</v>
      </c>
      <c r="BC40" s="13">
        <v>1.9171664866684499</v>
      </c>
      <c r="BD40" s="13">
        <v>0.31969577709657399</v>
      </c>
    </row>
    <row r="41" spans="1:56" ht="11.25" customHeight="1" x14ac:dyDescent="0.3">
      <c r="A41" s="128"/>
      <c r="B41" s="128"/>
      <c r="C41" s="128"/>
      <c r="D41" s="17" t="s">
        <v>29</v>
      </c>
      <c r="E41" s="17" t="s">
        <v>25</v>
      </c>
      <c r="F41" s="17" t="s">
        <v>25</v>
      </c>
      <c r="G41" s="18" t="s">
        <v>84</v>
      </c>
      <c r="H41" s="18" t="s">
        <v>78</v>
      </c>
      <c r="I41" s="18">
        <f>'MERCADO TUSD'!$U$38</f>
        <v>2163.31</v>
      </c>
      <c r="J41" s="15"/>
      <c r="L41" s="13">
        <f>('TUSD BE'!$L$41+'TUSD BF'!$L$41+'TUSD CVA'!$L$41)*(1 - 0.65)</f>
        <v>0</v>
      </c>
      <c r="M41" s="13">
        <f>('TUSD BE'!$M$41+'TUSD BF'!$M$41+'TUSD CVA'!$M$41)*(1 - 0.65)</f>
        <v>0.33557361926877349</v>
      </c>
      <c r="N41" s="13">
        <f ca="1">('TUSD BE'!$N$41+'TUSD BF'!$N$41+'TUSD CVA'!$N$41)*(1 - 0.65)</f>
        <v>1.6197629517499281</v>
      </c>
      <c r="O41" s="13">
        <f>('TUSD BE'!$O$41+'TUSD BF'!$O$41+'TUSD CVA'!$O$41)*(1 - 0.65)</f>
        <v>0</v>
      </c>
      <c r="P41" s="13">
        <v>0</v>
      </c>
      <c r="Q41" s="13">
        <f>('TUSD BE'!$Q$41+'TUSD BF'!$Q$41+'TUSD CVA'!$Q$41)*(1 - 0.65)</f>
        <v>0</v>
      </c>
      <c r="R41" s="13">
        <v>0</v>
      </c>
      <c r="S41" s="13">
        <f>('TUSD BE'!$S$41+'TUSD BF'!$S$41+'TUSD CVA'!$S$41)*(1 - 0.65)</f>
        <v>0</v>
      </c>
      <c r="T41" s="13">
        <f>('TUSD BE'!$U$41+'TUSD BF'!$U$41+'TUSD CVA'!$U$41)*(1 - 0.65)</f>
        <v>9.9863568215295011</v>
      </c>
      <c r="U41" s="13">
        <f>('TUSD BE'!$V$41+'TUSD BF'!$V$41+'TUSD CVA'!$V$41)*(1 - 0.65)</f>
        <v>2.0200975899333544</v>
      </c>
      <c r="V41" s="13">
        <f>('TUSD BE'!$W$41+'TUSD BF'!$W$41+'TUSD CVA'!$W$41)*(1 - 0.65)</f>
        <v>0.29040815356722588</v>
      </c>
      <c r="W41" s="13">
        <f>('TUSD BE'!$X$41+'TUSD BF'!$X$41+'TUSD CVA'!$X$41)*(1 - 0.65)</f>
        <v>0</v>
      </c>
      <c r="X41" s="13">
        <f>('TUSD BE'!$Y$41+'TUSD BF'!$Y$41+'TUSD CVA'!$Y$41)*(1 - 0.65)</f>
        <v>0</v>
      </c>
      <c r="Y41" s="13">
        <f>('TUSD BE'!$Z$41+'TUSD BF'!$Z$41+'TUSD CVA'!$Z$41)*(1 - 0.65)</f>
        <v>0</v>
      </c>
      <c r="Z41" s="13">
        <f>('TUSD BE'!$AA$41+'TUSD BF'!$AA$41+'TUSD CVA'!$AA$41)*(1 - 0.65)</f>
        <v>0</v>
      </c>
      <c r="AA41" s="13">
        <f>('TUSD BE'!$AC$41+'TUSD BF'!$AC$41+'TUSD CVA'!$AC$41)*(1 - 0.65)</f>
        <v>65.041471883805244</v>
      </c>
      <c r="AB41" s="13">
        <f ca="1">('TUSD BE'!$AE$41+'TUSD BF'!$AE$41+'TUSD CVA'!$AE$41)*(1 - 0.65)</f>
        <v>0</v>
      </c>
      <c r="AC41" s="13">
        <f ca="1">('TUSD BE'!$AF$41+'TUSD BF'!$AF$41+'TUSD CVA'!$AF$41)*(1 - 0.65)</f>
        <v>0</v>
      </c>
      <c r="AD41" s="13">
        <f>('TUSD BE'!$AH$41+'TUSD BF'!$AH$41+'TUSD CVA'!$AH$41)*(1 - 0.65)</f>
        <v>10.666666433328286</v>
      </c>
      <c r="AE41" s="13">
        <f>('TUSD BE'!$AI$41+'TUSD BF'!$AI$41+'TUSD CVA'!$AI$41)*(1 - 0.65)</f>
        <v>0.1848648808997489</v>
      </c>
      <c r="AF41" s="13">
        <f ca="1">('TUSD BE'!$AJ$41+'TUSD BF'!$AJ$41+'TUSD CVA'!$AJ$41)*(1 - 0.65)</f>
        <v>0.73636386194422654</v>
      </c>
      <c r="AG41" s="13">
        <f ca="1">('TUSD BE'!$AK$41+'TUSD BF'!$AK$41+'TUSD CVA'!$AK$41)*(1 - 0.65)</f>
        <v>0.10208898482689226</v>
      </c>
      <c r="AI41" s="13">
        <v>0</v>
      </c>
      <c r="AJ41" s="13">
        <v>0.29460985726920202</v>
      </c>
      <c r="AK41" s="13">
        <v>1.25620755911354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8.2815857469002907</v>
      </c>
      <c r="AR41" s="13">
        <v>2.3885659722371901</v>
      </c>
      <c r="AS41" s="13">
        <v>2.7995457435201099E-2</v>
      </c>
      <c r="AT41" s="13">
        <v>0</v>
      </c>
      <c r="AU41" s="13">
        <v>0</v>
      </c>
      <c r="AV41" s="13">
        <v>0</v>
      </c>
      <c r="AW41" s="13">
        <v>0</v>
      </c>
      <c r="AX41" s="13">
        <v>56.835628822780002</v>
      </c>
      <c r="AY41" s="13">
        <v>0</v>
      </c>
      <c r="AZ41" s="13">
        <v>0</v>
      </c>
      <c r="BA41" s="13">
        <v>9.0057557150130201</v>
      </c>
      <c r="BB41" s="13">
        <v>0.18270623671719499</v>
      </c>
      <c r="BC41" s="13">
        <v>0.67100827033395904</v>
      </c>
      <c r="BD41" s="13">
        <v>0.11189352198380099</v>
      </c>
    </row>
    <row r="42" spans="1:56" ht="11.25" customHeight="1" x14ac:dyDescent="0.3">
      <c r="A42" s="128"/>
      <c r="B42" s="128"/>
      <c r="C42" s="128"/>
      <c r="D42" s="17" t="s">
        <v>30</v>
      </c>
      <c r="E42" s="17" t="s">
        <v>25</v>
      </c>
      <c r="F42" s="17" t="s">
        <v>25</v>
      </c>
      <c r="G42" s="18" t="s">
        <v>84</v>
      </c>
      <c r="H42" s="18" t="s">
        <v>78</v>
      </c>
      <c r="I42" s="18">
        <f>'MERCADO TUSD'!$U$39</f>
        <v>4329.2419999999993</v>
      </c>
      <c r="J42" s="15"/>
      <c r="L42" s="13">
        <f>('TUSD BE'!$L$42+'TUSD BF'!$L$42+'TUSD CVA'!$L$42)*(1 - 0.4)</f>
        <v>0</v>
      </c>
      <c r="M42" s="13">
        <f>('TUSD BE'!$M$42+'TUSD BF'!$M$42+'TUSD CVA'!$M$42)*(1 - 0.4)</f>
        <v>0.57526906160361169</v>
      </c>
      <c r="N42" s="13">
        <f ca="1">('TUSD BE'!$N$42+'TUSD BF'!$N$42+'TUSD CVA'!$N$42)*(1 - 0.4)</f>
        <v>2.7767364887141626</v>
      </c>
      <c r="O42" s="13">
        <f>('TUSD BE'!$O$42+'TUSD BF'!$O$42+'TUSD CVA'!$O$42)*(1 - 0.4)</f>
        <v>0</v>
      </c>
      <c r="P42" s="13">
        <v>0</v>
      </c>
      <c r="Q42" s="13">
        <f>('TUSD BE'!$Q$42+'TUSD BF'!$Q$42+'TUSD CVA'!$Q$42)*(1 - 0.4)</f>
        <v>0</v>
      </c>
      <c r="R42" s="13">
        <v>0</v>
      </c>
      <c r="S42" s="13">
        <f>('TUSD BE'!$S$42+'TUSD BF'!$S$42+'TUSD CVA'!$S$42)*(1 - 0.4)</f>
        <v>0</v>
      </c>
      <c r="T42" s="13">
        <f>('TUSD BE'!$U$42+'TUSD BF'!$U$42+'TUSD CVA'!$U$42)*(1 - 0.4)</f>
        <v>17.119468836907718</v>
      </c>
      <c r="U42" s="13">
        <f>('TUSD BE'!$V$42+'TUSD BF'!$V$42+'TUSD CVA'!$V$42)*(1 - 0.4)</f>
        <v>3.4630244398857508</v>
      </c>
      <c r="V42" s="13">
        <f>('TUSD BE'!$W$42+'TUSD BF'!$W$42+'TUSD CVA'!$W$42)*(1 - 0.4)</f>
        <v>0.49784254897238722</v>
      </c>
      <c r="W42" s="13">
        <f>('TUSD BE'!$X$42+'TUSD BF'!$X$42+'TUSD CVA'!$X$42)*(1 - 0.4)</f>
        <v>0</v>
      </c>
      <c r="X42" s="13">
        <f>('TUSD BE'!$Y$42+'TUSD BF'!$Y$42+'TUSD CVA'!$Y$42)*(1 - 0.4)</f>
        <v>0</v>
      </c>
      <c r="Y42" s="13">
        <f>('TUSD BE'!$Z$42+'TUSD BF'!$Z$42+'TUSD CVA'!$Z$42)*(1 - 0.4)</f>
        <v>0</v>
      </c>
      <c r="Z42" s="13">
        <f>('TUSD BE'!$AA$42+'TUSD BF'!$AA$42+'TUSD CVA'!$AA$42)*(1 - 0.4)</f>
        <v>0</v>
      </c>
      <c r="AA42" s="13">
        <f>('TUSD BE'!$AC$42+'TUSD BF'!$AC$42+'TUSD CVA'!$AC$42)*(1 - 0.4)</f>
        <v>111.49966608652328</v>
      </c>
      <c r="AB42" s="13">
        <f ca="1">('TUSD BE'!$AE$42+'TUSD BF'!$AE$42+'TUSD CVA'!$AE$42)*(1 - 0.4)</f>
        <v>0</v>
      </c>
      <c r="AC42" s="13">
        <f ca="1">('TUSD BE'!$AF$42+'TUSD BF'!$AF$42+'TUSD CVA'!$AF$42)*(1 - 0.4)</f>
        <v>0</v>
      </c>
      <c r="AD42" s="13">
        <f>('TUSD BE'!$AH$42+'TUSD BF'!$AH$42+'TUSD CVA'!$AH$42)*(1 - 0.4)</f>
        <v>18.285713885705636</v>
      </c>
      <c r="AE42" s="13">
        <f>('TUSD BE'!$AI$42+'TUSD BF'!$AI$42+'TUSD CVA'!$AI$42)*(1 - 0.4)</f>
        <v>0.31691122439956954</v>
      </c>
      <c r="AF42" s="13">
        <f ca="1">('TUSD BE'!$AJ$42+'TUSD BF'!$AJ$42+'TUSD CVA'!$AJ$42)*(1 - 0.4)</f>
        <v>1.2623380490472456</v>
      </c>
      <c r="AG42" s="13">
        <f ca="1">('TUSD BE'!$AK$42+'TUSD BF'!$AK$42+'TUSD CVA'!$AK$42)*(1 - 0.4)</f>
        <v>0.17500968827467245</v>
      </c>
      <c r="AI42" s="13">
        <v>0</v>
      </c>
      <c r="AJ42" s="13">
        <v>0.50504546960434604</v>
      </c>
      <c r="AK42" s="13">
        <v>2.1534986727660699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14.197004137543299</v>
      </c>
      <c r="AR42" s="13">
        <v>4.0946845238351903</v>
      </c>
      <c r="AS42" s="13">
        <v>4.7992212746058999E-2</v>
      </c>
      <c r="AT42" s="13">
        <v>0</v>
      </c>
      <c r="AU42" s="13">
        <v>0</v>
      </c>
      <c r="AV42" s="13">
        <v>0</v>
      </c>
      <c r="AW42" s="13">
        <v>0</v>
      </c>
      <c r="AX42" s="13">
        <v>97.432506553337205</v>
      </c>
      <c r="AY42" s="13">
        <v>0</v>
      </c>
      <c r="AZ42" s="13">
        <v>0</v>
      </c>
      <c r="BA42" s="13">
        <v>15.4384383685938</v>
      </c>
      <c r="BB42" s="13">
        <v>0.31321069151519199</v>
      </c>
      <c r="BC42" s="13">
        <v>1.1502998920010701</v>
      </c>
      <c r="BD42" s="13">
        <v>0.19181746625794399</v>
      </c>
    </row>
    <row r="43" spans="1:56" ht="11.25" customHeight="1" x14ac:dyDescent="0.3">
      <c r="A43" s="128"/>
      <c r="B43" s="128"/>
      <c r="C43" s="128"/>
      <c r="D43" s="17" t="s">
        <v>31</v>
      </c>
      <c r="E43" s="17" t="s">
        <v>25</v>
      </c>
      <c r="F43" s="17" t="s">
        <v>25</v>
      </c>
      <c r="G43" s="18" t="s">
        <v>84</v>
      </c>
      <c r="H43" s="18" t="s">
        <v>78</v>
      </c>
      <c r="I43" s="18">
        <f>'MERCADO TUSD'!$U$40</f>
        <v>3237.8510000000001</v>
      </c>
      <c r="J43" s="15"/>
      <c r="L43" s="13">
        <f>('TUSD BE'!$L$43+'TUSD BF'!$L$43+'TUSD CVA'!$L$43)*(1 - 0.1)</f>
        <v>0</v>
      </c>
      <c r="M43" s="13">
        <f>('TUSD BE'!$M$43+'TUSD BF'!$M$43+'TUSD CVA'!$M$43)*(1 - 0.1)</f>
        <v>0.86290359240541759</v>
      </c>
      <c r="N43" s="13">
        <f ca="1">('TUSD BE'!$N$43+'TUSD BF'!$N$43+'TUSD CVA'!$N$43)*(1 - 0.1)</f>
        <v>4.1651047330712441</v>
      </c>
      <c r="O43" s="13">
        <f>('TUSD BE'!$O$43+'TUSD BF'!$O$43+'TUSD CVA'!$O$43)*(1 - 0.1)</f>
        <v>0</v>
      </c>
      <c r="P43" s="13">
        <v>0</v>
      </c>
      <c r="Q43" s="13">
        <f>('TUSD BE'!$Q$43+'TUSD BF'!$Q$43+'TUSD CVA'!$Q$43)*(1 - 0.1)</f>
        <v>0</v>
      </c>
      <c r="R43" s="13">
        <v>0</v>
      </c>
      <c r="S43" s="13">
        <f>('TUSD BE'!$S$43+'TUSD BF'!$S$43+'TUSD CVA'!$S$43)*(1 - 0.1)</f>
        <v>0</v>
      </c>
      <c r="T43" s="13">
        <f>('TUSD BE'!$U$43+'TUSD BF'!$U$43+'TUSD CVA'!$U$43)*(1 - 0.1)</f>
        <v>25.679203255361578</v>
      </c>
      <c r="U43" s="13">
        <f>('TUSD BE'!$V$43+'TUSD BF'!$V$43+'TUSD CVA'!$V$43)*(1 - 0.1)</f>
        <v>5.1945366598286267</v>
      </c>
      <c r="V43" s="13">
        <f>('TUSD BE'!$W$43+'TUSD BF'!$W$43+'TUSD CVA'!$W$43)*(1 - 0.1)</f>
        <v>0.74676382345858083</v>
      </c>
      <c r="W43" s="13">
        <f>('TUSD BE'!$X$43+'TUSD BF'!$X$43+'TUSD CVA'!$X$43)*(1 - 0.1)</f>
        <v>0</v>
      </c>
      <c r="X43" s="13">
        <f>('TUSD BE'!$Y$43+'TUSD BF'!$Y$43+'TUSD CVA'!$Y$43)*(1 - 0.1)</f>
        <v>0</v>
      </c>
      <c r="Y43" s="13">
        <f>('TUSD BE'!$Z$43+'TUSD BF'!$Z$43+'TUSD CVA'!$Z$43)*(1 - 0.1)</f>
        <v>0</v>
      </c>
      <c r="Z43" s="13">
        <f>('TUSD BE'!$AA$43+'TUSD BF'!$AA$43+'TUSD CVA'!$AA$43)*(1 - 0.1)</f>
        <v>0</v>
      </c>
      <c r="AA43" s="13">
        <f>('TUSD BE'!$AC$43+'TUSD BF'!$AC$43+'TUSD CVA'!$AC$43)*(1 - 0.1)</f>
        <v>167.24949912978494</v>
      </c>
      <c r="AB43" s="13">
        <f ca="1">('TUSD BE'!$AE$43+'TUSD BF'!$AE$43+'TUSD CVA'!$AE$43)*(1 - 0.1)</f>
        <v>0</v>
      </c>
      <c r="AC43" s="13">
        <f ca="1">('TUSD BE'!$AF$43+'TUSD BF'!$AF$43+'TUSD CVA'!$AF$43)*(1 - 0.1)</f>
        <v>0</v>
      </c>
      <c r="AD43" s="13">
        <f>('TUSD BE'!$AH$43+'TUSD BF'!$AH$43+'TUSD CVA'!$AH$43)*(1 - 0.1)</f>
        <v>27.428570828558453</v>
      </c>
      <c r="AE43" s="13">
        <f>('TUSD BE'!$AI$43+'TUSD BF'!$AI$43+'TUSD CVA'!$AI$43)*(1 - 0.1)</f>
        <v>0.4753668365993543</v>
      </c>
      <c r="AF43" s="13">
        <f ca="1">('TUSD BE'!$AJ$43+'TUSD BF'!$AJ$43+'TUSD CVA'!$AJ$43)*(1 - 0.1)</f>
        <v>1.8935070735708686</v>
      </c>
      <c r="AG43" s="13">
        <f ca="1">('TUSD BE'!$AK$43+'TUSD BF'!$AK$43+'TUSD CVA'!$AK$43)*(1 - 0.1)</f>
        <v>0.26251453241200867</v>
      </c>
      <c r="AI43" s="13">
        <v>0</v>
      </c>
      <c r="AJ43" s="13">
        <v>0.75756820440651895</v>
      </c>
      <c r="AK43" s="13">
        <v>3.2302480091491099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21.295506206315</v>
      </c>
      <c r="AR43" s="13">
        <v>6.1420267857527797</v>
      </c>
      <c r="AS43" s="13">
        <v>7.1988319119088595E-2</v>
      </c>
      <c r="AT43" s="13">
        <v>0</v>
      </c>
      <c r="AU43" s="13">
        <v>0</v>
      </c>
      <c r="AV43" s="13">
        <v>0</v>
      </c>
      <c r="AW43" s="13">
        <v>0</v>
      </c>
      <c r="AX43" s="13">
        <v>146.14875983000599</v>
      </c>
      <c r="AY43" s="13">
        <v>0</v>
      </c>
      <c r="AZ43" s="13">
        <v>0</v>
      </c>
      <c r="BA43" s="13">
        <v>23.157657552890601</v>
      </c>
      <c r="BB43" s="13">
        <v>0.46981603727278798</v>
      </c>
      <c r="BC43" s="13">
        <v>1.7254498380016099</v>
      </c>
      <c r="BD43" s="13">
        <v>0.28772619938691701</v>
      </c>
    </row>
    <row r="44" spans="1:56" ht="11.25" customHeight="1" x14ac:dyDescent="0.3">
      <c r="A44" s="128"/>
      <c r="B44" s="128"/>
      <c r="C44" s="128"/>
      <c r="D44" s="17" t="s">
        <v>32</v>
      </c>
      <c r="E44" s="17" t="s">
        <v>25</v>
      </c>
      <c r="F44" s="17" t="s">
        <v>25</v>
      </c>
      <c r="G44" s="18" t="s">
        <v>84</v>
      </c>
      <c r="H44" s="18" t="s">
        <v>78</v>
      </c>
      <c r="I44" s="18">
        <f>'MERCADO TUSD'!$U$41</f>
        <v>633.93299999999999</v>
      </c>
      <c r="J44" s="15"/>
      <c r="L44" s="13">
        <f>('TUSD BE'!$L$44+'TUSD BF'!$L$44+'TUSD CVA'!$L$44)*1</f>
        <v>0</v>
      </c>
      <c r="M44" s="13">
        <f>('TUSD BE'!$M$44+'TUSD BF'!$M$44+'TUSD CVA'!$M$44)*1</f>
        <v>0.95878176933935289</v>
      </c>
      <c r="N44" s="13">
        <f ca="1">('TUSD BE'!$N$44+'TUSD BF'!$N$44+'TUSD CVA'!$N$44)*1</f>
        <v>4.6278941478569378</v>
      </c>
      <c r="O44" s="13">
        <f>('TUSD BE'!$O$44+'TUSD BF'!$O$44+'TUSD CVA'!$O$44)*1</f>
        <v>0</v>
      </c>
      <c r="P44" s="13">
        <v>0</v>
      </c>
      <c r="Q44" s="13">
        <f>('TUSD BE'!$Q$44+'TUSD BF'!$Q$44+'TUSD CVA'!$Q$44)*1</f>
        <v>0</v>
      </c>
      <c r="R44" s="13">
        <v>0</v>
      </c>
      <c r="S44" s="13">
        <f>('TUSD BE'!$S$44+'TUSD BF'!$S$44+'TUSD CVA'!$S$44)*1</f>
        <v>0</v>
      </c>
      <c r="T44" s="13">
        <f>('TUSD BE'!$U$44+'TUSD BF'!$U$44+'TUSD CVA'!$U$44)*1</f>
        <v>28.532448061512863</v>
      </c>
      <c r="U44" s="13">
        <f>('TUSD BE'!$V$44+'TUSD BF'!$V$44+'TUSD CVA'!$V$44)*1</f>
        <v>5.7717073998095847</v>
      </c>
      <c r="V44" s="13">
        <f>('TUSD BE'!$W$44+'TUSD BF'!$W$44+'TUSD CVA'!$W$44)*1</f>
        <v>0.82973758162064537</v>
      </c>
      <c r="W44" s="13">
        <f>('TUSD BE'!$X$44+'TUSD BF'!$X$44+'TUSD CVA'!$X$44)*1</f>
        <v>0</v>
      </c>
      <c r="X44" s="13">
        <f>('TUSD BE'!$Y$44+'TUSD BF'!$Y$44+'TUSD CVA'!$Y$44)*1</f>
        <v>0</v>
      </c>
      <c r="Y44" s="13">
        <f>('TUSD BE'!$Z$44+'TUSD BF'!$Z$44+'TUSD CVA'!$Z$44)*1</f>
        <v>0</v>
      </c>
      <c r="Z44" s="13">
        <f>('TUSD BE'!$AA$44+'TUSD BF'!$AA$44+'TUSD CVA'!$AA$44)*1</f>
        <v>0</v>
      </c>
      <c r="AA44" s="13">
        <f>('TUSD BE'!$AC$44+'TUSD BF'!$AC$44+'TUSD CVA'!$AC$44)*1</f>
        <v>185.83277681087213</v>
      </c>
      <c r="AB44" s="13">
        <f ca="1">('TUSD BE'!$AE$44+'TUSD BF'!$AE$44+'TUSD CVA'!$AE$44)*1</f>
        <v>0</v>
      </c>
      <c r="AC44" s="13">
        <f ca="1">('TUSD BE'!$AF$44+'TUSD BF'!$AF$44+'TUSD CVA'!$AF$44)*1</f>
        <v>0</v>
      </c>
      <c r="AD44" s="13">
        <f>('TUSD BE'!$AH$44+'TUSD BF'!$AH$44+'TUSD CVA'!$AH$44)*1</f>
        <v>30.476189809509393</v>
      </c>
      <c r="AE44" s="13">
        <f>('TUSD BE'!$AI$44+'TUSD BF'!$AI$44+'TUSD CVA'!$AI$44)*1</f>
        <v>0.52818537399928256</v>
      </c>
      <c r="AF44" s="13">
        <f ca="1">('TUSD BE'!$AJ$44+'TUSD BF'!$AJ$44+'TUSD CVA'!$AJ$44)*1</f>
        <v>2.1038967484120761</v>
      </c>
      <c r="AG44" s="13">
        <f ca="1">('TUSD BE'!$AK$44+'TUSD BF'!$AK$44+'TUSD CVA'!$AK$44)*1</f>
        <v>0.29168281379112077</v>
      </c>
      <c r="AI44" s="13">
        <v>0</v>
      </c>
      <c r="AJ44" s="13">
        <v>0.84174244934057596</v>
      </c>
      <c r="AK44" s="13">
        <v>3.58916445461012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23.661673562572201</v>
      </c>
      <c r="AR44" s="13">
        <v>6.8244742063919803</v>
      </c>
      <c r="AS44" s="13">
        <v>7.9987021243431697E-2</v>
      </c>
      <c r="AT44" s="13">
        <v>0</v>
      </c>
      <c r="AU44" s="13">
        <v>0</v>
      </c>
      <c r="AV44" s="13">
        <v>0</v>
      </c>
      <c r="AW44" s="13">
        <v>0</v>
      </c>
      <c r="AX44" s="13">
        <v>162.38751092222901</v>
      </c>
      <c r="AY44" s="13">
        <v>0</v>
      </c>
      <c r="AZ44" s="13">
        <v>0</v>
      </c>
      <c r="BA44" s="13">
        <v>25.730730614322901</v>
      </c>
      <c r="BB44" s="13">
        <v>0.52201781919198698</v>
      </c>
      <c r="BC44" s="13">
        <v>1.9171664866684499</v>
      </c>
      <c r="BD44" s="13">
        <v>0.31969577709657399</v>
      </c>
    </row>
    <row r="45" spans="1:56" ht="11.25" customHeight="1" x14ac:dyDescent="0.3">
      <c r="A45" s="128"/>
      <c r="B45" s="128" t="s">
        <v>92</v>
      </c>
      <c r="C45" s="128" t="s">
        <v>24</v>
      </c>
      <c r="D45" s="17" t="s">
        <v>24</v>
      </c>
      <c r="E45" s="17" t="s">
        <v>25</v>
      </c>
      <c r="F45" s="17" t="s">
        <v>25</v>
      </c>
      <c r="G45" s="18" t="s">
        <v>84</v>
      </c>
      <c r="H45" s="18" t="s">
        <v>78</v>
      </c>
      <c r="I45" s="18">
        <f>'MERCADO TUSD'!$U$42</f>
        <v>0</v>
      </c>
      <c r="J45" s="15"/>
      <c r="L45" s="13">
        <f>('TUSD BE'!$L$45+'TUSD BF'!$L$45+'TUSD CVA'!$L$45)*1</f>
        <v>6.6417912129553125</v>
      </c>
      <c r="M45" s="13">
        <f>('TUSD BE'!$M$45+'TUSD BF'!$M$45+'TUSD CVA'!$M$45)*1</f>
        <v>0.95878176933935289</v>
      </c>
      <c r="N45" s="13">
        <f ca="1">('TUSD BE'!$N$45+'TUSD BF'!$N$45+'TUSD CVA'!$N$45)*1</f>
        <v>4.6404735423748606</v>
      </c>
      <c r="O45" s="13">
        <f>('TUSD BE'!$O$45+'TUSD BF'!$O$45+'TUSD CVA'!$O$45)*1</f>
        <v>0</v>
      </c>
      <c r="P45" s="13">
        <f>('TUSD BE'!$P$45+'TUSD BF'!$P$45+'TUSD CVA'!$P$45)*1</f>
        <v>0</v>
      </c>
      <c r="Q45" s="13">
        <f>('TUSD BE'!$Q$45+'TUSD BF'!$Q$45+'TUSD CVA'!$Q$45)*1</f>
        <v>108.15474943655964</v>
      </c>
      <c r="R45" s="13">
        <f>('TUSD BE'!$R$45+'TUSD BF'!$R$45+'TUSD CVA'!$R$45)*1</f>
        <v>18.52197764795989</v>
      </c>
      <c r="S45" s="13">
        <f>('TUSD BE'!$S$45+'TUSD BF'!$S$45+'TUSD CVA'!$S$45)*1</f>
        <v>0</v>
      </c>
      <c r="T45" s="13">
        <f>('TUSD BE'!$U$45+'TUSD BF'!$U$45+'TUSD CVA'!$U$45)*1</f>
        <v>28.532448061512863</v>
      </c>
      <c r="U45" s="13">
        <f>('TUSD BE'!$V$45+'TUSD BF'!$V$45+'TUSD CVA'!$V$45)*1</f>
        <v>5.7717073998095847</v>
      </c>
      <c r="V45" s="13">
        <f>('TUSD BE'!$W$45+'TUSD BF'!$W$45+'TUSD CVA'!$W$45)*1</f>
        <v>0.82973758162064537</v>
      </c>
      <c r="W45" s="13">
        <f>('TUSD BE'!$X$45+'TUSD BF'!$X$45+'TUSD CVA'!$X$45)*1</f>
        <v>0</v>
      </c>
      <c r="X45" s="13">
        <f>('TUSD BE'!$Y$45+'TUSD BF'!$Y$45+'TUSD CVA'!$Y$45)*1</f>
        <v>0</v>
      </c>
      <c r="Y45" s="13">
        <f>('TUSD BE'!$Z$45+'TUSD BF'!$Z$45+'TUSD CVA'!$Z$45)*1</f>
        <v>0</v>
      </c>
      <c r="Z45" s="13">
        <f>('TUSD BE'!$AA$45+'TUSD BF'!$AA$45+'TUSD CVA'!$AA$45)*1</f>
        <v>0</v>
      </c>
      <c r="AA45" s="13">
        <f>('TUSD BE'!$AC$45+'TUSD BF'!$AC$45+'TUSD CVA'!$AC$45)*1</f>
        <v>185.83277681087213</v>
      </c>
      <c r="AB45" s="13">
        <f ca="1">('TUSD BE'!$AE$45+'TUSD BF'!$AE$45+'TUSD CVA'!$AE$45)*1</f>
        <v>0</v>
      </c>
      <c r="AC45" s="13">
        <f ca="1">('TUSD BE'!$AF$45+'TUSD BF'!$AF$45+'TUSD CVA'!$AF$45)*1</f>
        <v>0</v>
      </c>
      <c r="AD45" s="13">
        <f>('TUSD BE'!$AH$45+'TUSD BF'!$AH$45+'TUSD CVA'!$AH$45)*1</f>
        <v>30.476189809509393</v>
      </c>
      <c r="AE45" s="13">
        <f>('TUSD BE'!$AI$45+'TUSD BF'!$AI$45+'TUSD CVA'!$AI$45)*1</f>
        <v>0.52818537399928256</v>
      </c>
      <c r="AF45" s="13">
        <f ca="1">('TUSD BE'!$AJ$45+'TUSD BF'!$AJ$45+'TUSD CVA'!$AJ$45)*1</f>
        <v>2.1038967484120761</v>
      </c>
      <c r="AG45" s="13">
        <f ca="1">('TUSD BE'!$AK$45+'TUSD BF'!$AK$45+'TUSD CVA'!$AK$45)*1</f>
        <v>0.29168281379112077</v>
      </c>
      <c r="AI45" s="13">
        <v>6.7342758080178804</v>
      </c>
      <c r="AJ45" s="13">
        <v>0.84174244934057596</v>
      </c>
      <c r="AK45" s="13">
        <v>3.5989222612493701</v>
      </c>
      <c r="AL45" s="13">
        <v>0</v>
      </c>
      <c r="AM45" s="13">
        <v>0</v>
      </c>
      <c r="AN45" s="13">
        <v>57.603064100223399</v>
      </c>
      <c r="AO45" s="13">
        <v>10.076820057623801</v>
      </c>
      <c r="AP45" s="13">
        <v>0</v>
      </c>
      <c r="AQ45" s="13">
        <v>23.661673562572201</v>
      </c>
      <c r="AR45" s="13">
        <v>6.8244742063919803</v>
      </c>
      <c r="AS45" s="13">
        <v>7.9987021243431697E-2</v>
      </c>
      <c r="AT45" s="13">
        <v>0</v>
      </c>
      <c r="AU45" s="13">
        <v>0</v>
      </c>
      <c r="AV45" s="13">
        <v>0</v>
      </c>
      <c r="AW45" s="13">
        <v>0</v>
      </c>
      <c r="AX45" s="13">
        <v>162.38751092222901</v>
      </c>
      <c r="AY45" s="13">
        <v>0</v>
      </c>
      <c r="AZ45" s="13">
        <v>0</v>
      </c>
      <c r="BA45" s="13">
        <v>25.730730614322901</v>
      </c>
      <c r="BB45" s="13">
        <v>0.52201781919198698</v>
      </c>
      <c r="BC45" s="13">
        <v>1.9171664866684499</v>
      </c>
      <c r="BD45" s="13">
        <v>0.31969577709657399</v>
      </c>
    </row>
    <row r="46" spans="1:56" ht="11.25" customHeight="1" x14ac:dyDescent="0.3">
      <c r="A46" s="128"/>
      <c r="B46" s="128"/>
      <c r="C46" s="128"/>
      <c r="D46" s="17" t="s">
        <v>29</v>
      </c>
      <c r="E46" s="17" t="s">
        <v>25</v>
      </c>
      <c r="F46" s="17" t="s">
        <v>25</v>
      </c>
      <c r="G46" s="18" t="s">
        <v>84</v>
      </c>
      <c r="H46" s="18" t="s">
        <v>78</v>
      </c>
      <c r="I46" s="18">
        <f>'MERCADO TUSD'!$U$43</f>
        <v>0</v>
      </c>
      <c r="J46" s="15"/>
      <c r="L46" s="13">
        <f>('TUSD BE'!$L$46+'TUSD BF'!$L$46+'TUSD CVA'!$L$46)*(1 - 0.65)</f>
        <v>0</v>
      </c>
      <c r="M46" s="13">
        <f>('TUSD BE'!$M$46+'TUSD BF'!$M$46+'TUSD CVA'!$M$46)*(1 - 0.65)</f>
        <v>0.33557361926877349</v>
      </c>
      <c r="N46" s="13">
        <f ca="1">('TUSD BE'!$N$46+'TUSD BF'!$N$46+'TUSD CVA'!$N$46)*(1 - 0.65)</f>
        <v>1.6197629517499281</v>
      </c>
      <c r="O46" s="13">
        <f>('TUSD BE'!$O$46+'TUSD BF'!$O$46+'TUSD CVA'!$O$46)*(1 - 0.65)</f>
        <v>0</v>
      </c>
      <c r="P46" s="13">
        <v>0</v>
      </c>
      <c r="Q46" s="13">
        <f>('TUSD BE'!$Q$46+'TUSD BF'!$Q$46+'TUSD CVA'!$Q$46)*(1 - 0.65)</f>
        <v>0</v>
      </c>
      <c r="R46" s="13">
        <v>0</v>
      </c>
      <c r="S46" s="13">
        <f>('TUSD BE'!$S$46+'TUSD BF'!$S$46+'TUSD CVA'!$S$46)*(1 - 0.65)</f>
        <v>0</v>
      </c>
      <c r="T46" s="13">
        <f>('TUSD BE'!$U$46+'TUSD BF'!$U$46+'TUSD CVA'!$U$46)*(1 - 0.65)</f>
        <v>9.9863568215295011</v>
      </c>
      <c r="U46" s="13">
        <f>('TUSD BE'!$V$46+'TUSD BF'!$V$46+'TUSD CVA'!$V$46)*(1 - 0.65)</f>
        <v>2.0200975899333544</v>
      </c>
      <c r="V46" s="13">
        <f>('TUSD BE'!$W$46+'TUSD BF'!$W$46+'TUSD CVA'!$W$46)*(1 - 0.65)</f>
        <v>0.29040815356722588</v>
      </c>
      <c r="W46" s="13">
        <f>('TUSD BE'!$X$46+'TUSD BF'!$X$46+'TUSD CVA'!$X$46)*(1 - 0.65)</f>
        <v>0</v>
      </c>
      <c r="X46" s="13">
        <f>('TUSD BE'!$Y$46+'TUSD BF'!$Y$46+'TUSD CVA'!$Y$46)*(1 - 0.65)</f>
        <v>0</v>
      </c>
      <c r="Y46" s="13">
        <f>('TUSD BE'!$Z$46+'TUSD BF'!$Z$46+'TUSD CVA'!$Z$46)*(1 - 0.65)</f>
        <v>0</v>
      </c>
      <c r="Z46" s="13">
        <f>('TUSD BE'!$AA$46+'TUSD BF'!$AA$46+'TUSD CVA'!$AA$46)*(1 - 0.65)</f>
        <v>0</v>
      </c>
      <c r="AA46" s="13">
        <f>('TUSD BE'!$AC$46+'TUSD BF'!$AC$46+'TUSD CVA'!$AC$46)*(1 - 0.65)</f>
        <v>65.041471883805244</v>
      </c>
      <c r="AB46" s="13">
        <f ca="1">('TUSD BE'!$AE$46+'TUSD BF'!$AE$46+'TUSD CVA'!$AE$46)*(1 - 0.65)</f>
        <v>0</v>
      </c>
      <c r="AC46" s="13">
        <f ca="1">('TUSD BE'!$AF$46+'TUSD BF'!$AF$46+'TUSD CVA'!$AF$46)*(1 - 0.65)</f>
        <v>0</v>
      </c>
      <c r="AD46" s="13">
        <f>('TUSD BE'!$AH$46+'TUSD BF'!$AH$46+'TUSD CVA'!$AH$46)*(1 - 0.65)</f>
        <v>10.666666433328286</v>
      </c>
      <c r="AE46" s="13">
        <f>('TUSD BE'!$AI$46+'TUSD BF'!$AI$46+'TUSD CVA'!$AI$46)*(1 - 0.65)</f>
        <v>0.1848648808997489</v>
      </c>
      <c r="AF46" s="13">
        <f ca="1">('TUSD BE'!$AJ$46+'TUSD BF'!$AJ$46+'TUSD CVA'!$AJ$46)*(1 - 0.65)</f>
        <v>0.73636386194422654</v>
      </c>
      <c r="AG46" s="13">
        <f ca="1">('TUSD BE'!$AK$46+'TUSD BF'!$AK$46+'TUSD CVA'!$AK$46)*(1 - 0.65)</f>
        <v>0.10208898482689226</v>
      </c>
      <c r="AI46" s="13">
        <v>0</v>
      </c>
      <c r="AJ46" s="13">
        <v>0.29460985726920202</v>
      </c>
      <c r="AK46" s="13">
        <v>1.25620755911354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8.2815857469002907</v>
      </c>
      <c r="AR46" s="13">
        <v>2.3885659722371901</v>
      </c>
      <c r="AS46" s="13">
        <v>2.7995457435201099E-2</v>
      </c>
      <c r="AT46" s="13">
        <v>0</v>
      </c>
      <c r="AU46" s="13">
        <v>0</v>
      </c>
      <c r="AV46" s="13">
        <v>0</v>
      </c>
      <c r="AW46" s="13">
        <v>0</v>
      </c>
      <c r="AX46" s="13">
        <v>56.835628822780002</v>
      </c>
      <c r="AY46" s="13">
        <v>0</v>
      </c>
      <c r="AZ46" s="13">
        <v>0</v>
      </c>
      <c r="BA46" s="13">
        <v>9.0057557150130201</v>
      </c>
      <c r="BB46" s="13">
        <v>0.18270623671719499</v>
      </c>
      <c r="BC46" s="13">
        <v>0.67100827033395904</v>
      </c>
      <c r="BD46" s="13">
        <v>0.11189352198380099</v>
      </c>
    </row>
    <row r="47" spans="1:56" ht="11.25" customHeight="1" x14ac:dyDescent="0.3">
      <c r="A47" s="128"/>
      <c r="B47" s="128"/>
      <c r="C47" s="128"/>
      <c r="D47" s="17" t="s">
        <v>30</v>
      </c>
      <c r="E47" s="17" t="s">
        <v>25</v>
      </c>
      <c r="F47" s="17" t="s">
        <v>25</v>
      </c>
      <c r="G47" s="18" t="s">
        <v>84</v>
      </c>
      <c r="H47" s="18" t="s">
        <v>78</v>
      </c>
      <c r="I47" s="18">
        <f>'MERCADO TUSD'!$U$44</f>
        <v>0</v>
      </c>
      <c r="J47" s="15"/>
      <c r="L47" s="13">
        <f>('TUSD BE'!$L$47+'TUSD BF'!$L$47+'TUSD CVA'!$L$47)*(1 - 0.4)</f>
        <v>0</v>
      </c>
      <c r="M47" s="13">
        <f>('TUSD BE'!$M$47+'TUSD BF'!$M$47+'TUSD CVA'!$M$47)*(1 - 0.4)</f>
        <v>0.57526906160361169</v>
      </c>
      <c r="N47" s="13">
        <f ca="1">('TUSD BE'!$N$47+'TUSD BF'!$N$47+'TUSD CVA'!$N$47)*(1 - 0.4)</f>
        <v>2.7767364887141626</v>
      </c>
      <c r="O47" s="13">
        <f>('TUSD BE'!$O$47+'TUSD BF'!$O$47+'TUSD CVA'!$O$47)*(1 - 0.4)</f>
        <v>0</v>
      </c>
      <c r="P47" s="13">
        <v>0</v>
      </c>
      <c r="Q47" s="13">
        <f>('TUSD BE'!$Q$47+'TUSD BF'!$Q$47+'TUSD CVA'!$Q$47)*(1 - 0.4)</f>
        <v>0</v>
      </c>
      <c r="R47" s="13">
        <v>0</v>
      </c>
      <c r="S47" s="13">
        <f>('TUSD BE'!$S$47+'TUSD BF'!$S$47+'TUSD CVA'!$S$47)*(1 - 0.4)</f>
        <v>0</v>
      </c>
      <c r="T47" s="13">
        <f>('TUSD BE'!$U$47+'TUSD BF'!$U$47+'TUSD CVA'!$U$47)*(1 - 0.4)</f>
        <v>17.119468836907718</v>
      </c>
      <c r="U47" s="13">
        <f>('TUSD BE'!$V$47+'TUSD BF'!$V$47+'TUSD CVA'!$V$47)*(1 - 0.4)</f>
        <v>3.4630244398857508</v>
      </c>
      <c r="V47" s="13">
        <f>('TUSD BE'!$W$47+'TUSD BF'!$W$47+'TUSD CVA'!$W$47)*(1 - 0.4)</f>
        <v>0.49784254897238722</v>
      </c>
      <c r="W47" s="13">
        <f>('TUSD BE'!$X$47+'TUSD BF'!$X$47+'TUSD CVA'!$X$47)*(1 - 0.4)</f>
        <v>0</v>
      </c>
      <c r="X47" s="13">
        <f>('TUSD BE'!$Y$47+'TUSD BF'!$Y$47+'TUSD CVA'!$Y$47)*(1 - 0.4)</f>
        <v>0</v>
      </c>
      <c r="Y47" s="13">
        <f>('TUSD BE'!$Z$47+'TUSD BF'!$Z$47+'TUSD CVA'!$Z$47)*(1 - 0.4)</f>
        <v>0</v>
      </c>
      <c r="Z47" s="13">
        <f>('TUSD BE'!$AA$47+'TUSD BF'!$AA$47+'TUSD CVA'!$AA$47)*(1 - 0.4)</f>
        <v>0</v>
      </c>
      <c r="AA47" s="13">
        <f>('TUSD BE'!$AC$47+'TUSD BF'!$AC$47+'TUSD CVA'!$AC$47)*(1 - 0.4)</f>
        <v>111.49966608652328</v>
      </c>
      <c r="AB47" s="13">
        <f ca="1">('TUSD BE'!$AE$47+'TUSD BF'!$AE$47+'TUSD CVA'!$AE$47)*(1 - 0.4)</f>
        <v>0</v>
      </c>
      <c r="AC47" s="13">
        <f ca="1">('TUSD BE'!$AF$47+'TUSD BF'!$AF$47+'TUSD CVA'!$AF$47)*(1 - 0.4)</f>
        <v>0</v>
      </c>
      <c r="AD47" s="13">
        <f>('TUSD BE'!$AH$47+'TUSD BF'!$AH$47+'TUSD CVA'!$AH$47)*(1 - 0.4)</f>
        <v>18.285713885705636</v>
      </c>
      <c r="AE47" s="13">
        <f>('TUSD BE'!$AI$47+'TUSD BF'!$AI$47+'TUSD CVA'!$AI$47)*(1 - 0.4)</f>
        <v>0.31691122439956954</v>
      </c>
      <c r="AF47" s="13">
        <f ca="1">('TUSD BE'!$AJ$47+'TUSD BF'!$AJ$47+'TUSD CVA'!$AJ$47)*(1 - 0.4)</f>
        <v>1.2623380490472456</v>
      </c>
      <c r="AG47" s="13">
        <f ca="1">('TUSD BE'!$AK$47+'TUSD BF'!$AK$47+'TUSD CVA'!$AK$47)*(1 - 0.4)</f>
        <v>0.17500968827467245</v>
      </c>
      <c r="AI47" s="13">
        <v>0</v>
      </c>
      <c r="AJ47" s="13">
        <v>0.50504546960434604</v>
      </c>
      <c r="AK47" s="13">
        <v>2.1534986727660699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14.197004137543299</v>
      </c>
      <c r="AR47" s="13">
        <v>4.0946845238351903</v>
      </c>
      <c r="AS47" s="13">
        <v>4.7992212746058999E-2</v>
      </c>
      <c r="AT47" s="13">
        <v>0</v>
      </c>
      <c r="AU47" s="13">
        <v>0</v>
      </c>
      <c r="AV47" s="13">
        <v>0</v>
      </c>
      <c r="AW47" s="13">
        <v>0</v>
      </c>
      <c r="AX47" s="13">
        <v>97.432506553337205</v>
      </c>
      <c r="AY47" s="13">
        <v>0</v>
      </c>
      <c r="AZ47" s="13">
        <v>0</v>
      </c>
      <c r="BA47" s="13">
        <v>15.4384383685938</v>
      </c>
      <c r="BB47" s="13">
        <v>0.31321069151519199</v>
      </c>
      <c r="BC47" s="13">
        <v>1.1502998920010701</v>
      </c>
      <c r="BD47" s="13">
        <v>0.19181746625794399</v>
      </c>
    </row>
    <row r="48" spans="1:56" ht="11.25" customHeight="1" x14ac:dyDescent="0.3">
      <c r="A48" s="128"/>
      <c r="B48" s="128"/>
      <c r="C48" s="128"/>
      <c r="D48" s="17" t="s">
        <v>31</v>
      </c>
      <c r="E48" s="17" t="s">
        <v>25</v>
      </c>
      <c r="F48" s="17" t="s">
        <v>25</v>
      </c>
      <c r="G48" s="18" t="s">
        <v>84</v>
      </c>
      <c r="H48" s="18" t="s">
        <v>78</v>
      </c>
      <c r="I48" s="18">
        <f>'MERCADO TUSD'!$U$45</f>
        <v>0</v>
      </c>
      <c r="J48" s="15"/>
      <c r="L48" s="13">
        <f>('TUSD BE'!$L$48+'TUSD BF'!$L$48+'TUSD CVA'!$L$48)*(1 - 0.1)</f>
        <v>0</v>
      </c>
      <c r="M48" s="13">
        <f>('TUSD BE'!$M$48+'TUSD BF'!$M$48+'TUSD CVA'!$M$48)*(1 - 0.1)</f>
        <v>0.86290359240541759</v>
      </c>
      <c r="N48" s="13">
        <f ca="1">('TUSD BE'!$N$48+'TUSD BF'!$N$48+'TUSD CVA'!$N$48)*(1 - 0.1)</f>
        <v>4.1651047330712441</v>
      </c>
      <c r="O48" s="13">
        <f>('TUSD BE'!$O$48+'TUSD BF'!$O$48+'TUSD CVA'!$O$48)*(1 - 0.1)</f>
        <v>0</v>
      </c>
      <c r="P48" s="13">
        <v>0</v>
      </c>
      <c r="Q48" s="13">
        <f>('TUSD BE'!$Q$48+'TUSD BF'!$Q$48+'TUSD CVA'!$Q$48)*(1 - 0.1)</f>
        <v>0</v>
      </c>
      <c r="R48" s="13">
        <v>0</v>
      </c>
      <c r="S48" s="13">
        <f>('TUSD BE'!$S$48+'TUSD BF'!$S$48+'TUSD CVA'!$S$48)*(1 - 0.1)</f>
        <v>0</v>
      </c>
      <c r="T48" s="13">
        <f>('TUSD BE'!$U$48+'TUSD BF'!$U$48+'TUSD CVA'!$U$48)*(1 - 0.1)</f>
        <v>25.679203255361578</v>
      </c>
      <c r="U48" s="13">
        <f>('TUSD BE'!$V$48+'TUSD BF'!$V$48+'TUSD CVA'!$V$48)*(1 - 0.1)</f>
        <v>5.1945366598286267</v>
      </c>
      <c r="V48" s="13">
        <f>('TUSD BE'!$W$48+'TUSD BF'!$W$48+'TUSD CVA'!$W$48)*(1 - 0.1)</f>
        <v>0.74676382345858083</v>
      </c>
      <c r="W48" s="13">
        <f>('TUSD BE'!$X$48+'TUSD BF'!$X$48+'TUSD CVA'!$X$48)*(1 - 0.1)</f>
        <v>0</v>
      </c>
      <c r="X48" s="13">
        <f>('TUSD BE'!$Y$48+'TUSD BF'!$Y$48+'TUSD CVA'!$Y$48)*(1 - 0.1)</f>
        <v>0</v>
      </c>
      <c r="Y48" s="13">
        <f>('TUSD BE'!$Z$48+'TUSD BF'!$Z$48+'TUSD CVA'!$Z$48)*(1 - 0.1)</f>
        <v>0</v>
      </c>
      <c r="Z48" s="13">
        <f>('TUSD BE'!$AA$48+'TUSD BF'!$AA$48+'TUSD CVA'!$AA$48)*(1 - 0.1)</f>
        <v>0</v>
      </c>
      <c r="AA48" s="13">
        <f>('TUSD BE'!$AC$48+'TUSD BF'!$AC$48+'TUSD CVA'!$AC$48)*(1 - 0.1)</f>
        <v>167.24949912978494</v>
      </c>
      <c r="AB48" s="13">
        <f ca="1">('TUSD BE'!$AE$48+'TUSD BF'!$AE$48+'TUSD CVA'!$AE$48)*(1 - 0.1)</f>
        <v>0</v>
      </c>
      <c r="AC48" s="13">
        <f ca="1">('TUSD BE'!$AF$48+'TUSD BF'!$AF$48+'TUSD CVA'!$AF$48)*(1 - 0.1)</f>
        <v>0</v>
      </c>
      <c r="AD48" s="13">
        <f>('TUSD BE'!$AH$48+'TUSD BF'!$AH$48+'TUSD CVA'!$AH$48)*(1 - 0.1)</f>
        <v>27.428570828558453</v>
      </c>
      <c r="AE48" s="13">
        <f>('TUSD BE'!$AI$48+'TUSD BF'!$AI$48+'TUSD CVA'!$AI$48)*(1 - 0.1)</f>
        <v>0.4753668365993543</v>
      </c>
      <c r="AF48" s="13">
        <f ca="1">('TUSD BE'!$AJ$48+'TUSD BF'!$AJ$48+'TUSD CVA'!$AJ$48)*(1 - 0.1)</f>
        <v>1.8935070735708686</v>
      </c>
      <c r="AG48" s="13">
        <f ca="1">('TUSD BE'!$AK$48+'TUSD BF'!$AK$48+'TUSD CVA'!$AK$48)*(1 - 0.1)</f>
        <v>0.26251453241200867</v>
      </c>
      <c r="AI48" s="13">
        <v>0</v>
      </c>
      <c r="AJ48" s="13">
        <v>0.75756820440651895</v>
      </c>
      <c r="AK48" s="13">
        <v>3.2302480091491099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21.295506206315</v>
      </c>
      <c r="AR48" s="13">
        <v>6.1420267857527797</v>
      </c>
      <c r="AS48" s="13">
        <v>7.1988319119088595E-2</v>
      </c>
      <c r="AT48" s="13">
        <v>0</v>
      </c>
      <c r="AU48" s="13">
        <v>0</v>
      </c>
      <c r="AV48" s="13">
        <v>0</v>
      </c>
      <c r="AW48" s="13">
        <v>0</v>
      </c>
      <c r="AX48" s="13">
        <v>146.14875983000599</v>
      </c>
      <c r="AY48" s="13">
        <v>0</v>
      </c>
      <c r="AZ48" s="13">
        <v>0</v>
      </c>
      <c r="BA48" s="13">
        <v>23.157657552890601</v>
      </c>
      <c r="BB48" s="13">
        <v>0.46981603727278798</v>
      </c>
      <c r="BC48" s="13">
        <v>1.7254498380016099</v>
      </c>
      <c r="BD48" s="13">
        <v>0.28772619938691701</v>
      </c>
    </row>
    <row r="49" spans="1:56" ht="11.25" customHeight="1" x14ac:dyDescent="0.3">
      <c r="A49" s="128"/>
      <c r="B49" s="128"/>
      <c r="C49" s="128"/>
      <c r="D49" s="17" t="s">
        <v>32</v>
      </c>
      <c r="E49" s="17" t="s">
        <v>25</v>
      </c>
      <c r="F49" s="17" t="s">
        <v>25</v>
      </c>
      <c r="G49" s="18" t="s">
        <v>84</v>
      </c>
      <c r="H49" s="18" t="s">
        <v>78</v>
      </c>
      <c r="I49" s="18">
        <f>'MERCADO TUSD'!$U$46</f>
        <v>0</v>
      </c>
      <c r="J49" s="15"/>
      <c r="L49" s="13">
        <f>('TUSD BE'!$L$49+'TUSD BF'!$L$49+'TUSD CVA'!$L$49)*1</f>
        <v>0</v>
      </c>
      <c r="M49" s="13">
        <f>('TUSD BE'!$M$49+'TUSD BF'!$M$49+'TUSD CVA'!$M$49)*1</f>
        <v>0.95878176933935289</v>
      </c>
      <c r="N49" s="13">
        <f ca="1">('TUSD BE'!$N$49+'TUSD BF'!$N$49+'TUSD CVA'!$N$49)*1</f>
        <v>4.6278941478569378</v>
      </c>
      <c r="O49" s="13">
        <f>('TUSD BE'!$O$49+'TUSD BF'!$O$49+'TUSD CVA'!$O$49)*1</f>
        <v>0</v>
      </c>
      <c r="P49" s="13">
        <v>0</v>
      </c>
      <c r="Q49" s="13">
        <f>('TUSD BE'!$Q$49+'TUSD BF'!$Q$49+'TUSD CVA'!$Q$49)*1</f>
        <v>0</v>
      </c>
      <c r="R49" s="13">
        <v>0</v>
      </c>
      <c r="S49" s="13">
        <f>('TUSD BE'!$S$49+'TUSD BF'!$S$49+'TUSD CVA'!$S$49)*1</f>
        <v>0</v>
      </c>
      <c r="T49" s="13">
        <f>('TUSD BE'!$U$49+'TUSD BF'!$U$49+'TUSD CVA'!$U$49)*1</f>
        <v>28.532448061512863</v>
      </c>
      <c r="U49" s="13">
        <f>('TUSD BE'!$V$49+'TUSD BF'!$V$49+'TUSD CVA'!$V$49)*1</f>
        <v>5.7717073998095847</v>
      </c>
      <c r="V49" s="13">
        <f>('TUSD BE'!$W$49+'TUSD BF'!$W$49+'TUSD CVA'!$W$49)*1</f>
        <v>0.82973758162064537</v>
      </c>
      <c r="W49" s="13">
        <f>('TUSD BE'!$X$49+'TUSD BF'!$X$49+'TUSD CVA'!$X$49)*1</f>
        <v>0</v>
      </c>
      <c r="X49" s="13">
        <f>('TUSD BE'!$Y$49+'TUSD BF'!$Y$49+'TUSD CVA'!$Y$49)*1</f>
        <v>0</v>
      </c>
      <c r="Y49" s="13">
        <f>('TUSD BE'!$Z$49+'TUSD BF'!$Z$49+'TUSD CVA'!$Z$49)*1</f>
        <v>0</v>
      </c>
      <c r="Z49" s="13">
        <f>('TUSD BE'!$AA$49+'TUSD BF'!$AA$49+'TUSD CVA'!$AA$49)*1</f>
        <v>0</v>
      </c>
      <c r="AA49" s="13">
        <f>('TUSD BE'!$AC$49+'TUSD BF'!$AC$49+'TUSD CVA'!$AC$49)*1</f>
        <v>185.83277681087213</v>
      </c>
      <c r="AB49" s="13">
        <f ca="1">('TUSD BE'!$AE$49+'TUSD BF'!$AE$49+'TUSD CVA'!$AE$49)*1</f>
        <v>0</v>
      </c>
      <c r="AC49" s="13">
        <f ca="1">('TUSD BE'!$AF$49+'TUSD BF'!$AF$49+'TUSD CVA'!$AF$49)*1</f>
        <v>0</v>
      </c>
      <c r="AD49" s="13">
        <f>('TUSD BE'!$AH$49+'TUSD BF'!$AH$49+'TUSD CVA'!$AH$49)*1</f>
        <v>30.476189809509393</v>
      </c>
      <c r="AE49" s="13">
        <f>('TUSD BE'!$AI$49+'TUSD BF'!$AI$49+'TUSD CVA'!$AI$49)*1</f>
        <v>0.52818537399928256</v>
      </c>
      <c r="AF49" s="13">
        <f ca="1">('TUSD BE'!$AJ$49+'TUSD BF'!$AJ$49+'TUSD CVA'!$AJ$49)*1</f>
        <v>2.1038967484120761</v>
      </c>
      <c r="AG49" s="13">
        <f ca="1">('TUSD BE'!$AK$49+'TUSD BF'!$AK$49+'TUSD CVA'!$AK$49)*1</f>
        <v>0.29168281379112077</v>
      </c>
      <c r="AI49" s="13">
        <v>0</v>
      </c>
      <c r="AJ49" s="13">
        <v>0.84174244934057596</v>
      </c>
      <c r="AK49" s="13">
        <v>3.58916445461012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23.661673562572201</v>
      </c>
      <c r="AR49" s="13">
        <v>6.8244742063919803</v>
      </c>
      <c r="AS49" s="13">
        <v>7.9987021243431697E-2</v>
      </c>
      <c r="AT49" s="13">
        <v>0</v>
      </c>
      <c r="AU49" s="13">
        <v>0</v>
      </c>
      <c r="AV49" s="13">
        <v>0</v>
      </c>
      <c r="AW49" s="13">
        <v>0</v>
      </c>
      <c r="AX49" s="13">
        <v>162.38751092222901</v>
      </c>
      <c r="AY49" s="13">
        <v>0</v>
      </c>
      <c r="AZ49" s="13">
        <v>0</v>
      </c>
      <c r="BA49" s="13">
        <v>25.730730614322901</v>
      </c>
      <c r="BB49" s="13">
        <v>0.52201781919198698</v>
      </c>
      <c r="BC49" s="13">
        <v>1.9171664866684499</v>
      </c>
      <c r="BD49" s="13">
        <v>0.31969577709657399</v>
      </c>
    </row>
    <row r="50" spans="1:56" ht="11.25" customHeight="1" x14ac:dyDescent="0.3">
      <c r="A50" s="128" t="s">
        <v>44</v>
      </c>
      <c r="B50" s="128" t="s">
        <v>33</v>
      </c>
      <c r="C50" s="128" t="s">
        <v>45</v>
      </c>
      <c r="D50" s="128" t="s">
        <v>25</v>
      </c>
      <c r="E50" s="128" t="s">
        <v>25</v>
      </c>
      <c r="F50" s="128" t="s">
        <v>25</v>
      </c>
      <c r="G50" s="18" t="s">
        <v>79</v>
      </c>
      <c r="H50" s="18" t="s">
        <v>78</v>
      </c>
      <c r="I50" s="18">
        <f>'MERCADO TUSD'!$U$47</f>
        <v>0</v>
      </c>
      <c r="J50" s="15"/>
      <c r="L50" s="13">
        <f>('TUSD BE'!$L$50+'TUSD BF'!$L$50+'TUSD CVA'!$L$50)*(1 - CUSTOS!$M$38)</f>
        <v>6.2432837401779935</v>
      </c>
      <c r="M50" s="13">
        <f>('TUSD BE'!$M$50+'TUSD BF'!$M$50+'TUSD CVA'!$M$50)*(1 - CUSTOS!$M$38)</f>
        <v>0.90125486317899162</v>
      </c>
      <c r="N50" s="13">
        <f ca="1">('TUSD BE'!$N$50+'TUSD BF'!$N$50+'TUSD CVA'!$N$50)*(1 - CUSTOS!$M$38)</f>
        <v>8.6739145050816973</v>
      </c>
      <c r="O50" s="13">
        <f>('TUSD BE'!$O$50+'TUSD BF'!$O$50+'TUSD CVA'!$O$50)*(1 - CUSTOS!$M$38)</f>
        <v>0</v>
      </c>
      <c r="P50" s="13">
        <f>('TUSD BE'!$P$50+'TUSD BF'!$P$50+'TUSD CVA'!$P$50)*(1 - CUSTOS!$M$38)</f>
        <v>0</v>
      </c>
      <c r="Q50" s="13">
        <f>('TUSD BE'!$Q$50+'TUSD BF'!$Q$50+'TUSD CVA'!$Q$50)*(1 - CUSTOS!$M$38)</f>
        <v>101.66546447036606</v>
      </c>
      <c r="R50" s="13">
        <f>('TUSD BE'!$R$50+'TUSD BF'!$R$50+'TUSD CVA'!$R$50)*(1 - CUSTOS!$M$38)</f>
        <v>17.410658989082297</v>
      </c>
      <c r="S50" s="13">
        <f>('TUSD BE'!$S$50+'TUSD BF'!$S$50+'TUSD CVA'!$S$50)*(1 - CUSTOS!$M$38)</f>
        <v>0</v>
      </c>
      <c r="T50" s="13">
        <f>('TUSD BE'!$U$50+'TUSD BF'!$U$50+'TUSD CVA'!$U$50)*(1 - CUSTOS!$M$38)</f>
        <v>79.120532053426047</v>
      </c>
      <c r="U50" s="13">
        <f>('TUSD BE'!$V$50+'TUSD BF'!$V$50+'TUSD CVA'!$V$50)*(1 - CUSTOS!$M$38)</f>
        <v>16.004933698529911</v>
      </c>
      <c r="V50" s="13">
        <f>('TUSD BE'!$W$50+'TUSD BF'!$W$50+'TUSD CVA'!$W$50)*(1 - CUSTOS!$M$38)</f>
        <v>2.3007949603516034</v>
      </c>
      <c r="W50" s="13">
        <f>('TUSD BE'!$X$50+'TUSD BF'!$X$50+'TUSD CVA'!$X$50)*(1 - CUSTOS!$M$38)</f>
        <v>0</v>
      </c>
      <c r="X50" s="13">
        <f>('TUSD BE'!$Y$50+'TUSD BF'!$Y$50+'TUSD CVA'!$Y$50)*(1 - CUSTOS!$M$38)</f>
        <v>0</v>
      </c>
      <c r="Y50" s="13">
        <f>('TUSD BE'!$Z$50+'TUSD BF'!$Z$50+'TUSD CVA'!$Z$50)*(1 - CUSTOS!$M$38)</f>
        <v>0</v>
      </c>
      <c r="Z50" s="13">
        <f>('TUSD BE'!$AA$50+'TUSD BF'!$AA$50+'TUSD CVA'!$AA$50)*(1 - CUSTOS!$M$38)</f>
        <v>0</v>
      </c>
      <c r="AA50" s="13">
        <f>('TUSD BE'!$AC$50+'TUSD BF'!$AC$50+'TUSD CVA'!$AC$50)*(1 - CUSTOS!$M$38)</f>
        <v>515.31444311361543</v>
      </c>
      <c r="AB50" s="13">
        <f ca="1">('TUSD BE'!$AE$50+'TUSD BF'!$AE$50+'TUSD CVA'!$AE$50)*(1 - CUSTOS!$M$38)</f>
        <v>0</v>
      </c>
      <c r="AC50" s="13">
        <f ca="1">('TUSD BE'!$AF$50+'TUSD BF'!$AF$50+'TUSD CVA'!$AF$50)*(1 - CUSTOS!$M$38)</f>
        <v>0</v>
      </c>
      <c r="AD50" s="13">
        <f>('TUSD BE'!$AH$50+'TUSD BF'!$AH$50+'TUSD CVA'!$AH$50)*(1 - CUSTOS!$M$38)</f>
        <v>28.647618420938826</v>
      </c>
      <c r="AE50" s="13">
        <f>('TUSD BE'!$AI$50+'TUSD BF'!$AI$50+'TUSD CVA'!$AI$50)*(1 - CUSTOS!$M$38)</f>
        <v>0.49649425155932558</v>
      </c>
      <c r="AF50" s="13">
        <f ca="1">('TUSD BE'!$AJ$50+'TUSD BF'!$AJ$50+'TUSD CVA'!$AJ$50)*(1 - CUSTOS!$M$38)</f>
        <v>1.9776629435073514</v>
      </c>
      <c r="AG50" s="13">
        <f ca="1">('TUSD BE'!$AK$50+'TUSD BF'!$AK$50+'TUSD CVA'!$AK$50)*(1 - CUSTOS!$M$38)</f>
        <v>0.2741818449636535</v>
      </c>
      <c r="AI50" s="13">
        <v>5.9261627110557296</v>
      </c>
      <c r="AJ50" s="13">
        <v>0.74073335541970697</v>
      </c>
      <c r="AK50" s="13">
        <v>6.2982665582860298</v>
      </c>
      <c r="AL50" s="13">
        <v>0</v>
      </c>
      <c r="AM50" s="13">
        <v>0</v>
      </c>
      <c r="AN50" s="13">
        <v>50.690696408196601</v>
      </c>
      <c r="AO50" s="13">
        <v>8.8676016507089503</v>
      </c>
      <c r="AP50" s="13">
        <v>0</v>
      </c>
      <c r="AQ50" s="13">
        <v>61.425746164731301</v>
      </c>
      <c r="AR50" s="13">
        <v>17.716322950866299</v>
      </c>
      <c r="AS50" s="13">
        <v>0.207640228686922</v>
      </c>
      <c r="AT50" s="13">
        <v>0</v>
      </c>
      <c r="AU50" s="13">
        <v>0</v>
      </c>
      <c r="AV50" s="13">
        <v>0</v>
      </c>
      <c r="AW50" s="13">
        <v>0</v>
      </c>
      <c r="AX50" s="13">
        <v>421.558103531239</v>
      </c>
      <c r="AY50" s="13">
        <v>0</v>
      </c>
      <c r="AZ50" s="13">
        <v>0</v>
      </c>
      <c r="BA50" s="13">
        <v>22.6430429406042</v>
      </c>
      <c r="BB50" s="13">
        <v>0.45937568088894798</v>
      </c>
      <c r="BC50" s="13">
        <v>1.6871065082682399</v>
      </c>
      <c r="BD50" s="13">
        <v>0.28133228384498499</v>
      </c>
    </row>
    <row r="51" spans="1:56" ht="11.25" customHeight="1" x14ac:dyDescent="0.3">
      <c r="A51" s="128"/>
      <c r="B51" s="128"/>
      <c r="C51" s="128"/>
      <c r="D51" s="128"/>
      <c r="E51" s="128"/>
      <c r="F51" s="128"/>
      <c r="G51" s="18" t="s">
        <v>90</v>
      </c>
      <c r="H51" s="18" t="s">
        <v>78</v>
      </c>
      <c r="I51" s="18">
        <f>'MERCADO TUSD'!$U$48</f>
        <v>0</v>
      </c>
      <c r="J51" s="15"/>
      <c r="L51" s="13">
        <f>('TUSD BE'!$L$51+'TUSD BF'!$L$51+'TUSD CVA'!$L$51)*(1 - CUSTOS!$M$38)</f>
        <v>6.2432837401779935</v>
      </c>
      <c r="M51" s="13">
        <f>('TUSD BE'!$M$51+'TUSD BF'!$M$51+'TUSD CVA'!$M$51)*(1 - CUSTOS!$M$38)</f>
        <v>0.90125486317899162</v>
      </c>
      <c r="N51" s="13">
        <f ca="1">('TUSD BE'!$N$51+'TUSD BF'!$N$51+'TUSD CVA'!$N$51)*(1 - CUSTOS!$M$38)</f>
        <v>6.0646808202484959</v>
      </c>
      <c r="O51" s="13">
        <f>('TUSD BE'!$O$51+'TUSD BF'!$O$51+'TUSD CVA'!$O$51)*(1 - CUSTOS!$M$38)</f>
        <v>0</v>
      </c>
      <c r="P51" s="13">
        <f>('TUSD BE'!$P$51+'TUSD BF'!$P$51+'TUSD CVA'!$P$51)*(1 - CUSTOS!$M$38)</f>
        <v>0</v>
      </c>
      <c r="Q51" s="13">
        <f>('TUSD BE'!$Q$51+'TUSD BF'!$Q$51+'TUSD CVA'!$Q$51)*(1 - CUSTOS!$M$38)</f>
        <v>101.66546447036606</v>
      </c>
      <c r="R51" s="13">
        <f>('TUSD BE'!$R$51+'TUSD BF'!$R$51+'TUSD CVA'!$R$51)*(1 - CUSTOS!$M$38)</f>
        <v>17.410658989082297</v>
      </c>
      <c r="S51" s="13">
        <f>('TUSD BE'!$S$51+'TUSD BF'!$S$51+'TUSD CVA'!$S$51)*(1 - CUSTOS!$M$38)</f>
        <v>0</v>
      </c>
      <c r="T51" s="13">
        <f>('TUSD BE'!$U$51+'TUSD BF'!$U$51+'TUSD CVA'!$U$51)*(1 - CUSTOS!$M$38)</f>
        <v>47.47236209513634</v>
      </c>
      <c r="U51" s="13">
        <f>('TUSD BE'!$V$51+'TUSD BF'!$V$51+'TUSD CVA'!$V$51)*(1 - CUSTOS!$M$38)</f>
        <v>9.6029602191179464</v>
      </c>
      <c r="V51" s="13">
        <f>('TUSD BE'!$W$51+'TUSD BF'!$W$51+'TUSD CVA'!$W$51)*(1 - CUSTOS!$M$38)</f>
        <v>1.3803615130981979</v>
      </c>
      <c r="W51" s="13">
        <f>('TUSD BE'!$X$51+'TUSD BF'!$X$51+'TUSD CVA'!$X$51)*(1 - CUSTOS!$M$38)</f>
        <v>0</v>
      </c>
      <c r="X51" s="13">
        <f>('TUSD BE'!$Y$51+'TUSD BF'!$Y$51+'TUSD CVA'!$Y$51)*(1 - CUSTOS!$M$38)</f>
        <v>0</v>
      </c>
      <c r="Y51" s="13">
        <f>('TUSD BE'!$Z$51+'TUSD BF'!$Z$51+'TUSD CVA'!$Z$51)*(1 - CUSTOS!$M$38)</f>
        <v>0</v>
      </c>
      <c r="Z51" s="13">
        <f>('TUSD BE'!$AA$51+'TUSD BF'!$AA$51+'TUSD CVA'!$AA$51)*(1 - CUSTOS!$M$38)</f>
        <v>0</v>
      </c>
      <c r="AA51" s="13">
        <f>('TUSD BE'!$AC$51+'TUSD BF'!$AC$51+'TUSD CVA'!$AC$51)*(1 - CUSTOS!$M$38)</f>
        <v>309.18866586816927</v>
      </c>
      <c r="AB51" s="13">
        <f ca="1">('TUSD BE'!$AE$51+'TUSD BF'!$AE$51+'TUSD CVA'!$AE$51)*(1 - CUSTOS!$M$38)</f>
        <v>0</v>
      </c>
      <c r="AC51" s="13">
        <f ca="1">('TUSD BE'!$AF$51+'TUSD BF'!$AF$51+'TUSD CVA'!$AF$51)*(1 - CUSTOS!$M$38)</f>
        <v>0</v>
      </c>
      <c r="AD51" s="13">
        <f>('TUSD BE'!$AH$51+'TUSD BF'!$AH$51+'TUSD CVA'!$AH$51)*(1 - CUSTOS!$M$38)</f>
        <v>28.647618420938826</v>
      </c>
      <c r="AE51" s="13">
        <f>('TUSD BE'!$AI$51+'TUSD BF'!$AI$51+'TUSD CVA'!$AI$51)*(1 - CUSTOS!$M$38)</f>
        <v>0.49649425155932558</v>
      </c>
      <c r="AF51" s="13">
        <f ca="1">('TUSD BE'!$AJ$51+'TUSD BF'!$AJ$51+'TUSD CVA'!$AJ$51)*(1 - CUSTOS!$M$38)</f>
        <v>1.9776629435073514</v>
      </c>
      <c r="AG51" s="13">
        <f ca="1">('TUSD BE'!$AK$51+'TUSD BF'!$AK$51+'TUSD CVA'!$AK$51)*(1 - CUSTOS!$M$38)</f>
        <v>0.2741818449636535</v>
      </c>
      <c r="AI51" s="13">
        <v>5.9261627110557296</v>
      </c>
      <c r="AJ51" s="13">
        <v>0.74073335541970697</v>
      </c>
      <c r="AK51" s="13">
        <v>4.4034801306485303</v>
      </c>
      <c r="AL51" s="13">
        <v>0</v>
      </c>
      <c r="AM51" s="13">
        <v>0</v>
      </c>
      <c r="AN51" s="13">
        <v>50.690696408196601</v>
      </c>
      <c r="AO51" s="13">
        <v>8.8676016507089503</v>
      </c>
      <c r="AP51" s="13">
        <v>0</v>
      </c>
      <c r="AQ51" s="13">
        <v>36.855480975873803</v>
      </c>
      <c r="AR51" s="13">
        <v>10.6297937705198</v>
      </c>
      <c r="AS51" s="13">
        <v>0.124573716993249</v>
      </c>
      <c r="AT51" s="13">
        <v>0</v>
      </c>
      <c r="AU51" s="13">
        <v>0</v>
      </c>
      <c r="AV51" s="13">
        <v>0</v>
      </c>
      <c r="AW51" s="13">
        <v>0</v>
      </c>
      <c r="AX51" s="13">
        <v>252.93486211874301</v>
      </c>
      <c r="AY51" s="13">
        <v>0</v>
      </c>
      <c r="AZ51" s="13">
        <v>0</v>
      </c>
      <c r="BA51" s="13">
        <v>22.6430429406042</v>
      </c>
      <c r="BB51" s="13">
        <v>0.45937568088894798</v>
      </c>
      <c r="BC51" s="13">
        <v>1.6871065082682399</v>
      </c>
      <c r="BD51" s="13">
        <v>0.28133228384498499</v>
      </c>
    </row>
    <row r="52" spans="1:56" ht="11.25" customHeight="1" x14ac:dyDescent="0.3">
      <c r="A52" s="128"/>
      <c r="B52" s="128"/>
      <c r="C52" s="128"/>
      <c r="D52" s="128"/>
      <c r="E52" s="128"/>
      <c r="F52" s="128"/>
      <c r="G52" s="18" t="s">
        <v>80</v>
      </c>
      <c r="H52" s="18" t="s">
        <v>78</v>
      </c>
      <c r="I52" s="18">
        <f>'MERCADO TUSD'!$U$49</f>
        <v>0</v>
      </c>
      <c r="J52" s="15"/>
      <c r="L52" s="13">
        <f>('TUSD BE'!$L$52+'TUSD BF'!$L$52+'TUSD CVA'!$L$52)*(1 - CUSTOS!$M$38)</f>
        <v>6.2432837401779935</v>
      </c>
      <c r="M52" s="13">
        <f>('TUSD BE'!$M$52+'TUSD BF'!$M$52+'TUSD CVA'!$M$52)*(1 - CUSTOS!$M$38)</f>
        <v>0.90125486317899162</v>
      </c>
      <c r="N52" s="13">
        <f ca="1">('TUSD BE'!$N$52+'TUSD BF'!$N$52+'TUSD CVA'!$N$52)*(1 - CUSTOS!$M$38)</f>
        <v>3.4554471354152936</v>
      </c>
      <c r="O52" s="13">
        <f>('TUSD BE'!$O$52+'TUSD BF'!$O$52+'TUSD CVA'!$O$52)*(1 - CUSTOS!$M$38)</f>
        <v>0</v>
      </c>
      <c r="P52" s="13">
        <f>('TUSD BE'!$P$52+'TUSD BF'!$P$52+'TUSD CVA'!$P$52)*(1 - CUSTOS!$M$38)</f>
        <v>0</v>
      </c>
      <c r="Q52" s="13">
        <f>('TUSD BE'!$Q$52+'TUSD BF'!$Q$52+'TUSD CVA'!$Q$52)*(1 - CUSTOS!$M$38)</f>
        <v>101.66546447036606</v>
      </c>
      <c r="R52" s="13">
        <f>('TUSD BE'!$R$52+'TUSD BF'!$R$52+'TUSD CVA'!$R$52)*(1 - CUSTOS!$M$38)</f>
        <v>17.410658989082297</v>
      </c>
      <c r="S52" s="13">
        <f>('TUSD BE'!$S$52+'TUSD BF'!$S$52+'TUSD CVA'!$S$52)*(1 - CUSTOS!$M$38)</f>
        <v>0</v>
      </c>
      <c r="T52" s="13">
        <f>('TUSD BE'!$U$52+'TUSD BF'!$U$52+'TUSD CVA'!$U$52)*(1 - CUSTOS!$M$38)</f>
        <v>15.824084979144853</v>
      </c>
      <c r="U52" s="13">
        <f>('TUSD BE'!$V$52+'TUSD BF'!$V$52+'TUSD CVA'!$V$52)*(1 - CUSTOS!$M$38)</f>
        <v>3.2009867397059817</v>
      </c>
      <c r="V52" s="13">
        <f>('TUSD BE'!$W$52+'TUSD BF'!$W$52+'TUSD CVA'!$W$52)*(1 - CUSTOS!$M$38)</f>
        <v>0.46012050436606589</v>
      </c>
      <c r="W52" s="13">
        <f>('TUSD BE'!$X$52+'TUSD BF'!$X$52+'TUSD CVA'!$X$52)*(1 - CUSTOS!$M$38)</f>
        <v>0</v>
      </c>
      <c r="X52" s="13">
        <f>('TUSD BE'!$Y$52+'TUSD BF'!$Y$52+'TUSD CVA'!$Y$52)*(1 - CUSTOS!$M$38)</f>
        <v>0</v>
      </c>
      <c r="Y52" s="13">
        <f>('TUSD BE'!$Z$52+'TUSD BF'!$Z$52+'TUSD CVA'!$Z$52)*(1 - CUSTOS!$M$38)</f>
        <v>0</v>
      </c>
      <c r="Z52" s="13">
        <f>('TUSD BE'!$AA$52+'TUSD BF'!$AA$52+'TUSD CVA'!$AA$52)*(1 - CUSTOS!$M$38)</f>
        <v>0</v>
      </c>
      <c r="AA52" s="13">
        <f>('TUSD BE'!$AC$52+'TUSD BF'!$AC$52+'TUSD CVA'!$AC$52)*(1 - CUSTOS!$M$38)</f>
        <v>103.06288862272308</v>
      </c>
      <c r="AB52" s="13">
        <f ca="1">('TUSD BE'!$AE$52+'TUSD BF'!$AE$52+'TUSD CVA'!$AE$52)*(1 - CUSTOS!$M$38)</f>
        <v>0</v>
      </c>
      <c r="AC52" s="13">
        <f ca="1">('TUSD BE'!$AF$52+'TUSD BF'!$AF$52+'TUSD CVA'!$AF$52)*(1 - CUSTOS!$M$38)</f>
        <v>0</v>
      </c>
      <c r="AD52" s="13">
        <f>('TUSD BE'!$AH$52+'TUSD BF'!$AH$52+'TUSD CVA'!$AH$52)*(1 - CUSTOS!$M$38)</f>
        <v>28.647618420938826</v>
      </c>
      <c r="AE52" s="13">
        <f>('TUSD BE'!$AI$52+'TUSD BF'!$AI$52+'TUSD CVA'!$AI$52)*(1 - CUSTOS!$M$38)</f>
        <v>0.49649425155932558</v>
      </c>
      <c r="AF52" s="13">
        <f ca="1">('TUSD BE'!$AJ$52+'TUSD BF'!$AJ$52+'TUSD CVA'!$AJ$52)*(1 - CUSTOS!$M$38)</f>
        <v>1.9776629435073514</v>
      </c>
      <c r="AG52" s="13">
        <f ca="1">('TUSD BE'!$AK$52+'TUSD BF'!$AK$52+'TUSD CVA'!$AK$52)*(1 - CUSTOS!$M$38)</f>
        <v>0.2741818449636535</v>
      </c>
      <c r="AI52" s="13">
        <v>5.9261627110557296</v>
      </c>
      <c r="AJ52" s="13">
        <v>0.74073335541970697</v>
      </c>
      <c r="AK52" s="13">
        <v>2.5086937030110299</v>
      </c>
      <c r="AL52" s="13">
        <v>0</v>
      </c>
      <c r="AM52" s="13">
        <v>0</v>
      </c>
      <c r="AN52" s="13">
        <v>50.690696408196601</v>
      </c>
      <c r="AO52" s="13">
        <v>8.8676016507089503</v>
      </c>
      <c r="AP52" s="13">
        <v>0</v>
      </c>
      <c r="AQ52" s="13">
        <v>12.2851325944288</v>
      </c>
      <c r="AR52" s="13">
        <v>3.54326459017325</v>
      </c>
      <c r="AS52" s="13">
        <v>4.1524572331083101E-2</v>
      </c>
      <c r="AT52" s="13">
        <v>0</v>
      </c>
      <c r="AU52" s="13">
        <v>0</v>
      </c>
      <c r="AV52" s="13">
        <v>0</v>
      </c>
      <c r="AW52" s="13">
        <v>0</v>
      </c>
      <c r="AX52" s="13">
        <v>84.311620706247695</v>
      </c>
      <c r="AY52" s="13">
        <v>0</v>
      </c>
      <c r="AZ52" s="13">
        <v>0</v>
      </c>
      <c r="BA52" s="13">
        <v>22.6430429406042</v>
      </c>
      <c r="BB52" s="13">
        <v>0.45937568088894798</v>
      </c>
      <c r="BC52" s="13">
        <v>1.6871065082682399</v>
      </c>
      <c r="BD52" s="13">
        <v>0.28133228384498499</v>
      </c>
    </row>
    <row r="53" spans="1:56" ht="11.25" customHeight="1" x14ac:dyDescent="0.3">
      <c r="A53" s="128"/>
      <c r="B53" s="17" t="s">
        <v>23</v>
      </c>
      <c r="C53" s="17" t="s">
        <v>45</v>
      </c>
      <c r="D53" s="17" t="s">
        <v>25</v>
      </c>
      <c r="E53" s="17" t="s">
        <v>25</v>
      </c>
      <c r="F53" s="17" t="s">
        <v>25</v>
      </c>
      <c r="G53" s="18" t="s">
        <v>84</v>
      </c>
      <c r="H53" s="18" t="s">
        <v>78</v>
      </c>
      <c r="I53" s="18">
        <f>'MERCADO TUSD'!$U$50</f>
        <v>3773.6869999999999</v>
      </c>
      <c r="J53" s="15"/>
      <c r="L53" s="13">
        <f>('TUSD BE'!$L$53+'TUSD BF'!$L$53+'TUSD CVA'!$L$53)*(1 - CUSTOS!$M$38)</f>
        <v>6.2432837401779935</v>
      </c>
      <c r="M53" s="13">
        <f>('TUSD BE'!$M$53+'TUSD BF'!$M$53+'TUSD CVA'!$M$53)*(1 - CUSTOS!$M$38)</f>
        <v>0.90125486317899162</v>
      </c>
      <c r="N53" s="13">
        <f ca="1">('TUSD BE'!$N$53+'TUSD BF'!$N$53+'TUSD CVA'!$N$53)*(1 - CUSTOS!$M$38)</f>
        <v>4.362045129832369</v>
      </c>
      <c r="O53" s="13">
        <f>('TUSD BE'!$O$53+'TUSD BF'!$O$53+'TUSD CVA'!$O$53)*(1 - CUSTOS!$M$38)</f>
        <v>0</v>
      </c>
      <c r="P53" s="13">
        <f>('TUSD BE'!$P$53+'TUSD BF'!$P$53+'TUSD CVA'!$P$53)*(1 - CUSTOS!$M$38)</f>
        <v>0</v>
      </c>
      <c r="Q53" s="13">
        <f>('TUSD BE'!$Q$53+'TUSD BF'!$Q$53+'TUSD CVA'!$Q$53)*(1 - CUSTOS!$M$38)</f>
        <v>101.66546447036606</v>
      </c>
      <c r="R53" s="13">
        <f>('TUSD BE'!$R$53+'TUSD BF'!$R$53+'TUSD CVA'!$R$53)*(1 - CUSTOS!$M$38)</f>
        <v>17.410658989082297</v>
      </c>
      <c r="S53" s="13">
        <f>('TUSD BE'!$S$53+'TUSD BF'!$S$53+'TUSD CVA'!$S$53)*(1 - CUSTOS!$M$38)</f>
        <v>0</v>
      </c>
      <c r="T53" s="13">
        <f>('TUSD BE'!$U$53+'TUSD BF'!$U$53+'TUSD CVA'!$U$53)*(1 - CUSTOS!$M$38)</f>
        <v>26.820501177822088</v>
      </c>
      <c r="U53" s="13">
        <f>('TUSD BE'!$V$53+'TUSD BF'!$V$53+'TUSD CVA'!$V$53)*(1 - CUSTOS!$M$38)</f>
        <v>5.4254049558210093</v>
      </c>
      <c r="V53" s="13">
        <f>('TUSD BE'!$W$53+'TUSD BF'!$W$53+'TUSD CVA'!$W$53)*(1 - CUSTOS!$M$38)</f>
        <v>0.77995332672340656</v>
      </c>
      <c r="W53" s="13">
        <f>('TUSD BE'!$X$53+'TUSD BF'!$X$53+'TUSD CVA'!$X$53)*(1 - CUSTOS!$M$38)</f>
        <v>0</v>
      </c>
      <c r="X53" s="13">
        <f>('TUSD BE'!$Y$53+'TUSD BF'!$Y$53+'TUSD CVA'!$Y$53)*(1 - CUSTOS!$M$38)</f>
        <v>0</v>
      </c>
      <c r="Y53" s="13">
        <f>('TUSD BE'!$Z$53+'TUSD BF'!$Z$53+'TUSD CVA'!$Z$53)*(1 - CUSTOS!$M$38)</f>
        <v>0</v>
      </c>
      <c r="Z53" s="13">
        <f>('TUSD BE'!$AA$53+'TUSD BF'!$AA$53+'TUSD CVA'!$AA$53)*(1 - CUSTOS!$M$38)</f>
        <v>0</v>
      </c>
      <c r="AA53" s="13">
        <f>('TUSD BE'!$AC$53+'TUSD BF'!$AC$53+'TUSD CVA'!$AC$53)*(1 - CUSTOS!$M$38)</f>
        <v>174.6828102022198</v>
      </c>
      <c r="AB53" s="13">
        <f ca="1">('TUSD BE'!$AE$53+'TUSD BF'!$AE$53+'TUSD CVA'!$AE$53)*(1 - CUSTOS!$M$38)</f>
        <v>0</v>
      </c>
      <c r="AC53" s="13">
        <f ca="1">('TUSD BE'!$AF$53+'TUSD BF'!$AF$53+'TUSD CVA'!$AF$53)*(1 - CUSTOS!$M$38)</f>
        <v>0</v>
      </c>
      <c r="AD53" s="13">
        <f>('TUSD BE'!$AH$53+'TUSD BF'!$AH$53+'TUSD CVA'!$AH$53)*(1 - CUSTOS!$M$38)</f>
        <v>28.647618420938826</v>
      </c>
      <c r="AE53" s="13">
        <f>('TUSD BE'!$AI$53+'TUSD BF'!$AI$53+'TUSD CVA'!$AI$53)*(1 - CUSTOS!$M$38)</f>
        <v>0.49649425155932558</v>
      </c>
      <c r="AF53" s="13">
        <f ca="1">('TUSD BE'!$AJ$53+'TUSD BF'!$AJ$53+'TUSD CVA'!$AJ$53)*(1 - CUSTOS!$M$38)</f>
        <v>1.9776629435073514</v>
      </c>
      <c r="AG53" s="13">
        <f ca="1">('TUSD BE'!$AK$53+'TUSD BF'!$AK$53+'TUSD CVA'!$AK$53)*(1 - CUSTOS!$M$38)</f>
        <v>0.2741818449636535</v>
      </c>
      <c r="AI53" s="13">
        <v>5.9261627110557296</v>
      </c>
      <c r="AJ53" s="13">
        <v>0.74073335541970697</v>
      </c>
      <c r="AK53" s="13">
        <v>3.1670515898994398</v>
      </c>
      <c r="AL53" s="13">
        <v>0</v>
      </c>
      <c r="AM53" s="13">
        <v>0</v>
      </c>
      <c r="AN53" s="13">
        <v>50.690696408196601</v>
      </c>
      <c r="AO53" s="13">
        <v>8.8676016507089503</v>
      </c>
      <c r="AP53" s="13">
        <v>0</v>
      </c>
      <c r="AQ53" s="13">
        <v>20.822272735063599</v>
      </c>
      <c r="AR53" s="13">
        <v>6.0055373016249396</v>
      </c>
      <c r="AS53" s="13">
        <v>7.0388578694219897E-2</v>
      </c>
      <c r="AT53" s="13">
        <v>0</v>
      </c>
      <c r="AU53" s="13">
        <v>0</v>
      </c>
      <c r="AV53" s="13">
        <v>0</v>
      </c>
      <c r="AW53" s="13">
        <v>0</v>
      </c>
      <c r="AX53" s="13">
        <v>142.90100961156099</v>
      </c>
      <c r="AY53" s="13">
        <v>0</v>
      </c>
      <c r="AZ53" s="13">
        <v>0</v>
      </c>
      <c r="BA53" s="13">
        <v>22.6430429406042</v>
      </c>
      <c r="BB53" s="13">
        <v>0.45937568088894798</v>
      </c>
      <c r="BC53" s="13">
        <v>1.6871065082682399</v>
      </c>
      <c r="BD53" s="13">
        <v>0.28133228384498499</v>
      </c>
    </row>
    <row r="54" spans="1:56" ht="11.25" customHeight="1" x14ac:dyDescent="0.3">
      <c r="A54" s="128"/>
      <c r="B54" s="128" t="s">
        <v>33</v>
      </c>
      <c r="C54" s="128" t="s">
        <v>45</v>
      </c>
      <c r="D54" s="128" t="s">
        <v>93</v>
      </c>
      <c r="E54" s="128" t="s">
        <v>25</v>
      </c>
      <c r="F54" s="128" t="s">
        <v>25</v>
      </c>
      <c r="G54" s="18" t="s">
        <v>79</v>
      </c>
      <c r="H54" s="18" t="s">
        <v>78</v>
      </c>
      <c r="I54" s="18">
        <f>'MERCADO TUSD'!$U$51</f>
        <v>0</v>
      </c>
      <c r="J54" s="15"/>
      <c r="L54" s="13">
        <f>('TUSD BE'!$L$54+'TUSD BF'!$L$54+'TUSD CVA'!$L$54)*(1 - CUSTOS!$M$39)</f>
        <v>6.2432837401779935</v>
      </c>
      <c r="M54" s="13">
        <f>('TUSD BE'!$M$54+'TUSD BF'!$M$54+'TUSD CVA'!$M$54)*(1 - CUSTOS!$M$39)</f>
        <v>0.90125486317899162</v>
      </c>
      <c r="N54" s="13">
        <f ca="1">('TUSD BE'!$N$54+'TUSD BF'!$N$54+'TUSD CVA'!$N$54)*(1 - CUSTOS!$M$39)</f>
        <v>8.6739145050816973</v>
      </c>
      <c r="O54" s="13">
        <f>('TUSD BE'!$O$54+'TUSD BF'!$O$54+'TUSD CVA'!$O$54)*(1 - CUSTOS!$M$39)</f>
        <v>0</v>
      </c>
      <c r="P54" s="13">
        <f>('TUSD BE'!$P$54+'TUSD BF'!$P$54+'TUSD CVA'!$P$54)*(1 - CUSTOS!$M$39)</f>
        <v>0</v>
      </c>
      <c r="Q54" s="13">
        <f>('TUSD BE'!$Q$54+'TUSD BF'!$Q$54+'TUSD CVA'!$Q$54)*(1 - CUSTOS!$M$39)</f>
        <v>101.66546447036606</v>
      </c>
      <c r="R54" s="13">
        <f>('TUSD BE'!$R$54+'TUSD BF'!$R$54+'TUSD CVA'!$R$54)*(1 - CUSTOS!$M$39)</f>
        <v>17.410658989082297</v>
      </c>
      <c r="S54" s="13">
        <f>('TUSD BE'!$S$54+'TUSD BF'!$S$54+'TUSD CVA'!$S$54)*(1 - CUSTOS!$M$39)</f>
        <v>0</v>
      </c>
      <c r="T54" s="13">
        <f>('TUSD BE'!$U$54+'TUSD BF'!$U$54+'TUSD CVA'!$U$54)*(1 - CUSTOS!$M$39)</f>
        <v>79.120532053426047</v>
      </c>
      <c r="U54" s="13">
        <f>('TUSD BE'!$V$54+'TUSD BF'!$V$54+'TUSD CVA'!$V$54)*(1 - CUSTOS!$M$39)</f>
        <v>16.004933698529911</v>
      </c>
      <c r="V54" s="13">
        <f>('TUSD BE'!$W$54+'TUSD BF'!$W$54+'TUSD CVA'!$W$54)*(1 - CUSTOS!$M$39)</f>
        <v>2.3007949603516034</v>
      </c>
      <c r="W54" s="13">
        <f>('TUSD BE'!$X$54+'TUSD BF'!$X$54+'TUSD CVA'!$X$54)*(1 - CUSTOS!$M$39)</f>
        <v>0</v>
      </c>
      <c r="X54" s="13">
        <f>('TUSD BE'!$Y$54+'TUSD BF'!$Y$54+'TUSD CVA'!$Y$54)*(1 - CUSTOS!$M$39)</f>
        <v>0</v>
      </c>
      <c r="Y54" s="13">
        <f>('TUSD BE'!$Z$54+'TUSD BF'!$Z$54+'TUSD CVA'!$Z$54)*(1 - CUSTOS!$M$39)</f>
        <v>0</v>
      </c>
      <c r="Z54" s="13">
        <f>('TUSD BE'!$AA$54+'TUSD BF'!$AA$54+'TUSD CVA'!$AA$54)*(1 - CUSTOS!$M$39)</f>
        <v>0</v>
      </c>
      <c r="AA54" s="13">
        <f>('TUSD BE'!$AC$54+'TUSD BF'!$AC$54+'TUSD CVA'!$AC$54)*(1 - CUSTOS!$M$39)</f>
        <v>515.31444311361543</v>
      </c>
      <c r="AB54" s="13">
        <f ca="1">('TUSD BE'!$AE$54+'TUSD BF'!$AE$54+'TUSD CVA'!$AE$54)*(1 - CUSTOS!$M$39)</f>
        <v>0</v>
      </c>
      <c r="AC54" s="13">
        <f ca="1">('TUSD BE'!$AF$54+'TUSD BF'!$AF$54+'TUSD CVA'!$AF$54)*(1 - CUSTOS!$M$39)</f>
        <v>0</v>
      </c>
      <c r="AD54" s="13">
        <f>('TUSD BE'!$AH$54+'TUSD BF'!$AH$54+'TUSD CVA'!$AH$54)*(1 - CUSTOS!$M$39)</f>
        <v>28.647618420938826</v>
      </c>
      <c r="AE54" s="13">
        <f>('TUSD BE'!$AI$54+'TUSD BF'!$AI$54+'TUSD CVA'!$AI$54)*(1 - CUSTOS!$M$39)</f>
        <v>0.49649425155932558</v>
      </c>
      <c r="AF54" s="13">
        <f ca="1">('TUSD BE'!$AJ$54+'TUSD BF'!$AJ$54+'TUSD CVA'!$AJ$54)*(1 - CUSTOS!$M$39)</f>
        <v>1.9776629435073514</v>
      </c>
      <c r="AG54" s="13">
        <f ca="1">('TUSD BE'!$AK$54+'TUSD BF'!$AK$54+'TUSD CVA'!$AK$54)*(1 - CUSTOS!$M$39)</f>
        <v>0.2741818449636535</v>
      </c>
      <c r="AI54" s="13">
        <v>5.9261627110557296</v>
      </c>
      <c r="AJ54" s="13">
        <v>0.74073335541970697</v>
      </c>
      <c r="AK54" s="13">
        <v>6.2982665582860298</v>
      </c>
      <c r="AL54" s="13">
        <v>0</v>
      </c>
      <c r="AM54" s="13">
        <v>0</v>
      </c>
      <c r="AN54" s="13">
        <v>50.690696408196601</v>
      </c>
      <c r="AO54" s="13">
        <v>8.8676016507089503</v>
      </c>
      <c r="AP54" s="13">
        <v>0</v>
      </c>
      <c r="AQ54" s="13">
        <v>61.425746164731301</v>
      </c>
      <c r="AR54" s="13">
        <v>17.716322950866299</v>
      </c>
      <c r="AS54" s="13">
        <v>0.207640228686922</v>
      </c>
      <c r="AT54" s="13">
        <v>0</v>
      </c>
      <c r="AU54" s="13">
        <v>0</v>
      </c>
      <c r="AV54" s="13">
        <v>0</v>
      </c>
      <c r="AW54" s="13">
        <v>0</v>
      </c>
      <c r="AX54" s="13">
        <v>421.558103531239</v>
      </c>
      <c r="AY54" s="13">
        <v>0</v>
      </c>
      <c r="AZ54" s="13">
        <v>0</v>
      </c>
      <c r="BA54" s="13">
        <v>22.6430429406042</v>
      </c>
      <c r="BB54" s="13">
        <v>0.45937568088894798</v>
      </c>
      <c r="BC54" s="13">
        <v>1.6871065082682399</v>
      </c>
      <c r="BD54" s="13">
        <v>0.28133228384498499</v>
      </c>
    </row>
    <row r="55" spans="1:56" ht="11.25" customHeight="1" x14ac:dyDescent="0.3">
      <c r="A55" s="128"/>
      <c r="B55" s="128"/>
      <c r="C55" s="128"/>
      <c r="D55" s="128"/>
      <c r="E55" s="128"/>
      <c r="F55" s="128"/>
      <c r="G55" s="18" t="s">
        <v>90</v>
      </c>
      <c r="H55" s="18" t="s">
        <v>78</v>
      </c>
      <c r="I55" s="18">
        <f>'MERCADO TUSD'!$U$52</f>
        <v>0</v>
      </c>
      <c r="J55" s="15"/>
      <c r="L55" s="13">
        <f>('TUSD BE'!$L$55+'TUSD BF'!$L$55+'TUSD CVA'!$L$55)*(1 - CUSTOS!$M$39)</f>
        <v>6.2432837401779935</v>
      </c>
      <c r="M55" s="13">
        <f>('TUSD BE'!$M$55+'TUSD BF'!$M$55+'TUSD CVA'!$M$55)*(1 - CUSTOS!$M$39)</f>
        <v>0.90125486317899162</v>
      </c>
      <c r="N55" s="13">
        <f ca="1">('TUSD BE'!$N$55+'TUSD BF'!$N$55+'TUSD CVA'!$N$55)*(1 - CUSTOS!$M$39)</f>
        <v>6.0646808202484959</v>
      </c>
      <c r="O55" s="13">
        <f>('TUSD BE'!$O$55+'TUSD BF'!$O$55+'TUSD CVA'!$O$55)*(1 - CUSTOS!$M$39)</f>
        <v>0</v>
      </c>
      <c r="P55" s="13">
        <f>('TUSD BE'!$P$55+'TUSD BF'!$P$55+'TUSD CVA'!$P$55)*(1 - CUSTOS!$M$39)</f>
        <v>0</v>
      </c>
      <c r="Q55" s="13">
        <f>('TUSD BE'!$Q$55+'TUSD BF'!$Q$55+'TUSD CVA'!$Q$55)*(1 - CUSTOS!$M$39)</f>
        <v>101.66546447036606</v>
      </c>
      <c r="R55" s="13">
        <f>('TUSD BE'!$R$55+'TUSD BF'!$R$55+'TUSD CVA'!$R$55)*(1 - CUSTOS!$M$39)</f>
        <v>17.410658989082297</v>
      </c>
      <c r="S55" s="13">
        <f>('TUSD BE'!$S$55+'TUSD BF'!$S$55+'TUSD CVA'!$S$55)*(1 - CUSTOS!$M$39)</f>
        <v>0</v>
      </c>
      <c r="T55" s="13">
        <f>('TUSD BE'!$U$55+'TUSD BF'!$U$55+'TUSD CVA'!$U$55)*(1 - CUSTOS!$M$39)</f>
        <v>47.47236209513634</v>
      </c>
      <c r="U55" s="13">
        <f>('TUSD BE'!$V$55+'TUSD BF'!$V$55+'TUSD CVA'!$V$55)*(1 - CUSTOS!$M$39)</f>
        <v>9.6029602191179464</v>
      </c>
      <c r="V55" s="13">
        <f>('TUSD BE'!$W$55+'TUSD BF'!$W$55+'TUSD CVA'!$W$55)*(1 - CUSTOS!$M$39)</f>
        <v>1.3803615130981979</v>
      </c>
      <c r="W55" s="13">
        <f>('TUSD BE'!$X$55+'TUSD BF'!$X$55+'TUSD CVA'!$X$55)*(1 - CUSTOS!$M$39)</f>
        <v>0</v>
      </c>
      <c r="X55" s="13">
        <f>('TUSD BE'!$Y$55+'TUSD BF'!$Y$55+'TUSD CVA'!$Y$55)*(1 - CUSTOS!$M$39)</f>
        <v>0</v>
      </c>
      <c r="Y55" s="13">
        <f>('TUSD BE'!$Z$55+'TUSD BF'!$Z$55+'TUSD CVA'!$Z$55)*(1 - CUSTOS!$M$39)</f>
        <v>0</v>
      </c>
      <c r="Z55" s="13">
        <f>('TUSD BE'!$AA$55+'TUSD BF'!$AA$55+'TUSD CVA'!$AA$55)*(1 - CUSTOS!$M$39)</f>
        <v>0</v>
      </c>
      <c r="AA55" s="13">
        <f>('TUSD BE'!$AC$55+'TUSD BF'!$AC$55+'TUSD CVA'!$AC$55)*(1 - CUSTOS!$M$39)</f>
        <v>309.18866586816927</v>
      </c>
      <c r="AB55" s="13">
        <f ca="1">('TUSD BE'!$AE$55+'TUSD BF'!$AE$55+'TUSD CVA'!$AE$55)*(1 - CUSTOS!$M$39)</f>
        <v>0</v>
      </c>
      <c r="AC55" s="13">
        <f ca="1">('TUSD BE'!$AF$55+'TUSD BF'!$AF$55+'TUSD CVA'!$AF$55)*(1 - CUSTOS!$M$39)</f>
        <v>0</v>
      </c>
      <c r="AD55" s="13">
        <f>('TUSD BE'!$AH$55+'TUSD BF'!$AH$55+'TUSD CVA'!$AH$55)*(1 - CUSTOS!$M$39)</f>
        <v>28.647618420938826</v>
      </c>
      <c r="AE55" s="13">
        <f>('TUSD BE'!$AI$55+'TUSD BF'!$AI$55+'TUSD CVA'!$AI$55)*(1 - CUSTOS!$M$39)</f>
        <v>0.49649425155932558</v>
      </c>
      <c r="AF55" s="13">
        <f ca="1">('TUSD BE'!$AJ$55+'TUSD BF'!$AJ$55+'TUSD CVA'!$AJ$55)*(1 - CUSTOS!$M$39)</f>
        <v>1.9776629435073514</v>
      </c>
      <c r="AG55" s="13">
        <f ca="1">('TUSD BE'!$AK$55+'TUSD BF'!$AK$55+'TUSD CVA'!$AK$55)*(1 - CUSTOS!$M$39)</f>
        <v>0.2741818449636535</v>
      </c>
      <c r="AI55" s="13">
        <v>5.9261627110557296</v>
      </c>
      <c r="AJ55" s="13">
        <v>0.74073335541970697</v>
      </c>
      <c r="AK55" s="13">
        <v>4.4034801306485303</v>
      </c>
      <c r="AL55" s="13">
        <v>0</v>
      </c>
      <c r="AM55" s="13">
        <v>0</v>
      </c>
      <c r="AN55" s="13">
        <v>50.690696408196601</v>
      </c>
      <c r="AO55" s="13">
        <v>8.8676016507089503</v>
      </c>
      <c r="AP55" s="13">
        <v>0</v>
      </c>
      <c r="AQ55" s="13">
        <v>36.855480975873803</v>
      </c>
      <c r="AR55" s="13">
        <v>10.6297937705198</v>
      </c>
      <c r="AS55" s="13">
        <v>0.124573716993249</v>
      </c>
      <c r="AT55" s="13">
        <v>0</v>
      </c>
      <c r="AU55" s="13">
        <v>0</v>
      </c>
      <c r="AV55" s="13">
        <v>0</v>
      </c>
      <c r="AW55" s="13">
        <v>0</v>
      </c>
      <c r="AX55" s="13">
        <v>252.93486211874301</v>
      </c>
      <c r="AY55" s="13">
        <v>0</v>
      </c>
      <c r="AZ55" s="13">
        <v>0</v>
      </c>
      <c r="BA55" s="13">
        <v>22.6430429406042</v>
      </c>
      <c r="BB55" s="13">
        <v>0.45937568088894798</v>
      </c>
      <c r="BC55" s="13">
        <v>1.6871065082682399</v>
      </c>
      <c r="BD55" s="13">
        <v>0.28133228384498499</v>
      </c>
    </row>
    <row r="56" spans="1:56" ht="11.25" customHeight="1" x14ac:dyDescent="0.3">
      <c r="A56" s="128"/>
      <c r="B56" s="128"/>
      <c r="C56" s="128"/>
      <c r="D56" s="128"/>
      <c r="E56" s="128"/>
      <c r="F56" s="128"/>
      <c r="G56" s="18" t="s">
        <v>80</v>
      </c>
      <c r="H56" s="18" t="s">
        <v>78</v>
      </c>
      <c r="I56" s="18">
        <f>'MERCADO TUSD'!$U$53</f>
        <v>0</v>
      </c>
      <c r="J56" s="15"/>
      <c r="L56" s="13">
        <f>('TUSD BE'!$L$56+'TUSD BF'!$L$56+'TUSD CVA'!$L$56)*(1 - CUSTOS!$M$39)</f>
        <v>6.2432837401779935</v>
      </c>
      <c r="M56" s="13">
        <f>('TUSD BE'!$M$56+'TUSD BF'!$M$56+'TUSD CVA'!$M$56)*(1 - CUSTOS!$M$39)</f>
        <v>0.90125486317899162</v>
      </c>
      <c r="N56" s="13">
        <f ca="1">('TUSD BE'!$N$56+'TUSD BF'!$N$56+'TUSD CVA'!$N$56)*(1 - CUSTOS!$M$39)</f>
        <v>3.4554471354152936</v>
      </c>
      <c r="O56" s="13">
        <f>('TUSD BE'!$O$56+'TUSD BF'!$O$56+'TUSD CVA'!$O$56)*(1 - CUSTOS!$M$39)</f>
        <v>0</v>
      </c>
      <c r="P56" s="13">
        <f>('TUSD BE'!$P$56+'TUSD BF'!$P$56+'TUSD CVA'!$P$56)*(1 - CUSTOS!$M$39)</f>
        <v>0</v>
      </c>
      <c r="Q56" s="13">
        <f>('TUSD BE'!$Q$56+'TUSD BF'!$Q$56+'TUSD CVA'!$Q$56)*(1 - CUSTOS!$M$39)</f>
        <v>101.66546447036606</v>
      </c>
      <c r="R56" s="13">
        <f>('TUSD BE'!$R$56+'TUSD BF'!$R$56+'TUSD CVA'!$R$56)*(1 - CUSTOS!$M$39)</f>
        <v>17.410658989082297</v>
      </c>
      <c r="S56" s="13">
        <f>('TUSD BE'!$S$56+'TUSD BF'!$S$56+'TUSD CVA'!$S$56)*(1 - CUSTOS!$M$39)</f>
        <v>0</v>
      </c>
      <c r="T56" s="13">
        <f>('TUSD BE'!$U$56+'TUSD BF'!$U$56+'TUSD CVA'!$U$56)*(1 - CUSTOS!$M$39)</f>
        <v>15.824084979144853</v>
      </c>
      <c r="U56" s="13">
        <f>('TUSD BE'!$V$56+'TUSD BF'!$V$56+'TUSD CVA'!$V$56)*(1 - CUSTOS!$M$39)</f>
        <v>3.2009867397059817</v>
      </c>
      <c r="V56" s="13">
        <f>('TUSD BE'!$W$56+'TUSD BF'!$W$56+'TUSD CVA'!$W$56)*(1 - CUSTOS!$M$39)</f>
        <v>0.46012050436606589</v>
      </c>
      <c r="W56" s="13">
        <f>('TUSD BE'!$X$56+'TUSD BF'!$X$56+'TUSD CVA'!$X$56)*(1 - CUSTOS!$M$39)</f>
        <v>0</v>
      </c>
      <c r="X56" s="13">
        <f>('TUSD BE'!$Y$56+'TUSD BF'!$Y$56+'TUSD CVA'!$Y$56)*(1 - CUSTOS!$M$39)</f>
        <v>0</v>
      </c>
      <c r="Y56" s="13">
        <f>('TUSD BE'!$Z$56+'TUSD BF'!$Z$56+'TUSD CVA'!$Z$56)*(1 - CUSTOS!$M$39)</f>
        <v>0</v>
      </c>
      <c r="Z56" s="13">
        <f>('TUSD BE'!$AA$56+'TUSD BF'!$AA$56+'TUSD CVA'!$AA$56)*(1 - CUSTOS!$M$39)</f>
        <v>0</v>
      </c>
      <c r="AA56" s="13">
        <f>('TUSD BE'!$AC$56+'TUSD BF'!$AC$56+'TUSD CVA'!$AC$56)*(1 - CUSTOS!$M$39)</f>
        <v>103.06288862272308</v>
      </c>
      <c r="AB56" s="13">
        <f ca="1">('TUSD BE'!$AE$56+'TUSD BF'!$AE$56+'TUSD CVA'!$AE$56)*(1 - CUSTOS!$M$39)</f>
        <v>0</v>
      </c>
      <c r="AC56" s="13">
        <f ca="1">('TUSD BE'!$AF$56+'TUSD BF'!$AF$56+'TUSD CVA'!$AF$56)*(1 - CUSTOS!$M$39)</f>
        <v>0</v>
      </c>
      <c r="AD56" s="13">
        <f>('TUSD BE'!$AH$56+'TUSD BF'!$AH$56+'TUSD CVA'!$AH$56)*(1 - CUSTOS!$M$39)</f>
        <v>28.647618420938826</v>
      </c>
      <c r="AE56" s="13">
        <f>('TUSD BE'!$AI$56+'TUSD BF'!$AI$56+'TUSD CVA'!$AI$56)*(1 - CUSTOS!$M$39)</f>
        <v>0.49649425155932558</v>
      </c>
      <c r="AF56" s="13">
        <f ca="1">('TUSD BE'!$AJ$56+'TUSD BF'!$AJ$56+'TUSD CVA'!$AJ$56)*(1 - CUSTOS!$M$39)</f>
        <v>1.9776629435073514</v>
      </c>
      <c r="AG56" s="13">
        <f ca="1">('TUSD BE'!$AK$56+'TUSD BF'!$AK$56+'TUSD CVA'!$AK$56)*(1 - CUSTOS!$M$39)</f>
        <v>0.2741818449636535</v>
      </c>
      <c r="AI56" s="13">
        <v>5.9261627110557296</v>
      </c>
      <c r="AJ56" s="13">
        <v>0.74073335541970697</v>
      </c>
      <c r="AK56" s="13">
        <v>2.5086937030110299</v>
      </c>
      <c r="AL56" s="13">
        <v>0</v>
      </c>
      <c r="AM56" s="13">
        <v>0</v>
      </c>
      <c r="AN56" s="13">
        <v>50.690696408196601</v>
      </c>
      <c r="AO56" s="13">
        <v>8.8676016507089503</v>
      </c>
      <c r="AP56" s="13">
        <v>0</v>
      </c>
      <c r="AQ56" s="13">
        <v>12.2851325944288</v>
      </c>
      <c r="AR56" s="13">
        <v>3.54326459017325</v>
      </c>
      <c r="AS56" s="13">
        <v>4.1524572331083101E-2</v>
      </c>
      <c r="AT56" s="13">
        <v>0</v>
      </c>
      <c r="AU56" s="13">
        <v>0</v>
      </c>
      <c r="AV56" s="13">
        <v>0</v>
      </c>
      <c r="AW56" s="13">
        <v>0</v>
      </c>
      <c r="AX56" s="13">
        <v>84.311620706247695</v>
      </c>
      <c r="AY56" s="13">
        <v>0</v>
      </c>
      <c r="AZ56" s="13">
        <v>0</v>
      </c>
      <c r="BA56" s="13">
        <v>22.6430429406042</v>
      </c>
      <c r="BB56" s="13">
        <v>0.45937568088894798</v>
      </c>
      <c r="BC56" s="13">
        <v>1.6871065082682399</v>
      </c>
      <c r="BD56" s="13">
        <v>0.28133228384498499</v>
      </c>
    </row>
    <row r="57" spans="1:56" ht="11.25" customHeight="1" x14ac:dyDescent="0.3">
      <c r="A57" s="128"/>
      <c r="B57" s="17" t="s">
        <v>23</v>
      </c>
      <c r="C57" s="17" t="s">
        <v>45</v>
      </c>
      <c r="D57" s="17" t="s">
        <v>93</v>
      </c>
      <c r="E57" s="17" t="s">
        <v>25</v>
      </c>
      <c r="F57" s="17" t="s">
        <v>25</v>
      </c>
      <c r="G57" s="18" t="s">
        <v>84</v>
      </c>
      <c r="H57" s="18" t="s">
        <v>78</v>
      </c>
      <c r="I57" s="18">
        <f>'MERCADO TUSD'!$U$54</f>
        <v>0</v>
      </c>
      <c r="J57" s="15"/>
      <c r="L57" s="13">
        <f>('TUSD BE'!$L$57+'TUSD BF'!$L$57+'TUSD CVA'!$L$57)*(1 - CUSTOS!$M$39)</f>
        <v>6.2432837401779935</v>
      </c>
      <c r="M57" s="13">
        <f>('TUSD BE'!$M$57+'TUSD BF'!$M$57+'TUSD CVA'!$M$57)*(1 - CUSTOS!$M$39)</f>
        <v>0.90125486317899162</v>
      </c>
      <c r="N57" s="13">
        <f ca="1">('TUSD BE'!$N$57+'TUSD BF'!$N$57+'TUSD CVA'!$N$57)*(1 - CUSTOS!$M$39)</f>
        <v>4.362045129832369</v>
      </c>
      <c r="O57" s="13">
        <f>('TUSD BE'!$O$57+'TUSD BF'!$O$57+'TUSD CVA'!$O$57)*(1 - CUSTOS!$M$39)</f>
        <v>0</v>
      </c>
      <c r="P57" s="13">
        <f>('TUSD BE'!$P$57+'TUSD BF'!$P$57+'TUSD CVA'!$P$57)*(1 - CUSTOS!$M$39)</f>
        <v>0</v>
      </c>
      <c r="Q57" s="13">
        <f>('TUSD BE'!$Q$57+'TUSD BF'!$Q$57+'TUSD CVA'!$Q$57)*(1 - CUSTOS!$M$39)</f>
        <v>101.66546447036606</v>
      </c>
      <c r="R57" s="13">
        <f>('TUSD BE'!$R$57+'TUSD BF'!$R$57+'TUSD CVA'!$R$57)*(1 - CUSTOS!$M$39)</f>
        <v>17.410658989082297</v>
      </c>
      <c r="S57" s="13">
        <f>('TUSD BE'!$S$57+'TUSD BF'!$S$57+'TUSD CVA'!$S$57)*(1 - CUSTOS!$M$39)</f>
        <v>0</v>
      </c>
      <c r="T57" s="13">
        <f>('TUSD BE'!$U$57+'TUSD BF'!$U$57+'TUSD CVA'!$U$57)*(1 - CUSTOS!$M$39)</f>
        <v>26.820501177822088</v>
      </c>
      <c r="U57" s="13">
        <f>('TUSD BE'!$V$57+'TUSD BF'!$V$57+'TUSD CVA'!$V$57)*(1 - CUSTOS!$M$39)</f>
        <v>5.4254049558210093</v>
      </c>
      <c r="V57" s="13">
        <f>('TUSD BE'!$W$57+'TUSD BF'!$W$57+'TUSD CVA'!$W$57)*(1 - CUSTOS!$M$39)</f>
        <v>0.77995332672340656</v>
      </c>
      <c r="W57" s="13">
        <f>('TUSD BE'!$X$57+'TUSD BF'!$X$57+'TUSD CVA'!$X$57)*(1 - CUSTOS!$M$39)</f>
        <v>0</v>
      </c>
      <c r="X57" s="13">
        <f>('TUSD BE'!$Y$57+'TUSD BF'!$Y$57+'TUSD CVA'!$Y$57)*(1 - CUSTOS!$M$39)</f>
        <v>0</v>
      </c>
      <c r="Y57" s="13">
        <f>('TUSD BE'!$Z$57+'TUSD BF'!$Z$57+'TUSD CVA'!$Z$57)*(1 - CUSTOS!$M$39)</f>
        <v>0</v>
      </c>
      <c r="Z57" s="13">
        <f>('TUSD BE'!$AA$57+'TUSD BF'!$AA$57+'TUSD CVA'!$AA$57)*(1 - CUSTOS!$M$39)</f>
        <v>0</v>
      </c>
      <c r="AA57" s="13">
        <f>('TUSD BE'!$AC$57+'TUSD BF'!$AC$57+'TUSD CVA'!$AC$57)*(1 - CUSTOS!$M$39)</f>
        <v>174.6828102022198</v>
      </c>
      <c r="AB57" s="13">
        <f ca="1">('TUSD BE'!$AE$57+'TUSD BF'!$AE$57+'TUSD CVA'!$AE$57)*(1 - CUSTOS!$M$39)</f>
        <v>0</v>
      </c>
      <c r="AC57" s="13">
        <f ca="1">('TUSD BE'!$AF$57+'TUSD BF'!$AF$57+'TUSD CVA'!$AF$57)*(1 - CUSTOS!$M$39)</f>
        <v>0</v>
      </c>
      <c r="AD57" s="13">
        <f>('TUSD BE'!$AH$57+'TUSD BF'!$AH$57+'TUSD CVA'!$AH$57)*(1 - CUSTOS!$M$39)</f>
        <v>28.647618420938826</v>
      </c>
      <c r="AE57" s="13">
        <f>('TUSD BE'!$AI$57+'TUSD BF'!$AI$57+'TUSD CVA'!$AI$57)*(1 - CUSTOS!$M$39)</f>
        <v>0.49649425155932558</v>
      </c>
      <c r="AF57" s="13">
        <f ca="1">('TUSD BE'!$AJ$57+'TUSD BF'!$AJ$57+'TUSD CVA'!$AJ$57)*(1 - CUSTOS!$M$39)</f>
        <v>1.9776629435073514</v>
      </c>
      <c r="AG57" s="13">
        <f ca="1">('TUSD BE'!$AK$57+'TUSD BF'!$AK$57+'TUSD CVA'!$AK$57)*(1 - CUSTOS!$M$39)</f>
        <v>0.2741818449636535</v>
      </c>
      <c r="AI57" s="13">
        <v>5.9261627110557296</v>
      </c>
      <c r="AJ57" s="13">
        <v>0.74073335541970697</v>
      </c>
      <c r="AK57" s="13">
        <v>3.1670515898994398</v>
      </c>
      <c r="AL57" s="13">
        <v>0</v>
      </c>
      <c r="AM57" s="13">
        <v>0</v>
      </c>
      <c r="AN57" s="13">
        <v>50.690696408196601</v>
      </c>
      <c r="AO57" s="13">
        <v>8.8676016507089503</v>
      </c>
      <c r="AP57" s="13">
        <v>0</v>
      </c>
      <c r="AQ57" s="13">
        <v>20.822272735063599</v>
      </c>
      <c r="AR57" s="13">
        <v>6.0055373016249396</v>
      </c>
      <c r="AS57" s="13">
        <v>7.0388578694219897E-2</v>
      </c>
      <c r="AT57" s="13">
        <v>0</v>
      </c>
      <c r="AU57" s="13">
        <v>0</v>
      </c>
      <c r="AV57" s="13">
        <v>0</v>
      </c>
      <c r="AW57" s="13">
        <v>0</v>
      </c>
      <c r="AX57" s="13">
        <v>142.90100961156099</v>
      </c>
      <c r="AY57" s="13">
        <v>0</v>
      </c>
      <c r="AZ57" s="13">
        <v>0</v>
      </c>
      <c r="BA57" s="13">
        <v>22.6430429406042</v>
      </c>
      <c r="BB57" s="13">
        <v>0.45937568088894798</v>
      </c>
      <c r="BC57" s="13">
        <v>1.6871065082682399</v>
      </c>
      <c r="BD57" s="13">
        <v>0.28133228384498499</v>
      </c>
    </row>
    <row r="58" spans="1:56" ht="11.25" customHeight="1" x14ac:dyDescent="0.3">
      <c r="A58" s="128"/>
      <c r="B58" s="128" t="s">
        <v>33</v>
      </c>
      <c r="C58" s="128" t="s">
        <v>45</v>
      </c>
      <c r="D58" s="128" t="s">
        <v>94</v>
      </c>
      <c r="E58" s="128" t="s">
        <v>25</v>
      </c>
      <c r="F58" s="128" t="s">
        <v>25</v>
      </c>
      <c r="G58" s="18" t="s">
        <v>79</v>
      </c>
      <c r="H58" s="18" t="s">
        <v>78</v>
      </c>
      <c r="I58" s="18">
        <f>'MERCADO TUSD'!$U$55</f>
        <v>0</v>
      </c>
      <c r="J58" s="15"/>
      <c r="L58" s="13">
        <f>('TUSD BE'!$L$58+'TUSD BF'!$L$58+'TUSD CVA'!$L$58)*(1 - CUSTOS!$M$40)</f>
        <v>6.110447915918888</v>
      </c>
      <c r="M58" s="13">
        <f>('TUSD BE'!$M$58+'TUSD BF'!$M$58+'TUSD CVA'!$M$58)*(1 - CUSTOS!$M$40)</f>
        <v>0.88207922779220471</v>
      </c>
      <c r="N58" s="13">
        <f ca="1">('TUSD BE'!$N$58+'TUSD BF'!$N$58+'TUSD CVA'!$N$58)*(1 - CUSTOS!$M$40)</f>
        <v>8.4893631326331516</v>
      </c>
      <c r="O58" s="13">
        <f>('TUSD BE'!$O$58+'TUSD BF'!$O$58+'TUSD CVA'!$O$58)*(1 - CUSTOS!$M$40)</f>
        <v>0</v>
      </c>
      <c r="P58" s="13">
        <f>('TUSD BE'!$P$58+'TUSD BF'!$P$58+'TUSD CVA'!$P$58)*(1 - CUSTOS!$M$40)</f>
        <v>0</v>
      </c>
      <c r="Q58" s="13">
        <f>('TUSD BE'!$Q$58+'TUSD BF'!$Q$58+'TUSD CVA'!$Q$58)*(1 - CUSTOS!$M$40)</f>
        <v>99.502369481634872</v>
      </c>
      <c r="R58" s="13">
        <f>('TUSD BE'!$R$58+'TUSD BF'!$R$58+'TUSD CVA'!$R$58)*(1 - CUSTOS!$M$40)</f>
        <v>17.040219436123099</v>
      </c>
      <c r="S58" s="13">
        <f>('TUSD BE'!$S$58+'TUSD BF'!$S$58+'TUSD CVA'!$S$58)*(1 - CUSTOS!$M$40)</f>
        <v>0</v>
      </c>
      <c r="T58" s="13">
        <f>('TUSD BE'!$U$58+'TUSD BF'!$U$58+'TUSD CVA'!$U$58)*(1 - CUSTOS!$M$40)</f>
        <v>77.437116477821249</v>
      </c>
      <c r="U58" s="13">
        <f>('TUSD BE'!$V$58+'TUSD BF'!$V$58+'TUSD CVA'!$V$58)*(1 - CUSTOS!$M$40)</f>
        <v>15.664403194305873</v>
      </c>
      <c r="V58" s="13">
        <f>('TUSD BE'!$W$58+'TUSD BF'!$W$58+'TUSD CVA'!$W$58)*(1 - CUSTOS!$M$40)</f>
        <v>2.2518418760888035</v>
      </c>
      <c r="W58" s="13">
        <f>('TUSD BE'!$X$58+'TUSD BF'!$X$58+'TUSD CVA'!$X$58)*(1 - CUSTOS!$M$40)</f>
        <v>0</v>
      </c>
      <c r="X58" s="13">
        <f>('TUSD BE'!$Y$58+'TUSD BF'!$Y$58+'TUSD CVA'!$Y$58)*(1 - CUSTOS!$M$40)</f>
        <v>0</v>
      </c>
      <c r="Y58" s="13">
        <f>('TUSD BE'!$Z$58+'TUSD BF'!$Z$58+'TUSD CVA'!$Z$58)*(1 - CUSTOS!$M$40)</f>
        <v>0</v>
      </c>
      <c r="Z58" s="13">
        <f>('TUSD BE'!$AA$58+'TUSD BF'!$AA$58+'TUSD CVA'!$AA$58)*(1 - CUSTOS!$M$40)</f>
        <v>0</v>
      </c>
      <c r="AA58" s="13">
        <f>('TUSD BE'!$AC$58+'TUSD BF'!$AC$58+'TUSD CVA'!$AC$58)*(1 - CUSTOS!$M$40)</f>
        <v>504.3503060260918</v>
      </c>
      <c r="AB58" s="13">
        <f ca="1">('TUSD BE'!$AE$58+'TUSD BF'!$AE$58+'TUSD CVA'!$AE$58)*(1 - CUSTOS!$M$40)</f>
        <v>0</v>
      </c>
      <c r="AC58" s="13">
        <f ca="1">('TUSD BE'!$AF$58+'TUSD BF'!$AF$58+'TUSD CVA'!$AF$58)*(1 - CUSTOS!$M$40)</f>
        <v>0</v>
      </c>
      <c r="AD58" s="13">
        <f>('TUSD BE'!$AH$58+'TUSD BF'!$AH$58+'TUSD CVA'!$AH$58)*(1 - CUSTOS!$M$40)</f>
        <v>28.038094624748641</v>
      </c>
      <c r="AE58" s="13">
        <f>('TUSD BE'!$AI$58+'TUSD BF'!$AI$58+'TUSD CVA'!$AI$58)*(1 - CUSTOS!$M$40)</f>
        <v>0.48593054407934</v>
      </c>
      <c r="AF58" s="13">
        <f ca="1">('TUSD BE'!$AJ$58+'TUSD BF'!$AJ$58+'TUSD CVA'!$AJ$58)*(1 - CUSTOS!$M$40)</f>
        <v>1.93558500853911</v>
      </c>
      <c r="AG58" s="13">
        <f ca="1">('TUSD BE'!$AK$58+'TUSD BF'!$AK$58+'TUSD CVA'!$AK$58)*(1 - CUSTOS!$M$40)</f>
        <v>0.26834818868783111</v>
      </c>
      <c r="AI58" s="13">
        <v>5.6567916787350203</v>
      </c>
      <c r="AJ58" s="13">
        <v>0.70706365744608402</v>
      </c>
      <c r="AK58" s="13">
        <v>6.0119817147275798</v>
      </c>
      <c r="AL58" s="13">
        <v>0</v>
      </c>
      <c r="AM58" s="13">
        <v>0</v>
      </c>
      <c r="AN58" s="13">
        <v>48.386573844187602</v>
      </c>
      <c r="AO58" s="13">
        <v>8.4645288484039902</v>
      </c>
      <c r="AP58" s="13">
        <v>0</v>
      </c>
      <c r="AQ58" s="13">
        <v>58.633666793607198</v>
      </c>
      <c r="AR58" s="13">
        <v>16.911035544008701</v>
      </c>
      <c r="AS58" s="13">
        <v>0.19820203647387999</v>
      </c>
      <c r="AT58" s="13">
        <v>0</v>
      </c>
      <c r="AU58" s="13">
        <v>0</v>
      </c>
      <c r="AV58" s="13">
        <v>0</v>
      </c>
      <c r="AW58" s="13">
        <v>0</v>
      </c>
      <c r="AX58" s="13">
        <v>402.39637155254599</v>
      </c>
      <c r="AY58" s="13">
        <v>0</v>
      </c>
      <c r="AZ58" s="13">
        <v>0</v>
      </c>
      <c r="BA58" s="13">
        <v>21.613813716031299</v>
      </c>
      <c r="BB58" s="13">
        <v>0.43849496812126898</v>
      </c>
      <c r="BC58" s="13">
        <v>1.6104198488015</v>
      </c>
      <c r="BD58" s="13">
        <v>0.26854445276112199</v>
      </c>
    </row>
    <row r="59" spans="1:56" ht="11.25" customHeight="1" x14ac:dyDescent="0.3">
      <c r="A59" s="128"/>
      <c r="B59" s="128"/>
      <c r="C59" s="128"/>
      <c r="D59" s="128"/>
      <c r="E59" s="128"/>
      <c r="F59" s="128"/>
      <c r="G59" s="18" t="s">
        <v>90</v>
      </c>
      <c r="H59" s="18" t="s">
        <v>78</v>
      </c>
      <c r="I59" s="18">
        <f>'MERCADO TUSD'!$U$56</f>
        <v>0</v>
      </c>
      <c r="J59" s="15"/>
      <c r="L59" s="13">
        <f>('TUSD BE'!$L$59+'TUSD BF'!$L$59+'TUSD CVA'!$L$59)*(1 - CUSTOS!$M$40)</f>
        <v>6.110447915918888</v>
      </c>
      <c r="M59" s="13">
        <f>('TUSD BE'!$M$59+'TUSD BF'!$M$59+'TUSD CVA'!$M$59)*(1 - CUSTOS!$M$40)</f>
        <v>0.88207922779220471</v>
      </c>
      <c r="N59" s="13">
        <f ca="1">('TUSD BE'!$N$59+'TUSD BF'!$N$59+'TUSD CVA'!$N$59)*(1 - CUSTOS!$M$40)</f>
        <v>5.9356450581155489</v>
      </c>
      <c r="O59" s="13">
        <f>('TUSD BE'!$O$59+'TUSD BF'!$O$59+'TUSD CVA'!$O$59)*(1 - CUSTOS!$M$40)</f>
        <v>0</v>
      </c>
      <c r="P59" s="13">
        <f>('TUSD BE'!$P$59+'TUSD BF'!$P$59+'TUSD CVA'!$P$59)*(1 - CUSTOS!$M$40)</f>
        <v>0</v>
      </c>
      <c r="Q59" s="13">
        <f>('TUSD BE'!$Q$59+'TUSD BF'!$Q$59+'TUSD CVA'!$Q$59)*(1 - CUSTOS!$M$40)</f>
        <v>99.502369481634872</v>
      </c>
      <c r="R59" s="13">
        <f>('TUSD BE'!$R$59+'TUSD BF'!$R$59+'TUSD CVA'!$R$59)*(1 - CUSTOS!$M$40)</f>
        <v>17.040219436123099</v>
      </c>
      <c r="S59" s="13">
        <f>('TUSD BE'!$S$59+'TUSD BF'!$S$59+'TUSD CVA'!$S$59)*(1 - CUSTOS!$M$40)</f>
        <v>0</v>
      </c>
      <c r="T59" s="13">
        <f>('TUSD BE'!$U$59+'TUSD BF'!$U$59+'TUSD CVA'!$U$59)*(1 - CUSTOS!$M$40)</f>
        <v>46.462311837793017</v>
      </c>
      <c r="U59" s="13">
        <f>('TUSD BE'!$V$59+'TUSD BF'!$V$59+'TUSD CVA'!$V$59)*(1 - CUSTOS!$M$40)</f>
        <v>9.3986419165835233</v>
      </c>
      <c r="V59" s="13">
        <f>('TUSD BE'!$W$59+'TUSD BF'!$W$59+'TUSD CVA'!$W$59)*(1 - CUSTOS!$M$40)</f>
        <v>1.3509921192024916</v>
      </c>
      <c r="W59" s="13">
        <f>('TUSD BE'!$X$59+'TUSD BF'!$X$59+'TUSD CVA'!$X$59)*(1 - CUSTOS!$M$40)</f>
        <v>0</v>
      </c>
      <c r="X59" s="13">
        <f>('TUSD BE'!$Y$59+'TUSD BF'!$Y$59+'TUSD CVA'!$Y$59)*(1 - CUSTOS!$M$40)</f>
        <v>0</v>
      </c>
      <c r="Y59" s="13">
        <f>('TUSD BE'!$Z$59+'TUSD BF'!$Z$59+'TUSD CVA'!$Z$59)*(1 - CUSTOS!$M$40)</f>
        <v>0</v>
      </c>
      <c r="Z59" s="13">
        <f>('TUSD BE'!$AA$59+'TUSD BF'!$AA$59+'TUSD CVA'!$AA$59)*(1 - CUSTOS!$M$40)</f>
        <v>0</v>
      </c>
      <c r="AA59" s="13">
        <f>('TUSD BE'!$AC$59+'TUSD BF'!$AC$59+'TUSD CVA'!$AC$59)*(1 - CUSTOS!$M$40)</f>
        <v>302.61018361565505</v>
      </c>
      <c r="AB59" s="13">
        <f ca="1">('TUSD BE'!$AE$59+'TUSD BF'!$AE$59+'TUSD CVA'!$AE$59)*(1 - CUSTOS!$M$40)</f>
        <v>0</v>
      </c>
      <c r="AC59" s="13">
        <f ca="1">('TUSD BE'!$AF$59+'TUSD BF'!$AF$59+'TUSD CVA'!$AF$59)*(1 - CUSTOS!$M$40)</f>
        <v>0</v>
      </c>
      <c r="AD59" s="13">
        <f>('TUSD BE'!$AH$59+'TUSD BF'!$AH$59+'TUSD CVA'!$AH$59)*(1 - CUSTOS!$M$40)</f>
        <v>28.038094624748641</v>
      </c>
      <c r="AE59" s="13">
        <f>('TUSD BE'!$AI$59+'TUSD BF'!$AI$59+'TUSD CVA'!$AI$59)*(1 - CUSTOS!$M$40)</f>
        <v>0.48593054407934</v>
      </c>
      <c r="AF59" s="13">
        <f ca="1">('TUSD BE'!$AJ$59+'TUSD BF'!$AJ$59+'TUSD CVA'!$AJ$59)*(1 - CUSTOS!$M$40)</f>
        <v>1.93558500853911</v>
      </c>
      <c r="AG59" s="13">
        <f ca="1">('TUSD BE'!$AK$59+'TUSD BF'!$AK$59+'TUSD CVA'!$AK$59)*(1 - CUSTOS!$M$40)</f>
        <v>0.26834818868783111</v>
      </c>
      <c r="AI59" s="13">
        <v>5.6567916787350203</v>
      </c>
      <c r="AJ59" s="13">
        <v>0.70706365744608402</v>
      </c>
      <c r="AK59" s="13">
        <v>4.2033219428917796</v>
      </c>
      <c r="AL59" s="13">
        <v>0</v>
      </c>
      <c r="AM59" s="13">
        <v>0</v>
      </c>
      <c r="AN59" s="13">
        <v>48.386573844187602</v>
      </c>
      <c r="AO59" s="13">
        <v>8.4645288484039902</v>
      </c>
      <c r="AP59" s="13">
        <v>0</v>
      </c>
      <c r="AQ59" s="13">
        <v>35.180231840606801</v>
      </c>
      <c r="AR59" s="13">
        <v>10.146621326405199</v>
      </c>
      <c r="AS59" s="13">
        <v>0.11891127531173799</v>
      </c>
      <c r="AT59" s="13">
        <v>0</v>
      </c>
      <c r="AU59" s="13">
        <v>0</v>
      </c>
      <c r="AV59" s="13">
        <v>0</v>
      </c>
      <c r="AW59" s="13">
        <v>0</v>
      </c>
      <c r="AX59" s="13">
        <v>241.43782293152799</v>
      </c>
      <c r="AY59" s="13">
        <v>0</v>
      </c>
      <c r="AZ59" s="13">
        <v>0</v>
      </c>
      <c r="BA59" s="13">
        <v>21.613813716031299</v>
      </c>
      <c r="BB59" s="13">
        <v>0.43849496812126898</v>
      </c>
      <c r="BC59" s="13">
        <v>1.6104198488015</v>
      </c>
      <c r="BD59" s="13">
        <v>0.26854445276112199</v>
      </c>
    </row>
    <row r="60" spans="1:56" ht="11.25" customHeight="1" x14ac:dyDescent="0.3">
      <c r="A60" s="128"/>
      <c r="B60" s="128"/>
      <c r="C60" s="128"/>
      <c r="D60" s="128"/>
      <c r="E60" s="128"/>
      <c r="F60" s="128"/>
      <c r="G60" s="18" t="s">
        <v>80</v>
      </c>
      <c r="H60" s="18" t="s">
        <v>78</v>
      </c>
      <c r="I60" s="18">
        <f>'MERCADO TUSD'!$U$57</f>
        <v>0</v>
      </c>
      <c r="J60" s="15"/>
      <c r="L60" s="13">
        <f>('TUSD BE'!$L$60+'TUSD BF'!$L$60+'TUSD CVA'!$L$60)*(1 - CUSTOS!$M$40)</f>
        <v>6.110447915918888</v>
      </c>
      <c r="M60" s="13">
        <f>('TUSD BE'!$M$60+'TUSD BF'!$M$60+'TUSD CVA'!$M$60)*(1 - CUSTOS!$M$40)</f>
        <v>0.88207922779220471</v>
      </c>
      <c r="N60" s="13">
        <f ca="1">('TUSD BE'!$N$60+'TUSD BF'!$N$60+'TUSD CVA'!$N$60)*(1 - CUSTOS!$M$40)</f>
        <v>3.3819269835979475</v>
      </c>
      <c r="O60" s="13">
        <f>('TUSD BE'!$O$60+'TUSD BF'!$O$60+'TUSD CVA'!$O$60)*(1 - CUSTOS!$M$40)</f>
        <v>0</v>
      </c>
      <c r="P60" s="13">
        <f>('TUSD BE'!$P$60+'TUSD BF'!$P$60+'TUSD CVA'!$P$60)*(1 - CUSTOS!$M$40)</f>
        <v>0</v>
      </c>
      <c r="Q60" s="13">
        <f>('TUSD BE'!$Q$60+'TUSD BF'!$Q$60+'TUSD CVA'!$Q$60)*(1 - CUSTOS!$M$40)</f>
        <v>99.502369481634872</v>
      </c>
      <c r="R60" s="13">
        <f>('TUSD BE'!$R$60+'TUSD BF'!$R$60+'TUSD CVA'!$R$60)*(1 - CUSTOS!$M$40)</f>
        <v>17.040219436123099</v>
      </c>
      <c r="S60" s="13">
        <f>('TUSD BE'!$S$60+'TUSD BF'!$S$60+'TUSD CVA'!$S$60)*(1 - CUSTOS!$M$40)</f>
        <v>0</v>
      </c>
      <c r="T60" s="13">
        <f>('TUSD BE'!$U$60+'TUSD BF'!$U$60+'TUSD CVA'!$U$60)*(1 - CUSTOS!$M$40)</f>
        <v>15.487402320014114</v>
      </c>
      <c r="U60" s="13">
        <f>('TUSD BE'!$V$60+'TUSD BF'!$V$60+'TUSD CVA'!$V$60)*(1 - CUSTOS!$M$40)</f>
        <v>3.1328806388611738</v>
      </c>
      <c r="V60" s="13">
        <f>('TUSD BE'!$W$60+'TUSD BF'!$W$60+'TUSD CVA'!$W$60)*(1 - CUSTOS!$M$40)</f>
        <v>0.4503307064008305</v>
      </c>
      <c r="W60" s="13">
        <f>('TUSD BE'!$X$60+'TUSD BF'!$X$60+'TUSD CVA'!$X$60)*(1 - CUSTOS!$M$40)</f>
        <v>0</v>
      </c>
      <c r="X60" s="13">
        <f>('TUSD BE'!$Y$60+'TUSD BF'!$Y$60+'TUSD CVA'!$Y$60)*(1 - CUSTOS!$M$40)</f>
        <v>0</v>
      </c>
      <c r="Y60" s="13">
        <f>('TUSD BE'!$Z$60+'TUSD BF'!$Z$60+'TUSD CVA'!$Z$60)*(1 - CUSTOS!$M$40)</f>
        <v>0</v>
      </c>
      <c r="Z60" s="13">
        <f>('TUSD BE'!$AA$60+'TUSD BF'!$AA$60+'TUSD CVA'!$AA$60)*(1 - CUSTOS!$M$40)</f>
        <v>0</v>
      </c>
      <c r="AA60" s="13">
        <f>('TUSD BE'!$AC$60+'TUSD BF'!$AC$60+'TUSD CVA'!$AC$60)*(1 - CUSTOS!$M$40)</f>
        <v>100.87006120521835</v>
      </c>
      <c r="AB60" s="13">
        <f ca="1">('TUSD BE'!$AE$60+'TUSD BF'!$AE$60+'TUSD CVA'!$AE$60)*(1 - CUSTOS!$M$40)</f>
        <v>0</v>
      </c>
      <c r="AC60" s="13">
        <f ca="1">('TUSD BE'!$AF$60+'TUSD BF'!$AF$60+'TUSD CVA'!$AF$60)*(1 - CUSTOS!$M$40)</f>
        <v>0</v>
      </c>
      <c r="AD60" s="13">
        <f>('TUSD BE'!$AH$60+'TUSD BF'!$AH$60+'TUSD CVA'!$AH$60)*(1 - CUSTOS!$M$40)</f>
        <v>28.038094624748641</v>
      </c>
      <c r="AE60" s="13">
        <f>('TUSD BE'!$AI$60+'TUSD BF'!$AI$60+'TUSD CVA'!$AI$60)*(1 - CUSTOS!$M$40)</f>
        <v>0.48593054407934</v>
      </c>
      <c r="AF60" s="13">
        <f ca="1">('TUSD BE'!$AJ$60+'TUSD BF'!$AJ$60+'TUSD CVA'!$AJ$60)*(1 - CUSTOS!$M$40)</f>
        <v>1.93558500853911</v>
      </c>
      <c r="AG60" s="13">
        <f ca="1">('TUSD BE'!$AK$60+'TUSD BF'!$AK$60+'TUSD CVA'!$AK$60)*(1 - CUSTOS!$M$40)</f>
        <v>0.26834818868783111</v>
      </c>
      <c r="AI60" s="13">
        <v>5.6567916787350203</v>
      </c>
      <c r="AJ60" s="13">
        <v>0.70706365744608402</v>
      </c>
      <c r="AK60" s="13">
        <v>2.3946621710559799</v>
      </c>
      <c r="AL60" s="13">
        <v>0</v>
      </c>
      <c r="AM60" s="13">
        <v>0</v>
      </c>
      <c r="AN60" s="13">
        <v>48.386573844187602</v>
      </c>
      <c r="AO60" s="13">
        <v>8.4645288484039902</v>
      </c>
      <c r="AP60" s="13">
        <v>0</v>
      </c>
      <c r="AQ60" s="13">
        <v>11.7267174765002</v>
      </c>
      <c r="AR60" s="13">
        <v>3.3822071088017398</v>
      </c>
      <c r="AS60" s="13">
        <v>3.9637091770579301E-2</v>
      </c>
      <c r="AT60" s="13">
        <v>0</v>
      </c>
      <c r="AU60" s="13">
        <v>0</v>
      </c>
      <c r="AV60" s="13">
        <v>0</v>
      </c>
      <c r="AW60" s="13">
        <v>0</v>
      </c>
      <c r="AX60" s="13">
        <v>80.479274310509197</v>
      </c>
      <c r="AY60" s="13">
        <v>0</v>
      </c>
      <c r="AZ60" s="13">
        <v>0</v>
      </c>
      <c r="BA60" s="13">
        <v>21.613813716031299</v>
      </c>
      <c r="BB60" s="13">
        <v>0.43849496812126898</v>
      </c>
      <c r="BC60" s="13">
        <v>1.6104198488015</v>
      </c>
      <c r="BD60" s="13">
        <v>0.26854445276112199</v>
      </c>
    </row>
    <row r="61" spans="1:56" ht="11.25" customHeight="1" x14ac:dyDescent="0.3">
      <c r="A61" s="128"/>
      <c r="B61" s="17" t="s">
        <v>23</v>
      </c>
      <c r="C61" s="17" t="s">
        <v>45</v>
      </c>
      <c r="D61" s="17" t="s">
        <v>94</v>
      </c>
      <c r="E61" s="17" t="s">
        <v>25</v>
      </c>
      <c r="F61" s="17" t="s">
        <v>25</v>
      </c>
      <c r="G61" s="18" t="s">
        <v>84</v>
      </c>
      <c r="H61" s="18" t="s">
        <v>78</v>
      </c>
      <c r="I61" s="18">
        <f>'MERCADO TUSD'!$U$58</f>
        <v>0</v>
      </c>
      <c r="J61" s="15"/>
      <c r="L61" s="13">
        <f>('TUSD BE'!$L$61+'TUSD BF'!$L$61+'TUSD CVA'!$L$61)*(1 - CUSTOS!$M$40)</f>
        <v>6.110447915918888</v>
      </c>
      <c r="M61" s="13">
        <f>('TUSD BE'!$M$61+'TUSD BF'!$M$61+'TUSD CVA'!$M$61)*(1 - CUSTOS!$M$40)</f>
        <v>0.88207922779220471</v>
      </c>
      <c r="N61" s="13">
        <f ca="1">('TUSD BE'!$N$61+'TUSD BF'!$N$61+'TUSD CVA'!$N$61)*(1 - CUSTOS!$M$40)</f>
        <v>4.2692356589848721</v>
      </c>
      <c r="O61" s="13">
        <f>('TUSD BE'!$O$61+'TUSD BF'!$O$61+'TUSD CVA'!$O$61)*(1 - CUSTOS!$M$40)</f>
        <v>0</v>
      </c>
      <c r="P61" s="13">
        <f>('TUSD BE'!$P$61+'TUSD BF'!$P$61+'TUSD CVA'!$P$61)*(1 - CUSTOS!$M$40)</f>
        <v>0</v>
      </c>
      <c r="Q61" s="13">
        <f>('TUSD BE'!$Q$61+'TUSD BF'!$Q$61+'TUSD CVA'!$Q$61)*(1 - CUSTOS!$M$40)</f>
        <v>99.502369481634872</v>
      </c>
      <c r="R61" s="13">
        <f>('TUSD BE'!$R$61+'TUSD BF'!$R$61+'TUSD CVA'!$R$61)*(1 - CUSTOS!$M$40)</f>
        <v>17.040219436123099</v>
      </c>
      <c r="S61" s="13">
        <f>('TUSD BE'!$S$61+'TUSD BF'!$S$61+'TUSD CVA'!$S$61)*(1 - CUSTOS!$M$40)</f>
        <v>0</v>
      </c>
      <c r="T61" s="13">
        <f>('TUSD BE'!$U$61+'TUSD BF'!$U$61+'TUSD CVA'!$U$61)*(1 - CUSTOS!$M$40)</f>
        <v>26.249852216591837</v>
      </c>
      <c r="U61" s="13">
        <f>('TUSD BE'!$V$61+'TUSD BF'!$V$61+'TUSD CVA'!$V$61)*(1 - CUSTOS!$M$40)</f>
        <v>5.3099708078248185</v>
      </c>
      <c r="V61" s="13">
        <f>('TUSD BE'!$W$61+'TUSD BF'!$W$61+'TUSD CVA'!$W$61)*(1 - CUSTOS!$M$40)</f>
        <v>0.76335857509099381</v>
      </c>
      <c r="W61" s="13">
        <f>('TUSD BE'!$X$61+'TUSD BF'!$X$61+'TUSD CVA'!$X$61)*(1 - CUSTOS!$M$40)</f>
        <v>0</v>
      </c>
      <c r="X61" s="13">
        <f>('TUSD BE'!$Y$61+'TUSD BF'!$Y$61+'TUSD CVA'!$Y$61)*(1 - CUSTOS!$M$40)</f>
        <v>0</v>
      </c>
      <c r="Y61" s="13">
        <f>('TUSD BE'!$Z$61+'TUSD BF'!$Z$61+'TUSD CVA'!$Z$61)*(1 - CUSTOS!$M$40)</f>
        <v>0</v>
      </c>
      <c r="Z61" s="13">
        <f>('TUSD BE'!$AA$61+'TUSD BF'!$AA$61+'TUSD CVA'!$AA$61)*(1 - CUSTOS!$M$40)</f>
        <v>0</v>
      </c>
      <c r="AA61" s="13">
        <f>('TUSD BE'!$AC$61+'TUSD BF'!$AC$61+'TUSD CVA'!$AC$61)*(1 - CUSTOS!$M$40)</f>
        <v>170.96615466600238</v>
      </c>
      <c r="AB61" s="13">
        <f ca="1">('TUSD BE'!$AE$61+'TUSD BF'!$AE$61+'TUSD CVA'!$AE$61)*(1 - CUSTOS!$M$40)</f>
        <v>0</v>
      </c>
      <c r="AC61" s="13">
        <f ca="1">('TUSD BE'!$AF$61+'TUSD BF'!$AF$61+'TUSD CVA'!$AF$61)*(1 - CUSTOS!$M$40)</f>
        <v>0</v>
      </c>
      <c r="AD61" s="13">
        <f>('TUSD BE'!$AH$61+'TUSD BF'!$AH$61+'TUSD CVA'!$AH$61)*(1 - CUSTOS!$M$40)</f>
        <v>28.038094624748641</v>
      </c>
      <c r="AE61" s="13">
        <f>('TUSD BE'!$AI$61+'TUSD BF'!$AI$61+'TUSD CVA'!$AI$61)*(1 - CUSTOS!$M$40)</f>
        <v>0.48593054407934</v>
      </c>
      <c r="AF61" s="13">
        <f ca="1">('TUSD BE'!$AJ$61+'TUSD BF'!$AJ$61+'TUSD CVA'!$AJ$61)*(1 - CUSTOS!$M$40)</f>
        <v>1.93558500853911</v>
      </c>
      <c r="AG61" s="13">
        <f ca="1">('TUSD BE'!$AK$61+'TUSD BF'!$AK$61+'TUSD CVA'!$AK$61)*(1 - CUSTOS!$M$40)</f>
        <v>0.26834818868783111</v>
      </c>
      <c r="AI61" s="13">
        <v>5.6567916787350203</v>
      </c>
      <c r="AJ61" s="13">
        <v>0.70706365744608402</v>
      </c>
      <c r="AK61" s="13">
        <v>3.0230946994494698</v>
      </c>
      <c r="AL61" s="13">
        <v>0</v>
      </c>
      <c r="AM61" s="13">
        <v>0</v>
      </c>
      <c r="AN61" s="13">
        <v>48.386573844187602</v>
      </c>
      <c r="AO61" s="13">
        <v>8.4645288484039902</v>
      </c>
      <c r="AP61" s="13">
        <v>0</v>
      </c>
      <c r="AQ61" s="13">
        <v>19.875805792560701</v>
      </c>
      <c r="AR61" s="13">
        <v>5.7325583333692602</v>
      </c>
      <c r="AS61" s="13">
        <v>6.7189097844482598E-2</v>
      </c>
      <c r="AT61" s="13">
        <v>0</v>
      </c>
      <c r="AU61" s="13">
        <v>0</v>
      </c>
      <c r="AV61" s="13">
        <v>0</v>
      </c>
      <c r="AW61" s="13">
        <v>0</v>
      </c>
      <c r="AX61" s="13">
        <v>136.40550917467201</v>
      </c>
      <c r="AY61" s="13">
        <v>0</v>
      </c>
      <c r="AZ61" s="13">
        <v>0</v>
      </c>
      <c r="BA61" s="13">
        <v>21.613813716031299</v>
      </c>
      <c r="BB61" s="13">
        <v>0.43849496812126898</v>
      </c>
      <c r="BC61" s="13">
        <v>1.6104198488015</v>
      </c>
      <c r="BD61" s="13">
        <v>0.26854445276112199</v>
      </c>
    </row>
    <row r="62" spans="1:56" ht="11.25" customHeight="1" x14ac:dyDescent="0.3">
      <c r="A62" s="128"/>
      <c r="B62" s="128" t="s">
        <v>92</v>
      </c>
      <c r="C62" s="128" t="s">
        <v>45</v>
      </c>
      <c r="D62" s="17" t="s">
        <v>25</v>
      </c>
      <c r="E62" s="17" t="s">
        <v>25</v>
      </c>
      <c r="F62" s="17" t="s">
        <v>25</v>
      </c>
      <c r="G62" s="18" t="s">
        <v>84</v>
      </c>
      <c r="H62" s="18" t="s">
        <v>78</v>
      </c>
      <c r="I62" s="18">
        <f>'MERCADO TUSD'!$U$59</f>
        <v>0</v>
      </c>
      <c r="J62" s="15"/>
      <c r="L62" s="13">
        <f>('TUSD BE'!$L$62+'TUSD BF'!$L$62+'TUSD CVA'!$L$62)*(1 - CUSTOS!$M$38)</f>
        <v>6.2432837401779935</v>
      </c>
      <c r="M62" s="13">
        <f>('TUSD BE'!$M$62+'TUSD BF'!$M$62+'TUSD CVA'!$M$62)*(1 - CUSTOS!$M$38)</f>
        <v>0.90125486317899162</v>
      </c>
      <c r="N62" s="13">
        <f ca="1">('TUSD BE'!$N$62+'TUSD BF'!$N$62+'TUSD CVA'!$N$62)*(1 - CUSTOS!$M$38)</f>
        <v>4.362045129832369</v>
      </c>
      <c r="O62" s="13">
        <f>('TUSD BE'!$O$62+'TUSD BF'!$O$62+'TUSD CVA'!$O$62)*(1 - CUSTOS!$M$38)</f>
        <v>0</v>
      </c>
      <c r="P62" s="13">
        <f>('TUSD BE'!$P$62+'TUSD BF'!$P$62+'TUSD CVA'!$P$62)*(1 - CUSTOS!$M$38)</f>
        <v>0</v>
      </c>
      <c r="Q62" s="13">
        <f>('TUSD BE'!$Q$62+'TUSD BF'!$Q$62+'TUSD CVA'!$Q$62)*(1 - CUSTOS!$M$38)</f>
        <v>101.66546447036606</v>
      </c>
      <c r="R62" s="13">
        <f>('TUSD BE'!$R$62+'TUSD BF'!$R$62+'TUSD CVA'!$R$62)*(1 - CUSTOS!$M$38)</f>
        <v>17.410658989082297</v>
      </c>
      <c r="S62" s="13">
        <f>('TUSD BE'!$S$62+'TUSD BF'!$S$62+'TUSD CVA'!$S$62)*(1 - CUSTOS!$M$38)</f>
        <v>0</v>
      </c>
      <c r="T62" s="13">
        <f>('TUSD BE'!$U$62+'TUSD BF'!$U$62+'TUSD CVA'!$U$62)*(1 - CUSTOS!$M$38)</f>
        <v>26.820501177822088</v>
      </c>
      <c r="U62" s="13">
        <f>('TUSD BE'!$V$62+'TUSD BF'!$V$62+'TUSD CVA'!$V$62)*(1 - CUSTOS!$M$38)</f>
        <v>5.4254049558210093</v>
      </c>
      <c r="V62" s="13">
        <f>('TUSD BE'!$W$62+'TUSD BF'!$W$62+'TUSD CVA'!$W$62)*(1 - CUSTOS!$M$38)</f>
        <v>0.77995332672340656</v>
      </c>
      <c r="W62" s="13">
        <f>('TUSD BE'!$X$62+'TUSD BF'!$X$62+'TUSD CVA'!$X$62)*(1 - CUSTOS!$M$38)</f>
        <v>0</v>
      </c>
      <c r="X62" s="13">
        <f>('TUSD BE'!$Y$62+'TUSD BF'!$Y$62+'TUSD CVA'!$Y$62)*(1 - CUSTOS!$M$38)</f>
        <v>0</v>
      </c>
      <c r="Y62" s="13">
        <f>('TUSD BE'!$Z$62+'TUSD BF'!$Z$62+'TUSD CVA'!$Z$62)*(1 - CUSTOS!$M$38)</f>
        <v>0</v>
      </c>
      <c r="Z62" s="13">
        <f>('TUSD BE'!$AA$62+'TUSD BF'!$AA$62+'TUSD CVA'!$AA$62)*(1 - CUSTOS!$M$38)</f>
        <v>0</v>
      </c>
      <c r="AA62" s="13">
        <f>('TUSD BE'!$AC$62+'TUSD BF'!$AC$62+'TUSD CVA'!$AC$62)*(1 - CUSTOS!$M$38)</f>
        <v>174.6828102022198</v>
      </c>
      <c r="AB62" s="13">
        <f ca="1">('TUSD BE'!$AE$62+'TUSD BF'!$AE$62+'TUSD CVA'!$AE$62)*(1 - CUSTOS!$M$38)</f>
        <v>0</v>
      </c>
      <c r="AC62" s="13">
        <f ca="1">('TUSD BE'!$AF$62+'TUSD BF'!$AF$62+'TUSD CVA'!$AF$62)*(1 - CUSTOS!$M$38)</f>
        <v>0</v>
      </c>
      <c r="AD62" s="13">
        <f>('TUSD BE'!$AH$62+'TUSD BF'!$AH$62+'TUSD CVA'!$AH$62)*(1 - CUSTOS!$M$38)</f>
        <v>28.647618420938826</v>
      </c>
      <c r="AE62" s="13">
        <f>('TUSD BE'!$AI$62+'TUSD BF'!$AI$62+'TUSD CVA'!$AI$62)*(1 - CUSTOS!$M$38)</f>
        <v>0.49649425155932558</v>
      </c>
      <c r="AF62" s="13">
        <f ca="1">('TUSD BE'!$AJ$62+'TUSD BF'!$AJ$62+'TUSD CVA'!$AJ$62)*(1 - CUSTOS!$M$38)</f>
        <v>1.9776629435073514</v>
      </c>
      <c r="AG62" s="13">
        <f ca="1">('TUSD BE'!$AK$62+'TUSD BF'!$AK$62+'TUSD CVA'!$AK$62)*(1 - CUSTOS!$M$38)</f>
        <v>0.2741818449636535</v>
      </c>
      <c r="AI62" s="13">
        <v>5.9261627110557296</v>
      </c>
      <c r="AJ62" s="13">
        <v>0.74073335541970697</v>
      </c>
      <c r="AK62" s="13">
        <v>3.1670515898994398</v>
      </c>
      <c r="AL62" s="13">
        <v>0</v>
      </c>
      <c r="AM62" s="13">
        <v>0</v>
      </c>
      <c r="AN62" s="13">
        <v>50.690696408196601</v>
      </c>
      <c r="AO62" s="13">
        <v>8.8676016507089503</v>
      </c>
      <c r="AP62" s="13">
        <v>0</v>
      </c>
      <c r="AQ62" s="13">
        <v>20.822272735063599</v>
      </c>
      <c r="AR62" s="13">
        <v>6.0055373016249396</v>
      </c>
      <c r="AS62" s="13">
        <v>7.0388578694219897E-2</v>
      </c>
      <c r="AT62" s="13">
        <v>0</v>
      </c>
      <c r="AU62" s="13">
        <v>0</v>
      </c>
      <c r="AV62" s="13">
        <v>0</v>
      </c>
      <c r="AW62" s="13">
        <v>0</v>
      </c>
      <c r="AX62" s="13">
        <v>142.90100961156099</v>
      </c>
      <c r="AY62" s="13">
        <v>0</v>
      </c>
      <c r="AZ62" s="13">
        <v>0</v>
      </c>
      <c r="BA62" s="13">
        <v>22.6430429406042</v>
      </c>
      <c r="BB62" s="13">
        <v>0.45937568088894798</v>
      </c>
      <c r="BC62" s="13">
        <v>1.6871065082682399</v>
      </c>
      <c r="BD62" s="13">
        <v>0.28133228384498499</v>
      </c>
    </row>
    <row r="63" spans="1:56" ht="11.25" customHeight="1" x14ac:dyDescent="0.3">
      <c r="A63" s="128"/>
      <c r="B63" s="128"/>
      <c r="C63" s="128"/>
      <c r="D63" s="17" t="s">
        <v>93</v>
      </c>
      <c r="E63" s="17" t="s">
        <v>25</v>
      </c>
      <c r="F63" s="17" t="s">
        <v>25</v>
      </c>
      <c r="G63" s="18" t="s">
        <v>84</v>
      </c>
      <c r="H63" s="18" t="s">
        <v>78</v>
      </c>
      <c r="I63" s="18">
        <f>'MERCADO TUSD'!$U$60</f>
        <v>0</v>
      </c>
      <c r="J63" s="15"/>
      <c r="L63" s="13">
        <f>('TUSD BE'!$L$63+'TUSD BF'!$L$63+'TUSD CVA'!$L$63)*(1 - CUSTOS!$M$39)</f>
        <v>6.2432837401779935</v>
      </c>
      <c r="M63" s="13">
        <f>('TUSD BE'!$M$63+'TUSD BF'!$M$63+'TUSD CVA'!$M$63)*(1 - CUSTOS!$M$39)</f>
        <v>0.90125486317899162</v>
      </c>
      <c r="N63" s="13">
        <f ca="1">('TUSD BE'!$N$63+'TUSD BF'!$N$63+'TUSD CVA'!$N$63)*(1 - CUSTOS!$M$39)</f>
        <v>4.362045129832369</v>
      </c>
      <c r="O63" s="13">
        <f>('TUSD BE'!$O$63+'TUSD BF'!$O$63+'TUSD CVA'!$O$63)*(1 - CUSTOS!$M$39)</f>
        <v>0</v>
      </c>
      <c r="P63" s="13">
        <f>('TUSD BE'!$P$63+'TUSD BF'!$P$63+'TUSD CVA'!$P$63)*(1 - CUSTOS!$M$39)</f>
        <v>0</v>
      </c>
      <c r="Q63" s="13">
        <f>('TUSD BE'!$Q$63+'TUSD BF'!$Q$63+'TUSD CVA'!$Q$63)*(1 - CUSTOS!$M$39)</f>
        <v>101.66546447036606</v>
      </c>
      <c r="R63" s="13">
        <f>('TUSD BE'!$R$63+'TUSD BF'!$R$63+'TUSD CVA'!$R$63)*(1 - CUSTOS!$M$39)</f>
        <v>17.410658989082297</v>
      </c>
      <c r="S63" s="13">
        <f>('TUSD BE'!$S$63+'TUSD BF'!$S$63+'TUSD CVA'!$S$63)*(1 - CUSTOS!$M$39)</f>
        <v>0</v>
      </c>
      <c r="T63" s="13">
        <f>('TUSD BE'!$U$63+'TUSD BF'!$U$63+'TUSD CVA'!$U$63)*(1 - CUSTOS!$M$39)</f>
        <v>26.820501177822088</v>
      </c>
      <c r="U63" s="13">
        <f>('TUSD BE'!$V$63+'TUSD BF'!$V$63+'TUSD CVA'!$V$63)*(1 - CUSTOS!$M$39)</f>
        <v>5.4254049558210093</v>
      </c>
      <c r="V63" s="13">
        <f>('TUSD BE'!$W$63+'TUSD BF'!$W$63+'TUSD CVA'!$W$63)*(1 - CUSTOS!$M$39)</f>
        <v>0.77995332672340656</v>
      </c>
      <c r="W63" s="13">
        <f>('TUSD BE'!$X$63+'TUSD BF'!$X$63+'TUSD CVA'!$X$63)*(1 - CUSTOS!$M$39)</f>
        <v>0</v>
      </c>
      <c r="X63" s="13">
        <f>('TUSD BE'!$Y$63+'TUSD BF'!$Y$63+'TUSD CVA'!$Y$63)*(1 - CUSTOS!$M$39)</f>
        <v>0</v>
      </c>
      <c r="Y63" s="13">
        <f>('TUSD BE'!$Z$63+'TUSD BF'!$Z$63+'TUSD CVA'!$Z$63)*(1 - CUSTOS!$M$39)</f>
        <v>0</v>
      </c>
      <c r="Z63" s="13">
        <f>('TUSD BE'!$AA$63+'TUSD BF'!$AA$63+'TUSD CVA'!$AA$63)*(1 - CUSTOS!$M$39)</f>
        <v>0</v>
      </c>
      <c r="AA63" s="13">
        <f>('TUSD BE'!$AC$63+'TUSD BF'!$AC$63+'TUSD CVA'!$AC$63)*(1 - CUSTOS!$M$39)</f>
        <v>174.6828102022198</v>
      </c>
      <c r="AB63" s="13">
        <f ca="1">('TUSD BE'!$AE$63+'TUSD BF'!$AE$63+'TUSD CVA'!$AE$63)*(1 - CUSTOS!$M$39)</f>
        <v>0</v>
      </c>
      <c r="AC63" s="13">
        <f ca="1">('TUSD BE'!$AF$63+'TUSD BF'!$AF$63+'TUSD CVA'!$AF$63)*(1 - CUSTOS!$M$39)</f>
        <v>0</v>
      </c>
      <c r="AD63" s="13">
        <f>('TUSD BE'!$AH$63+'TUSD BF'!$AH$63+'TUSD CVA'!$AH$63)*(1 - CUSTOS!$M$39)</f>
        <v>28.647618420938826</v>
      </c>
      <c r="AE63" s="13">
        <f>('TUSD BE'!$AI$63+'TUSD BF'!$AI$63+'TUSD CVA'!$AI$63)*(1 - CUSTOS!$M$39)</f>
        <v>0.49649425155932558</v>
      </c>
      <c r="AF63" s="13">
        <f ca="1">('TUSD BE'!$AJ$63+'TUSD BF'!$AJ$63+'TUSD CVA'!$AJ$63)*(1 - CUSTOS!$M$39)</f>
        <v>1.9776629435073514</v>
      </c>
      <c r="AG63" s="13">
        <f ca="1">('TUSD BE'!$AK$63+'TUSD BF'!$AK$63+'TUSD CVA'!$AK$63)*(1 - CUSTOS!$M$39)</f>
        <v>0.2741818449636535</v>
      </c>
      <c r="AI63" s="13">
        <v>5.9261627110557296</v>
      </c>
      <c r="AJ63" s="13">
        <v>0.74073335541970697</v>
      </c>
      <c r="AK63" s="13">
        <v>3.1670515898994398</v>
      </c>
      <c r="AL63" s="13">
        <v>0</v>
      </c>
      <c r="AM63" s="13">
        <v>0</v>
      </c>
      <c r="AN63" s="13">
        <v>50.690696408196601</v>
      </c>
      <c r="AO63" s="13">
        <v>8.8676016507089503</v>
      </c>
      <c r="AP63" s="13">
        <v>0</v>
      </c>
      <c r="AQ63" s="13">
        <v>20.822272735063599</v>
      </c>
      <c r="AR63" s="13">
        <v>6.0055373016249396</v>
      </c>
      <c r="AS63" s="13">
        <v>7.0388578694219897E-2</v>
      </c>
      <c r="AT63" s="13">
        <v>0</v>
      </c>
      <c r="AU63" s="13">
        <v>0</v>
      </c>
      <c r="AV63" s="13">
        <v>0</v>
      </c>
      <c r="AW63" s="13">
        <v>0</v>
      </c>
      <c r="AX63" s="13">
        <v>142.90100961156099</v>
      </c>
      <c r="AY63" s="13">
        <v>0</v>
      </c>
      <c r="AZ63" s="13">
        <v>0</v>
      </c>
      <c r="BA63" s="13">
        <v>22.6430429406042</v>
      </c>
      <c r="BB63" s="13">
        <v>0.45937568088894798</v>
      </c>
      <c r="BC63" s="13">
        <v>1.6871065082682399</v>
      </c>
      <c r="BD63" s="13">
        <v>0.28133228384498499</v>
      </c>
    </row>
    <row r="64" spans="1:56" ht="11.25" customHeight="1" x14ac:dyDescent="0.3">
      <c r="A64" s="128"/>
      <c r="B64" s="128"/>
      <c r="C64" s="128"/>
      <c r="D64" s="17" t="s">
        <v>94</v>
      </c>
      <c r="E64" s="17" t="s">
        <v>25</v>
      </c>
      <c r="F64" s="17" t="s">
        <v>25</v>
      </c>
      <c r="G64" s="18" t="s">
        <v>84</v>
      </c>
      <c r="H64" s="18" t="s">
        <v>78</v>
      </c>
      <c r="I64" s="18">
        <f>'MERCADO TUSD'!$U$61</f>
        <v>0</v>
      </c>
      <c r="J64" s="15"/>
      <c r="L64" s="13">
        <f>('TUSD BE'!$L$64+'TUSD BF'!$L$64+'TUSD CVA'!$L$64)*(1 - CUSTOS!$M$40)</f>
        <v>6.110447915918888</v>
      </c>
      <c r="M64" s="13">
        <f>('TUSD BE'!$M$64+'TUSD BF'!$M$64+'TUSD CVA'!$M$64)*(1 - CUSTOS!$M$40)</f>
        <v>0.88207922779220471</v>
      </c>
      <c r="N64" s="13">
        <f ca="1">('TUSD BE'!$N$64+'TUSD BF'!$N$64+'TUSD CVA'!$N$64)*(1 - CUSTOS!$M$40)</f>
        <v>4.2692356589848721</v>
      </c>
      <c r="O64" s="13">
        <f>('TUSD BE'!$O$64+'TUSD BF'!$O$64+'TUSD CVA'!$O$64)*(1 - CUSTOS!$M$40)</f>
        <v>0</v>
      </c>
      <c r="P64" s="13">
        <f>('TUSD BE'!$P$64+'TUSD BF'!$P$64+'TUSD CVA'!$P$64)*(1 - CUSTOS!$M$40)</f>
        <v>0</v>
      </c>
      <c r="Q64" s="13">
        <f>('TUSD BE'!$Q$64+'TUSD BF'!$Q$64+'TUSD CVA'!$Q$64)*(1 - CUSTOS!$M$40)</f>
        <v>99.502369481634872</v>
      </c>
      <c r="R64" s="13">
        <f>('TUSD BE'!$R$64+'TUSD BF'!$R$64+'TUSD CVA'!$R$64)*(1 - CUSTOS!$M$40)</f>
        <v>17.040219436123099</v>
      </c>
      <c r="S64" s="13">
        <f>('TUSD BE'!$S$64+'TUSD BF'!$S$64+'TUSD CVA'!$S$64)*(1 - CUSTOS!$M$40)</f>
        <v>0</v>
      </c>
      <c r="T64" s="13">
        <f>('TUSD BE'!$U$64+'TUSD BF'!$U$64+'TUSD CVA'!$U$64)*(1 - CUSTOS!$M$40)</f>
        <v>26.249852216591837</v>
      </c>
      <c r="U64" s="13">
        <f>('TUSD BE'!$V$64+'TUSD BF'!$V$64+'TUSD CVA'!$V$64)*(1 - CUSTOS!$M$40)</f>
        <v>5.3099708078248185</v>
      </c>
      <c r="V64" s="13">
        <f>('TUSD BE'!$W$64+'TUSD BF'!$W$64+'TUSD CVA'!$W$64)*(1 - CUSTOS!$M$40)</f>
        <v>0.76335857509099381</v>
      </c>
      <c r="W64" s="13">
        <f>('TUSD BE'!$X$64+'TUSD BF'!$X$64+'TUSD CVA'!$X$64)*(1 - CUSTOS!$M$40)</f>
        <v>0</v>
      </c>
      <c r="X64" s="13">
        <f>('TUSD BE'!$Y$64+'TUSD BF'!$Y$64+'TUSD CVA'!$Y$64)*(1 - CUSTOS!$M$40)</f>
        <v>0</v>
      </c>
      <c r="Y64" s="13">
        <f>('TUSD BE'!$Z$64+'TUSD BF'!$Z$64+'TUSD CVA'!$Z$64)*(1 - CUSTOS!$M$40)</f>
        <v>0</v>
      </c>
      <c r="Z64" s="13">
        <f>('TUSD BE'!$AA$64+'TUSD BF'!$AA$64+'TUSD CVA'!$AA$64)*(1 - CUSTOS!$M$40)</f>
        <v>0</v>
      </c>
      <c r="AA64" s="13">
        <f>('TUSD BE'!$AC$64+'TUSD BF'!$AC$64+'TUSD CVA'!$AC$64)*(1 - CUSTOS!$M$40)</f>
        <v>170.96615466600238</v>
      </c>
      <c r="AB64" s="13">
        <f ca="1">('TUSD BE'!$AE$64+'TUSD BF'!$AE$64+'TUSD CVA'!$AE$64)*(1 - CUSTOS!$M$40)</f>
        <v>0</v>
      </c>
      <c r="AC64" s="13">
        <f ca="1">('TUSD BE'!$AF$64+'TUSD BF'!$AF$64+'TUSD CVA'!$AF$64)*(1 - CUSTOS!$M$40)</f>
        <v>0</v>
      </c>
      <c r="AD64" s="13">
        <f>('TUSD BE'!$AH$64+'TUSD BF'!$AH$64+'TUSD CVA'!$AH$64)*(1 - CUSTOS!$M$40)</f>
        <v>28.038094624748641</v>
      </c>
      <c r="AE64" s="13">
        <f>('TUSD BE'!$AI$64+'TUSD BF'!$AI$64+'TUSD CVA'!$AI$64)*(1 - CUSTOS!$M$40)</f>
        <v>0.48593054407934</v>
      </c>
      <c r="AF64" s="13">
        <f ca="1">('TUSD BE'!$AJ$64+'TUSD BF'!$AJ$64+'TUSD CVA'!$AJ$64)*(1 - CUSTOS!$M$40)</f>
        <v>1.93558500853911</v>
      </c>
      <c r="AG64" s="13">
        <f ca="1">('TUSD BE'!$AK$64+'TUSD BF'!$AK$64+'TUSD CVA'!$AK$64)*(1 - CUSTOS!$M$40)</f>
        <v>0.26834818868783111</v>
      </c>
      <c r="AI64" s="13">
        <v>5.6567916787350203</v>
      </c>
      <c r="AJ64" s="13">
        <v>0.70706365744608402</v>
      </c>
      <c r="AK64" s="13">
        <v>3.0230946994494698</v>
      </c>
      <c r="AL64" s="13">
        <v>0</v>
      </c>
      <c r="AM64" s="13">
        <v>0</v>
      </c>
      <c r="AN64" s="13">
        <v>48.386573844187602</v>
      </c>
      <c r="AO64" s="13">
        <v>8.4645288484039902</v>
      </c>
      <c r="AP64" s="13">
        <v>0</v>
      </c>
      <c r="AQ64" s="13">
        <v>19.875805792560701</v>
      </c>
      <c r="AR64" s="13">
        <v>5.7325583333692602</v>
      </c>
      <c r="AS64" s="13">
        <v>6.7189097844482598E-2</v>
      </c>
      <c r="AT64" s="13">
        <v>0</v>
      </c>
      <c r="AU64" s="13">
        <v>0</v>
      </c>
      <c r="AV64" s="13">
        <v>0</v>
      </c>
      <c r="AW64" s="13">
        <v>0</v>
      </c>
      <c r="AX64" s="13">
        <v>136.40550917467201</v>
      </c>
      <c r="AY64" s="13">
        <v>0</v>
      </c>
      <c r="AZ64" s="13">
        <v>0</v>
      </c>
      <c r="BA64" s="13">
        <v>21.613813716031299</v>
      </c>
      <c r="BB64" s="13">
        <v>0.43849496812126898</v>
      </c>
      <c r="BC64" s="13">
        <v>1.6104198488015</v>
      </c>
      <c r="BD64" s="13">
        <v>0.26854445276112199</v>
      </c>
    </row>
    <row r="65" spans="1:56" ht="11.25" customHeight="1" x14ac:dyDescent="0.3">
      <c r="A65" s="128" t="s">
        <v>37</v>
      </c>
      <c r="B65" s="128" t="s">
        <v>33</v>
      </c>
      <c r="C65" s="128" t="s">
        <v>25</v>
      </c>
      <c r="D65" s="128" t="s">
        <v>25</v>
      </c>
      <c r="E65" s="128" t="s">
        <v>25</v>
      </c>
      <c r="F65" s="128" t="s">
        <v>25</v>
      </c>
      <c r="G65" s="18" t="s">
        <v>79</v>
      </c>
      <c r="H65" s="18" t="s">
        <v>78</v>
      </c>
      <c r="I65" s="18">
        <f>'MERCADO TUSD'!$U$62</f>
        <v>22.301000000000002</v>
      </c>
      <c r="J65" s="15"/>
      <c r="L65" s="13">
        <f>('TUSD BE'!$L$65+'TUSD BF'!$L$65+'TUSD CVA'!$L$65)*1</f>
        <v>6.6417912129553125</v>
      </c>
      <c r="M65" s="13">
        <f>('TUSD BE'!$M$65+'TUSD BF'!$M$65+'TUSD CVA'!$M$65)*1</f>
        <v>0.95878176933935289</v>
      </c>
      <c r="N65" s="13">
        <f ca="1">('TUSD BE'!$N$65+'TUSD BF'!$N$65+'TUSD CVA'!$N$65)*1</f>
        <v>10.050893767443768</v>
      </c>
      <c r="O65" s="13">
        <f>('TUSD BE'!$O$65+'TUSD BF'!$O$65+'TUSD CVA'!$O$65)*1</f>
        <v>0</v>
      </c>
      <c r="P65" s="13">
        <f>('TUSD BE'!$P$65+'TUSD BF'!$P$65+'TUSD CVA'!$P$65)*1</f>
        <v>0</v>
      </c>
      <c r="Q65" s="13">
        <f>('TUSD BE'!$Q$65+'TUSD BF'!$Q$65+'TUSD CVA'!$Q$65)*1</f>
        <v>108.15474943655964</v>
      </c>
      <c r="R65" s="13">
        <f>('TUSD BE'!$R$65+'TUSD BF'!$R$65+'TUSD CVA'!$R$65)*1</f>
        <v>18.52197764795989</v>
      </c>
      <c r="S65" s="13">
        <f>('TUSD BE'!$S$65+'TUSD BF'!$S$65+'TUSD CVA'!$S$65)*1</f>
        <v>0</v>
      </c>
      <c r="T65" s="13">
        <f>('TUSD BE'!$U$65+'TUSD BF'!$U$65+'TUSD CVA'!$U$65)*1</f>
        <v>94.157192600547518</v>
      </c>
      <c r="U65" s="13">
        <f>('TUSD BE'!$V$65+'TUSD BF'!$V$65+'TUSD CVA'!$V$65)*1</f>
        <v>19.046626673880802</v>
      </c>
      <c r="V65" s="13">
        <f>('TUSD BE'!$W$65+'TUSD BF'!$W$65+'TUSD CVA'!$W$65)*1</f>
        <v>2.737949769700101</v>
      </c>
      <c r="W65" s="13">
        <f>('TUSD BE'!$X$65+'TUSD BF'!$X$65+'TUSD CVA'!$X$65)*1</f>
        <v>0</v>
      </c>
      <c r="X65" s="13">
        <f>('TUSD BE'!$Y$65+'TUSD BF'!$Y$65+'TUSD CVA'!$Y$65)*1</f>
        <v>0</v>
      </c>
      <c r="Y65" s="13">
        <f>('TUSD BE'!$Z$65+'TUSD BF'!$Z$65+'TUSD CVA'!$Z$65)*1</f>
        <v>0</v>
      </c>
      <c r="Z65" s="13">
        <f>('TUSD BE'!$AA$65+'TUSD BF'!$AA$65+'TUSD CVA'!$AA$65)*1</f>
        <v>0</v>
      </c>
      <c r="AA65" s="13">
        <f>('TUSD BE'!$AC$65+'TUSD BF'!$AC$65+'TUSD CVA'!$AC$65)*1</f>
        <v>613.24839257944564</v>
      </c>
      <c r="AB65" s="13">
        <f ca="1">('TUSD BE'!$AE$65+'TUSD BF'!$AE$65+'TUSD CVA'!$AE$65)*1</f>
        <v>0</v>
      </c>
      <c r="AC65" s="13">
        <f ca="1">('TUSD BE'!$AF$65+'TUSD BF'!$AF$65+'TUSD CVA'!$AF$65)*1</f>
        <v>0</v>
      </c>
      <c r="AD65" s="13">
        <f>('TUSD BE'!$AH$65+'TUSD BF'!$AH$65+'TUSD CVA'!$AH$65)*1</f>
        <v>30.476189809509393</v>
      </c>
      <c r="AE65" s="13">
        <f>('TUSD BE'!$AI$65+'TUSD BF'!$AI$65+'TUSD CVA'!$AI$65)*1</f>
        <v>0.52818537399928256</v>
      </c>
      <c r="AF65" s="13">
        <f ca="1">('TUSD BE'!$AJ$65+'TUSD BF'!$AJ$65+'TUSD CVA'!$AJ$65)*1</f>
        <v>2.1038967484120761</v>
      </c>
      <c r="AG65" s="13">
        <f ca="1">('TUSD BE'!$AK$65+'TUSD BF'!$AK$65+'TUSD CVA'!$AK$65)*1</f>
        <v>0.29168281379112077</v>
      </c>
      <c r="AI65" s="13">
        <v>6.7342758080178804</v>
      </c>
      <c r="AJ65" s="13">
        <v>0.84174244934057596</v>
      </c>
      <c r="AK65" s="13">
        <v>7.7957724608422296</v>
      </c>
      <c r="AL65" s="13">
        <v>0</v>
      </c>
      <c r="AM65" s="13">
        <v>0</v>
      </c>
      <c r="AN65" s="13">
        <v>57.603064100223399</v>
      </c>
      <c r="AO65" s="13">
        <v>10.076820057623801</v>
      </c>
      <c r="AP65" s="13">
        <v>0</v>
      </c>
      <c r="AQ65" s="13">
        <v>78.083617293519694</v>
      </c>
      <c r="AR65" s="13">
        <v>22.520755722815299</v>
      </c>
      <c r="AS65" s="13">
        <v>0.26393940836655699</v>
      </c>
      <c r="AT65" s="13">
        <v>0</v>
      </c>
      <c r="AU65" s="13">
        <v>0</v>
      </c>
      <c r="AV65" s="13">
        <v>0</v>
      </c>
      <c r="AW65" s="13">
        <v>0</v>
      </c>
      <c r="AX65" s="13">
        <v>535.87898624247305</v>
      </c>
      <c r="AY65" s="13">
        <v>0</v>
      </c>
      <c r="AZ65" s="13">
        <v>0</v>
      </c>
      <c r="BA65" s="13">
        <v>25.730730614322901</v>
      </c>
      <c r="BB65" s="13">
        <v>0.52201781919198698</v>
      </c>
      <c r="BC65" s="13">
        <v>1.9171664866684499</v>
      </c>
      <c r="BD65" s="13">
        <v>0.31969577709657399</v>
      </c>
    </row>
    <row r="66" spans="1:56" ht="11.25" customHeight="1" x14ac:dyDescent="0.3">
      <c r="A66" s="128"/>
      <c r="B66" s="128"/>
      <c r="C66" s="128"/>
      <c r="D66" s="128"/>
      <c r="E66" s="128"/>
      <c r="F66" s="128"/>
      <c r="G66" s="18" t="s">
        <v>90</v>
      </c>
      <c r="H66" s="18" t="s">
        <v>78</v>
      </c>
      <c r="I66" s="18">
        <f>'MERCADO TUSD'!$U$63</f>
        <v>24.489000000000001</v>
      </c>
      <c r="J66" s="15"/>
      <c r="L66" s="13">
        <f>('TUSD BE'!$L$66+'TUSD BF'!$L$66+'TUSD CVA'!$L$66)*1</f>
        <v>6.6417912129553125</v>
      </c>
      <c r="M66" s="13">
        <f>('TUSD BE'!$M$66+'TUSD BF'!$M$66+'TUSD CVA'!$M$66)*1</f>
        <v>0.95878176933935289</v>
      </c>
      <c r="N66" s="13">
        <f ca="1">('TUSD BE'!$N$66+'TUSD BF'!$N$66+'TUSD CVA'!$N$66)*1</f>
        <v>6.9457821873056309</v>
      </c>
      <c r="O66" s="13">
        <f>('TUSD BE'!$O$66+'TUSD BF'!$O$66+'TUSD CVA'!$O$66)*1</f>
        <v>0</v>
      </c>
      <c r="P66" s="13">
        <f>('TUSD BE'!$P$66+'TUSD BF'!$P$66+'TUSD CVA'!$P$66)*1</f>
        <v>0</v>
      </c>
      <c r="Q66" s="13">
        <f>('TUSD BE'!$Q$66+'TUSD BF'!$Q$66+'TUSD CVA'!$Q$66)*1</f>
        <v>108.15474943655964</v>
      </c>
      <c r="R66" s="13">
        <f>('TUSD BE'!$R$66+'TUSD BF'!$R$66+'TUSD CVA'!$R$66)*1</f>
        <v>18.52197764795989</v>
      </c>
      <c r="S66" s="13">
        <f>('TUSD BE'!$S$66+'TUSD BF'!$S$66+'TUSD CVA'!$S$66)*1</f>
        <v>0</v>
      </c>
      <c r="T66" s="13">
        <f>('TUSD BE'!$U$66+'TUSD BF'!$U$66+'TUSD CVA'!$U$66)*1</f>
        <v>56.494338359839524</v>
      </c>
      <c r="U66" s="13">
        <f>('TUSD BE'!$V$66+'TUSD BF'!$V$66+'TUSD CVA'!$V$66)*1</f>
        <v>11.427929531383517</v>
      </c>
      <c r="V66" s="13">
        <f>('TUSD BE'!$W$66+'TUSD BF'!$W$66+'TUSD CVA'!$W$66)*1</f>
        <v>1.6426879730876036</v>
      </c>
      <c r="W66" s="13">
        <f>('TUSD BE'!$X$66+'TUSD BF'!$X$66+'TUSD CVA'!$X$66)*1</f>
        <v>0</v>
      </c>
      <c r="X66" s="13">
        <f>('TUSD BE'!$Y$66+'TUSD BF'!$Y$66+'TUSD CVA'!$Y$66)*1</f>
        <v>0</v>
      </c>
      <c r="Y66" s="13">
        <f>('TUSD BE'!$Z$66+'TUSD BF'!$Z$66+'TUSD CVA'!$Z$66)*1</f>
        <v>0</v>
      </c>
      <c r="Z66" s="13">
        <f>('TUSD BE'!$AA$66+'TUSD BF'!$AA$66+'TUSD CVA'!$AA$66)*1</f>
        <v>0</v>
      </c>
      <c r="AA66" s="13">
        <f>('TUSD BE'!$AC$66+'TUSD BF'!$AC$66+'TUSD CVA'!$AC$66)*1</f>
        <v>367.94901143150236</v>
      </c>
      <c r="AB66" s="13">
        <f ca="1">('TUSD BE'!$AE$66+'TUSD BF'!$AE$66+'TUSD CVA'!$AE$66)*1</f>
        <v>0</v>
      </c>
      <c r="AC66" s="13">
        <f ca="1">('TUSD BE'!$AF$66+'TUSD BF'!$AF$66+'TUSD CVA'!$AF$66)*1</f>
        <v>0</v>
      </c>
      <c r="AD66" s="13">
        <f>('TUSD BE'!$AH$66+'TUSD BF'!$AH$66+'TUSD CVA'!$AH$66)*1</f>
        <v>30.476189809509393</v>
      </c>
      <c r="AE66" s="13">
        <f>('TUSD BE'!$AI$66+'TUSD BF'!$AI$66+'TUSD CVA'!$AI$66)*1</f>
        <v>0.52818537399928256</v>
      </c>
      <c r="AF66" s="13">
        <f ca="1">('TUSD BE'!$AJ$66+'TUSD BF'!$AJ$66+'TUSD CVA'!$AJ$66)*1</f>
        <v>2.1038967484120761</v>
      </c>
      <c r="AG66" s="13">
        <f ca="1">('TUSD BE'!$AK$66+'TUSD BF'!$AK$66+'TUSD CVA'!$AK$66)*1</f>
        <v>0.29168281379112077</v>
      </c>
      <c r="AI66" s="13">
        <v>6.7342758080178804</v>
      </c>
      <c r="AJ66" s="13">
        <v>0.84174244934057596</v>
      </c>
      <c r="AK66" s="13">
        <v>5.3871447364227496</v>
      </c>
      <c r="AL66" s="13">
        <v>0</v>
      </c>
      <c r="AM66" s="13">
        <v>0</v>
      </c>
      <c r="AN66" s="13">
        <v>57.603064100223399</v>
      </c>
      <c r="AO66" s="13">
        <v>10.076820057623801</v>
      </c>
      <c r="AP66" s="13">
        <v>0</v>
      </c>
      <c r="AQ66" s="13">
        <v>46.850189283518098</v>
      </c>
      <c r="AR66" s="13">
        <v>13.512398484019601</v>
      </c>
      <c r="AS66" s="13">
        <v>0.158355750914704</v>
      </c>
      <c r="AT66" s="13">
        <v>0</v>
      </c>
      <c r="AU66" s="13">
        <v>0</v>
      </c>
      <c r="AV66" s="13">
        <v>0</v>
      </c>
      <c r="AW66" s="13">
        <v>0</v>
      </c>
      <c r="AX66" s="13">
        <v>321.52737067189202</v>
      </c>
      <c r="AY66" s="13">
        <v>0</v>
      </c>
      <c r="AZ66" s="13">
        <v>0</v>
      </c>
      <c r="BA66" s="13">
        <v>25.730730614322901</v>
      </c>
      <c r="BB66" s="13">
        <v>0.52201781919198698</v>
      </c>
      <c r="BC66" s="13">
        <v>1.9171664866684499</v>
      </c>
      <c r="BD66" s="13">
        <v>0.31969577709657399</v>
      </c>
    </row>
    <row r="67" spans="1:56" ht="11.25" customHeight="1" x14ac:dyDescent="0.3">
      <c r="A67" s="128"/>
      <c r="B67" s="128"/>
      <c r="C67" s="128"/>
      <c r="D67" s="128"/>
      <c r="E67" s="128"/>
      <c r="F67" s="128"/>
      <c r="G67" s="18" t="s">
        <v>80</v>
      </c>
      <c r="H67" s="18" t="s">
        <v>78</v>
      </c>
      <c r="I67" s="18">
        <f>'MERCADO TUSD'!$U$64</f>
        <v>464.17199999999997</v>
      </c>
      <c r="J67" s="15"/>
      <c r="L67" s="13">
        <f>('TUSD BE'!$L$67+'TUSD BF'!$L$67+'TUSD CVA'!$L$67)*1</f>
        <v>6.6417912129553125</v>
      </c>
      <c r="M67" s="13">
        <f>('TUSD BE'!$M$67+'TUSD BF'!$M$67+'TUSD CVA'!$M$67)*1</f>
        <v>0.95878176933935289</v>
      </c>
      <c r="N67" s="13">
        <f ca="1">('TUSD BE'!$N$67+'TUSD BF'!$N$67+'TUSD CVA'!$N$67)*1</f>
        <v>3.8406731230464004</v>
      </c>
      <c r="O67" s="13">
        <f>('TUSD BE'!$O$67+'TUSD BF'!$O$67+'TUSD CVA'!$O$67)*1</f>
        <v>0</v>
      </c>
      <c r="P67" s="13">
        <f>('TUSD BE'!$P$67+'TUSD BF'!$P$67+'TUSD CVA'!$P$67)*1</f>
        <v>0</v>
      </c>
      <c r="Q67" s="13">
        <f>('TUSD BE'!$Q$67+'TUSD BF'!$Q$67+'TUSD CVA'!$Q$67)*1</f>
        <v>108.15474943655964</v>
      </c>
      <c r="R67" s="13">
        <f>('TUSD BE'!$R$67+'TUSD BF'!$R$67+'TUSD CVA'!$R$67)*1</f>
        <v>18.52197764795989</v>
      </c>
      <c r="S67" s="13">
        <f>('TUSD BE'!$S$67+'TUSD BF'!$S$67+'TUSD CVA'!$S$67)*1</f>
        <v>0</v>
      </c>
      <c r="T67" s="13">
        <f>('TUSD BE'!$U$67+'TUSD BF'!$U$67+'TUSD CVA'!$U$67)*1</f>
        <v>18.831484119131538</v>
      </c>
      <c r="U67" s="13">
        <f>('TUSD BE'!$V$67+'TUSD BF'!$V$67+'TUSD CVA'!$V$67)*1</f>
        <v>3.8093098437945057</v>
      </c>
      <c r="V67" s="13">
        <f>('TUSD BE'!$W$67+'TUSD BF'!$W$67+'TUSD CVA'!$W$67)*1</f>
        <v>0.54763089830624878</v>
      </c>
      <c r="W67" s="13">
        <f>('TUSD BE'!$X$67+'TUSD BF'!$X$67+'TUSD CVA'!$X$67)*1</f>
        <v>0</v>
      </c>
      <c r="X67" s="13">
        <f>('TUSD BE'!$Y$67+'TUSD BF'!$Y$67+'TUSD CVA'!$Y$67)*1</f>
        <v>0</v>
      </c>
      <c r="Y67" s="13">
        <f>('TUSD BE'!$Z$67+'TUSD BF'!$Z$67+'TUSD CVA'!$Z$67)*1</f>
        <v>0</v>
      </c>
      <c r="Z67" s="13">
        <f>('TUSD BE'!$AA$67+'TUSD BF'!$AA$67+'TUSD CVA'!$AA$67)*1</f>
        <v>0</v>
      </c>
      <c r="AA67" s="13">
        <f>('TUSD BE'!$AC$67+'TUSD BF'!$AC$67+'TUSD CVA'!$AC$67)*1</f>
        <v>122.64963028355911</v>
      </c>
      <c r="AB67" s="13">
        <f ca="1">('TUSD BE'!$AE$67+'TUSD BF'!$AE$67+'TUSD CVA'!$AE$67)*1</f>
        <v>0</v>
      </c>
      <c r="AC67" s="13">
        <f ca="1">('TUSD BE'!$AF$67+'TUSD BF'!$AF$67+'TUSD CVA'!$AF$67)*1</f>
        <v>0</v>
      </c>
      <c r="AD67" s="13">
        <f>('TUSD BE'!$AH$67+'TUSD BF'!$AH$67+'TUSD CVA'!$AH$67)*1</f>
        <v>30.476189809509393</v>
      </c>
      <c r="AE67" s="13">
        <f>('TUSD BE'!$AI$67+'TUSD BF'!$AI$67+'TUSD CVA'!$AI$67)*1</f>
        <v>0.52818537399928256</v>
      </c>
      <c r="AF67" s="13">
        <f ca="1">('TUSD BE'!$AJ$67+'TUSD BF'!$AJ$67+'TUSD CVA'!$AJ$67)*1</f>
        <v>2.1038967484120761</v>
      </c>
      <c r="AG67" s="13">
        <f ca="1">('TUSD BE'!$AK$67+'TUSD BF'!$AK$67+'TUSD CVA'!$AK$67)*1</f>
        <v>0.29168281379112077</v>
      </c>
      <c r="AI67" s="13">
        <v>6.7342758080178804</v>
      </c>
      <c r="AJ67" s="13">
        <v>0.84174244934057596</v>
      </c>
      <c r="AK67" s="13">
        <v>2.9785189635645999</v>
      </c>
      <c r="AL67" s="13">
        <v>0</v>
      </c>
      <c r="AM67" s="13">
        <v>0</v>
      </c>
      <c r="AN67" s="13">
        <v>57.603064100223399</v>
      </c>
      <c r="AO67" s="13">
        <v>10.076820057623801</v>
      </c>
      <c r="AP67" s="13">
        <v>0</v>
      </c>
      <c r="AQ67" s="13">
        <v>15.6167612735165</v>
      </c>
      <c r="AR67" s="13">
        <v>4.5041328280065498</v>
      </c>
      <c r="AS67" s="13">
        <v>5.2791828725926401E-2</v>
      </c>
      <c r="AT67" s="13">
        <v>0</v>
      </c>
      <c r="AU67" s="13">
        <v>0</v>
      </c>
      <c r="AV67" s="13">
        <v>0</v>
      </c>
      <c r="AW67" s="13">
        <v>0</v>
      </c>
      <c r="AX67" s="13">
        <v>107.17575510131201</v>
      </c>
      <c r="AY67" s="13">
        <v>0</v>
      </c>
      <c r="AZ67" s="13">
        <v>0</v>
      </c>
      <c r="BA67" s="13">
        <v>25.730730614322901</v>
      </c>
      <c r="BB67" s="13">
        <v>0.52201781919198698</v>
      </c>
      <c r="BC67" s="13">
        <v>1.9171664866684499</v>
      </c>
      <c r="BD67" s="13">
        <v>0.31969577709657399</v>
      </c>
    </row>
    <row r="68" spans="1:56" ht="11.25" customHeight="1" x14ac:dyDescent="0.3">
      <c r="A68" s="128"/>
      <c r="B68" s="17" t="s">
        <v>23</v>
      </c>
      <c r="C68" s="17" t="s">
        <v>25</v>
      </c>
      <c r="D68" s="17" t="s">
        <v>25</v>
      </c>
      <c r="E68" s="17" t="s">
        <v>25</v>
      </c>
      <c r="F68" s="17" t="s">
        <v>25</v>
      </c>
      <c r="G68" s="18" t="s">
        <v>84</v>
      </c>
      <c r="H68" s="18" t="s">
        <v>78</v>
      </c>
      <c r="I68" s="18">
        <f>'MERCADO TUSD'!$U$65</f>
        <v>47738.307000000001</v>
      </c>
      <c r="J68" s="15"/>
      <c r="L68" s="13">
        <f>('TUSD BE'!$L$68+'TUSD BF'!$L$68+'TUSD CVA'!$L$68)*1</f>
        <v>6.6417912129553125</v>
      </c>
      <c r="M68" s="13">
        <f>('TUSD BE'!$M$68+'TUSD BF'!$M$68+'TUSD CVA'!$M$68)*1</f>
        <v>0.95878176933935289</v>
      </c>
      <c r="N68" s="13">
        <f ca="1">('TUSD BE'!$N$68+'TUSD BF'!$N$68+'TUSD CVA'!$N$68)*1</f>
        <v>4.6404735423748606</v>
      </c>
      <c r="O68" s="13">
        <f>('TUSD BE'!$O$68+'TUSD BF'!$O$68+'TUSD CVA'!$O$68)*1</f>
        <v>0</v>
      </c>
      <c r="P68" s="13">
        <f>('TUSD BE'!$P$68+'TUSD BF'!$P$68+'TUSD CVA'!$P$68)*1</f>
        <v>0</v>
      </c>
      <c r="Q68" s="13">
        <f>('TUSD BE'!$Q$68+'TUSD BF'!$Q$68+'TUSD CVA'!$Q$68)*1</f>
        <v>108.15474943655964</v>
      </c>
      <c r="R68" s="13">
        <f>('TUSD BE'!$R$68+'TUSD BF'!$R$68+'TUSD CVA'!$R$68)*1</f>
        <v>18.52197764795989</v>
      </c>
      <c r="S68" s="13">
        <f>('TUSD BE'!$S$68+'TUSD BF'!$S$68+'TUSD CVA'!$S$68)*1</f>
        <v>0</v>
      </c>
      <c r="T68" s="13">
        <f>('TUSD BE'!$U$68+'TUSD BF'!$U$68+'TUSD CVA'!$U$68)*1</f>
        <v>28.532448061512863</v>
      </c>
      <c r="U68" s="13">
        <f>('TUSD BE'!$V$68+'TUSD BF'!$V$68+'TUSD CVA'!$V$68)*1</f>
        <v>5.7717073998095847</v>
      </c>
      <c r="V68" s="13">
        <f>('TUSD BE'!$W$68+'TUSD BF'!$W$68+'TUSD CVA'!$W$68)*1</f>
        <v>0.82973758162064537</v>
      </c>
      <c r="W68" s="13">
        <f>('TUSD BE'!$X$68+'TUSD BF'!$X$68+'TUSD CVA'!$X$68)*1</f>
        <v>0</v>
      </c>
      <c r="X68" s="13">
        <f>('TUSD BE'!$Y$68+'TUSD BF'!$Y$68+'TUSD CVA'!$Y$68)*1</f>
        <v>0</v>
      </c>
      <c r="Y68" s="13">
        <f>('TUSD BE'!$Z$68+'TUSD BF'!$Z$68+'TUSD CVA'!$Z$68)*1</f>
        <v>0</v>
      </c>
      <c r="Z68" s="13">
        <f>('TUSD BE'!$AA$68+'TUSD BF'!$AA$68+'TUSD CVA'!$AA$68)*1</f>
        <v>0</v>
      </c>
      <c r="AA68" s="13">
        <f>('TUSD BE'!$AC$68+'TUSD BF'!$AC$68+'TUSD CVA'!$AC$68)*1</f>
        <v>185.83277681087213</v>
      </c>
      <c r="AB68" s="13">
        <f ca="1">('TUSD BE'!$AE$68+'TUSD BF'!$AE$68+'TUSD CVA'!$AE$68)*1</f>
        <v>0</v>
      </c>
      <c r="AC68" s="13">
        <f ca="1">('TUSD BE'!$AF$68+'TUSD BF'!$AF$68+'TUSD CVA'!$AF$68)*1</f>
        <v>0</v>
      </c>
      <c r="AD68" s="13">
        <f>('TUSD BE'!$AH$68+'TUSD BF'!$AH$68+'TUSD CVA'!$AH$68)*1</f>
        <v>30.476189809509393</v>
      </c>
      <c r="AE68" s="13">
        <f>('TUSD BE'!$AI$68+'TUSD BF'!$AI$68+'TUSD CVA'!$AI$68)*1</f>
        <v>0.52818537399928256</v>
      </c>
      <c r="AF68" s="13">
        <f ca="1">('TUSD BE'!$AJ$68+'TUSD BF'!$AJ$68+'TUSD CVA'!$AJ$68)*1</f>
        <v>2.1038967484120761</v>
      </c>
      <c r="AG68" s="13">
        <f ca="1">('TUSD BE'!$AK$68+'TUSD BF'!$AK$68+'TUSD CVA'!$AK$68)*1</f>
        <v>0.29168281379112077</v>
      </c>
      <c r="AI68" s="13">
        <v>6.7342758080178804</v>
      </c>
      <c r="AJ68" s="13">
        <v>0.84174244934057596</v>
      </c>
      <c r="AK68" s="13">
        <v>3.5989222612493701</v>
      </c>
      <c r="AL68" s="13">
        <v>0</v>
      </c>
      <c r="AM68" s="13">
        <v>0</v>
      </c>
      <c r="AN68" s="13">
        <v>57.603064100223399</v>
      </c>
      <c r="AO68" s="13">
        <v>10.076820057623801</v>
      </c>
      <c r="AP68" s="13">
        <v>0</v>
      </c>
      <c r="AQ68" s="13">
        <v>23.661673562572201</v>
      </c>
      <c r="AR68" s="13">
        <v>6.8244742063919803</v>
      </c>
      <c r="AS68" s="13">
        <v>7.9987021243431697E-2</v>
      </c>
      <c r="AT68" s="13">
        <v>0</v>
      </c>
      <c r="AU68" s="13">
        <v>0</v>
      </c>
      <c r="AV68" s="13">
        <v>0</v>
      </c>
      <c r="AW68" s="13">
        <v>0</v>
      </c>
      <c r="AX68" s="13">
        <v>162.38751092222901</v>
      </c>
      <c r="AY68" s="13">
        <v>0</v>
      </c>
      <c r="AZ68" s="13">
        <v>0</v>
      </c>
      <c r="BA68" s="13">
        <v>25.730730614322901</v>
      </c>
      <c r="BB68" s="13">
        <v>0.52201781919198698</v>
      </c>
      <c r="BC68" s="13">
        <v>1.9171664866684499</v>
      </c>
      <c r="BD68" s="13">
        <v>0.31969577709657399</v>
      </c>
    </row>
    <row r="69" spans="1:56" ht="11.25" customHeight="1" x14ac:dyDescent="0.3">
      <c r="A69" s="128"/>
      <c r="B69" s="17" t="s">
        <v>92</v>
      </c>
      <c r="C69" s="17" t="s">
        <v>25</v>
      </c>
      <c r="D69" s="17" t="s">
        <v>25</v>
      </c>
      <c r="E69" s="17" t="s">
        <v>25</v>
      </c>
      <c r="F69" s="17" t="s">
        <v>25</v>
      </c>
      <c r="G69" s="18" t="s">
        <v>84</v>
      </c>
      <c r="H69" s="18" t="s">
        <v>78</v>
      </c>
      <c r="I69" s="18">
        <f>'MERCADO TUSD'!$U$66</f>
        <v>0</v>
      </c>
      <c r="J69" s="15"/>
      <c r="L69" s="13">
        <f>('TUSD BE'!$L$69+'TUSD BF'!$L$69+'TUSD CVA'!$L$69)*1</f>
        <v>6.6417912129553125</v>
      </c>
      <c r="M69" s="13">
        <f>('TUSD BE'!$M$69+'TUSD BF'!$M$69+'TUSD CVA'!$M$69)*1</f>
        <v>0.95878176933935289</v>
      </c>
      <c r="N69" s="13">
        <f ca="1">('TUSD BE'!$N$69+'TUSD BF'!$N$69+'TUSD CVA'!$N$69)*1</f>
        <v>4.6404735423748606</v>
      </c>
      <c r="O69" s="13">
        <f>('TUSD BE'!$O$69+'TUSD BF'!$O$69+'TUSD CVA'!$O$69)*1</f>
        <v>0</v>
      </c>
      <c r="P69" s="13">
        <f>('TUSD BE'!$P$69+'TUSD BF'!$P$69+'TUSD CVA'!$P$69)*1</f>
        <v>0</v>
      </c>
      <c r="Q69" s="13">
        <f>('TUSD BE'!$Q$69+'TUSD BF'!$Q$69+'TUSD CVA'!$Q$69)*1</f>
        <v>108.15474943655964</v>
      </c>
      <c r="R69" s="13">
        <f>('TUSD BE'!$R$69+'TUSD BF'!$R$69+'TUSD CVA'!$R$69)*1</f>
        <v>18.52197764795989</v>
      </c>
      <c r="S69" s="13">
        <f>('TUSD BE'!$S$69+'TUSD BF'!$S$69+'TUSD CVA'!$S$69)*1</f>
        <v>0</v>
      </c>
      <c r="T69" s="13">
        <f>('TUSD BE'!$U$69+'TUSD BF'!$U$69+'TUSD CVA'!$U$69)*1</f>
        <v>28.532448061512863</v>
      </c>
      <c r="U69" s="13">
        <f>('TUSD BE'!$V$69+'TUSD BF'!$V$69+'TUSD CVA'!$V$69)*1</f>
        <v>5.7717073998095847</v>
      </c>
      <c r="V69" s="13">
        <f>('TUSD BE'!$W$69+'TUSD BF'!$W$69+'TUSD CVA'!$W$69)*1</f>
        <v>0.82973758162064537</v>
      </c>
      <c r="W69" s="13">
        <f>('TUSD BE'!$X$69+'TUSD BF'!$X$69+'TUSD CVA'!$X$69)*1</f>
        <v>0</v>
      </c>
      <c r="X69" s="13">
        <f>('TUSD BE'!$Y$69+'TUSD BF'!$Y$69+'TUSD CVA'!$Y$69)*1</f>
        <v>0</v>
      </c>
      <c r="Y69" s="13">
        <f>('TUSD BE'!$Z$69+'TUSD BF'!$Z$69+'TUSD CVA'!$Z$69)*1</f>
        <v>0</v>
      </c>
      <c r="Z69" s="13">
        <f>('TUSD BE'!$AA$69+'TUSD BF'!$AA$69+'TUSD CVA'!$AA$69)*1</f>
        <v>0</v>
      </c>
      <c r="AA69" s="13">
        <f>('TUSD BE'!$AC$69+'TUSD BF'!$AC$69+'TUSD CVA'!$AC$69)*1</f>
        <v>185.83277681087213</v>
      </c>
      <c r="AB69" s="13">
        <f ca="1">('TUSD BE'!$AE$69+'TUSD BF'!$AE$69+'TUSD CVA'!$AE$69)*1</f>
        <v>0</v>
      </c>
      <c r="AC69" s="13">
        <f ca="1">('TUSD BE'!$AF$69+'TUSD BF'!$AF$69+'TUSD CVA'!$AF$69)*1</f>
        <v>0</v>
      </c>
      <c r="AD69" s="13">
        <f>('TUSD BE'!$AH$69+'TUSD BF'!$AH$69+'TUSD CVA'!$AH$69)*1</f>
        <v>30.476189809509393</v>
      </c>
      <c r="AE69" s="13">
        <f>('TUSD BE'!$AI$69+'TUSD BF'!$AI$69+'TUSD CVA'!$AI$69)*1</f>
        <v>0.52818537399928256</v>
      </c>
      <c r="AF69" s="13">
        <f ca="1">('TUSD BE'!$AJ$69+'TUSD BF'!$AJ$69+'TUSD CVA'!$AJ$69)*1</f>
        <v>2.1038967484120761</v>
      </c>
      <c r="AG69" s="13">
        <f ca="1">('TUSD BE'!$AK$69+'TUSD BF'!$AK$69+'TUSD CVA'!$AK$69)*1</f>
        <v>0.29168281379112077</v>
      </c>
      <c r="AI69" s="13">
        <v>6.7342758080178804</v>
      </c>
      <c r="AJ69" s="13">
        <v>0.84174244934057596</v>
      </c>
      <c r="AK69" s="13">
        <v>3.5989222612493701</v>
      </c>
      <c r="AL69" s="13">
        <v>0</v>
      </c>
      <c r="AM69" s="13">
        <v>0</v>
      </c>
      <c r="AN69" s="13">
        <v>57.603064100223399</v>
      </c>
      <c r="AO69" s="13">
        <v>10.076820057623801</v>
      </c>
      <c r="AP69" s="13">
        <v>0</v>
      </c>
      <c r="AQ69" s="13">
        <v>23.661673562572201</v>
      </c>
      <c r="AR69" s="13">
        <v>6.8244742063919803</v>
      </c>
      <c r="AS69" s="13">
        <v>7.9987021243431697E-2</v>
      </c>
      <c r="AT69" s="13">
        <v>0</v>
      </c>
      <c r="AU69" s="13">
        <v>0</v>
      </c>
      <c r="AV69" s="13">
        <v>0</v>
      </c>
      <c r="AW69" s="13">
        <v>0</v>
      </c>
      <c r="AX69" s="13">
        <v>162.38751092222901</v>
      </c>
      <c r="AY69" s="13">
        <v>0</v>
      </c>
      <c r="AZ69" s="13">
        <v>0</v>
      </c>
      <c r="BA69" s="13">
        <v>25.730730614322901</v>
      </c>
      <c r="BB69" s="13">
        <v>0.52201781919198698</v>
      </c>
      <c r="BC69" s="13">
        <v>1.9171664866684499</v>
      </c>
      <c r="BD69" s="13">
        <v>0.31969577709657399</v>
      </c>
    </row>
    <row r="70" spans="1:56" ht="11.25" customHeight="1" x14ac:dyDescent="0.3">
      <c r="A70" s="128" t="s">
        <v>47</v>
      </c>
      <c r="B70" s="128" t="s">
        <v>23</v>
      </c>
      <c r="C70" s="128" t="s">
        <v>48</v>
      </c>
      <c r="D70" s="17" t="s">
        <v>49</v>
      </c>
      <c r="E70" s="17" t="s">
        <v>25</v>
      </c>
      <c r="F70" s="17" t="s">
        <v>25</v>
      </c>
      <c r="G70" s="18" t="s">
        <v>84</v>
      </c>
      <c r="H70" s="18" t="s">
        <v>78</v>
      </c>
      <c r="I70" s="18">
        <f>'MERCADO TUSD'!$U$67</f>
        <v>19654.344999999998</v>
      </c>
      <c r="J70" s="15"/>
      <c r="L70" s="13">
        <f>('TUSD BE'!$L$70+'TUSD BF'!$L$70+'TUSD CVA'!$L$70)*1</f>
        <v>3.6529851671254225</v>
      </c>
      <c r="M70" s="13">
        <f>('TUSD BE'!$M$70+'TUSD BF'!$M$70+'TUSD CVA'!$M$70)*1</f>
        <v>0.52732997313664409</v>
      </c>
      <c r="N70" s="13">
        <f ca="1">('TUSD BE'!$N$70+'TUSD BF'!$N$70+'TUSD CVA'!$N$70)*1</f>
        <v>2.5522604483061739</v>
      </c>
      <c r="O70" s="13">
        <f>('TUSD BE'!$O$70+'TUSD BF'!$O$70+'TUSD CVA'!$O$70)*1</f>
        <v>0</v>
      </c>
      <c r="P70" s="13">
        <f>('TUSD BE'!$P$70+'TUSD BF'!$P$70+'TUSD CVA'!$P$70)*1</f>
        <v>0</v>
      </c>
      <c r="Q70" s="13">
        <f>('TUSD BE'!$Q$70+'TUSD BF'!$Q$70+'TUSD CVA'!$Q$70)*1</f>
        <v>59.485112190107813</v>
      </c>
      <c r="R70" s="13">
        <f>('TUSD BE'!$R$70+'TUSD BF'!$R$70+'TUSD CVA'!$R$70)*1</f>
        <v>10.187087706377941</v>
      </c>
      <c r="S70" s="13">
        <f>('TUSD BE'!$S$70+'TUSD BF'!$S$70+'TUSD CVA'!$S$70)*1</f>
        <v>0</v>
      </c>
      <c r="T70" s="13">
        <f>('TUSD BE'!$U$70+'TUSD BF'!$U$70+'TUSD CVA'!$U$70)*1</f>
        <v>15.692846433832074</v>
      </c>
      <c r="U70" s="13">
        <f>('TUSD BE'!$V$70+'TUSD BF'!$V$70+'TUSD CVA'!$V$70)*1</f>
        <v>3.1744390698952718</v>
      </c>
      <c r="V70" s="13">
        <f>('TUSD BE'!$W$70+'TUSD BF'!$W$70+'TUSD CVA'!$W$70)*1</f>
        <v>0.45635566989135495</v>
      </c>
      <c r="W70" s="13">
        <f>('TUSD BE'!$X$70+'TUSD BF'!$X$70+'TUSD CVA'!$X$70)*1</f>
        <v>0</v>
      </c>
      <c r="X70" s="13">
        <f>('TUSD BE'!$Y$70+'TUSD BF'!$Y$70+'TUSD CVA'!$Y$70)*1</f>
        <v>0</v>
      </c>
      <c r="Y70" s="13">
        <f>('TUSD BE'!$Z$70+'TUSD BF'!$Z$70+'TUSD CVA'!$Z$70)*1</f>
        <v>0</v>
      </c>
      <c r="Z70" s="13">
        <f>('TUSD BE'!$AA$70+'TUSD BF'!$AA$70+'TUSD CVA'!$AA$70)*1</f>
        <v>0</v>
      </c>
      <c r="AA70" s="13">
        <f>('TUSD BE'!$AC$70+'TUSD BF'!$AC$70+'TUSD CVA'!$AC$70)*1</f>
        <v>102.20802724597968</v>
      </c>
      <c r="AB70" s="13">
        <f ca="1">('TUSD BE'!$AE$70+'TUSD BF'!$AE$70+'TUSD CVA'!$AE$70)*1</f>
        <v>0</v>
      </c>
      <c r="AC70" s="13">
        <f ca="1">('TUSD BE'!$AF$70+'TUSD BF'!$AF$70+'TUSD CVA'!$AF$70)*1</f>
        <v>0</v>
      </c>
      <c r="AD70" s="13">
        <f>('TUSD BE'!$AH$70+'TUSD BF'!$AH$70+'TUSD CVA'!$AH$70)*1</f>
        <v>16.761904395230165</v>
      </c>
      <c r="AE70" s="13">
        <f>('TUSD BE'!$AI$70+'TUSD BF'!$AI$70+'TUSD CVA'!$AI$70)*1</f>
        <v>0.29050195569960541</v>
      </c>
      <c r="AF70" s="13">
        <f ca="1">('TUSD BE'!$AJ$70+'TUSD BF'!$AJ$70+'TUSD CVA'!$AJ$70)*1</f>
        <v>1.157143211626642</v>
      </c>
      <c r="AG70" s="13">
        <f ca="1">('TUSD BE'!$AK$70+'TUSD BF'!$AK$70+'TUSD CVA'!$AK$70)*1</f>
        <v>0.16042554758511643</v>
      </c>
      <c r="AI70" s="13">
        <v>3.7038516944098299</v>
      </c>
      <c r="AJ70" s="13">
        <v>0.46295834713731698</v>
      </c>
      <c r="AK70" s="13">
        <v>1.9794072436871499</v>
      </c>
      <c r="AL70" s="13">
        <v>0</v>
      </c>
      <c r="AM70" s="13">
        <v>0</v>
      </c>
      <c r="AN70" s="13">
        <v>31.6816852551229</v>
      </c>
      <c r="AO70" s="13">
        <v>5.5422510316930902</v>
      </c>
      <c r="AP70" s="13">
        <v>0</v>
      </c>
      <c r="AQ70" s="13">
        <v>13.013920459414701</v>
      </c>
      <c r="AR70" s="13">
        <v>3.75346081351559</v>
      </c>
      <c r="AS70" s="13">
        <v>4.3992861683887399E-2</v>
      </c>
      <c r="AT70" s="13">
        <v>0</v>
      </c>
      <c r="AU70" s="13">
        <v>0</v>
      </c>
      <c r="AV70" s="13">
        <v>0</v>
      </c>
      <c r="AW70" s="13">
        <v>0</v>
      </c>
      <c r="AX70" s="13">
        <v>89.313131007225806</v>
      </c>
      <c r="AY70" s="13">
        <v>0</v>
      </c>
      <c r="AZ70" s="13">
        <v>0</v>
      </c>
      <c r="BA70" s="13">
        <v>14.151901837877601</v>
      </c>
      <c r="BB70" s="13">
        <v>0.28710980055559299</v>
      </c>
      <c r="BC70" s="13">
        <v>1.05444156766765</v>
      </c>
      <c r="BD70" s="13">
        <v>0.17583267740311601</v>
      </c>
    </row>
    <row r="71" spans="1:56" ht="11.25" customHeight="1" x14ac:dyDescent="0.3">
      <c r="A71" s="128"/>
      <c r="B71" s="128"/>
      <c r="C71" s="128"/>
      <c r="D71" s="18" t="s">
        <v>95</v>
      </c>
      <c r="E71" s="18" t="s">
        <v>25</v>
      </c>
      <c r="F71" s="18" t="s">
        <v>25</v>
      </c>
      <c r="G71" s="18" t="s">
        <v>84</v>
      </c>
      <c r="H71" s="18" t="s">
        <v>78</v>
      </c>
      <c r="I71" s="18">
        <f>'MERCADO TUSD'!$U$68</f>
        <v>0</v>
      </c>
      <c r="J71" s="15"/>
      <c r="L71" s="13">
        <f>('TUSD BE'!$L$71+'TUSD BF'!$L$71+'TUSD CVA'!$L$71)*1</f>
        <v>3.9850747277731875</v>
      </c>
      <c r="M71" s="13">
        <f>('TUSD BE'!$M$71+'TUSD BF'!$M$71+'TUSD CVA'!$M$71)*1</f>
        <v>0.57526906160361169</v>
      </c>
      <c r="N71" s="13">
        <f ca="1">('TUSD BE'!$N$71+'TUSD BF'!$N$71+'TUSD CVA'!$N$71)*1</f>
        <v>2.7842841254249171</v>
      </c>
      <c r="O71" s="13">
        <f>('TUSD BE'!$O$71+'TUSD BF'!$O$71+'TUSD CVA'!$O$71)*1</f>
        <v>0</v>
      </c>
      <c r="P71" s="13">
        <f>('TUSD BE'!$P$71+'TUSD BF'!$P$71+'TUSD CVA'!$P$71)*1</f>
        <v>0</v>
      </c>
      <c r="Q71" s="13">
        <f>('TUSD BE'!$Q$71+'TUSD BF'!$Q$71+'TUSD CVA'!$Q$71)*1</f>
        <v>64.892849661935784</v>
      </c>
      <c r="R71" s="13">
        <f>('TUSD BE'!$R$71+'TUSD BF'!$R$71+'TUSD CVA'!$R$71)*1</f>
        <v>11.113186588775934</v>
      </c>
      <c r="S71" s="13">
        <f>('TUSD BE'!$S$71+'TUSD BF'!$S$71+'TUSD CVA'!$S$71)*1</f>
        <v>0</v>
      </c>
      <c r="T71" s="13">
        <f>('TUSD BE'!$U$71+'TUSD BF'!$U$71+'TUSD CVA'!$U$71)*1</f>
        <v>17.119468836907714</v>
      </c>
      <c r="U71" s="13">
        <f>('TUSD BE'!$V$71+'TUSD BF'!$V$71+'TUSD CVA'!$V$71)*1</f>
        <v>3.4630244398857499</v>
      </c>
      <c r="V71" s="13">
        <f>('TUSD BE'!$W$71+'TUSD BF'!$W$71+'TUSD CVA'!$W$71)*1</f>
        <v>0.49784254897238717</v>
      </c>
      <c r="W71" s="13">
        <f>('TUSD BE'!$X$71+'TUSD BF'!$X$71+'TUSD CVA'!$X$71)*1</f>
        <v>0</v>
      </c>
      <c r="X71" s="13">
        <f>('TUSD BE'!$Y$71+'TUSD BF'!$Y$71+'TUSD CVA'!$Y$71)*1</f>
        <v>0</v>
      </c>
      <c r="Y71" s="13">
        <f>('TUSD BE'!$Z$71+'TUSD BF'!$Z$71+'TUSD CVA'!$Z$71)*1</f>
        <v>0</v>
      </c>
      <c r="Z71" s="13">
        <f>('TUSD BE'!$AA$71+'TUSD BF'!$AA$71+'TUSD CVA'!$AA$71)*1</f>
        <v>0</v>
      </c>
      <c r="AA71" s="13">
        <f>('TUSD BE'!$AC$71+'TUSD BF'!$AC$71+'TUSD CVA'!$AC$71)*1</f>
        <v>111.49966608652326</v>
      </c>
      <c r="AB71" s="13">
        <f ca="1">('TUSD BE'!$AE$71+'TUSD BF'!$AE$71+'TUSD CVA'!$AE$71)*1</f>
        <v>0</v>
      </c>
      <c r="AC71" s="13">
        <f ca="1">('TUSD BE'!$AF$71+'TUSD BF'!$AF$71+'TUSD CVA'!$AF$71)*1</f>
        <v>0</v>
      </c>
      <c r="AD71" s="13">
        <f>('TUSD BE'!$AH$71+'TUSD BF'!$AH$71+'TUSD CVA'!$AH$71)*1</f>
        <v>18.285713885705636</v>
      </c>
      <c r="AE71" s="13">
        <f>('TUSD BE'!$AI$71+'TUSD BF'!$AI$71+'TUSD CVA'!$AI$71)*1</f>
        <v>0.31691122439956954</v>
      </c>
      <c r="AF71" s="13">
        <f ca="1">('TUSD BE'!$AJ$71+'TUSD BF'!$AJ$71+'TUSD CVA'!$AJ$71)*1</f>
        <v>1.2623380490472456</v>
      </c>
      <c r="AG71" s="13">
        <f ca="1">('TUSD BE'!$AK$71+'TUSD BF'!$AK$71+'TUSD CVA'!$AK$71)*1</f>
        <v>0.17500968827467245</v>
      </c>
      <c r="AI71" s="13">
        <v>4.0405654848107302</v>
      </c>
      <c r="AJ71" s="13">
        <v>0.50504546960434604</v>
      </c>
      <c r="AK71" s="13">
        <v>2.1593533567496199</v>
      </c>
      <c r="AL71" s="13">
        <v>0</v>
      </c>
      <c r="AM71" s="13">
        <v>0</v>
      </c>
      <c r="AN71" s="13">
        <v>34.561838460133998</v>
      </c>
      <c r="AO71" s="13">
        <v>6.0460920345742801</v>
      </c>
      <c r="AP71" s="13">
        <v>0</v>
      </c>
      <c r="AQ71" s="13">
        <v>14.197004137543299</v>
      </c>
      <c r="AR71" s="13">
        <v>4.0946845238351903</v>
      </c>
      <c r="AS71" s="13">
        <v>4.7992212746058999E-2</v>
      </c>
      <c r="AT71" s="13">
        <v>0</v>
      </c>
      <c r="AU71" s="13">
        <v>0</v>
      </c>
      <c r="AV71" s="13">
        <v>0</v>
      </c>
      <c r="AW71" s="13">
        <v>0</v>
      </c>
      <c r="AX71" s="13">
        <v>97.432506553337205</v>
      </c>
      <c r="AY71" s="13">
        <v>0</v>
      </c>
      <c r="AZ71" s="13">
        <v>0</v>
      </c>
      <c r="BA71" s="13">
        <v>15.4384383685938</v>
      </c>
      <c r="BB71" s="13">
        <v>0.31321069151519199</v>
      </c>
      <c r="BC71" s="13">
        <v>1.1502998920010701</v>
      </c>
      <c r="BD71" s="13">
        <v>0.19181746625794399</v>
      </c>
    </row>
    <row r="73" spans="1:56" ht="11.25" customHeight="1" x14ac:dyDescent="0.3">
      <c r="L73" s="125" t="s">
        <v>1059</v>
      </c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I73" s="125" t="s">
        <v>1060</v>
      </c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</row>
    <row r="74" spans="1:56" ht="11.25" customHeight="1" x14ac:dyDescent="0.3">
      <c r="L74" s="125" t="s">
        <v>656</v>
      </c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I74" s="125" t="s">
        <v>656</v>
      </c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</row>
    <row r="75" spans="1:56" ht="11.25" customHeight="1" x14ac:dyDescent="0.3">
      <c r="L75" s="125" t="s">
        <v>657</v>
      </c>
      <c r="M75" s="125"/>
      <c r="N75" s="125"/>
      <c r="O75" s="125"/>
      <c r="P75" s="125"/>
      <c r="Q75" s="125"/>
      <c r="R75" s="125"/>
      <c r="S75" s="125"/>
      <c r="T75" s="125" t="s">
        <v>666</v>
      </c>
      <c r="U75" s="125"/>
      <c r="V75" s="125"/>
      <c r="W75" s="125"/>
      <c r="X75" s="125"/>
      <c r="Y75" s="125"/>
      <c r="Z75" s="125"/>
      <c r="AA75" s="10" t="s">
        <v>674</v>
      </c>
      <c r="AB75" s="125" t="s">
        <v>676</v>
      </c>
      <c r="AC75" s="125"/>
      <c r="AD75" s="125" t="s">
        <v>679</v>
      </c>
      <c r="AE75" s="125"/>
      <c r="AF75" s="125"/>
      <c r="AG75" s="125"/>
      <c r="AI75" s="125" t="s">
        <v>657</v>
      </c>
      <c r="AJ75" s="125"/>
      <c r="AK75" s="125"/>
      <c r="AL75" s="125"/>
      <c r="AM75" s="125"/>
      <c r="AN75" s="125"/>
      <c r="AO75" s="125"/>
      <c r="AP75" s="125"/>
      <c r="AQ75" s="125" t="s">
        <v>666</v>
      </c>
      <c r="AR75" s="125"/>
      <c r="AS75" s="125"/>
      <c r="AT75" s="125"/>
      <c r="AU75" s="125"/>
      <c r="AV75" s="125"/>
      <c r="AW75" s="125"/>
      <c r="AX75" s="10" t="s">
        <v>674</v>
      </c>
      <c r="AY75" s="125" t="s">
        <v>676</v>
      </c>
      <c r="AZ75" s="125"/>
      <c r="BA75" s="125" t="s">
        <v>679</v>
      </c>
      <c r="BB75" s="125"/>
      <c r="BC75" s="125"/>
      <c r="BD75" s="125"/>
    </row>
    <row r="76" spans="1:56" ht="11.25" customHeight="1" x14ac:dyDescent="0.3">
      <c r="L76" s="10" t="s">
        <v>742</v>
      </c>
      <c r="M76" s="10" t="s">
        <v>658</v>
      </c>
      <c r="N76" s="10" t="s">
        <v>659</v>
      </c>
      <c r="O76" s="10" t="s">
        <v>660</v>
      </c>
      <c r="P76" s="10" t="s">
        <v>661</v>
      </c>
      <c r="Q76" s="10" t="s">
        <v>662</v>
      </c>
      <c r="R76" s="10" t="s">
        <v>663</v>
      </c>
      <c r="S76" s="10" t="s">
        <v>664</v>
      </c>
      <c r="T76" s="10" t="s">
        <v>667</v>
      </c>
      <c r="U76" s="10" t="s">
        <v>668</v>
      </c>
      <c r="V76" s="10" t="s">
        <v>669</v>
      </c>
      <c r="W76" s="10" t="s">
        <v>670</v>
      </c>
      <c r="X76" s="10" t="s">
        <v>671</v>
      </c>
      <c r="Y76" s="10" t="s">
        <v>672</v>
      </c>
      <c r="Z76" s="10" t="s">
        <v>673</v>
      </c>
      <c r="AA76" s="10" t="s">
        <v>675</v>
      </c>
      <c r="AB76" s="10" t="s">
        <v>677</v>
      </c>
      <c r="AC76" s="10" t="s">
        <v>678</v>
      </c>
      <c r="AD76" s="10" t="s">
        <v>680</v>
      </c>
      <c r="AE76" s="10" t="s">
        <v>681</v>
      </c>
      <c r="AF76" s="10" t="s">
        <v>682</v>
      </c>
      <c r="AG76" s="10" t="s">
        <v>683</v>
      </c>
      <c r="AI76" s="10" t="s">
        <v>742</v>
      </c>
      <c r="AJ76" s="10" t="s">
        <v>658</v>
      </c>
      <c r="AK76" s="10" t="s">
        <v>659</v>
      </c>
      <c r="AL76" s="10" t="s">
        <v>660</v>
      </c>
      <c r="AM76" s="10" t="s">
        <v>661</v>
      </c>
      <c r="AN76" s="10" t="s">
        <v>662</v>
      </c>
      <c r="AO76" s="10" t="s">
        <v>663</v>
      </c>
      <c r="AP76" s="10" t="s">
        <v>664</v>
      </c>
      <c r="AQ76" s="10" t="s">
        <v>667</v>
      </c>
      <c r="AR76" s="10" t="s">
        <v>668</v>
      </c>
      <c r="AS76" s="10" t="s">
        <v>669</v>
      </c>
      <c r="AT76" s="10" t="s">
        <v>670</v>
      </c>
      <c r="AU76" s="10" t="s">
        <v>671</v>
      </c>
      <c r="AV76" s="10" t="s">
        <v>672</v>
      </c>
      <c r="AW76" s="10" t="s">
        <v>673</v>
      </c>
      <c r="AX76" s="10" t="s">
        <v>675</v>
      </c>
      <c r="AY76" s="10" t="s">
        <v>677</v>
      </c>
      <c r="AZ76" s="10" t="s">
        <v>678</v>
      </c>
      <c r="BA76" s="10" t="s">
        <v>680</v>
      </c>
      <c r="BB76" s="10" t="s">
        <v>681</v>
      </c>
      <c r="BC76" s="10" t="s">
        <v>682</v>
      </c>
      <c r="BD76" s="10" t="s">
        <v>683</v>
      </c>
    </row>
    <row r="77" spans="1:56" ht="11.25" customHeight="1" x14ac:dyDescent="0.3">
      <c r="A77" s="9" t="s">
        <v>54</v>
      </c>
      <c r="B77" s="9" t="s">
        <v>1061</v>
      </c>
      <c r="C77" s="9" t="s">
        <v>1062</v>
      </c>
      <c r="D77" s="9" t="s">
        <v>1063</v>
      </c>
      <c r="E77" s="9" t="s">
        <v>1064</v>
      </c>
      <c r="F77" s="9" t="s">
        <v>1065</v>
      </c>
      <c r="G77" s="9" t="s">
        <v>1066</v>
      </c>
      <c r="L77" s="13">
        <f>$I$5*$L$5</f>
        <v>0</v>
      </c>
      <c r="M77" s="13">
        <f>$I$5*$M$5</f>
        <v>0</v>
      </c>
      <c r="N77" s="13">
        <f ca="1">$I$5*$N$5</f>
        <v>0</v>
      </c>
      <c r="O77" s="13">
        <f>$I$5*$O$5</f>
        <v>0</v>
      </c>
      <c r="P77" s="13">
        <f>$I$5*$P$5</f>
        <v>0</v>
      </c>
      <c r="Q77" s="13">
        <f>$I$5*$Q$5</f>
        <v>0</v>
      </c>
      <c r="R77" s="13">
        <f>$I$5*$R$5</f>
        <v>0</v>
      </c>
      <c r="S77" s="13">
        <f>$I$5*$S$5</f>
        <v>0</v>
      </c>
      <c r="T77" s="13">
        <f>$I$5*$T$5</f>
        <v>320229.33455096622</v>
      </c>
      <c r="U77" s="13">
        <f>$I$5*$U$5</f>
        <v>64537.648501616219</v>
      </c>
      <c r="V77" s="13">
        <f>$I$5*$V$5</f>
        <v>9458.6759622215814</v>
      </c>
      <c r="W77" s="13">
        <f>$I$5*$W$5</f>
        <v>0</v>
      </c>
      <c r="X77" s="13">
        <f>$I$5*$X$5</f>
        <v>0</v>
      </c>
      <c r="Y77" s="13">
        <f>$I$5*$Y$5</f>
        <v>0</v>
      </c>
      <c r="Z77" s="13">
        <f>$I$5*$Z$5</f>
        <v>0</v>
      </c>
      <c r="AA77" s="13">
        <f>$I$5*$AA$5</f>
        <v>565825.51970168517</v>
      </c>
      <c r="AB77" s="13">
        <f ca="1">$I$5*$AB$5</f>
        <v>0</v>
      </c>
      <c r="AC77" s="13">
        <f ca="1">$I$5*$AC$5</f>
        <v>0</v>
      </c>
      <c r="AD77" s="13">
        <f>$I$5*$AD$5</f>
        <v>0</v>
      </c>
      <c r="AE77" s="13">
        <f>$I$5*$AE$5</f>
        <v>0</v>
      </c>
      <c r="AF77" s="13">
        <f ca="1">$I$5*$AF$5</f>
        <v>0</v>
      </c>
      <c r="AG77" s="13">
        <f ca="1">$I$5*$AG$5</f>
        <v>0</v>
      </c>
      <c r="AI77" s="13">
        <f>$I$5*$AI$5</f>
        <v>0</v>
      </c>
      <c r="AJ77" s="13">
        <f>$I$5*$AJ$5</f>
        <v>0</v>
      </c>
      <c r="AK77" s="13">
        <f>$I$5*$AK$5</f>
        <v>0</v>
      </c>
      <c r="AL77" s="13">
        <f>$I$5*$AL$5</f>
        <v>0</v>
      </c>
      <c r="AM77" s="13">
        <f>$I$5*$AM$5</f>
        <v>0</v>
      </c>
      <c r="AN77" s="13">
        <f>$I$5*$AN$5</f>
        <v>0</v>
      </c>
      <c r="AO77" s="13">
        <f>$I$5*$AO$5</f>
        <v>0</v>
      </c>
      <c r="AP77" s="13">
        <f>$I$5*$AP$5</f>
        <v>0</v>
      </c>
      <c r="AQ77" s="13">
        <f>$I$5*$AQ$5</f>
        <v>265562.98159096489</v>
      </c>
      <c r="AR77" s="13">
        <f>$I$5*$AR$5</f>
        <v>76309.398074303099</v>
      </c>
      <c r="AS77" s="13">
        <f>$I$5*$AS$5</f>
        <v>911.81999210788922</v>
      </c>
      <c r="AT77" s="13">
        <f>$I$5*$AT$5</f>
        <v>0</v>
      </c>
      <c r="AU77" s="13">
        <f>$I$5*$AU$5</f>
        <v>0</v>
      </c>
      <c r="AV77" s="13">
        <f>$I$5*$AV$5</f>
        <v>0</v>
      </c>
      <c r="AW77" s="13">
        <f>$I$5*$AW$5</f>
        <v>0</v>
      </c>
      <c r="AX77" s="13">
        <f>$I$5*$AX$5</f>
        <v>494439.13682754425</v>
      </c>
      <c r="AY77" s="13">
        <f>$I$5*$AY$5</f>
        <v>0</v>
      </c>
      <c r="AZ77" s="13">
        <f>$I$5*$AZ$5</f>
        <v>0</v>
      </c>
      <c r="BA77" s="13">
        <f>$I$5*$BA$5</f>
        <v>0</v>
      </c>
      <c r="BB77" s="13">
        <f>$I$5*$BB$5</f>
        <v>0</v>
      </c>
      <c r="BC77" s="13">
        <f>$I$5*$BC$5</f>
        <v>0</v>
      </c>
      <c r="BD77" s="13">
        <f>$I$5*$BD$5</f>
        <v>0</v>
      </c>
    </row>
    <row r="78" spans="1:56" ht="11.25" customHeight="1" x14ac:dyDescent="0.3">
      <c r="A78" s="9" t="s">
        <v>54</v>
      </c>
      <c r="B78" s="9" t="s">
        <v>1061</v>
      </c>
      <c r="C78" s="9" t="s">
        <v>1062</v>
      </c>
      <c r="D78" s="9" t="s">
        <v>1063</v>
      </c>
      <c r="E78" s="9" t="s">
        <v>1064</v>
      </c>
      <c r="F78" s="9" t="s">
        <v>1065</v>
      </c>
      <c r="G78" s="9" t="s">
        <v>1067</v>
      </c>
      <c r="L78" s="13">
        <f>$I$6*$L$6</f>
        <v>0</v>
      </c>
      <c r="M78" s="13">
        <f>$I$6*$M$6</f>
        <v>0</v>
      </c>
      <c r="N78" s="13">
        <f ca="1">$I$6*$N$6</f>
        <v>0</v>
      </c>
      <c r="O78" s="13">
        <f>$I$6*$O$6</f>
        <v>0</v>
      </c>
      <c r="P78" s="13">
        <f>$I$6*$P$6</f>
        <v>0</v>
      </c>
      <c r="Q78" s="13">
        <f>$I$6*$Q$6</f>
        <v>0</v>
      </c>
      <c r="R78" s="13">
        <f>$I$6*$R$6</f>
        <v>0</v>
      </c>
      <c r="S78" s="13">
        <f>$I$6*$S$6</f>
        <v>0</v>
      </c>
      <c r="T78" s="13">
        <f>$I$6*$T$6</f>
        <v>1263922.8125112883</v>
      </c>
      <c r="U78" s="13">
        <f>$I$6*$U$6</f>
        <v>256772.31551534211</v>
      </c>
      <c r="V78" s="13">
        <f>$I$6*$V$6</f>
        <v>36063.797774066836</v>
      </c>
      <c r="W78" s="13">
        <f>$I$6*$W$6</f>
        <v>0</v>
      </c>
      <c r="X78" s="13">
        <f>$I$6*$X$6</f>
        <v>0</v>
      </c>
      <c r="Y78" s="13">
        <f>$I$6*$Y$6</f>
        <v>0</v>
      </c>
      <c r="Z78" s="13">
        <f>$I$6*$Z$6</f>
        <v>0</v>
      </c>
      <c r="AA78" s="13">
        <f>$I$6*$AA$6</f>
        <v>353378.98917690164</v>
      </c>
      <c r="AB78" s="13">
        <f ca="1">$I$6*$AB$6</f>
        <v>0</v>
      </c>
      <c r="AC78" s="13">
        <f ca="1">$I$6*$AC$6</f>
        <v>0</v>
      </c>
      <c r="AD78" s="13">
        <f>$I$6*$AD$6</f>
        <v>0</v>
      </c>
      <c r="AE78" s="13">
        <f>$I$6*$AE$6</f>
        <v>0</v>
      </c>
      <c r="AF78" s="13">
        <f ca="1">$I$6*$AF$6</f>
        <v>0</v>
      </c>
      <c r="AG78" s="13">
        <f ca="1">$I$6*$AG$6</f>
        <v>0</v>
      </c>
      <c r="AI78" s="13">
        <f>$I$6*$AI$6</f>
        <v>0</v>
      </c>
      <c r="AJ78" s="13">
        <f>$I$6*$AJ$6</f>
        <v>0</v>
      </c>
      <c r="AK78" s="13">
        <f>$I$6*$AK$6</f>
        <v>0</v>
      </c>
      <c r="AL78" s="13">
        <f>$I$6*$AL$6</f>
        <v>0</v>
      </c>
      <c r="AM78" s="13">
        <f>$I$6*$AM$6</f>
        <v>0</v>
      </c>
      <c r="AN78" s="13">
        <f>$I$6*$AN$6</f>
        <v>0</v>
      </c>
      <c r="AO78" s="13">
        <f>$I$6*$AO$6</f>
        <v>0</v>
      </c>
      <c r="AP78" s="13">
        <f>$I$6*$AP$6</f>
        <v>0</v>
      </c>
      <c r="AQ78" s="13">
        <f>$I$6*$AQ$6</f>
        <v>1048158.5363252064</v>
      </c>
      <c r="AR78" s="13">
        <f>$I$6*$AR$6</f>
        <v>303607.91404772399</v>
      </c>
      <c r="AS78" s="13">
        <f>$I$6*$AS$6</f>
        <v>3476.5639433118481</v>
      </c>
      <c r="AT78" s="13">
        <f>$I$6*$AT$6</f>
        <v>0</v>
      </c>
      <c r="AU78" s="13">
        <f>$I$6*$AU$6</f>
        <v>0</v>
      </c>
      <c r="AV78" s="13">
        <f>$I$6*$AV$6</f>
        <v>0</v>
      </c>
      <c r="AW78" s="13">
        <f>$I$6*$AW$6</f>
        <v>0</v>
      </c>
      <c r="AX78" s="13">
        <f>$I$6*$AX$6</f>
        <v>308795.5496841768</v>
      </c>
      <c r="AY78" s="13">
        <f>$I$6*$AY$6</f>
        <v>0</v>
      </c>
      <c r="AZ78" s="13">
        <f>$I$6*$AZ$6</f>
        <v>0</v>
      </c>
      <c r="BA78" s="13">
        <f>$I$6*$BA$6</f>
        <v>0</v>
      </c>
      <c r="BB78" s="13">
        <f>$I$6*$BB$6</f>
        <v>0</v>
      </c>
      <c r="BC78" s="13">
        <f>$I$6*$BC$6</f>
        <v>0</v>
      </c>
      <c r="BD78" s="13">
        <f>$I$6*$BD$6</f>
        <v>0</v>
      </c>
    </row>
    <row r="79" spans="1:56" ht="11.25" customHeight="1" x14ac:dyDescent="0.3">
      <c r="A79" s="9" t="s">
        <v>54</v>
      </c>
      <c r="B79" s="9" t="s">
        <v>1061</v>
      </c>
      <c r="C79" s="9" t="s">
        <v>1062</v>
      </c>
      <c r="D79" s="9" t="s">
        <v>1063</v>
      </c>
      <c r="E79" s="9" t="s">
        <v>1064</v>
      </c>
      <c r="F79" s="9" t="s">
        <v>1065</v>
      </c>
      <c r="G79" s="9" t="s">
        <v>1068</v>
      </c>
      <c r="L79" s="13">
        <f>$I$7*$L$7</f>
        <v>484740.54891309649</v>
      </c>
      <c r="M79" s="13">
        <f>$I$7*$M$7</f>
        <v>4744.9818837391331</v>
      </c>
      <c r="N79" s="13">
        <f ca="1">$I$7*$N$7</f>
        <v>4819.1025524845672</v>
      </c>
      <c r="O79" s="13">
        <f>$I$7*$O$7</f>
        <v>0</v>
      </c>
      <c r="P79" s="13">
        <f>$I$7*$P$7</f>
        <v>0</v>
      </c>
      <c r="Q79" s="13">
        <f>$I$7*$Q$7</f>
        <v>7893502.0581757436</v>
      </c>
      <c r="R79" s="13">
        <f>$I$7*$R$7</f>
        <v>2180317.7846097541</v>
      </c>
      <c r="S79" s="13">
        <f>$I$7*$S$7</f>
        <v>0</v>
      </c>
      <c r="T79" s="13">
        <f>$I$7*$T$7</f>
        <v>0</v>
      </c>
      <c r="U79" s="13">
        <f>$I$7*$U$7</f>
        <v>0</v>
      </c>
      <c r="V79" s="13">
        <f>$I$7*$V$7</f>
        <v>0</v>
      </c>
      <c r="W79" s="13">
        <f>$I$7*$W$7</f>
        <v>0</v>
      </c>
      <c r="X79" s="13">
        <f>$I$7*$X$7</f>
        <v>0</v>
      </c>
      <c r="Y79" s="13">
        <f>$I$7*$Y$7</f>
        <v>0</v>
      </c>
      <c r="Z79" s="13">
        <f>$I$7*$Z$7</f>
        <v>0</v>
      </c>
      <c r="AA79" s="13">
        <f>$I$7*$AA$7</f>
        <v>0</v>
      </c>
      <c r="AB79" s="13">
        <f ca="1">$I$7*$AB$7</f>
        <v>0</v>
      </c>
      <c r="AC79" s="13">
        <f ca="1">$I$7*$AC$7</f>
        <v>0</v>
      </c>
      <c r="AD79" s="13">
        <f>$I$7*$AD$7</f>
        <v>6838.2950227176734</v>
      </c>
      <c r="AE79" s="13">
        <f>$I$7*$AE$7</f>
        <v>118.51505836745251</v>
      </c>
      <c r="AF79" s="13">
        <f ca="1">$I$7*$AF$7</f>
        <v>70389.339495242093</v>
      </c>
      <c r="AG79" s="13">
        <f ca="1">$I$7*$AG$7</f>
        <v>9758.7301374778981</v>
      </c>
      <c r="AI79" s="13">
        <f>$I$7*$AI$7</f>
        <v>531126.71147429687</v>
      </c>
      <c r="AJ79" s="13">
        <f>$I$7*$AJ$7</f>
        <v>4395.32718464341</v>
      </c>
      <c r="AK79" s="13">
        <f>$I$7*$AK$7</f>
        <v>3665.1695322087944</v>
      </c>
      <c r="AL79" s="13">
        <f>$I$7*$AL$7</f>
        <v>0</v>
      </c>
      <c r="AM79" s="13">
        <f>$I$7*$AM$7</f>
        <v>0</v>
      </c>
      <c r="AN79" s="13">
        <f>$I$7*$AN$7</f>
        <v>4543105.580850834</v>
      </c>
      <c r="AO79" s="13">
        <f>$I$7*$AO$7</f>
        <v>1186194.6062962357</v>
      </c>
      <c r="AP79" s="13">
        <f>$I$7*$AP$7</f>
        <v>0</v>
      </c>
      <c r="AQ79" s="13">
        <f>$I$7*$AQ$7</f>
        <v>0</v>
      </c>
      <c r="AR79" s="13">
        <f>$I$7*$AR$7</f>
        <v>0</v>
      </c>
      <c r="AS79" s="13">
        <f>$I$7*$AS$7</f>
        <v>0</v>
      </c>
      <c r="AT79" s="13">
        <f>$I$7*$AT$7</f>
        <v>0</v>
      </c>
      <c r="AU79" s="13">
        <f>$I$7*$AU$7</f>
        <v>0</v>
      </c>
      <c r="AV79" s="13">
        <f>$I$7*$AV$7</f>
        <v>0</v>
      </c>
      <c r="AW79" s="13">
        <f>$I$7*$AW$7</f>
        <v>0</v>
      </c>
      <c r="AX79" s="13">
        <f>$I$7*$AX$7</f>
        <v>0</v>
      </c>
      <c r="AY79" s="13">
        <f>$I$7*$AY$7</f>
        <v>0</v>
      </c>
      <c r="AZ79" s="13">
        <f>$I$7*$AZ$7</f>
        <v>0</v>
      </c>
      <c r="BA79" s="13">
        <f>$I$7*$BA$7</f>
        <v>5773.5014839654041</v>
      </c>
      <c r="BB79" s="13">
        <f>$I$7*$BB$7</f>
        <v>117.13117279630056</v>
      </c>
      <c r="BC79" s="13">
        <f>$I$7*$BC$7</f>
        <v>59391.35210722324</v>
      </c>
      <c r="BD79" s="13">
        <f>$I$7*$BD$7</f>
        <v>9903.7640167233658</v>
      </c>
    </row>
    <row r="80" spans="1:56" ht="11.25" customHeight="1" x14ac:dyDescent="0.3">
      <c r="A80" s="9" t="s">
        <v>54</v>
      </c>
      <c r="B80" s="9" t="s">
        <v>1061</v>
      </c>
      <c r="C80" s="9" t="s">
        <v>1062</v>
      </c>
      <c r="D80" s="9" t="s">
        <v>1063</v>
      </c>
      <c r="E80" s="9" t="s">
        <v>1069</v>
      </c>
      <c r="F80" s="9" t="s">
        <v>1070</v>
      </c>
      <c r="G80" s="9" t="s">
        <v>1071</v>
      </c>
      <c r="L80" s="13">
        <f>$I$8*$L$8</f>
        <v>0</v>
      </c>
      <c r="M80" s="13">
        <f>$I$8*$M$8</f>
        <v>0</v>
      </c>
      <c r="N80" s="13">
        <f ca="1">$I$8*$N$8</f>
        <v>0</v>
      </c>
      <c r="O80" s="13">
        <f>$I$8*$O$8</f>
        <v>0</v>
      </c>
      <c r="P80" s="13">
        <f>$I$8*$P$8</f>
        <v>0</v>
      </c>
      <c r="Q80" s="13">
        <f>$I$8*$Q$8</f>
        <v>0</v>
      </c>
      <c r="R80" s="13">
        <f>$I$8*$R$8</f>
        <v>0</v>
      </c>
      <c r="S80" s="13">
        <f>$I$8*$S$8</f>
        <v>0</v>
      </c>
      <c r="T80" s="13">
        <f>$I$8*$T$8</f>
        <v>0</v>
      </c>
      <c r="U80" s="13">
        <f>$I$8*$U$8</f>
        <v>0</v>
      </c>
      <c r="V80" s="13">
        <f>$I$8*$V$8</f>
        <v>0</v>
      </c>
      <c r="W80" s="13">
        <f>$I$8*$W$8</f>
        <v>0</v>
      </c>
      <c r="X80" s="13">
        <f>$I$8*$X$8</f>
        <v>0</v>
      </c>
      <c r="Y80" s="13">
        <f>$I$8*$Y$8</f>
        <v>0</v>
      </c>
      <c r="Z80" s="13">
        <f>$I$8*$Z$8</f>
        <v>0</v>
      </c>
      <c r="AA80" s="13">
        <f>$I$8*$AA$8</f>
        <v>0</v>
      </c>
      <c r="AB80" s="13">
        <f ca="1">$I$8*$AB$8</f>
        <v>0</v>
      </c>
      <c r="AC80" s="13">
        <f ca="1">$I$8*$AC$8</f>
        <v>0</v>
      </c>
      <c r="AD80" s="13">
        <f>$I$8*$AD$8</f>
        <v>0</v>
      </c>
      <c r="AE80" s="13">
        <f>$I$8*$AE$8</f>
        <v>0</v>
      </c>
      <c r="AF80" s="13">
        <f ca="1">$I$8*$AF$8</f>
        <v>0</v>
      </c>
      <c r="AG80" s="13">
        <f ca="1">$I$8*$AG$8</f>
        <v>0</v>
      </c>
      <c r="AI80" s="13">
        <f>$I$8*$AI$8</f>
        <v>0</v>
      </c>
      <c r="AJ80" s="13">
        <f>$I$8*$AJ$8</f>
        <v>0</v>
      </c>
      <c r="AK80" s="13">
        <f>$I$8*$AK$8</f>
        <v>0</v>
      </c>
      <c r="AL80" s="13">
        <f>$I$8*$AL$8</f>
        <v>0</v>
      </c>
      <c r="AM80" s="13">
        <f>$I$8*$AM$8</f>
        <v>0</v>
      </c>
      <c r="AN80" s="13">
        <f>$I$8*$AN$8</f>
        <v>0</v>
      </c>
      <c r="AO80" s="13">
        <f>$I$8*$AO$8</f>
        <v>0</v>
      </c>
      <c r="AP80" s="13">
        <f>$I$8*$AP$8</f>
        <v>0</v>
      </c>
      <c r="AQ80" s="13">
        <f>$I$8*$AQ$8</f>
        <v>0</v>
      </c>
      <c r="AR80" s="13">
        <f>$I$8*$AR$8</f>
        <v>0</v>
      </c>
      <c r="AS80" s="13">
        <f>$I$8*$AS$8</f>
        <v>0</v>
      </c>
      <c r="AT80" s="13">
        <f>$I$8*$AT$8</f>
        <v>0</v>
      </c>
      <c r="AU80" s="13">
        <f>$I$8*$AU$8</f>
        <v>0</v>
      </c>
      <c r="AV80" s="13">
        <f>$I$8*$AV$8</f>
        <v>0</v>
      </c>
      <c r="AW80" s="13">
        <f>$I$8*$AW$8</f>
        <v>0</v>
      </c>
      <c r="AX80" s="13">
        <f>$I$8*$AX$8</f>
        <v>0</v>
      </c>
      <c r="AY80" s="13">
        <f>$I$8*$AY$8</f>
        <v>0</v>
      </c>
      <c r="AZ80" s="13">
        <f>$I$8*$AZ$8</f>
        <v>0</v>
      </c>
      <c r="BA80" s="13">
        <f>$I$8*$BA$8</f>
        <v>0</v>
      </c>
      <c r="BB80" s="13">
        <f>$I$8*$BB$8</f>
        <v>0</v>
      </c>
      <c r="BC80" s="13">
        <f>$I$8*$BC$8</f>
        <v>0</v>
      </c>
      <c r="BD80" s="13">
        <f>$I$8*$BD$8</f>
        <v>0</v>
      </c>
    </row>
    <row r="81" spans="1:56" ht="11.25" customHeight="1" x14ac:dyDescent="0.3">
      <c r="A81" s="9" t="s">
        <v>60</v>
      </c>
      <c r="B81" s="9" t="s">
        <v>1072</v>
      </c>
      <c r="C81" s="9" t="s">
        <v>1073</v>
      </c>
      <c r="D81" s="9" t="s">
        <v>1074</v>
      </c>
      <c r="E81" s="9" t="s">
        <v>1075</v>
      </c>
      <c r="F81" s="9" t="s">
        <v>1076</v>
      </c>
      <c r="G81" s="9" t="s">
        <v>1077</v>
      </c>
      <c r="L81" s="13">
        <f>$I$9*$L$9</f>
        <v>0</v>
      </c>
      <c r="M81" s="13">
        <f>$I$9*$M$9</f>
        <v>0</v>
      </c>
      <c r="N81" s="13">
        <f ca="1">$I$9*$N$9</f>
        <v>0</v>
      </c>
      <c r="O81" s="13">
        <f>$I$9*$O$9</f>
        <v>0</v>
      </c>
      <c r="P81" s="13">
        <f>$I$9*$P$9</f>
        <v>0</v>
      </c>
      <c r="Q81" s="13">
        <f>$I$9*$Q$9</f>
        <v>0</v>
      </c>
      <c r="R81" s="13">
        <f>$I$9*$R$9</f>
        <v>0</v>
      </c>
      <c r="S81" s="13">
        <f>$I$9*$S$9</f>
        <v>0</v>
      </c>
      <c r="T81" s="13">
        <f>$I$9*$T$9</f>
        <v>0</v>
      </c>
      <c r="U81" s="13">
        <f>$I$9*$U$9</f>
        <v>0</v>
      </c>
      <c r="V81" s="13">
        <f>$I$9*$V$9</f>
        <v>0</v>
      </c>
      <c r="W81" s="13">
        <f>$I$9*$W$9</f>
        <v>0</v>
      </c>
      <c r="X81" s="13">
        <f>$I$9*$X$9</f>
        <v>0</v>
      </c>
      <c r="Y81" s="13">
        <f>$I$9*$Y$9</f>
        <v>0</v>
      </c>
      <c r="Z81" s="13">
        <f>$I$9*$Z$9</f>
        <v>0</v>
      </c>
      <c r="AA81" s="13">
        <f>$I$9*$AA$9</f>
        <v>0</v>
      </c>
      <c r="AB81" s="13">
        <f ca="1">$I$9*$AB$9</f>
        <v>0</v>
      </c>
      <c r="AC81" s="13">
        <f ca="1">$I$9*$AC$9</f>
        <v>0</v>
      </c>
      <c r="AD81" s="13">
        <f>$I$9*$AD$9</f>
        <v>0</v>
      </c>
      <c r="AE81" s="13">
        <f>$I$9*$AE$9</f>
        <v>0</v>
      </c>
      <c r="AF81" s="13">
        <f ca="1">$I$9*$AF$9</f>
        <v>0</v>
      </c>
      <c r="AG81" s="13">
        <f ca="1">$I$9*$AG$9</f>
        <v>0</v>
      </c>
      <c r="AI81" s="13">
        <f>$I$9*$AI$9</f>
        <v>0</v>
      </c>
      <c r="AJ81" s="13">
        <f>$I$9*$AJ$9</f>
        <v>0</v>
      </c>
      <c r="AK81" s="13">
        <f>$I$9*$AK$9</f>
        <v>0</v>
      </c>
      <c r="AL81" s="13">
        <f>$I$9*$AL$9</f>
        <v>0</v>
      </c>
      <c r="AM81" s="13">
        <f>$I$9*$AM$9</f>
        <v>0</v>
      </c>
      <c r="AN81" s="13">
        <f>$I$9*$AN$9</f>
        <v>0</v>
      </c>
      <c r="AO81" s="13">
        <f>$I$9*$AO$9</f>
        <v>0</v>
      </c>
      <c r="AP81" s="13">
        <f>$I$9*$AP$9</f>
        <v>0</v>
      </c>
      <c r="AQ81" s="13">
        <f>$I$9*$AQ$9</f>
        <v>0</v>
      </c>
      <c r="AR81" s="13">
        <f>$I$9*$AR$9</f>
        <v>0</v>
      </c>
      <c r="AS81" s="13">
        <f>$I$9*$AS$9</f>
        <v>0</v>
      </c>
      <c r="AT81" s="13">
        <f>$I$9*$AT$9</f>
        <v>0</v>
      </c>
      <c r="AU81" s="13">
        <f>$I$9*$AU$9</f>
        <v>0</v>
      </c>
      <c r="AV81" s="13">
        <f>$I$9*$AV$9</f>
        <v>0</v>
      </c>
      <c r="AW81" s="13">
        <f>$I$9*$AW$9</f>
        <v>0</v>
      </c>
      <c r="AX81" s="13">
        <f>$I$9*$AX$9</f>
        <v>0</v>
      </c>
      <c r="AY81" s="13">
        <f>$I$9*$AY$9</f>
        <v>0</v>
      </c>
      <c r="AZ81" s="13">
        <f>$I$9*$AZ$9</f>
        <v>0</v>
      </c>
      <c r="BA81" s="13">
        <f>$I$9*$BA$9</f>
        <v>0</v>
      </c>
      <c r="BB81" s="13">
        <f>$I$9*$BB$9</f>
        <v>0</v>
      </c>
      <c r="BC81" s="13">
        <f>$I$9*$BC$9</f>
        <v>0</v>
      </c>
      <c r="BD81" s="13">
        <f>$I$9*$BD$9</f>
        <v>0</v>
      </c>
    </row>
    <row r="82" spans="1:56" ht="11.25" customHeight="1" x14ac:dyDescent="0.3">
      <c r="A82" s="9" t="s">
        <v>60</v>
      </c>
      <c r="B82" s="9" t="s">
        <v>1072</v>
      </c>
      <c r="C82" s="9" t="s">
        <v>1073</v>
      </c>
      <c r="D82" s="9" t="s">
        <v>1074</v>
      </c>
      <c r="E82" s="9" t="s">
        <v>1075</v>
      </c>
      <c r="F82" s="9" t="s">
        <v>1076</v>
      </c>
      <c r="G82" s="9" t="s">
        <v>1078</v>
      </c>
      <c r="L82" s="13">
        <f>$I$10*$L$10</f>
        <v>0</v>
      </c>
      <c r="M82" s="13">
        <f>$I$10*$M$10</f>
        <v>0</v>
      </c>
      <c r="N82" s="13">
        <f ca="1">$I$10*$N$10</f>
        <v>0</v>
      </c>
      <c r="O82" s="13">
        <f>$I$10*$O$10</f>
        <v>0</v>
      </c>
      <c r="P82" s="13">
        <f>$I$10*$P$10</f>
        <v>0</v>
      </c>
      <c r="Q82" s="13">
        <f>$I$10*$Q$10</f>
        <v>0</v>
      </c>
      <c r="R82" s="13">
        <f>$I$10*$R$10</f>
        <v>0</v>
      </c>
      <c r="S82" s="13">
        <f>$I$10*$S$10</f>
        <v>0</v>
      </c>
      <c r="T82" s="13">
        <f>$I$10*$T$10</f>
        <v>0</v>
      </c>
      <c r="U82" s="13">
        <f>$I$10*$U$10</f>
        <v>0</v>
      </c>
      <c r="V82" s="13">
        <f>$I$10*$V$10</f>
        <v>0</v>
      </c>
      <c r="W82" s="13">
        <f>$I$10*$W$10</f>
        <v>0</v>
      </c>
      <c r="X82" s="13">
        <f>$I$10*$X$10</f>
        <v>0</v>
      </c>
      <c r="Y82" s="13">
        <f>$I$10*$Y$10</f>
        <v>0</v>
      </c>
      <c r="Z82" s="13">
        <f>$I$10*$Z$10</f>
        <v>0</v>
      </c>
      <c r="AA82" s="13">
        <f>$I$10*$AA$10</f>
        <v>0</v>
      </c>
      <c r="AB82" s="13">
        <f ca="1">$I$10*$AB$10</f>
        <v>0</v>
      </c>
      <c r="AC82" s="13">
        <f ca="1">$I$10*$AC$10</f>
        <v>0</v>
      </c>
      <c r="AD82" s="13">
        <f>$I$10*$AD$10</f>
        <v>0</v>
      </c>
      <c r="AE82" s="13">
        <f>$I$10*$AE$10</f>
        <v>0</v>
      </c>
      <c r="AF82" s="13">
        <f ca="1">$I$10*$AF$10</f>
        <v>0</v>
      </c>
      <c r="AG82" s="13">
        <f ca="1">$I$10*$AG$10</f>
        <v>0</v>
      </c>
      <c r="AI82" s="13">
        <f>$I$10*$AI$10</f>
        <v>0</v>
      </c>
      <c r="AJ82" s="13">
        <f>$I$10*$AJ$10</f>
        <v>0</v>
      </c>
      <c r="AK82" s="13">
        <f>$I$10*$AK$10</f>
        <v>0</v>
      </c>
      <c r="AL82" s="13">
        <f>$I$10*$AL$10</f>
        <v>0</v>
      </c>
      <c r="AM82" s="13">
        <f>$I$10*$AM$10</f>
        <v>0</v>
      </c>
      <c r="AN82" s="13">
        <f>$I$10*$AN$10</f>
        <v>0</v>
      </c>
      <c r="AO82" s="13">
        <f>$I$10*$AO$10</f>
        <v>0</v>
      </c>
      <c r="AP82" s="13">
        <f>$I$10*$AP$10</f>
        <v>0</v>
      </c>
      <c r="AQ82" s="13">
        <f>$I$10*$AQ$10</f>
        <v>0</v>
      </c>
      <c r="AR82" s="13">
        <f>$I$10*$AR$10</f>
        <v>0</v>
      </c>
      <c r="AS82" s="13">
        <f>$I$10*$AS$10</f>
        <v>0</v>
      </c>
      <c r="AT82" s="13">
        <f>$I$10*$AT$10</f>
        <v>0</v>
      </c>
      <c r="AU82" s="13">
        <f>$I$10*$AU$10</f>
        <v>0</v>
      </c>
      <c r="AV82" s="13">
        <f>$I$10*$AV$10</f>
        <v>0</v>
      </c>
      <c r="AW82" s="13">
        <f>$I$10*$AW$10</f>
        <v>0</v>
      </c>
      <c r="AX82" s="13">
        <f>$I$10*$AX$10</f>
        <v>0</v>
      </c>
      <c r="AY82" s="13">
        <f>$I$10*$AY$10</f>
        <v>0</v>
      </c>
      <c r="AZ82" s="13">
        <f>$I$10*$AZ$10</f>
        <v>0</v>
      </c>
      <c r="BA82" s="13">
        <f>$I$10*$BA$10</f>
        <v>0</v>
      </c>
      <c r="BB82" s="13">
        <f>$I$10*$BB$10</f>
        <v>0</v>
      </c>
      <c r="BC82" s="13">
        <f>$I$10*$BC$10</f>
        <v>0</v>
      </c>
      <c r="BD82" s="13">
        <f>$I$10*$BD$10</f>
        <v>0</v>
      </c>
    </row>
    <row r="83" spans="1:56" ht="11.25" customHeight="1" x14ac:dyDescent="0.3">
      <c r="A83" s="9" t="s">
        <v>60</v>
      </c>
      <c r="B83" s="9" t="s">
        <v>1072</v>
      </c>
      <c r="C83" s="9" t="s">
        <v>1073</v>
      </c>
      <c r="D83" s="9" t="s">
        <v>1074</v>
      </c>
      <c r="E83" s="9" t="s">
        <v>1075</v>
      </c>
      <c r="F83" s="9" t="s">
        <v>1076</v>
      </c>
      <c r="G83" s="9" t="s">
        <v>1079</v>
      </c>
      <c r="L83" s="13">
        <f>$I$11*$L$11</f>
        <v>0</v>
      </c>
      <c r="M83" s="13">
        <f>$I$11*$M$11</f>
        <v>0</v>
      </c>
      <c r="N83" s="13">
        <f ca="1">$I$11*$N$11</f>
        <v>0</v>
      </c>
      <c r="O83" s="13">
        <f>$I$11*$O$11</f>
        <v>0</v>
      </c>
      <c r="P83" s="13">
        <f>$I$11*$P$11</f>
        <v>0</v>
      </c>
      <c r="Q83" s="13">
        <f>$I$11*$Q$11</f>
        <v>0</v>
      </c>
      <c r="R83" s="13">
        <f>$I$11*$R$11</f>
        <v>0</v>
      </c>
      <c r="S83" s="13">
        <f>$I$11*$S$11</f>
        <v>0</v>
      </c>
      <c r="T83" s="13">
        <f>$I$11*$T$11</f>
        <v>0</v>
      </c>
      <c r="U83" s="13">
        <f>$I$11*$U$11</f>
        <v>0</v>
      </c>
      <c r="V83" s="13">
        <f>$I$11*$V$11</f>
        <v>0</v>
      </c>
      <c r="W83" s="13">
        <f>$I$11*$W$11</f>
        <v>0</v>
      </c>
      <c r="X83" s="13">
        <f>$I$11*$X$11</f>
        <v>0</v>
      </c>
      <c r="Y83" s="13">
        <f>$I$11*$Y$11</f>
        <v>0</v>
      </c>
      <c r="Z83" s="13">
        <f>$I$11*$Z$11</f>
        <v>0</v>
      </c>
      <c r="AA83" s="13">
        <f>$I$11*$AA$11</f>
        <v>0</v>
      </c>
      <c r="AB83" s="13">
        <f ca="1">$I$11*$AB$11</f>
        <v>0</v>
      </c>
      <c r="AC83" s="13">
        <f ca="1">$I$11*$AC$11</f>
        <v>0</v>
      </c>
      <c r="AD83" s="13">
        <f>$I$11*$AD$11</f>
        <v>0</v>
      </c>
      <c r="AE83" s="13">
        <f>$I$11*$AE$11</f>
        <v>0</v>
      </c>
      <c r="AF83" s="13">
        <f ca="1">$I$11*$AF$11</f>
        <v>0</v>
      </c>
      <c r="AG83" s="13">
        <f ca="1">$I$11*$AG$11</f>
        <v>0</v>
      </c>
      <c r="AI83" s="13">
        <f>$I$11*$AI$11</f>
        <v>0</v>
      </c>
      <c r="AJ83" s="13">
        <f>$I$11*$AJ$11</f>
        <v>0</v>
      </c>
      <c r="AK83" s="13">
        <f>$I$11*$AK$11</f>
        <v>0</v>
      </c>
      <c r="AL83" s="13">
        <f>$I$11*$AL$11</f>
        <v>0</v>
      </c>
      <c r="AM83" s="13">
        <f>$I$11*$AM$11</f>
        <v>0</v>
      </c>
      <c r="AN83" s="13">
        <f>$I$11*$AN$11</f>
        <v>0</v>
      </c>
      <c r="AO83" s="13">
        <f>$I$11*$AO$11</f>
        <v>0</v>
      </c>
      <c r="AP83" s="13">
        <f>$I$11*$AP$11</f>
        <v>0</v>
      </c>
      <c r="AQ83" s="13">
        <f>$I$11*$AQ$11</f>
        <v>0</v>
      </c>
      <c r="AR83" s="13">
        <f>$I$11*$AR$11</f>
        <v>0</v>
      </c>
      <c r="AS83" s="13">
        <f>$I$11*$AS$11</f>
        <v>0</v>
      </c>
      <c r="AT83" s="13">
        <f>$I$11*$AT$11</f>
        <v>0</v>
      </c>
      <c r="AU83" s="13">
        <f>$I$11*$AU$11</f>
        <v>0</v>
      </c>
      <c r="AV83" s="13">
        <f>$I$11*$AV$11</f>
        <v>0</v>
      </c>
      <c r="AW83" s="13">
        <f>$I$11*$AW$11</f>
        <v>0</v>
      </c>
      <c r="AX83" s="13">
        <f>$I$11*$AX$11</f>
        <v>0</v>
      </c>
      <c r="AY83" s="13">
        <f>$I$11*$AY$11</f>
        <v>0</v>
      </c>
      <c r="AZ83" s="13">
        <f>$I$11*$AZ$11</f>
        <v>0</v>
      </c>
      <c r="BA83" s="13">
        <f>$I$11*$BA$11</f>
        <v>0</v>
      </c>
      <c r="BB83" s="13">
        <f>$I$11*$BB$11</f>
        <v>0</v>
      </c>
      <c r="BC83" s="13">
        <f>$I$11*$BC$11</f>
        <v>0</v>
      </c>
      <c r="BD83" s="13">
        <f>$I$11*$BD$11</f>
        <v>0</v>
      </c>
    </row>
    <row r="84" spans="1:56" ht="11.25" customHeight="1" x14ac:dyDescent="0.3">
      <c r="A84" s="9" t="s">
        <v>60</v>
      </c>
      <c r="B84" s="9" t="s">
        <v>1072</v>
      </c>
      <c r="C84" s="9" t="s">
        <v>1073</v>
      </c>
      <c r="D84" s="9" t="s">
        <v>1074</v>
      </c>
      <c r="E84" s="9" t="s">
        <v>1080</v>
      </c>
      <c r="F84" s="9" t="s">
        <v>1081</v>
      </c>
      <c r="G84" s="9" t="s">
        <v>1082</v>
      </c>
      <c r="L84" s="13">
        <f>$I$12*$L$12</f>
        <v>0</v>
      </c>
      <c r="M84" s="13">
        <f>$I$12*$M$12</f>
        <v>0</v>
      </c>
      <c r="N84" s="13">
        <f ca="1">$I$12*$N$12</f>
        <v>0</v>
      </c>
      <c r="O84" s="13">
        <f>$I$12*$O$12</f>
        <v>0</v>
      </c>
      <c r="P84" s="13">
        <f>$I$12*$P$12</f>
        <v>0</v>
      </c>
      <c r="Q84" s="13">
        <f>$I$12*$Q$12</f>
        <v>0</v>
      </c>
      <c r="R84" s="13">
        <f>$I$12*$R$12</f>
        <v>0</v>
      </c>
      <c r="S84" s="13">
        <f>$I$12*$S$12</f>
        <v>0</v>
      </c>
      <c r="T84" s="13">
        <f>$I$12*$T$12</f>
        <v>0</v>
      </c>
      <c r="U84" s="13">
        <f>$I$12*$U$12</f>
        <v>0</v>
      </c>
      <c r="V84" s="13">
        <f>$I$12*$V$12</f>
        <v>0</v>
      </c>
      <c r="W84" s="13">
        <f>$I$12*$W$12</f>
        <v>0</v>
      </c>
      <c r="X84" s="13">
        <f>$I$12*$X$12</f>
        <v>0</v>
      </c>
      <c r="Y84" s="13">
        <f>$I$12*$Y$12</f>
        <v>0</v>
      </c>
      <c r="Z84" s="13">
        <f>$I$12*$Z$12</f>
        <v>0</v>
      </c>
      <c r="AA84" s="13">
        <f>$I$12*$AA$12</f>
        <v>0</v>
      </c>
      <c r="AB84" s="13">
        <f ca="1">$I$12*$AB$12</f>
        <v>0</v>
      </c>
      <c r="AC84" s="13">
        <f ca="1">$I$12*$AC$12</f>
        <v>0</v>
      </c>
      <c r="AD84" s="13">
        <f>$I$12*$AD$12</f>
        <v>0</v>
      </c>
      <c r="AE84" s="13">
        <f>$I$12*$AE$12</f>
        <v>0</v>
      </c>
      <c r="AF84" s="13">
        <f ca="1">$I$12*$AF$12</f>
        <v>0</v>
      </c>
      <c r="AG84" s="13">
        <f ca="1">$I$12*$AG$12</f>
        <v>0</v>
      </c>
      <c r="AI84" s="13">
        <f>$I$12*$AI$12</f>
        <v>0</v>
      </c>
      <c r="AJ84" s="13">
        <f>$I$12*$AJ$12</f>
        <v>0</v>
      </c>
      <c r="AK84" s="13">
        <f>$I$12*$AK$12</f>
        <v>0</v>
      </c>
      <c r="AL84" s="13">
        <f>$I$12*$AL$12</f>
        <v>0</v>
      </c>
      <c r="AM84" s="13">
        <f>$I$12*$AM$12</f>
        <v>0</v>
      </c>
      <c r="AN84" s="13">
        <f>$I$12*$AN$12</f>
        <v>0</v>
      </c>
      <c r="AO84" s="13">
        <f>$I$12*$AO$12</f>
        <v>0</v>
      </c>
      <c r="AP84" s="13">
        <f>$I$12*$AP$12</f>
        <v>0</v>
      </c>
      <c r="AQ84" s="13">
        <f>$I$12*$AQ$12</f>
        <v>0</v>
      </c>
      <c r="AR84" s="13">
        <f>$I$12*$AR$12</f>
        <v>0</v>
      </c>
      <c r="AS84" s="13">
        <f>$I$12*$AS$12</f>
        <v>0</v>
      </c>
      <c r="AT84" s="13">
        <f>$I$12*$AT$12</f>
        <v>0</v>
      </c>
      <c r="AU84" s="13">
        <f>$I$12*$AU$12</f>
        <v>0</v>
      </c>
      <c r="AV84" s="13">
        <f>$I$12*$AV$12</f>
        <v>0</v>
      </c>
      <c r="AW84" s="13">
        <f>$I$12*$AW$12</f>
        <v>0</v>
      </c>
      <c r="AX84" s="13">
        <f>$I$12*$AX$12</f>
        <v>0</v>
      </c>
      <c r="AY84" s="13">
        <f>$I$12*$AY$12</f>
        <v>0</v>
      </c>
      <c r="AZ84" s="13">
        <f>$I$12*$AZ$12</f>
        <v>0</v>
      </c>
      <c r="BA84" s="13">
        <f>$I$12*$BA$12</f>
        <v>0</v>
      </c>
      <c r="BB84" s="13">
        <f>$I$12*$BB$12</f>
        <v>0</v>
      </c>
      <c r="BC84" s="13">
        <f>$I$12*$BC$12</f>
        <v>0</v>
      </c>
      <c r="BD84" s="13">
        <f>$I$12*$BD$12</f>
        <v>0</v>
      </c>
    </row>
    <row r="85" spans="1:56" ht="11.25" customHeight="1" x14ac:dyDescent="0.3">
      <c r="A85" s="9" t="s">
        <v>60</v>
      </c>
      <c r="B85" s="9" t="s">
        <v>1083</v>
      </c>
      <c r="C85" s="9" t="s">
        <v>1084</v>
      </c>
      <c r="D85" s="9" t="s">
        <v>1085</v>
      </c>
      <c r="E85" s="9" t="s">
        <v>1086</v>
      </c>
      <c r="F85" s="9" t="s">
        <v>1087</v>
      </c>
      <c r="G85" s="9" t="s">
        <v>1088</v>
      </c>
      <c r="L85" s="13">
        <f>$I$13*$L$13</f>
        <v>0</v>
      </c>
      <c r="M85" s="13">
        <f>$I$13*$M$13</f>
        <v>2388.8986371284404</v>
      </c>
      <c r="N85" s="13">
        <f ca="1">$I$13*$N$13</f>
        <v>7175.0100137013487</v>
      </c>
      <c r="O85" s="13">
        <f>$I$13*$O$13</f>
        <v>0</v>
      </c>
      <c r="P85" s="13">
        <f>$I$13*$P$13</f>
        <v>0</v>
      </c>
      <c r="Q85" s="13">
        <f>$I$13*$Q$13</f>
        <v>0</v>
      </c>
      <c r="R85" s="13">
        <f>$I$13*$R$13</f>
        <v>0</v>
      </c>
      <c r="S85" s="13">
        <f>$I$13*$S$13</f>
        <v>0</v>
      </c>
      <c r="T85" s="13">
        <f>$I$13*$T$13</f>
        <v>617298.47679467453</v>
      </c>
      <c r="U85" s="13">
        <f>$I$13*$U$13</f>
        <v>253038.41511755169</v>
      </c>
      <c r="V85" s="13">
        <f>$I$13*$V$13</f>
        <v>57673.449626639311</v>
      </c>
      <c r="W85" s="13">
        <f>$I$13*$W$13</f>
        <v>0</v>
      </c>
      <c r="X85" s="13">
        <f>$I$13*$X$13</f>
        <v>0</v>
      </c>
      <c r="Y85" s="13">
        <f>$I$13*$Y$13</f>
        <v>0</v>
      </c>
      <c r="Z85" s="13">
        <f>$I$13*$Z$13</f>
        <v>0</v>
      </c>
      <c r="AA85" s="13">
        <f>$I$13*$AA$13</f>
        <v>148074.71361210712</v>
      </c>
      <c r="AB85" s="13">
        <f ca="1">$I$13*$AB$13</f>
        <v>0</v>
      </c>
      <c r="AC85" s="13">
        <f ca="1">$I$13*$AC$13</f>
        <v>0</v>
      </c>
      <c r="AD85" s="13">
        <f>$I$13*$AD$13</f>
        <v>0</v>
      </c>
      <c r="AE85" s="13">
        <f>$I$13*$AE$13</f>
        <v>0</v>
      </c>
      <c r="AF85" s="13">
        <f ca="1">$I$13*$AF$13</f>
        <v>0</v>
      </c>
      <c r="AG85" s="13">
        <f ca="1">$I$13*$AG$13</f>
        <v>0</v>
      </c>
      <c r="AI85" s="13">
        <f>$I$13*$AI$13</f>
        <v>0</v>
      </c>
      <c r="AJ85" s="13">
        <f>$I$13*$AJ$13</f>
        <v>2154.0433484087671</v>
      </c>
      <c r="AK85" s="13">
        <f>$I$13*$AK$13</f>
        <v>6736.0349786407887</v>
      </c>
      <c r="AL85" s="13">
        <f>$I$13*$AL$13</f>
        <v>0</v>
      </c>
      <c r="AM85" s="13">
        <f>$I$13*$AM$13</f>
        <v>0</v>
      </c>
      <c r="AN85" s="13">
        <f>$I$13*$AN$13</f>
        <v>0</v>
      </c>
      <c r="AO85" s="13">
        <f>$I$13*$AO$13</f>
        <v>0</v>
      </c>
      <c r="AP85" s="13">
        <f>$I$13*$AP$13</f>
        <v>0</v>
      </c>
      <c r="AQ85" s="13">
        <f>$I$13*$AQ$13</f>
        <v>595240.20531551528</v>
      </c>
      <c r="AR85" s="13">
        <f>$I$13*$AR$13</f>
        <v>243915.63652134716</v>
      </c>
      <c r="AS85" s="13">
        <f>$I$13*$AS$13</f>
        <v>52354.65246153911</v>
      </c>
      <c r="AT85" s="13">
        <f>$I$13*$AT$13</f>
        <v>0</v>
      </c>
      <c r="AU85" s="13">
        <f>$I$13*$AU$13</f>
        <v>0</v>
      </c>
      <c r="AV85" s="13">
        <f>$I$13*$AV$13</f>
        <v>0</v>
      </c>
      <c r="AW85" s="13">
        <f>$I$13*$AW$13</f>
        <v>0</v>
      </c>
      <c r="AX85" s="13">
        <f>$I$13*$AX$13</f>
        <v>132024.64241490263</v>
      </c>
      <c r="AY85" s="13">
        <f>$I$13*$AY$13</f>
        <v>0</v>
      </c>
      <c r="AZ85" s="13">
        <f>$I$13*$AZ$13</f>
        <v>0</v>
      </c>
      <c r="BA85" s="13">
        <f>$I$13*$BA$13</f>
        <v>0</v>
      </c>
      <c r="BB85" s="13">
        <f>$I$13*$BB$13</f>
        <v>0</v>
      </c>
      <c r="BC85" s="13">
        <f>$I$13*$BC$13</f>
        <v>0</v>
      </c>
      <c r="BD85" s="13">
        <f>$I$13*$BD$13</f>
        <v>0</v>
      </c>
    </row>
    <row r="86" spans="1:56" ht="11.25" customHeight="1" x14ac:dyDescent="0.3">
      <c r="A86" s="9" t="s">
        <v>39</v>
      </c>
      <c r="B86" s="9" t="s">
        <v>1089</v>
      </c>
      <c r="C86" s="9" t="s">
        <v>1090</v>
      </c>
      <c r="D86" s="9" t="s">
        <v>1091</v>
      </c>
      <c r="E86" s="9" t="s">
        <v>1092</v>
      </c>
      <c r="F86" s="9" t="s">
        <v>1093</v>
      </c>
      <c r="G86" s="9" t="s">
        <v>1094</v>
      </c>
      <c r="L86" s="13">
        <f>$I$14*$L$14</f>
        <v>0</v>
      </c>
      <c r="M86" s="13">
        <f>$I$14*$M$14</f>
        <v>0</v>
      </c>
      <c r="N86" s="13">
        <f ca="1">$I$14*$N$14</f>
        <v>0</v>
      </c>
      <c r="O86" s="13">
        <f>$I$14*$O$14</f>
        <v>0</v>
      </c>
      <c r="P86" s="13">
        <f>$I$14*$P$14</f>
        <v>0</v>
      </c>
      <c r="Q86" s="13">
        <f>$I$14*$Q$14</f>
        <v>0</v>
      </c>
      <c r="R86" s="13">
        <f>$I$14*$R$14</f>
        <v>0</v>
      </c>
      <c r="S86" s="13">
        <f>$I$14*$S$14</f>
        <v>0</v>
      </c>
      <c r="T86" s="13">
        <f>$I$14*$T$14</f>
        <v>2086322.5303779484</v>
      </c>
      <c r="U86" s="13">
        <f>$I$14*$U$14</f>
        <v>420469.15710467991</v>
      </c>
      <c r="V86" s="13">
        <f>$I$14*$V$14</f>
        <v>61624.236160179826</v>
      </c>
      <c r="W86" s="13">
        <f>$I$14*$W$14</f>
        <v>0</v>
      </c>
      <c r="X86" s="13">
        <f>$I$14*$X$14</f>
        <v>0</v>
      </c>
      <c r="Y86" s="13">
        <f>$I$14*$Y$14</f>
        <v>0</v>
      </c>
      <c r="Z86" s="13">
        <f>$I$14*$Z$14</f>
        <v>0</v>
      </c>
      <c r="AA86" s="13">
        <f>$I$14*$AA$14</f>
        <v>11989611.405863188</v>
      </c>
      <c r="AB86" s="13">
        <f ca="1">$I$14*$AB$14</f>
        <v>0</v>
      </c>
      <c r="AC86" s="13">
        <f ca="1">$I$14*$AC$14</f>
        <v>0</v>
      </c>
      <c r="AD86" s="13">
        <f>$I$14*$AD$14</f>
        <v>0</v>
      </c>
      <c r="AE86" s="13">
        <f>$I$14*$AE$14</f>
        <v>0</v>
      </c>
      <c r="AF86" s="13">
        <f ca="1">$I$14*$AF$14</f>
        <v>0</v>
      </c>
      <c r="AG86" s="13">
        <f ca="1">$I$14*$AG$14</f>
        <v>0</v>
      </c>
      <c r="AI86" s="13">
        <f>$I$14*$AI$14</f>
        <v>0</v>
      </c>
      <c r="AJ86" s="13">
        <f>$I$14*$AJ$14</f>
        <v>0</v>
      </c>
      <c r="AK86" s="13">
        <f>$I$14*$AK$14</f>
        <v>0</v>
      </c>
      <c r="AL86" s="13">
        <f>$I$14*$AL$14</f>
        <v>0</v>
      </c>
      <c r="AM86" s="13">
        <f>$I$14*$AM$14</f>
        <v>0</v>
      </c>
      <c r="AN86" s="13">
        <f>$I$14*$AN$14</f>
        <v>0</v>
      </c>
      <c r="AO86" s="13">
        <f>$I$14*$AO$14</f>
        <v>0</v>
      </c>
      <c r="AP86" s="13">
        <f>$I$14*$AP$14</f>
        <v>0</v>
      </c>
      <c r="AQ86" s="13">
        <f>$I$14*$AQ$14</f>
        <v>1730166.3899857202</v>
      </c>
      <c r="AR86" s="13">
        <f>$I$14*$AR$14</f>
        <v>497163.26876496564</v>
      </c>
      <c r="AS86" s="13">
        <f>$I$14*$AS$14</f>
        <v>5940.6000114240187</v>
      </c>
      <c r="AT86" s="13">
        <f>$I$14*$AT$14</f>
        <v>0</v>
      </c>
      <c r="AU86" s="13">
        <f>$I$14*$AU$14</f>
        <v>0</v>
      </c>
      <c r="AV86" s="13">
        <f>$I$14*$AV$14</f>
        <v>0</v>
      </c>
      <c r="AW86" s="13">
        <f>$I$14*$AW$14</f>
        <v>0</v>
      </c>
      <c r="AX86" s="13">
        <f>$I$14*$AX$14</f>
        <v>10476963.141461145</v>
      </c>
      <c r="AY86" s="13">
        <f>$I$14*$AY$14</f>
        <v>0</v>
      </c>
      <c r="AZ86" s="13">
        <f>$I$14*$AZ$14</f>
        <v>0</v>
      </c>
      <c r="BA86" s="13">
        <f>$I$14*$BA$14</f>
        <v>0</v>
      </c>
      <c r="BB86" s="13">
        <f>$I$14*$BB$14</f>
        <v>0</v>
      </c>
      <c r="BC86" s="13">
        <f>$I$14*$BC$14</f>
        <v>0</v>
      </c>
      <c r="BD86" s="13">
        <f>$I$14*$BD$14</f>
        <v>0</v>
      </c>
    </row>
    <row r="87" spans="1:56" ht="11.25" customHeight="1" x14ac:dyDescent="0.3">
      <c r="A87" s="9" t="s">
        <v>39</v>
      </c>
      <c r="B87" s="9" t="s">
        <v>1089</v>
      </c>
      <c r="C87" s="9" t="s">
        <v>1090</v>
      </c>
      <c r="D87" s="9" t="s">
        <v>1091</v>
      </c>
      <c r="E87" s="9" t="s">
        <v>1092</v>
      </c>
      <c r="F87" s="9" t="s">
        <v>1093</v>
      </c>
      <c r="G87" s="9" t="s">
        <v>1095</v>
      </c>
      <c r="L87" s="13">
        <f>$I$15*$L$15</f>
        <v>0</v>
      </c>
      <c r="M87" s="13">
        <f>$I$15*$M$15</f>
        <v>0</v>
      </c>
      <c r="N87" s="13">
        <f ca="1">$I$15*$N$15</f>
        <v>0</v>
      </c>
      <c r="O87" s="13">
        <f>$I$15*$O$15</f>
        <v>0</v>
      </c>
      <c r="P87" s="13">
        <f>$I$15*$P$15</f>
        <v>0</v>
      </c>
      <c r="Q87" s="13">
        <f>$I$15*$Q$15</f>
        <v>0</v>
      </c>
      <c r="R87" s="13">
        <f>$I$15*$R$15</f>
        <v>0</v>
      </c>
      <c r="S87" s="13">
        <f>$I$15*$S$15</f>
        <v>0</v>
      </c>
      <c r="T87" s="13">
        <f>$I$15*$T$15</f>
        <v>1520942.0949730508</v>
      </c>
      <c r="U87" s="13">
        <f>$I$15*$U$15</f>
        <v>308974.88174787269</v>
      </c>
      <c r="V87" s="13">
        <f>$I$15*$V$15</f>
        <v>43381.686697774006</v>
      </c>
      <c r="W87" s="13">
        <f>$I$15*$W$15</f>
        <v>0</v>
      </c>
      <c r="X87" s="13">
        <f>$I$15*$X$15</f>
        <v>0</v>
      </c>
      <c r="Y87" s="13">
        <f>$I$15*$Y$15</f>
        <v>0</v>
      </c>
      <c r="Z87" s="13">
        <f>$I$15*$Z$15</f>
        <v>0</v>
      </c>
      <c r="AA87" s="13">
        <f>$I$15*$AA$15</f>
        <v>4077852.3049306641</v>
      </c>
      <c r="AB87" s="13">
        <f ca="1">$I$15*$AB$15</f>
        <v>0</v>
      </c>
      <c r="AC87" s="13">
        <f ca="1">$I$15*$AC$15</f>
        <v>0</v>
      </c>
      <c r="AD87" s="13">
        <f>$I$15*$AD$15</f>
        <v>0</v>
      </c>
      <c r="AE87" s="13">
        <f>$I$15*$AE$15</f>
        <v>0</v>
      </c>
      <c r="AF87" s="13">
        <f ca="1">$I$15*$AF$15</f>
        <v>0</v>
      </c>
      <c r="AG87" s="13">
        <f ca="1">$I$15*$AG$15</f>
        <v>0</v>
      </c>
      <c r="AI87" s="13">
        <f>$I$15*$AI$15</f>
        <v>0</v>
      </c>
      <c r="AJ87" s="13">
        <f>$I$15*$AJ$15</f>
        <v>0</v>
      </c>
      <c r="AK87" s="13">
        <f>$I$15*$AK$15</f>
        <v>0</v>
      </c>
      <c r="AL87" s="13">
        <f>$I$15*$AL$15</f>
        <v>0</v>
      </c>
      <c r="AM87" s="13">
        <f>$I$15*$AM$15</f>
        <v>0</v>
      </c>
      <c r="AN87" s="13">
        <f>$I$15*$AN$15</f>
        <v>0</v>
      </c>
      <c r="AO87" s="13">
        <f>$I$15*$AO$15</f>
        <v>0</v>
      </c>
      <c r="AP87" s="13">
        <f>$I$15*$AP$15</f>
        <v>0</v>
      </c>
      <c r="AQ87" s="13">
        <f>$I$15*$AQ$15</f>
        <v>1261302.0544623709</v>
      </c>
      <c r="AR87" s="13">
        <f>$I$15*$AR$15</f>
        <v>365332.29508150951</v>
      </c>
      <c r="AS87" s="13">
        <f>$I$15*$AS$15</f>
        <v>4182.011243474326</v>
      </c>
      <c r="AT87" s="13">
        <f>$I$15*$AT$15</f>
        <v>0</v>
      </c>
      <c r="AU87" s="13">
        <f>$I$15*$AU$15</f>
        <v>0</v>
      </c>
      <c r="AV87" s="13">
        <f>$I$15*$AV$15</f>
        <v>0</v>
      </c>
      <c r="AW87" s="13">
        <f>$I$15*$AW$15</f>
        <v>0</v>
      </c>
      <c r="AX87" s="13">
        <f>$I$15*$AX$15</f>
        <v>3563377.2312410614</v>
      </c>
      <c r="AY87" s="13">
        <f>$I$15*$AY$15</f>
        <v>0</v>
      </c>
      <c r="AZ87" s="13">
        <f>$I$15*$AZ$15</f>
        <v>0</v>
      </c>
      <c r="BA87" s="13">
        <f>$I$15*$BA$15</f>
        <v>0</v>
      </c>
      <c r="BB87" s="13">
        <f>$I$15*$BB$15</f>
        <v>0</v>
      </c>
      <c r="BC87" s="13">
        <f>$I$15*$BC$15</f>
        <v>0</v>
      </c>
      <c r="BD87" s="13">
        <f>$I$15*$BD$15</f>
        <v>0</v>
      </c>
    </row>
    <row r="88" spans="1:56" ht="11.25" customHeight="1" x14ac:dyDescent="0.3">
      <c r="A88" s="9" t="s">
        <v>39</v>
      </c>
      <c r="B88" s="9" t="s">
        <v>1089</v>
      </c>
      <c r="C88" s="9" t="s">
        <v>1090</v>
      </c>
      <c r="D88" s="9" t="s">
        <v>1091</v>
      </c>
      <c r="E88" s="9" t="s">
        <v>1092</v>
      </c>
      <c r="F88" s="9" t="s">
        <v>1093</v>
      </c>
      <c r="G88" s="9" t="s">
        <v>1096</v>
      </c>
      <c r="L88" s="13">
        <f>$I$16*$L$16</f>
        <v>978563.17266213347</v>
      </c>
      <c r="M88" s="13">
        <f>$I$16*$M$16</f>
        <v>87912.067245179147</v>
      </c>
      <c r="N88" s="13">
        <f ca="1">$I$16*$N$16</f>
        <v>69029.839027101349</v>
      </c>
      <c r="O88" s="13">
        <f>$I$16*$O$16</f>
        <v>0</v>
      </c>
      <c r="P88" s="13">
        <f>$I$16*$P$16</f>
        <v>0</v>
      </c>
      <c r="Q88" s="13">
        <f>$I$16*$Q$16</f>
        <v>15934896.378657058</v>
      </c>
      <c r="R88" s="13">
        <f>$I$16*$R$16</f>
        <v>3248715.7795573496</v>
      </c>
      <c r="S88" s="13">
        <f>$I$16*$S$16</f>
        <v>0</v>
      </c>
      <c r="T88" s="13">
        <f>$I$16*$T$16</f>
        <v>0</v>
      </c>
      <c r="U88" s="13">
        <f>$I$16*$U$16</f>
        <v>0</v>
      </c>
      <c r="V88" s="13">
        <f>$I$16*$V$16</f>
        <v>0</v>
      </c>
      <c r="W88" s="13">
        <f>$I$16*$W$16</f>
        <v>0</v>
      </c>
      <c r="X88" s="13">
        <f>$I$16*$X$16</f>
        <v>0</v>
      </c>
      <c r="Y88" s="13">
        <f>$I$16*$Y$16</f>
        <v>0</v>
      </c>
      <c r="Z88" s="13">
        <f>$I$16*$Z$16</f>
        <v>0</v>
      </c>
      <c r="AA88" s="13">
        <f>$I$16*$AA$16</f>
        <v>0</v>
      </c>
      <c r="AB88" s="13">
        <f ca="1">$I$16*$AB$16</f>
        <v>0</v>
      </c>
      <c r="AC88" s="13">
        <f ca="1">$I$16*$AC$16</f>
        <v>0</v>
      </c>
      <c r="AD88" s="13">
        <f>$I$16*$AD$16</f>
        <v>813220.34216809866</v>
      </c>
      <c r="AE88" s="13">
        <f>$I$16*$AE$16</f>
        <v>14093.989217702554</v>
      </c>
      <c r="AF88" s="13">
        <f ca="1">$I$16*$AF$16</f>
        <v>243065.24438537666</v>
      </c>
      <c r="AG88" s="13">
        <f ca="1">$I$16*$AG$16</f>
        <v>33698.400109541297</v>
      </c>
      <c r="AI88" s="13">
        <f>$I$16*$AI$16</f>
        <v>1027624.6517829925</v>
      </c>
      <c r="AJ88" s="13">
        <f>$I$16*$AJ$16</f>
        <v>73197.760031735364</v>
      </c>
      <c r="AK88" s="13">
        <f>$I$16*$AK$16</f>
        <v>53236.853804244121</v>
      </c>
      <c r="AL88" s="13">
        <f>$I$16*$AL$16</f>
        <v>0</v>
      </c>
      <c r="AM88" s="13">
        <f>$I$16*$AM$16</f>
        <v>0</v>
      </c>
      <c r="AN88" s="13">
        <f>$I$16*$AN$16</f>
        <v>8790006.5835064463</v>
      </c>
      <c r="AO88" s="13">
        <f>$I$16*$AO$16</f>
        <v>1767452.9659400729</v>
      </c>
      <c r="AP88" s="13">
        <f>$I$16*$AP$16</f>
        <v>0</v>
      </c>
      <c r="AQ88" s="13">
        <f>$I$16*$AQ$16</f>
        <v>0</v>
      </c>
      <c r="AR88" s="13">
        <f>$I$16*$AR$16</f>
        <v>0</v>
      </c>
      <c r="AS88" s="13">
        <f>$I$16*$AS$16</f>
        <v>0</v>
      </c>
      <c r="AT88" s="13">
        <f>$I$16*$AT$16</f>
        <v>0</v>
      </c>
      <c r="AU88" s="13">
        <f>$I$16*$AU$16</f>
        <v>0</v>
      </c>
      <c r="AV88" s="13">
        <f>$I$16*$AV$16</f>
        <v>0</v>
      </c>
      <c r="AW88" s="13">
        <f>$I$16*$AW$16</f>
        <v>0</v>
      </c>
      <c r="AX88" s="13">
        <f>$I$16*$AX$16</f>
        <v>0</v>
      </c>
      <c r="AY88" s="13">
        <f>$I$16*$AY$16</f>
        <v>0</v>
      </c>
      <c r="AZ88" s="13">
        <f>$I$16*$AZ$16</f>
        <v>0</v>
      </c>
      <c r="BA88" s="13">
        <f>$I$16*$BA$16</f>
        <v>686593.49102379428</v>
      </c>
      <c r="BB88" s="13">
        <f>$I$16*$BB$16</f>
        <v>13929.415461531606</v>
      </c>
      <c r="BC88" s="13">
        <f>$I$16*$BC$16</f>
        <v>208234.50615149719</v>
      </c>
      <c r="BD88" s="13">
        <f>$I$16*$BD$16</f>
        <v>34724.001658358116</v>
      </c>
    </row>
    <row r="89" spans="1:56" ht="11.25" customHeight="1" x14ac:dyDescent="0.3">
      <c r="A89" s="9" t="s">
        <v>39</v>
      </c>
      <c r="B89" s="9" t="s">
        <v>1089</v>
      </c>
      <c r="C89" s="9" t="s">
        <v>1090</v>
      </c>
      <c r="D89" s="9" t="s">
        <v>1091</v>
      </c>
      <c r="E89" s="9" t="s">
        <v>1097</v>
      </c>
      <c r="F89" s="9" t="s">
        <v>1098</v>
      </c>
      <c r="G89" s="9" t="s">
        <v>1099</v>
      </c>
      <c r="L89" s="13">
        <f>$I$17*$L$17</f>
        <v>0</v>
      </c>
      <c r="M89" s="13">
        <f>$I$17*$M$17</f>
        <v>0</v>
      </c>
      <c r="N89" s="13">
        <f ca="1">$I$17*$N$17</f>
        <v>0</v>
      </c>
      <c r="O89" s="13">
        <f>$I$17*$O$17</f>
        <v>0</v>
      </c>
      <c r="P89" s="13">
        <f>$I$17*$P$17</f>
        <v>0</v>
      </c>
      <c r="Q89" s="13">
        <f>$I$17*$Q$17</f>
        <v>0</v>
      </c>
      <c r="R89" s="13">
        <f>$I$17*$R$17</f>
        <v>0</v>
      </c>
      <c r="S89" s="13">
        <f>$I$17*$S$17</f>
        <v>0</v>
      </c>
      <c r="T89" s="13">
        <f>$I$17*$T$17</f>
        <v>0</v>
      </c>
      <c r="U89" s="13">
        <f>$I$17*$U$17</f>
        <v>0</v>
      </c>
      <c r="V89" s="13">
        <f>$I$17*$V$17</f>
        <v>0</v>
      </c>
      <c r="W89" s="13">
        <f>$I$17*$W$17</f>
        <v>0</v>
      </c>
      <c r="X89" s="13">
        <f>$I$17*$X$17</f>
        <v>0</v>
      </c>
      <c r="Y89" s="13">
        <f>$I$17*$Y$17</f>
        <v>0</v>
      </c>
      <c r="Z89" s="13">
        <f>$I$17*$Z$17</f>
        <v>0</v>
      </c>
      <c r="AA89" s="13">
        <f>$I$17*$AA$17</f>
        <v>0</v>
      </c>
      <c r="AB89" s="13">
        <f ca="1">$I$17*$AB$17</f>
        <v>0</v>
      </c>
      <c r="AC89" s="13">
        <f ca="1">$I$17*$AC$17</f>
        <v>0</v>
      </c>
      <c r="AD89" s="13">
        <f>$I$17*$AD$17</f>
        <v>0</v>
      </c>
      <c r="AE89" s="13">
        <f>$I$17*$AE$17</f>
        <v>0</v>
      </c>
      <c r="AF89" s="13">
        <f ca="1">$I$17*$AF$17</f>
        <v>0</v>
      </c>
      <c r="AG89" s="13">
        <f ca="1">$I$17*$AG$17</f>
        <v>0</v>
      </c>
      <c r="AI89" s="13">
        <f>$I$17*$AI$17</f>
        <v>0</v>
      </c>
      <c r="AJ89" s="13">
        <f>$I$17*$AJ$17</f>
        <v>0</v>
      </c>
      <c r="AK89" s="13">
        <f>$I$17*$AK$17</f>
        <v>0</v>
      </c>
      <c r="AL89" s="13">
        <f>$I$17*$AL$17</f>
        <v>0</v>
      </c>
      <c r="AM89" s="13">
        <f>$I$17*$AM$17</f>
        <v>0</v>
      </c>
      <c r="AN89" s="13">
        <f>$I$17*$AN$17</f>
        <v>0</v>
      </c>
      <c r="AO89" s="13">
        <f>$I$17*$AO$17</f>
        <v>0</v>
      </c>
      <c r="AP89" s="13">
        <f>$I$17*$AP$17</f>
        <v>0</v>
      </c>
      <c r="AQ89" s="13">
        <f>$I$17*$AQ$17</f>
        <v>0</v>
      </c>
      <c r="AR89" s="13">
        <f>$I$17*$AR$17</f>
        <v>0</v>
      </c>
      <c r="AS89" s="13">
        <f>$I$17*$AS$17</f>
        <v>0</v>
      </c>
      <c r="AT89" s="13">
        <f>$I$17*$AT$17</f>
        <v>0</v>
      </c>
      <c r="AU89" s="13">
        <f>$I$17*$AU$17</f>
        <v>0</v>
      </c>
      <c r="AV89" s="13">
        <f>$I$17*$AV$17</f>
        <v>0</v>
      </c>
      <c r="AW89" s="13">
        <f>$I$17*$AW$17</f>
        <v>0</v>
      </c>
      <c r="AX89" s="13">
        <f>$I$17*$AX$17</f>
        <v>0</v>
      </c>
      <c r="AY89" s="13">
        <f>$I$17*$AY$17</f>
        <v>0</v>
      </c>
      <c r="AZ89" s="13">
        <f>$I$17*$AZ$17</f>
        <v>0</v>
      </c>
      <c r="BA89" s="13">
        <f>$I$17*$BA$17</f>
        <v>0</v>
      </c>
      <c r="BB89" s="13">
        <f>$I$17*$BB$17</f>
        <v>0</v>
      </c>
      <c r="BC89" s="13">
        <f>$I$17*$BC$17</f>
        <v>0</v>
      </c>
      <c r="BD89" s="13">
        <f>$I$17*$BD$17</f>
        <v>0</v>
      </c>
    </row>
    <row r="90" spans="1:56" ht="11.25" customHeight="1" x14ac:dyDescent="0.3">
      <c r="A90" s="9" t="s">
        <v>39</v>
      </c>
      <c r="B90" s="9" t="s">
        <v>1100</v>
      </c>
      <c r="C90" s="9" t="s">
        <v>1101</v>
      </c>
      <c r="D90" s="9" t="s">
        <v>1102</v>
      </c>
      <c r="E90" s="9" t="s">
        <v>1103</v>
      </c>
      <c r="F90" s="9" t="s">
        <v>1104</v>
      </c>
      <c r="G90" s="9" t="s">
        <v>1105</v>
      </c>
      <c r="L90" s="13">
        <f>$I$18*$L$18</f>
        <v>0</v>
      </c>
      <c r="M90" s="13">
        <f>$I$18*$M$18</f>
        <v>1301.09694919459</v>
      </c>
      <c r="N90" s="13">
        <f ca="1">$I$18*$N$18</f>
        <v>4082.1242197378388</v>
      </c>
      <c r="O90" s="13">
        <f>$I$18*$O$18</f>
        <v>0</v>
      </c>
      <c r="P90" s="13">
        <f>$I$18*$P$18</f>
        <v>0</v>
      </c>
      <c r="Q90" s="13">
        <f>$I$18*$Q$18</f>
        <v>0</v>
      </c>
      <c r="R90" s="13">
        <f>$I$18*$R$18</f>
        <v>0</v>
      </c>
      <c r="S90" s="13">
        <f>$I$18*$S$18</f>
        <v>0</v>
      </c>
      <c r="T90" s="13">
        <f>$I$18*$T$18</f>
        <v>0</v>
      </c>
      <c r="U90" s="13">
        <f>$I$18*$U$18</f>
        <v>0</v>
      </c>
      <c r="V90" s="13">
        <f>$I$18*$V$18</f>
        <v>0</v>
      </c>
      <c r="W90" s="13">
        <f>$I$18*$W$18</f>
        <v>0</v>
      </c>
      <c r="X90" s="13">
        <f>$I$18*$X$18</f>
        <v>0</v>
      </c>
      <c r="Y90" s="13">
        <f>$I$18*$Y$18</f>
        <v>0</v>
      </c>
      <c r="Z90" s="13">
        <f>$I$18*$Z$18</f>
        <v>0</v>
      </c>
      <c r="AA90" s="13">
        <f>$I$18*$AA$18</f>
        <v>388703.69172909629</v>
      </c>
      <c r="AB90" s="13">
        <f ca="1">$I$18*$AB$18</f>
        <v>0</v>
      </c>
      <c r="AC90" s="13">
        <f ca="1">$I$18*$AC$18</f>
        <v>0</v>
      </c>
      <c r="AD90" s="13">
        <f>$I$18*$AD$18</f>
        <v>233.72066516212905</v>
      </c>
      <c r="AE90" s="13">
        <f>$I$18*$AE$18</f>
        <v>0</v>
      </c>
      <c r="AF90" s="13">
        <f ca="1">$I$18*$AF$18</f>
        <v>0</v>
      </c>
      <c r="AG90" s="13">
        <f ca="1">$I$18*$AG$18</f>
        <v>0</v>
      </c>
      <c r="AI90" s="13">
        <f>$I$18*$AI$18</f>
        <v>0</v>
      </c>
      <c r="AJ90" s="13">
        <f>$I$18*$AJ$18</f>
        <v>1249.4804314575649</v>
      </c>
      <c r="AK90" s="13">
        <f>$I$18*$AK$18</f>
        <v>3166.4941231346606</v>
      </c>
      <c r="AL90" s="13">
        <f>$I$18*$AL$18</f>
        <v>0</v>
      </c>
      <c r="AM90" s="13">
        <f>$I$18*$AM$18</f>
        <v>0</v>
      </c>
      <c r="AN90" s="13">
        <f>$I$18*$AN$18</f>
        <v>0</v>
      </c>
      <c r="AO90" s="13">
        <f>$I$18*$AO$18</f>
        <v>0</v>
      </c>
      <c r="AP90" s="13">
        <f>$I$18*$AP$18</f>
        <v>0</v>
      </c>
      <c r="AQ90" s="13">
        <f>$I$18*$AQ$18</f>
        <v>0</v>
      </c>
      <c r="AR90" s="13">
        <f>$I$18*$AR$18</f>
        <v>0</v>
      </c>
      <c r="AS90" s="13">
        <f>$I$18*$AS$18</f>
        <v>0</v>
      </c>
      <c r="AT90" s="13">
        <f>$I$18*$AT$18</f>
        <v>0</v>
      </c>
      <c r="AU90" s="13">
        <f>$I$18*$AU$18</f>
        <v>0</v>
      </c>
      <c r="AV90" s="13">
        <f>$I$18*$AV$18</f>
        <v>0</v>
      </c>
      <c r="AW90" s="13">
        <f>$I$18*$AW$18</f>
        <v>0</v>
      </c>
      <c r="AX90" s="13">
        <f>$I$18*$AX$18</f>
        <v>339663.57318337343</v>
      </c>
      <c r="AY90" s="13">
        <f>$I$18*$AY$18</f>
        <v>0</v>
      </c>
      <c r="AZ90" s="13">
        <f>$I$18*$AZ$18</f>
        <v>0</v>
      </c>
      <c r="BA90" s="13">
        <f>$I$18*$BA$18</f>
        <v>197.3279308166874</v>
      </c>
      <c r="BB90" s="13">
        <f>$I$18*$BB$18</f>
        <v>0</v>
      </c>
      <c r="BC90" s="13">
        <f>$I$18*$BC$18</f>
        <v>0</v>
      </c>
      <c r="BD90" s="13">
        <f>$I$18*$BD$18</f>
        <v>0</v>
      </c>
    </row>
    <row r="91" spans="1:56" ht="11.25" customHeight="1" x14ac:dyDescent="0.3">
      <c r="A91" s="9" t="s">
        <v>39</v>
      </c>
      <c r="B91" s="9" t="s">
        <v>1106</v>
      </c>
      <c r="C91" s="9" t="s">
        <v>1107</v>
      </c>
      <c r="D91" s="9" t="s">
        <v>1108</v>
      </c>
      <c r="E91" s="9" t="s">
        <v>1109</v>
      </c>
      <c r="F91" s="9" t="s">
        <v>1110</v>
      </c>
      <c r="G91" s="9" t="s">
        <v>1111</v>
      </c>
      <c r="L91" s="13">
        <f>$I$19*$L$19</f>
        <v>0</v>
      </c>
      <c r="M91" s="13">
        <f>$I$19*$M$19</f>
        <v>0</v>
      </c>
      <c r="N91" s="13">
        <f ca="1">$I$19*$N$19</f>
        <v>0</v>
      </c>
      <c r="O91" s="13">
        <f>$I$19*$O$19</f>
        <v>0</v>
      </c>
      <c r="P91" s="13">
        <f>$I$19*$P$19</f>
        <v>0</v>
      </c>
      <c r="Q91" s="13">
        <f>$I$19*$Q$19</f>
        <v>0</v>
      </c>
      <c r="R91" s="13">
        <f>$I$19*$R$19</f>
        <v>0</v>
      </c>
      <c r="S91" s="13">
        <f>$I$19*$S$19</f>
        <v>0</v>
      </c>
      <c r="T91" s="13">
        <f>$I$19*$T$19</f>
        <v>1369607.3053025869</v>
      </c>
      <c r="U91" s="13">
        <f>$I$19*$U$19</f>
        <v>278231.66746159882</v>
      </c>
      <c r="V91" s="13">
        <f>$I$19*$V$19</f>
        <v>39065.178887479022</v>
      </c>
      <c r="W91" s="13">
        <f>$I$19*$W$19</f>
        <v>0</v>
      </c>
      <c r="X91" s="13">
        <f>$I$19*$X$19</f>
        <v>0</v>
      </c>
      <c r="Y91" s="13">
        <f>$I$19*$Y$19</f>
        <v>0</v>
      </c>
      <c r="Z91" s="13">
        <f>$I$19*$Z$19</f>
        <v>0</v>
      </c>
      <c r="AA91" s="13">
        <f>$I$19*$AA$19</f>
        <v>3672103.1821247539</v>
      </c>
      <c r="AB91" s="13">
        <f ca="1">$I$19*$AB$19</f>
        <v>0</v>
      </c>
      <c r="AC91" s="13">
        <f ca="1">$I$19*$AC$19</f>
        <v>0</v>
      </c>
      <c r="AD91" s="13">
        <f>$I$19*$AD$19</f>
        <v>0</v>
      </c>
      <c r="AE91" s="13">
        <f>$I$19*$AE$19</f>
        <v>0</v>
      </c>
      <c r="AF91" s="13">
        <f ca="1">$I$19*$AF$19</f>
        <v>0</v>
      </c>
      <c r="AG91" s="13">
        <f ca="1">$I$19*$AG$19</f>
        <v>0</v>
      </c>
      <c r="AI91" s="13">
        <f>$I$19*$AI$19</f>
        <v>0</v>
      </c>
      <c r="AJ91" s="13">
        <f>$I$19*$AJ$19</f>
        <v>0</v>
      </c>
      <c r="AK91" s="13">
        <f>$I$19*$AK$19</f>
        <v>0</v>
      </c>
      <c r="AL91" s="13">
        <f>$I$19*$AL$19</f>
        <v>0</v>
      </c>
      <c r="AM91" s="13">
        <f>$I$19*$AM$19</f>
        <v>0</v>
      </c>
      <c r="AN91" s="13">
        <f>$I$19*$AN$19</f>
        <v>0</v>
      </c>
      <c r="AO91" s="13">
        <f>$I$19*$AO$19</f>
        <v>0</v>
      </c>
      <c r="AP91" s="13">
        <f>$I$19*$AP$19</f>
        <v>0</v>
      </c>
      <c r="AQ91" s="13">
        <f>$I$19*$AQ$19</f>
        <v>1135801.6282766068</v>
      </c>
      <c r="AR91" s="13">
        <f>$I$19*$AR$19</f>
        <v>328981.47921631526</v>
      </c>
      <c r="AS91" s="13">
        <f>$I$19*$AS$19</f>
        <v>3765.8982342923978</v>
      </c>
      <c r="AT91" s="13">
        <f>$I$19*$AT$19</f>
        <v>0</v>
      </c>
      <c r="AU91" s="13">
        <f>$I$19*$AU$19</f>
        <v>0</v>
      </c>
      <c r="AV91" s="13">
        <f>$I$19*$AV$19</f>
        <v>0</v>
      </c>
      <c r="AW91" s="13">
        <f>$I$19*$AW$19</f>
        <v>0</v>
      </c>
      <c r="AX91" s="13">
        <f>$I$19*$AX$19</f>
        <v>3208818.7338539921</v>
      </c>
      <c r="AY91" s="13">
        <f>$I$19*$AY$19</f>
        <v>0</v>
      </c>
      <c r="AZ91" s="13">
        <f>$I$19*$AZ$19</f>
        <v>0</v>
      </c>
      <c r="BA91" s="13">
        <f>$I$19*$BA$19</f>
        <v>0</v>
      </c>
      <c r="BB91" s="13">
        <f>$I$19*$BB$19</f>
        <v>0</v>
      </c>
      <c r="BC91" s="13">
        <f>$I$19*$BC$19</f>
        <v>0</v>
      </c>
      <c r="BD91" s="13">
        <f>$I$19*$BD$19</f>
        <v>0</v>
      </c>
    </row>
    <row r="92" spans="1:56" ht="11.25" customHeight="1" x14ac:dyDescent="0.3">
      <c r="A92" s="9" t="s">
        <v>39</v>
      </c>
      <c r="B92" s="9" t="s">
        <v>1106</v>
      </c>
      <c r="C92" s="9" t="s">
        <v>1107</v>
      </c>
      <c r="D92" s="9" t="s">
        <v>1108</v>
      </c>
      <c r="E92" s="9" t="s">
        <v>1109</v>
      </c>
      <c r="F92" s="9" t="s">
        <v>1110</v>
      </c>
      <c r="G92" s="9" t="s">
        <v>1112</v>
      </c>
      <c r="L92" s="13">
        <f>$I$20*$L$20</f>
        <v>40117.12083074548</v>
      </c>
      <c r="M92" s="13">
        <f>$I$20*$M$20</f>
        <v>3604.0381680837663</v>
      </c>
      <c r="N92" s="13">
        <f ca="1">$I$20*$N$20</f>
        <v>78404.299922539649</v>
      </c>
      <c r="O92" s="13">
        <f>$I$20*$O$20</f>
        <v>0</v>
      </c>
      <c r="P92" s="13">
        <f>$I$20*$P$20</f>
        <v>0</v>
      </c>
      <c r="Q92" s="13">
        <f>$I$20*$Q$20</f>
        <v>653266.11639074073</v>
      </c>
      <c r="R92" s="13">
        <f>$I$20*$R$20</f>
        <v>133184.16951937569</v>
      </c>
      <c r="S92" s="13">
        <f>$I$20*$S$20</f>
        <v>0</v>
      </c>
      <c r="T92" s="13">
        <f>$I$20*$T$20</f>
        <v>1015219.5098134639</v>
      </c>
      <c r="U92" s="13">
        <f>$I$20*$U$20</f>
        <v>204605.21612836354</v>
      </c>
      <c r="V92" s="13">
        <f>$I$20*$V$20</f>
        <v>29997.90784193853</v>
      </c>
      <c r="W92" s="13">
        <f>$I$20*$W$20</f>
        <v>0</v>
      </c>
      <c r="X92" s="13">
        <f>$I$20*$X$20</f>
        <v>0</v>
      </c>
      <c r="Y92" s="13">
        <f>$I$20*$Y$20</f>
        <v>0</v>
      </c>
      <c r="Z92" s="13">
        <f>$I$20*$Z$20</f>
        <v>0</v>
      </c>
      <c r="AA92" s="13">
        <f>$I$20*$AA$20</f>
        <v>5834199.173982325</v>
      </c>
      <c r="AB92" s="13">
        <f ca="1">$I$20*$AB$20</f>
        <v>0</v>
      </c>
      <c r="AC92" s="13">
        <f ca="1">$I$20*$AC$20</f>
        <v>0</v>
      </c>
      <c r="AD92" s="13">
        <f>$I$20*$AD$20</f>
        <v>33338.735444156999</v>
      </c>
      <c r="AE92" s="13">
        <f>$I$20*$AE$20</f>
        <v>577.79638988009958</v>
      </c>
      <c r="AF92" s="13">
        <f ca="1">$I$20*$AF$20</f>
        <v>9964.6890984416495</v>
      </c>
      <c r="AG92" s="13">
        <f ca="1">$I$20*$AG$20</f>
        <v>1381.4977170247923</v>
      </c>
      <c r="AI92" s="13">
        <f>$I$20*$AI$20</f>
        <v>42128.442471505972</v>
      </c>
      <c r="AJ92" s="13">
        <f>$I$20*$AJ$20</f>
        <v>3000.8112565124229</v>
      </c>
      <c r="AK92" s="13">
        <f>$I$20*$AK$20</f>
        <v>60805.345059102656</v>
      </c>
      <c r="AL92" s="13">
        <f>$I$20*$AL$20</f>
        <v>0</v>
      </c>
      <c r="AM92" s="13">
        <f>$I$20*$AM$20</f>
        <v>0</v>
      </c>
      <c r="AN92" s="13">
        <f>$I$20*$AN$20</f>
        <v>360354.61589491891</v>
      </c>
      <c r="AO92" s="13">
        <f>$I$20*$AO$20</f>
        <v>72458.402459989826</v>
      </c>
      <c r="AP92" s="13">
        <f>$I$20*$AP$20</f>
        <v>0</v>
      </c>
      <c r="AQ92" s="13">
        <f>$I$20*$AQ$20</f>
        <v>841911.37696185312</v>
      </c>
      <c r="AR92" s="13">
        <f>$I$20*$AR$20</f>
        <v>241925.46905744696</v>
      </c>
      <c r="AS92" s="13">
        <f>$I$20*$AS$20</f>
        <v>2891.8098263369534</v>
      </c>
      <c r="AT92" s="13">
        <f>$I$20*$AT$20</f>
        <v>0</v>
      </c>
      <c r="AU92" s="13">
        <f>$I$20*$AU$20</f>
        <v>0</v>
      </c>
      <c r="AV92" s="13">
        <f>$I$20*$AV$20</f>
        <v>0</v>
      </c>
      <c r="AW92" s="13">
        <f>$I$20*$AW$20</f>
        <v>0</v>
      </c>
      <c r="AX92" s="13">
        <f>$I$20*$AX$20</f>
        <v>5098137.6824160125</v>
      </c>
      <c r="AY92" s="13">
        <f>$I$20*$AY$20</f>
        <v>0</v>
      </c>
      <c r="AZ92" s="13">
        <f>$I$20*$AZ$20</f>
        <v>0</v>
      </c>
      <c r="BA92" s="13">
        <f>$I$20*$BA$20</f>
        <v>28147.548171133792</v>
      </c>
      <c r="BB92" s="13">
        <f>$I$20*$BB$20</f>
        <v>571.04953342123804</v>
      </c>
      <c r="BC92" s="13">
        <f>$I$20*$BC$20</f>
        <v>8536.7701113094245</v>
      </c>
      <c r="BD92" s="13">
        <f>$I$20*$BD$20</f>
        <v>1423.543220480796</v>
      </c>
    </row>
    <row r="93" spans="1:56" ht="11.25" customHeight="1" x14ac:dyDescent="0.3">
      <c r="A93" s="9" t="s">
        <v>39</v>
      </c>
      <c r="B93" s="9" t="s">
        <v>1106</v>
      </c>
      <c r="C93" s="9" t="s">
        <v>1107</v>
      </c>
      <c r="D93" s="9" t="s">
        <v>1108</v>
      </c>
      <c r="E93" s="9" t="s">
        <v>1109</v>
      </c>
      <c r="F93" s="9" t="s">
        <v>1110</v>
      </c>
      <c r="G93" s="9" t="s">
        <v>1113</v>
      </c>
      <c r="L93" s="13">
        <f>$I$21*$L$21</f>
        <v>450778.71526209178</v>
      </c>
      <c r="M93" s="13">
        <f>$I$21*$M$21</f>
        <v>40497.016274389331</v>
      </c>
      <c r="N93" s="13">
        <f ca="1">$I$21*$N$21</f>
        <v>31798.848577893004</v>
      </c>
      <c r="O93" s="13">
        <f>$I$21*$O$21</f>
        <v>0</v>
      </c>
      <c r="P93" s="13">
        <f>$I$21*$P$21</f>
        <v>0</v>
      </c>
      <c r="Q93" s="13">
        <f>$I$21*$Q$21</f>
        <v>7340468.4726324622</v>
      </c>
      <c r="R93" s="13">
        <f>$I$21*$R$21</f>
        <v>1496532.8414889935</v>
      </c>
      <c r="S93" s="13">
        <f>$I$21*$S$21</f>
        <v>0</v>
      </c>
      <c r="T93" s="13">
        <f>$I$21*$T$21</f>
        <v>0</v>
      </c>
      <c r="U93" s="13">
        <f>$I$21*$U$21</f>
        <v>0</v>
      </c>
      <c r="V93" s="13">
        <f>$I$21*$V$21</f>
        <v>0</v>
      </c>
      <c r="W93" s="13">
        <f>$I$21*$W$21</f>
        <v>0</v>
      </c>
      <c r="X93" s="13">
        <f>$I$21*$X$21</f>
        <v>0</v>
      </c>
      <c r="Y93" s="13">
        <f>$I$21*$Y$21</f>
        <v>0</v>
      </c>
      <c r="Z93" s="13">
        <f>$I$21*$Z$21</f>
        <v>0</v>
      </c>
      <c r="AA93" s="13">
        <f>$I$21*$AA$21</f>
        <v>0</v>
      </c>
      <c r="AB93" s="13">
        <f ca="1">$I$21*$AB$21</f>
        <v>0</v>
      </c>
      <c r="AC93" s="13">
        <f ca="1">$I$21*$AC$21</f>
        <v>0</v>
      </c>
      <c r="AD93" s="13">
        <f>$I$21*$AD$21</f>
        <v>374612.93384898652</v>
      </c>
      <c r="AE93" s="13">
        <f>$I$21*$AE$21</f>
        <v>6492.4478357283451</v>
      </c>
      <c r="AF93" s="13">
        <f ca="1">$I$21*$AF$21</f>
        <v>111968.89649017785</v>
      </c>
      <c r="AG93" s="13">
        <f ca="1">$I$21*$AG$21</f>
        <v>15523.291630158006</v>
      </c>
      <c r="AI93" s="13">
        <f>$I$21*$AI$21</f>
        <v>473379.06559695431</v>
      </c>
      <c r="AJ93" s="13">
        <f>$I$21*$AJ$21</f>
        <v>33718.816678339295</v>
      </c>
      <c r="AK93" s="13">
        <f>$I$21*$AK$21</f>
        <v>24523.751999768669</v>
      </c>
      <c r="AL93" s="13">
        <f>$I$21*$AL$21</f>
        <v>0</v>
      </c>
      <c r="AM93" s="13">
        <f>$I$21*$AM$21</f>
        <v>0</v>
      </c>
      <c r="AN93" s="13">
        <f>$I$21*$AN$21</f>
        <v>4049148.7780793854</v>
      </c>
      <c r="AO93" s="13">
        <f>$I$21*$AO$21</f>
        <v>814183.69251028937</v>
      </c>
      <c r="AP93" s="13">
        <f>$I$21*$AP$21</f>
        <v>0</v>
      </c>
      <c r="AQ93" s="13">
        <f>$I$21*$AQ$21</f>
        <v>0</v>
      </c>
      <c r="AR93" s="13">
        <f>$I$21*$AR$21</f>
        <v>0</v>
      </c>
      <c r="AS93" s="13">
        <f>$I$21*$AS$21</f>
        <v>0</v>
      </c>
      <c r="AT93" s="13">
        <f>$I$21*$AT$21</f>
        <v>0</v>
      </c>
      <c r="AU93" s="13">
        <f>$I$21*$AU$21</f>
        <v>0</v>
      </c>
      <c r="AV93" s="13">
        <f>$I$21*$AV$21</f>
        <v>0</v>
      </c>
      <c r="AW93" s="13">
        <f>$I$21*$AW$21</f>
        <v>0</v>
      </c>
      <c r="AX93" s="13">
        <f>$I$21*$AX$21</f>
        <v>0</v>
      </c>
      <c r="AY93" s="13">
        <f>$I$21*$AY$21</f>
        <v>0</v>
      </c>
      <c r="AZ93" s="13">
        <f>$I$21*$AZ$21</f>
        <v>0</v>
      </c>
      <c r="BA93" s="13">
        <f>$I$21*$BA$21</f>
        <v>316281.81034959259</v>
      </c>
      <c r="BB93" s="13">
        <f>$I$21*$BB$21</f>
        <v>6416.6363312234535</v>
      </c>
      <c r="BC93" s="13">
        <f>$I$21*$BC$21</f>
        <v>95923.989149157933</v>
      </c>
      <c r="BD93" s="13">
        <f>$I$21*$BD$21</f>
        <v>15995.738745952009</v>
      </c>
    </row>
    <row r="94" spans="1:56" ht="11.25" customHeight="1" x14ac:dyDescent="0.3">
      <c r="A94" s="9" t="s">
        <v>39</v>
      </c>
      <c r="B94" s="9" t="s">
        <v>1106</v>
      </c>
      <c r="C94" s="9" t="s">
        <v>1107</v>
      </c>
      <c r="D94" s="9" t="s">
        <v>1108</v>
      </c>
      <c r="E94" s="9" t="s">
        <v>1114</v>
      </c>
      <c r="F94" s="9" t="s">
        <v>1115</v>
      </c>
      <c r="G94" s="9" t="s">
        <v>1116</v>
      </c>
      <c r="L94" s="13">
        <f>$I$22*$L$22</f>
        <v>0</v>
      </c>
      <c r="M94" s="13">
        <f>$I$22*$M$22</f>
        <v>0</v>
      </c>
      <c r="N94" s="13">
        <f ca="1">$I$22*$N$22</f>
        <v>0</v>
      </c>
      <c r="O94" s="13">
        <f>$I$22*$O$22</f>
        <v>0</v>
      </c>
      <c r="P94" s="13">
        <f>$I$22*$P$22</f>
        <v>0</v>
      </c>
      <c r="Q94" s="13">
        <f>$I$22*$Q$22</f>
        <v>0</v>
      </c>
      <c r="R94" s="13">
        <f>$I$22*$R$22</f>
        <v>0</v>
      </c>
      <c r="S94" s="13">
        <f>$I$22*$S$22</f>
        <v>0</v>
      </c>
      <c r="T94" s="13">
        <f>$I$22*$T$22</f>
        <v>0</v>
      </c>
      <c r="U94" s="13">
        <f>$I$22*$U$22</f>
        <v>0</v>
      </c>
      <c r="V94" s="13">
        <f>$I$22*$V$22</f>
        <v>0</v>
      </c>
      <c r="W94" s="13">
        <f>$I$22*$W$22</f>
        <v>0</v>
      </c>
      <c r="X94" s="13">
        <f>$I$22*$X$22</f>
        <v>0</v>
      </c>
      <c r="Y94" s="13">
        <f>$I$22*$Y$22</f>
        <v>0</v>
      </c>
      <c r="Z94" s="13">
        <f>$I$22*$Z$22</f>
        <v>0</v>
      </c>
      <c r="AA94" s="13">
        <f>$I$22*$AA$22</f>
        <v>0</v>
      </c>
      <c r="AB94" s="13">
        <f ca="1">$I$22*$AB$22</f>
        <v>0</v>
      </c>
      <c r="AC94" s="13">
        <f ca="1">$I$22*$AC$22</f>
        <v>0</v>
      </c>
      <c r="AD94" s="13">
        <f>$I$22*$AD$22</f>
        <v>0</v>
      </c>
      <c r="AE94" s="13">
        <f>$I$22*$AE$22</f>
        <v>0</v>
      </c>
      <c r="AF94" s="13">
        <f ca="1">$I$22*$AF$22</f>
        <v>0</v>
      </c>
      <c r="AG94" s="13">
        <f ca="1">$I$22*$AG$22</f>
        <v>0</v>
      </c>
      <c r="AI94" s="13">
        <f>$I$22*$AI$22</f>
        <v>0</v>
      </c>
      <c r="AJ94" s="13">
        <f>$I$22*$AJ$22</f>
        <v>0</v>
      </c>
      <c r="AK94" s="13">
        <f>$I$22*$AK$22</f>
        <v>0</v>
      </c>
      <c r="AL94" s="13">
        <f>$I$22*$AL$22</f>
        <v>0</v>
      </c>
      <c r="AM94" s="13">
        <f>$I$22*$AM$22</f>
        <v>0</v>
      </c>
      <c r="AN94" s="13">
        <f>$I$22*$AN$22</f>
        <v>0</v>
      </c>
      <c r="AO94" s="13">
        <f>$I$22*$AO$22</f>
        <v>0</v>
      </c>
      <c r="AP94" s="13">
        <f>$I$22*$AP$22</f>
        <v>0</v>
      </c>
      <c r="AQ94" s="13">
        <f>$I$22*$AQ$22</f>
        <v>0</v>
      </c>
      <c r="AR94" s="13">
        <f>$I$22*$AR$22</f>
        <v>0</v>
      </c>
      <c r="AS94" s="13">
        <f>$I$22*$AS$22</f>
        <v>0</v>
      </c>
      <c r="AT94" s="13">
        <f>$I$22*$AT$22</f>
        <v>0</v>
      </c>
      <c r="AU94" s="13">
        <f>$I$22*$AU$22</f>
        <v>0</v>
      </c>
      <c r="AV94" s="13">
        <f>$I$22*$AV$22</f>
        <v>0</v>
      </c>
      <c r="AW94" s="13">
        <f>$I$22*$AW$22</f>
        <v>0</v>
      </c>
      <c r="AX94" s="13">
        <f>$I$22*$AX$22</f>
        <v>0</v>
      </c>
      <c r="AY94" s="13">
        <f>$I$22*$AY$22</f>
        <v>0</v>
      </c>
      <c r="AZ94" s="13">
        <f>$I$22*$AZ$22</f>
        <v>0</v>
      </c>
      <c r="BA94" s="13">
        <f>$I$22*$BA$22</f>
        <v>0</v>
      </c>
      <c r="BB94" s="13">
        <f>$I$22*$BB$22</f>
        <v>0</v>
      </c>
      <c r="BC94" s="13">
        <f>$I$22*$BC$22</f>
        <v>0</v>
      </c>
      <c r="BD94" s="13">
        <f>$I$22*$BD$22</f>
        <v>0</v>
      </c>
    </row>
    <row r="95" spans="1:56" ht="11.25" customHeight="1" x14ac:dyDescent="0.3">
      <c r="A95" s="9" t="s">
        <v>39</v>
      </c>
      <c r="B95" s="9" t="s">
        <v>1106</v>
      </c>
      <c r="C95" s="9" t="s">
        <v>1107</v>
      </c>
      <c r="D95" s="9" t="s">
        <v>1108</v>
      </c>
      <c r="E95" s="9" t="s">
        <v>1114</v>
      </c>
      <c r="F95" s="9" t="s">
        <v>1115</v>
      </c>
      <c r="G95" s="9" t="s">
        <v>1117</v>
      </c>
      <c r="L95" s="13">
        <f>$I$23*$L$23</f>
        <v>0</v>
      </c>
      <c r="M95" s="13">
        <f>$I$23*$M$23</f>
        <v>0</v>
      </c>
      <c r="N95" s="13">
        <f ca="1">$I$23*$N$23</f>
        <v>0</v>
      </c>
      <c r="O95" s="13">
        <f>$I$23*$O$23</f>
        <v>0</v>
      </c>
      <c r="P95" s="13">
        <f>$I$23*$P$23</f>
        <v>0</v>
      </c>
      <c r="Q95" s="13">
        <f>$I$23*$Q$23</f>
        <v>0</v>
      </c>
      <c r="R95" s="13">
        <f>$I$23*$R$23</f>
        <v>0</v>
      </c>
      <c r="S95" s="13">
        <f>$I$23*$S$23</f>
        <v>0</v>
      </c>
      <c r="T95" s="13">
        <f>$I$23*$T$23</f>
        <v>0</v>
      </c>
      <c r="U95" s="13">
        <f>$I$23*$U$23</f>
        <v>0</v>
      </c>
      <c r="V95" s="13">
        <f>$I$23*$V$23</f>
        <v>0</v>
      </c>
      <c r="W95" s="13">
        <f>$I$23*$W$23</f>
        <v>0</v>
      </c>
      <c r="X95" s="13">
        <f>$I$23*$X$23</f>
        <v>0</v>
      </c>
      <c r="Y95" s="13">
        <f>$I$23*$Y$23</f>
        <v>0</v>
      </c>
      <c r="Z95" s="13">
        <f>$I$23*$Z$23</f>
        <v>0</v>
      </c>
      <c r="AA95" s="13">
        <f>$I$23*$AA$23</f>
        <v>0</v>
      </c>
      <c r="AB95" s="13">
        <f ca="1">$I$23*$AB$23</f>
        <v>0</v>
      </c>
      <c r="AC95" s="13">
        <f ca="1">$I$23*$AC$23</f>
        <v>0</v>
      </c>
      <c r="AD95" s="13">
        <f>$I$23*$AD$23</f>
        <v>0</v>
      </c>
      <c r="AE95" s="13">
        <f>$I$23*$AE$23</f>
        <v>0</v>
      </c>
      <c r="AF95" s="13">
        <f ca="1">$I$23*$AF$23</f>
        <v>0</v>
      </c>
      <c r="AG95" s="13">
        <f ca="1">$I$23*$AG$23</f>
        <v>0</v>
      </c>
      <c r="AI95" s="13">
        <f>$I$23*$AI$23</f>
        <v>0</v>
      </c>
      <c r="AJ95" s="13">
        <f>$I$23*$AJ$23</f>
        <v>0</v>
      </c>
      <c r="AK95" s="13">
        <f>$I$23*$AK$23</f>
        <v>0</v>
      </c>
      <c r="AL95" s="13">
        <f>$I$23*$AL$23</f>
        <v>0</v>
      </c>
      <c r="AM95" s="13">
        <f>$I$23*$AM$23</f>
        <v>0</v>
      </c>
      <c r="AN95" s="13">
        <f>$I$23*$AN$23</f>
        <v>0</v>
      </c>
      <c r="AO95" s="13">
        <f>$I$23*$AO$23</f>
        <v>0</v>
      </c>
      <c r="AP95" s="13">
        <f>$I$23*$AP$23</f>
        <v>0</v>
      </c>
      <c r="AQ95" s="13">
        <f>$I$23*$AQ$23</f>
        <v>0</v>
      </c>
      <c r="AR95" s="13">
        <f>$I$23*$AR$23</f>
        <v>0</v>
      </c>
      <c r="AS95" s="13">
        <f>$I$23*$AS$23</f>
        <v>0</v>
      </c>
      <c r="AT95" s="13">
        <f>$I$23*$AT$23</f>
        <v>0</v>
      </c>
      <c r="AU95" s="13">
        <f>$I$23*$AU$23</f>
        <v>0</v>
      </c>
      <c r="AV95" s="13">
        <f>$I$23*$AV$23</f>
        <v>0</v>
      </c>
      <c r="AW95" s="13">
        <f>$I$23*$AW$23</f>
        <v>0</v>
      </c>
      <c r="AX95" s="13">
        <f>$I$23*$AX$23</f>
        <v>0</v>
      </c>
      <c r="AY95" s="13">
        <f>$I$23*$AY$23</f>
        <v>0</v>
      </c>
      <c r="AZ95" s="13">
        <f>$I$23*$AZ$23</f>
        <v>0</v>
      </c>
      <c r="BA95" s="13">
        <f>$I$23*$BA$23</f>
        <v>0</v>
      </c>
      <c r="BB95" s="13">
        <f>$I$23*$BB$23</f>
        <v>0</v>
      </c>
      <c r="BC95" s="13">
        <f>$I$23*$BC$23</f>
        <v>0</v>
      </c>
      <c r="BD95" s="13">
        <f>$I$23*$BD$23</f>
        <v>0</v>
      </c>
    </row>
    <row r="96" spans="1:56" ht="11.25" customHeight="1" x14ac:dyDescent="0.3">
      <c r="A96" s="9" t="s">
        <v>43</v>
      </c>
      <c r="B96" s="9" t="s">
        <v>1118</v>
      </c>
      <c r="C96" s="9" t="s">
        <v>1119</v>
      </c>
      <c r="D96" s="9" t="s">
        <v>1120</v>
      </c>
      <c r="E96" s="9" t="s">
        <v>1121</v>
      </c>
      <c r="F96" s="9" t="s">
        <v>1122</v>
      </c>
      <c r="G96" s="9" t="s">
        <v>1123</v>
      </c>
      <c r="L96" s="13">
        <f>$I$24*$L$24</f>
        <v>0</v>
      </c>
      <c r="M96" s="13">
        <f>$I$24*$M$24</f>
        <v>0</v>
      </c>
      <c r="N96" s="13">
        <f ca="1">$I$24*$N$24</f>
        <v>0</v>
      </c>
      <c r="O96" s="13">
        <f>$I$24*$O$24</f>
        <v>0</v>
      </c>
      <c r="P96" s="13">
        <f>$I$24*$P$24</f>
        <v>0</v>
      </c>
      <c r="Q96" s="13">
        <f>$I$24*$Q$24</f>
        <v>0</v>
      </c>
      <c r="R96" s="13">
        <f>$I$24*$R$24</f>
        <v>0</v>
      </c>
      <c r="S96" s="13">
        <f>$I$24*$S$24</f>
        <v>0</v>
      </c>
      <c r="T96" s="13">
        <f>$I$24*$T$24</f>
        <v>0</v>
      </c>
      <c r="U96" s="13">
        <f>$I$24*$U$24</f>
        <v>0</v>
      </c>
      <c r="V96" s="13">
        <f>$I$24*$V$24</f>
        <v>0</v>
      </c>
      <c r="W96" s="13">
        <f>$I$24*$W$24</f>
        <v>0</v>
      </c>
      <c r="X96" s="13">
        <f>$I$24*$X$24</f>
        <v>0</v>
      </c>
      <c r="Y96" s="13">
        <f>$I$24*$Y$24</f>
        <v>0</v>
      </c>
      <c r="Z96" s="13">
        <f>$I$24*$Z$24</f>
        <v>0</v>
      </c>
      <c r="AA96" s="13">
        <f>$I$24*$AA$24</f>
        <v>0</v>
      </c>
      <c r="AB96" s="13">
        <f ca="1">$I$24*$AB$24</f>
        <v>0</v>
      </c>
      <c r="AC96" s="13">
        <f ca="1">$I$24*$AC$24</f>
        <v>0</v>
      </c>
      <c r="AD96" s="13">
        <f>$I$24*$AD$24</f>
        <v>0</v>
      </c>
      <c r="AE96" s="13">
        <f>$I$24*$AE$24</f>
        <v>0</v>
      </c>
      <c r="AF96" s="13">
        <f ca="1">$I$24*$AF$24</f>
        <v>0</v>
      </c>
      <c r="AG96" s="13">
        <f ca="1">$I$24*$AG$24</f>
        <v>0</v>
      </c>
      <c r="AI96" s="13">
        <f>$I$24*$AI$24</f>
        <v>0</v>
      </c>
      <c r="AJ96" s="13">
        <f>$I$24*$AJ$24</f>
        <v>0</v>
      </c>
      <c r="AK96" s="13">
        <f>$I$24*$AK$24</f>
        <v>0</v>
      </c>
      <c r="AL96" s="13">
        <f>$I$24*$AL$24</f>
        <v>0</v>
      </c>
      <c r="AM96" s="13">
        <f>$I$24*$AM$24</f>
        <v>0</v>
      </c>
      <c r="AN96" s="13">
        <f>$I$24*$AN$24</f>
        <v>0</v>
      </c>
      <c r="AO96" s="13">
        <f>$I$24*$AO$24</f>
        <v>0</v>
      </c>
      <c r="AP96" s="13">
        <f>$I$24*$AP$24</f>
        <v>0</v>
      </c>
      <c r="AQ96" s="13">
        <f>$I$24*$AQ$24</f>
        <v>0</v>
      </c>
      <c r="AR96" s="13">
        <f>$I$24*$AR$24</f>
        <v>0</v>
      </c>
      <c r="AS96" s="13">
        <f>$I$24*$AS$24</f>
        <v>0</v>
      </c>
      <c r="AT96" s="13">
        <f>$I$24*$AT$24</f>
        <v>0</v>
      </c>
      <c r="AU96" s="13">
        <f>$I$24*$AU$24</f>
        <v>0</v>
      </c>
      <c r="AV96" s="13">
        <f>$I$24*$AV$24</f>
        <v>0</v>
      </c>
      <c r="AW96" s="13">
        <f>$I$24*$AW$24</f>
        <v>0</v>
      </c>
      <c r="AX96" s="13">
        <f>$I$24*$AX$24</f>
        <v>0</v>
      </c>
      <c r="AY96" s="13">
        <f>$I$24*$AY$24</f>
        <v>0</v>
      </c>
      <c r="AZ96" s="13">
        <f>$I$24*$AZ$24</f>
        <v>0</v>
      </c>
      <c r="BA96" s="13">
        <f>$I$24*$BA$24</f>
        <v>0</v>
      </c>
      <c r="BB96" s="13">
        <f>$I$24*$BB$24</f>
        <v>0</v>
      </c>
      <c r="BC96" s="13">
        <f>$I$24*$BC$24</f>
        <v>0</v>
      </c>
      <c r="BD96" s="13">
        <f>$I$24*$BD$24</f>
        <v>0</v>
      </c>
    </row>
    <row r="97" spans="1:56" ht="11.25" customHeight="1" x14ac:dyDescent="0.3">
      <c r="A97" s="9" t="s">
        <v>43</v>
      </c>
      <c r="B97" s="9" t="s">
        <v>1118</v>
      </c>
      <c r="C97" s="9" t="s">
        <v>1119</v>
      </c>
      <c r="D97" s="9" t="s">
        <v>1120</v>
      </c>
      <c r="E97" s="9" t="s">
        <v>1121</v>
      </c>
      <c r="F97" s="9" t="s">
        <v>1122</v>
      </c>
      <c r="G97" s="9" t="s">
        <v>1124</v>
      </c>
      <c r="L97" s="13">
        <f>$I$25*$L$25</f>
        <v>0</v>
      </c>
      <c r="M97" s="13">
        <f>$I$25*$M$25</f>
        <v>0</v>
      </c>
      <c r="N97" s="13">
        <f ca="1">$I$25*$N$25</f>
        <v>0</v>
      </c>
      <c r="O97" s="13">
        <f>$I$25*$O$25</f>
        <v>0</v>
      </c>
      <c r="P97" s="13">
        <f>$I$25*$P$25</f>
        <v>0</v>
      </c>
      <c r="Q97" s="13">
        <f>$I$25*$Q$25</f>
        <v>0</v>
      </c>
      <c r="R97" s="13">
        <f>$I$25*$R$25</f>
        <v>0</v>
      </c>
      <c r="S97" s="13">
        <f>$I$25*$S$25</f>
        <v>0</v>
      </c>
      <c r="T97" s="13">
        <f>$I$25*$T$25</f>
        <v>0</v>
      </c>
      <c r="U97" s="13">
        <f>$I$25*$U$25</f>
        <v>0</v>
      </c>
      <c r="V97" s="13">
        <f>$I$25*$V$25</f>
        <v>0</v>
      </c>
      <c r="W97" s="13">
        <f>$I$25*$W$25</f>
        <v>0</v>
      </c>
      <c r="X97" s="13">
        <f>$I$25*$X$25</f>
        <v>0</v>
      </c>
      <c r="Y97" s="13">
        <f>$I$25*$Y$25</f>
        <v>0</v>
      </c>
      <c r="Z97" s="13">
        <f>$I$25*$Z$25</f>
        <v>0</v>
      </c>
      <c r="AA97" s="13">
        <f>$I$25*$AA$25</f>
        <v>0</v>
      </c>
      <c r="AB97" s="13">
        <f ca="1">$I$25*$AB$25</f>
        <v>0</v>
      </c>
      <c r="AC97" s="13">
        <f ca="1">$I$25*$AC$25</f>
        <v>0</v>
      </c>
      <c r="AD97" s="13">
        <f>$I$25*$AD$25</f>
        <v>0</v>
      </c>
      <c r="AE97" s="13">
        <f>$I$25*$AE$25</f>
        <v>0</v>
      </c>
      <c r="AF97" s="13">
        <f ca="1">$I$25*$AF$25</f>
        <v>0</v>
      </c>
      <c r="AG97" s="13">
        <f ca="1">$I$25*$AG$25</f>
        <v>0</v>
      </c>
      <c r="AI97" s="13">
        <f>$I$25*$AI$25</f>
        <v>0</v>
      </c>
      <c r="AJ97" s="13">
        <f>$I$25*$AJ$25</f>
        <v>0</v>
      </c>
      <c r="AK97" s="13">
        <f>$I$25*$AK$25</f>
        <v>0</v>
      </c>
      <c r="AL97" s="13">
        <f>$I$25*$AL$25</f>
        <v>0</v>
      </c>
      <c r="AM97" s="13">
        <f>$I$25*$AM$25</f>
        <v>0</v>
      </c>
      <c r="AN97" s="13">
        <f>$I$25*$AN$25</f>
        <v>0</v>
      </c>
      <c r="AO97" s="13">
        <f>$I$25*$AO$25</f>
        <v>0</v>
      </c>
      <c r="AP97" s="13">
        <f>$I$25*$AP$25</f>
        <v>0</v>
      </c>
      <c r="AQ97" s="13">
        <f>$I$25*$AQ$25</f>
        <v>0</v>
      </c>
      <c r="AR97" s="13">
        <f>$I$25*$AR$25</f>
        <v>0</v>
      </c>
      <c r="AS97" s="13">
        <f>$I$25*$AS$25</f>
        <v>0</v>
      </c>
      <c r="AT97" s="13">
        <f>$I$25*$AT$25</f>
        <v>0</v>
      </c>
      <c r="AU97" s="13">
        <f>$I$25*$AU$25</f>
        <v>0</v>
      </c>
      <c r="AV97" s="13">
        <f>$I$25*$AV$25</f>
        <v>0</v>
      </c>
      <c r="AW97" s="13">
        <f>$I$25*$AW$25</f>
        <v>0</v>
      </c>
      <c r="AX97" s="13">
        <f>$I$25*$AX$25</f>
        <v>0</v>
      </c>
      <c r="AY97" s="13">
        <f>$I$25*$AY$25</f>
        <v>0</v>
      </c>
      <c r="AZ97" s="13">
        <f>$I$25*$AZ$25</f>
        <v>0</v>
      </c>
      <c r="BA97" s="13">
        <f>$I$25*$BA$25</f>
        <v>0</v>
      </c>
      <c r="BB97" s="13">
        <f>$I$25*$BB$25</f>
        <v>0</v>
      </c>
      <c r="BC97" s="13">
        <f>$I$25*$BC$25</f>
        <v>0</v>
      </c>
      <c r="BD97" s="13">
        <f>$I$25*$BD$25</f>
        <v>0</v>
      </c>
    </row>
    <row r="98" spans="1:56" ht="11.25" customHeight="1" x14ac:dyDescent="0.3">
      <c r="A98" s="9" t="s">
        <v>43</v>
      </c>
      <c r="B98" s="9" t="s">
        <v>1118</v>
      </c>
      <c r="C98" s="9" t="s">
        <v>1119</v>
      </c>
      <c r="D98" s="9" t="s">
        <v>1120</v>
      </c>
      <c r="E98" s="9" t="s">
        <v>1121</v>
      </c>
      <c r="F98" s="9" t="s">
        <v>1122</v>
      </c>
      <c r="G98" s="9" t="s">
        <v>1125</v>
      </c>
      <c r="L98" s="13">
        <f>$I$26*$L$26</f>
        <v>0</v>
      </c>
      <c r="M98" s="13">
        <f>$I$26*$M$26</f>
        <v>0</v>
      </c>
      <c r="N98" s="13">
        <f ca="1">$I$26*$N$26</f>
        <v>0</v>
      </c>
      <c r="O98" s="13">
        <f>$I$26*$O$26</f>
        <v>0</v>
      </c>
      <c r="P98" s="13">
        <f>$I$26*$P$26</f>
        <v>0</v>
      </c>
      <c r="Q98" s="13">
        <f>$I$26*$Q$26</f>
        <v>0</v>
      </c>
      <c r="R98" s="13">
        <f>$I$26*$R$26</f>
        <v>0</v>
      </c>
      <c r="S98" s="13">
        <f>$I$26*$S$26</f>
        <v>0</v>
      </c>
      <c r="T98" s="13">
        <f>$I$26*$T$26</f>
        <v>0</v>
      </c>
      <c r="U98" s="13">
        <f>$I$26*$U$26</f>
        <v>0</v>
      </c>
      <c r="V98" s="13">
        <f>$I$26*$V$26</f>
        <v>0</v>
      </c>
      <c r="W98" s="13">
        <f>$I$26*$W$26</f>
        <v>0</v>
      </c>
      <c r="X98" s="13">
        <f>$I$26*$X$26</f>
        <v>0</v>
      </c>
      <c r="Y98" s="13">
        <f>$I$26*$Y$26</f>
        <v>0</v>
      </c>
      <c r="Z98" s="13">
        <f>$I$26*$Z$26</f>
        <v>0</v>
      </c>
      <c r="AA98" s="13">
        <f>$I$26*$AA$26</f>
        <v>0</v>
      </c>
      <c r="AB98" s="13">
        <f ca="1">$I$26*$AB$26</f>
        <v>0</v>
      </c>
      <c r="AC98" s="13">
        <f ca="1">$I$26*$AC$26</f>
        <v>0</v>
      </c>
      <c r="AD98" s="13">
        <f>$I$26*$AD$26</f>
        <v>0</v>
      </c>
      <c r="AE98" s="13">
        <f>$I$26*$AE$26</f>
        <v>0</v>
      </c>
      <c r="AF98" s="13">
        <f ca="1">$I$26*$AF$26</f>
        <v>0</v>
      </c>
      <c r="AG98" s="13">
        <f ca="1">$I$26*$AG$26</f>
        <v>0</v>
      </c>
      <c r="AI98" s="13">
        <f>$I$26*$AI$26</f>
        <v>0</v>
      </c>
      <c r="AJ98" s="13">
        <f>$I$26*$AJ$26</f>
        <v>0</v>
      </c>
      <c r="AK98" s="13">
        <f>$I$26*$AK$26</f>
        <v>0</v>
      </c>
      <c r="AL98" s="13">
        <f>$I$26*$AL$26</f>
        <v>0</v>
      </c>
      <c r="AM98" s="13">
        <f>$I$26*$AM$26</f>
        <v>0</v>
      </c>
      <c r="AN98" s="13">
        <f>$I$26*$AN$26</f>
        <v>0</v>
      </c>
      <c r="AO98" s="13">
        <f>$I$26*$AO$26</f>
        <v>0</v>
      </c>
      <c r="AP98" s="13">
        <f>$I$26*$AP$26</f>
        <v>0</v>
      </c>
      <c r="AQ98" s="13">
        <f>$I$26*$AQ$26</f>
        <v>0</v>
      </c>
      <c r="AR98" s="13">
        <f>$I$26*$AR$26</f>
        <v>0</v>
      </c>
      <c r="AS98" s="13">
        <f>$I$26*$AS$26</f>
        <v>0</v>
      </c>
      <c r="AT98" s="13">
        <f>$I$26*$AT$26</f>
        <v>0</v>
      </c>
      <c r="AU98" s="13">
        <f>$I$26*$AU$26</f>
        <v>0</v>
      </c>
      <c r="AV98" s="13">
        <f>$I$26*$AV$26</f>
        <v>0</v>
      </c>
      <c r="AW98" s="13">
        <f>$I$26*$AW$26</f>
        <v>0</v>
      </c>
      <c r="AX98" s="13">
        <f>$I$26*$AX$26</f>
        <v>0</v>
      </c>
      <c r="AY98" s="13">
        <f>$I$26*$AY$26</f>
        <v>0</v>
      </c>
      <c r="AZ98" s="13">
        <f>$I$26*$AZ$26</f>
        <v>0</v>
      </c>
      <c r="BA98" s="13">
        <f>$I$26*$BA$26</f>
        <v>0</v>
      </c>
      <c r="BB98" s="13">
        <f>$I$26*$BB$26</f>
        <v>0</v>
      </c>
      <c r="BC98" s="13">
        <f>$I$26*$BC$26</f>
        <v>0</v>
      </c>
      <c r="BD98" s="13">
        <f>$I$26*$BD$26</f>
        <v>0</v>
      </c>
    </row>
    <row r="99" spans="1:56" ht="11.25" customHeight="1" x14ac:dyDescent="0.3">
      <c r="A99" s="9" t="s">
        <v>43</v>
      </c>
      <c r="B99" s="9" t="s">
        <v>1118</v>
      </c>
      <c r="C99" s="9" t="s">
        <v>1119</v>
      </c>
      <c r="D99" s="9" t="s">
        <v>1120</v>
      </c>
      <c r="E99" s="9" t="s">
        <v>1126</v>
      </c>
      <c r="F99" s="9" t="s">
        <v>1127</v>
      </c>
      <c r="G99" s="9" t="s">
        <v>1128</v>
      </c>
      <c r="L99" s="13">
        <f>$I$27*$L$27</f>
        <v>0</v>
      </c>
      <c r="M99" s="13">
        <f>$I$27*$M$27</f>
        <v>0</v>
      </c>
      <c r="N99" s="13">
        <f ca="1">$I$27*$N$27</f>
        <v>0</v>
      </c>
      <c r="O99" s="13">
        <f>$I$27*$O$27</f>
        <v>0</v>
      </c>
      <c r="P99" s="13">
        <f>$I$27*$P$27</f>
        <v>0</v>
      </c>
      <c r="Q99" s="13">
        <f>$I$27*$Q$27</f>
        <v>0</v>
      </c>
      <c r="R99" s="13">
        <f>$I$27*$R$27</f>
        <v>0</v>
      </c>
      <c r="S99" s="13">
        <f>$I$27*$S$27</f>
        <v>0</v>
      </c>
      <c r="T99" s="13">
        <f>$I$27*$T$27</f>
        <v>0</v>
      </c>
      <c r="U99" s="13">
        <f>$I$27*$U$27</f>
        <v>0</v>
      </c>
      <c r="V99" s="13">
        <f>$I$27*$V$27</f>
        <v>0</v>
      </c>
      <c r="W99" s="13">
        <f>$I$27*$W$27</f>
        <v>0</v>
      </c>
      <c r="X99" s="13">
        <f>$I$27*$X$27</f>
        <v>0</v>
      </c>
      <c r="Y99" s="13">
        <f>$I$27*$Y$27</f>
        <v>0</v>
      </c>
      <c r="Z99" s="13">
        <f>$I$27*$Z$27</f>
        <v>0</v>
      </c>
      <c r="AA99" s="13">
        <f>$I$27*$AA$27</f>
        <v>0</v>
      </c>
      <c r="AB99" s="13">
        <f ca="1">$I$27*$AB$27</f>
        <v>0</v>
      </c>
      <c r="AC99" s="13">
        <f ca="1">$I$27*$AC$27</f>
        <v>0</v>
      </c>
      <c r="AD99" s="13">
        <f>$I$27*$AD$27</f>
        <v>0</v>
      </c>
      <c r="AE99" s="13">
        <f>$I$27*$AE$27</f>
        <v>0</v>
      </c>
      <c r="AF99" s="13">
        <f ca="1">$I$27*$AF$27</f>
        <v>0</v>
      </c>
      <c r="AG99" s="13">
        <f ca="1">$I$27*$AG$27</f>
        <v>0</v>
      </c>
      <c r="AI99" s="13">
        <f>$I$27*$AI$27</f>
        <v>0</v>
      </c>
      <c r="AJ99" s="13">
        <f>$I$27*$AJ$27</f>
        <v>0</v>
      </c>
      <c r="AK99" s="13">
        <f>$I$27*$AK$27</f>
        <v>0</v>
      </c>
      <c r="AL99" s="13">
        <f>$I$27*$AL$27</f>
        <v>0</v>
      </c>
      <c r="AM99" s="13">
        <f>$I$27*$AM$27</f>
        <v>0</v>
      </c>
      <c r="AN99" s="13">
        <f>$I$27*$AN$27</f>
        <v>0</v>
      </c>
      <c r="AO99" s="13">
        <f>$I$27*$AO$27</f>
        <v>0</v>
      </c>
      <c r="AP99" s="13">
        <f>$I$27*$AP$27</f>
        <v>0</v>
      </c>
      <c r="AQ99" s="13">
        <f>$I$27*$AQ$27</f>
        <v>0</v>
      </c>
      <c r="AR99" s="13">
        <f>$I$27*$AR$27</f>
        <v>0</v>
      </c>
      <c r="AS99" s="13">
        <f>$I$27*$AS$27</f>
        <v>0</v>
      </c>
      <c r="AT99" s="13">
        <f>$I$27*$AT$27</f>
        <v>0</v>
      </c>
      <c r="AU99" s="13">
        <f>$I$27*$AU$27</f>
        <v>0</v>
      </c>
      <c r="AV99" s="13">
        <f>$I$27*$AV$27</f>
        <v>0</v>
      </c>
      <c r="AW99" s="13">
        <f>$I$27*$AW$27</f>
        <v>0</v>
      </c>
      <c r="AX99" s="13">
        <f>$I$27*$AX$27</f>
        <v>0</v>
      </c>
      <c r="AY99" s="13">
        <f>$I$27*$AY$27</f>
        <v>0</v>
      </c>
      <c r="AZ99" s="13">
        <f>$I$27*$AZ$27</f>
        <v>0</v>
      </c>
      <c r="BA99" s="13">
        <f>$I$27*$BA$27</f>
        <v>0</v>
      </c>
      <c r="BB99" s="13">
        <f>$I$27*$BB$27</f>
        <v>0</v>
      </c>
      <c r="BC99" s="13">
        <f>$I$27*$BC$27</f>
        <v>0</v>
      </c>
      <c r="BD99" s="13">
        <f>$I$27*$BD$27</f>
        <v>0</v>
      </c>
    </row>
    <row r="100" spans="1:56" ht="11.25" customHeight="1" x14ac:dyDescent="0.3">
      <c r="A100" s="9" t="s">
        <v>43</v>
      </c>
      <c r="B100" s="9" t="s">
        <v>1129</v>
      </c>
      <c r="C100" s="9" t="s">
        <v>1130</v>
      </c>
      <c r="D100" s="9" t="s">
        <v>1131</v>
      </c>
      <c r="E100" s="9" t="s">
        <v>1132</v>
      </c>
      <c r="F100" s="9" t="s">
        <v>1133</v>
      </c>
      <c r="G100" s="9" t="s">
        <v>1134</v>
      </c>
      <c r="L100" s="13">
        <f>$I$28*$L$28</f>
        <v>0</v>
      </c>
      <c r="M100" s="13">
        <f>$I$28*$M$28</f>
        <v>0</v>
      </c>
      <c r="N100" s="13">
        <f ca="1">$I$28*$N$28</f>
        <v>0</v>
      </c>
      <c r="O100" s="13">
        <f>$I$28*$O$28</f>
        <v>0</v>
      </c>
      <c r="P100" s="13">
        <f>$I$28*$P$28</f>
        <v>0</v>
      </c>
      <c r="Q100" s="13">
        <f>$I$28*$Q$28</f>
        <v>0</v>
      </c>
      <c r="R100" s="13">
        <f>$I$28*$R$28</f>
        <v>0</v>
      </c>
      <c r="S100" s="13">
        <f>$I$28*$S$28</f>
        <v>0</v>
      </c>
      <c r="T100" s="13">
        <f>$I$28*$T$28</f>
        <v>15641.052328665826</v>
      </c>
      <c r="U100" s="13">
        <f>$I$28*$U$28</f>
        <v>3177.434251198204</v>
      </c>
      <c r="V100" s="13">
        <f>$I$28*$V$28</f>
        <v>446.4098738907889</v>
      </c>
      <c r="W100" s="13">
        <f>$I$28*$W$28</f>
        <v>0</v>
      </c>
      <c r="X100" s="13">
        <f>$I$28*$X$28</f>
        <v>0</v>
      </c>
      <c r="Y100" s="13">
        <f>$I$28*$Y$28</f>
        <v>0</v>
      </c>
      <c r="Z100" s="13">
        <f>$I$28*$Z$28</f>
        <v>0</v>
      </c>
      <c r="AA100" s="13">
        <f>$I$28*$AA$28</f>
        <v>19656.285928208963</v>
      </c>
      <c r="AB100" s="13">
        <f ca="1">$I$28*$AB$28</f>
        <v>0</v>
      </c>
      <c r="AC100" s="13">
        <f ca="1">$I$28*$AC$28</f>
        <v>0</v>
      </c>
      <c r="AD100" s="13">
        <f>$I$28*$AD$28</f>
        <v>0</v>
      </c>
      <c r="AE100" s="13">
        <f>$I$28*$AE$28</f>
        <v>0</v>
      </c>
      <c r="AF100" s="13">
        <f ca="1">$I$28*$AF$28</f>
        <v>0</v>
      </c>
      <c r="AG100" s="13">
        <f ca="1">$I$28*$AG$28</f>
        <v>0</v>
      </c>
      <c r="AI100" s="13">
        <f>$I$28*$AI$28</f>
        <v>0</v>
      </c>
      <c r="AJ100" s="13">
        <f>$I$28*$AJ$28</f>
        <v>0</v>
      </c>
      <c r="AK100" s="13">
        <f>$I$28*$AK$28</f>
        <v>0</v>
      </c>
      <c r="AL100" s="13">
        <f>$I$28*$AL$28</f>
        <v>0</v>
      </c>
      <c r="AM100" s="13">
        <f>$I$28*$AM$28</f>
        <v>0</v>
      </c>
      <c r="AN100" s="13">
        <f>$I$28*$AN$28</f>
        <v>0</v>
      </c>
      <c r="AO100" s="13">
        <f>$I$28*$AO$28</f>
        <v>0</v>
      </c>
      <c r="AP100" s="13">
        <f>$I$28*$AP$28</f>
        <v>0</v>
      </c>
      <c r="AQ100" s="13">
        <f>$I$28*$AQ$28</f>
        <v>12970.968126468497</v>
      </c>
      <c r="AR100" s="13">
        <f>$I$28*$AR$28</f>
        <v>3757.0023197163341</v>
      </c>
      <c r="AS100" s="13">
        <f>$I$28*$AS$28</f>
        <v>43.034083133172416</v>
      </c>
      <c r="AT100" s="13">
        <f>$I$28*$AT$28</f>
        <v>0</v>
      </c>
      <c r="AU100" s="13">
        <f>$I$28*$AU$28</f>
        <v>0</v>
      </c>
      <c r="AV100" s="13">
        <f>$I$28*$AV$28</f>
        <v>0</v>
      </c>
      <c r="AW100" s="13">
        <f>$I$28*$AW$28</f>
        <v>0</v>
      </c>
      <c r="AX100" s="13">
        <f>$I$28*$AX$28</f>
        <v>17176.38513848402</v>
      </c>
      <c r="AY100" s="13">
        <f>$I$28*$AY$28</f>
        <v>0</v>
      </c>
      <c r="AZ100" s="13">
        <f>$I$28*$AZ$28</f>
        <v>0</v>
      </c>
      <c r="BA100" s="13">
        <f>$I$28*$BA$28</f>
        <v>0</v>
      </c>
      <c r="BB100" s="13">
        <f>$I$28*$BB$28</f>
        <v>0</v>
      </c>
      <c r="BC100" s="13">
        <f>$I$28*$BC$28</f>
        <v>0</v>
      </c>
      <c r="BD100" s="13">
        <f>$I$28*$BD$28</f>
        <v>0</v>
      </c>
    </row>
    <row r="101" spans="1:56" ht="11.25" customHeight="1" x14ac:dyDescent="0.3">
      <c r="A101" s="9" t="s">
        <v>43</v>
      </c>
      <c r="B101" s="9" t="s">
        <v>1129</v>
      </c>
      <c r="C101" s="9" t="s">
        <v>1130</v>
      </c>
      <c r="D101" s="9" t="s">
        <v>1131</v>
      </c>
      <c r="E101" s="9" t="s">
        <v>1132</v>
      </c>
      <c r="F101" s="9" t="s">
        <v>1133</v>
      </c>
      <c r="G101" s="9" t="s">
        <v>1135</v>
      </c>
      <c r="L101" s="13">
        <f>$I$29*$L$29</f>
        <v>367.29769586764172</v>
      </c>
      <c r="M101" s="13">
        <f>$I$29*$M$29</f>
        <v>52.651793894639667</v>
      </c>
      <c r="N101" s="13">
        <f ca="1">$I$29*$N$29</f>
        <v>1120.112041883483</v>
      </c>
      <c r="O101" s="13">
        <f>$I$29*$O$29</f>
        <v>0</v>
      </c>
      <c r="P101" s="13">
        <f>$I$29*$P$29</f>
        <v>0</v>
      </c>
      <c r="Q101" s="13">
        <f>$I$29*$Q$29</f>
        <v>5981.0657985911848</v>
      </c>
      <c r="R101" s="13">
        <f>$I$29*$R$29</f>
        <v>1024.2838859098299</v>
      </c>
      <c r="S101" s="13">
        <f>$I$29*$S$29</f>
        <v>0</v>
      </c>
      <c r="T101" s="13">
        <f>$I$29*$T$29</f>
        <v>7654.136727923079</v>
      </c>
      <c r="U101" s="13">
        <f>$I$29*$U$29</f>
        <v>1542.5998644175356</v>
      </c>
      <c r="V101" s="13">
        <f>$I$29*$V$29</f>
        <v>226.16604927462089</v>
      </c>
      <c r="W101" s="13">
        <f>$I$29*$W$29</f>
        <v>0</v>
      </c>
      <c r="X101" s="13">
        <f>$I$29*$X$29</f>
        <v>0</v>
      </c>
      <c r="Y101" s="13">
        <f>$I$29*$Y$29</f>
        <v>0</v>
      </c>
      <c r="Z101" s="13">
        <f>$I$29*$Z$29</f>
        <v>0</v>
      </c>
      <c r="AA101" s="13">
        <f>$I$29*$AA$29</f>
        <v>84589.28765463036</v>
      </c>
      <c r="AB101" s="13">
        <f ca="1">$I$29*$AB$29</f>
        <v>0</v>
      </c>
      <c r="AC101" s="13">
        <f ca="1">$I$29*$AC$29</f>
        <v>0</v>
      </c>
      <c r="AD101" s="13">
        <f>$I$29*$AD$29</f>
        <v>1685.363772655679</v>
      </c>
      <c r="AE101" s="13">
        <f>$I$29*$AE$29</f>
        <v>29.209179367534325</v>
      </c>
      <c r="AF101" s="13">
        <f ca="1">$I$29*$AF$29</f>
        <v>127.85806733773155</v>
      </c>
      <c r="AG101" s="13">
        <f ca="1">$I$29*$AG$29</f>
        <v>17.726155466094966</v>
      </c>
      <c r="AI101" s="13">
        <f>$I$29*$AI$29</f>
        <v>372.41218645919679</v>
      </c>
      <c r="AJ101" s="13">
        <f>$I$29*$AJ$29</f>
        <v>46.248911370499954</v>
      </c>
      <c r="AK101" s="13">
        <f>$I$29*$AK$29</f>
        <v>868.8273498759072</v>
      </c>
      <c r="AL101" s="13">
        <f>$I$29*$AL$29</f>
        <v>0</v>
      </c>
      <c r="AM101" s="13">
        <f>$I$29*$AM$29</f>
        <v>0</v>
      </c>
      <c r="AN101" s="13">
        <f>$I$29*$AN$29</f>
        <v>3185.5070478064545</v>
      </c>
      <c r="AO101" s="13">
        <f>$I$29*$AO$29</f>
        <v>557.25822600665379</v>
      </c>
      <c r="AP101" s="13">
        <f>$I$29*$AP$29</f>
        <v>0</v>
      </c>
      <c r="AQ101" s="13">
        <f>$I$29*$AQ$29</f>
        <v>6347.4989692072159</v>
      </c>
      <c r="AR101" s="13">
        <f>$I$29*$AR$29</f>
        <v>1823.9720512943113</v>
      </c>
      <c r="AS101" s="13">
        <f>$I$29*$AS$29</f>
        <v>21.802493931319841</v>
      </c>
      <c r="AT101" s="13">
        <f>$I$29*$AT$29</f>
        <v>0</v>
      </c>
      <c r="AU101" s="13">
        <f>$I$29*$AU$29</f>
        <v>0</v>
      </c>
      <c r="AV101" s="13">
        <f>$I$29*$AV$29</f>
        <v>0</v>
      </c>
      <c r="AW101" s="13">
        <f>$I$29*$AW$29</f>
        <v>0</v>
      </c>
      <c r="AX101" s="13">
        <f>$I$29*$AX$29</f>
        <v>73917.228750769194</v>
      </c>
      <c r="AY101" s="13">
        <f>$I$29*$AY$29</f>
        <v>0</v>
      </c>
      <c r="AZ101" s="13">
        <f>$I$29*$AZ$29</f>
        <v>0</v>
      </c>
      <c r="BA101" s="13">
        <f>$I$29*$BA$29</f>
        <v>1422.9351337026708</v>
      </c>
      <c r="BB101" s="13">
        <f>$I$29*$BB$29</f>
        <v>28.868107419136074</v>
      </c>
      <c r="BC101" s="13">
        <f>$I$29*$BC$29</f>
        <v>116.23466866920671</v>
      </c>
      <c r="BD101" s="13">
        <f>$I$29*$BD$29</f>
        <v>19.382632120979235</v>
      </c>
    </row>
    <row r="102" spans="1:56" ht="11.25" customHeight="1" x14ac:dyDescent="0.3">
      <c r="A102" s="9" t="s">
        <v>43</v>
      </c>
      <c r="B102" s="9" t="s">
        <v>1129</v>
      </c>
      <c r="C102" s="9" t="s">
        <v>1130</v>
      </c>
      <c r="D102" s="9" t="s">
        <v>1131</v>
      </c>
      <c r="E102" s="9" t="s">
        <v>1132</v>
      </c>
      <c r="F102" s="9" t="s">
        <v>1133</v>
      </c>
      <c r="G102" s="9" t="s">
        <v>1136</v>
      </c>
      <c r="L102" s="13">
        <f>$I$30*$L$30</f>
        <v>3386.6227723210618</v>
      </c>
      <c r="M102" s="13">
        <f>$I$30*$M$30</f>
        <v>485.4693242382811</v>
      </c>
      <c r="N102" s="13">
        <f ca="1">$I$30*$N$30</f>
        <v>1168.6232450896935</v>
      </c>
      <c r="O102" s="13">
        <f>$I$30*$O$30</f>
        <v>0</v>
      </c>
      <c r="P102" s="13">
        <f>$I$30*$P$30</f>
        <v>0</v>
      </c>
      <c r="Q102" s="13">
        <f>$I$30*$Q$30</f>
        <v>55147.67411870401</v>
      </c>
      <c r="R102" s="13">
        <f>$I$30*$R$30</f>
        <v>9444.2823147841555</v>
      </c>
      <c r="S102" s="13">
        <f>$I$30*$S$30</f>
        <v>0</v>
      </c>
      <c r="T102" s="13">
        <f>$I$30*$T$30</f>
        <v>0</v>
      </c>
      <c r="U102" s="13">
        <f>$I$30*$U$30</f>
        <v>0</v>
      </c>
      <c r="V102" s="13">
        <f>$I$30*$V$30</f>
        <v>0</v>
      </c>
      <c r="W102" s="13">
        <f>$I$30*$W$30</f>
        <v>0</v>
      </c>
      <c r="X102" s="13">
        <f>$I$30*$X$30</f>
        <v>0</v>
      </c>
      <c r="Y102" s="13">
        <f>$I$30*$Y$30</f>
        <v>0</v>
      </c>
      <c r="Z102" s="13">
        <f>$I$30*$Z$30</f>
        <v>0</v>
      </c>
      <c r="AA102" s="13">
        <f>$I$30*$AA$30</f>
        <v>0</v>
      </c>
      <c r="AB102" s="13">
        <f ca="1">$I$30*$AB$30</f>
        <v>0</v>
      </c>
      <c r="AC102" s="13">
        <f ca="1">$I$30*$AC$30</f>
        <v>0</v>
      </c>
      <c r="AD102" s="13">
        <f>$I$30*$AD$30</f>
        <v>15539.687279109599</v>
      </c>
      <c r="AE102" s="13">
        <f>$I$30*$AE$30</f>
        <v>269.31960946073815</v>
      </c>
      <c r="AF102" s="13">
        <f ca="1">$I$30*$AF$30</f>
        <v>1178.8994250237783</v>
      </c>
      <c r="AG102" s="13">
        <f ca="1">$I$30*$AG$30</f>
        <v>163.44181420842222</v>
      </c>
      <c r="AI102" s="13">
        <f>$I$30*$AI$30</f>
        <v>3433.7802974050846</v>
      </c>
      <c r="AJ102" s="13">
        <f>$I$30*$AJ$30</f>
        <v>426.43234140743283</v>
      </c>
      <c r="AK102" s="13">
        <f>$I$30*$AK$30</f>
        <v>906.12101877046007</v>
      </c>
      <c r="AL102" s="13">
        <f>$I$30*$AL$30</f>
        <v>0</v>
      </c>
      <c r="AM102" s="13">
        <f>$I$30*$AM$30</f>
        <v>0</v>
      </c>
      <c r="AN102" s="13">
        <f>$I$30*$AN$30</f>
        <v>29371.571972447509</v>
      </c>
      <c r="AO102" s="13">
        <f>$I$30*$AO$30</f>
        <v>5138.1302401021449</v>
      </c>
      <c r="AP102" s="13">
        <f>$I$30*$AP$30</f>
        <v>0</v>
      </c>
      <c r="AQ102" s="13">
        <f>$I$30*$AQ$30</f>
        <v>0</v>
      </c>
      <c r="AR102" s="13">
        <f>$I$30*$AR$30</f>
        <v>0</v>
      </c>
      <c r="AS102" s="13">
        <f>$I$30*$AS$30</f>
        <v>0</v>
      </c>
      <c r="AT102" s="13">
        <f>$I$30*$AT$30</f>
        <v>0</v>
      </c>
      <c r="AU102" s="13">
        <f>$I$30*$AU$30</f>
        <v>0</v>
      </c>
      <c r="AV102" s="13">
        <f>$I$30*$AV$30</f>
        <v>0</v>
      </c>
      <c r="AW102" s="13">
        <f>$I$30*$AW$30</f>
        <v>0</v>
      </c>
      <c r="AX102" s="13">
        <f>$I$30*$AX$30</f>
        <v>0</v>
      </c>
      <c r="AY102" s="13">
        <f>$I$30*$AY$30</f>
        <v>0</v>
      </c>
      <c r="AZ102" s="13">
        <f>$I$30*$AZ$30</f>
        <v>0</v>
      </c>
      <c r="BA102" s="13">
        <f>$I$30*$BA$30</f>
        <v>13119.996617320789</v>
      </c>
      <c r="BB102" s="13">
        <f>$I$30*$BB$30</f>
        <v>266.17479793471739</v>
      </c>
      <c r="BC102" s="13">
        <f>$I$30*$BC$30</f>
        <v>1071.7273216714673</v>
      </c>
      <c r="BD102" s="13">
        <f>$I$30*$BD$30</f>
        <v>178.71515140700578</v>
      </c>
    </row>
    <row r="103" spans="1:56" ht="11.25" customHeight="1" x14ac:dyDescent="0.3">
      <c r="A103" s="9" t="s">
        <v>43</v>
      </c>
      <c r="B103" s="9" t="s">
        <v>1129</v>
      </c>
      <c r="C103" s="9" t="s">
        <v>1130</v>
      </c>
      <c r="D103" s="9" t="s">
        <v>1131</v>
      </c>
      <c r="E103" s="9" t="s">
        <v>1137</v>
      </c>
      <c r="F103" s="9" t="s">
        <v>1138</v>
      </c>
      <c r="G103" s="9" t="s">
        <v>1139</v>
      </c>
      <c r="L103" s="13">
        <f>$I$31*$L$31</f>
        <v>0</v>
      </c>
      <c r="M103" s="13">
        <f>$I$31*$M$31</f>
        <v>0</v>
      </c>
      <c r="N103" s="13">
        <f ca="1">$I$31*$N$31</f>
        <v>0</v>
      </c>
      <c r="O103" s="13">
        <f>$I$31*$O$31</f>
        <v>0</v>
      </c>
      <c r="P103" s="13">
        <f>$I$31*$P$31</f>
        <v>0</v>
      </c>
      <c r="Q103" s="13">
        <f>$I$31*$Q$31</f>
        <v>0</v>
      </c>
      <c r="R103" s="13">
        <f>$I$31*$R$31</f>
        <v>0</v>
      </c>
      <c r="S103" s="13">
        <f>$I$31*$S$31</f>
        <v>0</v>
      </c>
      <c r="T103" s="13">
        <f>$I$31*$T$31</f>
        <v>0</v>
      </c>
      <c r="U103" s="13">
        <f>$I$31*$U$31</f>
        <v>0</v>
      </c>
      <c r="V103" s="13">
        <f>$I$31*$V$31</f>
        <v>0</v>
      </c>
      <c r="W103" s="13">
        <f>$I$31*$W$31</f>
        <v>0</v>
      </c>
      <c r="X103" s="13">
        <f>$I$31*$X$31</f>
        <v>0</v>
      </c>
      <c r="Y103" s="13">
        <f>$I$31*$Y$31</f>
        <v>0</v>
      </c>
      <c r="Z103" s="13">
        <f>$I$31*$Z$31</f>
        <v>0</v>
      </c>
      <c r="AA103" s="13">
        <f>$I$31*$AA$31</f>
        <v>0</v>
      </c>
      <c r="AB103" s="13">
        <f ca="1">$I$31*$AB$31</f>
        <v>0</v>
      </c>
      <c r="AC103" s="13">
        <f ca="1">$I$31*$AC$31</f>
        <v>0</v>
      </c>
      <c r="AD103" s="13">
        <f>$I$31*$AD$31</f>
        <v>0</v>
      </c>
      <c r="AE103" s="13">
        <f>$I$31*$AE$31</f>
        <v>0</v>
      </c>
      <c r="AF103" s="13">
        <f ca="1">$I$31*$AF$31</f>
        <v>0</v>
      </c>
      <c r="AG103" s="13">
        <f ca="1">$I$31*$AG$31</f>
        <v>0</v>
      </c>
      <c r="AI103" s="13">
        <f>$I$31*$AI$31</f>
        <v>0</v>
      </c>
      <c r="AJ103" s="13">
        <f>$I$31*$AJ$31</f>
        <v>0</v>
      </c>
      <c r="AK103" s="13">
        <f>$I$31*$AK$31</f>
        <v>0</v>
      </c>
      <c r="AL103" s="13">
        <f>$I$31*$AL$31</f>
        <v>0</v>
      </c>
      <c r="AM103" s="13">
        <f>$I$31*$AM$31</f>
        <v>0</v>
      </c>
      <c r="AN103" s="13">
        <f>$I$31*$AN$31</f>
        <v>0</v>
      </c>
      <c r="AO103" s="13">
        <f>$I$31*$AO$31</f>
        <v>0</v>
      </c>
      <c r="AP103" s="13">
        <f>$I$31*$AP$31</f>
        <v>0</v>
      </c>
      <c r="AQ103" s="13">
        <f>$I$31*$AQ$31</f>
        <v>0</v>
      </c>
      <c r="AR103" s="13">
        <f>$I$31*$AR$31</f>
        <v>0</v>
      </c>
      <c r="AS103" s="13">
        <f>$I$31*$AS$31</f>
        <v>0</v>
      </c>
      <c r="AT103" s="13">
        <f>$I$31*$AT$31</f>
        <v>0</v>
      </c>
      <c r="AU103" s="13">
        <f>$I$31*$AU$31</f>
        <v>0</v>
      </c>
      <c r="AV103" s="13">
        <f>$I$31*$AV$31</f>
        <v>0</v>
      </c>
      <c r="AW103" s="13">
        <f>$I$31*$AW$31</f>
        <v>0</v>
      </c>
      <c r="AX103" s="13">
        <f>$I$31*$AX$31</f>
        <v>0</v>
      </c>
      <c r="AY103" s="13">
        <f>$I$31*$AY$31</f>
        <v>0</v>
      </c>
      <c r="AZ103" s="13">
        <f>$I$31*$AZ$31</f>
        <v>0</v>
      </c>
      <c r="BA103" s="13">
        <f>$I$31*$BA$31</f>
        <v>0</v>
      </c>
      <c r="BB103" s="13">
        <f>$I$31*$BB$31</f>
        <v>0</v>
      </c>
      <c r="BC103" s="13">
        <f>$I$31*$BC$31</f>
        <v>0</v>
      </c>
      <c r="BD103" s="13">
        <f>$I$31*$BD$31</f>
        <v>0</v>
      </c>
    </row>
    <row r="104" spans="1:56" ht="11.25" customHeight="1" x14ac:dyDescent="0.3">
      <c r="A104" s="9" t="s">
        <v>43</v>
      </c>
      <c r="B104" s="9" t="s">
        <v>1129</v>
      </c>
      <c r="C104" s="9" t="s">
        <v>1130</v>
      </c>
      <c r="D104" s="9" t="s">
        <v>1131</v>
      </c>
      <c r="E104" s="9" t="s">
        <v>1137</v>
      </c>
      <c r="F104" s="9" t="s">
        <v>1138</v>
      </c>
      <c r="G104" s="9" t="s">
        <v>1140</v>
      </c>
      <c r="L104" s="13">
        <f>$I$32*$L$32</f>
        <v>0</v>
      </c>
      <c r="M104" s="13">
        <f>$I$32*$M$32</f>
        <v>0</v>
      </c>
      <c r="N104" s="13">
        <f ca="1">$I$32*$N$32</f>
        <v>0</v>
      </c>
      <c r="O104" s="13">
        <f>$I$32*$O$32</f>
        <v>0</v>
      </c>
      <c r="P104" s="13">
        <f>$I$32*$P$32</f>
        <v>0</v>
      </c>
      <c r="Q104" s="13">
        <f>$I$32*$Q$32</f>
        <v>0</v>
      </c>
      <c r="R104" s="13">
        <f>$I$32*$R$32</f>
        <v>0</v>
      </c>
      <c r="S104" s="13">
        <f>$I$32*$S$32</f>
        <v>0</v>
      </c>
      <c r="T104" s="13">
        <f>$I$32*$T$32</f>
        <v>0</v>
      </c>
      <c r="U104" s="13">
        <f>$I$32*$U$32</f>
        <v>0</v>
      </c>
      <c r="V104" s="13">
        <f>$I$32*$V$32</f>
        <v>0</v>
      </c>
      <c r="W104" s="13">
        <f>$I$32*$W$32</f>
        <v>0</v>
      </c>
      <c r="X104" s="13">
        <f>$I$32*$X$32</f>
        <v>0</v>
      </c>
      <c r="Y104" s="13">
        <f>$I$32*$Y$32</f>
        <v>0</v>
      </c>
      <c r="Z104" s="13">
        <f>$I$32*$Z$32</f>
        <v>0</v>
      </c>
      <c r="AA104" s="13">
        <f>$I$32*$AA$32</f>
        <v>0</v>
      </c>
      <c r="AB104" s="13">
        <f ca="1">$I$32*$AB$32</f>
        <v>0</v>
      </c>
      <c r="AC104" s="13">
        <f ca="1">$I$32*$AC$32</f>
        <v>0</v>
      </c>
      <c r="AD104" s="13">
        <f>$I$32*$AD$32</f>
        <v>0</v>
      </c>
      <c r="AE104" s="13">
        <f>$I$32*$AE$32</f>
        <v>0</v>
      </c>
      <c r="AF104" s="13">
        <f ca="1">$I$32*$AF$32</f>
        <v>0</v>
      </c>
      <c r="AG104" s="13">
        <f ca="1">$I$32*$AG$32</f>
        <v>0</v>
      </c>
      <c r="AI104" s="13">
        <f>$I$32*$AI$32</f>
        <v>0</v>
      </c>
      <c r="AJ104" s="13">
        <f>$I$32*$AJ$32</f>
        <v>0</v>
      </c>
      <c r="AK104" s="13">
        <f>$I$32*$AK$32</f>
        <v>0</v>
      </c>
      <c r="AL104" s="13">
        <f>$I$32*$AL$32</f>
        <v>0</v>
      </c>
      <c r="AM104" s="13">
        <f>$I$32*$AM$32</f>
        <v>0</v>
      </c>
      <c r="AN104" s="13">
        <f>$I$32*$AN$32</f>
        <v>0</v>
      </c>
      <c r="AO104" s="13">
        <f>$I$32*$AO$32</f>
        <v>0</v>
      </c>
      <c r="AP104" s="13">
        <f>$I$32*$AP$32</f>
        <v>0</v>
      </c>
      <c r="AQ104" s="13">
        <f>$I$32*$AQ$32</f>
        <v>0</v>
      </c>
      <c r="AR104" s="13">
        <f>$I$32*$AR$32</f>
        <v>0</v>
      </c>
      <c r="AS104" s="13">
        <f>$I$32*$AS$32</f>
        <v>0</v>
      </c>
      <c r="AT104" s="13">
        <f>$I$32*$AT$32</f>
        <v>0</v>
      </c>
      <c r="AU104" s="13">
        <f>$I$32*$AU$32</f>
        <v>0</v>
      </c>
      <c r="AV104" s="13">
        <f>$I$32*$AV$32</f>
        <v>0</v>
      </c>
      <c r="AW104" s="13">
        <f>$I$32*$AW$32</f>
        <v>0</v>
      </c>
      <c r="AX104" s="13">
        <f>$I$32*$AX$32</f>
        <v>0</v>
      </c>
      <c r="AY104" s="13">
        <f>$I$32*$AY$32</f>
        <v>0</v>
      </c>
      <c r="AZ104" s="13">
        <f>$I$32*$AZ$32</f>
        <v>0</v>
      </c>
      <c r="BA104" s="13">
        <f>$I$32*$BA$32</f>
        <v>0</v>
      </c>
      <c r="BB104" s="13">
        <f>$I$32*$BB$32</f>
        <v>0</v>
      </c>
      <c r="BC104" s="13">
        <f>$I$32*$BC$32</f>
        <v>0</v>
      </c>
      <c r="BD104" s="13">
        <f>$I$32*$BD$32</f>
        <v>0</v>
      </c>
    </row>
    <row r="105" spans="1:56" ht="11.25" customHeight="1" x14ac:dyDescent="0.3">
      <c r="A105" s="9" t="s">
        <v>43</v>
      </c>
      <c r="B105" s="9" t="s">
        <v>1141</v>
      </c>
      <c r="C105" s="9" t="s">
        <v>1142</v>
      </c>
      <c r="D105" s="9" t="s">
        <v>1143</v>
      </c>
      <c r="E105" s="9" t="s">
        <v>1144</v>
      </c>
      <c r="F105" s="9" t="s">
        <v>1145</v>
      </c>
      <c r="G105" s="9" t="s">
        <v>1146</v>
      </c>
      <c r="L105" s="13">
        <f>$I$33*$L$33</f>
        <v>0</v>
      </c>
      <c r="M105" s="13">
        <f>$I$33*$M$33</f>
        <v>0</v>
      </c>
      <c r="N105" s="13">
        <f ca="1">$I$33*$N$33</f>
        <v>0</v>
      </c>
      <c r="O105" s="13">
        <f>$I$33*$O$33</f>
        <v>0</v>
      </c>
      <c r="P105" s="13">
        <f>$I$33*$P$33</f>
        <v>0</v>
      </c>
      <c r="Q105" s="13">
        <f>$I$33*$Q$33</f>
        <v>0</v>
      </c>
      <c r="R105" s="13">
        <f>$I$33*$R$33</f>
        <v>0</v>
      </c>
      <c r="S105" s="13">
        <f>$I$33*$S$33</f>
        <v>0</v>
      </c>
      <c r="T105" s="13">
        <f>$I$33*$T$33</f>
        <v>0</v>
      </c>
      <c r="U105" s="13">
        <f>$I$33*$U$33</f>
        <v>0</v>
      </c>
      <c r="V105" s="13">
        <f>$I$33*$V$33</f>
        <v>0</v>
      </c>
      <c r="W105" s="13">
        <f>$I$33*$W$33</f>
        <v>0</v>
      </c>
      <c r="X105" s="13">
        <f>$I$33*$X$33</f>
        <v>0</v>
      </c>
      <c r="Y105" s="13">
        <f>$I$33*$Y$33</f>
        <v>0</v>
      </c>
      <c r="Z105" s="13">
        <f>$I$33*$Z$33</f>
        <v>0</v>
      </c>
      <c r="AA105" s="13">
        <f>$I$33*$AA$33</f>
        <v>0</v>
      </c>
      <c r="AB105" s="13">
        <f ca="1">$I$33*$AB$33</f>
        <v>0</v>
      </c>
      <c r="AC105" s="13">
        <f ca="1">$I$33*$AC$33</f>
        <v>0</v>
      </c>
      <c r="AD105" s="13">
        <f>$I$33*$AD$33</f>
        <v>0</v>
      </c>
      <c r="AE105" s="13">
        <f>$I$33*$AE$33</f>
        <v>0</v>
      </c>
      <c r="AF105" s="13">
        <f ca="1">$I$33*$AF$33</f>
        <v>0</v>
      </c>
      <c r="AG105" s="13">
        <f ca="1">$I$33*$AG$33</f>
        <v>0</v>
      </c>
      <c r="AI105" s="13">
        <f>$I$33*$AI$33</f>
        <v>0</v>
      </c>
      <c r="AJ105" s="13">
        <f>$I$33*$AJ$33</f>
        <v>0</v>
      </c>
      <c r="AK105" s="13">
        <f>$I$33*$AK$33</f>
        <v>0</v>
      </c>
      <c r="AL105" s="13">
        <f>$I$33*$AL$33</f>
        <v>0</v>
      </c>
      <c r="AM105" s="13">
        <f>$I$33*$AM$33</f>
        <v>0</v>
      </c>
      <c r="AN105" s="13">
        <f>$I$33*$AN$33</f>
        <v>0</v>
      </c>
      <c r="AO105" s="13">
        <f>$I$33*$AO$33</f>
        <v>0</v>
      </c>
      <c r="AP105" s="13">
        <f>$I$33*$AP$33</f>
        <v>0</v>
      </c>
      <c r="AQ105" s="13">
        <f>$I$33*$AQ$33</f>
        <v>0</v>
      </c>
      <c r="AR105" s="13">
        <f>$I$33*$AR$33</f>
        <v>0</v>
      </c>
      <c r="AS105" s="13">
        <f>$I$33*$AS$33</f>
        <v>0</v>
      </c>
      <c r="AT105" s="13">
        <f>$I$33*$AT$33</f>
        <v>0</v>
      </c>
      <c r="AU105" s="13">
        <f>$I$33*$AU$33</f>
        <v>0</v>
      </c>
      <c r="AV105" s="13">
        <f>$I$33*$AV$33</f>
        <v>0</v>
      </c>
      <c r="AW105" s="13">
        <f>$I$33*$AW$33</f>
        <v>0</v>
      </c>
      <c r="AX105" s="13">
        <f>$I$33*$AX$33</f>
        <v>0</v>
      </c>
      <c r="AY105" s="13">
        <f>$I$33*$AY$33</f>
        <v>0</v>
      </c>
      <c r="AZ105" s="13">
        <f>$I$33*$AZ$33</f>
        <v>0</v>
      </c>
      <c r="BA105" s="13">
        <f>$I$33*$BA$33</f>
        <v>0</v>
      </c>
      <c r="BB105" s="13">
        <f>$I$33*$BB$33</f>
        <v>0</v>
      </c>
      <c r="BC105" s="13">
        <f>$I$33*$BC$33</f>
        <v>0</v>
      </c>
      <c r="BD105" s="13">
        <f>$I$33*$BD$33</f>
        <v>0</v>
      </c>
    </row>
    <row r="106" spans="1:56" ht="11.25" customHeight="1" x14ac:dyDescent="0.3">
      <c r="A106" s="9" t="s">
        <v>43</v>
      </c>
      <c r="B106" s="9" t="s">
        <v>1141</v>
      </c>
      <c r="C106" s="9" t="s">
        <v>1142</v>
      </c>
      <c r="D106" s="9" t="s">
        <v>1143</v>
      </c>
      <c r="E106" s="9" t="s">
        <v>1144</v>
      </c>
      <c r="F106" s="9" t="s">
        <v>1145</v>
      </c>
      <c r="G106" s="9" t="s">
        <v>1147</v>
      </c>
      <c r="L106" s="13">
        <f>$I$34*$L$34</f>
        <v>0</v>
      </c>
      <c r="M106" s="13">
        <f>$I$34*$M$34</f>
        <v>0</v>
      </c>
      <c r="N106" s="13">
        <f ca="1">$I$34*$N$34</f>
        <v>0</v>
      </c>
      <c r="O106" s="13">
        <f>$I$34*$O$34</f>
        <v>0</v>
      </c>
      <c r="P106" s="13">
        <f>$I$34*$P$34</f>
        <v>0</v>
      </c>
      <c r="Q106" s="13">
        <f>$I$34*$Q$34</f>
        <v>0</v>
      </c>
      <c r="R106" s="13">
        <f>$I$34*$R$34</f>
        <v>0</v>
      </c>
      <c r="S106" s="13">
        <f>$I$34*$S$34</f>
        <v>0</v>
      </c>
      <c r="T106" s="13">
        <f>$I$34*$T$34</f>
        <v>0</v>
      </c>
      <c r="U106" s="13">
        <f>$I$34*$U$34</f>
        <v>0</v>
      </c>
      <c r="V106" s="13">
        <f>$I$34*$V$34</f>
        <v>0</v>
      </c>
      <c r="W106" s="13">
        <f>$I$34*$W$34</f>
        <v>0</v>
      </c>
      <c r="X106" s="13">
        <f>$I$34*$X$34</f>
        <v>0</v>
      </c>
      <c r="Y106" s="13">
        <f>$I$34*$Y$34</f>
        <v>0</v>
      </c>
      <c r="Z106" s="13">
        <f>$I$34*$Z$34</f>
        <v>0</v>
      </c>
      <c r="AA106" s="13">
        <f>$I$34*$AA$34</f>
        <v>0</v>
      </c>
      <c r="AB106" s="13">
        <f ca="1">$I$34*$AB$34</f>
        <v>0</v>
      </c>
      <c r="AC106" s="13">
        <f ca="1">$I$34*$AC$34</f>
        <v>0</v>
      </c>
      <c r="AD106" s="13">
        <f>$I$34*$AD$34</f>
        <v>0</v>
      </c>
      <c r="AE106" s="13">
        <f>$I$34*$AE$34</f>
        <v>0</v>
      </c>
      <c r="AF106" s="13">
        <f ca="1">$I$34*$AF$34</f>
        <v>0</v>
      </c>
      <c r="AG106" s="13">
        <f ca="1">$I$34*$AG$34</f>
        <v>0</v>
      </c>
      <c r="AI106" s="13">
        <f>$I$34*$AI$34</f>
        <v>0</v>
      </c>
      <c r="AJ106" s="13">
        <f>$I$34*$AJ$34</f>
        <v>0</v>
      </c>
      <c r="AK106" s="13">
        <f>$I$34*$AK$34</f>
        <v>0</v>
      </c>
      <c r="AL106" s="13">
        <f>$I$34*$AL$34</f>
        <v>0</v>
      </c>
      <c r="AM106" s="13">
        <f>$I$34*$AM$34</f>
        <v>0</v>
      </c>
      <c r="AN106" s="13">
        <f>$I$34*$AN$34</f>
        <v>0</v>
      </c>
      <c r="AO106" s="13">
        <f>$I$34*$AO$34</f>
        <v>0</v>
      </c>
      <c r="AP106" s="13">
        <f>$I$34*$AP$34</f>
        <v>0</v>
      </c>
      <c r="AQ106" s="13">
        <f>$I$34*$AQ$34</f>
        <v>0</v>
      </c>
      <c r="AR106" s="13">
        <f>$I$34*$AR$34</f>
        <v>0</v>
      </c>
      <c r="AS106" s="13">
        <f>$I$34*$AS$34</f>
        <v>0</v>
      </c>
      <c r="AT106" s="13">
        <f>$I$34*$AT$34</f>
        <v>0</v>
      </c>
      <c r="AU106" s="13">
        <f>$I$34*$AU$34</f>
        <v>0</v>
      </c>
      <c r="AV106" s="13">
        <f>$I$34*$AV$34</f>
        <v>0</v>
      </c>
      <c r="AW106" s="13">
        <f>$I$34*$AW$34</f>
        <v>0</v>
      </c>
      <c r="AX106" s="13">
        <f>$I$34*$AX$34</f>
        <v>0</v>
      </c>
      <c r="AY106" s="13">
        <f>$I$34*$AY$34</f>
        <v>0</v>
      </c>
      <c r="AZ106" s="13">
        <f>$I$34*$AZ$34</f>
        <v>0</v>
      </c>
      <c r="BA106" s="13">
        <f>$I$34*$BA$34</f>
        <v>0</v>
      </c>
      <c r="BB106" s="13">
        <f>$I$34*$BB$34</f>
        <v>0</v>
      </c>
      <c r="BC106" s="13">
        <f>$I$34*$BC$34</f>
        <v>0</v>
      </c>
      <c r="BD106" s="13">
        <f>$I$34*$BD$34</f>
        <v>0</v>
      </c>
    </row>
    <row r="107" spans="1:56" ht="11.25" customHeight="1" x14ac:dyDescent="0.3">
      <c r="A107" s="9" t="s">
        <v>87</v>
      </c>
      <c r="B107" s="9" t="s">
        <v>1148</v>
      </c>
      <c r="C107" s="9" t="s">
        <v>1149</v>
      </c>
      <c r="D107" s="9" t="s">
        <v>1150</v>
      </c>
      <c r="E107" s="9" t="s">
        <v>1151</v>
      </c>
      <c r="F107" s="9" t="s">
        <v>1152</v>
      </c>
      <c r="G107" s="9" t="s">
        <v>1153</v>
      </c>
      <c r="L107" s="13">
        <f>$I$35*$L$35</f>
        <v>0</v>
      </c>
      <c r="M107" s="13">
        <f>$I$35*$M$35</f>
        <v>9.616071219790232E-11</v>
      </c>
      <c r="N107" s="13">
        <f ca="1">$I$35*$N$35</f>
        <v>3.0190546843015697E-10</v>
      </c>
      <c r="O107" s="13">
        <f>$I$35*$O$35</f>
        <v>0</v>
      </c>
      <c r="P107" s="13">
        <f>$I$35*$P$35</f>
        <v>0</v>
      </c>
      <c r="Q107" s="13">
        <f>$I$35*$Q$35</f>
        <v>0</v>
      </c>
      <c r="R107" s="13">
        <f>$I$35*$R$35</f>
        <v>0</v>
      </c>
      <c r="S107" s="13">
        <f>$I$35*$S$35</f>
        <v>0</v>
      </c>
      <c r="T107" s="13">
        <f>$I$35*$T$35</f>
        <v>0</v>
      </c>
      <c r="U107" s="13">
        <f>$I$35*$U$35</f>
        <v>0</v>
      </c>
      <c r="V107" s="13">
        <f>$I$35*$V$35</f>
        <v>0</v>
      </c>
      <c r="W107" s="13">
        <f>$I$35*$W$35</f>
        <v>0</v>
      </c>
      <c r="X107" s="13">
        <f>$I$35*$X$35</f>
        <v>0</v>
      </c>
      <c r="Y107" s="13">
        <f>$I$35*$Y$35</f>
        <v>0</v>
      </c>
      <c r="Z107" s="13">
        <f>$I$35*$Z$35</f>
        <v>0</v>
      </c>
      <c r="AA107" s="13">
        <f>$I$35*$AA$35</f>
        <v>2.8774202285945738E-8</v>
      </c>
      <c r="AB107" s="13">
        <f ca="1">$I$35*$AB$35</f>
        <v>0</v>
      </c>
      <c r="AC107" s="13">
        <f ca="1">$I$35*$AC$35</f>
        <v>0</v>
      </c>
      <c r="AD107" s="13">
        <f>$I$35*$AD$35</f>
        <v>0</v>
      </c>
      <c r="AE107" s="13">
        <f>$I$35*$AE$35</f>
        <v>0</v>
      </c>
      <c r="AF107" s="13">
        <f ca="1">$I$35*$AF$35</f>
        <v>0</v>
      </c>
      <c r="AG107" s="13">
        <f ca="1">$I$35*$AG$35</f>
        <v>0</v>
      </c>
      <c r="AI107" s="13">
        <f>$I$35*$AI$35</f>
        <v>0</v>
      </c>
      <c r="AJ107" s="13">
        <f>$I$35*$AJ$35</f>
        <v>0</v>
      </c>
      <c r="AK107" s="13">
        <f>$I$35*$AK$35</f>
        <v>0</v>
      </c>
      <c r="AL107" s="13">
        <f>$I$35*$AL$35</f>
        <v>0</v>
      </c>
      <c r="AM107" s="13">
        <f>$I$35*$AM$35</f>
        <v>0</v>
      </c>
      <c r="AN107" s="13">
        <f>$I$35*$AN$35</f>
        <v>0</v>
      </c>
      <c r="AO107" s="13">
        <f>$I$35*$AO$35</f>
        <v>0</v>
      </c>
      <c r="AP107" s="13">
        <f>$I$35*$AP$35</f>
        <v>0</v>
      </c>
      <c r="AQ107" s="13">
        <f>$I$35*$AQ$35</f>
        <v>0</v>
      </c>
      <c r="AR107" s="13">
        <f>$I$35*$AR$35</f>
        <v>0</v>
      </c>
      <c r="AS107" s="13">
        <f>$I$35*$AS$35</f>
        <v>0</v>
      </c>
      <c r="AT107" s="13">
        <f>$I$35*$AT$35</f>
        <v>0</v>
      </c>
      <c r="AU107" s="13">
        <f>$I$35*$AU$35</f>
        <v>0</v>
      </c>
      <c r="AV107" s="13">
        <f>$I$35*$AV$35</f>
        <v>0</v>
      </c>
      <c r="AW107" s="13">
        <f>$I$35*$AW$35</f>
        <v>0</v>
      </c>
      <c r="AX107" s="13">
        <f>$I$35*$AX$35</f>
        <v>0</v>
      </c>
      <c r="AY107" s="13">
        <f>$I$35*$AY$35</f>
        <v>0</v>
      </c>
      <c r="AZ107" s="13">
        <f>$I$35*$AZ$35</f>
        <v>0</v>
      </c>
      <c r="BA107" s="13">
        <f>$I$35*$BA$35</f>
        <v>0</v>
      </c>
      <c r="BB107" s="13">
        <f>$I$35*$BB$35</f>
        <v>0</v>
      </c>
      <c r="BC107" s="13">
        <f>$I$35*$BC$35</f>
        <v>0</v>
      </c>
      <c r="BD107" s="13">
        <f>$I$35*$BD$35</f>
        <v>0</v>
      </c>
    </row>
    <row r="108" spans="1:56" ht="11.25" customHeight="1" x14ac:dyDescent="0.3">
      <c r="A108" s="9" t="s">
        <v>87</v>
      </c>
      <c r="B108" s="9" t="s">
        <v>1148</v>
      </c>
      <c r="C108" s="9" t="s">
        <v>1149</v>
      </c>
      <c r="D108" s="9" t="s">
        <v>1150</v>
      </c>
      <c r="E108" s="9" t="s">
        <v>1154</v>
      </c>
      <c r="F108" s="9" t="s">
        <v>1155</v>
      </c>
      <c r="G108" s="9" t="s">
        <v>1156</v>
      </c>
      <c r="L108" s="13">
        <f>$I$36*$L$36</f>
        <v>0</v>
      </c>
      <c r="M108" s="13">
        <f>$I$36*$M$36</f>
        <v>9.616071219790232E-11</v>
      </c>
      <c r="N108" s="13">
        <f ca="1">$I$36*$N$36</f>
        <v>3.0190546843015697E-10</v>
      </c>
      <c r="O108" s="13">
        <f>$I$36*$O$36</f>
        <v>0</v>
      </c>
      <c r="P108" s="13">
        <f>$I$36*$P$36</f>
        <v>0</v>
      </c>
      <c r="Q108" s="13">
        <f>$I$36*$Q$36</f>
        <v>0</v>
      </c>
      <c r="R108" s="13">
        <f>$I$36*$R$36</f>
        <v>0</v>
      </c>
      <c r="S108" s="13">
        <f>$I$36*$S$36</f>
        <v>0</v>
      </c>
      <c r="T108" s="13">
        <f>$I$36*$T$36</f>
        <v>0</v>
      </c>
      <c r="U108" s="13">
        <f>$I$36*$U$36</f>
        <v>0</v>
      </c>
      <c r="V108" s="13">
        <f>$I$36*$V$36</f>
        <v>0</v>
      </c>
      <c r="W108" s="13">
        <f>$I$36*$W$36</f>
        <v>0</v>
      </c>
      <c r="X108" s="13">
        <f>$I$36*$X$36</f>
        <v>0</v>
      </c>
      <c r="Y108" s="13">
        <f>$I$36*$Y$36</f>
        <v>0</v>
      </c>
      <c r="Z108" s="13">
        <f>$I$36*$Z$36</f>
        <v>0</v>
      </c>
      <c r="AA108" s="13">
        <f>$I$36*$AA$36</f>
        <v>7.7440623283337941E-8</v>
      </c>
      <c r="AB108" s="13">
        <f ca="1">$I$36*$AB$36</f>
        <v>0</v>
      </c>
      <c r="AC108" s="13">
        <f ca="1">$I$36*$AC$36</f>
        <v>0</v>
      </c>
      <c r="AD108" s="13">
        <f>$I$36*$AD$36</f>
        <v>0</v>
      </c>
      <c r="AE108" s="13">
        <f>$I$36*$AE$36</f>
        <v>0</v>
      </c>
      <c r="AF108" s="13">
        <f ca="1">$I$36*$AF$36</f>
        <v>0</v>
      </c>
      <c r="AG108" s="13">
        <f ca="1">$I$36*$AG$36</f>
        <v>0</v>
      </c>
      <c r="AI108" s="13">
        <f>$I$36*$AI$36</f>
        <v>0</v>
      </c>
      <c r="AJ108" s="13">
        <f>$I$36*$AJ$36</f>
        <v>0</v>
      </c>
      <c r="AK108" s="13">
        <f>$I$36*$AK$36</f>
        <v>0</v>
      </c>
      <c r="AL108" s="13">
        <f>$I$36*$AL$36</f>
        <v>0</v>
      </c>
      <c r="AM108" s="13">
        <f>$I$36*$AM$36</f>
        <v>0</v>
      </c>
      <c r="AN108" s="13">
        <f>$I$36*$AN$36</f>
        <v>0</v>
      </c>
      <c r="AO108" s="13">
        <f>$I$36*$AO$36</f>
        <v>0</v>
      </c>
      <c r="AP108" s="13">
        <f>$I$36*$AP$36</f>
        <v>0</v>
      </c>
      <c r="AQ108" s="13">
        <f>$I$36*$AQ$36</f>
        <v>0</v>
      </c>
      <c r="AR108" s="13">
        <f>$I$36*$AR$36</f>
        <v>0</v>
      </c>
      <c r="AS108" s="13">
        <f>$I$36*$AS$36</f>
        <v>0</v>
      </c>
      <c r="AT108" s="13">
        <f>$I$36*$AT$36</f>
        <v>0</v>
      </c>
      <c r="AU108" s="13">
        <f>$I$36*$AU$36</f>
        <v>0</v>
      </c>
      <c r="AV108" s="13">
        <f>$I$36*$AV$36</f>
        <v>0</v>
      </c>
      <c r="AW108" s="13">
        <f>$I$36*$AW$36</f>
        <v>0</v>
      </c>
      <c r="AX108" s="13">
        <f>$I$36*$AX$36</f>
        <v>0</v>
      </c>
      <c r="AY108" s="13">
        <f>$I$36*$AY$36</f>
        <v>0</v>
      </c>
      <c r="AZ108" s="13">
        <f>$I$36*$AZ$36</f>
        <v>0</v>
      </c>
      <c r="BA108" s="13">
        <f>$I$36*$BA$36</f>
        <v>0</v>
      </c>
      <c r="BB108" s="13">
        <f>$I$36*$BB$36</f>
        <v>0</v>
      </c>
      <c r="BC108" s="13">
        <f>$I$36*$BC$36</f>
        <v>0</v>
      </c>
      <c r="BD108" s="13">
        <f>$I$36*$BD$36</f>
        <v>0</v>
      </c>
    </row>
    <row r="109" spans="1:56" ht="11.25" customHeight="1" x14ac:dyDescent="0.3">
      <c r="A109" s="9" t="s">
        <v>22</v>
      </c>
      <c r="B109" s="9" t="s">
        <v>1157</v>
      </c>
      <c r="C109" s="9" t="s">
        <v>1158</v>
      </c>
      <c r="D109" s="9" t="s">
        <v>1159</v>
      </c>
      <c r="E109" s="9" t="s">
        <v>1160</v>
      </c>
      <c r="F109" s="9" t="s">
        <v>1161</v>
      </c>
      <c r="G109" s="9" t="s">
        <v>1162</v>
      </c>
      <c r="L109" s="13">
        <f>$I$37*$L$37</f>
        <v>112.87724166417551</v>
      </c>
      <c r="M109" s="13">
        <f>$I$37*$M$37</f>
        <v>16.294496169922301</v>
      </c>
      <c r="N109" s="13">
        <f ca="1">$I$37*$N$37</f>
        <v>144.82904594920953</v>
      </c>
      <c r="O109" s="13">
        <f>$I$37*$O$37</f>
        <v>0</v>
      </c>
      <c r="P109" s="13">
        <f>$I$37*$P$37</f>
        <v>0</v>
      </c>
      <c r="Q109" s="13">
        <f>$I$37*$Q$37</f>
        <v>1838.0899666743308</v>
      </c>
      <c r="R109" s="13">
        <f>$I$37*$R$37</f>
        <v>314.78101012707828</v>
      </c>
      <c r="S109" s="13">
        <f>$I$37*$S$37</f>
        <v>0</v>
      </c>
      <c r="T109" s="13">
        <f>$I$37*$T$37</f>
        <v>1285.0096989285632</v>
      </c>
      <c r="U109" s="13">
        <f>$I$37*$U$37</f>
        <v>259.93887742106597</v>
      </c>
      <c r="V109" s="13">
        <f>$I$37*$V$37</f>
        <v>37.36711836766947</v>
      </c>
      <c r="W109" s="13">
        <f>$I$37*$W$37</f>
        <v>0</v>
      </c>
      <c r="X109" s="13">
        <f>$I$37*$X$37</f>
        <v>0</v>
      </c>
      <c r="Y109" s="13">
        <f>$I$37*$Y$37</f>
        <v>0</v>
      </c>
      <c r="Z109" s="13">
        <f>$I$37*$Z$37</f>
        <v>0</v>
      </c>
      <c r="AA109" s="13">
        <f>$I$37*$AA$37</f>
        <v>8369.3072824801711</v>
      </c>
      <c r="AB109" s="13">
        <f ca="1">$I$37*$AB$37</f>
        <v>0</v>
      </c>
      <c r="AC109" s="13">
        <f ca="1">$I$37*$AC$37</f>
        <v>0</v>
      </c>
      <c r="AD109" s="13">
        <f>$I$37*$AD$37</f>
        <v>517.94284581261206</v>
      </c>
      <c r="AE109" s="13">
        <f>$I$37*$AE$37</f>
        <v>8.9765104311178057</v>
      </c>
      <c r="AF109" s="13">
        <f ca="1">$I$37*$AF$37</f>
        <v>35.755725239263228</v>
      </c>
      <c r="AG109" s="13">
        <f ca="1">$I$37*$AG$37</f>
        <v>4.9571494203800963</v>
      </c>
      <c r="AI109" s="13">
        <f>$I$37*$AI$37</f>
        <v>114.44901735726386</v>
      </c>
      <c r="AJ109" s="13">
        <f>$I$37*$AJ$37</f>
        <v>14.305412926543086</v>
      </c>
      <c r="AK109" s="13">
        <f>$I$37*$AK$37</f>
        <v>112.33195661302504</v>
      </c>
      <c r="AL109" s="13">
        <f>$I$37*$AL$37</f>
        <v>0</v>
      </c>
      <c r="AM109" s="13">
        <f>$I$37*$AM$37</f>
        <v>0</v>
      </c>
      <c r="AN109" s="13">
        <f>$I$37*$AN$37</f>
        <v>978.96407438329652</v>
      </c>
      <c r="AO109" s="13">
        <f>$I$37*$AO$37</f>
        <v>171.25555687931646</v>
      </c>
      <c r="AP109" s="13">
        <f>$I$37*$AP$37</f>
        <v>0</v>
      </c>
      <c r="AQ109" s="13">
        <f>$I$37*$AQ$37</f>
        <v>1065.6456801475988</v>
      </c>
      <c r="AR109" s="13">
        <f>$I$37*$AR$37</f>
        <v>307.35206089225414</v>
      </c>
      <c r="AS109" s="13">
        <f>$I$37*$AS$37</f>
        <v>3.6022045486269363</v>
      </c>
      <c r="AT109" s="13">
        <f>$I$37*$AT$37</f>
        <v>0</v>
      </c>
      <c r="AU109" s="13">
        <f>$I$37*$AU$37</f>
        <v>0</v>
      </c>
      <c r="AV109" s="13">
        <f>$I$37*$AV$37</f>
        <v>0</v>
      </c>
      <c r="AW109" s="13">
        <f>$I$37*$AW$37</f>
        <v>0</v>
      </c>
      <c r="AX109" s="13">
        <f>$I$37*$AX$37</f>
        <v>7313.4083290829103</v>
      </c>
      <c r="AY109" s="13">
        <f>$I$37*$AY$37</f>
        <v>0</v>
      </c>
      <c r="AZ109" s="13">
        <f>$I$37*$AZ$37</f>
        <v>0</v>
      </c>
      <c r="BA109" s="13">
        <f>$I$37*$BA$37</f>
        <v>437.29376679041764</v>
      </c>
      <c r="BB109" s="13">
        <f>$I$37*$BB$37</f>
        <v>8.8716928371678172</v>
      </c>
      <c r="BC109" s="13">
        <f>$I$37*$BC$37</f>
        <v>32.582244440930303</v>
      </c>
      <c r="BD109" s="13">
        <f>$I$37*$BD$37</f>
        <v>5.4332297317562741</v>
      </c>
    </row>
    <row r="110" spans="1:56" ht="11.25" customHeight="1" x14ac:dyDescent="0.3">
      <c r="A110" s="9" t="s">
        <v>22</v>
      </c>
      <c r="B110" s="9" t="s">
        <v>1157</v>
      </c>
      <c r="C110" s="9" t="s">
        <v>1158</v>
      </c>
      <c r="D110" s="9" t="s">
        <v>1159</v>
      </c>
      <c r="E110" s="9" t="s">
        <v>1160</v>
      </c>
      <c r="F110" s="9" t="s">
        <v>1161</v>
      </c>
      <c r="G110" s="9" t="s">
        <v>1163</v>
      </c>
      <c r="L110" s="13">
        <f>$I$38*$L$38</f>
        <v>72.395524221212909</v>
      </c>
      <c r="M110" s="13">
        <f>$I$38*$M$38</f>
        <v>10.450721285798947</v>
      </c>
      <c r="N110" s="13">
        <f ca="1">$I$38*$N$38</f>
        <v>65.709172278657007</v>
      </c>
      <c r="O110" s="13">
        <f>$I$38*$O$38</f>
        <v>0</v>
      </c>
      <c r="P110" s="13">
        <f>$I$38*$P$38</f>
        <v>0</v>
      </c>
      <c r="Q110" s="13">
        <f>$I$38*$Q$38</f>
        <v>1178.8867688585001</v>
      </c>
      <c r="R110" s="13">
        <f>$I$38*$R$38</f>
        <v>201.88955636276282</v>
      </c>
      <c r="S110" s="13">
        <f>$I$38*$S$38</f>
        <v>0</v>
      </c>
      <c r="T110" s="13">
        <f>$I$38*$T$38</f>
        <v>494.49697567009468</v>
      </c>
      <c r="U110" s="13">
        <f>$I$38*$U$38</f>
        <v>100.02943561834491</v>
      </c>
      <c r="V110" s="13">
        <f>$I$38*$V$38</f>
        <v>14.379579530718351</v>
      </c>
      <c r="W110" s="13">
        <f>$I$38*$W$38</f>
        <v>0</v>
      </c>
      <c r="X110" s="13">
        <f>$I$38*$X$38</f>
        <v>0</v>
      </c>
      <c r="Y110" s="13">
        <f>$I$38*$Y$38</f>
        <v>0</v>
      </c>
      <c r="Z110" s="13">
        <f>$I$38*$Z$38</f>
        <v>0</v>
      </c>
      <c r="AA110" s="13">
        <f>$I$38*$AA$38</f>
        <v>3220.6682097785933</v>
      </c>
      <c r="AB110" s="13">
        <f ca="1">$I$38*$AB$38</f>
        <v>0</v>
      </c>
      <c r="AC110" s="13">
        <f ca="1">$I$38*$AC$38</f>
        <v>0</v>
      </c>
      <c r="AD110" s="13">
        <f>$I$38*$AD$38</f>
        <v>332.19046892365242</v>
      </c>
      <c r="AE110" s="13">
        <f>$I$38*$AE$38</f>
        <v>5.7572205765921804</v>
      </c>
      <c r="AF110" s="13">
        <f ca="1">$I$38*$AF$38</f>
        <v>22.932474557691631</v>
      </c>
      <c r="AG110" s="13">
        <f ca="1">$I$38*$AG$38</f>
        <v>3.1793426703232166</v>
      </c>
      <c r="AI110" s="13">
        <f>$I$38*$AI$38</f>
        <v>73.403606307394895</v>
      </c>
      <c r="AJ110" s="13">
        <f>$I$38*$AJ$38</f>
        <v>9.1749926978122787</v>
      </c>
      <c r="AK110" s="13">
        <f>$I$38*$AK$38</f>
        <v>50.963014818605011</v>
      </c>
      <c r="AL110" s="13">
        <f>$I$38*$AL$38</f>
        <v>0</v>
      </c>
      <c r="AM110" s="13">
        <f>$I$38*$AM$38</f>
        <v>0</v>
      </c>
      <c r="AN110" s="13">
        <f>$I$38*$AN$38</f>
        <v>627.8733986924351</v>
      </c>
      <c r="AO110" s="13">
        <f>$I$38*$AO$38</f>
        <v>109.83733862809943</v>
      </c>
      <c r="AP110" s="13">
        <f>$I$38*$AP$38</f>
        <v>0</v>
      </c>
      <c r="AQ110" s="13">
        <f>$I$38*$AQ$38</f>
        <v>410.08139192121621</v>
      </c>
      <c r="AR110" s="13">
        <f>$I$38*$AR$38</f>
        <v>118.27493252340982</v>
      </c>
      <c r="AS110" s="13">
        <f>$I$38*$AS$38</f>
        <v>1.3861969842906834</v>
      </c>
      <c r="AT110" s="13">
        <f>$I$38*$AT$38</f>
        <v>0</v>
      </c>
      <c r="AU110" s="13">
        <f>$I$38*$AU$38</f>
        <v>0</v>
      </c>
      <c r="AV110" s="13">
        <f>$I$38*$AV$38</f>
        <v>0</v>
      </c>
      <c r="AW110" s="13">
        <f>$I$38*$AW$38</f>
        <v>0</v>
      </c>
      <c r="AX110" s="13">
        <f>$I$38*$AX$38</f>
        <v>2814.3382618910432</v>
      </c>
      <c r="AY110" s="13">
        <f>$I$38*$AY$38</f>
        <v>0</v>
      </c>
      <c r="AZ110" s="13">
        <f>$I$38*$AZ$38</f>
        <v>0</v>
      </c>
      <c r="BA110" s="13">
        <f>$I$38*$BA$38</f>
        <v>280.46496369611964</v>
      </c>
      <c r="BB110" s="13">
        <f>$I$38*$BB$38</f>
        <v>5.6899942291926582</v>
      </c>
      <c r="BC110" s="13">
        <f>$I$38*$BC$38</f>
        <v>20.897114704686103</v>
      </c>
      <c r="BD110" s="13">
        <f>$I$38*$BD$38</f>
        <v>3.4846839703526564</v>
      </c>
    </row>
    <row r="111" spans="1:56" ht="11.25" customHeight="1" x14ac:dyDescent="0.3">
      <c r="A111" s="9" t="s">
        <v>22</v>
      </c>
      <c r="B111" s="9" t="s">
        <v>1157</v>
      </c>
      <c r="C111" s="9" t="s">
        <v>1158</v>
      </c>
      <c r="D111" s="9" t="s">
        <v>1159</v>
      </c>
      <c r="E111" s="9" t="s">
        <v>1160</v>
      </c>
      <c r="F111" s="9" t="s">
        <v>1161</v>
      </c>
      <c r="G111" s="9" t="s">
        <v>1164</v>
      </c>
      <c r="L111" s="13">
        <f>$I$39*$L$39</f>
        <v>848.59509611444844</v>
      </c>
      <c r="M111" s="13">
        <f>$I$39*$M$39</f>
        <v>122.49971154141176</v>
      </c>
      <c r="N111" s="13">
        <f ca="1">$I$39*$N$39</f>
        <v>451.63578957261416</v>
      </c>
      <c r="O111" s="13">
        <f>$I$39*$O$39</f>
        <v>0</v>
      </c>
      <c r="P111" s="13">
        <f>$I$39*$P$39</f>
        <v>0</v>
      </c>
      <c r="Q111" s="13">
        <f>$I$39*$Q$39</f>
        <v>13818.499716511478</v>
      </c>
      <c r="R111" s="13">
        <f>$I$39*$R$39</f>
        <v>2366.4789961692431</v>
      </c>
      <c r="S111" s="13">
        <f>$I$39*$S$39</f>
        <v>0</v>
      </c>
      <c r="T111" s="13">
        <f>$I$39*$T$39</f>
        <v>1932.1070517879302</v>
      </c>
      <c r="U111" s="13">
        <f>$I$39*$U$39</f>
        <v>390.83672389031966</v>
      </c>
      <c r="V111" s="13">
        <f>$I$39*$V$39</f>
        <v>56.184139398218989</v>
      </c>
      <c r="W111" s="13">
        <f>$I$39*$W$39</f>
        <v>0</v>
      </c>
      <c r="X111" s="13">
        <f>$I$39*$X$39</f>
        <v>0</v>
      </c>
      <c r="Y111" s="13">
        <f>$I$39*$Y$39</f>
        <v>0</v>
      </c>
      <c r="Z111" s="13">
        <f>$I$39*$Z$39</f>
        <v>0</v>
      </c>
      <c r="AA111" s="13">
        <f>$I$39*$AA$39</f>
        <v>12583.849984421153</v>
      </c>
      <c r="AB111" s="13">
        <f ca="1">$I$39*$AB$39</f>
        <v>0</v>
      </c>
      <c r="AC111" s="13">
        <f ca="1">$I$39*$AC$39</f>
        <v>0</v>
      </c>
      <c r="AD111" s="13">
        <f>$I$39*$AD$39</f>
        <v>3893.8208672017768</v>
      </c>
      <c r="AE111" s="13">
        <f>$I$39*$AE$39</f>
        <v>67.484132494392327</v>
      </c>
      <c r="AF111" s="13">
        <f ca="1">$I$39*$AF$39</f>
        <v>268.8064719576173</v>
      </c>
      <c r="AG111" s="13">
        <f ca="1">$I$39*$AG$39</f>
        <v>37.26714638683633</v>
      </c>
      <c r="AI111" s="13">
        <f>$I$39*$AI$39</f>
        <v>860.4114828872124</v>
      </c>
      <c r="AJ111" s="13">
        <f>$I$39*$AJ$39</f>
        <v>107.54606578244803</v>
      </c>
      <c r="AK111" s="13">
        <f>$I$39*$AK$39</f>
        <v>350.2456651373646</v>
      </c>
      <c r="AL111" s="13">
        <f>$I$39*$AL$39</f>
        <v>0</v>
      </c>
      <c r="AM111" s="13">
        <f>$I$39*$AM$39</f>
        <v>0</v>
      </c>
      <c r="AN111" s="13">
        <f>$I$39*$AN$39</f>
        <v>7359.7130878291428</v>
      </c>
      <c r="AO111" s="13">
        <f>$I$39*$AO$39</f>
        <v>1287.4749914823624</v>
      </c>
      <c r="AP111" s="13">
        <f>$I$39*$AP$39</f>
        <v>0</v>
      </c>
      <c r="AQ111" s="13">
        <f>$I$39*$AQ$39</f>
        <v>1602.2770373151757</v>
      </c>
      <c r="AR111" s="13">
        <f>$I$39*$AR$39</f>
        <v>462.12584185889671</v>
      </c>
      <c r="AS111" s="13">
        <f>$I$39*$AS$39</f>
        <v>5.4161725961738183</v>
      </c>
      <c r="AT111" s="13">
        <f>$I$39*$AT$39</f>
        <v>0</v>
      </c>
      <c r="AU111" s="13">
        <f>$I$39*$AU$39</f>
        <v>0</v>
      </c>
      <c r="AV111" s="13">
        <f>$I$39*$AV$39</f>
        <v>0</v>
      </c>
      <c r="AW111" s="13">
        <f>$I$39*$AW$39</f>
        <v>0</v>
      </c>
      <c r="AX111" s="13">
        <f>$I$39*$AX$39</f>
        <v>10996.23065347923</v>
      </c>
      <c r="AY111" s="13">
        <f>$I$39*$AY$39</f>
        <v>0</v>
      </c>
      <c r="AZ111" s="13">
        <f>$I$39*$AZ$39</f>
        <v>0</v>
      </c>
      <c r="BA111" s="13">
        <f>$I$39*$BA$39</f>
        <v>3287.5125276695794</v>
      </c>
      <c r="BB111" s="13">
        <f>$I$39*$BB$39</f>
        <v>66.696128686883398</v>
      </c>
      <c r="BC111" s="13">
        <f>$I$39*$BC$39</f>
        <v>244.94869333568116</v>
      </c>
      <c r="BD111" s="13">
        <f>$I$39*$BD$39</f>
        <v>40.846250656520866</v>
      </c>
    </row>
    <row r="112" spans="1:56" ht="11.25" customHeight="1" x14ac:dyDescent="0.3">
      <c r="A112" s="9" t="s">
        <v>22</v>
      </c>
      <c r="B112" s="9" t="s">
        <v>1165</v>
      </c>
      <c r="C112" s="9" t="s">
        <v>1166</v>
      </c>
      <c r="D112" s="9" t="s">
        <v>1167</v>
      </c>
      <c r="E112" s="9" t="s">
        <v>1168</v>
      </c>
      <c r="F112" s="9" t="s">
        <v>1169</v>
      </c>
      <c r="G112" s="9" t="s">
        <v>1170</v>
      </c>
      <c r="L112" s="13">
        <f>$I$40*$L$40</f>
        <v>840551.36889584491</v>
      </c>
      <c r="M112" s="13">
        <f>$I$40*$M$40</f>
        <v>121338.55203376379</v>
      </c>
      <c r="N112" s="13">
        <f ca="1">$I$40*$N$40</f>
        <v>587274.76719831419</v>
      </c>
      <c r="O112" s="13">
        <f>$I$40*$O$40</f>
        <v>0</v>
      </c>
      <c r="P112" s="13">
        <f>$I$40*$P$40</f>
        <v>0</v>
      </c>
      <c r="Q112" s="13">
        <f>$I$40*$Q$40</f>
        <v>13687515.878873348</v>
      </c>
      <c r="R112" s="13">
        <f>$I$40*$R$40</f>
        <v>2344047.4365233071</v>
      </c>
      <c r="S112" s="13">
        <f>$I$40*$S$40</f>
        <v>0</v>
      </c>
      <c r="T112" s="13">
        <f>$I$40*$T$40</f>
        <v>3610921.7388938111</v>
      </c>
      <c r="U112" s="13">
        <f>$I$40*$U$40</f>
        <v>730437.97978972481</v>
      </c>
      <c r="V112" s="13">
        <f>$I$40*$V$40</f>
        <v>105007.3749224694</v>
      </c>
      <c r="W112" s="13">
        <f>$I$40*$W$40</f>
        <v>0</v>
      </c>
      <c r="X112" s="13">
        <f>$I$40*$X$40</f>
        <v>0</v>
      </c>
      <c r="Y112" s="13">
        <f>$I$40*$Y$40</f>
        <v>0</v>
      </c>
      <c r="Z112" s="13">
        <f>$I$40*$Z$40</f>
        <v>0</v>
      </c>
      <c r="AA112" s="13">
        <f>$I$40*$AA$40</f>
        <v>23518052.574343331</v>
      </c>
      <c r="AB112" s="13">
        <f ca="1">$I$40*$AB$40</f>
        <v>0</v>
      </c>
      <c r="AC112" s="13">
        <f ca="1">$I$40*$AC$40</f>
        <v>0</v>
      </c>
      <c r="AD112" s="13">
        <f>$I$40*$AD$40</f>
        <v>3856911.8241996556</v>
      </c>
      <c r="AE112" s="13">
        <f>$I$40*$AE$40</f>
        <v>66844.458808020034</v>
      </c>
      <c r="AF112" s="13">
        <f ca="1">$I$40*$AF$40</f>
        <v>266258.48889134388</v>
      </c>
      <c r="AG112" s="13">
        <f ca="1">$I$40*$AG$40</f>
        <v>36913.895748075811</v>
      </c>
      <c r="AI112" s="13">
        <f>$I$40*$AI$40</f>
        <v>852255.74961018981</v>
      </c>
      <c r="AJ112" s="13">
        <f>$I$40*$AJ$40</f>
        <v>106526.65002038554</v>
      </c>
      <c r="AK112" s="13">
        <f>$I$40*$AK$40</f>
        <v>455461.32605647761</v>
      </c>
      <c r="AL112" s="13">
        <f>$I$40*$AL$40</f>
        <v>0</v>
      </c>
      <c r="AM112" s="13">
        <f>$I$40*$AM$40</f>
        <v>0</v>
      </c>
      <c r="AN112" s="13">
        <f>$I$40*$AN$40</f>
        <v>7289951.2841647724</v>
      </c>
      <c r="AO112" s="13">
        <f>$I$40*$AO$40</f>
        <v>1275271.1764006156</v>
      </c>
      <c r="AP112" s="13">
        <f>$I$40*$AP$40</f>
        <v>0</v>
      </c>
      <c r="AQ112" s="13">
        <f>$I$40*$AQ$40</f>
        <v>2994501.2521007867</v>
      </c>
      <c r="AR112" s="13">
        <f>$I$40*$AR$40</f>
        <v>863670.8008809489</v>
      </c>
      <c r="AS112" s="13">
        <f>$I$40*$AS$40</f>
        <v>10122.751234474841</v>
      </c>
      <c r="AT112" s="13">
        <f>$I$40*$AT$40</f>
        <v>0</v>
      </c>
      <c r="AU112" s="13">
        <f>$I$40*$AU$40</f>
        <v>0</v>
      </c>
      <c r="AV112" s="13">
        <f>$I$40*$AV$40</f>
        <v>0</v>
      </c>
      <c r="AW112" s="13">
        <f>$I$40*$AW$40</f>
        <v>0</v>
      </c>
      <c r="AX112" s="13">
        <f>$I$40*$AX$40</f>
        <v>20550938.778536838</v>
      </c>
      <c r="AY112" s="13">
        <f>$I$40*$AY$40</f>
        <v>0</v>
      </c>
      <c r="AZ112" s="13">
        <f>$I$40*$AZ$40</f>
        <v>0</v>
      </c>
      <c r="BA112" s="13">
        <f>$I$40*$BA$40</f>
        <v>3256350.6058986466</v>
      </c>
      <c r="BB112" s="13">
        <f>$I$40*$BB$40</f>
        <v>66063.924390452012</v>
      </c>
      <c r="BC112" s="13">
        <f>$I$40*$BC$40</f>
        <v>242626.85518133969</v>
      </c>
      <c r="BD112" s="13">
        <f>$I$40*$BD$40</f>
        <v>40459.074134186303</v>
      </c>
    </row>
    <row r="113" spans="1:56" ht="11.25" customHeight="1" x14ac:dyDescent="0.3">
      <c r="A113" s="9" t="s">
        <v>22</v>
      </c>
      <c r="B113" s="9" t="s">
        <v>1165</v>
      </c>
      <c r="C113" s="9" t="s">
        <v>1166</v>
      </c>
      <c r="D113" s="9" t="s">
        <v>1171</v>
      </c>
      <c r="E113" s="9" t="s">
        <v>1172</v>
      </c>
      <c r="F113" s="9" t="s">
        <v>1173</v>
      </c>
      <c r="G113" s="9" t="s">
        <v>1174</v>
      </c>
      <c r="L113" s="13">
        <f>$I$41*$L$41</f>
        <v>0</v>
      </c>
      <c r="M113" s="13">
        <f>$I$41*$M$41</f>
        <v>725.94976630033034</v>
      </c>
      <c r="N113" s="13">
        <f ca="1">$I$41*$N$41</f>
        <v>3504.0493911501371</v>
      </c>
      <c r="O113" s="13">
        <f>$I$41*$O$41</f>
        <v>0</v>
      </c>
      <c r="P113" s="13">
        <f>$I$41*$P$41</f>
        <v>0</v>
      </c>
      <c r="Q113" s="13">
        <f>$I$41*$Q$41</f>
        <v>0</v>
      </c>
      <c r="R113" s="13">
        <f>$I$41*$R$41</f>
        <v>0</v>
      </c>
      <c r="S113" s="13">
        <f>$I$41*$S$41</f>
        <v>0</v>
      </c>
      <c r="T113" s="13">
        <f>$I$41*$T$41</f>
        <v>21603.585575582983</v>
      </c>
      <c r="U113" s="13">
        <f>$I$41*$U$41</f>
        <v>4370.0973172787244</v>
      </c>
      <c r="V113" s="13">
        <f>$I$41*$V$41</f>
        <v>628.24286269351535</v>
      </c>
      <c r="W113" s="13">
        <f>$I$41*$W$41</f>
        <v>0</v>
      </c>
      <c r="X113" s="13">
        <f>$I$41*$X$41</f>
        <v>0</v>
      </c>
      <c r="Y113" s="13">
        <f>$I$41*$Y$41</f>
        <v>0</v>
      </c>
      <c r="Z113" s="13">
        <f>$I$41*$Z$41</f>
        <v>0</v>
      </c>
      <c r="AA113" s="13">
        <f>$I$41*$AA$41</f>
        <v>140704.86654095471</v>
      </c>
      <c r="AB113" s="13">
        <f ca="1">$I$41*$AB$41</f>
        <v>0</v>
      </c>
      <c r="AC113" s="13">
        <f ca="1">$I$41*$AC$41</f>
        <v>0</v>
      </c>
      <c r="AD113" s="13">
        <f>$I$41*$AD$41</f>
        <v>23075.306161883414</v>
      </c>
      <c r="AE113" s="13">
        <f>$I$41*$AE$41</f>
        <v>399.92004549923575</v>
      </c>
      <c r="AF113" s="13">
        <f ca="1">$I$41*$AF$41</f>
        <v>1592.9833061825648</v>
      </c>
      <c r="AG113" s="13">
        <f ca="1">$I$41*$AG$41</f>
        <v>220.85012176586429</v>
      </c>
      <c r="AI113" s="13">
        <f>$I$41*$AI$41</f>
        <v>0</v>
      </c>
      <c r="AJ113" s="13">
        <f>$I$41*$AJ$41</f>
        <v>637.33245032903744</v>
      </c>
      <c r="AK113" s="13">
        <f>$I$41*$AK$41</f>
        <v>2717.566374705912</v>
      </c>
      <c r="AL113" s="13">
        <f>$I$41*$AL$41</f>
        <v>0</v>
      </c>
      <c r="AM113" s="13">
        <f>$I$41*$AM$41</f>
        <v>0</v>
      </c>
      <c r="AN113" s="13">
        <f>$I$41*$AN$41</f>
        <v>0</v>
      </c>
      <c r="AO113" s="13">
        <f>$I$41*$AO$41</f>
        <v>0</v>
      </c>
      <c r="AP113" s="13">
        <f>$I$41*$AP$41</f>
        <v>0</v>
      </c>
      <c r="AQ113" s="13">
        <f>$I$41*$AQ$41</f>
        <v>17915.637262126867</v>
      </c>
      <c r="AR113" s="13">
        <f>$I$41*$AR$41</f>
        <v>5167.2086534004357</v>
      </c>
      <c r="AS113" s="13">
        <f>$I$41*$AS$41</f>
        <v>60.562853024144886</v>
      </c>
      <c r="AT113" s="13">
        <f>$I$41*$AT$41</f>
        <v>0</v>
      </c>
      <c r="AU113" s="13">
        <f>$I$41*$AU$41</f>
        <v>0</v>
      </c>
      <c r="AV113" s="13">
        <f>$I$41*$AV$41</f>
        <v>0</v>
      </c>
      <c r="AW113" s="13">
        <f>$I$41*$AW$41</f>
        <v>0</v>
      </c>
      <c r="AX113" s="13">
        <f>$I$41*$AX$41</f>
        <v>122953.08418860821</v>
      </c>
      <c r="AY113" s="13">
        <f>$I$41*$AY$41</f>
        <v>0</v>
      </c>
      <c r="AZ113" s="13">
        <f>$I$41*$AZ$41</f>
        <v>0</v>
      </c>
      <c r="BA113" s="13">
        <f>$I$41*$BA$41</f>
        <v>19482.241395844816</v>
      </c>
      <c r="BB113" s="13">
        <f>$I$41*$BB$41</f>
        <v>395.25022895267512</v>
      </c>
      <c r="BC113" s="13">
        <f>$I$41*$BC$41</f>
        <v>1451.598901296157</v>
      </c>
      <c r="BD113" s="13">
        <f>$I$41*$BD$41</f>
        <v>242.06037504277651</v>
      </c>
    </row>
    <row r="114" spans="1:56" ht="11.25" customHeight="1" x14ac:dyDescent="0.3">
      <c r="A114" s="9" t="s">
        <v>22</v>
      </c>
      <c r="B114" s="9" t="s">
        <v>1165</v>
      </c>
      <c r="C114" s="9" t="s">
        <v>1166</v>
      </c>
      <c r="D114" s="9" t="s">
        <v>1175</v>
      </c>
      <c r="E114" s="9" t="s">
        <v>1176</v>
      </c>
      <c r="F114" s="9" t="s">
        <v>1177</v>
      </c>
      <c r="G114" s="9" t="s">
        <v>1178</v>
      </c>
      <c r="L114" s="13">
        <f>$I$42*$L$42</f>
        <v>0</v>
      </c>
      <c r="M114" s="13">
        <f>$I$42*$M$42</f>
        <v>2490.4789827949426</v>
      </c>
      <c r="N114" s="13">
        <f ca="1">$I$42*$N$42</f>
        <v>12021.164229873877</v>
      </c>
      <c r="O114" s="13">
        <f>$I$42*$O$42</f>
        <v>0</v>
      </c>
      <c r="P114" s="13">
        <f>$I$42*$P$42</f>
        <v>0</v>
      </c>
      <c r="Q114" s="13">
        <f>$I$42*$Q$42</f>
        <v>0</v>
      </c>
      <c r="R114" s="13">
        <f>$I$42*$R$42</f>
        <v>0</v>
      </c>
      <c r="S114" s="13">
        <f>$I$42*$S$42</f>
        <v>0</v>
      </c>
      <c r="T114" s="13">
        <f>$I$42*$T$42</f>
        <v>74114.323506432032</v>
      </c>
      <c r="U114" s="13">
        <f>$I$42*$U$42</f>
        <v>14992.270852179865</v>
      </c>
      <c r="V114" s="13">
        <f>$I$42*$V$42</f>
        <v>2155.2808723983153</v>
      </c>
      <c r="W114" s="13">
        <f>$I$42*$W$42</f>
        <v>0</v>
      </c>
      <c r="X114" s="13">
        <f>$I$42*$X$42</f>
        <v>0</v>
      </c>
      <c r="Y114" s="13">
        <f>$I$42*$Y$42</f>
        <v>0</v>
      </c>
      <c r="Z114" s="13">
        <f>$I$42*$Z$42</f>
        <v>0</v>
      </c>
      <c r="AA114" s="13">
        <f>$I$42*$AA$42</f>
        <v>482709.03740775213</v>
      </c>
      <c r="AB114" s="13">
        <f ca="1">$I$42*$AB$42</f>
        <v>0</v>
      </c>
      <c r="AC114" s="13">
        <f ca="1">$I$42*$AC$42</f>
        <v>0</v>
      </c>
      <c r="AD114" s="13">
        <f>$I$42*$AD$42</f>
        <v>79163.280553980032</v>
      </c>
      <c r="AE114" s="13">
        <f>$I$42*$AE$42</f>
        <v>1371.985382942041</v>
      </c>
      <c r="AF114" s="13">
        <f ca="1">$I$42*$AF$42</f>
        <v>5464.9669001333941</v>
      </c>
      <c r="AG114" s="13">
        <f ca="1">$I$42*$AG$42</f>
        <v>757.65929288561938</v>
      </c>
      <c r="AI114" s="13">
        <f>$I$42*$AI$42</f>
        <v>0</v>
      </c>
      <c r="AJ114" s="13">
        <f>$I$42*$AJ$42</f>
        <v>2186.464058920858</v>
      </c>
      <c r="AK114" s="13">
        <f>$I$42*$AK$42</f>
        <v>9323.016901083125</v>
      </c>
      <c r="AL114" s="13">
        <f>$I$42*$AL$42</f>
        <v>0</v>
      </c>
      <c r="AM114" s="13">
        <f>$I$42*$AM$42</f>
        <v>0</v>
      </c>
      <c r="AN114" s="13">
        <f>$I$42*$AN$42</f>
        <v>0</v>
      </c>
      <c r="AO114" s="13">
        <f>$I$42*$AO$42</f>
        <v>0</v>
      </c>
      <c r="AP114" s="13">
        <f>$I$42*$AP$42</f>
        <v>0</v>
      </c>
      <c r="AQ114" s="13">
        <f>$I$42*$AQ$42</f>
        <v>61462.266586426216</v>
      </c>
      <c r="AR114" s="13">
        <f>$I$42*$AR$42</f>
        <v>17726.880217337304</v>
      </c>
      <c r="AS114" s="13">
        <f>$I$42*$AS$42</f>
        <v>207.76990309317392</v>
      </c>
      <c r="AT114" s="13">
        <f>$I$42*$AT$42</f>
        <v>0</v>
      </c>
      <c r="AU114" s="13">
        <f>$I$42*$AU$42</f>
        <v>0</v>
      </c>
      <c r="AV114" s="13">
        <f>$I$42*$AV$42</f>
        <v>0</v>
      </c>
      <c r="AW114" s="13">
        <f>$I$42*$AW$42</f>
        <v>0</v>
      </c>
      <c r="AX114" s="13">
        <f>$I$42*$AX$42</f>
        <v>421808.89953598258</v>
      </c>
      <c r="AY114" s="13">
        <f>$I$42*$AY$42</f>
        <v>0</v>
      </c>
      <c r="AZ114" s="13">
        <f>$I$42*$AZ$42</f>
        <v>0</v>
      </c>
      <c r="BA114" s="13">
        <f>$I$42*$BA$42</f>
        <v>66836.735799727758</v>
      </c>
      <c r="BB114" s="13">
        <f>$I$42*$BB$42</f>
        <v>1355.9648805566126</v>
      </c>
      <c r="BC114" s="13">
        <f>$I$42*$BC$42</f>
        <v>4979.9266050464958</v>
      </c>
      <c r="BD114" s="13">
        <f>$I$42*$BD$42</f>
        <v>830.42423125747382</v>
      </c>
    </row>
    <row r="115" spans="1:56" ht="11.25" customHeight="1" x14ac:dyDescent="0.3">
      <c r="A115" s="9" t="s">
        <v>22</v>
      </c>
      <c r="B115" s="9" t="s">
        <v>1165</v>
      </c>
      <c r="C115" s="9" t="s">
        <v>1166</v>
      </c>
      <c r="D115" s="9" t="s">
        <v>1179</v>
      </c>
      <c r="E115" s="9" t="s">
        <v>1180</v>
      </c>
      <c r="F115" s="9" t="s">
        <v>1181</v>
      </c>
      <c r="G115" s="9" t="s">
        <v>1182</v>
      </c>
      <c r="L115" s="13">
        <f>$I$43*$L$43</f>
        <v>0</v>
      </c>
      <c r="M115" s="13">
        <f>$I$43*$M$43</f>
        <v>2793.953259573474</v>
      </c>
      <c r="N115" s="13">
        <f ca="1">$I$43*$N$43</f>
        <v>13485.988525079461</v>
      </c>
      <c r="O115" s="13">
        <f>$I$43*$O$43</f>
        <v>0</v>
      </c>
      <c r="P115" s="13">
        <f>$I$43*$P$43</f>
        <v>0</v>
      </c>
      <c r="Q115" s="13">
        <f>$I$43*$Q$43</f>
        <v>0</v>
      </c>
      <c r="R115" s="13">
        <f>$I$43*$R$43</f>
        <v>0</v>
      </c>
      <c r="S115" s="13">
        <f>$I$43*$S$43</f>
        <v>0</v>
      </c>
      <c r="T115" s="13">
        <f>$I$43*$T$43</f>
        <v>83145.433939575742</v>
      </c>
      <c r="U115" s="13">
        <f>$I$43*$U$43</f>
        <v>16819.135718562778</v>
      </c>
      <c r="V115" s="13">
        <f>$I$43*$V$43</f>
        <v>2417.9099925491896</v>
      </c>
      <c r="W115" s="13">
        <f>$I$43*$W$43</f>
        <v>0</v>
      </c>
      <c r="X115" s="13">
        <f>$I$43*$X$43</f>
        <v>0</v>
      </c>
      <c r="Y115" s="13">
        <f>$I$43*$Y$43</f>
        <v>0</v>
      </c>
      <c r="Z115" s="13">
        <f>$I$43*$Z$43</f>
        <v>0</v>
      </c>
      <c r="AA115" s="13">
        <f>$I$43*$AA$43</f>
        <v>541528.95800687326</v>
      </c>
      <c r="AB115" s="13">
        <f ca="1">$I$43*$AB$43</f>
        <v>0</v>
      </c>
      <c r="AC115" s="13">
        <f ca="1">$I$43*$AC$43</f>
        <v>0</v>
      </c>
      <c r="AD115" s="13">
        <f>$I$43*$AD$43</f>
        <v>88809.625485818819</v>
      </c>
      <c r="AE115" s="13">
        <f>$I$43*$AE$43</f>
        <v>1539.1669872500561</v>
      </c>
      <c r="AF115" s="13">
        <f ca="1">$I$43*$AF$43</f>
        <v>6130.8937716685105</v>
      </c>
      <c r="AG115" s="13">
        <f ca="1">$I$43*$AG$43</f>
        <v>849.9829412847547</v>
      </c>
      <c r="AI115" s="13">
        <f>$I$43*$AI$43</f>
        <v>0</v>
      </c>
      <c r="AJ115" s="13">
        <f>$I$43*$AJ$43</f>
        <v>2452.892968205852</v>
      </c>
      <c r="AK115" s="13">
        <f>$I$43*$AK$43</f>
        <v>10459.061746671456</v>
      </c>
      <c r="AL115" s="13">
        <f>$I$43*$AL$43</f>
        <v>0</v>
      </c>
      <c r="AM115" s="13">
        <f>$I$43*$AM$43</f>
        <v>0</v>
      </c>
      <c r="AN115" s="13">
        <f>$I$43*$AN$43</f>
        <v>0</v>
      </c>
      <c r="AO115" s="13">
        <f>$I$43*$AO$43</f>
        <v>0</v>
      </c>
      <c r="AP115" s="13">
        <f>$I$43*$AP$43</f>
        <v>0</v>
      </c>
      <c r="AQ115" s="13">
        <f>$I$43*$AQ$43</f>
        <v>68951.676065623236</v>
      </c>
      <c r="AR115" s="13">
        <f>$I$43*$AR$43</f>
        <v>19886.967570276425</v>
      </c>
      <c r="AS115" s="13">
        <f>$I$43*$AS$43</f>
        <v>233.08745104806013</v>
      </c>
      <c r="AT115" s="13">
        <f>$I$43*$AT$43</f>
        <v>0</v>
      </c>
      <c r="AU115" s="13">
        <f>$I$43*$AU$43</f>
        <v>0</v>
      </c>
      <c r="AV115" s="13">
        <f>$I$43*$AV$43</f>
        <v>0</v>
      </c>
      <c r="AW115" s="13">
        <f>$I$43*$AW$43</f>
        <v>0</v>
      </c>
      <c r="AX115" s="13">
        <f>$I$43*$AX$43</f>
        <v>473207.90816434473</v>
      </c>
      <c r="AY115" s="13">
        <f>$I$43*$AY$43</f>
        <v>0</v>
      </c>
      <c r="AZ115" s="13">
        <f>$I$43*$AZ$43</f>
        <v>0</v>
      </c>
      <c r="BA115" s="13">
        <f>$I$43*$BA$43</f>
        <v>74981.044665284382</v>
      </c>
      <c r="BB115" s="13">
        <f>$I$43*$BB$43</f>
        <v>1521.1943260997339</v>
      </c>
      <c r="BC115" s="13">
        <f>$I$43*$BC$43</f>
        <v>5586.7494834233512</v>
      </c>
      <c r="BD115" s="13">
        <f>$I$43*$BD$43</f>
        <v>931.61456241112865</v>
      </c>
    </row>
    <row r="116" spans="1:56" ht="11.25" customHeight="1" x14ac:dyDescent="0.3">
      <c r="A116" s="9" t="s">
        <v>22</v>
      </c>
      <c r="B116" s="9" t="s">
        <v>1165</v>
      </c>
      <c r="C116" s="9" t="s">
        <v>1166</v>
      </c>
      <c r="D116" s="9" t="s">
        <v>1183</v>
      </c>
      <c r="E116" s="9" t="s">
        <v>1184</v>
      </c>
      <c r="F116" s="9" t="s">
        <v>1185</v>
      </c>
      <c r="G116" s="9" t="s">
        <v>1186</v>
      </c>
      <c r="L116" s="13">
        <f>$I$44*$L$44</f>
        <v>0</v>
      </c>
      <c r="M116" s="13">
        <f>$I$44*$M$44</f>
        <v>607.80340338260396</v>
      </c>
      <c r="N116" s="13">
        <f ca="1">$I$44*$N$44</f>
        <v>2933.7748208333919</v>
      </c>
      <c r="O116" s="13">
        <f>$I$44*$O$44</f>
        <v>0</v>
      </c>
      <c r="P116" s="13">
        <f>$I$44*$P$44</f>
        <v>0</v>
      </c>
      <c r="Q116" s="13">
        <f>$I$44*$Q$44</f>
        <v>0</v>
      </c>
      <c r="R116" s="13">
        <f>$I$44*$R$44</f>
        <v>0</v>
      </c>
      <c r="S116" s="13">
        <f>$I$44*$S$44</f>
        <v>0</v>
      </c>
      <c r="T116" s="13">
        <f>$I$44*$T$44</f>
        <v>18087.660396979034</v>
      </c>
      <c r="U116" s="13">
        <f>$I$44*$U$44</f>
        <v>3658.8757870834893</v>
      </c>
      <c r="V116" s="13">
        <f>$I$44*$V$44</f>
        <v>525.99803432952058</v>
      </c>
      <c r="W116" s="13">
        <f>$I$44*$W$44</f>
        <v>0</v>
      </c>
      <c r="X116" s="13">
        <f>$I$44*$X$44</f>
        <v>0</v>
      </c>
      <c r="Y116" s="13">
        <f>$I$44*$Y$44</f>
        <v>0</v>
      </c>
      <c r="Z116" s="13">
        <f>$I$44*$Z$44</f>
        <v>0</v>
      </c>
      <c r="AA116" s="13">
        <f>$I$44*$AA$44</f>
        <v>117805.52970204661</v>
      </c>
      <c r="AB116" s="13">
        <f ca="1">$I$44*$AB$44</f>
        <v>0</v>
      </c>
      <c r="AC116" s="13">
        <f ca="1">$I$44*$AC$44</f>
        <v>0</v>
      </c>
      <c r="AD116" s="13">
        <f>$I$44*$AD$44</f>
        <v>19319.862434511717</v>
      </c>
      <c r="AE116" s="13">
        <f>$I$44*$AE$44</f>
        <v>334.83413869548718</v>
      </c>
      <c r="AF116" s="13">
        <f ca="1">$I$44*$AF$44</f>
        <v>1333.7295774111126</v>
      </c>
      <c r="AG116" s="13">
        <f ca="1">$I$44*$AG$44</f>
        <v>184.90736119504655</v>
      </c>
      <c r="AI116" s="13">
        <f>$I$44*$AI$44</f>
        <v>0</v>
      </c>
      <c r="AJ116" s="13">
        <f>$I$44*$AJ$44</f>
        <v>533.60831613781932</v>
      </c>
      <c r="AK116" s="13">
        <f>$I$44*$AK$44</f>
        <v>2275.2897902043574</v>
      </c>
      <c r="AL116" s="13">
        <f>$I$44*$AL$44</f>
        <v>0</v>
      </c>
      <c r="AM116" s="13">
        <f>$I$44*$AM$44</f>
        <v>0</v>
      </c>
      <c r="AN116" s="13">
        <f>$I$44*$AN$44</f>
        <v>0</v>
      </c>
      <c r="AO116" s="13">
        <f>$I$44*$AO$44</f>
        <v>0</v>
      </c>
      <c r="AP116" s="13">
        <f>$I$44*$AP$44</f>
        <v>0</v>
      </c>
      <c r="AQ116" s="13">
        <f>$I$44*$AQ$44</f>
        <v>14999.915706542082</v>
      </c>
      <c r="AR116" s="13">
        <f>$I$44*$AR$44</f>
        <v>4326.2594070806872</v>
      </c>
      <c r="AS116" s="13">
        <f>$I$44*$AS$44</f>
        <v>50.706412337912383</v>
      </c>
      <c r="AT116" s="13">
        <f>$I$44*$AT$44</f>
        <v>0</v>
      </c>
      <c r="AU116" s="13">
        <f>$I$44*$AU$44</f>
        <v>0</v>
      </c>
      <c r="AV116" s="13">
        <f>$I$44*$AV$44</f>
        <v>0</v>
      </c>
      <c r="AW116" s="13">
        <f>$I$44*$AW$44</f>
        <v>0</v>
      </c>
      <c r="AX116" s="13">
        <f>$I$44*$AX$44</f>
        <v>102942.8019614614</v>
      </c>
      <c r="AY116" s="13">
        <f>$I$44*$AY$44</f>
        <v>0</v>
      </c>
      <c r="AZ116" s="13">
        <f>$I$44*$AZ$44</f>
        <v>0</v>
      </c>
      <c r="BA116" s="13">
        <f>$I$44*$BA$44</f>
        <v>16311.559250529559</v>
      </c>
      <c r="BB116" s="13">
        <f>$I$44*$BB$44</f>
        <v>330.9243221738339</v>
      </c>
      <c r="BC116" s="13">
        <f>$I$44*$BC$44</f>
        <v>1215.3551023931905</v>
      </c>
      <c r="BD116" s="13">
        <f>$I$44*$BD$44</f>
        <v>202.66570306216244</v>
      </c>
    </row>
    <row r="117" spans="1:56" ht="11.25" customHeight="1" x14ac:dyDescent="0.3">
      <c r="A117" s="9" t="s">
        <v>22</v>
      </c>
      <c r="B117" s="9" t="s">
        <v>1187</v>
      </c>
      <c r="C117" s="9" t="s">
        <v>1188</v>
      </c>
      <c r="D117" s="9" t="s">
        <v>1189</v>
      </c>
      <c r="E117" s="9" t="s">
        <v>1190</v>
      </c>
      <c r="F117" s="9" t="s">
        <v>1191</v>
      </c>
      <c r="G117" s="9" t="s">
        <v>1192</v>
      </c>
      <c r="L117" s="13">
        <f>$I$45*$L$45</f>
        <v>0</v>
      </c>
      <c r="M117" s="13">
        <f>$I$45*$M$45</f>
        <v>0</v>
      </c>
      <c r="N117" s="13">
        <f ca="1">$I$45*$N$45</f>
        <v>0</v>
      </c>
      <c r="O117" s="13">
        <f>$I$45*$O$45</f>
        <v>0</v>
      </c>
      <c r="P117" s="13">
        <f>$I$45*$P$45</f>
        <v>0</v>
      </c>
      <c r="Q117" s="13">
        <f>$I$45*$Q$45</f>
        <v>0</v>
      </c>
      <c r="R117" s="13">
        <f>$I$45*$R$45</f>
        <v>0</v>
      </c>
      <c r="S117" s="13">
        <f>$I$45*$S$45</f>
        <v>0</v>
      </c>
      <c r="T117" s="13">
        <f>$I$45*$T$45</f>
        <v>0</v>
      </c>
      <c r="U117" s="13">
        <f>$I$45*$U$45</f>
        <v>0</v>
      </c>
      <c r="V117" s="13">
        <f>$I$45*$V$45</f>
        <v>0</v>
      </c>
      <c r="W117" s="13">
        <f>$I$45*$W$45</f>
        <v>0</v>
      </c>
      <c r="X117" s="13">
        <f>$I$45*$X$45</f>
        <v>0</v>
      </c>
      <c r="Y117" s="13">
        <f>$I$45*$Y$45</f>
        <v>0</v>
      </c>
      <c r="Z117" s="13">
        <f>$I$45*$Z$45</f>
        <v>0</v>
      </c>
      <c r="AA117" s="13">
        <f>$I$45*$AA$45</f>
        <v>0</v>
      </c>
      <c r="AB117" s="13">
        <f ca="1">$I$45*$AB$45</f>
        <v>0</v>
      </c>
      <c r="AC117" s="13">
        <f ca="1">$I$45*$AC$45</f>
        <v>0</v>
      </c>
      <c r="AD117" s="13">
        <f>$I$45*$AD$45</f>
        <v>0</v>
      </c>
      <c r="AE117" s="13">
        <f>$I$45*$AE$45</f>
        <v>0</v>
      </c>
      <c r="AF117" s="13">
        <f ca="1">$I$45*$AF$45</f>
        <v>0</v>
      </c>
      <c r="AG117" s="13">
        <f ca="1">$I$45*$AG$45</f>
        <v>0</v>
      </c>
      <c r="AI117" s="13">
        <f>$I$45*$AI$45</f>
        <v>0</v>
      </c>
      <c r="AJ117" s="13">
        <f>$I$45*$AJ$45</f>
        <v>0</v>
      </c>
      <c r="AK117" s="13">
        <f>$I$45*$AK$45</f>
        <v>0</v>
      </c>
      <c r="AL117" s="13">
        <f>$I$45*$AL$45</f>
        <v>0</v>
      </c>
      <c r="AM117" s="13">
        <f>$I$45*$AM$45</f>
        <v>0</v>
      </c>
      <c r="AN117" s="13">
        <f>$I$45*$AN$45</f>
        <v>0</v>
      </c>
      <c r="AO117" s="13">
        <f>$I$45*$AO$45</f>
        <v>0</v>
      </c>
      <c r="AP117" s="13">
        <f>$I$45*$AP$45</f>
        <v>0</v>
      </c>
      <c r="AQ117" s="13">
        <f>$I$45*$AQ$45</f>
        <v>0</v>
      </c>
      <c r="AR117" s="13">
        <f>$I$45*$AR$45</f>
        <v>0</v>
      </c>
      <c r="AS117" s="13">
        <f>$I$45*$AS$45</f>
        <v>0</v>
      </c>
      <c r="AT117" s="13">
        <f>$I$45*$AT$45</f>
        <v>0</v>
      </c>
      <c r="AU117" s="13">
        <f>$I$45*$AU$45</f>
        <v>0</v>
      </c>
      <c r="AV117" s="13">
        <f>$I$45*$AV$45</f>
        <v>0</v>
      </c>
      <c r="AW117" s="13">
        <f>$I$45*$AW$45</f>
        <v>0</v>
      </c>
      <c r="AX117" s="13">
        <f>$I$45*$AX$45</f>
        <v>0</v>
      </c>
      <c r="AY117" s="13">
        <f>$I$45*$AY$45</f>
        <v>0</v>
      </c>
      <c r="AZ117" s="13">
        <f>$I$45*$AZ$45</f>
        <v>0</v>
      </c>
      <c r="BA117" s="13">
        <f>$I$45*$BA$45</f>
        <v>0</v>
      </c>
      <c r="BB117" s="13">
        <f>$I$45*$BB$45</f>
        <v>0</v>
      </c>
      <c r="BC117" s="13">
        <f>$I$45*$BC$45</f>
        <v>0</v>
      </c>
      <c r="BD117" s="13">
        <f>$I$45*$BD$45</f>
        <v>0</v>
      </c>
    </row>
    <row r="118" spans="1:56" ht="11.25" customHeight="1" x14ac:dyDescent="0.3">
      <c r="A118" s="9" t="s">
        <v>22</v>
      </c>
      <c r="B118" s="9" t="s">
        <v>1187</v>
      </c>
      <c r="C118" s="9" t="s">
        <v>1188</v>
      </c>
      <c r="D118" s="9" t="s">
        <v>1193</v>
      </c>
      <c r="E118" s="9" t="s">
        <v>1194</v>
      </c>
      <c r="F118" s="9" t="s">
        <v>1195</v>
      </c>
      <c r="G118" s="9" t="s">
        <v>1196</v>
      </c>
      <c r="L118" s="13">
        <f>$I$46*$L$46</f>
        <v>0</v>
      </c>
      <c r="M118" s="13">
        <f>$I$46*$M$46</f>
        <v>0</v>
      </c>
      <c r="N118" s="13">
        <f ca="1">$I$46*$N$46</f>
        <v>0</v>
      </c>
      <c r="O118" s="13">
        <f>$I$46*$O$46</f>
        <v>0</v>
      </c>
      <c r="P118" s="13">
        <f>$I$46*$P$46</f>
        <v>0</v>
      </c>
      <c r="Q118" s="13">
        <f>$I$46*$Q$46</f>
        <v>0</v>
      </c>
      <c r="R118" s="13">
        <f>$I$46*$R$46</f>
        <v>0</v>
      </c>
      <c r="S118" s="13">
        <f>$I$46*$S$46</f>
        <v>0</v>
      </c>
      <c r="T118" s="13">
        <f>$I$46*$T$46</f>
        <v>0</v>
      </c>
      <c r="U118" s="13">
        <f>$I$46*$U$46</f>
        <v>0</v>
      </c>
      <c r="V118" s="13">
        <f>$I$46*$V$46</f>
        <v>0</v>
      </c>
      <c r="W118" s="13">
        <f>$I$46*$W$46</f>
        <v>0</v>
      </c>
      <c r="X118" s="13">
        <f>$I$46*$X$46</f>
        <v>0</v>
      </c>
      <c r="Y118" s="13">
        <f>$I$46*$Y$46</f>
        <v>0</v>
      </c>
      <c r="Z118" s="13">
        <f>$I$46*$Z$46</f>
        <v>0</v>
      </c>
      <c r="AA118" s="13">
        <f>$I$46*$AA$46</f>
        <v>0</v>
      </c>
      <c r="AB118" s="13">
        <f ca="1">$I$46*$AB$46</f>
        <v>0</v>
      </c>
      <c r="AC118" s="13">
        <f ca="1">$I$46*$AC$46</f>
        <v>0</v>
      </c>
      <c r="AD118" s="13">
        <f>$I$46*$AD$46</f>
        <v>0</v>
      </c>
      <c r="AE118" s="13">
        <f>$I$46*$AE$46</f>
        <v>0</v>
      </c>
      <c r="AF118" s="13">
        <f ca="1">$I$46*$AF$46</f>
        <v>0</v>
      </c>
      <c r="AG118" s="13">
        <f ca="1">$I$46*$AG$46</f>
        <v>0</v>
      </c>
      <c r="AI118" s="13">
        <f>$I$46*$AI$46</f>
        <v>0</v>
      </c>
      <c r="AJ118" s="13">
        <f>$I$46*$AJ$46</f>
        <v>0</v>
      </c>
      <c r="AK118" s="13">
        <f>$I$46*$AK$46</f>
        <v>0</v>
      </c>
      <c r="AL118" s="13">
        <f>$I$46*$AL$46</f>
        <v>0</v>
      </c>
      <c r="AM118" s="13">
        <f>$I$46*$AM$46</f>
        <v>0</v>
      </c>
      <c r="AN118" s="13">
        <f>$I$46*$AN$46</f>
        <v>0</v>
      </c>
      <c r="AO118" s="13">
        <f>$I$46*$AO$46</f>
        <v>0</v>
      </c>
      <c r="AP118" s="13">
        <f>$I$46*$AP$46</f>
        <v>0</v>
      </c>
      <c r="AQ118" s="13">
        <f>$I$46*$AQ$46</f>
        <v>0</v>
      </c>
      <c r="AR118" s="13">
        <f>$I$46*$AR$46</f>
        <v>0</v>
      </c>
      <c r="AS118" s="13">
        <f>$I$46*$AS$46</f>
        <v>0</v>
      </c>
      <c r="AT118" s="13">
        <f>$I$46*$AT$46</f>
        <v>0</v>
      </c>
      <c r="AU118" s="13">
        <f>$I$46*$AU$46</f>
        <v>0</v>
      </c>
      <c r="AV118" s="13">
        <f>$I$46*$AV$46</f>
        <v>0</v>
      </c>
      <c r="AW118" s="13">
        <f>$I$46*$AW$46</f>
        <v>0</v>
      </c>
      <c r="AX118" s="13">
        <f>$I$46*$AX$46</f>
        <v>0</v>
      </c>
      <c r="AY118" s="13">
        <f>$I$46*$AY$46</f>
        <v>0</v>
      </c>
      <c r="AZ118" s="13">
        <f>$I$46*$AZ$46</f>
        <v>0</v>
      </c>
      <c r="BA118" s="13">
        <f>$I$46*$BA$46</f>
        <v>0</v>
      </c>
      <c r="BB118" s="13">
        <f>$I$46*$BB$46</f>
        <v>0</v>
      </c>
      <c r="BC118" s="13">
        <f>$I$46*$BC$46</f>
        <v>0</v>
      </c>
      <c r="BD118" s="13">
        <f>$I$46*$BD$46</f>
        <v>0</v>
      </c>
    </row>
    <row r="119" spans="1:56" ht="11.25" customHeight="1" x14ac:dyDescent="0.3">
      <c r="A119" s="9" t="s">
        <v>22</v>
      </c>
      <c r="B119" s="9" t="s">
        <v>1187</v>
      </c>
      <c r="C119" s="9" t="s">
        <v>1188</v>
      </c>
      <c r="D119" s="9" t="s">
        <v>1197</v>
      </c>
      <c r="E119" s="9" t="s">
        <v>1198</v>
      </c>
      <c r="F119" s="9" t="s">
        <v>1199</v>
      </c>
      <c r="G119" s="9" t="s">
        <v>1200</v>
      </c>
      <c r="L119" s="13">
        <f>$I$47*$L$47</f>
        <v>0</v>
      </c>
      <c r="M119" s="13">
        <f>$I$47*$M$47</f>
        <v>0</v>
      </c>
      <c r="N119" s="13">
        <f ca="1">$I$47*$N$47</f>
        <v>0</v>
      </c>
      <c r="O119" s="13">
        <f>$I$47*$O$47</f>
        <v>0</v>
      </c>
      <c r="P119" s="13">
        <f>$I$47*$P$47</f>
        <v>0</v>
      </c>
      <c r="Q119" s="13">
        <f>$I$47*$Q$47</f>
        <v>0</v>
      </c>
      <c r="R119" s="13">
        <f>$I$47*$R$47</f>
        <v>0</v>
      </c>
      <c r="S119" s="13">
        <f>$I$47*$S$47</f>
        <v>0</v>
      </c>
      <c r="T119" s="13">
        <f>$I$47*$T$47</f>
        <v>0</v>
      </c>
      <c r="U119" s="13">
        <f>$I$47*$U$47</f>
        <v>0</v>
      </c>
      <c r="V119" s="13">
        <f>$I$47*$V$47</f>
        <v>0</v>
      </c>
      <c r="W119" s="13">
        <f>$I$47*$W$47</f>
        <v>0</v>
      </c>
      <c r="X119" s="13">
        <f>$I$47*$X$47</f>
        <v>0</v>
      </c>
      <c r="Y119" s="13">
        <f>$I$47*$Y$47</f>
        <v>0</v>
      </c>
      <c r="Z119" s="13">
        <f>$I$47*$Z$47</f>
        <v>0</v>
      </c>
      <c r="AA119" s="13">
        <f>$I$47*$AA$47</f>
        <v>0</v>
      </c>
      <c r="AB119" s="13">
        <f ca="1">$I$47*$AB$47</f>
        <v>0</v>
      </c>
      <c r="AC119" s="13">
        <f ca="1">$I$47*$AC$47</f>
        <v>0</v>
      </c>
      <c r="AD119" s="13">
        <f>$I$47*$AD$47</f>
        <v>0</v>
      </c>
      <c r="AE119" s="13">
        <f>$I$47*$AE$47</f>
        <v>0</v>
      </c>
      <c r="AF119" s="13">
        <f ca="1">$I$47*$AF$47</f>
        <v>0</v>
      </c>
      <c r="AG119" s="13">
        <f ca="1">$I$47*$AG$47</f>
        <v>0</v>
      </c>
      <c r="AI119" s="13">
        <f>$I$47*$AI$47</f>
        <v>0</v>
      </c>
      <c r="AJ119" s="13">
        <f>$I$47*$AJ$47</f>
        <v>0</v>
      </c>
      <c r="AK119" s="13">
        <f>$I$47*$AK$47</f>
        <v>0</v>
      </c>
      <c r="AL119" s="13">
        <f>$I$47*$AL$47</f>
        <v>0</v>
      </c>
      <c r="AM119" s="13">
        <f>$I$47*$AM$47</f>
        <v>0</v>
      </c>
      <c r="AN119" s="13">
        <f>$I$47*$AN$47</f>
        <v>0</v>
      </c>
      <c r="AO119" s="13">
        <f>$I$47*$AO$47</f>
        <v>0</v>
      </c>
      <c r="AP119" s="13">
        <f>$I$47*$AP$47</f>
        <v>0</v>
      </c>
      <c r="AQ119" s="13">
        <f>$I$47*$AQ$47</f>
        <v>0</v>
      </c>
      <c r="AR119" s="13">
        <f>$I$47*$AR$47</f>
        <v>0</v>
      </c>
      <c r="AS119" s="13">
        <f>$I$47*$AS$47</f>
        <v>0</v>
      </c>
      <c r="AT119" s="13">
        <f>$I$47*$AT$47</f>
        <v>0</v>
      </c>
      <c r="AU119" s="13">
        <f>$I$47*$AU$47</f>
        <v>0</v>
      </c>
      <c r="AV119" s="13">
        <f>$I$47*$AV$47</f>
        <v>0</v>
      </c>
      <c r="AW119" s="13">
        <f>$I$47*$AW$47</f>
        <v>0</v>
      </c>
      <c r="AX119" s="13">
        <f>$I$47*$AX$47</f>
        <v>0</v>
      </c>
      <c r="AY119" s="13">
        <f>$I$47*$AY$47</f>
        <v>0</v>
      </c>
      <c r="AZ119" s="13">
        <f>$I$47*$AZ$47</f>
        <v>0</v>
      </c>
      <c r="BA119" s="13">
        <f>$I$47*$BA$47</f>
        <v>0</v>
      </c>
      <c r="BB119" s="13">
        <f>$I$47*$BB$47</f>
        <v>0</v>
      </c>
      <c r="BC119" s="13">
        <f>$I$47*$BC$47</f>
        <v>0</v>
      </c>
      <c r="BD119" s="13">
        <f>$I$47*$BD$47</f>
        <v>0</v>
      </c>
    </row>
    <row r="120" spans="1:56" ht="11.25" customHeight="1" x14ac:dyDescent="0.3">
      <c r="A120" s="9" t="s">
        <v>22</v>
      </c>
      <c r="B120" s="9" t="s">
        <v>1187</v>
      </c>
      <c r="C120" s="9" t="s">
        <v>1188</v>
      </c>
      <c r="D120" s="9" t="s">
        <v>1201</v>
      </c>
      <c r="E120" s="9" t="s">
        <v>1202</v>
      </c>
      <c r="F120" s="9" t="s">
        <v>1203</v>
      </c>
      <c r="G120" s="9" t="s">
        <v>1204</v>
      </c>
      <c r="L120" s="13">
        <f>$I$48*$L$48</f>
        <v>0</v>
      </c>
      <c r="M120" s="13">
        <f>$I$48*$M$48</f>
        <v>0</v>
      </c>
      <c r="N120" s="13">
        <f ca="1">$I$48*$N$48</f>
        <v>0</v>
      </c>
      <c r="O120" s="13">
        <f>$I$48*$O$48</f>
        <v>0</v>
      </c>
      <c r="P120" s="13">
        <f>$I$48*$P$48</f>
        <v>0</v>
      </c>
      <c r="Q120" s="13">
        <f>$I$48*$Q$48</f>
        <v>0</v>
      </c>
      <c r="R120" s="13">
        <f>$I$48*$R$48</f>
        <v>0</v>
      </c>
      <c r="S120" s="13">
        <f>$I$48*$S$48</f>
        <v>0</v>
      </c>
      <c r="T120" s="13">
        <f>$I$48*$T$48</f>
        <v>0</v>
      </c>
      <c r="U120" s="13">
        <f>$I$48*$U$48</f>
        <v>0</v>
      </c>
      <c r="V120" s="13">
        <f>$I$48*$V$48</f>
        <v>0</v>
      </c>
      <c r="W120" s="13">
        <f>$I$48*$W$48</f>
        <v>0</v>
      </c>
      <c r="X120" s="13">
        <f>$I$48*$X$48</f>
        <v>0</v>
      </c>
      <c r="Y120" s="13">
        <f>$I$48*$Y$48</f>
        <v>0</v>
      </c>
      <c r="Z120" s="13">
        <f>$I$48*$Z$48</f>
        <v>0</v>
      </c>
      <c r="AA120" s="13">
        <f>$I$48*$AA$48</f>
        <v>0</v>
      </c>
      <c r="AB120" s="13">
        <f ca="1">$I$48*$AB$48</f>
        <v>0</v>
      </c>
      <c r="AC120" s="13">
        <f ca="1">$I$48*$AC$48</f>
        <v>0</v>
      </c>
      <c r="AD120" s="13">
        <f>$I$48*$AD$48</f>
        <v>0</v>
      </c>
      <c r="AE120" s="13">
        <f>$I$48*$AE$48</f>
        <v>0</v>
      </c>
      <c r="AF120" s="13">
        <f ca="1">$I$48*$AF$48</f>
        <v>0</v>
      </c>
      <c r="AG120" s="13">
        <f ca="1">$I$48*$AG$48</f>
        <v>0</v>
      </c>
      <c r="AI120" s="13">
        <f>$I$48*$AI$48</f>
        <v>0</v>
      </c>
      <c r="AJ120" s="13">
        <f>$I$48*$AJ$48</f>
        <v>0</v>
      </c>
      <c r="AK120" s="13">
        <f>$I$48*$AK$48</f>
        <v>0</v>
      </c>
      <c r="AL120" s="13">
        <f>$I$48*$AL$48</f>
        <v>0</v>
      </c>
      <c r="AM120" s="13">
        <f>$I$48*$AM$48</f>
        <v>0</v>
      </c>
      <c r="AN120" s="13">
        <f>$I$48*$AN$48</f>
        <v>0</v>
      </c>
      <c r="AO120" s="13">
        <f>$I$48*$AO$48</f>
        <v>0</v>
      </c>
      <c r="AP120" s="13">
        <f>$I$48*$AP$48</f>
        <v>0</v>
      </c>
      <c r="AQ120" s="13">
        <f>$I$48*$AQ$48</f>
        <v>0</v>
      </c>
      <c r="AR120" s="13">
        <f>$I$48*$AR$48</f>
        <v>0</v>
      </c>
      <c r="AS120" s="13">
        <f>$I$48*$AS$48</f>
        <v>0</v>
      </c>
      <c r="AT120" s="13">
        <f>$I$48*$AT$48</f>
        <v>0</v>
      </c>
      <c r="AU120" s="13">
        <f>$I$48*$AU$48</f>
        <v>0</v>
      </c>
      <c r="AV120" s="13">
        <f>$I$48*$AV$48</f>
        <v>0</v>
      </c>
      <c r="AW120" s="13">
        <f>$I$48*$AW$48</f>
        <v>0</v>
      </c>
      <c r="AX120" s="13">
        <f>$I$48*$AX$48</f>
        <v>0</v>
      </c>
      <c r="AY120" s="13">
        <f>$I$48*$AY$48</f>
        <v>0</v>
      </c>
      <c r="AZ120" s="13">
        <f>$I$48*$AZ$48</f>
        <v>0</v>
      </c>
      <c r="BA120" s="13">
        <f>$I$48*$BA$48</f>
        <v>0</v>
      </c>
      <c r="BB120" s="13">
        <f>$I$48*$BB$48</f>
        <v>0</v>
      </c>
      <c r="BC120" s="13">
        <f>$I$48*$BC$48</f>
        <v>0</v>
      </c>
      <c r="BD120" s="13">
        <f>$I$48*$BD$48</f>
        <v>0</v>
      </c>
    </row>
    <row r="121" spans="1:56" ht="11.25" customHeight="1" x14ac:dyDescent="0.3">
      <c r="A121" s="9" t="s">
        <v>22</v>
      </c>
      <c r="B121" s="9" t="s">
        <v>1187</v>
      </c>
      <c r="C121" s="9" t="s">
        <v>1188</v>
      </c>
      <c r="D121" s="9" t="s">
        <v>1205</v>
      </c>
      <c r="E121" s="9" t="s">
        <v>1206</v>
      </c>
      <c r="F121" s="9" t="s">
        <v>1207</v>
      </c>
      <c r="G121" s="9" t="s">
        <v>1208</v>
      </c>
      <c r="L121" s="13">
        <f>$I$49*$L$49</f>
        <v>0</v>
      </c>
      <c r="M121" s="13">
        <f>$I$49*$M$49</f>
        <v>0</v>
      </c>
      <c r="N121" s="13">
        <f ca="1">$I$49*$N$49</f>
        <v>0</v>
      </c>
      <c r="O121" s="13">
        <f>$I$49*$O$49</f>
        <v>0</v>
      </c>
      <c r="P121" s="13">
        <f>$I$49*$P$49</f>
        <v>0</v>
      </c>
      <c r="Q121" s="13">
        <f>$I$49*$Q$49</f>
        <v>0</v>
      </c>
      <c r="R121" s="13">
        <f>$I$49*$R$49</f>
        <v>0</v>
      </c>
      <c r="S121" s="13">
        <f>$I$49*$S$49</f>
        <v>0</v>
      </c>
      <c r="T121" s="13">
        <f>$I$49*$T$49</f>
        <v>0</v>
      </c>
      <c r="U121" s="13">
        <f>$I$49*$U$49</f>
        <v>0</v>
      </c>
      <c r="V121" s="13">
        <f>$I$49*$V$49</f>
        <v>0</v>
      </c>
      <c r="W121" s="13">
        <f>$I$49*$W$49</f>
        <v>0</v>
      </c>
      <c r="X121" s="13">
        <f>$I$49*$X$49</f>
        <v>0</v>
      </c>
      <c r="Y121" s="13">
        <f>$I$49*$Y$49</f>
        <v>0</v>
      </c>
      <c r="Z121" s="13">
        <f>$I$49*$Z$49</f>
        <v>0</v>
      </c>
      <c r="AA121" s="13">
        <f>$I$49*$AA$49</f>
        <v>0</v>
      </c>
      <c r="AB121" s="13">
        <f ca="1">$I$49*$AB$49</f>
        <v>0</v>
      </c>
      <c r="AC121" s="13">
        <f ca="1">$I$49*$AC$49</f>
        <v>0</v>
      </c>
      <c r="AD121" s="13">
        <f>$I$49*$AD$49</f>
        <v>0</v>
      </c>
      <c r="AE121" s="13">
        <f>$I$49*$AE$49</f>
        <v>0</v>
      </c>
      <c r="AF121" s="13">
        <f ca="1">$I$49*$AF$49</f>
        <v>0</v>
      </c>
      <c r="AG121" s="13">
        <f ca="1">$I$49*$AG$49</f>
        <v>0</v>
      </c>
      <c r="AI121" s="13">
        <f>$I$49*$AI$49</f>
        <v>0</v>
      </c>
      <c r="AJ121" s="13">
        <f>$I$49*$AJ$49</f>
        <v>0</v>
      </c>
      <c r="AK121" s="13">
        <f>$I$49*$AK$49</f>
        <v>0</v>
      </c>
      <c r="AL121" s="13">
        <f>$I$49*$AL$49</f>
        <v>0</v>
      </c>
      <c r="AM121" s="13">
        <f>$I$49*$AM$49</f>
        <v>0</v>
      </c>
      <c r="AN121" s="13">
        <f>$I$49*$AN$49</f>
        <v>0</v>
      </c>
      <c r="AO121" s="13">
        <f>$I$49*$AO$49</f>
        <v>0</v>
      </c>
      <c r="AP121" s="13">
        <f>$I$49*$AP$49</f>
        <v>0</v>
      </c>
      <c r="AQ121" s="13">
        <f>$I$49*$AQ$49</f>
        <v>0</v>
      </c>
      <c r="AR121" s="13">
        <f>$I$49*$AR$49</f>
        <v>0</v>
      </c>
      <c r="AS121" s="13">
        <f>$I$49*$AS$49</f>
        <v>0</v>
      </c>
      <c r="AT121" s="13">
        <f>$I$49*$AT$49</f>
        <v>0</v>
      </c>
      <c r="AU121" s="13">
        <f>$I$49*$AU$49</f>
        <v>0</v>
      </c>
      <c r="AV121" s="13">
        <f>$I$49*$AV$49</f>
        <v>0</v>
      </c>
      <c r="AW121" s="13">
        <f>$I$49*$AW$49</f>
        <v>0</v>
      </c>
      <c r="AX121" s="13">
        <f>$I$49*$AX$49</f>
        <v>0</v>
      </c>
      <c r="AY121" s="13">
        <f>$I$49*$AY$49</f>
        <v>0</v>
      </c>
      <c r="AZ121" s="13">
        <f>$I$49*$AZ$49</f>
        <v>0</v>
      </c>
      <c r="BA121" s="13">
        <f>$I$49*$BA$49</f>
        <v>0</v>
      </c>
      <c r="BB121" s="13">
        <f>$I$49*$BB$49</f>
        <v>0</v>
      </c>
      <c r="BC121" s="13">
        <f>$I$49*$BC$49</f>
        <v>0</v>
      </c>
      <c r="BD121" s="13">
        <f>$I$49*$BD$49</f>
        <v>0</v>
      </c>
    </row>
    <row r="122" spans="1:56" ht="11.25" customHeight="1" x14ac:dyDescent="0.3">
      <c r="A122" s="9" t="s">
        <v>44</v>
      </c>
      <c r="B122" s="9" t="s">
        <v>1209</v>
      </c>
      <c r="C122" s="9" t="s">
        <v>1210</v>
      </c>
      <c r="D122" s="9" t="s">
        <v>1211</v>
      </c>
      <c r="E122" s="9" t="s">
        <v>1212</v>
      </c>
      <c r="F122" s="9" t="s">
        <v>1213</v>
      </c>
      <c r="G122" s="9" t="s">
        <v>1214</v>
      </c>
      <c r="L122" s="13">
        <f>$I$50*$L$50</f>
        <v>0</v>
      </c>
      <c r="M122" s="13">
        <f>$I$50*$M$50</f>
        <v>0</v>
      </c>
      <c r="N122" s="13">
        <f ca="1">$I$50*$N$50</f>
        <v>0</v>
      </c>
      <c r="O122" s="13">
        <f>$I$50*$O$50</f>
        <v>0</v>
      </c>
      <c r="P122" s="13">
        <f>$I$50*$P$50</f>
        <v>0</v>
      </c>
      <c r="Q122" s="13">
        <f>$I$50*$Q$50</f>
        <v>0</v>
      </c>
      <c r="R122" s="13">
        <f>$I$50*$R$50</f>
        <v>0</v>
      </c>
      <c r="S122" s="13">
        <f>$I$50*$S$50</f>
        <v>0</v>
      </c>
      <c r="T122" s="13">
        <f>$I$50*$T$50</f>
        <v>0</v>
      </c>
      <c r="U122" s="13">
        <f>$I$50*$U$50</f>
        <v>0</v>
      </c>
      <c r="V122" s="13">
        <f>$I$50*$V$50</f>
        <v>0</v>
      </c>
      <c r="W122" s="13">
        <f>$I$50*$W$50</f>
        <v>0</v>
      </c>
      <c r="X122" s="13">
        <f>$I$50*$X$50</f>
        <v>0</v>
      </c>
      <c r="Y122" s="13">
        <f>$I$50*$Y$50</f>
        <v>0</v>
      </c>
      <c r="Z122" s="13">
        <f>$I$50*$Z$50</f>
        <v>0</v>
      </c>
      <c r="AA122" s="13">
        <f>$I$50*$AA$50</f>
        <v>0</v>
      </c>
      <c r="AB122" s="13">
        <f ca="1">$I$50*$AB$50</f>
        <v>0</v>
      </c>
      <c r="AC122" s="13">
        <f ca="1">$I$50*$AC$50</f>
        <v>0</v>
      </c>
      <c r="AD122" s="13">
        <f>$I$50*$AD$50</f>
        <v>0</v>
      </c>
      <c r="AE122" s="13">
        <f>$I$50*$AE$50</f>
        <v>0</v>
      </c>
      <c r="AF122" s="13">
        <f ca="1">$I$50*$AF$50</f>
        <v>0</v>
      </c>
      <c r="AG122" s="13">
        <f ca="1">$I$50*$AG$50</f>
        <v>0</v>
      </c>
      <c r="AI122" s="13">
        <f>$I$50*$AI$50</f>
        <v>0</v>
      </c>
      <c r="AJ122" s="13">
        <f>$I$50*$AJ$50</f>
        <v>0</v>
      </c>
      <c r="AK122" s="13">
        <f>$I$50*$AK$50</f>
        <v>0</v>
      </c>
      <c r="AL122" s="13">
        <f>$I$50*$AL$50</f>
        <v>0</v>
      </c>
      <c r="AM122" s="13">
        <f>$I$50*$AM$50</f>
        <v>0</v>
      </c>
      <c r="AN122" s="13">
        <f>$I$50*$AN$50</f>
        <v>0</v>
      </c>
      <c r="AO122" s="13">
        <f>$I$50*$AO$50</f>
        <v>0</v>
      </c>
      <c r="AP122" s="13">
        <f>$I$50*$AP$50</f>
        <v>0</v>
      </c>
      <c r="AQ122" s="13">
        <f>$I$50*$AQ$50</f>
        <v>0</v>
      </c>
      <c r="AR122" s="13">
        <f>$I$50*$AR$50</f>
        <v>0</v>
      </c>
      <c r="AS122" s="13">
        <f>$I$50*$AS$50</f>
        <v>0</v>
      </c>
      <c r="AT122" s="13">
        <f>$I$50*$AT$50</f>
        <v>0</v>
      </c>
      <c r="AU122" s="13">
        <f>$I$50*$AU$50</f>
        <v>0</v>
      </c>
      <c r="AV122" s="13">
        <f>$I$50*$AV$50</f>
        <v>0</v>
      </c>
      <c r="AW122" s="13">
        <f>$I$50*$AW$50</f>
        <v>0</v>
      </c>
      <c r="AX122" s="13">
        <f>$I$50*$AX$50</f>
        <v>0</v>
      </c>
      <c r="AY122" s="13">
        <f>$I$50*$AY$50</f>
        <v>0</v>
      </c>
      <c r="AZ122" s="13">
        <f>$I$50*$AZ$50</f>
        <v>0</v>
      </c>
      <c r="BA122" s="13">
        <f>$I$50*$BA$50</f>
        <v>0</v>
      </c>
      <c r="BB122" s="13">
        <f>$I$50*$BB$50</f>
        <v>0</v>
      </c>
      <c r="BC122" s="13">
        <f>$I$50*$BC$50</f>
        <v>0</v>
      </c>
      <c r="BD122" s="13">
        <f>$I$50*$BD$50</f>
        <v>0</v>
      </c>
    </row>
    <row r="123" spans="1:56" ht="11.25" customHeight="1" x14ac:dyDescent="0.3">
      <c r="A123" s="9" t="s">
        <v>44</v>
      </c>
      <c r="B123" s="9" t="s">
        <v>1209</v>
      </c>
      <c r="C123" s="9" t="s">
        <v>1210</v>
      </c>
      <c r="D123" s="9" t="s">
        <v>1211</v>
      </c>
      <c r="E123" s="9" t="s">
        <v>1212</v>
      </c>
      <c r="F123" s="9" t="s">
        <v>1213</v>
      </c>
      <c r="G123" s="9" t="s">
        <v>1215</v>
      </c>
      <c r="L123" s="13">
        <f>$I$51*$L$51</f>
        <v>0</v>
      </c>
      <c r="M123" s="13">
        <f>$I$51*$M$51</f>
        <v>0</v>
      </c>
      <c r="N123" s="13">
        <f ca="1">$I$51*$N$51</f>
        <v>0</v>
      </c>
      <c r="O123" s="13">
        <f>$I$51*$O$51</f>
        <v>0</v>
      </c>
      <c r="P123" s="13">
        <f>$I$51*$P$51</f>
        <v>0</v>
      </c>
      <c r="Q123" s="13">
        <f>$I$51*$Q$51</f>
        <v>0</v>
      </c>
      <c r="R123" s="13">
        <f>$I$51*$R$51</f>
        <v>0</v>
      </c>
      <c r="S123" s="13">
        <f>$I$51*$S$51</f>
        <v>0</v>
      </c>
      <c r="T123" s="13">
        <f>$I$51*$T$51</f>
        <v>0</v>
      </c>
      <c r="U123" s="13">
        <f>$I$51*$U$51</f>
        <v>0</v>
      </c>
      <c r="V123" s="13">
        <f>$I$51*$V$51</f>
        <v>0</v>
      </c>
      <c r="W123" s="13">
        <f>$I$51*$W$51</f>
        <v>0</v>
      </c>
      <c r="X123" s="13">
        <f>$I$51*$X$51</f>
        <v>0</v>
      </c>
      <c r="Y123" s="13">
        <f>$I$51*$Y$51</f>
        <v>0</v>
      </c>
      <c r="Z123" s="13">
        <f>$I$51*$Z$51</f>
        <v>0</v>
      </c>
      <c r="AA123" s="13">
        <f>$I$51*$AA$51</f>
        <v>0</v>
      </c>
      <c r="AB123" s="13">
        <f ca="1">$I$51*$AB$51</f>
        <v>0</v>
      </c>
      <c r="AC123" s="13">
        <f ca="1">$I$51*$AC$51</f>
        <v>0</v>
      </c>
      <c r="AD123" s="13">
        <f>$I$51*$AD$51</f>
        <v>0</v>
      </c>
      <c r="AE123" s="13">
        <f>$I$51*$AE$51</f>
        <v>0</v>
      </c>
      <c r="AF123" s="13">
        <f ca="1">$I$51*$AF$51</f>
        <v>0</v>
      </c>
      <c r="AG123" s="13">
        <f ca="1">$I$51*$AG$51</f>
        <v>0</v>
      </c>
      <c r="AI123" s="13">
        <f>$I$51*$AI$51</f>
        <v>0</v>
      </c>
      <c r="AJ123" s="13">
        <f>$I$51*$AJ$51</f>
        <v>0</v>
      </c>
      <c r="AK123" s="13">
        <f>$I$51*$AK$51</f>
        <v>0</v>
      </c>
      <c r="AL123" s="13">
        <f>$I$51*$AL$51</f>
        <v>0</v>
      </c>
      <c r="AM123" s="13">
        <f>$I$51*$AM$51</f>
        <v>0</v>
      </c>
      <c r="AN123" s="13">
        <f>$I$51*$AN$51</f>
        <v>0</v>
      </c>
      <c r="AO123" s="13">
        <f>$I$51*$AO$51</f>
        <v>0</v>
      </c>
      <c r="AP123" s="13">
        <f>$I$51*$AP$51</f>
        <v>0</v>
      </c>
      <c r="AQ123" s="13">
        <f>$I$51*$AQ$51</f>
        <v>0</v>
      </c>
      <c r="AR123" s="13">
        <f>$I$51*$AR$51</f>
        <v>0</v>
      </c>
      <c r="AS123" s="13">
        <f>$I$51*$AS$51</f>
        <v>0</v>
      </c>
      <c r="AT123" s="13">
        <f>$I$51*$AT$51</f>
        <v>0</v>
      </c>
      <c r="AU123" s="13">
        <f>$I$51*$AU$51</f>
        <v>0</v>
      </c>
      <c r="AV123" s="13">
        <f>$I$51*$AV$51</f>
        <v>0</v>
      </c>
      <c r="AW123" s="13">
        <f>$I$51*$AW$51</f>
        <v>0</v>
      </c>
      <c r="AX123" s="13">
        <f>$I$51*$AX$51</f>
        <v>0</v>
      </c>
      <c r="AY123" s="13">
        <f>$I$51*$AY$51</f>
        <v>0</v>
      </c>
      <c r="AZ123" s="13">
        <f>$I$51*$AZ$51</f>
        <v>0</v>
      </c>
      <c r="BA123" s="13">
        <f>$I$51*$BA$51</f>
        <v>0</v>
      </c>
      <c r="BB123" s="13">
        <f>$I$51*$BB$51</f>
        <v>0</v>
      </c>
      <c r="BC123" s="13">
        <f>$I$51*$BC$51</f>
        <v>0</v>
      </c>
      <c r="BD123" s="13">
        <f>$I$51*$BD$51</f>
        <v>0</v>
      </c>
    </row>
    <row r="124" spans="1:56" ht="11.25" customHeight="1" x14ac:dyDescent="0.3">
      <c r="A124" s="9" t="s">
        <v>44</v>
      </c>
      <c r="B124" s="9" t="s">
        <v>1209</v>
      </c>
      <c r="C124" s="9" t="s">
        <v>1210</v>
      </c>
      <c r="D124" s="9" t="s">
        <v>1211</v>
      </c>
      <c r="E124" s="9" t="s">
        <v>1212</v>
      </c>
      <c r="F124" s="9" t="s">
        <v>1213</v>
      </c>
      <c r="G124" s="9" t="s">
        <v>1216</v>
      </c>
      <c r="L124" s="13">
        <f>$I$52*$L$52</f>
        <v>0</v>
      </c>
      <c r="M124" s="13">
        <f>$I$52*$M$52</f>
        <v>0</v>
      </c>
      <c r="N124" s="13">
        <f ca="1">$I$52*$N$52</f>
        <v>0</v>
      </c>
      <c r="O124" s="13">
        <f>$I$52*$O$52</f>
        <v>0</v>
      </c>
      <c r="P124" s="13">
        <f>$I$52*$P$52</f>
        <v>0</v>
      </c>
      <c r="Q124" s="13">
        <f>$I$52*$Q$52</f>
        <v>0</v>
      </c>
      <c r="R124" s="13">
        <f>$I$52*$R$52</f>
        <v>0</v>
      </c>
      <c r="S124" s="13">
        <f>$I$52*$S$52</f>
        <v>0</v>
      </c>
      <c r="T124" s="13">
        <f>$I$52*$T$52</f>
        <v>0</v>
      </c>
      <c r="U124" s="13">
        <f>$I$52*$U$52</f>
        <v>0</v>
      </c>
      <c r="V124" s="13">
        <f>$I$52*$V$52</f>
        <v>0</v>
      </c>
      <c r="W124" s="13">
        <f>$I$52*$W$52</f>
        <v>0</v>
      </c>
      <c r="X124" s="13">
        <f>$I$52*$X$52</f>
        <v>0</v>
      </c>
      <c r="Y124" s="13">
        <f>$I$52*$Y$52</f>
        <v>0</v>
      </c>
      <c r="Z124" s="13">
        <f>$I$52*$Z$52</f>
        <v>0</v>
      </c>
      <c r="AA124" s="13">
        <f>$I$52*$AA$52</f>
        <v>0</v>
      </c>
      <c r="AB124" s="13">
        <f ca="1">$I$52*$AB$52</f>
        <v>0</v>
      </c>
      <c r="AC124" s="13">
        <f ca="1">$I$52*$AC$52</f>
        <v>0</v>
      </c>
      <c r="AD124" s="13">
        <f>$I$52*$AD$52</f>
        <v>0</v>
      </c>
      <c r="AE124" s="13">
        <f>$I$52*$AE$52</f>
        <v>0</v>
      </c>
      <c r="AF124" s="13">
        <f ca="1">$I$52*$AF$52</f>
        <v>0</v>
      </c>
      <c r="AG124" s="13">
        <f ca="1">$I$52*$AG$52</f>
        <v>0</v>
      </c>
      <c r="AI124" s="13">
        <f>$I$52*$AI$52</f>
        <v>0</v>
      </c>
      <c r="AJ124" s="13">
        <f>$I$52*$AJ$52</f>
        <v>0</v>
      </c>
      <c r="AK124" s="13">
        <f>$I$52*$AK$52</f>
        <v>0</v>
      </c>
      <c r="AL124" s="13">
        <f>$I$52*$AL$52</f>
        <v>0</v>
      </c>
      <c r="AM124" s="13">
        <f>$I$52*$AM$52</f>
        <v>0</v>
      </c>
      <c r="AN124" s="13">
        <f>$I$52*$AN$52</f>
        <v>0</v>
      </c>
      <c r="AO124" s="13">
        <f>$I$52*$AO$52</f>
        <v>0</v>
      </c>
      <c r="AP124" s="13">
        <f>$I$52*$AP$52</f>
        <v>0</v>
      </c>
      <c r="AQ124" s="13">
        <f>$I$52*$AQ$52</f>
        <v>0</v>
      </c>
      <c r="AR124" s="13">
        <f>$I$52*$AR$52</f>
        <v>0</v>
      </c>
      <c r="AS124" s="13">
        <f>$I$52*$AS$52</f>
        <v>0</v>
      </c>
      <c r="AT124" s="13">
        <f>$I$52*$AT$52</f>
        <v>0</v>
      </c>
      <c r="AU124" s="13">
        <f>$I$52*$AU$52</f>
        <v>0</v>
      </c>
      <c r="AV124" s="13">
        <f>$I$52*$AV$52</f>
        <v>0</v>
      </c>
      <c r="AW124" s="13">
        <f>$I$52*$AW$52</f>
        <v>0</v>
      </c>
      <c r="AX124" s="13">
        <f>$I$52*$AX$52</f>
        <v>0</v>
      </c>
      <c r="AY124" s="13">
        <f>$I$52*$AY$52</f>
        <v>0</v>
      </c>
      <c r="AZ124" s="13">
        <f>$I$52*$AZ$52</f>
        <v>0</v>
      </c>
      <c r="BA124" s="13">
        <f>$I$52*$BA$52</f>
        <v>0</v>
      </c>
      <c r="BB124" s="13">
        <f>$I$52*$BB$52</f>
        <v>0</v>
      </c>
      <c r="BC124" s="13">
        <f>$I$52*$BC$52</f>
        <v>0</v>
      </c>
      <c r="BD124" s="13">
        <f>$I$52*$BD$52</f>
        <v>0</v>
      </c>
    </row>
    <row r="125" spans="1:56" ht="11.25" customHeight="1" x14ac:dyDescent="0.3">
      <c r="A125" s="9" t="s">
        <v>44</v>
      </c>
      <c r="B125" s="9" t="s">
        <v>1217</v>
      </c>
      <c r="C125" s="9" t="s">
        <v>1218</v>
      </c>
      <c r="D125" s="9" t="s">
        <v>1219</v>
      </c>
      <c r="E125" s="9" t="s">
        <v>1220</v>
      </c>
      <c r="F125" s="9" t="s">
        <v>1221</v>
      </c>
      <c r="G125" s="9" t="s">
        <v>1222</v>
      </c>
      <c r="L125" s="13">
        <f>$I$53*$L$53</f>
        <v>23560.198687621072</v>
      </c>
      <c r="M125" s="13">
        <f>$I$53*$M$53</f>
        <v>3401.0537608653394</v>
      </c>
      <c r="N125" s="13">
        <f ca="1">$I$53*$N$53</f>
        <v>16460.992999861723</v>
      </c>
      <c r="O125" s="13">
        <f>$I$53*$O$53</f>
        <v>0</v>
      </c>
      <c r="P125" s="13">
        <f>$I$53*$P$53</f>
        <v>0</v>
      </c>
      <c r="Q125" s="13">
        <f>$I$53*$Q$53</f>
        <v>383653.64162078226</v>
      </c>
      <c r="R125" s="13">
        <f>$I$53*$R$53</f>
        <v>65702.377488533006</v>
      </c>
      <c r="S125" s="13">
        <f>$I$53*$S$53</f>
        <v>0</v>
      </c>
      <c r="T125" s="13">
        <f>$I$53*$T$53</f>
        <v>101212.1766282319</v>
      </c>
      <c r="U125" s="13">
        <f>$I$53*$U$53</f>
        <v>20473.780151517316</v>
      </c>
      <c r="V125" s="13">
        <f>$I$53*$V$53</f>
        <v>2943.2997296628719</v>
      </c>
      <c r="W125" s="13">
        <f>$I$53*$W$53</f>
        <v>0</v>
      </c>
      <c r="X125" s="13">
        <f>$I$53*$X$53</f>
        <v>0</v>
      </c>
      <c r="Y125" s="13">
        <f>$I$53*$Y$53</f>
        <v>0</v>
      </c>
      <c r="Z125" s="13">
        <f>$I$53*$Z$53</f>
        <v>0</v>
      </c>
      <c r="AA125" s="13">
        <f>$I$53*$AA$53</f>
        <v>659198.24998358416</v>
      </c>
      <c r="AB125" s="13">
        <f ca="1">$I$53*$AB$53</f>
        <v>0</v>
      </c>
      <c r="AC125" s="13">
        <f ca="1">$I$53*$AC$53</f>
        <v>0</v>
      </c>
      <c r="AD125" s="13">
        <f>$I$53*$AD$53</f>
        <v>108107.14521605737</v>
      </c>
      <c r="AE125" s="13">
        <f>$I$53*$AE$53</f>
        <v>1873.6139026841565</v>
      </c>
      <c r="AF125" s="13">
        <f ca="1">$I$53*$AF$53</f>
        <v>7463.0809402954264</v>
      </c>
      <c r="AG125" s="13">
        <f ca="1">$I$53*$AG$53</f>
        <v>1034.6764639753546</v>
      </c>
      <c r="AI125" s="13">
        <f>$I$53*$AI$53</f>
        <v>22363.483182595763</v>
      </c>
      <c r="AJ125" s="13">
        <f>$I$53*$AJ$53</f>
        <v>2795.2958338137278</v>
      </c>
      <c r="AK125" s="13">
        <f>$I$53*$AK$53</f>
        <v>11951.461413132847</v>
      </c>
      <c r="AL125" s="13">
        <f>$I$53*$AL$53</f>
        <v>0</v>
      </c>
      <c r="AM125" s="13">
        <f>$I$53*$AM$53</f>
        <v>0</v>
      </c>
      <c r="AN125" s="13">
        <f>$I$53*$AN$53</f>
        <v>191290.82205655819</v>
      </c>
      <c r="AO125" s="13">
        <f>$I$53*$AO$53</f>
        <v>33463.553070458904</v>
      </c>
      <c r="AP125" s="13">
        <f>$I$53*$AP$53</f>
        <v>0</v>
      </c>
      <c r="AQ125" s="13">
        <f>$I$53*$AQ$53</f>
        <v>78576.739930763943</v>
      </c>
      <c r="AR125" s="13">
        <f>$I$53*$AR$53</f>
        <v>22663.018043157113</v>
      </c>
      <c r="AS125" s="13">
        <f>$I$53*$AS$53</f>
        <v>265.62446436685457</v>
      </c>
      <c r="AT125" s="13">
        <f>$I$53*$AT$53</f>
        <v>0</v>
      </c>
      <c r="AU125" s="13">
        <f>$I$53*$AU$53</f>
        <v>0</v>
      </c>
      <c r="AV125" s="13">
        <f>$I$53*$AV$53</f>
        <v>0</v>
      </c>
      <c r="AW125" s="13">
        <f>$I$53*$AW$53</f>
        <v>0</v>
      </c>
      <c r="AX125" s="13">
        <f>$I$53*$AX$53</f>
        <v>539263.68225802272</v>
      </c>
      <c r="AY125" s="13">
        <f>$I$53*$AY$53</f>
        <v>0</v>
      </c>
      <c r="AZ125" s="13">
        <f>$I$53*$AZ$53</f>
        <v>0</v>
      </c>
      <c r="BA125" s="13">
        <f>$I$53*$BA$53</f>
        <v>85447.756785399833</v>
      </c>
      <c r="BB125" s="13">
        <f>$I$53*$BB$53</f>
        <v>1733.5400350867715</v>
      </c>
      <c r="BC125" s="13">
        <f>$I$53*$BC$53</f>
        <v>6366.6118978672494</v>
      </c>
      <c r="BD125" s="13">
        <f>$I$53*$BD$53</f>
        <v>1061.6599822261298</v>
      </c>
    </row>
    <row r="126" spans="1:56" ht="11.25" customHeight="1" x14ac:dyDescent="0.3">
      <c r="A126" s="9" t="s">
        <v>44</v>
      </c>
      <c r="B126" s="9" t="s">
        <v>1209</v>
      </c>
      <c r="C126" s="9" t="s">
        <v>1210</v>
      </c>
      <c r="D126" s="9" t="s">
        <v>1223</v>
      </c>
      <c r="E126" s="9" t="s">
        <v>1224</v>
      </c>
      <c r="F126" s="9" t="s">
        <v>1225</v>
      </c>
      <c r="G126" s="9" t="s">
        <v>1226</v>
      </c>
      <c r="L126" s="13">
        <f>$I$54*$L$54</f>
        <v>0</v>
      </c>
      <c r="M126" s="13">
        <f>$I$54*$M$54</f>
        <v>0</v>
      </c>
      <c r="N126" s="13">
        <f ca="1">$I$54*$N$54</f>
        <v>0</v>
      </c>
      <c r="O126" s="13">
        <f>$I$54*$O$54</f>
        <v>0</v>
      </c>
      <c r="P126" s="13">
        <f>$I$54*$P$54</f>
        <v>0</v>
      </c>
      <c r="Q126" s="13">
        <f>$I$54*$Q$54</f>
        <v>0</v>
      </c>
      <c r="R126" s="13">
        <f>$I$54*$R$54</f>
        <v>0</v>
      </c>
      <c r="S126" s="13">
        <f>$I$54*$S$54</f>
        <v>0</v>
      </c>
      <c r="T126" s="13">
        <f>$I$54*$T$54</f>
        <v>0</v>
      </c>
      <c r="U126" s="13">
        <f>$I$54*$U$54</f>
        <v>0</v>
      </c>
      <c r="V126" s="13">
        <f>$I$54*$V$54</f>
        <v>0</v>
      </c>
      <c r="W126" s="13">
        <f>$I$54*$W$54</f>
        <v>0</v>
      </c>
      <c r="X126" s="13">
        <f>$I$54*$X$54</f>
        <v>0</v>
      </c>
      <c r="Y126" s="13">
        <f>$I$54*$Y$54</f>
        <v>0</v>
      </c>
      <c r="Z126" s="13">
        <f>$I$54*$Z$54</f>
        <v>0</v>
      </c>
      <c r="AA126" s="13">
        <f>$I$54*$AA$54</f>
        <v>0</v>
      </c>
      <c r="AB126" s="13">
        <f ca="1">$I$54*$AB$54</f>
        <v>0</v>
      </c>
      <c r="AC126" s="13">
        <f ca="1">$I$54*$AC$54</f>
        <v>0</v>
      </c>
      <c r="AD126" s="13">
        <f>$I$54*$AD$54</f>
        <v>0</v>
      </c>
      <c r="AE126" s="13">
        <f>$I$54*$AE$54</f>
        <v>0</v>
      </c>
      <c r="AF126" s="13">
        <f ca="1">$I$54*$AF$54</f>
        <v>0</v>
      </c>
      <c r="AG126" s="13">
        <f ca="1">$I$54*$AG$54</f>
        <v>0</v>
      </c>
      <c r="AI126" s="13">
        <f>$I$54*$AI$54</f>
        <v>0</v>
      </c>
      <c r="AJ126" s="13">
        <f>$I$54*$AJ$54</f>
        <v>0</v>
      </c>
      <c r="AK126" s="13">
        <f>$I$54*$AK$54</f>
        <v>0</v>
      </c>
      <c r="AL126" s="13">
        <f>$I$54*$AL$54</f>
        <v>0</v>
      </c>
      <c r="AM126" s="13">
        <f>$I$54*$AM$54</f>
        <v>0</v>
      </c>
      <c r="AN126" s="13">
        <f>$I$54*$AN$54</f>
        <v>0</v>
      </c>
      <c r="AO126" s="13">
        <f>$I$54*$AO$54</f>
        <v>0</v>
      </c>
      <c r="AP126" s="13">
        <f>$I$54*$AP$54</f>
        <v>0</v>
      </c>
      <c r="AQ126" s="13">
        <f>$I$54*$AQ$54</f>
        <v>0</v>
      </c>
      <c r="AR126" s="13">
        <f>$I$54*$AR$54</f>
        <v>0</v>
      </c>
      <c r="AS126" s="13">
        <f>$I$54*$AS$54</f>
        <v>0</v>
      </c>
      <c r="AT126" s="13">
        <f>$I$54*$AT$54</f>
        <v>0</v>
      </c>
      <c r="AU126" s="13">
        <f>$I$54*$AU$54</f>
        <v>0</v>
      </c>
      <c r="AV126" s="13">
        <f>$I$54*$AV$54</f>
        <v>0</v>
      </c>
      <c r="AW126" s="13">
        <f>$I$54*$AW$54</f>
        <v>0</v>
      </c>
      <c r="AX126" s="13">
        <f>$I$54*$AX$54</f>
        <v>0</v>
      </c>
      <c r="AY126" s="13">
        <f>$I$54*$AY$54</f>
        <v>0</v>
      </c>
      <c r="AZ126" s="13">
        <f>$I$54*$AZ$54</f>
        <v>0</v>
      </c>
      <c r="BA126" s="13">
        <f>$I$54*$BA$54</f>
        <v>0</v>
      </c>
      <c r="BB126" s="13">
        <f>$I$54*$BB$54</f>
        <v>0</v>
      </c>
      <c r="BC126" s="13">
        <f>$I$54*$BC$54</f>
        <v>0</v>
      </c>
      <c r="BD126" s="13">
        <f>$I$54*$BD$54</f>
        <v>0</v>
      </c>
    </row>
    <row r="127" spans="1:56" ht="11.25" customHeight="1" x14ac:dyDescent="0.3">
      <c r="A127" s="9" t="s">
        <v>44</v>
      </c>
      <c r="B127" s="9" t="s">
        <v>1209</v>
      </c>
      <c r="C127" s="9" t="s">
        <v>1210</v>
      </c>
      <c r="D127" s="9" t="s">
        <v>1223</v>
      </c>
      <c r="E127" s="9" t="s">
        <v>1224</v>
      </c>
      <c r="F127" s="9" t="s">
        <v>1225</v>
      </c>
      <c r="G127" s="9" t="s">
        <v>1227</v>
      </c>
      <c r="L127" s="13">
        <f>$I$55*$L$55</f>
        <v>0</v>
      </c>
      <c r="M127" s="13">
        <f>$I$55*$M$55</f>
        <v>0</v>
      </c>
      <c r="N127" s="13">
        <f ca="1">$I$55*$N$55</f>
        <v>0</v>
      </c>
      <c r="O127" s="13">
        <f>$I$55*$O$55</f>
        <v>0</v>
      </c>
      <c r="P127" s="13">
        <f>$I$55*$P$55</f>
        <v>0</v>
      </c>
      <c r="Q127" s="13">
        <f>$I$55*$Q$55</f>
        <v>0</v>
      </c>
      <c r="R127" s="13">
        <f>$I$55*$R$55</f>
        <v>0</v>
      </c>
      <c r="S127" s="13">
        <f>$I$55*$S$55</f>
        <v>0</v>
      </c>
      <c r="T127" s="13">
        <f>$I$55*$T$55</f>
        <v>0</v>
      </c>
      <c r="U127" s="13">
        <f>$I$55*$U$55</f>
        <v>0</v>
      </c>
      <c r="V127" s="13">
        <f>$I$55*$V$55</f>
        <v>0</v>
      </c>
      <c r="W127" s="13">
        <f>$I$55*$W$55</f>
        <v>0</v>
      </c>
      <c r="X127" s="13">
        <f>$I$55*$X$55</f>
        <v>0</v>
      </c>
      <c r="Y127" s="13">
        <f>$I$55*$Y$55</f>
        <v>0</v>
      </c>
      <c r="Z127" s="13">
        <f>$I$55*$Z$55</f>
        <v>0</v>
      </c>
      <c r="AA127" s="13">
        <f>$I$55*$AA$55</f>
        <v>0</v>
      </c>
      <c r="AB127" s="13">
        <f ca="1">$I$55*$AB$55</f>
        <v>0</v>
      </c>
      <c r="AC127" s="13">
        <f ca="1">$I$55*$AC$55</f>
        <v>0</v>
      </c>
      <c r="AD127" s="13">
        <f>$I$55*$AD$55</f>
        <v>0</v>
      </c>
      <c r="AE127" s="13">
        <f>$I$55*$AE$55</f>
        <v>0</v>
      </c>
      <c r="AF127" s="13">
        <f ca="1">$I$55*$AF$55</f>
        <v>0</v>
      </c>
      <c r="AG127" s="13">
        <f ca="1">$I$55*$AG$55</f>
        <v>0</v>
      </c>
      <c r="AI127" s="13">
        <f>$I$55*$AI$55</f>
        <v>0</v>
      </c>
      <c r="AJ127" s="13">
        <f>$I$55*$AJ$55</f>
        <v>0</v>
      </c>
      <c r="AK127" s="13">
        <f>$I$55*$AK$55</f>
        <v>0</v>
      </c>
      <c r="AL127" s="13">
        <f>$I$55*$AL$55</f>
        <v>0</v>
      </c>
      <c r="AM127" s="13">
        <f>$I$55*$AM$55</f>
        <v>0</v>
      </c>
      <c r="AN127" s="13">
        <f>$I$55*$AN$55</f>
        <v>0</v>
      </c>
      <c r="AO127" s="13">
        <f>$I$55*$AO$55</f>
        <v>0</v>
      </c>
      <c r="AP127" s="13">
        <f>$I$55*$AP$55</f>
        <v>0</v>
      </c>
      <c r="AQ127" s="13">
        <f>$I$55*$AQ$55</f>
        <v>0</v>
      </c>
      <c r="AR127" s="13">
        <f>$I$55*$AR$55</f>
        <v>0</v>
      </c>
      <c r="AS127" s="13">
        <f>$I$55*$AS$55</f>
        <v>0</v>
      </c>
      <c r="AT127" s="13">
        <f>$I$55*$AT$55</f>
        <v>0</v>
      </c>
      <c r="AU127" s="13">
        <f>$I$55*$AU$55</f>
        <v>0</v>
      </c>
      <c r="AV127" s="13">
        <f>$I$55*$AV$55</f>
        <v>0</v>
      </c>
      <c r="AW127" s="13">
        <f>$I$55*$AW$55</f>
        <v>0</v>
      </c>
      <c r="AX127" s="13">
        <f>$I$55*$AX$55</f>
        <v>0</v>
      </c>
      <c r="AY127" s="13">
        <f>$I$55*$AY$55</f>
        <v>0</v>
      </c>
      <c r="AZ127" s="13">
        <f>$I$55*$AZ$55</f>
        <v>0</v>
      </c>
      <c r="BA127" s="13">
        <f>$I$55*$BA$55</f>
        <v>0</v>
      </c>
      <c r="BB127" s="13">
        <f>$I$55*$BB$55</f>
        <v>0</v>
      </c>
      <c r="BC127" s="13">
        <f>$I$55*$BC$55</f>
        <v>0</v>
      </c>
      <c r="BD127" s="13">
        <f>$I$55*$BD$55</f>
        <v>0</v>
      </c>
    </row>
    <row r="128" spans="1:56" ht="11.25" customHeight="1" x14ac:dyDescent="0.3">
      <c r="A128" s="9" t="s">
        <v>44</v>
      </c>
      <c r="B128" s="9" t="s">
        <v>1209</v>
      </c>
      <c r="C128" s="9" t="s">
        <v>1210</v>
      </c>
      <c r="D128" s="9" t="s">
        <v>1223</v>
      </c>
      <c r="E128" s="9" t="s">
        <v>1224</v>
      </c>
      <c r="F128" s="9" t="s">
        <v>1225</v>
      </c>
      <c r="G128" s="9" t="s">
        <v>1228</v>
      </c>
      <c r="L128" s="13">
        <f>$I$56*$L$56</f>
        <v>0</v>
      </c>
      <c r="M128" s="13">
        <f>$I$56*$M$56</f>
        <v>0</v>
      </c>
      <c r="N128" s="13">
        <f ca="1">$I$56*$N$56</f>
        <v>0</v>
      </c>
      <c r="O128" s="13">
        <f>$I$56*$O$56</f>
        <v>0</v>
      </c>
      <c r="P128" s="13">
        <f>$I$56*$P$56</f>
        <v>0</v>
      </c>
      <c r="Q128" s="13">
        <f>$I$56*$Q$56</f>
        <v>0</v>
      </c>
      <c r="R128" s="13">
        <f>$I$56*$R$56</f>
        <v>0</v>
      </c>
      <c r="S128" s="13">
        <f>$I$56*$S$56</f>
        <v>0</v>
      </c>
      <c r="T128" s="13">
        <f>$I$56*$T$56</f>
        <v>0</v>
      </c>
      <c r="U128" s="13">
        <f>$I$56*$U$56</f>
        <v>0</v>
      </c>
      <c r="V128" s="13">
        <f>$I$56*$V$56</f>
        <v>0</v>
      </c>
      <c r="W128" s="13">
        <f>$I$56*$W$56</f>
        <v>0</v>
      </c>
      <c r="X128" s="13">
        <f>$I$56*$X$56</f>
        <v>0</v>
      </c>
      <c r="Y128" s="13">
        <f>$I$56*$Y$56</f>
        <v>0</v>
      </c>
      <c r="Z128" s="13">
        <f>$I$56*$Z$56</f>
        <v>0</v>
      </c>
      <c r="AA128" s="13">
        <f>$I$56*$AA$56</f>
        <v>0</v>
      </c>
      <c r="AB128" s="13">
        <f ca="1">$I$56*$AB$56</f>
        <v>0</v>
      </c>
      <c r="AC128" s="13">
        <f ca="1">$I$56*$AC$56</f>
        <v>0</v>
      </c>
      <c r="AD128" s="13">
        <f>$I$56*$AD$56</f>
        <v>0</v>
      </c>
      <c r="AE128" s="13">
        <f>$I$56*$AE$56</f>
        <v>0</v>
      </c>
      <c r="AF128" s="13">
        <f ca="1">$I$56*$AF$56</f>
        <v>0</v>
      </c>
      <c r="AG128" s="13">
        <f ca="1">$I$56*$AG$56</f>
        <v>0</v>
      </c>
      <c r="AI128" s="13">
        <f>$I$56*$AI$56</f>
        <v>0</v>
      </c>
      <c r="AJ128" s="13">
        <f>$I$56*$AJ$56</f>
        <v>0</v>
      </c>
      <c r="AK128" s="13">
        <f>$I$56*$AK$56</f>
        <v>0</v>
      </c>
      <c r="AL128" s="13">
        <f>$I$56*$AL$56</f>
        <v>0</v>
      </c>
      <c r="AM128" s="13">
        <f>$I$56*$AM$56</f>
        <v>0</v>
      </c>
      <c r="AN128" s="13">
        <f>$I$56*$AN$56</f>
        <v>0</v>
      </c>
      <c r="AO128" s="13">
        <f>$I$56*$AO$56</f>
        <v>0</v>
      </c>
      <c r="AP128" s="13">
        <f>$I$56*$AP$56</f>
        <v>0</v>
      </c>
      <c r="AQ128" s="13">
        <f>$I$56*$AQ$56</f>
        <v>0</v>
      </c>
      <c r="AR128" s="13">
        <f>$I$56*$AR$56</f>
        <v>0</v>
      </c>
      <c r="AS128" s="13">
        <f>$I$56*$AS$56</f>
        <v>0</v>
      </c>
      <c r="AT128" s="13">
        <f>$I$56*$AT$56</f>
        <v>0</v>
      </c>
      <c r="AU128" s="13">
        <f>$I$56*$AU$56</f>
        <v>0</v>
      </c>
      <c r="AV128" s="13">
        <f>$I$56*$AV$56</f>
        <v>0</v>
      </c>
      <c r="AW128" s="13">
        <f>$I$56*$AW$56</f>
        <v>0</v>
      </c>
      <c r="AX128" s="13">
        <f>$I$56*$AX$56</f>
        <v>0</v>
      </c>
      <c r="AY128" s="13">
        <f>$I$56*$AY$56</f>
        <v>0</v>
      </c>
      <c r="AZ128" s="13">
        <f>$I$56*$AZ$56</f>
        <v>0</v>
      </c>
      <c r="BA128" s="13">
        <f>$I$56*$BA$56</f>
        <v>0</v>
      </c>
      <c r="BB128" s="13">
        <f>$I$56*$BB$56</f>
        <v>0</v>
      </c>
      <c r="BC128" s="13">
        <f>$I$56*$BC$56</f>
        <v>0</v>
      </c>
      <c r="BD128" s="13">
        <f>$I$56*$BD$56</f>
        <v>0</v>
      </c>
    </row>
    <row r="129" spans="1:56" ht="11.25" customHeight="1" x14ac:dyDescent="0.3">
      <c r="A129" s="9" t="s">
        <v>44</v>
      </c>
      <c r="B129" s="9" t="s">
        <v>1217</v>
      </c>
      <c r="C129" s="9" t="s">
        <v>1218</v>
      </c>
      <c r="D129" s="9" t="s">
        <v>1229</v>
      </c>
      <c r="E129" s="9" t="s">
        <v>1230</v>
      </c>
      <c r="F129" s="9" t="s">
        <v>1231</v>
      </c>
      <c r="G129" s="9" t="s">
        <v>1232</v>
      </c>
      <c r="L129" s="13">
        <f>$I$57*$L$57</f>
        <v>0</v>
      </c>
      <c r="M129" s="13">
        <f>$I$57*$M$57</f>
        <v>0</v>
      </c>
      <c r="N129" s="13">
        <f ca="1">$I$57*$N$57</f>
        <v>0</v>
      </c>
      <c r="O129" s="13">
        <f>$I$57*$O$57</f>
        <v>0</v>
      </c>
      <c r="P129" s="13">
        <f>$I$57*$P$57</f>
        <v>0</v>
      </c>
      <c r="Q129" s="13">
        <f>$I$57*$Q$57</f>
        <v>0</v>
      </c>
      <c r="R129" s="13">
        <f>$I$57*$R$57</f>
        <v>0</v>
      </c>
      <c r="S129" s="13">
        <f>$I$57*$S$57</f>
        <v>0</v>
      </c>
      <c r="T129" s="13">
        <f>$I$57*$T$57</f>
        <v>0</v>
      </c>
      <c r="U129" s="13">
        <f>$I$57*$U$57</f>
        <v>0</v>
      </c>
      <c r="V129" s="13">
        <f>$I$57*$V$57</f>
        <v>0</v>
      </c>
      <c r="W129" s="13">
        <f>$I$57*$W$57</f>
        <v>0</v>
      </c>
      <c r="X129" s="13">
        <f>$I$57*$X$57</f>
        <v>0</v>
      </c>
      <c r="Y129" s="13">
        <f>$I$57*$Y$57</f>
        <v>0</v>
      </c>
      <c r="Z129" s="13">
        <f>$I$57*$Z$57</f>
        <v>0</v>
      </c>
      <c r="AA129" s="13">
        <f>$I$57*$AA$57</f>
        <v>0</v>
      </c>
      <c r="AB129" s="13">
        <f ca="1">$I$57*$AB$57</f>
        <v>0</v>
      </c>
      <c r="AC129" s="13">
        <f ca="1">$I$57*$AC$57</f>
        <v>0</v>
      </c>
      <c r="AD129" s="13">
        <f>$I$57*$AD$57</f>
        <v>0</v>
      </c>
      <c r="AE129" s="13">
        <f>$I$57*$AE$57</f>
        <v>0</v>
      </c>
      <c r="AF129" s="13">
        <f ca="1">$I$57*$AF$57</f>
        <v>0</v>
      </c>
      <c r="AG129" s="13">
        <f ca="1">$I$57*$AG$57</f>
        <v>0</v>
      </c>
      <c r="AI129" s="13">
        <f>$I$57*$AI$57</f>
        <v>0</v>
      </c>
      <c r="AJ129" s="13">
        <f>$I$57*$AJ$57</f>
        <v>0</v>
      </c>
      <c r="AK129" s="13">
        <f>$I$57*$AK$57</f>
        <v>0</v>
      </c>
      <c r="AL129" s="13">
        <f>$I$57*$AL$57</f>
        <v>0</v>
      </c>
      <c r="AM129" s="13">
        <f>$I$57*$AM$57</f>
        <v>0</v>
      </c>
      <c r="AN129" s="13">
        <f>$I$57*$AN$57</f>
        <v>0</v>
      </c>
      <c r="AO129" s="13">
        <f>$I$57*$AO$57</f>
        <v>0</v>
      </c>
      <c r="AP129" s="13">
        <f>$I$57*$AP$57</f>
        <v>0</v>
      </c>
      <c r="AQ129" s="13">
        <f>$I$57*$AQ$57</f>
        <v>0</v>
      </c>
      <c r="AR129" s="13">
        <f>$I$57*$AR$57</f>
        <v>0</v>
      </c>
      <c r="AS129" s="13">
        <f>$I$57*$AS$57</f>
        <v>0</v>
      </c>
      <c r="AT129" s="13">
        <f>$I$57*$AT$57</f>
        <v>0</v>
      </c>
      <c r="AU129" s="13">
        <f>$I$57*$AU$57</f>
        <v>0</v>
      </c>
      <c r="AV129" s="13">
        <f>$I$57*$AV$57</f>
        <v>0</v>
      </c>
      <c r="AW129" s="13">
        <f>$I$57*$AW$57</f>
        <v>0</v>
      </c>
      <c r="AX129" s="13">
        <f>$I$57*$AX$57</f>
        <v>0</v>
      </c>
      <c r="AY129" s="13">
        <f>$I$57*$AY$57</f>
        <v>0</v>
      </c>
      <c r="AZ129" s="13">
        <f>$I$57*$AZ$57</f>
        <v>0</v>
      </c>
      <c r="BA129" s="13">
        <f>$I$57*$BA$57</f>
        <v>0</v>
      </c>
      <c r="BB129" s="13">
        <f>$I$57*$BB$57</f>
        <v>0</v>
      </c>
      <c r="BC129" s="13">
        <f>$I$57*$BC$57</f>
        <v>0</v>
      </c>
      <c r="BD129" s="13">
        <f>$I$57*$BD$57</f>
        <v>0</v>
      </c>
    </row>
    <row r="130" spans="1:56" ht="11.25" customHeight="1" x14ac:dyDescent="0.3">
      <c r="A130" s="9" t="s">
        <v>44</v>
      </c>
      <c r="B130" s="9" t="s">
        <v>1209</v>
      </c>
      <c r="C130" s="9" t="s">
        <v>1210</v>
      </c>
      <c r="D130" s="9" t="s">
        <v>1233</v>
      </c>
      <c r="E130" s="9" t="s">
        <v>1234</v>
      </c>
      <c r="F130" s="9" t="s">
        <v>1235</v>
      </c>
      <c r="G130" s="9" t="s">
        <v>1236</v>
      </c>
      <c r="L130" s="13">
        <f>$I$58*$L$58</f>
        <v>0</v>
      </c>
      <c r="M130" s="13">
        <f>$I$58*$M$58</f>
        <v>0</v>
      </c>
      <c r="N130" s="13">
        <f ca="1">$I$58*$N$58</f>
        <v>0</v>
      </c>
      <c r="O130" s="13">
        <f>$I$58*$O$58</f>
        <v>0</v>
      </c>
      <c r="P130" s="13">
        <f>$I$58*$P$58</f>
        <v>0</v>
      </c>
      <c r="Q130" s="13">
        <f>$I$58*$Q$58</f>
        <v>0</v>
      </c>
      <c r="R130" s="13">
        <f>$I$58*$R$58</f>
        <v>0</v>
      </c>
      <c r="S130" s="13">
        <f>$I$58*$S$58</f>
        <v>0</v>
      </c>
      <c r="T130" s="13">
        <f>$I$58*$T$58</f>
        <v>0</v>
      </c>
      <c r="U130" s="13">
        <f>$I$58*$U$58</f>
        <v>0</v>
      </c>
      <c r="V130" s="13">
        <f>$I$58*$V$58</f>
        <v>0</v>
      </c>
      <c r="W130" s="13">
        <f>$I$58*$W$58</f>
        <v>0</v>
      </c>
      <c r="X130" s="13">
        <f>$I$58*$X$58</f>
        <v>0</v>
      </c>
      <c r="Y130" s="13">
        <f>$I$58*$Y$58</f>
        <v>0</v>
      </c>
      <c r="Z130" s="13">
        <f>$I$58*$Z$58</f>
        <v>0</v>
      </c>
      <c r="AA130" s="13">
        <f>$I$58*$AA$58</f>
        <v>0</v>
      </c>
      <c r="AB130" s="13">
        <f ca="1">$I$58*$AB$58</f>
        <v>0</v>
      </c>
      <c r="AC130" s="13">
        <f ca="1">$I$58*$AC$58</f>
        <v>0</v>
      </c>
      <c r="AD130" s="13">
        <f>$I$58*$AD$58</f>
        <v>0</v>
      </c>
      <c r="AE130" s="13">
        <f>$I$58*$AE$58</f>
        <v>0</v>
      </c>
      <c r="AF130" s="13">
        <f ca="1">$I$58*$AF$58</f>
        <v>0</v>
      </c>
      <c r="AG130" s="13">
        <f ca="1">$I$58*$AG$58</f>
        <v>0</v>
      </c>
      <c r="AI130" s="13">
        <f>$I$58*$AI$58</f>
        <v>0</v>
      </c>
      <c r="AJ130" s="13">
        <f>$I$58*$AJ$58</f>
        <v>0</v>
      </c>
      <c r="AK130" s="13">
        <f>$I$58*$AK$58</f>
        <v>0</v>
      </c>
      <c r="AL130" s="13">
        <f>$I$58*$AL$58</f>
        <v>0</v>
      </c>
      <c r="AM130" s="13">
        <f>$I$58*$AM$58</f>
        <v>0</v>
      </c>
      <c r="AN130" s="13">
        <f>$I$58*$AN$58</f>
        <v>0</v>
      </c>
      <c r="AO130" s="13">
        <f>$I$58*$AO$58</f>
        <v>0</v>
      </c>
      <c r="AP130" s="13">
        <f>$I$58*$AP$58</f>
        <v>0</v>
      </c>
      <c r="AQ130" s="13">
        <f>$I$58*$AQ$58</f>
        <v>0</v>
      </c>
      <c r="AR130" s="13">
        <f>$I$58*$AR$58</f>
        <v>0</v>
      </c>
      <c r="AS130" s="13">
        <f>$I$58*$AS$58</f>
        <v>0</v>
      </c>
      <c r="AT130" s="13">
        <f>$I$58*$AT$58</f>
        <v>0</v>
      </c>
      <c r="AU130" s="13">
        <f>$I$58*$AU$58</f>
        <v>0</v>
      </c>
      <c r="AV130" s="13">
        <f>$I$58*$AV$58</f>
        <v>0</v>
      </c>
      <c r="AW130" s="13">
        <f>$I$58*$AW$58</f>
        <v>0</v>
      </c>
      <c r="AX130" s="13">
        <f>$I$58*$AX$58</f>
        <v>0</v>
      </c>
      <c r="AY130" s="13">
        <f>$I$58*$AY$58</f>
        <v>0</v>
      </c>
      <c r="AZ130" s="13">
        <f>$I$58*$AZ$58</f>
        <v>0</v>
      </c>
      <c r="BA130" s="13">
        <f>$I$58*$BA$58</f>
        <v>0</v>
      </c>
      <c r="BB130" s="13">
        <f>$I$58*$BB$58</f>
        <v>0</v>
      </c>
      <c r="BC130" s="13">
        <f>$I$58*$BC$58</f>
        <v>0</v>
      </c>
      <c r="BD130" s="13">
        <f>$I$58*$BD$58</f>
        <v>0</v>
      </c>
    </row>
    <row r="131" spans="1:56" ht="11.25" customHeight="1" x14ac:dyDescent="0.3">
      <c r="A131" s="9" t="s">
        <v>44</v>
      </c>
      <c r="B131" s="9" t="s">
        <v>1209</v>
      </c>
      <c r="C131" s="9" t="s">
        <v>1210</v>
      </c>
      <c r="D131" s="9" t="s">
        <v>1233</v>
      </c>
      <c r="E131" s="9" t="s">
        <v>1234</v>
      </c>
      <c r="F131" s="9" t="s">
        <v>1235</v>
      </c>
      <c r="G131" s="9" t="s">
        <v>1237</v>
      </c>
      <c r="L131" s="13">
        <f>$I$59*$L$59</f>
        <v>0</v>
      </c>
      <c r="M131" s="13">
        <f>$I$59*$M$59</f>
        <v>0</v>
      </c>
      <c r="N131" s="13">
        <f ca="1">$I$59*$N$59</f>
        <v>0</v>
      </c>
      <c r="O131" s="13">
        <f>$I$59*$O$59</f>
        <v>0</v>
      </c>
      <c r="P131" s="13">
        <f>$I$59*$P$59</f>
        <v>0</v>
      </c>
      <c r="Q131" s="13">
        <f>$I$59*$Q$59</f>
        <v>0</v>
      </c>
      <c r="R131" s="13">
        <f>$I$59*$R$59</f>
        <v>0</v>
      </c>
      <c r="S131" s="13">
        <f>$I$59*$S$59</f>
        <v>0</v>
      </c>
      <c r="T131" s="13">
        <f>$I$59*$T$59</f>
        <v>0</v>
      </c>
      <c r="U131" s="13">
        <f>$I$59*$U$59</f>
        <v>0</v>
      </c>
      <c r="V131" s="13">
        <f>$I$59*$V$59</f>
        <v>0</v>
      </c>
      <c r="W131" s="13">
        <f>$I$59*$W$59</f>
        <v>0</v>
      </c>
      <c r="X131" s="13">
        <f>$I$59*$X$59</f>
        <v>0</v>
      </c>
      <c r="Y131" s="13">
        <f>$I$59*$Y$59</f>
        <v>0</v>
      </c>
      <c r="Z131" s="13">
        <f>$I$59*$Z$59</f>
        <v>0</v>
      </c>
      <c r="AA131" s="13">
        <f>$I$59*$AA$59</f>
        <v>0</v>
      </c>
      <c r="AB131" s="13">
        <f ca="1">$I$59*$AB$59</f>
        <v>0</v>
      </c>
      <c r="AC131" s="13">
        <f ca="1">$I$59*$AC$59</f>
        <v>0</v>
      </c>
      <c r="AD131" s="13">
        <f>$I$59*$AD$59</f>
        <v>0</v>
      </c>
      <c r="AE131" s="13">
        <f>$I$59*$AE$59</f>
        <v>0</v>
      </c>
      <c r="AF131" s="13">
        <f ca="1">$I$59*$AF$59</f>
        <v>0</v>
      </c>
      <c r="AG131" s="13">
        <f ca="1">$I$59*$AG$59</f>
        <v>0</v>
      </c>
      <c r="AI131" s="13">
        <f>$I$59*$AI$59</f>
        <v>0</v>
      </c>
      <c r="AJ131" s="13">
        <f>$I$59*$AJ$59</f>
        <v>0</v>
      </c>
      <c r="AK131" s="13">
        <f>$I$59*$AK$59</f>
        <v>0</v>
      </c>
      <c r="AL131" s="13">
        <f>$I$59*$AL$59</f>
        <v>0</v>
      </c>
      <c r="AM131" s="13">
        <f>$I$59*$AM$59</f>
        <v>0</v>
      </c>
      <c r="AN131" s="13">
        <f>$I$59*$AN$59</f>
        <v>0</v>
      </c>
      <c r="AO131" s="13">
        <f>$I$59*$AO$59</f>
        <v>0</v>
      </c>
      <c r="AP131" s="13">
        <f>$I$59*$AP$59</f>
        <v>0</v>
      </c>
      <c r="AQ131" s="13">
        <f>$I$59*$AQ$59</f>
        <v>0</v>
      </c>
      <c r="AR131" s="13">
        <f>$I$59*$AR$59</f>
        <v>0</v>
      </c>
      <c r="AS131" s="13">
        <f>$I$59*$AS$59</f>
        <v>0</v>
      </c>
      <c r="AT131" s="13">
        <f>$I$59*$AT$59</f>
        <v>0</v>
      </c>
      <c r="AU131" s="13">
        <f>$I$59*$AU$59</f>
        <v>0</v>
      </c>
      <c r="AV131" s="13">
        <f>$I$59*$AV$59</f>
        <v>0</v>
      </c>
      <c r="AW131" s="13">
        <f>$I$59*$AW$59</f>
        <v>0</v>
      </c>
      <c r="AX131" s="13">
        <f>$I$59*$AX$59</f>
        <v>0</v>
      </c>
      <c r="AY131" s="13">
        <f>$I$59*$AY$59</f>
        <v>0</v>
      </c>
      <c r="AZ131" s="13">
        <f>$I$59*$AZ$59</f>
        <v>0</v>
      </c>
      <c r="BA131" s="13">
        <f>$I$59*$BA$59</f>
        <v>0</v>
      </c>
      <c r="BB131" s="13">
        <f>$I$59*$BB$59</f>
        <v>0</v>
      </c>
      <c r="BC131" s="13">
        <f>$I$59*$BC$59</f>
        <v>0</v>
      </c>
      <c r="BD131" s="13">
        <f>$I$59*$BD$59</f>
        <v>0</v>
      </c>
    </row>
    <row r="132" spans="1:56" ht="11.25" customHeight="1" x14ac:dyDescent="0.3">
      <c r="A132" s="9" t="s">
        <v>44</v>
      </c>
      <c r="B132" s="9" t="s">
        <v>1209</v>
      </c>
      <c r="C132" s="9" t="s">
        <v>1210</v>
      </c>
      <c r="D132" s="9" t="s">
        <v>1233</v>
      </c>
      <c r="E132" s="9" t="s">
        <v>1234</v>
      </c>
      <c r="F132" s="9" t="s">
        <v>1235</v>
      </c>
      <c r="G132" s="9" t="s">
        <v>1238</v>
      </c>
      <c r="L132" s="13">
        <f>$I$60*$L$60</f>
        <v>0</v>
      </c>
      <c r="M132" s="13">
        <f>$I$60*$M$60</f>
        <v>0</v>
      </c>
      <c r="N132" s="13">
        <f ca="1">$I$60*$N$60</f>
        <v>0</v>
      </c>
      <c r="O132" s="13">
        <f>$I$60*$O$60</f>
        <v>0</v>
      </c>
      <c r="P132" s="13">
        <f>$I$60*$P$60</f>
        <v>0</v>
      </c>
      <c r="Q132" s="13">
        <f>$I$60*$Q$60</f>
        <v>0</v>
      </c>
      <c r="R132" s="13">
        <f>$I$60*$R$60</f>
        <v>0</v>
      </c>
      <c r="S132" s="13">
        <f>$I$60*$S$60</f>
        <v>0</v>
      </c>
      <c r="T132" s="13">
        <f>$I$60*$T$60</f>
        <v>0</v>
      </c>
      <c r="U132" s="13">
        <f>$I$60*$U$60</f>
        <v>0</v>
      </c>
      <c r="V132" s="13">
        <f>$I$60*$V$60</f>
        <v>0</v>
      </c>
      <c r="W132" s="13">
        <f>$I$60*$W$60</f>
        <v>0</v>
      </c>
      <c r="X132" s="13">
        <f>$I$60*$X$60</f>
        <v>0</v>
      </c>
      <c r="Y132" s="13">
        <f>$I$60*$Y$60</f>
        <v>0</v>
      </c>
      <c r="Z132" s="13">
        <f>$I$60*$Z$60</f>
        <v>0</v>
      </c>
      <c r="AA132" s="13">
        <f>$I$60*$AA$60</f>
        <v>0</v>
      </c>
      <c r="AB132" s="13">
        <f ca="1">$I$60*$AB$60</f>
        <v>0</v>
      </c>
      <c r="AC132" s="13">
        <f ca="1">$I$60*$AC$60</f>
        <v>0</v>
      </c>
      <c r="AD132" s="13">
        <f>$I$60*$AD$60</f>
        <v>0</v>
      </c>
      <c r="AE132" s="13">
        <f>$I$60*$AE$60</f>
        <v>0</v>
      </c>
      <c r="AF132" s="13">
        <f ca="1">$I$60*$AF$60</f>
        <v>0</v>
      </c>
      <c r="AG132" s="13">
        <f ca="1">$I$60*$AG$60</f>
        <v>0</v>
      </c>
      <c r="AI132" s="13">
        <f>$I$60*$AI$60</f>
        <v>0</v>
      </c>
      <c r="AJ132" s="13">
        <f>$I$60*$AJ$60</f>
        <v>0</v>
      </c>
      <c r="AK132" s="13">
        <f>$I$60*$AK$60</f>
        <v>0</v>
      </c>
      <c r="AL132" s="13">
        <f>$I$60*$AL$60</f>
        <v>0</v>
      </c>
      <c r="AM132" s="13">
        <f>$I$60*$AM$60</f>
        <v>0</v>
      </c>
      <c r="AN132" s="13">
        <f>$I$60*$AN$60</f>
        <v>0</v>
      </c>
      <c r="AO132" s="13">
        <f>$I$60*$AO$60</f>
        <v>0</v>
      </c>
      <c r="AP132" s="13">
        <f>$I$60*$AP$60</f>
        <v>0</v>
      </c>
      <c r="AQ132" s="13">
        <f>$I$60*$AQ$60</f>
        <v>0</v>
      </c>
      <c r="AR132" s="13">
        <f>$I$60*$AR$60</f>
        <v>0</v>
      </c>
      <c r="AS132" s="13">
        <f>$I$60*$AS$60</f>
        <v>0</v>
      </c>
      <c r="AT132" s="13">
        <f>$I$60*$AT$60</f>
        <v>0</v>
      </c>
      <c r="AU132" s="13">
        <f>$I$60*$AU$60</f>
        <v>0</v>
      </c>
      <c r="AV132" s="13">
        <f>$I$60*$AV$60</f>
        <v>0</v>
      </c>
      <c r="AW132" s="13">
        <f>$I$60*$AW$60</f>
        <v>0</v>
      </c>
      <c r="AX132" s="13">
        <f>$I$60*$AX$60</f>
        <v>0</v>
      </c>
      <c r="AY132" s="13">
        <f>$I$60*$AY$60</f>
        <v>0</v>
      </c>
      <c r="AZ132" s="13">
        <f>$I$60*$AZ$60</f>
        <v>0</v>
      </c>
      <c r="BA132" s="13">
        <f>$I$60*$BA$60</f>
        <v>0</v>
      </c>
      <c r="BB132" s="13">
        <f>$I$60*$BB$60</f>
        <v>0</v>
      </c>
      <c r="BC132" s="13">
        <f>$I$60*$BC$60</f>
        <v>0</v>
      </c>
      <c r="BD132" s="13">
        <f>$I$60*$BD$60</f>
        <v>0</v>
      </c>
    </row>
    <row r="133" spans="1:56" ht="11.25" customHeight="1" x14ac:dyDescent="0.3">
      <c r="A133" s="9" t="s">
        <v>44</v>
      </c>
      <c r="B133" s="9" t="s">
        <v>1217</v>
      </c>
      <c r="C133" s="9" t="s">
        <v>1218</v>
      </c>
      <c r="D133" s="9" t="s">
        <v>1239</v>
      </c>
      <c r="E133" s="9" t="s">
        <v>1240</v>
      </c>
      <c r="F133" s="9" t="s">
        <v>1241</v>
      </c>
      <c r="G133" s="9" t="s">
        <v>1242</v>
      </c>
      <c r="L133" s="13">
        <f>$I$61*$L$61</f>
        <v>0</v>
      </c>
      <c r="M133" s="13">
        <f>$I$61*$M$61</f>
        <v>0</v>
      </c>
      <c r="N133" s="13">
        <f ca="1">$I$61*$N$61</f>
        <v>0</v>
      </c>
      <c r="O133" s="13">
        <f>$I$61*$O$61</f>
        <v>0</v>
      </c>
      <c r="P133" s="13">
        <f>$I$61*$P$61</f>
        <v>0</v>
      </c>
      <c r="Q133" s="13">
        <f>$I$61*$Q$61</f>
        <v>0</v>
      </c>
      <c r="R133" s="13">
        <f>$I$61*$R$61</f>
        <v>0</v>
      </c>
      <c r="S133" s="13">
        <f>$I$61*$S$61</f>
        <v>0</v>
      </c>
      <c r="T133" s="13">
        <f>$I$61*$T$61</f>
        <v>0</v>
      </c>
      <c r="U133" s="13">
        <f>$I$61*$U$61</f>
        <v>0</v>
      </c>
      <c r="V133" s="13">
        <f>$I$61*$V$61</f>
        <v>0</v>
      </c>
      <c r="W133" s="13">
        <f>$I$61*$W$61</f>
        <v>0</v>
      </c>
      <c r="X133" s="13">
        <f>$I$61*$X$61</f>
        <v>0</v>
      </c>
      <c r="Y133" s="13">
        <f>$I$61*$Y$61</f>
        <v>0</v>
      </c>
      <c r="Z133" s="13">
        <f>$I$61*$Z$61</f>
        <v>0</v>
      </c>
      <c r="AA133" s="13">
        <f>$I$61*$AA$61</f>
        <v>0</v>
      </c>
      <c r="AB133" s="13">
        <f ca="1">$I$61*$AB$61</f>
        <v>0</v>
      </c>
      <c r="AC133" s="13">
        <f ca="1">$I$61*$AC$61</f>
        <v>0</v>
      </c>
      <c r="AD133" s="13">
        <f>$I$61*$AD$61</f>
        <v>0</v>
      </c>
      <c r="AE133" s="13">
        <f>$I$61*$AE$61</f>
        <v>0</v>
      </c>
      <c r="AF133" s="13">
        <f ca="1">$I$61*$AF$61</f>
        <v>0</v>
      </c>
      <c r="AG133" s="13">
        <f ca="1">$I$61*$AG$61</f>
        <v>0</v>
      </c>
      <c r="AI133" s="13">
        <f>$I$61*$AI$61</f>
        <v>0</v>
      </c>
      <c r="AJ133" s="13">
        <f>$I$61*$AJ$61</f>
        <v>0</v>
      </c>
      <c r="AK133" s="13">
        <f>$I$61*$AK$61</f>
        <v>0</v>
      </c>
      <c r="AL133" s="13">
        <f>$I$61*$AL$61</f>
        <v>0</v>
      </c>
      <c r="AM133" s="13">
        <f>$I$61*$AM$61</f>
        <v>0</v>
      </c>
      <c r="AN133" s="13">
        <f>$I$61*$AN$61</f>
        <v>0</v>
      </c>
      <c r="AO133" s="13">
        <f>$I$61*$AO$61</f>
        <v>0</v>
      </c>
      <c r="AP133" s="13">
        <f>$I$61*$AP$61</f>
        <v>0</v>
      </c>
      <c r="AQ133" s="13">
        <f>$I$61*$AQ$61</f>
        <v>0</v>
      </c>
      <c r="AR133" s="13">
        <f>$I$61*$AR$61</f>
        <v>0</v>
      </c>
      <c r="AS133" s="13">
        <f>$I$61*$AS$61</f>
        <v>0</v>
      </c>
      <c r="AT133" s="13">
        <f>$I$61*$AT$61</f>
        <v>0</v>
      </c>
      <c r="AU133" s="13">
        <f>$I$61*$AU$61</f>
        <v>0</v>
      </c>
      <c r="AV133" s="13">
        <f>$I$61*$AV$61</f>
        <v>0</v>
      </c>
      <c r="AW133" s="13">
        <f>$I$61*$AW$61</f>
        <v>0</v>
      </c>
      <c r="AX133" s="13">
        <f>$I$61*$AX$61</f>
        <v>0</v>
      </c>
      <c r="AY133" s="13">
        <f>$I$61*$AY$61</f>
        <v>0</v>
      </c>
      <c r="AZ133" s="13">
        <f>$I$61*$AZ$61</f>
        <v>0</v>
      </c>
      <c r="BA133" s="13">
        <f>$I$61*$BA$61</f>
        <v>0</v>
      </c>
      <c r="BB133" s="13">
        <f>$I$61*$BB$61</f>
        <v>0</v>
      </c>
      <c r="BC133" s="13">
        <f>$I$61*$BC$61</f>
        <v>0</v>
      </c>
      <c r="BD133" s="13">
        <f>$I$61*$BD$61</f>
        <v>0</v>
      </c>
    </row>
    <row r="134" spans="1:56" ht="11.25" customHeight="1" x14ac:dyDescent="0.3">
      <c r="A134" s="9" t="s">
        <v>44</v>
      </c>
      <c r="B134" s="9" t="s">
        <v>1243</v>
      </c>
      <c r="C134" s="9" t="s">
        <v>1244</v>
      </c>
      <c r="D134" s="9" t="s">
        <v>1245</v>
      </c>
      <c r="E134" s="9" t="s">
        <v>1246</v>
      </c>
      <c r="F134" s="9" t="s">
        <v>1247</v>
      </c>
      <c r="G134" s="9" t="s">
        <v>1248</v>
      </c>
      <c r="L134" s="13">
        <f>$I$62*$L$62</f>
        <v>0</v>
      </c>
      <c r="M134" s="13">
        <f>$I$62*$M$62</f>
        <v>0</v>
      </c>
      <c r="N134" s="13">
        <f ca="1">$I$62*$N$62</f>
        <v>0</v>
      </c>
      <c r="O134" s="13">
        <f>$I$62*$O$62</f>
        <v>0</v>
      </c>
      <c r="P134" s="13">
        <f>$I$62*$P$62</f>
        <v>0</v>
      </c>
      <c r="Q134" s="13">
        <f>$I$62*$Q$62</f>
        <v>0</v>
      </c>
      <c r="R134" s="13">
        <f>$I$62*$R$62</f>
        <v>0</v>
      </c>
      <c r="S134" s="13">
        <f>$I$62*$S$62</f>
        <v>0</v>
      </c>
      <c r="T134" s="13">
        <f>$I$62*$T$62</f>
        <v>0</v>
      </c>
      <c r="U134" s="13">
        <f>$I$62*$U$62</f>
        <v>0</v>
      </c>
      <c r="V134" s="13">
        <f>$I$62*$V$62</f>
        <v>0</v>
      </c>
      <c r="W134" s="13">
        <f>$I$62*$W$62</f>
        <v>0</v>
      </c>
      <c r="X134" s="13">
        <f>$I$62*$X$62</f>
        <v>0</v>
      </c>
      <c r="Y134" s="13">
        <f>$I$62*$Y$62</f>
        <v>0</v>
      </c>
      <c r="Z134" s="13">
        <f>$I$62*$Z$62</f>
        <v>0</v>
      </c>
      <c r="AA134" s="13">
        <f>$I$62*$AA$62</f>
        <v>0</v>
      </c>
      <c r="AB134" s="13">
        <f ca="1">$I$62*$AB$62</f>
        <v>0</v>
      </c>
      <c r="AC134" s="13">
        <f ca="1">$I$62*$AC$62</f>
        <v>0</v>
      </c>
      <c r="AD134" s="13">
        <f>$I$62*$AD$62</f>
        <v>0</v>
      </c>
      <c r="AE134" s="13">
        <f>$I$62*$AE$62</f>
        <v>0</v>
      </c>
      <c r="AF134" s="13">
        <f ca="1">$I$62*$AF$62</f>
        <v>0</v>
      </c>
      <c r="AG134" s="13">
        <f ca="1">$I$62*$AG$62</f>
        <v>0</v>
      </c>
      <c r="AI134" s="13">
        <f>$I$62*$AI$62</f>
        <v>0</v>
      </c>
      <c r="AJ134" s="13">
        <f>$I$62*$AJ$62</f>
        <v>0</v>
      </c>
      <c r="AK134" s="13">
        <f>$I$62*$AK$62</f>
        <v>0</v>
      </c>
      <c r="AL134" s="13">
        <f>$I$62*$AL$62</f>
        <v>0</v>
      </c>
      <c r="AM134" s="13">
        <f>$I$62*$AM$62</f>
        <v>0</v>
      </c>
      <c r="AN134" s="13">
        <f>$I$62*$AN$62</f>
        <v>0</v>
      </c>
      <c r="AO134" s="13">
        <f>$I$62*$AO$62</f>
        <v>0</v>
      </c>
      <c r="AP134" s="13">
        <f>$I$62*$AP$62</f>
        <v>0</v>
      </c>
      <c r="AQ134" s="13">
        <f>$I$62*$AQ$62</f>
        <v>0</v>
      </c>
      <c r="AR134" s="13">
        <f>$I$62*$AR$62</f>
        <v>0</v>
      </c>
      <c r="AS134" s="13">
        <f>$I$62*$AS$62</f>
        <v>0</v>
      </c>
      <c r="AT134" s="13">
        <f>$I$62*$AT$62</f>
        <v>0</v>
      </c>
      <c r="AU134" s="13">
        <f>$I$62*$AU$62</f>
        <v>0</v>
      </c>
      <c r="AV134" s="13">
        <f>$I$62*$AV$62</f>
        <v>0</v>
      </c>
      <c r="AW134" s="13">
        <f>$I$62*$AW$62</f>
        <v>0</v>
      </c>
      <c r="AX134" s="13">
        <f>$I$62*$AX$62</f>
        <v>0</v>
      </c>
      <c r="AY134" s="13">
        <f>$I$62*$AY$62</f>
        <v>0</v>
      </c>
      <c r="AZ134" s="13">
        <f>$I$62*$AZ$62</f>
        <v>0</v>
      </c>
      <c r="BA134" s="13">
        <f>$I$62*$BA$62</f>
        <v>0</v>
      </c>
      <c r="BB134" s="13">
        <f>$I$62*$BB$62</f>
        <v>0</v>
      </c>
      <c r="BC134" s="13">
        <f>$I$62*$BC$62</f>
        <v>0</v>
      </c>
      <c r="BD134" s="13">
        <f>$I$62*$BD$62</f>
        <v>0</v>
      </c>
    </row>
    <row r="135" spans="1:56" ht="11.25" customHeight="1" x14ac:dyDescent="0.3">
      <c r="A135" s="9" t="s">
        <v>44</v>
      </c>
      <c r="B135" s="9" t="s">
        <v>1243</v>
      </c>
      <c r="C135" s="9" t="s">
        <v>1244</v>
      </c>
      <c r="D135" s="9" t="s">
        <v>1249</v>
      </c>
      <c r="E135" s="9" t="s">
        <v>1250</v>
      </c>
      <c r="F135" s="9" t="s">
        <v>1251</v>
      </c>
      <c r="G135" s="9" t="s">
        <v>1252</v>
      </c>
      <c r="L135" s="13">
        <f>$I$63*$L$63</f>
        <v>0</v>
      </c>
      <c r="M135" s="13">
        <f>$I$63*$M$63</f>
        <v>0</v>
      </c>
      <c r="N135" s="13">
        <f ca="1">$I$63*$N$63</f>
        <v>0</v>
      </c>
      <c r="O135" s="13">
        <f>$I$63*$O$63</f>
        <v>0</v>
      </c>
      <c r="P135" s="13">
        <f>$I$63*$P$63</f>
        <v>0</v>
      </c>
      <c r="Q135" s="13">
        <f>$I$63*$Q$63</f>
        <v>0</v>
      </c>
      <c r="R135" s="13">
        <f>$I$63*$R$63</f>
        <v>0</v>
      </c>
      <c r="S135" s="13">
        <f>$I$63*$S$63</f>
        <v>0</v>
      </c>
      <c r="T135" s="13">
        <f>$I$63*$T$63</f>
        <v>0</v>
      </c>
      <c r="U135" s="13">
        <f>$I$63*$U$63</f>
        <v>0</v>
      </c>
      <c r="V135" s="13">
        <f>$I$63*$V$63</f>
        <v>0</v>
      </c>
      <c r="W135" s="13">
        <f>$I$63*$W$63</f>
        <v>0</v>
      </c>
      <c r="X135" s="13">
        <f>$I$63*$X$63</f>
        <v>0</v>
      </c>
      <c r="Y135" s="13">
        <f>$I$63*$Y$63</f>
        <v>0</v>
      </c>
      <c r="Z135" s="13">
        <f>$I$63*$Z$63</f>
        <v>0</v>
      </c>
      <c r="AA135" s="13">
        <f>$I$63*$AA$63</f>
        <v>0</v>
      </c>
      <c r="AB135" s="13">
        <f ca="1">$I$63*$AB$63</f>
        <v>0</v>
      </c>
      <c r="AC135" s="13">
        <f ca="1">$I$63*$AC$63</f>
        <v>0</v>
      </c>
      <c r="AD135" s="13">
        <f>$I$63*$AD$63</f>
        <v>0</v>
      </c>
      <c r="AE135" s="13">
        <f>$I$63*$AE$63</f>
        <v>0</v>
      </c>
      <c r="AF135" s="13">
        <f ca="1">$I$63*$AF$63</f>
        <v>0</v>
      </c>
      <c r="AG135" s="13">
        <f ca="1">$I$63*$AG$63</f>
        <v>0</v>
      </c>
      <c r="AI135" s="13">
        <f>$I$63*$AI$63</f>
        <v>0</v>
      </c>
      <c r="AJ135" s="13">
        <f>$I$63*$AJ$63</f>
        <v>0</v>
      </c>
      <c r="AK135" s="13">
        <f>$I$63*$AK$63</f>
        <v>0</v>
      </c>
      <c r="AL135" s="13">
        <f>$I$63*$AL$63</f>
        <v>0</v>
      </c>
      <c r="AM135" s="13">
        <f>$I$63*$AM$63</f>
        <v>0</v>
      </c>
      <c r="AN135" s="13">
        <f>$I$63*$AN$63</f>
        <v>0</v>
      </c>
      <c r="AO135" s="13">
        <f>$I$63*$AO$63</f>
        <v>0</v>
      </c>
      <c r="AP135" s="13">
        <f>$I$63*$AP$63</f>
        <v>0</v>
      </c>
      <c r="AQ135" s="13">
        <f>$I$63*$AQ$63</f>
        <v>0</v>
      </c>
      <c r="AR135" s="13">
        <f>$I$63*$AR$63</f>
        <v>0</v>
      </c>
      <c r="AS135" s="13">
        <f>$I$63*$AS$63</f>
        <v>0</v>
      </c>
      <c r="AT135" s="13">
        <f>$I$63*$AT$63</f>
        <v>0</v>
      </c>
      <c r="AU135" s="13">
        <f>$I$63*$AU$63</f>
        <v>0</v>
      </c>
      <c r="AV135" s="13">
        <f>$I$63*$AV$63</f>
        <v>0</v>
      </c>
      <c r="AW135" s="13">
        <f>$I$63*$AW$63</f>
        <v>0</v>
      </c>
      <c r="AX135" s="13">
        <f>$I$63*$AX$63</f>
        <v>0</v>
      </c>
      <c r="AY135" s="13">
        <f>$I$63*$AY$63</f>
        <v>0</v>
      </c>
      <c r="AZ135" s="13">
        <f>$I$63*$AZ$63</f>
        <v>0</v>
      </c>
      <c r="BA135" s="13">
        <f>$I$63*$BA$63</f>
        <v>0</v>
      </c>
      <c r="BB135" s="13">
        <f>$I$63*$BB$63</f>
        <v>0</v>
      </c>
      <c r="BC135" s="13">
        <f>$I$63*$BC$63</f>
        <v>0</v>
      </c>
      <c r="BD135" s="13">
        <f>$I$63*$BD$63</f>
        <v>0</v>
      </c>
    </row>
    <row r="136" spans="1:56" ht="11.25" customHeight="1" x14ac:dyDescent="0.3">
      <c r="A136" s="9" t="s">
        <v>44</v>
      </c>
      <c r="B136" s="9" t="s">
        <v>1243</v>
      </c>
      <c r="C136" s="9" t="s">
        <v>1244</v>
      </c>
      <c r="D136" s="9" t="s">
        <v>1253</v>
      </c>
      <c r="E136" s="9" t="s">
        <v>1254</v>
      </c>
      <c r="F136" s="9" t="s">
        <v>1255</v>
      </c>
      <c r="G136" s="9" t="s">
        <v>1256</v>
      </c>
      <c r="L136" s="13">
        <f>$I$64*$L$64</f>
        <v>0</v>
      </c>
      <c r="M136" s="13">
        <f>$I$64*$M$64</f>
        <v>0</v>
      </c>
      <c r="N136" s="13">
        <f ca="1">$I$64*$N$64</f>
        <v>0</v>
      </c>
      <c r="O136" s="13">
        <f>$I$64*$O$64</f>
        <v>0</v>
      </c>
      <c r="P136" s="13">
        <f>$I$64*$P$64</f>
        <v>0</v>
      </c>
      <c r="Q136" s="13">
        <f>$I$64*$Q$64</f>
        <v>0</v>
      </c>
      <c r="R136" s="13">
        <f>$I$64*$R$64</f>
        <v>0</v>
      </c>
      <c r="S136" s="13">
        <f>$I$64*$S$64</f>
        <v>0</v>
      </c>
      <c r="T136" s="13">
        <f>$I$64*$T$64</f>
        <v>0</v>
      </c>
      <c r="U136" s="13">
        <f>$I$64*$U$64</f>
        <v>0</v>
      </c>
      <c r="V136" s="13">
        <f>$I$64*$V$64</f>
        <v>0</v>
      </c>
      <c r="W136" s="13">
        <f>$I$64*$W$64</f>
        <v>0</v>
      </c>
      <c r="X136" s="13">
        <f>$I$64*$X$64</f>
        <v>0</v>
      </c>
      <c r="Y136" s="13">
        <f>$I$64*$Y$64</f>
        <v>0</v>
      </c>
      <c r="Z136" s="13">
        <f>$I$64*$Z$64</f>
        <v>0</v>
      </c>
      <c r="AA136" s="13">
        <f>$I$64*$AA$64</f>
        <v>0</v>
      </c>
      <c r="AB136" s="13">
        <f ca="1">$I$64*$AB$64</f>
        <v>0</v>
      </c>
      <c r="AC136" s="13">
        <f ca="1">$I$64*$AC$64</f>
        <v>0</v>
      </c>
      <c r="AD136" s="13">
        <f>$I$64*$AD$64</f>
        <v>0</v>
      </c>
      <c r="AE136" s="13">
        <f>$I$64*$AE$64</f>
        <v>0</v>
      </c>
      <c r="AF136" s="13">
        <f ca="1">$I$64*$AF$64</f>
        <v>0</v>
      </c>
      <c r="AG136" s="13">
        <f ca="1">$I$64*$AG$64</f>
        <v>0</v>
      </c>
      <c r="AI136" s="13">
        <f>$I$64*$AI$64</f>
        <v>0</v>
      </c>
      <c r="AJ136" s="13">
        <f>$I$64*$AJ$64</f>
        <v>0</v>
      </c>
      <c r="AK136" s="13">
        <f>$I$64*$AK$64</f>
        <v>0</v>
      </c>
      <c r="AL136" s="13">
        <f>$I$64*$AL$64</f>
        <v>0</v>
      </c>
      <c r="AM136" s="13">
        <f>$I$64*$AM$64</f>
        <v>0</v>
      </c>
      <c r="AN136" s="13">
        <f>$I$64*$AN$64</f>
        <v>0</v>
      </c>
      <c r="AO136" s="13">
        <f>$I$64*$AO$64</f>
        <v>0</v>
      </c>
      <c r="AP136" s="13">
        <f>$I$64*$AP$64</f>
        <v>0</v>
      </c>
      <c r="AQ136" s="13">
        <f>$I$64*$AQ$64</f>
        <v>0</v>
      </c>
      <c r="AR136" s="13">
        <f>$I$64*$AR$64</f>
        <v>0</v>
      </c>
      <c r="AS136" s="13">
        <f>$I$64*$AS$64</f>
        <v>0</v>
      </c>
      <c r="AT136" s="13">
        <f>$I$64*$AT$64</f>
        <v>0</v>
      </c>
      <c r="AU136" s="13">
        <f>$I$64*$AU$64</f>
        <v>0</v>
      </c>
      <c r="AV136" s="13">
        <f>$I$64*$AV$64</f>
        <v>0</v>
      </c>
      <c r="AW136" s="13">
        <f>$I$64*$AW$64</f>
        <v>0</v>
      </c>
      <c r="AX136" s="13">
        <f>$I$64*$AX$64</f>
        <v>0</v>
      </c>
      <c r="AY136" s="13">
        <f>$I$64*$AY$64</f>
        <v>0</v>
      </c>
      <c r="AZ136" s="13">
        <f>$I$64*$AZ$64</f>
        <v>0</v>
      </c>
      <c r="BA136" s="13">
        <f>$I$64*$BA$64</f>
        <v>0</v>
      </c>
      <c r="BB136" s="13">
        <f>$I$64*$BB$64</f>
        <v>0</v>
      </c>
      <c r="BC136" s="13">
        <f>$I$64*$BC$64</f>
        <v>0</v>
      </c>
      <c r="BD136" s="13">
        <f>$I$64*$BD$64</f>
        <v>0</v>
      </c>
    </row>
    <row r="137" spans="1:56" ht="11.25" customHeight="1" x14ac:dyDescent="0.3">
      <c r="A137" s="9" t="s">
        <v>37</v>
      </c>
      <c r="B137" s="9" t="s">
        <v>1257</v>
      </c>
      <c r="C137" s="9" t="s">
        <v>1258</v>
      </c>
      <c r="D137" s="9" t="s">
        <v>1259</v>
      </c>
      <c r="E137" s="9" t="s">
        <v>1260</v>
      </c>
      <c r="F137" s="9" t="s">
        <v>1261</v>
      </c>
      <c r="G137" s="9" t="s">
        <v>1262</v>
      </c>
      <c r="L137" s="13">
        <f>$I$65*$L$65</f>
        <v>148.11858584011642</v>
      </c>
      <c r="M137" s="13">
        <f>$I$65*$M$65</f>
        <v>21.381792238036912</v>
      </c>
      <c r="N137" s="13">
        <f ca="1">$I$65*$N$65</f>
        <v>224.14498190776348</v>
      </c>
      <c r="O137" s="13">
        <f>$I$65*$O$65</f>
        <v>0</v>
      </c>
      <c r="P137" s="13">
        <f>$I$65*$P$65</f>
        <v>0</v>
      </c>
      <c r="Q137" s="13">
        <f>$I$65*$Q$65</f>
        <v>2411.9590671847168</v>
      </c>
      <c r="R137" s="13">
        <f>$I$65*$R$65</f>
        <v>413.05862352715354</v>
      </c>
      <c r="S137" s="13">
        <f>$I$65*$S$65</f>
        <v>0</v>
      </c>
      <c r="T137" s="13">
        <f>$I$65*$T$65</f>
        <v>2099.7995521848102</v>
      </c>
      <c r="U137" s="13">
        <f>$I$65*$U$65</f>
        <v>424.75882145421582</v>
      </c>
      <c r="V137" s="13">
        <f>$I$65*$V$65</f>
        <v>61.059017814081955</v>
      </c>
      <c r="W137" s="13">
        <f>$I$65*$W$65</f>
        <v>0</v>
      </c>
      <c r="X137" s="13">
        <f>$I$65*$X$65</f>
        <v>0</v>
      </c>
      <c r="Y137" s="13">
        <f>$I$65*$Y$65</f>
        <v>0</v>
      </c>
      <c r="Z137" s="13">
        <f>$I$65*$Z$65</f>
        <v>0</v>
      </c>
      <c r="AA137" s="13">
        <f>$I$65*$AA$65</f>
        <v>13676.052402914218</v>
      </c>
      <c r="AB137" s="13">
        <f ca="1">$I$65*$AB$65</f>
        <v>0</v>
      </c>
      <c r="AC137" s="13">
        <f ca="1">$I$65*$AC$65</f>
        <v>0</v>
      </c>
      <c r="AD137" s="13">
        <f>$I$65*$AD$65</f>
        <v>679.64950894186904</v>
      </c>
      <c r="AE137" s="13">
        <f>$I$65*$AE$65</f>
        <v>11.779062025558002</v>
      </c>
      <c r="AF137" s="13">
        <f ca="1">$I$65*$AF$65</f>
        <v>46.919001386337712</v>
      </c>
      <c r="AG137" s="13">
        <f ca="1">$I$65*$AG$65</f>
        <v>6.504818430355785</v>
      </c>
      <c r="AI137" s="13">
        <f>$I$65*$AI$65</f>
        <v>150.18108479460676</v>
      </c>
      <c r="AJ137" s="13">
        <f>$I$65*$AJ$65</f>
        <v>18.771698362744186</v>
      </c>
      <c r="AK137" s="13">
        <f>$I$65*$AK$65</f>
        <v>173.85352164924257</v>
      </c>
      <c r="AL137" s="13">
        <f>$I$65*$AL$65</f>
        <v>0</v>
      </c>
      <c r="AM137" s="13">
        <f>$I$65*$AM$65</f>
        <v>0</v>
      </c>
      <c r="AN137" s="13">
        <f>$I$65*$AN$65</f>
        <v>1284.6059324990822</v>
      </c>
      <c r="AO137" s="13">
        <f>$I$65*$AO$65</f>
        <v>224.72316410506841</v>
      </c>
      <c r="AP137" s="13">
        <f>$I$65*$AP$65</f>
        <v>0</v>
      </c>
      <c r="AQ137" s="13">
        <f>$I$65*$AQ$65</f>
        <v>1741.3427492627829</v>
      </c>
      <c r="AR137" s="13">
        <f>$I$65*$AR$65</f>
        <v>502.23537337450404</v>
      </c>
      <c r="AS137" s="13">
        <f>$I$65*$AS$65</f>
        <v>5.8861127459825884</v>
      </c>
      <c r="AT137" s="13">
        <f>$I$65*$AT$65</f>
        <v>0</v>
      </c>
      <c r="AU137" s="13">
        <f>$I$65*$AU$65</f>
        <v>0</v>
      </c>
      <c r="AV137" s="13">
        <f>$I$65*$AV$65</f>
        <v>0</v>
      </c>
      <c r="AW137" s="13">
        <f>$I$65*$AW$65</f>
        <v>0</v>
      </c>
      <c r="AX137" s="13">
        <f>$I$65*$AX$65</f>
        <v>11950.637272193393</v>
      </c>
      <c r="AY137" s="13">
        <f>$I$65*$AY$65</f>
        <v>0</v>
      </c>
      <c r="AZ137" s="13">
        <f>$I$65*$AZ$65</f>
        <v>0</v>
      </c>
      <c r="BA137" s="13">
        <f>$I$65*$BA$65</f>
        <v>573.82102343001509</v>
      </c>
      <c r="BB137" s="13">
        <f>$I$65*$BB$65</f>
        <v>11.641519385800503</v>
      </c>
      <c r="BC137" s="13">
        <f>$I$65*$BC$65</f>
        <v>42.754729819193102</v>
      </c>
      <c r="BD137" s="13">
        <f>$I$65*$BD$65</f>
        <v>7.1295355250306969</v>
      </c>
    </row>
    <row r="138" spans="1:56" ht="11.25" customHeight="1" x14ac:dyDescent="0.3">
      <c r="A138" s="9" t="s">
        <v>37</v>
      </c>
      <c r="B138" s="9" t="s">
        <v>1257</v>
      </c>
      <c r="C138" s="9" t="s">
        <v>1258</v>
      </c>
      <c r="D138" s="9" t="s">
        <v>1259</v>
      </c>
      <c r="E138" s="9" t="s">
        <v>1260</v>
      </c>
      <c r="F138" s="9" t="s">
        <v>1261</v>
      </c>
      <c r="G138" s="9" t="s">
        <v>1263</v>
      </c>
      <c r="L138" s="13">
        <f>$I$66*$L$66</f>
        <v>162.65082501406266</v>
      </c>
      <c r="M138" s="13">
        <f>$I$66*$M$66</f>
        <v>23.479606749351415</v>
      </c>
      <c r="N138" s="13">
        <f ca="1">$I$66*$N$66</f>
        <v>170.09525998492759</v>
      </c>
      <c r="O138" s="13">
        <f>$I$66*$O$66</f>
        <v>0</v>
      </c>
      <c r="P138" s="13">
        <f>$I$66*$P$66</f>
        <v>0</v>
      </c>
      <c r="Q138" s="13">
        <f>$I$66*$Q$66</f>
        <v>2648.601658951909</v>
      </c>
      <c r="R138" s="13">
        <f>$I$66*$R$66</f>
        <v>453.58471062088978</v>
      </c>
      <c r="S138" s="13">
        <f>$I$66*$S$66</f>
        <v>0</v>
      </c>
      <c r="T138" s="13">
        <f>$I$66*$T$66</f>
        <v>1383.4898520941101</v>
      </c>
      <c r="U138" s="13">
        <f>$I$66*$U$66</f>
        <v>279.85856629405095</v>
      </c>
      <c r="V138" s="13">
        <f>$I$66*$V$66</f>
        <v>40.227785772942326</v>
      </c>
      <c r="W138" s="13">
        <f>$I$66*$W$66</f>
        <v>0</v>
      </c>
      <c r="X138" s="13">
        <f>$I$66*$X$66</f>
        <v>0</v>
      </c>
      <c r="Y138" s="13">
        <f>$I$66*$Y$66</f>
        <v>0</v>
      </c>
      <c r="Z138" s="13">
        <f>$I$66*$Z$66</f>
        <v>0</v>
      </c>
      <c r="AA138" s="13">
        <f>$I$66*$AA$66</f>
        <v>9010.7033409460619</v>
      </c>
      <c r="AB138" s="13">
        <f ca="1">$I$66*$AB$66</f>
        <v>0</v>
      </c>
      <c r="AC138" s="13">
        <f ca="1">$I$66*$AC$66</f>
        <v>0</v>
      </c>
      <c r="AD138" s="13">
        <f>$I$66*$AD$66</f>
        <v>746.33141224507551</v>
      </c>
      <c r="AE138" s="13">
        <f>$I$66*$AE$66</f>
        <v>12.934731623868432</v>
      </c>
      <c r="AF138" s="13">
        <f ca="1">$I$66*$AF$66</f>
        <v>51.522327471863335</v>
      </c>
      <c r="AG138" s="13">
        <f ca="1">$I$66*$AG$66</f>
        <v>7.1430204269307565</v>
      </c>
      <c r="AI138" s="13">
        <f>$I$66*$AI$66</f>
        <v>164.91568026254987</v>
      </c>
      <c r="AJ138" s="13">
        <f>$I$66*$AJ$66</f>
        <v>20.613430841901366</v>
      </c>
      <c r="AK138" s="13">
        <f>$I$66*$AK$66</f>
        <v>131.92578745025671</v>
      </c>
      <c r="AL138" s="13">
        <f>$I$66*$AL$66</f>
        <v>0</v>
      </c>
      <c r="AM138" s="13">
        <f>$I$66*$AM$66</f>
        <v>0</v>
      </c>
      <c r="AN138" s="13">
        <f>$I$66*$AN$66</f>
        <v>1410.6414367503708</v>
      </c>
      <c r="AO138" s="13">
        <f>$I$66*$AO$66</f>
        <v>246.77124639114925</v>
      </c>
      <c r="AP138" s="13">
        <f>$I$66*$AP$66</f>
        <v>0</v>
      </c>
      <c r="AQ138" s="13">
        <f>$I$66*$AQ$66</f>
        <v>1147.3142853640747</v>
      </c>
      <c r="AR138" s="13">
        <f>$I$66*$AR$66</f>
        <v>330.90512647515601</v>
      </c>
      <c r="AS138" s="13">
        <f>$I$66*$AS$66</f>
        <v>3.8779739841501861</v>
      </c>
      <c r="AT138" s="13">
        <f>$I$66*$AT$66</f>
        <v>0</v>
      </c>
      <c r="AU138" s="13">
        <f>$I$66*$AU$66</f>
        <v>0</v>
      </c>
      <c r="AV138" s="13">
        <f>$I$66*$AV$66</f>
        <v>0</v>
      </c>
      <c r="AW138" s="13">
        <f>$I$66*$AW$66</f>
        <v>0</v>
      </c>
      <c r="AX138" s="13">
        <f>$I$66*$AX$66</f>
        <v>7873.8837803839642</v>
      </c>
      <c r="AY138" s="13">
        <f>$I$66*$AY$66</f>
        <v>0</v>
      </c>
      <c r="AZ138" s="13">
        <f>$I$66*$AZ$66</f>
        <v>0</v>
      </c>
      <c r="BA138" s="13">
        <f>$I$66*$BA$66</f>
        <v>630.11986201415357</v>
      </c>
      <c r="BB138" s="13">
        <f>$I$66*$BB$66</f>
        <v>12.783694374192569</v>
      </c>
      <c r="BC138" s="13">
        <f>$I$66*$BC$66</f>
        <v>46.949490092023673</v>
      </c>
      <c r="BD138" s="13">
        <f>$I$66*$BD$66</f>
        <v>7.8290298853180005</v>
      </c>
    </row>
    <row r="139" spans="1:56" ht="11.25" customHeight="1" x14ac:dyDescent="0.3">
      <c r="A139" s="9" t="s">
        <v>37</v>
      </c>
      <c r="B139" s="9" t="s">
        <v>1257</v>
      </c>
      <c r="C139" s="9" t="s">
        <v>1258</v>
      </c>
      <c r="D139" s="9" t="s">
        <v>1259</v>
      </c>
      <c r="E139" s="9" t="s">
        <v>1260</v>
      </c>
      <c r="F139" s="9" t="s">
        <v>1261</v>
      </c>
      <c r="G139" s="9" t="s">
        <v>1264</v>
      </c>
      <c r="L139" s="13">
        <f>$I$67*$L$67</f>
        <v>3082.933510899893</v>
      </c>
      <c r="M139" s="13">
        <f>$I$67*$M$67</f>
        <v>445.03965143778606</v>
      </c>
      <c r="N139" s="13">
        <f ca="1">$I$67*$N$67</f>
        <v>1782.7329248706938</v>
      </c>
      <c r="O139" s="13">
        <f>$I$67*$O$67</f>
        <v>0</v>
      </c>
      <c r="P139" s="13">
        <f>$I$67*$P$67</f>
        <v>0</v>
      </c>
      <c r="Q139" s="13">
        <f>$I$67*$Q$67</f>
        <v>50202.406355466759</v>
      </c>
      <c r="R139" s="13">
        <f>$I$67*$R$67</f>
        <v>8597.383408808837</v>
      </c>
      <c r="S139" s="13">
        <f>$I$67*$S$67</f>
        <v>0</v>
      </c>
      <c r="T139" s="13">
        <f>$I$67*$T$67</f>
        <v>8741.0476465455231</v>
      </c>
      <c r="U139" s="13">
        <f>$I$67*$U$67</f>
        <v>1768.1749688137832</v>
      </c>
      <c r="V139" s="13">
        <f>$I$67*$V$67</f>
        <v>254.19492932860808</v>
      </c>
      <c r="W139" s="13">
        <f>$I$67*$W$67</f>
        <v>0</v>
      </c>
      <c r="X139" s="13">
        <f>$I$67*$X$67</f>
        <v>0</v>
      </c>
      <c r="Y139" s="13">
        <f>$I$67*$Y$67</f>
        <v>0</v>
      </c>
      <c r="Z139" s="13">
        <f>$I$67*$Z$67</f>
        <v>0</v>
      </c>
      <c r="AA139" s="13">
        <f>$I$67*$AA$67</f>
        <v>56930.524187980191</v>
      </c>
      <c r="AB139" s="13">
        <f ca="1">$I$67*$AB$67</f>
        <v>0</v>
      </c>
      <c r="AC139" s="13">
        <f ca="1">$I$67*$AC$67</f>
        <v>0</v>
      </c>
      <c r="AD139" s="13">
        <f>$I$67*$AD$67</f>
        <v>14146.193976259592</v>
      </c>
      <c r="AE139" s="13">
        <f>$I$67*$AE$67</f>
        <v>245.16886141999495</v>
      </c>
      <c r="AF139" s="13">
        <f ca="1">$I$67*$AF$67</f>
        <v>976.56996150393013</v>
      </c>
      <c r="AG139" s="13">
        <f ca="1">$I$67*$AG$67</f>
        <v>135.3909950430521</v>
      </c>
      <c r="AI139" s="13">
        <f>$I$67*$AI$67</f>
        <v>3125.8622703592755</v>
      </c>
      <c r="AJ139" s="13">
        <f>$I$67*$AJ$67</f>
        <v>390.71327619531382</v>
      </c>
      <c r="AK139" s="13">
        <f>$I$67*$AK$67</f>
        <v>1382.5451043557073</v>
      </c>
      <c r="AL139" s="13">
        <f>$I$67*$AL$67</f>
        <v>0</v>
      </c>
      <c r="AM139" s="13">
        <f>$I$67*$AM$67</f>
        <v>0</v>
      </c>
      <c r="AN139" s="13">
        <f>$I$67*$AN$67</f>
        <v>26737.729469528895</v>
      </c>
      <c r="AO139" s="13">
        <f>$I$67*$AO$67</f>
        <v>4677.3777197873542</v>
      </c>
      <c r="AP139" s="13">
        <f>$I$67*$AP$67</f>
        <v>0</v>
      </c>
      <c r="AQ139" s="13">
        <f>$I$67*$AQ$67</f>
        <v>7248.8633138507003</v>
      </c>
      <c r="AR139" s="13">
        <f>$I$67*$AR$67</f>
        <v>2090.6923430414563</v>
      </c>
      <c r="AS139" s="13">
        <f>$I$67*$AS$67</f>
        <v>24.504488723370709</v>
      </c>
      <c r="AT139" s="13">
        <f>$I$67*$AT$67</f>
        <v>0</v>
      </c>
      <c r="AU139" s="13">
        <f>$I$67*$AU$67</f>
        <v>0</v>
      </c>
      <c r="AV139" s="13">
        <f>$I$67*$AV$67</f>
        <v>0</v>
      </c>
      <c r="AW139" s="13">
        <f>$I$67*$AW$67</f>
        <v>0</v>
      </c>
      <c r="AX139" s="13">
        <f>$I$67*$AX$67</f>
        <v>49747.984596886192</v>
      </c>
      <c r="AY139" s="13">
        <f>$I$67*$AY$67</f>
        <v>0</v>
      </c>
      <c r="AZ139" s="13">
        <f>$I$67*$AZ$67</f>
        <v>0</v>
      </c>
      <c r="BA139" s="13">
        <f>$I$67*$BA$67</f>
        <v>11943.48469071149</v>
      </c>
      <c r="BB139" s="13">
        <f>$I$67*$BB$67</f>
        <v>242.30605516998295</v>
      </c>
      <c r="BC139" s="13">
        <f>$I$67*$BC$67</f>
        <v>889.89500244986766</v>
      </c>
      <c r="BD139" s="13">
        <f>$I$67*$BD$67</f>
        <v>148.39382824647092</v>
      </c>
    </row>
    <row r="140" spans="1:56" ht="11.25" customHeight="1" x14ac:dyDescent="0.3">
      <c r="A140" s="9" t="s">
        <v>37</v>
      </c>
      <c r="B140" s="9" t="s">
        <v>1265</v>
      </c>
      <c r="C140" s="9" t="s">
        <v>1266</v>
      </c>
      <c r="D140" s="9" t="s">
        <v>1267</v>
      </c>
      <c r="E140" s="9" t="s">
        <v>1268</v>
      </c>
      <c r="F140" s="9" t="s">
        <v>1269</v>
      </c>
      <c r="G140" s="9" t="s">
        <v>1270</v>
      </c>
      <c r="L140" s="13">
        <f>$I$68*$L$68</f>
        <v>317067.86795396311</v>
      </c>
      <c r="M140" s="13">
        <f>$I$68*$M$68</f>
        <v>45770.618450725218</v>
      </c>
      <c r="N140" s="13">
        <f ca="1">$I$68*$N$68</f>
        <v>221528.35059126862</v>
      </c>
      <c r="O140" s="13">
        <f>$I$68*$O$68</f>
        <v>0</v>
      </c>
      <c r="P140" s="13">
        <f>$I$68*$P$68</f>
        <v>0</v>
      </c>
      <c r="Q140" s="13">
        <f>$I$68*$Q$68</f>
        <v>5163124.6321105612</v>
      </c>
      <c r="R140" s="13">
        <f>$I$68*$R$68</f>
        <v>884207.85520544718</v>
      </c>
      <c r="S140" s="13">
        <f>$I$68*$S$68</f>
        <v>0</v>
      </c>
      <c r="T140" s="13">
        <f>$I$68*$T$68</f>
        <v>1362090.7650220559</v>
      </c>
      <c r="U140" s="13">
        <f>$I$68*$U$68</f>
        <v>275531.53976628173</v>
      </c>
      <c r="V140" s="13">
        <f>$I$68*$V$68</f>
        <v>39610.267400843928</v>
      </c>
      <c r="W140" s="13">
        <f>$I$68*$W$68</f>
        <v>0</v>
      </c>
      <c r="X140" s="13">
        <f>$I$68*$X$68</f>
        <v>0</v>
      </c>
      <c r="Y140" s="13">
        <f>$I$68*$Y$68</f>
        <v>0</v>
      </c>
      <c r="Z140" s="13">
        <f>$I$68*$Z$68</f>
        <v>0</v>
      </c>
      <c r="AA140" s="13">
        <f>$I$68*$AA$68</f>
        <v>8871342.1500598956</v>
      </c>
      <c r="AB140" s="13">
        <f ca="1">$I$68*$AB$68</f>
        <v>0</v>
      </c>
      <c r="AC140" s="13">
        <f ca="1">$I$68*$AC$68</f>
        <v>0</v>
      </c>
      <c r="AD140" s="13">
        <f>$I$68*$AD$68</f>
        <v>1454881.7053166309</v>
      </c>
      <c r="AE140" s="13">
        <f>$I$68*$AE$68</f>
        <v>25214.675536887567</v>
      </c>
      <c r="AF140" s="13">
        <f ca="1">$I$68*$AF$68</f>
        <v>100436.46887199745</v>
      </c>
      <c r="AG140" s="13">
        <f ca="1">$I$68*$AG$68</f>
        <v>13924.443711384358</v>
      </c>
      <c r="AI140" s="13">
        <f>$I$68*$AI$68</f>
        <v>321482.92594583065</v>
      </c>
      <c r="AJ140" s="13">
        <f>$I$68*$AJ$68</f>
        <v>40183.359461552362</v>
      </c>
      <c r="AK140" s="13">
        <f>$I$68*$AK$68</f>
        <v>171806.45577665663</v>
      </c>
      <c r="AL140" s="13">
        <f>$I$68*$AL$68</f>
        <v>0</v>
      </c>
      <c r="AM140" s="13">
        <f>$I$68*$AM$68</f>
        <v>0</v>
      </c>
      <c r="AN140" s="13">
        <f>$I$68*$AN$68</f>
        <v>2749872.7581571434</v>
      </c>
      <c r="AO140" s="13">
        <f>$I$68*$AO$68</f>
        <v>481050.32949460269</v>
      </c>
      <c r="AP140" s="13">
        <f>$I$68*$AP$68</f>
        <v>0</v>
      </c>
      <c r="AQ140" s="13">
        <f>$I$68*$AQ$68</f>
        <v>1129568.2366638554</v>
      </c>
      <c r="AR140" s="13">
        <f>$I$68*$AR$68</f>
        <v>325788.84477832174</v>
      </c>
      <c r="AS140" s="13">
        <f>$I$68*$AS$68</f>
        <v>3818.444976134464</v>
      </c>
      <c r="AT140" s="13">
        <f>$I$68*$AT$68</f>
        <v>0</v>
      </c>
      <c r="AU140" s="13">
        <f>$I$68*$AU$68</f>
        <v>0</v>
      </c>
      <c r="AV140" s="13">
        <f>$I$68*$AV$68</f>
        <v>0</v>
      </c>
      <c r="AW140" s="13">
        <f>$I$68*$AW$68</f>
        <v>0</v>
      </c>
      <c r="AX140" s="13">
        <f>$I$68*$AX$68</f>
        <v>7752104.8493712218</v>
      </c>
      <c r="AY140" s="13">
        <f>$I$68*$AY$68</f>
        <v>0</v>
      </c>
      <c r="AZ140" s="13">
        <f>$I$68*$AZ$68</f>
        <v>0</v>
      </c>
      <c r="BA140" s="13">
        <f>$I$68*$BA$68</f>
        <v>1228341.5174008452</v>
      </c>
      <c r="BB140" s="13">
        <f>$I$68*$BB$68</f>
        <v>24920.246912057566</v>
      </c>
      <c r="BC140" s="13">
        <f>$I$68*$BC$68</f>
        <v>91522.282310689872</v>
      </c>
      <c r="BD140" s="13">
        <f>$I$68*$BD$68</f>
        <v>15261.735153639818</v>
      </c>
    </row>
    <row r="141" spans="1:56" ht="11.25" customHeight="1" x14ac:dyDescent="0.3">
      <c r="A141" s="9" t="s">
        <v>37</v>
      </c>
      <c r="B141" s="9" t="s">
        <v>1271</v>
      </c>
      <c r="C141" s="9" t="s">
        <v>1272</v>
      </c>
      <c r="D141" s="9" t="s">
        <v>1273</v>
      </c>
      <c r="E141" s="9" t="s">
        <v>1274</v>
      </c>
      <c r="F141" s="9" t="s">
        <v>1275</v>
      </c>
      <c r="G141" s="9" t="s">
        <v>1276</v>
      </c>
      <c r="L141" s="13">
        <f>$I$69*$L$69</f>
        <v>0</v>
      </c>
      <c r="M141" s="13">
        <f>$I$69*$M$69</f>
        <v>0</v>
      </c>
      <c r="N141" s="13">
        <f ca="1">$I$69*$N$69</f>
        <v>0</v>
      </c>
      <c r="O141" s="13">
        <f>$I$69*$O$69</f>
        <v>0</v>
      </c>
      <c r="P141" s="13">
        <f>$I$69*$P$69</f>
        <v>0</v>
      </c>
      <c r="Q141" s="13">
        <f>$I$69*$Q$69</f>
        <v>0</v>
      </c>
      <c r="R141" s="13">
        <f>$I$69*$R$69</f>
        <v>0</v>
      </c>
      <c r="S141" s="13">
        <f>$I$69*$S$69</f>
        <v>0</v>
      </c>
      <c r="T141" s="13">
        <f>$I$69*$T$69</f>
        <v>0</v>
      </c>
      <c r="U141" s="13">
        <f>$I$69*$U$69</f>
        <v>0</v>
      </c>
      <c r="V141" s="13">
        <f>$I$69*$V$69</f>
        <v>0</v>
      </c>
      <c r="W141" s="13">
        <f>$I$69*$W$69</f>
        <v>0</v>
      </c>
      <c r="X141" s="13">
        <f>$I$69*$X$69</f>
        <v>0</v>
      </c>
      <c r="Y141" s="13">
        <f>$I$69*$Y$69</f>
        <v>0</v>
      </c>
      <c r="Z141" s="13">
        <f>$I$69*$Z$69</f>
        <v>0</v>
      </c>
      <c r="AA141" s="13">
        <f>$I$69*$AA$69</f>
        <v>0</v>
      </c>
      <c r="AB141" s="13">
        <f ca="1">$I$69*$AB$69</f>
        <v>0</v>
      </c>
      <c r="AC141" s="13">
        <f ca="1">$I$69*$AC$69</f>
        <v>0</v>
      </c>
      <c r="AD141" s="13">
        <f>$I$69*$AD$69</f>
        <v>0</v>
      </c>
      <c r="AE141" s="13">
        <f>$I$69*$AE$69</f>
        <v>0</v>
      </c>
      <c r="AF141" s="13">
        <f ca="1">$I$69*$AF$69</f>
        <v>0</v>
      </c>
      <c r="AG141" s="13">
        <f ca="1">$I$69*$AG$69</f>
        <v>0</v>
      </c>
      <c r="AI141" s="13">
        <f>$I$69*$AI$69</f>
        <v>0</v>
      </c>
      <c r="AJ141" s="13">
        <f>$I$69*$AJ$69</f>
        <v>0</v>
      </c>
      <c r="AK141" s="13">
        <f>$I$69*$AK$69</f>
        <v>0</v>
      </c>
      <c r="AL141" s="13">
        <f>$I$69*$AL$69</f>
        <v>0</v>
      </c>
      <c r="AM141" s="13">
        <f>$I$69*$AM$69</f>
        <v>0</v>
      </c>
      <c r="AN141" s="13">
        <f>$I$69*$AN$69</f>
        <v>0</v>
      </c>
      <c r="AO141" s="13">
        <f>$I$69*$AO$69</f>
        <v>0</v>
      </c>
      <c r="AP141" s="13">
        <f>$I$69*$AP$69</f>
        <v>0</v>
      </c>
      <c r="AQ141" s="13">
        <f>$I$69*$AQ$69</f>
        <v>0</v>
      </c>
      <c r="AR141" s="13">
        <f>$I$69*$AR$69</f>
        <v>0</v>
      </c>
      <c r="AS141" s="13">
        <f>$I$69*$AS$69</f>
        <v>0</v>
      </c>
      <c r="AT141" s="13">
        <f>$I$69*$AT$69</f>
        <v>0</v>
      </c>
      <c r="AU141" s="13">
        <f>$I$69*$AU$69</f>
        <v>0</v>
      </c>
      <c r="AV141" s="13">
        <f>$I$69*$AV$69</f>
        <v>0</v>
      </c>
      <c r="AW141" s="13">
        <f>$I$69*$AW$69</f>
        <v>0</v>
      </c>
      <c r="AX141" s="13">
        <f>$I$69*$AX$69</f>
        <v>0</v>
      </c>
      <c r="AY141" s="13">
        <f>$I$69*$AY$69</f>
        <v>0</v>
      </c>
      <c r="AZ141" s="13">
        <f>$I$69*$AZ$69</f>
        <v>0</v>
      </c>
      <c r="BA141" s="13">
        <f>$I$69*$BA$69</f>
        <v>0</v>
      </c>
      <c r="BB141" s="13">
        <f>$I$69*$BB$69</f>
        <v>0</v>
      </c>
      <c r="BC141" s="13">
        <f>$I$69*$BC$69</f>
        <v>0</v>
      </c>
      <c r="BD141" s="13">
        <f>$I$69*$BD$69</f>
        <v>0</v>
      </c>
    </row>
    <row r="142" spans="1:56" ht="11.25" customHeight="1" x14ac:dyDescent="0.3">
      <c r="A142" s="9" t="s">
        <v>47</v>
      </c>
      <c r="B142" s="9" t="s">
        <v>1277</v>
      </c>
      <c r="C142" s="9" t="s">
        <v>1278</v>
      </c>
      <c r="D142" s="9" t="s">
        <v>1279</v>
      </c>
      <c r="E142" s="9" t="s">
        <v>1280</v>
      </c>
      <c r="F142" s="9" t="s">
        <v>1281</v>
      </c>
      <c r="G142" s="9" t="s">
        <v>1282</v>
      </c>
      <c r="L142" s="13">
        <f>$I$70*$L$70</f>
        <v>71797.030754565698</v>
      </c>
      <c r="M142" s="13">
        <f>$I$70*$M$70</f>
        <v>10364.325220868333</v>
      </c>
      <c r="N142" s="13">
        <f ca="1">$I$70*$N$70</f>
        <v>50163.007380864205</v>
      </c>
      <c r="O142" s="13">
        <f>$I$70*$O$70</f>
        <v>0</v>
      </c>
      <c r="P142" s="13">
        <f>$I$70*$P$70</f>
        <v>0</v>
      </c>
      <c r="Q142" s="13">
        <f>$I$70*$Q$70</f>
        <v>1169140.9173480845</v>
      </c>
      <c r="R142" s="13">
        <f>$I$70*$R$70</f>
        <v>200220.53632641071</v>
      </c>
      <c r="S142" s="13">
        <f>$I$70*$S$70</f>
        <v>0</v>
      </c>
      <c r="T142" s="13">
        <f>$I$70*$T$70</f>
        <v>308432.61784255522</v>
      </c>
      <c r="U142" s="13">
        <f>$I$70*$U$70</f>
        <v>62391.520661200775</v>
      </c>
      <c r="V142" s="13">
        <f>$I$70*$V$70</f>
        <v>8969.3717787508012</v>
      </c>
      <c r="W142" s="13">
        <f>$I$70*$W$70</f>
        <v>0</v>
      </c>
      <c r="X142" s="13">
        <f>$I$70*$X$70</f>
        <v>0</v>
      </c>
      <c r="Y142" s="13">
        <f>$I$70*$Y$70</f>
        <v>0</v>
      </c>
      <c r="Z142" s="13">
        <f>$I$70*$Z$70</f>
        <v>0</v>
      </c>
      <c r="AA142" s="13">
        <f>$I$70*$AA$70</f>
        <v>2008831.8292618843</v>
      </c>
      <c r="AB142" s="13">
        <f ca="1">$I$70*$AB$70</f>
        <v>0</v>
      </c>
      <c r="AC142" s="13">
        <f ca="1">$I$70*$AC$70</f>
        <v>0</v>
      </c>
      <c r="AD142" s="13">
        <f>$I$70*$AD$70</f>
        <v>329444.25184086995</v>
      </c>
      <c r="AE142" s="13">
        <f>$I$70*$AE$70</f>
        <v>5709.6256604947603</v>
      </c>
      <c r="AF142" s="13">
        <f ca="1">$I$70*$AF$70</f>
        <v>22742.891895718032</v>
      </c>
      <c r="AG142" s="13">
        <f ca="1">$I$70*$AG$70</f>
        <v>3153.059059051795</v>
      </c>
      <c r="AI142" s="13">
        <f>$I$70*$AI$70</f>
        <v>72796.779030765363</v>
      </c>
      <c r="AJ142" s="13">
        <f>$I$70*$AJ$70</f>
        <v>9099.1430752665892</v>
      </c>
      <c r="AK142" s="13">
        <f>$I$70*$AK$70</f>
        <v>38903.952862926315</v>
      </c>
      <c r="AL142" s="13">
        <f>$I$70*$AL$70</f>
        <v>0</v>
      </c>
      <c r="AM142" s="13">
        <f>$I$70*$AM$70</f>
        <v>0</v>
      </c>
      <c r="AN142" s="13">
        <f>$I$70*$AN$70</f>
        <v>622682.77218559838</v>
      </c>
      <c r="AO142" s="13">
        <f>$I$70*$AO$70</f>
        <v>108929.31385350191</v>
      </c>
      <c r="AP142" s="13">
        <f>$I$70*$AP$70</f>
        <v>0</v>
      </c>
      <c r="AQ142" s="13">
        <f>$I$70*$AQ$70</f>
        <v>255780.08251189499</v>
      </c>
      <c r="AR142" s="13">
        <f>$I$70*$AR$70</f>
        <v>73771.813772816065</v>
      </c>
      <c r="AS142" s="13">
        <f>$I$70*$AS$70</f>
        <v>864.65088107240376</v>
      </c>
      <c r="AT142" s="13">
        <f>$I$70*$AT$70</f>
        <v>0</v>
      </c>
      <c r="AU142" s="13">
        <f>$I$70*$AU$70</f>
        <v>0</v>
      </c>
      <c r="AV142" s="13">
        <f>$I$70*$AV$70</f>
        <v>0</v>
      </c>
      <c r="AW142" s="13">
        <f>$I$70*$AW$70</f>
        <v>0</v>
      </c>
      <c r="AX142" s="13">
        <f>$I$70*$AX$70</f>
        <v>1755391.0898462133</v>
      </c>
      <c r="AY142" s="13">
        <f>$I$70*$AY$70</f>
        <v>0</v>
      </c>
      <c r="AZ142" s="13">
        <f>$I$70*$AZ$70</f>
        <v>0</v>
      </c>
      <c r="BA142" s="13">
        <f>$I$70*$BA$70</f>
        <v>278146.3611277804</v>
      </c>
      <c r="BB142" s="13">
        <f>$I$70*$BB$70</f>
        <v>5642.9550730008159</v>
      </c>
      <c r="BC142" s="13">
        <f>$I$70*$BC$70</f>
        <v>20724.358353280833</v>
      </c>
      <c r="BD142" s="13">
        <f>$I$70*$BD$70</f>
        <v>3455.8761039545457</v>
      </c>
    </row>
    <row r="143" spans="1:56" ht="11.25" customHeight="1" x14ac:dyDescent="0.3">
      <c r="A143" s="9" t="s">
        <v>47</v>
      </c>
      <c r="B143" s="9" t="s">
        <v>1277</v>
      </c>
      <c r="C143" s="9" t="s">
        <v>1278</v>
      </c>
      <c r="D143" s="9" t="s">
        <v>1283</v>
      </c>
      <c r="E143" s="9" t="s">
        <v>1284</v>
      </c>
      <c r="F143" s="9" t="s">
        <v>1285</v>
      </c>
      <c r="G143" s="9" t="s">
        <v>1286</v>
      </c>
      <c r="L143" s="13">
        <f>$I$71*$L$71</f>
        <v>0</v>
      </c>
      <c r="M143" s="13">
        <f>$I$71*$M$71</f>
        <v>0</v>
      </c>
      <c r="N143" s="13">
        <f ca="1">$I$71*$N$71</f>
        <v>0</v>
      </c>
      <c r="O143" s="13">
        <f>$I$71*$O$71</f>
        <v>0</v>
      </c>
      <c r="P143" s="13">
        <f>$I$71*$P$71</f>
        <v>0</v>
      </c>
      <c r="Q143" s="13">
        <f>$I$71*$Q$71</f>
        <v>0</v>
      </c>
      <c r="R143" s="13">
        <f>$I$71*$R$71</f>
        <v>0</v>
      </c>
      <c r="S143" s="13">
        <f>$I$71*$S$71</f>
        <v>0</v>
      </c>
      <c r="T143" s="13">
        <f>$I$71*$T$71</f>
        <v>0</v>
      </c>
      <c r="U143" s="13">
        <f>$I$71*$U$71</f>
        <v>0</v>
      </c>
      <c r="V143" s="13">
        <f>$I$71*$V$71</f>
        <v>0</v>
      </c>
      <c r="W143" s="13">
        <f>$I$71*$W$71</f>
        <v>0</v>
      </c>
      <c r="X143" s="13">
        <f>$I$71*$X$71</f>
        <v>0</v>
      </c>
      <c r="Y143" s="13">
        <f>$I$71*$Y$71</f>
        <v>0</v>
      </c>
      <c r="Z143" s="13">
        <f>$I$71*$Z$71</f>
        <v>0</v>
      </c>
      <c r="AA143" s="13">
        <f>$I$71*$AA$71</f>
        <v>0</v>
      </c>
      <c r="AB143" s="13">
        <f ca="1">$I$71*$AB$71</f>
        <v>0</v>
      </c>
      <c r="AC143" s="13">
        <f ca="1">$I$71*$AC$71</f>
        <v>0</v>
      </c>
      <c r="AD143" s="13">
        <f>$I$71*$AD$71</f>
        <v>0</v>
      </c>
      <c r="AE143" s="13">
        <f>$I$71*$AE$71</f>
        <v>0</v>
      </c>
      <c r="AF143" s="13">
        <f ca="1">$I$71*$AF$71</f>
        <v>0</v>
      </c>
      <c r="AG143" s="13">
        <f ca="1">$I$71*$AG$71</f>
        <v>0</v>
      </c>
      <c r="AI143" s="13">
        <f>$I$71*$AI$71</f>
        <v>0</v>
      </c>
      <c r="AJ143" s="13">
        <f>$I$71*$AJ$71</f>
        <v>0</v>
      </c>
      <c r="AK143" s="13">
        <f>$I$71*$AK$71</f>
        <v>0</v>
      </c>
      <c r="AL143" s="13">
        <f>$I$71*$AL$71</f>
        <v>0</v>
      </c>
      <c r="AM143" s="13">
        <f>$I$71*$AM$71</f>
        <v>0</v>
      </c>
      <c r="AN143" s="13">
        <f>$I$71*$AN$71</f>
        <v>0</v>
      </c>
      <c r="AO143" s="13">
        <f>$I$71*$AO$71</f>
        <v>0</v>
      </c>
      <c r="AP143" s="13">
        <f>$I$71*$AP$71</f>
        <v>0</v>
      </c>
      <c r="AQ143" s="13">
        <f>$I$71*$AQ$71</f>
        <v>0</v>
      </c>
      <c r="AR143" s="13">
        <f>$I$71*$AR$71</f>
        <v>0</v>
      </c>
      <c r="AS143" s="13">
        <f>$I$71*$AS$71</f>
        <v>0</v>
      </c>
      <c r="AT143" s="13">
        <f>$I$71*$AT$71</f>
        <v>0</v>
      </c>
      <c r="AU143" s="13">
        <f>$I$71*$AU$71</f>
        <v>0</v>
      </c>
      <c r="AV143" s="13">
        <f>$I$71*$AV$71</f>
        <v>0</v>
      </c>
      <c r="AW143" s="13">
        <f>$I$71*$AW$71</f>
        <v>0</v>
      </c>
      <c r="AX143" s="13">
        <f>$I$71*$AX$71</f>
        <v>0</v>
      </c>
      <c r="AY143" s="13">
        <f>$I$71*$AY$71</f>
        <v>0</v>
      </c>
      <c r="AZ143" s="13">
        <f>$I$71*$AZ$71</f>
        <v>0</v>
      </c>
      <c r="BA143" s="13">
        <f>$I$71*$BA$71</f>
        <v>0</v>
      </c>
      <c r="BB143" s="13">
        <f>$I$71*$BB$71</f>
        <v>0</v>
      </c>
      <c r="BC143" s="13">
        <f>$I$71*$BC$71</f>
        <v>0</v>
      </c>
      <c r="BD143" s="13">
        <f>$I$71*$BD$71</f>
        <v>0</v>
      </c>
    </row>
  </sheetData>
  <mergeCells count="118">
    <mergeCell ref="AQ75:AW75"/>
    <mergeCell ref="AY75:AZ75"/>
    <mergeCell ref="BA75:BD75"/>
    <mergeCell ref="BA3:BD3"/>
    <mergeCell ref="L73:AG73"/>
    <mergeCell ref="AI73:BD73"/>
    <mergeCell ref="L74:AG74"/>
    <mergeCell ref="AI74:BD74"/>
    <mergeCell ref="L75:S75"/>
    <mergeCell ref="T75:Z75"/>
    <mergeCell ref="AB75:AC75"/>
    <mergeCell ref="AD75:AG75"/>
    <mergeCell ref="AI75:AP75"/>
    <mergeCell ref="AB3:AC3"/>
    <mergeCell ref="AD3:AG3"/>
    <mergeCell ref="E65:E67"/>
    <mergeCell ref="F65:F67"/>
    <mergeCell ref="A70:A71"/>
    <mergeCell ref="B70:B71"/>
    <mergeCell ref="C70:C71"/>
    <mergeCell ref="AI1:BD1"/>
    <mergeCell ref="AI2:BD2"/>
    <mergeCell ref="AI3:AP3"/>
    <mergeCell ref="AQ3:AW3"/>
    <mergeCell ref="AY3:AZ3"/>
    <mergeCell ref="B62:B64"/>
    <mergeCell ref="C62:C64"/>
    <mergeCell ref="A65:A69"/>
    <mergeCell ref="B65:B67"/>
    <mergeCell ref="C65:C67"/>
    <mergeCell ref="D65:D67"/>
    <mergeCell ref="F54:F56"/>
    <mergeCell ref="B58:B60"/>
    <mergeCell ref="C58:C60"/>
    <mergeCell ref="D58:D60"/>
    <mergeCell ref="E58:E60"/>
    <mergeCell ref="F58:F60"/>
    <mergeCell ref="A50:A64"/>
    <mergeCell ref="B50:B52"/>
    <mergeCell ref="C50:C52"/>
    <mergeCell ref="D50:D52"/>
    <mergeCell ref="E50:E52"/>
    <mergeCell ref="F50:F52"/>
    <mergeCell ref="B54:B56"/>
    <mergeCell ref="C54:C56"/>
    <mergeCell ref="D54:D56"/>
    <mergeCell ref="E54:E56"/>
    <mergeCell ref="A37:A49"/>
    <mergeCell ref="B37:B39"/>
    <mergeCell ref="C37:C39"/>
    <mergeCell ref="D37:D39"/>
    <mergeCell ref="E37:E39"/>
    <mergeCell ref="F37:F39"/>
    <mergeCell ref="B40:B44"/>
    <mergeCell ref="C40:C44"/>
    <mergeCell ref="B45:B49"/>
    <mergeCell ref="C45:C49"/>
    <mergeCell ref="B33:B34"/>
    <mergeCell ref="C33:C34"/>
    <mergeCell ref="D33:D34"/>
    <mergeCell ref="E33:E34"/>
    <mergeCell ref="F33:F34"/>
    <mergeCell ref="A35:A36"/>
    <mergeCell ref="B35:B36"/>
    <mergeCell ref="C35:C36"/>
    <mergeCell ref="D35:D36"/>
    <mergeCell ref="A24:A34"/>
    <mergeCell ref="B24:B27"/>
    <mergeCell ref="B28:B32"/>
    <mergeCell ref="C28:C32"/>
    <mergeCell ref="D28:D32"/>
    <mergeCell ref="E28:E30"/>
    <mergeCell ref="F28:F30"/>
    <mergeCell ref="E31:E32"/>
    <mergeCell ref="F31:F32"/>
    <mergeCell ref="A14:A23"/>
    <mergeCell ref="B14:B17"/>
    <mergeCell ref="C14:C17"/>
    <mergeCell ref="D14:D17"/>
    <mergeCell ref="E14:E16"/>
    <mergeCell ref="F14:F16"/>
    <mergeCell ref="B19:B23"/>
    <mergeCell ref="C19:C23"/>
    <mergeCell ref="D19:D23"/>
    <mergeCell ref="E19:E21"/>
    <mergeCell ref="H1:H4"/>
    <mergeCell ref="I1:I4"/>
    <mergeCell ref="F19:F21"/>
    <mergeCell ref="E22:E23"/>
    <mergeCell ref="F22:F23"/>
    <mergeCell ref="C24:C27"/>
    <mergeCell ref="D24:D27"/>
    <mergeCell ref="E24:E26"/>
    <mergeCell ref="F24:F26"/>
    <mergeCell ref="A9:A13"/>
    <mergeCell ref="B9:B12"/>
    <mergeCell ref="C9:C12"/>
    <mergeCell ref="D9:D12"/>
    <mergeCell ref="E9:E11"/>
    <mergeCell ref="F9:F11"/>
    <mergeCell ref="J1:J4"/>
    <mergeCell ref="L1:AG1"/>
    <mergeCell ref="L2:AG2"/>
    <mergeCell ref="L3:S3"/>
    <mergeCell ref="T3:Z3"/>
    <mergeCell ref="A1:A4"/>
    <mergeCell ref="B1:B4"/>
    <mergeCell ref="C1:C4"/>
    <mergeCell ref="D1:D4"/>
    <mergeCell ref="E1:E4"/>
    <mergeCell ref="F1:F4"/>
    <mergeCell ref="A5:A8"/>
    <mergeCell ref="B5:B8"/>
    <mergeCell ref="C5:C8"/>
    <mergeCell ref="D5:D8"/>
    <mergeCell ref="E5:E7"/>
    <mergeCell ref="F5:F7"/>
    <mergeCell ref="G1:G4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91CBE-AD8F-4DFE-9D19-986452A60663}">
  <sheetPr codeName="Planilha23"/>
  <dimension ref="A1:AH99"/>
  <sheetViews>
    <sheetView showGridLines="0" topLeftCell="H20" workbookViewId="0">
      <selection activeCell="V50" sqref="V50"/>
    </sheetView>
  </sheetViews>
  <sheetFormatPr defaultRowHeight="11.25" customHeight="1" x14ac:dyDescent="0.3"/>
  <cols>
    <col min="1" max="1" width="9" style="9" bestFit="1" customWidth="1"/>
    <col min="2" max="2" width="26.5546875" style="9" bestFit="1" customWidth="1"/>
    <col min="3" max="3" width="35.5546875" style="9" bestFit="1" customWidth="1"/>
    <col min="4" max="4" width="56.77734375" style="9" bestFit="1" customWidth="1"/>
    <col min="5" max="5" width="65.77734375" style="9" bestFit="1" customWidth="1"/>
    <col min="6" max="6" width="74.88671875" style="9" bestFit="1" customWidth="1"/>
    <col min="7" max="7" width="75.8867187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9.88671875" style="9" bestFit="1" customWidth="1"/>
    <col min="12" max="12" width="7.88671875" style="9" bestFit="1" customWidth="1"/>
    <col min="13" max="13" width="9.109375" style="9" bestFit="1" customWidth="1"/>
    <col min="14" max="14" width="7.109375" style="9" bestFit="1" customWidth="1"/>
    <col min="15" max="15" width="10.33203125" style="9" bestFit="1" customWidth="1"/>
    <col min="16" max="16" width="9.5546875" style="9" bestFit="1" customWidth="1"/>
    <col min="17" max="17" width="14.44140625" style="9" bestFit="1" customWidth="1"/>
    <col min="18" max="18" width="7.88671875" style="9" bestFit="1" customWidth="1"/>
    <col min="19" max="19" width="9.77734375" style="9" bestFit="1" customWidth="1"/>
    <col min="20" max="20" width="6.44140625" style="9" bestFit="1" customWidth="1"/>
    <col min="21" max="21" width="10.33203125" style="9" bestFit="1" customWidth="1"/>
    <col min="22" max="22" width="10.5546875" style="9" bestFit="1" customWidth="1"/>
    <col min="23" max="23" width="8.88671875" style="9"/>
    <col min="24" max="24" width="7.88671875" style="9" bestFit="1" customWidth="1"/>
    <col min="25" max="25" width="9.109375" style="9" bestFit="1" customWidth="1"/>
    <col min="26" max="26" width="7.109375" style="9" bestFit="1" customWidth="1"/>
    <col min="27" max="27" width="10.33203125" style="9" bestFit="1" customWidth="1"/>
    <col min="28" max="28" width="9.5546875" style="9" bestFit="1" customWidth="1"/>
    <col min="29" max="29" width="14.44140625" style="9" bestFit="1" customWidth="1"/>
    <col min="30" max="30" width="7.88671875" style="9" bestFit="1" customWidth="1"/>
    <col min="31" max="31" width="9.77734375" style="9" bestFit="1" customWidth="1"/>
    <col min="32" max="32" width="6.44140625" style="9" bestFit="1" customWidth="1"/>
    <col min="33" max="33" width="10.33203125" style="9" bestFit="1" customWidth="1"/>
    <col min="34" max="34" width="10.5546875" style="9" bestFit="1" customWidth="1"/>
    <col min="35" max="16384" width="8.88671875" style="9"/>
  </cols>
  <sheetData>
    <row r="1" spans="1:34" ht="11.25" customHeight="1" x14ac:dyDescent="0.3">
      <c r="A1" s="134" t="s">
        <v>68</v>
      </c>
      <c r="B1" s="134" t="s">
        <v>69</v>
      </c>
      <c r="C1" s="134" t="s">
        <v>70</v>
      </c>
      <c r="D1" s="134" t="s">
        <v>71</v>
      </c>
      <c r="E1" s="134" t="s">
        <v>72</v>
      </c>
      <c r="F1" s="134" t="s">
        <v>15</v>
      </c>
      <c r="G1" s="134" t="s">
        <v>74</v>
      </c>
      <c r="H1" s="134" t="s">
        <v>75</v>
      </c>
      <c r="I1" s="134" t="s">
        <v>757</v>
      </c>
      <c r="J1" s="123"/>
      <c r="L1" s="135" t="s">
        <v>1287</v>
      </c>
      <c r="M1" s="135"/>
      <c r="N1" s="135"/>
      <c r="O1" s="135"/>
      <c r="P1" s="135"/>
      <c r="Q1" s="135"/>
      <c r="R1" s="135"/>
      <c r="S1" s="135"/>
      <c r="T1" s="135"/>
      <c r="U1" s="135"/>
      <c r="V1" s="135"/>
      <c r="X1" s="135" t="s">
        <v>1288</v>
      </c>
      <c r="Y1" s="135"/>
      <c r="Z1" s="135"/>
      <c r="AA1" s="135"/>
      <c r="AB1" s="135"/>
      <c r="AC1" s="135"/>
      <c r="AD1" s="135"/>
      <c r="AE1" s="135"/>
      <c r="AF1" s="135"/>
      <c r="AG1" s="135"/>
      <c r="AH1" s="135"/>
    </row>
    <row r="2" spans="1:34" ht="11.25" customHeight="1" x14ac:dyDescent="0.3">
      <c r="A2" s="134"/>
      <c r="B2" s="134"/>
      <c r="C2" s="134"/>
      <c r="D2" s="134"/>
      <c r="E2" s="134"/>
      <c r="F2" s="134"/>
      <c r="G2" s="134"/>
      <c r="H2" s="134"/>
      <c r="I2" s="134"/>
      <c r="J2" s="123"/>
      <c r="L2" s="135" t="s">
        <v>684</v>
      </c>
      <c r="M2" s="135"/>
      <c r="N2" s="135"/>
      <c r="O2" s="135"/>
      <c r="P2" s="135"/>
      <c r="Q2" s="135"/>
      <c r="R2" s="135"/>
      <c r="S2" s="135"/>
      <c r="T2" s="135"/>
      <c r="U2" s="135"/>
      <c r="V2" s="135"/>
      <c r="X2" s="135" t="s">
        <v>684</v>
      </c>
      <c r="Y2" s="135"/>
      <c r="Z2" s="135"/>
      <c r="AA2" s="135"/>
      <c r="AB2" s="135"/>
      <c r="AC2" s="135"/>
      <c r="AD2" s="135"/>
      <c r="AE2" s="135"/>
      <c r="AF2" s="135"/>
      <c r="AG2" s="135"/>
      <c r="AH2" s="135"/>
    </row>
    <row r="3" spans="1:34" ht="11.25" customHeight="1" x14ac:dyDescent="0.3">
      <c r="A3" s="134"/>
      <c r="B3" s="134"/>
      <c r="C3" s="134"/>
      <c r="D3" s="134"/>
      <c r="E3" s="134"/>
      <c r="F3" s="134"/>
      <c r="G3" s="134"/>
      <c r="H3" s="134"/>
      <c r="I3" s="134"/>
      <c r="J3" s="123"/>
      <c r="L3" s="135" t="s">
        <v>657</v>
      </c>
      <c r="M3" s="135"/>
      <c r="N3" s="135"/>
      <c r="O3" s="135"/>
      <c r="P3" s="135"/>
      <c r="Q3" s="24" t="s">
        <v>688</v>
      </c>
      <c r="R3" s="135" t="s">
        <v>666</v>
      </c>
      <c r="S3" s="135"/>
      <c r="T3" s="135"/>
      <c r="U3" s="24" t="s">
        <v>676</v>
      </c>
      <c r="V3" s="24" t="s">
        <v>679</v>
      </c>
      <c r="X3" s="135" t="s">
        <v>657</v>
      </c>
      <c r="Y3" s="135"/>
      <c r="Z3" s="135"/>
      <c r="AA3" s="135"/>
      <c r="AB3" s="135"/>
      <c r="AC3" s="24" t="s">
        <v>688</v>
      </c>
      <c r="AD3" s="135" t="s">
        <v>666</v>
      </c>
      <c r="AE3" s="135"/>
      <c r="AF3" s="135"/>
      <c r="AG3" s="24" t="s">
        <v>676</v>
      </c>
      <c r="AH3" s="24" t="s">
        <v>679</v>
      </c>
    </row>
    <row r="4" spans="1:34" ht="11.25" customHeight="1" x14ac:dyDescent="0.3">
      <c r="A4" s="134"/>
      <c r="B4" s="134"/>
      <c r="C4" s="134"/>
      <c r="D4" s="134"/>
      <c r="E4" s="134"/>
      <c r="F4" s="134"/>
      <c r="G4" s="134"/>
      <c r="H4" s="134"/>
      <c r="I4" s="134"/>
      <c r="J4" s="123"/>
      <c r="L4" s="24" t="s">
        <v>659</v>
      </c>
      <c r="M4" s="24" t="s">
        <v>685</v>
      </c>
      <c r="N4" s="24" t="s">
        <v>686</v>
      </c>
      <c r="O4" s="24" t="s">
        <v>745</v>
      </c>
      <c r="P4" s="24" t="s">
        <v>687</v>
      </c>
      <c r="Q4" s="24" t="s">
        <v>689</v>
      </c>
      <c r="R4" s="24" t="s">
        <v>690</v>
      </c>
      <c r="S4" s="24" t="s">
        <v>691</v>
      </c>
      <c r="T4" s="24" t="s">
        <v>692</v>
      </c>
      <c r="U4" s="24" t="s">
        <v>677</v>
      </c>
      <c r="V4" s="24" t="s">
        <v>693</v>
      </c>
      <c r="X4" s="24" t="s">
        <v>659</v>
      </c>
      <c r="Y4" s="24" t="s">
        <v>685</v>
      </c>
      <c r="Z4" s="24" t="s">
        <v>686</v>
      </c>
      <c r="AA4" s="24" t="s">
        <v>745</v>
      </c>
      <c r="AB4" s="24" t="s">
        <v>687</v>
      </c>
      <c r="AC4" s="24" t="s">
        <v>689</v>
      </c>
      <c r="AD4" s="24" t="s">
        <v>690</v>
      </c>
      <c r="AE4" s="24" t="s">
        <v>691</v>
      </c>
      <c r="AF4" s="24" t="s">
        <v>692</v>
      </c>
      <c r="AG4" s="24" t="s">
        <v>677</v>
      </c>
      <c r="AH4" s="24" t="s">
        <v>693</v>
      </c>
    </row>
    <row r="5" spans="1:34" ht="11.25" customHeight="1" x14ac:dyDescent="0.3">
      <c r="A5" s="133" t="s">
        <v>54</v>
      </c>
      <c r="B5" s="133" t="s">
        <v>77</v>
      </c>
      <c r="C5" s="133" t="s">
        <v>25</v>
      </c>
      <c r="D5" s="133" t="s">
        <v>25</v>
      </c>
      <c r="E5" s="133" t="s">
        <v>25</v>
      </c>
      <c r="F5" s="133" t="s">
        <v>25</v>
      </c>
      <c r="G5" s="23" t="s">
        <v>79</v>
      </c>
      <c r="H5" s="23" t="s">
        <v>78</v>
      </c>
      <c r="I5" s="23">
        <f>'MERCADO TE'!$U$2</f>
        <v>0</v>
      </c>
      <c r="J5" s="15"/>
      <c r="L5" s="20">
        <f>('TE BE'!$L$5+'TE BF'!$L$5+'TE CVA'!$L$5)*1</f>
        <v>2.7264009271945664</v>
      </c>
      <c r="M5" s="20">
        <f>('TE BE'!$M$5+'TE BF'!$M$5+'TE CVA'!$M$5)*1</f>
        <v>21.706024922817182</v>
      </c>
      <c r="N5" s="20">
        <f>('TE BE'!$N$5+'TE BF'!$N$5+'TE CVA'!$N$5)*1</f>
        <v>1.5667827349591439</v>
      </c>
      <c r="O5" s="20">
        <f>('TE BE'!$O$5+'TE BF'!$O$5+'TE CVA'!$O$5)*1</f>
        <v>13.550451121644054</v>
      </c>
      <c r="P5" s="20">
        <f>('TE BE'!$P$5+'TE BF'!$P$5+'TE CVA'!$P$5)*1</f>
        <v>-18.961978214784679</v>
      </c>
      <c r="Q5" s="20">
        <f>('TE BE'!$R$5+'TE BF'!$R$5+'TE CVA'!$R$5)*1</f>
        <v>447.33266367349682</v>
      </c>
      <c r="R5" s="20">
        <f>('TE BE'!$T$5+'TE BF'!$T$5+'TE CVA'!$T$5)*1</f>
        <v>8.1215488417243442</v>
      </c>
      <c r="S5" s="20">
        <f>('TE BE'!$U$5+'TE BF'!$U$5+'TE CVA'!$U$5)*1</f>
        <v>6.1196450131634643</v>
      </c>
      <c r="T5" s="20">
        <f>('TE BE'!$V$5+'TE BF'!$V$5+'TE CVA'!$V$5)*1</f>
        <v>0</v>
      </c>
      <c r="U5" s="20">
        <f>('TE BE'!$X$5+'TE BF'!$X$5+'TE CVA'!$X$5)*1</f>
        <v>0</v>
      </c>
      <c r="V5" s="20">
        <f>('TE BE'!$Z$5+'TE BF'!$Z$5+'TE CVA'!$Z$5)*1</f>
        <v>4.274545037732544</v>
      </c>
      <c r="X5" s="20">
        <v>2.60344039612484</v>
      </c>
      <c r="Y5" s="20">
        <v>13.9433548519797</v>
      </c>
      <c r="Z5" s="20">
        <v>0.966353452828006</v>
      </c>
      <c r="AA5" s="20">
        <v>0</v>
      </c>
      <c r="AB5" s="20">
        <v>0</v>
      </c>
      <c r="AC5" s="20">
        <v>392.22586688309099</v>
      </c>
      <c r="AD5" s="20">
        <v>8.1254917675761895</v>
      </c>
      <c r="AE5" s="20">
        <v>7.1712215387980001</v>
      </c>
      <c r="AF5" s="20">
        <v>0</v>
      </c>
      <c r="AG5" s="20">
        <v>0</v>
      </c>
      <c r="AH5" s="20">
        <v>4.3723665863033299</v>
      </c>
    </row>
    <row r="6" spans="1:34" ht="11.25" customHeight="1" x14ac:dyDescent="0.3">
      <c r="A6" s="133"/>
      <c r="B6" s="133"/>
      <c r="C6" s="133"/>
      <c r="D6" s="133"/>
      <c r="E6" s="133"/>
      <c r="F6" s="133"/>
      <c r="G6" s="23" t="s">
        <v>80</v>
      </c>
      <c r="H6" s="23" t="s">
        <v>78</v>
      </c>
      <c r="I6" s="23">
        <f>'MERCADO TE'!$U$3</f>
        <v>0</v>
      </c>
      <c r="J6" s="15"/>
      <c r="L6" s="20">
        <f>('TE BE'!$L$6+'TE BF'!$L$6+'TE CVA'!$L$6)*1</f>
        <v>2.7264009271945664</v>
      </c>
      <c r="M6" s="20">
        <f>('TE BE'!$M$6+'TE BF'!$M$6+'TE CVA'!$M$6)*1</f>
        <v>21.706024922817182</v>
      </c>
      <c r="N6" s="20">
        <f>('TE BE'!$N$6+'TE BF'!$N$6+'TE CVA'!$N$6)*1</f>
        <v>1.5667827349591439</v>
      </c>
      <c r="O6" s="20">
        <f>('TE BE'!$O$6+'TE BF'!$O$6+'TE CVA'!$O$6)*1</f>
        <v>13.550451121644054</v>
      </c>
      <c r="P6" s="20">
        <f>('TE BE'!$P$6+'TE BF'!$P$6+'TE CVA'!$P$6)*1</f>
        <v>-18.961978214784679</v>
      </c>
      <c r="Q6" s="20">
        <f>('TE BE'!$R$6+'TE BF'!$R$6+'TE CVA'!$R$6)*1</f>
        <v>260.07713004273069</v>
      </c>
      <c r="R6" s="20">
        <f>('TE BE'!$T$6+'TE BF'!$T$6+'TE CVA'!$T$6)*1</f>
        <v>8.1215488417243442</v>
      </c>
      <c r="S6" s="20">
        <f>('TE BE'!$U$6+'TE BF'!$U$6+'TE CVA'!$U$6)*1</f>
        <v>6.1196450131634643</v>
      </c>
      <c r="T6" s="20">
        <f>('TE BE'!$V$6+'TE BF'!$V$6+'TE CVA'!$V$6)*1</f>
        <v>0</v>
      </c>
      <c r="U6" s="20">
        <f>('TE BE'!$X$6+'TE BF'!$X$6+'TE CVA'!$X$6)*1</f>
        <v>0</v>
      </c>
      <c r="V6" s="20">
        <f>('TE BE'!$Z$6+'TE BF'!$Z$6+'TE CVA'!$Z$6)*1</f>
        <v>4.274545037732544</v>
      </c>
      <c r="X6" s="20">
        <v>2.60344039612484</v>
      </c>
      <c r="Y6" s="20">
        <v>13.9433548519797</v>
      </c>
      <c r="Z6" s="20">
        <v>0.966353452828006</v>
      </c>
      <c r="AA6" s="20">
        <v>0</v>
      </c>
      <c r="AB6" s="20">
        <v>0</v>
      </c>
      <c r="AC6" s="20">
        <v>228.038294699472</v>
      </c>
      <c r="AD6" s="20">
        <v>8.1254917675761895</v>
      </c>
      <c r="AE6" s="20">
        <v>7.1712215387980001</v>
      </c>
      <c r="AF6" s="20">
        <v>0</v>
      </c>
      <c r="AG6" s="20">
        <v>0</v>
      </c>
      <c r="AH6" s="20">
        <v>4.3723665863033299</v>
      </c>
    </row>
    <row r="7" spans="1:34" ht="11.25" customHeight="1" x14ac:dyDescent="0.3">
      <c r="A7" s="133" t="s">
        <v>60</v>
      </c>
      <c r="B7" s="133" t="s">
        <v>77</v>
      </c>
      <c r="C7" s="133" t="s">
        <v>25</v>
      </c>
      <c r="D7" s="133" t="s">
        <v>25</v>
      </c>
      <c r="E7" s="133" t="s">
        <v>25</v>
      </c>
      <c r="F7" s="133" t="s">
        <v>25</v>
      </c>
      <c r="G7" s="23" t="s">
        <v>79</v>
      </c>
      <c r="H7" s="23" t="s">
        <v>78</v>
      </c>
      <c r="I7" s="23">
        <f>'MERCADO TE'!$U$4</f>
        <v>0</v>
      </c>
      <c r="J7" s="15"/>
      <c r="L7" s="20">
        <f>('TE BE'!$L$7+'TE BF'!$L$7+'TE CVA'!$L$7)*1</f>
        <v>2.7264009271945664</v>
      </c>
      <c r="M7" s="20">
        <f>('TE BE'!$M$7+'TE BF'!$M$7+'TE CVA'!$M$7)*1</f>
        <v>21.706024922817182</v>
      </c>
      <c r="N7" s="20">
        <f>('TE BE'!$N$7+'TE BF'!$N$7+'TE CVA'!$N$7)*1</f>
        <v>1.5667827349591439</v>
      </c>
      <c r="O7" s="20">
        <f>('TE BE'!$O$7+'TE BF'!$O$7+'TE CVA'!$O$7)*1</f>
        <v>13.550451121644054</v>
      </c>
      <c r="P7" s="20">
        <f>('TE BE'!$P$7+'TE BF'!$P$7+'TE CVA'!$P$7)*1</f>
        <v>-18.961978214784679</v>
      </c>
      <c r="Q7" s="20">
        <f>('TE BE'!$R$7+'TE BF'!$R$7+'TE CVA'!$R$7)*1</f>
        <v>447.33266367349682</v>
      </c>
      <c r="R7" s="20">
        <f>('TE BE'!$T$7+'TE BF'!$T$7+'TE CVA'!$T$7)*1</f>
        <v>8.1215488417243442</v>
      </c>
      <c r="S7" s="20">
        <f>('TE BE'!$U$7+'TE BF'!$U$7+'TE CVA'!$U$7)*1</f>
        <v>6.1196450131634643</v>
      </c>
      <c r="T7" s="20">
        <f>('TE BE'!$V$7+'TE BF'!$V$7+'TE CVA'!$V$7)*1</f>
        <v>0</v>
      </c>
      <c r="U7" s="20">
        <f>('TE BE'!$X$7+'TE BF'!$X$7+'TE CVA'!$X$7)*1</f>
        <v>0</v>
      </c>
      <c r="V7" s="20">
        <f>('TE BE'!$Z$7+'TE BF'!$Z$7+'TE CVA'!$Z$7)*1</f>
        <v>4.274545037732544</v>
      </c>
      <c r="X7" s="20">
        <v>2.60344039612484</v>
      </c>
      <c r="Y7" s="20">
        <v>13.9433548519797</v>
      </c>
      <c r="Z7" s="20">
        <v>0.966353452828006</v>
      </c>
      <c r="AA7" s="20">
        <v>0</v>
      </c>
      <c r="AB7" s="20">
        <v>0</v>
      </c>
      <c r="AC7" s="20">
        <v>392.22586688309099</v>
      </c>
      <c r="AD7" s="20">
        <v>8.1254917675761895</v>
      </c>
      <c r="AE7" s="20">
        <v>7.1712215387980001</v>
      </c>
      <c r="AF7" s="20">
        <v>0</v>
      </c>
      <c r="AG7" s="20">
        <v>0</v>
      </c>
      <c r="AH7" s="20">
        <v>4.3723665863033299</v>
      </c>
    </row>
    <row r="8" spans="1:34" ht="11.25" customHeight="1" x14ac:dyDescent="0.3">
      <c r="A8" s="133"/>
      <c r="B8" s="133"/>
      <c r="C8" s="133"/>
      <c r="D8" s="133"/>
      <c r="E8" s="133"/>
      <c r="F8" s="133"/>
      <c r="G8" s="23" t="s">
        <v>80</v>
      </c>
      <c r="H8" s="23" t="s">
        <v>78</v>
      </c>
      <c r="I8" s="23">
        <f>'MERCADO TE'!$U$5</f>
        <v>0</v>
      </c>
      <c r="J8" s="15"/>
      <c r="L8" s="20">
        <f>('TE BE'!$L$8+'TE BF'!$L$8+'TE CVA'!$L$8)*1</f>
        <v>2.7264009271945664</v>
      </c>
      <c r="M8" s="20">
        <f>('TE BE'!$M$8+'TE BF'!$M$8+'TE CVA'!$M$8)*1</f>
        <v>21.706024922817182</v>
      </c>
      <c r="N8" s="20">
        <f>('TE BE'!$N$8+'TE BF'!$N$8+'TE CVA'!$N$8)*1</f>
        <v>1.5667827349591439</v>
      </c>
      <c r="O8" s="20">
        <f>('TE BE'!$O$8+'TE BF'!$O$8+'TE CVA'!$O$8)*1</f>
        <v>13.550451121644054</v>
      </c>
      <c r="P8" s="20">
        <f>('TE BE'!$P$8+'TE BF'!$P$8+'TE CVA'!$P$8)*1</f>
        <v>-18.961978214784679</v>
      </c>
      <c r="Q8" s="20">
        <f>('TE BE'!$R$8+'TE BF'!$R$8+'TE CVA'!$R$8)*1</f>
        <v>260.07713004273069</v>
      </c>
      <c r="R8" s="20">
        <f>('TE BE'!$T$8+'TE BF'!$T$8+'TE CVA'!$T$8)*1</f>
        <v>8.1215488417243442</v>
      </c>
      <c r="S8" s="20">
        <f>('TE BE'!$U$8+'TE BF'!$U$8+'TE CVA'!$U$8)*1</f>
        <v>6.1196450131634643</v>
      </c>
      <c r="T8" s="20">
        <f>('TE BE'!$V$8+'TE BF'!$V$8+'TE CVA'!$V$8)*1</f>
        <v>0</v>
      </c>
      <c r="U8" s="20">
        <f>('TE BE'!$X$8+'TE BF'!$X$8+'TE CVA'!$X$8)*1</f>
        <v>0</v>
      </c>
      <c r="V8" s="20">
        <f>('TE BE'!$Z$8+'TE BF'!$Z$8+'TE CVA'!$Z$8)*1</f>
        <v>4.274545037732544</v>
      </c>
      <c r="X8" s="20">
        <v>2.60344039612484</v>
      </c>
      <c r="Y8" s="20">
        <v>13.9433548519797</v>
      </c>
      <c r="Z8" s="20">
        <v>0.966353452828006</v>
      </c>
      <c r="AA8" s="20">
        <v>0</v>
      </c>
      <c r="AB8" s="20">
        <v>0</v>
      </c>
      <c r="AC8" s="20">
        <v>228.038294699472</v>
      </c>
      <c r="AD8" s="20">
        <v>8.1254917675761895</v>
      </c>
      <c r="AE8" s="20">
        <v>7.1712215387980001</v>
      </c>
      <c r="AF8" s="20">
        <v>0</v>
      </c>
      <c r="AG8" s="20">
        <v>0</v>
      </c>
      <c r="AH8" s="20">
        <v>4.3723665863033299</v>
      </c>
    </row>
    <row r="9" spans="1:34" ht="11.25" customHeight="1" x14ac:dyDescent="0.3">
      <c r="A9" s="133" t="s">
        <v>39</v>
      </c>
      <c r="B9" s="133" t="s">
        <v>77</v>
      </c>
      <c r="C9" s="133" t="s">
        <v>25</v>
      </c>
      <c r="D9" s="133" t="s">
        <v>25</v>
      </c>
      <c r="E9" s="133" t="s">
        <v>25</v>
      </c>
      <c r="F9" s="133" t="s">
        <v>25</v>
      </c>
      <c r="G9" s="23" t="s">
        <v>79</v>
      </c>
      <c r="H9" s="23" t="s">
        <v>78</v>
      </c>
      <c r="I9" s="23">
        <f>'MERCADO TE'!$U$6</f>
        <v>5372.2169999999987</v>
      </c>
      <c r="J9" s="15"/>
      <c r="L9" s="20">
        <f>('TE BE'!$L$9+'TE BF'!$L$9+'TE CVA'!$L$9)*1</f>
        <v>2.7264009271945664</v>
      </c>
      <c r="M9" s="20">
        <f>('TE BE'!$M$9+'TE BF'!$M$9+'TE CVA'!$M$9)*1</f>
        <v>21.706024922817182</v>
      </c>
      <c r="N9" s="20">
        <f>('TE BE'!$N$9+'TE BF'!$N$9+'TE CVA'!$N$9)*1</f>
        <v>1.5667827349591439</v>
      </c>
      <c r="O9" s="20">
        <f>('TE BE'!$O$9+'TE BF'!$O$9+'TE CVA'!$O$9)*1</f>
        <v>13.550451121644054</v>
      </c>
      <c r="P9" s="20">
        <f>('TE BE'!$P$9+'TE BF'!$P$9+'TE CVA'!$P$9)*1</f>
        <v>-18.961978214784679</v>
      </c>
      <c r="Q9" s="20">
        <f>('TE BE'!$R$9+'TE BF'!$R$9+'TE CVA'!$R$9)*1</f>
        <v>447.33266367349682</v>
      </c>
      <c r="R9" s="20">
        <f>('TE BE'!$T$9+'TE BF'!$T$9+'TE CVA'!$T$9)*1</f>
        <v>8.1215488417243442</v>
      </c>
      <c r="S9" s="20">
        <f>('TE BE'!$U$9+'TE BF'!$U$9+'TE CVA'!$U$9)*1</f>
        <v>6.1196450131634643</v>
      </c>
      <c r="T9" s="20">
        <f>('TE BE'!$V$9+'TE BF'!$V$9+'TE CVA'!$V$9)*1</f>
        <v>0</v>
      </c>
      <c r="U9" s="20">
        <f>('TE BE'!$X$9+'TE BF'!$X$9+'TE CVA'!$X$9)*1</f>
        <v>0</v>
      </c>
      <c r="V9" s="20">
        <f>('TE BE'!$Z$9+'TE BF'!$Z$9+'TE CVA'!$Z$9)*1</f>
        <v>4.274545037732544</v>
      </c>
      <c r="X9" s="20">
        <v>2.60344039612484</v>
      </c>
      <c r="Y9" s="20">
        <v>13.9433548519797</v>
      </c>
      <c r="Z9" s="20">
        <v>0.966353452828006</v>
      </c>
      <c r="AA9" s="20">
        <v>0</v>
      </c>
      <c r="AB9" s="20">
        <v>0</v>
      </c>
      <c r="AC9" s="20">
        <v>392.22586688309099</v>
      </c>
      <c r="AD9" s="20">
        <v>8.1254917675761895</v>
      </c>
      <c r="AE9" s="20">
        <v>7.1712215387980001</v>
      </c>
      <c r="AF9" s="20">
        <v>0</v>
      </c>
      <c r="AG9" s="20">
        <v>0</v>
      </c>
      <c r="AH9" s="20">
        <v>4.3723665863033299</v>
      </c>
    </row>
    <row r="10" spans="1:34" ht="11.25" customHeight="1" x14ac:dyDescent="0.3">
      <c r="A10" s="133"/>
      <c r="B10" s="133"/>
      <c r="C10" s="133"/>
      <c r="D10" s="133"/>
      <c r="E10" s="133"/>
      <c r="F10" s="133"/>
      <c r="G10" s="23" t="s">
        <v>80</v>
      </c>
      <c r="H10" s="23" t="s">
        <v>78</v>
      </c>
      <c r="I10" s="23">
        <f>'MERCADO TE'!$U$7</f>
        <v>62595.072</v>
      </c>
      <c r="J10" s="15"/>
      <c r="L10" s="20">
        <f>('TE BE'!$L$10+'TE BF'!$L$10+'TE CVA'!$L$10)*1</f>
        <v>2.7264009271945664</v>
      </c>
      <c r="M10" s="20">
        <f>('TE BE'!$M$10+'TE BF'!$M$10+'TE CVA'!$M$10)*1</f>
        <v>21.706024922817182</v>
      </c>
      <c r="N10" s="20">
        <f>('TE BE'!$N$10+'TE BF'!$N$10+'TE CVA'!$N$10)*1</f>
        <v>1.5667827349591439</v>
      </c>
      <c r="O10" s="20">
        <f>('TE BE'!$O$10+'TE BF'!$O$10+'TE CVA'!$O$10)*1</f>
        <v>13.550451121644054</v>
      </c>
      <c r="P10" s="20">
        <f>('TE BE'!$P$10+'TE BF'!$P$10+'TE CVA'!$P$10)*1</f>
        <v>-18.961978214784679</v>
      </c>
      <c r="Q10" s="20">
        <f>('TE BE'!$R$10+'TE BF'!$R$10+'TE CVA'!$R$10)*1</f>
        <v>260.07713004273069</v>
      </c>
      <c r="R10" s="20">
        <f>('TE BE'!$T$10+'TE BF'!$T$10+'TE CVA'!$T$10)*1</f>
        <v>8.1215488417243442</v>
      </c>
      <c r="S10" s="20">
        <f>('TE BE'!$U$10+'TE BF'!$U$10+'TE CVA'!$U$10)*1</f>
        <v>6.1196450131634643</v>
      </c>
      <c r="T10" s="20">
        <f>('TE BE'!$V$10+'TE BF'!$V$10+'TE CVA'!$V$10)*1</f>
        <v>0</v>
      </c>
      <c r="U10" s="20">
        <f>('TE BE'!$X$10+'TE BF'!$X$10+'TE CVA'!$X$10)*1</f>
        <v>0</v>
      </c>
      <c r="V10" s="20">
        <f>('TE BE'!$Z$10+'TE BF'!$Z$10+'TE CVA'!$Z$10)*1</f>
        <v>4.274545037732544</v>
      </c>
      <c r="X10" s="20">
        <v>2.60344039612484</v>
      </c>
      <c r="Y10" s="20">
        <v>13.9433548519797</v>
      </c>
      <c r="Z10" s="20">
        <v>0.966353452828006</v>
      </c>
      <c r="AA10" s="20">
        <v>0</v>
      </c>
      <c r="AB10" s="20">
        <v>0</v>
      </c>
      <c r="AC10" s="20">
        <v>228.038294699472</v>
      </c>
      <c r="AD10" s="20">
        <v>8.1254917675761895</v>
      </c>
      <c r="AE10" s="20">
        <v>7.1712215387980001</v>
      </c>
      <c r="AF10" s="20">
        <v>0</v>
      </c>
      <c r="AG10" s="20">
        <v>0</v>
      </c>
      <c r="AH10" s="20">
        <v>4.3723665863033299</v>
      </c>
    </row>
    <row r="11" spans="1:34" ht="11.25" customHeight="1" x14ac:dyDescent="0.3">
      <c r="A11" s="133"/>
      <c r="B11" s="22" t="s">
        <v>86</v>
      </c>
      <c r="C11" s="22" t="s">
        <v>25</v>
      </c>
      <c r="D11" s="22" t="s">
        <v>25</v>
      </c>
      <c r="E11" s="22" t="s">
        <v>25</v>
      </c>
      <c r="F11" s="22" t="s">
        <v>25</v>
      </c>
      <c r="G11" s="23" t="s">
        <v>84</v>
      </c>
      <c r="H11" s="23" t="s">
        <v>78</v>
      </c>
      <c r="I11" s="23">
        <f>'MERCADO TE'!$U$8</f>
        <v>0</v>
      </c>
      <c r="J11" s="15"/>
      <c r="L11" s="20">
        <f>('TE BE'!$L$11+'TE BF'!$L$11+'TE CVA'!$L$11)*1</f>
        <v>2.7264009271945664</v>
      </c>
      <c r="M11" s="20">
        <f>('TE BE'!$M$11+'TE BF'!$M$11+'TE CVA'!$M$11)*1</f>
        <v>21.706024922817182</v>
      </c>
      <c r="N11" s="20">
        <f>('TE BE'!$N$11+'TE BF'!$N$11+'TE CVA'!$N$11)*1</f>
        <v>1.5667827349591439</v>
      </c>
      <c r="O11" s="20">
        <f>('TE BE'!$O$11+'TE BF'!$O$11+'TE CVA'!$O$11)*1</f>
        <v>13.550451121644054</v>
      </c>
      <c r="P11" s="20">
        <f>('TE BE'!$P$11+'TE BF'!$P$11+'TE CVA'!$P$11)*1</f>
        <v>-18.961978214784679</v>
      </c>
      <c r="Q11" s="20">
        <f>('TE BE'!$R$11+'TE BF'!$R$11+'TE CVA'!$R$11)*1</f>
        <v>275.68175784529456</v>
      </c>
      <c r="R11" s="20">
        <f>('TE BE'!$T$11+'TE BF'!$T$11+'TE CVA'!$T$11)*1</f>
        <v>8.1215488417243442</v>
      </c>
      <c r="S11" s="20">
        <f>('TE BE'!$U$11+'TE BF'!$U$11+'TE CVA'!$U$11)*1</f>
        <v>6.1196450131634643</v>
      </c>
      <c r="T11" s="20">
        <f>('TE BE'!$V$11+'TE BF'!$V$11+'TE CVA'!$V$11)*1</f>
        <v>0</v>
      </c>
      <c r="U11" s="20">
        <f>('TE BE'!$X$11+'TE BF'!$X$11+'TE CVA'!$X$11)*1</f>
        <v>0</v>
      </c>
      <c r="V11" s="20">
        <f>('TE BE'!$Z$11+'TE BF'!$Z$11+'TE CVA'!$Z$11)*1</f>
        <v>4.274545037732544</v>
      </c>
      <c r="X11" s="20">
        <v>2.60344039612484</v>
      </c>
      <c r="Y11" s="20">
        <v>13.9433548519797</v>
      </c>
      <c r="Z11" s="20">
        <v>0.966353452828006</v>
      </c>
      <c r="AA11" s="20">
        <v>0</v>
      </c>
      <c r="AB11" s="20">
        <v>0</v>
      </c>
      <c r="AC11" s="20">
        <v>241.72059238144001</v>
      </c>
      <c r="AD11" s="20">
        <v>8.1254917675761895</v>
      </c>
      <c r="AE11" s="20">
        <v>7.1712215387980001</v>
      </c>
      <c r="AF11" s="20">
        <v>0</v>
      </c>
      <c r="AG11" s="20">
        <v>0</v>
      </c>
      <c r="AH11" s="20">
        <v>4.3723665863033299</v>
      </c>
    </row>
    <row r="12" spans="1:34" ht="11.25" customHeight="1" x14ac:dyDescent="0.3">
      <c r="A12" s="133" t="s">
        <v>43</v>
      </c>
      <c r="B12" s="133" t="s">
        <v>77</v>
      </c>
      <c r="C12" s="133" t="s">
        <v>25</v>
      </c>
      <c r="D12" s="133" t="s">
        <v>25</v>
      </c>
      <c r="E12" s="133" t="s">
        <v>25</v>
      </c>
      <c r="F12" s="133" t="s">
        <v>25</v>
      </c>
      <c r="G12" s="23" t="s">
        <v>79</v>
      </c>
      <c r="H12" s="23" t="s">
        <v>78</v>
      </c>
      <c r="I12" s="23">
        <f>'MERCADO TE'!$U$9</f>
        <v>18.171000000000003</v>
      </c>
      <c r="J12" s="15"/>
      <c r="L12" s="20">
        <f>('TE BE'!$L$12+'TE BF'!$L$12+'TE CVA'!$L$12)*1</f>
        <v>2.7264009271945664</v>
      </c>
      <c r="M12" s="20">
        <f>('TE BE'!$M$12+'TE BF'!$M$12+'TE CVA'!$M$12)*1</f>
        <v>21.706024922817182</v>
      </c>
      <c r="N12" s="20">
        <f>('TE BE'!$N$12+'TE BF'!$N$12+'TE CVA'!$N$12)*1</f>
        <v>1.5667827349591439</v>
      </c>
      <c r="O12" s="20">
        <f>('TE BE'!$O$12+'TE BF'!$O$12+'TE CVA'!$O$12)*1</f>
        <v>13.550451121644054</v>
      </c>
      <c r="P12" s="20">
        <f>('TE BE'!$P$12+'TE BF'!$P$12+'TE CVA'!$P$12)*1</f>
        <v>-18.961978214784679</v>
      </c>
      <c r="Q12" s="20">
        <f>('TE BE'!$R$12+'TE BF'!$R$12+'TE CVA'!$R$12)*1</f>
        <v>447.33266367349682</v>
      </c>
      <c r="R12" s="20">
        <f>('TE BE'!$T$12+'TE BF'!$T$12+'TE CVA'!$T$12)*1</f>
        <v>8.1215488417243442</v>
      </c>
      <c r="S12" s="20">
        <f>('TE BE'!$U$12+'TE BF'!$U$12+'TE CVA'!$U$12)*1</f>
        <v>6.1196450131634643</v>
      </c>
      <c r="T12" s="20">
        <f>('TE BE'!$V$12+'TE BF'!$V$12+'TE CVA'!$V$12)*1</f>
        <v>0</v>
      </c>
      <c r="U12" s="20">
        <f>('TE BE'!$X$12+'TE BF'!$X$12+'TE CVA'!$X$12)*1</f>
        <v>0</v>
      </c>
      <c r="V12" s="20">
        <f>('TE BE'!$Z$12+'TE BF'!$Z$12+'TE CVA'!$Z$12)*1</f>
        <v>4.274545037732544</v>
      </c>
      <c r="X12" s="20">
        <v>2.60344039612484</v>
      </c>
      <c r="Y12" s="20">
        <v>13.9433548519797</v>
      </c>
      <c r="Z12" s="20">
        <v>0.966353452828006</v>
      </c>
      <c r="AA12" s="20">
        <v>0</v>
      </c>
      <c r="AB12" s="20">
        <v>0</v>
      </c>
      <c r="AC12" s="20">
        <v>392.22586688309099</v>
      </c>
      <c r="AD12" s="20">
        <v>8.1254917675761895</v>
      </c>
      <c r="AE12" s="20">
        <v>7.1712215387980001</v>
      </c>
      <c r="AF12" s="20">
        <v>0</v>
      </c>
      <c r="AG12" s="20">
        <v>0</v>
      </c>
      <c r="AH12" s="20">
        <v>4.3723665863033299</v>
      </c>
    </row>
    <row r="13" spans="1:34" ht="11.25" customHeight="1" x14ac:dyDescent="0.3">
      <c r="A13" s="133"/>
      <c r="B13" s="133"/>
      <c r="C13" s="133"/>
      <c r="D13" s="133"/>
      <c r="E13" s="133"/>
      <c r="F13" s="133"/>
      <c r="G13" s="23" t="s">
        <v>80</v>
      </c>
      <c r="H13" s="23" t="s">
        <v>78</v>
      </c>
      <c r="I13" s="23">
        <f>'MERCADO TE'!$U$10</f>
        <v>246.76899999999998</v>
      </c>
      <c r="J13" s="15"/>
      <c r="L13" s="20">
        <f>('TE BE'!$L$13+'TE BF'!$L$13+'TE CVA'!$L$13)*1</f>
        <v>2.7264009271945664</v>
      </c>
      <c r="M13" s="20">
        <f>('TE BE'!$M$13+'TE BF'!$M$13+'TE CVA'!$M$13)*1</f>
        <v>21.706024922817182</v>
      </c>
      <c r="N13" s="20">
        <f>('TE BE'!$N$13+'TE BF'!$N$13+'TE CVA'!$N$13)*1</f>
        <v>1.5667827349591439</v>
      </c>
      <c r="O13" s="20">
        <f>('TE BE'!$O$13+'TE BF'!$O$13+'TE CVA'!$O$13)*1</f>
        <v>13.550451121644054</v>
      </c>
      <c r="P13" s="20">
        <f>('TE BE'!$P$13+'TE BF'!$P$13+'TE CVA'!$P$13)*1</f>
        <v>-18.961978214784679</v>
      </c>
      <c r="Q13" s="20">
        <f>('TE BE'!$R$13+'TE BF'!$R$13+'TE CVA'!$R$13)*1</f>
        <v>260.07713004273069</v>
      </c>
      <c r="R13" s="20">
        <f>('TE BE'!$T$13+'TE BF'!$T$13+'TE CVA'!$T$13)*1</f>
        <v>8.1215488417243442</v>
      </c>
      <c r="S13" s="20">
        <f>('TE BE'!$U$13+'TE BF'!$U$13+'TE CVA'!$U$13)*1</f>
        <v>6.1196450131634643</v>
      </c>
      <c r="T13" s="20">
        <f>('TE BE'!$V$13+'TE BF'!$V$13+'TE CVA'!$V$13)*1</f>
        <v>0</v>
      </c>
      <c r="U13" s="20">
        <f>('TE BE'!$X$13+'TE BF'!$X$13+'TE CVA'!$X$13)*1</f>
        <v>0</v>
      </c>
      <c r="V13" s="20">
        <f>('TE BE'!$Z$13+'TE BF'!$Z$13+'TE CVA'!$Z$13)*1</f>
        <v>4.274545037732544</v>
      </c>
      <c r="X13" s="20">
        <v>2.60344039612484</v>
      </c>
      <c r="Y13" s="20">
        <v>13.9433548519797</v>
      </c>
      <c r="Z13" s="20">
        <v>0.966353452828006</v>
      </c>
      <c r="AA13" s="20">
        <v>0</v>
      </c>
      <c r="AB13" s="20">
        <v>0</v>
      </c>
      <c r="AC13" s="20">
        <v>228.038294699472</v>
      </c>
      <c r="AD13" s="20">
        <v>8.1254917675761895</v>
      </c>
      <c r="AE13" s="20">
        <v>7.1712215387980001</v>
      </c>
      <c r="AF13" s="20">
        <v>0</v>
      </c>
      <c r="AG13" s="20">
        <v>0</v>
      </c>
      <c r="AH13" s="20">
        <v>4.3723665863033299</v>
      </c>
    </row>
    <row r="14" spans="1:34" ht="11.25" customHeight="1" x14ac:dyDescent="0.3">
      <c r="A14" s="133"/>
      <c r="B14" s="22" t="s">
        <v>86</v>
      </c>
      <c r="C14" s="22" t="s">
        <v>25</v>
      </c>
      <c r="D14" s="22" t="s">
        <v>25</v>
      </c>
      <c r="E14" s="22" t="s">
        <v>25</v>
      </c>
      <c r="F14" s="22" t="s">
        <v>25</v>
      </c>
      <c r="G14" s="23" t="s">
        <v>84</v>
      </c>
      <c r="H14" s="23" t="s">
        <v>78</v>
      </c>
      <c r="I14" s="23">
        <f>'MERCADO TE'!$U$11</f>
        <v>0</v>
      </c>
      <c r="J14" s="15"/>
      <c r="L14" s="20">
        <f>('TE BE'!$L$14+'TE BF'!$L$14+'TE CVA'!$L$14)*1</f>
        <v>2.7264009271945664</v>
      </c>
      <c r="M14" s="20">
        <f>('TE BE'!$M$14+'TE BF'!$M$14+'TE CVA'!$M$14)*1</f>
        <v>21.706024922817182</v>
      </c>
      <c r="N14" s="20">
        <f>('TE BE'!$N$14+'TE BF'!$N$14+'TE CVA'!$N$14)*1</f>
        <v>1.5667827349591439</v>
      </c>
      <c r="O14" s="20">
        <f>('TE BE'!$O$14+'TE BF'!$O$14+'TE CVA'!$O$14)*1</f>
        <v>13.550451121644054</v>
      </c>
      <c r="P14" s="20">
        <f>('TE BE'!$P$14+'TE BF'!$P$14+'TE CVA'!$P$14)*1</f>
        <v>-18.961978214784679</v>
      </c>
      <c r="Q14" s="20">
        <f>('TE BE'!$R$14+'TE BF'!$R$14+'TE CVA'!$R$14)*1</f>
        <v>275.68175784529456</v>
      </c>
      <c r="R14" s="20">
        <f>('TE BE'!$T$14+'TE BF'!$T$14+'TE CVA'!$T$14)*1</f>
        <v>8.1215488417243442</v>
      </c>
      <c r="S14" s="20">
        <f>('TE BE'!$U$14+'TE BF'!$U$14+'TE CVA'!$U$14)*1</f>
        <v>6.1196450131634643</v>
      </c>
      <c r="T14" s="20">
        <f>('TE BE'!$V$14+'TE BF'!$V$14+'TE CVA'!$V$14)*1</f>
        <v>0</v>
      </c>
      <c r="U14" s="20">
        <f>('TE BE'!$X$14+'TE BF'!$X$14+'TE CVA'!$X$14)*1</f>
        <v>0</v>
      </c>
      <c r="V14" s="20">
        <f>('TE BE'!$Z$14+'TE BF'!$Z$14+'TE CVA'!$Z$14)*1</f>
        <v>4.274545037732544</v>
      </c>
      <c r="X14" s="20">
        <v>2.60344039612484</v>
      </c>
      <c r="Y14" s="20">
        <v>13.9433548519797</v>
      </c>
      <c r="Z14" s="20">
        <v>0.966353452828006</v>
      </c>
      <c r="AA14" s="20">
        <v>0</v>
      </c>
      <c r="AB14" s="20">
        <v>0</v>
      </c>
      <c r="AC14" s="20">
        <v>241.72059238144001</v>
      </c>
      <c r="AD14" s="20">
        <v>8.1254917675761895</v>
      </c>
      <c r="AE14" s="20">
        <v>7.1712215387980001</v>
      </c>
      <c r="AF14" s="20">
        <v>0</v>
      </c>
      <c r="AG14" s="20">
        <v>0</v>
      </c>
      <c r="AH14" s="20">
        <v>4.3723665863033299</v>
      </c>
    </row>
    <row r="15" spans="1:34" ht="11.25" customHeight="1" x14ac:dyDescent="0.3">
      <c r="A15" s="133" t="s">
        <v>22</v>
      </c>
      <c r="B15" s="133" t="s">
        <v>77</v>
      </c>
      <c r="C15" s="133" t="s">
        <v>24</v>
      </c>
      <c r="D15" s="133" t="s">
        <v>24</v>
      </c>
      <c r="E15" s="133" t="s">
        <v>25</v>
      </c>
      <c r="F15" s="133" t="s">
        <v>25</v>
      </c>
      <c r="G15" s="23" t="s">
        <v>79</v>
      </c>
      <c r="H15" s="23" t="s">
        <v>78</v>
      </c>
      <c r="I15" s="23">
        <f>'MERCADO TE'!$U$12</f>
        <v>16.994999999999997</v>
      </c>
      <c r="J15" s="15"/>
      <c r="L15" s="20">
        <f>('TE BE'!$L$15+'TE BF'!$L$15+'TE CVA'!$L$15)*1</f>
        <v>2.7264009271945664</v>
      </c>
      <c r="M15" s="20">
        <f>('TE BE'!$M$15+'TE BF'!$M$15+'TE CVA'!$M$15)*1</f>
        <v>21.706024922817182</v>
      </c>
      <c r="N15" s="20">
        <f>('TE BE'!$N$15+'TE BF'!$N$15+'TE CVA'!$N$15)*1</f>
        <v>1.5667827349591439</v>
      </c>
      <c r="O15" s="20">
        <f>('TE BE'!$O$15+'TE BF'!$O$15+'TE CVA'!$O$15)*1</f>
        <v>13.550451121644054</v>
      </c>
      <c r="P15" s="20">
        <f>('TE BE'!$P$15+'TE BF'!$P$15+'TE CVA'!$P$15)*1</f>
        <v>-18.961978214784679</v>
      </c>
      <c r="Q15" s="20">
        <f>('TE BE'!$R$15+'TE BF'!$R$15+'TE CVA'!$R$15)*1</f>
        <v>447.33266367349682</v>
      </c>
      <c r="R15" s="20">
        <f>('TE BE'!$T$15+'TE BF'!$T$15+'TE CVA'!$T$15)*1</f>
        <v>8.1215488417243442</v>
      </c>
      <c r="S15" s="20">
        <f>('TE BE'!$U$15+'TE BF'!$U$15+'TE CVA'!$U$15)*1</f>
        <v>6.1196450131634643</v>
      </c>
      <c r="T15" s="20">
        <f>('TE BE'!$V$15+'TE BF'!$V$15+'TE CVA'!$V$15)*1</f>
        <v>0</v>
      </c>
      <c r="U15" s="20">
        <f>('TE BE'!$X$15+'TE BF'!$X$15+'TE CVA'!$X$15)*1</f>
        <v>0</v>
      </c>
      <c r="V15" s="20">
        <f>('TE BE'!$Z$15+'TE BF'!$Z$15+'TE CVA'!$Z$15)*1</f>
        <v>4.274545037732544</v>
      </c>
      <c r="X15" s="20">
        <v>2.60344039612484</v>
      </c>
      <c r="Y15" s="20">
        <v>13.9433548519797</v>
      </c>
      <c r="Z15" s="20">
        <v>0.966353452828006</v>
      </c>
      <c r="AA15" s="20">
        <v>0</v>
      </c>
      <c r="AB15" s="20">
        <v>0</v>
      </c>
      <c r="AC15" s="20">
        <v>392.22586688309099</v>
      </c>
      <c r="AD15" s="20">
        <v>8.1254917675761895</v>
      </c>
      <c r="AE15" s="20">
        <v>7.1712215387980001</v>
      </c>
      <c r="AF15" s="20">
        <v>0</v>
      </c>
      <c r="AG15" s="20">
        <v>0</v>
      </c>
      <c r="AH15" s="20">
        <v>4.3723665863033299</v>
      </c>
    </row>
    <row r="16" spans="1:34" ht="11.25" customHeight="1" x14ac:dyDescent="0.3">
      <c r="A16" s="133"/>
      <c r="B16" s="133"/>
      <c r="C16" s="133"/>
      <c r="D16" s="133"/>
      <c r="E16" s="133"/>
      <c r="F16" s="133"/>
      <c r="G16" s="23" t="s">
        <v>90</v>
      </c>
      <c r="H16" s="23" t="s">
        <v>78</v>
      </c>
      <c r="I16" s="23">
        <f>'MERCADO TE'!$U$13</f>
        <v>10.9</v>
      </c>
      <c r="J16" s="15"/>
      <c r="L16" s="20">
        <f>('TE BE'!$L$16+'TE BF'!$L$16+'TE CVA'!$L$16)*1</f>
        <v>2.7264009271945664</v>
      </c>
      <c r="M16" s="20">
        <f>('TE BE'!$M$16+'TE BF'!$M$16+'TE CVA'!$M$16)*1</f>
        <v>21.706024922817182</v>
      </c>
      <c r="N16" s="20">
        <f>('TE BE'!$N$16+'TE BF'!$N$16+'TE CVA'!$N$16)*1</f>
        <v>1.5667827349591439</v>
      </c>
      <c r="O16" s="20">
        <f>('TE BE'!$O$16+'TE BF'!$O$16+'TE CVA'!$O$16)*1</f>
        <v>13.550451121644054</v>
      </c>
      <c r="P16" s="20">
        <f>('TE BE'!$P$16+'TE BF'!$P$16+'TE CVA'!$P$16)*1</f>
        <v>-18.961978214784679</v>
      </c>
      <c r="Q16" s="20">
        <f>('TE BE'!$R$16+'TE BF'!$R$16+'TE CVA'!$R$16)*1</f>
        <v>260.07713004273069</v>
      </c>
      <c r="R16" s="20">
        <f>('TE BE'!$T$16+'TE BF'!$T$16+'TE CVA'!$T$16)*1</f>
        <v>8.1215488417243442</v>
      </c>
      <c r="S16" s="20">
        <f>('TE BE'!$U$16+'TE BF'!$U$16+'TE CVA'!$U$16)*1</f>
        <v>6.1196450131634643</v>
      </c>
      <c r="T16" s="20">
        <f>('TE BE'!$V$16+'TE BF'!$V$16+'TE CVA'!$V$16)*1</f>
        <v>0</v>
      </c>
      <c r="U16" s="20">
        <f>('TE BE'!$X$16+'TE BF'!$X$16+'TE CVA'!$X$16)*1</f>
        <v>0</v>
      </c>
      <c r="V16" s="20">
        <f>('TE BE'!$Z$16+'TE BF'!$Z$16+'TE CVA'!$Z$16)*1</f>
        <v>4.274545037732544</v>
      </c>
      <c r="X16" s="20">
        <v>2.60344039612484</v>
      </c>
      <c r="Y16" s="20">
        <v>13.9433548519797</v>
      </c>
      <c r="Z16" s="20">
        <v>0.966353452828006</v>
      </c>
      <c r="AA16" s="20">
        <v>0</v>
      </c>
      <c r="AB16" s="20">
        <v>0</v>
      </c>
      <c r="AC16" s="20">
        <v>228.038294699472</v>
      </c>
      <c r="AD16" s="20">
        <v>8.1254917675761895</v>
      </c>
      <c r="AE16" s="20">
        <v>7.1712215387980001</v>
      </c>
      <c r="AF16" s="20">
        <v>0</v>
      </c>
      <c r="AG16" s="20">
        <v>0</v>
      </c>
      <c r="AH16" s="20">
        <v>4.3723665863033299</v>
      </c>
    </row>
    <row r="17" spans="1:34" ht="11.25" customHeight="1" x14ac:dyDescent="0.3">
      <c r="A17" s="133"/>
      <c r="B17" s="133"/>
      <c r="C17" s="133"/>
      <c r="D17" s="133"/>
      <c r="E17" s="133"/>
      <c r="F17" s="133"/>
      <c r="G17" s="23" t="s">
        <v>80</v>
      </c>
      <c r="H17" s="23" t="s">
        <v>78</v>
      </c>
      <c r="I17" s="23">
        <f>'MERCADO TE'!$U$14</f>
        <v>127.76599999999999</v>
      </c>
      <c r="J17" s="15"/>
      <c r="L17" s="20">
        <f>('TE BE'!$L$17+'TE BF'!$L$17+'TE CVA'!$L$17)*1</f>
        <v>2.7264009271945664</v>
      </c>
      <c r="M17" s="20">
        <f>('TE BE'!$M$17+'TE BF'!$M$17+'TE CVA'!$M$17)*1</f>
        <v>21.706024922817182</v>
      </c>
      <c r="N17" s="20">
        <f>('TE BE'!$N$17+'TE BF'!$N$17+'TE CVA'!$N$17)*1</f>
        <v>1.5667827349591439</v>
      </c>
      <c r="O17" s="20">
        <f>('TE BE'!$O$17+'TE BF'!$O$17+'TE CVA'!$O$17)*1</f>
        <v>13.550451121644054</v>
      </c>
      <c r="P17" s="20">
        <f>('TE BE'!$P$17+'TE BF'!$P$17+'TE CVA'!$P$17)*1</f>
        <v>-18.961978214784679</v>
      </c>
      <c r="Q17" s="20">
        <f>('TE BE'!$R$17+'TE BF'!$R$17+'TE CVA'!$R$17)*1</f>
        <v>260.07713004273069</v>
      </c>
      <c r="R17" s="20">
        <f>('TE BE'!$T$17+'TE BF'!$T$17+'TE CVA'!$T$17)*1</f>
        <v>8.1215488417243442</v>
      </c>
      <c r="S17" s="20">
        <f>('TE BE'!$U$17+'TE BF'!$U$17+'TE CVA'!$U$17)*1</f>
        <v>6.1196450131634643</v>
      </c>
      <c r="T17" s="20">
        <f>('TE BE'!$V$17+'TE BF'!$V$17+'TE CVA'!$V$17)*1</f>
        <v>0</v>
      </c>
      <c r="U17" s="20">
        <f>('TE BE'!$X$17+'TE BF'!$X$17+'TE CVA'!$X$17)*1</f>
        <v>0</v>
      </c>
      <c r="V17" s="20">
        <f>('TE BE'!$Z$17+'TE BF'!$Z$17+'TE CVA'!$Z$17)*1</f>
        <v>4.274545037732544</v>
      </c>
      <c r="X17" s="20">
        <v>2.60344039612484</v>
      </c>
      <c r="Y17" s="20">
        <v>13.9433548519797</v>
      </c>
      <c r="Z17" s="20">
        <v>0.966353452828006</v>
      </c>
      <c r="AA17" s="20">
        <v>0</v>
      </c>
      <c r="AB17" s="20">
        <v>0</v>
      </c>
      <c r="AC17" s="20">
        <v>228.038294699472</v>
      </c>
      <c r="AD17" s="20">
        <v>8.1254917675761895</v>
      </c>
      <c r="AE17" s="20">
        <v>7.1712215387980001</v>
      </c>
      <c r="AF17" s="20">
        <v>0</v>
      </c>
      <c r="AG17" s="20">
        <v>0</v>
      </c>
      <c r="AH17" s="20">
        <v>4.3723665863033299</v>
      </c>
    </row>
    <row r="18" spans="1:34" ht="11.25" customHeight="1" x14ac:dyDescent="0.3">
      <c r="A18" s="133"/>
      <c r="B18" s="133" t="s">
        <v>86</v>
      </c>
      <c r="C18" s="133" t="s">
        <v>24</v>
      </c>
      <c r="D18" s="22" t="s">
        <v>24</v>
      </c>
      <c r="E18" s="22" t="s">
        <v>25</v>
      </c>
      <c r="F18" s="22" t="s">
        <v>25</v>
      </c>
      <c r="G18" s="23" t="s">
        <v>84</v>
      </c>
      <c r="H18" s="23" t="s">
        <v>78</v>
      </c>
      <c r="I18" s="23">
        <f>'MERCADO TE'!$U$15</f>
        <v>126554.92199999999</v>
      </c>
      <c r="J18" s="15"/>
      <c r="L18" s="20">
        <f>('TE BE'!$L$18+'TE BF'!$L$18+'TE CVA'!$L$18)*1</f>
        <v>2.7264009271945664</v>
      </c>
      <c r="M18" s="20">
        <f>('TE BE'!$M$18+'TE BF'!$M$18+'TE CVA'!$M$18)*1</f>
        <v>21.706024922817182</v>
      </c>
      <c r="N18" s="20">
        <f>('TE BE'!$N$18+'TE BF'!$N$18+'TE CVA'!$N$18)*1</f>
        <v>1.5667827349591439</v>
      </c>
      <c r="O18" s="20">
        <f>('TE BE'!$O$18+'TE BF'!$O$18+'TE CVA'!$O$18)*1</f>
        <v>13.550451121644054</v>
      </c>
      <c r="P18" s="20">
        <f>('TE BE'!$P$18+'TE BF'!$P$18+'TE CVA'!$P$18)*1</f>
        <v>-18.961978214784679</v>
      </c>
      <c r="Q18" s="20">
        <f>('TE BE'!$R$18+'TE BF'!$R$18+'TE CVA'!$R$18)*1</f>
        <v>275.68175784529456</v>
      </c>
      <c r="R18" s="20">
        <f>('TE BE'!$T$18+'TE BF'!$T$18+'TE CVA'!$T$18)*1</f>
        <v>8.1215488417243442</v>
      </c>
      <c r="S18" s="20">
        <f>('TE BE'!$U$18+'TE BF'!$U$18+'TE CVA'!$U$18)*1</f>
        <v>6.1196450131634643</v>
      </c>
      <c r="T18" s="20">
        <f>('TE BE'!$V$18+'TE BF'!$V$18+'TE CVA'!$V$18)*1</f>
        <v>0</v>
      </c>
      <c r="U18" s="20">
        <f>('TE BE'!$X$18+'TE BF'!$X$18+'TE CVA'!$X$18)*1</f>
        <v>0</v>
      </c>
      <c r="V18" s="20">
        <f>('TE BE'!$Z$18+'TE BF'!$Z$18+'TE CVA'!$Z$18)*1</f>
        <v>4.274545037732544</v>
      </c>
      <c r="X18" s="20">
        <v>2.60344039612484</v>
      </c>
      <c r="Y18" s="20">
        <v>13.9433548519797</v>
      </c>
      <c r="Z18" s="20">
        <v>0.966353452828006</v>
      </c>
      <c r="AA18" s="20">
        <v>0</v>
      </c>
      <c r="AB18" s="20">
        <v>0</v>
      </c>
      <c r="AC18" s="20">
        <v>241.72059238144001</v>
      </c>
      <c r="AD18" s="20">
        <v>8.1254917675761895</v>
      </c>
      <c r="AE18" s="20">
        <v>7.1712215387980001</v>
      </c>
      <c r="AF18" s="20">
        <v>0</v>
      </c>
      <c r="AG18" s="20">
        <v>0</v>
      </c>
      <c r="AH18" s="20">
        <v>4.3723665863033299</v>
      </c>
    </row>
    <row r="19" spans="1:34" ht="11.25" customHeight="1" x14ac:dyDescent="0.3">
      <c r="A19" s="133"/>
      <c r="B19" s="133"/>
      <c r="C19" s="133"/>
      <c r="D19" s="22" t="s">
        <v>29</v>
      </c>
      <c r="E19" s="22" t="s">
        <v>25</v>
      </c>
      <c r="F19" s="22" t="s">
        <v>25</v>
      </c>
      <c r="G19" s="23" t="s">
        <v>84</v>
      </c>
      <c r="H19" s="23" t="s">
        <v>78</v>
      </c>
      <c r="I19" s="23">
        <f>'MERCADO TE'!$U$16</f>
        <v>2163.31</v>
      </c>
      <c r="J19" s="15"/>
      <c r="L19" s="20">
        <f>('TE BE'!$L$19+'TE BF'!$L$19+'TE CVA'!$L$19)*(1 - 0.65)</f>
        <v>0.95424032451809815</v>
      </c>
      <c r="M19" s="20">
        <f>('TE BE'!$M$19+'TE BF'!$M$19+'TE CVA'!$M$19)*(1 - 0.65)</f>
        <v>7.5971087229860128</v>
      </c>
      <c r="N19" s="20">
        <f>('TE BE'!$N$19+'TE BF'!$N$19+'TE CVA'!$N$19)*(1 - 0.65)</f>
        <v>0.54837395723570037</v>
      </c>
      <c r="O19" s="20">
        <f>('TE BE'!$O$19+'TE BF'!$O$19+'TE CVA'!$O$19)*(1 - 0.65)</f>
        <v>4.7426578925754184</v>
      </c>
      <c r="P19" s="20">
        <f>('TE BE'!$P$19+'TE BF'!$P$19+'TE CVA'!$P$19)*(1 - 0.65)</f>
        <v>-6.6366923751746372</v>
      </c>
      <c r="Q19" s="20">
        <f>('TE BE'!$R$19+'TE BF'!$R$19+'TE CVA'!$R$19)*(1 - 0.65)</f>
        <v>96.488615245853083</v>
      </c>
      <c r="R19" s="20">
        <f>('TE BE'!$T$19+'TE BF'!$T$19+'TE CVA'!$T$19)*(1 - 0.65)</f>
        <v>2.8425420946035205</v>
      </c>
      <c r="S19" s="20">
        <f>('TE BE'!$U$19+'TE BF'!$U$19+'TE CVA'!$U$19)*(1 - 0.65)</f>
        <v>2.1418757546072125</v>
      </c>
      <c r="T19" s="20">
        <f>('TE BE'!$V$19+'TE BF'!$V$19+'TE CVA'!$V$19)*(1 - 0.65)</f>
        <v>0</v>
      </c>
      <c r="U19" s="20">
        <f>('TE BE'!$X$19+'TE BF'!$X$19+'TE CVA'!$X$19)*(1 - 0.65)</f>
        <v>0</v>
      </c>
      <c r="V19" s="20">
        <f>('TE BE'!$Z$19+'TE BF'!$Z$19+'TE CVA'!$Z$19)*(1 - 0.65)</f>
        <v>1.4960907632063902</v>
      </c>
      <c r="X19" s="20">
        <v>0.91120413864369298</v>
      </c>
      <c r="Y19" s="20">
        <v>4.8801741981928801</v>
      </c>
      <c r="Z19" s="20">
        <v>0.33822370848980199</v>
      </c>
      <c r="AA19" s="20">
        <v>0</v>
      </c>
      <c r="AB19" s="20">
        <v>0</v>
      </c>
      <c r="AC19" s="20">
        <v>84.602207333503998</v>
      </c>
      <c r="AD19" s="20">
        <v>2.8439221186516699</v>
      </c>
      <c r="AE19" s="20">
        <v>2.5099275385793001</v>
      </c>
      <c r="AF19" s="20">
        <v>0</v>
      </c>
      <c r="AG19" s="20">
        <v>0</v>
      </c>
      <c r="AH19" s="20">
        <v>1.53032830520617</v>
      </c>
    </row>
    <row r="20" spans="1:34" ht="11.25" customHeight="1" x14ac:dyDescent="0.3">
      <c r="A20" s="133"/>
      <c r="B20" s="133"/>
      <c r="C20" s="133"/>
      <c r="D20" s="22" t="s">
        <v>30</v>
      </c>
      <c r="E20" s="22" t="s">
        <v>25</v>
      </c>
      <c r="F20" s="22" t="s">
        <v>25</v>
      </c>
      <c r="G20" s="23" t="s">
        <v>84</v>
      </c>
      <c r="H20" s="23" t="s">
        <v>78</v>
      </c>
      <c r="I20" s="23">
        <f>'MERCADO TE'!$U$17</f>
        <v>4329.2419999999993</v>
      </c>
      <c r="J20" s="15"/>
      <c r="L20" s="20">
        <f>('TE BE'!$L$20+'TE BF'!$L$20+'TE CVA'!$L$20)*(1 - 0.4)</f>
        <v>1.6358405563167397</v>
      </c>
      <c r="M20" s="20">
        <f>('TE BE'!$M$20+'TE BF'!$M$20+'TE CVA'!$M$20)*(1 - 0.4)</f>
        <v>13.023614953690309</v>
      </c>
      <c r="N20" s="20">
        <f>('TE BE'!$N$20+'TE BF'!$N$20+'TE CVA'!$N$20)*(1 - 0.4)</f>
        <v>0.94006964097548629</v>
      </c>
      <c r="O20" s="20">
        <f>('TE BE'!$O$20+'TE BF'!$O$20+'TE CVA'!$O$20)*(1 - 0.4)</f>
        <v>8.1302706729864322</v>
      </c>
      <c r="P20" s="20">
        <f>('TE BE'!$P$20+'TE BF'!$P$20+'TE CVA'!$P$20)*(1 - 0.4)</f>
        <v>-11.377186928870808</v>
      </c>
      <c r="Q20" s="20">
        <f>('TE BE'!$R$20+'TE BF'!$R$20+'TE CVA'!$R$20)*(1 - 0.4)</f>
        <v>165.40905470717672</v>
      </c>
      <c r="R20" s="20">
        <f>('TE BE'!$T$20+'TE BF'!$T$20+'TE CVA'!$T$20)*(1 - 0.4)</f>
        <v>4.8729293050346065</v>
      </c>
      <c r="S20" s="20">
        <f>('TE BE'!$U$20+'TE BF'!$U$20+'TE CVA'!$U$20)*(1 - 0.4)</f>
        <v>3.6717870078980783</v>
      </c>
      <c r="T20" s="20">
        <f>('TE BE'!$V$20+'TE BF'!$V$20+'TE CVA'!$V$20)*(1 - 0.4)</f>
        <v>0</v>
      </c>
      <c r="U20" s="20">
        <f>('TE BE'!$X$20+'TE BF'!$X$20+'TE CVA'!$X$20)*(1 - 0.4)</f>
        <v>0</v>
      </c>
      <c r="V20" s="20">
        <f>('TE BE'!$Z$20+'TE BF'!$Z$20+'TE CVA'!$Z$20)*(1 - 0.4)</f>
        <v>2.5647270226395262</v>
      </c>
      <c r="X20" s="20">
        <v>1.5620642376749001</v>
      </c>
      <c r="Y20" s="20">
        <v>8.3660129111878003</v>
      </c>
      <c r="Z20" s="20">
        <v>0.57981207169680304</v>
      </c>
      <c r="AA20" s="20">
        <v>0</v>
      </c>
      <c r="AB20" s="20">
        <v>0</v>
      </c>
      <c r="AC20" s="20">
        <v>145.03235542886401</v>
      </c>
      <c r="AD20" s="20">
        <v>4.8752950605457199</v>
      </c>
      <c r="AE20" s="20">
        <v>4.3027329232787999</v>
      </c>
      <c r="AF20" s="20">
        <v>0</v>
      </c>
      <c r="AG20" s="20">
        <v>0</v>
      </c>
      <c r="AH20" s="20">
        <v>2.623419951782</v>
      </c>
    </row>
    <row r="21" spans="1:34" ht="11.25" customHeight="1" x14ac:dyDescent="0.3">
      <c r="A21" s="133"/>
      <c r="B21" s="133"/>
      <c r="C21" s="133"/>
      <c r="D21" s="22" t="s">
        <v>31</v>
      </c>
      <c r="E21" s="22" t="s">
        <v>25</v>
      </c>
      <c r="F21" s="22" t="s">
        <v>25</v>
      </c>
      <c r="G21" s="23" t="s">
        <v>84</v>
      </c>
      <c r="H21" s="23" t="s">
        <v>78</v>
      </c>
      <c r="I21" s="23">
        <f>'MERCADO TE'!$U$18</f>
        <v>3237.8510000000001</v>
      </c>
      <c r="J21" s="15"/>
      <c r="L21" s="20">
        <f>('TE BE'!$L$21+'TE BF'!$L$21+'TE CVA'!$L$21)*(1 - 0.1)</f>
        <v>2.4537608344751098</v>
      </c>
      <c r="M21" s="20">
        <f>('TE BE'!$M$21+'TE BF'!$M$21+'TE CVA'!$M$21)*(1 - 0.1)</f>
        <v>19.535422430535466</v>
      </c>
      <c r="N21" s="20">
        <f>('TE BE'!$N$21+'TE BF'!$N$21+'TE CVA'!$N$21)*(1 - 0.1)</f>
        <v>1.4101044614632294</v>
      </c>
      <c r="O21" s="20">
        <f>('TE BE'!$O$21+'TE BF'!$O$21+'TE CVA'!$O$21)*(1 - 0.1)</f>
        <v>12.195406009479649</v>
      </c>
      <c r="P21" s="20">
        <f>('TE BE'!$P$21+'TE BF'!$P$21+'TE CVA'!$P$21)*(1 - 0.1)</f>
        <v>-17.065780393306213</v>
      </c>
      <c r="Q21" s="20">
        <f>('TE BE'!$R$21+'TE BF'!$R$21+'TE CVA'!$R$21)*(1 - 0.1)</f>
        <v>248.11358206076511</v>
      </c>
      <c r="R21" s="20">
        <f>('TE BE'!$T$21+'TE BF'!$T$21+'TE CVA'!$T$21)*(1 - 0.1)</f>
        <v>7.3093939575519098</v>
      </c>
      <c r="S21" s="20">
        <f>('TE BE'!$U$21+'TE BF'!$U$21+'TE CVA'!$U$21)*(1 - 0.1)</f>
        <v>5.5076805118471182</v>
      </c>
      <c r="T21" s="20">
        <f>('TE BE'!$V$21+'TE BF'!$V$21+'TE CVA'!$V$21)*(1 - 0.1)</f>
        <v>0</v>
      </c>
      <c r="U21" s="20">
        <f>('TE BE'!$X$21+'TE BF'!$X$21+'TE CVA'!$X$21)*(1 - 0.1)</f>
        <v>0</v>
      </c>
      <c r="V21" s="20">
        <f>('TE BE'!$Z$21+'TE BF'!$Z$21+'TE CVA'!$Z$21)*(1 - 0.1)</f>
        <v>3.8470905339592898</v>
      </c>
      <c r="X21" s="20">
        <v>2.3430963565123499</v>
      </c>
      <c r="Y21" s="20">
        <v>12.5490193667817</v>
      </c>
      <c r="Z21" s="20">
        <v>0.86971810754520495</v>
      </c>
      <c r="AA21" s="20">
        <v>0</v>
      </c>
      <c r="AB21" s="20">
        <v>0</v>
      </c>
      <c r="AC21" s="20">
        <v>217.548533143296</v>
      </c>
      <c r="AD21" s="20">
        <v>7.3129425908185803</v>
      </c>
      <c r="AE21" s="20">
        <v>6.4540993849181998</v>
      </c>
      <c r="AF21" s="20">
        <v>0</v>
      </c>
      <c r="AG21" s="20">
        <v>0</v>
      </c>
      <c r="AH21" s="20">
        <v>3.9351299276730001</v>
      </c>
    </row>
    <row r="22" spans="1:34" ht="11.25" customHeight="1" x14ac:dyDescent="0.3">
      <c r="A22" s="133"/>
      <c r="B22" s="133"/>
      <c r="C22" s="133"/>
      <c r="D22" s="22" t="s">
        <v>32</v>
      </c>
      <c r="E22" s="22" t="s">
        <v>25</v>
      </c>
      <c r="F22" s="22" t="s">
        <v>25</v>
      </c>
      <c r="G22" s="23" t="s">
        <v>84</v>
      </c>
      <c r="H22" s="23" t="s">
        <v>78</v>
      </c>
      <c r="I22" s="23">
        <f>'MERCADO TE'!$U$19</f>
        <v>633.93299999999999</v>
      </c>
      <c r="J22" s="15"/>
      <c r="L22" s="20">
        <f>('TE BE'!$L$22+'TE BF'!$L$22+'TE CVA'!$L$22)*1</f>
        <v>2.7264009271945664</v>
      </c>
      <c r="M22" s="20">
        <f>('TE BE'!$M$22+'TE BF'!$M$22+'TE CVA'!$M$22)*1</f>
        <v>21.706024922817182</v>
      </c>
      <c r="N22" s="20">
        <f>('TE BE'!$N$22+'TE BF'!$N$22+'TE CVA'!$N$22)*1</f>
        <v>1.5667827349591439</v>
      </c>
      <c r="O22" s="20">
        <f>('TE BE'!$O$22+'TE BF'!$O$22+'TE CVA'!$O$22)*1</f>
        <v>13.550451121644054</v>
      </c>
      <c r="P22" s="20">
        <f>('TE BE'!$P$22+'TE BF'!$P$22+'TE CVA'!$P$22)*1</f>
        <v>-18.961978214784679</v>
      </c>
      <c r="Q22" s="20">
        <f>('TE BE'!$R$22+'TE BF'!$R$22+'TE CVA'!$R$22)*1</f>
        <v>275.68175784529456</v>
      </c>
      <c r="R22" s="20">
        <f>('TE BE'!$T$22+'TE BF'!$T$22+'TE CVA'!$T$22)*1</f>
        <v>8.1215488417243442</v>
      </c>
      <c r="S22" s="20">
        <f>('TE BE'!$U$22+'TE BF'!$U$22+'TE CVA'!$U$22)*1</f>
        <v>6.1196450131634643</v>
      </c>
      <c r="T22" s="20">
        <f>('TE BE'!$V$22+'TE BF'!$V$22+'TE CVA'!$V$22)*1</f>
        <v>0</v>
      </c>
      <c r="U22" s="20">
        <f>('TE BE'!$X$22+'TE BF'!$X$22+'TE CVA'!$X$22)*1</f>
        <v>0</v>
      </c>
      <c r="V22" s="20">
        <f>('TE BE'!$Z$22+'TE BF'!$Z$22+'TE CVA'!$Z$22)*1</f>
        <v>4.274545037732544</v>
      </c>
      <c r="X22" s="20">
        <v>2.60344039612484</v>
      </c>
      <c r="Y22" s="20">
        <v>13.9433548519797</v>
      </c>
      <c r="Z22" s="20">
        <v>0.966353452828006</v>
      </c>
      <c r="AA22" s="20">
        <v>0</v>
      </c>
      <c r="AB22" s="20">
        <v>0</v>
      </c>
      <c r="AC22" s="20">
        <v>241.72059238144001</v>
      </c>
      <c r="AD22" s="20">
        <v>8.1254917675761895</v>
      </c>
      <c r="AE22" s="20">
        <v>7.1712215387980001</v>
      </c>
      <c r="AF22" s="20">
        <v>0</v>
      </c>
      <c r="AG22" s="20">
        <v>0</v>
      </c>
      <c r="AH22" s="20">
        <v>4.3723665863033299</v>
      </c>
    </row>
    <row r="23" spans="1:34" ht="11.25" customHeight="1" x14ac:dyDescent="0.3">
      <c r="A23" s="133"/>
      <c r="B23" s="133" t="s">
        <v>91</v>
      </c>
      <c r="C23" s="133" t="s">
        <v>24</v>
      </c>
      <c r="D23" s="22" t="s">
        <v>24</v>
      </c>
      <c r="E23" s="22" t="s">
        <v>25</v>
      </c>
      <c r="F23" s="22" t="s">
        <v>25</v>
      </c>
      <c r="G23" s="23" t="s">
        <v>84</v>
      </c>
      <c r="H23" s="23" t="s">
        <v>78</v>
      </c>
      <c r="I23" s="23">
        <f>'MERCADO TE'!$U$20</f>
        <v>0</v>
      </c>
      <c r="J23" s="15"/>
      <c r="L23" s="20">
        <f>('TE BE'!$L$23+'TE BF'!$L$23+'TE CVA'!$L$23)*1</f>
        <v>2.7264009271945664</v>
      </c>
      <c r="M23" s="20">
        <f>('TE BE'!$M$23+'TE BF'!$M$23+'TE CVA'!$M$23)*1</f>
        <v>21.706024922817182</v>
      </c>
      <c r="N23" s="20">
        <f>('TE BE'!$N$23+'TE BF'!$N$23+'TE CVA'!$N$23)*1</f>
        <v>1.5667827349591439</v>
      </c>
      <c r="O23" s="20">
        <f>('TE BE'!$O$23+'TE BF'!$O$23+'TE CVA'!$O$23)*1</f>
        <v>13.550451121644054</v>
      </c>
      <c r="P23" s="20">
        <f>('TE BE'!$P$23+'TE BF'!$P$23+'TE CVA'!$P$23)*1</f>
        <v>-18.961978214784679</v>
      </c>
      <c r="Q23" s="20">
        <f>('TE BE'!$R$23+'TE BF'!$R$23+'TE CVA'!$R$23)*1</f>
        <v>275.68175784529456</v>
      </c>
      <c r="R23" s="20">
        <f>('TE BE'!$T$23+'TE BF'!$T$23+'TE CVA'!$T$23)*1</f>
        <v>8.1215488417243442</v>
      </c>
      <c r="S23" s="20">
        <f>('TE BE'!$U$23+'TE BF'!$U$23+'TE CVA'!$U$23)*1</f>
        <v>6.1196450131634643</v>
      </c>
      <c r="T23" s="20">
        <f>('TE BE'!$V$23+'TE BF'!$V$23+'TE CVA'!$V$23)*1</f>
        <v>0</v>
      </c>
      <c r="U23" s="20">
        <f>('TE BE'!$X$23+'TE BF'!$X$23+'TE CVA'!$X$23)*1</f>
        <v>0</v>
      </c>
      <c r="V23" s="20">
        <f>('TE BE'!$Z$23+'TE BF'!$Z$23+'TE CVA'!$Z$23)*1</f>
        <v>4.274545037732544</v>
      </c>
      <c r="X23" s="20">
        <v>2.60344039612484</v>
      </c>
      <c r="Y23" s="20">
        <v>13.9433548519797</v>
      </c>
      <c r="Z23" s="20">
        <v>0.966353452828006</v>
      </c>
      <c r="AA23" s="20">
        <v>0</v>
      </c>
      <c r="AB23" s="20">
        <v>0</v>
      </c>
      <c r="AC23" s="20">
        <v>241.72059238144001</v>
      </c>
      <c r="AD23" s="20">
        <v>8.1254917675761895</v>
      </c>
      <c r="AE23" s="20">
        <v>7.1712215387980001</v>
      </c>
      <c r="AF23" s="20">
        <v>0</v>
      </c>
      <c r="AG23" s="20">
        <v>0</v>
      </c>
      <c r="AH23" s="20">
        <v>4.3723665863033299</v>
      </c>
    </row>
    <row r="24" spans="1:34" ht="11.25" customHeight="1" x14ac:dyDescent="0.3">
      <c r="A24" s="133"/>
      <c r="B24" s="133"/>
      <c r="C24" s="133"/>
      <c r="D24" s="22" t="s">
        <v>29</v>
      </c>
      <c r="E24" s="22" t="s">
        <v>25</v>
      </c>
      <c r="F24" s="22" t="s">
        <v>25</v>
      </c>
      <c r="G24" s="23" t="s">
        <v>84</v>
      </c>
      <c r="H24" s="23" t="s">
        <v>78</v>
      </c>
      <c r="I24" s="23">
        <f>'MERCADO TE'!$U$21</f>
        <v>0</v>
      </c>
      <c r="J24" s="15"/>
      <c r="L24" s="20">
        <f>('TE BE'!$L$24+'TE BF'!$L$24+'TE CVA'!$L$24)*(1 - 0.65)</f>
        <v>0.95424032451809815</v>
      </c>
      <c r="M24" s="20">
        <f>('TE BE'!$M$24+'TE BF'!$M$24+'TE CVA'!$M$24)*(1 - 0.65)</f>
        <v>7.5971087229860128</v>
      </c>
      <c r="N24" s="20">
        <f>('TE BE'!$N$24+'TE BF'!$N$24+'TE CVA'!$N$24)*(1 - 0.65)</f>
        <v>0.54837395723570037</v>
      </c>
      <c r="O24" s="20">
        <f>('TE BE'!$O$24+'TE BF'!$O$24+'TE CVA'!$O$24)*(1 - 0.65)</f>
        <v>4.7426578925754184</v>
      </c>
      <c r="P24" s="20">
        <f>('TE BE'!$P$24+'TE BF'!$P$24+'TE CVA'!$P$24)*(1 - 0.65)</f>
        <v>-6.6366923751746372</v>
      </c>
      <c r="Q24" s="20">
        <f>('TE BE'!$R$24+'TE BF'!$R$24+'TE CVA'!$R$24)*(1 - 0.65)</f>
        <v>96.488615245853083</v>
      </c>
      <c r="R24" s="20">
        <f>('TE BE'!$T$24+'TE BF'!$T$24+'TE CVA'!$T$24)*(1 - 0.65)</f>
        <v>2.8425420946035205</v>
      </c>
      <c r="S24" s="20">
        <f>('TE BE'!$U$24+'TE BF'!$U$24+'TE CVA'!$U$24)*(1 - 0.65)</f>
        <v>2.1418757546072125</v>
      </c>
      <c r="T24" s="20">
        <f>('TE BE'!$V$24+'TE BF'!$V$24+'TE CVA'!$V$24)*(1 - 0.65)</f>
        <v>0</v>
      </c>
      <c r="U24" s="20">
        <f>('TE BE'!$X$24+'TE BF'!$X$24+'TE CVA'!$X$24)*(1 - 0.65)</f>
        <v>0</v>
      </c>
      <c r="V24" s="20">
        <f>('TE BE'!$Z$24+'TE BF'!$Z$24+'TE CVA'!$Z$24)*(1 - 0.65)</f>
        <v>1.4960907632063902</v>
      </c>
      <c r="X24" s="20">
        <v>0.91120413864369298</v>
      </c>
      <c r="Y24" s="20">
        <v>4.8801741981928801</v>
      </c>
      <c r="Z24" s="20">
        <v>0.33822370848980199</v>
      </c>
      <c r="AA24" s="20">
        <v>0</v>
      </c>
      <c r="AB24" s="20">
        <v>0</v>
      </c>
      <c r="AC24" s="20">
        <v>84.602207333503998</v>
      </c>
      <c r="AD24" s="20">
        <v>2.8439221186516699</v>
      </c>
      <c r="AE24" s="20">
        <v>2.5099275385793001</v>
      </c>
      <c r="AF24" s="20">
        <v>0</v>
      </c>
      <c r="AG24" s="20">
        <v>0</v>
      </c>
      <c r="AH24" s="20">
        <v>1.53032830520617</v>
      </c>
    </row>
    <row r="25" spans="1:34" ht="11.25" customHeight="1" x14ac:dyDescent="0.3">
      <c r="A25" s="133"/>
      <c r="B25" s="133"/>
      <c r="C25" s="133"/>
      <c r="D25" s="22" t="s">
        <v>30</v>
      </c>
      <c r="E25" s="22" t="s">
        <v>25</v>
      </c>
      <c r="F25" s="22" t="s">
        <v>25</v>
      </c>
      <c r="G25" s="23" t="s">
        <v>84</v>
      </c>
      <c r="H25" s="23" t="s">
        <v>78</v>
      </c>
      <c r="I25" s="23">
        <f>'MERCADO TE'!$U$22</f>
        <v>0</v>
      </c>
      <c r="J25" s="15"/>
      <c r="L25" s="20">
        <f>('TE BE'!$L$25+'TE BF'!$L$25+'TE CVA'!$L$25)*(1 - 0.4)</f>
        <v>1.6358405563167397</v>
      </c>
      <c r="M25" s="20">
        <f>('TE BE'!$M$25+'TE BF'!$M$25+'TE CVA'!$M$25)*(1 - 0.4)</f>
        <v>13.023614953690309</v>
      </c>
      <c r="N25" s="20">
        <f>('TE BE'!$N$25+'TE BF'!$N$25+'TE CVA'!$N$25)*(1 - 0.4)</f>
        <v>0.94006964097548629</v>
      </c>
      <c r="O25" s="20">
        <f>('TE BE'!$O$25+'TE BF'!$O$25+'TE CVA'!$O$25)*(1 - 0.4)</f>
        <v>8.1302706729864322</v>
      </c>
      <c r="P25" s="20">
        <f>('TE BE'!$P$25+'TE BF'!$P$25+'TE CVA'!$P$25)*(1 - 0.4)</f>
        <v>-11.377186928870808</v>
      </c>
      <c r="Q25" s="20">
        <f>('TE BE'!$R$25+'TE BF'!$R$25+'TE CVA'!$R$25)*(1 - 0.4)</f>
        <v>165.40905470717672</v>
      </c>
      <c r="R25" s="20">
        <f>('TE BE'!$T$25+'TE BF'!$T$25+'TE CVA'!$T$25)*(1 - 0.4)</f>
        <v>4.8729293050346065</v>
      </c>
      <c r="S25" s="20">
        <f>('TE BE'!$U$25+'TE BF'!$U$25+'TE CVA'!$U$25)*(1 - 0.4)</f>
        <v>3.6717870078980783</v>
      </c>
      <c r="T25" s="20">
        <f>('TE BE'!$V$25+'TE BF'!$V$25+'TE CVA'!$V$25)*(1 - 0.4)</f>
        <v>0</v>
      </c>
      <c r="U25" s="20">
        <f>('TE BE'!$X$25+'TE BF'!$X$25+'TE CVA'!$X$25)*(1 - 0.4)</f>
        <v>0</v>
      </c>
      <c r="V25" s="20">
        <f>('TE BE'!$Z$25+'TE BF'!$Z$25+'TE CVA'!$Z$25)*(1 - 0.4)</f>
        <v>2.5647270226395262</v>
      </c>
      <c r="X25" s="20">
        <v>1.5620642376749001</v>
      </c>
      <c r="Y25" s="20">
        <v>8.3660129111878003</v>
      </c>
      <c r="Z25" s="20">
        <v>0.57981207169680304</v>
      </c>
      <c r="AA25" s="20">
        <v>0</v>
      </c>
      <c r="AB25" s="20">
        <v>0</v>
      </c>
      <c r="AC25" s="20">
        <v>145.03235542886401</v>
      </c>
      <c r="AD25" s="20">
        <v>4.8752950605457199</v>
      </c>
      <c r="AE25" s="20">
        <v>4.3027329232787999</v>
      </c>
      <c r="AF25" s="20">
        <v>0</v>
      </c>
      <c r="AG25" s="20">
        <v>0</v>
      </c>
      <c r="AH25" s="20">
        <v>2.623419951782</v>
      </c>
    </row>
    <row r="26" spans="1:34" ht="11.25" customHeight="1" x14ac:dyDescent="0.3">
      <c r="A26" s="133"/>
      <c r="B26" s="133"/>
      <c r="C26" s="133"/>
      <c r="D26" s="22" t="s">
        <v>31</v>
      </c>
      <c r="E26" s="22" t="s">
        <v>25</v>
      </c>
      <c r="F26" s="22" t="s">
        <v>25</v>
      </c>
      <c r="G26" s="23" t="s">
        <v>84</v>
      </c>
      <c r="H26" s="23" t="s">
        <v>78</v>
      </c>
      <c r="I26" s="23">
        <f>'MERCADO TE'!$U$23</f>
        <v>0</v>
      </c>
      <c r="J26" s="15"/>
      <c r="L26" s="20">
        <f>('TE BE'!$L$26+'TE BF'!$L$26+'TE CVA'!$L$26)*(1 - 0.1)</f>
        <v>2.4537608344751098</v>
      </c>
      <c r="M26" s="20">
        <f>('TE BE'!$M$26+'TE BF'!$M$26+'TE CVA'!$M$26)*(1 - 0.1)</f>
        <v>19.535422430535466</v>
      </c>
      <c r="N26" s="20">
        <f>('TE BE'!$N$26+'TE BF'!$N$26+'TE CVA'!$N$26)*(1 - 0.1)</f>
        <v>1.4101044614632294</v>
      </c>
      <c r="O26" s="20">
        <f>('TE BE'!$O$26+'TE BF'!$O$26+'TE CVA'!$O$26)*(1 - 0.1)</f>
        <v>12.195406009479649</v>
      </c>
      <c r="P26" s="20">
        <f>('TE BE'!$P$26+'TE BF'!$P$26+'TE CVA'!$P$26)*(1 - 0.1)</f>
        <v>-17.065780393306213</v>
      </c>
      <c r="Q26" s="20">
        <f>('TE BE'!$R$26+'TE BF'!$R$26+'TE CVA'!$R$26)*(1 - 0.1)</f>
        <v>248.11358206076511</v>
      </c>
      <c r="R26" s="20">
        <f>('TE BE'!$T$26+'TE BF'!$T$26+'TE CVA'!$T$26)*(1 - 0.1)</f>
        <v>7.3093939575519098</v>
      </c>
      <c r="S26" s="20">
        <f>('TE BE'!$U$26+'TE BF'!$U$26+'TE CVA'!$U$26)*(1 - 0.1)</f>
        <v>5.5076805118471182</v>
      </c>
      <c r="T26" s="20">
        <f>('TE BE'!$V$26+'TE BF'!$V$26+'TE CVA'!$V$26)*(1 - 0.1)</f>
        <v>0</v>
      </c>
      <c r="U26" s="20">
        <f>('TE BE'!$X$26+'TE BF'!$X$26+'TE CVA'!$X$26)*(1 - 0.1)</f>
        <v>0</v>
      </c>
      <c r="V26" s="20">
        <f>('TE BE'!$Z$26+'TE BF'!$Z$26+'TE CVA'!$Z$26)*(1 - 0.1)</f>
        <v>3.8470905339592898</v>
      </c>
      <c r="X26" s="20">
        <v>2.3430963565123499</v>
      </c>
      <c r="Y26" s="20">
        <v>12.5490193667817</v>
      </c>
      <c r="Z26" s="20">
        <v>0.86971810754520495</v>
      </c>
      <c r="AA26" s="20">
        <v>0</v>
      </c>
      <c r="AB26" s="20">
        <v>0</v>
      </c>
      <c r="AC26" s="20">
        <v>217.548533143296</v>
      </c>
      <c r="AD26" s="20">
        <v>7.3129425908185803</v>
      </c>
      <c r="AE26" s="20">
        <v>6.4540993849181998</v>
      </c>
      <c r="AF26" s="20">
        <v>0</v>
      </c>
      <c r="AG26" s="20">
        <v>0</v>
      </c>
      <c r="AH26" s="20">
        <v>3.9351299276730001</v>
      </c>
    </row>
    <row r="27" spans="1:34" ht="11.25" customHeight="1" x14ac:dyDescent="0.3">
      <c r="A27" s="133"/>
      <c r="B27" s="133"/>
      <c r="C27" s="133"/>
      <c r="D27" s="22" t="s">
        <v>32</v>
      </c>
      <c r="E27" s="22" t="s">
        <v>25</v>
      </c>
      <c r="F27" s="22" t="s">
        <v>25</v>
      </c>
      <c r="G27" s="23" t="s">
        <v>84</v>
      </c>
      <c r="H27" s="23" t="s">
        <v>78</v>
      </c>
      <c r="I27" s="23">
        <f>'MERCADO TE'!$U$24</f>
        <v>0</v>
      </c>
      <c r="J27" s="15"/>
      <c r="L27" s="20">
        <f>('TE BE'!$L$27+'TE BF'!$L$27+'TE CVA'!$L$27)*1</f>
        <v>2.7264009271945664</v>
      </c>
      <c r="M27" s="20">
        <f>('TE BE'!$M$27+'TE BF'!$M$27+'TE CVA'!$M$27)*1</f>
        <v>21.706024922817182</v>
      </c>
      <c r="N27" s="20">
        <f>('TE BE'!$N$27+'TE BF'!$N$27+'TE CVA'!$N$27)*1</f>
        <v>1.5667827349591439</v>
      </c>
      <c r="O27" s="20">
        <f>('TE BE'!$O$27+'TE BF'!$O$27+'TE CVA'!$O$27)*1</f>
        <v>13.550451121644054</v>
      </c>
      <c r="P27" s="20">
        <f>('TE BE'!$P$27+'TE BF'!$P$27+'TE CVA'!$P$27)*1</f>
        <v>-18.961978214784679</v>
      </c>
      <c r="Q27" s="20">
        <f>('TE BE'!$R$27+'TE BF'!$R$27+'TE CVA'!$R$27)*1</f>
        <v>275.68175784529456</v>
      </c>
      <c r="R27" s="20">
        <f>('TE BE'!$T$27+'TE BF'!$T$27+'TE CVA'!$T$27)*1</f>
        <v>8.1215488417243442</v>
      </c>
      <c r="S27" s="20">
        <f>('TE BE'!$U$27+'TE BF'!$U$27+'TE CVA'!$U$27)*1</f>
        <v>6.1196450131634643</v>
      </c>
      <c r="T27" s="20">
        <f>('TE BE'!$V$27+'TE BF'!$V$27+'TE CVA'!$V$27)*1</f>
        <v>0</v>
      </c>
      <c r="U27" s="20">
        <f>('TE BE'!$X$27+'TE BF'!$X$27+'TE CVA'!$X$27)*1</f>
        <v>0</v>
      </c>
      <c r="V27" s="20">
        <f>('TE BE'!$Z$27+'TE BF'!$Z$27+'TE CVA'!$Z$27)*1</f>
        <v>4.274545037732544</v>
      </c>
      <c r="X27" s="20">
        <v>2.60344039612484</v>
      </c>
      <c r="Y27" s="20">
        <v>13.9433548519797</v>
      </c>
      <c r="Z27" s="20">
        <v>0.966353452828006</v>
      </c>
      <c r="AA27" s="20">
        <v>0</v>
      </c>
      <c r="AB27" s="20">
        <v>0</v>
      </c>
      <c r="AC27" s="20">
        <v>241.72059238144001</v>
      </c>
      <c r="AD27" s="20">
        <v>8.1254917675761895</v>
      </c>
      <c r="AE27" s="20">
        <v>7.1712215387980001</v>
      </c>
      <c r="AF27" s="20">
        <v>0</v>
      </c>
      <c r="AG27" s="20">
        <v>0</v>
      </c>
      <c r="AH27" s="20">
        <v>4.3723665863033299</v>
      </c>
    </row>
    <row r="28" spans="1:34" ht="11.25" customHeight="1" x14ac:dyDescent="0.3">
      <c r="A28" s="133" t="s">
        <v>44</v>
      </c>
      <c r="B28" s="133" t="s">
        <v>77</v>
      </c>
      <c r="C28" s="133" t="s">
        <v>45</v>
      </c>
      <c r="D28" s="133" t="s">
        <v>25</v>
      </c>
      <c r="E28" s="133" t="s">
        <v>25</v>
      </c>
      <c r="F28" s="133" t="s">
        <v>25</v>
      </c>
      <c r="G28" s="23" t="s">
        <v>79</v>
      </c>
      <c r="H28" s="23" t="s">
        <v>78</v>
      </c>
      <c r="I28" s="23">
        <f>'MERCADO TE'!$U$25</f>
        <v>0</v>
      </c>
      <c r="J28" s="15"/>
      <c r="L28" s="20">
        <f>('TE BE'!$L$28+'TE BF'!$L$28+'TE CVA'!$L$28)*(1 - CUSTOS!$M$38)</f>
        <v>2.5628168715628923</v>
      </c>
      <c r="M28" s="20">
        <f>('TE BE'!$M$28+'TE BF'!$M$28+'TE CVA'!$M$28)*(1 - CUSTOS!$M$38)</f>
        <v>20.403663427448151</v>
      </c>
      <c r="N28" s="20">
        <f>('TE BE'!$N$28+'TE BF'!$N$28+'TE CVA'!$N$28)*(1 - CUSTOS!$M$38)</f>
        <v>1.4727757708615952</v>
      </c>
      <c r="O28" s="20">
        <f>('TE BE'!$O$28+'TE BF'!$O$28+'TE CVA'!$O$28)*(1 - CUSTOS!$M$38)</f>
        <v>12.737424054345409</v>
      </c>
      <c r="P28" s="20">
        <f>('TE BE'!$P$28+'TE BF'!$P$28+'TE CVA'!$P$28)*(1 - CUSTOS!$M$38)</f>
        <v>-17.824259521897599</v>
      </c>
      <c r="Q28" s="20">
        <f>('TE BE'!$R$28+'TE BF'!$R$28+'TE CVA'!$R$28)*(1 - CUSTOS!$M$38)</f>
        <v>420.49270385308699</v>
      </c>
      <c r="R28" s="20">
        <f>('TE BE'!$T$28+'TE BF'!$T$28+'TE CVA'!$T$28)*(1 - CUSTOS!$M$38)</f>
        <v>7.6342559112208832</v>
      </c>
      <c r="S28" s="20">
        <f>('TE BE'!$U$28+'TE BF'!$U$28+'TE CVA'!$U$28)*(1 - CUSTOS!$M$38)</f>
        <v>5.7524663123736559</v>
      </c>
      <c r="T28" s="20">
        <f>('TE BE'!$V$28+'TE BF'!$V$28+'TE CVA'!$V$28)*(1 - CUSTOS!$M$38)</f>
        <v>0</v>
      </c>
      <c r="U28" s="20">
        <f>('TE BE'!$X$28+'TE BF'!$X$28+'TE CVA'!$X$28)*(1 - CUSTOS!$M$38)</f>
        <v>0</v>
      </c>
      <c r="V28" s="20">
        <f>('TE BE'!$Z$28+'TE BF'!$Z$28+'TE CVA'!$Z$28)*(1 - CUSTOS!$M$38)</f>
        <v>4.0180723354685908</v>
      </c>
      <c r="X28" s="20">
        <v>2.2910275485898599</v>
      </c>
      <c r="Y28" s="20">
        <v>12.2701522697421</v>
      </c>
      <c r="Z28" s="20">
        <v>0.85039103848864495</v>
      </c>
      <c r="AA28" s="20">
        <v>0</v>
      </c>
      <c r="AB28" s="20">
        <v>0</v>
      </c>
      <c r="AC28" s="20">
        <v>345.15876285712</v>
      </c>
      <c r="AD28" s="20">
        <v>7.1504327554670501</v>
      </c>
      <c r="AE28" s="20">
        <v>6.3106749541422396</v>
      </c>
      <c r="AF28" s="20">
        <v>0</v>
      </c>
      <c r="AG28" s="20">
        <v>0</v>
      </c>
      <c r="AH28" s="20">
        <v>3.8476825959469299</v>
      </c>
    </row>
    <row r="29" spans="1:34" ht="11.25" customHeight="1" x14ac:dyDescent="0.3">
      <c r="A29" s="133"/>
      <c r="B29" s="133"/>
      <c r="C29" s="133"/>
      <c r="D29" s="133"/>
      <c r="E29" s="133"/>
      <c r="F29" s="133"/>
      <c r="G29" s="23" t="s">
        <v>90</v>
      </c>
      <c r="H29" s="23" t="s">
        <v>78</v>
      </c>
      <c r="I29" s="23">
        <f>'MERCADO TE'!$U$26</f>
        <v>0</v>
      </c>
      <c r="J29" s="15"/>
      <c r="L29" s="20">
        <f>('TE BE'!$L$29+'TE BF'!$L$29+'TE CVA'!$L$29)*(1 - CUSTOS!$M$38)</f>
        <v>2.5628168715628923</v>
      </c>
      <c r="M29" s="20">
        <f>('TE BE'!$M$29+'TE BF'!$M$29+'TE CVA'!$M$29)*(1 - CUSTOS!$M$38)</f>
        <v>20.403663427448151</v>
      </c>
      <c r="N29" s="20">
        <f>('TE BE'!$N$29+'TE BF'!$N$29+'TE CVA'!$N$29)*(1 - CUSTOS!$M$38)</f>
        <v>1.4727757708615952</v>
      </c>
      <c r="O29" s="20">
        <f>('TE BE'!$O$29+'TE BF'!$O$29+'TE CVA'!$O$29)*(1 - CUSTOS!$M$38)</f>
        <v>12.737424054345409</v>
      </c>
      <c r="P29" s="20">
        <f>('TE BE'!$P$29+'TE BF'!$P$29+'TE CVA'!$P$29)*(1 - CUSTOS!$M$38)</f>
        <v>-17.824259521897599</v>
      </c>
      <c r="Q29" s="20">
        <f>('TE BE'!$R$29+'TE BF'!$R$29+'TE CVA'!$R$29)*(1 - CUSTOS!$M$38)</f>
        <v>244.47250224016682</v>
      </c>
      <c r="R29" s="20">
        <f>('TE BE'!$T$29+'TE BF'!$T$29+'TE CVA'!$T$29)*(1 - CUSTOS!$M$38)</f>
        <v>7.6342559112208832</v>
      </c>
      <c r="S29" s="20">
        <f>('TE BE'!$U$29+'TE BF'!$U$29+'TE CVA'!$U$29)*(1 - CUSTOS!$M$38)</f>
        <v>5.7524663123736559</v>
      </c>
      <c r="T29" s="20">
        <f>('TE BE'!$V$29+'TE BF'!$V$29+'TE CVA'!$V$29)*(1 - CUSTOS!$M$38)</f>
        <v>0</v>
      </c>
      <c r="U29" s="20">
        <f>('TE BE'!$X$29+'TE BF'!$X$29+'TE CVA'!$X$29)*(1 - CUSTOS!$M$38)</f>
        <v>0</v>
      </c>
      <c r="V29" s="20">
        <f>('TE BE'!$Z$29+'TE BF'!$Z$29+'TE CVA'!$Z$29)*(1 - CUSTOS!$M$38)</f>
        <v>4.0180723354685908</v>
      </c>
      <c r="X29" s="20">
        <v>2.2910275485898599</v>
      </c>
      <c r="Y29" s="20">
        <v>12.2701522697421</v>
      </c>
      <c r="Z29" s="20">
        <v>0.85039103848864495</v>
      </c>
      <c r="AA29" s="20">
        <v>0</v>
      </c>
      <c r="AB29" s="20">
        <v>0</v>
      </c>
      <c r="AC29" s="20">
        <v>200.67369933553499</v>
      </c>
      <c r="AD29" s="20">
        <v>7.1504327554670501</v>
      </c>
      <c r="AE29" s="20">
        <v>6.3106749541422396</v>
      </c>
      <c r="AF29" s="20">
        <v>0</v>
      </c>
      <c r="AG29" s="20">
        <v>0</v>
      </c>
      <c r="AH29" s="20">
        <v>3.8476825959469299</v>
      </c>
    </row>
    <row r="30" spans="1:34" ht="11.25" customHeight="1" x14ac:dyDescent="0.3">
      <c r="A30" s="133"/>
      <c r="B30" s="133"/>
      <c r="C30" s="133"/>
      <c r="D30" s="133"/>
      <c r="E30" s="133"/>
      <c r="F30" s="133"/>
      <c r="G30" s="23" t="s">
        <v>80</v>
      </c>
      <c r="H30" s="23" t="s">
        <v>78</v>
      </c>
      <c r="I30" s="23">
        <f>'MERCADO TE'!$U$27</f>
        <v>0</v>
      </c>
      <c r="J30" s="15"/>
      <c r="L30" s="20">
        <f>('TE BE'!$L$30+'TE BF'!$L$30+'TE CVA'!$L$30)*(1 - CUSTOS!$M$38)</f>
        <v>2.5628168715628923</v>
      </c>
      <c r="M30" s="20">
        <f>('TE BE'!$M$30+'TE BF'!$M$30+'TE CVA'!$M$30)*(1 - CUSTOS!$M$38)</f>
        <v>20.403663427448151</v>
      </c>
      <c r="N30" s="20">
        <f>('TE BE'!$N$30+'TE BF'!$N$30+'TE CVA'!$N$30)*(1 - CUSTOS!$M$38)</f>
        <v>1.4727757708615952</v>
      </c>
      <c r="O30" s="20">
        <f>('TE BE'!$O$30+'TE BF'!$O$30+'TE CVA'!$O$30)*(1 - CUSTOS!$M$38)</f>
        <v>12.737424054345409</v>
      </c>
      <c r="P30" s="20">
        <f>('TE BE'!$P$30+'TE BF'!$P$30+'TE CVA'!$P$30)*(1 - CUSTOS!$M$38)</f>
        <v>-17.824259521897599</v>
      </c>
      <c r="Q30" s="20">
        <f>('TE BE'!$R$30+'TE BF'!$R$30+'TE CVA'!$R$30)*(1 - CUSTOS!$M$38)</f>
        <v>244.47250224016682</v>
      </c>
      <c r="R30" s="20">
        <f>('TE BE'!$T$30+'TE BF'!$T$30+'TE CVA'!$T$30)*(1 - CUSTOS!$M$38)</f>
        <v>7.6342559112208832</v>
      </c>
      <c r="S30" s="20">
        <f>('TE BE'!$U$30+'TE BF'!$U$30+'TE CVA'!$U$30)*(1 - CUSTOS!$M$38)</f>
        <v>5.7524663123736559</v>
      </c>
      <c r="T30" s="20">
        <f>('TE BE'!$V$30+'TE BF'!$V$30+'TE CVA'!$V$30)*(1 - CUSTOS!$M$38)</f>
        <v>0</v>
      </c>
      <c r="U30" s="20">
        <f>('TE BE'!$X$30+'TE BF'!$X$30+'TE CVA'!$X$30)*(1 - CUSTOS!$M$38)</f>
        <v>0</v>
      </c>
      <c r="V30" s="20">
        <f>('TE BE'!$Z$30+'TE BF'!$Z$30+'TE CVA'!$Z$30)*(1 - CUSTOS!$M$38)</f>
        <v>4.0180723354685908</v>
      </c>
      <c r="X30" s="20">
        <v>2.2910275485898599</v>
      </c>
      <c r="Y30" s="20">
        <v>12.2701522697421</v>
      </c>
      <c r="Z30" s="20">
        <v>0.85039103848864495</v>
      </c>
      <c r="AA30" s="20">
        <v>0</v>
      </c>
      <c r="AB30" s="20">
        <v>0</v>
      </c>
      <c r="AC30" s="20">
        <v>200.67369933553499</v>
      </c>
      <c r="AD30" s="20">
        <v>7.1504327554670501</v>
      </c>
      <c r="AE30" s="20">
        <v>6.3106749541422396</v>
      </c>
      <c r="AF30" s="20">
        <v>0</v>
      </c>
      <c r="AG30" s="20">
        <v>0</v>
      </c>
      <c r="AH30" s="20">
        <v>3.8476825959469299</v>
      </c>
    </row>
    <row r="31" spans="1:34" ht="11.25" customHeight="1" x14ac:dyDescent="0.3">
      <c r="A31" s="133"/>
      <c r="B31" s="22" t="s">
        <v>86</v>
      </c>
      <c r="C31" s="22" t="s">
        <v>45</v>
      </c>
      <c r="D31" s="22" t="s">
        <v>25</v>
      </c>
      <c r="E31" s="22" t="s">
        <v>25</v>
      </c>
      <c r="F31" s="22" t="s">
        <v>25</v>
      </c>
      <c r="G31" s="23" t="s">
        <v>84</v>
      </c>
      <c r="H31" s="23" t="s">
        <v>78</v>
      </c>
      <c r="I31" s="23">
        <f>'MERCADO TE'!$U$28</f>
        <v>3773.6869999999999</v>
      </c>
      <c r="J31" s="15"/>
      <c r="L31" s="20">
        <f>('TE BE'!$L$31+'TE BF'!$L$31+'TE CVA'!$L$31)*(1 - CUSTOS!$M$38)</f>
        <v>2.5628168715628923</v>
      </c>
      <c r="M31" s="20">
        <f>('TE BE'!$M$31+'TE BF'!$M$31+'TE CVA'!$M$31)*(1 - CUSTOS!$M$38)</f>
        <v>20.403663427448151</v>
      </c>
      <c r="N31" s="20">
        <f>('TE BE'!$N$31+'TE BF'!$N$31+'TE CVA'!$N$31)*(1 - CUSTOS!$M$38)</f>
        <v>1.4727757708615952</v>
      </c>
      <c r="O31" s="20">
        <f>('TE BE'!$O$31+'TE BF'!$O$31+'TE CVA'!$O$31)*(1 - CUSTOS!$M$38)</f>
        <v>12.737424054345409</v>
      </c>
      <c r="P31" s="20">
        <f>('TE BE'!$P$31+'TE BF'!$P$31+'TE CVA'!$P$31)*(1 - CUSTOS!$M$38)</f>
        <v>-17.824259521897599</v>
      </c>
      <c r="Q31" s="20">
        <f>('TE BE'!$R$31+'TE BF'!$R$31+'TE CVA'!$R$31)*(1 - CUSTOS!$M$38)</f>
        <v>259.14085237457687</v>
      </c>
      <c r="R31" s="20">
        <f>('TE BE'!$T$31+'TE BF'!$T$31+'TE CVA'!$T$31)*(1 - CUSTOS!$M$38)</f>
        <v>7.6342559112208832</v>
      </c>
      <c r="S31" s="20">
        <f>('TE BE'!$U$31+'TE BF'!$U$31+'TE CVA'!$U$31)*(1 - CUSTOS!$M$38)</f>
        <v>5.7524663123736559</v>
      </c>
      <c r="T31" s="20">
        <f>('TE BE'!$V$31+'TE BF'!$V$31+'TE CVA'!$V$31)*(1 - CUSTOS!$M$38)</f>
        <v>0</v>
      </c>
      <c r="U31" s="20">
        <f>('TE BE'!$X$31+'TE BF'!$X$31+'TE CVA'!$X$31)*(1 - CUSTOS!$M$38)</f>
        <v>0</v>
      </c>
      <c r="V31" s="20">
        <f>('TE BE'!$Z$31+'TE BF'!$Z$31+'TE CVA'!$Z$31)*(1 - CUSTOS!$M$38)</f>
        <v>4.0180723354685908</v>
      </c>
      <c r="X31" s="20">
        <v>2.2910275485898599</v>
      </c>
      <c r="Y31" s="20">
        <v>12.2701522697421</v>
      </c>
      <c r="Z31" s="20">
        <v>0.85039103848864495</v>
      </c>
      <c r="AA31" s="20">
        <v>0</v>
      </c>
      <c r="AB31" s="20">
        <v>0</v>
      </c>
      <c r="AC31" s="20">
        <v>212.71412129566701</v>
      </c>
      <c r="AD31" s="20">
        <v>7.1504327554670501</v>
      </c>
      <c r="AE31" s="20">
        <v>6.3106749541422396</v>
      </c>
      <c r="AF31" s="20">
        <v>0</v>
      </c>
      <c r="AG31" s="20">
        <v>0</v>
      </c>
      <c r="AH31" s="20">
        <v>3.8476825959469299</v>
      </c>
    </row>
    <row r="32" spans="1:34" ht="11.25" customHeight="1" x14ac:dyDescent="0.3">
      <c r="A32" s="133"/>
      <c r="B32" s="133" t="s">
        <v>77</v>
      </c>
      <c r="C32" s="133" t="s">
        <v>45</v>
      </c>
      <c r="D32" s="133" t="s">
        <v>93</v>
      </c>
      <c r="E32" s="133" t="s">
        <v>25</v>
      </c>
      <c r="F32" s="133" t="s">
        <v>25</v>
      </c>
      <c r="G32" s="23" t="s">
        <v>79</v>
      </c>
      <c r="H32" s="23" t="s">
        <v>78</v>
      </c>
      <c r="I32" s="23">
        <f>'MERCADO TE'!$U$29</f>
        <v>0</v>
      </c>
      <c r="J32" s="15"/>
      <c r="L32" s="20">
        <f>('TE BE'!$L$32+'TE BF'!$L$32+'TE CVA'!$L$32)*(1 - CUSTOS!$M$39)</f>
        <v>2.5628168715628923</v>
      </c>
      <c r="M32" s="20">
        <f>('TE BE'!$M$32+'TE BF'!$M$32+'TE CVA'!$M$32)*(1 - CUSTOS!$M$39)</f>
        <v>20.403663427448151</v>
      </c>
      <c r="N32" s="20">
        <f>('TE BE'!$N$32+'TE BF'!$N$32+'TE CVA'!$N$32)*(1 - CUSTOS!$M$39)</f>
        <v>1.4727757708615952</v>
      </c>
      <c r="O32" s="20">
        <f>('TE BE'!$O$32+'TE BF'!$O$32+'TE CVA'!$O$32)*(1 - CUSTOS!$M$39)</f>
        <v>12.737424054345409</v>
      </c>
      <c r="P32" s="20">
        <f>('TE BE'!$P$32+'TE BF'!$P$32+'TE CVA'!$P$32)*(1 - CUSTOS!$M$39)</f>
        <v>-17.824259521897599</v>
      </c>
      <c r="Q32" s="20">
        <f>('TE BE'!$R$32+'TE BF'!$R$32+'TE CVA'!$R$32)*(1 - CUSTOS!$M$39)</f>
        <v>420.49270385308699</v>
      </c>
      <c r="R32" s="20">
        <f>('TE BE'!$T$32+'TE BF'!$T$32+'TE CVA'!$T$32)*(1 - CUSTOS!$M$39)</f>
        <v>7.6342559112208832</v>
      </c>
      <c r="S32" s="20">
        <f>('TE BE'!$U$32+'TE BF'!$U$32+'TE CVA'!$U$32)*(1 - CUSTOS!$M$39)</f>
        <v>5.7524663123736559</v>
      </c>
      <c r="T32" s="20">
        <f>('TE BE'!$V$32+'TE BF'!$V$32+'TE CVA'!$V$32)*(1 - CUSTOS!$M$39)</f>
        <v>0</v>
      </c>
      <c r="U32" s="20">
        <f>('TE BE'!$X$32+'TE BF'!$X$32+'TE CVA'!$X$32)*(1 - CUSTOS!$M$39)</f>
        <v>0</v>
      </c>
      <c r="V32" s="20">
        <f>('TE BE'!$Z$32+'TE BF'!$Z$32+'TE CVA'!$Z$32)*(1 - CUSTOS!$M$39)</f>
        <v>4.0180723354685908</v>
      </c>
      <c r="X32" s="20">
        <v>2.2910275485898599</v>
      </c>
      <c r="Y32" s="20">
        <v>12.2701522697421</v>
      </c>
      <c r="Z32" s="20">
        <v>0.85039103848864495</v>
      </c>
      <c r="AA32" s="20">
        <v>0</v>
      </c>
      <c r="AB32" s="20">
        <v>0</v>
      </c>
      <c r="AC32" s="20">
        <v>345.15876285712</v>
      </c>
      <c r="AD32" s="20">
        <v>7.1504327554670501</v>
      </c>
      <c r="AE32" s="20">
        <v>6.3106749541422396</v>
      </c>
      <c r="AF32" s="20">
        <v>0</v>
      </c>
      <c r="AG32" s="20">
        <v>0</v>
      </c>
      <c r="AH32" s="20">
        <v>3.8476825959469299</v>
      </c>
    </row>
    <row r="33" spans="1:34" ht="11.25" customHeight="1" x14ac:dyDescent="0.3">
      <c r="A33" s="133"/>
      <c r="B33" s="133"/>
      <c r="C33" s="133"/>
      <c r="D33" s="133"/>
      <c r="E33" s="133"/>
      <c r="F33" s="133"/>
      <c r="G33" s="23" t="s">
        <v>90</v>
      </c>
      <c r="H33" s="23" t="s">
        <v>78</v>
      </c>
      <c r="I33" s="23">
        <f>'MERCADO TE'!$U$30</f>
        <v>0</v>
      </c>
      <c r="J33" s="15"/>
      <c r="L33" s="20">
        <f>('TE BE'!$L$33+'TE BF'!$L$33+'TE CVA'!$L$33)*(1 - CUSTOS!$M$39)</f>
        <v>2.5628168715628923</v>
      </c>
      <c r="M33" s="20">
        <f>('TE BE'!$M$33+'TE BF'!$M$33+'TE CVA'!$M$33)*(1 - CUSTOS!$M$39)</f>
        <v>20.403663427448151</v>
      </c>
      <c r="N33" s="20">
        <f>('TE BE'!$N$33+'TE BF'!$N$33+'TE CVA'!$N$33)*(1 - CUSTOS!$M$39)</f>
        <v>1.4727757708615952</v>
      </c>
      <c r="O33" s="20">
        <f>('TE BE'!$O$33+'TE BF'!$O$33+'TE CVA'!$O$33)*(1 - CUSTOS!$M$39)</f>
        <v>12.737424054345409</v>
      </c>
      <c r="P33" s="20">
        <f>('TE BE'!$P$33+'TE BF'!$P$33+'TE CVA'!$P$33)*(1 - CUSTOS!$M$39)</f>
        <v>-17.824259521897599</v>
      </c>
      <c r="Q33" s="20">
        <f>('TE BE'!$R$33+'TE BF'!$R$33+'TE CVA'!$R$33)*(1 - CUSTOS!$M$39)</f>
        <v>244.47250224016682</v>
      </c>
      <c r="R33" s="20">
        <f>('TE BE'!$T$33+'TE BF'!$T$33+'TE CVA'!$T$33)*(1 - CUSTOS!$M$39)</f>
        <v>7.6342559112208832</v>
      </c>
      <c r="S33" s="20">
        <f>('TE BE'!$U$33+'TE BF'!$U$33+'TE CVA'!$U$33)*(1 - CUSTOS!$M$39)</f>
        <v>5.7524663123736559</v>
      </c>
      <c r="T33" s="20">
        <f>('TE BE'!$V$33+'TE BF'!$V$33+'TE CVA'!$V$33)*(1 - CUSTOS!$M$39)</f>
        <v>0</v>
      </c>
      <c r="U33" s="20">
        <f>('TE BE'!$X$33+'TE BF'!$X$33+'TE CVA'!$X$33)*(1 - CUSTOS!$M$39)</f>
        <v>0</v>
      </c>
      <c r="V33" s="20">
        <f>('TE BE'!$Z$33+'TE BF'!$Z$33+'TE CVA'!$Z$33)*(1 - CUSTOS!$M$39)</f>
        <v>4.0180723354685908</v>
      </c>
      <c r="X33" s="20">
        <v>2.2910275485898599</v>
      </c>
      <c r="Y33" s="20">
        <v>12.2701522697421</v>
      </c>
      <c r="Z33" s="20">
        <v>0.85039103848864495</v>
      </c>
      <c r="AA33" s="20">
        <v>0</v>
      </c>
      <c r="AB33" s="20">
        <v>0</v>
      </c>
      <c r="AC33" s="20">
        <v>200.67369933553499</v>
      </c>
      <c r="AD33" s="20">
        <v>7.1504327554670501</v>
      </c>
      <c r="AE33" s="20">
        <v>6.3106749541422396</v>
      </c>
      <c r="AF33" s="20">
        <v>0</v>
      </c>
      <c r="AG33" s="20">
        <v>0</v>
      </c>
      <c r="AH33" s="20">
        <v>3.8476825959469299</v>
      </c>
    </row>
    <row r="34" spans="1:34" ht="11.25" customHeight="1" x14ac:dyDescent="0.3">
      <c r="A34" s="133"/>
      <c r="B34" s="133"/>
      <c r="C34" s="133"/>
      <c r="D34" s="133"/>
      <c r="E34" s="133"/>
      <c r="F34" s="133"/>
      <c r="G34" s="23" t="s">
        <v>80</v>
      </c>
      <c r="H34" s="23" t="s">
        <v>78</v>
      </c>
      <c r="I34" s="23">
        <f>'MERCADO TE'!$U$31</f>
        <v>0</v>
      </c>
      <c r="J34" s="15"/>
      <c r="L34" s="20">
        <f>('TE BE'!$L$34+'TE BF'!$L$34+'TE CVA'!$L$34)*(1 - CUSTOS!$M$39)</f>
        <v>2.5628168715628923</v>
      </c>
      <c r="M34" s="20">
        <f>('TE BE'!$M$34+'TE BF'!$M$34+'TE CVA'!$M$34)*(1 - CUSTOS!$M$39)</f>
        <v>20.403663427448151</v>
      </c>
      <c r="N34" s="20">
        <f>('TE BE'!$N$34+'TE BF'!$N$34+'TE CVA'!$N$34)*(1 - CUSTOS!$M$39)</f>
        <v>1.4727757708615952</v>
      </c>
      <c r="O34" s="20">
        <f>('TE BE'!$O$34+'TE BF'!$O$34+'TE CVA'!$O$34)*(1 - CUSTOS!$M$39)</f>
        <v>12.737424054345409</v>
      </c>
      <c r="P34" s="20">
        <f>('TE BE'!$P$34+'TE BF'!$P$34+'TE CVA'!$P$34)*(1 - CUSTOS!$M$39)</f>
        <v>-17.824259521897599</v>
      </c>
      <c r="Q34" s="20">
        <f>('TE BE'!$R$34+'TE BF'!$R$34+'TE CVA'!$R$34)*(1 - CUSTOS!$M$39)</f>
        <v>244.47250224016682</v>
      </c>
      <c r="R34" s="20">
        <f>('TE BE'!$T$34+'TE BF'!$T$34+'TE CVA'!$T$34)*(1 - CUSTOS!$M$39)</f>
        <v>7.6342559112208832</v>
      </c>
      <c r="S34" s="20">
        <f>('TE BE'!$U$34+'TE BF'!$U$34+'TE CVA'!$U$34)*(1 - CUSTOS!$M$39)</f>
        <v>5.7524663123736559</v>
      </c>
      <c r="T34" s="20">
        <f>('TE BE'!$V$34+'TE BF'!$V$34+'TE CVA'!$V$34)*(1 - CUSTOS!$M$39)</f>
        <v>0</v>
      </c>
      <c r="U34" s="20">
        <f>('TE BE'!$X$34+'TE BF'!$X$34+'TE CVA'!$X$34)*(1 - CUSTOS!$M$39)</f>
        <v>0</v>
      </c>
      <c r="V34" s="20">
        <f>('TE BE'!$Z$34+'TE BF'!$Z$34+'TE CVA'!$Z$34)*(1 - CUSTOS!$M$39)</f>
        <v>4.0180723354685908</v>
      </c>
      <c r="X34" s="20">
        <v>2.2910275485898599</v>
      </c>
      <c r="Y34" s="20">
        <v>12.2701522697421</v>
      </c>
      <c r="Z34" s="20">
        <v>0.85039103848864495</v>
      </c>
      <c r="AA34" s="20">
        <v>0</v>
      </c>
      <c r="AB34" s="20">
        <v>0</v>
      </c>
      <c r="AC34" s="20">
        <v>200.67369933553499</v>
      </c>
      <c r="AD34" s="20">
        <v>7.1504327554670501</v>
      </c>
      <c r="AE34" s="20">
        <v>6.3106749541422396</v>
      </c>
      <c r="AF34" s="20">
        <v>0</v>
      </c>
      <c r="AG34" s="20">
        <v>0</v>
      </c>
      <c r="AH34" s="20">
        <v>3.8476825959469299</v>
      </c>
    </row>
    <row r="35" spans="1:34" ht="11.25" customHeight="1" x14ac:dyDescent="0.3">
      <c r="A35" s="133"/>
      <c r="B35" s="22" t="s">
        <v>86</v>
      </c>
      <c r="C35" s="22" t="s">
        <v>45</v>
      </c>
      <c r="D35" s="22" t="s">
        <v>93</v>
      </c>
      <c r="E35" s="22" t="s">
        <v>25</v>
      </c>
      <c r="F35" s="22" t="s">
        <v>25</v>
      </c>
      <c r="G35" s="23" t="s">
        <v>84</v>
      </c>
      <c r="H35" s="23" t="s">
        <v>78</v>
      </c>
      <c r="I35" s="23">
        <f>'MERCADO TE'!$U$32</f>
        <v>0</v>
      </c>
      <c r="J35" s="15"/>
      <c r="L35" s="20">
        <f>('TE BE'!$L$35+'TE BF'!$L$35+'TE CVA'!$L$35)*(1 - CUSTOS!$M$39)</f>
        <v>2.5628168715628923</v>
      </c>
      <c r="M35" s="20">
        <f>('TE BE'!$M$35+'TE BF'!$M$35+'TE CVA'!$M$35)*(1 - CUSTOS!$M$39)</f>
        <v>20.403663427448151</v>
      </c>
      <c r="N35" s="20">
        <f>('TE BE'!$N$35+'TE BF'!$N$35+'TE CVA'!$N$35)*(1 - CUSTOS!$M$39)</f>
        <v>1.4727757708615952</v>
      </c>
      <c r="O35" s="20">
        <f>('TE BE'!$O$35+'TE BF'!$O$35+'TE CVA'!$O$35)*(1 - CUSTOS!$M$39)</f>
        <v>12.737424054345409</v>
      </c>
      <c r="P35" s="20">
        <f>('TE BE'!$P$35+'TE BF'!$P$35+'TE CVA'!$P$35)*(1 - CUSTOS!$M$39)</f>
        <v>-17.824259521897599</v>
      </c>
      <c r="Q35" s="20">
        <f>('TE BE'!$R$35+'TE BF'!$R$35+'TE CVA'!$R$35)*(1 - CUSTOS!$M$39)</f>
        <v>259.14085237457687</v>
      </c>
      <c r="R35" s="20">
        <f>('TE BE'!$T$35+'TE BF'!$T$35+'TE CVA'!$T$35)*(1 - CUSTOS!$M$39)</f>
        <v>7.6342559112208832</v>
      </c>
      <c r="S35" s="20">
        <f>('TE BE'!$U$35+'TE BF'!$U$35+'TE CVA'!$U$35)*(1 - CUSTOS!$M$39)</f>
        <v>5.7524663123736559</v>
      </c>
      <c r="T35" s="20">
        <f>('TE BE'!$V$35+'TE BF'!$V$35+'TE CVA'!$V$35)*(1 - CUSTOS!$M$39)</f>
        <v>0</v>
      </c>
      <c r="U35" s="20">
        <f>('TE BE'!$X$35+'TE BF'!$X$35+'TE CVA'!$X$35)*(1 - CUSTOS!$M$39)</f>
        <v>0</v>
      </c>
      <c r="V35" s="20">
        <f>('TE BE'!$Z$35+'TE BF'!$Z$35+'TE CVA'!$Z$35)*(1 - CUSTOS!$M$39)</f>
        <v>4.0180723354685908</v>
      </c>
      <c r="X35" s="20">
        <v>2.2910275485898599</v>
      </c>
      <c r="Y35" s="20">
        <v>12.2701522697421</v>
      </c>
      <c r="Z35" s="20">
        <v>0.85039103848864495</v>
      </c>
      <c r="AA35" s="20">
        <v>0</v>
      </c>
      <c r="AB35" s="20">
        <v>0</v>
      </c>
      <c r="AC35" s="20">
        <v>212.71412129566701</v>
      </c>
      <c r="AD35" s="20">
        <v>7.1504327554670501</v>
      </c>
      <c r="AE35" s="20">
        <v>6.3106749541422396</v>
      </c>
      <c r="AF35" s="20">
        <v>0</v>
      </c>
      <c r="AG35" s="20">
        <v>0</v>
      </c>
      <c r="AH35" s="20">
        <v>3.8476825959469299</v>
      </c>
    </row>
    <row r="36" spans="1:34" ht="11.25" customHeight="1" x14ac:dyDescent="0.3">
      <c r="A36" s="133"/>
      <c r="B36" s="133" t="s">
        <v>77</v>
      </c>
      <c r="C36" s="133" t="s">
        <v>45</v>
      </c>
      <c r="D36" s="133" t="s">
        <v>94</v>
      </c>
      <c r="E36" s="133" t="s">
        <v>25</v>
      </c>
      <c r="F36" s="133" t="s">
        <v>25</v>
      </c>
      <c r="G36" s="23" t="s">
        <v>79</v>
      </c>
      <c r="H36" s="23" t="s">
        <v>78</v>
      </c>
      <c r="I36" s="23">
        <f>'MERCADO TE'!$U$33</f>
        <v>0</v>
      </c>
      <c r="J36" s="15"/>
      <c r="L36" s="20">
        <f>('TE BE'!$L$36+'TE BF'!$L$36+'TE CVA'!$L$36)*(1 - CUSTOS!$M$40)</f>
        <v>2.5082888530190011</v>
      </c>
      <c r="M36" s="20">
        <f>('TE BE'!$M$36+'TE BF'!$M$36+'TE CVA'!$M$36)*(1 - CUSTOS!$M$40)</f>
        <v>19.969542928991807</v>
      </c>
      <c r="N36" s="20">
        <f>('TE BE'!$N$36+'TE BF'!$N$36+'TE CVA'!$N$36)*(1 - CUSTOS!$M$40)</f>
        <v>1.4414401161624124</v>
      </c>
      <c r="O36" s="20">
        <f>('TE BE'!$O$36+'TE BF'!$O$36+'TE CVA'!$O$36)*(1 - CUSTOS!$M$40)</f>
        <v>12.466415031912531</v>
      </c>
      <c r="P36" s="20">
        <f>('TE BE'!$P$36+'TE BF'!$P$36+'TE CVA'!$P$36)*(1 - CUSTOS!$M$40)</f>
        <v>-17.445019957601904</v>
      </c>
      <c r="Q36" s="20">
        <f>('TE BE'!$R$36+'TE BF'!$R$36+'TE CVA'!$R$36)*(1 - CUSTOS!$M$40)</f>
        <v>411.54605057961709</v>
      </c>
      <c r="R36" s="20">
        <f>('TE BE'!$T$36+'TE BF'!$T$36+'TE CVA'!$T$36)*(1 - CUSTOS!$M$40)</f>
        <v>7.4718249343863974</v>
      </c>
      <c r="S36" s="20">
        <f>('TE BE'!$U$36+'TE BF'!$U$36+'TE CVA'!$U$36)*(1 - CUSTOS!$M$40)</f>
        <v>5.630073412110387</v>
      </c>
      <c r="T36" s="20">
        <f>('TE BE'!$V$36+'TE BF'!$V$36+'TE CVA'!$V$36)*(1 - CUSTOS!$M$40)</f>
        <v>0</v>
      </c>
      <c r="U36" s="20">
        <f>('TE BE'!$X$36+'TE BF'!$X$36+'TE CVA'!$X$36)*(1 - CUSTOS!$M$40)</f>
        <v>0</v>
      </c>
      <c r="V36" s="20">
        <f>('TE BE'!$Z$36+'TE BF'!$Z$36+'TE CVA'!$Z$36)*(1 - CUSTOS!$M$40)</f>
        <v>3.9325814347139407</v>
      </c>
      <c r="X36" s="20">
        <v>2.1868899327448599</v>
      </c>
      <c r="Y36" s="20">
        <v>11.712418075662899</v>
      </c>
      <c r="Z36" s="20">
        <v>0.81173690037552504</v>
      </c>
      <c r="AA36" s="20">
        <v>0</v>
      </c>
      <c r="AB36" s="20">
        <v>0</v>
      </c>
      <c r="AC36" s="20">
        <v>329.469728181797</v>
      </c>
      <c r="AD36" s="20">
        <v>6.8254130847640004</v>
      </c>
      <c r="AE36" s="20">
        <v>6.02382609259032</v>
      </c>
      <c r="AF36" s="20">
        <v>0</v>
      </c>
      <c r="AG36" s="20">
        <v>0</v>
      </c>
      <c r="AH36" s="20">
        <v>3.6727879324948001</v>
      </c>
    </row>
    <row r="37" spans="1:34" ht="11.25" customHeight="1" x14ac:dyDescent="0.3">
      <c r="A37" s="133"/>
      <c r="B37" s="133"/>
      <c r="C37" s="133"/>
      <c r="D37" s="133"/>
      <c r="E37" s="133"/>
      <c r="F37" s="133"/>
      <c r="G37" s="23" t="s">
        <v>90</v>
      </c>
      <c r="H37" s="23" t="s">
        <v>78</v>
      </c>
      <c r="I37" s="23">
        <f>'MERCADO TE'!$U$34</f>
        <v>0</v>
      </c>
      <c r="J37" s="15"/>
      <c r="L37" s="20">
        <f>('TE BE'!$L$37+'TE BF'!$L$37+'TE CVA'!$L$37)*(1 - CUSTOS!$M$40)</f>
        <v>2.5082888530190011</v>
      </c>
      <c r="M37" s="20">
        <f>('TE BE'!$M$37+'TE BF'!$M$37+'TE CVA'!$M$37)*(1 - CUSTOS!$M$40)</f>
        <v>19.969542928991807</v>
      </c>
      <c r="N37" s="20">
        <f>('TE BE'!$N$37+'TE BF'!$N$37+'TE CVA'!$N$37)*(1 - CUSTOS!$M$40)</f>
        <v>1.4414401161624124</v>
      </c>
      <c r="O37" s="20">
        <f>('TE BE'!$O$37+'TE BF'!$O$37+'TE CVA'!$O$37)*(1 - CUSTOS!$M$40)</f>
        <v>12.466415031912531</v>
      </c>
      <c r="P37" s="20">
        <f>('TE BE'!$P$37+'TE BF'!$P$37+'TE CVA'!$P$37)*(1 - CUSTOS!$M$40)</f>
        <v>-17.445019957601904</v>
      </c>
      <c r="Q37" s="20">
        <f>('TE BE'!$R$37+'TE BF'!$R$37+'TE CVA'!$R$37)*(1 - CUSTOS!$M$40)</f>
        <v>239.27095963931225</v>
      </c>
      <c r="R37" s="20">
        <f>('TE BE'!$T$37+'TE BF'!$T$37+'TE CVA'!$T$37)*(1 - CUSTOS!$M$40)</f>
        <v>7.4718249343863974</v>
      </c>
      <c r="S37" s="20">
        <f>('TE BE'!$U$37+'TE BF'!$U$37+'TE CVA'!$U$37)*(1 - CUSTOS!$M$40)</f>
        <v>5.630073412110387</v>
      </c>
      <c r="T37" s="20">
        <f>('TE BE'!$V$37+'TE BF'!$V$37+'TE CVA'!$V$37)*(1 - CUSTOS!$M$40)</f>
        <v>0</v>
      </c>
      <c r="U37" s="20">
        <f>('TE BE'!$X$37+'TE BF'!$X$37+'TE CVA'!$X$37)*(1 - CUSTOS!$M$40)</f>
        <v>0</v>
      </c>
      <c r="V37" s="20">
        <f>('TE BE'!$Z$37+'TE BF'!$Z$37+'TE CVA'!$Z$37)*(1 - CUSTOS!$M$40)</f>
        <v>3.9325814347139407</v>
      </c>
      <c r="X37" s="20">
        <v>2.1868899327448599</v>
      </c>
      <c r="Y37" s="20">
        <v>11.712418075662899</v>
      </c>
      <c r="Z37" s="20">
        <v>0.81173690037552504</v>
      </c>
      <c r="AA37" s="20">
        <v>0</v>
      </c>
      <c r="AB37" s="20">
        <v>0</v>
      </c>
      <c r="AC37" s="20">
        <v>191.552167547556</v>
      </c>
      <c r="AD37" s="20">
        <v>6.8254130847640004</v>
      </c>
      <c r="AE37" s="20">
        <v>6.02382609259032</v>
      </c>
      <c r="AF37" s="20">
        <v>0</v>
      </c>
      <c r="AG37" s="20">
        <v>0</v>
      </c>
      <c r="AH37" s="20">
        <v>3.6727879324948001</v>
      </c>
    </row>
    <row r="38" spans="1:34" ht="11.25" customHeight="1" x14ac:dyDescent="0.3">
      <c r="A38" s="133"/>
      <c r="B38" s="133"/>
      <c r="C38" s="133"/>
      <c r="D38" s="133"/>
      <c r="E38" s="133"/>
      <c r="F38" s="133"/>
      <c r="G38" s="23" t="s">
        <v>80</v>
      </c>
      <c r="H38" s="23" t="s">
        <v>78</v>
      </c>
      <c r="I38" s="23">
        <f>'MERCADO TE'!$U$35</f>
        <v>0</v>
      </c>
      <c r="J38" s="15"/>
      <c r="L38" s="20">
        <f>('TE BE'!$L$38+'TE BF'!$L$38+'TE CVA'!$L$38)*(1 - CUSTOS!$M$40)</f>
        <v>2.5082888530190011</v>
      </c>
      <c r="M38" s="20">
        <f>('TE BE'!$M$38+'TE BF'!$M$38+'TE CVA'!$M$38)*(1 - CUSTOS!$M$40)</f>
        <v>19.969542928991807</v>
      </c>
      <c r="N38" s="20">
        <f>('TE BE'!$N$38+'TE BF'!$N$38+'TE CVA'!$N$38)*(1 - CUSTOS!$M$40)</f>
        <v>1.4414401161624124</v>
      </c>
      <c r="O38" s="20">
        <f>('TE BE'!$O$38+'TE BF'!$O$38+'TE CVA'!$O$38)*(1 - CUSTOS!$M$40)</f>
        <v>12.466415031912531</v>
      </c>
      <c r="P38" s="20">
        <f>('TE BE'!$P$38+'TE BF'!$P$38+'TE CVA'!$P$38)*(1 - CUSTOS!$M$40)</f>
        <v>-17.445019957601904</v>
      </c>
      <c r="Q38" s="20">
        <f>('TE BE'!$R$38+'TE BF'!$R$38+'TE CVA'!$R$38)*(1 - CUSTOS!$M$40)</f>
        <v>239.27095963931225</v>
      </c>
      <c r="R38" s="20">
        <f>('TE BE'!$T$38+'TE BF'!$T$38+'TE CVA'!$T$38)*(1 - CUSTOS!$M$40)</f>
        <v>7.4718249343863974</v>
      </c>
      <c r="S38" s="20">
        <f>('TE BE'!$U$38+'TE BF'!$U$38+'TE CVA'!$U$38)*(1 - CUSTOS!$M$40)</f>
        <v>5.630073412110387</v>
      </c>
      <c r="T38" s="20">
        <f>('TE BE'!$V$38+'TE BF'!$V$38+'TE CVA'!$V$38)*(1 - CUSTOS!$M$40)</f>
        <v>0</v>
      </c>
      <c r="U38" s="20">
        <f>('TE BE'!$X$38+'TE BF'!$X$38+'TE CVA'!$X$38)*(1 - CUSTOS!$M$40)</f>
        <v>0</v>
      </c>
      <c r="V38" s="20">
        <f>('TE BE'!$Z$38+'TE BF'!$Z$38+'TE CVA'!$Z$38)*(1 - CUSTOS!$M$40)</f>
        <v>3.9325814347139407</v>
      </c>
      <c r="X38" s="20">
        <v>2.1868899327448599</v>
      </c>
      <c r="Y38" s="20">
        <v>11.712418075662899</v>
      </c>
      <c r="Z38" s="20">
        <v>0.81173690037552504</v>
      </c>
      <c r="AA38" s="20">
        <v>0</v>
      </c>
      <c r="AB38" s="20">
        <v>0</v>
      </c>
      <c r="AC38" s="20">
        <v>191.552167547556</v>
      </c>
      <c r="AD38" s="20">
        <v>6.8254130847640004</v>
      </c>
      <c r="AE38" s="20">
        <v>6.02382609259032</v>
      </c>
      <c r="AF38" s="20">
        <v>0</v>
      </c>
      <c r="AG38" s="20">
        <v>0</v>
      </c>
      <c r="AH38" s="20">
        <v>3.6727879324948001</v>
      </c>
    </row>
    <row r="39" spans="1:34" ht="11.25" customHeight="1" x14ac:dyDescent="0.3">
      <c r="A39" s="133"/>
      <c r="B39" s="22" t="s">
        <v>86</v>
      </c>
      <c r="C39" s="22" t="s">
        <v>45</v>
      </c>
      <c r="D39" s="22" t="s">
        <v>94</v>
      </c>
      <c r="E39" s="22" t="s">
        <v>25</v>
      </c>
      <c r="F39" s="22" t="s">
        <v>25</v>
      </c>
      <c r="G39" s="23" t="s">
        <v>84</v>
      </c>
      <c r="H39" s="23" t="s">
        <v>78</v>
      </c>
      <c r="I39" s="23">
        <f>'MERCADO TE'!$U$36</f>
        <v>0</v>
      </c>
      <c r="J39" s="15"/>
      <c r="L39" s="20">
        <f>('TE BE'!$L$39+'TE BF'!$L$39+'TE CVA'!$L$39)*(1 - CUSTOS!$M$40)</f>
        <v>2.5082888530190011</v>
      </c>
      <c r="M39" s="20">
        <f>('TE BE'!$M$39+'TE BF'!$M$39+'TE CVA'!$M$39)*(1 - CUSTOS!$M$40)</f>
        <v>19.969542928991807</v>
      </c>
      <c r="N39" s="20">
        <f>('TE BE'!$N$39+'TE BF'!$N$39+'TE CVA'!$N$39)*(1 - CUSTOS!$M$40)</f>
        <v>1.4414401161624124</v>
      </c>
      <c r="O39" s="20">
        <f>('TE BE'!$O$39+'TE BF'!$O$39+'TE CVA'!$O$39)*(1 - CUSTOS!$M$40)</f>
        <v>12.466415031912531</v>
      </c>
      <c r="P39" s="20">
        <f>('TE BE'!$P$39+'TE BF'!$P$39+'TE CVA'!$P$39)*(1 - CUSTOS!$M$40)</f>
        <v>-17.445019957601904</v>
      </c>
      <c r="Q39" s="20">
        <f>('TE BE'!$R$39+'TE BF'!$R$39+'TE CVA'!$R$39)*(1 - CUSTOS!$M$40)</f>
        <v>253.62721721767099</v>
      </c>
      <c r="R39" s="20">
        <f>('TE BE'!$T$39+'TE BF'!$T$39+'TE CVA'!$T$39)*(1 - CUSTOS!$M$40)</f>
        <v>7.4718249343863974</v>
      </c>
      <c r="S39" s="20">
        <f>('TE BE'!$U$39+'TE BF'!$U$39+'TE CVA'!$U$39)*(1 - CUSTOS!$M$40)</f>
        <v>5.630073412110387</v>
      </c>
      <c r="T39" s="20">
        <f>('TE BE'!$V$39+'TE BF'!$V$39+'TE CVA'!$V$39)*(1 - CUSTOS!$M$40)</f>
        <v>0</v>
      </c>
      <c r="U39" s="20">
        <f>('TE BE'!$X$39+'TE BF'!$X$39+'TE CVA'!$X$39)*(1 - CUSTOS!$M$40)</f>
        <v>0</v>
      </c>
      <c r="V39" s="20">
        <f>('TE BE'!$Z$39+'TE BF'!$Z$39+'TE CVA'!$Z$39)*(1 - CUSTOS!$M$40)</f>
        <v>3.9325814347139407</v>
      </c>
      <c r="X39" s="20">
        <v>2.1868899327448599</v>
      </c>
      <c r="Y39" s="20">
        <v>11.712418075662899</v>
      </c>
      <c r="Z39" s="20">
        <v>0.81173690037552504</v>
      </c>
      <c r="AA39" s="20">
        <v>0</v>
      </c>
      <c r="AB39" s="20">
        <v>0</v>
      </c>
      <c r="AC39" s="20">
        <v>203.04529760041001</v>
      </c>
      <c r="AD39" s="20">
        <v>6.8254130847640004</v>
      </c>
      <c r="AE39" s="20">
        <v>6.02382609259032</v>
      </c>
      <c r="AF39" s="20">
        <v>0</v>
      </c>
      <c r="AG39" s="20">
        <v>0</v>
      </c>
      <c r="AH39" s="20">
        <v>3.6727879324948001</v>
      </c>
    </row>
    <row r="40" spans="1:34" ht="11.25" customHeight="1" x14ac:dyDescent="0.3">
      <c r="A40" s="133"/>
      <c r="B40" s="133" t="s">
        <v>91</v>
      </c>
      <c r="C40" s="133" t="s">
        <v>45</v>
      </c>
      <c r="D40" s="22" t="s">
        <v>25</v>
      </c>
      <c r="E40" s="22" t="s">
        <v>25</v>
      </c>
      <c r="F40" s="22" t="s">
        <v>25</v>
      </c>
      <c r="G40" s="23" t="s">
        <v>84</v>
      </c>
      <c r="H40" s="23" t="s">
        <v>78</v>
      </c>
      <c r="I40" s="23">
        <f>'MERCADO TE'!$U$37</f>
        <v>0</v>
      </c>
      <c r="J40" s="15"/>
      <c r="L40" s="20">
        <f>('TE BE'!$L$40+'TE BF'!$L$40+'TE CVA'!$L$40)*(1 - CUSTOS!$M$38)</f>
        <v>2.5628168715628923</v>
      </c>
      <c r="M40" s="20">
        <f>('TE BE'!$M$40+'TE BF'!$M$40+'TE CVA'!$M$40)*(1 - CUSTOS!$M$38)</f>
        <v>20.403663427448151</v>
      </c>
      <c r="N40" s="20">
        <f>('TE BE'!$N$40+'TE BF'!$N$40+'TE CVA'!$N$40)*(1 - CUSTOS!$M$38)</f>
        <v>1.4727757708615952</v>
      </c>
      <c r="O40" s="20">
        <f>('TE BE'!$O$40+'TE BF'!$O$40+'TE CVA'!$O$40)*(1 - CUSTOS!$M$38)</f>
        <v>12.737424054345409</v>
      </c>
      <c r="P40" s="20">
        <f>('TE BE'!$P$40+'TE BF'!$P$40+'TE CVA'!$P$40)*(1 - CUSTOS!$M$38)</f>
        <v>-17.824259521897599</v>
      </c>
      <c r="Q40" s="20">
        <f>('TE BE'!$R$40+'TE BF'!$R$40+'TE CVA'!$R$40)*(1 - CUSTOS!$M$38)</f>
        <v>259.14085237457687</v>
      </c>
      <c r="R40" s="20">
        <f>('TE BE'!$T$40+'TE BF'!$T$40+'TE CVA'!$T$40)*(1 - CUSTOS!$M$38)</f>
        <v>7.6342559112208832</v>
      </c>
      <c r="S40" s="20">
        <f>('TE BE'!$U$40+'TE BF'!$U$40+'TE CVA'!$U$40)*(1 - CUSTOS!$M$38)</f>
        <v>5.7524663123736559</v>
      </c>
      <c r="T40" s="20">
        <f>('TE BE'!$V$40+'TE BF'!$V$40+'TE CVA'!$V$40)*(1 - CUSTOS!$M$38)</f>
        <v>0</v>
      </c>
      <c r="U40" s="20">
        <f>('TE BE'!$X$40+'TE BF'!$X$40+'TE CVA'!$X$40)*(1 - CUSTOS!$M$38)</f>
        <v>0</v>
      </c>
      <c r="V40" s="20">
        <f>('TE BE'!$Z$40+'TE BF'!$Z$40+'TE CVA'!$Z$40)*(1 - CUSTOS!$M$38)</f>
        <v>4.0180723354685908</v>
      </c>
      <c r="X40" s="20">
        <v>2.2910275485898599</v>
      </c>
      <c r="Y40" s="20">
        <v>12.2701522697421</v>
      </c>
      <c r="Z40" s="20">
        <v>0.85039103848864495</v>
      </c>
      <c r="AA40" s="20">
        <v>0</v>
      </c>
      <c r="AB40" s="20">
        <v>0</v>
      </c>
      <c r="AC40" s="20">
        <v>212.71412129566701</v>
      </c>
      <c r="AD40" s="20">
        <v>7.1504327554670501</v>
      </c>
      <c r="AE40" s="20">
        <v>6.3106749541422396</v>
      </c>
      <c r="AF40" s="20">
        <v>0</v>
      </c>
      <c r="AG40" s="20">
        <v>0</v>
      </c>
      <c r="AH40" s="20">
        <v>3.8476825959469299</v>
      </c>
    </row>
    <row r="41" spans="1:34" ht="11.25" customHeight="1" x14ac:dyDescent="0.3">
      <c r="A41" s="133"/>
      <c r="B41" s="133"/>
      <c r="C41" s="133"/>
      <c r="D41" s="22" t="s">
        <v>93</v>
      </c>
      <c r="E41" s="22" t="s">
        <v>25</v>
      </c>
      <c r="F41" s="22" t="s">
        <v>25</v>
      </c>
      <c r="G41" s="23" t="s">
        <v>84</v>
      </c>
      <c r="H41" s="23" t="s">
        <v>78</v>
      </c>
      <c r="I41" s="23">
        <f>'MERCADO TE'!$U$38</f>
        <v>0</v>
      </c>
      <c r="J41" s="15"/>
      <c r="L41" s="20">
        <f>('TE BE'!$L$41+'TE BF'!$L$41+'TE CVA'!$L$41)*(1 - CUSTOS!$M$39)</f>
        <v>2.5628168715628923</v>
      </c>
      <c r="M41" s="20">
        <f>('TE BE'!$M$41+'TE BF'!$M$41+'TE CVA'!$M$41)*(1 - CUSTOS!$M$39)</f>
        <v>20.403663427448151</v>
      </c>
      <c r="N41" s="20">
        <f>('TE BE'!$N$41+'TE BF'!$N$41+'TE CVA'!$N$41)*(1 - CUSTOS!$M$39)</f>
        <v>1.4727757708615952</v>
      </c>
      <c r="O41" s="20">
        <f>('TE BE'!$O$41+'TE BF'!$O$41+'TE CVA'!$O$41)*(1 - CUSTOS!$M$39)</f>
        <v>12.737424054345409</v>
      </c>
      <c r="P41" s="20">
        <f>('TE BE'!$P$41+'TE BF'!$P$41+'TE CVA'!$P$41)*(1 - CUSTOS!$M$39)</f>
        <v>-17.824259521897599</v>
      </c>
      <c r="Q41" s="20">
        <f>('TE BE'!$R$41+'TE BF'!$R$41+'TE CVA'!$R$41)*(1 - CUSTOS!$M$39)</f>
        <v>259.14085237457687</v>
      </c>
      <c r="R41" s="20">
        <f>('TE BE'!$T$41+'TE BF'!$T$41+'TE CVA'!$T$41)*(1 - CUSTOS!$M$39)</f>
        <v>7.6342559112208832</v>
      </c>
      <c r="S41" s="20">
        <f>('TE BE'!$U$41+'TE BF'!$U$41+'TE CVA'!$U$41)*(1 - CUSTOS!$M$39)</f>
        <v>5.7524663123736559</v>
      </c>
      <c r="T41" s="20">
        <f>('TE BE'!$V$41+'TE BF'!$V$41+'TE CVA'!$V$41)*(1 - CUSTOS!$M$39)</f>
        <v>0</v>
      </c>
      <c r="U41" s="20">
        <f>('TE BE'!$X$41+'TE BF'!$X$41+'TE CVA'!$X$41)*(1 - CUSTOS!$M$39)</f>
        <v>0</v>
      </c>
      <c r="V41" s="20">
        <f>('TE BE'!$Z$41+'TE BF'!$Z$41+'TE CVA'!$Z$41)*(1 - CUSTOS!$M$39)</f>
        <v>4.0180723354685908</v>
      </c>
      <c r="X41" s="20">
        <v>2.2910275485898599</v>
      </c>
      <c r="Y41" s="20">
        <v>12.2701522697421</v>
      </c>
      <c r="Z41" s="20">
        <v>0.85039103848864495</v>
      </c>
      <c r="AA41" s="20">
        <v>0</v>
      </c>
      <c r="AB41" s="20">
        <v>0</v>
      </c>
      <c r="AC41" s="20">
        <v>212.71412129566701</v>
      </c>
      <c r="AD41" s="20">
        <v>7.1504327554670501</v>
      </c>
      <c r="AE41" s="20">
        <v>6.3106749541422396</v>
      </c>
      <c r="AF41" s="20">
        <v>0</v>
      </c>
      <c r="AG41" s="20">
        <v>0</v>
      </c>
      <c r="AH41" s="20">
        <v>3.8476825959469299</v>
      </c>
    </row>
    <row r="42" spans="1:34" ht="11.25" customHeight="1" x14ac:dyDescent="0.3">
      <c r="A42" s="133"/>
      <c r="B42" s="133"/>
      <c r="C42" s="133"/>
      <c r="D42" s="22" t="s">
        <v>94</v>
      </c>
      <c r="E42" s="22" t="s">
        <v>25</v>
      </c>
      <c r="F42" s="22" t="s">
        <v>25</v>
      </c>
      <c r="G42" s="23" t="s">
        <v>84</v>
      </c>
      <c r="H42" s="23" t="s">
        <v>78</v>
      </c>
      <c r="I42" s="23">
        <f>'MERCADO TE'!$U$39</f>
        <v>0</v>
      </c>
      <c r="J42" s="15"/>
      <c r="L42" s="20">
        <f>('TE BE'!$L$42+'TE BF'!$L$42+'TE CVA'!$L$42)*(1 - CUSTOS!$M$40)</f>
        <v>2.5082888530190011</v>
      </c>
      <c r="M42" s="20">
        <f>('TE BE'!$M$42+'TE BF'!$M$42+'TE CVA'!$M$42)*(1 - CUSTOS!$M$40)</f>
        <v>19.969542928991807</v>
      </c>
      <c r="N42" s="20">
        <f>('TE BE'!$N$42+'TE BF'!$N$42+'TE CVA'!$N$42)*(1 - CUSTOS!$M$40)</f>
        <v>1.4414401161624124</v>
      </c>
      <c r="O42" s="20">
        <f>('TE BE'!$O$42+'TE BF'!$O$42+'TE CVA'!$O$42)*(1 - CUSTOS!$M$40)</f>
        <v>12.466415031912531</v>
      </c>
      <c r="P42" s="20">
        <f>('TE BE'!$P$42+'TE BF'!$P$42+'TE CVA'!$P$42)*(1 - CUSTOS!$M$40)</f>
        <v>-17.445019957601904</v>
      </c>
      <c r="Q42" s="20">
        <f>('TE BE'!$R$42+'TE BF'!$R$42+'TE CVA'!$R$42)*(1 - CUSTOS!$M$40)</f>
        <v>253.62721721767099</v>
      </c>
      <c r="R42" s="20">
        <f>('TE BE'!$T$42+'TE BF'!$T$42+'TE CVA'!$T$42)*(1 - CUSTOS!$M$40)</f>
        <v>7.4718249343863974</v>
      </c>
      <c r="S42" s="20">
        <f>('TE BE'!$U$42+'TE BF'!$U$42+'TE CVA'!$U$42)*(1 - CUSTOS!$M$40)</f>
        <v>5.630073412110387</v>
      </c>
      <c r="T42" s="20">
        <f>('TE BE'!$V$42+'TE BF'!$V$42+'TE CVA'!$V$42)*(1 - CUSTOS!$M$40)</f>
        <v>0</v>
      </c>
      <c r="U42" s="20">
        <f>('TE BE'!$X$42+'TE BF'!$X$42+'TE CVA'!$X$42)*(1 - CUSTOS!$M$40)</f>
        <v>0</v>
      </c>
      <c r="V42" s="20">
        <f>('TE BE'!$Z$42+'TE BF'!$Z$42+'TE CVA'!$Z$42)*(1 - CUSTOS!$M$40)</f>
        <v>3.9325814347139407</v>
      </c>
      <c r="X42" s="20">
        <v>2.1868899327448599</v>
      </c>
      <c r="Y42" s="20">
        <v>11.712418075662899</v>
      </c>
      <c r="Z42" s="20">
        <v>0.81173690037552504</v>
      </c>
      <c r="AA42" s="20">
        <v>0</v>
      </c>
      <c r="AB42" s="20">
        <v>0</v>
      </c>
      <c r="AC42" s="20">
        <v>203.04529760041001</v>
      </c>
      <c r="AD42" s="20">
        <v>6.8254130847640004</v>
      </c>
      <c r="AE42" s="20">
        <v>6.02382609259032</v>
      </c>
      <c r="AF42" s="20">
        <v>0</v>
      </c>
      <c r="AG42" s="20">
        <v>0</v>
      </c>
      <c r="AH42" s="20">
        <v>3.6727879324948001</v>
      </c>
    </row>
    <row r="43" spans="1:34" ht="11.25" customHeight="1" x14ac:dyDescent="0.3">
      <c r="A43" s="133" t="s">
        <v>37</v>
      </c>
      <c r="B43" s="133" t="s">
        <v>77</v>
      </c>
      <c r="C43" s="133" t="s">
        <v>25</v>
      </c>
      <c r="D43" s="133" t="s">
        <v>25</v>
      </c>
      <c r="E43" s="133" t="s">
        <v>25</v>
      </c>
      <c r="F43" s="133" t="s">
        <v>25</v>
      </c>
      <c r="G43" s="23" t="s">
        <v>79</v>
      </c>
      <c r="H43" s="23" t="s">
        <v>78</v>
      </c>
      <c r="I43" s="23">
        <f>'MERCADO TE'!$U$40</f>
        <v>22.301000000000002</v>
      </c>
      <c r="J43" s="15"/>
      <c r="L43" s="20">
        <f>('TE BE'!$L$43+'TE BF'!$L$43+'TE CVA'!$L$43)*1</f>
        <v>2.7264009271945664</v>
      </c>
      <c r="M43" s="20">
        <f>('TE BE'!$M$43+'TE BF'!$M$43+'TE CVA'!$M$43)*1</f>
        <v>21.706024922817182</v>
      </c>
      <c r="N43" s="20">
        <f>('TE BE'!$N$43+'TE BF'!$N$43+'TE CVA'!$N$43)*1</f>
        <v>1.5667827349591439</v>
      </c>
      <c r="O43" s="20">
        <f>('TE BE'!$O$43+'TE BF'!$O$43+'TE CVA'!$O$43)*1</f>
        <v>13.550451121644054</v>
      </c>
      <c r="P43" s="20">
        <f>('TE BE'!$P$43+'TE BF'!$P$43+'TE CVA'!$P$43)*1</f>
        <v>-18.961978214784679</v>
      </c>
      <c r="Q43" s="20">
        <f>('TE BE'!$R$43+'TE BF'!$R$43+'TE CVA'!$R$43)*1</f>
        <v>447.33266367349682</v>
      </c>
      <c r="R43" s="20">
        <f>('TE BE'!$T$43+'TE BF'!$T$43+'TE CVA'!$T$43)*1</f>
        <v>8.1215488417243442</v>
      </c>
      <c r="S43" s="20">
        <f>('TE BE'!$U$43+'TE BF'!$U$43+'TE CVA'!$U$43)*1</f>
        <v>6.1196450131634643</v>
      </c>
      <c r="T43" s="20">
        <f>('TE BE'!$V$43+'TE BF'!$V$43+'TE CVA'!$V$43)*1</f>
        <v>0</v>
      </c>
      <c r="U43" s="20">
        <f>('TE BE'!$X$43+'TE BF'!$X$43+'TE CVA'!$X$43)*1</f>
        <v>0</v>
      </c>
      <c r="V43" s="20">
        <f>('TE BE'!$Z$43+'TE BF'!$Z$43+'TE CVA'!$Z$43)*1</f>
        <v>4.274545037732544</v>
      </c>
      <c r="X43" s="20">
        <v>2.60344039612484</v>
      </c>
      <c r="Y43" s="20">
        <v>13.9433548519797</v>
      </c>
      <c r="Z43" s="20">
        <v>0.966353452828006</v>
      </c>
      <c r="AA43" s="20">
        <v>0</v>
      </c>
      <c r="AB43" s="20">
        <v>0</v>
      </c>
      <c r="AC43" s="20">
        <v>392.22586688309099</v>
      </c>
      <c r="AD43" s="20">
        <v>8.1254917675761895</v>
      </c>
      <c r="AE43" s="20">
        <v>7.1712215387980001</v>
      </c>
      <c r="AF43" s="20">
        <v>0</v>
      </c>
      <c r="AG43" s="20">
        <v>0</v>
      </c>
      <c r="AH43" s="20">
        <v>4.3723665863033299</v>
      </c>
    </row>
    <row r="44" spans="1:34" ht="11.25" customHeight="1" x14ac:dyDescent="0.3">
      <c r="A44" s="133"/>
      <c r="B44" s="133"/>
      <c r="C44" s="133"/>
      <c r="D44" s="133"/>
      <c r="E44" s="133"/>
      <c r="F44" s="133"/>
      <c r="G44" s="23" t="s">
        <v>90</v>
      </c>
      <c r="H44" s="23" t="s">
        <v>78</v>
      </c>
      <c r="I44" s="23">
        <f>'MERCADO TE'!$U$41</f>
        <v>24.489000000000001</v>
      </c>
      <c r="J44" s="15"/>
      <c r="L44" s="20">
        <f>('TE BE'!$L$44+'TE BF'!$L$44+'TE CVA'!$L$44)*1</f>
        <v>2.7264009271945664</v>
      </c>
      <c r="M44" s="20">
        <f>('TE BE'!$M$44+'TE BF'!$M$44+'TE CVA'!$M$44)*1</f>
        <v>21.706024922817182</v>
      </c>
      <c r="N44" s="20">
        <f>('TE BE'!$N$44+'TE BF'!$N$44+'TE CVA'!$N$44)*1</f>
        <v>1.5667827349591439</v>
      </c>
      <c r="O44" s="20">
        <f>('TE BE'!$O$44+'TE BF'!$O$44+'TE CVA'!$O$44)*1</f>
        <v>13.550451121644054</v>
      </c>
      <c r="P44" s="20">
        <f>('TE BE'!$P$44+'TE BF'!$P$44+'TE CVA'!$P$44)*1</f>
        <v>-18.961978214784679</v>
      </c>
      <c r="Q44" s="20">
        <f>('TE BE'!$R$44+'TE BF'!$R$44+'TE CVA'!$R$44)*1</f>
        <v>260.07713004273069</v>
      </c>
      <c r="R44" s="20">
        <f>('TE BE'!$T$44+'TE BF'!$T$44+'TE CVA'!$T$44)*1</f>
        <v>8.1215488417243442</v>
      </c>
      <c r="S44" s="20">
        <f>('TE BE'!$U$44+'TE BF'!$U$44+'TE CVA'!$U$44)*1</f>
        <v>6.1196450131634643</v>
      </c>
      <c r="T44" s="20">
        <f>('TE BE'!$V$44+'TE BF'!$V$44+'TE CVA'!$V$44)*1</f>
        <v>0</v>
      </c>
      <c r="U44" s="20">
        <f>('TE BE'!$X$44+'TE BF'!$X$44+'TE CVA'!$X$44)*1</f>
        <v>0</v>
      </c>
      <c r="V44" s="20">
        <f>('TE BE'!$Z$44+'TE BF'!$Z$44+'TE CVA'!$Z$44)*1</f>
        <v>4.274545037732544</v>
      </c>
      <c r="X44" s="20">
        <v>2.60344039612484</v>
      </c>
      <c r="Y44" s="20">
        <v>13.9433548519797</v>
      </c>
      <c r="Z44" s="20">
        <v>0.966353452828006</v>
      </c>
      <c r="AA44" s="20">
        <v>0</v>
      </c>
      <c r="AB44" s="20">
        <v>0</v>
      </c>
      <c r="AC44" s="20">
        <v>228.038294699472</v>
      </c>
      <c r="AD44" s="20">
        <v>8.1254917675761895</v>
      </c>
      <c r="AE44" s="20">
        <v>7.1712215387980001</v>
      </c>
      <c r="AF44" s="20">
        <v>0</v>
      </c>
      <c r="AG44" s="20">
        <v>0</v>
      </c>
      <c r="AH44" s="20">
        <v>4.3723665863033299</v>
      </c>
    </row>
    <row r="45" spans="1:34" ht="11.25" customHeight="1" x14ac:dyDescent="0.3">
      <c r="A45" s="133"/>
      <c r="B45" s="133"/>
      <c r="C45" s="133"/>
      <c r="D45" s="133"/>
      <c r="E45" s="133"/>
      <c r="F45" s="133"/>
      <c r="G45" s="23" t="s">
        <v>80</v>
      </c>
      <c r="H45" s="23" t="s">
        <v>78</v>
      </c>
      <c r="I45" s="23">
        <f>'MERCADO TE'!$U$42</f>
        <v>464.17199999999997</v>
      </c>
      <c r="J45" s="15"/>
      <c r="L45" s="20">
        <f>('TE BE'!$L$45+'TE BF'!$L$45+'TE CVA'!$L$45)*1</f>
        <v>2.7264009271945664</v>
      </c>
      <c r="M45" s="20">
        <f>('TE BE'!$M$45+'TE BF'!$M$45+'TE CVA'!$M$45)*1</f>
        <v>21.706024922817182</v>
      </c>
      <c r="N45" s="20">
        <f>('TE BE'!$N$45+'TE BF'!$N$45+'TE CVA'!$N$45)*1</f>
        <v>1.5667827349591439</v>
      </c>
      <c r="O45" s="20">
        <f>('TE BE'!$O$45+'TE BF'!$O$45+'TE CVA'!$O$45)*1</f>
        <v>13.550451121644054</v>
      </c>
      <c r="P45" s="20">
        <f>('TE BE'!$P$45+'TE BF'!$P$45+'TE CVA'!$P$45)*1</f>
        <v>-18.961978214784679</v>
      </c>
      <c r="Q45" s="20">
        <f>('TE BE'!$R$45+'TE BF'!$R$45+'TE CVA'!$R$45)*1</f>
        <v>260.07713004273069</v>
      </c>
      <c r="R45" s="20">
        <f>('TE BE'!$T$45+'TE BF'!$T$45+'TE CVA'!$T$45)*1</f>
        <v>8.1215488417243442</v>
      </c>
      <c r="S45" s="20">
        <f>('TE BE'!$U$45+'TE BF'!$U$45+'TE CVA'!$U$45)*1</f>
        <v>6.1196450131634643</v>
      </c>
      <c r="T45" s="20">
        <f>('TE BE'!$V$45+'TE BF'!$V$45+'TE CVA'!$V$45)*1</f>
        <v>0</v>
      </c>
      <c r="U45" s="20">
        <f>('TE BE'!$X$45+'TE BF'!$X$45+'TE CVA'!$X$45)*1</f>
        <v>0</v>
      </c>
      <c r="V45" s="20">
        <f>('TE BE'!$Z$45+'TE BF'!$Z$45+'TE CVA'!$Z$45)*1</f>
        <v>4.274545037732544</v>
      </c>
      <c r="X45" s="20">
        <v>2.60344039612484</v>
      </c>
      <c r="Y45" s="20">
        <v>13.9433548519797</v>
      </c>
      <c r="Z45" s="20">
        <v>0.966353452828006</v>
      </c>
      <c r="AA45" s="20">
        <v>0</v>
      </c>
      <c r="AB45" s="20">
        <v>0</v>
      </c>
      <c r="AC45" s="20">
        <v>228.038294699472</v>
      </c>
      <c r="AD45" s="20">
        <v>8.1254917675761895</v>
      </c>
      <c r="AE45" s="20">
        <v>7.1712215387980001</v>
      </c>
      <c r="AF45" s="20">
        <v>0</v>
      </c>
      <c r="AG45" s="20">
        <v>0</v>
      </c>
      <c r="AH45" s="20">
        <v>4.3723665863033299</v>
      </c>
    </row>
    <row r="46" spans="1:34" ht="11.25" customHeight="1" x14ac:dyDescent="0.3">
      <c r="A46" s="133"/>
      <c r="B46" s="22" t="s">
        <v>86</v>
      </c>
      <c r="C46" s="22" t="s">
        <v>25</v>
      </c>
      <c r="D46" s="22" t="s">
        <v>25</v>
      </c>
      <c r="E46" s="22" t="s">
        <v>25</v>
      </c>
      <c r="F46" s="22" t="s">
        <v>25</v>
      </c>
      <c r="G46" s="23" t="s">
        <v>84</v>
      </c>
      <c r="H46" s="23" t="s">
        <v>78</v>
      </c>
      <c r="I46" s="23">
        <f>'MERCADO TE'!$U$43</f>
        <v>47738.307000000001</v>
      </c>
      <c r="J46" s="15"/>
      <c r="L46" s="20">
        <f>('TE BE'!$L$46+'TE BF'!$L$46+'TE CVA'!$L$46)*1</f>
        <v>2.7264009271945664</v>
      </c>
      <c r="M46" s="20">
        <f>('TE BE'!$M$46+'TE BF'!$M$46+'TE CVA'!$M$46)*1</f>
        <v>21.706024922817182</v>
      </c>
      <c r="N46" s="20">
        <f>('TE BE'!$N$46+'TE BF'!$N$46+'TE CVA'!$N$46)*1</f>
        <v>1.5667827349591439</v>
      </c>
      <c r="O46" s="20">
        <f>('TE BE'!$O$46+'TE BF'!$O$46+'TE CVA'!$O$46)*1</f>
        <v>13.550451121644054</v>
      </c>
      <c r="P46" s="20">
        <f>('TE BE'!$P$46+'TE BF'!$P$46+'TE CVA'!$P$46)*1</f>
        <v>-18.961978214784679</v>
      </c>
      <c r="Q46" s="20">
        <f>('TE BE'!$R$46+'TE BF'!$R$46+'TE CVA'!$R$46)*1</f>
        <v>275.68175784529456</v>
      </c>
      <c r="R46" s="20">
        <f>('TE BE'!$T$46+'TE BF'!$T$46+'TE CVA'!$T$46)*1</f>
        <v>8.1215488417243442</v>
      </c>
      <c r="S46" s="20">
        <f>('TE BE'!$U$46+'TE BF'!$U$46+'TE CVA'!$U$46)*1</f>
        <v>6.1196450131634643</v>
      </c>
      <c r="T46" s="20">
        <f>('TE BE'!$V$46+'TE BF'!$V$46+'TE CVA'!$V$46)*1</f>
        <v>0</v>
      </c>
      <c r="U46" s="20">
        <f>('TE BE'!$X$46+'TE BF'!$X$46+'TE CVA'!$X$46)*1</f>
        <v>0</v>
      </c>
      <c r="V46" s="20">
        <f>('TE BE'!$Z$46+'TE BF'!$Z$46+'TE CVA'!$Z$46)*1</f>
        <v>4.274545037732544</v>
      </c>
      <c r="X46" s="20">
        <v>2.60344039612484</v>
      </c>
      <c r="Y46" s="20">
        <v>13.9433548519797</v>
      </c>
      <c r="Z46" s="20">
        <v>0.966353452828006</v>
      </c>
      <c r="AA46" s="20">
        <v>0</v>
      </c>
      <c r="AB46" s="20">
        <v>0</v>
      </c>
      <c r="AC46" s="20">
        <v>241.72059238144001</v>
      </c>
      <c r="AD46" s="20">
        <v>8.1254917675761895</v>
      </c>
      <c r="AE46" s="20">
        <v>7.1712215387980001</v>
      </c>
      <c r="AF46" s="20">
        <v>0</v>
      </c>
      <c r="AG46" s="20">
        <v>0</v>
      </c>
      <c r="AH46" s="20">
        <v>4.3723665863033299</v>
      </c>
    </row>
    <row r="47" spans="1:34" ht="11.25" customHeight="1" x14ac:dyDescent="0.3">
      <c r="A47" s="133"/>
      <c r="B47" s="22" t="s">
        <v>91</v>
      </c>
      <c r="C47" s="22" t="s">
        <v>25</v>
      </c>
      <c r="D47" s="22" t="s">
        <v>25</v>
      </c>
      <c r="E47" s="22" t="s">
        <v>25</v>
      </c>
      <c r="F47" s="22" t="s">
        <v>25</v>
      </c>
      <c r="G47" s="23" t="s">
        <v>84</v>
      </c>
      <c r="H47" s="23" t="s">
        <v>78</v>
      </c>
      <c r="I47" s="23">
        <f>'MERCADO TE'!$U$44</f>
        <v>0</v>
      </c>
      <c r="J47" s="15"/>
      <c r="L47" s="20">
        <f>('TE BE'!$L$47+'TE BF'!$L$47+'TE CVA'!$L$47)*1</f>
        <v>2.7264009271945664</v>
      </c>
      <c r="M47" s="20">
        <f>('TE BE'!$M$47+'TE BF'!$M$47+'TE CVA'!$M$47)*1</f>
        <v>21.706024922817182</v>
      </c>
      <c r="N47" s="20">
        <f>('TE BE'!$N$47+'TE BF'!$N$47+'TE CVA'!$N$47)*1</f>
        <v>1.5667827349591439</v>
      </c>
      <c r="O47" s="20">
        <f>('TE BE'!$O$47+'TE BF'!$O$47+'TE CVA'!$O$47)*1</f>
        <v>13.550451121644054</v>
      </c>
      <c r="P47" s="20">
        <f>('TE BE'!$P$47+'TE BF'!$P$47+'TE CVA'!$P$47)*1</f>
        <v>-18.961978214784679</v>
      </c>
      <c r="Q47" s="20">
        <f>('TE BE'!$R$47+'TE BF'!$R$47+'TE CVA'!$R$47)*1</f>
        <v>275.68175784529456</v>
      </c>
      <c r="R47" s="20">
        <f>('TE BE'!$T$47+'TE BF'!$T$47+'TE CVA'!$T$47)*1</f>
        <v>8.1215488417243442</v>
      </c>
      <c r="S47" s="20">
        <f>('TE BE'!$U$47+'TE BF'!$U$47+'TE CVA'!$U$47)*1</f>
        <v>6.1196450131634643</v>
      </c>
      <c r="T47" s="20">
        <f>('TE BE'!$V$47+'TE BF'!$V$47+'TE CVA'!$V$47)*1</f>
        <v>0</v>
      </c>
      <c r="U47" s="20">
        <f>('TE BE'!$X$47+'TE BF'!$X$47+'TE CVA'!$X$47)*1</f>
        <v>0</v>
      </c>
      <c r="V47" s="20">
        <f>('TE BE'!$Z$47+'TE BF'!$Z$47+'TE CVA'!$Z$47)*1</f>
        <v>4.274545037732544</v>
      </c>
      <c r="X47" s="20">
        <v>2.60344039612484</v>
      </c>
      <c r="Y47" s="20">
        <v>13.9433548519797</v>
      </c>
      <c r="Z47" s="20">
        <v>0.966353452828006</v>
      </c>
      <c r="AA47" s="20">
        <v>0</v>
      </c>
      <c r="AB47" s="20">
        <v>0</v>
      </c>
      <c r="AC47" s="20">
        <v>241.72059238144001</v>
      </c>
      <c r="AD47" s="20">
        <v>8.1254917675761895</v>
      </c>
      <c r="AE47" s="20">
        <v>7.1712215387980001</v>
      </c>
      <c r="AF47" s="20">
        <v>0</v>
      </c>
      <c r="AG47" s="20">
        <v>0</v>
      </c>
      <c r="AH47" s="20">
        <v>4.3723665863033299</v>
      </c>
    </row>
    <row r="48" spans="1:34" ht="11.25" customHeight="1" x14ac:dyDescent="0.3">
      <c r="A48" s="133" t="s">
        <v>47</v>
      </c>
      <c r="B48" s="133" t="s">
        <v>86</v>
      </c>
      <c r="C48" s="133" t="s">
        <v>48</v>
      </c>
      <c r="D48" s="22" t="s">
        <v>49</v>
      </c>
      <c r="E48" s="22" t="s">
        <v>25</v>
      </c>
      <c r="F48" s="22" t="s">
        <v>25</v>
      </c>
      <c r="G48" s="23" t="s">
        <v>84</v>
      </c>
      <c r="H48" s="23" t="s">
        <v>78</v>
      </c>
      <c r="I48" s="23">
        <f>'MERCADO TE'!$U$45</f>
        <v>19654.344999999998</v>
      </c>
      <c r="J48" s="15"/>
      <c r="L48" s="20">
        <f>('TE BE'!$L$48+'TE BF'!$L$48+'TE CVA'!$L$48)*1</f>
        <v>1.4995205099570117</v>
      </c>
      <c r="M48" s="20">
        <f>('TE BE'!$M$48+'TE BF'!$M$48+'TE CVA'!$M$48)*1</f>
        <v>11.938313707549451</v>
      </c>
      <c r="N48" s="20">
        <f>('TE BE'!$N$48+'TE BF'!$N$48+'TE CVA'!$N$48)*1</f>
        <v>0.86173050422752928</v>
      </c>
      <c r="O48" s="20">
        <f>('TE BE'!$O$48+'TE BF'!$O$48+'TE CVA'!$O$48)*1</f>
        <v>7.4527481169042291</v>
      </c>
      <c r="P48" s="20">
        <f>('TE BE'!$P$48+'TE BF'!$P$48+'TE CVA'!$P$48)*1</f>
        <v>-10.429088018131575</v>
      </c>
      <c r="Q48" s="20">
        <f>('TE BE'!$R$48+'TE BF'!$R$48+'TE CVA'!$R$48)*1</f>
        <v>151.62496681491203</v>
      </c>
      <c r="R48" s="20">
        <f>('TE BE'!$T$48+'TE BF'!$T$48+'TE CVA'!$T$48)*1</f>
        <v>4.4668518629483893</v>
      </c>
      <c r="S48" s="20">
        <f>('TE BE'!$U$48+'TE BF'!$U$48+'TE CVA'!$U$48)*1</f>
        <v>3.3658047572399061</v>
      </c>
      <c r="T48" s="20">
        <f>('TE BE'!$V$48+'TE BF'!$V$48+'TE CVA'!$V$48)*1</f>
        <v>0</v>
      </c>
      <c r="U48" s="20">
        <f>('TE BE'!$X$48+'TE BF'!$X$48+'TE CVA'!$X$48)*1</f>
        <v>0</v>
      </c>
      <c r="V48" s="20">
        <f>('TE BE'!$Z$48+'TE BF'!$Z$48+'TE CVA'!$Z$48)*1</f>
        <v>2.3509997707528991</v>
      </c>
      <c r="X48" s="20">
        <v>1.4318922178686599</v>
      </c>
      <c r="Y48" s="20">
        <v>7.6688451685888204</v>
      </c>
      <c r="Z48" s="20">
        <v>0.53149439905540297</v>
      </c>
      <c r="AA48" s="20">
        <v>0</v>
      </c>
      <c r="AB48" s="20">
        <v>0</v>
      </c>
      <c r="AC48" s="20">
        <v>132.946325809792</v>
      </c>
      <c r="AD48" s="20">
        <v>4.4690204721669096</v>
      </c>
      <c r="AE48" s="20">
        <v>3.9441718463389002</v>
      </c>
      <c r="AF48" s="20">
        <v>0</v>
      </c>
      <c r="AG48" s="20">
        <v>0</v>
      </c>
      <c r="AH48" s="20">
        <v>2.40480162246683</v>
      </c>
    </row>
    <row r="49" spans="1:34" ht="11.25" customHeight="1" x14ac:dyDescent="0.3">
      <c r="A49" s="133"/>
      <c r="B49" s="133"/>
      <c r="C49" s="133"/>
      <c r="D49" s="23" t="s">
        <v>95</v>
      </c>
      <c r="E49" s="23" t="s">
        <v>25</v>
      </c>
      <c r="F49" s="23" t="s">
        <v>25</v>
      </c>
      <c r="G49" s="23" t="s">
        <v>84</v>
      </c>
      <c r="H49" s="23" t="s">
        <v>78</v>
      </c>
      <c r="I49" s="23">
        <f>'MERCADO TE'!$U$46</f>
        <v>0</v>
      </c>
      <c r="J49" s="15"/>
      <c r="L49" s="20">
        <f>('TE BE'!$L$49+'TE BF'!$L$49+'TE CVA'!$L$49)*1</f>
        <v>1.6358405563167397</v>
      </c>
      <c r="M49" s="20">
        <f>('TE BE'!$M$49+'TE BF'!$M$49+'TE CVA'!$M$49)*1</f>
        <v>13.023614953690307</v>
      </c>
      <c r="N49" s="20">
        <f>('TE BE'!$N$49+'TE BF'!$N$49+'TE CVA'!$N$49)*1</f>
        <v>0.9400696409754864</v>
      </c>
      <c r="O49" s="20">
        <f>('TE BE'!$O$49+'TE BF'!$O$49+'TE CVA'!$O$49)*1</f>
        <v>8.1302706729864322</v>
      </c>
      <c r="P49" s="20">
        <f>('TE BE'!$P$49+'TE BF'!$P$49+'TE CVA'!$P$49)*1</f>
        <v>-11.377186928870808</v>
      </c>
      <c r="Q49" s="20">
        <f>('TE BE'!$R$49+'TE BF'!$R$49+'TE CVA'!$R$49)*1</f>
        <v>165.40905470717672</v>
      </c>
      <c r="R49" s="20">
        <f>('TE BE'!$T$49+'TE BF'!$T$49+'TE CVA'!$T$49)*1</f>
        <v>4.8729293050346056</v>
      </c>
      <c r="S49" s="20">
        <f>('TE BE'!$U$49+'TE BF'!$U$49+'TE CVA'!$U$49)*1</f>
        <v>3.6717870078980788</v>
      </c>
      <c r="T49" s="20">
        <f>('TE BE'!$V$49+'TE BF'!$V$49+'TE CVA'!$V$49)*1</f>
        <v>0</v>
      </c>
      <c r="U49" s="20">
        <f>('TE BE'!$X$49+'TE BF'!$X$49+'TE CVA'!$X$49)*1</f>
        <v>0</v>
      </c>
      <c r="V49" s="20">
        <f>('TE BE'!$Z$49+'TE BF'!$Z$49+'TE CVA'!$Z$49)*1</f>
        <v>2.5647270226395258</v>
      </c>
      <c r="X49" s="20">
        <v>1.5620642376749001</v>
      </c>
      <c r="Y49" s="20">
        <v>8.3660129111878003</v>
      </c>
      <c r="Z49" s="20">
        <v>0.57981207169680304</v>
      </c>
      <c r="AA49" s="20">
        <v>0</v>
      </c>
      <c r="AB49" s="20">
        <v>0</v>
      </c>
      <c r="AC49" s="20">
        <v>145.03235542886401</v>
      </c>
      <c r="AD49" s="20">
        <v>4.8752950605457199</v>
      </c>
      <c r="AE49" s="20">
        <v>4.3027329232787999</v>
      </c>
      <c r="AF49" s="20">
        <v>0</v>
      </c>
      <c r="AG49" s="20">
        <v>0</v>
      </c>
      <c r="AH49" s="20">
        <v>2.623419951782</v>
      </c>
    </row>
    <row r="51" spans="1:34" ht="11.25" customHeight="1" x14ac:dyDescent="0.3">
      <c r="L51" s="135" t="s">
        <v>1287</v>
      </c>
      <c r="M51" s="135"/>
      <c r="N51" s="135"/>
      <c r="O51" s="135"/>
      <c r="P51" s="135"/>
      <c r="Q51" s="135"/>
      <c r="R51" s="135"/>
      <c r="S51" s="135"/>
      <c r="T51" s="135"/>
      <c r="U51" s="135"/>
      <c r="V51" s="135"/>
      <c r="X51" s="135" t="s">
        <v>1288</v>
      </c>
      <c r="Y51" s="135"/>
      <c r="Z51" s="135"/>
      <c r="AA51" s="135"/>
      <c r="AB51" s="135"/>
      <c r="AC51" s="135"/>
      <c r="AD51" s="135"/>
      <c r="AE51" s="135"/>
      <c r="AF51" s="135"/>
      <c r="AG51" s="135"/>
      <c r="AH51" s="135"/>
    </row>
    <row r="52" spans="1:34" ht="11.25" customHeight="1" x14ac:dyDescent="0.3">
      <c r="L52" s="135" t="s">
        <v>684</v>
      </c>
      <c r="M52" s="135"/>
      <c r="N52" s="135"/>
      <c r="O52" s="135"/>
      <c r="P52" s="135"/>
      <c r="Q52" s="135"/>
      <c r="R52" s="135"/>
      <c r="S52" s="135"/>
      <c r="T52" s="135"/>
      <c r="U52" s="135"/>
      <c r="V52" s="135"/>
      <c r="X52" s="135" t="s">
        <v>684</v>
      </c>
      <c r="Y52" s="135"/>
      <c r="Z52" s="135"/>
      <c r="AA52" s="135"/>
      <c r="AB52" s="135"/>
      <c r="AC52" s="135"/>
      <c r="AD52" s="135"/>
      <c r="AE52" s="135"/>
      <c r="AF52" s="135"/>
      <c r="AG52" s="135"/>
      <c r="AH52" s="135"/>
    </row>
    <row r="53" spans="1:34" ht="11.25" customHeight="1" x14ac:dyDescent="0.3">
      <c r="L53" s="135" t="s">
        <v>657</v>
      </c>
      <c r="M53" s="135"/>
      <c r="N53" s="135"/>
      <c r="O53" s="135"/>
      <c r="P53" s="135"/>
      <c r="Q53" s="24" t="s">
        <v>688</v>
      </c>
      <c r="R53" s="135" t="s">
        <v>666</v>
      </c>
      <c r="S53" s="135"/>
      <c r="T53" s="135"/>
      <c r="U53" s="24" t="s">
        <v>676</v>
      </c>
      <c r="V53" s="24" t="s">
        <v>679</v>
      </c>
      <c r="X53" s="135" t="s">
        <v>657</v>
      </c>
      <c r="Y53" s="135"/>
      <c r="Z53" s="135"/>
      <c r="AA53" s="135"/>
      <c r="AB53" s="135"/>
      <c r="AC53" s="24" t="s">
        <v>688</v>
      </c>
      <c r="AD53" s="135" t="s">
        <v>666</v>
      </c>
      <c r="AE53" s="135"/>
      <c r="AF53" s="135"/>
      <c r="AG53" s="24" t="s">
        <v>676</v>
      </c>
      <c r="AH53" s="24" t="s">
        <v>679</v>
      </c>
    </row>
    <row r="54" spans="1:34" ht="11.25" customHeight="1" x14ac:dyDescent="0.3">
      <c r="L54" s="24" t="s">
        <v>659</v>
      </c>
      <c r="M54" s="24" t="s">
        <v>685</v>
      </c>
      <c r="N54" s="24" t="s">
        <v>686</v>
      </c>
      <c r="O54" s="24" t="s">
        <v>745</v>
      </c>
      <c r="P54" s="24" t="s">
        <v>687</v>
      </c>
      <c r="Q54" s="24" t="s">
        <v>689</v>
      </c>
      <c r="R54" s="24" t="s">
        <v>690</v>
      </c>
      <c r="S54" s="24" t="s">
        <v>691</v>
      </c>
      <c r="T54" s="24" t="s">
        <v>692</v>
      </c>
      <c r="U54" s="24" t="s">
        <v>677</v>
      </c>
      <c r="V54" s="24" t="s">
        <v>693</v>
      </c>
      <c r="X54" s="24" t="s">
        <v>659</v>
      </c>
      <c r="Y54" s="24" t="s">
        <v>685</v>
      </c>
      <c r="Z54" s="24" t="s">
        <v>686</v>
      </c>
      <c r="AA54" s="24" t="s">
        <v>745</v>
      </c>
      <c r="AB54" s="24" t="s">
        <v>687</v>
      </c>
      <c r="AC54" s="24" t="s">
        <v>689</v>
      </c>
      <c r="AD54" s="24" t="s">
        <v>690</v>
      </c>
      <c r="AE54" s="24" t="s">
        <v>691</v>
      </c>
      <c r="AF54" s="24" t="s">
        <v>692</v>
      </c>
      <c r="AG54" s="24" t="s">
        <v>677</v>
      </c>
      <c r="AH54" s="24" t="s">
        <v>693</v>
      </c>
    </row>
    <row r="55" spans="1:34" ht="11.25" customHeight="1" x14ac:dyDescent="0.3">
      <c r="A55" s="9" t="s">
        <v>54</v>
      </c>
      <c r="B55" s="9" t="s">
        <v>1289</v>
      </c>
      <c r="C55" s="9" t="s">
        <v>1290</v>
      </c>
      <c r="D55" s="9" t="s">
        <v>1291</v>
      </c>
      <c r="E55" s="9" t="s">
        <v>1292</v>
      </c>
      <c r="F55" s="9" t="s">
        <v>1293</v>
      </c>
      <c r="G55" s="9" t="s">
        <v>1294</v>
      </c>
      <c r="L55" s="20">
        <f>$I$5*$L$5</f>
        <v>0</v>
      </c>
      <c r="M55" s="20">
        <f>$I$5*$M$5</f>
        <v>0</v>
      </c>
      <c r="N55" s="20">
        <f>$I$5*$N$5</f>
        <v>0</v>
      </c>
      <c r="O55" s="20">
        <f>$I$5*$O$5</f>
        <v>0</v>
      </c>
      <c r="P55" s="20">
        <f>$I$5*$P$5</f>
        <v>0</v>
      </c>
      <c r="Q55" s="20">
        <f>$I$5*$Q$5</f>
        <v>0</v>
      </c>
      <c r="R55" s="20">
        <f>$I$5*$R$5</f>
        <v>0</v>
      </c>
      <c r="S55" s="20">
        <f>$I$5*$S$5</f>
        <v>0</v>
      </c>
      <c r="T55" s="20">
        <f>$I$5*$T$5</f>
        <v>0</v>
      </c>
      <c r="U55" s="20">
        <f>$I$5*$U$5</f>
        <v>0</v>
      </c>
      <c r="V55" s="20">
        <f>$I$5*$V$5</f>
        <v>0</v>
      </c>
      <c r="X55" s="20">
        <f>$I$5*$X$5</f>
        <v>0</v>
      </c>
      <c r="Y55" s="20">
        <f>$I$5*$Y$5</f>
        <v>0</v>
      </c>
      <c r="Z55" s="20">
        <f>$I$5*$Z$5</f>
        <v>0</v>
      </c>
      <c r="AA55" s="20">
        <f>$I$5*$AA$5</f>
        <v>0</v>
      </c>
      <c r="AB55" s="20">
        <f>$I$5*$AB$5</f>
        <v>0</v>
      </c>
      <c r="AC55" s="20">
        <f>$I$5*$AC$5</f>
        <v>0</v>
      </c>
      <c r="AD55" s="20">
        <f>$I$5*$AD$5</f>
        <v>0</v>
      </c>
      <c r="AE55" s="20">
        <f>$I$5*$AE$5</f>
        <v>0</v>
      </c>
      <c r="AF55" s="20">
        <f>$I$5*$AF$5</f>
        <v>0</v>
      </c>
      <c r="AG55" s="20">
        <f>$I$5*$AG$5</f>
        <v>0</v>
      </c>
      <c r="AH55" s="20">
        <f>$I$5*$AH$5</f>
        <v>0</v>
      </c>
    </row>
    <row r="56" spans="1:34" ht="11.25" customHeight="1" x14ac:dyDescent="0.3">
      <c r="A56" s="9" t="s">
        <v>54</v>
      </c>
      <c r="B56" s="9" t="s">
        <v>1289</v>
      </c>
      <c r="C56" s="9" t="s">
        <v>1290</v>
      </c>
      <c r="D56" s="9" t="s">
        <v>1291</v>
      </c>
      <c r="E56" s="9" t="s">
        <v>1292</v>
      </c>
      <c r="F56" s="9" t="s">
        <v>1293</v>
      </c>
      <c r="G56" s="9" t="s">
        <v>1295</v>
      </c>
      <c r="L56" s="20">
        <f>$I$6*$L$6</f>
        <v>0</v>
      </c>
      <c r="M56" s="20">
        <f>$I$6*$M$6</f>
        <v>0</v>
      </c>
      <c r="N56" s="20">
        <f>$I$6*$N$6</f>
        <v>0</v>
      </c>
      <c r="O56" s="20">
        <f>$I$6*$O$6</f>
        <v>0</v>
      </c>
      <c r="P56" s="20">
        <f>$I$6*$P$6</f>
        <v>0</v>
      </c>
      <c r="Q56" s="20">
        <f>$I$6*$Q$6</f>
        <v>0</v>
      </c>
      <c r="R56" s="20">
        <f>$I$6*$R$6</f>
        <v>0</v>
      </c>
      <c r="S56" s="20">
        <f>$I$6*$S$6</f>
        <v>0</v>
      </c>
      <c r="T56" s="20">
        <f>$I$6*$T$6</f>
        <v>0</v>
      </c>
      <c r="U56" s="20">
        <f>$I$6*$U$6</f>
        <v>0</v>
      </c>
      <c r="V56" s="20">
        <f>$I$6*$V$6</f>
        <v>0</v>
      </c>
      <c r="X56" s="20">
        <f>$I$6*$X$6</f>
        <v>0</v>
      </c>
      <c r="Y56" s="20">
        <f>$I$6*$Y$6</f>
        <v>0</v>
      </c>
      <c r="Z56" s="20">
        <f>$I$6*$Z$6</f>
        <v>0</v>
      </c>
      <c r="AA56" s="20">
        <f>$I$6*$AA$6</f>
        <v>0</v>
      </c>
      <c r="AB56" s="20">
        <f>$I$6*$AB$6</f>
        <v>0</v>
      </c>
      <c r="AC56" s="20">
        <f>$I$6*$AC$6</f>
        <v>0</v>
      </c>
      <c r="AD56" s="20">
        <f>$I$6*$AD$6</f>
        <v>0</v>
      </c>
      <c r="AE56" s="20">
        <f>$I$6*$AE$6</f>
        <v>0</v>
      </c>
      <c r="AF56" s="20">
        <f>$I$6*$AF$6</f>
        <v>0</v>
      </c>
      <c r="AG56" s="20">
        <f>$I$6*$AG$6</f>
        <v>0</v>
      </c>
      <c r="AH56" s="20">
        <f>$I$6*$AH$6</f>
        <v>0</v>
      </c>
    </row>
    <row r="57" spans="1:34" ht="11.25" customHeight="1" x14ac:dyDescent="0.3">
      <c r="A57" s="9" t="s">
        <v>60</v>
      </c>
      <c r="B57" s="9" t="s">
        <v>1296</v>
      </c>
      <c r="C57" s="9" t="s">
        <v>1297</v>
      </c>
      <c r="D57" s="9" t="s">
        <v>1298</v>
      </c>
      <c r="E57" s="9" t="s">
        <v>1299</v>
      </c>
      <c r="F57" s="9" t="s">
        <v>1300</v>
      </c>
      <c r="G57" s="9" t="s">
        <v>1301</v>
      </c>
      <c r="L57" s="20">
        <f>$I$7*$L$7</f>
        <v>0</v>
      </c>
      <c r="M57" s="20">
        <f>$I$7*$M$7</f>
        <v>0</v>
      </c>
      <c r="N57" s="20">
        <f>$I$7*$N$7</f>
        <v>0</v>
      </c>
      <c r="O57" s="20">
        <f>$I$7*$O$7</f>
        <v>0</v>
      </c>
      <c r="P57" s="20">
        <f>$I$7*$P$7</f>
        <v>0</v>
      </c>
      <c r="Q57" s="20">
        <f>$I$7*$Q$7</f>
        <v>0</v>
      </c>
      <c r="R57" s="20">
        <f>$I$7*$R$7</f>
        <v>0</v>
      </c>
      <c r="S57" s="20">
        <f>$I$7*$S$7</f>
        <v>0</v>
      </c>
      <c r="T57" s="20">
        <f>$I$7*$T$7</f>
        <v>0</v>
      </c>
      <c r="U57" s="20">
        <f>$I$7*$U$7</f>
        <v>0</v>
      </c>
      <c r="V57" s="20">
        <f>$I$7*$V$7</f>
        <v>0</v>
      </c>
      <c r="X57" s="20">
        <f>$I$7*$X$7</f>
        <v>0</v>
      </c>
      <c r="Y57" s="20">
        <f>$I$7*$Y$7</f>
        <v>0</v>
      </c>
      <c r="Z57" s="20">
        <f>$I$7*$Z$7</f>
        <v>0</v>
      </c>
      <c r="AA57" s="20">
        <f>$I$7*$AA$7</f>
        <v>0</v>
      </c>
      <c r="AB57" s="20">
        <f>$I$7*$AB$7</f>
        <v>0</v>
      </c>
      <c r="AC57" s="20">
        <f>$I$7*$AC$7</f>
        <v>0</v>
      </c>
      <c r="AD57" s="20">
        <f>$I$7*$AD$7</f>
        <v>0</v>
      </c>
      <c r="AE57" s="20">
        <f>$I$7*$AE$7</f>
        <v>0</v>
      </c>
      <c r="AF57" s="20">
        <f>$I$7*$AF$7</f>
        <v>0</v>
      </c>
      <c r="AG57" s="20">
        <f>$I$7*$AG$7</f>
        <v>0</v>
      </c>
      <c r="AH57" s="20">
        <f>$I$7*$AH$7</f>
        <v>0</v>
      </c>
    </row>
    <row r="58" spans="1:34" ht="11.25" customHeight="1" x14ac:dyDescent="0.3">
      <c r="A58" s="9" t="s">
        <v>60</v>
      </c>
      <c r="B58" s="9" t="s">
        <v>1296</v>
      </c>
      <c r="C58" s="9" t="s">
        <v>1297</v>
      </c>
      <c r="D58" s="9" t="s">
        <v>1298</v>
      </c>
      <c r="E58" s="9" t="s">
        <v>1299</v>
      </c>
      <c r="F58" s="9" t="s">
        <v>1300</v>
      </c>
      <c r="G58" s="9" t="s">
        <v>1302</v>
      </c>
      <c r="L58" s="20">
        <f>$I$8*$L$8</f>
        <v>0</v>
      </c>
      <c r="M58" s="20">
        <f>$I$8*$M$8</f>
        <v>0</v>
      </c>
      <c r="N58" s="20">
        <f>$I$8*$N$8</f>
        <v>0</v>
      </c>
      <c r="O58" s="20">
        <f>$I$8*$O$8</f>
        <v>0</v>
      </c>
      <c r="P58" s="20">
        <f>$I$8*$P$8</f>
        <v>0</v>
      </c>
      <c r="Q58" s="20">
        <f>$I$8*$Q$8</f>
        <v>0</v>
      </c>
      <c r="R58" s="20">
        <f>$I$8*$R$8</f>
        <v>0</v>
      </c>
      <c r="S58" s="20">
        <f>$I$8*$S$8</f>
        <v>0</v>
      </c>
      <c r="T58" s="20">
        <f>$I$8*$T$8</f>
        <v>0</v>
      </c>
      <c r="U58" s="20">
        <f>$I$8*$U$8</f>
        <v>0</v>
      </c>
      <c r="V58" s="20">
        <f>$I$8*$V$8</f>
        <v>0</v>
      </c>
      <c r="X58" s="20">
        <f>$I$8*$X$8</f>
        <v>0</v>
      </c>
      <c r="Y58" s="20">
        <f>$I$8*$Y$8</f>
        <v>0</v>
      </c>
      <c r="Z58" s="20">
        <f>$I$8*$Z$8</f>
        <v>0</v>
      </c>
      <c r="AA58" s="20">
        <f>$I$8*$AA$8</f>
        <v>0</v>
      </c>
      <c r="AB58" s="20">
        <f>$I$8*$AB$8</f>
        <v>0</v>
      </c>
      <c r="AC58" s="20">
        <f>$I$8*$AC$8</f>
        <v>0</v>
      </c>
      <c r="AD58" s="20">
        <f>$I$8*$AD$8</f>
        <v>0</v>
      </c>
      <c r="AE58" s="20">
        <f>$I$8*$AE$8</f>
        <v>0</v>
      </c>
      <c r="AF58" s="20">
        <f>$I$8*$AF$8</f>
        <v>0</v>
      </c>
      <c r="AG58" s="20">
        <f>$I$8*$AG$8</f>
        <v>0</v>
      </c>
      <c r="AH58" s="20">
        <f>$I$8*$AH$8</f>
        <v>0</v>
      </c>
    </row>
    <row r="59" spans="1:34" ht="11.25" customHeight="1" x14ac:dyDescent="0.3">
      <c r="A59" s="9" t="s">
        <v>39</v>
      </c>
      <c r="B59" s="9" t="s">
        <v>1303</v>
      </c>
      <c r="C59" s="9" t="s">
        <v>1304</v>
      </c>
      <c r="D59" s="9" t="s">
        <v>1305</v>
      </c>
      <c r="E59" s="9" t="s">
        <v>1306</v>
      </c>
      <c r="F59" s="9" t="s">
        <v>1307</v>
      </c>
      <c r="G59" s="9" t="s">
        <v>1308</v>
      </c>
      <c r="L59" s="20">
        <f>$I$9*$L$9</f>
        <v>14646.817409890409</v>
      </c>
      <c r="M59" s="20">
        <f>$I$9*$M$9</f>
        <v>116609.47609278212</v>
      </c>
      <c r="N59" s="20">
        <f>$I$9*$N$9</f>
        <v>8417.0968440540055</v>
      </c>
      <c r="O59" s="20">
        <f>$I$9*$O$9</f>
        <v>72795.963873365239</v>
      </c>
      <c r="P59" s="20">
        <f>$I$9*$P$9</f>
        <v>-101867.86171909588</v>
      </c>
      <c r="Q59" s="20">
        <f>$I$9*$Q$9</f>
        <v>2403168.1404420417</v>
      </c>
      <c r="R59" s="20">
        <f>$I$9*$R$9</f>
        <v>43630.722753841823</v>
      </c>
      <c r="S59" s="20">
        <f>$I$9*$S$9</f>
        <v>32876.060973681982</v>
      </c>
      <c r="T59" s="20">
        <f>$I$9*$T$9</f>
        <v>0</v>
      </c>
      <c r="U59" s="20">
        <f>$I$9*$U$9</f>
        <v>0</v>
      </c>
      <c r="V59" s="20">
        <f>$I$9*$V$9</f>
        <v>22963.78351897241</v>
      </c>
      <c r="X59" s="20">
        <f>$I$9*$X$9</f>
        <v>13986.246754548596</v>
      </c>
      <c r="Y59" s="20">
        <f>$I$9*$Y$9</f>
        <v>74906.727972837805</v>
      </c>
      <c r="Z59" s="20">
        <f>$I$9*$Z$9</f>
        <v>5191.4604472913106</v>
      </c>
      <c r="AA59" s="20">
        <f>$I$9*$AA$9</f>
        <v>0</v>
      </c>
      <c r="AB59" s="20">
        <f>$I$9*$AB$9</f>
        <v>0</v>
      </c>
      <c r="AC59" s="20">
        <f>$I$9*$AC$9</f>
        <v>2107122.469909078</v>
      </c>
      <c r="AD59" s="20">
        <f>$I$9*$AD$9</f>
        <v>43651.905007132846</v>
      </c>
      <c r="AE59" s="20">
        <f>$I$9*$AE$9</f>
        <v>38525.358261496767</v>
      </c>
      <c r="AF59" s="20">
        <f>$I$9*$AF$9</f>
        <v>0</v>
      </c>
      <c r="AG59" s="20">
        <f>$I$9*$AG$9</f>
        <v>0</v>
      </c>
      <c r="AH59" s="20">
        <f>$I$9*$AH$9</f>
        <v>23489.302105170711</v>
      </c>
    </row>
    <row r="60" spans="1:34" ht="11.25" customHeight="1" x14ac:dyDescent="0.3">
      <c r="A60" s="9" t="s">
        <v>39</v>
      </c>
      <c r="B60" s="9" t="s">
        <v>1303</v>
      </c>
      <c r="C60" s="9" t="s">
        <v>1304</v>
      </c>
      <c r="D60" s="9" t="s">
        <v>1305</v>
      </c>
      <c r="E60" s="9" t="s">
        <v>1306</v>
      </c>
      <c r="F60" s="9" t="s">
        <v>1307</v>
      </c>
      <c r="G60" s="9" t="s">
        <v>1309</v>
      </c>
      <c r="L60" s="20">
        <f>$I$10*$L$10</f>
        <v>170659.26233861063</v>
      </c>
      <c r="M60" s="20">
        <f>$I$10*$M$10</f>
        <v>1358690.1928775359</v>
      </c>
      <c r="N60" s="20">
        <f>$I$10*$N$10</f>
        <v>98072.878103124531</v>
      </c>
      <c r="O60" s="20">
        <f>$I$10*$O$10</f>
        <v>848191.46359179029</v>
      </c>
      <c r="P60" s="20">
        <f>$I$10*$P$10</f>
        <v>-1186926.3916168786</v>
      </c>
      <c r="Q60" s="20">
        <f>$I$10*$Q$10</f>
        <v>16279546.68057809</v>
      </c>
      <c r="R60" s="20">
        <f>$I$10*$R$10</f>
        <v>508368.93449925195</v>
      </c>
      <c r="S60" s="20">
        <f>$I$10*$S$10</f>
        <v>383059.62021340802</v>
      </c>
      <c r="T60" s="20">
        <f>$I$10*$T$10</f>
        <v>0</v>
      </c>
      <c r="U60" s="20">
        <f>$I$10*$U$10</f>
        <v>0</v>
      </c>
      <c r="V60" s="20">
        <f>$I$10*$V$10</f>
        <v>267565.45440411131</v>
      </c>
      <c r="X60" s="20">
        <f>$I$10*$X$10</f>
        <v>162962.53904314287</v>
      </c>
      <c r="Y60" s="20">
        <f>$I$10*$Y$10</f>
        <v>872785.30088121863</v>
      </c>
      <c r="Z60" s="20">
        <f>$I$10*$Z$10</f>
        <v>60488.963957217638</v>
      </c>
      <c r="AA60" s="20">
        <f>$I$10*$AA$10</f>
        <v>0</v>
      </c>
      <c r="AB60" s="20">
        <f>$I$10*$AB$10</f>
        <v>0</v>
      </c>
      <c r="AC60" s="20">
        <f>$I$10*$AC$10</f>
        <v>14274073.475470668</v>
      </c>
      <c r="AD60" s="20">
        <f>$I$10*$AD$10</f>
        <v>508615.74222683883</v>
      </c>
      <c r="AE60" s="20">
        <f>$I$10*$AE$10</f>
        <v>448883.1285490116</v>
      </c>
      <c r="AF60" s="20">
        <f>$I$10*$AF$10</f>
        <v>0</v>
      </c>
      <c r="AG60" s="20">
        <f>$I$10*$AG$10</f>
        <v>0</v>
      </c>
      <c r="AH60" s="20">
        <f>$I$10*$AH$10</f>
        <v>273688.60128005117</v>
      </c>
    </row>
    <row r="61" spans="1:34" ht="11.25" customHeight="1" x14ac:dyDescent="0.3">
      <c r="A61" s="9" t="s">
        <v>39</v>
      </c>
      <c r="B61" s="9" t="s">
        <v>1310</v>
      </c>
      <c r="C61" s="9" t="s">
        <v>1311</v>
      </c>
      <c r="D61" s="9" t="s">
        <v>1312</v>
      </c>
      <c r="E61" s="9" t="s">
        <v>1313</v>
      </c>
      <c r="F61" s="9" t="s">
        <v>1314</v>
      </c>
      <c r="G61" s="9" t="s">
        <v>1315</v>
      </c>
      <c r="L61" s="20">
        <f>$I$11*$L$11</f>
        <v>0</v>
      </c>
      <c r="M61" s="20">
        <f>$I$11*$M$11</f>
        <v>0</v>
      </c>
      <c r="N61" s="20">
        <f>$I$11*$N$11</f>
        <v>0</v>
      </c>
      <c r="O61" s="20">
        <f>$I$11*$O$11</f>
        <v>0</v>
      </c>
      <c r="P61" s="20">
        <f>$I$11*$P$11</f>
        <v>0</v>
      </c>
      <c r="Q61" s="20">
        <f>$I$11*$Q$11</f>
        <v>0</v>
      </c>
      <c r="R61" s="20">
        <f>$I$11*$R$11</f>
        <v>0</v>
      </c>
      <c r="S61" s="20">
        <f>$I$11*$S$11</f>
        <v>0</v>
      </c>
      <c r="T61" s="20">
        <f>$I$11*$T$11</f>
        <v>0</v>
      </c>
      <c r="U61" s="20">
        <f>$I$11*$U$11</f>
        <v>0</v>
      </c>
      <c r="V61" s="20">
        <f>$I$11*$V$11</f>
        <v>0</v>
      </c>
      <c r="X61" s="20">
        <f>$I$11*$X$11</f>
        <v>0</v>
      </c>
      <c r="Y61" s="20">
        <f>$I$11*$Y$11</f>
        <v>0</v>
      </c>
      <c r="Z61" s="20">
        <f>$I$11*$Z$11</f>
        <v>0</v>
      </c>
      <c r="AA61" s="20">
        <f>$I$11*$AA$11</f>
        <v>0</v>
      </c>
      <c r="AB61" s="20">
        <f>$I$11*$AB$11</f>
        <v>0</v>
      </c>
      <c r="AC61" s="20">
        <f>$I$11*$AC$11</f>
        <v>0</v>
      </c>
      <c r="AD61" s="20">
        <f>$I$11*$AD$11</f>
        <v>0</v>
      </c>
      <c r="AE61" s="20">
        <f>$I$11*$AE$11</f>
        <v>0</v>
      </c>
      <c r="AF61" s="20">
        <f>$I$11*$AF$11</f>
        <v>0</v>
      </c>
      <c r="AG61" s="20">
        <f>$I$11*$AG$11</f>
        <v>0</v>
      </c>
      <c r="AH61" s="20">
        <f>$I$11*$AH$11</f>
        <v>0</v>
      </c>
    </row>
    <row r="62" spans="1:34" ht="11.25" customHeight="1" x14ac:dyDescent="0.3">
      <c r="A62" s="9" t="s">
        <v>43</v>
      </c>
      <c r="B62" s="9" t="s">
        <v>1316</v>
      </c>
      <c r="C62" s="9" t="s">
        <v>1317</v>
      </c>
      <c r="D62" s="9" t="s">
        <v>1318</v>
      </c>
      <c r="E62" s="9" t="s">
        <v>1319</v>
      </c>
      <c r="F62" s="9" t="s">
        <v>1320</v>
      </c>
      <c r="G62" s="9" t="s">
        <v>1321</v>
      </c>
      <c r="L62" s="20">
        <f>$I$12*$L$12</f>
        <v>49.541431248052476</v>
      </c>
      <c r="M62" s="20">
        <f>$I$12*$M$12</f>
        <v>394.42017887251109</v>
      </c>
      <c r="N62" s="20">
        <f>$I$12*$N$12</f>
        <v>28.47000907694261</v>
      </c>
      <c r="O62" s="20">
        <f>$I$12*$O$12</f>
        <v>246.22524733139414</v>
      </c>
      <c r="P62" s="20">
        <f>$I$12*$P$12</f>
        <v>-344.55810614085249</v>
      </c>
      <c r="Q62" s="20">
        <f>$I$12*$Q$12</f>
        <v>8128.4818316111123</v>
      </c>
      <c r="R62" s="20">
        <f>$I$12*$R$12</f>
        <v>147.57666400297308</v>
      </c>
      <c r="S62" s="20">
        <f>$I$12*$S$12</f>
        <v>111.20006953419333</v>
      </c>
      <c r="T62" s="20">
        <f>$I$12*$T$12</f>
        <v>0</v>
      </c>
      <c r="U62" s="20">
        <f>$I$12*$U$12</f>
        <v>0</v>
      </c>
      <c r="V62" s="20">
        <f>$I$12*$V$12</f>
        <v>77.672757880638073</v>
      </c>
      <c r="X62" s="20">
        <f>$I$12*$X$12</f>
        <v>47.307115437984478</v>
      </c>
      <c r="Y62" s="20">
        <f>$I$12*$Y$12</f>
        <v>253.36470101532316</v>
      </c>
      <c r="Z62" s="20">
        <f>$I$12*$Z$12</f>
        <v>17.5596085913377</v>
      </c>
      <c r="AA62" s="20">
        <f>$I$12*$AA$12</f>
        <v>0</v>
      </c>
      <c r="AB62" s="20">
        <f>$I$12*$AB$12</f>
        <v>0</v>
      </c>
      <c r="AC62" s="20">
        <f>$I$12*$AC$12</f>
        <v>7127.136227132647</v>
      </c>
      <c r="AD62" s="20">
        <f>$I$12*$AD$12</f>
        <v>147.64831090862697</v>
      </c>
      <c r="AE62" s="20">
        <f>$I$12*$AE$12</f>
        <v>130.30826658149849</v>
      </c>
      <c r="AF62" s="20">
        <f>$I$12*$AF$12</f>
        <v>0</v>
      </c>
      <c r="AG62" s="20">
        <f>$I$12*$AG$12</f>
        <v>0</v>
      </c>
      <c r="AH62" s="20">
        <f>$I$12*$AH$12</f>
        <v>79.450273239717816</v>
      </c>
    </row>
    <row r="63" spans="1:34" ht="11.25" customHeight="1" x14ac:dyDescent="0.3">
      <c r="A63" s="9" t="s">
        <v>43</v>
      </c>
      <c r="B63" s="9" t="s">
        <v>1316</v>
      </c>
      <c r="C63" s="9" t="s">
        <v>1317</v>
      </c>
      <c r="D63" s="9" t="s">
        <v>1318</v>
      </c>
      <c r="E63" s="9" t="s">
        <v>1319</v>
      </c>
      <c r="F63" s="9" t="s">
        <v>1320</v>
      </c>
      <c r="G63" s="9" t="s">
        <v>1322</v>
      </c>
      <c r="L63" s="20">
        <f>$I$13*$L$13</f>
        <v>672.79123040287584</v>
      </c>
      <c r="M63" s="20">
        <f>$I$13*$M$13</f>
        <v>5356.3740641786726</v>
      </c>
      <c r="N63" s="20">
        <f>$I$13*$N$13</f>
        <v>386.63340872313296</v>
      </c>
      <c r="O63" s="20">
        <f>$I$13*$O$13</f>
        <v>3343.831272836981</v>
      </c>
      <c r="P63" s="20">
        <f>$I$13*$P$13</f>
        <v>-4679.2284020841998</v>
      </c>
      <c r="Q63" s="20">
        <f>$I$13*$Q$13</f>
        <v>64178.973303514606</v>
      </c>
      <c r="R63" s="20">
        <f>$I$13*$R$13</f>
        <v>2004.1464861234745</v>
      </c>
      <c r="S63" s="20">
        <f>$I$13*$S$13</f>
        <v>1510.1386802533348</v>
      </c>
      <c r="T63" s="20">
        <f>$I$13*$T$13</f>
        <v>0</v>
      </c>
      <c r="U63" s="20">
        <f>$I$13*$U$13</f>
        <v>0</v>
      </c>
      <c r="V63" s="20">
        <f>$I$13*$V$13</f>
        <v>1054.825204416222</v>
      </c>
      <c r="X63" s="20">
        <f>$I$13*$X$13</f>
        <v>642.4483831113306</v>
      </c>
      <c r="Y63" s="20">
        <f>$I$13*$Y$13</f>
        <v>3440.7877334681784</v>
      </c>
      <c r="Z63" s="20">
        <f>$I$13*$Z$13</f>
        <v>238.46607520091419</v>
      </c>
      <c r="AA63" s="20">
        <f>$I$13*$AA$13</f>
        <v>0</v>
      </c>
      <c r="AB63" s="20">
        <f>$I$13*$AB$13</f>
        <v>0</v>
      </c>
      <c r="AC63" s="20">
        <f>$I$13*$AC$13</f>
        <v>56272.781944694005</v>
      </c>
      <c r="AD63" s="20">
        <f>$I$13*$AD$13</f>
        <v>2005.1194779930086</v>
      </c>
      <c r="AE63" s="20">
        <f>$I$13*$AE$13</f>
        <v>1769.6351679076436</v>
      </c>
      <c r="AF63" s="20">
        <f>$I$13*$AF$13</f>
        <v>0</v>
      </c>
      <c r="AG63" s="20">
        <f>$I$13*$AG$13</f>
        <v>0</v>
      </c>
      <c r="AH63" s="20">
        <f>$I$13*$AH$13</f>
        <v>1078.9645301354863</v>
      </c>
    </row>
    <row r="64" spans="1:34" ht="11.25" customHeight="1" x14ac:dyDescent="0.3">
      <c r="A64" s="9" t="s">
        <v>43</v>
      </c>
      <c r="B64" s="9" t="s">
        <v>1323</v>
      </c>
      <c r="C64" s="9" t="s">
        <v>1324</v>
      </c>
      <c r="D64" s="9" t="s">
        <v>1325</v>
      </c>
      <c r="E64" s="9" t="s">
        <v>1326</v>
      </c>
      <c r="F64" s="9" t="s">
        <v>1327</v>
      </c>
      <c r="G64" s="9" t="s">
        <v>1328</v>
      </c>
      <c r="L64" s="20">
        <f>$I$14*$L$14</f>
        <v>0</v>
      </c>
      <c r="M64" s="20">
        <f>$I$14*$M$14</f>
        <v>0</v>
      </c>
      <c r="N64" s="20">
        <f>$I$14*$N$14</f>
        <v>0</v>
      </c>
      <c r="O64" s="20">
        <f>$I$14*$O$14</f>
        <v>0</v>
      </c>
      <c r="P64" s="20">
        <f>$I$14*$P$14</f>
        <v>0</v>
      </c>
      <c r="Q64" s="20">
        <f>$I$14*$Q$14</f>
        <v>0</v>
      </c>
      <c r="R64" s="20">
        <f>$I$14*$R$14</f>
        <v>0</v>
      </c>
      <c r="S64" s="20">
        <f>$I$14*$S$14</f>
        <v>0</v>
      </c>
      <c r="T64" s="20">
        <f>$I$14*$T$14</f>
        <v>0</v>
      </c>
      <c r="U64" s="20">
        <f>$I$14*$U$14</f>
        <v>0</v>
      </c>
      <c r="V64" s="20">
        <f>$I$14*$V$14</f>
        <v>0</v>
      </c>
      <c r="X64" s="20">
        <f>$I$14*$X$14</f>
        <v>0</v>
      </c>
      <c r="Y64" s="20">
        <f>$I$14*$Y$14</f>
        <v>0</v>
      </c>
      <c r="Z64" s="20">
        <f>$I$14*$Z$14</f>
        <v>0</v>
      </c>
      <c r="AA64" s="20">
        <f>$I$14*$AA$14</f>
        <v>0</v>
      </c>
      <c r="AB64" s="20">
        <f>$I$14*$AB$14</f>
        <v>0</v>
      </c>
      <c r="AC64" s="20">
        <f>$I$14*$AC$14</f>
        <v>0</v>
      </c>
      <c r="AD64" s="20">
        <f>$I$14*$AD$14</f>
        <v>0</v>
      </c>
      <c r="AE64" s="20">
        <f>$I$14*$AE$14</f>
        <v>0</v>
      </c>
      <c r="AF64" s="20">
        <f>$I$14*$AF$14</f>
        <v>0</v>
      </c>
      <c r="AG64" s="20">
        <f>$I$14*$AG$14</f>
        <v>0</v>
      </c>
      <c r="AH64" s="20">
        <f>$I$14*$AH$14</f>
        <v>0</v>
      </c>
    </row>
    <row r="65" spans="1:34" ht="11.25" customHeight="1" x14ac:dyDescent="0.3">
      <c r="A65" s="9" t="s">
        <v>22</v>
      </c>
      <c r="B65" s="9" t="s">
        <v>1329</v>
      </c>
      <c r="C65" s="9" t="s">
        <v>1330</v>
      </c>
      <c r="D65" s="9" t="s">
        <v>1331</v>
      </c>
      <c r="E65" s="9" t="s">
        <v>1332</v>
      </c>
      <c r="F65" s="9" t="s">
        <v>1333</v>
      </c>
      <c r="G65" s="9" t="s">
        <v>1334</v>
      </c>
      <c r="L65" s="20">
        <f>$I$15*$L$15</f>
        <v>46.335183757671651</v>
      </c>
      <c r="M65" s="20">
        <f>$I$15*$M$15</f>
        <v>368.89389356327797</v>
      </c>
      <c r="N65" s="20">
        <f>$I$15*$N$15</f>
        <v>26.627472580630645</v>
      </c>
      <c r="O65" s="20">
        <f>$I$15*$O$15</f>
        <v>230.28991681234066</v>
      </c>
      <c r="P65" s="20">
        <f>$I$15*$P$15</f>
        <v>-322.25881976026557</v>
      </c>
      <c r="Q65" s="20">
        <f>$I$15*$Q$15</f>
        <v>7602.4186191310773</v>
      </c>
      <c r="R65" s="20">
        <f>$I$15*$R$15</f>
        <v>138.02572256510521</v>
      </c>
      <c r="S65" s="20">
        <f>$I$15*$S$15</f>
        <v>104.00336699871306</v>
      </c>
      <c r="T65" s="20">
        <f>$I$15*$T$15</f>
        <v>0</v>
      </c>
      <c r="U65" s="20">
        <f>$I$15*$U$15</f>
        <v>0</v>
      </c>
      <c r="V65" s="20">
        <f>$I$15*$V$15</f>
        <v>72.645892916264572</v>
      </c>
      <c r="X65" s="20">
        <f>$I$15*$X$15</f>
        <v>44.245469532141648</v>
      </c>
      <c r="Y65" s="20">
        <f>$I$15*$Y$15</f>
        <v>236.96731570939497</v>
      </c>
      <c r="Z65" s="20">
        <f>$I$15*$Z$15</f>
        <v>16.423176930811959</v>
      </c>
      <c r="AA65" s="20">
        <f>$I$15*$AA$15</f>
        <v>0</v>
      </c>
      <c r="AB65" s="20">
        <f>$I$15*$AB$15</f>
        <v>0</v>
      </c>
      <c r="AC65" s="20">
        <f>$I$15*$AC$15</f>
        <v>6665.8786076781307</v>
      </c>
      <c r="AD65" s="20">
        <f>$I$15*$AD$15</f>
        <v>138.09273258995731</v>
      </c>
      <c r="AE65" s="20">
        <f>$I$15*$AE$15</f>
        <v>121.87491005187199</v>
      </c>
      <c r="AF65" s="20">
        <f>$I$15*$AF$15</f>
        <v>0</v>
      </c>
      <c r="AG65" s="20">
        <f>$I$15*$AG$15</f>
        <v>0</v>
      </c>
      <c r="AH65" s="20">
        <f>$I$15*$AH$15</f>
        <v>74.308370134225086</v>
      </c>
    </row>
    <row r="66" spans="1:34" ht="11.25" customHeight="1" x14ac:dyDescent="0.3">
      <c r="A66" s="9" t="s">
        <v>22</v>
      </c>
      <c r="B66" s="9" t="s">
        <v>1329</v>
      </c>
      <c r="C66" s="9" t="s">
        <v>1330</v>
      </c>
      <c r="D66" s="9" t="s">
        <v>1331</v>
      </c>
      <c r="E66" s="9" t="s">
        <v>1332</v>
      </c>
      <c r="F66" s="9" t="s">
        <v>1333</v>
      </c>
      <c r="G66" s="9" t="s">
        <v>1335</v>
      </c>
      <c r="L66" s="20">
        <f>$I$16*$L$16</f>
        <v>29.717770106420776</v>
      </c>
      <c r="M66" s="20">
        <f>$I$16*$M$16</f>
        <v>236.59567165870729</v>
      </c>
      <c r="N66" s="20">
        <f>$I$16*$N$16</f>
        <v>17.077931811054668</v>
      </c>
      <c r="O66" s="20">
        <f>$I$16*$O$16</f>
        <v>147.69991722592019</v>
      </c>
      <c r="P66" s="20">
        <f>$I$16*$P$16</f>
        <v>-206.68556254115302</v>
      </c>
      <c r="Q66" s="20">
        <f>$I$16*$Q$16</f>
        <v>2834.8407174657646</v>
      </c>
      <c r="R66" s="20">
        <f>$I$16*$R$16</f>
        <v>88.524882374795354</v>
      </c>
      <c r="S66" s="20">
        <f>$I$16*$S$16</f>
        <v>66.704130643481761</v>
      </c>
      <c r="T66" s="20">
        <f>$I$16*$T$16</f>
        <v>0</v>
      </c>
      <c r="U66" s="20">
        <f>$I$16*$U$16</f>
        <v>0</v>
      </c>
      <c r="V66" s="20">
        <f>$I$16*$V$16</f>
        <v>46.592540911284729</v>
      </c>
      <c r="X66" s="20">
        <f>$I$16*$X$16</f>
        <v>28.377500317760756</v>
      </c>
      <c r="Y66" s="20">
        <f>$I$16*$Y$16</f>
        <v>151.98256788657875</v>
      </c>
      <c r="Z66" s="20">
        <f>$I$16*$Z$16</f>
        <v>10.533252635825265</v>
      </c>
      <c r="AA66" s="20">
        <f>$I$16*$AA$16</f>
        <v>0</v>
      </c>
      <c r="AB66" s="20">
        <f>$I$16*$AB$16</f>
        <v>0</v>
      </c>
      <c r="AC66" s="20">
        <f>$I$16*$AC$16</f>
        <v>2485.6174122242451</v>
      </c>
      <c r="AD66" s="20">
        <f>$I$16*$AD$16</f>
        <v>88.567860266580468</v>
      </c>
      <c r="AE66" s="20">
        <f>$I$16*$AE$16</f>
        <v>78.166314772898204</v>
      </c>
      <c r="AF66" s="20">
        <f>$I$16*$AF$16</f>
        <v>0</v>
      </c>
      <c r="AG66" s="20">
        <f>$I$16*$AG$16</f>
        <v>0</v>
      </c>
      <c r="AH66" s="20">
        <f>$I$16*$AH$16</f>
        <v>47.6587957907063</v>
      </c>
    </row>
    <row r="67" spans="1:34" ht="11.25" customHeight="1" x14ac:dyDescent="0.3">
      <c r="A67" s="9" t="s">
        <v>22</v>
      </c>
      <c r="B67" s="9" t="s">
        <v>1329</v>
      </c>
      <c r="C67" s="9" t="s">
        <v>1330</v>
      </c>
      <c r="D67" s="9" t="s">
        <v>1331</v>
      </c>
      <c r="E67" s="9" t="s">
        <v>1332</v>
      </c>
      <c r="F67" s="9" t="s">
        <v>1333</v>
      </c>
      <c r="G67" s="9" t="s">
        <v>1336</v>
      </c>
      <c r="L67" s="20">
        <f>$I$17*$L$17</f>
        <v>348.34134086394096</v>
      </c>
      <c r="M67" s="20">
        <f>$I$17*$M$17</f>
        <v>2773.2919802886599</v>
      </c>
      <c r="N67" s="20">
        <f>$I$17*$N$17</f>
        <v>200.18156291478996</v>
      </c>
      <c r="O67" s="20">
        <f>$I$17*$O$17</f>
        <v>1731.286938007974</v>
      </c>
      <c r="P67" s="20">
        <f>$I$17*$P$17</f>
        <v>-2422.6961085901789</v>
      </c>
      <c r="Q67" s="20">
        <f>$I$17*$Q$17</f>
        <v>33229.014597039524</v>
      </c>
      <c r="R67" s="20">
        <f>$I$17*$R$17</f>
        <v>1037.6578093117525</v>
      </c>
      <c r="S67" s="20">
        <f>$I$17*$S$17</f>
        <v>781.88256475184312</v>
      </c>
      <c r="T67" s="20">
        <f>$I$17*$T$17</f>
        <v>0</v>
      </c>
      <c r="U67" s="20">
        <f>$I$17*$U$17</f>
        <v>0</v>
      </c>
      <c r="V67" s="20">
        <f>$I$17*$V$17</f>
        <v>546.14152129093623</v>
      </c>
      <c r="X67" s="20">
        <f>$I$17*$X$17</f>
        <v>332.63116565128627</v>
      </c>
      <c r="Y67" s="20">
        <f>$I$17*$Y$17</f>
        <v>1781.4866760180382</v>
      </c>
      <c r="Z67" s="20">
        <f>$I$17*$Z$17</f>
        <v>123.467115254023</v>
      </c>
      <c r="AA67" s="20">
        <f>$I$17*$AA$17</f>
        <v>0</v>
      </c>
      <c r="AB67" s="20">
        <f>$I$17*$AB$17</f>
        <v>0</v>
      </c>
      <c r="AC67" s="20">
        <f>$I$17*$AC$17</f>
        <v>29135.540760572738</v>
      </c>
      <c r="AD67" s="20">
        <f>$I$17*$AD$17</f>
        <v>1038.1615811761394</v>
      </c>
      <c r="AE67" s="20">
        <f>$I$17*$AE$17</f>
        <v>916.23829112606518</v>
      </c>
      <c r="AF67" s="20">
        <f>$I$17*$AF$17</f>
        <v>0</v>
      </c>
      <c r="AG67" s="20">
        <f>$I$17*$AG$17</f>
        <v>0</v>
      </c>
      <c r="AH67" s="20">
        <f>$I$17*$AH$17</f>
        <v>558.63978926563118</v>
      </c>
    </row>
    <row r="68" spans="1:34" ht="11.25" customHeight="1" x14ac:dyDescent="0.3">
      <c r="A68" s="9" t="s">
        <v>22</v>
      </c>
      <c r="B68" s="9" t="s">
        <v>1337</v>
      </c>
      <c r="C68" s="9" t="s">
        <v>1338</v>
      </c>
      <c r="D68" s="9" t="s">
        <v>1339</v>
      </c>
      <c r="E68" s="9" t="s">
        <v>1340</v>
      </c>
      <c r="F68" s="9" t="s">
        <v>1341</v>
      </c>
      <c r="G68" s="9" t="s">
        <v>1342</v>
      </c>
      <c r="L68" s="20">
        <f>$I$18*$L$18</f>
        <v>345039.45668183599</v>
      </c>
      <c r="M68" s="20">
        <f>$I$18*$M$18</f>
        <v>2747004.2910371842</v>
      </c>
      <c r="N68" s="20">
        <f>$I$18*$N$18</f>
        <v>198284.06681370112</v>
      </c>
      <c r="O68" s="20">
        <f>$I$18*$O$18</f>
        <v>1714876.2847644757</v>
      </c>
      <c r="P68" s="20">
        <f>$I$18*$P$18</f>
        <v>-2399731.6739377743</v>
      </c>
      <c r="Q68" s="20">
        <f>$I$18*$Q$18</f>
        <v>34888883.360934138</v>
      </c>
      <c r="R68" s="20">
        <f>$I$18*$R$18</f>
        <v>1027821.9801836147</v>
      </c>
      <c r="S68" s="20">
        <f>$I$18*$S$18</f>
        <v>774471.1973085911</v>
      </c>
      <c r="T68" s="20">
        <f>$I$18*$T$18</f>
        <v>0</v>
      </c>
      <c r="U68" s="20">
        <f>$I$18*$U$18</f>
        <v>0</v>
      </c>
      <c r="V68" s="20">
        <f>$I$18*$V$18</f>
        <v>540964.71383572917</v>
      </c>
      <c r="X68" s="20">
        <f>$I$18*$X$18</f>
        <v>329478.19626322819</v>
      </c>
      <c r="Y68" s="20">
        <f>$I$18*$Y$18</f>
        <v>1764600.1857106125</v>
      </c>
      <c r="Z68" s="20">
        <f>$I$18*$Z$18</f>
        <v>122296.78584707897</v>
      </c>
      <c r="AA68" s="20">
        <f>$I$18*$AA$18</f>
        <v>0</v>
      </c>
      <c r="AB68" s="20">
        <f>$I$18*$AB$18</f>
        <v>0</v>
      </c>
      <c r="AC68" s="20">
        <f>$I$18*$AC$18</f>
        <v>30590930.714626934</v>
      </c>
      <c r="AD68" s="20">
        <f>$I$18*$AD$18</f>
        <v>1028320.9768572467</v>
      </c>
      <c r="AE68" s="20">
        <f>$I$18*$AE$18</f>
        <v>907553.38248730078</v>
      </c>
      <c r="AF68" s="20">
        <f>$I$18*$AF$18</f>
        <v>0</v>
      </c>
      <c r="AG68" s="20">
        <f>$I$18*$AG$18</f>
        <v>0</v>
      </c>
      <c r="AH68" s="20">
        <f>$I$18*$AH$18</f>
        <v>553344.51228502416</v>
      </c>
    </row>
    <row r="69" spans="1:34" ht="11.25" customHeight="1" x14ac:dyDescent="0.3">
      <c r="A69" s="9" t="s">
        <v>22</v>
      </c>
      <c r="B69" s="9" t="s">
        <v>1337</v>
      </c>
      <c r="C69" s="9" t="s">
        <v>1338</v>
      </c>
      <c r="D69" s="9" t="s">
        <v>1343</v>
      </c>
      <c r="E69" s="9" t="s">
        <v>1344</v>
      </c>
      <c r="F69" s="9" t="s">
        <v>1345</v>
      </c>
      <c r="G69" s="9" t="s">
        <v>1346</v>
      </c>
      <c r="L69" s="20">
        <f>$I$19*$L$19</f>
        <v>2064.3176364332467</v>
      </c>
      <c r="M69" s="20">
        <f>$I$19*$M$19</f>
        <v>16434.901271522871</v>
      </c>
      <c r="N69" s="20">
        <f>$I$19*$N$19</f>
        <v>1186.3028654275629</v>
      </c>
      <c r="O69" s="20">
        <f>$I$19*$O$19</f>
        <v>10259.839245587327</v>
      </c>
      <c r="P69" s="20">
        <f>$I$19*$P$19</f>
        <v>-14357.222982139045</v>
      </c>
      <c r="Q69" s="20">
        <f>$I$19*$Q$19</f>
        <v>208734.78624750642</v>
      </c>
      <c r="R69" s="20">
        <f>$I$19*$R$19</f>
        <v>6149.299738676742</v>
      </c>
      <c r="S69" s="20">
        <f>$I$19*$S$19</f>
        <v>4633.5412386993285</v>
      </c>
      <c r="T69" s="20">
        <f>$I$19*$T$19</f>
        <v>0</v>
      </c>
      <c r="U69" s="20">
        <f>$I$19*$U$19</f>
        <v>0</v>
      </c>
      <c r="V69" s="20">
        <f>$I$19*$V$19</f>
        <v>3236.5081089520158</v>
      </c>
      <c r="X69" s="20">
        <f>$I$19*$X$19</f>
        <v>1971.2170251692874</v>
      </c>
      <c r="Y69" s="20">
        <f>$I$19*$Y$19</f>
        <v>10557.32964469264</v>
      </c>
      <c r="Z69" s="20">
        <f>$I$19*$Z$19</f>
        <v>731.68273081307348</v>
      </c>
      <c r="AA69" s="20">
        <f>$I$19*$AA$19</f>
        <v>0</v>
      </c>
      <c r="AB69" s="20">
        <f>$I$19*$AB$19</f>
        <v>0</v>
      </c>
      <c r="AC69" s="20">
        <f>$I$19*$AC$19</f>
        <v>183020.80114664254</v>
      </c>
      <c r="AD69" s="20">
        <f>$I$19*$AD$19</f>
        <v>6152.2851585003436</v>
      </c>
      <c r="AE69" s="20">
        <f>$I$19*$AE$19</f>
        <v>5429.7513434839857</v>
      </c>
      <c r="AF69" s="20">
        <f>$I$19*$AF$19</f>
        <v>0</v>
      </c>
      <c r="AG69" s="20">
        <f>$I$19*$AG$19</f>
        <v>0</v>
      </c>
      <c r="AH69" s="20">
        <f>$I$19*$AH$19</f>
        <v>3310.5745259355594</v>
      </c>
    </row>
    <row r="70" spans="1:34" ht="11.25" customHeight="1" x14ac:dyDescent="0.3">
      <c r="A70" s="9" t="s">
        <v>22</v>
      </c>
      <c r="B70" s="9" t="s">
        <v>1337</v>
      </c>
      <c r="C70" s="9" t="s">
        <v>1338</v>
      </c>
      <c r="D70" s="9" t="s">
        <v>1347</v>
      </c>
      <c r="E70" s="9" t="s">
        <v>1348</v>
      </c>
      <c r="F70" s="9" t="s">
        <v>1349</v>
      </c>
      <c r="G70" s="9" t="s">
        <v>1350</v>
      </c>
      <c r="L70" s="20">
        <f>$I$20*$L$20</f>
        <v>7081.9496417097935</v>
      </c>
      <c r="M70" s="20">
        <f>$I$20*$M$20</f>
        <v>56382.380849344132</v>
      </c>
      <c r="N70" s="20">
        <f>$I$20*$N$20</f>
        <v>4069.7889726359954</v>
      </c>
      <c r="O70" s="20">
        <f>$I$20*$O$20</f>
        <v>35197.90926886112</v>
      </c>
      <c r="P70" s="20">
        <f>$I$20*$P$20</f>
        <v>-49254.595494318506</v>
      </c>
      <c r="Q70" s="20">
        <f>$I$20*$Q$20</f>
        <v>716095.82681860705</v>
      </c>
      <c r="R70" s="20">
        <f>$I$20*$R$20</f>
        <v>21096.090210386628</v>
      </c>
      <c r="S70" s="20">
        <f>$I$20*$S$20</f>
        <v>15896.05452964669</v>
      </c>
      <c r="T70" s="20">
        <f>$I$20*$T$20</f>
        <v>0</v>
      </c>
      <c r="U70" s="20">
        <f>$I$20*$U$20</f>
        <v>0</v>
      </c>
      <c r="V70" s="20">
        <f>$I$20*$V$20</f>
        <v>11103.323944945985</v>
      </c>
      <c r="X70" s="20">
        <f>$I$20*$X$20</f>
        <v>6762.5541044401589</v>
      </c>
      <c r="Y70" s="20">
        <f>$I$20*$Y$20</f>
        <v>36218.494467656492</v>
      </c>
      <c r="Z70" s="20">
        <f>$I$20*$Z$20</f>
        <v>2510.1467728968105</v>
      </c>
      <c r="AA70" s="20">
        <f>$I$20*$AA$20</f>
        <v>0</v>
      </c>
      <c r="AB70" s="20">
        <f>$I$20*$AB$20</f>
        <v>0</v>
      </c>
      <c r="AC70" s="20">
        <f>$I$20*$AC$20</f>
        <v>627880.16448156594</v>
      </c>
      <c r="AD70" s="20">
        <f>$I$20*$AD$20</f>
        <v>21106.33213850707</v>
      </c>
      <c r="AE70" s="20">
        <f>$I$20*$AE$20</f>
        <v>18627.572086241355</v>
      </c>
      <c r="AF70" s="20">
        <f>$I$20*$AF$20</f>
        <v>0</v>
      </c>
      <c r="AG70" s="20">
        <f>$I$20*$AG$20</f>
        <v>0</v>
      </c>
      <c r="AH70" s="20">
        <f>$I$20*$AH$20</f>
        <v>11357.419838892607</v>
      </c>
    </row>
    <row r="71" spans="1:34" ht="11.25" customHeight="1" x14ac:dyDescent="0.3">
      <c r="A71" s="9" t="s">
        <v>22</v>
      </c>
      <c r="B71" s="9" t="s">
        <v>1337</v>
      </c>
      <c r="C71" s="9" t="s">
        <v>1338</v>
      </c>
      <c r="D71" s="9" t="s">
        <v>1351</v>
      </c>
      <c r="E71" s="9" t="s">
        <v>1352</v>
      </c>
      <c r="F71" s="9" t="s">
        <v>1353</v>
      </c>
      <c r="G71" s="9" t="s">
        <v>1354</v>
      </c>
      <c r="L71" s="20">
        <f>$I$21*$L$21</f>
        <v>7944.9119716660689</v>
      </c>
      <c r="M71" s="20">
        <f>$I$21*$M$21</f>
        <v>63252.787052131687</v>
      </c>
      <c r="N71" s="20">
        <f>$I$21*$N$21</f>
        <v>4565.7081406531788</v>
      </c>
      <c r="O71" s="20">
        <f>$I$21*$O$21</f>
        <v>39486.90754319969</v>
      </c>
      <c r="P71" s="20">
        <f>$I$21*$P$21</f>
        <v>-55256.454112246916</v>
      </c>
      <c r="Q71" s="20">
        <f>$I$21*$Q$21</f>
        <v>803354.80978903035</v>
      </c>
      <c r="R71" s="20">
        <f>$I$21*$R$21</f>
        <v>23666.72853485341</v>
      </c>
      <c r="S71" s="20">
        <f>$I$21*$S$21</f>
        <v>17833.048852964705</v>
      </c>
      <c r="T71" s="20">
        <f>$I$21*$T$21</f>
        <v>0</v>
      </c>
      <c r="U71" s="20">
        <f>$I$21*$U$21</f>
        <v>0</v>
      </c>
      <c r="V71" s="20">
        <f>$I$21*$V$21</f>
        <v>12456.305932470621</v>
      </c>
      <c r="X71" s="20">
        <f>$I$21*$X$21</f>
        <v>7586.5968810298691</v>
      </c>
      <c r="Y71" s="20">
        <f>$I$21*$Y$21</f>
        <v>40631.854905753491</v>
      </c>
      <c r="Z71" s="20">
        <f>$I$21*$Z$21</f>
        <v>2816.0176442333495</v>
      </c>
      <c r="AA71" s="20">
        <f>$I$21*$AA$21</f>
        <v>0</v>
      </c>
      <c r="AB71" s="20">
        <f>$I$21*$AB$21</f>
        <v>0</v>
      </c>
      <c r="AC71" s="20">
        <f>$I$21*$AC$21</f>
        <v>704389.73558655416</v>
      </c>
      <c r="AD71" s="20">
        <f>$I$21*$AD$21</f>
        <v>23678.218480624531</v>
      </c>
      <c r="AE71" s="20">
        <f>$I$21*$AE$21</f>
        <v>20897.412147556777</v>
      </c>
      <c r="AF71" s="20">
        <f>$I$21*$AF$21</f>
        <v>0</v>
      </c>
      <c r="AG71" s="20">
        <f>$I$21*$AG$21</f>
        <v>0</v>
      </c>
      <c r="AH71" s="20">
        <f>$I$21*$AH$21</f>
        <v>12741.364371445952</v>
      </c>
    </row>
    <row r="72" spans="1:34" ht="11.25" customHeight="1" x14ac:dyDescent="0.3">
      <c r="A72" s="9" t="s">
        <v>22</v>
      </c>
      <c r="B72" s="9" t="s">
        <v>1337</v>
      </c>
      <c r="C72" s="9" t="s">
        <v>1338</v>
      </c>
      <c r="D72" s="9" t="s">
        <v>1355</v>
      </c>
      <c r="E72" s="9" t="s">
        <v>1356</v>
      </c>
      <c r="F72" s="9" t="s">
        <v>1357</v>
      </c>
      <c r="G72" s="9" t="s">
        <v>1358</v>
      </c>
      <c r="L72" s="20">
        <f>$I$22*$L$22</f>
        <v>1728.355518979233</v>
      </c>
      <c r="M72" s="20">
        <f>$I$22*$M$22</f>
        <v>13760.165497396265</v>
      </c>
      <c r="N72" s="20">
        <f>$I$22*$N$22</f>
        <v>993.23527952085499</v>
      </c>
      <c r="O72" s="20">
        <f>$I$22*$O$22</f>
        <v>8590.07813089718</v>
      </c>
      <c r="P72" s="20">
        <f>$I$22*$P$22</f>
        <v>-12020.623735633097</v>
      </c>
      <c r="Q72" s="20">
        <f>$I$22*$Q$22</f>
        <v>174763.76379614111</v>
      </c>
      <c r="R72" s="20">
        <f>$I$22*$R$22</f>
        <v>5148.5178218808387</v>
      </c>
      <c r="S72" s="20">
        <f>$I$22*$S$22</f>
        <v>3879.4449221297546</v>
      </c>
      <c r="T72" s="20">
        <f>$I$22*$T$22</f>
        <v>0</v>
      </c>
      <c r="U72" s="20">
        <f>$I$22*$U$22</f>
        <v>0</v>
      </c>
      <c r="V72" s="20">
        <f>$I$22*$V$22</f>
        <v>2709.7751594049046</v>
      </c>
      <c r="X72" s="20">
        <f>$I$22*$X$22</f>
        <v>1650.4067806366081</v>
      </c>
      <c r="Y72" s="20">
        <f>$I$22*$Y$22</f>
        <v>8839.1527713800479</v>
      </c>
      <c r="Z72" s="20">
        <f>$I$22*$Z$22</f>
        <v>612.60334341161627</v>
      </c>
      <c r="AA72" s="20">
        <f>$I$22*$AA$22</f>
        <v>0</v>
      </c>
      <c r="AB72" s="20">
        <f>$I$22*$AB$22</f>
        <v>0</v>
      </c>
      <c r="AC72" s="20">
        <f>$I$22*$AC$22</f>
        <v>153234.66029014342</v>
      </c>
      <c r="AD72" s="20">
        <f>$I$22*$AD$22</f>
        <v>5151.0173726948769</v>
      </c>
      <c r="AE72" s="20">
        <f>$I$22*$AE$22</f>
        <v>4546.0739837548326</v>
      </c>
      <c r="AF72" s="20">
        <f>$I$22*$AF$22</f>
        <v>0</v>
      </c>
      <c r="AG72" s="20">
        <f>$I$22*$AG$22</f>
        <v>0</v>
      </c>
      <c r="AH72" s="20">
        <f>$I$22*$AH$22</f>
        <v>2771.7874671550289</v>
      </c>
    </row>
    <row r="73" spans="1:34" ht="11.25" customHeight="1" x14ac:dyDescent="0.3">
      <c r="A73" s="9" t="s">
        <v>22</v>
      </c>
      <c r="B73" s="9" t="s">
        <v>1359</v>
      </c>
      <c r="C73" s="9" t="s">
        <v>1360</v>
      </c>
      <c r="D73" s="9" t="s">
        <v>1361</v>
      </c>
      <c r="E73" s="9" t="s">
        <v>1362</v>
      </c>
      <c r="F73" s="9" t="s">
        <v>1363</v>
      </c>
      <c r="G73" s="9" t="s">
        <v>1364</v>
      </c>
      <c r="L73" s="20">
        <f>$I$23*$L$23</f>
        <v>0</v>
      </c>
      <c r="M73" s="20">
        <f>$I$23*$M$23</f>
        <v>0</v>
      </c>
      <c r="N73" s="20">
        <f>$I$23*$N$23</f>
        <v>0</v>
      </c>
      <c r="O73" s="20">
        <f>$I$23*$O$23</f>
        <v>0</v>
      </c>
      <c r="P73" s="20">
        <f>$I$23*$P$23</f>
        <v>0</v>
      </c>
      <c r="Q73" s="20">
        <f>$I$23*$Q$23</f>
        <v>0</v>
      </c>
      <c r="R73" s="20">
        <f>$I$23*$R$23</f>
        <v>0</v>
      </c>
      <c r="S73" s="20">
        <f>$I$23*$S$23</f>
        <v>0</v>
      </c>
      <c r="T73" s="20">
        <f>$I$23*$T$23</f>
        <v>0</v>
      </c>
      <c r="U73" s="20">
        <f>$I$23*$U$23</f>
        <v>0</v>
      </c>
      <c r="V73" s="20">
        <f>$I$23*$V$23</f>
        <v>0</v>
      </c>
      <c r="X73" s="20">
        <f>$I$23*$X$23</f>
        <v>0</v>
      </c>
      <c r="Y73" s="20">
        <f>$I$23*$Y$23</f>
        <v>0</v>
      </c>
      <c r="Z73" s="20">
        <f>$I$23*$Z$23</f>
        <v>0</v>
      </c>
      <c r="AA73" s="20">
        <f>$I$23*$AA$23</f>
        <v>0</v>
      </c>
      <c r="AB73" s="20">
        <f>$I$23*$AB$23</f>
        <v>0</v>
      </c>
      <c r="AC73" s="20">
        <f>$I$23*$AC$23</f>
        <v>0</v>
      </c>
      <c r="AD73" s="20">
        <f>$I$23*$AD$23</f>
        <v>0</v>
      </c>
      <c r="AE73" s="20">
        <f>$I$23*$AE$23</f>
        <v>0</v>
      </c>
      <c r="AF73" s="20">
        <f>$I$23*$AF$23</f>
        <v>0</v>
      </c>
      <c r="AG73" s="20">
        <f>$I$23*$AG$23</f>
        <v>0</v>
      </c>
      <c r="AH73" s="20">
        <f>$I$23*$AH$23</f>
        <v>0</v>
      </c>
    </row>
    <row r="74" spans="1:34" ht="11.25" customHeight="1" x14ac:dyDescent="0.3">
      <c r="A74" s="9" t="s">
        <v>22</v>
      </c>
      <c r="B74" s="9" t="s">
        <v>1359</v>
      </c>
      <c r="C74" s="9" t="s">
        <v>1360</v>
      </c>
      <c r="D74" s="9" t="s">
        <v>1365</v>
      </c>
      <c r="E74" s="9" t="s">
        <v>1366</v>
      </c>
      <c r="F74" s="9" t="s">
        <v>1367</v>
      </c>
      <c r="G74" s="9" t="s">
        <v>1368</v>
      </c>
      <c r="L74" s="20">
        <f>$I$24*$L$24</f>
        <v>0</v>
      </c>
      <c r="M74" s="20">
        <f>$I$24*$M$24</f>
        <v>0</v>
      </c>
      <c r="N74" s="20">
        <f>$I$24*$N$24</f>
        <v>0</v>
      </c>
      <c r="O74" s="20">
        <f>$I$24*$O$24</f>
        <v>0</v>
      </c>
      <c r="P74" s="20">
        <f>$I$24*$P$24</f>
        <v>0</v>
      </c>
      <c r="Q74" s="20">
        <f>$I$24*$Q$24</f>
        <v>0</v>
      </c>
      <c r="R74" s="20">
        <f>$I$24*$R$24</f>
        <v>0</v>
      </c>
      <c r="S74" s="20">
        <f>$I$24*$S$24</f>
        <v>0</v>
      </c>
      <c r="T74" s="20">
        <f>$I$24*$T$24</f>
        <v>0</v>
      </c>
      <c r="U74" s="20">
        <f>$I$24*$U$24</f>
        <v>0</v>
      </c>
      <c r="V74" s="20">
        <f>$I$24*$V$24</f>
        <v>0</v>
      </c>
      <c r="X74" s="20">
        <f>$I$24*$X$24</f>
        <v>0</v>
      </c>
      <c r="Y74" s="20">
        <f>$I$24*$Y$24</f>
        <v>0</v>
      </c>
      <c r="Z74" s="20">
        <f>$I$24*$Z$24</f>
        <v>0</v>
      </c>
      <c r="AA74" s="20">
        <f>$I$24*$AA$24</f>
        <v>0</v>
      </c>
      <c r="AB74" s="20">
        <f>$I$24*$AB$24</f>
        <v>0</v>
      </c>
      <c r="AC74" s="20">
        <f>$I$24*$AC$24</f>
        <v>0</v>
      </c>
      <c r="AD74" s="20">
        <f>$I$24*$AD$24</f>
        <v>0</v>
      </c>
      <c r="AE74" s="20">
        <f>$I$24*$AE$24</f>
        <v>0</v>
      </c>
      <c r="AF74" s="20">
        <f>$I$24*$AF$24</f>
        <v>0</v>
      </c>
      <c r="AG74" s="20">
        <f>$I$24*$AG$24</f>
        <v>0</v>
      </c>
      <c r="AH74" s="20">
        <f>$I$24*$AH$24</f>
        <v>0</v>
      </c>
    </row>
    <row r="75" spans="1:34" ht="11.25" customHeight="1" x14ac:dyDescent="0.3">
      <c r="A75" s="9" t="s">
        <v>22</v>
      </c>
      <c r="B75" s="9" t="s">
        <v>1359</v>
      </c>
      <c r="C75" s="9" t="s">
        <v>1360</v>
      </c>
      <c r="D75" s="9" t="s">
        <v>1369</v>
      </c>
      <c r="E75" s="9" t="s">
        <v>1370</v>
      </c>
      <c r="F75" s="9" t="s">
        <v>1371</v>
      </c>
      <c r="G75" s="9" t="s">
        <v>1372</v>
      </c>
      <c r="L75" s="20">
        <f>$I$25*$L$25</f>
        <v>0</v>
      </c>
      <c r="M75" s="20">
        <f>$I$25*$M$25</f>
        <v>0</v>
      </c>
      <c r="N75" s="20">
        <f>$I$25*$N$25</f>
        <v>0</v>
      </c>
      <c r="O75" s="20">
        <f>$I$25*$O$25</f>
        <v>0</v>
      </c>
      <c r="P75" s="20">
        <f>$I$25*$P$25</f>
        <v>0</v>
      </c>
      <c r="Q75" s="20">
        <f>$I$25*$Q$25</f>
        <v>0</v>
      </c>
      <c r="R75" s="20">
        <f>$I$25*$R$25</f>
        <v>0</v>
      </c>
      <c r="S75" s="20">
        <f>$I$25*$S$25</f>
        <v>0</v>
      </c>
      <c r="T75" s="20">
        <f>$I$25*$T$25</f>
        <v>0</v>
      </c>
      <c r="U75" s="20">
        <f>$I$25*$U$25</f>
        <v>0</v>
      </c>
      <c r="V75" s="20">
        <f>$I$25*$V$25</f>
        <v>0</v>
      </c>
      <c r="X75" s="20">
        <f>$I$25*$X$25</f>
        <v>0</v>
      </c>
      <c r="Y75" s="20">
        <f>$I$25*$Y$25</f>
        <v>0</v>
      </c>
      <c r="Z75" s="20">
        <f>$I$25*$Z$25</f>
        <v>0</v>
      </c>
      <c r="AA75" s="20">
        <f>$I$25*$AA$25</f>
        <v>0</v>
      </c>
      <c r="AB75" s="20">
        <f>$I$25*$AB$25</f>
        <v>0</v>
      </c>
      <c r="AC75" s="20">
        <f>$I$25*$AC$25</f>
        <v>0</v>
      </c>
      <c r="AD75" s="20">
        <f>$I$25*$AD$25</f>
        <v>0</v>
      </c>
      <c r="AE75" s="20">
        <f>$I$25*$AE$25</f>
        <v>0</v>
      </c>
      <c r="AF75" s="20">
        <f>$I$25*$AF$25</f>
        <v>0</v>
      </c>
      <c r="AG75" s="20">
        <f>$I$25*$AG$25</f>
        <v>0</v>
      </c>
      <c r="AH75" s="20">
        <f>$I$25*$AH$25</f>
        <v>0</v>
      </c>
    </row>
    <row r="76" spans="1:34" ht="11.25" customHeight="1" x14ac:dyDescent="0.3">
      <c r="A76" s="9" t="s">
        <v>22</v>
      </c>
      <c r="B76" s="9" t="s">
        <v>1359</v>
      </c>
      <c r="C76" s="9" t="s">
        <v>1360</v>
      </c>
      <c r="D76" s="9" t="s">
        <v>1373</v>
      </c>
      <c r="E76" s="9" t="s">
        <v>1374</v>
      </c>
      <c r="F76" s="9" t="s">
        <v>1375</v>
      </c>
      <c r="G76" s="9" t="s">
        <v>1376</v>
      </c>
      <c r="L76" s="20">
        <f>$I$26*$L$26</f>
        <v>0</v>
      </c>
      <c r="M76" s="20">
        <f>$I$26*$M$26</f>
        <v>0</v>
      </c>
      <c r="N76" s="20">
        <f>$I$26*$N$26</f>
        <v>0</v>
      </c>
      <c r="O76" s="20">
        <f>$I$26*$O$26</f>
        <v>0</v>
      </c>
      <c r="P76" s="20">
        <f>$I$26*$P$26</f>
        <v>0</v>
      </c>
      <c r="Q76" s="20">
        <f>$I$26*$Q$26</f>
        <v>0</v>
      </c>
      <c r="R76" s="20">
        <f>$I$26*$R$26</f>
        <v>0</v>
      </c>
      <c r="S76" s="20">
        <f>$I$26*$S$26</f>
        <v>0</v>
      </c>
      <c r="T76" s="20">
        <f>$I$26*$T$26</f>
        <v>0</v>
      </c>
      <c r="U76" s="20">
        <f>$I$26*$U$26</f>
        <v>0</v>
      </c>
      <c r="V76" s="20">
        <f>$I$26*$V$26</f>
        <v>0</v>
      </c>
      <c r="X76" s="20">
        <f>$I$26*$X$26</f>
        <v>0</v>
      </c>
      <c r="Y76" s="20">
        <f>$I$26*$Y$26</f>
        <v>0</v>
      </c>
      <c r="Z76" s="20">
        <f>$I$26*$Z$26</f>
        <v>0</v>
      </c>
      <c r="AA76" s="20">
        <f>$I$26*$AA$26</f>
        <v>0</v>
      </c>
      <c r="AB76" s="20">
        <f>$I$26*$AB$26</f>
        <v>0</v>
      </c>
      <c r="AC76" s="20">
        <f>$I$26*$AC$26</f>
        <v>0</v>
      </c>
      <c r="AD76" s="20">
        <f>$I$26*$AD$26</f>
        <v>0</v>
      </c>
      <c r="AE76" s="20">
        <f>$I$26*$AE$26</f>
        <v>0</v>
      </c>
      <c r="AF76" s="20">
        <f>$I$26*$AF$26</f>
        <v>0</v>
      </c>
      <c r="AG76" s="20">
        <f>$I$26*$AG$26</f>
        <v>0</v>
      </c>
      <c r="AH76" s="20">
        <f>$I$26*$AH$26</f>
        <v>0</v>
      </c>
    </row>
    <row r="77" spans="1:34" ht="11.25" customHeight="1" x14ac:dyDescent="0.3">
      <c r="A77" s="9" t="s">
        <v>22</v>
      </c>
      <c r="B77" s="9" t="s">
        <v>1359</v>
      </c>
      <c r="C77" s="9" t="s">
        <v>1360</v>
      </c>
      <c r="D77" s="9" t="s">
        <v>1377</v>
      </c>
      <c r="E77" s="9" t="s">
        <v>1378</v>
      </c>
      <c r="F77" s="9" t="s">
        <v>1379</v>
      </c>
      <c r="G77" s="9" t="s">
        <v>1380</v>
      </c>
      <c r="L77" s="20">
        <f>$I$27*$L$27</f>
        <v>0</v>
      </c>
      <c r="M77" s="20">
        <f>$I$27*$M$27</f>
        <v>0</v>
      </c>
      <c r="N77" s="20">
        <f>$I$27*$N$27</f>
        <v>0</v>
      </c>
      <c r="O77" s="20">
        <f>$I$27*$O$27</f>
        <v>0</v>
      </c>
      <c r="P77" s="20">
        <f>$I$27*$P$27</f>
        <v>0</v>
      </c>
      <c r="Q77" s="20">
        <f>$I$27*$Q$27</f>
        <v>0</v>
      </c>
      <c r="R77" s="20">
        <f>$I$27*$R$27</f>
        <v>0</v>
      </c>
      <c r="S77" s="20">
        <f>$I$27*$S$27</f>
        <v>0</v>
      </c>
      <c r="T77" s="20">
        <f>$I$27*$T$27</f>
        <v>0</v>
      </c>
      <c r="U77" s="20">
        <f>$I$27*$U$27</f>
        <v>0</v>
      </c>
      <c r="V77" s="20">
        <f>$I$27*$V$27</f>
        <v>0</v>
      </c>
      <c r="X77" s="20">
        <f>$I$27*$X$27</f>
        <v>0</v>
      </c>
      <c r="Y77" s="20">
        <f>$I$27*$Y$27</f>
        <v>0</v>
      </c>
      <c r="Z77" s="20">
        <f>$I$27*$Z$27</f>
        <v>0</v>
      </c>
      <c r="AA77" s="20">
        <f>$I$27*$AA$27</f>
        <v>0</v>
      </c>
      <c r="AB77" s="20">
        <f>$I$27*$AB$27</f>
        <v>0</v>
      </c>
      <c r="AC77" s="20">
        <f>$I$27*$AC$27</f>
        <v>0</v>
      </c>
      <c r="AD77" s="20">
        <f>$I$27*$AD$27</f>
        <v>0</v>
      </c>
      <c r="AE77" s="20">
        <f>$I$27*$AE$27</f>
        <v>0</v>
      </c>
      <c r="AF77" s="20">
        <f>$I$27*$AF$27</f>
        <v>0</v>
      </c>
      <c r="AG77" s="20">
        <f>$I$27*$AG$27</f>
        <v>0</v>
      </c>
      <c r="AH77" s="20">
        <f>$I$27*$AH$27</f>
        <v>0</v>
      </c>
    </row>
    <row r="78" spans="1:34" ht="11.25" customHeight="1" x14ac:dyDescent="0.3">
      <c r="A78" s="9" t="s">
        <v>44</v>
      </c>
      <c r="B78" s="9" t="s">
        <v>1381</v>
      </c>
      <c r="C78" s="9" t="s">
        <v>1382</v>
      </c>
      <c r="D78" s="9" t="s">
        <v>1383</v>
      </c>
      <c r="E78" s="9" t="s">
        <v>1384</v>
      </c>
      <c r="F78" s="9" t="s">
        <v>1385</v>
      </c>
      <c r="G78" s="9" t="s">
        <v>1386</v>
      </c>
      <c r="L78" s="20">
        <f>$I$28*$L$28</f>
        <v>0</v>
      </c>
      <c r="M78" s="20">
        <f>$I$28*$M$28</f>
        <v>0</v>
      </c>
      <c r="N78" s="20">
        <f>$I$28*$N$28</f>
        <v>0</v>
      </c>
      <c r="O78" s="20">
        <f>$I$28*$O$28</f>
        <v>0</v>
      </c>
      <c r="P78" s="20">
        <f>$I$28*$P$28</f>
        <v>0</v>
      </c>
      <c r="Q78" s="20">
        <f>$I$28*$Q$28</f>
        <v>0</v>
      </c>
      <c r="R78" s="20">
        <f>$I$28*$R$28</f>
        <v>0</v>
      </c>
      <c r="S78" s="20">
        <f>$I$28*$S$28</f>
        <v>0</v>
      </c>
      <c r="T78" s="20">
        <f>$I$28*$T$28</f>
        <v>0</v>
      </c>
      <c r="U78" s="20">
        <f>$I$28*$U$28</f>
        <v>0</v>
      </c>
      <c r="V78" s="20">
        <f>$I$28*$V$28</f>
        <v>0</v>
      </c>
      <c r="X78" s="20">
        <f>$I$28*$X$28</f>
        <v>0</v>
      </c>
      <c r="Y78" s="20">
        <f>$I$28*$Y$28</f>
        <v>0</v>
      </c>
      <c r="Z78" s="20">
        <f>$I$28*$Z$28</f>
        <v>0</v>
      </c>
      <c r="AA78" s="20">
        <f>$I$28*$AA$28</f>
        <v>0</v>
      </c>
      <c r="AB78" s="20">
        <f>$I$28*$AB$28</f>
        <v>0</v>
      </c>
      <c r="AC78" s="20">
        <f>$I$28*$AC$28</f>
        <v>0</v>
      </c>
      <c r="AD78" s="20">
        <f>$I$28*$AD$28</f>
        <v>0</v>
      </c>
      <c r="AE78" s="20">
        <f>$I$28*$AE$28</f>
        <v>0</v>
      </c>
      <c r="AF78" s="20">
        <f>$I$28*$AF$28</f>
        <v>0</v>
      </c>
      <c r="AG78" s="20">
        <f>$I$28*$AG$28</f>
        <v>0</v>
      </c>
      <c r="AH78" s="20">
        <f>$I$28*$AH$28</f>
        <v>0</v>
      </c>
    </row>
    <row r="79" spans="1:34" ht="11.25" customHeight="1" x14ac:dyDescent="0.3">
      <c r="A79" s="9" t="s">
        <v>44</v>
      </c>
      <c r="B79" s="9" t="s">
        <v>1381</v>
      </c>
      <c r="C79" s="9" t="s">
        <v>1382</v>
      </c>
      <c r="D79" s="9" t="s">
        <v>1383</v>
      </c>
      <c r="E79" s="9" t="s">
        <v>1384</v>
      </c>
      <c r="F79" s="9" t="s">
        <v>1385</v>
      </c>
      <c r="G79" s="9" t="s">
        <v>1387</v>
      </c>
      <c r="L79" s="20">
        <f>$I$29*$L$29</f>
        <v>0</v>
      </c>
      <c r="M79" s="20">
        <f>$I$29*$M$29</f>
        <v>0</v>
      </c>
      <c r="N79" s="20">
        <f>$I$29*$N$29</f>
        <v>0</v>
      </c>
      <c r="O79" s="20">
        <f>$I$29*$O$29</f>
        <v>0</v>
      </c>
      <c r="P79" s="20">
        <f>$I$29*$P$29</f>
        <v>0</v>
      </c>
      <c r="Q79" s="20">
        <f>$I$29*$Q$29</f>
        <v>0</v>
      </c>
      <c r="R79" s="20">
        <f>$I$29*$R$29</f>
        <v>0</v>
      </c>
      <c r="S79" s="20">
        <f>$I$29*$S$29</f>
        <v>0</v>
      </c>
      <c r="T79" s="20">
        <f>$I$29*$T$29</f>
        <v>0</v>
      </c>
      <c r="U79" s="20">
        <f>$I$29*$U$29</f>
        <v>0</v>
      </c>
      <c r="V79" s="20">
        <f>$I$29*$V$29</f>
        <v>0</v>
      </c>
      <c r="X79" s="20">
        <f>$I$29*$X$29</f>
        <v>0</v>
      </c>
      <c r="Y79" s="20">
        <f>$I$29*$Y$29</f>
        <v>0</v>
      </c>
      <c r="Z79" s="20">
        <f>$I$29*$Z$29</f>
        <v>0</v>
      </c>
      <c r="AA79" s="20">
        <f>$I$29*$AA$29</f>
        <v>0</v>
      </c>
      <c r="AB79" s="20">
        <f>$I$29*$AB$29</f>
        <v>0</v>
      </c>
      <c r="AC79" s="20">
        <f>$I$29*$AC$29</f>
        <v>0</v>
      </c>
      <c r="AD79" s="20">
        <f>$I$29*$AD$29</f>
        <v>0</v>
      </c>
      <c r="AE79" s="20">
        <f>$I$29*$AE$29</f>
        <v>0</v>
      </c>
      <c r="AF79" s="20">
        <f>$I$29*$AF$29</f>
        <v>0</v>
      </c>
      <c r="AG79" s="20">
        <f>$I$29*$AG$29</f>
        <v>0</v>
      </c>
      <c r="AH79" s="20">
        <f>$I$29*$AH$29</f>
        <v>0</v>
      </c>
    </row>
    <row r="80" spans="1:34" ht="11.25" customHeight="1" x14ac:dyDescent="0.3">
      <c r="A80" s="9" t="s">
        <v>44</v>
      </c>
      <c r="B80" s="9" t="s">
        <v>1381</v>
      </c>
      <c r="C80" s="9" t="s">
        <v>1382</v>
      </c>
      <c r="D80" s="9" t="s">
        <v>1383</v>
      </c>
      <c r="E80" s="9" t="s">
        <v>1384</v>
      </c>
      <c r="F80" s="9" t="s">
        <v>1385</v>
      </c>
      <c r="G80" s="9" t="s">
        <v>1388</v>
      </c>
      <c r="L80" s="20">
        <f>$I$30*$L$30</f>
        <v>0</v>
      </c>
      <c r="M80" s="20">
        <f>$I$30*$M$30</f>
        <v>0</v>
      </c>
      <c r="N80" s="20">
        <f>$I$30*$N$30</f>
        <v>0</v>
      </c>
      <c r="O80" s="20">
        <f>$I$30*$O$30</f>
        <v>0</v>
      </c>
      <c r="P80" s="20">
        <f>$I$30*$P$30</f>
        <v>0</v>
      </c>
      <c r="Q80" s="20">
        <f>$I$30*$Q$30</f>
        <v>0</v>
      </c>
      <c r="R80" s="20">
        <f>$I$30*$R$30</f>
        <v>0</v>
      </c>
      <c r="S80" s="20">
        <f>$I$30*$S$30</f>
        <v>0</v>
      </c>
      <c r="T80" s="20">
        <f>$I$30*$T$30</f>
        <v>0</v>
      </c>
      <c r="U80" s="20">
        <f>$I$30*$U$30</f>
        <v>0</v>
      </c>
      <c r="V80" s="20">
        <f>$I$30*$V$30</f>
        <v>0</v>
      </c>
      <c r="X80" s="20">
        <f>$I$30*$X$30</f>
        <v>0</v>
      </c>
      <c r="Y80" s="20">
        <f>$I$30*$Y$30</f>
        <v>0</v>
      </c>
      <c r="Z80" s="20">
        <f>$I$30*$Z$30</f>
        <v>0</v>
      </c>
      <c r="AA80" s="20">
        <f>$I$30*$AA$30</f>
        <v>0</v>
      </c>
      <c r="AB80" s="20">
        <f>$I$30*$AB$30</f>
        <v>0</v>
      </c>
      <c r="AC80" s="20">
        <f>$I$30*$AC$30</f>
        <v>0</v>
      </c>
      <c r="AD80" s="20">
        <f>$I$30*$AD$30</f>
        <v>0</v>
      </c>
      <c r="AE80" s="20">
        <f>$I$30*$AE$30</f>
        <v>0</v>
      </c>
      <c r="AF80" s="20">
        <f>$I$30*$AF$30</f>
        <v>0</v>
      </c>
      <c r="AG80" s="20">
        <f>$I$30*$AG$30</f>
        <v>0</v>
      </c>
      <c r="AH80" s="20">
        <f>$I$30*$AH$30</f>
        <v>0</v>
      </c>
    </row>
    <row r="81" spans="1:34" ht="11.25" customHeight="1" x14ac:dyDescent="0.3">
      <c r="A81" s="9" t="s">
        <v>44</v>
      </c>
      <c r="B81" s="9" t="s">
        <v>1389</v>
      </c>
      <c r="C81" s="9" t="s">
        <v>1390</v>
      </c>
      <c r="D81" s="9" t="s">
        <v>1391</v>
      </c>
      <c r="E81" s="9" t="s">
        <v>1392</v>
      </c>
      <c r="F81" s="9" t="s">
        <v>1393</v>
      </c>
      <c r="G81" s="9" t="s">
        <v>1394</v>
      </c>
      <c r="L81" s="20">
        <f>$I$31*$L$31</f>
        <v>9671.2687115975568</v>
      </c>
      <c r="M81" s="20">
        <f>$I$31*$M$31</f>
        <v>76997.039428536533</v>
      </c>
      <c r="N81" s="20">
        <f>$I$31*$N$31</f>
        <v>5557.79478041538</v>
      </c>
      <c r="O81" s="20">
        <f>$I$31*$O$31</f>
        <v>48067.051567370559</v>
      </c>
      <c r="P81" s="20">
        <f>$I$31*$P$31</f>
        <v>-67263.176442411175</v>
      </c>
      <c r="Q81" s="20">
        <f>$I$31*$Q$31</f>
        <v>977916.46577485977</v>
      </c>
      <c r="R81" s="20">
        <f>$I$31*$R$31</f>
        <v>28809.292286847402</v>
      </c>
      <c r="S81" s="20">
        <f>$I$31*$S$31</f>
        <v>21708.007340942404</v>
      </c>
      <c r="T81" s="20">
        <f>$I$31*$T$31</f>
        <v>0</v>
      </c>
      <c r="U81" s="20">
        <f>$I$31*$U$31</f>
        <v>0</v>
      </c>
      <c r="V81" s="20">
        <f>$I$31*$V$31</f>
        <v>15162.947337417459</v>
      </c>
      <c r="X81" s="20">
        <f>$I$31*$X$31</f>
        <v>8645.6208767554217</v>
      </c>
      <c r="Y81" s="20">
        <f>$I$31*$Y$31</f>
        <v>46303.714108346256</v>
      </c>
      <c r="Z81" s="20">
        <f>$I$31*$Z$31</f>
        <v>3209.1096068610991</v>
      </c>
      <c r="AA81" s="20">
        <f>$I$31*$AA$31</f>
        <v>0</v>
      </c>
      <c r="AB81" s="20">
        <f>$I$31*$AB$31</f>
        <v>0</v>
      </c>
      <c r="AC81" s="20">
        <f>$I$31*$AC$31</f>
        <v>802716.51424988173</v>
      </c>
      <c r="AD81" s="20">
        <f>$I$31*$AD$31</f>
        <v>26983.495133680186</v>
      </c>
      <c r="AE81" s="20">
        <f>$I$31*$AE$31</f>
        <v>23814.512035672164</v>
      </c>
      <c r="AF81" s="20">
        <f>$I$31*$AF$31</f>
        <v>0</v>
      </c>
      <c r="AG81" s="20">
        <f>$I$31*$AG$31</f>
        <v>0</v>
      </c>
      <c r="AH81" s="20">
        <f>$I$31*$AH$31</f>
        <v>14519.949792451182</v>
      </c>
    </row>
    <row r="82" spans="1:34" ht="11.25" customHeight="1" x14ac:dyDescent="0.3">
      <c r="A82" s="9" t="s">
        <v>44</v>
      </c>
      <c r="B82" s="9" t="s">
        <v>1381</v>
      </c>
      <c r="C82" s="9" t="s">
        <v>1382</v>
      </c>
      <c r="D82" s="9" t="s">
        <v>1395</v>
      </c>
      <c r="E82" s="9" t="s">
        <v>1396</v>
      </c>
      <c r="F82" s="9" t="s">
        <v>1397</v>
      </c>
      <c r="G82" s="9" t="s">
        <v>1398</v>
      </c>
      <c r="L82" s="20">
        <f>$I$32*$L$32</f>
        <v>0</v>
      </c>
      <c r="M82" s="20">
        <f>$I$32*$M$32</f>
        <v>0</v>
      </c>
      <c r="N82" s="20">
        <f>$I$32*$N$32</f>
        <v>0</v>
      </c>
      <c r="O82" s="20">
        <f>$I$32*$O$32</f>
        <v>0</v>
      </c>
      <c r="P82" s="20">
        <f>$I$32*$P$32</f>
        <v>0</v>
      </c>
      <c r="Q82" s="20">
        <f>$I$32*$Q$32</f>
        <v>0</v>
      </c>
      <c r="R82" s="20">
        <f>$I$32*$R$32</f>
        <v>0</v>
      </c>
      <c r="S82" s="20">
        <f>$I$32*$S$32</f>
        <v>0</v>
      </c>
      <c r="T82" s="20">
        <f>$I$32*$T$32</f>
        <v>0</v>
      </c>
      <c r="U82" s="20">
        <f>$I$32*$U$32</f>
        <v>0</v>
      </c>
      <c r="V82" s="20">
        <f>$I$32*$V$32</f>
        <v>0</v>
      </c>
      <c r="X82" s="20">
        <f>$I$32*$X$32</f>
        <v>0</v>
      </c>
      <c r="Y82" s="20">
        <f>$I$32*$Y$32</f>
        <v>0</v>
      </c>
      <c r="Z82" s="20">
        <f>$I$32*$Z$32</f>
        <v>0</v>
      </c>
      <c r="AA82" s="20">
        <f>$I$32*$AA$32</f>
        <v>0</v>
      </c>
      <c r="AB82" s="20">
        <f>$I$32*$AB$32</f>
        <v>0</v>
      </c>
      <c r="AC82" s="20">
        <f>$I$32*$AC$32</f>
        <v>0</v>
      </c>
      <c r="AD82" s="20">
        <f>$I$32*$AD$32</f>
        <v>0</v>
      </c>
      <c r="AE82" s="20">
        <f>$I$32*$AE$32</f>
        <v>0</v>
      </c>
      <c r="AF82" s="20">
        <f>$I$32*$AF$32</f>
        <v>0</v>
      </c>
      <c r="AG82" s="20">
        <f>$I$32*$AG$32</f>
        <v>0</v>
      </c>
      <c r="AH82" s="20">
        <f>$I$32*$AH$32</f>
        <v>0</v>
      </c>
    </row>
    <row r="83" spans="1:34" ht="11.25" customHeight="1" x14ac:dyDescent="0.3">
      <c r="A83" s="9" t="s">
        <v>44</v>
      </c>
      <c r="B83" s="9" t="s">
        <v>1381</v>
      </c>
      <c r="C83" s="9" t="s">
        <v>1382</v>
      </c>
      <c r="D83" s="9" t="s">
        <v>1395</v>
      </c>
      <c r="E83" s="9" t="s">
        <v>1396</v>
      </c>
      <c r="F83" s="9" t="s">
        <v>1397</v>
      </c>
      <c r="G83" s="9" t="s">
        <v>1399</v>
      </c>
      <c r="L83" s="20">
        <f>$I$33*$L$33</f>
        <v>0</v>
      </c>
      <c r="M83" s="20">
        <f>$I$33*$M$33</f>
        <v>0</v>
      </c>
      <c r="N83" s="20">
        <f>$I$33*$N$33</f>
        <v>0</v>
      </c>
      <c r="O83" s="20">
        <f>$I$33*$O$33</f>
        <v>0</v>
      </c>
      <c r="P83" s="20">
        <f>$I$33*$P$33</f>
        <v>0</v>
      </c>
      <c r="Q83" s="20">
        <f>$I$33*$Q$33</f>
        <v>0</v>
      </c>
      <c r="R83" s="20">
        <f>$I$33*$R$33</f>
        <v>0</v>
      </c>
      <c r="S83" s="20">
        <f>$I$33*$S$33</f>
        <v>0</v>
      </c>
      <c r="T83" s="20">
        <f>$I$33*$T$33</f>
        <v>0</v>
      </c>
      <c r="U83" s="20">
        <f>$I$33*$U$33</f>
        <v>0</v>
      </c>
      <c r="V83" s="20">
        <f>$I$33*$V$33</f>
        <v>0</v>
      </c>
      <c r="X83" s="20">
        <f>$I$33*$X$33</f>
        <v>0</v>
      </c>
      <c r="Y83" s="20">
        <f>$I$33*$Y$33</f>
        <v>0</v>
      </c>
      <c r="Z83" s="20">
        <f>$I$33*$Z$33</f>
        <v>0</v>
      </c>
      <c r="AA83" s="20">
        <f>$I$33*$AA$33</f>
        <v>0</v>
      </c>
      <c r="AB83" s="20">
        <f>$I$33*$AB$33</f>
        <v>0</v>
      </c>
      <c r="AC83" s="20">
        <f>$I$33*$AC$33</f>
        <v>0</v>
      </c>
      <c r="AD83" s="20">
        <f>$I$33*$AD$33</f>
        <v>0</v>
      </c>
      <c r="AE83" s="20">
        <f>$I$33*$AE$33</f>
        <v>0</v>
      </c>
      <c r="AF83" s="20">
        <f>$I$33*$AF$33</f>
        <v>0</v>
      </c>
      <c r="AG83" s="20">
        <f>$I$33*$AG$33</f>
        <v>0</v>
      </c>
      <c r="AH83" s="20">
        <f>$I$33*$AH$33</f>
        <v>0</v>
      </c>
    </row>
    <row r="84" spans="1:34" ht="11.25" customHeight="1" x14ac:dyDescent="0.3">
      <c r="A84" s="9" t="s">
        <v>44</v>
      </c>
      <c r="B84" s="9" t="s">
        <v>1381</v>
      </c>
      <c r="C84" s="9" t="s">
        <v>1382</v>
      </c>
      <c r="D84" s="9" t="s">
        <v>1395</v>
      </c>
      <c r="E84" s="9" t="s">
        <v>1396</v>
      </c>
      <c r="F84" s="9" t="s">
        <v>1397</v>
      </c>
      <c r="G84" s="9" t="s">
        <v>1400</v>
      </c>
      <c r="L84" s="20">
        <f>$I$34*$L$34</f>
        <v>0</v>
      </c>
      <c r="M84" s="20">
        <f>$I$34*$M$34</f>
        <v>0</v>
      </c>
      <c r="N84" s="20">
        <f>$I$34*$N$34</f>
        <v>0</v>
      </c>
      <c r="O84" s="20">
        <f>$I$34*$O$34</f>
        <v>0</v>
      </c>
      <c r="P84" s="20">
        <f>$I$34*$P$34</f>
        <v>0</v>
      </c>
      <c r="Q84" s="20">
        <f>$I$34*$Q$34</f>
        <v>0</v>
      </c>
      <c r="R84" s="20">
        <f>$I$34*$R$34</f>
        <v>0</v>
      </c>
      <c r="S84" s="20">
        <f>$I$34*$S$34</f>
        <v>0</v>
      </c>
      <c r="T84" s="20">
        <f>$I$34*$T$34</f>
        <v>0</v>
      </c>
      <c r="U84" s="20">
        <f>$I$34*$U$34</f>
        <v>0</v>
      </c>
      <c r="V84" s="20">
        <f>$I$34*$V$34</f>
        <v>0</v>
      </c>
      <c r="X84" s="20">
        <f>$I$34*$X$34</f>
        <v>0</v>
      </c>
      <c r="Y84" s="20">
        <f>$I$34*$Y$34</f>
        <v>0</v>
      </c>
      <c r="Z84" s="20">
        <f>$I$34*$Z$34</f>
        <v>0</v>
      </c>
      <c r="AA84" s="20">
        <f>$I$34*$AA$34</f>
        <v>0</v>
      </c>
      <c r="AB84" s="20">
        <f>$I$34*$AB$34</f>
        <v>0</v>
      </c>
      <c r="AC84" s="20">
        <f>$I$34*$AC$34</f>
        <v>0</v>
      </c>
      <c r="AD84" s="20">
        <f>$I$34*$AD$34</f>
        <v>0</v>
      </c>
      <c r="AE84" s="20">
        <f>$I$34*$AE$34</f>
        <v>0</v>
      </c>
      <c r="AF84" s="20">
        <f>$I$34*$AF$34</f>
        <v>0</v>
      </c>
      <c r="AG84" s="20">
        <f>$I$34*$AG$34</f>
        <v>0</v>
      </c>
      <c r="AH84" s="20">
        <f>$I$34*$AH$34</f>
        <v>0</v>
      </c>
    </row>
    <row r="85" spans="1:34" ht="11.25" customHeight="1" x14ac:dyDescent="0.3">
      <c r="A85" s="9" t="s">
        <v>44</v>
      </c>
      <c r="B85" s="9" t="s">
        <v>1389</v>
      </c>
      <c r="C85" s="9" t="s">
        <v>1390</v>
      </c>
      <c r="D85" s="9" t="s">
        <v>1401</v>
      </c>
      <c r="E85" s="9" t="s">
        <v>1402</v>
      </c>
      <c r="F85" s="9" t="s">
        <v>1403</v>
      </c>
      <c r="G85" s="9" t="s">
        <v>1404</v>
      </c>
      <c r="L85" s="20">
        <f>$I$35*$L$35</f>
        <v>0</v>
      </c>
      <c r="M85" s="20">
        <f>$I$35*$M$35</f>
        <v>0</v>
      </c>
      <c r="N85" s="20">
        <f>$I$35*$N$35</f>
        <v>0</v>
      </c>
      <c r="O85" s="20">
        <f>$I$35*$O$35</f>
        <v>0</v>
      </c>
      <c r="P85" s="20">
        <f>$I$35*$P$35</f>
        <v>0</v>
      </c>
      <c r="Q85" s="20">
        <f>$I$35*$Q$35</f>
        <v>0</v>
      </c>
      <c r="R85" s="20">
        <f>$I$35*$R$35</f>
        <v>0</v>
      </c>
      <c r="S85" s="20">
        <f>$I$35*$S$35</f>
        <v>0</v>
      </c>
      <c r="T85" s="20">
        <f>$I$35*$T$35</f>
        <v>0</v>
      </c>
      <c r="U85" s="20">
        <f>$I$35*$U$35</f>
        <v>0</v>
      </c>
      <c r="V85" s="20">
        <f>$I$35*$V$35</f>
        <v>0</v>
      </c>
      <c r="X85" s="20">
        <f>$I$35*$X$35</f>
        <v>0</v>
      </c>
      <c r="Y85" s="20">
        <f>$I$35*$Y$35</f>
        <v>0</v>
      </c>
      <c r="Z85" s="20">
        <f>$I$35*$Z$35</f>
        <v>0</v>
      </c>
      <c r="AA85" s="20">
        <f>$I$35*$AA$35</f>
        <v>0</v>
      </c>
      <c r="AB85" s="20">
        <f>$I$35*$AB$35</f>
        <v>0</v>
      </c>
      <c r="AC85" s="20">
        <f>$I$35*$AC$35</f>
        <v>0</v>
      </c>
      <c r="AD85" s="20">
        <f>$I$35*$AD$35</f>
        <v>0</v>
      </c>
      <c r="AE85" s="20">
        <f>$I$35*$AE$35</f>
        <v>0</v>
      </c>
      <c r="AF85" s="20">
        <f>$I$35*$AF$35</f>
        <v>0</v>
      </c>
      <c r="AG85" s="20">
        <f>$I$35*$AG$35</f>
        <v>0</v>
      </c>
      <c r="AH85" s="20">
        <f>$I$35*$AH$35</f>
        <v>0</v>
      </c>
    </row>
    <row r="86" spans="1:34" ht="11.25" customHeight="1" x14ac:dyDescent="0.3">
      <c r="A86" s="9" t="s">
        <v>44</v>
      </c>
      <c r="B86" s="9" t="s">
        <v>1381</v>
      </c>
      <c r="C86" s="9" t="s">
        <v>1382</v>
      </c>
      <c r="D86" s="9" t="s">
        <v>1405</v>
      </c>
      <c r="E86" s="9" t="s">
        <v>1406</v>
      </c>
      <c r="F86" s="9" t="s">
        <v>1407</v>
      </c>
      <c r="G86" s="9" t="s">
        <v>1408</v>
      </c>
      <c r="L86" s="20">
        <f>$I$36*$L$36</f>
        <v>0</v>
      </c>
      <c r="M86" s="20">
        <f>$I$36*$M$36</f>
        <v>0</v>
      </c>
      <c r="N86" s="20">
        <f>$I$36*$N$36</f>
        <v>0</v>
      </c>
      <c r="O86" s="20">
        <f>$I$36*$O$36</f>
        <v>0</v>
      </c>
      <c r="P86" s="20">
        <f>$I$36*$P$36</f>
        <v>0</v>
      </c>
      <c r="Q86" s="20">
        <f>$I$36*$Q$36</f>
        <v>0</v>
      </c>
      <c r="R86" s="20">
        <f>$I$36*$R$36</f>
        <v>0</v>
      </c>
      <c r="S86" s="20">
        <f>$I$36*$S$36</f>
        <v>0</v>
      </c>
      <c r="T86" s="20">
        <f>$I$36*$T$36</f>
        <v>0</v>
      </c>
      <c r="U86" s="20">
        <f>$I$36*$U$36</f>
        <v>0</v>
      </c>
      <c r="V86" s="20">
        <f>$I$36*$V$36</f>
        <v>0</v>
      </c>
      <c r="X86" s="20">
        <f>$I$36*$X$36</f>
        <v>0</v>
      </c>
      <c r="Y86" s="20">
        <f>$I$36*$Y$36</f>
        <v>0</v>
      </c>
      <c r="Z86" s="20">
        <f>$I$36*$Z$36</f>
        <v>0</v>
      </c>
      <c r="AA86" s="20">
        <f>$I$36*$AA$36</f>
        <v>0</v>
      </c>
      <c r="AB86" s="20">
        <f>$I$36*$AB$36</f>
        <v>0</v>
      </c>
      <c r="AC86" s="20">
        <f>$I$36*$AC$36</f>
        <v>0</v>
      </c>
      <c r="AD86" s="20">
        <f>$I$36*$AD$36</f>
        <v>0</v>
      </c>
      <c r="AE86" s="20">
        <f>$I$36*$AE$36</f>
        <v>0</v>
      </c>
      <c r="AF86" s="20">
        <f>$I$36*$AF$36</f>
        <v>0</v>
      </c>
      <c r="AG86" s="20">
        <f>$I$36*$AG$36</f>
        <v>0</v>
      </c>
      <c r="AH86" s="20">
        <f>$I$36*$AH$36</f>
        <v>0</v>
      </c>
    </row>
    <row r="87" spans="1:34" ht="11.25" customHeight="1" x14ac:dyDescent="0.3">
      <c r="A87" s="9" t="s">
        <v>44</v>
      </c>
      <c r="B87" s="9" t="s">
        <v>1381</v>
      </c>
      <c r="C87" s="9" t="s">
        <v>1382</v>
      </c>
      <c r="D87" s="9" t="s">
        <v>1405</v>
      </c>
      <c r="E87" s="9" t="s">
        <v>1406</v>
      </c>
      <c r="F87" s="9" t="s">
        <v>1407</v>
      </c>
      <c r="G87" s="9" t="s">
        <v>1409</v>
      </c>
      <c r="L87" s="20">
        <f>$I$37*$L$37</f>
        <v>0</v>
      </c>
      <c r="M87" s="20">
        <f>$I$37*$M$37</f>
        <v>0</v>
      </c>
      <c r="N87" s="20">
        <f>$I$37*$N$37</f>
        <v>0</v>
      </c>
      <c r="O87" s="20">
        <f>$I$37*$O$37</f>
        <v>0</v>
      </c>
      <c r="P87" s="20">
        <f>$I$37*$P$37</f>
        <v>0</v>
      </c>
      <c r="Q87" s="20">
        <f>$I$37*$Q$37</f>
        <v>0</v>
      </c>
      <c r="R87" s="20">
        <f>$I$37*$R$37</f>
        <v>0</v>
      </c>
      <c r="S87" s="20">
        <f>$I$37*$S$37</f>
        <v>0</v>
      </c>
      <c r="T87" s="20">
        <f>$I$37*$T$37</f>
        <v>0</v>
      </c>
      <c r="U87" s="20">
        <f>$I$37*$U$37</f>
        <v>0</v>
      </c>
      <c r="V87" s="20">
        <f>$I$37*$V$37</f>
        <v>0</v>
      </c>
      <c r="X87" s="20">
        <f>$I$37*$X$37</f>
        <v>0</v>
      </c>
      <c r="Y87" s="20">
        <f>$I$37*$Y$37</f>
        <v>0</v>
      </c>
      <c r="Z87" s="20">
        <f>$I$37*$Z$37</f>
        <v>0</v>
      </c>
      <c r="AA87" s="20">
        <f>$I$37*$AA$37</f>
        <v>0</v>
      </c>
      <c r="AB87" s="20">
        <f>$I$37*$AB$37</f>
        <v>0</v>
      </c>
      <c r="AC87" s="20">
        <f>$I$37*$AC$37</f>
        <v>0</v>
      </c>
      <c r="AD87" s="20">
        <f>$I$37*$AD$37</f>
        <v>0</v>
      </c>
      <c r="AE87" s="20">
        <f>$I$37*$AE$37</f>
        <v>0</v>
      </c>
      <c r="AF87" s="20">
        <f>$I$37*$AF$37</f>
        <v>0</v>
      </c>
      <c r="AG87" s="20">
        <f>$I$37*$AG$37</f>
        <v>0</v>
      </c>
      <c r="AH87" s="20">
        <f>$I$37*$AH$37</f>
        <v>0</v>
      </c>
    </row>
    <row r="88" spans="1:34" ht="11.25" customHeight="1" x14ac:dyDescent="0.3">
      <c r="A88" s="9" t="s">
        <v>44</v>
      </c>
      <c r="B88" s="9" t="s">
        <v>1381</v>
      </c>
      <c r="C88" s="9" t="s">
        <v>1382</v>
      </c>
      <c r="D88" s="9" t="s">
        <v>1405</v>
      </c>
      <c r="E88" s="9" t="s">
        <v>1406</v>
      </c>
      <c r="F88" s="9" t="s">
        <v>1407</v>
      </c>
      <c r="G88" s="9" t="s">
        <v>1410</v>
      </c>
      <c r="L88" s="20">
        <f>$I$38*$L$38</f>
        <v>0</v>
      </c>
      <c r="M88" s="20">
        <f>$I$38*$M$38</f>
        <v>0</v>
      </c>
      <c r="N88" s="20">
        <f>$I$38*$N$38</f>
        <v>0</v>
      </c>
      <c r="O88" s="20">
        <f>$I$38*$O$38</f>
        <v>0</v>
      </c>
      <c r="P88" s="20">
        <f>$I$38*$P$38</f>
        <v>0</v>
      </c>
      <c r="Q88" s="20">
        <f>$I$38*$Q$38</f>
        <v>0</v>
      </c>
      <c r="R88" s="20">
        <f>$I$38*$R$38</f>
        <v>0</v>
      </c>
      <c r="S88" s="20">
        <f>$I$38*$S$38</f>
        <v>0</v>
      </c>
      <c r="T88" s="20">
        <f>$I$38*$T$38</f>
        <v>0</v>
      </c>
      <c r="U88" s="20">
        <f>$I$38*$U$38</f>
        <v>0</v>
      </c>
      <c r="V88" s="20">
        <f>$I$38*$V$38</f>
        <v>0</v>
      </c>
      <c r="X88" s="20">
        <f>$I$38*$X$38</f>
        <v>0</v>
      </c>
      <c r="Y88" s="20">
        <f>$I$38*$Y$38</f>
        <v>0</v>
      </c>
      <c r="Z88" s="20">
        <f>$I$38*$Z$38</f>
        <v>0</v>
      </c>
      <c r="AA88" s="20">
        <f>$I$38*$AA$38</f>
        <v>0</v>
      </c>
      <c r="AB88" s="20">
        <f>$I$38*$AB$38</f>
        <v>0</v>
      </c>
      <c r="AC88" s="20">
        <f>$I$38*$AC$38</f>
        <v>0</v>
      </c>
      <c r="AD88" s="20">
        <f>$I$38*$AD$38</f>
        <v>0</v>
      </c>
      <c r="AE88" s="20">
        <f>$I$38*$AE$38</f>
        <v>0</v>
      </c>
      <c r="AF88" s="20">
        <f>$I$38*$AF$38</f>
        <v>0</v>
      </c>
      <c r="AG88" s="20">
        <f>$I$38*$AG$38</f>
        <v>0</v>
      </c>
      <c r="AH88" s="20">
        <f>$I$38*$AH$38</f>
        <v>0</v>
      </c>
    </row>
    <row r="89" spans="1:34" ht="11.25" customHeight="1" x14ac:dyDescent="0.3">
      <c r="A89" s="9" t="s">
        <v>44</v>
      </c>
      <c r="B89" s="9" t="s">
        <v>1389</v>
      </c>
      <c r="C89" s="9" t="s">
        <v>1390</v>
      </c>
      <c r="D89" s="9" t="s">
        <v>1411</v>
      </c>
      <c r="E89" s="9" t="s">
        <v>1412</v>
      </c>
      <c r="F89" s="9" t="s">
        <v>1413</v>
      </c>
      <c r="G89" s="9" t="s">
        <v>1414</v>
      </c>
      <c r="L89" s="20">
        <f>$I$39*$L$39</f>
        <v>0</v>
      </c>
      <c r="M89" s="20">
        <f>$I$39*$M$39</f>
        <v>0</v>
      </c>
      <c r="N89" s="20">
        <f>$I$39*$N$39</f>
        <v>0</v>
      </c>
      <c r="O89" s="20">
        <f>$I$39*$O$39</f>
        <v>0</v>
      </c>
      <c r="P89" s="20">
        <f>$I$39*$P$39</f>
        <v>0</v>
      </c>
      <c r="Q89" s="20">
        <f>$I$39*$Q$39</f>
        <v>0</v>
      </c>
      <c r="R89" s="20">
        <f>$I$39*$R$39</f>
        <v>0</v>
      </c>
      <c r="S89" s="20">
        <f>$I$39*$S$39</f>
        <v>0</v>
      </c>
      <c r="T89" s="20">
        <f>$I$39*$T$39</f>
        <v>0</v>
      </c>
      <c r="U89" s="20">
        <f>$I$39*$U$39</f>
        <v>0</v>
      </c>
      <c r="V89" s="20">
        <f>$I$39*$V$39</f>
        <v>0</v>
      </c>
      <c r="X89" s="20">
        <f>$I$39*$X$39</f>
        <v>0</v>
      </c>
      <c r="Y89" s="20">
        <f>$I$39*$Y$39</f>
        <v>0</v>
      </c>
      <c r="Z89" s="20">
        <f>$I$39*$Z$39</f>
        <v>0</v>
      </c>
      <c r="AA89" s="20">
        <f>$I$39*$AA$39</f>
        <v>0</v>
      </c>
      <c r="AB89" s="20">
        <f>$I$39*$AB$39</f>
        <v>0</v>
      </c>
      <c r="AC89" s="20">
        <f>$I$39*$AC$39</f>
        <v>0</v>
      </c>
      <c r="AD89" s="20">
        <f>$I$39*$AD$39</f>
        <v>0</v>
      </c>
      <c r="AE89" s="20">
        <f>$I$39*$AE$39</f>
        <v>0</v>
      </c>
      <c r="AF89" s="20">
        <f>$I$39*$AF$39</f>
        <v>0</v>
      </c>
      <c r="AG89" s="20">
        <f>$I$39*$AG$39</f>
        <v>0</v>
      </c>
      <c r="AH89" s="20">
        <f>$I$39*$AH$39</f>
        <v>0</v>
      </c>
    </row>
    <row r="90" spans="1:34" ht="11.25" customHeight="1" x14ac:dyDescent="0.3">
      <c r="A90" s="9" t="s">
        <v>44</v>
      </c>
      <c r="B90" s="9" t="s">
        <v>1415</v>
      </c>
      <c r="C90" s="9" t="s">
        <v>1416</v>
      </c>
      <c r="D90" s="9" t="s">
        <v>1417</v>
      </c>
      <c r="E90" s="9" t="s">
        <v>1418</v>
      </c>
      <c r="F90" s="9" t="s">
        <v>1419</v>
      </c>
      <c r="G90" s="9" t="s">
        <v>1420</v>
      </c>
      <c r="L90" s="20">
        <f>$I$40*$L$40</f>
        <v>0</v>
      </c>
      <c r="M90" s="20">
        <f>$I$40*$M$40</f>
        <v>0</v>
      </c>
      <c r="N90" s="20">
        <f>$I$40*$N$40</f>
        <v>0</v>
      </c>
      <c r="O90" s="20">
        <f>$I$40*$O$40</f>
        <v>0</v>
      </c>
      <c r="P90" s="20">
        <f>$I$40*$P$40</f>
        <v>0</v>
      </c>
      <c r="Q90" s="20">
        <f>$I$40*$Q$40</f>
        <v>0</v>
      </c>
      <c r="R90" s="20">
        <f>$I$40*$R$40</f>
        <v>0</v>
      </c>
      <c r="S90" s="20">
        <f>$I$40*$S$40</f>
        <v>0</v>
      </c>
      <c r="T90" s="20">
        <f>$I$40*$T$40</f>
        <v>0</v>
      </c>
      <c r="U90" s="20">
        <f>$I$40*$U$40</f>
        <v>0</v>
      </c>
      <c r="V90" s="20">
        <f>$I$40*$V$40</f>
        <v>0</v>
      </c>
      <c r="X90" s="20">
        <f>$I$40*$X$40</f>
        <v>0</v>
      </c>
      <c r="Y90" s="20">
        <f>$I$40*$Y$40</f>
        <v>0</v>
      </c>
      <c r="Z90" s="20">
        <f>$I$40*$Z$40</f>
        <v>0</v>
      </c>
      <c r="AA90" s="20">
        <f>$I$40*$AA$40</f>
        <v>0</v>
      </c>
      <c r="AB90" s="20">
        <f>$I$40*$AB$40</f>
        <v>0</v>
      </c>
      <c r="AC90" s="20">
        <f>$I$40*$AC$40</f>
        <v>0</v>
      </c>
      <c r="AD90" s="20">
        <f>$I$40*$AD$40</f>
        <v>0</v>
      </c>
      <c r="AE90" s="20">
        <f>$I$40*$AE$40</f>
        <v>0</v>
      </c>
      <c r="AF90" s="20">
        <f>$I$40*$AF$40</f>
        <v>0</v>
      </c>
      <c r="AG90" s="20">
        <f>$I$40*$AG$40</f>
        <v>0</v>
      </c>
      <c r="AH90" s="20">
        <f>$I$40*$AH$40</f>
        <v>0</v>
      </c>
    </row>
    <row r="91" spans="1:34" ht="11.25" customHeight="1" x14ac:dyDescent="0.3">
      <c r="A91" s="9" t="s">
        <v>44</v>
      </c>
      <c r="B91" s="9" t="s">
        <v>1415</v>
      </c>
      <c r="C91" s="9" t="s">
        <v>1416</v>
      </c>
      <c r="D91" s="9" t="s">
        <v>1421</v>
      </c>
      <c r="E91" s="9" t="s">
        <v>1422</v>
      </c>
      <c r="F91" s="9" t="s">
        <v>1423</v>
      </c>
      <c r="G91" s="9" t="s">
        <v>1424</v>
      </c>
      <c r="L91" s="20">
        <f>$I$41*$L$41</f>
        <v>0</v>
      </c>
      <c r="M91" s="20">
        <f>$I$41*$M$41</f>
        <v>0</v>
      </c>
      <c r="N91" s="20">
        <f>$I$41*$N$41</f>
        <v>0</v>
      </c>
      <c r="O91" s="20">
        <f>$I$41*$O$41</f>
        <v>0</v>
      </c>
      <c r="P91" s="20">
        <f>$I$41*$P$41</f>
        <v>0</v>
      </c>
      <c r="Q91" s="20">
        <f>$I$41*$Q$41</f>
        <v>0</v>
      </c>
      <c r="R91" s="20">
        <f>$I$41*$R$41</f>
        <v>0</v>
      </c>
      <c r="S91" s="20">
        <f>$I$41*$S$41</f>
        <v>0</v>
      </c>
      <c r="T91" s="20">
        <f>$I$41*$T$41</f>
        <v>0</v>
      </c>
      <c r="U91" s="20">
        <f>$I$41*$U$41</f>
        <v>0</v>
      </c>
      <c r="V91" s="20">
        <f>$I$41*$V$41</f>
        <v>0</v>
      </c>
      <c r="X91" s="20">
        <f>$I$41*$X$41</f>
        <v>0</v>
      </c>
      <c r="Y91" s="20">
        <f>$I$41*$Y$41</f>
        <v>0</v>
      </c>
      <c r="Z91" s="20">
        <f>$I$41*$Z$41</f>
        <v>0</v>
      </c>
      <c r="AA91" s="20">
        <f>$I$41*$AA$41</f>
        <v>0</v>
      </c>
      <c r="AB91" s="20">
        <f>$I$41*$AB$41</f>
        <v>0</v>
      </c>
      <c r="AC91" s="20">
        <f>$I$41*$AC$41</f>
        <v>0</v>
      </c>
      <c r="AD91" s="20">
        <f>$I$41*$AD$41</f>
        <v>0</v>
      </c>
      <c r="AE91" s="20">
        <f>$I$41*$AE$41</f>
        <v>0</v>
      </c>
      <c r="AF91" s="20">
        <f>$I$41*$AF$41</f>
        <v>0</v>
      </c>
      <c r="AG91" s="20">
        <f>$I$41*$AG$41</f>
        <v>0</v>
      </c>
      <c r="AH91" s="20">
        <f>$I$41*$AH$41</f>
        <v>0</v>
      </c>
    </row>
    <row r="92" spans="1:34" ht="11.25" customHeight="1" x14ac:dyDescent="0.3">
      <c r="A92" s="9" t="s">
        <v>44</v>
      </c>
      <c r="B92" s="9" t="s">
        <v>1415</v>
      </c>
      <c r="C92" s="9" t="s">
        <v>1416</v>
      </c>
      <c r="D92" s="9" t="s">
        <v>1425</v>
      </c>
      <c r="E92" s="9" t="s">
        <v>1426</v>
      </c>
      <c r="F92" s="9" t="s">
        <v>1427</v>
      </c>
      <c r="G92" s="9" t="s">
        <v>1428</v>
      </c>
      <c r="L92" s="20">
        <f>$I$42*$L$42</f>
        <v>0</v>
      </c>
      <c r="M92" s="20">
        <f>$I$42*$M$42</f>
        <v>0</v>
      </c>
      <c r="N92" s="20">
        <f>$I$42*$N$42</f>
        <v>0</v>
      </c>
      <c r="O92" s="20">
        <f>$I$42*$O$42</f>
        <v>0</v>
      </c>
      <c r="P92" s="20">
        <f>$I$42*$P$42</f>
        <v>0</v>
      </c>
      <c r="Q92" s="20">
        <f>$I$42*$Q$42</f>
        <v>0</v>
      </c>
      <c r="R92" s="20">
        <f>$I$42*$R$42</f>
        <v>0</v>
      </c>
      <c r="S92" s="20">
        <f>$I$42*$S$42</f>
        <v>0</v>
      </c>
      <c r="T92" s="20">
        <f>$I$42*$T$42</f>
        <v>0</v>
      </c>
      <c r="U92" s="20">
        <f>$I$42*$U$42</f>
        <v>0</v>
      </c>
      <c r="V92" s="20">
        <f>$I$42*$V$42</f>
        <v>0</v>
      </c>
      <c r="X92" s="20">
        <f>$I$42*$X$42</f>
        <v>0</v>
      </c>
      <c r="Y92" s="20">
        <f>$I$42*$Y$42</f>
        <v>0</v>
      </c>
      <c r="Z92" s="20">
        <f>$I$42*$Z$42</f>
        <v>0</v>
      </c>
      <c r="AA92" s="20">
        <f>$I$42*$AA$42</f>
        <v>0</v>
      </c>
      <c r="AB92" s="20">
        <f>$I$42*$AB$42</f>
        <v>0</v>
      </c>
      <c r="AC92" s="20">
        <f>$I$42*$AC$42</f>
        <v>0</v>
      </c>
      <c r="AD92" s="20">
        <f>$I$42*$AD$42</f>
        <v>0</v>
      </c>
      <c r="AE92" s="20">
        <f>$I$42*$AE$42</f>
        <v>0</v>
      </c>
      <c r="AF92" s="20">
        <f>$I$42*$AF$42</f>
        <v>0</v>
      </c>
      <c r="AG92" s="20">
        <f>$I$42*$AG$42</f>
        <v>0</v>
      </c>
      <c r="AH92" s="20">
        <f>$I$42*$AH$42</f>
        <v>0</v>
      </c>
    </row>
    <row r="93" spans="1:34" ht="11.25" customHeight="1" x14ac:dyDescent="0.3">
      <c r="A93" s="9" t="s">
        <v>37</v>
      </c>
      <c r="B93" s="9" t="s">
        <v>1429</v>
      </c>
      <c r="C93" s="9" t="s">
        <v>1430</v>
      </c>
      <c r="D93" s="9" t="s">
        <v>1431</v>
      </c>
      <c r="E93" s="9" t="s">
        <v>1432</v>
      </c>
      <c r="F93" s="9" t="s">
        <v>1433</v>
      </c>
      <c r="G93" s="9" t="s">
        <v>1434</v>
      </c>
      <c r="L93" s="20">
        <f>$I$43*$L$43</f>
        <v>60.801467077366027</v>
      </c>
      <c r="M93" s="20">
        <f>$I$43*$M$43</f>
        <v>484.06606180374604</v>
      </c>
      <c r="N93" s="20">
        <f>$I$43*$N$43</f>
        <v>34.940821772323872</v>
      </c>
      <c r="O93" s="20">
        <f>$I$43*$O$43</f>
        <v>302.18861046378407</v>
      </c>
      <c r="P93" s="20">
        <f>$I$43*$P$43</f>
        <v>-422.87107616791315</v>
      </c>
      <c r="Q93" s="20">
        <f>$I$43*$Q$43</f>
        <v>9975.9657325826538</v>
      </c>
      <c r="R93" s="20">
        <f>$I$43*$R$43</f>
        <v>181.11866071929461</v>
      </c>
      <c r="S93" s="20">
        <f>$I$43*$S$43</f>
        <v>136.47420343855842</v>
      </c>
      <c r="T93" s="20">
        <f>$I$43*$T$43</f>
        <v>0</v>
      </c>
      <c r="U93" s="20">
        <f>$I$43*$U$43</f>
        <v>0</v>
      </c>
      <c r="V93" s="20">
        <f>$I$43*$V$43</f>
        <v>95.326628886473472</v>
      </c>
      <c r="X93" s="20">
        <f>$I$43*$X$43</f>
        <v>58.05932427398006</v>
      </c>
      <c r="Y93" s="20">
        <f>$I$43*$Y$43</f>
        <v>310.95075655399933</v>
      </c>
      <c r="Z93" s="20">
        <f>$I$43*$Z$43</f>
        <v>21.550648351517363</v>
      </c>
      <c r="AA93" s="20">
        <f>$I$43*$AA$43</f>
        <v>0</v>
      </c>
      <c r="AB93" s="20">
        <f>$I$43*$AB$43</f>
        <v>0</v>
      </c>
      <c r="AC93" s="20">
        <f>$I$43*$AC$43</f>
        <v>8747.0290573598122</v>
      </c>
      <c r="AD93" s="20">
        <f>$I$43*$AD$43</f>
        <v>181.20659190871663</v>
      </c>
      <c r="AE93" s="20">
        <f>$I$43*$AE$43</f>
        <v>159.9254115367342</v>
      </c>
      <c r="AF93" s="20">
        <f>$I$43*$AF$43</f>
        <v>0</v>
      </c>
      <c r="AG93" s="20">
        <f>$I$43*$AG$43</f>
        <v>0</v>
      </c>
      <c r="AH93" s="20">
        <f>$I$43*$AH$43</f>
        <v>97.508147241150567</v>
      </c>
    </row>
    <row r="94" spans="1:34" ht="11.25" customHeight="1" x14ac:dyDescent="0.3">
      <c r="A94" s="9" t="s">
        <v>37</v>
      </c>
      <c r="B94" s="9" t="s">
        <v>1429</v>
      </c>
      <c r="C94" s="9" t="s">
        <v>1430</v>
      </c>
      <c r="D94" s="9" t="s">
        <v>1431</v>
      </c>
      <c r="E94" s="9" t="s">
        <v>1432</v>
      </c>
      <c r="F94" s="9" t="s">
        <v>1433</v>
      </c>
      <c r="G94" s="9" t="s">
        <v>1435</v>
      </c>
      <c r="L94" s="20">
        <f>$I$44*$L$44</f>
        <v>66.766832306067741</v>
      </c>
      <c r="M94" s="20">
        <f>$I$44*$M$44</f>
        <v>531.55884433486995</v>
      </c>
      <c r="N94" s="20">
        <f>$I$44*$N$44</f>
        <v>38.368942396414475</v>
      </c>
      <c r="O94" s="20">
        <f>$I$44*$O$44</f>
        <v>331.83699751794126</v>
      </c>
      <c r="P94" s="20">
        <f>$I$44*$P$44</f>
        <v>-464.35988450186204</v>
      </c>
      <c r="Q94" s="20">
        <f>$I$44*$Q$44</f>
        <v>6369.0288376164317</v>
      </c>
      <c r="R94" s="20">
        <f>$I$44*$R$44</f>
        <v>198.88860958498748</v>
      </c>
      <c r="S94" s="20">
        <f>$I$44*$S$44</f>
        <v>149.86398672736007</v>
      </c>
      <c r="T94" s="20">
        <f>$I$44*$T$44</f>
        <v>0</v>
      </c>
      <c r="U94" s="20">
        <f>$I$44*$U$44</f>
        <v>0</v>
      </c>
      <c r="V94" s="20">
        <f>$I$44*$V$44</f>
        <v>104.67933342903227</v>
      </c>
      <c r="X94" s="20">
        <f>$I$44*$X$44</f>
        <v>63.755651860701207</v>
      </c>
      <c r="Y94" s="20">
        <f>$I$44*$Y$44</f>
        <v>341.4588169701309</v>
      </c>
      <c r="Z94" s="20">
        <f>$I$44*$Z$44</f>
        <v>23.665029706305038</v>
      </c>
      <c r="AA94" s="20">
        <f>$I$44*$AA$44</f>
        <v>0</v>
      </c>
      <c r="AB94" s="20">
        <f>$I$44*$AB$44</f>
        <v>0</v>
      </c>
      <c r="AC94" s="20">
        <f>$I$44*$AC$44</f>
        <v>5584.4297988953704</v>
      </c>
      <c r="AD94" s="20">
        <f>$I$44*$AD$44</f>
        <v>198.98516789617332</v>
      </c>
      <c r="AE94" s="20">
        <f>$I$44*$AE$44</f>
        <v>175.61604426362422</v>
      </c>
      <c r="AF94" s="20">
        <f>$I$44*$AF$44</f>
        <v>0</v>
      </c>
      <c r="AG94" s="20">
        <f>$I$44*$AG$44</f>
        <v>0</v>
      </c>
      <c r="AH94" s="20">
        <f>$I$44*$AH$44</f>
        <v>107.07488533198224</v>
      </c>
    </row>
    <row r="95" spans="1:34" ht="11.25" customHeight="1" x14ac:dyDescent="0.3">
      <c r="A95" s="9" t="s">
        <v>37</v>
      </c>
      <c r="B95" s="9" t="s">
        <v>1429</v>
      </c>
      <c r="C95" s="9" t="s">
        <v>1430</v>
      </c>
      <c r="D95" s="9" t="s">
        <v>1431</v>
      </c>
      <c r="E95" s="9" t="s">
        <v>1432</v>
      </c>
      <c r="F95" s="9" t="s">
        <v>1433</v>
      </c>
      <c r="G95" s="9" t="s">
        <v>1436</v>
      </c>
      <c r="L95" s="20">
        <f>$I$45*$L$45</f>
        <v>1265.5189711777562</v>
      </c>
      <c r="M95" s="20">
        <f>$I$45*$M$45</f>
        <v>10075.329000473896</v>
      </c>
      <c r="N95" s="20">
        <f>$I$45*$N$45</f>
        <v>727.25667565145568</v>
      </c>
      <c r="O95" s="20">
        <f>$I$45*$O$45</f>
        <v>6289.7399980357632</v>
      </c>
      <c r="P95" s="20">
        <f>$I$45*$P$45</f>
        <v>-8801.6193519130338</v>
      </c>
      <c r="Q95" s="20">
        <f>$I$45*$Q$45</f>
        <v>120720.52160619438</v>
      </c>
      <c r="R95" s="20">
        <f>$I$45*$R$45</f>
        <v>3769.7955689608721</v>
      </c>
      <c r="S95" s="20">
        <f>$I$45*$S$45</f>
        <v>2840.5678650501113</v>
      </c>
      <c r="T95" s="20">
        <f>$I$45*$T$45</f>
        <v>0</v>
      </c>
      <c r="U95" s="20">
        <f>$I$45*$U$45</f>
        <v>0</v>
      </c>
      <c r="V95" s="20">
        <f>$I$45*$V$45</f>
        <v>1984.1241192543903</v>
      </c>
      <c r="X95" s="20">
        <f>$I$45*$X$45</f>
        <v>1208.4441355500592</v>
      </c>
      <c r="Y95" s="20">
        <f>$I$45*$Y$45</f>
        <v>6472.1149083531209</v>
      </c>
      <c r="Z95" s="20">
        <f>$I$45*$Z$45</f>
        <v>448.55421490608114</v>
      </c>
      <c r="AA95" s="20">
        <f>$I$45*$AA$45</f>
        <v>0</v>
      </c>
      <c r="AB95" s="20">
        <f>$I$45*$AB$45</f>
        <v>0</v>
      </c>
      <c r="AC95" s="20">
        <f>$I$45*$AC$45</f>
        <v>105848.99132724332</v>
      </c>
      <c r="AD95" s="20">
        <f>$I$45*$AD$45</f>
        <v>3771.625764739375</v>
      </c>
      <c r="AE95" s="20">
        <f>$I$45*$AE$45</f>
        <v>3328.6802441069449</v>
      </c>
      <c r="AF95" s="20">
        <f>$I$45*$AF$45</f>
        <v>0</v>
      </c>
      <c r="AG95" s="20">
        <f>$I$45*$AG$45</f>
        <v>0</v>
      </c>
      <c r="AH95" s="20">
        <f>$I$45*$AH$45</f>
        <v>2029.5301430975892</v>
      </c>
    </row>
    <row r="96" spans="1:34" ht="11.25" customHeight="1" x14ac:dyDescent="0.3">
      <c r="A96" s="9" t="s">
        <v>37</v>
      </c>
      <c r="B96" s="9" t="s">
        <v>1437</v>
      </c>
      <c r="C96" s="9" t="s">
        <v>1438</v>
      </c>
      <c r="D96" s="9" t="s">
        <v>1439</v>
      </c>
      <c r="E96" s="9" t="s">
        <v>1440</v>
      </c>
      <c r="F96" s="9" t="s">
        <v>1441</v>
      </c>
      <c r="G96" s="9" t="s">
        <v>1442</v>
      </c>
      <c r="L96" s="20">
        <f>$I$46*$L$46</f>
        <v>130153.76446749886</v>
      </c>
      <c r="M96" s="20">
        <f>$I$46*$M$46</f>
        <v>1036208.8815150979</v>
      </c>
      <c r="N96" s="20">
        <f>$I$46*$N$46</f>
        <v>74795.555203779251</v>
      </c>
      <c r="O96" s="20">
        <f>$I$46*$O$46</f>
        <v>646875.59563353821</v>
      </c>
      <c r="P96" s="20">
        <f>$I$46*$P$46</f>
        <v>-905212.73734470294</v>
      </c>
      <c r="Q96" s="20">
        <f>$I$46*$Q$46</f>
        <v>13160580.39031833</v>
      </c>
      <c r="R96" s="20">
        <f>$I$46*$R$46</f>
        <v>387708.99192173115</v>
      </c>
      <c r="S96" s="20">
        <f>$I$46*$S$46</f>
        <v>292141.49236941652</v>
      </c>
      <c r="T96" s="20">
        <f>$I$46*$T$46</f>
        <v>0</v>
      </c>
      <c r="U96" s="20">
        <f>$I$46*$U$46</f>
        <v>0</v>
      </c>
      <c r="V96" s="20">
        <f>$I$46*$V$46</f>
        <v>204059.54329660279</v>
      </c>
      <c r="X96" s="20">
        <f>$I$46*$X$46</f>
        <v>124283.83688640922</v>
      </c>
      <c r="Y96" s="20">
        <f>$I$46*$Y$46</f>
        <v>665632.15453374654</v>
      </c>
      <c r="Z96" s="20">
        <f>$I$46*$Z$46</f>
        <v>46132.07780161337</v>
      </c>
      <c r="AA96" s="20">
        <f>$I$46*$AA$46</f>
        <v>0</v>
      </c>
      <c r="AB96" s="20">
        <f>$I$46*$AB$46</f>
        <v>0</v>
      </c>
      <c r="AC96" s="20">
        <f>$I$46*$AC$46</f>
        <v>11539331.847327044</v>
      </c>
      <c r="AD96" s="20">
        <f>$I$46*$AD$46</f>
        <v>387897.22052652476</v>
      </c>
      <c r="AE96" s="20">
        <f>$I$46*$AE$46</f>
        <v>342341.97538415133</v>
      </c>
      <c r="AF96" s="20">
        <f>$I$46*$AF$46</f>
        <v>0</v>
      </c>
      <c r="AG96" s="20">
        <f>$I$46*$AG$46</f>
        <v>0</v>
      </c>
      <c r="AH96" s="20">
        <f>$I$46*$AH$46</f>
        <v>208729.37841349037</v>
      </c>
    </row>
    <row r="97" spans="1:34" ht="11.25" customHeight="1" x14ac:dyDescent="0.3">
      <c r="A97" s="9" t="s">
        <v>37</v>
      </c>
      <c r="B97" s="9" t="s">
        <v>1443</v>
      </c>
      <c r="C97" s="9" t="s">
        <v>1444</v>
      </c>
      <c r="D97" s="9" t="s">
        <v>1445</v>
      </c>
      <c r="E97" s="9" t="s">
        <v>1446</v>
      </c>
      <c r="F97" s="9" t="s">
        <v>1447</v>
      </c>
      <c r="G97" s="9" t="s">
        <v>1448</v>
      </c>
      <c r="L97" s="20">
        <f>$I$47*$L$47</f>
        <v>0</v>
      </c>
      <c r="M97" s="20">
        <f>$I$47*$M$47</f>
        <v>0</v>
      </c>
      <c r="N97" s="20">
        <f>$I$47*$N$47</f>
        <v>0</v>
      </c>
      <c r="O97" s="20">
        <f>$I$47*$O$47</f>
        <v>0</v>
      </c>
      <c r="P97" s="20">
        <f>$I$47*$P$47</f>
        <v>0</v>
      </c>
      <c r="Q97" s="20">
        <f>$I$47*$Q$47</f>
        <v>0</v>
      </c>
      <c r="R97" s="20">
        <f>$I$47*$R$47</f>
        <v>0</v>
      </c>
      <c r="S97" s="20">
        <f>$I$47*$S$47</f>
        <v>0</v>
      </c>
      <c r="T97" s="20">
        <f>$I$47*$T$47</f>
        <v>0</v>
      </c>
      <c r="U97" s="20">
        <f>$I$47*$U$47</f>
        <v>0</v>
      </c>
      <c r="V97" s="20">
        <f>$I$47*$V$47</f>
        <v>0</v>
      </c>
      <c r="X97" s="20">
        <f>$I$47*$X$47</f>
        <v>0</v>
      </c>
      <c r="Y97" s="20">
        <f>$I$47*$Y$47</f>
        <v>0</v>
      </c>
      <c r="Z97" s="20">
        <f>$I$47*$Z$47</f>
        <v>0</v>
      </c>
      <c r="AA97" s="20">
        <f>$I$47*$AA$47</f>
        <v>0</v>
      </c>
      <c r="AB97" s="20">
        <f>$I$47*$AB$47</f>
        <v>0</v>
      </c>
      <c r="AC97" s="20">
        <f>$I$47*$AC$47</f>
        <v>0</v>
      </c>
      <c r="AD97" s="20">
        <f>$I$47*$AD$47</f>
        <v>0</v>
      </c>
      <c r="AE97" s="20">
        <f>$I$47*$AE$47</f>
        <v>0</v>
      </c>
      <c r="AF97" s="20">
        <f>$I$47*$AF$47</f>
        <v>0</v>
      </c>
      <c r="AG97" s="20">
        <f>$I$47*$AG$47</f>
        <v>0</v>
      </c>
      <c r="AH97" s="20">
        <f>$I$47*$AH$47</f>
        <v>0</v>
      </c>
    </row>
    <row r="98" spans="1:34" ht="11.25" customHeight="1" x14ac:dyDescent="0.3">
      <c r="A98" s="9" t="s">
        <v>47</v>
      </c>
      <c r="B98" s="9" t="s">
        <v>1449</v>
      </c>
      <c r="C98" s="9" t="s">
        <v>1450</v>
      </c>
      <c r="D98" s="9" t="s">
        <v>1451</v>
      </c>
      <c r="E98" s="9" t="s">
        <v>1452</v>
      </c>
      <c r="F98" s="9" t="s">
        <v>1453</v>
      </c>
      <c r="G98" s="9" t="s">
        <v>1454</v>
      </c>
      <c r="L98" s="20">
        <f>$I$48*$L$48</f>
        <v>29472.09343727104</v>
      </c>
      <c r="M98" s="20">
        <f>$I$48*$M$48</f>
        <v>234639.73632640598</v>
      </c>
      <c r="N98" s="20">
        <f>$I$48*$N$48</f>
        <v>16936.748627111818</v>
      </c>
      <c r="O98" s="20">
        <f>$I$48*$O$48</f>
        <v>146478.88268773604</v>
      </c>
      <c r="P98" s="20">
        <f>$I$48*$P$48</f>
        <v>-204976.89394372419</v>
      </c>
      <c r="Q98" s="20">
        <f>$I$48*$Q$48</f>
        <v>2980089.4083938319</v>
      </c>
      <c r="R98" s="20">
        <f>$I$48*$R$48</f>
        <v>87793.047578280355</v>
      </c>
      <c r="S98" s="20">
        <f>$I$48*$S$48</f>
        <v>66152.687901434358</v>
      </c>
      <c r="T98" s="20">
        <f>$I$48*$T$48</f>
        <v>0</v>
      </c>
      <c r="U98" s="20">
        <f>$I$48*$U$48</f>
        <v>0</v>
      </c>
      <c r="V98" s="20">
        <f>$I$48*$V$48</f>
        <v>46207.360589298383</v>
      </c>
      <c r="X98" s="20">
        <f>$I$48*$X$48</f>
        <v>28142.903652805802</v>
      </c>
      <c r="Y98" s="20">
        <f>$I$48*$Y$48</f>
        <v>150726.12869502782</v>
      </c>
      <c r="Z98" s="20">
        <f>$I$48*$Z$48</f>
        <v>10446.174284602563</v>
      </c>
      <c r="AA98" s="20">
        <f>$I$48*$AA$48</f>
        <v>0</v>
      </c>
      <c r="AB98" s="20">
        <f>$I$48*$AB$48</f>
        <v>0</v>
      </c>
      <c r="AC98" s="20">
        <f>$I$48*$AC$48</f>
        <v>2612972.9539480559</v>
      </c>
      <c r="AD98" s="20">
        <f>$I$48*$AD$48</f>
        <v>87835.670172031329</v>
      </c>
      <c r="AE98" s="20">
        <f>$I$48*$AE$48</f>
        <v>77520.114207231716</v>
      </c>
      <c r="AF98" s="20">
        <f>$I$48*$AF$48</f>
        <v>0</v>
      </c>
      <c r="AG98" s="20">
        <f>$I$48*$AG$48</f>
        <v>0</v>
      </c>
      <c r="AH98" s="20">
        <f>$I$48*$AH$48</f>
        <v>47264.800744522821</v>
      </c>
    </row>
    <row r="99" spans="1:34" ht="11.25" customHeight="1" x14ac:dyDescent="0.3">
      <c r="A99" s="9" t="s">
        <v>47</v>
      </c>
      <c r="B99" s="9" t="s">
        <v>1449</v>
      </c>
      <c r="C99" s="9" t="s">
        <v>1450</v>
      </c>
      <c r="D99" s="9" t="s">
        <v>1455</v>
      </c>
      <c r="E99" s="9" t="s">
        <v>1456</v>
      </c>
      <c r="F99" s="9" t="s">
        <v>1457</v>
      </c>
      <c r="G99" s="9" t="s">
        <v>1458</v>
      </c>
      <c r="L99" s="20">
        <f>$I$49*$L$49</f>
        <v>0</v>
      </c>
      <c r="M99" s="20">
        <f>$I$49*$M$49</f>
        <v>0</v>
      </c>
      <c r="N99" s="20">
        <f>$I$49*$N$49</f>
        <v>0</v>
      </c>
      <c r="O99" s="20">
        <f>$I$49*$O$49</f>
        <v>0</v>
      </c>
      <c r="P99" s="20">
        <f>$I$49*$P$49</f>
        <v>0</v>
      </c>
      <c r="Q99" s="20">
        <f>$I$49*$Q$49</f>
        <v>0</v>
      </c>
      <c r="R99" s="20">
        <f>$I$49*$R$49</f>
        <v>0</v>
      </c>
      <c r="S99" s="20">
        <f>$I$49*$S$49</f>
        <v>0</v>
      </c>
      <c r="T99" s="20">
        <f>$I$49*$T$49</f>
        <v>0</v>
      </c>
      <c r="U99" s="20">
        <f>$I$49*$U$49</f>
        <v>0</v>
      </c>
      <c r="V99" s="20">
        <f>$I$49*$V$49</f>
        <v>0</v>
      </c>
      <c r="X99" s="20">
        <f>$I$49*$X$49</f>
        <v>0</v>
      </c>
      <c r="Y99" s="20">
        <f>$I$49*$Y$49</f>
        <v>0</v>
      </c>
      <c r="Z99" s="20">
        <f>$I$49*$Z$49</f>
        <v>0</v>
      </c>
      <c r="AA99" s="20">
        <f>$I$49*$AA$49</f>
        <v>0</v>
      </c>
      <c r="AB99" s="20">
        <f>$I$49*$AB$49</f>
        <v>0</v>
      </c>
      <c r="AC99" s="20">
        <f>$I$49*$AC$49</f>
        <v>0</v>
      </c>
      <c r="AD99" s="20">
        <f>$I$49*$AD$49</f>
        <v>0</v>
      </c>
      <c r="AE99" s="20">
        <f>$I$49*$AE$49</f>
        <v>0</v>
      </c>
      <c r="AF99" s="20">
        <f>$I$49*$AF$49</f>
        <v>0</v>
      </c>
      <c r="AG99" s="20">
        <f>$I$49*$AG$49</f>
        <v>0</v>
      </c>
      <c r="AH99" s="20">
        <f>$I$49*$AH$49</f>
        <v>0</v>
      </c>
    </row>
  </sheetData>
  <mergeCells count="87">
    <mergeCell ref="L51:V51"/>
    <mergeCell ref="X51:AH51"/>
    <mergeCell ref="L52:V52"/>
    <mergeCell ref="X52:AH52"/>
    <mergeCell ref="L53:P53"/>
    <mergeCell ref="R53:T53"/>
    <mergeCell ref="X53:AB53"/>
    <mergeCell ref="AD53:AF53"/>
    <mergeCell ref="E43:E45"/>
    <mergeCell ref="F43:F45"/>
    <mergeCell ref="A48:A49"/>
    <mergeCell ref="B48:B49"/>
    <mergeCell ref="C48:C49"/>
    <mergeCell ref="A43:A47"/>
    <mergeCell ref="B43:B45"/>
    <mergeCell ref="C43:C45"/>
    <mergeCell ref="D43:D45"/>
    <mergeCell ref="X1:AH1"/>
    <mergeCell ref="X2:AH2"/>
    <mergeCell ref="X3:AB3"/>
    <mergeCell ref="AD3:AF3"/>
    <mergeCell ref="B40:B42"/>
    <mergeCell ref="C40:C42"/>
    <mergeCell ref="F32:F34"/>
    <mergeCell ref="B36:B38"/>
    <mergeCell ref="C36:C38"/>
    <mergeCell ref="D36:D38"/>
    <mergeCell ref="E36:E38"/>
    <mergeCell ref="F36:F38"/>
    <mergeCell ref="F28:F30"/>
    <mergeCell ref="F15:F17"/>
    <mergeCell ref="F12:F13"/>
    <mergeCell ref="F9:F10"/>
    <mergeCell ref="A28:A42"/>
    <mergeCell ref="B28:B30"/>
    <mergeCell ref="C28:C30"/>
    <mergeCell ref="D28:D30"/>
    <mergeCell ref="E28:E30"/>
    <mergeCell ref="B32:B34"/>
    <mergeCell ref="C32:C34"/>
    <mergeCell ref="D32:D34"/>
    <mergeCell ref="E32:E34"/>
    <mergeCell ref="A15:A27"/>
    <mergeCell ref="B15:B17"/>
    <mergeCell ref="C15:C17"/>
    <mergeCell ref="D15:D17"/>
    <mergeCell ref="E15:E17"/>
    <mergeCell ref="B18:B22"/>
    <mergeCell ref="C18:C22"/>
    <mergeCell ref="B23:B27"/>
    <mergeCell ref="C23:C27"/>
    <mergeCell ref="A12:A14"/>
    <mergeCell ref="B12:B13"/>
    <mergeCell ref="C12:C13"/>
    <mergeCell ref="D12:D13"/>
    <mergeCell ref="E12:E13"/>
    <mergeCell ref="A9:A11"/>
    <mergeCell ref="B9:B10"/>
    <mergeCell ref="C9:C10"/>
    <mergeCell ref="D9:D10"/>
    <mergeCell ref="E9:E10"/>
    <mergeCell ref="F7:F8"/>
    <mergeCell ref="A5:A6"/>
    <mergeCell ref="B5:B6"/>
    <mergeCell ref="C5:C6"/>
    <mergeCell ref="D5:D6"/>
    <mergeCell ref="E5:E6"/>
    <mergeCell ref="F5:F6"/>
    <mergeCell ref="A7:A8"/>
    <mergeCell ref="B7:B8"/>
    <mergeCell ref="C7:C8"/>
    <mergeCell ref="D7:D8"/>
    <mergeCell ref="E7:E8"/>
    <mergeCell ref="G1:G4"/>
    <mergeCell ref="H1:H4"/>
    <mergeCell ref="I1:I4"/>
    <mergeCell ref="J1:J4"/>
    <mergeCell ref="L1:V1"/>
    <mergeCell ref="L2:V2"/>
    <mergeCell ref="L3:P3"/>
    <mergeCell ref="R3:T3"/>
    <mergeCell ref="F1:F4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B81CD-A324-4E5D-9384-19323A7AF32B}">
  <sheetPr codeName="Planilha24"/>
  <dimension ref="A1:AG15"/>
  <sheetViews>
    <sheetView showGridLines="0" workbookViewId="0">
      <selection activeCell="J15" sqref="J15"/>
    </sheetView>
  </sheetViews>
  <sheetFormatPr defaultRowHeight="10.199999999999999" x14ac:dyDescent="0.2"/>
  <cols>
    <col min="1" max="1" width="18.5546875" style="14" bestFit="1" customWidth="1"/>
    <col min="2" max="2" width="11.88671875" style="14" bestFit="1" customWidth="1"/>
    <col min="3" max="6" width="9.5546875" style="14" bestFit="1" customWidth="1"/>
    <col min="7" max="8" width="9.88671875" style="14" bestFit="1" customWidth="1"/>
    <col min="9" max="9" width="7.6640625" style="14" bestFit="1" customWidth="1"/>
    <col min="10" max="10" width="9.88671875" style="14" bestFit="1" customWidth="1"/>
    <col min="11" max="11" width="9.109375" style="14" bestFit="1" customWidth="1"/>
    <col min="12" max="12" width="9" style="14" bestFit="1" customWidth="1"/>
    <col min="13" max="13" width="9.21875" style="14" bestFit="1" customWidth="1"/>
    <col min="14" max="14" width="5.33203125" style="14" bestFit="1" customWidth="1"/>
    <col min="15" max="15" width="6.88671875" style="14" bestFit="1" customWidth="1"/>
    <col min="16" max="16" width="9.21875" style="14" bestFit="1" customWidth="1"/>
    <col min="17" max="17" width="10.6640625" style="14" bestFit="1" customWidth="1"/>
    <col min="18" max="18" width="7.5546875" style="14" bestFit="1" customWidth="1"/>
    <col min="19" max="19" width="6.77734375" style="14" bestFit="1" customWidth="1"/>
    <col min="20" max="20" width="14.44140625" style="14" bestFit="1" customWidth="1"/>
    <col min="21" max="21" width="17.77734375" style="14" bestFit="1" customWidth="1"/>
    <col min="22" max="22" width="18.109375" style="14" bestFit="1" customWidth="1"/>
    <col min="23" max="23" width="5.33203125" style="14" bestFit="1" customWidth="1"/>
    <col min="24" max="24" width="10.6640625" style="14" bestFit="1" customWidth="1"/>
    <col min="25" max="26" width="8.88671875" style="14"/>
    <col min="27" max="27" width="2.77734375" style="14" bestFit="1" customWidth="1"/>
    <col min="28" max="28" width="19.44140625" style="14" bestFit="1" customWidth="1"/>
    <col min="29" max="29" width="12.6640625" style="14" bestFit="1" customWidth="1"/>
    <col min="30" max="30" width="23.109375" style="14" bestFit="1" customWidth="1"/>
    <col min="31" max="33" width="9.5546875" style="14" bestFit="1" customWidth="1"/>
    <col min="34" max="16384" width="8.88671875" style="14"/>
  </cols>
  <sheetData>
    <row r="1" spans="1:33" x14ac:dyDescent="0.2">
      <c r="A1" s="14" t="s">
        <v>68</v>
      </c>
      <c r="B1" s="14" t="s">
        <v>69</v>
      </c>
      <c r="C1" s="14" t="s">
        <v>70</v>
      </c>
      <c r="D1" s="14" t="s">
        <v>71</v>
      </c>
      <c r="E1" s="14" t="s">
        <v>72</v>
      </c>
      <c r="F1" s="14" t="s">
        <v>15</v>
      </c>
      <c r="G1" s="14" t="s">
        <v>74</v>
      </c>
      <c r="I1" s="14" t="s">
        <v>1466</v>
      </c>
      <c r="AA1" s="14" t="s">
        <v>54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54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A2</v>
      </c>
      <c r="AA2" s="14" t="s">
        <v>60</v>
      </c>
      <c r="AB2" s="14" t="s">
        <v>40</v>
      </c>
      <c r="AC2" s="14" t="s">
        <v>24</v>
      </c>
      <c r="AD2" s="14" t="s">
        <v>24</v>
      </c>
      <c r="AE2" s="14" t="s">
        <v>85</v>
      </c>
      <c r="AG2" s="14" t="s">
        <v>82</v>
      </c>
    </row>
    <row r="3" spans="1:33" x14ac:dyDescent="0.2">
      <c r="AA3" s="14" t="s">
        <v>39</v>
      </c>
      <c r="AB3" s="14" t="s">
        <v>57</v>
      </c>
      <c r="AC3" s="14" t="s">
        <v>45</v>
      </c>
      <c r="AD3" s="14" t="s">
        <v>29</v>
      </c>
      <c r="AE3" s="14" t="s">
        <v>88</v>
      </c>
      <c r="AG3" s="14" t="s">
        <v>83</v>
      </c>
    </row>
    <row r="4" spans="1:33" x14ac:dyDescent="0.2">
      <c r="AA4" s="14" t="s">
        <v>43</v>
      </c>
      <c r="AB4" s="14" t="s">
        <v>41</v>
      </c>
      <c r="AC4" s="14" t="s">
        <v>48</v>
      </c>
      <c r="AD4" s="14" t="s">
        <v>30</v>
      </c>
      <c r="AE4" s="14" t="s">
        <v>89</v>
      </c>
      <c r="AG4" s="14" t="s">
        <v>84</v>
      </c>
    </row>
    <row r="5" spans="1:33" x14ac:dyDescent="0.2">
      <c r="A5" s="14" t="s">
        <v>1459</v>
      </c>
      <c r="B5" s="14" t="str">
        <f>TUSD!$AI$4</f>
        <v>CDE Covid TUSD</v>
      </c>
      <c r="C5" s="14" t="str">
        <f>TUSD!$AJ$4</f>
        <v>TFSEE</v>
      </c>
      <c r="D5" s="14" t="str">
        <f>TUSD!$AK$4</f>
        <v>P&amp;D</v>
      </c>
      <c r="E5" s="14" t="str">
        <f>TUSD!$AL$4</f>
        <v>ONS</v>
      </c>
      <c r="F5" s="14" t="str">
        <f>TUSD!$AM$4</f>
        <v>CCC</v>
      </c>
      <c r="G5" s="14" t="str">
        <f>TUSD!$AN$4</f>
        <v>CDE</v>
      </c>
      <c r="H5" s="14" t="str">
        <f>TUSD!$AO$4</f>
        <v>PROINFA</v>
      </c>
      <c r="I5" s="14" t="str">
        <f>TUSD!$AP$4</f>
        <v>LIMINAR 1</v>
      </c>
      <c r="J5" s="14" t="str">
        <f>TUSD!$AQ$4</f>
        <v>TUSD RB</v>
      </c>
      <c r="K5" s="14" t="str">
        <f>TUSD!$AR$4</f>
        <v>TUSD FR</v>
      </c>
      <c r="L5" s="14" t="str">
        <f>TUSD!$AS$4</f>
        <v>CONEXAO T</v>
      </c>
      <c r="M5" s="14" t="str">
        <f>TUSD!$AT$4</f>
        <v>CONEXAO D</v>
      </c>
      <c r="N5" s="14" t="str">
        <f>TUSD!$AU$4</f>
        <v>CUSD</v>
      </c>
      <c r="O5" s="14" t="str">
        <f>TUSD!$AV$4</f>
        <v>TUSDG-T</v>
      </c>
      <c r="P5" s="14" t="str">
        <f>TUSD!$AW$4</f>
        <v>TUSDG-ONS</v>
      </c>
      <c r="Q5" s="14" t="str">
        <f>TUSD!$AX$4</f>
        <v>DISTRIBUICAO</v>
      </c>
      <c r="R5" s="14" t="str">
        <f>TUSD!$AY$4</f>
        <v>SUBSIDIO</v>
      </c>
      <c r="S5" s="14" t="str">
        <f>TUSD!$AZ$4</f>
        <v>OUTROS</v>
      </c>
      <c r="T5" s="14" t="str">
        <f>TUSD!$BA$4</f>
        <v>PERDAS TECNICAS</v>
      </c>
      <c r="U5" s="14" t="str">
        <f>TUSD!$BB$4</f>
        <v>PERDAS RB/ PERDAS D</v>
      </c>
      <c r="V5" s="14" t="str">
        <f>TUSD!$BC$4</f>
        <v>PERDAS NAO TECNICAS</v>
      </c>
      <c r="W5" s="14" t="str">
        <f>TUSD!$BD$4</f>
        <v>RI</v>
      </c>
      <c r="X5" s="14" t="s">
        <v>694</v>
      </c>
      <c r="AA5" s="14" t="s">
        <v>87</v>
      </c>
      <c r="AB5" s="14" t="s">
        <v>23</v>
      </c>
      <c r="AD5" s="14" t="s">
        <v>31</v>
      </c>
      <c r="AG5" s="14" t="s">
        <v>9</v>
      </c>
    </row>
    <row r="6" spans="1:33" x14ac:dyDescent="0.2">
      <c r="A6" s="14" t="s">
        <v>1460</v>
      </c>
      <c r="B6" s="39">
        <f>SUM(TUSD!$AI$77:'TUSD'!$AI$143)</f>
        <v>3351453.2247209642</v>
      </c>
      <c r="C6" s="39">
        <f>SUM(TUSD!$AJ$77:'TUSD'!$AJ$143)</f>
        <v>283164.79124529328</v>
      </c>
      <c r="D6" s="39">
        <f>SUM(TUSD!$AK$77:'TUSD'!$AK$143)</f>
        <v>859008.59383762849</v>
      </c>
      <c r="E6" s="39">
        <f>SUM(TUSD!$AL$77:'TUSD'!$AL$143)</f>
        <v>0</v>
      </c>
      <c r="F6" s="39">
        <f>SUM(TUSD!$AM$77:'TUSD'!$AM$143)</f>
        <v>0</v>
      </c>
      <c r="G6" s="39">
        <f>SUM(TUSD!$AN$77:'TUSD'!$AN$143)</f>
        <v>28667369.801315602</v>
      </c>
      <c r="H6" s="39">
        <f>SUM(TUSD!$AO$77:'TUSD'!$AO$143)</f>
        <v>5751416.8685091492</v>
      </c>
      <c r="I6" s="39">
        <f>SUM(TUSD!$AP$77:'TUSD'!$AP$143)</f>
        <v>0</v>
      </c>
      <c r="J6" s="39">
        <f>SUM(TUSD!$AQ$77:'TUSD'!$AQ$143)</f>
        <v>11532432.971299792</v>
      </c>
      <c r="K6" s="39">
        <f>SUM(TUSD!$AR$77:'TUSD'!$AR$143)</f>
        <v>3399629.8141361275</v>
      </c>
      <c r="L6" s="39">
        <f>SUM(TUSD!$AS$77:'TUSD'!$AS$143)</f>
        <v>89256.463614685475</v>
      </c>
      <c r="M6" s="39">
        <f>SUM(TUSD!$AT$77:'TUSD'!$AT$143)</f>
        <v>0</v>
      </c>
      <c r="N6" s="39">
        <f>SUM(TUSD!$AU$77:'TUSD'!$AU$143)</f>
        <v>0</v>
      </c>
      <c r="O6" s="39">
        <f>SUM(TUSD!$AV$77:'TUSD'!$AV$143)</f>
        <v>0</v>
      </c>
      <c r="P6" s="39">
        <f>SUM(TUSD!$AW$77:'TUSD'!$AW$143)</f>
        <v>0</v>
      </c>
      <c r="Q6" s="39">
        <f>SUM(TUSD!$AX$77:'TUSD'!$AX$143)</f>
        <v>55522620.881728083</v>
      </c>
      <c r="R6" s="39">
        <f>SUM(TUSD!$AY$77:'TUSD'!$AY$143)</f>
        <v>0</v>
      </c>
      <c r="S6" s="39">
        <f>SUM(TUSD!$AZ$77:'TUSD'!$AZ$143)</f>
        <v>0</v>
      </c>
      <c r="T6" s="39">
        <f>SUM(TUSD!$BA$77:'TUSD'!$BA$143)</f>
        <v>6094587.1298686983</v>
      </c>
      <c r="U6" s="39">
        <f>SUM(TUSD!$BB$77:'TUSD'!$BB$143)</f>
        <v>123641.26465738969</v>
      </c>
      <c r="V6" s="39">
        <f>SUM(TUSD!$BC$77:'TUSD'!$BC$143)</f>
        <v>749026.34461970779</v>
      </c>
      <c r="W6" s="39">
        <f>SUM(TUSD!$BD$77:'TUSD'!$BD$143)</f>
        <v>124903.37222883808</v>
      </c>
      <c r="X6" s="39">
        <f t="shared" ref="X6:X11" si="0">SUM(B6:W6)</f>
        <v>116548511.52178195</v>
      </c>
      <c r="AA6" s="14" t="s">
        <v>22</v>
      </c>
      <c r="AB6" s="14" t="s">
        <v>33</v>
      </c>
      <c r="AD6" s="14" t="s">
        <v>32</v>
      </c>
      <c r="AG6" s="14" t="s">
        <v>79</v>
      </c>
    </row>
    <row r="7" spans="1:33" x14ac:dyDescent="0.2">
      <c r="A7" s="14" t="s">
        <v>1461</v>
      </c>
      <c r="B7" s="39">
        <f>SUM(TUSD!$L$77:'TUSD'!$L$143)</f>
        <v>3215357.5152120045</v>
      </c>
      <c r="C7" s="39">
        <f>SUM(TUSD!$M$77:'TUSD'!$M$143)</f>
        <v>329118.10113354394</v>
      </c>
      <c r="D7" s="39">
        <f ca="1">SUM(TUSD!$N$77:'TUSD'!$N$143)</f>
        <v>1107809.2019122411</v>
      </c>
      <c r="E7" s="39">
        <f>SUM(TUSD!$O$77:'TUSD'!$O$143)</f>
        <v>0</v>
      </c>
      <c r="F7" s="39">
        <f>SUM(TUSD!$P$77:'TUSD'!$P$143)</f>
        <v>0</v>
      </c>
      <c r="G7" s="39">
        <f>SUM(TUSD!$Q$77:'TUSD'!$Q$143)</f>
        <v>52358795.279259741</v>
      </c>
      <c r="H7" s="39">
        <f>SUM(TUSD!$R$77:'TUSD'!$R$143)</f>
        <v>10575744.523225479</v>
      </c>
      <c r="I7" s="39">
        <f>SUM(TUSD!$S$77:'TUSD'!$S$143)</f>
        <v>0</v>
      </c>
      <c r="J7" s="39">
        <f>SUM(TUSD!$T$77:'TUSD'!$T$143)</f>
        <v>13812381.505963003</v>
      </c>
      <c r="K7" s="39">
        <f>SUM(TUSD!$U$77:'TUSD'!$U$143)</f>
        <v>2923248.1331299623</v>
      </c>
      <c r="L7" s="39">
        <f>SUM(TUSD!$V$77:'TUSD'!$V$143)</f>
        <v>440658.66703737422</v>
      </c>
      <c r="M7" s="39">
        <f>SUM(TUSD!$W$77:'TUSD'!$W$143)</f>
        <v>0</v>
      </c>
      <c r="N7" s="39">
        <f>SUM(TUSD!$X$77:'TUSD'!$X$143)</f>
        <v>0</v>
      </c>
      <c r="O7" s="39">
        <f>SUM(TUSD!$Y$77:'TUSD'!$Y$143)</f>
        <v>0</v>
      </c>
      <c r="P7" s="39">
        <f>SUM(TUSD!$Z$77:'TUSD'!$Z$143)</f>
        <v>0</v>
      </c>
      <c r="Q7" s="39">
        <f>SUM(TUSD!$AA$77:'TUSD'!$AA$143)</f>
        <v>63577958.855418518</v>
      </c>
      <c r="R7" s="39">
        <f ca="1">SUM(TUSD!$AB$77:'TUSD'!$AB$143)</f>
        <v>0</v>
      </c>
      <c r="S7" s="39">
        <f ca="1">SUM(TUSD!$AC$77:'TUSD'!$AC$143)</f>
        <v>0</v>
      </c>
      <c r="T7" s="39">
        <f>SUM(TUSD!$AD$77:'TUSD'!$AD$143)</f>
        <v>7225498.2084896797</v>
      </c>
      <c r="U7" s="39">
        <f>SUM(TUSD!$AE$77:'TUSD'!$AE$143)</f>
        <v>125221.6582715516</v>
      </c>
      <c r="V7" s="39">
        <f ca="1">SUM(TUSD!$AF$77:'TUSD'!$AF$143)</f>
        <v>849520.93707846699</v>
      </c>
      <c r="W7" s="39">
        <f ca="1">SUM(TUSD!$AG$77:'TUSD'!$AG$143)</f>
        <v>117777.00473587301</v>
      </c>
      <c r="X7" s="39">
        <f t="shared" ca="1" si="0"/>
        <v>156659089.59086746</v>
      </c>
      <c r="AA7" s="14" t="s">
        <v>44</v>
      </c>
      <c r="AB7" s="14" t="s">
        <v>92</v>
      </c>
      <c r="AD7" s="14" t="s">
        <v>93</v>
      </c>
      <c r="AG7" s="14" t="s">
        <v>80</v>
      </c>
    </row>
    <row r="8" spans="1:33" x14ac:dyDescent="0.2">
      <c r="A8" s="14" t="s">
        <v>1464</v>
      </c>
      <c r="B8" s="39">
        <f>IF($G$2&lt;&gt;"Não se aplica",SUMIF(TUSD!$G$77:'TUSD'!$G$143,$I$2,TUSD!$AI$77:'TUSD'!$AI$143),IF($F$2&lt;&gt;"Não se aplica",SUMIF(TUSD!$F$77:'TUSD'!$F$143,$I$2,TUSD!$AI$77:'TUSD'!$AI$143),IF($E$2&lt;&gt;"Não se aplica",SUMIF(TUSD!$E$77:'TUSD'!$E$143,$I$2,TUSD!$AI$77:'TUSD'!$AI$143),IF($D$2&lt;&gt;"Não se aplica",SUMIF(TUSD!$D$77:'TUSD'!$D$143,$I$2,TUSD!$AI$77:'TUSD'!$AI$143),IF($C$2&lt;&gt;"Não se aplica",SUMIF(TUSD!$C$77:'TUSD'!$C$143,$I$2,TUSD!$AI$77:'TUSD'!$AI$143),IF($B$2&lt;&gt;"Não se aplica",SUMIF(TUSD!$B$77:'TUSD'!$B$143,$I$2,TUSD!$AI$77:'TUSD'!$AI$143),SUMIF(TUSD!$A$77:'TUSD'!$A$143,$I$2,TUSD!$AI$77:'TUSD'!$AI$143)))))))</f>
        <v>531126.71147429687</v>
      </c>
      <c r="C8" s="39">
        <f>IF($G$2&lt;&gt;"Não se aplica",SUMIF(TUSD!$G$77:'TUSD'!$G$143,$I$2,TUSD!$AJ$77:'TUSD'!$AJ$143),IF($F$2&lt;&gt;"Não se aplica",SUMIF(TUSD!$F$77:'TUSD'!$F$143,$I$2,TUSD!$AJ$77:'TUSD'!$AJ$143),IF($E$2&lt;&gt;"Não se aplica",SUMIF(TUSD!$E$77:'TUSD'!$E$143,$I$2,TUSD!$AJ$77:'TUSD'!$AJ$143),IF($D$2&lt;&gt;"Não se aplica",SUMIF(TUSD!$D$77:'TUSD'!$D$143,$I$2,TUSD!$AJ$77:'TUSD'!$AJ$143),IF($C$2&lt;&gt;"Não se aplica",SUMIF(TUSD!$C$77:'TUSD'!$C$143,$I$2,TUSD!$AJ$77:'TUSD'!$AJ$143),IF($B$2&lt;&gt;"Não se aplica",SUMIF(TUSD!$B$77:'TUSD'!$B$143,$I$2,TUSD!$AJ$77:'TUSD'!$AJ$143),SUMIF(TUSD!$A$77:'TUSD'!$A$143,$I$2,TUSD!$AJ$77:'TUSD'!$AJ$143)))))))</f>
        <v>4395.32718464341</v>
      </c>
      <c r="D8" s="39">
        <f>IF($G$2&lt;&gt;"Não se aplica",SUMIF(TUSD!$G$77:'TUSD'!$G$143,$I$2,TUSD!$AK$77:'TUSD'!$AK$143),IF($F$2&lt;&gt;"Não se aplica",SUMIF(TUSD!$F$77:'TUSD'!$F$143,$I$2,TUSD!$AK$77:'TUSD'!$AK$143),IF($E$2&lt;&gt;"Não se aplica",SUMIF(TUSD!$E$77:'TUSD'!$E$143,$I$2,TUSD!$AK$77:'TUSD'!$AK$143),IF($D$2&lt;&gt;"Não se aplica",SUMIF(TUSD!$D$77:'TUSD'!$D$143,$I$2,TUSD!$AK$77:'TUSD'!$AK$143),IF($C$2&lt;&gt;"Não se aplica",SUMIF(TUSD!$C$77:'TUSD'!$C$143,$I$2,TUSD!$AK$77:'TUSD'!$AK$143),IF($B$2&lt;&gt;"Não se aplica",SUMIF(TUSD!$B$77:'TUSD'!$B$143,$I$2,TUSD!$AK$77:'TUSD'!$AK$143),SUMIF(TUSD!$A$77:'TUSD'!$A$143,$I$2,TUSD!$AK$77:'TUSD'!$AK$143)))))))</f>
        <v>3665.1695322087944</v>
      </c>
      <c r="E8" s="39">
        <f>IF($G$2&lt;&gt;"Não se aplica",SUMIF(TUSD!$G$77:'TUSD'!$G$143,$I$2,TUSD!$AL$77:'TUSD'!$AL$143),IF($F$2&lt;&gt;"Não se aplica",SUMIF(TUSD!$F$77:'TUSD'!$F$143,$I$2,TUSD!$AL$77:'TUSD'!$AL$143),IF($E$2&lt;&gt;"Não se aplica",SUMIF(TUSD!$E$77:'TUSD'!$E$143,$I$2,TUSD!$AL$77:'TUSD'!$AL$143),IF($D$2&lt;&gt;"Não se aplica",SUMIF(TUSD!$D$77:'TUSD'!$D$143,$I$2,TUSD!$AL$77:'TUSD'!$AL$143),IF($C$2&lt;&gt;"Não se aplica",SUMIF(TUSD!$C$77:'TUSD'!$C$143,$I$2,TUSD!$AL$77:'TUSD'!$AL$143),IF($B$2&lt;&gt;"Não se aplica",SUMIF(TUSD!$B$77:'TUSD'!$B$143,$I$2,TUSD!$AL$77:'TUSD'!$AL$143),SUMIF(TUSD!$A$77:'TUSD'!$A$143,$I$2,TUSD!$AL$77:'TUSD'!$AL$143)))))))</f>
        <v>0</v>
      </c>
      <c r="F8" s="39">
        <f>IF($G$2&lt;&gt;"Não se aplica",SUMIF(TUSD!$G$77:'TUSD'!$G$143,$I$2,TUSD!$AM$77:'TUSD'!$AM$143),IF($F$2&lt;&gt;"Não se aplica",SUMIF(TUSD!$F$77:'TUSD'!$F$143,$I$2,TUSD!$AM$77:'TUSD'!$AM$143),IF($E$2&lt;&gt;"Não se aplica",SUMIF(TUSD!$E$77:'TUSD'!$E$143,$I$2,TUSD!$AM$77:'TUSD'!$AM$143),IF($D$2&lt;&gt;"Não se aplica",SUMIF(TUSD!$D$77:'TUSD'!$D$143,$I$2,TUSD!$AM$77:'TUSD'!$AM$143),IF($C$2&lt;&gt;"Não se aplica",SUMIF(TUSD!$C$77:'TUSD'!$C$143,$I$2,TUSD!$AM$77:'TUSD'!$AM$143),IF($B$2&lt;&gt;"Não se aplica",SUMIF(TUSD!$B$77:'TUSD'!$B$143,$I$2,TUSD!$AM$77:'TUSD'!$AM$143),SUMIF(TUSD!$A$77:'TUSD'!$A$143,$I$2,TUSD!$AM$77:'TUSD'!$AM$143)))))))</f>
        <v>0</v>
      </c>
      <c r="G8" s="39">
        <f>IF($G$2&lt;&gt;"Não se aplica",SUMIF(TUSD!$G$77:'TUSD'!$G$143,$I$2,TUSD!$AN$77:'TUSD'!$AN$143),IF($F$2&lt;&gt;"Não se aplica",SUMIF(TUSD!$F$77:'TUSD'!$F$143,$I$2,TUSD!$AN$77:'TUSD'!$AN$143),IF($E$2&lt;&gt;"Não se aplica",SUMIF(TUSD!$E$77:'TUSD'!$E$143,$I$2,TUSD!$AN$77:'TUSD'!$AN$143),IF($D$2&lt;&gt;"Não se aplica",SUMIF(TUSD!$D$77:'TUSD'!$D$143,$I$2,TUSD!$AN$77:'TUSD'!$AN$143),IF($C$2&lt;&gt;"Não se aplica",SUMIF(TUSD!$C$77:'TUSD'!$C$143,$I$2,TUSD!$AN$77:'TUSD'!$AN$143),IF($B$2&lt;&gt;"Não se aplica",SUMIF(TUSD!$B$77:'TUSD'!$B$143,$I$2,TUSD!$AN$77:'TUSD'!$AN$143),SUMIF(TUSD!$A$77:'TUSD'!$A$143,$I$2,TUSD!$AN$77:'TUSD'!$AN$143)))))))</f>
        <v>4543105.580850834</v>
      </c>
      <c r="H8" s="39">
        <f>IF($G$2&lt;&gt;"Não se aplica",SUMIF(TUSD!$G$77:'TUSD'!$G$143,$I$2,TUSD!$AO$77:'TUSD'!$AO$143),IF($F$2&lt;&gt;"Não se aplica",SUMIF(TUSD!$F$77:'TUSD'!$F$143,$I$2,TUSD!$AO$77:'TUSD'!$AO$143),IF($E$2&lt;&gt;"Não se aplica",SUMIF(TUSD!$E$77:'TUSD'!$E$143,$I$2,TUSD!$AO$77:'TUSD'!$AO$143),IF($D$2&lt;&gt;"Não se aplica",SUMIF(TUSD!$D$77:'TUSD'!$D$143,$I$2,TUSD!$AO$77:'TUSD'!$AO$143),IF($C$2&lt;&gt;"Não se aplica",SUMIF(TUSD!$C$77:'TUSD'!$C$143,$I$2,TUSD!$AO$77:'TUSD'!$AO$143),IF($B$2&lt;&gt;"Não se aplica",SUMIF(TUSD!$B$77:'TUSD'!$B$143,$I$2,TUSD!$AO$77:'TUSD'!$AO$143),SUMIF(TUSD!$A$77:'TUSD'!$A$143,$I$2,TUSD!$AO$77:'TUSD'!$AO$143)))))))</f>
        <v>1186194.6062962357</v>
      </c>
      <c r="I8" s="39">
        <f>IF($G$2&lt;&gt;"Não se aplica",SUMIF(TUSD!$G$77:'TUSD'!$G$143,$I$2,TUSD!$AP$77:'TUSD'!$AP$143),IF($F$2&lt;&gt;"Não se aplica",SUMIF(TUSD!$F$77:'TUSD'!$F$143,$I$2,TUSD!$AP$77:'TUSD'!$AP$143),IF($E$2&lt;&gt;"Não se aplica",SUMIF(TUSD!$E$77:'TUSD'!$E$143,$I$2,TUSD!$AP$77:'TUSD'!$AP$143),IF($D$2&lt;&gt;"Não se aplica",SUMIF(TUSD!$D$77:'TUSD'!$D$143,$I$2,TUSD!$AP$77:'TUSD'!$AP$143),IF($C$2&lt;&gt;"Não se aplica",SUMIF(TUSD!$C$77:'TUSD'!$C$143,$I$2,TUSD!$AP$77:'TUSD'!$AP$143),IF($B$2&lt;&gt;"Não se aplica",SUMIF(TUSD!$B$77:'TUSD'!$B$143,$I$2,TUSD!$AP$77:'TUSD'!$AP$143),SUMIF(TUSD!$A$77:'TUSD'!$A$143,$I$2,TUSD!$AP$77:'TUSD'!$AP$143)))))))</f>
        <v>0</v>
      </c>
      <c r="J8" s="39">
        <f>IF($G$2&lt;&gt;"Não se aplica",SUMIF(TUSD!$G$77:'TUSD'!$G$143,$I$2,TUSD!$AQ$77:'TUSD'!$AQ$143),IF($F$2&lt;&gt;"Não se aplica",SUMIF(TUSD!$F$77:'TUSD'!$F$143,$I$2,TUSD!$AQ$77:'TUSD'!$AQ$143),IF($E$2&lt;&gt;"Não se aplica",SUMIF(TUSD!$E$77:'TUSD'!$E$143,$I$2,TUSD!$AQ$77:'TUSD'!$AQ$143),IF($D$2&lt;&gt;"Não se aplica",SUMIF(TUSD!$D$77:'TUSD'!$D$143,$I$2,TUSD!$AQ$77:'TUSD'!$AQ$143),IF($C$2&lt;&gt;"Não se aplica",SUMIF(TUSD!$C$77:'TUSD'!$C$143,$I$2,TUSD!$AQ$77:'TUSD'!$AQ$143),IF($B$2&lt;&gt;"Não se aplica",SUMIF(TUSD!$B$77:'TUSD'!$B$143,$I$2,TUSD!$AQ$77:'TUSD'!$AQ$143),SUMIF(TUSD!$A$77:'TUSD'!$A$143,$I$2,TUSD!$AQ$77:'TUSD'!$AQ$143)))))))</f>
        <v>1313721.5179161713</v>
      </c>
      <c r="K8" s="39">
        <f>IF($G$2&lt;&gt;"Não se aplica",SUMIF(TUSD!$G$77:'TUSD'!$G$143,$I$2,TUSD!$AR$77:'TUSD'!$AR$143),IF($F$2&lt;&gt;"Não se aplica",SUMIF(TUSD!$F$77:'TUSD'!$F$143,$I$2,TUSD!$AR$77:'TUSD'!$AR$143),IF($E$2&lt;&gt;"Não se aplica",SUMIF(TUSD!$E$77:'TUSD'!$E$143,$I$2,TUSD!$AR$77:'TUSD'!$AR$143),IF($D$2&lt;&gt;"Não se aplica",SUMIF(TUSD!$D$77:'TUSD'!$D$143,$I$2,TUSD!$AR$77:'TUSD'!$AR$143),IF($C$2&lt;&gt;"Não se aplica",SUMIF(TUSD!$C$77:'TUSD'!$C$143,$I$2,TUSD!$AR$77:'TUSD'!$AR$143),IF($B$2&lt;&gt;"Não se aplica",SUMIF(TUSD!$B$77:'TUSD'!$B$143,$I$2,TUSD!$AR$77:'TUSD'!$AR$143),SUMIF(TUSD!$A$77:'TUSD'!$A$143,$I$2,TUSD!$AR$77:'TUSD'!$AR$143)))))))</f>
        <v>379917.3121220271</v>
      </c>
      <c r="L8" s="39">
        <f>IF($G$2&lt;&gt;"Não se aplica",SUMIF(TUSD!$G$77:'TUSD'!$G$143,$I$2,TUSD!$AS$77:'TUSD'!$AS$143),IF($F$2&lt;&gt;"Não se aplica",SUMIF(TUSD!$F$77:'TUSD'!$F$143,$I$2,TUSD!$AS$77:'TUSD'!$AS$143),IF($E$2&lt;&gt;"Não se aplica",SUMIF(TUSD!$E$77:'TUSD'!$E$143,$I$2,TUSD!$AS$77:'TUSD'!$AS$143),IF($D$2&lt;&gt;"Não se aplica",SUMIF(TUSD!$D$77:'TUSD'!$D$143,$I$2,TUSD!$AS$77:'TUSD'!$AS$143),IF($C$2&lt;&gt;"Não se aplica",SUMIF(TUSD!$C$77:'TUSD'!$C$143,$I$2,TUSD!$AS$77:'TUSD'!$AS$143),IF($B$2&lt;&gt;"Não se aplica",SUMIF(TUSD!$B$77:'TUSD'!$B$143,$I$2,TUSD!$AS$77:'TUSD'!$AS$143),SUMIF(TUSD!$A$77:'TUSD'!$A$143,$I$2,TUSD!$AS$77:'TUSD'!$AS$143)))))))</f>
        <v>4388.3839354197371</v>
      </c>
      <c r="M8" s="39">
        <f>IF($G$2&lt;&gt;"Não se aplica",SUMIF(TUSD!$G$77:'TUSD'!$G$143,$I$2,TUSD!$AT$77:'TUSD'!$AT$143),IF($F$2&lt;&gt;"Não se aplica",SUMIF(TUSD!$F$77:'TUSD'!$F$143,$I$2,TUSD!$AT$77:'TUSD'!$AT$143),IF($E$2&lt;&gt;"Não se aplica",SUMIF(TUSD!$E$77:'TUSD'!$E$143,$I$2,TUSD!$AT$77:'TUSD'!$AT$143),IF($D$2&lt;&gt;"Não se aplica",SUMIF(TUSD!$D$77:'TUSD'!$D$143,$I$2,TUSD!$AT$77:'TUSD'!$AT$143),IF($C$2&lt;&gt;"Não se aplica",SUMIF(TUSD!$C$77:'TUSD'!$C$143,$I$2,TUSD!$AT$77:'TUSD'!$AT$143),IF($B$2&lt;&gt;"Não se aplica",SUMIF(TUSD!$B$77:'TUSD'!$B$143,$I$2,TUSD!$AT$77:'TUSD'!$AT$143),SUMIF(TUSD!$A$77:'TUSD'!$A$143,$I$2,TUSD!$AT$77:'TUSD'!$AT$143)))))))</f>
        <v>0</v>
      </c>
      <c r="N8" s="39">
        <f>IF($G$2&lt;&gt;"Não se aplica",SUMIF(TUSD!$G$77:'TUSD'!$G$143,$I$2,TUSD!$AU$77:'TUSD'!$AU$143),IF($F$2&lt;&gt;"Não se aplica",SUMIF(TUSD!$F$77:'TUSD'!$F$143,$I$2,TUSD!$AU$77:'TUSD'!$AU$143),IF($E$2&lt;&gt;"Não se aplica",SUMIF(TUSD!$E$77:'TUSD'!$E$143,$I$2,TUSD!$AU$77:'TUSD'!$AU$143),IF($D$2&lt;&gt;"Não se aplica",SUMIF(TUSD!$D$77:'TUSD'!$D$143,$I$2,TUSD!$AU$77:'TUSD'!$AU$143),IF($C$2&lt;&gt;"Não se aplica",SUMIF(TUSD!$C$77:'TUSD'!$C$143,$I$2,TUSD!$AU$77:'TUSD'!$AU$143),IF($B$2&lt;&gt;"Não se aplica",SUMIF(TUSD!$B$77:'TUSD'!$B$143,$I$2,TUSD!$AU$77:'TUSD'!$AU$143),SUMIF(TUSD!$A$77:'TUSD'!$A$143,$I$2,TUSD!$AU$77:'TUSD'!$AU$143)))))))</f>
        <v>0</v>
      </c>
      <c r="O8" s="39">
        <f>IF($G$2&lt;&gt;"Não se aplica",SUMIF(TUSD!$G$77:'TUSD'!$G$143,$I$2,TUSD!$AV$77:'TUSD'!$AV$143),IF($F$2&lt;&gt;"Não se aplica",SUMIF(TUSD!$F$77:'TUSD'!$F$143,$I$2,TUSD!$AV$77:'TUSD'!$AV$143),IF($E$2&lt;&gt;"Não se aplica",SUMIF(TUSD!$E$77:'TUSD'!$E$143,$I$2,TUSD!$AV$77:'TUSD'!$AV$143),IF($D$2&lt;&gt;"Não se aplica",SUMIF(TUSD!$D$77:'TUSD'!$D$143,$I$2,TUSD!$AV$77:'TUSD'!$AV$143),IF($C$2&lt;&gt;"Não se aplica",SUMIF(TUSD!$C$77:'TUSD'!$C$143,$I$2,TUSD!$AV$77:'TUSD'!$AV$143),IF($B$2&lt;&gt;"Não se aplica",SUMIF(TUSD!$B$77:'TUSD'!$B$143,$I$2,TUSD!$AV$77:'TUSD'!$AV$143),SUMIF(TUSD!$A$77:'TUSD'!$A$143,$I$2,TUSD!$AV$77:'TUSD'!$AV$143)))))))</f>
        <v>0</v>
      </c>
      <c r="P8" s="39">
        <f>IF($G$2&lt;&gt;"Não se aplica",SUMIF(TUSD!$G$77:'TUSD'!$G$143,$I$2,TUSD!$AW$77:'TUSD'!$AW$143),IF($F$2&lt;&gt;"Não se aplica",SUMIF(TUSD!$F$77:'TUSD'!$F$143,$I$2,TUSD!$AW$77:'TUSD'!$AW$143),IF($E$2&lt;&gt;"Não se aplica",SUMIF(TUSD!$E$77:'TUSD'!$E$143,$I$2,TUSD!$AW$77:'TUSD'!$AW$143),IF($D$2&lt;&gt;"Não se aplica",SUMIF(TUSD!$D$77:'TUSD'!$D$143,$I$2,TUSD!$AW$77:'TUSD'!$AW$143),IF($C$2&lt;&gt;"Não se aplica",SUMIF(TUSD!$C$77:'TUSD'!$C$143,$I$2,TUSD!$AW$77:'TUSD'!$AW$143),IF($B$2&lt;&gt;"Não se aplica",SUMIF(TUSD!$B$77:'TUSD'!$B$143,$I$2,TUSD!$AW$77:'TUSD'!$AW$143),SUMIF(TUSD!$A$77:'TUSD'!$A$143,$I$2,TUSD!$AW$77:'TUSD'!$AW$143)))))))</f>
        <v>0</v>
      </c>
      <c r="Q8" s="39">
        <f>IF($G$2&lt;&gt;"Não se aplica",SUMIF(TUSD!$G$77:'TUSD'!$G$143,$I$2,TUSD!$AX$77:'TUSD'!$AX$143),IF($F$2&lt;&gt;"Não se aplica",SUMIF(TUSD!$F$77:'TUSD'!$F$143,$I$2,TUSD!$AX$77:'TUSD'!$AX$143),IF($E$2&lt;&gt;"Não se aplica",SUMIF(TUSD!$E$77:'TUSD'!$E$143,$I$2,TUSD!$AX$77:'TUSD'!$AX$143),IF($D$2&lt;&gt;"Não se aplica",SUMIF(TUSD!$D$77:'TUSD'!$D$143,$I$2,TUSD!$AX$77:'TUSD'!$AX$143),IF($C$2&lt;&gt;"Não se aplica",SUMIF(TUSD!$C$77:'TUSD'!$C$143,$I$2,TUSD!$AX$77:'TUSD'!$AX$143),IF($B$2&lt;&gt;"Não se aplica",SUMIF(TUSD!$B$77:'TUSD'!$B$143,$I$2,TUSD!$AX$77:'TUSD'!$AX$143),SUMIF(TUSD!$A$77:'TUSD'!$A$143,$I$2,TUSD!$AX$77:'TUSD'!$AX$143)))))))</f>
        <v>803234.686511721</v>
      </c>
      <c r="R8" s="39">
        <f>IF($G$2&lt;&gt;"Não se aplica",SUMIF(TUSD!$G$77:'TUSD'!$G$143,$I$2,TUSD!$AY$77:'TUSD'!$AY$143),IF($F$2&lt;&gt;"Não se aplica",SUMIF(TUSD!$F$77:'TUSD'!$F$143,$I$2,TUSD!$AY$77:'TUSD'!$AY$143),IF($E$2&lt;&gt;"Não se aplica",SUMIF(TUSD!$E$77:'TUSD'!$E$143,$I$2,TUSD!$AY$77:'TUSD'!$AY$143),IF($D$2&lt;&gt;"Não se aplica",SUMIF(TUSD!$D$77:'TUSD'!$D$143,$I$2,TUSD!$AY$77:'TUSD'!$AY$143),IF($C$2&lt;&gt;"Não se aplica",SUMIF(TUSD!$C$77:'TUSD'!$C$143,$I$2,TUSD!$AY$77:'TUSD'!$AY$143),IF($B$2&lt;&gt;"Não se aplica",SUMIF(TUSD!$B$77:'TUSD'!$B$143,$I$2,TUSD!$AY$77:'TUSD'!$AY$143),SUMIF(TUSD!$A$77:'TUSD'!$A$143,$I$2,TUSD!$AY$77:'TUSD'!$AY$143)))))))</f>
        <v>0</v>
      </c>
      <c r="S8" s="39">
        <f>IF($G$2&lt;&gt;"Não se aplica",SUMIF(TUSD!$G$77:'TUSD'!$G$143,$I$2,TUSD!$AZ$77:'TUSD'!$AZ$143),IF($F$2&lt;&gt;"Não se aplica",SUMIF(TUSD!$F$77:'TUSD'!$F$143,$I$2,TUSD!$AZ$77:'TUSD'!$AZ$143),IF($E$2&lt;&gt;"Não se aplica",SUMIF(TUSD!$E$77:'TUSD'!$E$143,$I$2,TUSD!$AZ$77:'TUSD'!$AZ$143),IF($D$2&lt;&gt;"Não se aplica",SUMIF(TUSD!$D$77:'TUSD'!$D$143,$I$2,TUSD!$AZ$77:'TUSD'!$AZ$143),IF($C$2&lt;&gt;"Não se aplica",SUMIF(TUSD!$C$77:'TUSD'!$C$143,$I$2,TUSD!$AZ$77:'TUSD'!$AZ$143),IF($B$2&lt;&gt;"Não se aplica",SUMIF(TUSD!$B$77:'TUSD'!$B$143,$I$2,TUSD!$AZ$77:'TUSD'!$AZ$143),SUMIF(TUSD!$A$77:'TUSD'!$A$143,$I$2,TUSD!$AZ$77:'TUSD'!$AZ$143)))))))</f>
        <v>0</v>
      </c>
      <c r="T8" s="39">
        <f>IF($G$2&lt;&gt;"Não se aplica",SUMIF(TUSD!$G$77:'TUSD'!$G$143,$I$2,TUSD!$BA$77:'TUSD'!$BA$143),IF($F$2&lt;&gt;"Não se aplica",SUMIF(TUSD!$F$77:'TUSD'!$F$143,$I$2,TUSD!$BA$77:'TUSD'!$BA$143),IF($E$2&lt;&gt;"Não se aplica",SUMIF(TUSD!$E$77:'TUSD'!$E$143,$I$2,TUSD!$BA$77:'TUSD'!$BA$143),IF($D$2&lt;&gt;"Não se aplica",SUMIF(TUSD!$D$77:'TUSD'!$D$143,$I$2,TUSD!$BA$77:'TUSD'!$BA$143),IF($C$2&lt;&gt;"Não se aplica",SUMIF(TUSD!$C$77:'TUSD'!$C$143,$I$2,TUSD!$BA$77:'TUSD'!$BA$143),IF($B$2&lt;&gt;"Não se aplica",SUMIF(TUSD!$B$77:'TUSD'!$B$143,$I$2,TUSD!$BA$77:'TUSD'!$BA$143),SUMIF(TUSD!$A$77:'TUSD'!$A$143,$I$2,TUSD!$BA$77:'TUSD'!$BA$143)))))))</f>
        <v>5773.5014839654041</v>
      </c>
      <c r="U8" s="39">
        <f>IF($G$2&lt;&gt;"Não se aplica",SUMIF(TUSD!$G$77:'TUSD'!$G$143,$I$2,TUSD!$BB$77:'TUSD'!$BB$143),IF($F$2&lt;&gt;"Não se aplica",SUMIF(TUSD!$F$77:'TUSD'!$F$143,$I$2,TUSD!$BB$77:'TUSD'!$BB$143),IF($E$2&lt;&gt;"Não se aplica",SUMIF(TUSD!$E$77:'TUSD'!$E$143,$I$2,TUSD!$BB$77:'TUSD'!$BB$143),IF($D$2&lt;&gt;"Não se aplica",SUMIF(TUSD!$D$77:'TUSD'!$D$143,$I$2,TUSD!$BB$77:'TUSD'!$BB$143),IF($C$2&lt;&gt;"Não se aplica",SUMIF(TUSD!$C$77:'TUSD'!$C$143,$I$2,TUSD!$BB$77:'TUSD'!$BB$143),IF($B$2&lt;&gt;"Não se aplica",SUMIF(TUSD!$B$77:'TUSD'!$B$143,$I$2,TUSD!$BB$77:'TUSD'!$BB$143),SUMIF(TUSD!$A$77:'TUSD'!$A$143,$I$2,TUSD!$BB$77:'TUSD'!$BB$143)))))))</f>
        <v>117.13117279630056</v>
      </c>
      <c r="V8" s="39">
        <f>IF($G$2&lt;&gt;"Não se aplica",SUMIF(TUSD!$G$77:'TUSD'!$G$143,$I$2,TUSD!$BC$77:'TUSD'!$BC$143),IF($F$2&lt;&gt;"Não se aplica",SUMIF(TUSD!$F$77:'TUSD'!$F$143,$I$2,TUSD!$BC$77:'TUSD'!$BC$143),IF($E$2&lt;&gt;"Não se aplica",SUMIF(TUSD!$E$77:'TUSD'!$E$143,$I$2,TUSD!$BC$77:'TUSD'!$BC$143),IF($D$2&lt;&gt;"Não se aplica",SUMIF(TUSD!$D$77:'TUSD'!$D$143,$I$2,TUSD!$BC$77:'TUSD'!$BC$143),IF($C$2&lt;&gt;"Não se aplica",SUMIF(TUSD!$C$77:'TUSD'!$C$143,$I$2,TUSD!$BC$77:'TUSD'!$BC$143),IF($B$2&lt;&gt;"Não se aplica",SUMIF(TUSD!$B$77:'TUSD'!$B$143,$I$2,TUSD!$BC$77:'TUSD'!$BC$143),SUMIF(TUSD!$A$77:'TUSD'!$A$143,$I$2,TUSD!$BC$77:'TUSD'!$BC$143)))))))</f>
        <v>59391.35210722324</v>
      </c>
      <c r="W8" s="39">
        <f>IF($G$2&lt;&gt;"Não se aplica",SUMIF(TUSD!$G$77:'TUSD'!$G$143,$I$2,TUSD!$BD$77:'TUSD'!$BD$143),IF($F$2&lt;&gt;"Não se aplica",SUMIF(TUSD!$F$77:'TUSD'!$F$143,$I$2,TUSD!$BD$77:'TUSD'!$BD$143),IF($E$2&lt;&gt;"Não se aplica",SUMIF(TUSD!$E$77:'TUSD'!$E$143,$I$2,TUSD!$BD$77:'TUSD'!$BD$143),IF($D$2&lt;&gt;"Não se aplica",SUMIF(TUSD!$D$77:'TUSD'!$D$143,$I$2,TUSD!$BD$77:'TUSD'!$BD$143),IF($C$2&lt;&gt;"Não se aplica",SUMIF(TUSD!$C$77:'TUSD'!$C$143,$I$2,TUSD!$BD$77:'TUSD'!$BD$143),IF($B$2&lt;&gt;"Não se aplica",SUMIF(TUSD!$B$77:'TUSD'!$B$143,$I$2,TUSD!$BD$77:'TUSD'!$BD$143),SUMIF(TUSD!$A$77:'TUSD'!$A$143,$I$2,TUSD!$BD$77:'TUSD'!$BD$143)))))))</f>
        <v>9903.7640167233658</v>
      </c>
      <c r="X8" s="39">
        <f t="shared" si="0"/>
        <v>8844935.0446042661</v>
      </c>
      <c r="AA8" s="14" t="s">
        <v>37</v>
      </c>
      <c r="AD8" s="14" t="s">
        <v>94</v>
      </c>
      <c r="AG8" s="14" t="s">
        <v>90</v>
      </c>
    </row>
    <row r="9" spans="1:33" x14ac:dyDescent="0.2">
      <c r="A9" s="14" t="s">
        <v>1465</v>
      </c>
      <c r="B9" s="39">
        <f>IF($G$2&lt;&gt;"Não se aplica",SUMIF(TUSD!$G$77:'TUSD'!$G$143,$I$2,TUSD!$L$77:'TUSD'!$L$143),IF($F$2&lt;&gt;"Não se aplica",SUMIF(TUSD!$F$77:'TUSD'!$F$143,$I$2,TUSD!$L$77:'TUSD'!$L$143),IF($E$2&lt;&gt;"Não se aplica",SUMIF(TUSD!$E$77:'TUSD'!$E$143,$I$2,TUSD!$L$77:'TUSD'!$L$143),IF($D$2&lt;&gt;"Não se aplica",SUMIF(TUSD!$D$77:'TUSD'!$D$143,$I$2,TUSD!$L$77:'TUSD'!$L$143),IF($C$2&lt;&gt;"Não se aplica",SUMIF(TUSD!$C$77:'TUSD'!$C$143,$I$2,TUSD!$L$77:'TUSD'!$L$143),IF($B$2&lt;&gt;"Não se aplica",SUMIF(TUSD!$B$77:'TUSD'!$B$143,$I$2,TUSD!$L$77:'TUSD'!$L$143),SUMIF(TUSD!$A$77:'TUSD'!$A$143,$I$2,TUSD!$L$77:'TUSD'!$L$143)))))))</f>
        <v>484740.54891309649</v>
      </c>
      <c r="C9" s="39">
        <f>IF($G$2&lt;&gt;"Não se aplica",SUMIF(TUSD!$G$77:'TUSD'!$G$143,$I$2,TUSD!$M$77:'TUSD'!$M$143),IF($F$2&lt;&gt;"Não se aplica",SUMIF(TUSD!$F$77:'TUSD'!$F$143,$I$2,TUSD!$M$77:'TUSD'!$M$143),IF($E$2&lt;&gt;"Não se aplica",SUMIF(TUSD!$E$77:'TUSD'!$E$143,$I$2,TUSD!$M$77:'TUSD'!$M$143),IF($D$2&lt;&gt;"Não se aplica",SUMIF(TUSD!$D$77:'TUSD'!$D$143,$I$2,TUSD!$M$77:'TUSD'!$M$143),IF($C$2&lt;&gt;"Não se aplica",SUMIF(TUSD!$C$77:'TUSD'!$C$143,$I$2,TUSD!$M$77:'TUSD'!$M$143),IF($B$2&lt;&gt;"Não se aplica",SUMIF(TUSD!$B$77:'TUSD'!$B$143,$I$2,TUSD!$M$77:'TUSD'!$M$143),SUMIF(TUSD!$A$77:'TUSD'!$A$143,$I$2,TUSD!$M$77:'TUSD'!$M$143)))))))</f>
        <v>4744.9818837391331</v>
      </c>
      <c r="D9" s="39">
        <f ca="1">IF($G$2&lt;&gt;"Não se aplica",SUMIF(TUSD!$G$77:'TUSD'!$G$143,$I$2,TUSD!$N$77:'TUSD'!$N$143),IF($F$2&lt;&gt;"Não se aplica",SUMIF(TUSD!$F$77:'TUSD'!$F$143,$I$2,TUSD!$N$77:'TUSD'!$N$143),IF($E$2&lt;&gt;"Não se aplica",SUMIF(TUSD!$E$77:'TUSD'!$E$143,$I$2,TUSD!$N$77:'TUSD'!$N$143),IF($D$2&lt;&gt;"Não se aplica",SUMIF(TUSD!$D$77:'TUSD'!$D$143,$I$2,TUSD!$N$77:'TUSD'!$N$143),IF($C$2&lt;&gt;"Não se aplica",SUMIF(TUSD!$C$77:'TUSD'!$C$143,$I$2,TUSD!$N$77:'TUSD'!$N$143),IF($B$2&lt;&gt;"Não se aplica",SUMIF(TUSD!$B$77:'TUSD'!$B$143,$I$2,TUSD!$N$77:'TUSD'!$N$143),SUMIF(TUSD!$A$77:'TUSD'!$A$143,$I$2,TUSD!$N$77:'TUSD'!$N$143)))))))</f>
        <v>4819.1025524845672</v>
      </c>
      <c r="E9" s="39">
        <f>IF($G$2&lt;&gt;"Não se aplica",SUMIF(TUSD!$G$77:'TUSD'!$G$143,$I$2,TUSD!$O$77:'TUSD'!$O$143),IF($F$2&lt;&gt;"Não se aplica",SUMIF(TUSD!$F$77:'TUSD'!$F$143,$I$2,TUSD!$O$77:'TUSD'!$O$143),IF($E$2&lt;&gt;"Não se aplica",SUMIF(TUSD!$E$77:'TUSD'!$E$143,$I$2,TUSD!$O$77:'TUSD'!$O$143),IF($D$2&lt;&gt;"Não se aplica",SUMIF(TUSD!$D$77:'TUSD'!$D$143,$I$2,TUSD!$O$77:'TUSD'!$O$143),IF($C$2&lt;&gt;"Não se aplica",SUMIF(TUSD!$C$77:'TUSD'!$C$143,$I$2,TUSD!$O$77:'TUSD'!$O$143),IF($B$2&lt;&gt;"Não se aplica",SUMIF(TUSD!$B$77:'TUSD'!$B$143,$I$2,TUSD!$O$77:'TUSD'!$O$143),SUMIF(TUSD!$A$77:'TUSD'!$A$143,$I$2,TUSD!$O$77:'TUSD'!$O$143)))))))</f>
        <v>0</v>
      </c>
      <c r="F9" s="39">
        <f>IF($G$2&lt;&gt;"Não se aplica",SUMIF(TUSD!$G$77:'TUSD'!$G$143,$I$2,TUSD!$P$77:'TUSD'!$P$143),IF($F$2&lt;&gt;"Não se aplica",SUMIF(TUSD!$F$77:'TUSD'!$F$143,$I$2,TUSD!$P$77:'TUSD'!$P$143),IF($E$2&lt;&gt;"Não se aplica",SUMIF(TUSD!$E$77:'TUSD'!$E$143,$I$2,TUSD!$P$77:'TUSD'!$P$143),IF($D$2&lt;&gt;"Não se aplica",SUMIF(TUSD!$D$77:'TUSD'!$D$143,$I$2,TUSD!$P$77:'TUSD'!$P$143),IF($C$2&lt;&gt;"Não se aplica",SUMIF(TUSD!$C$77:'TUSD'!$C$143,$I$2,TUSD!$P$77:'TUSD'!$P$143),IF($B$2&lt;&gt;"Não se aplica",SUMIF(TUSD!$B$77:'TUSD'!$B$143,$I$2,TUSD!$P$77:'TUSD'!$P$143),SUMIF(TUSD!$A$77:'TUSD'!$A$143,$I$2,TUSD!$P$77:'TUSD'!$P$143)))))))</f>
        <v>0</v>
      </c>
      <c r="G9" s="39">
        <f>IF($G$2&lt;&gt;"Não se aplica",SUMIF(TUSD!$G$77:'TUSD'!$G$143,$I$2,TUSD!$Q$77:'TUSD'!$Q$143),IF($F$2&lt;&gt;"Não se aplica",SUMIF(TUSD!$F$77:'TUSD'!$F$143,$I$2,TUSD!$Q$77:'TUSD'!$Q$143),IF($E$2&lt;&gt;"Não se aplica",SUMIF(TUSD!$E$77:'TUSD'!$E$143,$I$2,TUSD!$Q$77:'TUSD'!$Q$143),IF($D$2&lt;&gt;"Não se aplica",SUMIF(TUSD!$D$77:'TUSD'!$D$143,$I$2,TUSD!$Q$77:'TUSD'!$Q$143),IF($C$2&lt;&gt;"Não se aplica",SUMIF(TUSD!$C$77:'TUSD'!$C$143,$I$2,TUSD!$Q$77:'TUSD'!$Q$143),IF($B$2&lt;&gt;"Não se aplica",SUMIF(TUSD!$B$77:'TUSD'!$B$143,$I$2,TUSD!$Q$77:'TUSD'!$Q$143),SUMIF(TUSD!$A$77:'TUSD'!$A$143,$I$2,TUSD!$Q$77:'TUSD'!$Q$143)))))))</f>
        <v>7893502.0581757436</v>
      </c>
      <c r="H9" s="39">
        <f>IF($G$2&lt;&gt;"Não se aplica",SUMIF(TUSD!$G$77:'TUSD'!$G$143,$I$2,TUSD!$R$77:'TUSD'!$R$143),IF($F$2&lt;&gt;"Não se aplica",SUMIF(TUSD!$F$77:'TUSD'!$F$143,$I$2,TUSD!$R$77:'TUSD'!$R$143),IF($E$2&lt;&gt;"Não se aplica",SUMIF(TUSD!$E$77:'TUSD'!$E$143,$I$2,TUSD!$R$77:'TUSD'!$R$143),IF($D$2&lt;&gt;"Não se aplica",SUMIF(TUSD!$D$77:'TUSD'!$D$143,$I$2,TUSD!$R$77:'TUSD'!$R$143),IF($C$2&lt;&gt;"Não se aplica",SUMIF(TUSD!$C$77:'TUSD'!$C$143,$I$2,TUSD!$R$77:'TUSD'!$R$143),IF($B$2&lt;&gt;"Não se aplica",SUMIF(TUSD!$B$77:'TUSD'!$B$143,$I$2,TUSD!$R$77:'TUSD'!$R$143),SUMIF(TUSD!$A$77:'TUSD'!$A$143,$I$2,TUSD!$R$77:'TUSD'!$R$143)))))))</f>
        <v>2180317.7846097541</v>
      </c>
      <c r="I9" s="39">
        <f>IF($G$2&lt;&gt;"Não se aplica",SUMIF(TUSD!$G$77:'TUSD'!$G$143,$I$2,TUSD!$S$77:'TUSD'!$S$143),IF($F$2&lt;&gt;"Não se aplica",SUMIF(TUSD!$F$77:'TUSD'!$F$143,$I$2,TUSD!$S$77:'TUSD'!$S$143),IF($E$2&lt;&gt;"Não se aplica",SUMIF(TUSD!$E$77:'TUSD'!$E$143,$I$2,TUSD!$S$77:'TUSD'!$S$143),IF($D$2&lt;&gt;"Não se aplica",SUMIF(TUSD!$D$77:'TUSD'!$D$143,$I$2,TUSD!$S$77:'TUSD'!$S$143),IF($C$2&lt;&gt;"Não se aplica",SUMIF(TUSD!$C$77:'TUSD'!$C$143,$I$2,TUSD!$S$77:'TUSD'!$S$143),IF($B$2&lt;&gt;"Não se aplica",SUMIF(TUSD!$B$77:'TUSD'!$B$143,$I$2,TUSD!$S$77:'TUSD'!$S$143),SUMIF(TUSD!$A$77:'TUSD'!$A$143,$I$2,TUSD!$S$77:'TUSD'!$S$143)))))))</f>
        <v>0</v>
      </c>
      <c r="J9" s="39">
        <f>IF($G$2&lt;&gt;"Não se aplica",SUMIF(TUSD!$G$77:'TUSD'!$G$143,$I$2,TUSD!$T$77:'TUSD'!$T$143),IF($F$2&lt;&gt;"Não se aplica",SUMIF(TUSD!$F$77:'TUSD'!$F$143,$I$2,TUSD!$T$77:'TUSD'!$T$143),IF($E$2&lt;&gt;"Não se aplica",SUMIF(TUSD!$E$77:'TUSD'!$E$143,$I$2,TUSD!$T$77:'TUSD'!$T$143),IF($D$2&lt;&gt;"Não se aplica",SUMIF(TUSD!$D$77:'TUSD'!$D$143,$I$2,TUSD!$T$77:'TUSD'!$T$143),IF($C$2&lt;&gt;"Não se aplica",SUMIF(TUSD!$C$77:'TUSD'!$C$143,$I$2,TUSD!$T$77:'TUSD'!$T$143),IF($B$2&lt;&gt;"Não se aplica",SUMIF(TUSD!$B$77:'TUSD'!$B$143,$I$2,TUSD!$T$77:'TUSD'!$T$143),SUMIF(TUSD!$A$77:'TUSD'!$A$143,$I$2,TUSD!$T$77:'TUSD'!$T$143)))))))</f>
        <v>1584152.1470622546</v>
      </c>
      <c r="K9" s="39">
        <f>IF($G$2&lt;&gt;"Não se aplica",SUMIF(TUSD!$G$77:'TUSD'!$G$143,$I$2,TUSD!$U$77:'TUSD'!$U$143),IF($F$2&lt;&gt;"Não se aplica",SUMIF(TUSD!$F$77:'TUSD'!$F$143,$I$2,TUSD!$U$77:'TUSD'!$U$143),IF($E$2&lt;&gt;"Não se aplica",SUMIF(TUSD!$E$77:'TUSD'!$E$143,$I$2,TUSD!$U$77:'TUSD'!$U$143),IF($D$2&lt;&gt;"Não se aplica",SUMIF(TUSD!$D$77:'TUSD'!$D$143,$I$2,TUSD!$U$77:'TUSD'!$U$143),IF($C$2&lt;&gt;"Não se aplica",SUMIF(TUSD!$C$77:'TUSD'!$C$143,$I$2,TUSD!$U$77:'TUSD'!$U$143),IF($B$2&lt;&gt;"Não se aplica",SUMIF(TUSD!$B$77:'TUSD'!$B$143,$I$2,TUSD!$U$77:'TUSD'!$U$143),SUMIF(TUSD!$A$77:'TUSD'!$A$143,$I$2,TUSD!$U$77:'TUSD'!$U$143)))))))</f>
        <v>321309.96401695831</v>
      </c>
      <c r="L9" s="39">
        <f>IF($G$2&lt;&gt;"Não se aplica",SUMIF(TUSD!$G$77:'TUSD'!$G$143,$I$2,TUSD!$V$77:'TUSD'!$V$143),IF($F$2&lt;&gt;"Não se aplica",SUMIF(TUSD!$F$77:'TUSD'!$F$143,$I$2,TUSD!$V$77:'TUSD'!$V$143),IF($E$2&lt;&gt;"Não se aplica",SUMIF(TUSD!$E$77:'TUSD'!$E$143,$I$2,TUSD!$V$77:'TUSD'!$V$143),IF($D$2&lt;&gt;"Não se aplica",SUMIF(TUSD!$D$77:'TUSD'!$D$143,$I$2,TUSD!$V$77:'TUSD'!$V$143),IF($C$2&lt;&gt;"Não se aplica",SUMIF(TUSD!$C$77:'TUSD'!$C$143,$I$2,TUSD!$V$77:'TUSD'!$V$143),IF($B$2&lt;&gt;"Não se aplica",SUMIF(TUSD!$B$77:'TUSD'!$B$143,$I$2,TUSD!$V$77:'TUSD'!$V$143),SUMIF(TUSD!$A$77:'TUSD'!$A$143,$I$2,TUSD!$V$77:'TUSD'!$V$143)))))))</f>
        <v>45522.473736288419</v>
      </c>
      <c r="M9" s="39">
        <f>IF($G$2&lt;&gt;"Não se aplica",SUMIF(TUSD!$G$77:'TUSD'!$G$143,$I$2,TUSD!$W$77:'TUSD'!$W$143),IF($F$2&lt;&gt;"Não se aplica",SUMIF(TUSD!$F$77:'TUSD'!$F$143,$I$2,TUSD!$W$77:'TUSD'!$W$143),IF($E$2&lt;&gt;"Não se aplica",SUMIF(TUSD!$E$77:'TUSD'!$E$143,$I$2,TUSD!$W$77:'TUSD'!$W$143),IF($D$2&lt;&gt;"Não se aplica",SUMIF(TUSD!$D$77:'TUSD'!$D$143,$I$2,TUSD!$W$77:'TUSD'!$W$143),IF($C$2&lt;&gt;"Não se aplica",SUMIF(TUSD!$C$77:'TUSD'!$C$143,$I$2,TUSD!$W$77:'TUSD'!$W$143),IF($B$2&lt;&gt;"Não se aplica",SUMIF(TUSD!$B$77:'TUSD'!$B$143,$I$2,TUSD!$W$77:'TUSD'!$W$143),SUMIF(TUSD!$A$77:'TUSD'!$A$143,$I$2,TUSD!$W$77:'TUSD'!$W$143)))))))</f>
        <v>0</v>
      </c>
      <c r="N9" s="39">
        <f>IF($G$2&lt;&gt;"Não se aplica",SUMIF(TUSD!$G$77:'TUSD'!$G$143,$I$2,TUSD!$X$77:'TUSD'!$X$143),IF($F$2&lt;&gt;"Não se aplica",SUMIF(TUSD!$F$77:'TUSD'!$F$143,$I$2,TUSD!$X$77:'TUSD'!$X$143),IF($E$2&lt;&gt;"Não se aplica",SUMIF(TUSD!$E$77:'TUSD'!$E$143,$I$2,TUSD!$X$77:'TUSD'!$X$143),IF($D$2&lt;&gt;"Não se aplica",SUMIF(TUSD!$D$77:'TUSD'!$D$143,$I$2,TUSD!$X$77:'TUSD'!$X$143),IF($C$2&lt;&gt;"Não se aplica",SUMIF(TUSD!$C$77:'TUSD'!$C$143,$I$2,TUSD!$X$77:'TUSD'!$X$143),IF($B$2&lt;&gt;"Não se aplica",SUMIF(TUSD!$B$77:'TUSD'!$B$143,$I$2,TUSD!$X$77:'TUSD'!$X$143),SUMIF(TUSD!$A$77:'TUSD'!$A$143,$I$2,TUSD!$X$77:'TUSD'!$X$143)))))))</f>
        <v>0</v>
      </c>
      <c r="O9" s="39">
        <f>IF($G$2&lt;&gt;"Não se aplica",SUMIF(TUSD!$G$77:'TUSD'!$G$143,$I$2,TUSD!$Y$77:'TUSD'!$Y$143),IF($F$2&lt;&gt;"Não se aplica",SUMIF(TUSD!$F$77:'TUSD'!$F$143,$I$2,TUSD!$Y$77:'TUSD'!$Y$143),IF($E$2&lt;&gt;"Não se aplica",SUMIF(TUSD!$E$77:'TUSD'!$E$143,$I$2,TUSD!$Y$77:'TUSD'!$Y$143),IF($D$2&lt;&gt;"Não se aplica",SUMIF(TUSD!$D$77:'TUSD'!$D$143,$I$2,TUSD!$Y$77:'TUSD'!$Y$143),IF($C$2&lt;&gt;"Não se aplica",SUMIF(TUSD!$C$77:'TUSD'!$C$143,$I$2,TUSD!$Y$77:'TUSD'!$Y$143),IF($B$2&lt;&gt;"Não se aplica",SUMIF(TUSD!$B$77:'TUSD'!$B$143,$I$2,TUSD!$Y$77:'TUSD'!$Y$143),SUMIF(TUSD!$A$77:'TUSD'!$A$143,$I$2,TUSD!$Y$77:'TUSD'!$Y$143)))))))</f>
        <v>0</v>
      </c>
      <c r="P9" s="39">
        <f>IF($G$2&lt;&gt;"Não se aplica",SUMIF(TUSD!$G$77:'TUSD'!$G$143,$I$2,TUSD!$Z$77:'TUSD'!$Z$143),IF($F$2&lt;&gt;"Não se aplica",SUMIF(TUSD!$F$77:'TUSD'!$F$143,$I$2,TUSD!$Z$77:'TUSD'!$Z$143),IF($E$2&lt;&gt;"Não se aplica",SUMIF(TUSD!$E$77:'TUSD'!$E$143,$I$2,TUSD!$Z$77:'TUSD'!$Z$143),IF($D$2&lt;&gt;"Não se aplica",SUMIF(TUSD!$D$77:'TUSD'!$D$143,$I$2,TUSD!$Z$77:'TUSD'!$Z$143),IF($C$2&lt;&gt;"Não se aplica",SUMIF(TUSD!$C$77:'TUSD'!$C$143,$I$2,TUSD!$Z$77:'TUSD'!$Z$143),IF($B$2&lt;&gt;"Não se aplica",SUMIF(TUSD!$B$77:'TUSD'!$B$143,$I$2,TUSD!$Z$77:'TUSD'!$Z$143),SUMIF(TUSD!$A$77:'TUSD'!$A$143,$I$2,TUSD!$Z$77:'TUSD'!$Z$143)))))))</f>
        <v>0</v>
      </c>
      <c r="Q9" s="39">
        <f>IF($G$2&lt;&gt;"Não se aplica",SUMIF(TUSD!$G$77:'TUSD'!$G$143,$I$2,TUSD!$AA$77:'TUSD'!$AA$143),IF($F$2&lt;&gt;"Não se aplica",SUMIF(TUSD!$F$77:'TUSD'!$F$143,$I$2,TUSD!$AA$77:'TUSD'!$AA$143),IF($E$2&lt;&gt;"Não se aplica",SUMIF(TUSD!$E$77:'TUSD'!$E$143,$I$2,TUSD!$AA$77:'TUSD'!$AA$143),IF($D$2&lt;&gt;"Não se aplica",SUMIF(TUSD!$D$77:'TUSD'!$D$143,$I$2,TUSD!$AA$77:'TUSD'!$AA$143),IF($C$2&lt;&gt;"Não se aplica",SUMIF(TUSD!$C$77:'TUSD'!$C$143,$I$2,TUSD!$AA$77:'TUSD'!$AA$143),IF($B$2&lt;&gt;"Não se aplica",SUMIF(TUSD!$B$77:'TUSD'!$B$143,$I$2,TUSD!$AA$77:'TUSD'!$AA$143),SUMIF(TUSD!$A$77:'TUSD'!$A$143,$I$2,TUSD!$AA$77:'TUSD'!$AA$143)))))))</f>
        <v>919204.50887858681</v>
      </c>
      <c r="R9" s="39">
        <f ca="1">IF($G$2&lt;&gt;"Não se aplica",SUMIF(TUSD!$G$77:'TUSD'!$G$143,$I$2,TUSD!$AB$77:'TUSD'!$AB$143),IF($F$2&lt;&gt;"Não se aplica",SUMIF(TUSD!$F$77:'TUSD'!$F$143,$I$2,TUSD!$AB$77:'TUSD'!$AB$143),IF($E$2&lt;&gt;"Não se aplica",SUMIF(TUSD!$E$77:'TUSD'!$E$143,$I$2,TUSD!$AB$77:'TUSD'!$AB$143),IF($D$2&lt;&gt;"Não se aplica",SUMIF(TUSD!$D$77:'TUSD'!$D$143,$I$2,TUSD!$AB$77:'TUSD'!$AB$143),IF($C$2&lt;&gt;"Não se aplica",SUMIF(TUSD!$C$77:'TUSD'!$C$143,$I$2,TUSD!$AB$77:'TUSD'!$AB$143),IF($B$2&lt;&gt;"Não se aplica",SUMIF(TUSD!$B$77:'TUSD'!$B$143,$I$2,TUSD!$AB$77:'TUSD'!$AB$143),SUMIF(TUSD!$A$77:'TUSD'!$A$143,$I$2,TUSD!$AB$77:'TUSD'!$AB$143)))))))</f>
        <v>0</v>
      </c>
      <c r="S9" s="39">
        <f ca="1">IF($G$2&lt;&gt;"Não se aplica",SUMIF(TUSD!$G$77:'TUSD'!$G$143,$I$2,TUSD!$AC$77:'TUSD'!$AC$143),IF($F$2&lt;&gt;"Não se aplica",SUMIF(TUSD!$F$77:'TUSD'!$F$143,$I$2,TUSD!$AC$77:'TUSD'!$AC$143),IF($E$2&lt;&gt;"Não se aplica",SUMIF(TUSD!$E$77:'TUSD'!$E$143,$I$2,TUSD!$AC$77:'TUSD'!$AC$143),IF($D$2&lt;&gt;"Não se aplica",SUMIF(TUSD!$D$77:'TUSD'!$D$143,$I$2,TUSD!$AC$77:'TUSD'!$AC$143),IF($C$2&lt;&gt;"Não se aplica",SUMIF(TUSD!$C$77:'TUSD'!$C$143,$I$2,TUSD!$AC$77:'TUSD'!$AC$143),IF($B$2&lt;&gt;"Não se aplica",SUMIF(TUSD!$B$77:'TUSD'!$B$143,$I$2,TUSD!$AC$77:'TUSD'!$AC$143),SUMIF(TUSD!$A$77:'TUSD'!$A$143,$I$2,TUSD!$AC$77:'TUSD'!$AC$143)))))))</f>
        <v>0</v>
      </c>
      <c r="T9" s="39">
        <f>IF($G$2&lt;&gt;"Não se aplica",SUMIF(TUSD!$G$77:'TUSD'!$G$143,$I$2,TUSD!$AD$77:'TUSD'!$AD$143),IF($F$2&lt;&gt;"Não se aplica",SUMIF(TUSD!$F$77:'TUSD'!$F$143,$I$2,TUSD!$AD$77:'TUSD'!$AD$143),IF($E$2&lt;&gt;"Não se aplica",SUMIF(TUSD!$E$77:'TUSD'!$E$143,$I$2,TUSD!$AD$77:'TUSD'!$AD$143),IF($D$2&lt;&gt;"Não se aplica",SUMIF(TUSD!$D$77:'TUSD'!$D$143,$I$2,TUSD!$AD$77:'TUSD'!$AD$143),IF($C$2&lt;&gt;"Não se aplica",SUMIF(TUSD!$C$77:'TUSD'!$C$143,$I$2,TUSD!$AD$77:'TUSD'!$AD$143),IF($B$2&lt;&gt;"Não se aplica",SUMIF(TUSD!$B$77:'TUSD'!$B$143,$I$2,TUSD!$AD$77:'TUSD'!$AD$143),SUMIF(TUSD!$A$77:'TUSD'!$A$143,$I$2,TUSD!$AD$77:'TUSD'!$AD$143)))))))</f>
        <v>6838.2950227176734</v>
      </c>
      <c r="U9" s="39">
        <f>IF($G$2&lt;&gt;"Não se aplica",SUMIF(TUSD!$G$77:'TUSD'!$G$143,$I$2,TUSD!$AE$77:'TUSD'!$AE$143),IF($F$2&lt;&gt;"Não se aplica",SUMIF(TUSD!$F$77:'TUSD'!$F$143,$I$2,TUSD!$AE$77:'TUSD'!$AE$143),IF($E$2&lt;&gt;"Não se aplica",SUMIF(TUSD!$E$77:'TUSD'!$E$143,$I$2,TUSD!$AE$77:'TUSD'!$AE$143),IF($D$2&lt;&gt;"Não se aplica",SUMIF(TUSD!$D$77:'TUSD'!$D$143,$I$2,TUSD!$AE$77:'TUSD'!$AE$143),IF($C$2&lt;&gt;"Não se aplica",SUMIF(TUSD!$C$77:'TUSD'!$C$143,$I$2,TUSD!$AE$77:'TUSD'!$AE$143),IF($B$2&lt;&gt;"Não se aplica",SUMIF(TUSD!$B$77:'TUSD'!$B$143,$I$2,TUSD!$AE$77:'TUSD'!$AE$143),SUMIF(TUSD!$A$77:'TUSD'!$A$143,$I$2,TUSD!$AE$77:'TUSD'!$AE$143)))))))</f>
        <v>118.51505836745251</v>
      </c>
      <c r="V9" s="39">
        <f ca="1">IF($G$2&lt;&gt;"Não se aplica",SUMIF(TUSD!$G$77:'TUSD'!$G$143,$I$2,TUSD!$AF$77:'TUSD'!$AF$143),IF($F$2&lt;&gt;"Não se aplica",SUMIF(TUSD!$F$77:'TUSD'!$F$143,$I$2,TUSD!$AF$77:'TUSD'!$AF$143),IF($E$2&lt;&gt;"Não se aplica",SUMIF(TUSD!$E$77:'TUSD'!$E$143,$I$2,TUSD!$AF$77:'TUSD'!$AF$143),IF($D$2&lt;&gt;"Não se aplica",SUMIF(TUSD!$D$77:'TUSD'!$D$143,$I$2,TUSD!$AF$77:'TUSD'!$AF$143),IF($C$2&lt;&gt;"Não se aplica",SUMIF(TUSD!$C$77:'TUSD'!$C$143,$I$2,TUSD!$AF$77:'TUSD'!$AF$143),IF($B$2&lt;&gt;"Não se aplica",SUMIF(TUSD!$B$77:'TUSD'!$B$143,$I$2,TUSD!$AF$77:'TUSD'!$AF$143),SUMIF(TUSD!$A$77:'TUSD'!$A$143,$I$2,TUSD!$AF$77:'TUSD'!$AF$143)))))))</f>
        <v>70389.339495242093</v>
      </c>
      <c r="W9" s="39">
        <f ca="1">IF($G$2&lt;&gt;"Não se aplica",SUMIF(TUSD!$G$77:'TUSD'!$G$143,$I$2,TUSD!$AG$77:'TUSD'!$AG$143),IF($F$2&lt;&gt;"Não se aplica",SUMIF(TUSD!$F$77:'TUSD'!$F$143,$I$2,TUSD!$AG$77:'TUSD'!$AG$143),IF($E$2&lt;&gt;"Não se aplica",SUMIF(TUSD!$E$77:'TUSD'!$E$143,$I$2,TUSD!$AG$77:'TUSD'!$AG$143),IF($D$2&lt;&gt;"Não se aplica",SUMIF(TUSD!$D$77:'TUSD'!$D$143,$I$2,TUSD!$AG$77:'TUSD'!$AG$143),IF($C$2&lt;&gt;"Não se aplica",SUMIF(TUSD!$C$77:'TUSD'!$C$143,$I$2,TUSD!$AG$77:'TUSD'!$AG$143),IF($B$2&lt;&gt;"Não se aplica",SUMIF(TUSD!$B$77:'TUSD'!$B$143,$I$2,TUSD!$AG$77:'TUSD'!$AG$143),SUMIF(TUSD!$A$77:'TUSD'!$A$143,$I$2,TUSD!$AG$77:'TUSD'!$AG$143)))))))</f>
        <v>9758.7301374778981</v>
      </c>
      <c r="X9" s="39">
        <f t="shared" ca="1" si="0"/>
        <v>13525418.449542711</v>
      </c>
      <c r="AA9" s="14" t="s">
        <v>47</v>
      </c>
      <c r="AD9" s="14" t="s">
        <v>49</v>
      </c>
    </row>
    <row r="10" spans="1:33" x14ac:dyDescent="0.2">
      <c r="A10" s="14" t="s">
        <v>1462</v>
      </c>
      <c r="B10" s="39">
        <f>SUMIF(TUSD!$A$77:'TUSD'!$A$143,$A$2,TUSD!$AI$77:'TUSD'!$AI$143)</f>
        <v>531126.71147429687</v>
      </c>
      <c r="C10" s="39">
        <f>SUMIF(TUSD!$A$77:'TUSD'!$A$143,$A$2,TUSD!$AJ$77:'TUSD'!$AJ$143)</f>
        <v>4395.32718464341</v>
      </c>
      <c r="D10" s="39">
        <f>SUMIF(TUSD!$A$77:'TUSD'!$A$143,$A$2,TUSD!$AK$77:'TUSD'!$AK$143)</f>
        <v>3665.1695322087944</v>
      </c>
      <c r="E10" s="39">
        <f>SUMIF(TUSD!$A$77:'TUSD'!$A$143,$A$2,TUSD!$AL$77:'TUSD'!$AL$143)</f>
        <v>0</v>
      </c>
      <c r="F10" s="39">
        <f>SUMIF(TUSD!$A$77:'TUSD'!$A$143,$A$2,TUSD!$AM$77:'TUSD'!$AM$143)</f>
        <v>0</v>
      </c>
      <c r="G10" s="39">
        <f>SUMIF(TUSD!$A$77:'TUSD'!$A$143,$A$2,TUSD!$AN$77:'TUSD'!$AN$143)</f>
        <v>4543105.580850834</v>
      </c>
      <c r="H10" s="39">
        <f>SUMIF(TUSD!$A$77:'TUSD'!$A$143,$A$2,TUSD!$AO$77:'TUSD'!$AO$143)</f>
        <v>1186194.6062962357</v>
      </c>
      <c r="I10" s="39">
        <f>SUMIF(TUSD!$A$77:'TUSD'!$A$143,$A$2,TUSD!$AP$77:'TUSD'!$AP$143)</f>
        <v>0</v>
      </c>
      <c r="J10" s="39">
        <f>SUMIF(TUSD!$A$77:'TUSD'!$A$143,$A$2,TUSD!$AQ$77:'TUSD'!$AQ$143)</f>
        <v>1313721.5179161713</v>
      </c>
      <c r="K10" s="39">
        <f>SUMIF(TUSD!$A$77:'TUSD'!$A$143,$A$2,TUSD!$AR$77:'TUSD'!$AR$143)</f>
        <v>379917.3121220271</v>
      </c>
      <c r="L10" s="39">
        <f>SUMIF(TUSD!$A$77:'TUSD'!$A$143,$A$2,TUSD!$AS$77:'TUSD'!$AS$143)</f>
        <v>4388.3839354197371</v>
      </c>
      <c r="M10" s="39">
        <f>SUMIF(TUSD!$A$77:'TUSD'!$A$143,$A$2,TUSD!$AT$77:'TUSD'!$AT$143)</f>
        <v>0</v>
      </c>
      <c r="N10" s="39">
        <f>SUMIF(TUSD!$A$77:'TUSD'!$A$143,$A$2,TUSD!$AU$77:'TUSD'!$AU$143)</f>
        <v>0</v>
      </c>
      <c r="O10" s="39">
        <f>SUMIF(TUSD!$A$77:'TUSD'!$A$143,$A$2,TUSD!$AV$77:'TUSD'!$AV$143)</f>
        <v>0</v>
      </c>
      <c r="P10" s="39">
        <f>SUMIF(TUSD!$A$77:'TUSD'!$A$143,$A$2,TUSD!$AW$77:'TUSD'!$AW$143)</f>
        <v>0</v>
      </c>
      <c r="Q10" s="39">
        <f>SUMIF(TUSD!$A$77:'TUSD'!$A$143,$A$2,TUSD!$AX$77:'TUSD'!$AX$143)</f>
        <v>803234.686511721</v>
      </c>
      <c r="R10" s="39">
        <f>SUMIF(TUSD!$A$77:'TUSD'!$A$143,$A$2,TUSD!$AY$77:'TUSD'!$AY$143)</f>
        <v>0</v>
      </c>
      <c r="S10" s="39">
        <f>SUMIF(TUSD!$A$77:'TUSD'!$A$143,$A$2,TUSD!$AZ$77:'TUSD'!$AZ$143)</f>
        <v>0</v>
      </c>
      <c r="T10" s="39">
        <f>SUMIF(TUSD!$A$77:'TUSD'!$A$143,$A$2,TUSD!$BA$77:'TUSD'!$BA$143)</f>
        <v>5773.5014839654041</v>
      </c>
      <c r="U10" s="39">
        <f>SUMIF(TUSD!$A$77:'TUSD'!$A$143,$A$2,TUSD!$BB$77:'TUSD'!$BB$143)</f>
        <v>117.13117279630056</v>
      </c>
      <c r="V10" s="39">
        <f>SUMIF(TUSD!$A$77:'TUSD'!$A$143,$A$2,TUSD!$BC$77:'TUSD'!$BC$143)</f>
        <v>59391.35210722324</v>
      </c>
      <c r="W10" s="39">
        <f>SUMIF(TUSD!$A$77:'TUSD'!$A$143,$A$2,TUSD!$BD$77:'TUSD'!$BD$143)</f>
        <v>9903.7640167233658</v>
      </c>
      <c r="X10" s="39">
        <f t="shared" si="0"/>
        <v>8844935.0446042661</v>
      </c>
      <c r="AD10" s="14" t="s">
        <v>95</v>
      </c>
    </row>
    <row r="11" spans="1:33" x14ac:dyDescent="0.2">
      <c r="A11" s="14" t="s">
        <v>1463</v>
      </c>
      <c r="B11" s="39">
        <f>SUMIF(TUSD!$A$77:'TUSD'!$A$143,$A$2,TUSD!$L$77:'TUSD'!$L$143)</f>
        <v>484740.54891309649</v>
      </c>
      <c r="C11" s="39">
        <f>SUMIF(TUSD!$A$77:'TUSD'!$A$143,$A$2,TUSD!$M$77:'TUSD'!$M$143)</f>
        <v>4744.9818837391331</v>
      </c>
      <c r="D11" s="39">
        <f ca="1">SUMIF(TUSD!$A$77:'TUSD'!$A$143,$A$2,TUSD!$N$77:'TUSD'!$N$143)</f>
        <v>4819.1025524845672</v>
      </c>
      <c r="E11" s="39">
        <f>SUMIF(TUSD!$A$77:'TUSD'!$A$143,$A$2,TUSD!$O$77:'TUSD'!$O$143)</f>
        <v>0</v>
      </c>
      <c r="F11" s="39">
        <f>SUMIF(TUSD!$A$77:'TUSD'!$A$143,$A$2,TUSD!$P$77:'TUSD'!$P$143)</f>
        <v>0</v>
      </c>
      <c r="G11" s="39">
        <f>SUMIF(TUSD!$A$77:'TUSD'!$A$143,$A$2,TUSD!$Q$77:'TUSD'!$Q$143)</f>
        <v>7893502.0581757436</v>
      </c>
      <c r="H11" s="39">
        <f>SUMIF(TUSD!$A$77:'TUSD'!$A$143,$A$2,TUSD!$R$77:'TUSD'!$R$143)</f>
        <v>2180317.7846097541</v>
      </c>
      <c r="I11" s="39">
        <f>SUMIF(TUSD!$A$77:'TUSD'!$A$143,$A$2,TUSD!$S$77:'TUSD'!$S$143)</f>
        <v>0</v>
      </c>
      <c r="J11" s="39">
        <f>SUMIF(TUSD!$A$77:'TUSD'!$A$143,$A$2,TUSD!$T$77:'TUSD'!$T$143)</f>
        <v>1584152.1470622546</v>
      </c>
      <c r="K11" s="39">
        <f>SUMIF(TUSD!$A$77:'TUSD'!$A$143,$A$2,TUSD!$U$77:'TUSD'!$U$143)</f>
        <v>321309.96401695831</v>
      </c>
      <c r="L11" s="39">
        <f>SUMIF(TUSD!$A$77:'TUSD'!$A$143,$A$2,TUSD!$V$77:'TUSD'!$V$143)</f>
        <v>45522.473736288419</v>
      </c>
      <c r="M11" s="39">
        <f>SUMIF(TUSD!$A$77:'TUSD'!$A$143,$A$2,TUSD!$W$77:'TUSD'!$W$143)</f>
        <v>0</v>
      </c>
      <c r="N11" s="39">
        <f>SUMIF(TUSD!$A$77:'TUSD'!$A$143,$A$2,TUSD!$X$77:'TUSD'!$X$143)</f>
        <v>0</v>
      </c>
      <c r="O11" s="39">
        <f>SUMIF(TUSD!$A$77:'TUSD'!$A$143,$A$2,TUSD!$Y$77:'TUSD'!$Y$143)</f>
        <v>0</v>
      </c>
      <c r="P11" s="39">
        <f>SUMIF(TUSD!$A$77:'TUSD'!$A$143,$A$2,TUSD!$Z$77:'TUSD'!$Z$143)</f>
        <v>0</v>
      </c>
      <c r="Q11" s="39">
        <f>SUMIF(TUSD!$A$77:'TUSD'!$A$143,$A$2,TUSD!$AA$77:'TUSD'!$AA$143)</f>
        <v>919204.50887858681</v>
      </c>
      <c r="R11" s="39">
        <f ca="1">SUMIF(TUSD!$A$77:'TUSD'!$A$143,$A$2,TUSD!$AB$77:'TUSD'!$AB$143)</f>
        <v>0</v>
      </c>
      <c r="S11" s="39">
        <f ca="1">SUMIF(TUSD!$A$77:'TUSD'!$A$143,$A$2,TUSD!$AC$77:'TUSD'!$AC$143)</f>
        <v>0</v>
      </c>
      <c r="T11" s="39">
        <f>SUMIF(TUSD!$A$77:'TUSD'!$A$143,$A$2,TUSD!$AD$77:'TUSD'!$AD$143)</f>
        <v>6838.2950227176734</v>
      </c>
      <c r="U11" s="39">
        <f>SUMIF(TUSD!$A$77:'TUSD'!$A$143,$A$2,TUSD!$AE$77:'TUSD'!$AE$143)</f>
        <v>118.51505836745251</v>
      </c>
      <c r="V11" s="39">
        <f ca="1">SUMIF(TUSD!$A$77:'TUSD'!$A$143,$A$2,TUSD!$AF$77:'TUSD'!$AF$143)</f>
        <v>70389.339495242093</v>
      </c>
      <c r="W11" s="39">
        <f ca="1">SUMIF(TUSD!$A$77:'TUSD'!$A$143,$A$2,TUSD!$AG$77:'TUSD'!$AG$143)</f>
        <v>9758.7301374778981</v>
      </c>
      <c r="X11" s="39">
        <f t="shared" ca="1" si="0"/>
        <v>13525418.449542711</v>
      </c>
    </row>
    <row r="13" spans="1:33" x14ac:dyDescent="0.2">
      <c r="A13" s="14" t="s">
        <v>1467</v>
      </c>
      <c r="B13" s="94">
        <f t="shared" ref="B13:X13" si="1">IF($X$6&lt;&gt;0,(B$7-B$6)/$X$6,0)</f>
        <v>-1.16771726838849E-3</v>
      </c>
      <c r="C13" s="94">
        <f t="shared" si="1"/>
        <v>3.9428482859399166E-4</v>
      </c>
      <c r="D13" s="94">
        <f t="shared" ca="1" si="1"/>
        <v>2.1347386150711483E-3</v>
      </c>
      <c r="E13" s="94">
        <f t="shared" si="1"/>
        <v>0</v>
      </c>
      <c r="F13" s="94">
        <f t="shared" si="1"/>
        <v>0</v>
      </c>
      <c r="G13" s="94">
        <f t="shared" si="1"/>
        <v>0.20327522993304301</v>
      </c>
      <c r="H13" s="94">
        <f t="shared" si="1"/>
        <v>4.1393301310542287E-2</v>
      </c>
      <c r="I13" s="94">
        <f t="shared" si="1"/>
        <v>0</v>
      </c>
      <c r="J13" s="94">
        <f t="shared" si="1"/>
        <v>1.9562227821649254E-2</v>
      </c>
      <c r="K13" s="94">
        <f t="shared" si="1"/>
        <v>-4.0874111113562654E-3</v>
      </c>
      <c r="L13" s="94">
        <f t="shared" si="1"/>
        <v>3.0150724263605425E-3</v>
      </c>
      <c r="M13" s="94">
        <f t="shared" si="1"/>
        <v>0</v>
      </c>
      <c r="N13" s="94">
        <f t="shared" si="1"/>
        <v>0</v>
      </c>
      <c r="O13" s="94">
        <f t="shared" si="1"/>
        <v>0</v>
      </c>
      <c r="P13" s="94">
        <f t="shared" si="1"/>
        <v>0</v>
      </c>
      <c r="Q13" s="94">
        <f t="shared" si="1"/>
        <v>6.9115751617170665E-2</v>
      </c>
      <c r="R13" s="94">
        <f t="shared" ca="1" si="1"/>
        <v>0</v>
      </c>
      <c r="S13" s="94">
        <f t="shared" ca="1" si="1"/>
        <v>0</v>
      </c>
      <c r="T13" s="94">
        <f t="shared" si="1"/>
        <v>9.7033506807989011E-3</v>
      </c>
      <c r="U13" s="94">
        <f t="shared" si="1"/>
        <v>1.355996394571322E-5</v>
      </c>
      <c r="V13" s="94">
        <f t="shared" ca="1" si="1"/>
        <v>8.6225547753973327E-4</v>
      </c>
      <c r="W13" s="94">
        <f t="shared" ca="1" si="1"/>
        <v>-6.1145075127220429E-5</v>
      </c>
      <c r="X13" s="94">
        <f t="shared" ca="1" si="1"/>
        <v>0.34415349921984351</v>
      </c>
    </row>
    <row r="14" spans="1:33" x14ac:dyDescent="0.2">
      <c r="A14" s="14" t="s">
        <v>1468</v>
      </c>
      <c r="B14" s="94">
        <f t="shared" ref="B14:X14" si="2">IF($X$10&lt;&gt;0,(B$9-B$8)/$X$10,0)</f>
        <v>-5.2443757164161017E-3</v>
      </c>
      <c r="C14" s="94">
        <f t="shared" si="2"/>
        <v>3.9531629947811239E-5</v>
      </c>
      <c r="D14" s="94">
        <f t="shared" ca="1" si="2"/>
        <v>1.3046257710843385E-4</v>
      </c>
      <c r="E14" s="94">
        <f t="shared" si="2"/>
        <v>0</v>
      </c>
      <c r="F14" s="94">
        <f t="shared" si="2"/>
        <v>0</v>
      </c>
      <c r="G14" s="94">
        <f t="shared" si="2"/>
        <v>0.37879266048073174</v>
      </c>
      <c r="H14" s="94">
        <f t="shared" si="2"/>
        <v>0.11239462735455247</v>
      </c>
      <c r="I14" s="94">
        <f t="shared" si="2"/>
        <v>0</v>
      </c>
      <c r="J14" s="94">
        <f t="shared" si="2"/>
        <v>3.057463144526492E-2</v>
      </c>
      <c r="K14" s="94">
        <f t="shared" si="2"/>
        <v>-6.6260914081920147E-3</v>
      </c>
      <c r="L14" s="94">
        <f t="shared" si="2"/>
        <v>4.6505813319637638E-3</v>
      </c>
      <c r="M14" s="94">
        <f t="shared" si="2"/>
        <v>0</v>
      </c>
      <c r="N14" s="94">
        <f t="shared" si="2"/>
        <v>0</v>
      </c>
      <c r="O14" s="94">
        <f t="shared" si="2"/>
        <v>0</v>
      </c>
      <c r="P14" s="94">
        <f t="shared" si="2"/>
        <v>0</v>
      </c>
      <c r="Q14" s="94">
        <f t="shared" si="2"/>
        <v>1.3111438555742889E-2</v>
      </c>
      <c r="R14" s="94">
        <f t="shared" ca="1" si="2"/>
        <v>0</v>
      </c>
      <c r="S14" s="94">
        <f t="shared" ca="1" si="2"/>
        <v>0</v>
      </c>
      <c r="T14" s="94">
        <f t="shared" si="2"/>
        <v>1.2038455154080892E-4</v>
      </c>
      <c r="U14" s="94">
        <f t="shared" si="2"/>
        <v>1.5646079526566687E-7</v>
      </c>
      <c r="V14" s="94">
        <f t="shared" ca="1" si="2"/>
        <v>1.2434220638768883E-3</v>
      </c>
      <c r="W14" s="94">
        <f t="shared" ca="1" si="2"/>
        <v>-1.6397393368529447E-5</v>
      </c>
      <c r="X14" s="94">
        <f t="shared" ca="1" si="2"/>
        <v>0.52917103193354831</v>
      </c>
    </row>
    <row r="15" spans="1:33" x14ac:dyDescent="0.2">
      <c r="A15" s="14" t="s">
        <v>1469</v>
      </c>
      <c r="B15" s="94">
        <f t="shared" ref="B15:X15" si="3">IF($X$8&lt;&gt;0,(B$9-B$8)/$X$8,0)</f>
        <v>-5.2443757164161017E-3</v>
      </c>
      <c r="C15" s="94">
        <f t="shared" si="3"/>
        <v>3.9531629947811239E-5</v>
      </c>
      <c r="D15" s="94">
        <f t="shared" ca="1" si="3"/>
        <v>1.3046257710843385E-4</v>
      </c>
      <c r="E15" s="94">
        <f t="shared" si="3"/>
        <v>0</v>
      </c>
      <c r="F15" s="94">
        <f t="shared" si="3"/>
        <v>0</v>
      </c>
      <c r="G15" s="94">
        <f t="shared" si="3"/>
        <v>0.37879266048073174</v>
      </c>
      <c r="H15" s="94">
        <f t="shared" si="3"/>
        <v>0.11239462735455247</v>
      </c>
      <c r="I15" s="94">
        <f t="shared" si="3"/>
        <v>0</v>
      </c>
      <c r="J15" s="94">
        <f t="shared" si="3"/>
        <v>3.057463144526492E-2</v>
      </c>
      <c r="K15" s="94">
        <f t="shared" si="3"/>
        <v>-6.6260914081920147E-3</v>
      </c>
      <c r="L15" s="94">
        <f t="shared" si="3"/>
        <v>4.6505813319637638E-3</v>
      </c>
      <c r="M15" s="94">
        <f t="shared" si="3"/>
        <v>0</v>
      </c>
      <c r="N15" s="94">
        <f t="shared" si="3"/>
        <v>0</v>
      </c>
      <c r="O15" s="94">
        <f t="shared" si="3"/>
        <v>0</v>
      </c>
      <c r="P15" s="94">
        <f t="shared" si="3"/>
        <v>0</v>
      </c>
      <c r="Q15" s="94">
        <f t="shared" si="3"/>
        <v>1.3111438555742889E-2</v>
      </c>
      <c r="R15" s="94">
        <f t="shared" ca="1" si="3"/>
        <v>0</v>
      </c>
      <c r="S15" s="94">
        <f t="shared" ca="1" si="3"/>
        <v>0</v>
      </c>
      <c r="T15" s="94">
        <f t="shared" si="3"/>
        <v>1.2038455154080892E-4</v>
      </c>
      <c r="U15" s="94">
        <f t="shared" si="3"/>
        <v>1.5646079526566687E-7</v>
      </c>
      <c r="V15" s="94">
        <f t="shared" ca="1" si="3"/>
        <v>1.2434220638768883E-3</v>
      </c>
      <c r="W15" s="94">
        <f t="shared" ca="1" si="3"/>
        <v>-1.6397393368529447E-5</v>
      </c>
      <c r="X15" s="94">
        <f t="shared" ca="1" si="3"/>
        <v>0.52917103193354831</v>
      </c>
    </row>
  </sheetData>
  <dataValidations count="6">
    <dataValidation type="list" allowBlank="1" showInputMessage="1" showErrorMessage="1" error="Deve-se selecionar grupo válido" sqref="A2" xr:uid="{1DD43C94-3572-4ABC-8414-099F5809E543}">
      <formula1>AA1:AA9</formula1>
    </dataValidation>
    <dataValidation type="list" allowBlank="1" showInputMessage="1" showErrorMessage="1" error="Deve-se selecionar grupo válido" sqref="B2" xr:uid="{BF57D45B-93AB-4831-85A5-666B3771018B}">
      <formula1>AB1:AB7</formula1>
    </dataValidation>
    <dataValidation type="list" allowBlank="1" showInputMessage="1" showErrorMessage="1" error="Deve-se selecionar grupo válido" sqref="C2 E2" xr:uid="{77A2BB0F-63E4-4AE4-9291-BB3CD977D48F}">
      <formula1>AC1:AC4</formula1>
    </dataValidation>
    <dataValidation type="list" allowBlank="1" showInputMessage="1" showErrorMessage="1" error="Deve-se selecionar grupo válido" sqref="D2" xr:uid="{C5ECF2B5-C36A-4C12-9317-831D66F8407D}">
      <formula1>AD1:AD10</formula1>
    </dataValidation>
    <dataValidation type="list" allowBlank="1" showInputMessage="1" showErrorMessage="1" error="Deve-se selecionar grupo válido" sqref="F2" xr:uid="{FD5CFF37-AC4E-46CF-A43B-7B53D8B3BF35}">
      <formula1>AF1:AF1</formula1>
    </dataValidation>
    <dataValidation type="list" allowBlank="1" showInputMessage="1" showErrorMessage="1" error="Deve-se selecionar grupo válido" sqref="G2" xr:uid="{AC7C4880-263B-4FCA-8EF1-973A1B3763BE}">
      <formula1>AG1:AG8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F023F-CAD1-44AD-9865-B781776E8505}">
  <sheetPr codeName="Planilha25"/>
  <dimension ref="A1:AG15"/>
  <sheetViews>
    <sheetView showGridLines="0" workbookViewId="0">
      <selection activeCell="J15" sqref="J15"/>
    </sheetView>
  </sheetViews>
  <sheetFormatPr defaultRowHeight="10.199999999999999" x14ac:dyDescent="0.2"/>
  <cols>
    <col min="1" max="1" width="18.5546875" style="14" bestFit="1" customWidth="1"/>
    <col min="2" max="2" width="10.21875" style="14" bestFit="1" customWidth="1"/>
    <col min="3" max="4" width="9.5546875" style="14" bestFit="1" customWidth="1"/>
    <col min="5" max="5" width="9.88671875" style="14" bestFit="1" customWidth="1"/>
    <col min="6" max="6" width="9.5546875" style="14" bestFit="1" customWidth="1"/>
    <col min="7" max="7" width="14.77734375" style="14" bestFit="1" customWidth="1"/>
    <col min="8" max="8" width="9.109375" style="14" bestFit="1" customWidth="1"/>
    <col min="9" max="9" width="9.21875" style="14" bestFit="1" customWidth="1"/>
    <col min="10" max="10" width="6.109375" style="14" bestFit="1" customWidth="1"/>
    <col min="11" max="11" width="7.5546875" style="14" bestFit="1" customWidth="1"/>
    <col min="12" max="12" width="10.6640625" style="14" bestFit="1" customWidth="1"/>
    <col min="13" max="13" width="9.88671875" style="14" bestFit="1" customWidth="1"/>
    <col min="14" max="26" width="8.88671875" style="14"/>
    <col min="27" max="27" width="2.77734375" style="14" bestFit="1" customWidth="1"/>
    <col min="28" max="28" width="24.6640625" style="14" bestFit="1" customWidth="1"/>
    <col min="29" max="29" width="12.6640625" style="14" bestFit="1" customWidth="1"/>
    <col min="30" max="30" width="23.109375" style="14" bestFit="1" customWidth="1"/>
    <col min="31" max="33" width="9.5546875" style="14" bestFit="1" customWidth="1"/>
    <col min="34" max="16384" width="8.88671875" style="14"/>
  </cols>
  <sheetData>
    <row r="1" spans="1:33" x14ac:dyDescent="0.2">
      <c r="A1" s="14" t="s">
        <v>68</v>
      </c>
      <c r="B1" s="14" t="s">
        <v>69</v>
      </c>
      <c r="C1" s="14" t="s">
        <v>70</v>
      </c>
      <c r="D1" s="14" t="s">
        <v>71</v>
      </c>
      <c r="E1" s="14" t="s">
        <v>72</v>
      </c>
      <c r="F1" s="14" t="s">
        <v>15</v>
      </c>
      <c r="G1" s="14" t="s">
        <v>74</v>
      </c>
      <c r="I1" s="14" t="s">
        <v>1466</v>
      </c>
      <c r="AA1" s="14" t="s">
        <v>54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54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A2</v>
      </c>
      <c r="AA2" s="14" t="s">
        <v>60</v>
      </c>
      <c r="AB2" s="14" t="s">
        <v>77</v>
      </c>
      <c r="AC2" s="14" t="s">
        <v>24</v>
      </c>
      <c r="AD2" s="14" t="s">
        <v>24</v>
      </c>
      <c r="AG2" s="14" t="s">
        <v>79</v>
      </c>
    </row>
    <row r="3" spans="1:33" x14ac:dyDescent="0.2">
      <c r="AA3" s="14" t="s">
        <v>39</v>
      </c>
      <c r="AB3" s="14" t="s">
        <v>86</v>
      </c>
      <c r="AC3" s="14" t="s">
        <v>45</v>
      </c>
      <c r="AD3" s="14" t="s">
        <v>29</v>
      </c>
      <c r="AG3" s="14" t="s">
        <v>80</v>
      </c>
    </row>
    <row r="4" spans="1:33" x14ac:dyDescent="0.2">
      <c r="AA4" s="14" t="s">
        <v>43</v>
      </c>
      <c r="AB4" s="14" t="s">
        <v>91</v>
      </c>
      <c r="AC4" s="14" t="s">
        <v>48</v>
      </c>
      <c r="AD4" s="14" t="s">
        <v>30</v>
      </c>
      <c r="AG4" s="14" t="s">
        <v>84</v>
      </c>
    </row>
    <row r="5" spans="1:33" x14ac:dyDescent="0.2">
      <c r="A5" s="14" t="s">
        <v>1459</v>
      </c>
      <c r="B5" s="14" t="str">
        <f>TE!$X$4</f>
        <v>P&amp;D</v>
      </c>
      <c r="C5" s="14" t="str">
        <f>TE!$Y$4</f>
        <v>ESS/ERR</v>
      </c>
      <c r="D5" s="14" t="str">
        <f>TE!$Z$4</f>
        <v>CFURH</v>
      </c>
      <c r="E5" s="14" t="str">
        <f>TE!$AA$4</f>
        <v>CDE Covid TE</v>
      </c>
      <c r="F5" s="14" t="str">
        <f>TE!$AB$4</f>
        <v>CDE ELET</v>
      </c>
      <c r="G5" s="14" t="str">
        <f>TE!$AC$4</f>
        <v>ENERGIA REVENDA</v>
      </c>
      <c r="H5" s="14" t="str">
        <f>TE!$AD$4</f>
        <v>ITAIPU</v>
      </c>
      <c r="I5" s="14" t="str">
        <f>TE!$AE$4</f>
        <v>TUST ITAIPU</v>
      </c>
      <c r="J5" s="14" t="str">
        <f>TE!$AF$4</f>
        <v>TUST CI</v>
      </c>
      <c r="K5" s="14" t="str">
        <f>TE!$AG$4</f>
        <v>SUBSIDIO</v>
      </c>
      <c r="L5" s="14" t="str">
        <f>TE!$AH$4</f>
        <v>PERDAS RB/C</v>
      </c>
      <c r="M5" s="14" t="s">
        <v>694</v>
      </c>
      <c r="AA5" s="14" t="s">
        <v>22</v>
      </c>
      <c r="AD5" s="14" t="s">
        <v>31</v>
      </c>
      <c r="AG5" s="14" t="s">
        <v>90</v>
      </c>
    </row>
    <row r="6" spans="1:33" x14ac:dyDescent="0.2">
      <c r="A6" s="14" t="s">
        <v>1460</v>
      </c>
      <c r="B6" s="39">
        <f>SUM(TE!$X$55:'TE'!$X$99)</f>
        <v>687895.38701390137</v>
      </c>
      <c r="C6" s="39">
        <f>SUM(TE!$Y$55:'TE'!$Y$99)</f>
        <v>3684190.157167247</v>
      </c>
      <c r="D6" s="39">
        <f>SUM(TE!$Z$55:'TE'!$Z$99)</f>
        <v>255335.24155759666</v>
      </c>
      <c r="E6" s="39">
        <f>SUM(TE!$AA$55:'TE'!$AA$99)</f>
        <v>0</v>
      </c>
      <c r="F6" s="39">
        <f>SUM(TE!$AB$55:'TE'!$AB$99)</f>
        <v>0</v>
      </c>
      <c r="G6" s="39">
        <f>SUM(TE!$AC$55:'TE'!$AC$99)</f>
        <v>63817540.742172368</v>
      </c>
      <c r="H6" s="39">
        <f>SUM(TE!$AD$55:'TE'!$AD$99)</f>
        <v>2146962.2705612602</v>
      </c>
      <c r="I6" s="39">
        <f>SUM(TE!$AE$55:'TE'!$AE$99)</f>
        <v>1894819.7251362484</v>
      </c>
      <c r="J6" s="39">
        <f>SUM(TE!$AF$55:'TE'!$AF$99)</f>
        <v>0</v>
      </c>
      <c r="K6" s="39">
        <f>SUM(TE!$AG$55:'TE'!$AG$99)</f>
        <v>0</v>
      </c>
      <c r="L6" s="39">
        <f>SUM(TE!$AH$55:'TE'!$AH$99)</f>
        <v>1155290.8257583762</v>
      </c>
      <c r="M6" s="39">
        <f t="shared" ref="M6:M11" si="0">SUM(B6:L6)</f>
        <v>73642034.349367008</v>
      </c>
      <c r="AA6" s="14" t="s">
        <v>44</v>
      </c>
      <c r="AD6" s="14" t="s">
        <v>32</v>
      </c>
    </row>
    <row r="7" spans="1:33" x14ac:dyDescent="0.2">
      <c r="A7" s="14" t="s">
        <v>1461</v>
      </c>
      <c r="B7" s="39">
        <f>SUM(TE!$L$55:'TE'!$L$99)</f>
        <v>721002.01204243302</v>
      </c>
      <c r="C7" s="39">
        <f>SUM(TE!$M$55:'TE'!$M$99)</f>
        <v>5740200.3816431109</v>
      </c>
      <c r="D7" s="39">
        <f>SUM(TE!$N$55:'TE'!$N$99)</f>
        <v>414338.73245535046</v>
      </c>
      <c r="E7" s="39">
        <f>SUM(TE!$O$55:'TE'!$O$99)</f>
        <v>3583443.0752050527</v>
      </c>
      <c r="F7" s="39">
        <f>SUM(TE!$P$55:'TE'!$P$99)</f>
        <v>-5014531.908640625</v>
      </c>
      <c r="G7" s="39">
        <f>SUM(TE!$Q$55:'TE'!$Q$99)</f>
        <v>72846172.878337726</v>
      </c>
      <c r="H7" s="39">
        <f>SUM(TE!$R$55:'TE'!$R$99)</f>
        <v>2147759.339933008</v>
      </c>
      <c r="I7" s="39">
        <f>SUM(TE!$S$55:'TE'!$S$99)</f>
        <v>1618351.9905183127</v>
      </c>
      <c r="J7" s="39">
        <f>SUM(TE!$T$55:'TE'!$T$99)</f>
        <v>0</v>
      </c>
      <c r="K7" s="39">
        <f>SUM(TE!$U$55:'TE'!$U$99)</f>
        <v>0</v>
      </c>
      <c r="L7" s="39">
        <f>SUM(TE!$V$55:'TE'!$V$99)</f>
        <v>1130411.7241268903</v>
      </c>
      <c r="M7" s="39">
        <f t="shared" si="0"/>
        <v>83187148.225621268</v>
      </c>
      <c r="AA7" s="14" t="s">
        <v>37</v>
      </c>
      <c r="AD7" s="14" t="s">
        <v>93</v>
      </c>
    </row>
    <row r="8" spans="1:33" x14ac:dyDescent="0.2">
      <c r="A8" s="14" t="s">
        <v>1464</v>
      </c>
      <c r="B8" s="39">
        <f>IF($G$2&lt;&gt;"Não se aplica",SUMIF(TE!$G$55:'TE'!$G$99,$I$2,TE!$X$55:'TE'!$X$99),IF($F$2&lt;&gt;"Não se aplica",SUMIF(TE!$F$55:'TE'!$F$99,$I$2,TE!$X$55:'TE'!$X$99),IF($E$2&lt;&gt;"Não se aplica",SUMIF(TE!$E$55:'TE'!$E$99,$I$2,TE!$X$55:'TE'!$X$99),IF($D$2&lt;&gt;"Não se aplica",SUMIF(TE!$D$55:'TE'!$D$99,$I$2,TE!$X$55:'TE'!$X$99),IF($C$2&lt;&gt;"Não se aplica",SUMIF(TE!$C$55:'TE'!$C$99,$I$2,TE!$X$55:'TE'!$X$99),IF($B$2&lt;&gt;"Não se aplica",SUMIF(TE!$B$55:'TE'!$B$99,$I$2,TE!$X$55:'TE'!$X$99),SUMIF(TE!$A$55:'TE'!$A$99,$I$2,TE!$X$55:'TE'!$X$99)))))))</f>
        <v>0</v>
      </c>
      <c r="C8" s="39">
        <f>IF($G$2&lt;&gt;"Não se aplica",SUMIF(TE!$G$55:'TE'!$G$99,$I$2,TE!$Y$55:'TE'!$Y$99),IF($F$2&lt;&gt;"Não se aplica",SUMIF(TE!$F$55:'TE'!$F$99,$I$2,TE!$Y$55:'TE'!$Y$99),IF($E$2&lt;&gt;"Não se aplica",SUMIF(TE!$E$55:'TE'!$E$99,$I$2,TE!$Y$55:'TE'!$Y$99),IF($D$2&lt;&gt;"Não se aplica",SUMIF(TE!$D$55:'TE'!$D$99,$I$2,TE!$Y$55:'TE'!$Y$99),IF($C$2&lt;&gt;"Não se aplica",SUMIF(TE!$C$55:'TE'!$C$99,$I$2,TE!$Y$55:'TE'!$Y$99),IF($B$2&lt;&gt;"Não se aplica",SUMIF(TE!$B$55:'TE'!$B$99,$I$2,TE!$Y$55:'TE'!$Y$99),SUMIF(TE!$A$55:'TE'!$A$99,$I$2,TE!$Y$55:'TE'!$Y$99)))))))</f>
        <v>0</v>
      </c>
      <c r="D8" s="39">
        <f>IF($G$2&lt;&gt;"Não se aplica",SUMIF(TE!$G$55:'TE'!$G$99,$I$2,TE!$Z$55:'TE'!$Z$99),IF($F$2&lt;&gt;"Não se aplica",SUMIF(TE!$F$55:'TE'!$F$99,$I$2,TE!$Z$55:'TE'!$Z$99),IF($E$2&lt;&gt;"Não se aplica",SUMIF(TE!$E$55:'TE'!$E$99,$I$2,TE!$Z$55:'TE'!$Z$99),IF($D$2&lt;&gt;"Não se aplica",SUMIF(TE!$D$55:'TE'!$D$99,$I$2,TE!$Z$55:'TE'!$Z$99),IF($C$2&lt;&gt;"Não se aplica",SUMIF(TE!$C$55:'TE'!$C$99,$I$2,TE!$Z$55:'TE'!$Z$99),IF($B$2&lt;&gt;"Não se aplica",SUMIF(TE!$B$55:'TE'!$B$99,$I$2,TE!$Z$55:'TE'!$Z$99),SUMIF(TE!$A$55:'TE'!$A$99,$I$2,TE!$Z$55:'TE'!$Z$99)))))))</f>
        <v>0</v>
      </c>
      <c r="E8" s="39">
        <f>IF($G$2&lt;&gt;"Não se aplica",SUMIF(TE!$G$55:'TE'!$G$99,$I$2,TE!$AA$55:'TE'!$AA$99),IF($F$2&lt;&gt;"Não se aplica",SUMIF(TE!$F$55:'TE'!$F$99,$I$2,TE!$AA$55:'TE'!$AA$99),IF($E$2&lt;&gt;"Não se aplica",SUMIF(TE!$E$55:'TE'!$E$99,$I$2,TE!$AA$55:'TE'!$AA$99),IF($D$2&lt;&gt;"Não se aplica",SUMIF(TE!$D$55:'TE'!$D$99,$I$2,TE!$AA$55:'TE'!$AA$99),IF($C$2&lt;&gt;"Não se aplica",SUMIF(TE!$C$55:'TE'!$C$99,$I$2,TE!$AA$55:'TE'!$AA$99),IF($B$2&lt;&gt;"Não se aplica",SUMIF(TE!$B$55:'TE'!$B$99,$I$2,TE!$AA$55:'TE'!$AA$99),SUMIF(TE!$A$55:'TE'!$A$99,$I$2,TE!$AA$55:'TE'!$AA$99)))))))</f>
        <v>0</v>
      </c>
      <c r="F8" s="39">
        <f>IF($G$2&lt;&gt;"Não se aplica",SUMIF(TE!$G$55:'TE'!$G$99,$I$2,TE!$AB$55:'TE'!$AB$99),IF($F$2&lt;&gt;"Não se aplica",SUMIF(TE!$F$55:'TE'!$F$99,$I$2,TE!$AB$55:'TE'!$AB$99),IF($E$2&lt;&gt;"Não se aplica",SUMIF(TE!$E$55:'TE'!$E$99,$I$2,TE!$AB$55:'TE'!$AB$99),IF($D$2&lt;&gt;"Não se aplica",SUMIF(TE!$D$55:'TE'!$D$99,$I$2,TE!$AB$55:'TE'!$AB$99),IF($C$2&lt;&gt;"Não se aplica",SUMIF(TE!$C$55:'TE'!$C$99,$I$2,TE!$AB$55:'TE'!$AB$99),IF($B$2&lt;&gt;"Não se aplica",SUMIF(TE!$B$55:'TE'!$B$99,$I$2,TE!$AB$55:'TE'!$AB$99),SUMIF(TE!$A$55:'TE'!$A$99,$I$2,TE!$AB$55:'TE'!$AB$99)))))))</f>
        <v>0</v>
      </c>
      <c r="G8" s="39">
        <f>IF($G$2&lt;&gt;"Não se aplica",SUMIF(TE!$G$55:'TE'!$G$99,$I$2,TE!$AC$55:'TE'!$AC$99),IF($F$2&lt;&gt;"Não se aplica",SUMIF(TE!$F$55:'TE'!$F$99,$I$2,TE!$AC$55:'TE'!$AC$99),IF($E$2&lt;&gt;"Não se aplica",SUMIF(TE!$E$55:'TE'!$E$99,$I$2,TE!$AC$55:'TE'!$AC$99),IF($D$2&lt;&gt;"Não se aplica",SUMIF(TE!$D$55:'TE'!$D$99,$I$2,TE!$AC$55:'TE'!$AC$99),IF($C$2&lt;&gt;"Não se aplica",SUMIF(TE!$C$55:'TE'!$C$99,$I$2,TE!$AC$55:'TE'!$AC$99),IF($B$2&lt;&gt;"Não se aplica",SUMIF(TE!$B$55:'TE'!$B$99,$I$2,TE!$AC$55:'TE'!$AC$99),SUMIF(TE!$A$55:'TE'!$A$99,$I$2,TE!$AC$55:'TE'!$AC$99)))))))</f>
        <v>0</v>
      </c>
      <c r="H8" s="39">
        <f>IF($G$2&lt;&gt;"Não se aplica",SUMIF(TE!$G$55:'TE'!$G$99,$I$2,TE!$AD$55:'TE'!$AD$99),IF($F$2&lt;&gt;"Não se aplica",SUMIF(TE!$F$55:'TE'!$F$99,$I$2,TE!$AD$55:'TE'!$AD$99),IF($E$2&lt;&gt;"Não se aplica",SUMIF(TE!$E$55:'TE'!$E$99,$I$2,TE!$AD$55:'TE'!$AD$99),IF($D$2&lt;&gt;"Não se aplica",SUMIF(TE!$D$55:'TE'!$D$99,$I$2,TE!$AD$55:'TE'!$AD$99),IF($C$2&lt;&gt;"Não se aplica",SUMIF(TE!$C$55:'TE'!$C$99,$I$2,TE!$AD$55:'TE'!$AD$99),IF($B$2&lt;&gt;"Não se aplica",SUMIF(TE!$B$55:'TE'!$B$99,$I$2,TE!$AD$55:'TE'!$AD$99),SUMIF(TE!$A$55:'TE'!$A$99,$I$2,TE!$AD$55:'TE'!$AD$99)))))))</f>
        <v>0</v>
      </c>
      <c r="I8" s="39">
        <f>IF($G$2&lt;&gt;"Não se aplica",SUMIF(TE!$G$55:'TE'!$G$99,$I$2,TE!$AE$55:'TE'!$AE$99),IF($F$2&lt;&gt;"Não se aplica",SUMIF(TE!$F$55:'TE'!$F$99,$I$2,TE!$AE$55:'TE'!$AE$99),IF($E$2&lt;&gt;"Não se aplica",SUMIF(TE!$E$55:'TE'!$E$99,$I$2,TE!$AE$55:'TE'!$AE$99),IF($D$2&lt;&gt;"Não se aplica",SUMIF(TE!$D$55:'TE'!$D$99,$I$2,TE!$AE$55:'TE'!$AE$99),IF($C$2&lt;&gt;"Não se aplica",SUMIF(TE!$C$55:'TE'!$C$99,$I$2,TE!$AE$55:'TE'!$AE$99),IF($B$2&lt;&gt;"Não se aplica",SUMIF(TE!$B$55:'TE'!$B$99,$I$2,TE!$AE$55:'TE'!$AE$99),SUMIF(TE!$A$55:'TE'!$A$99,$I$2,TE!$AE$55:'TE'!$AE$99)))))))</f>
        <v>0</v>
      </c>
      <c r="J8" s="39">
        <f>IF($G$2&lt;&gt;"Não se aplica",SUMIF(TE!$G$55:'TE'!$G$99,$I$2,TE!$AF$55:'TE'!$AF$99),IF($F$2&lt;&gt;"Não se aplica",SUMIF(TE!$F$55:'TE'!$F$99,$I$2,TE!$AF$55:'TE'!$AF$99),IF($E$2&lt;&gt;"Não se aplica",SUMIF(TE!$E$55:'TE'!$E$99,$I$2,TE!$AF$55:'TE'!$AF$99),IF($D$2&lt;&gt;"Não se aplica",SUMIF(TE!$D$55:'TE'!$D$99,$I$2,TE!$AF$55:'TE'!$AF$99),IF($C$2&lt;&gt;"Não se aplica",SUMIF(TE!$C$55:'TE'!$C$99,$I$2,TE!$AF$55:'TE'!$AF$99),IF($B$2&lt;&gt;"Não se aplica",SUMIF(TE!$B$55:'TE'!$B$99,$I$2,TE!$AF$55:'TE'!$AF$99),SUMIF(TE!$A$55:'TE'!$A$99,$I$2,TE!$AF$55:'TE'!$AF$99)))))))</f>
        <v>0</v>
      </c>
      <c r="K8" s="39">
        <f>IF($G$2&lt;&gt;"Não se aplica",SUMIF(TE!$G$55:'TE'!$G$99,$I$2,TE!$AG$55:'TE'!$AG$99),IF($F$2&lt;&gt;"Não se aplica",SUMIF(TE!$F$55:'TE'!$F$99,$I$2,TE!$AG$55:'TE'!$AG$99),IF($E$2&lt;&gt;"Não se aplica",SUMIF(TE!$E$55:'TE'!$E$99,$I$2,TE!$AG$55:'TE'!$AG$99),IF($D$2&lt;&gt;"Não se aplica",SUMIF(TE!$D$55:'TE'!$D$99,$I$2,TE!$AG$55:'TE'!$AG$99),IF($C$2&lt;&gt;"Não se aplica",SUMIF(TE!$C$55:'TE'!$C$99,$I$2,TE!$AG$55:'TE'!$AG$99),IF($B$2&lt;&gt;"Não se aplica",SUMIF(TE!$B$55:'TE'!$B$99,$I$2,TE!$AG$55:'TE'!$AG$99),SUMIF(TE!$A$55:'TE'!$A$99,$I$2,TE!$AG$55:'TE'!$AG$99)))))))</f>
        <v>0</v>
      </c>
      <c r="L8" s="39">
        <f>IF($G$2&lt;&gt;"Não se aplica",SUMIF(TE!$G$55:'TE'!$G$99,$I$2,TE!$AH$55:'TE'!$AH$99),IF($F$2&lt;&gt;"Não se aplica",SUMIF(TE!$F$55:'TE'!$F$99,$I$2,TE!$AH$55:'TE'!$AH$99),IF($E$2&lt;&gt;"Não se aplica",SUMIF(TE!$E$55:'TE'!$E$99,$I$2,TE!$AH$55:'TE'!$AH$99),IF($D$2&lt;&gt;"Não se aplica",SUMIF(TE!$D$55:'TE'!$D$99,$I$2,TE!$AH$55:'TE'!$AH$99),IF($C$2&lt;&gt;"Não se aplica",SUMIF(TE!$C$55:'TE'!$C$99,$I$2,TE!$AH$55:'TE'!$AH$99),IF($B$2&lt;&gt;"Não se aplica",SUMIF(TE!$B$55:'TE'!$B$99,$I$2,TE!$AH$55:'TE'!$AH$99),SUMIF(TE!$A$55:'TE'!$A$99,$I$2,TE!$AH$55:'TE'!$AH$99)))))))</f>
        <v>0</v>
      </c>
      <c r="M8" s="39">
        <f t="shared" si="0"/>
        <v>0</v>
      </c>
      <c r="AA8" s="14" t="s">
        <v>47</v>
      </c>
      <c r="AD8" s="14" t="s">
        <v>94</v>
      </c>
    </row>
    <row r="9" spans="1:33" x14ac:dyDescent="0.2">
      <c r="A9" s="14" t="s">
        <v>1465</v>
      </c>
      <c r="B9" s="39">
        <f>IF($G$2&lt;&gt;"Não se aplica",SUMIF(TE!$G$55:'TE'!$G$99,$I$2,TE!$L$55:'TE'!$L$99),IF($F$2&lt;&gt;"Não se aplica",SUMIF(TE!$F$55:'TE'!$F$99,$I$2,TE!$L$55:'TE'!$L$99),IF($E$2&lt;&gt;"Não se aplica",SUMIF(TE!$E$55:'TE'!$E$99,$I$2,TE!$L$55:'TE'!$L$99),IF($D$2&lt;&gt;"Não se aplica",SUMIF(TE!$D$55:'TE'!$D$99,$I$2,TE!$L$55:'TE'!$L$99),IF($C$2&lt;&gt;"Não se aplica",SUMIF(TE!$C$55:'TE'!$C$99,$I$2,TE!$L$55:'TE'!$L$99),IF($B$2&lt;&gt;"Não se aplica",SUMIF(TE!$B$55:'TE'!$B$99,$I$2,TE!$L$55:'TE'!$L$99),SUMIF(TE!$A$55:'TE'!$A$99,$I$2,TE!$L$55:'TE'!$L$99)))))))</f>
        <v>0</v>
      </c>
      <c r="C9" s="39">
        <f>IF($G$2&lt;&gt;"Não se aplica",SUMIF(TE!$G$55:'TE'!$G$99,$I$2,TE!$M$55:'TE'!$M$99),IF($F$2&lt;&gt;"Não se aplica",SUMIF(TE!$F$55:'TE'!$F$99,$I$2,TE!$M$55:'TE'!$M$99),IF($E$2&lt;&gt;"Não se aplica",SUMIF(TE!$E$55:'TE'!$E$99,$I$2,TE!$M$55:'TE'!$M$99),IF($D$2&lt;&gt;"Não se aplica",SUMIF(TE!$D$55:'TE'!$D$99,$I$2,TE!$M$55:'TE'!$M$99),IF($C$2&lt;&gt;"Não se aplica",SUMIF(TE!$C$55:'TE'!$C$99,$I$2,TE!$M$55:'TE'!$M$99),IF($B$2&lt;&gt;"Não se aplica",SUMIF(TE!$B$55:'TE'!$B$99,$I$2,TE!$M$55:'TE'!$M$99),SUMIF(TE!$A$55:'TE'!$A$99,$I$2,TE!$M$55:'TE'!$M$99)))))))</f>
        <v>0</v>
      </c>
      <c r="D9" s="39">
        <f>IF($G$2&lt;&gt;"Não se aplica",SUMIF(TE!$G$55:'TE'!$G$99,$I$2,TE!$N$55:'TE'!$N$99),IF($F$2&lt;&gt;"Não se aplica",SUMIF(TE!$F$55:'TE'!$F$99,$I$2,TE!$N$55:'TE'!$N$99),IF($E$2&lt;&gt;"Não se aplica",SUMIF(TE!$E$55:'TE'!$E$99,$I$2,TE!$N$55:'TE'!$N$99),IF($D$2&lt;&gt;"Não se aplica",SUMIF(TE!$D$55:'TE'!$D$99,$I$2,TE!$N$55:'TE'!$N$99),IF($C$2&lt;&gt;"Não se aplica",SUMIF(TE!$C$55:'TE'!$C$99,$I$2,TE!$N$55:'TE'!$N$99),IF($B$2&lt;&gt;"Não se aplica",SUMIF(TE!$B$55:'TE'!$B$99,$I$2,TE!$N$55:'TE'!$N$99),SUMIF(TE!$A$55:'TE'!$A$99,$I$2,TE!$N$55:'TE'!$N$99)))))))</f>
        <v>0</v>
      </c>
      <c r="E9" s="39">
        <f>IF($G$2&lt;&gt;"Não se aplica",SUMIF(TE!$G$55:'TE'!$G$99,$I$2,TE!$O$55:'TE'!$O$99),IF($F$2&lt;&gt;"Não se aplica",SUMIF(TE!$F$55:'TE'!$F$99,$I$2,TE!$O$55:'TE'!$O$99),IF($E$2&lt;&gt;"Não se aplica",SUMIF(TE!$E$55:'TE'!$E$99,$I$2,TE!$O$55:'TE'!$O$99),IF($D$2&lt;&gt;"Não se aplica",SUMIF(TE!$D$55:'TE'!$D$99,$I$2,TE!$O$55:'TE'!$O$99),IF($C$2&lt;&gt;"Não se aplica",SUMIF(TE!$C$55:'TE'!$C$99,$I$2,TE!$O$55:'TE'!$O$99),IF($B$2&lt;&gt;"Não se aplica",SUMIF(TE!$B$55:'TE'!$B$99,$I$2,TE!$O$55:'TE'!$O$99),SUMIF(TE!$A$55:'TE'!$A$99,$I$2,TE!$O$55:'TE'!$O$99)))))))</f>
        <v>0</v>
      </c>
      <c r="F9" s="39">
        <f>IF($G$2&lt;&gt;"Não se aplica",SUMIF(TE!$G$55:'TE'!$G$99,$I$2,TE!$P$55:'TE'!$P$99),IF($F$2&lt;&gt;"Não se aplica",SUMIF(TE!$F$55:'TE'!$F$99,$I$2,TE!$P$55:'TE'!$P$99),IF($E$2&lt;&gt;"Não se aplica",SUMIF(TE!$E$55:'TE'!$E$99,$I$2,TE!$P$55:'TE'!$P$99),IF($D$2&lt;&gt;"Não se aplica",SUMIF(TE!$D$55:'TE'!$D$99,$I$2,TE!$P$55:'TE'!$P$99),IF($C$2&lt;&gt;"Não se aplica",SUMIF(TE!$C$55:'TE'!$C$99,$I$2,TE!$P$55:'TE'!$P$99),IF($B$2&lt;&gt;"Não se aplica",SUMIF(TE!$B$55:'TE'!$B$99,$I$2,TE!$P$55:'TE'!$P$99),SUMIF(TE!$A$55:'TE'!$A$99,$I$2,TE!$P$55:'TE'!$P$99)))))))</f>
        <v>0</v>
      </c>
      <c r="G9" s="39">
        <f>IF($G$2&lt;&gt;"Não se aplica",SUMIF(TE!$G$55:'TE'!$G$99,$I$2,TE!$Q$55:'TE'!$Q$99),IF($F$2&lt;&gt;"Não se aplica",SUMIF(TE!$F$55:'TE'!$F$99,$I$2,TE!$Q$55:'TE'!$Q$99),IF($E$2&lt;&gt;"Não se aplica",SUMIF(TE!$E$55:'TE'!$E$99,$I$2,TE!$Q$55:'TE'!$Q$99),IF($D$2&lt;&gt;"Não se aplica",SUMIF(TE!$D$55:'TE'!$D$99,$I$2,TE!$Q$55:'TE'!$Q$99),IF($C$2&lt;&gt;"Não se aplica",SUMIF(TE!$C$55:'TE'!$C$99,$I$2,TE!$Q$55:'TE'!$Q$99),IF($B$2&lt;&gt;"Não se aplica",SUMIF(TE!$B$55:'TE'!$B$99,$I$2,TE!$Q$55:'TE'!$Q$99),SUMIF(TE!$A$55:'TE'!$A$99,$I$2,TE!$Q$55:'TE'!$Q$99)))))))</f>
        <v>0</v>
      </c>
      <c r="H9" s="39">
        <f>IF($G$2&lt;&gt;"Não se aplica",SUMIF(TE!$G$55:'TE'!$G$99,$I$2,TE!$R$55:'TE'!$R$99),IF($F$2&lt;&gt;"Não se aplica",SUMIF(TE!$F$55:'TE'!$F$99,$I$2,TE!$R$55:'TE'!$R$99),IF($E$2&lt;&gt;"Não se aplica",SUMIF(TE!$E$55:'TE'!$E$99,$I$2,TE!$R$55:'TE'!$R$99),IF($D$2&lt;&gt;"Não se aplica",SUMIF(TE!$D$55:'TE'!$D$99,$I$2,TE!$R$55:'TE'!$R$99),IF($C$2&lt;&gt;"Não se aplica",SUMIF(TE!$C$55:'TE'!$C$99,$I$2,TE!$R$55:'TE'!$R$99),IF($B$2&lt;&gt;"Não se aplica",SUMIF(TE!$B$55:'TE'!$B$99,$I$2,TE!$R$55:'TE'!$R$99),SUMIF(TE!$A$55:'TE'!$A$99,$I$2,TE!$R$55:'TE'!$R$99)))))))</f>
        <v>0</v>
      </c>
      <c r="I9" s="39">
        <f>IF($G$2&lt;&gt;"Não se aplica",SUMIF(TE!$G$55:'TE'!$G$99,$I$2,TE!$S$55:'TE'!$S$99),IF($F$2&lt;&gt;"Não se aplica",SUMIF(TE!$F$55:'TE'!$F$99,$I$2,TE!$S$55:'TE'!$S$99),IF($E$2&lt;&gt;"Não se aplica",SUMIF(TE!$E$55:'TE'!$E$99,$I$2,TE!$S$55:'TE'!$S$99),IF($D$2&lt;&gt;"Não se aplica",SUMIF(TE!$D$55:'TE'!$D$99,$I$2,TE!$S$55:'TE'!$S$99),IF($C$2&lt;&gt;"Não se aplica",SUMIF(TE!$C$55:'TE'!$C$99,$I$2,TE!$S$55:'TE'!$S$99),IF($B$2&lt;&gt;"Não se aplica",SUMIF(TE!$B$55:'TE'!$B$99,$I$2,TE!$S$55:'TE'!$S$99),SUMIF(TE!$A$55:'TE'!$A$99,$I$2,TE!$S$55:'TE'!$S$99)))))))</f>
        <v>0</v>
      </c>
      <c r="J9" s="39">
        <f>IF($G$2&lt;&gt;"Não se aplica",SUMIF(TE!$G$55:'TE'!$G$99,$I$2,TE!$T$55:'TE'!$T$99),IF($F$2&lt;&gt;"Não se aplica",SUMIF(TE!$F$55:'TE'!$F$99,$I$2,TE!$T$55:'TE'!$T$99),IF($E$2&lt;&gt;"Não se aplica",SUMIF(TE!$E$55:'TE'!$E$99,$I$2,TE!$T$55:'TE'!$T$99),IF($D$2&lt;&gt;"Não se aplica",SUMIF(TE!$D$55:'TE'!$D$99,$I$2,TE!$T$55:'TE'!$T$99),IF($C$2&lt;&gt;"Não se aplica",SUMIF(TE!$C$55:'TE'!$C$99,$I$2,TE!$T$55:'TE'!$T$99),IF($B$2&lt;&gt;"Não se aplica",SUMIF(TE!$B$55:'TE'!$B$99,$I$2,TE!$T$55:'TE'!$T$99),SUMIF(TE!$A$55:'TE'!$A$99,$I$2,TE!$T$55:'TE'!$T$99)))))))</f>
        <v>0</v>
      </c>
      <c r="K9" s="39">
        <f>IF($G$2&lt;&gt;"Não se aplica",SUMIF(TE!$G$55:'TE'!$G$99,$I$2,TE!$U$55:'TE'!$U$99),IF($F$2&lt;&gt;"Não se aplica",SUMIF(TE!$F$55:'TE'!$F$99,$I$2,TE!$U$55:'TE'!$U$99),IF($E$2&lt;&gt;"Não se aplica",SUMIF(TE!$E$55:'TE'!$E$99,$I$2,TE!$U$55:'TE'!$U$99),IF($D$2&lt;&gt;"Não se aplica",SUMIF(TE!$D$55:'TE'!$D$99,$I$2,TE!$U$55:'TE'!$U$99),IF($C$2&lt;&gt;"Não se aplica",SUMIF(TE!$C$55:'TE'!$C$99,$I$2,TE!$U$55:'TE'!$U$99),IF($B$2&lt;&gt;"Não se aplica",SUMIF(TE!$B$55:'TE'!$B$99,$I$2,TE!$U$55:'TE'!$U$99),SUMIF(TE!$A$55:'TE'!$A$99,$I$2,TE!$U$55:'TE'!$U$99)))))))</f>
        <v>0</v>
      </c>
      <c r="L9" s="39">
        <f>IF($G$2&lt;&gt;"Não se aplica",SUMIF(TE!$G$55:'TE'!$G$99,$I$2,TE!$V$55:'TE'!$V$99),IF($F$2&lt;&gt;"Não se aplica",SUMIF(TE!$F$55:'TE'!$F$99,$I$2,TE!$V$55:'TE'!$V$99),IF($E$2&lt;&gt;"Não se aplica",SUMIF(TE!$E$55:'TE'!$E$99,$I$2,TE!$V$55:'TE'!$V$99),IF($D$2&lt;&gt;"Não se aplica",SUMIF(TE!$D$55:'TE'!$D$99,$I$2,TE!$V$55:'TE'!$V$99),IF($C$2&lt;&gt;"Não se aplica",SUMIF(TE!$C$55:'TE'!$C$99,$I$2,TE!$V$55:'TE'!$V$99),IF($B$2&lt;&gt;"Não se aplica",SUMIF(TE!$B$55:'TE'!$B$99,$I$2,TE!$V$55:'TE'!$V$99),SUMIF(TE!$A$55:'TE'!$A$99,$I$2,TE!$V$55:'TE'!$V$99)))))))</f>
        <v>0</v>
      </c>
      <c r="M9" s="39">
        <f t="shared" si="0"/>
        <v>0</v>
      </c>
      <c r="AD9" s="14" t="s">
        <v>49</v>
      </c>
    </row>
    <row r="10" spans="1:33" x14ac:dyDescent="0.2">
      <c r="A10" s="14" t="s">
        <v>1462</v>
      </c>
      <c r="B10" s="39">
        <f>SUMIF(TE!$A$55:'TE'!$A$99,$A$2,TE!$X$55:'TE'!$X$99)</f>
        <v>0</v>
      </c>
      <c r="C10" s="39">
        <f>SUMIF(TE!$A$55:'TE'!$A$99,$A$2,TE!$Y$55:'TE'!$Y$99)</f>
        <v>0</v>
      </c>
      <c r="D10" s="39">
        <f>SUMIF(TE!$A$55:'TE'!$A$99,$A$2,TE!$Z$55:'TE'!$Z$99)</f>
        <v>0</v>
      </c>
      <c r="E10" s="39">
        <f>SUMIF(TE!$A$55:'TE'!$A$99,$A$2,TE!$AA$55:'TE'!$AA$99)</f>
        <v>0</v>
      </c>
      <c r="F10" s="39">
        <f>SUMIF(TE!$A$55:'TE'!$A$99,$A$2,TE!$AB$55:'TE'!$AB$99)</f>
        <v>0</v>
      </c>
      <c r="G10" s="39">
        <f>SUMIF(TE!$A$55:'TE'!$A$99,$A$2,TE!$AC$55:'TE'!$AC$99)</f>
        <v>0</v>
      </c>
      <c r="H10" s="39">
        <f>SUMIF(TE!$A$55:'TE'!$A$99,$A$2,TE!$AD$55:'TE'!$AD$99)</f>
        <v>0</v>
      </c>
      <c r="I10" s="39">
        <f>SUMIF(TE!$A$55:'TE'!$A$99,$A$2,TE!$AE$55:'TE'!$AE$99)</f>
        <v>0</v>
      </c>
      <c r="J10" s="39">
        <f>SUMIF(TE!$A$55:'TE'!$A$99,$A$2,TE!$AF$55:'TE'!$AF$99)</f>
        <v>0</v>
      </c>
      <c r="K10" s="39">
        <f>SUMIF(TE!$A$55:'TE'!$A$99,$A$2,TE!$AG$55:'TE'!$AG$99)</f>
        <v>0</v>
      </c>
      <c r="L10" s="39">
        <f>SUMIF(TE!$A$55:'TE'!$A$99,$A$2,TE!$AH$55:'TE'!$AH$99)</f>
        <v>0</v>
      </c>
      <c r="M10" s="39">
        <f t="shared" si="0"/>
        <v>0</v>
      </c>
      <c r="AD10" s="14" t="s">
        <v>95</v>
      </c>
    </row>
    <row r="11" spans="1:33" x14ac:dyDescent="0.2">
      <c r="A11" s="14" t="s">
        <v>1463</v>
      </c>
      <c r="B11" s="39">
        <f>SUMIF(TE!$A$55:'TE'!$A$99,$A$2,TE!$L$55:'TE'!$L$99)</f>
        <v>0</v>
      </c>
      <c r="C11" s="39">
        <f>SUMIF(TE!$A$55:'TE'!$A$99,$A$2,TE!$M$55:'TE'!$M$99)</f>
        <v>0</v>
      </c>
      <c r="D11" s="39">
        <f>SUMIF(TE!$A$55:'TE'!$A$99,$A$2,TE!$N$55:'TE'!$N$99)</f>
        <v>0</v>
      </c>
      <c r="E11" s="39">
        <f>SUMIF(TE!$A$55:'TE'!$A$99,$A$2,TE!$O$55:'TE'!$O$99)</f>
        <v>0</v>
      </c>
      <c r="F11" s="39">
        <f>SUMIF(TE!$A$55:'TE'!$A$99,$A$2,TE!$P$55:'TE'!$P$99)</f>
        <v>0</v>
      </c>
      <c r="G11" s="39">
        <f>SUMIF(TE!$A$55:'TE'!$A$99,$A$2,TE!$Q$55:'TE'!$Q$99)</f>
        <v>0</v>
      </c>
      <c r="H11" s="39">
        <f>SUMIF(TE!$A$55:'TE'!$A$99,$A$2,TE!$R$55:'TE'!$R$99)</f>
        <v>0</v>
      </c>
      <c r="I11" s="39">
        <f>SUMIF(TE!$A$55:'TE'!$A$99,$A$2,TE!$S$55:'TE'!$S$99)</f>
        <v>0</v>
      </c>
      <c r="J11" s="39">
        <f>SUMIF(TE!$A$55:'TE'!$A$99,$A$2,TE!$T$55:'TE'!$T$99)</f>
        <v>0</v>
      </c>
      <c r="K11" s="39">
        <f>SUMIF(TE!$A$55:'TE'!$A$99,$A$2,TE!$U$55:'TE'!$U$99)</f>
        <v>0</v>
      </c>
      <c r="L11" s="39">
        <f>SUMIF(TE!$A$55:'TE'!$A$99,$A$2,TE!$V$55:'TE'!$V$99)</f>
        <v>0</v>
      </c>
      <c r="M11" s="39">
        <f t="shared" si="0"/>
        <v>0</v>
      </c>
    </row>
    <row r="13" spans="1:33" x14ac:dyDescent="0.2">
      <c r="A13" s="14" t="s">
        <v>1467</v>
      </c>
      <c r="B13" s="94">
        <f t="shared" ref="B13:M13" si="1">IF($M$6&lt;&gt;0,(B$7-B$6)/$M$6,0)</f>
        <v>4.4956152177260186E-4</v>
      </c>
      <c r="C13" s="94">
        <f t="shared" si="1"/>
        <v>2.7918976473706506E-2</v>
      </c>
      <c r="D13" s="94">
        <f t="shared" si="1"/>
        <v>2.1591403917960955E-3</v>
      </c>
      <c r="E13" s="94">
        <f t="shared" si="1"/>
        <v>4.8660294448205375E-2</v>
      </c>
      <c r="F13" s="94">
        <f t="shared" si="1"/>
        <v>-6.8093337629037506E-2</v>
      </c>
      <c r="G13" s="94">
        <f t="shared" si="1"/>
        <v>0.12260161218975021</v>
      </c>
      <c r="H13" s="94">
        <f t="shared" si="1"/>
        <v>1.0823565356252757E-5</v>
      </c>
      <c r="I13" s="94">
        <f t="shared" si="1"/>
        <v>-3.7542109891524488E-3</v>
      </c>
      <c r="J13" s="94">
        <f t="shared" si="1"/>
        <v>0</v>
      </c>
      <c r="K13" s="94">
        <f t="shared" si="1"/>
        <v>0</v>
      </c>
      <c r="L13" s="94">
        <f t="shared" si="1"/>
        <v>-3.378383263213003E-4</v>
      </c>
      <c r="M13" s="94">
        <f t="shared" si="1"/>
        <v>0.12961502164607577</v>
      </c>
    </row>
    <row r="14" spans="1:33" x14ac:dyDescent="0.2">
      <c r="A14" s="14" t="s">
        <v>1468</v>
      </c>
      <c r="B14" s="94">
        <f t="shared" ref="B14:M14" si="2">IF($M$10&lt;&gt;0,(B$9-B$8)/$M$10,0)</f>
        <v>0</v>
      </c>
      <c r="C14" s="94">
        <f t="shared" si="2"/>
        <v>0</v>
      </c>
      <c r="D14" s="94">
        <f t="shared" si="2"/>
        <v>0</v>
      </c>
      <c r="E14" s="94">
        <f t="shared" si="2"/>
        <v>0</v>
      </c>
      <c r="F14" s="94">
        <f t="shared" si="2"/>
        <v>0</v>
      </c>
      <c r="G14" s="94">
        <f t="shared" si="2"/>
        <v>0</v>
      </c>
      <c r="H14" s="94">
        <f t="shared" si="2"/>
        <v>0</v>
      </c>
      <c r="I14" s="94">
        <f t="shared" si="2"/>
        <v>0</v>
      </c>
      <c r="J14" s="94">
        <f t="shared" si="2"/>
        <v>0</v>
      </c>
      <c r="K14" s="94">
        <f t="shared" si="2"/>
        <v>0</v>
      </c>
      <c r="L14" s="94">
        <f t="shared" si="2"/>
        <v>0</v>
      </c>
      <c r="M14" s="94">
        <f t="shared" si="2"/>
        <v>0</v>
      </c>
    </row>
    <row r="15" spans="1:33" x14ac:dyDescent="0.2">
      <c r="A15" s="14" t="s">
        <v>1469</v>
      </c>
      <c r="B15" s="94">
        <f t="shared" ref="B15:M15" si="3">IF($M$8&lt;&gt;0,(B$9-B$8)/$M$8,0)</f>
        <v>0</v>
      </c>
      <c r="C15" s="94">
        <f t="shared" si="3"/>
        <v>0</v>
      </c>
      <c r="D15" s="94">
        <f t="shared" si="3"/>
        <v>0</v>
      </c>
      <c r="E15" s="94">
        <f t="shared" si="3"/>
        <v>0</v>
      </c>
      <c r="F15" s="94">
        <f t="shared" si="3"/>
        <v>0</v>
      </c>
      <c r="G15" s="94">
        <f t="shared" si="3"/>
        <v>0</v>
      </c>
      <c r="H15" s="94">
        <f t="shared" si="3"/>
        <v>0</v>
      </c>
      <c r="I15" s="94">
        <f t="shared" si="3"/>
        <v>0</v>
      </c>
      <c r="J15" s="94">
        <f t="shared" si="3"/>
        <v>0</v>
      </c>
      <c r="K15" s="94">
        <f t="shared" si="3"/>
        <v>0</v>
      </c>
      <c r="L15" s="94">
        <f t="shared" si="3"/>
        <v>0</v>
      </c>
      <c r="M15" s="94">
        <f t="shared" si="3"/>
        <v>0</v>
      </c>
    </row>
  </sheetData>
  <dataValidations count="5">
    <dataValidation type="list" allowBlank="1" showInputMessage="1" showErrorMessage="1" sqref="A2" xr:uid="{83899206-62BC-46FE-9613-F1184F64C0BF}">
      <formula1>AA1:AA8</formula1>
    </dataValidation>
    <dataValidation type="list" allowBlank="1" showInputMessage="1" showErrorMessage="1" sqref="B2 C2" xr:uid="{53583EC6-13F0-4B88-947D-B2F26E6F4821}">
      <formula1>AB1:AB4</formula1>
    </dataValidation>
    <dataValidation type="list" allowBlank="1" showInputMessage="1" showErrorMessage="1" sqref="D2" xr:uid="{FD6DCDF9-EF7A-4514-AF5E-5141414C47A4}">
      <formula1>AD1:AD10</formula1>
    </dataValidation>
    <dataValidation type="list" allowBlank="1" showInputMessage="1" showErrorMessage="1" sqref="E2 F2" xr:uid="{AE6C148F-F568-402B-8D45-AF88370278B9}">
      <formula1>AE1:AE1</formula1>
    </dataValidation>
    <dataValidation type="list" allowBlank="1" showInputMessage="1" showErrorMessage="1" sqref="G2" xr:uid="{6E15732F-70DF-4286-A511-6C32EBBF2B05}">
      <formula1>AG1:AG5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EDF7B-64DF-4FD0-B7B4-11FD435EB687}">
  <sheetPr codeName="Planilha26">
    <tabColor indexed="12" tint="-0.249977111117893"/>
  </sheetPr>
  <dimension ref="A1:BC78"/>
  <sheetViews>
    <sheetView showGridLines="0" topLeftCell="X56" workbookViewId="0">
      <selection activeCell="A14" sqref="A14:A23"/>
    </sheetView>
  </sheetViews>
  <sheetFormatPr defaultRowHeight="11.25" customHeight="1" x14ac:dyDescent="0.3"/>
  <cols>
    <col min="1" max="1" width="9" style="9" bestFit="1" customWidth="1"/>
    <col min="2" max="2" width="19.441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4.109375" style="9" bestFit="1" customWidth="1"/>
    <col min="12" max="12" width="12.44140625" style="9" bestFit="1" customWidth="1"/>
    <col min="13" max="13" width="7.88671875" style="9" bestFit="1" customWidth="1"/>
    <col min="14" max="14" width="9.109375" style="9" bestFit="1" customWidth="1"/>
    <col min="15" max="15" width="3.88671875" style="9" bestFit="1" customWidth="1"/>
    <col min="16" max="16" width="3.77734375" style="9" bestFit="1" customWidth="1"/>
    <col min="17" max="17" width="9.88671875" style="9" bestFit="1" customWidth="1"/>
    <col min="18" max="18" width="9.109375" style="9" bestFit="1" customWidth="1"/>
    <col min="19" max="19" width="8" style="9" bestFit="1" customWidth="1"/>
    <col min="20" max="21" width="9.88671875" style="9" bestFit="1" customWidth="1"/>
    <col min="22" max="22" width="9.109375" style="9" bestFit="1" customWidth="1"/>
    <col min="23" max="23" width="9.21875" style="9" bestFit="1" customWidth="1"/>
    <col min="24" max="24" width="9.33203125" style="9" bestFit="1" customWidth="1"/>
    <col min="25" max="25" width="4.77734375" style="9" bestFit="1" customWidth="1"/>
    <col min="26" max="26" width="7.109375" style="9" bestFit="1" customWidth="1"/>
    <col min="27" max="27" width="9.33203125" style="9" bestFit="1" customWidth="1"/>
    <col min="28" max="28" width="9.88671875" style="9" bestFit="1" customWidth="1"/>
    <col min="29" max="29" width="11.109375" style="9" bestFit="1" customWidth="1"/>
    <col min="30" max="30" width="9.88671875" style="9" bestFit="1" customWidth="1"/>
    <col min="31" max="31" width="7.77734375" style="9" bestFit="1" customWidth="1"/>
    <col min="32" max="32" width="6.88671875" style="9" bestFit="1" customWidth="1"/>
    <col min="33" max="33" width="8.5546875" style="9" bestFit="1" customWidth="1"/>
    <col min="34" max="34" width="14.44140625" style="9" bestFit="1" customWidth="1"/>
    <col min="35" max="35" width="17.5546875" style="9" bestFit="1" customWidth="1"/>
    <col min="36" max="36" width="18.109375" style="9" bestFit="1" customWidth="1"/>
    <col min="37" max="37" width="7.88671875" style="9" bestFit="1" customWidth="1"/>
    <col min="38" max="38" width="9.5546875" style="9" bestFit="1" customWidth="1"/>
    <col min="39" max="39" width="10.6640625" style="9" bestFit="1" customWidth="1"/>
    <col min="40" max="40" width="8.88671875" style="9"/>
    <col min="41" max="42" width="10.6640625" style="9" bestFit="1" customWidth="1"/>
    <col min="43" max="43" width="7.6640625" style="9" hidden="1" customWidth="1"/>
    <col min="44" max="44" width="19.44140625" style="9" hidden="1" customWidth="1"/>
    <col min="45" max="45" width="12.6640625" style="9" hidden="1" customWidth="1"/>
    <col min="46" max="46" width="23.109375" style="9" hidden="1" customWidth="1"/>
    <col min="47" max="47" width="9.5546875" style="9" hidden="1" customWidth="1"/>
    <col min="48" max="48" width="8.77734375" style="9" bestFit="1" customWidth="1"/>
    <col min="49" max="49" width="14.5546875" style="9" bestFit="1" customWidth="1"/>
    <col min="50" max="50" width="14.44140625" style="9" bestFit="1" customWidth="1"/>
    <col min="51" max="51" width="12.44140625" style="9" bestFit="1" customWidth="1"/>
    <col min="52" max="52" width="13.88671875" style="9" bestFit="1" customWidth="1"/>
    <col min="53" max="54" width="0" style="9" hidden="1" customWidth="1"/>
    <col min="55" max="55" width="27.6640625" style="9" bestFit="1" customWidth="1"/>
    <col min="56" max="16384" width="8.88671875" style="9"/>
  </cols>
  <sheetData>
    <row r="1" spans="1:55" ht="11.25" customHeight="1" x14ac:dyDescent="0.3">
      <c r="A1" s="127" t="s">
        <v>68</v>
      </c>
      <c r="B1" s="127" t="s">
        <v>69</v>
      </c>
      <c r="C1" s="127" t="s">
        <v>70</v>
      </c>
      <c r="D1" s="127" t="s">
        <v>71</v>
      </c>
      <c r="E1" s="127" t="s">
        <v>72</v>
      </c>
      <c r="F1" s="127" t="s">
        <v>15</v>
      </c>
      <c r="G1" s="127" t="s">
        <v>74</v>
      </c>
      <c r="H1" s="127" t="s">
        <v>75</v>
      </c>
      <c r="I1" s="127" t="s">
        <v>757</v>
      </c>
      <c r="J1" s="123"/>
      <c r="L1" s="125" t="s">
        <v>774</v>
      </c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O1" s="20"/>
      <c r="AP1" s="130" t="s">
        <v>759</v>
      </c>
      <c r="AQ1" s="148" t="s">
        <v>1</v>
      </c>
      <c r="AR1" s="146" t="s">
        <v>2</v>
      </c>
      <c r="AS1" s="146" t="s">
        <v>3</v>
      </c>
      <c r="AT1" s="146" t="s">
        <v>4</v>
      </c>
      <c r="AU1" s="146" t="s">
        <v>5</v>
      </c>
      <c r="AV1" s="134" t="s">
        <v>951</v>
      </c>
      <c r="AW1" s="134" t="s">
        <v>952</v>
      </c>
      <c r="AX1" s="134" t="s">
        <v>953</v>
      </c>
      <c r="AY1" s="134" t="s">
        <v>954</v>
      </c>
      <c r="AZ1" s="144" t="s">
        <v>955</v>
      </c>
      <c r="BA1" s="31"/>
      <c r="BB1" s="31"/>
      <c r="BC1" s="134" t="s">
        <v>956</v>
      </c>
    </row>
    <row r="2" spans="1:55" ht="11.25" customHeight="1" x14ac:dyDescent="0.3">
      <c r="A2" s="127"/>
      <c r="B2" s="127"/>
      <c r="C2" s="127"/>
      <c r="D2" s="127"/>
      <c r="E2" s="127"/>
      <c r="F2" s="127"/>
      <c r="G2" s="127"/>
      <c r="H2" s="127"/>
      <c r="I2" s="127"/>
      <c r="J2" s="123"/>
      <c r="L2" s="125" t="s">
        <v>656</v>
      </c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O2" s="20"/>
      <c r="AP2" s="131"/>
      <c r="AQ2" s="149"/>
      <c r="AR2" s="147"/>
      <c r="AS2" s="147"/>
      <c r="AT2" s="147"/>
      <c r="AU2" s="147"/>
      <c r="AV2" s="137"/>
      <c r="AW2" s="137"/>
      <c r="AX2" s="137"/>
      <c r="AY2" s="137"/>
      <c r="AZ2" s="145"/>
      <c r="BA2" s="31"/>
      <c r="BB2" s="31"/>
      <c r="BC2" s="137"/>
    </row>
    <row r="3" spans="1:55" ht="11.25" customHeight="1" x14ac:dyDescent="0.3">
      <c r="A3" s="127"/>
      <c r="B3" s="127"/>
      <c r="C3" s="127"/>
      <c r="D3" s="127"/>
      <c r="E3" s="127"/>
      <c r="F3" s="127"/>
      <c r="G3" s="127"/>
      <c r="H3" s="127"/>
      <c r="I3" s="127"/>
      <c r="J3" s="123"/>
      <c r="L3" s="125" t="s">
        <v>657</v>
      </c>
      <c r="M3" s="125"/>
      <c r="N3" s="125"/>
      <c r="O3" s="125"/>
      <c r="P3" s="125"/>
      <c r="Q3" s="125"/>
      <c r="R3" s="125"/>
      <c r="S3" s="125"/>
      <c r="T3" s="125"/>
      <c r="U3" s="125" t="s">
        <v>666</v>
      </c>
      <c r="V3" s="125"/>
      <c r="W3" s="125"/>
      <c r="X3" s="125"/>
      <c r="Y3" s="125"/>
      <c r="Z3" s="125"/>
      <c r="AA3" s="125"/>
      <c r="AB3" s="125"/>
      <c r="AC3" s="125" t="s">
        <v>674</v>
      </c>
      <c r="AD3" s="125"/>
      <c r="AE3" s="125" t="s">
        <v>676</v>
      </c>
      <c r="AF3" s="125"/>
      <c r="AG3" s="125"/>
      <c r="AH3" s="125" t="s">
        <v>679</v>
      </c>
      <c r="AI3" s="125"/>
      <c r="AJ3" s="125"/>
      <c r="AK3" s="125"/>
      <c r="AL3" s="125"/>
      <c r="AM3" s="125" t="s">
        <v>665</v>
      </c>
      <c r="AO3" s="20"/>
      <c r="AP3" s="131"/>
      <c r="AQ3" s="149"/>
      <c r="AR3" s="147"/>
      <c r="AS3" s="147"/>
      <c r="AT3" s="147"/>
      <c r="AU3" s="147"/>
      <c r="AV3" s="137"/>
      <c r="AW3" s="137"/>
      <c r="AX3" s="137"/>
      <c r="AY3" s="137"/>
      <c r="AZ3" s="145"/>
      <c r="BA3" s="31"/>
      <c r="BB3" s="31"/>
      <c r="BC3" s="137"/>
    </row>
    <row r="4" spans="1:55" ht="11.25" customHeight="1" x14ac:dyDescent="0.3">
      <c r="A4" s="127"/>
      <c r="B4" s="127"/>
      <c r="C4" s="127"/>
      <c r="D4" s="127"/>
      <c r="E4" s="127"/>
      <c r="F4" s="127"/>
      <c r="G4" s="127"/>
      <c r="H4" s="127"/>
      <c r="I4" s="127"/>
      <c r="J4" s="123"/>
      <c r="L4" s="10" t="s">
        <v>742</v>
      </c>
      <c r="M4" s="10" t="s">
        <v>658</v>
      </c>
      <c r="N4" s="10" t="s">
        <v>659</v>
      </c>
      <c r="O4" s="10" t="s">
        <v>660</v>
      </c>
      <c r="P4" s="10" t="s">
        <v>661</v>
      </c>
      <c r="Q4" s="10" t="s">
        <v>662</v>
      </c>
      <c r="R4" s="10" t="s">
        <v>663</v>
      </c>
      <c r="S4" s="10" t="s">
        <v>664</v>
      </c>
      <c r="T4" s="10" t="s">
        <v>665</v>
      </c>
      <c r="U4" s="10" t="s">
        <v>667</v>
      </c>
      <c r="V4" s="10" t="s">
        <v>668</v>
      </c>
      <c r="W4" s="10" t="s">
        <v>669</v>
      </c>
      <c r="X4" s="10" t="s">
        <v>670</v>
      </c>
      <c r="Y4" s="10" t="s">
        <v>671</v>
      </c>
      <c r="Z4" s="10" t="s">
        <v>672</v>
      </c>
      <c r="AA4" s="10" t="s">
        <v>673</v>
      </c>
      <c r="AB4" s="10" t="s">
        <v>665</v>
      </c>
      <c r="AC4" s="10" t="s">
        <v>675</v>
      </c>
      <c r="AD4" s="10" t="s">
        <v>665</v>
      </c>
      <c r="AE4" s="10" t="s">
        <v>677</v>
      </c>
      <c r="AF4" s="10" t="s">
        <v>678</v>
      </c>
      <c r="AG4" s="10" t="s">
        <v>665</v>
      </c>
      <c r="AH4" s="10" t="s">
        <v>680</v>
      </c>
      <c r="AI4" s="10" t="s">
        <v>681</v>
      </c>
      <c r="AJ4" s="10" t="s">
        <v>682</v>
      </c>
      <c r="AK4" s="10" t="s">
        <v>683</v>
      </c>
      <c r="AL4" s="10" t="s">
        <v>665</v>
      </c>
      <c r="AM4" s="129"/>
      <c r="AO4" s="21" t="s">
        <v>776</v>
      </c>
      <c r="AP4" s="132"/>
      <c r="AQ4" s="149"/>
      <c r="AR4" s="147"/>
      <c r="AS4" s="147"/>
      <c r="AT4" s="147"/>
      <c r="AU4" s="147"/>
      <c r="AV4" s="137"/>
      <c r="AW4" s="137"/>
      <c r="AX4" s="137"/>
      <c r="AY4" s="137"/>
      <c r="AZ4" s="145"/>
      <c r="BA4" s="31"/>
      <c r="BB4" s="31"/>
      <c r="BC4" s="137"/>
    </row>
    <row r="5" spans="1:55" ht="11.25" customHeight="1" x14ac:dyDescent="0.3">
      <c r="A5" s="128" t="s">
        <v>54</v>
      </c>
      <c r="B5" s="128" t="s">
        <v>40</v>
      </c>
      <c r="C5" s="128" t="s">
        <v>25</v>
      </c>
      <c r="D5" s="128" t="s">
        <v>25</v>
      </c>
      <c r="E5" s="128" t="s">
        <v>25</v>
      </c>
      <c r="F5" s="128" t="s">
        <v>25</v>
      </c>
      <c r="G5" s="18" t="s">
        <v>82</v>
      </c>
      <c r="H5" s="18" t="s">
        <v>81</v>
      </c>
      <c r="I5" s="18">
        <f>'MERCADO TUSD'!$U$2</f>
        <v>45208</v>
      </c>
      <c r="J5" s="15"/>
      <c r="L5" s="13">
        <f>'TUSD BE'!$L$5*'TUSD BE'!$L$78</f>
        <v>0</v>
      </c>
      <c r="M5" s="13">
        <f>'TUSD BE'!$M$5*'TUSD BE'!$M$78</f>
        <v>0</v>
      </c>
      <c r="N5" s="13">
        <f ca="1">'TUSD BE'!$N$5*'TUSD BE'!$N$78</f>
        <v>0</v>
      </c>
      <c r="O5" s="13">
        <f>'TUSD BE'!$O$5*'TUSD BE'!$O$78</f>
        <v>0</v>
      </c>
      <c r="P5" s="13">
        <f>'TUSD BE'!$P$5*'TUSD BE'!$P$78</f>
        <v>0</v>
      </c>
      <c r="Q5" s="13">
        <f>'TUSD BE'!$Q$5*'TUSD BE'!$Q$78</f>
        <v>0</v>
      </c>
      <c r="R5" s="13">
        <f>'TUSD BE'!$R$5*'TUSD BE'!$R$78</f>
        <v>0</v>
      </c>
      <c r="S5" s="13">
        <f>'TUSD BE'!$R$5*'TUSD BE'!$S$78</f>
        <v>0</v>
      </c>
      <c r="T5" s="13">
        <f ca="1">SUM($L$5:$S$5)</f>
        <v>0</v>
      </c>
      <c r="U5" s="13">
        <f>'TUSD BE'!$U$5*'TUSD BE'!$U$78</f>
        <v>-9.6176905079021838E-2</v>
      </c>
      <c r="V5" s="13">
        <f>'TUSD BE'!$V$5*'TUSD BE'!$V$78</f>
        <v>-2.1536170733840052E-2</v>
      </c>
      <c r="W5" s="13">
        <f>'TUSD BE'!$W$5*'TUSD BE'!$W$78</f>
        <v>-7.5255284942341797E-4</v>
      </c>
      <c r="X5" s="13">
        <f>'TUSD BE'!$X$5*'TUSD BE'!$X$78</f>
        <v>0</v>
      </c>
      <c r="Y5" s="13">
        <f>'TUSD BE'!$Y$5*'TUSD BE'!$Y$78</f>
        <v>0</v>
      </c>
      <c r="Z5" s="13">
        <f>'TUSD BE'!$Z$5*'TUSD BE'!$Z$78</f>
        <v>0</v>
      </c>
      <c r="AA5" s="13">
        <f>'TUSD BE'!$AA$5*'TUSD BE'!$AA$78</f>
        <v>0</v>
      </c>
      <c r="AB5" s="13">
        <f>SUM($U$5:$AA$5)</f>
        <v>-0.11846562866228531</v>
      </c>
      <c r="AC5" s="13">
        <f>'TUSD BE'!$AC$5*'TUSD BE'!$AC$78</f>
        <v>1.3531476769723736E-3</v>
      </c>
      <c r="AD5" s="13">
        <f>SUM($AC$5:$AC$5)</f>
        <v>1.3531476769723736E-3</v>
      </c>
      <c r="AE5" s="13">
        <f ca="1">$AO$5*$AO$75</f>
        <v>0</v>
      </c>
      <c r="AF5" s="13">
        <f ca="1">$AP$5*$AP$75</f>
        <v>0</v>
      </c>
      <c r="AG5" s="13">
        <f ca="1">SUM($AE$5:$AF$5)</f>
        <v>0</v>
      </c>
      <c r="AH5" s="13">
        <f>'TUSD BE'!$AH$5*'TUSD BE'!$AH$78</f>
        <v>0</v>
      </c>
      <c r="AI5" s="13">
        <f>'TUSD BE'!$AI$5*'TUSD BE'!$AI$78</f>
        <v>0</v>
      </c>
      <c r="AJ5" s="13">
        <f ca="1">'TUSD BE'!$AJ$5*'TUSD BE'!$AJ$78</f>
        <v>0</v>
      </c>
      <c r="AK5" s="13">
        <f ca="1">'TUSD BE'!$AK$5*'TUSD BE'!$AK$78</f>
        <v>0</v>
      </c>
      <c r="AL5" s="13">
        <f ca="1">SUM($AH$5:$AK$5)</f>
        <v>0</v>
      </c>
      <c r="AM5" s="13">
        <f ca="1">SUMIF($L$4:$AL$4,"SUBTOTAL",$L$5:$AL$5)+AZ5</f>
        <v>-5.7434241673348367</v>
      </c>
      <c r="AO5" s="20">
        <f ca="1">+'TUSD BE'!$T$5+'TUSD BE'!$AB$5+'TUSD BE'!$AD$5+'TUSD BE'!$AL$5</f>
        <v>20.659782135906788</v>
      </c>
      <c r="AP5" s="20">
        <f ca="1">+'TUSD BE'!$T$5+'TUSD BE'!$AB$5+'TUSD BE'!$AD$5+'TUSD BE'!$AL$5</f>
        <v>20.659782135906788</v>
      </c>
      <c r="AQ5" s="9" t="str">
        <f t="shared" ref="AQ5:AQ36" si="0">IF($A5="",AQ4,$A5)</f>
        <v>A2</v>
      </c>
      <c r="AR5" s="9" t="str">
        <f t="shared" ref="AR5:AR36" si="1">IF($B5="",AR4,$B5)</f>
        <v>Azul</v>
      </c>
      <c r="AS5" s="9" t="str">
        <f t="shared" ref="AS5:AS36" si="2">IF($C5="",AS4,$C5)</f>
        <v>Não se aplica</v>
      </c>
      <c r="AT5" s="9" t="str">
        <f t="shared" ref="AT5:AT36" si="3">IF($D5="",AT4,$D5)</f>
        <v>Não se aplica</v>
      </c>
      <c r="AU5" s="9" t="str">
        <f t="shared" ref="AU5:AU36" si="4">IF($E5="",AU4,$E5)</f>
        <v>Não se aplica</v>
      </c>
      <c r="AV5" s="58">
        <f t="shared" ref="AV5:AV36" si="5">IF(OR(AR5="Distribuição",AR5="Geração"),0,1)</f>
        <v>1</v>
      </c>
      <c r="AW5" s="58">
        <f ca="1">IFERROR(VLOOKUP(AQ5,TarifaMedia!$C$40:$G$43,5,0),0)</f>
        <v>1</v>
      </c>
      <c r="AX5" s="23">
        <f ca="1">'TUSD BE'!$AM5+'TUSD BF'!$AM5+'TUSD CVA'!$AM5</f>
        <v>21.236311686349524</v>
      </c>
      <c r="AY5" s="58">
        <v>15.61</v>
      </c>
      <c r="AZ5" s="58">
        <f t="shared" ref="AZ5:AZ36" ca="1" si="6">(AY5-AX5)*AW5*AV5</f>
        <v>-5.6263116863495242</v>
      </c>
      <c r="BA5" s="58"/>
      <c r="BB5" s="58"/>
      <c r="BC5" s="82" t="s">
        <v>957</v>
      </c>
    </row>
    <row r="6" spans="1:55" ht="11.25" customHeight="1" x14ac:dyDescent="0.3">
      <c r="A6" s="128"/>
      <c r="B6" s="128"/>
      <c r="C6" s="128"/>
      <c r="D6" s="128"/>
      <c r="E6" s="128"/>
      <c r="F6" s="128"/>
      <c r="G6" s="18" t="s">
        <v>83</v>
      </c>
      <c r="H6" s="18" t="s">
        <v>81</v>
      </c>
      <c r="I6" s="18">
        <f>'MERCADO TUSD'!$U$3</f>
        <v>240000</v>
      </c>
      <c r="J6" s="15"/>
      <c r="L6" s="13">
        <f>'TUSD BE'!$L$6*'TUSD BE'!$L$78</f>
        <v>0</v>
      </c>
      <c r="M6" s="13">
        <f>'TUSD BE'!$M$6*'TUSD BE'!$M$78</f>
        <v>0</v>
      </c>
      <c r="N6" s="13">
        <f ca="1">'TUSD BE'!$N$6*'TUSD BE'!$N$78</f>
        <v>0</v>
      </c>
      <c r="O6" s="13">
        <f>'TUSD BE'!$O$6*'TUSD BE'!$O$78</f>
        <v>0</v>
      </c>
      <c r="P6" s="13">
        <f>'TUSD BE'!$P$6*'TUSD BE'!$P$78</f>
        <v>0</v>
      </c>
      <c r="Q6" s="13">
        <f>'TUSD BE'!$Q$6*'TUSD BE'!$Q$78</f>
        <v>0</v>
      </c>
      <c r="R6" s="13">
        <f>'TUSD BE'!$R$6*'TUSD BE'!$R$78</f>
        <v>0</v>
      </c>
      <c r="S6" s="13">
        <f>'TUSD BE'!$R$6*'TUSD BE'!$S$78</f>
        <v>0</v>
      </c>
      <c r="T6" s="13">
        <f ca="1">SUM($L$6:$S$6)</f>
        <v>0</v>
      </c>
      <c r="U6" s="13">
        <f>'TUSD BE'!$U$6*'TUSD BE'!$U$78</f>
        <v>-7.1504650754551577E-2</v>
      </c>
      <c r="V6" s="13">
        <f>'TUSD BE'!$V$6*'TUSD BE'!$V$78</f>
        <v>-1.6140151177176095E-2</v>
      </c>
      <c r="W6" s="13">
        <f>'TUSD BE'!$W$6*'TUSD BE'!$W$78</f>
        <v>-5.4048316191466616E-4</v>
      </c>
      <c r="X6" s="13">
        <f>'TUSD BE'!$X$6*'TUSD BE'!$X$78</f>
        <v>0</v>
      </c>
      <c r="Y6" s="13">
        <f>'TUSD BE'!$Y$6*'TUSD BE'!$Y$78</f>
        <v>0</v>
      </c>
      <c r="Z6" s="13">
        <f>'TUSD BE'!$Z$6*'TUSD BE'!$Z$78</f>
        <v>0</v>
      </c>
      <c r="AA6" s="13">
        <f>'TUSD BE'!$AA$6*'TUSD BE'!$AA$78</f>
        <v>0</v>
      </c>
      <c r="AB6" s="13">
        <f>SUM($U$6:$AA$6)</f>
        <v>-8.8185285093642346E-2</v>
      </c>
      <c r="AC6" s="13">
        <f>'TUSD BE'!$AC$6*'TUSD BE'!$AC$78</f>
        <v>1.5918694274947163E-4</v>
      </c>
      <c r="AD6" s="13">
        <f>SUM($AC$6:$AC$6)</f>
        <v>1.5918694274947163E-4</v>
      </c>
      <c r="AE6" s="13">
        <f ca="1">$AO$6*$AO$75</f>
        <v>0</v>
      </c>
      <c r="AF6" s="13">
        <f ca="1">$AP$6*$AP$75</f>
        <v>0</v>
      </c>
      <c r="AG6" s="13">
        <f ca="1">SUM($AE$6:$AF$6)</f>
        <v>0</v>
      </c>
      <c r="AH6" s="13">
        <f>'TUSD BE'!$AH$6*'TUSD BE'!$AH$78</f>
        <v>0</v>
      </c>
      <c r="AI6" s="13">
        <f>'TUSD BE'!$AI$6*'TUSD BE'!$AI$78</f>
        <v>0</v>
      </c>
      <c r="AJ6" s="13">
        <f ca="1">'TUSD BE'!$AJ$6*'TUSD BE'!$AJ$78</f>
        <v>0</v>
      </c>
      <c r="AK6" s="13">
        <f ca="1">'TUSD BE'!$AK$6*'TUSD BE'!$AK$78</f>
        <v>0</v>
      </c>
      <c r="AL6" s="13">
        <f ca="1">SUM($AH$6:$AK$6)</f>
        <v>0</v>
      </c>
      <c r="AM6" s="13">
        <f ca="1">SUMIF($L$4:$AL$4,"SUBTOTAL",$L$6:$AL$6)+AZ6</f>
        <v>-1.2469340772242221</v>
      </c>
      <c r="AO6" s="20">
        <f ca="1">+'TUSD BE'!$T$6+'TUSD BE'!$AB$6+'TUSD BE'!$AD$6+'TUSD BE'!$AL$6</f>
        <v>7.5305360978282119</v>
      </c>
      <c r="AP6" s="20">
        <f ca="1">+'TUSD BE'!$T$6+'TUSD BE'!$AB$6+'TUSD BE'!$AD$6+'TUSD BE'!$AL$6</f>
        <v>7.5305360978282119</v>
      </c>
      <c r="AQ6" s="9" t="str">
        <f t="shared" si="0"/>
        <v>A2</v>
      </c>
      <c r="AR6" s="9" t="str">
        <f t="shared" si="1"/>
        <v>Azul</v>
      </c>
      <c r="AS6" s="9" t="str">
        <f t="shared" si="2"/>
        <v>Não se aplica</v>
      </c>
      <c r="AT6" s="9" t="str">
        <f t="shared" si="3"/>
        <v>Não se aplica</v>
      </c>
      <c r="AU6" s="9" t="str">
        <f t="shared" si="4"/>
        <v>Não se aplica</v>
      </c>
      <c r="AV6" s="58">
        <f t="shared" si="5"/>
        <v>1</v>
      </c>
      <c r="AW6" s="58">
        <f ca="1">IFERROR(VLOOKUP(AQ6,TarifaMedia!$C$40:$G$43,5,0),0)</f>
        <v>1</v>
      </c>
      <c r="AX6" s="23">
        <f ca="1">'TUSD BE'!$AM6+'TUSD BF'!$AM6+'TUSD CVA'!$AM6</f>
        <v>7.958907979073329</v>
      </c>
      <c r="AY6" s="58">
        <v>6.8</v>
      </c>
      <c r="AZ6" s="58">
        <f t="shared" ca="1" si="6"/>
        <v>-1.1589079790733292</v>
      </c>
      <c r="BA6" s="58"/>
      <c r="BB6" s="58"/>
      <c r="BC6" s="82" t="s">
        <v>958</v>
      </c>
    </row>
    <row r="7" spans="1:55" ht="11.25" customHeight="1" x14ac:dyDescent="0.3">
      <c r="A7" s="128"/>
      <c r="B7" s="128"/>
      <c r="C7" s="128"/>
      <c r="D7" s="128"/>
      <c r="E7" s="128"/>
      <c r="F7" s="128"/>
      <c r="G7" s="18" t="s">
        <v>84</v>
      </c>
      <c r="H7" s="18" t="s">
        <v>78</v>
      </c>
      <c r="I7" s="18">
        <f>'MERCADO TUSD'!$U$4</f>
        <v>117715.17200000002</v>
      </c>
      <c r="J7" s="15"/>
      <c r="L7" s="13">
        <f>'TUSD BE'!$L$7*'TUSD BE'!$L$78</f>
        <v>-0.34936345390913853</v>
      </c>
      <c r="M7" s="13">
        <f>'TUSD BE'!$M$7*'TUSD BE'!$M$78</f>
        <v>-8.6854238966938704E-5</v>
      </c>
      <c r="N7" s="13">
        <f ca="1">'TUSD BE'!$N$7*'TUSD BE'!$N$78</f>
        <v>2.8621499195700176E-9</v>
      </c>
      <c r="O7" s="13">
        <f>'TUSD BE'!$O$7*'TUSD BE'!$O$78</f>
        <v>0</v>
      </c>
      <c r="P7" s="13">
        <f>'TUSD BE'!$P$7*'TUSD BE'!$P$78</f>
        <v>0</v>
      </c>
      <c r="Q7" s="13">
        <f>'TUSD BE'!$Q$7*'TUSD BE'!$Q$78</f>
        <v>-0.99795005822277194</v>
      </c>
      <c r="R7" s="13">
        <f>'TUSD BE'!$R$7*'TUSD BE'!$R$78</f>
        <v>-0.37578018258543827</v>
      </c>
      <c r="S7" s="13">
        <f>'TUSD BE'!$R$7*'TUSD BE'!$S$78</f>
        <v>0</v>
      </c>
      <c r="T7" s="13">
        <f ca="1">SUM($L$7:$S$7)</f>
        <v>-1.7231805460941658</v>
      </c>
      <c r="U7" s="13">
        <f>'TUSD BE'!$U$7*'TUSD BE'!$U$78</f>
        <v>0</v>
      </c>
      <c r="V7" s="13">
        <f>'TUSD BE'!$V$7*'TUSD BE'!$V$78</f>
        <v>0</v>
      </c>
      <c r="W7" s="13">
        <f>'TUSD BE'!$W$7*'TUSD BE'!$W$78</f>
        <v>0</v>
      </c>
      <c r="X7" s="13">
        <f>'TUSD BE'!$X$7*'TUSD BE'!$X$78</f>
        <v>0</v>
      </c>
      <c r="Y7" s="13">
        <f>'TUSD BE'!$Y$7*'TUSD BE'!$Y$78</f>
        <v>0</v>
      </c>
      <c r="Z7" s="13">
        <f>'TUSD BE'!$Z$7*'TUSD BE'!$Z$78</f>
        <v>0</v>
      </c>
      <c r="AA7" s="13">
        <f>'TUSD BE'!$AA$7*'TUSD BE'!$AA$78</f>
        <v>0</v>
      </c>
      <c r="AB7" s="13">
        <f>SUM($U$7:$AA$7)</f>
        <v>0</v>
      </c>
      <c r="AC7" s="13">
        <f>'TUSD BE'!$AC$7*'TUSD BE'!$AC$78</f>
        <v>0</v>
      </c>
      <c r="AD7" s="13">
        <f>SUM($AC$7:$AC$7)</f>
        <v>0</v>
      </c>
      <c r="AE7" s="13">
        <f ca="1">$AO$7*$AO$75</f>
        <v>0</v>
      </c>
      <c r="AF7" s="13">
        <f ca="1">$AP$7*$AP$75</f>
        <v>0</v>
      </c>
      <c r="AG7" s="13">
        <f ca="1">SUM($AE$7:$AF$7)</f>
        <v>0</v>
      </c>
      <c r="AH7" s="13">
        <f>'TUSD BE'!$AH$7*'TUSD BE'!$AH$78</f>
        <v>2.0815408120151462E-2</v>
      </c>
      <c r="AI7" s="13">
        <f>'TUSD BE'!$AI$7*'TUSD BE'!$AI$78</f>
        <v>3.6075356504897983E-4</v>
      </c>
      <c r="AJ7" s="13">
        <f ca="1">'TUSD BE'!$AJ$7*'TUSD BE'!$AJ$78</f>
        <v>0.21426142394176309</v>
      </c>
      <c r="AK7" s="13">
        <f ca="1">'TUSD BE'!$AK$7*'TUSD BE'!$AK$78</f>
        <v>-4.9002581061929514E-3</v>
      </c>
      <c r="AL7" s="13">
        <f ca="1">SUM($AH$7:$AK$7)</f>
        <v>0.23053732752077058</v>
      </c>
      <c r="AM7" s="13">
        <f ca="1">SUMIF($L$4:$AL$4,"SUBTOTAL",$L$7:$AL$7)+AZ7</f>
        <v>-9.1796868146921788</v>
      </c>
      <c r="AO7" s="20">
        <f ca="1">+'TUSD BE'!$T$7+'TUSD BE'!$AB$7+'TUSD BE'!$AD$7+'TUSD BE'!$AL$7</f>
        <v>72.20782944226444</v>
      </c>
      <c r="AP7" s="20">
        <f ca="1">+'TUSD BE'!$T$7+'TUSD BE'!$AB$7+'TUSD BE'!$AD$7+'TUSD BE'!$AL$7</f>
        <v>72.20782944226444</v>
      </c>
      <c r="AQ7" s="9" t="str">
        <f t="shared" si="0"/>
        <v>A2</v>
      </c>
      <c r="AR7" s="9" t="str">
        <f t="shared" si="1"/>
        <v>Azul</v>
      </c>
      <c r="AS7" s="9" t="str">
        <f t="shared" si="2"/>
        <v>Não se aplica</v>
      </c>
      <c r="AT7" s="9" t="str">
        <f t="shared" si="3"/>
        <v>Não se aplica</v>
      </c>
      <c r="AU7" s="9" t="str">
        <f t="shared" si="4"/>
        <v>Não se aplica</v>
      </c>
      <c r="AV7" s="58">
        <f t="shared" si="5"/>
        <v>1</v>
      </c>
      <c r="AW7" s="58">
        <f ca="1">IFERROR(VLOOKUP(AQ7,TarifaMedia!$C$40:$G$43,5,0),0)</f>
        <v>1</v>
      </c>
      <c r="AX7" s="23">
        <f ca="1">'TUSD BE'!$AM7+'TUSD BF'!$AM7+'TUSD CVA'!$AM7</f>
        <v>90.517043596118782</v>
      </c>
      <c r="AY7" s="58">
        <v>82.83</v>
      </c>
      <c r="AZ7" s="58">
        <f t="shared" ca="1" si="6"/>
        <v>-7.6870435961187837</v>
      </c>
      <c r="BA7" s="58"/>
      <c r="BB7" s="58"/>
      <c r="BC7" s="82" t="s">
        <v>959</v>
      </c>
    </row>
    <row r="8" spans="1:55" ht="11.25" customHeight="1" x14ac:dyDescent="0.3">
      <c r="A8" s="128"/>
      <c r="B8" s="128"/>
      <c r="C8" s="128"/>
      <c r="D8" s="128"/>
      <c r="E8" s="17" t="s">
        <v>85</v>
      </c>
      <c r="F8" s="17" t="s">
        <v>25</v>
      </c>
      <c r="G8" s="18" t="s">
        <v>84</v>
      </c>
      <c r="H8" s="18" t="s">
        <v>78</v>
      </c>
      <c r="I8" s="18">
        <f>'MERCADO TUSD'!$U$5</f>
        <v>0</v>
      </c>
      <c r="J8" s="15"/>
      <c r="L8" s="13">
        <f>'TUSD BE'!$L$8*'TUSD BE'!$L$78</f>
        <v>0</v>
      </c>
      <c r="M8" s="13">
        <f>'TUSD BE'!$M$8*'TUSD BE'!$M$78</f>
        <v>-8.6854238966938704E-5</v>
      </c>
      <c r="N8" s="13">
        <f ca="1">'TUSD BE'!$N$8*'TUSD BE'!$N$78</f>
        <v>1.9826852662964871E-9</v>
      </c>
      <c r="O8" s="13">
        <f>'TUSD BE'!$O$8*'TUSD BE'!$O$78</f>
        <v>0</v>
      </c>
      <c r="P8" s="13">
        <f>'TUSD BE'!$P$8*'TUSD BE'!$P$78</f>
        <v>0</v>
      </c>
      <c r="Q8" s="13">
        <f>'TUSD BE'!$Q$8*'TUSD BE'!$Q$78</f>
        <v>0</v>
      </c>
      <c r="R8" s="13">
        <f>'TUSD BE'!$R$8*'TUSD BE'!$R$78</f>
        <v>0</v>
      </c>
      <c r="S8" s="13">
        <f>'TUSD BE'!$R$8*'TUSD BE'!$S$78</f>
        <v>0</v>
      </c>
      <c r="T8" s="13">
        <f ca="1">SUM($L$8:$S$8)</f>
        <v>-8.6852256281672412E-5</v>
      </c>
      <c r="U8" s="13">
        <f>'TUSD BE'!$U$8*'TUSD BE'!$U$78</f>
        <v>0</v>
      </c>
      <c r="V8" s="13">
        <f>'TUSD BE'!$V$8*'TUSD BE'!$V$78</f>
        <v>0</v>
      </c>
      <c r="W8" s="13">
        <f>'TUSD BE'!$W$8*'TUSD BE'!$W$78</f>
        <v>0</v>
      </c>
      <c r="X8" s="13">
        <f>'TUSD BE'!$X$8*'TUSD BE'!$X$78</f>
        <v>0</v>
      </c>
      <c r="Y8" s="13">
        <f>'TUSD BE'!$Y$8*'TUSD BE'!$Y$78</f>
        <v>0</v>
      </c>
      <c r="Z8" s="13">
        <f>'TUSD BE'!$Z$8*'TUSD BE'!$Z$78</f>
        <v>0</v>
      </c>
      <c r="AA8" s="13">
        <f>'TUSD BE'!$AA$8*'TUSD BE'!$AA$78</f>
        <v>0</v>
      </c>
      <c r="AB8" s="13">
        <f>SUM($U$8:$AA$8)</f>
        <v>0</v>
      </c>
      <c r="AC8" s="13">
        <f>'TUSD BE'!$AC$8*'TUSD BE'!$AC$78</f>
        <v>0</v>
      </c>
      <c r="AD8" s="13">
        <f>SUM($AC$8:$AC$8)</f>
        <v>0</v>
      </c>
      <c r="AE8" s="13">
        <f ca="1">$AO$8*$AO$75</f>
        <v>0</v>
      </c>
      <c r="AF8" s="13">
        <f ca="1">$AP$8*$AP$75</f>
        <v>0</v>
      </c>
      <c r="AG8" s="13">
        <f ca="1">SUM($AE$8:$AF$8)</f>
        <v>0</v>
      </c>
      <c r="AH8" s="13">
        <f>'TUSD BE'!$AH$8*'TUSD BE'!$AH$78</f>
        <v>2.0815408120151462E-2</v>
      </c>
      <c r="AI8" s="13">
        <f>'TUSD BE'!$AI$8*'TUSD BE'!$AI$78</f>
        <v>3.6075356504897983E-4</v>
      </c>
      <c r="AJ8" s="13">
        <f ca="1">'TUSD BE'!$AJ$8*'TUSD BE'!$AJ$78</f>
        <v>0.21426142394176309</v>
      </c>
      <c r="AK8" s="13">
        <f ca="1">'TUSD BE'!$AK$8*'TUSD BE'!$AK$78</f>
        <v>-4.9002581061929514E-3</v>
      </c>
      <c r="AL8" s="13">
        <f ca="1">SUM($AH$8:$AK$8)</f>
        <v>0.23053732752077058</v>
      </c>
      <c r="AM8" s="13">
        <f ca="1">SUMIF($L$4:$AL$4,"SUBTOTAL",$L$8:$AL$8)+AZ8</f>
        <v>9.9218191243227789</v>
      </c>
      <c r="AO8" s="20">
        <f ca="1">+'TUSD BE'!$T$8+'TUSD BE'!$AB$8+'TUSD BE'!$AD$8+'TUSD BE'!$AL$8</f>
        <v>0.65020109289888128</v>
      </c>
      <c r="AP8" s="20">
        <f ca="1">+'TUSD BE'!$T$8+'TUSD BE'!$AB$8+'TUSD BE'!$AD$8+'TUSD BE'!$AL$8</f>
        <v>0.65020109289888128</v>
      </c>
      <c r="AQ8" s="9" t="str">
        <f t="shared" si="0"/>
        <v>A2</v>
      </c>
      <c r="AR8" s="9" t="str">
        <f t="shared" si="1"/>
        <v>Azul</v>
      </c>
      <c r="AS8" s="9" t="str">
        <f t="shared" si="2"/>
        <v>Não se aplica</v>
      </c>
      <c r="AT8" s="9" t="str">
        <f t="shared" si="3"/>
        <v>Não se aplica</v>
      </c>
      <c r="AU8" s="9" t="str">
        <f t="shared" si="4"/>
        <v>APE</v>
      </c>
      <c r="AV8" s="58">
        <f t="shared" si="5"/>
        <v>1</v>
      </c>
      <c r="AW8" s="58">
        <f ca="1">IFERROR(VLOOKUP(AQ8,TarifaMedia!$C$40:$G$43,5,0),0)</f>
        <v>1</v>
      </c>
      <c r="AX8" s="23">
        <f ca="1">'TUSD BE'!$AM8+'TUSD BF'!$AM8+'TUSD CVA'!$AM8</f>
        <v>0.8086313509417089</v>
      </c>
      <c r="AY8" s="58">
        <v>10.5</v>
      </c>
      <c r="AZ8" s="58">
        <f t="shared" ca="1" si="6"/>
        <v>9.6913686490582904</v>
      </c>
      <c r="BA8" s="58"/>
      <c r="BB8" s="58"/>
      <c r="BC8" s="82" t="s">
        <v>960</v>
      </c>
    </row>
    <row r="9" spans="1:55" ht="11.25" customHeight="1" x14ac:dyDescent="0.3">
      <c r="A9" s="128" t="s">
        <v>60</v>
      </c>
      <c r="B9" s="128" t="s">
        <v>40</v>
      </c>
      <c r="C9" s="128" t="s">
        <v>25</v>
      </c>
      <c r="D9" s="128" t="s">
        <v>25</v>
      </c>
      <c r="E9" s="128" t="s">
        <v>25</v>
      </c>
      <c r="F9" s="128" t="s">
        <v>25</v>
      </c>
      <c r="G9" s="18" t="s">
        <v>82</v>
      </c>
      <c r="H9" s="18" t="s">
        <v>81</v>
      </c>
      <c r="I9" s="18">
        <f>'MERCADO TUSD'!$U$6</f>
        <v>0</v>
      </c>
      <c r="J9" s="15"/>
      <c r="L9" s="13">
        <f>'TUSD BE'!$L$9*'TUSD BE'!$L$78</f>
        <v>0</v>
      </c>
      <c r="M9" s="13">
        <f>'TUSD BE'!$M$9*'TUSD BE'!$M$78</f>
        <v>0</v>
      </c>
      <c r="N9" s="13">
        <f ca="1">'TUSD BE'!$N$9*'TUSD BE'!$N$78</f>
        <v>0</v>
      </c>
      <c r="O9" s="13">
        <f>'TUSD BE'!$O$9*'TUSD BE'!$O$78</f>
        <v>0</v>
      </c>
      <c r="P9" s="13">
        <f>'TUSD BE'!$P$9*'TUSD BE'!$P$78</f>
        <v>0</v>
      </c>
      <c r="Q9" s="13">
        <f>'TUSD BE'!$Q$9*'TUSD BE'!$Q$78</f>
        <v>0</v>
      </c>
      <c r="R9" s="13">
        <f>'TUSD BE'!$R$9*'TUSD BE'!$R$78</f>
        <v>0</v>
      </c>
      <c r="S9" s="13">
        <f>'TUSD BE'!$R$9*'TUSD BE'!$S$78</f>
        <v>0</v>
      </c>
      <c r="T9" s="13">
        <f ca="1">SUM($L$9:$S$9)</f>
        <v>0</v>
      </c>
      <c r="U9" s="13">
        <f>'TUSD BE'!$U$9*'TUSD BE'!$U$78</f>
        <v>-8.7942501502724355E-2</v>
      </c>
      <c r="V9" s="13">
        <f>'TUSD BE'!$V$9*'TUSD BE'!$V$78</f>
        <v>-1.9692316498150203E-2</v>
      </c>
      <c r="W9" s="13">
        <f>'TUSD BE'!$W$9*'TUSD BE'!$W$78</f>
        <v>-6.8849013132181577E-4</v>
      </c>
      <c r="X9" s="13">
        <f>'TUSD BE'!$X$9*'TUSD BE'!$X$78</f>
        <v>0</v>
      </c>
      <c r="Y9" s="13">
        <f>'TUSD BE'!$Y$9*'TUSD BE'!$Y$78</f>
        <v>0</v>
      </c>
      <c r="Z9" s="13">
        <f>'TUSD BE'!$Z$9*'TUSD BE'!$Z$78</f>
        <v>0</v>
      </c>
      <c r="AA9" s="13">
        <f>'TUSD BE'!$AA$9*'TUSD BE'!$AA$78</f>
        <v>0</v>
      </c>
      <c r="AB9" s="13">
        <f>SUM($U$9:$AA$9)</f>
        <v>-0.10832330813219637</v>
      </c>
      <c r="AC9" s="13">
        <f>'TUSD BE'!$AC$9*'TUSD BE'!$AC$78</f>
        <v>2.5002557478391542E-3</v>
      </c>
      <c r="AD9" s="13">
        <f>SUM($AC$9:$AC$9)</f>
        <v>2.5002557478391542E-3</v>
      </c>
      <c r="AE9" s="13">
        <f ca="1">$AO$9*$AO$75</f>
        <v>0</v>
      </c>
      <c r="AF9" s="13">
        <f ca="1">$AP$9*$AP$75</f>
        <v>0</v>
      </c>
      <c r="AG9" s="13">
        <f ca="1">SUM($AE$9:$AF$9)</f>
        <v>0</v>
      </c>
      <c r="AH9" s="13">
        <f>'TUSD BE'!$AH$9*'TUSD BE'!$AH$78</f>
        <v>0</v>
      </c>
      <c r="AI9" s="13">
        <f>'TUSD BE'!$AI$9*'TUSD BE'!$AI$78</f>
        <v>0</v>
      </c>
      <c r="AJ9" s="13">
        <f ca="1">'TUSD BE'!$AJ$9*'TUSD BE'!$AJ$78</f>
        <v>0</v>
      </c>
      <c r="AK9" s="13">
        <f ca="1">'TUSD BE'!$AK$9*'TUSD BE'!$AK$78</f>
        <v>0</v>
      </c>
      <c r="AL9" s="13">
        <f ca="1">SUM($AH$9:$AK$9)</f>
        <v>0</v>
      </c>
      <c r="AM9" s="13">
        <f ca="1">SUMIF($L$4:$AL$4,"SUBTOTAL",$L$9:$AL$9)+AZ9</f>
        <v>-0.10582305238435721</v>
      </c>
      <c r="AO9" s="20">
        <f ca="1">+'TUSD BE'!$T$9+'TUSD BE'!$AB$9+'TUSD BE'!$AD$9+'TUSD BE'!$AL$9</f>
        <v>30.571647268913814</v>
      </c>
      <c r="AP9" s="20">
        <f ca="1">+'TUSD BE'!$T$9+'TUSD BE'!$AB$9+'TUSD BE'!$AD$9+'TUSD BE'!$AL$9</f>
        <v>30.571647268913814</v>
      </c>
      <c r="AQ9" s="9" t="str">
        <f t="shared" si="0"/>
        <v>A3</v>
      </c>
      <c r="AR9" s="9" t="str">
        <f t="shared" si="1"/>
        <v>Azul</v>
      </c>
      <c r="AS9" s="9" t="str">
        <f t="shared" si="2"/>
        <v>Não se aplica</v>
      </c>
      <c r="AT9" s="9" t="str">
        <f t="shared" si="3"/>
        <v>Não se aplica</v>
      </c>
      <c r="AU9" s="9" t="str">
        <f t="shared" si="4"/>
        <v>Não se aplica</v>
      </c>
      <c r="AV9" s="58">
        <f t="shared" si="5"/>
        <v>1</v>
      </c>
      <c r="AW9" s="58">
        <f ca="1">IFERROR(VLOOKUP(AQ9,TarifaMedia!$C$40:$G$43,5,0),0)</f>
        <v>0</v>
      </c>
      <c r="AX9" s="23">
        <f ca="1">'TUSD BE'!$AM9+'TUSD BF'!$AM9+'TUSD CVA'!$AM9</f>
        <v>31.100078588944669</v>
      </c>
      <c r="AY9" s="58">
        <v>23.98</v>
      </c>
      <c r="AZ9" s="58">
        <f t="shared" ca="1" si="6"/>
        <v>0</v>
      </c>
      <c r="BA9" s="58"/>
      <c r="BB9" s="58"/>
      <c r="BC9" s="82" t="s">
        <v>961</v>
      </c>
    </row>
    <row r="10" spans="1:55" ht="11.25" customHeight="1" x14ac:dyDescent="0.3">
      <c r="A10" s="128"/>
      <c r="B10" s="128"/>
      <c r="C10" s="128"/>
      <c r="D10" s="128"/>
      <c r="E10" s="128"/>
      <c r="F10" s="128"/>
      <c r="G10" s="18" t="s">
        <v>83</v>
      </c>
      <c r="H10" s="18" t="s">
        <v>81</v>
      </c>
      <c r="I10" s="18">
        <f>'MERCADO TUSD'!$U$7</f>
        <v>0</v>
      </c>
      <c r="J10" s="15"/>
      <c r="L10" s="13">
        <f>'TUSD BE'!$L$10*'TUSD BE'!$L$78</f>
        <v>0</v>
      </c>
      <c r="M10" s="13">
        <f>'TUSD BE'!$M$10*'TUSD BE'!$M$78</f>
        <v>0</v>
      </c>
      <c r="N10" s="13">
        <f ca="1">'TUSD BE'!$N$10*'TUSD BE'!$N$78</f>
        <v>0</v>
      </c>
      <c r="O10" s="13">
        <f>'TUSD BE'!$O$10*'TUSD BE'!$O$78</f>
        <v>0</v>
      </c>
      <c r="P10" s="13">
        <f>'TUSD BE'!$P$10*'TUSD BE'!$P$78</f>
        <v>0</v>
      </c>
      <c r="Q10" s="13">
        <f>'TUSD BE'!$Q$10*'TUSD BE'!$Q$78</f>
        <v>0</v>
      </c>
      <c r="R10" s="13">
        <f>'TUSD BE'!$R$10*'TUSD BE'!$R$78</f>
        <v>0</v>
      </c>
      <c r="S10" s="13">
        <f>'TUSD BE'!$R$10*'TUSD BE'!$S$78</f>
        <v>0</v>
      </c>
      <c r="T10" s="13">
        <f ca="1">SUM($L$10:$S$10)</f>
        <v>0</v>
      </c>
      <c r="U10" s="13">
        <f>'TUSD BE'!$U$10*'TUSD BE'!$U$78</f>
        <v>-6.357516776181249E-2</v>
      </c>
      <c r="V10" s="13">
        <f>'TUSD BE'!$V$10*'TUSD BE'!$V$78</f>
        <v>-1.4350046811474672E-2</v>
      </c>
      <c r="W10" s="13">
        <f>'TUSD BE'!$W$10*'TUSD BE'!$W$78</f>
        <v>-4.8083856230282966E-4</v>
      </c>
      <c r="X10" s="13">
        <f>'TUSD BE'!$X$10*'TUSD BE'!$X$78</f>
        <v>0</v>
      </c>
      <c r="Y10" s="13">
        <f>'TUSD BE'!$Y$10*'TUSD BE'!$Y$78</f>
        <v>0</v>
      </c>
      <c r="Z10" s="13">
        <f>'TUSD BE'!$Z$10*'TUSD BE'!$Z$78</f>
        <v>0</v>
      </c>
      <c r="AA10" s="13">
        <f>'TUSD BE'!$AA$10*'TUSD BE'!$AA$78</f>
        <v>0</v>
      </c>
      <c r="AB10" s="13">
        <f>SUM($U$10:$AA$10)</f>
        <v>-7.8406053135589987E-2</v>
      </c>
      <c r="AC10" s="13">
        <f>'TUSD BE'!$AC$10*'TUSD BE'!$AC$78</f>
        <v>6.7357547661309062E-4</v>
      </c>
      <c r="AD10" s="13">
        <f>SUM($AC$10:$AC$10)</f>
        <v>6.7357547661309062E-4</v>
      </c>
      <c r="AE10" s="13">
        <f ca="1">$AO$10*$AO$75</f>
        <v>0</v>
      </c>
      <c r="AF10" s="13">
        <f ca="1">$AP$10*$AP$75</f>
        <v>0</v>
      </c>
      <c r="AG10" s="13">
        <f ca="1">SUM($AE$10:$AF$10)</f>
        <v>0</v>
      </c>
      <c r="AH10" s="13">
        <f>'TUSD BE'!$AH$10*'TUSD BE'!$AH$78</f>
        <v>0</v>
      </c>
      <c r="AI10" s="13">
        <f>'TUSD BE'!$AI$10*'TUSD BE'!$AI$78</f>
        <v>0</v>
      </c>
      <c r="AJ10" s="13">
        <f ca="1">'TUSD BE'!$AJ$10*'TUSD BE'!$AJ$78</f>
        <v>0</v>
      </c>
      <c r="AK10" s="13">
        <f ca="1">'TUSD BE'!$AK$10*'TUSD BE'!$AK$78</f>
        <v>0</v>
      </c>
      <c r="AL10" s="13">
        <f ca="1">SUM($AH$10:$AK$10)</f>
        <v>0</v>
      </c>
      <c r="AM10" s="13">
        <f ca="1">SUMIF($L$4:$AL$4,"SUBTOTAL",$L$10:$AL$10)+AZ10</f>
        <v>-7.7732477658976895E-2</v>
      </c>
      <c r="AO10" s="20">
        <f ca="1">+'TUSD BE'!$T$10+'TUSD BE'!$AB$10+'TUSD BE'!$AD$10+'TUSD BE'!$AL$10</f>
        <v>11.616134923379786</v>
      </c>
      <c r="AP10" s="20">
        <f ca="1">+'TUSD BE'!$T$10+'TUSD BE'!$AB$10+'TUSD BE'!$AD$10+'TUSD BE'!$AL$10</f>
        <v>11.616134923379786</v>
      </c>
      <c r="AQ10" s="9" t="str">
        <f t="shared" si="0"/>
        <v>A3</v>
      </c>
      <c r="AR10" s="9" t="str">
        <f t="shared" si="1"/>
        <v>Azul</v>
      </c>
      <c r="AS10" s="9" t="str">
        <f t="shared" si="2"/>
        <v>Não se aplica</v>
      </c>
      <c r="AT10" s="9" t="str">
        <f t="shared" si="3"/>
        <v>Não se aplica</v>
      </c>
      <c r="AU10" s="9" t="str">
        <f t="shared" si="4"/>
        <v>Não se aplica</v>
      </c>
      <c r="AV10" s="58">
        <f t="shared" si="5"/>
        <v>1</v>
      </c>
      <c r="AW10" s="58">
        <f ca="1">IFERROR(VLOOKUP(AQ10,TarifaMedia!$C$40:$G$43,5,0),0)</f>
        <v>0</v>
      </c>
      <c r="AX10" s="23">
        <f ca="1">'TUSD BE'!$AM10+'TUSD BF'!$AM10+'TUSD CVA'!$AM10</f>
        <v>11.997533312118037</v>
      </c>
      <c r="AY10" s="58">
        <v>8.86</v>
      </c>
      <c r="AZ10" s="58">
        <f t="shared" ca="1" si="6"/>
        <v>0</v>
      </c>
      <c r="BA10" s="58"/>
      <c r="BB10" s="58"/>
      <c r="BC10" s="82" t="s">
        <v>962</v>
      </c>
    </row>
    <row r="11" spans="1:55" ht="11.25" customHeight="1" x14ac:dyDescent="0.3">
      <c r="A11" s="128"/>
      <c r="B11" s="128"/>
      <c r="C11" s="128"/>
      <c r="D11" s="128"/>
      <c r="E11" s="128"/>
      <c r="F11" s="128"/>
      <c r="G11" s="18" t="s">
        <v>84</v>
      </c>
      <c r="H11" s="18" t="s">
        <v>78</v>
      </c>
      <c r="I11" s="18">
        <f>'MERCADO TUSD'!$U$8</f>
        <v>0</v>
      </c>
      <c r="J11" s="15"/>
      <c r="L11" s="13">
        <f>'TUSD BE'!$L$11*'TUSD BE'!$L$78</f>
        <v>-0.34936345390913853</v>
      </c>
      <c r="M11" s="13">
        <f>'TUSD BE'!$M$11*'TUSD BE'!$M$78</f>
        <v>0</v>
      </c>
      <c r="N11" s="13">
        <f ca="1">'TUSD BE'!$N$11*'TUSD BE'!$N$78</f>
        <v>1.3670398570483753E-8</v>
      </c>
      <c r="O11" s="13">
        <f>'TUSD BE'!$O$11*'TUSD BE'!$O$78</f>
        <v>0</v>
      </c>
      <c r="P11" s="13">
        <f>'TUSD BE'!$P$11*'TUSD BE'!$P$78</f>
        <v>0</v>
      </c>
      <c r="Q11" s="13">
        <f>'TUSD BE'!$Q$11*'TUSD BE'!$Q$78</f>
        <v>-0.99795005822277194</v>
      </c>
      <c r="R11" s="13">
        <f>'TUSD BE'!$R$11*'TUSD BE'!$R$78</f>
        <v>-0.37578018258543827</v>
      </c>
      <c r="S11" s="13">
        <f>'TUSD BE'!$R$11*'TUSD BE'!$S$78</f>
        <v>0</v>
      </c>
      <c r="T11" s="13">
        <f ca="1">SUM($L$11:$S$11)</f>
        <v>-1.7230936810469502</v>
      </c>
      <c r="U11" s="13">
        <f>'TUSD BE'!$U$11*'TUSD BE'!$U$78</f>
        <v>0</v>
      </c>
      <c r="V11" s="13">
        <f>'TUSD BE'!$V$11*'TUSD BE'!$V$78</f>
        <v>0</v>
      </c>
      <c r="W11" s="13">
        <f>'TUSD BE'!$W$11*'TUSD BE'!$W$78</f>
        <v>0</v>
      </c>
      <c r="X11" s="13">
        <f>'TUSD BE'!$X$11*'TUSD BE'!$X$78</f>
        <v>0</v>
      </c>
      <c r="Y11" s="13">
        <f>'TUSD BE'!$Y$11*'TUSD BE'!$Y$78</f>
        <v>0</v>
      </c>
      <c r="Z11" s="13">
        <f>'TUSD BE'!$Z$11*'TUSD BE'!$Z$78</f>
        <v>0</v>
      </c>
      <c r="AA11" s="13">
        <f>'TUSD BE'!$AA$11*'TUSD BE'!$AA$78</f>
        <v>0</v>
      </c>
      <c r="AB11" s="13">
        <f>SUM($U$11:$AA$11)</f>
        <v>0</v>
      </c>
      <c r="AC11" s="13">
        <f>'TUSD BE'!$AC$11*'TUSD BE'!$AC$78</f>
        <v>0</v>
      </c>
      <c r="AD11" s="13">
        <f>SUM($AC$11:$AC$11)</f>
        <v>0</v>
      </c>
      <c r="AE11" s="13">
        <f ca="1">$AO$11*$AO$75</f>
        <v>0</v>
      </c>
      <c r="AF11" s="13">
        <f ca="1">$AP$11*$AP$75</f>
        <v>0</v>
      </c>
      <c r="AG11" s="13">
        <f ca="1">SUM($AE$11:$AF$11)</f>
        <v>0</v>
      </c>
      <c r="AH11" s="13">
        <f>'TUSD BE'!$AH$11*'TUSD BE'!$AH$78</f>
        <v>0.84106171712211031</v>
      </c>
      <c r="AI11" s="13">
        <f>'TUSD BE'!$AI$11*'TUSD BE'!$AI$78</f>
        <v>1.4576510396847804E-2</v>
      </c>
      <c r="AJ11" s="13">
        <f ca="1">'TUSD BE'!$AJ$11*'TUSD BE'!$AJ$78</f>
        <v>0</v>
      </c>
      <c r="AK11" s="13">
        <f ca="1">'TUSD BE'!$AK$11*'TUSD BE'!$AK$78</f>
        <v>0</v>
      </c>
      <c r="AL11" s="13">
        <f ca="1">SUM($AH$11:$AK$11)</f>
        <v>0.85563822751895813</v>
      </c>
      <c r="AM11" s="13">
        <f ca="1">SUMIF($L$4:$AL$4,"SUBTOTAL",$L$11:$AL$11)+AZ11</f>
        <v>-0.86745545352799203</v>
      </c>
      <c r="AO11" s="20">
        <f ca="1">+'TUSD BE'!$T$11+'TUSD BE'!$AB$11+'TUSD BE'!$AD$11+'TUSD BE'!$AL$11</f>
        <v>73.534608819917878</v>
      </c>
      <c r="AP11" s="20">
        <f ca="1">+'TUSD BE'!$T$11+'TUSD BE'!$AB$11+'TUSD BE'!$AD$11+'TUSD BE'!$AL$11</f>
        <v>73.534608819917878</v>
      </c>
      <c r="AQ11" s="9" t="str">
        <f t="shared" si="0"/>
        <v>A3</v>
      </c>
      <c r="AR11" s="9" t="str">
        <f t="shared" si="1"/>
        <v>Azul</v>
      </c>
      <c r="AS11" s="9" t="str">
        <f t="shared" si="2"/>
        <v>Não se aplica</v>
      </c>
      <c r="AT11" s="9" t="str">
        <f t="shared" si="3"/>
        <v>Não se aplica</v>
      </c>
      <c r="AU11" s="9" t="str">
        <f t="shared" si="4"/>
        <v>Não se aplica</v>
      </c>
      <c r="AV11" s="58">
        <f t="shared" si="5"/>
        <v>1</v>
      </c>
      <c r="AW11" s="58">
        <f ca="1">IFERROR(VLOOKUP(AQ11,TarifaMedia!$C$40:$G$43,5,0),0)</f>
        <v>0</v>
      </c>
      <c r="AX11" s="23">
        <f ca="1">'TUSD BE'!$AM11+'TUSD BF'!$AM11+'TUSD CVA'!$AM11</f>
        <v>92.279291731841198</v>
      </c>
      <c r="AY11" s="58">
        <v>92.74</v>
      </c>
      <c r="AZ11" s="58">
        <f t="shared" ca="1" si="6"/>
        <v>0</v>
      </c>
      <c r="BA11" s="58"/>
      <c r="BB11" s="58"/>
      <c r="BC11" s="82" t="s">
        <v>963</v>
      </c>
    </row>
    <row r="12" spans="1:55" ht="11.25" customHeight="1" x14ac:dyDescent="0.3">
      <c r="A12" s="128"/>
      <c r="B12" s="128"/>
      <c r="C12" s="128"/>
      <c r="D12" s="128"/>
      <c r="E12" s="17" t="s">
        <v>85</v>
      </c>
      <c r="F12" s="17" t="s">
        <v>25</v>
      </c>
      <c r="G12" s="18" t="s">
        <v>84</v>
      </c>
      <c r="H12" s="18" t="s">
        <v>78</v>
      </c>
      <c r="I12" s="18">
        <f>'MERCADO TUSD'!$U$9</f>
        <v>0</v>
      </c>
      <c r="J12" s="15"/>
      <c r="L12" s="13">
        <f>'TUSD BE'!$L$12*'TUSD BE'!$L$78</f>
        <v>0</v>
      </c>
      <c r="M12" s="13">
        <f>'TUSD BE'!$M$12*'TUSD BE'!$M$78</f>
        <v>0</v>
      </c>
      <c r="N12" s="13">
        <f ca="1">'TUSD BE'!$N$12*'TUSD BE'!$N$78</f>
        <v>1.2790933917210224E-8</v>
      </c>
      <c r="O12" s="13">
        <f>'TUSD BE'!$O$12*'TUSD BE'!$O$78</f>
        <v>0</v>
      </c>
      <c r="P12" s="13">
        <f>'TUSD BE'!$P$12*'TUSD BE'!$P$78</f>
        <v>0</v>
      </c>
      <c r="Q12" s="13">
        <f>'TUSD BE'!$Q$12*'TUSD BE'!$Q$78</f>
        <v>0</v>
      </c>
      <c r="R12" s="13">
        <f>'TUSD BE'!$R$12*'TUSD BE'!$R$78</f>
        <v>0</v>
      </c>
      <c r="S12" s="13">
        <f>'TUSD BE'!$R$12*'TUSD BE'!$S$78</f>
        <v>0</v>
      </c>
      <c r="T12" s="13">
        <f ca="1">SUM($L$12:$S$12)</f>
        <v>1.2790933917210224E-8</v>
      </c>
      <c r="U12" s="13">
        <f>'TUSD BE'!$U$12*'TUSD BE'!$U$78</f>
        <v>0</v>
      </c>
      <c r="V12" s="13">
        <f>'TUSD BE'!$V$12*'TUSD BE'!$V$78</f>
        <v>0</v>
      </c>
      <c r="W12" s="13">
        <f>'TUSD BE'!$W$12*'TUSD BE'!$W$78</f>
        <v>0</v>
      </c>
      <c r="X12" s="13">
        <f>'TUSD BE'!$X$12*'TUSD BE'!$X$78</f>
        <v>0</v>
      </c>
      <c r="Y12" s="13">
        <f>'TUSD BE'!$Y$12*'TUSD BE'!$Y$78</f>
        <v>0</v>
      </c>
      <c r="Z12" s="13">
        <f>'TUSD BE'!$Z$12*'TUSD BE'!$Z$78</f>
        <v>0</v>
      </c>
      <c r="AA12" s="13">
        <f>'TUSD BE'!$AA$12*'TUSD BE'!$AA$78</f>
        <v>0</v>
      </c>
      <c r="AB12" s="13">
        <f>SUM($U$12:$AA$12)</f>
        <v>0</v>
      </c>
      <c r="AC12" s="13">
        <f>'TUSD BE'!$AC$12*'TUSD BE'!$AC$78</f>
        <v>0</v>
      </c>
      <c r="AD12" s="13">
        <f>SUM($AC$12:$AC$12)</f>
        <v>0</v>
      </c>
      <c r="AE12" s="13">
        <f ca="1">$AO$12*$AO$75</f>
        <v>0</v>
      </c>
      <c r="AF12" s="13">
        <f ca="1">$AP$12*$AP$75</f>
        <v>0</v>
      </c>
      <c r="AG12" s="13">
        <f ca="1">SUM($AE$12:$AF$12)</f>
        <v>0</v>
      </c>
      <c r="AH12" s="13">
        <f>'TUSD BE'!$AH$12*'TUSD BE'!$AH$78</f>
        <v>0.84106171712211031</v>
      </c>
      <c r="AI12" s="13">
        <f>'TUSD BE'!$AI$12*'TUSD BE'!$AI$78</f>
        <v>1.4576510396847804E-2</v>
      </c>
      <c r="AJ12" s="13">
        <f ca="1">'TUSD BE'!$AJ$12*'TUSD BE'!$AJ$78</f>
        <v>0</v>
      </c>
      <c r="AK12" s="13">
        <f ca="1">'TUSD BE'!$AK$12*'TUSD BE'!$AK$78</f>
        <v>0</v>
      </c>
      <c r="AL12" s="13">
        <f ca="1">SUM($AH$12:$AK$12)</f>
        <v>0.85563822751895813</v>
      </c>
      <c r="AM12" s="13">
        <f ca="1">SUMIF($L$4:$AL$4,"SUBTOTAL",$L$12:$AL$12)+AZ12</f>
        <v>0.855638240309892</v>
      </c>
      <c r="AO12" s="20">
        <f ca="1">+'TUSD BE'!$T$12+'TUSD BE'!$AB$12+'TUSD BE'!$AD$12+'TUSD BE'!$AL$12</f>
        <v>1.9769804705523093</v>
      </c>
      <c r="AP12" s="20">
        <f ca="1">+'TUSD BE'!$T$12+'TUSD BE'!$AB$12+'TUSD BE'!$AD$12+'TUSD BE'!$AL$12</f>
        <v>1.9769804705523093</v>
      </c>
      <c r="AQ12" s="9" t="str">
        <f t="shared" si="0"/>
        <v>A3</v>
      </c>
      <c r="AR12" s="9" t="str">
        <f t="shared" si="1"/>
        <v>Azul</v>
      </c>
      <c r="AS12" s="9" t="str">
        <f t="shared" si="2"/>
        <v>Não se aplica</v>
      </c>
      <c r="AT12" s="9" t="str">
        <f t="shared" si="3"/>
        <v>Não se aplica</v>
      </c>
      <c r="AU12" s="9" t="str">
        <f t="shared" si="4"/>
        <v>APE</v>
      </c>
      <c r="AV12" s="58">
        <f t="shared" si="5"/>
        <v>1</v>
      </c>
      <c r="AW12" s="58">
        <f ca="1">IFERROR(VLOOKUP(AQ12,TarifaMedia!$C$40:$G$43,5,0),0)</f>
        <v>0</v>
      </c>
      <c r="AX12" s="23">
        <f ca="1">'TUSD BE'!$AM12+'TUSD BF'!$AM12+'TUSD CVA'!$AM12</f>
        <v>2.5708794866641123</v>
      </c>
      <c r="AY12" s="58">
        <v>20.420000000000002</v>
      </c>
      <c r="AZ12" s="58">
        <f t="shared" ca="1" si="6"/>
        <v>0</v>
      </c>
      <c r="BA12" s="58"/>
      <c r="BB12" s="58"/>
      <c r="BC12" s="82" t="s">
        <v>964</v>
      </c>
    </row>
    <row r="13" spans="1:55" ht="11.25" customHeight="1" x14ac:dyDescent="0.3">
      <c r="A13" s="128"/>
      <c r="B13" s="17" t="s">
        <v>57</v>
      </c>
      <c r="C13" s="17" t="s">
        <v>25</v>
      </c>
      <c r="D13" s="17" t="s">
        <v>25</v>
      </c>
      <c r="E13" s="17" t="s">
        <v>25</v>
      </c>
      <c r="F13" s="17" t="s">
        <v>25</v>
      </c>
      <c r="G13" s="18" t="s">
        <v>9</v>
      </c>
      <c r="H13" s="18" t="s">
        <v>81</v>
      </c>
      <c r="I13" s="18">
        <f>'MERCADO TUSD'!$U$10</f>
        <v>93600</v>
      </c>
      <c r="J13" s="15"/>
      <c r="L13" s="13">
        <f>'TUSD BE'!$L$13*'TUSD BE'!$L$78</f>
        <v>0</v>
      </c>
      <c r="M13" s="13">
        <f>'TUSD BE'!$M$13*'TUSD BE'!$M$78</f>
        <v>-5.4993425968086189E-5</v>
      </c>
      <c r="N13" s="13">
        <f ca="1">'TUSD BE'!$N$13*'TUSD BE'!$N$78</f>
        <v>5.3592660139828884E-9</v>
      </c>
      <c r="O13" s="13">
        <f>'TUSD BE'!$O$13*'TUSD BE'!$O$78</f>
        <v>0</v>
      </c>
      <c r="P13" s="13">
        <f>'TUSD BE'!$P$13*'TUSD BE'!$P$78</f>
        <v>0</v>
      </c>
      <c r="Q13" s="13">
        <f>'TUSD BE'!$Q$13*'TUSD BE'!$Q$78</f>
        <v>0</v>
      </c>
      <c r="R13" s="13">
        <f>'TUSD BE'!$R$13*'TUSD BE'!$R$78</f>
        <v>0</v>
      </c>
      <c r="S13" s="13">
        <f>'TUSD BE'!$R$13*'TUSD BE'!$S$78</f>
        <v>0</v>
      </c>
      <c r="T13" s="13">
        <f ca="1">SUM($L$13:$S$13)</f>
        <v>-5.4988066702072206E-5</v>
      </c>
      <c r="U13" s="13">
        <f>'TUSD BE'!$U$13*'TUSD BE'!$U$78</f>
        <v>-8.954561748831974E-2</v>
      </c>
      <c r="V13" s="13">
        <f>'TUSD BE'!$V$13*'TUSD BE'!$V$78</f>
        <v>-4.078319561979956E-2</v>
      </c>
      <c r="W13" s="13">
        <f>'TUSD BE'!$W$13*'TUSD BE'!$W$78</f>
        <v>-2.2162667512393127E-3</v>
      </c>
      <c r="X13" s="13">
        <f>'TUSD BE'!$X$13*'TUSD BE'!$X$78</f>
        <v>0</v>
      </c>
      <c r="Y13" s="13">
        <f>'TUSD BE'!$Y$13*'TUSD BE'!$Y$78</f>
        <v>0</v>
      </c>
      <c r="Z13" s="13">
        <f>'TUSD BE'!$Z$13*'TUSD BE'!$Z$78</f>
        <v>0</v>
      </c>
      <c r="AA13" s="13">
        <f>'TUSD BE'!$AA$13*'TUSD BE'!$AA$78</f>
        <v>0</v>
      </c>
      <c r="AB13" s="13">
        <f>SUM($U$13:$AA$13)</f>
        <v>-0.13254507985935862</v>
      </c>
      <c r="AC13" s="13">
        <f>'TUSD BE'!$AC$13*'TUSD BE'!$AC$78</f>
        <v>1.7103422032574585E-4</v>
      </c>
      <c r="AD13" s="13">
        <f>SUM($AC$13:$AC$13)</f>
        <v>1.7103422032574585E-4</v>
      </c>
      <c r="AE13" s="13">
        <f ca="1">$AO$13*$AO$75</f>
        <v>0</v>
      </c>
      <c r="AF13" s="13">
        <f ca="1">$AP$13*$AP$75</f>
        <v>0</v>
      </c>
      <c r="AG13" s="13">
        <f ca="1">SUM($AE$13:$AF$13)</f>
        <v>0</v>
      </c>
      <c r="AH13" s="13">
        <f>'TUSD BE'!$AH$13*'TUSD BE'!$AH$78</f>
        <v>0</v>
      </c>
      <c r="AI13" s="13">
        <f>'TUSD BE'!$AI$13*'TUSD BE'!$AI$78</f>
        <v>0</v>
      </c>
      <c r="AJ13" s="13">
        <f ca="1">'TUSD BE'!$AJ$13*'TUSD BE'!$AJ$78</f>
        <v>0</v>
      </c>
      <c r="AK13" s="13">
        <f ca="1">'TUSD BE'!$AK$13*'TUSD BE'!$AK$78</f>
        <v>0</v>
      </c>
      <c r="AL13" s="13">
        <f ca="1">SUM($AH$13:$AK$13)</f>
        <v>0</v>
      </c>
      <c r="AM13" s="13">
        <f ca="1">SUMIF($L$4:$AL$4,"SUBTOTAL",$L$13:$AL$13)+AZ13</f>
        <v>-0.13242903370573494</v>
      </c>
      <c r="AO13" s="20">
        <f>+'TUSD BE'!$T$13+'TUSD BE'!$AB$13+'TUSD BE'!$AD$13+'TUSD BE'!$AL$13</f>
        <v>10.973286907638855</v>
      </c>
      <c r="AP13" s="20">
        <f>+'TUSD BE'!$T$13+'TUSD BE'!$AB$13+'TUSD BE'!$AD$13+'TUSD BE'!$AL$13</f>
        <v>10.973286907638855</v>
      </c>
      <c r="AQ13" s="9" t="str">
        <f t="shared" si="0"/>
        <v>A3</v>
      </c>
      <c r="AR13" s="9" t="str">
        <f t="shared" si="1"/>
        <v>Geração</v>
      </c>
      <c r="AS13" s="9" t="str">
        <f t="shared" si="2"/>
        <v>Não se aplica</v>
      </c>
      <c r="AT13" s="9" t="str">
        <f t="shared" si="3"/>
        <v>Não se aplica</v>
      </c>
      <c r="AU13" s="9" t="str">
        <f t="shared" si="4"/>
        <v>Não se aplica</v>
      </c>
      <c r="AV13" s="58">
        <f t="shared" si="5"/>
        <v>0</v>
      </c>
      <c r="AW13" s="58">
        <f ca="1">IFERROR(VLOOKUP(AQ13,TarifaMedia!$C$40:$G$43,5,0),0)</f>
        <v>0</v>
      </c>
      <c r="AX13" s="23">
        <f ca="1">'TUSD BE'!$AM13+'TUSD BF'!$AM13+'TUSD CVA'!$AM13</f>
        <v>11.598813715831222</v>
      </c>
      <c r="AY13" s="58">
        <v>9.3800000000000008</v>
      </c>
      <c r="AZ13" s="58">
        <f t="shared" ca="1" si="6"/>
        <v>0</v>
      </c>
      <c r="BA13" s="58"/>
      <c r="BB13" s="58"/>
      <c r="BC13" s="82" t="s">
        <v>965</v>
      </c>
    </row>
    <row r="14" spans="1:55" ht="11.25" customHeight="1" x14ac:dyDescent="0.3">
      <c r="A14" s="128" t="s">
        <v>39</v>
      </c>
      <c r="B14" s="128" t="s">
        <v>40</v>
      </c>
      <c r="C14" s="128" t="s">
        <v>25</v>
      </c>
      <c r="D14" s="128" t="s">
        <v>25</v>
      </c>
      <c r="E14" s="128" t="s">
        <v>25</v>
      </c>
      <c r="F14" s="128" t="s">
        <v>25</v>
      </c>
      <c r="G14" s="18" t="s">
        <v>82</v>
      </c>
      <c r="H14" s="18" t="s">
        <v>81</v>
      </c>
      <c r="I14" s="18">
        <f>'MERCADO TUSD'!$U$11</f>
        <v>355389</v>
      </c>
      <c r="J14" s="15"/>
      <c r="L14" s="13">
        <f>'TUSD BE'!$L$14*'TUSD BE'!$L$78</f>
        <v>0</v>
      </c>
      <c r="M14" s="13">
        <f>'TUSD BE'!$M$14*'TUSD BE'!$M$78</f>
        <v>0</v>
      </c>
      <c r="N14" s="13">
        <f ca="1">'TUSD BE'!$N$14*'TUSD BE'!$N$78</f>
        <v>0</v>
      </c>
      <c r="O14" s="13">
        <f>'TUSD BE'!$O$14*'TUSD BE'!$O$78</f>
        <v>0</v>
      </c>
      <c r="P14" s="13">
        <f>'TUSD BE'!$P$14*'TUSD BE'!$P$78</f>
        <v>0</v>
      </c>
      <c r="Q14" s="13">
        <f>'TUSD BE'!$Q$14*'TUSD BE'!$Q$78</f>
        <v>0</v>
      </c>
      <c r="R14" s="13">
        <f>'TUSD BE'!$R$14*'TUSD BE'!$R$78</f>
        <v>0</v>
      </c>
      <c r="S14" s="13">
        <f>'TUSD BE'!$R$14*'TUSD BE'!$S$78</f>
        <v>0</v>
      </c>
      <c r="T14" s="13">
        <f ca="1">SUM($L$14:$S$14)</f>
        <v>0</v>
      </c>
      <c r="U14" s="13">
        <f>'TUSD BE'!$U$14*'TUSD BE'!$U$78</f>
        <v>-7.9708097926426885E-2</v>
      </c>
      <c r="V14" s="13">
        <f>'TUSD BE'!$V$14*'TUSD BE'!$V$78</f>
        <v>-1.7848462262460354E-2</v>
      </c>
      <c r="W14" s="13">
        <f>'TUSD BE'!$W$14*'TUSD BE'!$W$78</f>
        <v>-6.2369106013858617E-4</v>
      </c>
      <c r="X14" s="13">
        <f>'TUSD BE'!$X$14*'TUSD BE'!$X$78</f>
        <v>0</v>
      </c>
      <c r="Y14" s="13">
        <f>'TUSD BE'!$Y$14*'TUSD BE'!$Y$78</f>
        <v>0</v>
      </c>
      <c r="Z14" s="13">
        <f>'TUSD BE'!$Z$14*'TUSD BE'!$Z$78</f>
        <v>0</v>
      </c>
      <c r="AA14" s="13">
        <f>'TUSD BE'!$AA$14*'TUSD BE'!$AA$78</f>
        <v>0</v>
      </c>
      <c r="AB14" s="13">
        <f>SUM($U$14:$AA$14)</f>
        <v>-9.8180251249025824E-2</v>
      </c>
      <c r="AC14" s="13">
        <f>'TUSD BE'!$AC$14*'TUSD BE'!$AC$78</f>
        <v>3.6473638187059345E-3</v>
      </c>
      <c r="AD14" s="13">
        <f>SUM($AC$14:$AC$14)</f>
        <v>3.6473638187059345E-3</v>
      </c>
      <c r="AE14" s="13">
        <f ca="1">$AO$14*$AO$75</f>
        <v>0</v>
      </c>
      <c r="AF14" s="13">
        <f ca="1">$AP$14*$AP$75</f>
        <v>0</v>
      </c>
      <c r="AG14" s="13">
        <f ca="1">SUM($AE$14:$AF$14)</f>
        <v>0</v>
      </c>
      <c r="AH14" s="13">
        <f>'TUSD BE'!$AH$14*'TUSD BE'!$AH$78</f>
        <v>0</v>
      </c>
      <c r="AI14" s="13">
        <f>'TUSD BE'!$AI$14*'TUSD BE'!$AI$78</f>
        <v>0</v>
      </c>
      <c r="AJ14" s="13">
        <f ca="1">'TUSD BE'!$AJ$14*'TUSD BE'!$AJ$78</f>
        <v>0</v>
      </c>
      <c r="AK14" s="13">
        <f ca="1">'TUSD BE'!$AK$14*'TUSD BE'!$AK$78</f>
        <v>0</v>
      </c>
      <c r="AL14" s="13">
        <f ca="1">SUM($AH$14:$AK$14)</f>
        <v>0</v>
      </c>
      <c r="AM14" s="13">
        <f ca="1">SUMIF($L$4:$AL$4,"SUBTOTAL",$L$14:$AL$14)+AZ14</f>
        <v>-9.4532887430319887E-2</v>
      </c>
      <c r="AO14" s="20">
        <f ca="1">+'TUSD BE'!$T$14+'TUSD BE'!$AB$14+'TUSD BE'!$AD$14+'TUSD BE'!$AL$14</f>
        <v>40.483306943736622</v>
      </c>
      <c r="AP14" s="20">
        <f ca="1">+'TUSD BE'!$T$14+'TUSD BE'!$AB$14+'TUSD BE'!$AD$14+'TUSD BE'!$AL$14</f>
        <v>40.483306943736622</v>
      </c>
      <c r="AQ14" s="9" t="str">
        <f t="shared" si="0"/>
        <v>A4</v>
      </c>
      <c r="AR14" s="9" t="str">
        <f t="shared" si="1"/>
        <v>Azul</v>
      </c>
      <c r="AS14" s="9" t="str">
        <f t="shared" si="2"/>
        <v>Não se aplica</v>
      </c>
      <c r="AT14" s="9" t="str">
        <f t="shared" si="3"/>
        <v>Não se aplica</v>
      </c>
      <c r="AU14" s="9" t="str">
        <f t="shared" si="4"/>
        <v>Não se aplica</v>
      </c>
      <c r="AV14" s="58">
        <f t="shared" si="5"/>
        <v>1</v>
      </c>
      <c r="AW14" s="58">
        <f ca="1">IFERROR(VLOOKUP(AQ14,TarifaMedia!$C$40:$G$43,5,0),0)</f>
        <v>0</v>
      </c>
      <c r="AX14" s="23">
        <f ca="1">'TUSD BE'!$AM14+'TUSD BF'!$AM14+'TUSD CVA'!$AM14</f>
        <v>40.963640769708675</v>
      </c>
      <c r="AY14" s="58">
        <v>49.92</v>
      </c>
      <c r="AZ14" s="58">
        <f t="shared" ca="1" si="6"/>
        <v>0</v>
      </c>
      <c r="BA14" s="58"/>
      <c r="BB14" s="58"/>
      <c r="BC14" s="82" t="s">
        <v>966</v>
      </c>
    </row>
    <row r="15" spans="1:55" ht="11.25" customHeight="1" x14ac:dyDescent="0.3">
      <c r="A15" s="128"/>
      <c r="B15" s="128"/>
      <c r="C15" s="128"/>
      <c r="D15" s="128"/>
      <c r="E15" s="128"/>
      <c r="F15" s="128"/>
      <c r="G15" s="18" t="s">
        <v>83</v>
      </c>
      <c r="H15" s="18" t="s">
        <v>81</v>
      </c>
      <c r="I15" s="18">
        <f>'MERCADO TUSD'!$U$12</f>
        <v>371113</v>
      </c>
      <c r="J15" s="15"/>
      <c r="L15" s="13">
        <f>'TUSD BE'!$L$15*'TUSD BE'!$L$78</f>
        <v>0</v>
      </c>
      <c r="M15" s="13">
        <f>'TUSD BE'!$M$15*'TUSD BE'!$M$78</f>
        <v>0</v>
      </c>
      <c r="N15" s="13">
        <f ca="1">'TUSD BE'!$N$15*'TUSD BE'!$N$78</f>
        <v>0</v>
      </c>
      <c r="O15" s="13">
        <f>'TUSD BE'!$O$15*'TUSD BE'!$O$78</f>
        <v>0</v>
      </c>
      <c r="P15" s="13">
        <f>'TUSD BE'!$P$15*'TUSD BE'!$P$78</f>
        <v>0</v>
      </c>
      <c r="Q15" s="13">
        <f>'TUSD BE'!$Q$15*'TUSD BE'!$Q$78</f>
        <v>0</v>
      </c>
      <c r="R15" s="13">
        <f>'TUSD BE'!$R$15*'TUSD BE'!$R$78</f>
        <v>0</v>
      </c>
      <c r="S15" s="13">
        <f>'TUSD BE'!$R$15*'TUSD BE'!$S$78</f>
        <v>0</v>
      </c>
      <c r="T15" s="13">
        <f ca="1">SUM($L$15:$S$15)</f>
        <v>0</v>
      </c>
      <c r="U15" s="13">
        <f>'TUSD BE'!$U$15*'TUSD BE'!$U$78</f>
        <v>-5.5645684769073403E-2</v>
      </c>
      <c r="V15" s="13">
        <f>'TUSD BE'!$V$15*'TUSD BE'!$V$78</f>
        <v>-1.2559942445773247E-2</v>
      </c>
      <c r="W15" s="13">
        <f>'TUSD BE'!$W$15*'TUSD BE'!$W$78</f>
        <v>-4.2045760960936565E-4</v>
      </c>
      <c r="X15" s="13">
        <f>'TUSD BE'!$X$15*'TUSD BE'!$X$78</f>
        <v>0</v>
      </c>
      <c r="Y15" s="13">
        <f>'TUSD BE'!$Y$15*'TUSD BE'!$Y$78</f>
        <v>0</v>
      </c>
      <c r="Z15" s="13">
        <f>'TUSD BE'!$Z$15*'TUSD BE'!$Z$78</f>
        <v>0</v>
      </c>
      <c r="AA15" s="13">
        <f>'TUSD BE'!$AA$15*'TUSD BE'!$AA$78</f>
        <v>0</v>
      </c>
      <c r="AB15" s="13">
        <f>SUM($U$15:$AA$15)</f>
        <v>-6.8626084824456007E-2</v>
      </c>
      <c r="AC15" s="13">
        <f>'TUSD BE'!$AC$15*'TUSD BE'!$AC$78</f>
        <v>1.1879640104767097E-3</v>
      </c>
      <c r="AD15" s="13">
        <f>SUM($AC$15:$AC$15)</f>
        <v>1.1879640104767097E-3</v>
      </c>
      <c r="AE15" s="13">
        <f ca="1">$AO$15*$AO$75</f>
        <v>0</v>
      </c>
      <c r="AF15" s="13">
        <f ca="1">$AP$15*$AP$75</f>
        <v>0</v>
      </c>
      <c r="AG15" s="13">
        <f ca="1">SUM($AE$15:$AF$15)</f>
        <v>0</v>
      </c>
      <c r="AH15" s="13">
        <f>'TUSD BE'!$AH$15*'TUSD BE'!$AH$78</f>
        <v>0</v>
      </c>
      <c r="AI15" s="13">
        <f>'TUSD BE'!$AI$15*'TUSD BE'!$AI$78</f>
        <v>0</v>
      </c>
      <c r="AJ15" s="13">
        <f ca="1">'TUSD BE'!$AJ$15*'TUSD BE'!$AJ$78</f>
        <v>0</v>
      </c>
      <c r="AK15" s="13">
        <f ca="1">'TUSD BE'!$AK$15*'TUSD BE'!$AK$78</f>
        <v>0</v>
      </c>
      <c r="AL15" s="13">
        <f ca="1">SUM($AH$15:$AK$15)</f>
        <v>0</v>
      </c>
      <c r="AM15" s="13">
        <f ca="1">SUMIF($L$4:$AL$4,"SUBTOTAL",$L$15:$AL$15)+AZ15</f>
        <v>-6.7438120813979291E-2</v>
      </c>
      <c r="AO15" s="20">
        <f ca="1">+'TUSD BE'!$T$15+'TUSD BE'!$AB$15+'TUSD BE'!$AD$15+'TUSD BE'!$AL$15</f>
        <v>15.701528290747136</v>
      </c>
      <c r="AP15" s="20">
        <f ca="1">+'TUSD BE'!$T$15+'TUSD BE'!$AB$15+'TUSD BE'!$AD$15+'TUSD BE'!$AL$15</f>
        <v>15.701528290747136</v>
      </c>
      <c r="AQ15" s="9" t="str">
        <f t="shared" si="0"/>
        <v>A4</v>
      </c>
      <c r="AR15" s="9" t="str">
        <f t="shared" si="1"/>
        <v>Azul</v>
      </c>
      <c r="AS15" s="9" t="str">
        <f t="shared" si="2"/>
        <v>Não se aplica</v>
      </c>
      <c r="AT15" s="9" t="str">
        <f t="shared" si="3"/>
        <v>Não se aplica</v>
      </c>
      <c r="AU15" s="9" t="str">
        <f t="shared" si="4"/>
        <v>Não se aplica</v>
      </c>
      <c r="AV15" s="58">
        <f t="shared" si="5"/>
        <v>1</v>
      </c>
      <c r="AW15" s="58">
        <f ca="1">IFERROR(VLOOKUP(AQ15,TarifaMedia!$C$40:$G$43,5,0),0)</f>
        <v>0</v>
      </c>
      <c r="AX15" s="23">
        <f ca="1">'TUSD BE'!$AM15+'TUSD BF'!$AM15+'TUSD CVA'!$AM15</f>
        <v>16.035953923331604</v>
      </c>
      <c r="AY15" s="58">
        <v>16.54</v>
      </c>
      <c r="AZ15" s="58">
        <f t="shared" ca="1" si="6"/>
        <v>0</v>
      </c>
      <c r="BA15" s="58"/>
      <c r="BB15" s="58"/>
      <c r="BC15" s="82" t="s">
        <v>967</v>
      </c>
    </row>
    <row r="16" spans="1:55" ht="11.25" customHeight="1" x14ac:dyDescent="0.3">
      <c r="A16" s="128"/>
      <c r="B16" s="128"/>
      <c r="C16" s="128"/>
      <c r="D16" s="128"/>
      <c r="E16" s="128"/>
      <c r="F16" s="128"/>
      <c r="G16" s="18" t="s">
        <v>84</v>
      </c>
      <c r="H16" s="18" t="s">
        <v>78</v>
      </c>
      <c r="I16" s="18">
        <f>'MERCADO TUSD'!$U$13</f>
        <v>175397.889</v>
      </c>
      <c r="J16" s="15"/>
      <c r="L16" s="13">
        <f>'TUSD BE'!$L$16*'TUSD BE'!$L$78</f>
        <v>-0.47333113110270386</v>
      </c>
      <c r="M16" s="13">
        <f>'TUSD BE'!$M$16*'TUSD BE'!$M$78</f>
        <v>-1.0799733347991276E-3</v>
      </c>
      <c r="N16" s="13">
        <f ca="1">'TUSD BE'!$N$16*'TUSD BE'!$N$78</f>
        <v>2.7515103455866166E-8</v>
      </c>
      <c r="O16" s="13">
        <f>'TUSD BE'!$O$16*'TUSD BE'!$O$78</f>
        <v>0</v>
      </c>
      <c r="P16" s="13">
        <f>'TUSD BE'!$P$16*'TUSD BE'!$P$78</f>
        <v>0</v>
      </c>
      <c r="Q16" s="13">
        <f>'TUSD BE'!$Q$16*'TUSD BE'!$Q$78</f>
        <v>-1.352061369205046</v>
      </c>
      <c r="R16" s="13">
        <f>'TUSD BE'!$R$16*'TUSD BE'!$R$78</f>
        <v>-0.37578018258543827</v>
      </c>
      <c r="S16" s="13">
        <f>'TUSD BE'!$R$16*'TUSD BE'!$S$78</f>
        <v>0</v>
      </c>
      <c r="T16" s="13">
        <f ca="1">SUM($L$16:$S$16)</f>
        <v>-2.2022526287128836</v>
      </c>
      <c r="U16" s="13">
        <f>'TUSD BE'!$U$16*'TUSD BE'!$U$78</f>
        <v>0</v>
      </c>
      <c r="V16" s="13">
        <f>'TUSD BE'!$V$16*'TUSD BE'!$V$78</f>
        <v>0</v>
      </c>
      <c r="W16" s="13">
        <f>'TUSD BE'!$W$16*'TUSD BE'!$W$78</f>
        <v>0</v>
      </c>
      <c r="X16" s="13">
        <f>'TUSD BE'!$X$16*'TUSD BE'!$X$78</f>
        <v>0</v>
      </c>
      <c r="Y16" s="13">
        <f>'TUSD BE'!$Y$16*'TUSD BE'!$Y$78</f>
        <v>0</v>
      </c>
      <c r="Z16" s="13">
        <f>'TUSD BE'!$Z$16*'TUSD BE'!$Z$78</f>
        <v>0</v>
      </c>
      <c r="AA16" s="13">
        <f>'TUSD BE'!$AA$16*'TUSD BE'!$AA$78</f>
        <v>0</v>
      </c>
      <c r="AB16" s="13">
        <f>SUM($U$16:$AA$16)</f>
        <v>0</v>
      </c>
      <c r="AC16" s="13">
        <f>'TUSD BE'!$AC$16*'TUSD BE'!$AC$78</f>
        <v>0</v>
      </c>
      <c r="AD16" s="13">
        <f>SUM($AC$16:$AC$16)</f>
        <v>0</v>
      </c>
      <c r="AE16" s="13">
        <f ca="1">$AO$16*$AO$75</f>
        <v>0</v>
      </c>
      <c r="AF16" s="13">
        <f ca="1">$AP$16*$AP$75</f>
        <v>0</v>
      </c>
      <c r="AG16" s="13">
        <f ca="1">SUM($AE$16:$AF$16)</f>
        <v>0</v>
      </c>
      <c r="AH16" s="13">
        <f>'TUSD BE'!$AH$16*'TUSD BE'!$AH$78</f>
        <v>1.6613204458186515</v>
      </c>
      <c r="AI16" s="13">
        <f>'TUSD BE'!$AI$16*'TUSD BE'!$AI$78</f>
        <v>2.8792482475403815E-2</v>
      </c>
      <c r="AJ16" s="13">
        <f ca="1">'TUSD BE'!$AJ$16*'TUSD BE'!$AJ$78</f>
        <v>0.49655577858363881</v>
      </c>
      <c r="AK16" s="13">
        <f ca="1">'TUSD BE'!$AK$16*'TUSD BE'!$AK$78</f>
        <v>-1.1356460880437319E-2</v>
      </c>
      <c r="AL16" s="13">
        <f ca="1">SUM($AH$16:$AK$16)</f>
        <v>2.1753122459972567</v>
      </c>
      <c r="AM16" s="13">
        <f ca="1">SUMIF($L$4:$AL$4,"SUBTOTAL",$L$16:$AL$16)+AZ16</f>
        <v>-2.6940382715626932E-2</v>
      </c>
      <c r="AO16" s="20">
        <f ca="1">+'TUSD BE'!$T$16+'TUSD BE'!$AB$16+'TUSD BE'!$AD$16+'TUSD BE'!$AL$16</f>
        <v>97.775328841615888</v>
      </c>
      <c r="AP16" s="20">
        <f ca="1">+'TUSD BE'!$T$16+'TUSD BE'!$AB$16+'TUSD BE'!$AD$16+'TUSD BE'!$AL$16</f>
        <v>97.775328841615888</v>
      </c>
      <c r="AQ16" s="9" t="str">
        <f t="shared" si="0"/>
        <v>A4</v>
      </c>
      <c r="AR16" s="9" t="str">
        <f t="shared" si="1"/>
        <v>Azul</v>
      </c>
      <c r="AS16" s="9" t="str">
        <f t="shared" si="2"/>
        <v>Não se aplica</v>
      </c>
      <c r="AT16" s="9" t="str">
        <f t="shared" si="3"/>
        <v>Não se aplica</v>
      </c>
      <c r="AU16" s="9" t="str">
        <f t="shared" si="4"/>
        <v>Não se aplica</v>
      </c>
      <c r="AV16" s="58">
        <f t="shared" si="5"/>
        <v>1</v>
      </c>
      <c r="AW16" s="58">
        <f ca="1">IFERROR(VLOOKUP(AQ16,TarifaMedia!$C$40:$G$43,5,0),0)</f>
        <v>0</v>
      </c>
      <c r="AX16" s="23">
        <f ca="1">'TUSD BE'!$AM16+'TUSD BF'!$AM16+'TUSD CVA'!$AM16</f>
        <v>122.14055331663396</v>
      </c>
      <c r="AY16" s="58">
        <v>117.81</v>
      </c>
      <c r="AZ16" s="58">
        <f t="shared" ca="1" si="6"/>
        <v>0</v>
      </c>
      <c r="BA16" s="58"/>
      <c r="BB16" s="58"/>
      <c r="BC16" s="82" t="s">
        <v>968</v>
      </c>
    </row>
    <row r="17" spans="1:55" ht="11.25" customHeight="1" x14ac:dyDescent="0.3">
      <c r="A17" s="128"/>
      <c r="B17" s="128"/>
      <c r="C17" s="128"/>
      <c r="D17" s="128"/>
      <c r="E17" s="17" t="s">
        <v>85</v>
      </c>
      <c r="F17" s="17" t="s">
        <v>25</v>
      </c>
      <c r="G17" s="18" t="s">
        <v>84</v>
      </c>
      <c r="H17" s="18" t="s">
        <v>78</v>
      </c>
      <c r="I17" s="18">
        <f>'MERCADO TUSD'!$U$14</f>
        <v>0</v>
      </c>
      <c r="J17" s="15"/>
      <c r="L17" s="13">
        <f>'TUSD BE'!$L$17*'TUSD BE'!$L$78</f>
        <v>0</v>
      </c>
      <c r="M17" s="13">
        <f>'TUSD BE'!$M$17*'TUSD BE'!$M$78</f>
        <v>-1.0799733347991276E-3</v>
      </c>
      <c r="N17" s="13">
        <f ca="1">'TUSD BE'!$N$17*'TUSD BE'!$N$78</f>
        <v>2.6635638802592634E-8</v>
      </c>
      <c r="O17" s="13">
        <f>'TUSD BE'!$O$17*'TUSD BE'!$O$78</f>
        <v>0</v>
      </c>
      <c r="P17" s="13">
        <f>'TUSD BE'!$P$17*'TUSD BE'!$P$78</f>
        <v>0</v>
      </c>
      <c r="Q17" s="13">
        <f>'TUSD BE'!$Q$17*'TUSD BE'!$Q$78</f>
        <v>0</v>
      </c>
      <c r="R17" s="13">
        <f>'TUSD BE'!$R$17*'TUSD BE'!$R$78</f>
        <v>0</v>
      </c>
      <c r="S17" s="13">
        <f>'TUSD BE'!$R$17*'TUSD BE'!$S$78</f>
        <v>0</v>
      </c>
      <c r="T17" s="13">
        <f ca="1">SUM($L$17:$S$17)</f>
        <v>-1.0799466991603249E-3</v>
      </c>
      <c r="U17" s="13">
        <f>'TUSD BE'!$U$17*'TUSD BE'!$U$78</f>
        <v>0</v>
      </c>
      <c r="V17" s="13">
        <f>'TUSD BE'!$V$17*'TUSD BE'!$V$78</f>
        <v>0</v>
      </c>
      <c r="W17" s="13">
        <f>'TUSD BE'!$W$17*'TUSD BE'!$W$78</f>
        <v>0</v>
      </c>
      <c r="X17" s="13">
        <f>'TUSD BE'!$X$17*'TUSD BE'!$X$78</f>
        <v>0</v>
      </c>
      <c r="Y17" s="13">
        <f>'TUSD BE'!$Y$17*'TUSD BE'!$Y$78</f>
        <v>0</v>
      </c>
      <c r="Z17" s="13">
        <f>'TUSD BE'!$Z$17*'TUSD BE'!$Z$78</f>
        <v>0</v>
      </c>
      <c r="AA17" s="13">
        <f>'TUSD BE'!$AA$17*'TUSD BE'!$AA$78</f>
        <v>0</v>
      </c>
      <c r="AB17" s="13">
        <f>SUM($U$17:$AA$17)</f>
        <v>0</v>
      </c>
      <c r="AC17" s="13">
        <f>'TUSD BE'!$AC$17*'TUSD BE'!$AC$78</f>
        <v>0</v>
      </c>
      <c r="AD17" s="13">
        <f>SUM($AC$17:$AC$17)</f>
        <v>0</v>
      </c>
      <c r="AE17" s="13">
        <f ca="1">$AO$17*$AO$75</f>
        <v>0</v>
      </c>
      <c r="AF17" s="13">
        <f ca="1">$AP$17*$AP$75</f>
        <v>0</v>
      </c>
      <c r="AG17" s="13">
        <f ca="1">SUM($AE$17:$AF$17)</f>
        <v>0</v>
      </c>
      <c r="AH17" s="13">
        <f>'TUSD BE'!$AH$17*'TUSD BE'!$AH$78</f>
        <v>1.6613204458186515</v>
      </c>
      <c r="AI17" s="13">
        <f>'TUSD BE'!$AI$17*'TUSD BE'!$AI$78</f>
        <v>2.8792482475403815E-2</v>
      </c>
      <c r="AJ17" s="13">
        <f ca="1">'TUSD BE'!$AJ$17*'TUSD BE'!$AJ$78</f>
        <v>0.49655577858363881</v>
      </c>
      <c r="AK17" s="13">
        <f ca="1">'TUSD BE'!$AK$17*'TUSD BE'!$AK$78</f>
        <v>-1.1356460880437319E-2</v>
      </c>
      <c r="AL17" s="13">
        <f ca="1">SUM($AH$17:$AK$17)</f>
        <v>2.1753122459972567</v>
      </c>
      <c r="AM17" s="13">
        <f ca="1">SUMIF($L$4:$AL$4,"SUBTOTAL",$L$17:$AL$17)+AZ17</f>
        <v>2.1742322992980965</v>
      </c>
      <c r="AO17" s="20">
        <f ca="1">+'TUSD BE'!$T$17+'TUSD BE'!$AB$17+'TUSD BE'!$AD$17+'TUSD BE'!$AL$17</f>
        <v>5.6715704843659145</v>
      </c>
      <c r="AP17" s="20">
        <f ca="1">+'TUSD BE'!$T$17+'TUSD BE'!$AB$17+'TUSD BE'!$AD$17+'TUSD BE'!$AL$17</f>
        <v>5.6715704843659145</v>
      </c>
      <c r="AQ17" s="9" t="str">
        <f t="shared" si="0"/>
        <v>A4</v>
      </c>
      <c r="AR17" s="9" t="str">
        <f t="shared" si="1"/>
        <v>Azul</v>
      </c>
      <c r="AS17" s="9" t="str">
        <f t="shared" si="2"/>
        <v>Não se aplica</v>
      </c>
      <c r="AT17" s="9" t="str">
        <f t="shared" si="3"/>
        <v>Não se aplica</v>
      </c>
      <c r="AU17" s="9" t="str">
        <f t="shared" si="4"/>
        <v>APE</v>
      </c>
      <c r="AV17" s="58">
        <f t="shared" si="5"/>
        <v>1</v>
      </c>
      <c r="AW17" s="58">
        <f ca="1">IFERROR(VLOOKUP(AQ17,TarifaMedia!$C$40:$G$43,5,0),0)</f>
        <v>0</v>
      </c>
      <c r="AX17" s="23">
        <f ca="1">'TUSD BE'!$AM17+'TUSD BF'!$AM17+'TUSD CVA'!$AM17</f>
        <v>7.1769021285635759</v>
      </c>
      <c r="AY17" s="58">
        <v>24.97</v>
      </c>
      <c r="AZ17" s="58">
        <f t="shared" ca="1" si="6"/>
        <v>0</v>
      </c>
      <c r="BA17" s="58"/>
      <c r="BB17" s="58"/>
      <c r="BC17" s="82" t="s">
        <v>969</v>
      </c>
    </row>
    <row r="18" spans="1:55" ht="11.25" customHeight="1" x14ac:dyDescent="0.3">
      <c r="A18" s="128"/>
      <c r="B18" s="17" t="s">
        <v>57</v>
      </c>
      <c r="C18" s="17" t="s">
        <v>25</v>
      </c>
      <c r="D18" s="17" t="s">
        <v>25</v>
      </c>
      <c r="E18" s="17" t="s">
        <v>25</v>
      </c>
      <c r="F18" s="17" t="s">
        <v>25</v>
      </c>
      <c r="G18" s="18" t="s">
        <v>9</v>
      </c>
      <c r="H18" s="18" t="s">
        <v>81</v>
      </c>
      <c r="I18" s="18">
        <f>'MERCADO TUSD'!$U$15</f>
        <v>105360</v>
      </c>
      <c r="J18" s="15"/>
      <c r="L18" s="13">
        <f>'TUSD BE'!$L$18*'TUSD BE'!$L$78</f>
        <v>0</v>
      </c>
      <c r="M18" s="13">
        <f>'TUSD BE'!$M$18*'TUSD BE'!$M$78</f>
        <v>-2.6608647410347208E-5</v>
      </c>
      <c r="N18" s="13">
        <f ca="1">'TUSD BE'!$N$18*'TUSD BE'!$N$78</f>
        <v>2.7087511320824731E-9</v>
      </c>
      <c r="O18" s="13">
        <f>'TUSD BE'!$O$18*'TUSD BE'!$O$78</f>
        <v>0</v>
      </c>
      <c r="P18" s="13">
        <f>'TUSD BE'!$P$18*'TUSD BE'!$P$78</f>
        <v>0</v>
      </c>
      <c r="Q18" s="13">
        <f>'TUSD BE'!$Q$18*'TUSD BE'!$Q$78</f>
        <v>0</v>
      </c>
      <c r="R18" s="13">
        <f>'TUSD BE'!$R$18*'TUSD BE'!$R$78</f>
        <v>0</v>
      </c>
      <c r="S18" s="13">
        <f>'TUSD BE'!$R$18*'TUSD BE'!$S$78</f>
        <v>0</v>
      </c>
      <c r="T18" s="13">
        <f ca="1">SUM($L$18:$S$18)</f>
        <v>-2.6605938659215127E-5</v>
      </c>
      <c r="U18" s="13">
        <f>'TUSD BE'!$U$18*'TUSD BE'!$U$78</f>
        <v>0</v>
      </c>
      <c r="V18" s="13">
        <f>'TUSD BE'!$V$18*'TUSD BE'!$V$78</f>
        <v>0</v>
      </c>
      <c r="W18" s="13">
        <f>'TUSD BE'!$W$18*'TUSD BE'!$W$78</f>
        <v>0</v>
      </c>
      <c r="X18" s="13">
        <f>'TUSD BE'!$X$18*'TUSD BE'!$X$78</f>
        <v>0</v>
      </c>
      <c r="Y18" s="13">
        <f>'TUSD BE'!$Y$18*'TUSD BE'!$Y$78</f>
        <v>0</v>
      </c>
      <c r="Z18" s="13">
        <f>'TUSD BE'!$Z$18*'TUSD BE'!$Z$78</f>
        <v>0</v>
      </c>
      <c r="AA18" s="13">
        <f>'TUSD BE'!$AA$18*'TUSD BE'!$AA$78</f>
        <v>0</v>
      </c>
      <c r="AB18" s="13">
        <f>SUM($U$18:$AA$18)</f>
        <v>0</v>
      </c>
      <c r="AC18" s="13">
        <f>'TUSD BE'!$AC$18*'TUSD BE'!$AC$78</f>
        <v>3.9886034725762295E-4</v>
      </c>
      <c r="AD18" s="13">
        <f>SUM($AC$18:$AC$18)</f>
        <v>3.9886034725762295E-4</v>
      </c>
      <c r="AE18" s="13">
        <f ca="1">$AO$18*$AO$75</f>
        <v>0</v>
      </c>
      <c r="AF18" s="13">
        <f ca="1">$AP$18*$AP$75</f>
        <v>0</v>
      </c>
      <c r="AG18" s="13">
        <f ca="1">SUM($AE$18:$AF$18)</f>
        <v>0</v>
      </c>
      <c r="AH18" s="13">
        <f>'TUSD BE'!$AH$18*'TUSD BE'!$AH$78</f>
        <v>7.9486045327547346E-4</v>
      </c>
      <c r="AI18" s="13">
        <f>'TUSD BE'!$AI$18*'TUSD BE'!$AI$78</f>
        <v>0</v>
      </c>
      <c r="AJ18" s="13">
        <f ca="1">'TUSD BE'!$AJ$18*'TUSD BE'!$AJ$78</f>
        <v>0</v>
      </c>
      <c r="AK18" s="13">
        <f ca="1">'TUSD BE'!$AK$18*'TUSD BE'!$AK$78</f>
        <v>0</v>
      </c>
      <c r="AL18" s="13">
        <f ca="1">SUM($AH$18:$AK$18)</f>
        <v>7.9486045327547346E-4</v>
      </c>
      <c r="AM18" s="13">
        <f ca="1">SUMIF($L$4:$AL$4,"SUBTOTAL",$L$18:$AL$18)+AZ18</f>
        <v>1.1671148618738812E-3</v>
      </c>
      <c r="AO18" s="20">
        <f ca="1">+'TUSD BE'!$T$18+'TUSD BE'!$AB$18+'TUSD BE'!$AD$18+'TUSD BE'!$AL$18</f>
        <v>3.7416788567293824</v>
      </c>
      <c r="AP18" s="20">
        <f ca="1">+'TUSD BE'!$T$18+'TUSD BE'!$AB$18+'TUSD BE'!$AD$18+'TUSD BE'!$AL$18</f>
        <v>3.7416788567293824</v>
      </c>
      <c r="AQ18" s="9" t="str">
        <f t="shared" si="0"/>
        <v>A4</v>
      </c>
      <c r="AR18" s="9" t="str">
        <f t="shared" si="1"/>
        <v>Geração</v>
      </c>
      <c r="AS18" s="9" t="str">
        <f t="shared" si="2"/>
        <v>Não se aplica</v>
      </c>
      <c r="AT18" s="9" t="str">
        <f t="shared" si="3"/>
        <v>Não se aplica</v>
      </c>
      <c r="AU18" s="9" t="str">
        <f t="shared" si="4"/>
        <v>Não se aplica</v>
      </c>
      <c r="AV18" s="58">
        <f t="shared" si="5"/>
        <v>0</v>
      </c>
      <c r="AW18" s="58">
        <f ca="1">IFERROR(VLOOKUP(AQ18,TarifaMedia!$C$40:$G$43,5,0),0)</f>
        <v>0</v>
      </c>
      <c r="AX18" s="23">
        <f ca="1">'TUSD BE'!$AM18+'TUSD BF'!$AM18+'TUSD CVA'!$AM18</f>
        <v>3.7426028242520015</v>
      </c>
      <c r="AY18" s="58">
        <v>9.4499999999999993</v>
      </c>
      <c r="AZ18" s="58">
        <f t="shared" ca="1" si="6"/>
        <v>0</v>
      </c>
      <c r="BA18" s="58"/>
      <c r="BB18" s="58"/>
      <c r="BC18" s="82" t="s">
        <v>970</v>
      </c>
    </row>
    <row r="19" spans="1:55" ht="11.25" customHeight="1" x14ac:dyDescent="0.3">
      <c r="A19" s="128"/>
      <c r="B19" s="128" t="s">
        <v>41</v>
      </c>
      <c r="C19" s="128" t="s">
        <v>25</v>
      </c>
      <c r="D19" s="128" t="s">
        <v>25</v>
      </c>
      <c r="E19" s="128" t="s">
        <v>25</v>
      </c>
      <c r="F19" s="128" t="s">
        <v>25</v>
      </c>
      <c r="G19" s="18" t="s">
        <v>9</v>
      </c>
      <c r="H19" s="18" t="s">
        <v>81</v>
      </c>
      <c r="I19" s="18">
        <f>'MERCADO TUSD'!$U$16</f>
        <v>334187</v>
      </c>
      <c r="J19" s="15"/>
      <c r="L19" s="13">
        <f>'TUSD BE'!$L$19*'TUSD BE'!$L$78</f>
        <v>0</v>
      </c>
      <c r="M19" s="13">
        <f>'TUSD BE'!$M$19*'TUSD BE'!$M$78</f>
        <v>0</v>
      </c>
      <c r="N19" s="13">
        <f ca="1">'TUSD BE'!$N$19*'TUSD BE'!$N$78</f>
        <v>0</v>
      </c>
      <c r="O19" s="13">
        <f>'TUSD BE'!$O$19*'TUSD BE'!$O$78</f>
        <v>0</v>
      </c>
      <c r="P19" s="13">
        <f>'TUSD BE'!$P$19*'TUSD BE'!$P$78</f>
        <v>0</v>
      </c>
      <c r="Q19" s="13">
        <f>'TUSD BE'!$Q$19*'TUSD BE'!$Q$78</f>
        <v>0</v>
      </c>
      <c r="R19" s="13">
        <f>'TUSD BE'!$R$19*'TUSD BE'!$R$78</f>
        <v>0</v>
      </c>
      <c r="S19" s="13">
        <f>'TUSD BE'!$R$19*'TUSD BE'!$S$78</f>
        <v>0</v>
      </c>
      <c r="T19" s="13">
        <f ca="1">SUM($L$19:$S$19)</f>
        <v>0</v>
      </c>
      <c r="U19" s="13">
        <f>'TUSD BE'!$U$19*'TUSD BE'!$U$78</f>
        <v>-5.5645684769073403E-2</v>
      </c>
      <c r="V19" s="13">
        <f>'TUSD BE'!$V$19*'TUSD BE'!$V$78</f>
        <v>-1.2559942445773247E-2</v>
      </c>
      <c r="W19" s="13">
        <f>'TUSD BE'!$W$19*'TUSD BE'!$W$78</f>
        <v>-4.2045760960936565E-4</v>
      </c>
      <c r="X19" s="13">
        <f>'TUSD BE'!$X$19*'TUSD BE'!$X$78</f>
        <v>0</v>
      </c>
      <c r="Y19" s="13">
        <f>'TUSD BE'!$Y$19*'TUSD BE'!$Y$78</f>
        <v>0</v>
      </c>
      <c r="Z19" s="13">
        <f>'TUSD BE'!$Z$19*'TUSD BE'!$Z$78</f>
        <v>0</v>
      </c>
      <c r="AA19" s="13">
        <f>'TUSD BE'!$AA$19*'TUSD BE'!$AA$78</f>
        <v>0</v>
      </c>
      <c r="AB19" s="13">
        <f>SUM($U$19:$AA$19)</f>
        <v>-6.8626084824456007E-2</v>
      </c>
      <c r="AC19" s="13">
        <f>'TUSD BE'!$AC$19*'TUSD BE'!$AC$78</f>
        <v>1.1879640104767097E-3</v>
      </c>
      <c r="AD19" s="13">
        <f>SUM($AC$19:$AC$19)</f>
        <v>1.1879640104767097E-3</v>
      </c>
      <c r="AE19" s="13">
        <f ca="1">$AO$19*$AO$75</f>
        <v>0</v>
      </c>
      <c r="AF19" s="13">
        <f ca="1">$AP$19*$AP$75</f>
        <v>0</v>
      </c>
      <c r="AG19" s="13">
        <f ca="1">SUM($AE$19:$AF$19)</f>
        <v>0</v>
      </c>
      <c r="AH19" s="13">
        <f>'TUSD BE'!$AH$19*'TUSD BE'!$AH$78</f>
        <v>0</v>
      </c>
      <c r="AI19" s="13">
        <f>'TUSD BE'!$AI$19*'TUSD BE'!$AI$78</f>
        <v>0</v>
      </c>
      <c r="AJ19" s="13">
        <f ca="1">'TUSD BE'!$AJ$19*'TUSD BE'!$AJ$78</f>
        <v>0</v>
      </c>
      <c r="AK19" s="13">
        <f ca="1">'TUSD BE'!$AK$19*'TUSD BE'!$AK$78</f>
        <v>0</v>
      </c>
      <c r="AL19" s="13">
        <f ca="1">SUM($AH$19:$AK$19)</f>
        <v>0</v>
      </c>
      <c r="AM19" s="13">
        <f ca="1">SUMIF($L$4:$AL$4,"SUBTOTAL",$L$19:$AL$19)+AZ19</f>
        <v>-6.7438120813979291E-2</v>
      </c>
      <c r="AO19" s="20">
        <f ca="1">+'TUSD BE'!$T$19+'TUSD BE'!$AB$19+'TUSD BE'!$AD$19+'TUSD BE'!$AL$19</f>
        <v>15.701528290747136</v>
      </c>
      <c r="AP19" s="20">
        <f ca="1">+'TUSD BE'!$T$19+'TUSD BE'!$AB$19+'TUSD BE'!$AD$19+'TUSD BE'!$AL$19</f>
        <v>15.701528290747136</v>
      </c>
      <c r="AQ19" s="9" t="str">
        <f t="shared" si="0"/>
        <v>A4</v>
      </c>
      <c r="AR19" s="9" t="str">
        <f t="shared" si="1"/>
        <v>Verde</v>
      </c>
      <c r="AS19" s="9" t="str">
        <f t="shared" si="2"/>
        <v>Não se aplica</v>
      </c>
      <c r="AT19" s="9" t="str">
        <f t="shared" si="3"/>
        <v>Não se aplica</v>
      </c>
      <c r="AU19" s="9" t="str">
        <f t="shared" si="4"/>
        <v>Não se aplica</v>
      </c>
      <c r="AV19" s="58">
        <f t="shared" si="5"/>
        <v>1</v>
      </c>
      <c r="AW19" s="58">
        <f ca="1">IFERROR(VLOOKUP(AQ19,TarifaMedia!$C$40:$G$43,5,0),0)</f>
        <v>0</v>
      </c>
      <c r="AX19" s="23">
        <f ca="1">'TUSD BE'!$AM19+'TUSD BF'!$AM19+'TUSD CVA'!$AM19</f>
        <v>16.035953923331604</v>
      </c>
      <c r="AY19" s="58">
        <v>16.54</v>
      </c>
      <c r="AZ19" s="58">
        <f t="shared" ca="1" si="6"/>
        <v>0</v>
      </c>
      <c r="BA19" s="58"/>
      <c r="BB19" s="58"/>
      <c r="BC19" s="82" t="s">
        <v>971</v>
      </c>
    </row>
    <row r="20" spans="1:55" ht="11.25" customHeight="1" x14ac:dyDescent="0.3">
      <c r="A20" s="128"/>
      <c r="B20" s="128"/>
      <c r="C20" s="128"/>
      <c r="D20" s="128"/>
      <c r="E20" s="128"/>
      <c r="F20" s="128"/>
      <c r="G20" s="18" t="s">
        <v>79</v>
      </c>
      <c r="H20" s="18" t="s">
        <v>78</v>
      </c>
      <c r="I20" s="18">
        <f>'MERCADO TUSD'!$U$17</f>
        <v>7190.6020000000008</v>
      </c>
      <c r="J20" s="15"/>
      <c r="L20" s="13">
        <f>'TUSD BE'!$L$20*'TUSD BE'!$L$78</f>
        <v>-0.47333113110270386</v>
      </c>
      <c r="M20" s="13">
        <f>'TUSD BE'!$M$20*'TUSD BE'!$M$78</f>
        <v>-1.0799733347991276E-3</v>
      </c>
      <c r="N20" s="13">
        <f ca="1">'TUSD BE'!$N$20*'TUSD BE'!$N$78</f>
        <v>7.6231292216088963E-7</v>
      </c>
      <c r="O20" s="13">
        <f>'TUSD BE'!$O$20*'TUSD BE'!$O$78</f>
        <v>0</v>
      </c>
      <c r="P20" s="13">
        <f>'TUSD BE'!$P$20*'TUSD BE'!$P$78</f>
        <v>0</v>
      </c>
      <c r="Q20" s="13">
        <f>'TUSD BE'!$Q$20*'TUSD BE'!$Q$78</f>
        <v>-1.352061369205046</v>
      </c>
      <c r="R20" s="13">
        <f>'TUSD BE'!$R$20*'TUSD BE'!$R$78</f>
        <v>-0.37578018258543827</v>
      </c>
      <c r="S20" s="13">
        <f>'TUSD BE'!$R$20*'TUSD BE'!$S$78</f>
        <v>0</v>
      </c>
      <c r="T20" s="13">
        <f ca="1">SUM($L$20:$S$20)</f>
        <v>-2.202251893915065</v>
      </c>
      <c r="U20" s="13">
        <f>'TUSD BE'!$U$20*'TUSD BE'!$U$78</f>
        <v>-1.9169892742249262</v>
      </c>
      <c r="V20" s="13">
        <f>'TUSD BE'!$V$20*'TUSD BE'!$V$78</f>
        <v>-0.42926165190820281</v>
      </c>
      <c r="W20" s="13">
        <f>'TUSD BE'!$W$20*'TUSD BE'!$W$78</f>
        <v>-1.5005403097407445E-2</v>
      </c>
      <c r="X20" s="13">
        <f>'TUSD BE'!$X$20*'TUSD BE'!$X$78</f>
        <v>0</v>
      </c>
      <c r="Y20" s="13">
        <f>'TUSD BE'!$Y$20*'TUSD BE'!$Y$78</f>
        <v>0</v>
      </c>
      <c r="Z20" s="13">
        <f>'TUSD BE'!$Z$20*'TUSD BE'!$Z$78</f>
        <v>0</v>
      </c>
      <c r="AA20" s="13">
        <f>'TUSD BE'!$AA$20*'TUSD BE'!$AA$78</f>
        <v>0</v>
      </c>
      <c r="AB20" s="13">
        <f>SUM($U$20:$AA$20)</f>
        <v>-2.3612563292305362</v>
      </c>
      <c r="AC20" s="13">
        <f>'TUSD BE'!$AC$20*'TUSD BE'!$AC$78</f>
        <v>8.7719058123538612E-2</v>
      </c>
      <c r="AD20" s="13">
        <f>SUM($AC$20:$AC$20)</f>
        <v>8.7719058123538612E-2</v>
      </c>
      <c r="AE20" s="13">
        <f ca="1">$AO$20*$AO$75</f>
        <v>0</v>
      </c>
      <c r="AF20" s="13">
        <f ca="1">$AP$20*$AP$75</f>
        <v>0</v>
      </c>
      <c r="AG20" s="13">
        <f ca="1">SUM($AE$20:$AF$20)</f>
        <v>0</v>
      </c>
      <c r="AH20" s="13">
        <f>'TUSD BE'!$AH$20*'TUSD BE'!$AH$78</f>
        <v>1.6613204458186515</v>
      </c>
      <c r="AI20" s="13">
        <f>'TUSD BE'!$AI$20*'TUSD BE'!$AI$78</f>
        <v>2.8792482475403815E-2</v>
      </c>
      <c r="AJ20" s="13">
        <f ca="1">'TUSD BE'!$AJ$20*'TUSD BE'!$AJ$78</f>
        <v>0.49655577858363881</v>
      </c>
      <c r="AK20" s="13">
        <f ca="1">'TUSD BE'!$AK$20*'TUSD BE'!$AK$78</f>
        <v>-1.1356460880437319E-2</v>
      </c>
      <c r="AL20" s="13">
        <f ca="1">SUM($AH$20:$AK$20)</f>
        <v>2.1753122459972567</v>
      </c>
      <c r="AM20" s="13">
        <f ca="1">SUMIF($L$4:$AL$4,"SUBTOTAL",$L$20:$AL$20)+AZ20</f>
        <v>-2.3004769190248058</v>
      </c>
      <c r="AO20" s="20">
        <f ca="1">+'TUSD BE'!$T$20+'TUSD BE'!$AB$20+'TUSD BE'!$AD$20+'TUSD BE'!$AL$20</f>
        <v>1081.9112361936659</v>
      </c>
      <c r="AP20" s="20">
        <f ca="1">+'TUSD BE'!$T$20+'TUSD BE'!$AB$20+'TUSD BE'!$AD$20+'TUSD BE'!$AL$20</f>
        <v>1081.9112361936659</v>
      </c>
      <c r="AQ20" s="9" t="str">
        <f t="shared" si="0"/>
        <v>A4</v>
      </c>
      <c r="AR20" s="9" t="str">
        <f t="shared" si="1"/>
        <v>Verde</v>
      </c>
      <c r="AS20" s="9" t="str">
        <f t="shared" si="2"/>
        <v>Não se aplica</v>
      </c>
      <c r="AT20" s="9" t="str">
        <f t="shared" si="3"/>
        <v>Não se aplica</v>
      </c>
      <c r="AU20" s="9" t="str">
        <f t="shared" si="4"/>
        <v>Não se aplica</v>
      </c>
      <c r="AV20" s="58">
        <f t="shared" si="5"/>
        <v>1</v>
      </c>
      <c r="AW20" s="58">
        <f ca="1">IFERROR(VLOOKUP(AQ20,TarifaMedia!$C$40:$G$43,5,0),0)</f>
        <v>0</v>
      </c>
      <c r="AX20" s="23">
        <f ca="1">'TUSD BE'!$AM20+'TUSD BF'!$AM20+'TUSD CVA'!$AM20</f>
        <v>1117.8285588949407</v>
      </c>
      <c r="AY20" s="58">
        <v>1325.98</v>
      </c>
      <c r="AZ20" s="58">
        <f t="shared" ca="1" si="6"/>
        <v>0</v>
      </c>
      <c r="BA20" s="58"/>
      <c r="BB20" s="58"/>
      <c r="BC20" s="82" t="s">
        <v>972</v>
      </c>
    </row>
    <row r="21" spans="1:55" ht="11.25" customHeight="1" x14ac:dyDescent="0.3">
      <c r="A21" s="128"/>
      <c r="B21" s="128"/>
      <c r="C21" s="128"/>
      <c r="D21" s="128"/>
      <c r="E21" s="128"/>
      <c r="F21" s="128"/>
      <c r="G21" s="18" t="s">
        <v>80</v>
      </c>
      <c r="H21" s="18" t="s">
        <v>78</v>
      </c>
      <c r="I21" s="18">
        <f>'MERCADO TUSD'!$U$18</f>
        <v>80797.680999999997</v>
      </c>
      <c r="J21" s="15"/>
      <c r="L21" s="13">
        <f>'TUSD BE'!$L$21*'TUSD BE'!$L$78</f>
        <v>-0.47333113110270386</v>
      </c>
      <c r="M21" s="13">
        <f>'TUSD BE'!$M$21*'TUSD BE'!$M$78</f>
        <v>-1.0799733347991276E-3</v>
      </c>
      <c r="N21" s="13">
        <f ca="1">'TUSD BE'!$N$21*'TUSD BE'!$N$78</f>
        <v>2.7515103455866166E-8</v>
      </c>
      <c r="O21" s="13">
        <f>'TUSD BE'!$O$21*'TUSD BE'!$O$78</f>
        <v>0</v>
      </c>
      <c r="P21" s="13">
        <f>'TUSD BE'!$P$21*'TUSD BE'!$P$78</f>
        <v>0</v>
      </c>
      <c r="Q21" s="13">
        <f>'TUSD BE'!$Q$21*'TUSD BE'!$Q$78</f>
        <v>-1.352061369205046</v>
      </c>
      <c r="R21" s="13">
        <f>'TUSD BE'!$R$21*'TUSD BE'!$R$78</f>
        <v>-0.37578018258543827</v>
      </c>
      <c r="S21" s="13">
        <f>'TUSD BE'!$R$21*'TUSD BE'!$S$78</f>
        <v>0</v>
      </c>
      <c r="T21" s="13">
        <f ca="1">SUM($L$21:$S$21)</f>
        <v>-2.2022526287128836</v>
      </c>
      <c r="U21" s="13">
        <f>'TUSD BE'!$U$21*'TUSD BE'!$U$78</f>
        <v>0</v>
      </c>
      <c r="V21" s="13">
        <f>'TUSD BE'!$V$21*'TUSD BE'!$V$78</f>
        <v>0</v>
      </c>
      <c r="W21" s="13">
        <f>'TUSD BE'!$W$21*'TUSD BE'!$W$78</f>
        <v>0</v>
      </c>
      <c r="X21" s="13">
        <f>'TUSD BE'!$X$21*'TUSD BE'!$X$78</f>
        <v>0</v>
      </c>
      <c r="Y21" s="13">
        <f>'TUSD BE'!$Y$21*'TUSD BE'!$Y$78</f>
        <v>0</v>
      </c>
      <c r="Z21" s="13">
        <f>'TUSD BE'!$Z$21*'TUSD BE'!$Z$78</f>
        <v>0</v>
      </c>
      <c r="AA21" s="13">
        <f>'TUSD BE'!$AA$21*'TUSD BE'!$AA$78</f>
        <v>0</v>
      </c>
      <c r="AB21" s="13">
        <f>SUM($U$21:$AA$21)</f>
        <v>0</v>
      </c>
      <c r="AC21" s="13">
        <f>'TUSD BE'!$AC$21*'TUSD BE'!$AC$78</f>
        <v>0</v>
      </c>
      <c r="AD21" s="13">
        <f>SUM($AC$21:$AC$21)</f>
        <v>0</v>
      </c>
      <c r="AE21" s="13">
        <f ca="1">$AO$21*$AO$75</f>
        <v>0</v>
      </c>
      <c r="AF21" s="13">
        <f ca="1">$AP$21*$AP$75</f>
        <v>0</v>
      </c>
      <c r="AG21" s="13">
        <f ca="1">SUM($AE$21:$AF$21)</f>
        <v>0</v>
      </c>
      <c r="AH21" s="13">
        <f>'TUSD BE'!$AH$21*'TUSD BE'!$AH$78</f>
        <v>1.6613204458186515</v>
      </c>
      <c r="AI21" s="13">
        <f>'TUSD BE'!$AI$21*'TUSD BE'!$AI$78</f>
        <v>2.8792482475403815E-2</v>
      </c>
      <c r="AJ21" s="13">
        <f ca="1">'TUSD BE'!$AJ$21*'TUSD BE'!$AJ$78</f>
        <v>0.49655577858363881</v>
      </c>
      <c r="AK21" s="13">
        <f ca="1">'TUSD BE'!$AK$21*'TUSD BE'!$AK$78</f>
        <v>-1.1356460880437319E-2</v>
      </c>
      <c r="AL21" s="13">
        <f ca="1">SUM($AH$21:$AK$21)</f>
        <v>2.1753122459972567</v>
      </c>
      <c r="AM21" s="13">
        <f ca="1">SUMIF($L$4:$AL$4,"SUBTOTAL",$L$21:$AL$21)+AZ21</f>
        <v>-2.6940382715626932E-2</v>
      </c>
      <c r="AO21" s="20">
        <f ca="1">+'TUSD BE'!$T$21+'TUSD BE'!$AB$21+'TUSD BE'!$AD$21+'TUSD BE'!$AL$21</f>
        <v>97.775328841615888</v>
      </c>
      <c r="AP21" s="20">
        <f ca="1">+'TUSD BE'!$T$21+'TUSD BE'!$AB$21+'TUSD BE'!$AD$21+'TUSD BE'!$AL$21</f>
        <v>97.775328841615888</v>
      </c>
      <c r="AQ21" s="9" t="str">
        <f t="shared" si="0"/>
        <v>A4</v>
      </c>
      <c r="AR21" s="9" t="str">
        <f t="shared" si="1"/>
        <v>Verde</v>
      </c>
      <c r="AS21" s="9" t="str">
        <f t="shared" si="2"/>
        <v>Não se aplica</v>
      </c>
      <c r="AT21" s="9" t="str">
        <f t="shared" si="3"/>
        <v>Não se aplica</v>
      </c>
      <c r="AU21" s="9" t="str">
        <f t="shared" si="4"/>
        <v>Não se aplica</v>
      </c>
      <c r="AV21" s="58">
        <f t="shared" si="5"/>
        <v>1</v>
      </c>
      <c r="AW21" s="58">
        <f ca="1">IFERROR(VLOOKUP(AQ21,TarifaMedia!$C$40:$G$43,5,0),0)</f>
        <v>0</v>
      </c>
      <c r="AX21" s="23">
        <f ca="1">'TUSD BE'!$AM21+'TUSD BF'!$AM21+'TUSD CVA'!$AM21</f>
        <v>122.14055331663396</v>
      </c>
      <c r="AY21" s="58">
        <v>117.81</v>
      </c>
      <c r="AZ21" s="58">
        <f t="shared" ca="1" si="6"/>
        <v>0</v>
      </c>
      <c r="BA21" s="58"/>
      <c r="BB21" s="58"/>
      <c r="BC21" s="82" t="s">
        <v>973</v>
      </c>
    </row>
    <row r="22" spans="1:55" ht="11.25" customHeight="1" x14ac:dyDescent="0.3">
      <c r="A22" s="128"/>
      <c r="B22" s="128"/>
      <c r="C22" s="128"/>
      <c r="D22" s="128"/>
      <c r="E22" s="128" t="s">
        <v>85</v>
      </c>
      <c r="F22" s="128" t="s">
        <v>25</v>
      </c>
      <c r="G22" s="18" t="s">
        <v>79</v>
      </c>
      <c r="H22" s="18" t="s">
        <v>78</v>
      </c>
      <c r="I22" s="18">
        <f>'MERCADO TUSD'!$U$19</f>
        <v>0</v>
      </c>
      <c r="J22" s="15"/>
      <c r="L22" s="13">
        <f>'TUSD BE'!$L$22*'TUSD BE'!$L$78</f>
        <v>0</v>
      </c>
      <c r="M22" s="13">
        <f>'TUSD BE'!$M$22*'TUSD BE'!$M$78</f>
        <v>-1.0799733347991276E-3</v>
      </c>
      <c r="N22" s="13">
        <f ca="1">'TUSD BE'!$N$22*'TUSD BE'!$N$78</f>
        <v>7.6143345750761621E-7</v>
      </c>
      <c r="O22" s="13">
        <f>'TUSD BE'!$O$22*'TUSD BE'!$O$78</f>
        <v>0</v>
      </c>
      <c r="P22" s="13">
        <f>'TUSD BE'!$P$22*'TUSD BE'!$P$78</f>
        <v>0</v>
      </c>
      <c r="Q22" s="13">
        <f>'TUSD BE'!$Q$22*'TUSD BE'!$Q$78</f>
        <v>0</v>
      </c>
      <c r="R22" s="13">
        <f>'TUSD BE'!$R$22*'TUSD BE'!$R$78</f>
        <v>0</v>
      </c>
      <c r="S22" s="13">
        <f>'TUSD BE'!$R$22*'TUSD BE'!$S$78</f>
        <v>0</v>
      </c>
      <c r="T22" s="13">
        <f ca="1">SUM($L$22:$S$22)</f>
        <v>-1.0792119013416199E-3</v>
      </c>
      <c r="U22" s="13">
        <f>'TUSD BE'!$U$22*'TUSD BE'!$U$78</f>
        <v>-1.9169892742249262</v>
      </c>
      <c r="V22" s="13">
        <f>'TUSD BE'!$V$22*'TUSD BE'!$V$78</f>
        <v>-0.42926165190820281</v>
      </c>
      <c r="W22" s="13">
        <f>'TUSD BE'!$W$22*'TUSD BE'!$W$78</f>
        <v>-1.5005403097407445E-2</v>
      </c>
      <c r="X22" s="13">
        <f>'TUSD BE'!$X$22*'TUSD BE'!$X$78</f>
        <v>0</v>
      </c>
      <c r="Y22" s="13">
        <f>'TUSD BE'!$Y$22*'TUSD BE'!$Y$78</f>
        <v>0</v>
      </c>
      <c r="Z22" s="13">
        <f>'TUSD BE'!$Z$22*'TUSD BE'!$Z$78</f>
        <v>0</v>
      </c>
      <c r="AA22" s="13">
        <f>'TUSD BE'!$AA$22*'TUSD BE'!$AA$78</f>
        <v>0</v>
      </c>
      <c r="AB22" s="13">
        <f>SUM($U$22:$AA$22)</f>
        <v>-2.3612563292305362</v>
      </c>
      <c r="AC22" s="13">
        <f>'TUSD BE'!$AC$22*'TUSD BE'!$AC$78</f>
        <v>8.7719058123538612E-2</v>
      </c>
      <c r="AD22" s="13">
        <f>SUM($AC$22:$AC$22)</f>
        <v>8.7719058123538612E-2</v>
      </c>
      <c r="AE22" s="13">
        <f ca="1">$AO$22*$AO$75</f>
        <v>0</v>
      </c>
      <c r="AF22" s="13">
        <f ca="1">$AP$22*$AP$75</f>
        <v>0</v>
      </c>
      <c r="AG22" s="13">
        <f ca="1">SUM($AE$22:$AF$22)</f>
        <v>0</v>
      </c>
      <c r="AH22" s="13">
        <f>'TUSD BE'!$AH$22*'TUSD BE'!$AH$78</f>
        <v>1.6613204458186515</v>
      </c>
      <c r="AI22" s="13">
        <f>'TUSD BE'!$AI$22*'TUSD BE'!$AI$78</f>
        <v>2.8792482475403815E-2</v>
      </c>
      <c r="AJ22" s="13">
        <f ca="1">'TUSD BE'!$AJ$22*'TUSD BE'!$AJ$78</f>
        <v>0.49655577858363881</v>
      </c>
      <c r="AK22" s="13">
        <f ca="1">'TUSD BE'!$AK$22*'TUSD BE'!$AK$78</f>
        <v>-1.1356460880437319E-2</v>
      </c>
      <c r="AL22" s="13">
        <f ca="1">SUM($AH$22:$AK$22)</f>
        <v>2.1753122459972567</v>
      </c>
      <c r="AM22" s="13">
        <f ca="1">SUMIF($L$4:$AL$4,"SUBTOTAL",$L$22:$AL$22)+AZ22</f>
        <v>-9.9304237011082375E-2</v>
      </c>
      <c r="AO22" s="20">
        <f ca="1">+'TUSD BE'!$T$22+'TUSD BE'!$AB$22+'TUSD BE'!$AD$22+'TUSD BE'!$AL$22</f>
        <v>989.80747783641596</v>
      </c>
      <c r="AP22" s="20">
        <f ca="1">+'TUSD BE'!$T$22+'TUSD BE'!$AB$22+'TUSD BE'!$AD$22+'TUSD BE'!$AL$22</f>
        <v>989.80747783641596</v>
      </c>
      <c r="AQ22" s="9" t="str">
        <f t="shared" si="0"/>
        <v>A4</v>
      </c>
      <c r="AR22" s="9" t="str">
        <f t="shared" si="1"/>
        <v>Verde</v>
      </c>
      <c r="AS22" s="9" t="str">
        <f t="shared" si="2"/>
        <v>Não se aplica</v>
      </c>
      <c r="AT22" s="9" t="str">
        <f t="shared" si="3"/>
        <v>Não se aplica</v>
      </c>
      <c r="AU22" s="9" t="str">
        <f t="shared" si="4"/>
        <v>APE</v>
      </c>
      <c r="AV22" s="58">
        <f t="shared" si="5"/>
        <v>1</v>
      </c>
      <c r="AW22" s="58">
        <f ca="1">IFERROR(VLOOKUP(AQ22,TarifaMedia!$C$40:$G$43,5,0),0)</f>
        <v>0</v>
      </c>
      <c r="AX22" s="23">
        <f ca="1">'TUSD BE'!$AM22+'TUSD BF'!$AM22+'TUSD CVA'!$AM22</f>
        <v>1002.8649077068703</v>
      </c>
      <c r="AY22" s="58">
        <v>1233.1400000000001</v>
      </c>
      <c r="AZ22" s="58">
        <f t="shared" ca="1" si="6"/>
        <v>0</v>
      </c>
      <c r="BA22" s="58"/>
      <c r="BB22" s="58"/>
      <c r="BC22" s="82" t="s">
        <v>974</v>
      </c>
    </row>
    <row r="23" spans="1:55" ht="11.25" customHeight="1" x14ac:dyDescent="0.3">
      <c r="A23" s="128"/>
      <c r="B23" s="128"/>
      <c r="C23" s="128"/>
      <c r="D23" s="128"/>
      <c r="E23" s="128"/>
      <c r="F23" s="128"/>
      <c r="G23" s="18" t="s">
        <v>80</v>
      </c>
      <c r="H23" s="18" t="s">
        <v>78</v>
      </c>
      <c r="I23" s="18">
        <f>'MERCADO TUSD'!$U$20</f>
        <v>0</v>
      </c>
      <c r="J23" s="15"/>
      <c r="L23" s="13">
        <f>'TUSD BE'!$L$23*'TUSD BE'!$L$78</f>
        <v>0</v>
      </c>
      <c r="M23" s="13">
        <f>'TUSD BE'!$M$23*'TUSD BE'!$M$78</f>
        <v>-1.0799733347991276E-3</v>
      </c>
      <c r="N23" s="13">
        <f ca="1">'TUSD BE'!$N$23*'TUSD BE'!$N$78</f>
        <v>2.6635638802592634E-8</v>
      </c>
      <c r="O23" s="13">
        <f>'TUSD BE'!$O$23*'TUSD BE'!$O$78</f>
        <v>0</v>
      </c>
      <c r="P23" s="13">
        <f>'TUSD BE'!$P$23*'TUSD BE'!$P$78</f>
        <v>0</v>
      </c>
      <c r="Q23" s="13">
        <f>'TUSD BE'!$Q$23*'TUSD BE'!$Q$78</f>
        <v>0</v>
      </c>
      <c r="R23" s="13">
        <f>'TUSD BE'!$R$23*'TUSD BE'!$R$78</f>
        <v>0</v>
      </c>
      <c r="S23" s="13">
        <f>'TUSD BE'!$R$23*'TUSD BE'!$S$78</f>
        <v>0</v>
      </c>
      <c r="T23" s="13">
        <f ca="1">SUM($L$23:$S$23)</f>
        <v>-1.0799466991603249E-3</v>
      </c>
      <c r="U23" s="13">
        <f>'TUSD BE'!$U$23*'TUSD BE'!$U$78</f>
        <v>0</v>
      </c>
      <c r="V23" s="13">
        <f>'TUSD BE'!$V$23*'TUSD BE'!$V$78</f>
        <v>0</v>
      </c>
      <c r="W23" s="13">
        <f>'TUSD BE'!$W$23*'TUSD BE'!$W$78</f>
        <v>0</v>
      </c>
      <c r="X23" s="13">
        <f>'TUSD BE'!$X$23*'TUSD BE'!$X$78</f>
        <v>0</v>
      </c>
      <c r="Y23" s="13">
        <f>'TUSD BE'!$Y$23*'TUSD BE'!$Y$78</f>
        <v>0</v>
      </c>
      <c r="Z23" s="13">
        <f>'TUSD BE'!$Z$23*'TUSD BE'!$Z$78</f>
        <v>0</v>
      </c>
      <c r="AA23" s="13">
        <f>'TUSD BE'!$AA$23*'TUSD BE'!$AA$78</f>
        <v>0</v>
      </c>
      <c r="AB23" s="13">
        <f>SUM($U$23:$AA$23)</f>
        <v>0</v>
      </c>
      <c r="AC23" s="13">
        <f>'TUSD BE'!$AC$23*'TUSD BE'!$AC$78</f>
        <v>0</v>
      </c>
      <c r="AD23" s="13">
        <f>SUM($AC$23:$AC$23)</f>
        <v>0</v>
      </c>
      <c r="AE23" s="13">
        <f ca="1">$AO$23*$AO$75</f>
        <v>0</v>
      </c>
      <c r="AF23" s="13">
        <f ca="1">$AP$23*$AP$75</f>
        <v>0</v>
      </c>
      <c r="AG23" s="13">
        <f ca="1">SUM($AE$23:$AF$23)</f>
        <v>0</v>
      </c>
      <c r="AH23" s="13">
        <f>'TUSD BE'!$AH$23*'TUSD BE'!$AH$78</f>
        <v>1.6613204458186515</v>
      </c>
      <c r="AI23" s="13">
        <f>'TUSD BE'!$AI$23*'TUSD BE'!$AI$78</f>
        <v>2.8792482475403815E-2</v>
      </c>
      <c r="AJ23" s="13">
        <f ca="1">'TUSD BE'!$AJ$23*'TUSD BE'!$AJ$78</f>
        <v>0.49655577858363881</v>
      </c>
      <c r="AK23" s="13">
        <f ca="1">'TUSD BE'!$AK$23*'TUSD BE'!$AK$78</f>
        <v>-1.1356460880437319E-2</v>
      </c>
      <c r="AL23" s="13">
        <f ca="1">SUM($AH$23:$AK$23)</f>
        <v>2.1753122459972567</v>
      </c>
      <c r="AM23" s="13">
        <f ca="1">SUMIF($L$4:$AL$4,"SUBTOTAL",$L$23:$AL$23)+AZ23</f>
        <v>2.1742322992980965</v>
      </c>
      <c r="AO23" s="20">
        <f ca="1">+'TUSD BE'!$T$23+'TUSD BE'!$AB$23+'TUSD BE'!$AD$23+'TUSD BE'!$AL$23</f>
        <v>5.6715704843659145</v>
      </c>
      <c r="AP23" s="20">
        <f ca="1">+'TUSD BE'!$T$23+'TUSD BE'!$AB$23+'TUSD BE'!$AD$23+'TUSD BE'!$AL$23</f>
        <v>5.6715704843659145</v>
      </c>
      <c r="AQ23" s="9" t="str">
        <f t="shared" si="0"/>
        <v>A4</v>
      </c>
      <c r="AR23" s="9" t="str">
        <f t="shared" si="1"/>
        <v>Verde</v>
      </c>
      <c r="AS23" s="9" t="str">
        <f t="shared" si="2"/>
        <v>Não se aplica</v>
      </c>
      <c r="AT23" s="9" t="str">
        <f t="shared" si="3"/>
        <v>Não se aplica</v>
      </c>
      <c r="AU23" s="9" t="str">
        <f t="shared" si="4"/>
        <v>APE</v>
      </c>
      <c r="AV23" s="58">
        <f t="shared" si="5"/>
        <v>1</v>
      </c>
      <c r="AW23" s="58">
        <f ca="1">IFERROR(VLOOKUP(AQ23,TarifaMedia!$C$40:$G$43,5,0),0)</f>
        <v>0</v>
      </c>
      <c r="AX23" s="23">
        <f ca="1">'TUSD BE'!$AM23+'TUSD BF'!$AM23+'TUSD CVA'!$AM23</f>
        <v>7.1769021285635759</v>
      </c>
      <c r="AY23" s="58">
        <v>24.97</v>
      </c>
      <c r="AZ23" s="58">
        <f t="shared" ca="1" si="6"/>
        <v>0</v>
      </c>
      <c r="BA23" s="58"/>
      <c r="BB23" s="58"/>
      <c r="BC23" s="82" t="s">
        <v>975</v>
      </c>
    </row>
    <row r="24" spans="1:55" ht="11.25" customHeight="1" x14ac:dyDescent="0.3">
      <c r="A24" s="128" t="s">
        <v>43</v>
      </c>
      <c r="B24" s="128" t="s">
        <v>40</v>
      </c>
      <c r="C24" s="128" t="s">
        <v>25</v>
      </c>
      <c r="D24" s="128" t="s">
        <v>25</v>
      </c>
      <c r="E24" s="128" t="s">
        <v>25</v>
      </c>
      <c r="F24" s="128" t="s">
        <v>25</v>
      </c>
      <c r="G24" s="18" t="s">
        <v>82</v>
      </c>
      <c r="H24" s="18" t="s">
        <v>81</v>
      </c>
      <c r="I24" s="18">
        <f>'MERCADO TUSD'!$U$21</f>
        <v>0</v>
      </c>
      <c r="J24" s="15"/>
      <c r="L24" s="13">
        <f>'TUSD BE'!$L$24*'TUSD BE'!$L$78</f>
        <v>0</v>
      </c>
      <c r="M24" s="13">
        <f>'TUSD BE'!$M$24*'TUSD BE'!$M$78</f>
        <v>0</v>
      </c>
      <c r="N24" s="13">
        <f ca="1">'TUSD BE'!$N$24*'TUSD BE'!$N$78</f>
        <v>0</v>
      </c>
      <c r="O24" s="13">
        <f>'TUSD BE'!$O$24*'TUSD BE'!$O$78</f>
        <v>0</v>
      </c>
      <c r="P24" s="13">
        <f>'TUSD BE'!$P$24*'TUSD BE'!$P$78</f>
        <v>0</v>
      </c>
      <c r="Q24" s="13">
        <f>'TUSD BE'!$Q$24*'TUSD BE'!$Q$78</f>
        <v>0</v>
      </c>
      <c r="R24" s="13">
        <f>'TUSD BE'!$R$24*'TUSD BE'!$R$78</f>
        <v>0</v>
      </c>
      <c r="S24" s="13">
        <f>'TUSD BE'!$R$24*'TUSD BE'!$S$78</f>
        <v>0</v>
      </c>
      <c r="T24" s="13">
        <f ca="1">SUM($L$24:$S$24)</f>
        <v>0</v>
      </c>
      <c r="U24" s="13">
        <f>'TUSD BE'!$U$24*'TUSD BE'!$U$78</f>
        <v>-7.8140156042443926E-2</v>
      </c>
      <c r="V24" s="13">
        <f>'TUSD BE'!$V$24*'TUSD BE'!$V$78</f>
        <v>-1.749791963210107E-2</v>
      </c>
      <c r="W24" s="13">
        <f>'TUSD BE'!$W$24*'TUSD BE'!$W$78</f>
        <v>-6.1190941083254431E-4</v>
      </c>
      <c r="X24" s="13">
        <f>'TUSD BE'!$X$24*'TUSD BE'!$X$78</f>
        <v>0</v>
      </c>
      <c r="Y24" s="13">
        <f>'TUSD BE'!$Y$24*'TUSD BE'!$Y$78</f>
        <v>0</v>
      </c>
      <c r="Z24" s="13">
        <f>'TUSD BE'!$Z$24*'TUSD BE'!$Z$78</f>
        <v>0</v>
      </c>
      <c r="AA24" s="13">
        <f>'TUSD BE'!$AA$24*'TUSD BE'!$AA$78</f>
        <v>0</v>
      </c>
      <c r="AB24" s="13">
        <f>SUM($U$24:$AA$24)</f>
        <v>-9.6249985085377535E-2</v>
      </c>
      <c r="AC24" s="13">
        <f>'TUSD BE'!$AC$24*'TUSD BE'!$AC$78</f>
        <v>6.8761432835716613E-3</v>
      </c>
      <c r="AD24" s="13">
        <f>SUM($AC$24:$AC$24)</f>
        <v>6.8761432835716613E-3</v>
      </c>
      <c r="AE24" s="13">
        <f ca="1">$AO$24*$AO$75</f>
        <v>0</v>
      </c>
      <c r="AF24" s="13">
        <f ca="1">$AP$24*$AP$75</f>
        <v>0</v>
      </c>
      <c r="AG24" s="13">
        <f ca="1">SUM($AE$24:$AF$24)</f>
        <v>0</v>
      </c>
      <c r="AH24" s="13">
        <f>'TUSD BE'!$AH$24*'TUSD BE'!$AH$78</f>
        <v>0</v>
      </c>
      <c r="AI24" s="13">
        <f>'TUSD BE'!$AI$24*'TUSD BE'!$AI$78</f>
        <v>0</v>
      </c>
      <c r="AJ24" s="13">
        <f ca="1">'TUSD BE'!$AJ$24*'TUSD BE'!$AJ$78</f>
        <v>0</v>
      </c>
      <c r="AK24" s="13">
        <f ca="1">'TUSD BE'!$AK$24*'TUSD BE'!$AK$78</f>
        <v>0</v>
      </c>
      <c r="AL24" s="13">
        <f ca="1">SUM($AH$24:$AK$24)</f>
        <v>0</v>
      </c>
      <c r="AM24" s="13">
        <f ca="1">SUMIF($L$4:$AL$4,"SUBTOTAL",$L$24:$AL$24)+AZ24</f>
        <v>-8.9373841801805867E-2</v>
      </c>
      <c r="AO24" s="20">
        <f ca="1">+'TUSD BE'!$T$24+'TUSD BE'!$AB$24+'TUSD BE'!$AD$24+'TUSD BE'!$AL$24</f>
        <v>70.212317429024367</v>
      </c>
      <c r="AP24" s="20">
        <f ca="1">+'TUSD BE'!$T$24+'TUSD BE'!$AB$24+'TUSD BE'!$AD$24+'TUSD BE'!$AL$24</f>
        <v>70.212317429024367</v>
      </c>
      <c r="AQ24" s="9" t="str">
        <f t="shared" si="0"/>
        <v>AS</v>
      </c>
      <c r="AR24" s="9" t="str">
        <f t="shared" si="1"/>
        <v>Azul</v>
      </c>
      <c r="AS24" s="9" t="str">
        <f t="shared" si="2"/>
        <v>Não se aplica</v>
      </c>
      <c r="AT24" s="9" t="str">
        <f t="shared" si="3"/>
        <v>Não se aplica</v>
      </c>
      <c r="AU24" s="9" t="str">
        <f t="shared" si="4"/>
        <v>Não se aplica</v>
      </c>
      <c r="AV24" s="58">
        <f t="shared" si="5"/>
        <v>1</v>
      </c>
      <c r="AW24" s="58">
        <f ca="1">IFERROR(VLOOKUP(AQ24,TarifaMedia!$C$40:$G$43,5,0),0)</f>
        <v>0</v>
      </c>
      <c r="AX24" s="23">
        <f ca="1">'TUSD BE'!$AM24+'TUSD BF'!$AM24+'TUSD CVA'!$AM24</f>
        <v>70.686505073314777</v>
      </c>
      <c r="AY24" s="58">
        <v>78.900000000000006</v>
      </c>
      <c r="AZ24" s="58">
        <f t="shared" ca="1" si="6"/>
        <v>0</v>
      </c>
      <c r="BA24" s="58"/>
      <c r="BB24" s="58"/>
      <c r="BC24" s="82" t="s">
        <v>976</v>
      </c>
    </row>
    <row r="25" spans="1:55" ht="11.25" customHeight="1" x14ac:dyDescent="0.3">
      <c r="A25" s="128"/>
      <c r="B25" s="128"/>
      <c r="C25" s="128"/>
      <c r="D25" s="128"/>
      <c r="E25" s="128"/>
      <c r="F25" s="128"/>
      <c r="G25" s="18" t="s">
        <v>83</v>
      </c>
      <c r="H25" s="18" t="s">
        <v>81</v>
      </c>
      <c r="I25" s="18">
        <f>'MERCADO TUSD'!$U$22</f>
        <v>0</v>
      </c>
      <c r="J25" s="15"/>
      <c r="L25" s="13">
        <f>'TUSD BE'!$L$25*'TUSD BE'!$L$78</f>
        <v>0</v>
      </c>
      <c r="M25" s="13">
        <f>'TUSD BE'!$M$25*'TUSD BE'!$M$78</f>
        <v>0</v>
      </c>
      <c r="N25" s="13">
        <f ca="1">'TUSD BE'!$N$25*'TUSD BE'!$N$78</f>
        <v>0</v>
      </c>
      <c r="O25" s="13">
        <f>'TUSD BE'!$O$25*'TUSD BE'!$O$78</f>
        <v>0</v>
      </c>
      <c r="P25" s="13">
        <f>'TUSD BE'!$P$25*'TUSD BE'!$P$78</f>
        <v>0</v>
      </c>
      <c r="Q25" s="13">
        <f>'TUSD BE'!$Q$25*'TUSD BE'!$Q$78</f>
        <v>0</v>
      </c>
      <c r="R25" s="13">
        <f>'TUSD BE'!$R$25*'TUSD BE'!$R$78</f>
        <v>0</v>
      </c>
      <c r="S25" s="13">
        <f>'TUSD BE'!$R$25*'TUSD BE'!$S$78</f>
        <v>0</v>
      </c>
      <c r="T25" s="13">
        <f ca="1">SUM($L$25:$S$25)</f>
        <v>0</v>
      </c>
      <c r="U25" s="13">
        <f>'TUSD BE'!$U$25*'TUSD BE'!$U$78</f>
        <v>-7.3433234750052825E-2</v>
      </c>
      <c r="V25" s="13">
        <f>'TUSD BE'!$V$25*'TUSD BE'!$V$78</f>
        <v>-1.6574824038821614E-2</v>
      </c>
      <c r="W25" s="13">
        <f>'TUSD BE'!$W$25*'TUSD BE'!$W$78</f>
        <v>-5.5521022354721827E-4</v>
      </c>
      <c r="X25" s="13">
        <f>'TUSD BE'!$X$25*'TUSD BE'!$X$78</f>
        <v>0</v>
      </c>
      <c r="Y25" s="13">
        <f>'TUSD BE'!$Y$25*'TUSD BE'!$Y$78</f>
        <v>0</v>
      </c>
      <c r="Z25" s="13">
        <f>'TUSD BE'!$Z$25*'TUSD BE'!$Z$78</f>
        <v>0</v>
      </c>
      <c r="AA25" s="13">
        <f>'TUSD BE'!$AA$25*'TUSD BE'!$AA$78</f>
        <v>0</v>
      </c>
      <c r="AB25" s="13">
        <f>SUM($U$25:$AA$25)</f>
        <v>-9.0563269012421663E-2</v>
      </c>
      <c r="AC25" s="13">
        <f>'TUSD BE'!$AC$25*'TUSD BE'!$AC$78</f>
        <v>7.348202769600743E-4</v>
      </c>
      <c r="AD25" s="13">
        <f>SUM($AC$25:$AC$25)</f>
        <v>7.348202769600743E-4</v>
      </c>
      <c r="AE25" s="13">
        <f ca="1">$AO$25*$AO$75</f>
        <v>0</v>
      </c>
      <c r="AF25" s="13">
        <f ca="1">$AP$25*$AP$75</f>
        <v>0</v>
      </c>
      <c r="AG25" s="13">
        <f ca="1">SUM($AE$25:$AF$25)</f>
        <v>0</v>
      </c>
      <c r="AH25" s="13">
        <f>'TUSD BE'!$AH$25*'TUSD BE'!$AH$78</f>
        <v>0</v>
      </c>
      <c r="AI25" s="13">
        <f>'TUSD BE'!$AI$25*'TUSD BE'!$AI$78</f>
        <v>0</v>
      </c>
      <c r="AJ25" s="13">
        <f ca="1">'TUSD BE'!$AJ$25*'TUSD BE'!$AJ$78</f>
        <v>0</v>
      </c>
      <c r="AK25" s="13">
        <f ca="1">'TUSD BE'!$AK$25*'TUSD BE'!$AK$78</f>
        <v>0</v>
      </c>
      <c r="AL25" s="13">
        <f ca="1">SUM($AH$25:$AK$25)</f>
        <v>0</v>
      </c>
      <c r="AM25" s="13">
        <f ca="1">SUMIF($L$4:$AL$4,"SUBTOTAL",$L$25:$AL$25)+AZ25</f>
        <v>-8.9828448735461586E-2</v>
      </c>
      <c r="AO25" s="20">
        <f ca="1">+'TUSD BE'!$T$25+'TUSD BE'!$AB$25+'TUSD BE'!$AD$25+'TUSD BE'!$AL$25</f>
        <v>13.017729492800711</v>
      </c>
      <c r="AP25" s="20">
        <f ca="1">+'TUSD BE'!$T$25+'TUSD BE'!$AB$25+'TUSD BE'!$AD$25+'TUSD BE'!$AL$25</f>
        <v>13.017729492800711</v>
      </c>
      <c r="AQ25" s="9" t="str">
        <f t="shared" si="0"/>
        <v>AS</v>
      </c>
      <c r="AR25" s="9" t="str">
        <f t="shared" si="1"/>
        <v>Azul</v>
      </c>
      <c r="AS25" s="9" t="str">
        <f t="shared" si="2"/>
        <v>Não se aplica</v>
      </c>
      <c r="AT25" s="9" t="str">
        <f t="shared" si="3"/>
        <v>Não se aplica</v>
      </c>
      <c r="AU25" s="9" t="str">
        <f t="shared" si="4"/>
        <v>Não se aplica</v>
      </c>
      <c r="AV25" s="58">
        <f t="shared" si="5"/>
        <v>1</v>
      </c>
      <c r="AW25" s="58">
        <f ca="1">IFERROR(VLOOKUP(AQ25,TarifaMedia!$C$40:$G$43,5,0),0)</f>
        <v>0</v>
      </c>
      <c r="AX25" s="23">
        <f ca="1">'TUSD BE'!$AM25+'TUSD BF'!$AM25+'TUSD CVA'!$AM25</f>
        <v>13.458223506903105</v>
      </c>
      <c r="AY25" s="58">
        <v>17.239999999999998</v>
      </c>
      <c r="AZ25" s="58">
        <f t="shared" ca="1" si="6"/>
        <v>0</v>
      </c>
      <c r="BA25" s="58"/>
      <c r="BB25" s="58"/>
      <c r="BC25" s="82" t="s">
        <v>977</v>
      </c>
    </row>
    <row r="26" spans="1:55" ht="11.25" customHeight="1" x14ac:dyDescent="0.3">
      <c r="A26" s="128"/>
      <c r="B26" s="128"/>
      <c r="C26" s="128"/>
      <c r="D26" s="128"/>
      <c r="E26" s="128"/>
      <c r="F26" s="128"/>
      <c r="G26" s="18" t="s">
        <v>84</v>
      </c>
      <c r="H26" s="18" t="s">
        <v>78</v>
      </c>
      <c r="I26" s="18">
        <f>'MERCADO TUSD'!$U$23</f>
        <v>0</v>
      </c>
      <c r="J26" s="15"/>
      <c r="L26" s="13">
        <f>'TUSD BE'!$L$26*'TUSD BE'!$L$78</f>
        <v>-0.56348944178893323</v>
      </c>
      <c r="M26" s="13">
        <f>'TUSD BE'!$M$26*'TUSD BE'!$M$78</f>
        <v>-2.0514885155593901E-3</v>
      </c>
      <c r="N26" s="13">
        <f ca="1">'TUSD BE'!$N$26*'TUSD BE'!$N$78</f>
        <v>1.6023285358786223E-7</v>
      </c>
      <c r="O26" s="13">
        <f>'TUSD BE'!$O$26*'TUSD BE'!$O$78</f>
        <v>0</v>
      </c>
      <c r="P26" s="13">
        <f>'TUSD BE'!$P$26*'TUSD BE'!$P$78</f>
        <v>0</v>
      </c>
      <c r="Q26" s="13">
        <f>'TUSD BE'!$Q$26*'TUSD BE'!$Q$78</f>
        <v>-1.6095968681012454</v>
      </c>
      <c r="R26" s="13">
        <f>'TUSD BE'!$R$26*'TUSD BE'!$R$78</f>
        <v>-0.37578018258543827</v>
      </c>
      <c r="S26" s="13">
        <f>'TUSD BE'!$R$26*'TUSD BE'!$S$78</f>
        <v>0</v>
      </c>
      <c r="T26" s="13">
        <f ca="1">SUM($L$26:$S$26)</f>
        <v>-2.5509178207583227</v>
      </c>
      <c r="U26" s="13">
        <f>'TUSD BE'!$U$26*'TUSD BE'!$U$78</f>
        <v>0</v>
      </c>
      <c r="V26" s="13">
        <f>'TUSD BE'!$V$26*'TUSD BE'!$V$78</f>
        <v>0</v>
      </c>
      <c r="W26" s="13">
        <f>'TUSD BE'!$W$26*'TUSD BE'!$W$78</f>
        <v>0</v>
      </c>
      <c r="X26" s="13">
        <f>'TUSD BE'!$X$26*'TUSD BE'!$X$78</f>
        <v>0</v>
      </c>
      <c r="Y26" s="13">
        <f>'TUSD BE'!$Y$26*'TUSD BE'!$Y$78</f>
        <v>0</v>
      </c>
      <c r="Z26" s="13">
        <f>'TUSD BE'!$Z$26*'TUSD BE'!$Z$78</f>
        <v>0</v>
      </c>
      <c r="AA26" s="13">
        <f>'TUSD BE'!$AA$26*'TUSD BE'!$AA$78</f>
        <v>0</v>
      </c>
      <c r="AB26" s="13">
        <f>SUM($U$26:$AA$26)</f>
        <v>0</v>
      </c>
      <c r="AC26" s="13">
        <f>'TUSD BE'!$AC$26*'TUSD BE'!$AC$78</f>
        <v>0</v>
      </c>
      <c r="AD26" s="13">
        <f>SUM($AC$26:$AC$26)</f>
        <v>0</v>
      </c>
      <c r="AE26" s="13">
        <f ca="1">$AO$26*$AO$75</f>
        <v>0</v>
      </c>
      <c r="AF26" s="13">
        <f ca="1">$AP$26*$AP$75</f>
        <v>0</v>
      </c>
      <c r="AG26" s="13">
        <f ca="1">SUM($AE$26:$AF$26)</f>
        <v>0</v>
      </c>
      <c r="AH26" s="13">
        <f>'TUSD BE'!$AH$26*'TUSD BE'!$AH$78</f>
        <v>10.920190337325092</v>
      </c>
      <c r="AI26" s="13">
        <f>'TUSD BE'!$AI$26*'TUSD BE'!$AI$78</f>
        <v>0.18925872471314215</v>
      </c>
      <c r="AJ26" s="13">
        <f ca="1">'TUSD BE'!$AJ$26*'TUSD BE'!$AJ$78</f>
        <v>0.82844692293965005</v>
      </c>
      <c r="AK26" s="13">
        <f ca="1">'TUSD BE'!$AK$26*'TUSD BE'!$AK$78</f>
        <v>-1.8946965230610249E-2</v>
      </c>
      <c r="AL26" s="13">
        <f ca="1">SUM($AH$26:$AK$26)</f>
        <v>11.918949019747274</v>
      </c>
      <c r="AM26" s="13">
        <f ca="1">SUMIF($L$4:$AL$4,"SUBTOTAL",$L$26:$AL$26)+AZ26</f>
        <v>9.3680311989889518</v>
      </c>
      <c r="AO26" s="20">
        <f ca="1">+'TUSD BE'!$T$26+'TUSD BE'!$AB$26+'TUSD BE'!$AD$26+'TUSD BE'!$AL$26</f>
        <v>135.6496504992603</v>
      </c>
      <c r="AP26" s="20">
        <f ca="1">+'TUSD BE'!$T$26+'TUSD BE'!$AB$26+'TUSD BE'!$AD$26+'TUSD BE'!$AL$26</f>
        <v>135.6496504992603</v>
      </c>
      <c r="AQ26" s="9" t="str">
        <f t="shared" si="0"/>
        <v>AS</v>
      </c>
      <c r="AR26" s="9" t="str">
        <f t="shared" si="1"/>
        <v>Azul</v>
      </c>
      <c r="AS26" s="9" t="str">
        <f t="shared" si="2"/>
        <v>Não se aplica</v>
      </c>
      <c r="AT26" s="9" t="str">
        <f t="shared" si="3"/>
        <v>Não se aplica</v>
      </c>
      <c r="AU26" s="9" t="str">
        <f t="shared" si="4"/>
        <v>Não se aplica</v>
      </c>
      <c r="AV26" s="58">
        <f t="shared" si="5"/>
        <v>1</v>
      </c>
      <c r="AW26" s="58">
        <f ca="1">IFERROR(VLOOKUP(AQ26,TarifaMedia!$C$40:$G$43,5,0),0)</f>
        <v>0</v>
      </c>
      <c r="AX26" s="23">
        <f ca="1">'TUSD BE'!$AM26+'TUSD BF'!$AM26+'TUSD CVA'!$AM26</f>
        <v>170.19945224700672</v>
      </c>
      <c r="AY26" s="58">
        <v>160.30000000000001</v>
      </c>
      <c r="AZ26" s="58">
        <f t="shared" ca="1" si="6"/>
        <v>0</v>
      </c>
      <c r="BA26" s="58"/>
      <c r="BB26" s="58"/>
      <c r="BC26" s="82" t="s">
        <v>978</v>
      </c>
    </row>
    <row r="27" spans="1:55" ht="11.25" customHeight="1" x14ac:dyDescent="0.3">
      <c r="A27" s="128"/>
      <c r="B27" s="128"/>
      <c r="C27" s="128"/>
      <c r="D27" s="128"/>
      <c r="E27" s="17" t="s">
        <v>85</v>
      </c>
      <c r="F27" s="17" t="s">
        <v>25</v>
      </c>
      <c r="G27" s="18" t="s">
        <v>84</v>
      </c>
      <c r="H27" s="18" t="s">
        <v>78</v>
      </c>
      <c r="I27" s="18">
        <f>'MERCADO TUSD'!$U$24</f>
        <v>0</v>
      </c>
      <c r="J27" s="15"/>
      <c r="L27" s="13">
        <f>'TUSD BE'!$L$27*'TUSD BE'!$L$78</f>
        <v>0</v>
      </c>
      <c r="M27" s="13">
        <f>'TUSD BE'!$M$27*'TUSD BE'!$M$78</f>
        <v>-2.0514885155593901E-3</v>
      </c>
      <c r="N27" s="13">
        <f ca="1">'TUSD BE'!$N$27*'TUSD BE'!$N$78</f>
        <v>1.5935338893458872E-7</v>
      </c>
      <c r="O27" s="13">
        <f>'TUSD BE'!$O$27*'TUSD BE'!$O$78</f>
        <v>0</v>
      </c>
      <c r="P27" s="13">
        <f>'TUSD BE'!$P$27*'TUSD BE'!$P$78</f>
        <v>0</v>
      </c>
      <c r="Q27" s="13">
        <f>'TUSD BE'!$Q$27*'TUSD BE'!$Q$78</f>
        <v>0</v>
      </c>
      <c r="R27" s="13">
        <f>'TUSD BE'!$R$27*'TUSD BE'!$R$78</f>
        <v>0</v>
      </c>
      <c r="S27" s="13">
        <f>'TUSD BE'!$R$27*'TUSD BE'!$S$78</f>
        <v>0</v>
      </c>
      <c r="T27" s="13">
        <f ca="1">SUM($L$27:$S$27)</f>
        <v>-2.0513291621704556E-3</v>
      </c>
      <c r="U27" s="13">
        <f>'TUSD BE'!$U$27*'TUSD BE'!$U$78</f>
        <v>0</v>
      </c>
      <c r="V27" s="13">
        <f>'TUSD BE'!$V$27*'TUSD BE'!$V$78</f>
        <v>0</v>
      </c>
      <c r="W27" s="13">
        <f>'TUSD BE'!$W$27*'TUSD BE'!$W$78</f>
        <v>0</v>
      </c>
      <c r="X27" s="13">
        <f>'TUSD BE'!$X$27*'TUSD BE'!$X$78</f>
        <v>0</v>
      </c>
      <c r="Y27" s="13">
        <f>'TUSD BE'!$Y$27*'TUSD BE'!$Y$78</f>
        <v>0</v>
      </c>
      <c r="Z27" s="13">
        <f>'TUSD BE'!$Z$27*'TUSD BE'!$Z$78</f>
        <v>0</v>
      </c>
      <c r="AA27" s="13">
        <f>'TUSD BE'!$AA$27*'TUSD BE'!$AA$78</f>
        <v>0</v>
      </c>
      <c r="AB27" s="13">
        <f>SUM($U$27:$AA$27)</f>
        <v>0</v>
      </c>
      <c r="AC27" s="13">
        <f>'TUSD BE'!$AC$27*'TUSD BE'!$AC$78</f>
        <v>0</v>
      </c>
      <c r="AD27" s="13">
        <f>SUM($AC$27:$AC$27)</f>
        <v>0</v>
      </c>
      <c r="AE27" s="13">
        <f ca="1">$AO$27*$AO$75</f>
        <v>0</v>
      </c>
      <c r="AF27" s="13">
        <f ca="1">$AP$27*$AP$75</f>
        <v>0</v>
      </c>
      <c r="AG27" s="13">
        <f ca="1">SUM($AE$27:$AF$27)</f>
        <v>0</v>
      </c>
      <c r="AH27" s="13">
        <f>'TUSD BE'!$AH$27*'TUSD BE'!$AH$78</f>
        <v>10.920190337325092</v>
      </c>
      <c r="AI27" s="13">
        <f>'TUSD BE'!$AI$27*'TUSD BE'!$AI$78</f>
        <v>0.18925872471314215</v>
      </c>
      <c r="AJ27" s="13">
        <f ca="1">'TUSD BE'!$AJ$27*'TUSD BE'!$AJ$78</f>
        <v>0.82844692293965005</v>
      </c>
      <c r="AK27" s="13">
        <f ca="1">'TUSD BE'!$AK$27*'TUSD BE'!$AK$78</f>
        <v>-1.8946965230610249E-2</v>
      </c>
      <c r="AL27" s="13">
        <f ca="1">SUM($AH$27:$AK$27)</f>
        <v>11.918949019747274</v>
      </c>
      <c r="AM27" s="13">
        <f ca="1">SUMIF($L$4:$AL$4,"SUBTOTAL",$L$27:$AL$27)+AZ27</f>
        <v>11.916897690585103</v>
      </c>
      <c r="AO27" s="20">
        <f ca="1">+'TUSD BE'!$T$27+'TUSD BE'!$AB$27+'TUSD BE'!$AD$27+'TUSD BE'!$AL$27</f>
        <v>28.603252136276232</v>
      </c>
      <c r="AP27" s="20">
        <f ca="1">+'TUSD BE'!$T$27+'TUSD BE'!$AB$27+'TUSD BE'!$AD$27+'TUSD BE'!$AL$27</f>
        <v>28.603252136276232</v>
      </c>
      <c r="AQ27" s="9" t="str">
        <f t="shared" si="0"/>
        <v>AS</v>
      </c>
      <c r="AR27" s="9" t="str">
        <f t="shared" si="1"/>
        <v>Azul</v>
      </c>
      <c r="AS27" s="9" t="str">
        <f t="shared" si="2"/>
        <v>Não se aplica</v>
      </c>
      <c r="AT27" s="9" t="str">
        <f t="shared" si="3"/>
        <v>Não se aplica</v>
      </c>
      <c r="AU27" s="9" t="str">
        <f t="shared" si="4"/>
        <v>APE</v>
      </c>
      <c r="AV27" s="58">
        <f t="shared" si="5"/>
        <v>1</v>
      </c>
      <c r="AW27" s="58">
        <f ca="1">IFERROR(VLOOKUP(AQ27,TarifaMedia!$C$40:$G$43,5,0),0)</f>
        <v>0</v>
      </c>
      <c r="AX27" s="23">
        <f ca="1">'TUSD BE'!$AM27+'TUSD BF'!$AM27+'TUSD CVA'!$AM27</f>
        <v>36.868354555013966</v>
      </c>
      <c r="AY27" s="58">
        <v>52.55</v>
      </c>
      <c r="AZ27" s="58">
        <f t="shared" ca="1" si="6"/>
        <v>0</v>
      </c>
      <c r="BA27" s="58"/>
      <c r="BB27" s="58"/>
      <c r="BC27" s="82" t="s">
        <v>979</v>
      </c>
    </row>
    <row r="28" spans="1:55" ht="11.25" customHeight="1" x14ac:dyDescent="0.3">
      <c r="A28" s="128"/>
      <c r="B28" s="128" t="s">
        <v>41</v>
      </c>
      <c r="C28" s="128" t="s">
        <v>25</v>
      </c>
      <c r="D28" s="128" t="s">
        <v>25</v>
      </c>
      <c r="E28" s="128" t="s">
        <v>25</v>
      </c>
      <c r="F28" s="128" t="s">
        <v>25</v>
      </c>
      <c r="G28" s="18" t="s">
        <v>9</v>
      </c>
      <c r="H28" s="18" t="s">
        <v>81</v>
      </c>
      <c r="I28" s="18">
        <f>'MERCADO TUSD'!$U$25</f>
        <v>2892</v>
      </c>
      <c r="J28" s="15"/>
      <c r="L28" s="13">
        <f>'TUSD BE'!$L$28*'TUSD BE'!$L$78</f>
        <v>0</v>
      </c>
      <c r="M28" s="13">
        <f>'TUSD BE'!$M$28*'TUSD BE'!$M$78</f>
        <v>0</v>
      </c>
      <c r="N28" s="13">
        <f ca="1">'TUSD BE'!$N$28*'TUSD BE'!$N$78</f>
        <v>0</v>
      </c>
      <c r="O28" s="13">
        <f>'TUSD BE'!$O$28*'TUSD BE'!$O$78</f>
        <v>0</v>
      </c>
      <c r="P28" s="13">
        <f>'TUSD BE'!$P$28*'TUSD BE'!$P$78</f>
        <v>0</v>
      </c>
      <c r="Q28" s="13">
        <f>'TUSD BE'!$Q$28*'TUSD BE'!$Q$78</f>
        <v>0</v>
      </c>
      <c r="R28" s="13">
        <f>'TUSD BE'!$R$28*'TUSD BE'!$R$78</f>
        <v>0</v>
      </c>
      <c r="S28" s="13">
        <f>'TUSD BE'!$R$28*'TUSD BE'!$S$78</f>
        <v>0</v>
      </c>
      <c r="T28" s="13">
        <f ca="1">SUM($L$28:$S$28)</f>
        <v>0</v>
      </c>
      <c r="U28" s="13">
        <f>'TUSD BE'!$U$28*'TUSD BE'!$U$78</f>
        <v>-7.3433234750052825E-2</v>
      </c>
      <c r="V28" s="13">
        <f>'TUSD BE'!$V$28*'TUSD BE'!$V$78</f>
        <v>-1.6574824038821614E-2</v>
      </c>
      <c r="W28" s="13">
        <f>'TUSD BE'!$W$28*'TUSD BE'!$W$78</f>
        <v>-5.5521022354721827E-4</v>
      </c>
      <c r="X28" s="13">
        <f>'TUSD BE'!$X$28*'TUSD BE'!$X$78</f>
        <v>0</v>
      </c>
      <c r="Y28" s="13">
        <f>'TUSD BE'!$Y$28*'TUSD BE'!$Y$78</f>
        <v>0</v>
      </c>
      <c r="Z28" s="13">
        <f>'TUSD BE'!$Z$28*'TUSD BE'!$Z$78</f>
        <v>0</v>
      </c>
      <c r="AA28" s="13">
        <f>'TUSD BE'!$AA$28*'TUSD BE'!$AA$78</f>
        <v>0</v>
      </c>
      <c r="AB28" s="13">
        <f>SUM($U$28:$AA$28)</f>
        <v>-9.0563269012421663E-2</v>
      </c>
      <c r="AC28" s="13">
        <f>'TUSD BE'!$AC$28*'TUSD BE'!$AC$78</f>
        <v>7.348202769600743E-4</v>
      </c>
      <c r="AD28" s="13">
        <f>SUM($AC$28:$AC$28)</f>
        <v>7.348202769600743E-4</v>
      </c>
      <c r="AE28" s="13">
        <f ca="1">$AO$28*$AO$75</f>
        <v>0</v>
      </c>
      <c r="AF28" s="13">
        <f ca="1">$AP$28*$AP$75</f>
        <v>0</v>
      </c>
      <c r="AG28" s="13">
        <f ca="1">SUM($AE$28:$AF$28)</f>
        <v>0</v>
      </c>
      <c r="AH28" s="13">
        <f>'TUSD BE'!$AH$28*'TUSD BE'!$AH$78</f>
        <v>0</v>
      </c>
      <c r="AI28" s="13">
        <f>'TUSD BE'!$AI$28*'TUSD BE'!$AI$78</f>
        <v>0</v>
      </c>
      <c r="AJ28" s="13">
        <f ca="1">'TUSD BE'!$AJ$28*'TUSD BE'!$AJ$78</f>
        <v>0</v>
      </c>
      <c r="AK28" s="13">
        <f ca="1">'TUSD BE'!$AK$28*'TUSD BE'!$AK$78</f>
        <v>0</v>
      </c>
      <c r="AL28" s="13">
        <f ca="1">SUM($AH$28:$AK$28)</f>
        <v>0</v>
      </c>
      <c r="AM28" s="13">
        <f ca="1">SUMIF($L$4:$AL$4,"SUBTOTAL",$L$28:$AL$28)+AZ28</f>
        <v>-8.9828448735461586E-2</v>
      </c>
      <c r="AO28" s="20">
        <f ca="1">+'TUSD BE'!$T$28+'TUSD BE'!$AB$28+'TUSD BE'!$AD$28+'TUSD BE'!$AL$28</f>
        <v>13.017729492800711</v>
      </c>
      <c r="AP28" s="20">
        <f ca="1">+'TUSD BE'!$T$28+'TUSD BE'!$AB$28+'TUSD BE'!$AD$28+'TUSD BE'!$AL$28</f>
        <v>13.017729492800711</v>
      </c>
      <c r="AQ28" s="9" t="str">
        <f t="shared" si="0"/>
        <v>AS</v>
      </c>
      <c r="AR28" s="9" t="str">
        <f t="shared" si="1"/>
        <v>Verde</v>
      </c>
      <c r="AS28" s="9" t="str">
        <f t="shared" si="2"/>
        <v>Não se aplica</v>
      </c>
      <c r="AT28" s="9" t="str">
        <f t="shared" si="3"/>
        <v>Não se aplica</v>
      </c>
      <c r="AU28" s="9" t="str">
        <f t="shared" si="4"/>
        <v>Não se aplica</v>
      </c>
      <c r="AV28" s="58">
        <f t="shared" si="5"/>
        <v>1</v>
      </c>
      <c r="AW28" s="58">
        <f ca="1">IFERROR(VLOOKUP(AQ28,TarifaMedia!$C$40:$G$43,5,0),0)</f>
        <v>0</v>
      </c>
      <c r="AX28" s="23">
        <f ca="1">'TUSD BE'!$AM28+'TUSD BF'!$AM28+'TUSD CVA'!$AM28</f>
        <v>13.458223506903105</v>
      </c>
      <c r="AY28" s="58">
        <v>17.239999999999998</v>
      </c>
      <c r="AZ28" s="58">
        <f t="shared" ca="1" si="6"/>
        <v>0</v>
      </c>
      <c r="BA28" s="58"/>
      <c r="BB28" s="58"/>
      <c r="BC28" s="82" t="s">
        <v>980</v>
      </c>
    </row>
    <row r="29" spans="1:55" ht="11.25" customHeight="1" x14ac:dyDescent="0.3">
      <c r="A29" s="128"/>
      <c r="B29" s="128"/>
      <c r="C29" s="128"/>
      <c r="D29" s="128"/>
      <c r="E29" s="128"/>
      <c r="F29" s="128"/>
      <c r="G29" s="18" t="s">
        <v>79</v>
      </c>
      <c r="H29" s="18" t="s">
        <v>78</v>
      </c>
      <c r="I29" s="18">
        <f>'MERCADO TUSD'!$U$26</f>
        <v>55.301000000000002</v>
      </c>
      <c r="J29" s="15"/>
      <c r="L29" s="13">
        <f>'TUSD BE'!$L$29*'TUSD BE'!$L$78</f>
        <v>-0.56348944178893323</v>
      </c>
      <c r="M29" s="13">
        <f>'TUSD BE'!$M$29*'TUSD BE'!$M$78</f>
        <v>-2.0514885155593901E-3</v>
      </c>
      <c r="N29" s="13">
        <f ca="1">'TUSD BE'!$N$29*'TUSD BE'!$N$78</f>
        <v>1.4160778610389946E-6</v>
      </c>
      <c r="O29" s="13">
        <f>'TUSD BE'!$O$29*'TUSD BE'!$O$78</f>
        <v>0</v>
      </c>
      <c r="P29" s="13">
        <f>'TUSD BE'!$P$29*'TUSD BE'!$P$78</f>
        <v>0</v>
      </c>
      <c r="Q29" s="13">
        <f>'TUSD BE'!$Q$29*'TUSD BE'!$Q$78</f>
        <v>-1.6095968681012454</v>
      </c>
      <c r="R29" s="13">
        <f>'TUSD BE'!$R$29*'TUSD BE'!$R$78</f>
        <v>-0.37578018258543827</v>
      </c>
      <c r="S29" s="13">
        <f>'TUSD BE'!$R$29*'TUSD BE'!$S$78</f>
        <v>0</v>
      </c>
      <c r="T29" s="13">
        <f ca="1">SUM($L$29:$S$29)</f>
        <v>-2.5509165649133152</v>
      </c>
      <c r="U29" s="13">
        <f>'TUSD BE'!$U$29*'TUSD BE'!$U$78</f>
        <v>-1.8792657997960687</v>
      </c>
      <c r="V29" s="13">
        <f>'TUSD BE'!$V$29*'TUSD BE'!$V$78</f>
        <v>-0.42081474299197857</v>
      </c>
      <c r="W29" s="13">
        <f>'TUSD BE'!$W$29*'TUSD BE'!$W$78</f>
        <v>-1.4710125511674775E-2</v>
      </c>
      <c r="X29" s="13">
        <f>'TUSD BE'!$X$29*'TUSD BE'!$X$78</f>
        <v>0</v>
      </c>
      <c r="Y29" s="13">
        <f>'TUSD BE'!$Y$29*'TUSD BE'!$Y$78</f>
        <v>0</v>
      </c>
      <c r="Z29" s="13">
        <f>'TUSD BE'!$Z$29*'TUSD BE'!$Z$78</f>
        <v>0</v>
      </c>
      <c r="AA29" s="13">
        <f>'TUSD BE'!$AA$29*'TUSD BE'!$AA$78</f>
        <v>0</v>
      </c>
      <c r="AB29" s="13">
        <f>SUM($U$29:$AA$29)</f>
        <v>-2.3147906682997221</v>
      </c>
      <c r="AC29" s="13">
        <f>'TUSD BE'!$AC$29*'TUSD BE'!$AC$78</f>
        <v>0.16537137698527593</v>
      </c>
      <c r="AD29" s="13">
        <f>SUM($AC$29:$AC$29)</f>
        <v>0.16537137698527593</v>
      </c>
      <c r="AE29" s="13">
        <f ca="1">$AO$29*$AO$75</f>
        <v>0</v>
      </c>
      <c r="AF29" s="13">
        <f ca="1">$AP$29*$AP$75</f>
        <v>0</v>
      </c>
      <c r="AG29" s="13">
        <f ca="1">SUM($AE$29:$AF$29)</f>
        <v>0</v>
      </c>
      <c r="AH29" s="13">
        <f>'TUSD BE'!$AH$29*'TUSD BE'!$AH$78</f>
        <v>10.920190337325092</v>
      </c>
      <c r="AI29" s="13">
        <f>'TUSD BE'!$AI$29*'TUSD BE'!$AI$78</f>
        <v>0.18925872471314215</v>
      </c>
      <c r="AJ29" s="13">
        <f ca="1">'TUSD BE'!$AJ$29*'TUSD BE'!$AJ$78</f>
        <v>0.82844692293965005</v>
      </c>
      <c r="AK29" s="13">
        <f ca="1">'TUSD BE'!$AK$29*'TUSD BE'!$AK$78</f>
        <v>-1.8946965230610249E-2</v>
      </c>
      <c r="AL29" s="13">
        <f ca="1">SUM($AH$29:$AK$29)</f>
        <v>11.918949019747274</v>
      </c>
      <c r="AM29" s="13">
        <f ca="1">SUMIF($L$4:$AL$4,"SUBTOTAL",$L$29:$AL$29)+AZ29</f>
        <v>7.218613163519513</v>
      </c>
      <c r="AO29" s="20">
        <f ca="1">+'TUSD BE'!$T$29+'TUSD BE'!$AB$29+'TUSD BE'!$AD$29+'TUSD BE'!$AL$29</f>
        <v>1842.2173046426892</v>
      </c>
      <c r="AP29" s="20">
        <f ca="1">+'TUSD BE'!$T$29+'TUSD BE'!$AB$29+'TUSD BE'!$AD$29+'TUSD BE'!$AL$29</f>
        <v>1842.2173046426892</v>
      </c>
      <c r="AQ29" s="9" t="str">
        <f t="shared" si="0"/>
        <v>AS</v>
      </c>
      <c r="AR29" s="9" t="str">
        <f t="shared" si="1"/>
        <v>Verde</v>
      </c>
      <c r="AS29" s="9" t="str">
        <f t="shared" si="2"/>
        <v>Não se aplica</v>
      </c>
      <c r="AT29" s="9" t="str">
        <f t="shared" si="3"/>
        <v>Não se aplica</v>
      </c>
      <c r="AU29" s="9" t="str">
        <f t="shared" si="4"/>
        <v>Não se aplica</v>
      </c>
      <c r="AV29" s="58">
        <f t="shared" si="5"/>
        <v>1</v>
      </c>
      <c r="AW29" s="58">
        <f ca="1">IFERROR(VLOOKUP(AQ29,TarifaMedia!$C$40:$G$43,5,0),0)</f>
        <v>0</v>
      </c>
      <c r="AX29" s="23">
        <f ca="1">'TUSD BE'!$AM29+'TUSD BF'!$AM29+'TUSD CVA'!$AM29</f>
        <v>1888.1712570698433</v>
      </c>
      <c r="AY29" s="58">
        <v>2070.1</v>
      </c>
      <c r="AZ29" s="58">
        <f t="shared" ca="1" si="6"/>
        <v>0</v>
      </c>
      <c r="BA29" s="58"/>
      <c r="BB29" s="58"/>
      <c r="BC29" s="82" t="s">
        <v>981</v>
      </c>
    </row>
    <row r="30" spans="1:55" ht="11.25" customHeight="1" x14ac:dyDescent="0.3">
      <c r="A30" s="128"/>
      <c r="B30" s="128"/>
      <c r="C30" s="128"/>
      <c r="D30" s="128"/>
      <c r="E30" s="128"/>
      <c r="F30" s="128"/>
      <c r="G30" s="18" t="s">
        <v>80</v>
      </c>
      <c r="H30" s="18" t="s">
        <v>78</v>
      </c>
      <c r="I30" s="18">
        <f>'MERCADO TUSD'!$U$27</f>
        <v>509.89599999999996</v>
      </c>
      <c r="J30" s="15"/>
      <c r="L30" s="13">
        <f>'TUSD BE'!$L$30*'TUSD BE'!$L$78</f>
        <v>-0.56348944178893323</v>
      </c>
      <c r="M30" s="13">
        <f>'TUSD BE'!$M$30*'TUSD BE'!$M$78</f>
        <v>-2.0514885155593901E-3</v>
      </c>
      <c r="N30" s="13">
        <f ca="1">'TUSD BE'!$N$30*'TUSD BE'!$N$78</f>
        <v>1.6023285358786223E-7</v>
      </c>
      <c r="O30" s="13">
        <f>'TUSD BE'!$O$30*'TUSD BE'!$O$78</f>
        <v>0</v>
      </c>
      <c r="P30" s="13">
        <f>'TUSD BE'!$P$30*'TUSD BE'!$P$78</f>
        <v>0</v>
      </c>
      <c r="Q30" s="13">
        <f>'TUSD BE'!$Q$30*'TUSD BE'!$Q$78</f>
        <v>-1.6095968681012454</v>
      </c>
      <c r="R30" s="13">
        <f>'TUSD BE'!$R$30*'TUSD BE'!$R$78</f>
        <v>-0.37578018258543827</v>
      </c>
      <c r="S30" s="13">
        <f>'TUSD BE'!$R$30*'TUSD BE'!$S$78</f>
        <v>0</v>
      </c>
      <c r="T30" s="13">
        <f ca="1">SUM($L$30:$S$30)</f>
        <v>-2.5509178207583227</v>
      </c>
      <c r="U30" s="13">
        <f>'TUSD BE'!$U$30*'TUSD BE'!$U$78</f>
        <v>0</v>
      </c>
      <c r="V30" s="13">
        <f>'TUSD BE'!$V$30*'TUSD BE'!$V$78</f>
        <v>0</v>
      </c>
      <c r="W30" s="13">
        <f>'TUSD BE'!$W$30*'TUSD BE'!$W$78</f>
        <v>0</v>
      </c>
      <c r="X30" s="13">
        <f>'TUSD BE'!$X$30*'TUSD BE'!$X$78</f>
        <v>0</v>
      </c>
      <c r="Y30" s="13">
        <f>'TUSD BE'!$Y$30*'TUSD BE'!$Y$78</f>
        <v>0</v>
      </c>
      <c r="Z30" s="13">
        <f>'TUSD BE'!$Z$30*'TUSD BE'!$Z$78</f>
        <v>0</v>
      </c>
      <c r="AA30" s="13">
        <f>'TUSD BE'!$AA$30*'TUSD BE'!$AA$78</f>
        <v>0</v>
      </c>
      <c r="AB30" s="13">
        <f>SUM($U$30:$AA$30)</f>
        <v>0</v>
      </c>
      <c r="AC30" s="13">
        <f>'TUSD BE'!$AC$30*'TUSD BE'!$AC$78</f>
        <v>0</v>
      </c>
      <c r="AD30" s="13">
        <f>SUM($AC$30:$AC$30)</f>
        <v>0</v>
      </c>
      <c r="AE30" s="13">
        <f ca="1">$AO$30*$AO$75</f>
        <v>0</v>
      </c>
      <c r="AF30" s="13">
        <f ca="1">$AP$30*$AP$75</f>
        <v>0</v>
      </c>
      <c r="AG30" s="13">
        <f ca="1">SUM($AE$30:$AF$30)</f>
        <v>0</v>
      </c>
      <c r="AH30" s="13">
        <f>'TUSD BE'!$AH$30*'TUSD BE'!$AH$78</f>
        <v>10.920190337325092</v>
      </c>
      <c r="AI30" s="13">
        <f>'TUSD BE'!$AI$30*'TUSD BE'!$AI$78</f>
        <v>0.18925872471314215</v>
      </c>
      <c r="AJ30" s="13">
        <f ca="1">'TUSD BE'!$AJ$30*'TUSD BE'!$AJ$78</f>
        <v>0.82844692293965005</v>
      </c>
      <c r="AK30" s="13">
        <f ca="1">'TUSD BE'!$AK$30*'TUSD BE'!$AK$78</f>
        <v>-1.8946965230610249E-2</v>
      </c>
      <c r="AL30" s="13">
        <f ca="1">SUM($AH$30:$AK$30)</f>
        <v>11.918949019747274</v>
      </c>
      <c r="AM30" s="13">
        <f ca="1">SUMIF($L$4:$AL$4,"SUBTOTAL",$L$30:$AL$30)+AZ30</f>
        <v>9.3680311989889518</v>
      </c>
      <c r="AO30" s="20">
        <f ca="1">+'TUSD BE'!$T$30+'TUSD BE'!$AB$30+'TUSD BE'!$AD$30+'TUSD BE'!$AL$30</f>
        <v>135.6496504992603</v>
      </c>
      <c r="AP30" s="20">
        <f ca="1">+'TUSD BE'!$T$30+'TUSD BE'!$AB$30+'TUSD BE'!$AD$30+'TUSD BE'!$AL$30</f>
        <v>135.6496504992603</v>
      </c>
      <c r="AQ30" s="9" t="str">
        <f t="shared" si="0"/>
        <v>AS</v>
      </c>
      <c r="AR30" s="9" t="str">
        <f t="shared" si="1"/>
        <v>Verde</v>
      </c>
      <c r="AS30" s="9" t="str">
        <f t="shared" si="2"/>
        <v>Não se aplica</v>
      </c>
      <c r="AT30" s="9" t="str">
        <f t="shared" si="3"/>
        <v>Não se aplica</v>
      </c>
      <c r="AU30" s="9" t="str">
        <f t="shared" si="4"/>
        <v>Não se aplica</v>
      </c>
      <c r="AV30" s="58">
        <f t="shared" si="5"/>
        <v>1</v>
      </c>
      <c r="AW30" s="58">
        <f ca="1">IFERROR(VLOOKUP(AQ30,TarifaMedia!$C$40:$G$43,5,0),0)</f>
        <v>0</v>
      </c>
      <c r="AX30" s="23">
        <f ca="1">'TUSD BE'!$AM30+'TUSD BF'!$AM30+'TUSD CVA'!$AM30</f>
        <v>170.19945224700672</v>
      </c>
      <c r="AY30" s="58">
        <v>160.30000000000001</v>
      </c>
      <c r="AZ30" s="58">
        <f t="shared" ca="1" si="6"/>
        <v>0</v>
      </c>
      <c r="BA30" s="58"/>
      <c r="BB30" s="58"/>
      <c r="BC30" s="82" t="s">
        <v>982</v>
      </c>
    </row>
    <row r="31" spans="1:55" ht="11.25" customHeight="1" x14ac:dyDescent="0.3">
      <c r="A31" s="128"/>
      <c r="B31" s="128"/>
      <c r="C31" s="128"/>
      <c r="D31" s="128"/>
      <c r="E31" s="128" t="s">
        <v>85</v>
      </c>
      <c r="F31" s="128" t="s">
        <v>25</v>
      </c>
      <c r="G31" s="18" t="s">
        <v>79</v>
      </c>
      <c r="H31" s="18" t="s">
        <v>78</v>
      </c>
      <c r="I31" s="18">
        <f>'MERCADO TUSD'!$U$28</f>
        <v>0</v>
      </c>
      <c r="J31" s="15"/>
      <c r="L31" s="13">
        <f>'TUSD BE'!$L$31*'TUSD BE'!$L$78</f>
        <v>0</v>
      </c>
      <c r="M31" s="13">
        <f>'TUSD BE'!$M$31*'TUSD BE'!$M$78</f>
        <v>-2.0514885155593901E-3</v>
      </c>
      <c r="N31" s="13">
        <f ca="1">'TUSD BE'!$N$31*'TUSD BE'!$N$78</f>
        <v>1.4151983963857211E-6</v>
      </c>
      <c r="O31" s="13">
        <f>'TUSD BE'!$O$31*'TUSD BE'!$O$78</f>
        <v>0</v>
      </c>
      <c r="P31" s="13">
        <f>'TUSD BE'!$P$31*'TUSD BE'!$P$78</f>
        <v>0</v>
      </c>
      <c r="Q31" s="13">
        <f>'TUSD BE'!$Q$31*'TUSD BE'!$Q$78</f>
        <v>0</v>
      </c>
      <c r="R31" s="13">
        <f>'TUSD BE'!$R$31*'TUSD BE'!$R$78</f>
        <v>0</v>
      </c>
      <c r="S31" s="13">
        <f>'TUSD BE'!$R$31*'TUSD BE'!$S$78</f>
        <v>0</v>
      </c>
      <c r="T31" s="13">
        <f ca="1">SUM($L$31:$S$31)</f>
        <v>-2.0500733171630045E-3</v>
      </c>
      <c r="U31" s="13">
        <f>'TUSD BE'!$U$31*'TUSD BE'!$U$78</f>
        <v>-1.8792657997960687</v>
      </c>
      <c r="V31" s="13">
        <f>'TUSD BE'!$V$31*'TUSD BE'!$V$78</f>
        <v>-0.42081474299197857</v>
      </c>
      <c r="W31" s="13">
        <f>'TUSD BE'!$W$31*'TUSD BE'!$W$78</f>
        <v>-1.4710125511674775E-2</v>
      </c>
      <c r="X31" s="13">
        <f>'TUSD BE'!$X$31*'TUSD BE'!$X$78</f>
        <v>0</v>
      </c>
      <c r="Y31" s="13">
        <f>'TUSD BE'!$Y$31*'TUSD BE'!$Y$78</f>
        <v>0</v>
      </c>
      <c r="Z31" s="13">
        <f>'TUSD BE'!$Z$31*'TUSD BE'!$Z$78</f>
        <v>0</v>
      </c>
      <c r="AA31" s="13">
        <f>'TUSD BE'!$AA$31*'TUSD BE'!$AA$78</f>
        <v>0</v>
      </c>
      <c r="AB31" s="13">
        <f>SUM($U$31:$AA$31)</f>
        <v>-2.3147906682997221</v>
      </c>
      <c r="AC31" s="13">
        <f>'TUSD BE'!$AC$31*'TUSD BE'!$AC$78</f>
        <v>0.16537137698527593</v>
      </c>
      <c r="AD31" s="13">
        <f>SUM($AC$31:$AC$31)</f>
        <v>0.16537137698527593</v>
      </c>
      <c r="AE31" s="13">
        <f ca="1">$AO$31*$AO$75</f>
        <v>0</v>
      </c>
      <c r="AF31" s="13">
        <f ca="1">$AP$31*$AP$75</f>
        <v>0</v>
      </c>
      <c r="AG31" s="13">
        <f ca="1">SUM($AE$31:$AF$31)</f>
        <v>0</v>
      </c>
      <c r="AH31" s="13">
        <f>'TUSD BE'!$AH$31*'TUSD BE'!$AH$78</f>
        <v>10.920190337325092</v>
      </c>
      <c r="AI31" s="13">
        <f>'TUSD BE'!$AI$31*'TUSD BE'!$AI$78</f>
        <v>0.18925872471314215</v>
      </c>
      <c r="AJ31" s="13">
        <f ca="1">'TUSD BE'!$AJ$31*'TUSD BE'!$AJ$78</f>
        <v>0.82844692293965005</v>
      </c>
      <c r="AK31" s="13">
        <f ca="1">'TUSD BE'!$AK$31*'TUSD BE'!$AK$78</f>
        <v>-1.8946965230610249E-2</v>
      </c>
      <c r="AL31" s="13">
        <f ca="1">SUM($AH$31:$AK$31)</f>
        <v>11.918949019747274</v>
      </c>
      <c r="AM31" s="13">
        <f ca="1">SUMIF($L$4:$AL$4,"SUBTOTAL",$L$31:$AL$31)+AZ31</f>
        <v>9.7674796551156646</v>
      </c>
      <c r="AO31" s="20">
        <f ca="1">+'TUSD BE'!$T$31+'TUSD BE'!$AB$31+'TUSD BE'!$AD$31+'TUSD BE'!$AL$31</f>
        <v>1735.1709062797052</v>
      </c>
      <c r="AP31" s="20">
        <f ca="1">+'TUSD BE'!$T$31+'TUSD BE'!$AB$31+'TUSD BE'!$AD$31+'TUSD BE'!$AL$31</f>
        <v>1735.1709062797052</v>
      </c>
      <c r="AQ31" s="9" t="str">
        <f t="shared" si="0"/>
        <v>AS</v>
      </c>
      <c r="AR31" s="9" t="str">
        <f t="shared" si="1"/>
        <v>Verde</v>
      </c>
      <c r="AS31" s="9" t="str">
        <f t="shared" si="2"/>
        <v>Não se aplica</v>
      </c>
      <c r="AT31" s="9" t="str">
        <f t="shared" si="3"/>
        <v>Não se aplica</v>
      </c>
      <c r="AU31" s="9" t="str">
        <f t="shared" si="4"/>
        <v>APE</v>
      </c>
      <c r="AV31" s="58">
        <f t="shared" si="5"/>
        <v>1</v>
      </c>
      <c r="AW31" s="58">
        <f ca="1">IFERROR(VLOOKUP(AQ31,TarifaMedia!$C$40:$G$43,5,0),0)</f>
        <v>0</v>
      </c>
      <c r="AX31" s="23">
        <f ca="1">'TUSD BE'!$AM31+'TUSD BF'!$AM31+'TUSD CVA'!$AM31</f>
        <v>1754.8401593778508</v>
      </c>
      <c r="AY31" s="58">
        <v>1962.35</v>
      </c>
      <c r="AZ31" s="58">
        <f t="shared" ca="1" si="6"/>
        <v>0</v>
      </c>
      <c r="BA31" s="58"/>
      <c r="BB31" s="58"/>
      <c r="BC31" s="82" t="s">
        <v>983</v>
      </c>
    </row>
    <row r="32" spans="1:55" ht="11.25" customHeight="1" x14ac:dyDescent="0.3">
      <c r="A32" s="128"/>
      <c r="B32" s="128"/>
      <c r="C32" s="128"/>
      <c r="D32" s="128"/>
      <c r="E32" s="128"/>
      <c r="F32" s="128"/>
      <c r="G32" s="18" t="s">
        <v>80</v>
      </c>
      <c r="H32" s="18" t="s">
        <v>78</v>
      </c>
      <c r="I32" s="18">
        <f>'MERCADO TUSD'!$U$29</f>
        <v>0</v>
      </c>
      <c r="J32" s="15"/>
      <c r="L32" s="13">
        <f>'TUSD BE'!$L$32*'TUSD BE'!$L$78</f>
        <v>0</v>
      </c>
      <c r="M32" s="13">
        <f>'TUSD BE'!$M$32*'TUSD BE'!$M$78</f>
        <v>-2.0514885155593901E-3</v>
      </c>
      <c r="N32" s="13">
        <f ca="1">'TUSD BE'!$N$32*'TUSD BE'!$N$78</f>
        <v>1.5935338893458872E-7</v>
      </c>
      <c r="O32" s="13">
        <f>'TUSD BE'!$O$32*'TUSD BE'!$O$78</f>
        <v>0</v>
      </c>
      <c r="P32" s="13">
        <f>'TUSD BE'!$P$32*'TUSD BE'!$P$78</f>
        <v>0</v>
      </c>
      <c r="Q32" s="13">
        <f>'TUSD BE'!$Q$32*'TUSD BE'!$Q$78</f>
        <v>0</v>
      </c>
      <c r="R32" s="13">
        <f>'TUSD BE'!$R$32*'TUSD BE'!$R$78</f>
        <v>0</v>
      </c>
      <c r="S32" s="13">
        <f>'TUSD BE'!$R$32*'TUSD BE'!$S$78</f>
        <v>0</v>
      </c>
      <c r="T32" s="13">
        <f ca="1">SUM($L$32:$S$32)</f>
        <v>-2.0513291621704556E-3</v>
      </c>
      <c r="U32" s="13">
        <f>'TUSD BE'!$U$32*'TUSD BE'!$U$78</f>
        <v>0</v>
      </c>
      <c r="V32" s="13">
        <f>'TUSD BE'!$V$32*'TUSD BE'!$V$78</f>
        <v>0</v>
      </c>
      <c r="W32" s="13">
        <f>'TUSD BE'!$W$32*'TUSD BE'!$W$78</f>
        <v>0</v>
      </c>
      <c r="X32" s="13">
        <f>'TUSD BE'!$X$32*'TUSD BE'!$X$78</f>
        <v>0</v>
      </c>
      <c r="Y32" s="13">
        <f>'TUSD BE'!$Y$32*'TUSD BE'!$Y$78</f>
        <v>0</v>
      </c>
      <c r="Z32" s="13">
        <f>'TUSD BE'!$Z$32*'TUSD BE'!$Z$78</f>
        <v>0</v>
      </c>
      <c r="AA32" s="13">
        <f>'TUSD BE'!$AA$32*'TUSD BE'!$AA$78</f>
        <v>0</v>
      </c>
      <c r="AB32" s="13">
        <f>SUM($U$32:$AA$32)</f>
        <v>0</v>
      </c>
      <c r="AC32" s="13">
        <f>'TUSD BE'!$AC$32*'TUSD BE'!$AC$78</f>
        <v>0</v>
      </c>
      <c r="AD32" s="13">
        <f>SUM($AC$32:$AC$32)</f>
        <v>0</v>
      </c>
      <c r="AE32" s="13">
        <f ca="1">$AO$32*$AO$75</f>
        <v>0</v>
      </c>
      <c r="AF32" s="13">
        <f ca="1">$AP$32*$AP$75</f>
        <v>0</v>
      </c>
      <c r="AG32" s="13">
        <f ca="1">SUM($AE$32:$AF$32)</f>
        <v>0</v>
      </c>
      <c r="AH32" s="13">
        <f>'TUSD BE'!$AH$32*'TUSD BE'!$AH$78</f>
        <v>10.920190337325092</v>
      </c>
      <c r="AI32" s="13">
        <f>'TUSD BE'!$AI$32*'TUSD BE'!$AI$78</f>
        <v>0.18925872471314215</v>
      </c>
      <c r="AJ32" s="13">
        <f ca="1">'TUSD BE'!$AJ$32*'TUSD BE'!$AJ$78</f>
        <v>0.82844692293965005</v>
      </c>
      <c r="AK32" s="13">
        <f ca="1">'TUSD BE'!$AK$32*'TUSD BE'!$AK$78</f>
        <v>-1.8946965230610249E-2</v>
      </c>
      <c r="AL32" s="13">
        <f ca="1">SUM($AH$32:$AK$32)</f>
        <v>11.918949019747274</v>
      </c>
      <c r="AM32" s="13">
        <f ca="1">SUMIF($L$4:$AL$4,"SUBTOTAL",$L$32:$AL$32)+AZ32</f>
        <v>11.916897690585103</v>
      </c>
      <c r="AO32" s="20">
        <f ca="1">+'TUSD BE'!$T$32+'TUSD BE'!$AB$32+'TUSD BE'!$AD$32+'TUSD BE'!$AL$32</f>
        <v>28.603252136276232</v>
      </c>
      <c r="AP32" s="20">
        <f ca="1">+'TUSD BE'!$T$32+'TUSD BE'!$AB$32+'TUSD BE'!$AD$32+'TUSD BE'!$AL$32</f>
        <v>28.603252136276232</v>
      </c>
      <c r="AQ32" s="9" t="str">
        <f t="shared" si="0"/>
        <v>AS</v>
      </c>
      <c r="AR32" s="9" t="str">
        <f t="shared" si="1"/>
        <v>Verde</v>
      </c>
      <c r="AS32" s="9" t="str">
        <f t="shared" si="2"/>
        <v>Não se aplica</v>
      </c>
      <c r="AT32" s="9" t="str">
        <f t="shared" si="3"/>
        <v>Não se aplica</v>
      </c>
      <c r="AU32" s="9" t="str">
        <f t="shared" si="4"/>
        <v>APE</v>
      </c>
      <c r="AV32" s="58">
        <f t="shared" si="5"/>
        <v>1</v>
      </c>
      <c r="AW32" s="58">
        <f ca="1">IFERROR(VLOOKUP(AQ32,TarifaMedia!$C$40:$G$43,5,0),0)</f>
        <v>0</v>
      </c>
      <c r="AX32" s="23">
        <f ca="1">'TUSD BE'!$AM32+'TUSD BF'!$AM32+'TUSD CVA'!$AM32</f>
        <v>36.868354555013966</v>
      </c>
      <c r="AY32" s="58">
        <v>52.55</v>
      </c>
      <c r="AZ32" s="58">
        <f t="shared" ca="1" si="6"/>
        <v>0</v>
      </c>
      <c r="BA32" s="58"/>
      <c r="BB32" s="58"/>
      <c r="BC32" s="82" t="s">
        <v>984</v>
      </c>
    </row>
    <row r="33" spans="1:55" ht="11.25" customHeight="1" x14ac:dyDescent="0.3">
      <c r="A33" s="128"/>
      <c r="B33" s="128" t="s">
        <v>23</v>
      </c>
      <c r="C33" s="128" t="s">
        <v>25</v>
      </c>
      <c r="D33" s="128" t="s">
        <v>25</v>
      </c>
      <c r="E33" s="128" t="s">
        <v>25</v>
      </c>
      <c r="F33" s="128" t="s">
        <v>25</v>
      </c>
      <c r="G33" s="18" t="s">
        <v>9</v>
      </c>
      <c r="H33" s="18" t="s">
        <v>81</v>
      </c>
      <c r="I33" s="18">
        <f>'MERCADO TUSD'!$U$30</f>
        <v>0</v>
      </c>
      <c r="J33" s="15"/>
      <c r="L33" s="13">
        <f>'TUSD BE'!$L$33*'TUSD BE'!$L$78</f>
        <v>0</v>
      </c>
      <c r="M33" s="13">
        <f>'TUSD BE'!$M$33*'TUSD BE'!$M$78</f>
        <v>0</v>
      </c>
      <c r="N33" s="13">
        <f ca="1">'TUSD BE'!$N$33*'TUSD BE'!$N$78</f>
        <v>0</v>
      </c>
      <c r="O33" s="13">
        <f>'TUSD BE'!$O$33*'TUSD BE'!$O$78</f>
        <v>0</v>
      </c>
      <c r="P33" s="13">
        <f>'TUSD BE'!$P$33*'TUSD BE'!$P$78</f>
        <v>0</v>
      </c>
      <c r="Q33" s="13">
        <f>'TUSD BE'!$Q$33*'TUSD BE'!$Q$78</f>
        <v>0</v>
      </c>
      <c r="R33" s="13">
        <f>'TUSD BE'!$R$33*'TUSD BE'!$R$78</f>
        <v>0</v>
      </c>
      <c r="S33" s="13">
        <f>'TUSD BE'!$R$33*'TUSD BE'!$S$78</f>
        <v>0</v>
      </c>
      <c r="T33" s="13">
        <f ca="1">SUM($L$33:$S$33)</f>
        <v>0</v>
      </c>
      <c r="U33" s="13">
        <f>'TUSD BE'!$U$33*'TUSD BE'!$U$78</f>
        <v>-0.12969495196712744</v>
      </c>
      <c r="V33" s="13">
        <f>'TUSD BE'!$V$33*'TUSD BE'!$V$78</f>
        <v>-2.9173326173934384E-2</v>
      </c>
      <c r="W33" s="13">
        <f>'TUSD BE'!$W$33*'TUSD BE'!$W$78</f>
        <v>-9.9554936636052946E-4</v>
      </c>
      <c r="X33" s="13">
        <f>'TUSD BE'!$X$33*'TUSD BE'!$X$78</f>
        <v>0</v>
      </c>
      <c r="Y33" s="13">
        <f>'TUSD BE'!$Y$33*'TUSD BE'!$Y$78</f>
        <v>0</v>
      </c>
      <c r="Z33" s="13">
        <f>'TUSD BE'!$Z$33*'TUSD BE'!$Z$78</f>
        <v>0</v>
      </c>
      <c r="AA33" s="13">
        <f>'TUSD BE'!$AA$33*'TUSD BE'!$AA$78</f>
        <v>0</v>
      </c>
      <c r="AB33" s="13">
        <f>SUM($U$33:$AA$33)</f>
        <v>-0.15986382750742237</v>
      </c>
      <c r="AC33" s="13">
        <f>'TUSD BE'!$AC$33*'TUSD BE'!$AC$78</f>
        <v>5.6856371836808044E-3</v>
      </c>
      <c r="AD33" s="13">
        <f>SUM($AC$33:$AC$33)</f>
        <v>5.6856371836808044E-3</v>
      </c>
      <c r="AE33" s="13">
        <f ca="1">$AO$33*$AO$75</f>
        <v>0</v>
      </c>
      <c r="AF33" s="13">
        <f ca="1">$AP$33*$AP$75</f>
        <v>0</v>
      </c>
      <c r="AG33" s="13">
        <f ca="1">SUM($AE$33:$AF$33)</f>
        <v>0</v>
      </c>
      <c r="AH33" s="13">
        <f>'TUSD BE'!$AH$33*'TUSD BE'!$AH$78</f>
        <v>0</v>
      </c>
      <c r="AI33" s="13">
        <f>'TUSD BE'!$AI$33*'TUSD BE'!$AI$78</f>
        <v>0</v>
      </c>
      <c r="AJ33" s="13">
        <f ca="1">'TUSD BE'!$AJ$33*'TUSD BE'!$AJ$78</f>
        <v>0</v>
      </c>
      <c r="AK33" s="13">
        <f ca="1">'TUSD BE'!$AK$33*'TUSD BE'!$AK$78</f>
        <v>0</v>
      </c>
      <c r="AL33" s="13">
        <f ca="1">SUM($AH$33:$AK$33)</f>
        <v>0</v>
      </c>
      <c r="AM33" s="13">
        <f ca="1">SUMIF($L$4:$AL$4,"SUBTOTAL",$L$33:$AL$33)+AZ33</f>
        <v>-0.15417819032374155</v>
      </c>
      <c r="AO33" s="20">
        <f ca="1">+'TUSD BE'!$T$33+'TUSD BE'!$AB$33+'TUSD BE'!$AD$33+'TUSD BE'!$AL$33</f>
        <v>63.570529676177394</v>
      </c>
      <c r="AP33" s="20">
        <f ca="1">+'TUSD BE'!$T$33+'TUSD BE'!$AB$33+'TUSD BE'!$AD$33+'TUSD BE'!$AL$33</f>
        <v>63.570529676177394</v>
      </c>
      <c r="AQ33" s="9" t="str">
        <f t="shared" si="0"/>
        <v>AS</v>
      </c>
      <c r="AR33" s="9" t="str">
        <f t="shared" si="1"/>
        <v>Convencional</v>
      </c>
      <c r="AS33" s="9" t="str">
        <f t="shared" si="2"/>
        <v>Não se aplica</v>
      </c>
      <c r="AT33" s="9" t="str">
        <f t="shared" si="3"/>
        <v>Não se aplica</v>
      </c>
      <c r="AU33" s="9" t="str">
        <f t="shared" si="4"/>
        <v>Não se aplica</v>
      </c>
      <c r="AV33" s="58">
        <f t="shared" si="5"/>
        <v>1</v>
      </c>
      <c r="AW33" s="58">
        <f ca="1">IFERROR(VLOOKUP(AQ33,TarifaMedia!$C$40:$G$43,5,0),0)</f>
        <v>0</v>
      </c>
      <c r="AX33" s="23">
        <f ca="1">'TUSD BE'!$AM33+'TUSD BF'!$AM33+'TUSD CVA'!$AM33</f>
        <v>64.352443048636388</v>
      </c>
      <c r="AY33" s="58">
        <v>0</v>
      </c>
      <c r="AZ33" s="58">
        <f t="shared" ca="1" si="6"/>
        <v>0</v>
      </c>
      <c r="BA33" s="58"/>
      <c r="BB33" s="58"/>
      <c r="BC33" s="82" t="s">
        <v>985</v>
      </c>
    </row>
    <row r="34" spans="1:55" ht="11.25" customHeight="1" x14ac:dyDescent="0.3">
      <c r="A34" s="128"/>
      <c r="B34" s="128"/>
      <c r="C34" s="128"/>
      <c r="D34" s="128"/>
      <c r="E34" s="128"/>
      <c r="F34" s="128"/>
      <c r="G34" s="18" t="s">
        <v>84</v>
      </c>
      <c r="H34" s="18" t="s">
        <v>78</v>
      </c>
      <c r="I34" s="18">
        <f>'MERCADO TUSD'!$U$31</f>
        <v>0</v>
      </c>
      <c r="J34" s="15"/>
      <c r="L34" s="13">
        <f>'TUSD BE'!$L$34*'TUSD BE'!$L$78</f>
        <v>-0.56348944178893323</v>
      </c>
      <c r="M34" s="13">
        <f>'TUSD BE'!$M$34*'TUSD BE'!$M$78</f>
        <v>-2.0514885155593901E-3</v>
      </c>
      <c r="N34" s="13">
        <f ca="1">'TUSD BE'!$N$34*'TUSD BE'!$N$78</f>
        <v>1.6023285358786223E-7</v>
      </c>
      <c r="O34" s="13">
        <f>'TUSD BE'!$O$34*'TUSD BE'!$O$78</f>
        <v>0</v>
      </c>
      <c r="P34" s="13">
        <f>'TUSD BE'!$P$34*'TUSD BE'!$P$78</f>
        <v>0</v>
      </c>
      <c r="Q34" s="13">
        <f>'TUSD BE'!$Q$34*'TUSD BE'!$Q$78</f>
        <v>-1.6095968681012454</v>
      </c>
      <c r="R34" s="13">
        <f>'TUSD BE'!$R$34*'TUSD BE'!$R$78</f>
        <v>-0.37578018258543827</v>
      </c>
      <c r="S34" s="13">
        <f>'TUSD BE'!$R$34*'TUSD BE'!$S$78</f>
        <v>0</v>
      </c>
      <c r="T34" s="13">
        <f ca="1">SUM($L$34:$S$34)</f>
        <v>-2.5509178207583227</v>
      </c>
      <c r="U34" s="13">
        <f>'TUSD BE'!$U$34*'TUSD BE'!$U$78</f>
        <v>0</v>
      </c>
      <c r="V34" s="13">
        <f>'TUSD BE'!$V$34*'TUSD BE'!$V$78</f>
        <v>0</v>
      </c>
      <c r="W34" s="13">
        <f>'TUSD BE'!$W$34*'TUSD BE'!$W$78</f>
        <v>0</v>
      </c>
      <c r="X34" s="13">
        <f>'TUSD BE'!$X$34*'TUSD BE'!$X$78</f>
        <v>0</v>
      </c>
      <c r="Y34" s="13">
        <f>'TUSD BE'!$Y$34*'TUSD BE'!$Y$78</f>
        <v>0</v>
      </c>
      <c r="Z34" s="13">
        <f>'TUSD BE'!$Z$34*'TUSD BE'!$Z$78</f>
        <v>0</v>
      </c>
      <c r="AA34" s="13">
        <f>'TUSD BE'!$AA$34*'TUSD BE'!$AA$78</f>
        <v>0</v>
      </c>
      <c r="AB34" s="13">
        <f>SUM($U$34:$AA$34)</f>
        <v>0</v>
      </c>
      <c r="AC34" s="13">
        <f>'TUSD BE'!$AC$34*'TUSD BE'!$AC$78</f>
        <v>0</v>
      </c>
      <c r="AD34" s="13">
        <f>SUM($AC$34:$AC$34)</f>
        <v>0</v>
      </c>
      <c r="AE34" s="13">
        <f ca="1">$AO$34*$AO$75</f>
        <v>0</v>
      </c>
      <c r="AF34" s="13">
        <f ca="1">$AP$34*$AP$75</f>
        <v>0</v>
      </c>
      <c r="AG34" s="13">
        <f ca="1">SUM($AE$34:$AF$34)</f>
        <v>0</v>
      </c>
      <c r="AH34" s="13">
        <f>'TUSD BE'!$AH$34*'TUSD BE'!$AH$78</f>
        <v>10.920190337325092</v>
      </c>
      <c r="AI34" s="13">
        <f>'TUSD BE'!$AI$34*'TUSD BE'!$AI$78</f>
        <v>0.18925872471314215</v>
      </c>
      <c r="AJ34" s="13">
        <f ca="1">'TUSD BE'!$AJ$34*'TUSD BE'!$AJ$78</f>
        <v>0.82844692293965005</v>
      </c>
      <c r="AK34" s="13">
        <f ca="1">'TUSD BE'!$AK$34*'TUSD BE'!$AK$78</f>
        <v>-1.8946965230610249E-2</v>
      </c>
      <c r="AL34" s="13">
        <f ca="1">SUM($AH$34:$AK$34)</f>
        <v>11.918949019747274</v>
      </c>
      <c r="AM34" s="13">
        <f ca="1">SUMIF($L$4:$AL$4,"SUBTOTAL",$L$34:$AL$34)+AZ34</f>
        <v>9.3680311989889518</v>
      </c>
      <c r="AO34" s="20">
        <f ca="1">+'TUSD BE'!$T$34+'TUSD BE'!$AB$34+'TUSD BE'!$AD$34+'TUSD BE'!$AL$34</f>
        <v>135.6496504992603</v>
      </c>
      <c r="AP34" s="20">
        <f ca="1">+'TUSD BE'!$T$34+'TUSD BE'!$AB$34+'TUSD BE'!$AD$34+'TUSD BE'!$AL$34</f>
        <v>135.6496504992603</v>
      </c>
      <c r="AQ34" s="9" t="str">
        <f t="shared" si="0"/>
        <v>AS</v>
      </c>
      <c r="AR34" s="9" t="str">
        <f t="shared" si="1"/>
        <v>Convencional</v>
      </c>
      <c r="AS34" s="9" t="str">
        <f t="shared" si="2"/>
        <v>Não se aplica</v>
      </c>
      <c r="AT34" s="9" t="str">
        <f t="shared" si="3"/>
        <v>Não se aplica</v>
      </c>
      <c r="AU34" s="9" t="str">
        <f t="shared" si="4"/>
        <v>Não se aplica</v>
      </c>
      <c r="AV34" s="58">
        <f t="shared" si="5"/>
        <v>1</v>
      </c>
      <c r="AW34" s="58">
        <f ca="1">IFERROR(VLOOKUP(AQ34,TarifaMedia!$C$40:$G$43,5,0),0)</f>
        <v>0</v>
      </c>
      <c r="AX34" s="23">
        <f ca="1">'TUSD BE'!$AM34+'TUSD BF'!$AM34+'TUSD CVA'!$AM34</f>
        <v>170.19945224700672</v>
      </c>
      <c r="AY34" s="58">
        <v>0</v>
      </c>
      <c r="AZ34" s="58">
        <f t="shared" ca="1" si="6"/>
        <v>0</v>
      </c>
      <c r="BA34" s="58"/>
      <c r="BB34" s="58"/>
      <c r="BC34" s="82" t="s">
        <v>986</v>
      </c>
    </row>
    <row r="35" spans="1:55" ht="11.25" customHeight="1" x14ac:dyDescent="0.3">
      <c r="A35" s="128" t="s">
        <v>87</v>
      </c>
      <c r="B35" s="128" t="s">
        <v>57</v>
      </c>
      <c r="C35" s="128" t="s">
        <v>25</v>
      </c>
      <c r="D35" s="128" t="s">
        <v>25</v>
      </c>
      <c r="E35" s="17" t="s">
        <v>88</v>
      </c>
      <c r="F35" s="17" t="s">
        <v>25</v>
      </c>
      <c r="G35" s="18" t="s">
        <v>9</v>
      </c>
      <c r="H35" s="18" t="s">
        <v>81</v>
      </c>
      <c r="I35" s="18">
        <f>'MERCADO TUSD'!$U$32+0.00000001</f>
        <v>1E-8</v>
      </c>
      <c r="J35" s="15"/>
      <c r="L35" s="13">
        <f>'TUSD BE'!$L$35*'TUSD BE'!$L$78</f>
        <v>0</v>
      </c>
      <c r="M35" s="13">
        <f>'TUSD BE'!$M$35*'TUSD BE'!$M$78</f>
        <v>-2.0719848393303153E-5</v>
      </c>
      <c r="N35" s="13">
        <f ca="1">'TUSD BE'!$N$35*'TUSD BE'!$N$78</f>
        <v>2.1107151678564724E-9</v>
      </c>
      <c r="O35" s="13">
        <f>'TUSD BE'!$O$35*'TUSD BE'!$O$78</f>
        <v>0</v>
      </c>
      <c r="P35" s="13">
        <f>'TUSD BE'!$P$35*'TUSD BE'!$P$78</f>
        <v>0</v>
      </c>
      <c r="Q35" s="13">
        <f>'TUSD BE'!$Q$35*'TUSD BE'!$Q$78</f>
        <v>0</v>
      </c>
      <c r="R35" s="13">
        <f>'TUSD BE'!$R$35*'TUSD BE'!$R$78</f>
        <v>0</v>
      </c>
      <c r="S35" s="13">
        <f>'TUSD BE'!$R$35*'TUSD BE'!$S$78</f>
        <v>0</v>
      </c>
      <c r="T35" s="13">
        <f ca="1">SUM($L$35:$S$35)</f>
        <v>-2.0717737678135297E-5</v>
      </c>
      <c r="U35" s="13">
        <f>'TUSD BE'!$U$35*'TUSD BE'!$U$78</f>
        <v>0</v>
      </c>
      <c r="V35" s="13">
        <f>'TUSD BE'!$V$35*'TUSD BE'!$V$78</f>
        <v>0</v>
      </c>
      <c r="W35" s="13">
        <f>'TUSD BE'!$W$35*'TUSD BE'!$W$78</f>
        <v>0</v>
      </c>
      <c r="X35" s="13">
        <f>'TUSD BE'!$X$35*'TUSD BE'!$X$78</f>
        <v>0</v>
      </c>
      <c r="Y35" s="13">
        <f>'TUSD BE'!$Y$35*'TUSD BE'!$Y$78</f>
        <v>0</v>
      </c>
      <c r="Z35" s="13">
        <f>'TUSD BE'!$Z$35*'TUSD BE'!$Z$78</f>
        <v>0</v>
      </c>
      <c r="AA35" s="13">
        <f>'TUSD BE'!$AA$35*'TUSD BE'!$AA$78</f>
        <v>0</v>
      </c>
      <c r="AB35" s="13">
        <f>SUM($U$35:$AA$35)</f>
        <v>0</v>
      </c>
      <c r="AC35" s="13">
        <f>'TUSD BE'!$AC$35*'TUSD BE'!$AC$78</f>
        <v>3.1108656251172234E-4</v>
      </c>
      <c r="AD35" s="13">
        <f>SUM($AC$35:$AC$35)</f>
        <v>3.1108656251172234E-4</v>
      </c>
      <c r="AE35" s="13">
        <f ca="1">$AO$35*$AO$75</f>
        <v>0</v>
      </c>
      <c r="AF35" s="13">
        <f ca="1">$AP$35*$AP$75</f>
        <v>0</v>
      </c>
      <c r="AG35" s="13">
        <f ca="1">SUM($AE$35:$AF$35)</f>
        <v>0</v>
      </c>
      <c r="AH35" s="13">
        <f>'TUSD BE'!$AH$35*'TUSD BE'!$AH$78</f>
        <v>0</v>
      </c>
      <c r="AI35" s="13">
        <f>'TUSD BE'!$AI$35*'TUSD BE'!$AI$78</f>
        <v>0</v>
      </c>
      <c r="AJ35" s="13">
        <f ca="1">'TUSD BE'!$AJ$35*'TUSD BE'!$AJ$78</f>
        <v>0</v>
      </c>
      <c r="AK35" s="13">
        <f ca="1">'TUSD BE'!$AK$35*'TUSD BE'!$AK$78</f>
        <v>0</v>
      </c>
      <c r="AL35" s="13">
        <f ca="1">SUM($AH$35:$AK$35)</f>
        <v>0</v>
      </c>
      <c r="AM35" s="13">
        <f ca="1">SUMIF($L$4:$AL$4,"SUBTOTAL",$L$35:$AL$35)+AZ35</f>
        <v>2.9036882483358706E-4</v>
      </c>
      <c r="AO35" s="20">
        <f ca="1">+'TUSD BE'!$T$35+'TUSD BE'!$AB$35+'TUSD BE'!$AD$35+'TUSD BE'!$AL$35</f>
        <v>2.9169364778325462</v>
      </c>
      <c r="AP35" s="20">
        <f ca="1">+'TUSD BE'!$T$35+'TUSD BE'!$AB$35+'TUSD BE'!$AD$35+'TUSD BE'!$AL$35</f>
        <v>2.9169364778325462</v>
      </c>
      <c r="AQ35" s="9" t="str">
        <f t="shared" si="0"/>
        <v>B</v>
      </c>
      <c r="AR35" s="9" t="str">
        <f t="shared" si="1"/>
        <v>Geração</v>
      </c>
      <c r="AS35" s="9" t="str">
        <f t="shared" si="2"/>
        <v>Não se aplica</v>
      </c>
      <c r="AT35" s="9" t="str">
        <f t="shared" si="3"/>
        <v>Não se aplica</v>
      </c>
      <c r="AU35" s="9" t="str">
        <f t="shared" si="4"/>
        <v>TIPO 01</v>
      </c>
      <c r="AV35" s="58">
        <f t="shared" si="5"/>
        <v>0</v>
      </c>
      <c r="AW35" s="58">
        <f ca="1">TarifaMedia!$G$52</f>
        <v>1</v>
      </c>
      <c r="AX35" s="23">
        <f ca="1">'TUSD BE'!$AM35+'TUSD BF'!$AM35+'TUSD CVA'!$AM35</f>
        <v>2.9172268466573796</v>
      </c>
      <c r="AY35" s="58">
        <v>2.4300000000000002</v>
      </c>
      <c r="AZ35" s="58">
        <f t="shared" ca="1" si="6"/>
        <v>0</v>
      </c>
      <c r="BA35" s="58"/>
      <c r="BB35" s="58"/>
      <c r="BC35" s="82" t="s">
        <v>987</v>
      </c>
    </row>
    <row r="36" spans="1:55" ht="11.25" customHeight="1" x14ac:dyDescent="0.3">
      <c r="A36" s="128"/>
      <c r="B36" s="128"/>
      <c r="C36" s="128"/>
      <c r="D36" s="128"/>
      <c r="E36" s="17" t="s">
        <v>89</v>
      </c>
      <c r="F36" s="17" t="s">
        <v>25</v>
      </c>
      <c r="G36" s="18" t="s">
        <v>9</v>
      </c>
      <c r="H36" s="18" t="s">
        <v>81</v>
      </c>
      <c r="I36" s="18">
        <f>'MERCADO TUSD'!$U$33+0.00000001</f>
        <v>1E-8</v>
      </c>
      <c r="J36" s="15"/>
      <c r="L36" s="13">
        <f>'TUSD BE'!$L$36*'TUSD BE'!$L$78</f>
        <v>0</v>
      </c>
      <c r="M36" s="13">
        <f>'TUSD BE'!$M$36*'TUSD BE'!$M$78</f>
        <v>-2.0719848393303153E-5</v>
      </c>
      <c r="N36" s="13">
        <f ca="1">'TUSD BE'!$N$36*'TUSD BE'!$N$78</f>
        <v>2.1107151678564724E-9</v>
      </c>
      <c r="O36" s="13">
        <f>'TUSD BE'!$O$36*'TUSD BE'!$O$78</f>
        <v>0</v>
      </c>
      <c r="P36" s="13">
        <f>'TUSD BE'!$P$36*'TUSD BE'!$P$78</f>
        <v>0</v>
      </c>
      <c r="Q36" s="13">
        <f>'TUSD BE'!$Q$36*'TUSD BE'!$Q$78</f>
        <v>0</v>
      </c>
      <c r="R36" s="13">
        <f>'TUSD BE'!$R$36*'TUSD BE'!$R$78</f>
        <v>0</v>
      </c>
      <c r="S36" s="13">
        <f>'TUSD BE'!$R$36*'TUSD BE'!$S$78</f>
        <v>0</v>
      </c>
      <c r="T36" s="13">
        <f ca="1">SUM($L$36:$S$36)</f>
        <v>-2.0717737678135297E-5</v>
      </c>
      <c r="U36" s="13">
        <f>'TUSD BE'!$U$36*'TUSD BE'!$U$78</f>
        <v>0</v>
      </c>
      <c r="V36" s="13">
        <f>'TUSD BE'!$V$36*'TUSD BE'!$V$78</f>
        <v>0</v>
      </c>
      <c r="W36" s="13">
        <f>'TUSD BE'!$W$36*'TUSD BE'!$W$78</f>
        <v>0</v>
      </c>
      <c r="X36" s="13">
        <f>'TUSD BE'!$X$36*'TUSD BE'!$X$78</f>
        <v>0</v>
      </c>
      <c r="Y36" s="13">
        <f>'TUSD BE'!$Y$36*'TUSD BE'!$Y$78</f>
        <v>0</v>
      </c>
      <c r="Z36" s="13">
        <f>'TUSD BE'!$Z$36*'TUSD BE'!$Z$78</f>
        <v>0</v>
      </c>
      <c r="AA36" s="13">
        <f>'TUSD BE'!$AA$36*'TUSD BE'!$AA$78</f>
        <v>0</v>
      </c>
      <c r="AB36" s="13">
        <f>SUM($U$36:$AA$36)</f>
        <v>0</v>
      </c>
      <c r="AC36" s="13">
        <f>'TUSD BE'!$AC$36*'TUSD BE'!$AC$78</f>
        <v>8.3723388946026667E-4</v>
      </c>
      <c r="AD36" s="13">
        <f>SUM($AC$36:$AC$36)</f>
        <v>8.3723388946026667E-4</v>
      </c>
      <c r="AE36" s="13">
        <f ca="1">$AO$36*$AO$75</f>
        <v>0</v>
      </c>
      <c r="AF36" s="13">
        <f ca="1">$AP$36*$AP$75</f>
        <v>0</v>
      </c>
      <c r="AG36" s="13">
        <f ca="1">SUM($AE$36:$AF$36)</f>
        <v>0</v>
      </c>
      <c r="AH36" s="13">
        <f>'TUSD BE'!$AH$36*'TUSD BE'!$AH$78</f>
        <v>0</v>
      </c>
      <c r="AI36" s="13">
        <f>'TUSD BE'!$AI$36*'TUSD BE'!$AI$78</f>
        <v>0</v>
      </c>
      <c r="AJ36" s="13">
        <f ca="1">'TUSD BE'!$AJ$36*'TUSD BE'!$AJ$78</f>
        <v>0</v>
      </c>
      <c r="AK36" s="13">
        <f ca="1">'TUSD BE'!$AK$36*'TUSD BE'!$AK$78</f>
        <v>0</v>
      </c>
      <c r="AL36" s="13">
        <f ca="1">SUM($AH$36:$AK$36)</f>
        <v>0</v>
      </c>
      <c r="AM36" s="13">
        <f ca="1">SUMIF($L$4:$AL$4,"SUBTOTAL",$L$36:$AL$36)+AZ36</f>
        <v>8.1651615178213134E-4</v>
      </c>
      <c r="AO36" s="20">
        <f ca="1">+'TUSD BE'!$T$36+'TUSD BE'!$AB$36+'TUSD BE'!$AD$36+'TUSD BE'!$AL$36</f>
        <v>7.7830524302448172</v>
      </c>
      <c r="AP36" s="20">
        <f ca="1">+'TUSD BE'!$T$36+'TUSD BE'!$AB$36+'TUSD BE'!$AD$36+'TUSD BE'!$AL$36</f>
        <v>7.7830524302448172</v>
      </c>
      <c r="AQ36" s="9" t="str">
        <f t="shared" si="0"/>
        <v>B</v>
      </c>
      <c r="AR36" s="9" t="str">
        <f t="shared" si="1"/>
        <v>Geração</v>
      </c>
      <c r="AS36" s="9" t="str">
        <f t="shared" si="2"/>
        <v>Não se aplica</v>
      </c>
      <c r="AT36" s="9" t="str">
        <f t="shared" si="3"/>
        <v>Não se aplica</v>
      </c>
      <c r="AU36" s="9" t="str">
        <f t="shared" si="4"/>
        <v>TIPO 02</v>
      </c>
      <c r="AV36" s="58">
        <f t="shared" si="5"/>
        <v>0</v>
      </c>
      <c r="AW36" s="58">
        <f ca="1">TarifaMedia!$G$52</f>
        <v>1</v>
      </c>
      <c r="AX36" s="23">
        <f ca="1">'TUSD BE'!$AM36+'TUSD BF'!$AM36+'TUSD CVA'!$AM36</f>
        <v>7.7838689463965993</v>
      </c>
      <c r="AY36" s="58">
        <v>12.34</v>
      </c>
      <c r="AZ36" s="58">
        <f t="shared" ca="1" si="6"/>
        <v>0</v>
      </c>
      <c r="BA36" s="58"/>
      <c r="BB36" s="58"/>
      <c r="BC36" s="82" t="s">
        <v>988</v>
      </c>
    </row>
    <row r="37" spans="1:55" ht="11.25" customHeight="1" x14ac:dyDescent="0.3">
      <c r="A37" s="128" t="s">
        <v>22</v>
      </c>
      <c r="B37" s="128" t="s">
        <v>33</v>
      </c>
      <c r="C37" s="128" t="s">
        <v>24</v>
      </c>
      <c r="D37" s="128" t="s">
        <v>24</v>
      </c>
      <c r="E37" s="128" t="s">
        <v>25</v>
      </c>
      <c r="F37" s="128" t="s">
        <v>25</v>
      </c>
      <c r="G37" s="18" t="s">
        <v>79</v>
      </c>
      <c r="H37" s="18" t="s">
        <v>78</v>
      </c>
      <c r="I37" s="18">
        <f>'MERCADO TUSD'!$U$34</f>
        <v>16.994999999999997</v>
      </c>
      <c r="J37" s="15"/>
      <c r="L37" s="13">
        <f>'TUSD BE'!$L$37*'TUSD BE'!$L$78</f>
        <v>-0.56348944178893323</v>
      </c>
      <c r="M37" s="13">
        <f>'TUSD BE'!$M$37*'TUSD BE'!$M$78</f>
        <v>-2.0658970226936097E-3</v>
      </c>
      <c r="N37" s="13">
        <f ca="1">'TUSD BE'!$N$37*'TUSD BE'!$N$78</f>
        <v>5.9578992164992758E-7</v>
      </c>
      <c r="O37" s="13">
        <f>'TUSD BE'!$O$37*'TUSD BE'!$O$78</f>
        <v>0</v>
      </c>
      <c r="P37" s="13">
        <f>'TUSD BE'!$P$37*'TUSD BE'!$P$78</f>
        <v>0</v>
      </c>
      <c r="Q37" s="13">
        <f>'TUSD BE'!$Q$37*'TUSD BE'!$Q$78</f>
        <v>-1.6095968681012454</v>
      </c>
      <c r="R37" s="13">
        <f>'TUSD BE'!$R$37*'TUSD BE'!$R$78</f>
        <v>-0.37578018258543827</v>
      </c>
      <c r="S37" s="13">
        <f>'TUSD BE'!$R$37*'TUSD BE'!$S$78</f>
        <v>0</v>
      </c>
      <c r="T37" s="13">
        <f ca="1">SUM($L$37:$S$37)</f>
        <v>-2.5509317937083886</v>
      </c>
      <c r="U37" s="13">
        <f>'TUSD BE'!$U$37*'TUSD BE'!$U$78</f>
        <v>-1.0266211702344452</v>
      </c>
      <c r="V37" s="13">
        <f>'TUSD BE'!$V$37*'TUSD BE'!$V$78</f>
        <v>-0.2307388440568279</v>
      </c>
      <c r="W37" s="13">
        <f>'TUSD BE'!$W$37*'TUSD BE'!$W$78</f>
        <v>-7.9084320966805368E-3</v>
      </c>
      <c r="X37" s="13">
        <f>'TUSD BE'!$X$37*'TUSD BE'!$X$78</f>
        <v>0</v>
      </c>
      <c r="Y37" s="13">
        <f>'TUSD BE'!$Y$37*'TUSD BE'!$Y$78</f>
        <v>0</v>
      </c>
      <c r="Z37" s="13">
        <f>'TUSD BE'!$Z$37*'TUSD BE'!$Z$78</f>
        <v>0</v>
      </c>
      <c r="AA37" s="13">
        <f>'TUSD BE'!$AA$37*'TUSD BE'!$AA$78</f>
        <v>0</v>
      </c>
      <c r="AB37" s="13">
        <f>SUM($U$37:$AA$37)</f>
        <v>-1.2652684463879535</v>
      </c>
      <c r="AC37" s="13">
        <f>'TUSD BE'!$AC$37*'TUSD BE'!$AC$78</f>
        <v>5.3241012272008427E-2</v>
      </c>
      <c r="AD37" s="13">
        <f>SUM($AC$37:$AC$37)</f>
        <v>5.3241012272008427E-2</v>
      </c>
      <c r="AE37" s="13">
        <f ca="1">$AO$37*$AO$75</f>
        <v>0</v>
      </c>
      <c r="AF37" s="13">
        <f ca="1">$AP$37*$AP$75</f>
        <v>0</v>
      </c>
      <c r="AG37" s="13">
        <f ca="1">SUM($AE$37:$AF$37)</f>
        <v>0</v>
      </c>
      <c r="AH37" s="13">
        <f>'TUSD BE'!$AH$37*'TUSD BE'!$AH$78</f>
        <v>10.920190337325092</v>
      </c>
      <c r="AI37" s="13">
        <f>'TUSD BE'!$AI$37*'TUSD BE'!$AI$78</f>
        <v>0.18925872471314215</v>
      </c>
      <c r="AJ37" s="13">
        <f ca="1">'TUSD BE'!$AJ$37*'TUSD BE'!$AJ$78</f>
        <v>0.75386565992479893</v>
      </c>
      <c r="AK37" s="13">
        <f ca="1">'TUSD BE'!$AK$37*'TUSD BE'!$AK$78</f>
        <v>-1.7241257166437356E-2</v>
      </c>
      <c r="AL37" s="13">
        <f ca="1">SUM($AH$37:$AK$37)</f>
        <v>11.846073464796595</v>
      </c>
      <c r="AM37" s="13">
        <f ca="1">SUMIF($L$4:$AL$4,"SUBTOTAL",$L$37:$AL$37)+AZ37</f>
        <v>117.48218639433831</v>
      </c>
      <c r="AO37" s="20">
        <f ca="1">+'TUSD BE'!$T$37+'TUSD BE'!$AB$37+'TUSD BE'!$AD$37+'TUSD BE'!$AL$37</f>
        <v>721.06445903419694</v>
      </c>
      <c r="AP37" s="20">
        <f ca="1">+'TUSD BE'!$T$37+'TUSD BE'!$AB$37+'TUSD BE'!$AD$37+'TUSD BE'!$AL$37</f>
        <v>721.06445903419694</v>
      </c>
      <c r="AQ37" s="9" t="str">
        <f t="shared" ref="AQ37:AQ71" si="7">IF($A37="",AQ36,$A37)</f>
        <v>B1</v>
      </c>
      <c r="AR37" s="9" t="str">
        <f t="shared" ref="AR37:AR71" si="8">IF($B37="",AR36,$B37)</f>
        <v>Branca</v>
      </c>
      <c r="AS37" s="9" t="str">
        <f t="shared" ref="AS37:AS71" si="9">IF($C37="",AS36,$C37)</f>
        <v>Residencial</v>
      </c>
      <c r="AT37" s="9" t="str">
        <f t="shared" ref="AT37:AT71" si="10">IF($D37="",AT36,$D37)</f>
        <v>Residencial</v>
      </c>
      <c r="AU37" s="9" t="str">
        <f t="shared" ref="AU37:AU71" si="11">IF($E37="",AU36,$E37)</f>
        <v>Não se aplica</v>
      </c>
      <c r="AV37" s="58">
        <f t="shared" ref="AV37:AV71" si="12">IF(OR(AR37="Distribuição",AR37="Geração"),0,1)</f>
        <v>1</v>
      </c>
      <c r="AW37" s="58">
        <f ca="1">TarifaMedia!$G$52</f>
        <v>1</v>
      </c>
      <c r="AX37" s="23">
        <f ca="1">'TUSD BE'!$AM37+'TUSD BF'!$AM37+'TUSD CVA'!$AM37</f>
        <v>761.76092784263392</v>
      </c>
      <c r="AY37" s="58">
        <v>871.16</v>
      </c>
      <c r="AZ37" s="58">
        <f t="shared" ref="AZ37:AZ68" ca="1" si="13">(AY37-AX37)*AW37*AV37</f>
        <v>109.39907215736605</v>
      </c>
      <c r="BA37" s="58"/>
      <c r="BB37" s="58"/>
      <c r="BC37" s="82" t="s">
        <v>989</v>
      </c>
    </row>
    <row r="38" spans="1:55" ht="11.25" customHeight="1" x14ac:dyDescent="0.3">
      <c r="A38" s="128"/>
      <c r="B38" s="128"/>
      <c r="C38" s="128"/>
      <c r="D38" s="128"/>
      <c r="E38" s="128"/>
      <c r="F38" s="128"/>
      <c r="G38" s="18" t="s">
        <v>90</v>
      </c>
      <c r="H38" s="18" t="s">
        <v>78</v>
      </c>
      <c r="I38" s="18">
        <f>'MERCADO TUSD'!$U$35</f>
        <v>10.9</v>
      </c>
      <c r="J38" s="15"/>
      <c r="L38" s="13">
        <f>'TUSD BE'!$L$38*'TUSD BE'!$L$78</f>
        <v>-0.56348944178893323</v>
      </c>
      <c r="M38" s="13">
        <f>'TUSD BE'!$M$38*'TUSD BE'!$M$78</f>
        <v>-2.0658970226936097E-3</v>
      </c>
      <c r="N38" s="13">
        <f ca="1">'TUSD BE'!$N$38*'TUSD BE'!$N$78</f>
        <v>4.2146173450632565E-7</v>
      </c>
      <c r="O38" s="13">
        <f>'TUSD BE'!$O$38*'TUSD BE'!$O$78</f>
        <v>0</v>
      </c>
      <c r="P38" s="13">
        <f>'TUSD BE'!$P$38*'TUSD BE'!$P$78</f>
        <v>0</v>
      </c>
      <c r="Q38" s="13">
        <f>'TUSD BE'!$Q$38*'TUSD BE'!$Q$78</f>
        <v>-1.6095968681012454</v>
      </c>
      <c r="R38" s="13">
        <f>'TUSD BE'!$R$38*'TUSD BE'!$R$78</f>
        <v>-0.37578018258543827</v>
      </c>
      <c r="S38" s="13">
        <f>'TUSD BE'!$R$38*'TUSD BE'!$S$78</f>
        <v>0</v>
      </c>
      <c r="T38" s="13">
        <f ca="1">SUM($L$38:$S$38)</f>
        <v>-2.5509319680365756</v>
      </c>
      <c r="U38" s="13">
        <f>'TUSD BE'!$U$38*'TUSD BE'!$U$78</f>
        <v>-0.61597363083279977</v>
      </c>
      <c r="V38" s="13">
        <f>'TUSD BE'!$V$38*'TUSD BE'!$V$78</f>
        <v>-0.13844330643409675</v>
      </c>
      <c r="W38" s="13">
        <f>'TUSD BE'!$W$38*'TUSD BE'!$W$78</f>
        <v>-4.7450592580083216E-3</v>
      </c>
      <c r="X38" s="13">
        <f>'TUSD BE'!$X$38*'TUSD BE'!$X$78</f>
        <v>0</v>
      </c>
      <c r="Y38" s="13">
        <f>'TUSD BE'!$Y$38*'TUSD BE'!$Y$78</f>
        <v>0</v>
      </c>
      <c r="Z38" s="13">
        <f>'TUSD BE'!$Z$38*'TUSD BE'!$Z$78</f>
        <v>0</v>
      </c>
      <c r="AA38" s="13">
        <f>'TUSD BE'!$AA$38*'TUSD BE'!$AA$78</f>
        <v>0</v>
      </c>
      <c r="AB38" s="13">
        <f>SUM($U$38:$AA$38)</f>
        <v>-0.75916199652490479</v>
      </c>
      <c r="AC38" s="13">
        <f>'TUSD BE'!$AC$38*'TUSD BE'!$AC$78</f>
        <v>3.194459954139147E-2</v>
      </c>
      <c r="AD38" s="13">
        <f>SUM($AC$38:$AC$38)</f>
        <v>3.194459954139147E-2</v>
      </c>
      <c r="AE38" s="13">
        <f ca="1">$AO$38*$AO$75</f>
        <v>0</v>
      </c>
      <c r="AF38" s="13">
        <f ca="1">$AP$38*$AP$75</f>
        <v>0</v>
      </c>
      <c r="AG38" s="13">
        <f ca="1">SUM($AE$38:$AF$38)</f>
        <v>0</v>
      </c>
      <c r="AH38" s="13">
        <f>'TUSD BE'!$AH$38*'TUSD BE'!$AH$78</f>
        <v>10.920190337325092</v>
      </c>
      <c r="AI38" s="13">
        <f>'TUSD BE'!$AI$38*'TUSD BE'!$AI$78</f>
        <v>0.18925872471314215</v>
      </c>
      <c r="AJ38" s="13">
        <f ca="1">'TUSD BE'!$AJ$38*'TUSD BE'!$AJ$78</f>
        <v>0.75386565992479893</v>
      </c>
      <c r="AK38" s="13">
        <f ca="1">'TUSD BE'!$AK$38*'TUSD BE'!$AK$78</f>
        <v>-1.7241257166437356E-2</v>
      </c>
      <c r="AL38" s="13">
        <f ca="1">SUM($AH$38:$AK$38)</f>
        <v>11.846073464796595</v>
      </c>
      <c r="AM38" s="13">
        <f ca="1">SUMIF($L$4:$AL$4,"SUBTOTAL",$L$38:$AL$38)+AZ38</f>
        <v>69.975222234368957</v>
      </c>
      <c r="AO38" s="20">
        <f ca="1">+'TUSD BE'!$T$38+'TUSD BE'!$AB$38+'TUSD BE'!$AD$38+'TUSD BE'!$AL$38</f>
        <v>486.82492548464535</v>
      </c>
      <c r="AP38" s="20">
        <f ca="1">+'TUSD BE'!$T$38+'TUSD BE'!$AB$38+'TUSD BE'!$AD$38+'TUSD BE'!$AL$38</f>
        <v>486.82492548464535</v>
      </c>
      <c r="AQ38" s="9" t="str">
        <f t="shared" si="7"/>
        <v>B1</v>
      </c>
      <c r="AR38" s="9" t="str">
        <f t="shared" si="8"/>
        <v>Branca</v>
      </c>
      <c r="AS38" s="9" t="str">
        <f t="shared" si="9"/>
        <v>Residencial</v>
      </c>
      <c r="AT38" s="9" t="str">
        <f t="shared" si="10"/>
        <v>Residencial</v>
      </c>
      <c r="AU38" s="9" t="str">
        <f t="shared" si="11"/>
        <v>Não se aplica</v>
      </c>
      <c r="AV38" s="58">
        <f t="shared" si="12"/>
        <v>1</v>
      </c>
      <c r="AW38" s="58">
        <f ca="1">TarifaMedia!$G$52</f>
        <v>1</v>
      </c>
      <c r="AX38" s="23">
        <f ca="1">'TUSD BE'!$AM38+'TUSD BF'!$AM38+'TUSD CVA'!$AM38</f>
        <v>525.04270186540759</v>
      </c>
      <c r="AY38" s="58">
        <v>586.45000000000005</v>
      </c>
      <c r="AZ38" s="58">
        <f t="shared" ca="1" si="13"/>
        <v>61.407298134592452</v>
      </c>
      <c r="BA38" s="58"/>
      <c r="BB38" s="58"/>
      <c r="BC38" s="82" t="s">
        <v>990</v>
      </c>
    </row>
    <row r="39" spans="1:55" ht="11.25" customHeight="1" x14ac:dyDescent="0.3">
      <c r="A39" s="128"/>
      <c r="B39" s="128"/>
      <c r="C39" s="128"/>
      <c r="D39" s="128"/>
      <c r="E39" s="128"/>
      <c r="F39" s="128"/>
      <c r="G39" s="18" t="s">
        <v>80</v>
      </c>
      <c r="H39" s="18" t="s">
        <v>78</v>
      </c>
      <c r="I39" s="18">
        <f>'MERCADO TUSD'!$U$36</f>
        <v>127.76599999999999</v>
      </c>
      <c r="J39" s="15"/>
      <c r="L39" s="13">
        <f>'TUSD BE'!$L$39*'TUSD BE'!$L$78</f>
        <v>-0.56348944178893323</v>
      </c>
      <c r="M39" s="13">
        <f>'TUSD BE'!$M$39*'TUSD BE'!$M$78</f>
        <v>-2.0658970226936097E-3</v>
      </c>
      <c r="N39" s="13">
        <f ca="1">'TUSD BE'!$N$39*'TUSD BE'!$N$78</f>
        <v>2.4713354736272399E-7</v>
      </c>
      <c r="O39" s="13">
        <f>'TUSD BE'!$O$39*'TUSD BE'!$O$78</f>
        <v>0</v>
      </c>
      <c r="P39" s="13">
        <f>'TUSD BE'!$P$39*'TUSD BE'!$P$78</f>
        <v>0</v>
      </c>
      <c r="Q39" s="13">
        <f>'TUSD BE'!$Q$39*'TUSD BE'!$Q$78</f>
        <v>-1.6095968681012454</v>
      </c>
      <c r="R39" s="13">
        <f>'TUSD BE'!$R$39*'TUSD BE'!$R$78</f>
        <v>-0.37578018258543827</v>
      </c>
      <c r="S39" s="13">
        <f>'TUSD BE'!$R$39*'TUSD BE'!$S$78</f>
        <v>0</v>
      </c>
      <c r="T39" s="13">
        <f ca="1">SUM($L$39:$S$39)</f>
        <v>-2.5509321423647631</v>
      </c>
      <c r="U39" s="13">
        <f>'TUSD BE'!$U$39*'TUSD BE'!$U$78</f>
        <v>-0.20532454361093327</v>
      </c>
      <c r="V39" s="13">
        <f>'TUSD BE'!$V$39*'TUSD BE'!$V$78</f>
        <v>-4.6147768811365578E-2</v>
      </c>
      <c r="W39" s="13">
        <f>'TUSD BE'!$W$39*'TUSD BE'!$W$78</f>
        <v>-1.5816864193361074E-3</v>
      </c>
      <c r="X39" s="13">
        <f>'TUSD BE'!$X$39*'TUSD BE'!$X$78</f>
        <v>0</v>
      </c>
      <c r="Y39" s="13">
        <f>'TUSD BE'!$Y$39*'TUSD BE'!$Y$78</f>
        <v>0</v>
      </c>
      <c r="Z39" s="13">
        <f>'TUSD BE'!$Z$39*'TUSD BE'!$Z$78</f>
        <v>0</v>
      </c>
      <c r="AA39" s="13">
        <f>'TUSD BE'!$AA$39*'TUSD BE'!$AA$78</f>
        <v>0</v>
      </c>
      <c r="AB39" s="13">
        <f>SUM($U$39:$AA$39)</f>
        <v>-0.25305399884163493</v>
      </c>
      <c r="AC39" s="13">
        <f>'TUSD BE'!$AC$39*'TUSD BE'!$AC$78</f>
        <v>1.0648199847130491E-2</v>
      </c>
      <c r="AD39" s="13">
        <f>SUM($AC$39:$AC$39)</f>
        <v>1.0648199847130491E-2</v>
      </c>
      <c r="AE39" s="13">
        <f ca="1">$AO$39*$AO$75</f>
        <v>0</v>
      </c>
      <c r="AF39" s="13">
        <f ca="1">$AP$39*$AP$75</f>
        <v>0</v>
      </c>
      <c r="AG39" s="13">
        <f ca="1">SUM($AE$39:$AF$39)</f>
        <v>0</v>
      </c>
      <c r="AH39" s="13">
        <f>'TUSD BE'!$AH$39*'TUSD BE'!$AH$78</f>
        <v>10.920190337325092</v>
      </c>
      <c r="AI39" s="13">
        <f>'TUSD BE'!$AI$39*'TUSD BE'!$AI$78</f>
        <v>0.18925872471314215</v>
      </c>
      <c r="AJ39" s="13">
        <f ca="1">'TUSD BE'!$AJ$39*'TUSD BE'!$AJ$78</f>
        <v>0.75386565992479893</v>
      </c>
      <c r="AK39" s="13">
        <f ca="1">'TUSD BE'!$AK$39*'TUSD BE'!$AK$78</f>
        <v>-1.7241257166437356E-2</v>
      </c>
      <c r="AL39" s="13">
        <f ca="1">SUM($AH$39:$AK$39)</f>
        <v>11.846073464796595</v>
      </c>
      <c r="AM39" s="13">
        <f ca="1">SUMIF($L$4:$AL$4,"SUBTOTAL",$L$39:$AL$39)+AZ39</f>
        <v>22.468253051986046</v>
      </c>
      <c r="AO39" s="20">
        <f ca="1">+'TUSD BE'!$T$39+'TUSD BE'!$AB$39+'TUSD BE'!$AD$39+'TUSD BE'!$AL$39</f>
        <v>252.58540624588895</v>
      </c>
      <c r="AP39" s="20">
        <f ca="1">+'TUSD BE'!$T$39+'TUSD BE'!$AB$39+'TUSD BE'!$AD$39+'TUSD BE'!$AL$39</f>
        <v>252.58540624588895</v>
      </c>
      <c r="AQ39" s="9" t="str">
        <f t="shared" si="7"/>
        <v>B1</v>
      </c>
      <c r="AR39" s="9" t="str">
        <f t="shared" si="8"/>
        <v>Branca</v>
      </c>
      <c r="AS39" s="9" t="str">
        <f t="shared" si="9"/>
        <v>Residencial</v>
      </c>
      <c r="AT39" s="9" t="str">
        <f t="shared" si="10"/>
        <v>Residencial</v>
      </c>
      <c r="AU39" s="9" t="str">
        <f t="shared" si="11"/>
        <v>Não se aplica</v>
      </c>
      <c r="AV39" s="58">
        <f t="shared" si="12"/>
        <v>1</v>
      </c>
      <c r="AW39" s="58">
        <f ca="1">TarifaMedia!$G$52</f>
        <v>1</v>
      </c>
      <c r="AX39" s="23">
        <f ca="1">'TUSD BE'!$AM39+'TUSD BF'!$AM39+'TUSD CVA'!$AM39</f>
        <v>288.32448247145129</v>
      </c>
      <c r="AY39" s="58">
        <v>301.74</v>
      </c>
      <c r="AZ39" s="58">
        <f t="shared" ca="1" si="13"/>
        <v>13.415517528548719</v>
      </c>
      <c r="BA39" s="58"/>
      <c r="BB39" s="58"/>
      <c r="BC39" s="82" t="s">
        <v>991</v>
      </c>
    </row>
    <row r="40" spans="1:55" ht="11.25" customHeight="1" x14ac:dyDescent="0.3">
      <c r="A40" s="128"/>
      <c r="B40" s="128" t="s">
        <v>23</v>
      </c>
      <c r="C40" s="128" t="s">
        <v>24</v>
      </c>
      <c r="D40" s="17" t="s">
        <v>24</v>
      </c>
      <c r="E40" s="17" t="s">
        <v>25</v>
      </c>
      <c r="F40" s="17" t="s">
        <v>25</v>
      </c>
      <c r="G40" s="18" t="s">
        <v>84</v>
      </c>
      <c r="H40" s="18" t="s">
        <v>78</v>
      </c>
      <c r="I40" s="18">
        <f>'MERCADO TUSD'!$U$37</f>
        <v>126554.92199999999</v>
      </c>
      <c r="J40" s="15"/>
      <c r="L40" s="13">
        <f>'TUSD BE'!$L$40*'TUSD BE'!$L$78</f>
        <v>-0.56348944178893323</v>
      </c>
      <c r="M40" s="13">
        <f>'TUSD BE'!$M$40*'TUSD BE'!$M$78</f>
        <v>-2.0658970226936097E-3</v>
      </c>
      <c r="N40" s="13">
        <f ca="1">'TUSD BE'!$N$40*'TUSD BE'!$N$78</f>
        <v>3.2442995957833044E-7</v>
      </c>
      <c r="O40" s="13">
        <f>'TUSD BE'!$O$40*'TUSD BE'!$O$78</f>
        <v>0</v>
      </c>
      <c r="P40" s="13">
        <f>'TUSD BE'!$P$40*'TUSD BE'!$P$78</f>
        <v>0</v>
      </c>
      <c r="Q40" s="13">
        <f>'TUSD BE'!$Q$40*'TUSD BE'!$Q$78</f>
        <v>-1.6095968681012454</v>
      </c>
      <c r="R40" s="13">
        <f>'TUSD BE'!$R$40*'TUSD BE'!$R$78</f>
        <v>-0.37578018258543827</v>
      </c>
      <c r="S40" s="13">
        <f>'TUSD BE'!$R$40*'TUSD BE'!$S$78</f>
        <v>0</v>
      </c>
      <c r="T40" s="13">
        <f ca="1">SUM($L$40:$S$40)</f>
        <v>-2.5509320650683507</v>
      </c>
      <c r="U40" s="13">
        <f>'TUSD BE'!$U$40*'TUSD BE'!$U$78</f>
        <v>-0.38740392314125843</v>
      </c>
      <c r="V40" s="13">
        <f>'TUSD BE'!$V$40*'TUSD BE'!$V$78</f>
        <v>-8.7071283954943249E-2</v>
      </c>
      <c r="W40" s="13">
        <f>'TUSD BE'!$W$40*'TUSD BE'!$W$78</f>
        <v>-2.9844390398367057E-3</v>
      </c>
      <c r="X40" s="13">
        <f>'TUSD BE'!$X$40*'TUSD BE'!$X$78</f>
        <v>0</v>
      </c>
      <c r="Y40" s="13">
        <f>'TUSD BE'!$Y$40*'TUSD BE'!$Y$78</f>
        <v>0</v>
      </c>
      <c r="Z40" s="13">
        <f>'TUSD BE'!$Z$40*'TUSD BE'!$Z$78</f>
        <v>0</v>
      </c>
      <c r="AA40" s="13">
        <f>'TUSD BE'!$AA$40*'TUSD BE'!$AA$78</f>
        <v>0</v>
      </c>
      <c r="AB40" s="13">
        <f>SUM($U$40:$AA$40)</f>
        <v>-0.47745964613603836</v>
      </c>
      <c r="AC40" s="13">
        <f>'TUSD BE'!$AC$40*'TUSD BE'!$AC$78</f>
        <v>2.0090940894072554E-2</v>
      </c>
      <c r="AD40" s="13">
        <f>SUM($AC$40:$AC$40)</f>
        <v>2.0090940894072554E-2</v>
      </c>
      <c r="AE40" s="13">
        <f ca="1">$AO$40*$AO$75</f>
        <v>0</v>
      </c>
      <c r="AF40" s="13">
        <f ca="1">$AP$40*$AP$75</f>
        <v>0</v>
      </c>
      <c r="AG40" s="13">
        <f ca="1">SUM($AE$40:$AF$40)</f>
        <v>0</v>
      </c>
      <c r="AH40" s="13">
        <f>'TUSD BE'!$AH$40*'TUSD BE'!$AH$78</f>
        <v>10.920190337325092</v>
      </c>
      <c r="AI40" s="13">
        <f>'TUSD BE'!$AI$40*'TUSD BE'!$AI$78</f>
        <v>0.18925872471314215</v>
      </c>
      <c r="AJ40" s="13">
        <f ca="1">'TUSD BE'!$AJ$40*'TUSD BE'!$AJ$78</f>
        <v>0.75386565992479893</v>
      </c>
      <c r="AK40" s="13">
        <f ca="1">'TUSD BE'!$AK$40*'TUSD BE'!$AK$78</f>
        <v>-1.7241257166437356E-2</v>
      </c>
      <c r="AL40" s="13">
        <f ca="1">SUM($AH$40:$AK$40)</f>
        <v>11.846073464796595</v>
      </c>
      <c r="AM40" s="13">
        <f ca="1">SUMIF($L$4:$AL$4,"SUBTOTAL",$L$40:$AL$40)+AZ40</f>
        <v>24.68337448577013</v>
      </c>
      <c r="AO40" s="20">
        <f ca="1">+'TUSD BE'!$T$40+'TUSD BE'!$AB$40+'TUSD BE'!$AD$40+'TUSD BE'!$AL$40</f>
        <v>356.4462800994238</v>
      </c>
      <c r="AP40" s="20">
        <f ca="1">+'TUSD BE'!$T$40+'TUSD BE'!$AB$40+'TUSD BE'!$AD$40+'TUSD BE'!$AL$40</f>
        <v>356.4462800994238</v>
      </c>
      <c r="AQ40" s="9" t="str">
        <f t="shared" si="7"/>
        <v>B1</v>
      </c>
      <c r="AR40" s="9" t="str">
        <f t="shared" si="8"/>
        <v>Convencional</v>
      </c>
      <c r="AS40" s="9" t="str">
        <f t="shared" si="9"/>
        <v>Residencial</v>
      </c>
      <c r="AT40" s="9" t="str">
        <f t="shared" si="10"/>
        <v>Residencial</v>
      </c>
      <c r="AU40" s="9" t="str">
        <f t="shared" si="11"/>
        <v>Não se aplica</v>
      </c>
      <c r="AV40" s="58">
        <f t="shared" si="12"/>
        <v>1</v>
      </c>
      <c r="AW40" s="58">
        <f ca="1">TarifaMedia!$G$52</f>
        <v>1</v>
      </c>
      <c r="AX40" s="23">
        <f ca="1">'TUSD BE'!$AM40+'TUSD BF'!$AM40+'TUSD CVA'!$AM40</f>
        <v>393.28439820871614</v>
      </c>
      <c r="AY40" s="58">
        <v>409.13</v>
      </c>
      <c r="AZ40" s="58">
        <f t="shared" ca="1" si="13"/>
        <v>15.845601791283855</v>
      </c>
      <c r="BA40" s="58"/>
      <c r="BB40" s="58"/>
      <c r="BC40" s="82" t="s">
        <v>992</v>
      </c>
    </row>
    <row r="41" spans="1:55" ht="11.25" customHeight="1" x14ac:dyDescent="0.3">
      <c r="A41" s="128"/>
      <c r="B41" s="128"/>
      <c r="C41" s="128"/>
      <c r="D41" s="17" t="s">
        <v>29</v>
      </c>
      <c r="E41" s="17" t="s">
        <v>25</v>
      </c>
      <c r="F41" s="17" t="s">
        <v>25</v>
      </c>
      <c r="G41" s="18" t="s">
        <v>84</v>
      </c>
      <c r="H41" s="18" t="s">
        <v>78</v>
      </c>
      <c r="I41" s="18">
        <f>'MERCADO TUSD'!$U$38</f>
        <v>2163.31</v>
      </c>
      <c r="J41" s="15"/>
      <c r="L41" s="13">
        <f>'TUSD BE'!$L$41*'TUSD BE'!$L$78</f>
        <v>0</v>
      </c>
      <c r="M41" s="13">
        <f>'TUSD BE'!$M$41*'TUSD BE'!$M$78</f>
        <v>-2.0658970226936097E-3</v>
      </c>
      <c r="N41" s="13">
        <f ca="1">'TUSD BE'!$N$41*'TUSD BE'!$N$78</f>
        <v>3.2355049492505691E-7</v>
      </c>
      <c r="O41" s="13">
        <f>'TUSD BE'!$O$41*'TUSD BE'!$O$78</f>
        <v>0</v>
      </c>
      <c r="P41" s="13">
        <f>'TUSD BE'!$P$41*'TUSD BE'!$P$78</f>
        <v>0</v>
      </c>
      <c r="Q41" s="13">
        <f>'TUSD BE'!$Q$41*'TUSD BE'!$Q$78</f>
        <v>0</v>
      </c>
      <c r="R41" s="13">
        <f>'TUSD BE'!$R$41*'TUSD BE'!$R$78</f>
        <v>0</v>
      </c>
      <c r="S41" s="13">
        <f>'TUSD BE'!$R$41*'TUSD BE'!$S$78</f>
        <v>0</v>
      </c>
      <c r="T41" s="13">
        <f ca="1">SUM($L$41:$S$41)</f>
        <v>-2.0655734721986845E-3</v>
      </c>
      <c r="U41" s="13">
        <f>'TUSD BE'!$U$41*'TUSD BE'!$U$78</f>
        <v>-0.38740392314125843</v>
      </c>
      <c r="V41" s="13">
        <f>'TUSD BE'!$V$41*'TUSD BE'!$V$78</f>
        <v>-8.7071283954943249E-2</v>
      </c>
      <c r="W41" s="13">
        <f>'TUSD BE'!$W$41*'TUSD BE'!$W$78</f>
        <v>-2.9844390398367057E-3</v>
      </c>
      <c r="X41" s="13">
        <f>'TUSD BE'!$X$41*'TUSD BE'!$X$78</f>
        <v>0</v>
      </c>
      <c r="Y41" s="13">
        <f>'TUSD BE'!$Y$41*'TUSD BE'!$Y$78</f>
        <v>0</v>
      </c>
      <c r="Z41" s="13">
        <f>'TUSD BE'!$Z$41*'TUSD BE'!$Z$78</f>
        <v>0</v>
      </c>
      <c r="AA41" s="13">
        <f>'TUSD BE'!$AA$41*'TUSD BE'!$AA$78</f>
        <v>0</v>
      </c>
      <c r="AB41" s="13">
        <f>SUM($U$41:$AA$41)</f>
        <v>-0.47745964613603836</v>
      </c>
      <c r="AC41" s="13">
        <f>'TUSD BE'!$AC$41*'TUSD BE'!$AC$78</f>
        <v>2.0090940894072554E-2</v>
      </c>
      <c r="AD41" s="13">
        <f>SUM($AC$41:$AC$41)</f>
        <v>2.0090940894072554E-2</v>
      </c>
      <c r="AE41" s="13">
        <f ca="1">$AO$41*$AO$75</f>
        <v>0</v>
      </c>
      <c r="AF41" s="13">
        <f ca="1">$AP$41*$AP$75</f>
        <v>0</v>
      </c>
      <c r="AG41" s="13">
        <f ca="1">SUM($AE$41:$AF$41)</f>
        <v>0</v>
      </c>
      <c r="AH41" s="13">
        <f>'TUSD BE'!$AH$41*'TUSD BE'!$AH$78</f>
        <v>10.920190337325092</v>
      </c>
      <c r="AI41" s="13">
        <f>'TUSD BE'!$AI$41*'TUSD BE'!$AI$78</f>
        <v>0.18925872471314215</v>
      </c>
      <c r="AJ41" s="13">
        <f ca="1">'TUSD BE'!$AJ$41*'TUSD BE'!$AJ$78</f>
        <v>0.75386565992479893</v>
      </c>
      <c r="AK41" s="13">
        <f ca="1">'TUSD BE'!$AK$41*'TUSD BE'!$AK$78</f>
        <v>-1.7241257166437356E-2</v>
      </c>
      <c r="AL41" s="13">
        <f ca="1">SUM($AH$41:$AK$41)</f>
        <v>11.846073464796595</v>
      </c>
      <c r="AM41" s="13">
        <f ca="1">SUMIF($L$4:$AL$4,"SUBTOTAL",$L$41:$AL$41)+AZ41</f>
        <v>52.803338669359036</v>
      </c>
      <c r="AO41" s="20">
        <f ca="1">+'TUSD BE'!$T$41+'TUSD BE'!$AB$41+'TUSD BE'!$AD$41+'TUSD BE'!$AL$41</f>
        <v>249.39988173643968</v>
      </c>
      <c r="AP41" s="20">
        <f ca="1">+'TUSD BE'!$T$41+'TUSD BE'!$AB$41+'TUSD BE'!$AD$41+'TUSD BE'!$AL$41</f>
        <v>249.39988173643968</v>
      </c>
      <c r="AQ41" s="9" t="str">
        <f t="shared" si="7"/>
        <v>B1</v>
      </c>
      <c r="AR41" s="9" t="str">
        <f t="shared" si="8"/>
        <v>Convencional</v>
      </c>
      <c r="AS41" s="9" t="str">
        <f t="shared" si="9"/>
        <v>Residencial</v>
      </c>
      <c r="AT41" s="9" t="str">
        <f t="shared" si="10"/>
        <v>Residencial baixa renda – faixa 01</v>
      </c>
      <c r="AU41" s="9" t="str">
        <f t="shared" si="11"/>
        <v>Não se aplica</v>
      </c>
      <c r="AV41" s="58">
        <f t="shared" si="12"/>
        <v>1</v>
      </c>
      <c r="AW41" s="58">
        <f ca="1">TarifaMedia!$G$52</f>
        <v>1</v>
      </c>
      <c r="AX41" s="23">
        <f ca="1">'TUSD BE'!$AM41+'TUSD BF'!$AM41+'TUSD CVA'!$AM41</f>
        <v>259.9533005167234</v>
      </c>
      <c r="AY41" s="58">
        <v>301.37</v>
      </c>
      <c r="AZ41" s="58">
        <f t="shared" ca="1" si="13"/>
        <v>41.416699483276602</v>
      </c>
      <c r="BA41" s="58"/>
      <c r="BB41" s="58"/>
      <c r="BC41" s="82" t="s">
        <v>993</v>
      </c>
    </row>
    <row r="42" spans="1:55" ht="11.25" customHeight="1" x14ac:dyDescent="0.3">
      <c r="A42" s="128"/>
      <c r="B42" s="128"/>
      <c r="C42" s="128"/>
      <c r="D42" s="17" t="s">
        <v>30</v>
      </c>
      <c r="E42" s="17" t="s">
        <v>25</v>
      </c>
      <c r="F42" s="17" t="s">
        <v>25</v>
      </c>
      <c r="G42" s="18" t="s">
        <v>84</v>
      </c>
      <c r="H42" s="18" t="s">
        <v>78</v>
      </c>
      <c r="I42" s="18">
        <f>'MERCADO TUSD'!$U$39</f>
        <v>4329.2419999999993</v>
      </c>
      <c r="J42" s="15"/>
      <c r="L42" s="13">
        <f>'TUSD BE'!$L$42*'TUSD BE'!$L$78</f>
        <v>0</v>
      </c>
      <c r="M42" s="13">
        <f>'TUSD BE'!$M$42*'TUSD BE'!$M$78</f>
        <v>-2.0658970226936097E-3</v>
      </c>
      <c r="N42" s="13">
        <f ca="1">'TUSD BE'!$N$42*'TUSD BE'!$N$78</f>
        <v>3.2355049492505691E-7</v>
      </c>
      <c r="O42" s="13">
        <f>'TUSD BE'!$O$42*'TUSD BE'!$O$78</f>
        <v>0</v>
      </c>
      <c r="P42" s="13">
        <f>'TUSD BE'!$P$42*'TUSD BE'!$P$78</f>
        <v>0</v>
      </c>
      <c r="Q42" s="13">
        <f>'TUSD BE'!$Q$42*'TUSD BE'!$Q$78</f>
        <v>0</v>
      </c>
      <c r="R42" s="13">
        <f>'TUSD BE'!$R$42*'TUSD BE'!$R$78</f>
        <v>0</v>
      </c>
      <c r="S42" s="13">
        <f>'TUSD BE'!$R$42*'TUSD BE'!$S$78</f>
        <v>0</v>
      </c>
      <c r="T42" s="13">
        <f ca="1">SUM($L$42:$S$42)</f>
        <v>-2.0655734721986845E-3</v>
      </c>
      <c r="U42" s="13">
        <f>'TUSD BE'!$U$42*'TUSD BE'!$U$78</f>
        <v>-0.38740392314125843</v>
      </c>
      <c r="V42" s="13">
        <f>'TUSD BE'!$V$42*'TUSD BE'!$V$78</f>
        <v>-8.7071283954943249E-2</v>
      </c>
      <c r="W42" s="13">
        <f>'TUSD BE'!$W$42*'TUSD BE'!$W$78</f>
        <v>-2.9844390398367057E-3</v>
      </c>
      <c r="X42" s="13">
        <f>'TUSD BE'!$X$42*'TUSD BE'!$X$78</f>
        <v>0</v>
      </c>
      <c r="Y42" s="13">
        <f>'TUSD BE'!$Y$42*'TUSD BE'!$Y$78</f>
        <v>0</v>
      </c>
      <c r="Z42" s="13">
        <f>'TUSD BE'!$Z$42*'TUSD BE'!$Z$78</f>
        <v>0</v>
      </c>
      <c r="AA42" s="13">
        <f>'TUSD BE'!$AA$42*'TUSD BE'!$AA$78</f>
        <v>0</v>
      </c>
      <c r="AB42" s="13">
        <f>SUM($U$42:$AA$42)</f>
        <v>-0.47745964613603836</v>
      </c>
      <c r="AC42" s="13">
        <f>'TUSD BE'!$AC$42*'TUSD BE'!$AC$78</f>
        <v>2.0090940894072554E-2</v>
      </c>
      <c r="AD42" s="13">
        <f>SUM($AC$42:$AC$42)</f>
        <v>2.0090940894072554E-2</v>
      </c>
      <c r="AE42" s="13">
        <f ca="1">$AO$42*$AO$75</f>
        <v>0</v>
      </c>
      <c r="AF42" s="13">
        <f ca="1">$AP$42*$AP$75</f>
        <v>0</v>
      </c>
      <c r="AG42" s="13">
        <f ca="1">SUM($AE$42:$AF$42)</f>
        <v>0</v>
      </c>
      <c r="AH42" s="13">
        <f>'TUSD BE'!$AH$42*'TUSD BE'!$AH$78</f>
        <v>10.920190337325092</v>
      </c>
      <c r="AI42" s="13">
        <f>'TUSD BE'!$AI$42*'TUSD BE'!$AI$78</f>
        <v>0.18925872471314215</v>
      </c>
      <c r="AJ42" s="13">
        <f ca="1">'TUSD BE'!$AJ$42*'TUSD BE'!$AJ$78</f>
        <v>0.75386565992479893</v>
      </c>
      <c r="AK42" s="13">
        <f ca="1">'TUSD BE'!$AK$42*'TUSD BE'!$AK$78</f>
        <v>-1.7241257166437356E-2</v>
      </c>
      <c r="AL42" s="13">
        <f ca="1">SUM($AH$42:$AK$42)</f>
        <v>11.846073464796595</v>
      </c>
      <c r="AM42" s="13">
        <f ca="1">SUMIF($L$4:$AL$4,"SUBTOTAL",$L$42:$AL$42)+AZ42</f>
        <v>52.803338669359036</v>
      </c>
      <c r="AO42" s="20">
        <f ca="1">+'TUSD BE'!$T$42+'TUSD BE'!$AB$42+'TUSD BE'!$AD$42+'TUSD BE'!$AL$42</f>
        <v>249.39988173643968</v>
      </c>
      <c r="AP42" s="20">
        <f ca="1">+'TUSD BE'!$T$42+'TUSD BE'!$AB$42+'TUSD BE'!$AD$42+'TUSD BE'!$AL$42</f>
        <v>249.39988173643968</v>
      </c>
      <c r="AQ42" s="9" t="str">
        <f t="shared" si="7"/>
        <v>B1</v>
      </c>
      <c r="AR42" s="9" t="str">
        <f t="shared" si="8"/>
        <v>Convencional</v>
      </c>
      <c r="AS42" s="9" t="str">
        <f t="shared" si="9"/>
        <v>Residencial</v>
      </c>
      <c r="AT42" s="9" t="str">
        <f t="shared" si="10"/>
        <v>Residencial baixa renda – faixa 02</v>
      </c>
      <c r="AU42" s="9" t="str">
        <f t="shared" si="11"/>
        <v>Não se aplica</v>
      </c>
      <c r="AV42" s="58">
        <f t="shared" si="12"/>
        <v>1</v>
      </c>
      <c r="AW42" s="58">
        <f ca="1">TarifaMedia!$G$52</f>
        <v>1</v>
      </c>
      <c r="AX42" s="23">
        <f ca="1">'TUSD BE'!$AM42+'TUSD BF'!$AM42+'TUSD CVA'!$AM42</f>
        <v>259.9533005167234</v>
      </c>
      <c r="AY42" s="58">
        <v>301.37</v>
      </c>
      <c r="AZ42" s="58">
        <f t="shared" ca="1" si="13"/>
        <v>41.416699483276602</v>
      </c>
      <c r="BA42" s="58"/>
      <c r="BB42" s="58"/>
      <c r="BC42" s="82" t="s">
        <v>993</v>
      </c>
    </row>
    <row r="43" spans="1:55" ht="11.25" customHeight="1" x14ac:dyDescent="0.3">
      <c r="A43" s="128"/>
      <c r="B43" s="128"/>
      <c r="C43" s="128"/>
      <c r="D43" s="17" t="s">
        <v>31</v>
      </c>
      <c r="E43" s="17" t="s">
        <v>25</v>
      </c>
      <c r="F43" s="17" t="s">
        <v>25</v>
      </c>
      <c r="G43" s="18" t="s">
        <v>84</v>
      </c>
      <c r="H43" s="18" t="s">
        <v>78</v>
      </c>
      <c r="I43" s="18">
        <f>'MERCADO TUSD'!$U$40</f>
        <v>3237.8510000000001</v>
      </c>
      <c r="J43" s="15"/>
      <c r="L43" s="13">
        <f>'TUSD BE'!$L$43*'TUSD BE'!$L$78</f>
        <v>0</v>
      </c>
      <c r="M43" s="13">
        <f>'TUSD BE'!$M$43*'TUSD BE'!$M$78</f>
        <v>-2.0658970226936097E-3</v>
      </c>
      <c r="N43" s="13">
        <f ca="1">'TUSD BE'!$N$43*'TUSD BE'!$N$78</f>
        <v>3.2355049492505691E-7</v>
      </c>
      <c r="O43" s="13">
        <f>'TUSD BE'!$O$43*'TUSD BE'!$O$78</f>
        <v>0</v>
      </c>
      <c r="P43" s="13">
        <f>'TUSD BE'!$P$43*'TUSD BE'!$P$78</f>
        <v>0</v>
      </c>
      <c r="Q43" s="13">
        <f>'TUSD BE'!$Q$43*'TUSD BE'!$Q$78</f>
        <v>0</v>
      </c>
      <c r="R43" s="13">
        <f>'TUSD BE'!$R$43*'TUSD BE'!$R$78</f>
        <v>0</v>
      </c>
      <c r="S43" s="13">
        <f>'TUSD BE'!$R$43*'TUSD BE'!$S$78</f>
        <v>0</v>
      </c>
      <c r="T43" s="13">
        <f ca="1">SUM($L$43:$S$43)</f>
        <v>-2.0655734721986845E-3</v>
      </c>
      <c r="U43" s="13">
        <f>'TUSD BE'!$U$43*'TUSD BE'!$U$78</f>
        <v>-0.38740392314125843</v>
      </c>
      <c r="V43" s="13">
        <f>'TUSD BE'!$V$43*'TUSD BE'!$V$78</f>
        <v>-8.7071283954943249E-2</v>
      </c>
      <c r="W43" s="13">
        <f>'TUSD BE'!$W$43*'TUSD BE'!$W$78</f>
        <v>-2.9844390398367057E-3</v>
      </c>
      <c r="X43" s="13">
        <f>'TUSD BE'!$X$43*'TUSD BE'!$X$78</f>
        <v>0</v>
      </c>
      <c r="Y43" s="13">
        <f>'TUSD BE'!$Y$43*'TUSD BE'!$Y$78</f>
        <v>0</v>
      </c>
      <c r="Z43" s="13">
        <f>'TUSD BE'!$Z$43*'TUSD BE'!$Z$78</f>
        <v>0</v>
      </c>
      <c r="AA43" s="13">
        <f>'TUSD BE'!$AA$43*'TUSD BE'!$AA$78</f>
        <v>0</v>
      </c>
      <c r="AB43" s="13">
        <f>SUM($U$43:$AA$43)</f>
        <v>-0.47745964613603836</v>
      </c>
      <c r="AC43" s="13">
        <f>'TUSD BE'!$AC$43*'TUSD BE'!$AC$78</f>
        <v>2.0090940894072554E-2</v>
      </c>
      <c r="AD43" s="13">
        <f>SUM($AC$43:$AC$43)</f>
        <v>2.0090940894072554E-2</v>
      </c>
      <c r="AE43" s="13">
        <f ca="1">$AO$43*$AO$75</f>
        <v>0</v>
      </c>
      <c r="AF43" s="13">
        <f ca="1">$AP$43*$AP$75</f>
        <v>0</v>
      </c>
      <c r="AG43" s="13">
        <f ca="1">SUM($AE$43:$AF$43)</f>
        <v>0</v>
      </c>
      <c r="AH43" s="13">
        <f>'TUSD BE'!$AH$43*'TUSD BE'!$AH$78</f>
        <v>10.920190337325092</v>
      </c>
      <c r="AI43" s="13">
        <f>'TUSD BE'!$AI$43*'TUSD BE'!$AI$78</f>
        <v>0.18925872471314215</v>
      </c>
      <c r="AJ43" s="13">
        <f ca="1">'TUSD BE'!$AJ$43*'TUSD BE'!$AJ$78</f>
        <v>0.75386565992479893</v>
      </c>
      <c r="AK43" s="13">
        <f ca="1">'TUSD BE'!$AK$43*'TUSD BE'!$AK$78</f>
        <v>-1.7241257166437356E-2</v>
      </c>
      <c r="AL43" s="13">
        <f ca="1">SUM($AH$43:$AK$43)</f>
        <v>11.846073464796595</v>
      </c>
      <c r="AM43" s="13">
        <f ca="1">SUMIF($L$4:$AL$4,"SUBTOTAL",$L$43:$AL$43)+AZ43</f>
        <v>52.803338669359036</v>
      </c>
      <c r="AO43" s="20">
        <f ca="1">+'TUSD BE'!$T$43+'TUSD BE'!$AB$43+'TUSD BE'!$AD$43+'TUSD BE'!$AL$43</f>
        <v>249.39988173643968</v>
      </c>
      <c r="AP43" s="20">
        <f ca="1">+'TUSD BE'!$T$43+'TUSD BE'!$AB$43+'TUSD BE'!$AD$43+'TUSD BE'!$AL$43</f>
        <v>249.39988173643968</v>
      </c>
      <c r="AQ43" s="9" t="str">
        <f t="shared" si="7"/>
        <v>B1</v>
      </c>
      <c r="AR43" s="9" t="str">
        <f t="shared" si="8"/>
        <v>Convencional</v>
      </c>
      <c r="AS43" s="9" t="str">
        <f t="shared" si="9"/>
        <v>Residencial</v>
      </c>
      <c r="AT43" s="9" t="str">
        <f t="shared" si="10"/>
        <v>Residencial baixa renda – faixa 03</v>
      </c>
      <c r="AU43" s="9" t="str">
        <f t="shared" si="11"/>
        <v>Não se aplica</v>
      </c>
      <c r="AV43" s="58">
        <f t="shared" si="12"/>
        <v>1</v>
      </c>
      <c r="AW43" s="58">
        <f ca="1">TarifaMedia!$G$52</f>
        <v>1</v>
      </c>
      <c r="AX43" s="23">
        <f ca="1">'TUSD BE'!$AM43+'TUSD BF'!$AM43+'TUSD CVA'!$AM43</f>
        <v>259.9533005167234</v>
      </c>
      <c r="AY43" s="58">
        <v>301.37</v>
      </c>
      <c r="AZ43" s="58">
        <f t="shared" ca="1" si="13"/>
        <v>41.416699483276602</v>
      </c>
      <c r="BA43" s="58"/>
      <c r="BB43" s="58"/>
      <c r="BC43" s="82" t="s">
        <v>993</v>
      </c>
    </row>
    <row r="44" spans="1:55" ht="11.25" customHeight="1" x14ac:dyDescent="0.3">
      <c r="A44" s="128"/>
      <c r="B44" s="128"/>
      <c r="C44" s="128"/>
      <c r="D44" s="17" t="s">
        <v>32</v>
      </c>
      <c r="E44" s="17" t="s">
        <v>25</v>
      </c>
      <c r="F44" s="17" t="s">
        <v>25</v>
      </c>
      <c r="G44" s="18" t="s">
        <v>84</v>
      </c>
      <c r="H44" s="18" t="s">
        <v>78</v>
      </c>
      <c r="I44" s="18">
        <f>'MERCADO TUSD'!$U$41</f>
        <v>633.93299999999999</v>
      </c>
      <c r="J44" s="15"/>
      <c r="L44" s="13">
        <f>'TUSD BE'!$L$44*'TUSD BE'!$L$78</f>
        <v>0</v>
      </c>
      <c r="M44" s="13">
        <f>'TUSD BE'!$M$44*'TUSD BE'!$M$78</f>
        <v>-2.0658970226936097E-3</v>
      </c>
      <c r="N44" s="13">
        <f ca="1">'TUSD BE'!$N$44*'TUSD BE'!$N$78</f>
        <v>3.2355049492505691E-7</v>
      </c>
      <c r="O44" s="13">
        <f>'TUSD BE'!$O$44*'TUSD BE'!$O$78</f>
        <v>0</v>
      </c>
      <c r="P44" s="13">
        <f>'TUSD BE'!$P$44*'TUSD BE'!$P$78</f>
        <v>0</v>
      </c>
      <c r="Q44" s="13">
        <f>'TUSD BE'!$Q$44*'TUSD BE'!$Q$78</f>
        <v>0</v>
      </c>
      <c r="R44" s="13">
        <f>'TUSD BE'!$R$44*'TUSD BE'!$R$78</f>
        <v>0</v>
      </c>
      <c r="S44" s="13">
        <f>'TUSD BE'!$R$44*'TUSD BE'!$S$78</f>
        <v>0</v>
      </c>
      <c r="T44" s="13">
        <f ca="1">SUM($L$44:$S$44)</f>
        <v>-2.0655734721986845E-3</v>
      </c>
      <c r="U44" s="13">
        <f>'TUSD BE'!$U$44*'TUSD BE'!$U$78</f>
        <v>-0.38740392314125843</v>
      </c>
      <c r="V44" s="13">
        <f>'TUSD BE'!$V$44*'TUSD BE'!$V$78</f>
        <v>-8.7071283954943249E-2</v>
      </c>
      <c r="W44" s="13">
        <f>'TUSD BE'!$W$44*'TUSD BE'!$W$78</f>
        <v>-2.9844390398367057E-3</v>
      </c>
      <c r="X44" s="13">
        <f>'TUSD BE'!$X$44*'TUSD BE'!$X$78</f>
        <v>0</v>
      </c>
      <c r="Y44" s="13">
        <f>'TUSD BE'!$Y$44*'TUSD BE'!$Y$78</f>
        <v>0</v>
      </c>
      <c r="Z44" s="13">
        <f>'TUSD BE'!$Z$44*'TUSD BE'!$Z$78</f>
        <v>0</v>
      </c>
      <c r="AA44" s="13">
        <f>'TUSD BE'!$AA$44*'TUSD BE'!$AA$78</f>
        <v>0</v>
      </c>
      <c r="AB44" s="13">
        <f>SUM($U$44:$AA$44)</f>
        <v>-0.47745964613603836</v>
      </c>
      <c r="AC44" s="13">
        <f>'TUSD BE'!$AC$44*'TUSD BE'!$AC$78</f>
        <v>2.0090940894072554E-2</v>
      </c>
      <c r="AD44" s="13">
        <f>SUM($AC$44:$AC$44)</f>
        <v>2.0090940894072554E-2</v>
      </c>
      <c r="AE44" s="13">
        <f ca="1">$AO$44*$AO$75</f>
        <v>0</v>
      </c>
      <c r="AF44" s="13">
        <f ca="1">$AP$44*$AP$75</f>
        <v>0</v>
      </c>
      <c r="AG44" s="13">
        <f ca="1">SUM($AE$44:$AF$44)</f>
        <v>0</v>
      </c>
      <c r="AH44" s="13">
        <f>'TUSD BE'!$AH$44*'TUSD BE'!$AH$78</f>
        <v>10.920190337325092</v>
      </c>
      <c r="AI44" s="13">
        <f>'TUSD BE'!$AI$44*'TUSD BE'!$AI$78</f>
        <v>0.18925872471314215</v>
      </c>
      <c r="AJ44" s="13">
        <f ca="1">'TUSD BE'!$AJ$44*'TUSD BE'!$AJ$78</f>
        <v>0.75386565992479893</v>
      </c>
      <c r="AK44" s="13">
        <f ca="1">'TUSD BE'!$AK$44*'TUSD BE'!$AK$78</f>
        <v>-1.7241257166437356E-2</v>
      </c>
      <c r="AL44" s="13">
        <f ca="1">SUM($AH$44:$AK$44)</f>
        <v>11.846073464796595</v>
      </c>
      <c r="AM44" s="13">
        <f ca="1">SUMIF($L$4:$AL$4,"SUBTOTAL",$L$44:$AL$44)+AZ44</f>
        <v>52.803338669359036</v>
      </c>
      <c r="AO44" s="20">
        <f ca="1">+'TUSD BE'!$T$44+'TUSD BE'!$AB$44+'TUSD BE'!$AD$44+'TUSD BE'!$AL$44</f>
        <v>249.39988173643968</v>
      </c>
      <c r="AP44" s="20">
        <f ca="1">+'TUSD BE'!$T$44+'TUSD BE'!$AB$44+'TUSD BE'!$AD$44+'TUSD BE'!$AL$44</f>
        <v>249.39988173643968</v>
      </c>
      <c r="AQ44" s="9" t="str">
        <f t="shared" si="7"/>
        <v>B1</v>
      </c>
      <c r="AR44" s="9" t="str">
        <f t="shared" si="8"/>
        <v>Convencional</v>
      </c>
      <c r="AS44" s="9" t="str">
        <f t="shared" si="9"/>
        <v>Residencial</v>
      </c>
      <c r="AT44" s="9" t="str">
        <f t="shared" si="10"/>
        <v>Residencial baixa renda – faixa 04</v>
      </c>
      <c r="AU44" s="9" t="str">
        <f t="shared" si="11"/>
        <v>Não se aplica</v>
      </c>
      <c r="AV44" s="58">
        <f t="shared" si="12"/>
        <v>1</v>
      </c>
      <c r="AW44" s="58">
        <f ca="1">TarifaMedia!$G$52</f>
        <v>1</v>
      </c>
      <c r="AX44" s="23">
        <f ca="1">'TUSD BE'!$AM44+'TUSD BF'!$AM44+'TUSD CVA'!$AM44</f>
        <v>259.9533005167234</v>
      </c>
      <c r="AY44" s="58">
        <v>301.37</v>
      </c>
      <c r="AZ44" s="58">
        <f t="shared" ca="1" si="13"/>
        <v>41.416699483276602</v>
      </c>
      <c r="BA44" s="58"/>
      <c r="BB44" s="58"/>
      <c r="BC44" s="82" t="s">
        <v>993</v>
      </c>
    </row>
    <row r="45" spans="1:55" ht="11.25" customHeight="1" x14ac:dyDescent="0.3">
      <c r="A45" s="128"/>
      <c r="B45" s="128" t="s">
        <v>92</v>
      </c>
      <c r="C45" s="128" t="s">
        <v>24</v>
      </c>
      <c r="D45" s="17" t="s">
        <v>24</v>
      </c>
      <c r="E45" s="17" t="s">
        <v>25</v>
      </c>
      <c r="F45" s="17" t="s">
        <v>25</v>
      </c>
      <c r="G45" s="18" t="s">
        <v>84</v>
      </c>
      <c r="H45" s="18" t="s">
        <v>78</v>
      </c>
      <c r="I45" s="18">
        <f>'MERCADO TUSD'!$U$42</f>
        <v>0</v>
      </c>
      <c r="J45" s="15"/>
      <c r="L45" s="13">
        <f>'TUSD BE'!$L$45*'TUSD BE'!$L$78</f>
        <v>-0.56348944178893323</v>
      </c>
      <c r="M45" s="13">
        <f>'TUSD BE'!$M$45*'TUSD BE'!$M$78</f>
        <v>-2.0658970226936097E-3</v>
      </c>
      <c r="N45" s="13">
        <f ca="1">'TUSD BE'!$N$45*'TUSD BE'!$N$78</f>
        <v>3.2442995957833044E-7</v>
      </c>
      <c r="O45" s="13">
        <f>'TUSD BE'!$O$45*'TUSD BE'!$O$78</f>
        <v>0</v>
      </c>
      <c r="P45" s="13">
        <f>'TUSD BE'!$P$45*'TUSD BE'!$P$78</f>
        <v>0</v>
      </c>
      <c r="Q45" s="13">
        <f>'TUSD BE'!$Q$45*'TUSD BE'!$Q$78</f>
        <v>-1.6095968681012454</v>
      </c>
      <c r="R45" s="13">
        <f>'TUSD BE'!$R$45*'TUSD BE'!$R$78</f>
        <v>-0.37578018258543827</v>
      </c>
      <c r="S45" s="13">
        <f>'TUSD BE'!$R$45*'TUSD BE'!$S$78</f>
        <v>0</v>
      </c>
      <c r="T45" s="13">
        <f ca="1">SUM($L$45:$S$45)</f>
        <v>-2.5509320650683507</v>
      </c>
      <c r="U45" s="13">
        <f>'TUSD BE'!$U$45*'TUSD BE'!$U$78</f>
        <v>-0.38740392314125843</v>
      </c>
      <c r="V45" s="13">
        <f>'TUSD BE'!$V$45*'TUSD BE'!$V$78</f>
        <v>-8.7071283954943249E-2</v>
      </c>
      <c r="W45" s="13">
        <f>'TUSD BE'!$W$45*'TUSD BE'!$W$78</f>
        <v>-2.9844390398367057E-3</v>
      </c>
      <c r="X45" s="13">
        <f>'TUSD BE'!$X$45*'TUSD BE'!$X$78</f>
        <v>0</v>
      </c>
      <c r="Y45" s="13">
        <f>'TUSD BE'!$Y$45*'TUSD BE'!$Y$78</f>
        <v>0</v>
      </c>
      <c r="Z45" s="13">
        <f>'TUSD BE'!$Z$45*'TUSD BE'!$Z$78</f>
        <v>0</v>
      </c>
      <c r="AA45" s="13">
        <f>'TUSD BE'!$AA$45*'TUSD BE'!$AA$78</f>
        <v>0</v>
      </c>
      <c r="AB45" s="13">
        <f>SUM($U$45:$AA$45)</f>
        <v>-0.47745964613603836</v>
      </c>
      <c r="AC45" s="13">
        <f>'TUSD BE'!$AC$45*'TUSD BE'!$AC$78</f>
        <v>2.0090940894072554E-2</v>
      </c>
      <c r="AD45" s="13">
        <f>SUM($AC$45:$AC$45)</f>
        <v>2.0090940894072554E-2</v>
      </c>
      <c r="AE45" s="13">
        <f ca="1">$AO$45*$AO$75</f>
        <v>0</v>
      </c>
      <c r="AF45" s="13">
        <f ca="1">$AP$45*$AP$75</f>
        <v>0</v>
      </c>
      <c r="AG45" s="13">
        <f ca="1">SUM($AE$45:$AF$45)</f>
        <v>0</v>
      </c>
      <c r="AH45" s="13">
        <f>'TUSD BE'!$AH$45*'TUSD BE'!$AH$78</f>
        <v>10.920190337325092</v>
      </c>
      <c r="AI45" s="13">
        <f>'TUSD BE'!$AI$45*'TUSD BE'!$AI$78</f>
        <v>0.18925872471314215</v>
      </c>
      <c r="AJ45" s="13">
        <f ca="1">'TUSD BE'!$AJ$45*'TUSD BE'!$AJ$78</f>
        <v>0.75386565992479893</v>
      </c>
      <c r="AK45" s="13">
        <f ca="1">'TUSD BE'!$AK$45*'TUSD BE'!$AK$78</f>
        <v>-1.7241257166437356E-2</v>
      </c>
      <c r="AL45" s="13">
        <f ca="1">SUM($AH$45:$AK$45)</f>
        <v>11.846073464796595</v>
      </c>
      <c r="AM45" s="13">
        <f ca="1">SUMIF($L$4:$AL$4,"SUBTOTAL",$L$45:$AL$45)+AZ45</f>
        <v>24.68337448577013</v>
      </c>
      <c r="AO45" s="20">
        <f ca="1">+'TUSD BE'!$T$45+'TUSD BE'!$AB$45+'TUSD BE'!$AD$45+'TUSD BE'!$AL$45</f>
        <v>356.4462800994238</v>
      </c>
      <c r="AP45" s="20">
        <f ca="1">+'TUSD BE'!$T$45+'TUSD BE'!$AB$45+'TUSD BE'!$AD$45+'TUSD BE'!$AL$45</f>
        <v>356.4462800994238</v>
      </c>
      <c r="AQ45" s="9" t="str">
        <f t="shared" si="7"/>
        <v>B1</v>
      </c>
      <c r="AR45" s="9" t="str">
        <f t="shared" si="8"/>
        <v>Convencional pré-pagamento</v>
      </c>
      <c r="AS45" s="9" t="str">
        <f t="shared" si="9"/>
        <v>Residencial</v>
      </c>
      <c r="AT45" s="9" t="str">
        <f t="shared" si="10"/>
        <v>Residencial</v>
      </c>
      <c r="AU45" s="9" t="str">
        <f t="shared" si="11"/>
        <v>Não se aplica</v>
      </c>
      <c r="AV45" s="58">
        <f t="shared" si="12"/>
        <v>1</v>
      </c>
      <c r="AW45" s="58">
        <f ca="1">TarifaMedia!$G$52</f>
        <v>1</v>
      </c>
      <c r="AX45" s="23">
        <f ca="1">'TUSD BE'!$AM45+'TUSD BF'!$AM45+'TUSD CVA'!$AM45</f>
        <v>393.28439820871614</v>
      </c>
      <c r="AY45" s="58">
        <v>409.13</v>
      </c>
      <c r="AZ45" s="58">
        <f t="shared" ca="1" si="13"/>
        <v>15.845601791283855</v>
      </c>
      <c r="BA45" s="58"/>
      <c r="BB45" s="58"/>
      <c r="BC45" s="82" t="s">
        <v>994</v>
      </c>
    </row>
    <row r="46" spans="1:55" ht="11.25" customHeight="1" x14ac:dyDescent="0.3">
      <c r="A46" s="128"/>
      <c r="B46" s="128"/>
      <c r="C46" s="128"/>
      <c r="D46" s="17" t="s">
        <v>29</v>
      </c>
      <c r="E46" s="17" t="s">
        <v>25</v>
      </c>
      <c r="F46" s="17" t="s">
        <v>25</v>
      </c>
      <c r="G46" s="18" t="s">
        <v>84</v>
      </c>
      <c r="H46" s="18" t="s">
        <v>78</v>
      </c>
      <c r="I46" s="18">
        <f>'MERCADO TUSD'!$U$43</f>
        <v>0</v>
      </c>
      <c r="J46" s="15"/>
      <c r="L46" s="13">
        <f>'TUSD BE'!$L$46*'TUSD BE'!$L$78</f>
        <v>0</v>
      </c>
      <c r="M46" s="13">
        <f>'TUSD BE'!$M$46*'TUSD BE'!$M$78</f>
        <v>-2.0658970226936097E-3</v>
      </c>
      <c r="N46" s="13">
        <f ca="1">'TUSD BE'!$N$46*'TUSD BE'!$N$78</f>
        <v>3.2355049492505691E-7</v>
      </c>
      <c r="O46" s="13">
        <f>'TUSD BE'!$O$46*'TUSD BE'!$O$78</f>
        <v>0</v>
      </c>
      <c r="P46" s="13">
        <f>'TUSD BE'!$P$46*'TUSD BE'!$P$78</f>
        <v>0</v>
      </c>
      <c r="Q46" s="13">
        <f>'TUSD BE'!$Q$46*'TUSD BE'!$Q$78</f>
        <v>0</v>
      </c>
      <c r="R46" s="13">
        <f>'TUSD BE'!$R$46*'TUSD BE'!$R$78</f>
        <v>0</v>
      </c>
      <c r="S46" s="13">
        <f>'TUSD BE'!$R$46*'TUSD BE'!$S$78</f>
        <v>0</v>
      </c>
      <c r="T46" s="13">
        <f ca="1">SUM($L$46:$S$46)</f>
        <v>-2.0655734721986845E-3</v>
      </c>
      <c r="U46" s="13">
        <f>'TUSD BE'!$U$46*'TUSD BE'!$U$78</f>
        <v>-0.38740392314125843</v>
      </c>
      <c r="V46" s="13">
        <f>'TUSD BE'!$V$46*'TUSD BE'!$V$78</f>
        <v>-8.7071283954943249E-2</v>
      </c>
      <c r="W46" s="13">
        <f>'TUSD BE'!$W$46*'TUSD BE'!$W$78</f>
        <v>-2.9844390398367057E-3</v>
      </c>
      <c r="X46" s="13">
        <f>'TUSD BE'!$X$46*'TUSD BE'!$X$78</f>
        <v>0</v>
      </c>
      <c r="Y46" s="13">
        <f>'TUSD BE'!$Y$46*'TUSD BE'!$Y$78</f>
        <v>0</v>
      </c>
      <c r="Z46" s="13">
        <f>'TUSD BE'!$Z$46*'TUSD BE'!$Z$78</f>
        <v>0</v>
      </c>
      <c r="AA46" s="13">
        <f>'TUSD BE'!$AA$46*'TUSD BE'!$AA$78</f>
        <v>0</v>
      </c>
      <c r="AB46" s="13">
        <f>SUM($U$46:$AA$46)</f>
        <v>-0.47745964613603836</v>
      </c>
      <c r="AC46" s="13">
        <f>'TUSD BE'!$AC$46*'TUSD BE'!$AC$78</f>
        <v>2.0090940894072554E-2</v>
      </c>
      <c r="AD46" s="13">
        <f>SUM($AC$46:$AC$46)</f>
        <v>2.0090940894072554E-2</v>
      </c>
      <c r="AE46" s="13">
        <f ca="1">$AO$46*$AO$75</f>
        <v>0</v>
      </c>
      <c r="AF46" s="13">
        <f ca="1">$AP$46*$AP$75</f>
        <v>0</v>
      </c>
      <c r="AG46" s="13">
        <f ca="1">SUM($AE$46:$AF$46)</f>
        <v>0</v>
      </c>
      <c r="AH46" s="13">
        <f>'TUSD BE'!$AH$46*'TUSD BE'!$AH$78</f>
        <v>10.920190337325092</v>
      </c>
      <c r="AI46" s="13">
        <f>'TUSD BE'!$AI$46*'TUSD BE'!$AI$78</f>
        <v>0.18925872471314215</v>
      </c>
      <c r="AJ46" s="13">
        <f ca="1">'TUSD BE'!$AJ$46*'TUSD BE'!$AJ$78</f>
        <v>0.75386565992479893</v>
      </c>
      <c r="AK46" s="13">
        <f ca="1">'TUSD BE'!$AK$46*'TUSD BE'!$AK$78</f>
        <v>-1.7241257166437356E-2</v>
      </c>
      <c r="AL46" s="13">
        <f ca="1">SUM($AH$46:$AK$46)</f>
        <v>11.846073464796595</v>
      </c>
      <c r="AM46" s="13">
        <f ca="1">SUMIF($L$4:$AL$4,"SUBTOTAL",$L$46:$AL$46)+AZ46</f>
        <v>52.803338669359036</v>
      </c>
      <c r="AO46" s="20">
        <f ca="1">+'TUSD BE'!$T$46+'TUSD BE'!$AB$46+'TUSD BE'!$AD$46+'TUSD BE'!$AL$46</f>
        <v>249.39988173643968</v>
      </c>
      <c r="AP46" s="20">
        <f ca="1">+'TUSD BE'!$T$46+'TUSD BE'!$AB$46+'TUSD BE'!$AD$46+'TUSD BE'!$AL$46</f>
        <v>249.39988173643968</v>
      </c>
      <c r="AQ46" s="9" t="str">
        <f t="shared" si="7"/>
        <v>B1</v>
      </c>
      <c r="AR46" s="9" t="str">
        <f t="shared" si="8"/>
        <v>Convencional pré-pagamento</v>
      </c>
      <c r="AS46" s="9" t="str">
        <f t="shared" si="9"/>
        <v>Residencial</v>
      </c>
      <c r="AT46" s="9" t="str">
        <f t="shared" si="10"/>
        <v>Residencial baixa renda – faixa 01</v>
      </c>
      <c r="AU46" s="9" t="str">
        <f t="shared" si="11"/>
        <v>Não se aplica</v>
      </c>
      <c r="AV46" s="58">
        <f t="shared" si="12"/>
        <v>1</v>
      </c>
      <c r="AW46" s="58">
        <f ca="1">TarifaMedia!$G$52</f>
        <v>1</v>
      </c>
      <c r="AX46" s="23">
        <f ca="1">'TUSD BE'!$AM46+'TUSD BF'!$AM46+'TUSD CVA'!$AM46</f>
        <v>259.9533005167234</v>
      </c>
      <c r="AY46" s="58">
        <v>301.37</v>
      </c>
      <c r="AZ46" s="58">
        <f t="shared" ca="1" si="13"/>
        <v>41.416699483276602</v>
      </c>
      <c r="BA46" s="58"/>
      <c r="BB46" s="58"/>
      <c r="BC46" s="82" t="s">
        <v>995</v>
      </c>
    </row>
    <row r="47" spans="1:55" ht="11.25" customHeight="1" x14ac:dyDescent="0.3">
      <c r="A47" s="128"/>
      <c r="B47" s="128"/>
      <c r="C47" s="128"/>
      <c r="D47" s="17" t="s">
        <v>30</v>
      </c>
      <c r="E47" s="17" t="s">
        <v>25</v>
      </c>
      <c r="F47" s="17" t="s">
        <v>25</v>
      </c>
      <c r="G47" s="18" t="s">
        <v>84</v>
      </c>
      <c r="H47" s="18" t="s">
        <v>78</v>
      </c>
      <c r="I47" s="18">
        <f>'MERCADO TUSD'!$U$44</f>
        <v>0</v>
      </c>
      <c r="J47" s="15"/>
      <c r="L47" s="13">
        <f>'TUSD BE'!$L$47*'TUSD BE'!$L$78</f>
        <v>0</v>
      </c>
      <c r="M47" s="13">
        <f>'TUSD BE'!$M$47*'TUSD BE'!$M$78</f>
        <v>-2.0658970226936097E-3</v>
      </c>
      <c r="N47" s="13">
        <f ca="1">'TUSD BE'!$N$47*'TUSD BE'!$N$78</f>
        <v>3.2355049492505691E-7</v>
      </c>
      <c r="O47" s="13">
        <f>'TUSD BE'!$O$47*'TUSD BE'!$O$78</f>
        <v>0</v>
      </c>
      <c r="P47" s="13">
        <f>'TUSD BE'!$P$47*'TUSD BE'!$P$78</f>
        <v>0</v>
      </c>
      <c r="Q47" s="13">
        <f>'TUSD BE'!$Q$47*'TUSD BE'!$Q$78</f>
        <v>0</v>
      </c>
      <c r="R47" s="13">
        <f>'TUSD BE'!$R$47*'TUSD BE'!$R$78</f>
        <v>0</v>
      </c>
      <c r="S47" s="13">
        <f>'TUSD BE'!$R$47*'TUSD BE'!$S$78</f>
        <v>0</v>
      </c>
      <c r="T47" s="13">
        <f ca="1">SUM($L$47:$S$47)</f>
        <v>-2.0655734721986845E-3</v>
      </c>
      <c r="U47" s="13">
        <f>'TUSD BE'!$U$47*'TUSD BE'!$U$78</f>
        <v>-0.38740392314125843</v>
      </c>
      <c r="V47" s="13">
        <f>'TUSD BE'!$V$47*'TUSD BE'!$V$78</f>
        <v>-8.7071283954943249E-2</v>
      </c>
      <c r="W47" s="13">
        <f>'TUSD BE'!$W$47*'TUSD BE'!$W$78</f>
        <v>-2.9844390398367057E-3</v>
      </c>
      <c r="X47" s="13">
        <f>'TUSD BE'!$X$47*'TUSD BE'!$X$78</f>
        <v>0</v>
      </c>
      <c r="Y47" s="13">
        <f>'TUSD BE'!$Y$47*'TUSD BE'!$Y$78</f>
        <v>0</v>
      </c>
      <c r="Z47" s="13">
        <f>'TUSD BE'!$Z$47*'TUSD BE'!$Z$78</f>
        <v>0</v>
      </c>
      <c r="AA47" s="13">
        <f>'TUSD BE'!$AA$47*'TUSD BE'!$AA$78</f>
        <v>0</v>
      </c>
      <c r="AB47" s="13">
        <f>SUM($U$47:$AA$47)</f>
        <v>-0.47745964613603836</v>
      </c>
      <c r="AC47" s="13">
        <f>'TUSD BE'!$AC$47*'TUSD BE'!$AC$78</f>
        <v>2.0090940894072554E-2</v>
      </c>
      <c r="AD47" s="13">
        <f>SUM($AC$47:$AC$47)</f>
        <v>2.0090940894072554E-2</v>
      </c>
      <c r="AE47" s="13">
        <f ca="1">$AO$47*$AO$75</f>
        <v>0</v>
      </c>
      <c r="AF47" s="13">
        <f ca="1">$AP$47*$AP$75</f>
        <v>0</v>
      </c>
      <c r="AG47" s="13">
        <f ca="1">SUM($AE$47:$AF$47)</f>
        <v>0</v>
      </c>
      <c r="AH47" s="13">
        <f>'TUSD BE'!$AH$47*'TUSD BE'!$AH$78</f>
        <v>10.920190337325092</v>
      </c>
      <c r="AI47" s="13">
        <f>'TUSD BE'!$AI$47*'TUSD BE'!$AI$78</f>
        <v>0.18925872471314215</v>
      </c>
      <c r="AJ47" s="13">
        <f ca="1">'TUSD BE'!$AJ$47*'TUSD BE'!$AJ$78</f>
        <v>0.75386565992479893</v>
      </c>
      <c r="AK47" s="13">
        <f ca="1">'TUSD BE'!$AK$47*'TUSD BE'!$AK$78</f>
        <v>-1.7241257166437356E-2</v>
      </c>
      <c r="AL47" s="13">
        <f ca="1">SUM($AH$47:$AK$47)</f>
        <v>11.846073464796595</v>
      </c>
      <c r="AM47" s="13">
        <f ca="1">SUMIF($L$4:$AL$4,"SUBTOTAL",$L$47:$AL$47)+AZ47</f>
        <v>52.803338669359036</v>
      </c>
      <c r="AO47" s="20">
        <f ca="1">+'TUSD BE'!$T$47+'TUSD BE'!$AB$47+'TUSD BE'!$AD$47+'TUSD BE'!$AL$47</f>
        <v>249.39988173643968</v>
      </c>
      <c r="AP47" s="20">
        <f ca="1">+'TUSD BE'!$T$47+'TUSD BE'!$AB$47+'TUSD BE'!$AD$47+'TUSD BE'!$AL$47</f>
        <v>249.39988173643968</v>
      </c>
      <c r="AQ47" s="9" t="str">
        <f t="shared" si="7"/>
        <v>B1</v>
      </c>
      <c r="AR47" s="9" t="str">
        <f t="shared" si="8"/>
        <v>Convencional pré-pagamento</v>
      </c>
      <c r="AS47" s="9" t="str">
        <f t="shared" si="9"/>
        <v>Residencial</v>
      </c>
      <c r="AT47" s="9" t="str">
        <f t="shared" si="10"/>
        <v>Residencial baixa renda – faixa 02</v>
      </c>
      <c r="AU47" s="9" t="str">
        <f t="shared" si="11"/>
        <v>Não se aplica</v>
      </c>
      <c r="AV47" s="58">
        <f t="shared" si="12"/>
        <v>1</v>
      </c>
      <c r="AW47" s="58">
        <f ca="1">TarifaMedia!$G$52</f>
        <v>1</v>
      </c>
      <c r="AX47" s="23">
        <f ca="1">'TUSD BE'!$AM47+'TUSD BF'!$AM47+'TUSD CVA'!$AM47</f>
        <v>259.9533005167234</v>
      </c>
      <c r="AY47" s="58">
        <v>301.37</v>
      </c>
      <c r="AZ47" s="58">
        <f t="shared" ca="1" si="13"/>
        <v>41.416699483276602</v>
      </c>
      <c r="BA47" s="58"/>
      <c r="BB47" s="58"/>
      <c r="BC47" s="82" t="s">
        <v>995</v>
      </c>
    </row>
    <row r="48" spans="1:55" ht="11.25" customHeight="1" x14ac:dyDescent="0.3">
      <c r="A48" s="128"/>
      <c r="B48" s="128"/>
      <c r="C48" s="128"/>
      <c r="D48" s="17" t="s">
        <v>31</v>
      </c>
      <c r="E48" s="17" t="s">
        <v>25</v>
      </c>
      <c r="F48" s="17" t="s">
        <v>25</v>
      </c>
      <c r="G48" s="18" t="s">
        <v>84</v>
      </c>
      <c r="H48" s="18" t="s">
        <v>78</v>
      </c>
      <c r="I48" s="18">
        <f>'MERCADO TUSD'!$U$45</f>
        <v>0</v>
      </c>
      <c r="J48" s="15"/>
      <c r="L48" s="13">
        <f>'TUSD BE'!$L$48*'TUSD BE'!$L$78</f>
        <v>0</v>
      </c>
      <c r="M48" s="13">
        <f>'TUSD BE'!$M$48*'TUSD BE'!$M$78</f>
        <v>-2.0658970226936097E-3</v>
      </c>
      <c r="N48" s="13">
        <f ca="1">'TUSD BE'!$N$48*'TUSD BE'!$N$78</f>
        <v>3.2355049492505691E-7</v>
      </c>
      <c r="O48" s="13">
        <f>'TUSD BE'!$O$48*'TUSD BE'!$O$78</f>
        <v>0</v>
      </c>
      <c r="P48" s="13">
        <f>'TUSD BE'!$P$48*'TUSD BE'!$P$78</f>
        <v>0</v>
      </c>
      <c r="Q48" s="13">
        <f>'TUSD BE'!$Q$48*'TUSD BE'!$Q$78</f>
        <v>0</v>
      </c>
      <c r="R48" s="13">
        <f>'TUSD BE'!$R$48*'TUSD BE'!$R$78</f>
        <v>0</v>
      </c>
      <c r="S48" s="13">
        <f>'TUSD BE'!$R$48*'TUSD BE'!$S$78</f>
        <v>0</v>
      </c>
      <c r="T48" s="13">
        <f ca="1">SUM($L$48:$S$48)</f>
        <v>-2.0655734721986845E-3</v>
      </c>
      <c r="U48" s="13">
        <f>'TUSD BE'!$U$48*'TUSD BE'!$U$78</f>
        <v>-0.38740392314125843</v>
      </c>
      <c r="V48" s="13">
        <f>'TUSD BE'!$V$48*'TUSD BE'!$V$78</f>
        <v>-8.7071283954943249E-2</v>
      </c>
      <c r="W48" s="13">
        <f>'TUSD BE'!$W$48*'TUSD BE'!$W$78</f>
        <v>-2.9844390398367057E-3</v>
      </c>
      <c r="X48" s="13">
        <f>'TUSD BE'!$X$48*'TUSD BE'!$X$78</f>
        <v>0</v>
      </c>
      <c r="Y48" s="13">
        <f>'TUSD BE'!$Y$48*'TUSD BE'!$Y$78</f>
        <v>0</v>
      </c>
      <c r="Z48" s="13">
        <f>'TUSD BE'!$Z$48*'TUSD BE'!$Z$78</f>
        <v>0</v>
      </c>
      <c r="AA48" s="13">
        <f>'TUSD BE'!$AA$48*'TUSD BE'!$AA$78</f>
        <v>0</v>
      </c>
      <c r="AB48" s="13">
        <f>SUM($U$48:$AA$48)</f>
        <v>-0.47745964613603836</v>
      </c>
      <c r="AC48" s="13">
        <f>'TUSD BE'!$AC$48*'TUSD BE'!$AC$78</f>
        <v>2.0090940894072554E-2</v>
      </c>
      <c r="AD48" s="13">
        <f>SUM($AC$48:$AC$48)</f>
        <v>2.0090940894072554E-2</v>
      </c>
      <c r="AE48" s="13">
        <f ca="1">$AO$48*$AO$75</f>
        <v>0</v>
      </c>
      <c r="AF48" s="13">
        <f ca="1">$AP$48*$AP$75</f>
        <v>0</v>
      </c>
      <c r="AG48" s="13">
        <f ca="1">SUM($AE$48:$AF$48)</f>
        <v>0</v>
      </c>
      <c r="AH48" s="13">
        <f>'TUSD BE'!$AH$48*'TUSD BE'!$AH$78</f>
        <v>10.920190337325092</v>
      </c>
      <c r="AI48" s="13">
        <f>'TUSD BE'!$AI$48*'TUSD BE'!$AI$78</f>
        <v>0.18925872471314215</v>
      </c>
      <c r="AJ48" s="13">
        <f ca="1">'TUSD BE'!$AJ$48*'TUSD BE'!$AJ$78</f>
        <v>0.75386565992479893</v>
      </c>
      <c r="AK48" s="13">
        <f ca="1">'TUSD BE'!$AK$48*'TUSD BE'!$AK$78</f>
        <v>-1.7241257166437356E-2</v>
      </c>
      <c r="AL48" s="13">
        <f ca="1">SUM($AH$48:$AK$48)</f>
        <v>11.846073464796595</v>
      </c>
      <c r="AM48" s="13">
        <f ca="1">SUMIF($L$4:$AL$4,"SUBTOTAL",$L$48:$AL$48)+AZ48</f>
        <v>52.803338669359036</v>
      </c>
      <c r="AO48" s="20">
        <f ca="1">+'TUSD BE'!$T$48+'TUSD BE'!$AB$48+'TUSD BE'!$AD$48+'TUSD BE'!$AL$48</f>
        <v>249.39988173643968</v>
      </c>
      <c r="AP48" s="20">
        <f ca="1">+'TUSD BE'!$T$48+'TUSD BE'!$AB$48+'TUSD BE'!$AD$48+'TUSD BE'!$AL$48</f>
        <v>249.39988173643968</v>
      </c>
      <c r="AQ48" s="9" t="str">
        <f t="shared" si="7"/>
        <v>B1</v>
      </c>
      <c r="AR48" s="9" t="str">
        <f t="shared" si="8"/>
        <v>Convencional pré-pagamento</v>
      </c>
      <c r="AS48" s="9" t="str">
        <f t="shared" si="9"/>
        <v>Residencial</v>
      </c>
      <c r="AT48" s="9" t="str">
        <f t="shared" si="10"/>
        <v>Residencial baixa renda – faixa 03</v>
      </c>
      <c r="AU48" s="9" t="str">
        <f t="shared" si="11"/>
        <v>Não se aplica</v>
      </c>
      <c r="AV48" s="58">
        <f t="shared" si="12"/>
        <v>1</v>
      </c>
      <c r="AW48" s="58">
        <f ca="1">TarifaMedia!$G$52</f>
        <v>1</v>
      </c>
      <c r="AX48" s="23">
        <f ca="1">'TUSD BE'!$AM48+'TUSD BF'!$AM48+'TUSD CVA'!$AM48</f>
        <v>259.9533005167234</v>
      </c>
      <c r="AY48" s="58">
        <v>301.37</v>
      </c>
      <c r="AZ48" s="58">
        <f t="shared" ca="1" si="13"/>
        <v>41.416699483276602</v>
      </c>
      <c r="BA48" s="58"/>
      <c r="BB48" s="58"/>
      <c r="BC48" s="82" t="s">
        <v>995</v>
      </c>
    </row>
    <row r="49" spans="1:55" ht="11.25" customHeight="1" x14ac:dyDescent="0.3">
      <c r="A49" s="128"/>
      <c r="B49" s="128"/>
      <c r="C49" s="128"/>
      <c r="D49" s="17" t="s">
        <v>32</v>
      </c>
      <c r="E49" s="17" t="s">
        <v>25</v>
      </c>
      <c r="F49" s="17" t="s">
        <v>25</v>
      </c>
      <c r="G49" s="18" t="s">
        <v>84</v>
      </c>
      <c r="H49" s="18" t="s">
        <v>78</v>
      </c>
      <c r="I49" s="18">
        <f>'MERCADO TUSD'!$U$46</f>
        <v>0</v>
      </c>
      <c r="J49" s="15"/>
      <c r="L49" s="13">
        <f>'TUSD BE'!$L$49*'TUSD BE'!$L$78</f>
        <v>0</v>
      </c>
      <c r="M49" s="13">
        <f>'TUSD BE'!$M$49*'TUSD BE'!$M$78</f>
        <v>-2.0658970226936097E-3</v>
      </c>
      <c r="N49" s="13">
        <f ca="1">'TUSD BE'!$N$49*'TUSD BE'!$N$78</f>
        <v>3.2355049492505691E-7</v>
      </c>
      <c r="O49" s="13">
        <f>'TUSD BE'!$O$49*'TUSD BE'!$O$78</f>
        <v>0</v>
      </c>
      <c r="P49" s="13">
        <f>'TUSD BE'!$P$49*'TUSD BE'!$P$78</f>
        <v>0</v>
      </c>
      <c r="Q49" s="13">
        <f>'TUSD BE'!$Q$49*'TUSD BE'!$Q$78</f>
        <v>0</v>
      </c>
      <c r="R49" s="13">
        <f>'TUSD BE'!$R$49*'TUSD BE'!$R$78</f>
        <v>0</v>
      </c>
      <c r="S49" s="13">
        <f>'TUSD BE'!$R$49*'TUSD BE'!$S$78</f>
        <v>0</v>
      </c>
      <c r="T49" s="13">
        <f ca="1">SUM($L$49:$S$49)</f>
        <v>-2.0655734721986845E-3</v>
      </c>
      <c r="U49" s="13">
        <f>'TUSD BE'!$U$49*'TUSD BE'!$U$78</f>
        <v>-0.38740392314125843</v>
      </c>
      <c r="V49" s="13">
        <f>'TUSD BE'!$V$49*'TUSD BE'!$V$78</f>
        <v>-8.7071283954943249E-2</v>
      </c>
      <c r="W49" s="13">
        <f>'TUSD BE'!$W$49*'TUSD BE'!$W$78</f>
        <v>-2.9844390398367057E-3</v>
      </c>
      <c r="X49" s="13">
        <f>'TUSD BE'!$X$49*'TUSD BE'!$X$78</f>
        <v>0</v>
      </c>
      <c r="Y49" s="13">
        <f>'TUSD BE'!$Y$49*'TUSD BE'!$Y$78</f>
        <v>0</v>
      </c>
      <c r="Z49" s="13">
        <f>'TUSD BE'!$Z$49*'TUSD BE'!$Z$78</f>
        <v>0</v>
      </c>
      <c r="AA49" s="13">
        <f>'TUSD BE'!$AA$49*'TUSD BE'!$AA$78</f>
        <v>0</v>
      </c>
      <c r="AB49" s="13">
        <f>SUM($U$49:$AA$49)</f>
        <v>-0.47745964613603836</v>
      </c>
      <c r="AC49" s="13">
        <f>'TUSD BE'!$AC$49*'TUSD BE'!$AC$78</f>
        <v>2.0090940894072554E-2</v>
      </c>
      <c r="AD49" s="13">
        <f>SUM($AC$49:$AC$49)</f>
        <v>2.0090940894072554E-2</v>
      </c>
      <c r="AE49" s="13">
        <f ca="1">$AO$49*$AO$75</f>
        <v>0</v>
      </c>
      <c r="AF49" s="13">
        <f ca="1">$AP$49*$AP$75</f>
        <v>0</v>
      </c>
      <c r="AG49" s="13">
        <f ca="1">SUM($AE$49:$AF$49)</f>
        <v>0</v>
      </c>
      <c r="AH49" s="13">
        <f>'TUSD BE'!$AH$49*'TUSD BE'!$AH$78</f>
        <v>10.920190337325092</v>
      </c>
      <c r="AI49" s="13">
        <f>'TUSD BE'!$AI$49*'TUSD BE'!$AI$78</f>
        <v>0.18925872471314215</v>
      </c>
      <c r="AJ49" s="13">
        <f ca="1">'TUSD BE'!$AJ$49*'TUSD BE'!$AJ$78</f>
        <v>0.75386565992479893</v>
      </c>
      <c r="AK49" s="13">
        <f ca="1">'TUSD BE'!$AK$49*'TUSD BE'!$AK$78</f>
        <v>-1.7241257166437356E-2</v>
      </c>
      <c r="AL49" s="13">
        <f ca="1">SUM($AH$49:$AK$49)</f>
        <v>11.846073464796595</v>
      </c>
      <c r="AM49" s="13">
        <f ca="1">SUMIF($L$4:$AL$4,"SUBTOTAL",$L$49:$AL$49)+AZ49</f>
        <v>52.803338669359036</v>
      </c>
      <c r="AO49" s="20">
        <f ca="1">+'TUSD BE'!$T$49+'TUSD BE'!$AB$49+'TUSD BE'!$AD$49+'TUSD BE'!$AL$49</f>
        <v>249.39988173643968</v>
      </c>
      <c r="AP49" s="20">
        <f ca="1">+'TUSD BE'!$T$49+'TUSD BE'!$AB$49+'TUSD BE'!$AD$49+'TUSD BE'!$AL$49</f>
        <v>249.39988173643968</v>
      </c>
      <c r="AQ49" s="9" t="str">
        <f t="shared" si="7"/>
        <v>B1</v>
      </c>
      <c r="AR49" s="9" t="str">
        <f t="shared" si="8"/>
        <v>Convencional pré-pagamento</v>
      </c>
      <c r="AS49" s="9" t="str">
        <f t="shared" si="9"/>
        <v>Residencial</v>
      </c>
      <c r="AT49" s="9" t="str">
        <f t="shared" si="10"/>
        <v>Residencial baixa renda – faixa 04</v>
      </c>
      <c r="AU49" s="9" t="str">
        <f t="shared" si="11"/>
        <v>Não se aplica</v>
      </c>
      <c r="AV49" s="58">
        <f t="shared" si="12"/>
        <v>1</v>
      </c>
      <c r="AW49" s="58">
        <f ca="1">TarifaMedia!$G$52</f>
        <v>1</v>
      </c>
      <c r="AX49" s="23">
        <f ca="1">'TUSD BE'!$AM49+'TUSD BF'!$AM49+'TUSD CVA'!$AM49</f>
        <v>259.9533005167234</v>
      </c>
      <c r="AY49" s="58">
        <v>301.37</v>
      </c>
      <c r="AZ49" s="58">
        <f t="shared" ca="1" si="13"/>
        <v>41.416699483276602</v>
      </c>
      <c r="BA49" s="58"/>
      <c r="BB49" s="58"/>
      <c r="BC49" s="82" t="s">
        <v>995</v>
      </c>
    </row>
    <row r="50" spans="1:55" ht="11.25" customHeight="1" x14ac:dyDescent="0.3">
      <c r="A50" s="128" t="s">
        <v>44</v>
      </c>
      <c r="B50" s="128" t="s">
        <v>33</v>
      </c>
      <c r="C50" s="128" t="s">
        <v>45</v>
      </c>
      <c r="D50" s="128" t="s">
        <v>25</v>
      </c>
      <c r="E50" s="128" t="s">
        <v>25</v>
      </c>
      <c r="F50" s="128" t="s">
        <v>25</v>
      </c>
      <c r="G50" s="18" t="s">
        <v>79</v>
      </c>
      <c r="H50" s="18" t="s">
        <v>78</v>
      </c>
      <c r="I50" s="18">
        <f>'MERCADO TUSD'!$U$47</f>
        <v>0</v>
      </c>
      <c r="J50" s="15"/>
      <c r="L50" s="13">
        <f>'TUSD BE'!$L$50*'TUSD BE'!$L$78</f>
        <v>-0.56348944178893323</v>
      </c>
      <c r="M50" s="13">
        <f>'TUSD BE'!$M$50*'TUSD BE'!$M$78</f>
        <v>-2.0658970226936097E-3</v>
      </c>
      <c r="N50" s="13">
        <f ca="1">'TUSD BE'!$N$50*'TUSD BE'!$N$78</f>
        <v>6.4512806459150336E-7</v>
      </c>
      <c r="O50" s="13">
        <f>'TUSD BE'!$O$50*'TUSD BE'!$O$78</f>
        <v>0</v>
      </c>
      <c r="P50" s="13">
        <f>'TUSD BE'!$P$50*'TUSD BE'!$P$78</f>
        <v>0</v>
      </c>
      <c r="Q50" s="13">
        <f>'TUSD BE'!$Q$50*'TUSD BE'!$Q$78</f>
        <v>-1.6095968681012454</v>
      </c>
      <c r="R50" s="13">
        <f>'TUSD BE'!$R$50*'TUSD BE'!$R$78</f>
        <v>-0.37578018258543827</v>
      </c>
      <c r="S50" s="13">
        <f>'TUSD BE'!$R$50*'TUSD BE'!$S$78</f>
        <v>0</v>
      </c>
      <c r="T50" s="13">
        <f ca="1">SUM($L$50:$S$50)</f>
        <v>-2.5509317443702457</v>
      </c>
      <c r="U50" s="13">
        <f>'TUSD BE'!$U$50*'TUSD BE'!$U$78</f>
        <v>-1.142842347176823</v>
      </c>
      <c r="V50" s="13">
        <f>'TUSD BE'!$V$50*'TUSD BE'!$V$78</f>
        <v>-0.25686011239576745</v>
      </c>
      <c r="W50" s="13">
        <f>'TUSD BE'!$W$50*'TUSD BE'!$W$78</f>
        <v>-8.8038374439397115E-3</v>
      </c>
      <c r="X50" s="13">
        <f>'TUSD BE'!$X$50*'TUSD BE'!$X$78</f>
        <v>0</v>
      </c>
      <c r="Y50" s="13">
        <f>'TUSD BE'!$Y$50*'TUSD BE'!$Y$78</f>
        <v>0</v>
      </c>
      <c r="Z50" s="13">
        <f>'TUSD BE'!$Z$50*'TUSD BE'!$Z$78</f>
        <v>0</v>
      </c>
      <c r="AA50" s="13">
        <f>'TUSD BE'!$AA$50*'TUSD BE'!$AA$78</f>
        <v>0</v>
      </c>
      <c r="AB50" s="13">
        <f>SUM($U$50:$AA$50)</f>
        <v>-1.4085062970165301</v>
      </c>
      <c r="AC50" s="13">
        <f>'TUSD BE'!$AC$50*'TUSD BE'!$AC$78</f>
        <v>5.9268293236594591E-2</v>
      </c>
      <c r="AD50" s="13">
        <f>SUM($AC$50:$AC$50)</f>
        <v>5.9268293236594591E-2</v>
      </c>
      <c r="AE50" s="13">
        <f ca="1">$AO$50*$AO$75</f>
        <v>0</v>
      </c>
      <c r="AF50" s="13">
        <f ca="1">$AP$50*$AP$75</f>
        <v>0</v>
      </c>
      <c r="AG50" s="13">
        <f ca="1">SUM($AE$50:$AF$50)</f>
        <v>0</v>
      </c>
      <c r="AH50" s="13">
        <f>'TUSD BE'!$AH$50*'TUSD BE'!$AH$78</f>
        <v>10.920190337325092</v>
      </c>
      <c r="AI50" s="13">
        <f>'TUSD BE'!$AI$50*'TUSD BE'!$AI$78</f>
        <v>0.18925872471314215</v>
      </c>
      <c r="AJ50" s="13">
        <f ca="1">'TUSD BE'!$AJ$50*'TUSD BE'!$AJ$78</f>
        <v>0.75386565992479893</v>
      </c>
      <c r="AK50" s="13">
        <f ca="1">'TUSD BE'!$AK$50*'TUSD BE'!$AK$78</f>
        <v>-1.7241257166437356E-2</v>
      </c>
      <c r="AL50" s="13">
        <f ca="1">SUM($AH$50:$AK$50)</f>
        <v>11.846073464796595</v>
      </c>
      <c r="AM50" s="13">
        <f ca="1">SUMIF($L$4:$AL$4,"SUBTOTAL",$L$50:$AL$50)+AZ50</f>
        <v>112.78926770092393</v>
      </c>
      <c r="AO50" s="20">
        <f ca="1">+'TUSD BE'!$T$50+'TUSD BE'!$AB$50+'TUSD BE'!$AD$50+'TUSD BE'!$AL$50</f>
        <v>787.35865020901031</v>
      </c>
      <c r="AP50" s="20">
        <f ca="1">+'TUSD BE'!$T$50+'TUSD BE'!$AB$50+'TUSD BE'!$AD$50+'TUSD BE'!$AL$50</f>
        <v>787.35865020901031</v>
      </c>
      <c r="AQ50" s="9" t="str">
        <f t="shared" si="7"/>
        <v>B2</v>
      </c>
      <c r="AR50" s="9" t="str">
        <f t="shared" si="8"/>
        <v>Branca</v>
      </c>
      <c r="AS50" s="9" t="str">
        <f t="shared" si="9"/>
        <v>Rural</v>
      </c>
      <c r="AT50" s="9" t="str">
        <f t="shared" si="10"/>
        <v>Não se aplica</v>
      </c>
      <c r="AU50" s="9" t="str">
        <f t="shared" si="11"/>
        <v>Não se aplica</v>
      </c>
      <c r="AV50" s="58">
        <f t="shared" si="12"/>
        <v>1</v>
      </c>
      <c r="AW50" s="58">
        <f ca="1">TarifaMedia!$G$52</f>
        <v>1</v>
      </c>
      <c r="AX50" s="23">
        <f ca="1">'TUSD BE'!$AM50+'TUSD BF'!$AM50+'TUSD CVA'!$AM50</f>
        <v>828.75663601572251</v>
      </c>
      <c r="AY50" s="58">
        <f>ROUND(877.58/(1-CUSTOS!$M$38),2)</f>
        <v>933.6</v>
      </c>
      <c r="AZ50" s="58">
        <f t="shared" ca="1" si="13"/>
        <v>104.84336398427752</v>
      </c>
      <c r="BA50" s="58"/>
      <c r="BB50" s="58"/>
      <c r="BC50" s="82" t="s">
        <v>996</v>
      </c>
    </row>
    <row r="51" spans="1:55" ht="11.25" customHeight="1" x14ac:dyDescent="0.3">
      <c r="A51" s="128"/>
      <c r="B51" s="128"/>
      <c r="C51" s="128"/>
      <c r="D51" s="128"/>
      <c r="E51" s="128"/>
      <c r="F51" s="128"/>
      <c r="G51" s="18" t="s">
        <v>90</v>
      </c>
      <c r="H51" s="18" t="s">
        <v>78</v>
      </c>
      <c r="I51" s="18">
        <f>'MERCADO TUSD'!$U$48</f>
        <v>0</v>
      </c>
      <c r="J51" s="15"/>
      <c r="L51" s="13">
        <f>'TUSD BE'!$L$51*'TUSD BE'!$L$78</f>
        <v>-0.56348944178893323</v>
      </c>
      <c r="M51" s="13">
        <f>'TUSD BE'!$M$51*'TUSD BE'!$M$78</f>
        <v>-2.0658970226936097E-3</v>
      </c>
      <c r="N51" s="13">
        <f ca="1">'TUSD BE'!$N$51*'TUSD BE'!$N$78</f>
        <v>4.5106460268197813E-7</v>
      </c>
      <c r="O51" s="13">
        <f>'TUSD BE'!$O$51*'TUSD BE'!$O$78</f>
        <v>0</v>
      </c>
      <c r="P51" s="13">
        <f>'TUSD BE'!$P$51*'TUSD BE'!$P$78</f>
        <v>0</v>
      </c>
      <c r="Q51" s="13">
        <f>'TUSD BE'!$Q$51*'TUSD BE'!$Q$78</f>
        <v>-1.6095968681012454</v>
      </c>
      <c r="R51" s="13">
        <f>'TUSD BE'!$R$51*'TUSD BE'!$R$78</f>
        <v>-0.37578018258543827</v>
      </c>
      <c r="S51" s="13">
        <f>'TUSD BE'!$R$51*'TUSD BE'!$S$78</f>
        <v>0</v>
      </c>
      <c r="T51" s="13">
        <f ca="1">SUM($L$51:$S$51)</f>
        <v>-2.5509319384337079</v>
      </c>
      <c r="U51" s="13">
        <f>'TUSD BE'!$U$51*'TUSD BE'!$U$78</f>
        <v>-0.68570602743418219</v>
      </c>
      <c r="V51" s="13">
        <f>'TUSD BE'!$V$51*'TUSD BE'!$V$78</f>
        <v>-0.15411606743746048</v>
      </c>
      <c r="W51" s="13">
        <f>'TUSD BE'!$W$51*'TUSD BE'!$W$78</f>
        <v>-5.2818606545148505E-3</v>
      </c>
      <c r="X51" s="13">
        <f>'TUSD BE'!$X$51*'TUSD BE'!$X$78</f>
        <v>0</v>
      </c>
      <c r="Y51" s="13">
        <f>'TUSD BE'!$Y$51*'TUSD BE'!$Y$78</f>
        <v>0</v>
      </c>
      <c r="Z51" s="13">
        <f>'TUSD BE'!$Z$51*'TUSD BE'!$Z$78</f>
        <v>0</v>
      </c>
      <c r="AA51" s="13">
        <f>'TUSD BE'!$AA$51*'TUSD BE'!$AA$78</f>
        <v>0</v>
      </c>
      <c r="AB51" s="13">
        <f>SUM($U$51:$AA$51)</f>
        <v>-0.84510395552615747</v>
      </c>
      <c r="AC51" s="13">
        <f>'TUSD BE'!$AC$51*'TUSD BE'!$AC$78</f>
        <v>3.5560975941956757E-2</v>
      </c>
      <c r="AD51" s="13">
        <f>SUM($AC$51:$AC$51)</f>
        <v>3.5560975941956757E-2</v>
      </c>
      <c r="AE51" s="13">
        <f ca="1">$AO$51*$AO$75</f>
        <v>0</v>
      </c>
      <c r="AF51" s="13">
        <f ca="1">$AP$51*$AP$75</f>
        <v>0</v>
      </c>
      <c r="AG51" s="13">
        <f ca="1">SUM($AE$51:$AF$51)</f>
        <v>0</v>
      </c>
      <c r="AH51" s="13">
        <f>'TUSD BE'!$AH$51*'TUSD BE'!$AH$78</f>
        <v>10.920190337325092</v>
      </c>
      <c r="AI51" s="13">
        <f>'TUSD BE'!$AI$51*'TUSD BE'!$AI$78</f>
        <v>0.18925872471314215</v>
      </c>
      <c r="AJ51" s="13">
        <f ca="1">'TUSD BE'!$AJ$51*'TUSD BE'!$AJ$78</f>
        <v>0.75386565992479893</v>
      </c>
      <c r="AK51" s="13">
        <f ca="1">'TUSD BE'!$AK$51*'TUSD BE'!$AK$78</f>
        <v>-1.7241257166437356E-2</v>
      </c>
      <c r="AL51" s="13">
        <f ca="1">SUM($AH$51:$AK$51)</f>
        <v>11.846073464796595</v>
      </c>
      <c r="AM51" s="13">
        <f ca="1">SUMIF($L$4:$AL$4,"SUBTOTAL",$L$51:$AL$51)+AZ51</f>
        <v>67.145545313220552</v>
      </c>
      <c r="AO51" s="20">
        <f ca="1">+'TUSD BE'!$T$51+'TUSD BE'!$AB$51+'TUSD BE'!$AD$51+'TUSD BE'!$AL$51</f>
        <v>526.60136775230944</v>
      </c>
      <c r="AP51" s="20">
        <f ca="1">+'TUSD BE'!$T$51+'TUSD BE'!$AB$51+'TUSD BE'!$AD$51+'TUSD BE'!$AL$51</f>
        <v>526.60136775230944</v>
      </c>
      <c r="AQ51" s="9" t="str">
        <f t="shared" si="7"/>
        <v>B2</v>
      </c>
      <c r="AR51" s="9" t="str">
        <f t="shared" si="8"/>
        <v>Branca</v>
      </c>
      <c r="AS51" s="9" t="str">
        <f t="shared" si="9"/>
        <v>Rural</v>
      </c>
      <c r="AT51" s="9" t="str">
        <f t="shared" si="10"/>
        <v>Não se aplica</v>
      </c>
      <c r="AU51" s="9" t="str">
        <f t="shared" si="11"/>
        <v>Não se aplica</v>
      </c>
      <c r="AV51" s="58">
        <f t="shared" si="12"/>
        <v>1</v>
      </c>
      <c r="AW51" s="58">
        <f ca="1">TarifaMedia!$G$52</f>
        <v>1</v>
      </c>
      <c r="AX51" s="23">
        <f ca="1">'TUSD BE'!$AM51+'TUSD BF'!$AM51+'TUSD CVA'!$AM51</f>
        <v>565.24005323355811</v>
      </c>
      <c r="AY51" s="58">
        <f>ROUND(586.47/(1-CUSTOS!$M$38),2)</f>
        <v>623.9</v>
      </c>
      <c r="AZ51" s="58">
        <f t="shared" ca="1" si="13"/>
        <v>58.659946766441863</v>
      </c>
      <c r="BA51" s="58"/>
      <c r="BB51" s="58"/>
      <c r="BC51" s="82" t="s">
        <v>997</v>
      </c>
    </row>
    <row r="52" spans="1:55" ht="11.25" customHeight="1" x14ac:dyDescent="0.3">
      <c r="A52" s="128"/>
      <c r="B52" s="128"/>
      <c r="C52" s="128"/>
      <c r="D52" s="128"/>
      <c r="E52" s="128"/>
      <c r="F52" s="128"/>
      <c r="G52" s="18" t="s">
        <v>80</v>
      </c>
      <c r="H52" s="18" t="s">
        <v>78</v>
      </c>
      <c r="I52" s="18">
        <f>'MERCADO TUSD'!$U$49</f>
        <v>0</v>
      </c>
      <c r="J52" s="15"/>
      <c r="L52" s="13">
        <f>'TUSD BE'!$L$52*'TUSD BE'!$L$78</f>
        <v>-0.56348944178893323</v>
      </c>
      <c r="M52" s="13">
        <f>'TUSD BE'!$M$52*'TUSD BE'!$M$78</f>
        <v>-2.0658970226936097E-3</v>
      </c>
      <c r="N52" s="13">
        <f ca="1">'TUSD BE'!$N$52*'TUSD BE'!$N$78</f>
        <v>2.5700114077245296E-7</v>
      </c>
      <c r="O52" s="13">
        <f>'TUSD BE'!$O$52*'TUSD BE'!$O$78</f>
        <v>0</v>
      </c>
      <c r="P52" s="13">
        <f>'TUSD BE'!$P$52*'TUSD BE'!$P$78</f>
        <v>0</v>
      </c>
      <c r="Q52" s="13">
        <f>'TUSD BE'!$Q$52*'TUSD BE'!$Q$78</f>
        <v>-1.6095968681012454</v>
      </c>
      <c r="R52" s="13">
        <f>'TUSD BE'!$R$52*'TUSD BE'!$R$78</f>
        <v>-0.37578018258543827</v>
      </c>
      <c r="S52" s="13">
        <f>'TUSD BE'!$R$52*'TUSD BE'!$S$78</f>
        <v>0</v>
      </c>
      <c r="T52" s="13">
        <f ca="1">SUM($L$52:$S$52)</f>
        <v>-2.5509321324971697</v>
      </c>
      <c r="U52" s="13">
        <f>'TUSD BE'!$U$52*'TUSD BE'!$U$78</f>
        <v>-0.22856815987132034</v>
      </c>
      <c r="V52" s="13">
        <f>'TUSD BE'!$V$52*'TUSD BE'!$V$78</f>
        <v>-5.1372022479153477E-2</v>
      </c>
      <c r="W52" s="13">
        <f>'TUSD BE'!$W$52*'TUSD BE'!$W$78</f>
        <v>-1.7606202181716169E-3</v>
      </c>
      <c r="X52" s="13">
        <f>'TUSD BE'!$X$52*'TUSD BE'!$X$78</f>
        <v>0</v>
      </c>
      <c r="Y52" s="13">
        <f>'TUSD BE'!$Y$52*'TUSD BE'!$Y$78</f>
        <v>0</v>
      </c>
      <c r="Z52" s="13">
        <f>'TUSD BE'!$Z$52*'TUSD BE'!$Z$78</f>
        <v>0</v>
      </c>
      <c r="AA52" s="13">
        <f>'TUSD BE'!$AA$52*'TUSD BE'!$AA$78</f>
        <v>0</v>
      </c>
      <c r="AB52" s="13">
        <f>SUM($U$52:$AA$52)</f>
        <v>-0.28170080256864544</v>
      </c>
      <c r="AC52" s="13">
        <f>'TUSD BE'!$AC$52*'TUSD BE'!$AC$78</f>
        <v>1.1853658647318919E-2</v>
      </c>
      <c r="AD52" s="13">
        <f>SUM($AC$52:$AC$52)</f>
        <v>1.1853658647318919E-2</v>
      </c>
      <c r="AE52" s="13">
        <f ca="1">$AO$52*$AO$75</f>
        <v>0</v>
      </c>
      <c r="AF52" s="13">
        <f ca="1">$AP$52*$AP$75</f>
        <v>0</v>
      </c>
      <c r="AG52" s="13">
        <f ca="1">SUM($AE$52:$AF$52)</f>
        <v>0</v>
      </c>
      <c r="AH52" s="13">
        <f>'TUSD BE'!$AH$52*'TUSD BE'!$AH$78</f>
        <v>10.920190337325092</v>
      </c>
      <c r="AI52" s="13">
        <f>'TUSD BE'!$AI$52*'TUSD BE'!$AI$78</f>
        <v>0.18925872471314215</v>
      </c>
      <c r="AJ52" s="13">
        <f ca="1">'TUSD BE'!$AJ$52*'TUSD BE'!$AJ$78</f>
        <v>0.75386565992479893</v>
      </c>
      <c r="AK52" s="13">
        <f ca="1">'TUSD BE'!$AK$52*'TUSD BE'!$AK$78</f>
        <v>-1.7241257166437356E-2</v>
      </c>
      <c r="AL52" s="13">
        <f ca="1">SUM($AH$52:$AK$52)</f>
        <v>11.846073464796595</v>
      </c>
      <c r="AM52" s="13">
        <f ca="1">SUMIF($L$4:$AL$4,"SUBTOTAL",$L$52:$AL$52)+AZ52</f>
        <v>21.521733012708125</v>
      </c>
      <c r="AO52" s="20">
        <f ca="1">+'TUSD BE'!$T$52+'TUSD BE'!$AB$52+'TUSD BE'!$AD$52+'TUSD BE'!$AL$52</f>
        <v>265.8441844967993</v>
      </c>
      <c r="AP52" s="20">
        <f ca="1">+'TUSD BE'!$T$52+'TUSD BE'!$AB$52+'TUSD BE'!$AD$52+'TUSD BE'!$AL$52</f>
        <v>265.8441844967993</v>
      </c>
      <c r="AQ52" s="9" t="str">
        <f t="shared" si="7"/>
        <v>B2</v>
      </c>
      <c r="AR52" s="9" t="str">
        <f t="shared" si="8"/>
        <v>Branca</v>
      </c>
      <c r="AS52" s="9" t="str">
        <f t="shared" si="9"/>
        <v>Rural</v>
      </c>
      <c r="AT52" s="9" t="str">
        <f t="shared" si="10"/>
        <v>Não se aplica</v>
      </c>
      <c r="AU52" s="9" t="str">
        <f t="shared" si="11"/>
        <v>Não se aplica</v>
      </c>
      <c r="AV52" s="58">
        <f t="shared" si="12"/>
        <v>1</v>
      </c>
      <c r="AW52" s="58">
        <f ca="1">TarifaMedia!$G$52</f>
        <v>1</v>
      </c>
      <c r="AX52" s="23">
        <f ca="1">'TUSD BE'!$AM52+'TUSD BF'!$AM52+'TUSD CVA'!$AM52</f>
        <v>301.72356117567</v>
      </c>
      <c r="AY52" s="58">
        <f>ROUND(295.37/(1-CUSTOS!$M$38),2)</f>
        <v>314.22000000000003</v>
      </c>
      <c r="AZ52" s="58">
        <f t="shared" ca="1" si="13"/>
        <v>12.496438824330028</v>
      </c>
      <c r="BA52" s="58"/>
      <c r="BB52" s="58"/>
      <c r="BC52" s="82" t="s">
        <v>998</v>
      </c>
    </row>
    <row r="53" spans="1:55" ht="11.25" customHeight="1" x14ac:dyDescent="0.3">
      <c r="A53" s="128"/>
      <c r="B53" s="17" t="s">
        <v>23</v>
      </c>
      <c r="C53" s="17" t="s">
        <v>45</v>
      </c>
      <c r="D53" s="17" t="s">
        <v>25</v>
      </c>
      <c r="E53" s="17" t="s">
        <v>25</v>
      </c>
      <c r="F53" s="17" t="s">
        <v>25</v>
      </c>
      <c r="G53" s="18" t="s">
        <v>84</v>
      </c>
      <c r="H53" s="18" t="s">
        <v>78</v>
      </c>
      <c r="I53" s="18">
        <f>'MERCADO TUSD'!$U$50</f>
        <v>3773.6869999999999</v>
      </c>
      <c r="J53" s="15"/>
      <c r="L53" s="13">
        <f>'TUSD BE'!$L$53*'TUSD BE'!$L$78</f>
        <v>-0.56348944178893323</v>
      </c>
      <c r="M53" s="13">
        <f>'TUSD BE'!$M$53*'TUSD BE'!$M$78</f>
        <v>-2.0658970226936097E-3</v>
      </c>
      <c r="N53" s="13">
        <f ca="1">'TUSD BE'!$N$53*'TUSD BE'!$N$78</f>
        <v>3.2442995957833044E-7</v>
      </c>
      <c r="O53" s="13">
        <f>'TUSD BE'!$O$53*'TUSD BE'!$O$78</f>
        <v>0</v>
      </c>
      <c r="P53" s="13">
        <f>'TUSD BE'!$P$53*'TUSD BE'!$P$78</f>
        <v>0</v>
      </c>
      <c r="Q53" s="13">
        <f>'TUSD BE'!$Q$53*'TUSD BE'!$Q$78</f>
        <v>-1.6095968681012454</v>
      </c>
      <c r="R53" s="13">
        <f>'TUSD BE'!$R$53*'TUSD BE'!$R$78</f>
        <v>-0.37578018258543827</v>
      </c>
      <c r="S53" s="13">
        <f>'TUSD BE'!$R$53*'TUSD BE'!$S$78</f>
        <v>0</v>
      </c>
      <c r="T53" s="13">
        <f ca="1">SUM($L$53:$S$53)</f>
        <v>-2.5509320650683507</v>
      </c>
      <c r="U53" s="13">
        <f>'TUSD BE'!$U$53*'TUSD BE'!$U$78</f>
        <v>-0.38740392314125843</v>
      </c>
      <c r="V53" s="13">
        <f>'TUSD BE'!$V$53*'TUSD BE'!$V$78</f>
        <v>-8.7071283954943249E-2</v>
      </c>
      <c r="W53" s="13">
        <f>'TUSD BE'!$W$53*'TUSD BE'!$W$78</f>
        <v>-2.9844390398367057E-3</v>
      </c>
      <c r="X53" s="13">
        <f>'TUSD BE'!$X$53*'TUSD BE'!$X$78</f>
        <v>0</v>
      </c>
      <c r="Y53" s="13">
        <f>'TUSD BE'!$Y$53*'TUSD BE'!$Y$78</f>
        <v>0</v>
      </c>
      <c r="Z53" s="13">
        <f>'TUSD BE'!$Z$53*'TUSD BE'!$Z$78</f>
        <v>0</v>
      </c>
      <c r="AA53" s="13">
        <f>'TUSD BE'!$AA$53*'TUSD BE'!$AA$78</f>
        <v>0</v>
      </c>
      <c r="AB53" s="13">
        <f>SUM($U$53:$AA$53)</f>
        <v>-0.47745964613603836</v>
      </c>
      <c r="AC53" s="13">
        <f>'TUSD BE'!$AC$53*'TUSD BE'!$AC$78</f>
        <v>2.0090940894072554E-2</v>
      </c>
      <c r="AD53" s="13">
        <f>SUM($AC$53:$AC$53)</f>
        <v>2.0090940894072554E-2</v>
      </c>
      <c r="AE53" s="13">
        <f ca="1">$AO$53*$AO$75</f>
        <v>0</v>
      </c>
      <c r="AF53" s="13">
        <f ca="1">$AP$53*$AP$75</f>
        <v>0</v>
      </c>
      <c r="AG53" s="13">
        <f ca="1">SUM($AE$53:$AF$53)</f>
        <v>0</v>
      </c>
      <c r="AH53" s="13">
        <f>'TUSD BE'!$AH$53*'TUSD BE'!$AH$78</f>
        <v>10.920190337325092</v>
      </c>
      <c r="AI53" s="13">
        <f>'TUSD BE'!$AI$53*'TUSD BE'!$AI$78</f>
        <v>0.18925872471314215</v>
      </c>
      <c r="AJ53" s="13">
        <f ca="1">'TUSD BE'!$AJ$53*'TUSD BE'!$AJ$78</f>
        <v>0.75386565992479893</v>
      </c>
      <c r="AK53" s="13">
        <f ca="1">'TUSD BE'!$AK$53*'TUSD BE'!$AK$78</f>
        <v>-1.7241257166437356E-2</v>
      </c>
      <c r="AL53" s="13">
        <f ca="1">SUM($AH$53:$AK$53)</f>
        <v>11.846073464796595</v>
      </c>
      <c r="AM53" s="13">
        <f ca="1">SUMIF($L$4:$AL$4,"SUBTOTAL",$L$53:$AL$53)+AZ53</f>
        <v>24.68337448577013</v>
      </c>
      <c r="AO53" s="20">
        <f ca="1">+'TUSD BE'!$T$53+'TUSD BE'!$AB$53+'TUSD BE'!$AD$53+'TUSD BE'!$AL$53</f>
        <v>356.4462800994238</v>
      </c>
      <c r="AP53" s="20">
        <f ca="1">+'TUSD BE'!$T$53+'TUSD BE'!$AB$53+'TUSD BE'!$AD$53+'TUSD BE'!$AL$53</f>
        <v>356.4462800994238</v>
      </c>
      <c r="AQ53" s="9" t="str">
        <f t="shared" si="7"/>
        <v>B2</v>
      </c>
      <c r="AR53" s="9" t="str">
        <f t="shared" si="8"/>
        <v>Convencional</v>
      </c>
      <c r="AS53" s="9" t="str">
        <f t="shared" si="9"/>
        <v>Rural</v>
      </c>
      <c r="AT53" s="9" t="str">
        <f t="shared" si="10"/>
        <v>Não se aplica</v>
      </c>
      <c r="AU53" s="9" t="str">
        <f t="shared" si="11"/>
        <v>Não se aplica</v>
      </c>
      <c r="AV53" s="58">
        <f t="shared" si="12"/>
        <v>1</v>
      </c>
      <c r="AW53" s="58">
        <f ca="1">TarifaMedia!$G$52</f>
        <v>1</v>
      </c>
      <c r="AX53" s="23">
        <f ca="1">'TUSD BE'!$AM53+'TUSD BF'!$AM53+'TUSD CVA'!$AM53</f>
        <v>393.28439820871614</v>
      </c>
      <c r="AY53" s="58">
        <v>409.13</v>
      </c>
      <c r="AZ53" s="58">
        <f t="shared" ca="1" si="13"/>
        <v>15.845601791283855</v>
      </c>
      <c r="BA53" s="58"/>
      <c r="BB53" s="58"/>
      <c r="BC53" s="82" t="s">
        <v>992</v>
      </c>
    </row>
    <row r="54" spans="1:55" ht="11.25" customHeight="1" x14ac:dyDescent="0.3">
      <c r="A54" s="128"/>
      <c r="B54" s="128" t="s">
        <v>33</v>
      </c>
      <c r="C54" s="128" t="s">
        <v>45</v>
      </c>
      <c r="D54" s="128" t="s">
        <v>93</v>
      </c>
      <c r="E54" s="128" t="s">
        <v>25</v>
      </c>
      <c r="F54" s="128" t="s">
        <v>25</v>
      </c>
      <c r="G54" s="18" t="s">
        <v>79</v>
      </c>
      <c r="H54" s="18" t="s">
        <v>78</v>
      </c>
      <c r="I54" s="18">
        <f>'MERCADO TUSD'!$U$51</f>
        <v>0</v>
      </c>
      <c r="J54" s="15"/>
      <c r="L54" s="13">
        <f>'TUSD BE'!$L$54*'TUSD BE'!$L$78</f>
        <v>-0.56348944178893323</v>
      </c>
      <c r="M54" s="13">
        <f>'TUSD BE'!$M$54*'TUSD BE'!$M$78</f>
        <v>-2.0658970226936097E-3</v>
      </c>
      <c r="N54" s="13">
        <f ca="1">'TUSD BE'!$N$54*'TUSD BE'!$N$78</f>
        <v>6.4512806459150336E-7</v>
      </c>
      <c r="O54" s="13">
        <f>'TUSD BE'!$O$54*'TUSD BE'!$O$78</f>
        <v>0</v>
      </c>
      <c r="P54" s="13">
        <f>'TUSD BE'!$P$54*'TUSD BE'!$P$78</f>
        <v>0</v>
      </c>
      <c r="Q54" s="13">
        <f>'TUSD BE'!$Q$54*'TUSD BE'!$Q$78</f>
        <v>-1.6095968681012454</v>
      </c>
      <c r="R54" s="13">
        <f>'TUSD BE'!$R$54*'TUSD BE'!$R$78</f>
        <v>-0.37578018258543827</v>
      </c>
      <c r="S54" s="13">
        <f>'TUSD BE'!$R$54*'TUSD BE'!$S$78</f>
        <v>0</v>
      </c>
      <c r="T54" s="13">
        <f ca="1">SUM($L$54:$S$54)</f>
        <v>-2.5509317443702457</v>
      </c>
      <c r="U54" s="13">
        <f>'TUSD BE'!$U$54*'TUSD BE'!$U$78</f>
        <v>-1.142842347176823</v>
      </c>
      <c r="V54" s="13">
        <f>'TUSD BE'!$V$54*'TUSD BE'!$V$78</f>
        <v>-0.25686011239576745</v>
      </c>
      <c r="W54" s="13">
        <f>'TUSD BE'!$W$54*'TUSD BE'!$W$78</f>
        <v>-8.8038374439397115E-3</v>
      </c>
      <c r="X54" s="13">
        <f>'TUSD BE'!$X$54*'TUSD BE'!$X$78</f>
        <v>0</v>
      </c>
      <c r="Y54" s="13">
        <f>'TUSD BE'!$Y$54*'TUSD BE'!$Y$78</f>
        <v>0</v>
      </c>
      <c r="Z54" s="13">
        <f>'TUSD BE'!$Z$54*'TUSD BE'!$Z$78</f>
        <v>0</v>
      </c>
      <c r="AA54" s="13">
        <f>'TUSD BE'!$AA$54*'TUSD BE'!$AA$78</f>
        <v>0</v>
      </c>
      <c r="AB54" s="13">
        <f>SUM($U$54:$AA$54)</f>
        <v>-1.4085062970165301</v>
      </c>
      <c r="AC54" s="13">
        <f>'TUSD BE'!$AC$54*'TUSD BE'!$AC$78</f>
        <v>5.9268293236594591E-2</v>
      </c>
      <c r="AD54" s="13">
        <f>SUM($AC$54:$AC$54)</f>
        <v>5.9268293236594591E-2</v>
      </c>
      <c r="AE54" s="13">
        <f ca="1">$AO$54*$AO$75</f>
        <v>0</v>
      </c>
      <c r="AF54" s="13">
        <f ca="1">$AP$54*$AP$75</f>
        <v>0</v>
      </c>
      <c r="AG54" s="13">
        <f ca="1">SUM($AE$54:$AF$54)</f>
        <v>0</v>
      </c>
      <c r="AH54" s="13">
        <f>'TUSD BE'!$AH$54*'TUSD BE'!$AH$78</f>
        <v>10.920190337325092</v>
      </c>
      <c r="AI54" s="13">
        <f>'TUSD BE'!$AI$54*'TUSD BE'!$AI$78</f>
        <v>0.18925872471314215</v>
      </c>
      <c r="AJ54" s="13">
        <f ca="1">'TUSD BE'!$AJ$54*'TUSD BE'!$AJ$78</f>
        <v>0.75386565992479893</v>
      </c>
      <c r="AK54" s="13">
        <f ca="1">'TUSD BE'!$AK$54*'TUSD BE'!$AK$78</f>
        <v>-1.7241257166437356E-2</v>
      </c>
      <c r="AL54" s="13">
        <f ca="1">SUM($AH$54:$AK$54)</f>
        <v>11.846073464796595</v>
      </c>
      <c r="AM54" s="13">
        <f ca="1">SUMIF($L$4:$AL$4,"SUBTOTAL",$L$54:$AL$54)+AZ54</f>
        <v>112.78926770092393</v>
      </c>
      <c r="AO54" s="20">
        <f ca="1">+'TUSD BE'!$T$54+'TUSD BE'!$AB$54+'TUSD BE'!$AD$54+'TUSD BE'!$AL$54</f>
        <v>787.35865020901031</v>
      </c>
      <c r="AP54" s="20">
        <f ca="1">+'TUSD BE'!$T$54+'TUSD BE'!$AB$54+'TUSD BE'!$AD$54+'TUSD BE'!$AL$54</f>
        <v>787.35865020901031</v>
      </c>
      <c r="AQ54" s="9" t="str">
        <f t="shared" si="7"/>
        <v>B2</v>
      </c>
      <c r="AR54" s="9" t="str">
        <f t="shared" si="8"/>
        <v>Branca</v>
      </c>
      <c r="AS54" s="9" t="str">
        <f t="shared" si="9"/>
        <v>Rural</v>
      </c>
      <c r="AT54" s="9" t="str">
        <f t="shared" si="10"/>
        <v>Cooperativa de eletrificação rural</v>
      </c>
      <c r="AU54" s="9" t="str">
        <f t="shared" si="11"/>
        <v>Não se aplica</v>
      </c>
      <c r="AV54" s="58">
        <f t="shared" si="12"/>
        <v>1</v>
      </c>
      <c r="AW54" s="58">
        <f ca="1">TarifaMedia!$G$52</f>
        <v>1</v>
      </c>
      <c r="AX54" s="23">
        <f ca="1">'TUSD BE'!$AM54+'TUSD BF'!$AM54+'TUSD CVA'!$AM54</f>
        <v>828.75663601572251</v>
      </c>
      <c r="AY54" s="58">
        <f>ROUND(877.58/(1-CUSTOS!$M$38),2)</f>
        <v>933.6</v>
      </c>
      <c r="AZ54" s="58">
        <f t="shared" ca="1" si="13"/>
        <v>104.84336398427752</v>
      </c>
      <c r="BA54" s="58"/>
      <c r="BB54" s="58"/>
      <c r="BC54" s="82" t="s">
        <v>996</v>
      </c>
    </row>
    <row r="55" spans="1:55" ht="11.25" customHeight="1" x14ac:dyDescent="0.3">
      <c r="A55" s="128"/>
      <c r="B55" s="128"/>
      <c r="C55" s="128"/>
      <c r="D55" s="128"/>
      <c r="E55" s="128"/>
      <c r="F55" s="128"/>
      <c r="G55" s="18" t="s">
        <v>90</v>
      </c>
      <c r="H55" s="18" t="s">
        <v>78</v>
      </c>
      <c r="I55" s="18">
        <f>'MERCADO TUSD'!$U$52</f>
        <v>0</v>
      </c>
      <c r="J55" s="15"/>
      <c r="L55" s="13">
        <f>'TUSD BE'!$L$55*'TUSD BE'!$L$78</f>
        <v>-0.56348944178893323</v>
      </c>
      <c r="M55" s="13">
        <f>'TUSD BE'!$M$55*'TUSD BE'!$M$78</f>
        <v>-2.0658970226936097E-3</v>
      </c>
      <c r="N55" s="13">
        <f ca="1">'TUSD BE'!$N$55*'TUSD BE'!$N$78</f>
        <v>4.5106460268197813E-7</v>
      </c>
      <c r="O55" s="13">
        <f>'TUSD BE'!$O$55*'TUSD BE'!$O$78</f>
        <v>0</v>
      </c>
      <c r="P55" s="13">
        <f>'TUSD BE'!$P$55*'TUSD BE'!$P$78</f>
        <v>0</v>
      </c>
      <c r="Q55" s="13">
        <f>'TUSD BE'!$Q$55*'TUSD BE'!$Q$78</f>
        <v>-1.6095968681012454</v>
      </c>
      <c r="R55" s="13">
        <f>'TUSD BE'!$R$55*'TUSD BE'!$R$78</f>
        <v>-0.37578018258543827</v>
      </c>
      <c r="S55" s="13">
        <f>'TUSD BE'!$R$55*'TUSD BE'!$S$78</f>
        <v>0</v>
      </c>
      <c r="T55" s="13">
        <f ca="1">SUM($L$55:$S$55)</f>
        <v>-2.5509319384337079</v>
      </c>
      <c r="U55" s="13">
        <f>'TUSD BE'!$U$55*'TUSD BE'!$U$78</f>
        <v>-0.68570602743418219</v>
      </c>
      <c r="V55" s="13">
        <f>'TUSD BE'!$V$55*'TUSD BE'!$V$78</f>
        <v>-0.15411606743746048</v>
      </c>
      <c r="W55" s="13">
        <f>'TUSD BE'!$W$55*'TUSD BE'!$W$78</f>
        <v>-5.2818606545148505E-3</v>
      </c>
      <c r="X55" s="13">
        <f>'TUSD BE'!$X$55*'TUSD BE'!$X$78</f>
        <v>0</v>
      </c>
      <c r="Y55" s="13">
        <f>'TUSD BE'!$Y$55*'TUSD BE'!$Y$78</f>
        <v>0</v>
      </c>
      <c r="Z55" s="13">
        <f>'TUSD BE'!$Z$55*'TUSD BE'!$Z$78</f>
        <v>0</v>
      </c>
      <c r="AA55" s="13">
        <f>'TUSD BE'!$AA$55*'TUSD BE'!$AA$78</f>
        <v>0</v>
      </c>
      <c r="AB55" s="13">
        <f>SUM($U$55:$AA$55)</f>
        <v>-0.84510395552615747</v>
      </c>
      <c r="AC55" s="13">
        <f>'TUSD BE'!$AC$55*'TUSD BE'!$AC$78</f>
        <v>3.5560975941956757E-2</v>
      </c>
      <c r="AD55" s="13">
        <f>SUM($AC$55:$AC$55)</f>
        <v>3.5560975941956757E-2</v>
      </c>
      <c r="AE55" s="13">
        <f ca="1">$AO$55*$AO$75</f>
        <v>0</v>
      </c>
      <c r="AF55" s="13">
        <f ca="1">$AP$55*$AP$75</f>
        <v>0</v>
      </c>
      <c r="AG55" s="13">
        <f ca="1">SUM($AE$55:$AF$55)</f>
        <v>0</v>
      </c>
      <c r="AH55" s="13">
        <f>'TUSD BE'!$AH$55*'TUSD BE'!$AH$78</f>
        <v>10.920190337325092</v>
      </c>
      <c r="AI55" s="13">
        <f>'TUSD BE'!$AI$55*'TUSD BE'!$AI$78</f>
        <v>0.18925872471314215</v>
      </c>
      <c r="AJ55" s="13">
        <f ca="1">'TUSD BE'!$AJ$55*'TUSD BE'!$AJ$78</f>
        <v>0.75386565992479893</v>
      </c>
      <c r="AK55" s="13">
        <f ca="1">'TUSD BE'!$AK$55*'TUSD BE'!$AK$78</f>
        <v>-1.7241257166437356E-2</v>
      </c>
      <c r="AL55" s="13">
        <f ca="1">SUM($AH$55:$AK$55)</f>
        <v>11.846073464796595</v>
      </c>
      <c r="AM55" s="13">
        <f ca="1">SUMIF($L$4:$AL$4,"SUBTOTAL",$L$55:$AL$55)+AZ55</f>
        <v>67.145545313220552</v>
      </c>
      <c r="AO55" s="20">
        <f ca="1">+'TUSD BE'!$T$55+'TUSD BE'!$AB$55+'TUSD BE'!$AD$55+'TUSD BE'!$AL$55</f>
        <v>526.60136775230944</v>
      </c>
      <c r="AP55" s="20">
        <f ca="1">+'TUSD BE'!$T$55+'TUSD BE'!$AB$55+'TUSD BE'!$AD$55+'TUSD BE'!$AL$55</f>
        <v>526.60136775230944</v>
      </c>
      <c r="AQ55" s="9" t="str">
        <f t="shared" si="7"/>
        <v>B2</v>
      </c>
      <c r="AR55" s="9" t="str">
        <f t="shared" si="8"/>
        <v>Branca</v>
      </c>
      <c r="AS55" s="9" t="str">
        <f t="shared" si="9"/>
        <v>Rural</v>
      </c>
      <c r="AT55" s="9" t="str">
        <f t="shared" si="10"/>
        <v>Cooperativa de eletrificação rural</v>
      </c>
      <c r="AU55" s="9" t="str">
        <f t="shared" si="11"/>
        <v>Não se aplica</v>
      </c>
      <c r="AV55" s="58">
        <f t="shared" si="12"/>
        <v>1</v>
      </c>
      <c r="AW55" s="58">
        <f ca="1">TarifaMedia!$G$52</f>
        <v>1</v>
      </c>
      <c r="AX55" s="23">
        <f ca="1">'TUSD BE'!$AM55+'TUSD BF'!$AM55+'TUSD CVA'!$AM55</f>
        <v>565.24005323355811</v>
      </c>
      <c r="AY55" s="58">
        <f>ROUND(586.47/(1-CUSTOS!$M$38),2)</f>
        <v>623.9</v>
      </c>
      <c r="AZ55" s="58">
        <f t="shared" ca="1" si="13"/>
        <v>58.659946766441863</v>
      </c>
      <c r="BA55" s="58"/>
      <c r="BB55" s="58"/>
      <c r="BC55" s="82" t="s">
        <v>997</v>
      </c>
    </row>
    <row r="56" spans="1:55" ht="11.25" customHeight="1" x14ac:dyDescent="0.3">
      <c r="A56" s="128"/>
      <c r="B56" s="128"/>
      <c r="C56" s="128"/>
      <c r="D56" s="128"/>
      <c r="E56" s="128"/>
      <c r="F56" s="128"/>
      <c r="G56" s="18" t="s">
        <v>80</v>
      </c>
      <c r="H56" s="18" t="s">
        <v>78</v>
      </c>
      <c r="I56" s="18">
        <f>'MERCADO TUSD'!$U$53</f>
        <v>0</v>
      </c>
      <c r="J56" s="15"/>
      <c r="L56" s="13">
        <f>'TUSD BE'!$L$56*'TUSD BE'!$L$78</f>
        <v>-0.56348944178893323</v>
      </c>
      <c r="M56" s="13">
        <f>'TUSD BE'!$M$56*'TUSD BE'!$M$78</f>
        <v>-2.0658970226936097E-3</v>
      </c>
      <c r="N56" s="13">
        <f ca="1">'TUSD BE'!$N$56*'TUSD BE'!$N$78</f>
        <v>2.5700114077245296E-7</v>
      </c>
      <c r="O56" s="13">
        <f>'TUSD BE'!$O$56*'TUSD BE'!$O$78</f>
        <v>0</v>
      </c>
      <c r="P56" s="13">
        <f>'TUSD BE'!$P$56*'TUSD BE'!$P$78</f>
        <v>0</v>
      </c>
      <c r="Q56" s="13">
        <f>'TUSD BE'!$Q$56*'TUSD BE'!$Q$78</f>
        <v>-1.6095968681012454</v>
      </c>
      <c r="R56" s="13">
        <f>'TUSD BE'!$R$56*'TUSD BE'!$R$78</f>
        <v>-0.37578018258543827</v>
      </c>
      <c r="S56" s="13">
        <f>'TUSD BE'!$R$56*'TUSD BE'!$S$78</f>
        <v>0</v>
      </c>
      <c r="T56" s="13">
        <f ca="1">SUM($L$56:$S$56)</f>
        <v>-2.5509321324971697</v>
      </c>
      <c r="U56" s="13">
        <f>'TUSD BE'!$U$56*'TUSD BE'!$U$78</f>
        <v>-0.22856815987132034</v>
      </c>
      <c r="V56" s="13">
        <f>'TUSD BE'!$V$56*'TUSD BE'!$V$78</f>
        <v>-5.1372022479153477E-2</v>
      </c>
      <c r="W56" s="13">
        <f>'TUSD BE'!$W$56*'TUSD BE'!$W$78</f>
        <v>-1.7606202181716169E-3</v>
      </c>
      <c r="X56" s="13">
        <f>'TUSD BE'!$X$56*'TUSD BE'!$X$78</f>
        <v>0</v>
      </c>
      <c r="Y56" s="13">
        <f>'TUSD BE'!$Y$56*'TUSD BE'!$Y$78</f>
        <v>0</v>
      </c>
      <c r="Z56" s="13">
        <f>'TUSD BE'!$Z$56*'TUSD BE'!$Z$78</f>
        <v>0</v>
      </c>
      <c r="AA56" s="13">
        <f>'TUSD BE'!$AA$56*'TUSD BE'!$AA$78</f>
        <v>0</v>
      </c>
      <c r="AB56" s="13">
        <f>SUM($U$56:$AA$56)</f>
        <v>-0.28170080256864544</v>
      </c>
      <c r="AC56" s="13">
        <f>'TUSD BE'!$AC$56*'TUSD BE'!$AC$78</f>
        <v>1.1853658647318919E-2</v>
      </c>
      <c r="AD56" s="13">
        <f>SUM($AC$56:$AC$56)</f>
        <v>1.1853658647318919E-2</v>
      </c>
      <c r="AE56" s="13">
        <f ca="1">$AO$56*$AO$75</f>
        <v>0</v>
      </c>
      <c r="AF56" s="13">
        <f ca="1">$AP$56*$AP$75</f>
        <v>0</v>
      </c>
      <c r="AG56" s="13">
        <f ca="1">SUM($AE$56:$AF$56)</f>
        <v>0</v>
      </c>
      <c r="AH56" s="13">
        <f>'TUSD BE'!$AH$56*'TUSD BE'!$AH$78</f>
        <v>10.920190337325092</v>
      </c>
      <c r="AI56" s="13">
        <f>'TUSD BE'!$AI$56*'TUSD BE'!$AI$78</f>
        <v>0.18925872471314215</v>
      </c>
      <c r="AJ56" s="13">
        <f ca="1">'TUSD BE'!$AJ$56*'TUSD BE'!$AJ$78</f>
        <v>0.75386565992479893</v>
      </c>
      <c r="AK56" s="13">
        <f ca="1">'TUSD BE'!$AK$56*'TUSD BE'!$AK$78</f>
        <v>-1.7241257166437356E-2</v>
      </c>
      <c r="AL56" s="13">
        <f ca="1">SUM($AH$56:$AK$56)</f>
        <v>11.846073464796595</v>
      </c>
      <c r="AM56" s="13">
        <f ca="1">SUMIF($L$4:$AL$4,"SUBTOTAL",$L$56:$AL$56)+AZ56</f>
        <v>21.521733012708125</v>
      </c>
      <c r="AO56" s="20">
        <f ca="1">+'TUSD BE'!$T$56+'TUSD BE'!$AB$56+'TUSD BE'!$AD$56+'TUSD BE'!$AL$56</f>
        <v>265.8441844967993</v>
      </c>
      <c r="AP56" s="20">
        <f ca="1">+'TUSD BE'!$T$56+'TUSD BE'!$AB$56+'TUSD BE'!$AD$56+'TUSD BE'!$AL$56</f>
        <v>265.8441844967993</v>
      </c>
      <c r="AQ56" s="9" t="str">
        <f t="shared" si="7"/>
        <v>B2</v>
      </c>
      <c r="AR56" s="9" t="str">
        <f t="shared" si="8"/>
        <v>Branca</v>
      </c>
      <c r="AS56" s="9" t="str">
        <f t="shared" si="9"/>
        <v>Rural</v>
      </c>
      <c r="AT56" s="9" t="str">
        <f t="shared" si="10"/>
        <v>Cooperativa de eletrificação rural</v>
      </c>
      <c r="AU56" s="9" t="str">
        <f t="shared" si="11"/>
        <v>Não se aplica</v>
      </c>
      <c r="AV56" s="58">
        <f t="shared" si="12"/>
        <v>1</v>
      </c>
      <c r="AW56" s="58">
        <f ca="1">TarifaMedia!$G$52</f>
        <v>1</v>
      </c>
      <c r="AX56" s="23">
        <f ca="1">'TUSD BE'!$AM56+'TUSD BF'!$AM56+'TUSD CVA'!$AM56</f>
        <v>301.72356117567</v>
      </c>
      <c r="AY56" s="58">
        <f>ROUND(295.37/(1-CUSTOS!$M$38),2)</f>
        <v>314.22000000000003</v>
      </c>
      <c r="AZ56" s="58">
        <f t="shared" ca="1" si="13"/>
        <v>12.496438824330028</v>
      </c>
      <c r="BA56" s="58"/>
      <c r="BB56" s="58"/>
      <c r="BC56" s="82" t="s">
        <v>998</v>
      </c>
    </row>
    <row r="57" spans="1:55" ht="11.25" customHeight="1" x14ac:dyDescent="0.3">
      <c r="A57" s="128"/>
      <c r="B57" s="17" t="s">
        <v>23</v>
      </c>
      <c r="C57" s="17" t="s">
        <v>45</v>
      </c>
      <c r="D57" s="17" t="s">
        <v>93</v>
      </c>
      <c r="E57" s="17" t="s">
        <v>25</v>
      </c>
      <c r="F57" s="17" t="s">
        <v>25</v>
      </c>
      <c r="G57" s="18" t="s">
        <v>84</v>
      </c>
      <c r="H57" s="18" t="s">
        <v>78</v>
      </c>
      <c r="I57" s="18">
        <f>'MERCADO TUSD'!$U$54</f>
        <v>0</v>
      </c>
      <c r="J57" s="15"/>
      <c r="L57" s="13">
        <f>'TUSD BE'!$L$57*'TUSD BE'!$L$78</f>
        <v>-0.56348944178893323</v>
      </c>
      <c r="M57" s="13">
        <f>'TUSD BE'!$M$57*'TUSD BE'!$M$78</f>
        <v>-2.0658970226936097E-3</v>
      </c>
      <c r="N57" s="13">
        <f ca="1">'TUSD BE'!$N$57*'TUSD BE'!$N$78</f>
        <v>3.2442995957833044E-7</v>
      </c>
      <c r="O57" s="13">
        <f>'TUSD BE'!$O$57*'TUSD BE'!$O$78</f>
        <v>0</v>
      </c>
      <c r="P57" s="13">
        <f>'TUSD BE'!$P$57*'TUSD BE'!$P$78</f>
        <v>0</v>
      </c>
      <c r="Q57" s="13">
        <f>'TUSD BE'!$Q$57*'TUSD BE'!$Q$78</f>
        <v>-1.6095968681012454</v>
      </c>
      <c r="R57" s="13">
        <f>'TUSD BE'!$R$57*'TUSD BE'!$R$78</f>
        <v>-0.37578018258543827</v>
      </c>
      <c r="S57" s="13">
        <f>'TUSD BE'!$R$57*'TUSD BE'!$S$78</f>
        <v>0</v>
      </c>
      <c r="T57" s="13">
        <f ca="1">SUM($L$57:$S$57)</f>
        <v>-2.5509320650683507</v>
      </c>
      <c r="U57" s="13">
        <f>'TUSD BE'!$U$57*'TUSD BE'!$U$78</f>
        <v>-0.38740392314125843</v>
      </c>
      <c r="V57" s="13">
        <f>'TUSD BE'!$V$57*'TUSD BE'!$V$78</f>
        <v>-8.7071283954943249E-2</v>
      </c>
      <c r="W57" s="13">
        <f>'TUSD BE'!$W$57*'TUSD BE'!$W$78</f>
        <v>-2.9844390398367057E-3</v>
      </c>
      <c r="X57" s="13">
        <f>'TUSD BE'!$X$57*'TUSD BE'!$X$78</f>
        <v>0</v>
      </c>
      <c r="Y57" s="13">
        <f>'TUSD BE'!$Y$57*'TUSD BE'!$Y$78</f>
        <v>0</v>
      </c>
      <c r="Z57" s="13">
        <f>'TUSD BE'!$Z$57*'TUSD BE'!$Z$78</f>
        <v>0</v>
      </c>
      <c r="AA57" s="13">
        <f>'TUSD BE'!$AA$57*'TUSD BE'!$AA$78</f>
        <v>0</v>
      </c>
      <c r="AB57" s="13">
        <f>SUM($U$57:$AA$57)</f>
        <v>-0.47745964613603836</v>
      </c>
      <c r="AC57" s="13">
        <f>'TUSD BE'!$AC$57*'TUSD BE'!$AC$78</f>
        <v>2.0090940894072554E-2</v>
      </c>
      <c r="AD57" s="13">
        <f>SUM($AC$57:$AC$57)</f>
        <v>2.0090940894072554E-2</v>
      </c>
      <c r="AE57" s="13">
        <f ca="1">$AO$57*$AO$75</f>
        <v>0</v>
      </c>
      <c r="AF57" s="13">
        <f ca="1">$AP$57*$AP$75</f>
        <v>0</v>
      </c>
      <c r="AG57" s="13">
        <f ca="1">SUM($AE$57:$AF$57)</f>
        <v>0</v>
      </c>
      <c r="AH57" s="13">
        <f>'TUSD BE'!$AH$57*'TUSD BE'!$AH$78</f>
        <v>10.920190337325092</v>
      </c>
      <c r="AI57" s="13">
        <f>'TUSD BE'!$AI$57*'TUSD BE'!$AI$78</f>
        <v>0.18925872471314215</v>
      </c>
      <c r="AJ57" s="13">
        <f ca="1">'TUSD BE'!$AJ$57*'TUSD BE'!$AJ$78</f>
        <v>0.75386565992479893</v>
      </c>
      <c r="AK57" s="13">
        <f ca="1">'TUSD BE'!$AK$57*'TUSD BE'!$AK$78</f>
        <v>-1.7241257166437356E-2</v>
      </c>
      <c r="AL57" s="13">
        <f ca="1">SUM($AH$57:$AK$57)</f>
        <v>11.846073464796595</v>
      </c>
      <c r="AM57" s="13">
        <f ca="1">SUMIF($L$4:$AL$4,"SUBTOTAL",$L$57:$AL$57)+AZ57</f>
        <v>24.68337448577013</v>
      </c>
      <c r="AO57" s="20">
        <f ca="1">+'TUSD BE'!$T$57+'TUSD BE'!$AB$57+'TUSD BE'!$AD$57+'TUSD BE'!$AL$57</f>
        <v>356.4462800994238</v>
      </c>
      <c r="AP57" s="20">
        <f ca="1">+'TUSD BE'!$T$57+'TUSD BE'!$AB$57+'TUSD BE'!$AD$57+'TUSD BE'!$AL$57</f>
        <v>356.4462800994238</v>
      </c>
      <c r="AQ57" s="9" t="str">
        <f t="shared" si="7"/>
        <v>B2</v>
      </c>
      <c r="AR57" s="9" t="str">
        <f t="shared" si="8"/>
        <v>Convencional</v>
      </c>
      <c r="AS57" s="9" t="str">
        <f t="shared" si="9"/>
        <v>Rural</v>
      </c>
      <c r="AT57" s="9" t="str">
        <f t="shared" si="10"/>
        <v>Cooperativa de eletrificação rural</v>
      </c>
      <c r="AU57" s="9" t="str">
        <f t="shared" si="11"/>
        <v>Não se aplica</v>
      </c>
      <c r="AV57" s="58">
        <f t="shared" si="12"/>
        <v>1</v>
      </c>
      <c r="AW57" s="58">
        <f ca="1">TarifaMedia!$G$52</f>
        <v>1</v>
      </c>
      <c r="AX57" s="23">
        <f ca="1">'TUSD BE'!$AM57+'TUSD BF'!$AM57+'TUSD CVA'!$AM57</f>
        <v>393.28439820871614</v>
      </c>
      <c r="AY57" s="58">
        <v>409.13</v>
      </c>
      <c r="AZ57" s="58">
        <f t="shared" ca="1" si="13"/>
        <v>15.845601791283855</v>
      </c>
      <c r="BA57" s="58"/>
      <c r="BB57" s="58"/>
      <c r="BC57" s="82" t="s">
        <v>992</v>
      </c>
    </row>
    <row r="58" spans="1:55" ht="11.25" customHeight="1" x14ac:dyDescent="0.3">
      <c r="A58" s="128"/>
      <c r="B58" s="128" t="s">
        <v>33</v>
      </c>
      <c r="C58" s="128" t="s">
        <v>45</v>
      </c>
      <c r="D58" s="128" t="s">
        <v>94</v>
      </c>
      <c r="E58" s="128" t="s">
        <v>25</v>
      </c>
      <c r="F58" s="128" t="s">
        <v>25</v>
      </c>
      <c r="G58" s="18" t="s">
        <v>79</v>
      </c>
      <c r="H58" s="18" t="s">
        <v>78</v>
      </c>
      <c r="I58" s="18">
        <f>'MERCADO TUSD'!$U$55</f>
        <v>0</v>
      </c>
      <c r="J58" s="15"/>
      <c r="L58" s="13">
        <f>'TUSD BE'!$L$58*'TUSD BE'!$L$78</f>
        <v>-0.56348944178893323</v>
      </c>
      <c r="M58" s="13">
        <f>'TUSD BE'!$M$58*'TUSD BE'!$M$78</f>
        <v>-2.0658970226936097E-3</v>
      </c>
      <c r="N58" s="13">
        <f ca="1">'TUSD BE'!$N$58*'TUSD BE'!$N$78</f>
        <v>6.4512806459150336E-7</v>
      </c>
      <c r="O58" s="13">
        <f>'TUSD BE'!$O$58*'TUSD BE'!$O$78</f>
        <v>0</v>
      </c>
      <c r="P58" s="13">
        <f>'TUSD BE'!$P$58*'TUSD BE'!$P$78</f>
        <v>0</v>
      </c>
      <c r="Q58" s="13">
        <f>'TUSD BE'!$Q$58*'TUSD BE'!$Q$78</f>
        <v>-1.6095968681012454</v>
      </c>
      <c r="R58" s="13">
        <f>'TUSD BE'!$R$58*'TUSD BE'!$R$78</f>
        <v>-0.37578018258543827</v>
      </c>
      <c r="S58" s="13">
        <f>'TUSD BE'!$R$58*'TUSD BE'!$S$78</f>
        <v>0</v>
      </c>
      <c r="T58" s="13">
        <f ca="1">SUM($L$58:$S$58)</f>
        <v>-2.5509317443702457</v>
      </c>
      <c r="U58" s="13">
        <f>'TUSD BE'!$U$58*'TUSD BE'!$U$78</f>
        <v>-1.142842347176823</v>
      </c>
      <c r="V58" s="13">
        <f>'TUSD BE'!$V$58*'TUSD BE'!$V$78</f>
        <v>-0.25686011239576745</v>
      </c>
      <c r="W58" s="13">
        <f>'TUSD BE'!$W$58*'TUSD BE'!$W$78</f>
        <v>-8.8038374439397115E-3</v>
      </c>
      <c r="X58" s="13">
        <f>'TUSD BE'!$X$58*'TUSD BE'!$X$78</f>
        <v>0</v>
      </c>
      <c r="Y58" s="13">
        <f>'TUSD BE'!$Y$58*'TUSD BE'!$Y$78</f>
        <v>0</v>
      </c>
      <c r="Z58" s="13">
        <f>'TUSD BE'!$Z$58*'TUSD BE'!$Z$78</f>
        <v>0</v>
      </c>
      <c r="AA58" s="13">
        <f>'TUSD BE'!$AA$58*'TUSD BE'!$AA$78</f>
        <v>0</v>
      </c>
      <c r="AB58" s="13">
        <f>SUM($U$58:$AA$58)</f>
        <v>-1.4085062970165301</v>
      </c>
      <c r="AC58" s="13">
        <f>'TUSD BE'!$AC$58*'TUSD BE'!$AC$78</f>
        <v>5.9268293236594591E-2</v>
      </c>
      <c r="AD58" s="13">
        <f>SUM($AC$58:$AC$58)</f>
        <v>5.9268293236594591E-2</v>
      </c>
      <c r="AE58" s="13">
        <f ca="1">$AO$58*$AO$75</f>
        <v>0</v>
      </c>
      <c r="AF58" s="13">
        <f ca="1">$AP$58*$AP$75</f>
        <v>0</v>
      </c>
      <c r="AG58" s="13">
        <f ca="1">SUM($AE$58:$AF$58)</f>
        <v>0</v>
      </c>
      <c r="AH58" s="13">
        <f>'TUSD BE'!$AH$58*'TUSD BE'!$AH$78</f>
        <v>10.920190337325092</v>
      </c>
      <c r="AI58" s="13">
        <f>'TUSD BE'!$AI$58*'TUSD BE'!$AI$78</f>
        <v>0.18925872471314215</v>
      </c>
      <c r="AJ58" s="13">
        <f ca="1">'TUSD BE'!$AJ$58*'TUSD BE'!$AJ$78</f>
        <v>0.75386565992479893</v>
      </c>
      <c r="AK58" s="13">
        <f ca="1">'TUSD BE'!$AK$58*'TUSD BE'!$AK$78</f>
        <v>-1.7241257166437356E-2</v>
      </c>
      <c r="AL58" s="13">
        <f ca="1">SUM($AH$58:$AK$58)</f>
        <v>11.846073464796595</v>
      </c>
      <c r="AM58" s="13">
        <f ca="1">SUMIF($L$4:$AL$4,"SUBTOTAL",$L$58:$AL$58)+AZ58</f>
        <v>112.78926770092393</v>
      </c>
      <c r="AO58" s="20">
        <f ca="1">+'TUSD BE'!$T$58+'TUSD BE'!$AB$58+'TUSD BE'!$AD$58+'TUSD BE'!$AL$58</f>
        <v>787.35865020901031</v>
      </c>
      <c r="AP58" s="20">
        <f ca="1">+'TUSD BE'!$T$58+'TUSD BE'!$AB$58+'TUSD BE'!$AD$58+'TUSD BE'!$AL$58</f>
        <v>787.35865020901031</v>
      </c>
      <c r="AQ58" s="9" t="str">
        <f t="shared" si="7"/>
        <v>B2</v>
      </c>
      <c r="AR58" s="9" t="str">
        <f t="shared" si="8"/>
        <v>Branca</v>
      </c>
      <c r="AS58" s="9" t="str">
        <f t="shared" si="9"/>
        <v>Rural</v>
      </c>
      <c r="AT58" s="9" t="str">
        <f t="shared" si="10"/>
        <v>Serviço público de irrigação rural</v>
      </c>
      <c r="AU58" s="9" t="str">
        <f t="shared" si="11"/>
        <v>Não se aplica</v>
      </c>
      <c r="AV58" s="58">
        <f t="shared" si="12"/>
        <v>1</v>
      </c>
      <c r="AW58" s="58">
        <f ca="1">TarifaMedia!$G$52</f>
        <v>1</v>
      </c>
      <c r="AX58" s="23">
        <f ca="1">'TUSD BE'!$AM58+'TUSD BF'!$AM58+'TUSD CVA'!$AM58</f>
        <v>828.75663601572251</v>
      </c>
      <c r="AY58" s="58">
        <f>ROUND(877.58/(1-CUSTOS!$M$38),2)</f>
        <v>933.6</v>
      </c>
      <c r="AZ58" s="58">
        <f t="shared" ca="1" si="13"/>
        <v>104.84336398427752</v>
      </c>
      <c r="BA58" s="58"/>
      <c r="BB58" s="58"/>
      <c r="BC58" s="82" t="s">
        <v>996</v>
      </c>
    </row>
    <row r="59" spans="1:55" ht="11.25" customHeight="1" x14ac:dyDescent="0.3">
      <c r="A59" s="128"/>
      <c r="B59" s="128"/>
      <c r="C59" s="128"/>
      <c r="D59" s="128"/>
      <c r="E59" s="128"/>
      <c r="F59" s="128"/>
      <c r="G59" s="18" t="s">
        <v>90</v>
      </c>
      <c r="H59" s="18" t="s">
        <v>78</v>
      </c>
      <c r="I59" s="18">
        <f>'MERCADO TUSD'!$U$56</f>
        <v>0</v>
      </c>
      <c r="J59" s="15"/>
      <c r="L59" s="13">
        <f>'TUSD BE'!$L$59*'TUSD BE'!$L$78</f>
        <v>-0.56348944178893323</v>
      </c>
      <c r="M59" s="13">
        <f>'TUSD BE'!$M$59*'TUSD BE'!$M$78</f>
        <v>-2.0658970226936097E-3</v>
      </c>
      <c r="N59" s="13">
        <f ca="1">'TUSD BE'!$N$59*'TUSD BE'!$N$78</f>
        <v>4.5106460268197813E-7</v>
      </c>
      <c r="O59" s="13">
        <f>'TUSD BE'!$O$59*'TUSD BE'!$O$78</f>
        <v>0</v>
      </c>
      <c r="P59" s="13">
        <f>'TUSD BE'!$P$59*'TUSD BE'!$P$78</f>
        <v>0</v>
      </c>
      <c r="Q59" s="13">
        <f>'TUSD BE'!$Q$59*'TUSD BE'!$Q$78</f>
        <v>-1.6095968681012454</v>
      </c>
      <c r="R59" s="13">
        <f>'TUSD BE'!$R$59*'TUSD BE'!$R$78</f>
        <v>-0.37578018258543827</v>
      </c>
      <c r="S59" s="13">
        <f>'TUSD BE'!$R$59*'TUSD BE'!$S$78</f>
        <v>0</v>
      </c>
      <c r="T59" s="13">
        <f ca="1">SUM($L$59:$S$59)</f>
        <v>-2.5509319384337079</v>
      </c>
      <c r="U59" s="13">
        <f>'TUSD BE'!$U$59*'TUSD BE'!$U$78</f>
        <v>-0.68570602743418219</v>
      </c>
      <c r="V59" s="13">
        <f>'TUSD BE'!$V$59*'TUSD BE'!$V$78</f>
        <v>-0.15411606743746048</v>
      </c>
      <c r="W59" s="13">
        <f>'TUSD BE'!$W$59*'TUSD BE'!$W$78</f>
        <v>-5.2818606545148505E-3</v>
      </c>
      <c r="X59" s="13">
        <f>'TUSD BE'!$X$59*'TUSD BE'!$X$78</f>
        <v>0</v>
      </c>
      <c r="Y59" s="13">
        <f>'TUSD BE'!$Y$59*'TUSD BE'!$Y$78</f>
        <v>0</v>
      </c>
      <c r="Z59" s="13">
        <f>'TUSD BE'!$Z$59*'TUSD BE'!$Z$78</f>
        <v>0</v>
      </c>
      <c r="AA59" s="13">
        <f>'TUSD BE'!$AA$59*'TUSD BE'!$AA$78</f>
        <v>0</v>
      </c>
      <c r="AB59" s="13">
        <f>SUM($U$59:$AA$59)</f>
        <v>-0.84510395552615747</v>
      </c>
      <c r="AC59" s="13">
        <f>'TUSD BE'!$AC$59*'TUSD BE'!$AC$78</f>
        <v>3.5560975941956757E-2</v>
      </c>
      <c r="AD59" s="13">
        <f>SUM($AC$59:$AC$59)</f>
        <v>3.5560975941956757E-2</v>
      </c>
      <c r="AE59" s="13">
        <f ca="1">$AO$59*$AO$75</f>
        <v>0</v>
      </c>
      <c r="AF59" s="13">
        <f ca="1">$AP$59*$AP$75</f>
        <v>0</v>
      </c>
      <c r="AG59" s="13">
        <f ca="1">SUM($AE$59:$AF$59)</f>
        <v>0</v>
      </c>
      <c r="AH59" s="13">
        <f>'TUSD BE'!$AH$59*'TUSD BE'!$AH$78</f>
        <v>10.920190337325092</v>
      </c>
      <c r="AI59" s="13">
        <f>'TUSD BE'!$AI$59*'TUSD BE'!$AI$78</f>
        <v>0.18925872471314215</v>
      </c>
      <c r="AJ59" s="13">
        <f ca="1">'TUSD BE'!$AJ$59*'TUSD BE'!$AJ$78</f>
        <v>0.75386565992479893</v>
      </c>
      <c r="AK59" s="13">
        <f ca="1">'TUSD BE'!$AK$59*'TUSD BE'!$AK$78</f>
        <v>-1.7241257166437356E-2</v>
      </c>
      <c r="AL59" s="13">
        <f ca="1">SUM($AH$59:$AK$59)</f>
        <v>11.846073464796595</v>
      </c>
      <c r="AM59" s="13">
        <f ca="1">SUMIF($L$4:$AL$4,"SUBTOTAL",$L$59:$AL$59)+AZ59</f>
        <v>67.145545313220552</v>
      </c>
      <c r="AO59" s="20">
        <f ca="1">+'TUSD BE'!$T$59+'TUSD BE'!$AB$59+'TUSD BE'!$AD$59+'TUSD BE'!$AL$59</f>
        <v>526.60136775230944</v>
      </c>
      <c r="AP59" s="20">
        <f ca="1">+'TUSD BE'!$T$59+'TUSD BE'!$AB$59+'TUSD BE'!$AD$59+'TUSD BE'!$AL$59</f>
        <v>526.60136775230944</v>
      </c>
      <c r="AQ59" s="9" t="str">
        <f t="shared" si="7"/>
        <v>B2</v>
      </c>
      <c r="AR59" s="9" t="str">
        <f t="shared" si="8"/>
        <v>Branca</v>
      </c>
      <c r="AS59" s="9" t="str">
        <f t="shared" si="9"/>
        <v>Rural</v>
      </c>
      <c r="AT59" s="9" t="str">
        <f t="shared" si="10"/>
        <v>Serviço público de irrigação rural</v>
      </c>
      <c r="AU59" s="9" t="str">
        <f t="shared" si="11"/>
        <v>Não se aplica</v>
      </c>
      <c r="AV59" s="58">
        <f t="shared" si="12"/>
        <v>1</v>
      </c>
      <c r="AW59" s="58">
        <f ca="1">TarifaMedia!$G$52</f>
        <v>1</v>
      </c>
      <c r="AX59" s="23">
        <f ca="1">'TUSD BE'!$AM59+'TUSD BF'!$AM59+'TUSD CVA'!$AM59</f>
        <v>565.24005323355811</v>
      </c>
      <c r="AY59" s="58">
        <f>ROUND(586.47/(1-CUSTOS!$M$38),2)</f>
        <v>623.9</v>
      </c>
      <c r="AZ59" s="58">
        <f t="shared" ca="1" si="13"/>
        <v>58.659946766441863</v>
      </c>
      <c r="BA59" s="58"/>
      <c r="BB59" s="58"/>
      <c r="BC59" s="82" t="s">
        <v>997</v>
      </c>
    </row>
    <row r="60" spans="1:55" ht="11.25" customHeight="1" x14ac:dyDescent="0.3">
      <c r="A60" s="128"/>
      <c r="B60" s="128"/>
      <c r="C60" s="128"/>
      <c r="D60" s="128"/>
      <c r="E60" s="128"/>
      <c r="F60" s="128"/>
      <c r="G60" s="18" t="s">
        <v>80</v>
      </c>
      <c r="H60" s="18" t="s">
        <v>78</v>
      </c>
      <c r="I60" s="18">
        <f>'MERCADO TUSD'!$U$57</f>
        <v>0</v>
      </c>
      <c r="J60" s="15"/>
      <c r="L60" s="13">
        <f>'TUSD BE'!$L$60*'TUSD BE'!$L$78</f>
        <v>-0.56348944178893323</v>
      </c>
      <c r="M60" s="13">
        <f>'TUSD BE'!$M$60*'TUSD BE'!$M$78</f>
        <v>-2.0658970226936097E-3</v>
      </c>
      <c r="N60" s="13">
        <f ca="1">'TUSD BE'!$N$60*'TUSD BE'!$N$78</f>
        <v>2.5700114077245296E-7</v>
      </c>
      <c r="O60" s="13">
        <f>'TUSD BE'!$O$60*'TUSD BE'!$O$78</f>
        <v>0</v>
      </c>
      <c r="P60" s="13">
        <f>'TUSD BE'!$P$60*'TUSD BE'!$P$78</f>
        <v>0</v>
      </c>
      <c r="Q60" s="13">
        <f>'TUSD BE'!$Q$60*'TUSD BE'!$Q$78</f>
        <v>-1.6095968681012454</v>
      </c>
      <c r="R60" s="13">
        <f>'TUSD BE'!$R$60*'TUSD BE'!$R$78</f>
        <v>-0.37578018258543827</v>
      </c>
      <c r="S60" s="13">
        <f>'TUSD BE'!$R$60*'TUSD BE'!$S$78</f>
        <v>0</v>
      </c>
      <c r="T60" s="13">
        <f ca="1">SUM($L$60:$S$60)</f>
        <v>-2.5509321324971697</v>
      </c>
      <c r="U60" s="13">
        <f>'TUSD BE'!$U$60*'TUSD BE'!$U$78</f>
        <v>-0.22856815987132034</v>
      </c>
      <c r="V60" s="13">
        <f>'TUSD BE'!$V$60*'TUSD BE'!$V$78</f>
        <v>-5.1372022479153477E-2</v>
      </c>
      <c r="W60" s="13">
        <f>'TUSD BE'!$W$60*'TUSD BE'!$W$78</f>
        <v>-1.7606202181716169E-3</v>
      </c>
      <c r="X60" s="13">
        <f>'TUSD BE'!$X$60*'TUSD BE'!$X$78</f>
        <v>0</v>
      </c>
      <c r="Y60" s="13">
        <f>'TUSD BE'!$Y$60*'TUSD BE'!$Y$78</f>
        <v>0</v>
      </c>
      <c r="Z60" s="13">
        <f>'TUSD BE'!$Z$60*'TUSD BE'!$Z$78</f>
        <v>0</v>
      </c>
      <c r="AA60" s="13">
        <f>'TUSD BE'!$AA$60*'TUSD BE'!$AA$78</f>
        <v>0</v>
      </c>
      <c r="AB60" s="13">
        <f>SUM($U$60:$AA$60)</f>
        <v>-0.28170080256864544</v>
      </c>
      <c r="AC60" s="13">
        <f>'TUSD BE'!$AC$60*'TUSD BE'!$AC$78</f>
        <v>1.1853658647318919E-2</v>
      </c>
      <c r="AD60" s="13">
        <f>SUM($AC$60:$AC$60)</f>
        <v>1.1853658647318919E-2</v>
      </c>
      <c r="AE60" s="13">
        <f ca="1">$AO$60*$AO$75</f>
        <v>0</v>
      </c>
      <c r="AF60" s="13">
        <f ca="1">$AP$60*$AP$75</f>
        <v>0</v>
      </c>
      <c r="AG60" s="13">
        <f ca="1">SUM($AE$60:$AF$60)</f>
        <v>0</v>
      </c>
      <c r="AH60" s="13">
        <f>'TUSD BE'!$AH$60*'TUSD BE'!$AH$78</f>
        <v>10.920190337325092</v>
      </c>
      <c r="AI60" s="13">
        <f>'TUSD BE'!$AI$60*'TUSD BE'!$AI$78</f>
        <v>0.18925872471314215</v>
      </c>
      <c r="AJ60" s="13">
        <f ca="1">'TUSD BE'!$AJ$60*'TUSD BE'!$AJ$78</f>
        <v>0.75386565992479893</v>
      </c>
      <c r="AK60" s="13">
        <f ca="1">'TUSD BE'!$AK$60*'TUSD BE'!$AK$78</f>
        <v>-1.7241257166437356E-2</v>
      </c>
      <c r="AL60" s="13">
        <f ca="1">SUM($AH$60:$AK$60)</f>
        <v>11.846073464796595</v>
      </c>
      <c r="AM60" s="13">
        <f ca="1">SUMIF($L$4:$AL$4,"SUBTOTAL",$L$60:$AL$60)+AZ60</f>
        <v>21.521733012708125</v>
      </c>
      <c r="AO60" s="20">
        <f ca="1">+'TUSD BE'!$T$60+'TUSD BE'!$AB$60+'TUSD BE'!$AD$60+'TUSD BE'!$AL$60</f>
        <v>265.8441844967993</v>
      </c>
      <c r="AP60" s="20">
        <f ca="1">+'TUSD BE'!$T$60+'TUSD BE'!$AB$60+'TUSD BE'!$AD$60+'TUSD BE'!$AL$60</f>
        <v>265.8441844967993</v>
      </c>
      <c r="AQ60" s="9" t="str">
        <f t="shared" si="7"/>
        <v>B2</v>
      </c>
      <c r="AR60" s="9" t="str">
        <f t="shared" si="8"/>
        <v>Branca</v>
      </c>
      <c r="AS60" s="9" t="str">
        <f t="shared" si="9"/>
        <v>Rural</v>
      </c>
      <c r="AT60" s="9" t="str">
        <f t="shared" si="10"/>
        <v>Serviço público de irrigação rural</v>
      </c>
      <c r="AU60" s="9" t="str">
        <f t="shared" si="11"/>
        <v>Não se aplica</v>
      </c>
      <c r="AV60" s="58">
        <f t="shared" si="12"/>
        <v>1</v>
      </c>
      <c r="AW60" s="58">
        <f ca="1">TarifaMedia!$G$52</f>
        <v>1</v>
      </c>
      <c r="AX60" s="23">
        <f ca="1">'TUSD BE'!$AM60+'TUSD BF'!$AM60+'TUSD CVA'!$AM60</f>
        <v>301.72356117567</v>
      </c>
      <c r="AY60" s="58">
        <f>ROUND(295.37/(1-CUSTOS!$M$38),2)</f>
        <v>314.22000000000003</v>
      </c>
      <c r="AZ60" s="58">
        <f t="shared" ca="1" si="13"/>
        <v>12.496438824330028</v>
      </c>
      <c r="BA60" s="58"/>
      <c r="BB60" s="58"/>
      <c r="BC60" s="82" t="s">
        <v>998</v>
      </c>
    </row>
    <row r="61" spans="1:55" ht="11.25" customHeight="1" x14ac:dyDescent="0.3">
      <c r="A61" s="128"/>
      <c r="B61" s="17" t="s">
        <v>23</v>
      </c>
      <c r="C61" s="17" t="s">
        <v>45</v>
      </c>
      <c r="D61" s="17" t="s">
        <v>94</v>
      </c>
      <c r="E61" s="17" t="s">
        <v>25</v>
      </c>
      <c r="F61" s="17" t="s">
        <v>25</v>
      </c>
      <c r="G61" s="18" t="s">
        <v>84</v>
      </c>
      <c r="H61" s="18" t="s">
        <v>78</v>
      </c>
      <c r="I61" s="18">
        <f>'MERCADO TUSD'!$U$58</f>
        <v>0</v>
      </c>
      <c r="J61" s="15"/>
      <c r="L61" s="13">
        <f>'TUSD BE'!$L$61*'TUSD BE'!$L$78</f>
        <v>-0.56348944178893323</v>
      </c>
      <c r="M61" s="13">
        <f>'TUSD BE'!$M$61*'TUSD BE'!$M$78</f>
        <v>-2.0658970226936097E-3</v>
      </c>
      <c r="N61" s="13">
        <f ca="1">'TUSD BE'!$N$61*'TUSD BE'!$N$78</f>
        <v>3.2442995957833044E-7</v>
      </c>
      <c r="O61" s="13">
        <f>'TUSD BE'!$O$61*'TUSD BE'!$O$78</f>
        <v>0</v>
      </c>
      <c r="P61" s="13">
        <f>'TUSD BE'!$P$61*'TUSD BE'!$P$78</f>
        <v>0</v>
      </c>
      <c r="Q61" s="13">
        <f>'TUSD BE'!$Q$61*'TUSD BE'!$Q$78</f>
        <v>-1.6095968681012454</v>
      </c>
      <c r="R61" s="13">
        <f>'TUSD BE'!$R$61*'TUSD BE'!$R$78</f>
        <v>-0.37578018258543827</v>
      </c>
      <c r="S61" s="13">
        <f>'TUSD BE'!$R$61*'TUSD BE'!$S$78</f>
        <v>0</v>
      </c>
      <c r="T61" s="13">
        <f ca="1">SUM($L$61:$S$61)</f>
        <v>-2.5509320650683507</v>
      </c>
      <c r="U61" s="13">
        <f>'TUSD BE'!$U$61*'TUSD BE'!$U$78</f>
        <v>-0.38740392314125843</v>
      </c>
      <c r="V61" s="13">
        <f>'TUSD BE'!$V$61*'TUSD BE'!$V$78</f>
        <v>-8.7071283954943249E-2</v>
      </c>
      <c r="W61" s="13">
        <f>'TUSD BE'!$W$61*'TUSD BE'!$W$78</f>
        <v>-2.9844390398367057E-3</v>
      </c>
      <c r="X61" s="13">
        <f>'TUSD BE'!$X$61*'TUSD BE'!$X$78</f>
        <v>0</v>
      </c>
      <c r="Y61" s="13">
        <f>'TUSD BE'!$Y$61*'TUSD BE'!$Y$78</f>
        <v>0</v>
      </c>
      <c r="Z61" s="13">
        <f>'TUSD BE'!$Z$61*'TUSD BE'!$Z$78</f>
        <v>0</v>
      </c>
      <c r="AA61" s="13">
        <f>'TUSD BE'!$AA$61*'TUSD BE'!$AA$78</f>
        <v>0</v>
      </c>
      <c r="AB61" s="13">
        <f>SUM($U$61:$AA$61)</f>
        <v>-0.47745964613603836</v>
      </c>
      <c r="AC61" s="13">
        <f>'TUSD BE'!$AC$61*'TUSD BE'!$AC$78</f>
        <v>2.0090940894072554E-2</v>
      </c>
      <c r="AD61" s="13">
        <f>SUM($AC$61:$AC$61)</f>
        <v>2.0090940894072554E-2</v>
      </c>
      <c r="AE61" s="13">
        <f ca="1">$AO$61*$AO$75</f>
        <v>0</v>
      </c>
      <c r="AF61" s="13">
        <f ca="1">$AP$61*$AP$75</f>
        <v>0</v>
      </c>
      <c r="AG61" s="13">
        <f ca="1">SUM($AE$61:$AF$61)</f>
        <v>0</v>
      </c>
      <c r="AH61" s="13">
        <f>'TUSD BE'!$AH$61*'TUSD BE'!$AH$78</f>
        <v>10.920190337325092</v>
      </c>
      <c r="AI61" s="13">
        <f>'TUSD BE'!$AI$61*'TUSD BE'!$AI$78</f>
        <v>0.18925872471314215</v>
      </c>
      <c r="AJ61" s="13">
        <f ca="1">'TUSD BE'!$AJ$61*'TUSD BE'!$AJ$78</f>
        <v>0.75386565992479893</v>
      </c>
      <c r="AK61" s="13">
        <f ca="1">'TUSD BE'!$AK$61*'TUSD BE'!$AK$78</f>
        <v>-1.7241257166437356E-2</v>
      </c>
      <c r="AL61" s="13">
        <f ca="1">SUM($AH$61:$AK$61)</f>
        <v>11.846073464796595</v>
      </c>
      <c r="AM61" s="13">
        <f ca="1">SUMIF($L$4:$AL$4,"SUBTOTAL",$L$61:$AL$61)+AZ61</f>
        <v>24.68337448577013</v>
      </c>
      <c r="AO61" s="20">
        <f ca="1">+'TUSD BE'!$T$61+'TUSD BE'!$AB$61+'TUSD BE'!$AD$61+'TUSD BE'!$AL$61</f>
        <v>356.4462800994238</v>
      </c>
      <c r="AP61" s="20">
        <f ca="1">+'TUSD BE'!$T$61+'TUSD BE'!$AB$61+'TUSD BE'!$AD$61+'TUSD BE'!$AL$61</f>
        <v>356.4462800994238</v>
      </c>
      <c r="AQ61" s="9" t="str">
        <f t="shared" si="7"/>
        <v>B2</v>
      </c>
      <c r="AR61" s="9" t="str">
        <f t="shared" si="8"/>
        <v>Convencional</v>
      </c>
      <c r="AS61" s="9" t="str">
        <f t="shared" si="9"/>
        <v>Rural</v>
      </c>
      <c r="AT61" s="9" t="str">
        <f t="shared" si="10"/>
        <v>Serviço público de irrigação rural</v>
      </c>
      <c r="AU61" s="9" t="str">
        <f t="shared" si="11"/>
        <v>Não se aplica</v>
      </c>
      <c r="AV61" s="58">
        <f t="shared" si="12"/>
        <v>1</v>
      </c>
      <c r="AW61" s="58">
        <f ca="1">TarifaMedia!$G$52</f>
        <v>1</v>
      </c>
      <c r="AX61" s="23">
        <f ca="1">'TUSD BE'!$AM61+'TUSD BF'!$AM61+'TUSD CVA'!$AM61</f>
        <v>393.28439820871614</v>
      </c>
      <c r="AY61" s="58">
        <v>409.13</v>
      </c>
      <c r="AZ61" s="58">
        <f t="shared" ca="1" si="13"/>
        <v>15.845601791283855</v>
      </c>
      <c r="BA61" s="58"/>
      <c r="BB61" s="58"/>
      <c r="BC61" s="82" t="s">
        <v>992</v>
      </c>
    </row>
    <row r="62" spans="1:55" ht="11.25" customHeight="1" x14ac:dyDescent="0.3">
      <c r="A62" s="128"/>
      <c r="B62" s="128" t="s">
        <v>92</v>
      </c>
      <c r="C62" s="128" t="s">
        <v>45</v>
      </c>
      <c r="D62" s="17" t="s">
        <v>25</v>
      </c>
      <c r="E62" s="17" t="s">
        <v>25</v>
      </c>
      <c r="F62" s="17" t="s">
        <v>25</v>
      </c>
      <c r="G62" s="18" t="s">
        <v>84</v>
      </c>
      <c r="H62" s="18" t="s">
        <v>78</v>
      </c>
      <c r="I62" s="18">
        <f>'MERCADO TUSD'!$U$59</f>
        <v>0</v>
      </c>
      <c r="J62" s="15"/>
      <c r="L62" s="13">
        <f>'TUSD BE'!$L$62*'TUSD BE'!$L$78</f>
        <v>-0.56348944178893323</v>
      </c>
      <c r="M62" s="13">
        <f>'TUSD BE'!$M$62*'TUSD BE'!$M$78</f>
        <v>-2.0658970226936097E-3</v>
      </c>
      <c r="N62" s="13">
        <f ca="1">'TUSD BE'!$N$62*'TUSD BE'!$N$78</f>
        <v>3.2442995957833044E-7</v>
      </c>
      <c r="O62" s="13">
        <f>'TUSD BE'!$O$62*'TUSD BE'!$O$78</f>
        <v>0</v>
      </c>
      <c r="P62" s="13">
        <f>'TUSD BE'!$P$62*'TUSD BE'!$P$78</f>
        <v>0</v>
      </c>
      <c r="Q62" s="13">
        <f>'TUSD BE'!$Q$62*'TUSD BE'!$Q$78</f>
        <v>-1.6095968681012454</v>
      </c>
      <c r="R62" s="13">
        <f>'TUSD BE'!$R$62*'TUSD BE'!$R$78</f>
        <v>-0.37578018258543827</v>
      </c>
      <c r="S62" s="13">
        <f>'TUSD BE'!$R$62*'TUSD BE'!$S$78</f>
        <v>0</v>
      </c>
      <c r="T62" s="13">
        <f ca="1">SUM($L$62:$S$62)</f>
        <v>-2.5509320650683507</v>
      </c>
      <c r="U62" s="13">
        <f>'TUSD BE'!$U$62*'TUSD BE'!$U$78</f>
        <v>-0.38740392314125843</v>
      </c>
      <c r="V62" s="13">
        <f>'TUSD BE'!$V$62*'TUSD BE'!$V$78</f>
        <v>-8.7071283954943249E-2</v>
      </c>
      <c r="W62" s="13">
        <f>'TUSD BE'!$W$62*'TUSD BE'!$W$78</f>
        <v>-2.9844390398367057E-3</v>
      </c>
      <c r="X62" s="13">
        <f>'TUSD BE'!$X$62*'TUSD BE'!$X$78</f>
        <v>0</v>
      </c>
      <c r="Y62" s="13">
        <f>'TUSD BE'!$Y$62*'TUSD BE'!$Y$78</f>
        <v>0</v>
      </c>
      <c r="Z62" s="13">
        <f>'TUSD BE'!$Z$62*'TUSD BE'!$Z$78</f>
        <v>0</v>
      </c>
      <c r="AA62" s="13">
        <f>'TUSD BE'!$AA$62*'TUSD BE'!$AA$78</f>
        <v>0</v>
      </c>
      <c r="AB62" s="13">
        <f>SUM($U$62:$AA$62)</f>
        <v>-0.47745964613603836</v>
      </c>
      <c r="AC62" s="13">
        <f>'TUSD BE'!$AC$62*'TUSD BE'!$AC$78</f>
        <v>2.0090940894072554E-2</v>
      </c>
      <c r="AD62" s="13">
        <f>SUM($AC$62:$AC$62)</f>
        <v>2.0090940894072554E-2</v>
      </c>
      <c r="AE62" s="13">
        <f ca="1">$AO$62*$AO$75</f>
        <v>0</v>
      </c>
      <c r="AF62" s="13">
        <f ca="1">$AP$62*$AP$75</f>
        <v>0</v>
      </c>
      <c r="AG62" s="13">
        <f ca="1">SUM($AE$62:$AF$62)</f>
        <v>0</v>
      </c>
      <c r="AH62" s="13">
        <f>'TUSD BE'!$AH$62*'TUSD BE'!$AH$78</f>
        <v>10.920190337325092</v>
      </c>
      <c r="AI62" s="13">
        <f>'TUSD BE'!$AI$62*'TUSD BE'!$AI$78</f>
        <v>0.18925872471314215</v>
      </c>
      <c r="AJ62" s="13">
        <f ca="1">'TUSD BE'!$AJ$62*'TUSD BE'!$AJ$78</f>
        <v>0.75386565992479893</v>
      </c>
      <c r="AK62" s="13">
        <f ca="1">'TUSD BE'!$AK$62*'TUSD BE'!$AK$78</f>
        <v>-1.7241257166437356E-2</v>
      </c>
      <c r="AL62" s="13">
        <f ca="1">SUM($AH$62:$AK$62)</f>
        <v>11.846073464796595</v>
      </c>
      <c r="AM62" s="13">
        <f ca="1">SUMIF($L$4:$AL$4,"SUBTOTAL",$L$62:$AL$62)+AZ62</f>
        <v>24.68337448577013</v>
      </c>
      <c r="AO62" s="20">
        <f ca="1">+'TUSD BE'!$T$62+'TUSD BE'!$AB$62+'TUSD BE'!$AD$62+'TUSD BE'!$AL$62</f>
        <v>356.4462800994238</v>
      </c>
      <c r="AP62" s="20">
        <f ca="1">+'TUSD BE'!$T$62+'TUSD BE'!$AB$62+'TUSD BE'!$AD$62+'TUSD BE'!$AL$62</f>
        <v>356.4462800994238</v>
      </c>
      <c r="AQ62" s="9" t="str">
        <f t="shared" si="7"/>
        <v>B2</v>
      </c>
      <c r="AR62" s="9" t="str">
        <f t="shared" si="8"/>
        <v>Convencional pré-pagamento</v>
      </c>
      <c r="AS62" s="9" t="str">
        <f t="shared" si="9"/>
        <v>Rural</v>
      </c>
      <c r="AT62" s="9" t="str">
        <f t="shared" si="10"/>
        <v>Não se aplica</v>
      </c>
      <c r="AU62" s="9" t="str">
        <f t="shared" si="11"/>
        <v>Não se aplica</v>
      </c>
      <c r="AV62" s="58">
        <f t="shared" si="12"/>
        <v>1</v>
      </c>
      <c r="AW62" s="58">
        <f ca="1">TarifaMedia!$G$52</f>
        <v>1</v>
      </c>
      <c r="AX62" s="23">
        <f ca="1">'TUSD BE'!$AM62+'TUSD BF'!$AM62+'TUSD CVA'!$AM62</f>
        <v>393.28439820871614</v>
      </c>
      <c r="AY62" s="58">
        <v>409.13</v>
      </c>
      <c r="AZ62" s="58">
        <f t="shared" ca="1" si="13"/>
        <v>15.845601791283855</v>
      </c>
      <c r="BA62" s="58"/>
      <c r="BB62" s="58"/>
      <c r="BC62" s="82" t="s">
        <v>992</v>
      </c>
    </row>
    <row r="63" spans="1:55" ht="11.25" customHeight="1" x14ac:dyDescent="0.3">
      <c r="A63" s="128"/>
      <c r="B63" s="128"/>
      <c r="C63" s="128"/>
      <c r="D63" s="17" t="s">
        <v>93</v>
      </c>
      <c r="E63" s="17" t="s">
        <v>25</v>
      </c>
      <c r="F63" s="17" t="s">
        <v>25</v>
      </c>
      <c r="G63" s="18" t="s">
        <v>84</v>
      </c>
      <c r="H63" s="18" t="s">
        <v>78</v>
      </c>
      <c r="I63" s="18">
        <f>'MERCADO TUSD'!$U$60</f>
        <v>0</v>
      </c>
      <c r="J63" s="15"/>
      <c r="L63" s="13">
        <f>'TUSD BE'!$L$63*'TUSD BE'!$L$78</f>
        <v>-0.56348944178893323</v>
      </c>
      <c r="M63" s="13">
        <f>'TUSD BE'!$M$63*'TUSD BE'!$M$78</f>
        <v>-2.0658970226936097E-3</v>
      </c>
      <c r="N63" s="13">
        <f ca="1">'TUSD BE'!$N$63*'TUSD BE'!$N$78</f>
        <v>3.2442995957833044E-7</v>
      </c>
      <c r="O63" s="13">
        <f>'TUSD BE'!$O$63*'TUSD BE'!$O$78</f>
        <v>0</v>
      </c>
      <c r="P63" s="13">
        <f>'TUSD BE'!$P$63*'TUSD BE'!$P$78</f>
        <v>0</v>
      </c>
      <c r="Q63" s="13">
        <f>'TUSD BE'!$Q$63*'TUSD BE'!$Q$78</f>
        <v>-1.6095968681012454</v>
      </c>
      <c r="R63" s="13">
        <f>'TUSD BE'!$R$63*'TUSD BE'!$R$78</f>
        <v>-0.37578018258543827</v>
      </c>
      <c r="S63" s="13">
        <f>'TUSD BE'!$R$63*'TUSD BE'!$S$78</f>
        <v>0</v>
      </c>
      <c r="T63" s="13">
        <f ca="1">SUM($L$63:$S$63)</f>
        <v>-2.5509320650683507</v>
      </c>
      <c r="U63" s="13">
        <f>'TUSD BE'!$U$63*'TUSD BE'!$U$78</f>
        <v>-0.38740392314125843</v>
      </c>
      <c r="V63" s="13">
        <f>'TUSD BE'!$V$63*'TUSD BE'!$V$78</f>
        <v>-8.7071283954943249E-2</v>
      </c>
      <c r="W63" s="13">
        <f>'TUSD BE'!$W$63*'TUSD BE'!$W$78</f>
        <v>-2.9844390398367057E-3</v>
      </c>
      <c r="X63" s="13">
        <f>'TUSD BE'!$X$63*'TUSD BE'!$X$78</f>
        <v>0</v>
      </c>
      <c r="Y63" s="13">
        <f>'TUSD BE'!$Y$63*'TUSD BE'!$Y$78</f>
        <v>0</v>
      </c>
      <c r="Z63" s="13">
        <f>'TUSD BE'!$Z$63*'TUSD BE'!$Z$78</f>
        <v>0</v>
      </c>
      <c r="AA63" s="13">
        <f>'TUSD BE'!$AA$63*'TUSD BE'!$AA$78</f>
        <v>0</v>
      </c>
      <c r="AB63" s="13">
        <f>SUM($U$63:$AA$63)</f>
        <v>-0.47745964613603836</v>
      </c>
      <c r="AC63" s="13">
        <f>'TUSD BE'!$AC$63*'TUSD BE'!$AC$78</f>
        <v>2.0090940894072554E-2</v>
      </c>
      <c r="AD63" s="13">
        <f>SUM($AC$63:$AC$63)</f>
        <v>2.0090940894072554E-2</v>
      </c>
      <c r="AE63" s="13">
        <f ca="1">$AO$63*$AO$75</f>
        <v>0</v>
      </c>
      <c r="AF63" s="13">
        <f ca="1">$AP$63*$AP$75</f>
        <v>0</v>
      </c>
      <c r="AG63" s="13">
        <f ca="1">SUM($AE$63:$AF$63)</f>
        <v>0</v>
      </c>
      <c r="AH63" s="13">
        <f>'TUSD BE'!$AH$63*'TUSD BE'!$AH$78</f>
        <v>10.920190337325092</v>
      </c>
      <c r="AI63" s="13">
        <f>'TUSD BE'!$AI$63*'TUSD BE'!$AI$78</f>
        <v>0.18925872471314215</v>
      </c>
      <c r="AJ63" s="13">
        <f ca="1">'TUSD BE'!$AJ$63*'TUSD BE'!$AJ$78</f>
        <v>0.75386565992479893</v>
      </c>
      <c r="AK63" s="13">
        <f ca="1">'TUSD BE'!$AK$63*'TUSD BE'!$AK$78</f>
        <v>-1.7241257166437356E-2</v>
      </c>
      <c r="AL63" s="13">
        <f ca="1">SUM($AH$63:$AK$63)</f>
        <v>11.846073464796595</v>
      </c>
      <c r="AM63" s="13">
        <f ca="1">SUMIF($L$4:$AL$4,"SUBTOTAL",$L$63:$AL$63)+AZ63</f>
        <v>24.68337448577013</v>
      </c>
      <c r="AO63" s="20">
        <f ca="1">+'TUSD BE'!$T$63+'TUSD BE'!$AB$63+'TUSD BE'!$AD$63+'TUSD BE'!$AL$63</f>
        <v>356.4462800994238</v>
      </c>
      <c r="AP63" s="20">
        <f ca="1">+'TUSD BE'!$T$63+'TUSD BE'!$AB$63+'TUSD BE'!$AD$63+'TUSD BE'!$AL$63</f>
        <v>356.4462800994238</v>
      </c>
      <c r="AQ63" s="9" t="str">
        <f t="shared" si="7"/>
        <v>B2</v>
      </c>
      <c r="AR63" s="9" t="str">
        <f t="shared" si="8"/>
        <v>Convencional pré-pagamento</v>
      </c>
      <c r="AS63" s="9" t="str">
        <f t="shared" si="9"/>
        <v>Rural</v>
      </c>
      <c r="AT63" s="9" t="str">
        <f t="shared" si="10"/>
        <v>Cooperativa de eletrificação rural</v>
      </c>
      <c r="AU63" s="9" t="str">
        <f t="shared" si="11"/>
        <v>Não se aplica</v>
      </c>
      <c r="AV63" s="58">
        <f t="shared" si="12"/>
        <v>1</v>
      </c>
      <c r="AW63" s="58">
        <f ca="1">TarifaMedia!$G$52</f>
        <v>1</v>
      </c>
      <c r="AX63" s="23">
        <f ca="1">'TUSD BE'!$AM63+'TUSD BF'!$AM63+'TUSD CVA'!$AM63</f>
        <v>393.28439820871614</v>
      </c>
      <c r="AY63" s="58">
        <v>409.13</v>
      </c>
      <c r="AZ63" s="58">
        <f t="shared" ca="1" si="13"/>
        <v>15.845601791283855</v>
      </c>
      <c r="BA63" s="58"/>
      <c r="BB63" s="58"/>
      <c r="BC63" s="82" t="s">
        <v>992</v>
      </c>
    </row>
    <row r="64" spans="1:55" ht="11.25" customHeight="1" x14ac:dyDescent="0.3">
      <c r="A64" s="128"/>
      <c r="B64" s="128"/>
      <c r="C64" s="128"/>
      <c r="D64" s="17" t="s">
        <v>94</v>
      </c>
      <c r="E64" s="17" t="s">
        <v>25</v>
      </c>
      <c r="F64" s="17" t="s">
        <v>25</v>
      </c>
      <c r="G64" s="18" t="s">
        <v>84</v>
      </c>
      <c r="H64" s="18" t="s">
        <v>78</v>
      </c>
      <c r="I64" s="18">
        <f>'MERCADO TUSD'!$U$61</f>
        <v>0</v>
      </c>
      <c r="J64" s="15"/>
      <c r="L64" s="13">
        <f>'TUSD BE'!$L$64*'TUSD BE'!$L$78</f>
        <v>-0.56348944178893323</v>
      </c>
      <c r="M64" s="13">
        <f>'TUSD BE'!$M$64*'TUSD BE'!$M$78</f>
        <v>-2.0658970226936097E-3</v>
      </c>
      <c r="N64" s="13">
        <f ca="1">'TUSD BE'!$N$64*'TUSD BE'!$N$78</f>
        <v>3.2442995957833044E-7</v>
      </c>
      <c r="O64" s="13">
        <f>'TUSD BE'!$O$64*'TUSD BE'!$O$78</f>
        <v>0</v>
      </c>
      <c r="P64" s="13">
        <f>'TUSD BE'!$P$64*'TUSD BE'!$P$78</f>
        <v>0</v>
      </c>
      <c r="Q64" s="13">
        <f>'TUSD BE'!$Q$64*'TUSD BE'!$Q$78</f>
        <v>-1.6095968681012454</v>
      </c>
      <c r="R64" s="13">
        <f>'TUSD BE'!$R$64*'TUSD BE'!$R$78</f>
        <v>-0.37578018258543827</v>
      </c>
      <c r="S64" s="13">
        <f>'TUSD BE'!$R$64*'TUSD BE'!$S$78</f>
        <v>0</v>
      </c>
      <c r="T64" s="13">
        <f ca="1">SUM($L$64:$S$64)</f>
        <v>-2.5509320650683507</v>
      </c>
      <c r="U64" s="13">
        <f>'TUSD BE'!$U$64*'TUSD BE'!$U$78</f>
        <v>-0.38740392314125843</v>
      </c>
      <c r="V64" s="13">
        <f>'TUSD BE'!$V$64*'TUSD BE'!$V$78</f>
        <v>-8.7071283954943249E-2</v>
      </c>
      <c r="W64" s="13">
        <f>'TUSD BE'!$W$64*'TUSD BE'!$W$78</f>
        <v>-2.9844390398367057E-3</v>
      </c>
      <c r="X64" s="13">
        <f>'TUSD BE'!$X$64*'TUSD BE'!$X$78</f>
        <v>0</v>
      </c>
      <c r="Y64" s="13">
        <f>'TUSD BE'!$Y$64*'TUSD BE'!$Y$78</f>
        <v>0</v>
      </c>
      <c r="Z64" s="13">
        <f>'TUSD BE'!$Z$64*'TUSD BE'!$Z$78</f>
        <v>0</v>
      </c>
      <c r="AA64" s="13">
        <f>'TUSD BE'!$AA$64*'TUSD BE'!$AA$78</f>
        <v>0</v>
      </c>
      <c r="AB64" s="13">
        <f>SUM($U$64:$AA$64)</f>
        <v>-0.47745964613603836</v>
      </c>
      <c r="AC64" s="13">
        <f>'TUSD BE'!$AC$64*'TUSD BE'!$AC$78</f>
        <v>2.0090940894072554E-2</v>
      </c>
      <c r="AD64" s="13">
        <f>SUM($AC$64:$AC$64)</f>
        <v>2.0090940894072554E-2</v>
      </c>
      <c r="AE64" s="13">
        <f ca="1">$AO$64*$AO$75</f>
        <v>0</v>
      </c>
      <c r="AF64" s="13">
        <f ca="1">$AP$64*$AP$75</f>
        <v>0</v>
      </c>
      <c r="AG64" s="13">
        <f ca="1">SUM($AE$64:$AF$64)</f>
        <v>0</v>
      </c>
      <c r="AH64" s="13">
        <f>'TUSD BE'!$AH$64*'TUSD BE'!$AH$78</f>
        <v>10.920190337325092</v>
      </c>
      <c r="AI64" s="13">
        <f>'TUSD BE'!$AI$64*'TUSD BE'!$AI$78</f>
        <v>0.18925872471314215</v>
      </c>
      <c r="AJ64" s="13">
        <f ca="1">'TUSD BE'!$AJ$64*'TUSD BE'!$AJ$78</f>
        <v>0.75386565992479893</v>
      </c>
      <c r="AK64" s="13">
        <f ca="1">'TUSD BE'!$AK$64*'TUSD BE'!$AK$78</f>
        <v>-1.7241257166437356E-2</v>
      </c>
      <c r="AL64" s="13">
        <f ca="1">SUM($AH$64:$AK$64)</f>
        <v>11.846073464796595</v>
      </c>
      <c r="AM64" s="13">
        <f ca="1">SUMIF($L$4:$AL$4,"SUBTOTAL",$L$64:$AL$64)+AZ64</f>
        <v>24.68337448577013</v>
      </c>
      <c r="AO64" s="20">
        <f ca="1">+'TUSD BE'!$T$64+'TUSD BE'!$AB$64+'TUSD BE'!$AD$64+'TUSD BE'!$AL$64</f>
        <v>356.4462800994238</v>
      </c>
      <c r="AP64" s="20">
        <f ca="1">+'TUSD BE'!$T$64+'TUSD BE'!$AB$64+'TUSD BE'!$AD$64+'TUSD BE'!$AL$64</f>
        <v>356.4462800994238</v>
      </c>
      <c r="AQ64" s="9" t="str">
        <f t="shared" si="7"/>
        <v>B2</v>
      </c>
      <c r="AR64" s="9" t="str">
        <f t="shared" si="8"/>
        <v>Convencional pré-pagamento</v>
      </c>
      <c r="AS64" s="9" t="str">
        <f t="shared" si="9"/>
        <v>Rural</v>
      </c>
      <c r="AT64" s="9" t="str">
        <f t="shared" si="10"/>
        <v>Serviço público de irrigação rural</v>
      </c>
      <c r="AU64" s="9" t="str">
        <f t="shared" si="11"/>
        <v>Não se aplica</v>
      </c>
      <c r="AV64" s="58">
        <f t="shared" si="12"/>
        <v>1</v>
      </c>
      <c r="AW64" s="58">
        <f ca="1">TarifaMedia!$G$52</f>
        <v>1</v>
      </c>
      <c r="AX64" s="23">
        <f ca="1">'TUSD BE'!$AM64+'TUSD BF'!$AM64+'TUSD CVA'!$AM64</f>
        <v>393.28439820871614</v>
      </c>
      <c r="AY64" s="58">
        <v>409.13</v>
      </c>
      <c r="AZ64" s="58">
        <f t="shared" ca="1" si="13"/>
        <v>15.845601791283855</v>
      </c>
      <c r="BA64" s="58"/>
      <c r="BB64" s="58"/>
      <c r="BC64" s="82" t="s">
        <v>992</v>
      </c>
    </row>
    <row r="65" spans="1:55" ht="11.25" customHeight="1" x14ac:dyDescent="0.3">
      <c r="A65" s="128" t="s">
        <v>37</v>
      </c>
      <c r="B65" s="128" t="s">
        <v>33</v>
      </c>
      <c r="C65" s="128" t="s">
        <v>25</v>
      </c>
      <c r="D65" s="128" t="s">
        <v>25</v>
      </c>
      <c r="E65" s="128" t="s">
        <v>25</v>
      </c>
      <c r="F65" s="128" t="s">
        <v>25</v>
      </c>
      <c r="G65" s="18" t="s">
        <v>79</v>
      </c>
      <c r="H65" s="18" t="s">
        <v>78</v>
      </c>
      <c r="I65" s="18">
        <f>'MERCADO TUSD'!$U$62</f>
        <v>22.301000000000002</v>
      </c>
      <c r="J65" s="15"/>
      <c r="L65" s="13">
        <f>'TUSD BE'!$L$65*'TUSD BE'!$L$78</f>
        <v>-0.56348944178893323</v>
      </c>
      <c r="M65" s="13">
        <f>'TUSD BE'!$M$65*'TUSD BE'!$M$78</f>
        <v>-2.0658970226936097E-3</v>
      </c>
      <c r="N65" s="13">
        <f ca="1">'TUSD BE'!$N$65*'TUSD BE'!$N$78</f>
        <v>7.0268928998765192E-7</v>
      </c>
      <c r="O65" s="13">
        <f>'TUSD BE'!$O$65*'TUSD BE'!$O$78</f>
        <v>0</v>
      </c>
      <c r="P65" s="13">
        <f>'TUSD BE'!$P$65*'TUSD BE'!$P$78</f>
        <v>0</v>
      </c>
      <c r="Q65" s="13">
        <f>'TUSD BE'!$Q$65*'TUSD BE'!$Q$78</f>
        <v>-1.6095968681012454</v>
      </c>
      <c r="R65" s="13">
        <f>'TUSD BE'!$R$65*'TUSD BE'!$R$78</f>
        <v>-0.37578018258543827</v>
      </c>
      <c r="S65" s="13">
        <f>'TUSD BE'!$R$65*'TUSD BE'!$S$78</f>
        <v>0</v>
      </c>
      <c r="T65" s="13">
        <f ca="1">SUM($L$65:$S$65)</f>
        <v>-2.5509316868090206</v>
      </c>
      <c r="U65" s="13">
        <f>'TUSD BE'!$U$65*'TUSD BE'!$U$78</f>
        <v>-1.2784344941863739</v>
      </c>
      <c r="V65" s="13">
        <f>'TUSD BE'!$V$65*'TUSD BE'!$V$78</f>
        <v>-0.28733512020376928</v>
      </c>
      <c r="W65" s="13">
        <f>'TUSD BE'!$W$65*'TUSD BE'!$W$78</f>
        <v>-9.847986113687663E-3</v>
      </c>
      <c r="X65" s="13">
        <f>'TUSD BE'!$X$65*'TUSD BE'!$X$78</f>
        <v>0</v>
      </c>
      <c r="Y65" s="13">
        <f>'TUSD BE'!$Y$65*'TUSD BE'!$Y$78</f>
        <v>0</v>
      </c>
      <c r="Z65" s="13">
        <f>'TUSD BE'!$Z$65*'TUSD BE'!$Z$78</f>
        <v>0</v>
      </c>
      <c r="AA65" s="13">
        <f>'TUSD BE'!$AA$65*'TUSD BE'!$AA$78</f>
        <v>0</v>
      </c>
      <c r="AB65" s="13">
        <f>SUM($U$65:$AA$65)</f>
        <v>-1.5756176005038309</v>
      </c>
      <c r="AC65" s="13">
        <f>'TUSD BE'!$AC$65*'TUSD BE'!$AC$78</f>
        <v>6.6300129719515766E-2</v>
      </c>
      <c r="AD65" s="13">
        <f>SUM($AC$65:$AC$65)</f>
        <v>6.6300129719515766E-2</v>
      </c>
      <c r="AE65" s="13">
        <f ca="1">$AO$65*$AO$75</f>
        <v>0</v>
      </c>
      <c r="AF65" s="13">
        <f ca="1">$AP$65*$AP$75</f>
        <v>0</v>
      </c>
      <c r="AG65" s="13">
        <f ca="1">SUM($AE$65:$AF$65)</f>
        <v>0</v>
      </c>
      <c r="AH65" s="13">
        <f>'TUSD BE'!$AH$65*'TUSD BE'!$AH$78</f>
        <v>10.920190337325092</v>
      </c>
      <c r="AI65" s="13">
        <f>'TUSD BE'!$AI$65*'TUSD BE'!$AI$78</f>
        <v>0.18925872471314215</v>
      </c>
      <c r="AJ65" s="13">
        <f ca="1">'TUSD BE'!$AJ$65*'TUSD BE'!$AJ$78</f>
        <v>0.75386565992479893</v>
      </c>
      <c r="AK65" s="13">
        <f ca="1">'TUSD BE'!$AK$65*'TUSD BE'!$AK$78</f>
        <v>-1.7241257166437356E-2</v>
      </c>
      <c r="AL65" s="13">
        <f ca="1">SUM($AH$65:$AK$65)</f>
        <v>11.846073464796595</v>
      </c>
      <c r="AM65" s="13">
        <f ca="1">SUMIF($L$4:$AL$4,"SUBTOTAL",$L$65:$AL$65)+AZ65</f>
        <v>21.967514103659258</v>
      </c>
      <c r="AO65" s="20">
        <f ca="1">+'TUSD BE'!$T$65+'TUSD BE'!$AB$65+'TUSD BE'!$AD$65+'TUSD BE'!$AL$65</f>
        <v>864.70188267032893</v>
      </c>
      <c r="AP65" s="20">
        <f ca="1">+'TUSD BE'!$T$65+'TUSD BE'!$AB$65+'TUSD BE'!$AD$65+'TUSD BE'!$AL$65</f>
        <v>864.70188267032893</v>
      </c>
      <c r="AQ65" s="9" t="str">
        <f t="shared" si="7"/>
        <v>B3</v>
      </c>
      <c r="AR65" s="9" t="str">
        <f t="shared" si="8"/>
        <v>Branca</v>
      </c>
      <c r="AS65" s="9" t="str">
        <f t="shared" si="9"/>
        <v>Não se aplica</v>
      </c>
      <c r="AT65" s="9" t="str">
        <f t="shared" si="10"/>
        <v>Não se aplica</v>
      </c>
      <c r="AU65" s="9" t="str">
        <f t="shared" si="11"/>
        <v>Não se aplica</v>
      </c>
      <c r="AV65" s="58">
        <f t="shared" si="12"/>
        <v>1</v>
      </c>
      <c r="AW65" s="58">
        <f ca="1">TarifaMedia!$G$52</f>
        <v>1</v>
      </c>
      <c r="AX65" s="23">
        <f ca="1">'TUSD BE'!$AM65+'TUSD BF'!$AM65+'TUSD CVA'!$AM65</f>
        <v>906.91831020354402</v>
      </c>
      <c r="AY65" s="58">
        <v>921.1</v>
      </c>
      <c r="AZ65" s="58">
        <f t="shared" ca="1" si="13"/>
        <v>14.181689796455998</v>
      </c>
      <c r="BA65" s="58"/>
      <c r="BB65" s="58"/>
      <c r="BC65" s="82" t="s">
        <v>999</v>
      </c>
    </row>
    <row r="66" spans="1:55" ht="11.25" customHeight="1" x14ac:dyDescent="0.3">
      <c r="A66" s="128"/>
      <c r="B66" s="128"/>
      <c r="C66" s="128"/>
      <c r="D66" s="128"/>
      <c r="E66" s="128"/>
      <c r="F66" s="128"/>
      <c r="G66" s="18" t="s">
        <v>90</v>
      </c>
      <c r="H66" s="18" t="s">
        <v>78</v>
      </c>
      <c r="I66" s="18">
        <f>'MERCADO TUSD'!$U$63</f>
        <v>24.489000000000001</v>
      </c>
      <c r="J66" s="15"/>
      <c r="L66" s="13">
        <f>'TUSD BE'!$L$66*'TUSD BE'!$L$78</f>
        <v>-0.56348944178893323</v>
      </c>
      <c r="M66" s="13">
        <f>'TUSD BE'!$M$66*'TUSD BE'!$M$78</f>
        <v>-2.0658970226936097E-3</v>
      </c>
      <c r="N66" s="13">
        <f ca="1">'TUSD BE'!$N$66*'TUSD BE'!$N$78</f>
        <v>4.8560126756249488E-7</v>
      </c>
      <c r="O66" s="13">
        <f>'TUSD BE'!$O$66*'TUSD BE'!$O$78</f>
        <v>0</v>
      </c>
      <c r="P66" s="13">
        <f>'TUSD BE'!$P$66*'TUSD BE'!$P$78</f>
        <v>0</v>
      </c>
      <c r="Q66" s="13">
        <f>'TUSD BE'!$Q$66*'TUSD BE'!$Q$78</f>
        <v>-1.6095968681012454</v>
      </c>
      <c r="R66" s="13">
        <f>'TUSD BE'!$R$66*'TUSD BE'!$R$78</f>
        <v>-0.37578018258543827</v>
      </c>
      <c r="S66" s="13">
        <f>'TUSD BE'!$R$66*'TUSD BE'!$S$78</f>
        <v>0</v>
      </c>
      <c r="T66" s="13">
        <f ca="1">SUM($L$66:$S$66)</f>
        <v>-2.5509319038970428</v>
      </c>
      <c r="U66" s="13">
        <f>'TUSD BE'!$U$66*'TUSD BE'!$U$78</f>
        <v>-0.76706100607586847</v>
      </c>
      <c r="V66" s="13">
        <f>'TUSD BE'!$V$66*'TUSD BE'!$V$78</f>
        <v>-0.17240037103700087</v>
      </c>
      <c r="W66" s="13">
        <f>'TUSD BE'!$W$66*'TUSD BE'!$W$78</f>
        <v>-5.9084971269799469E-3</v>
      </c>
      <c r="X66" s="13">
        <f>'TUSD BE'!$X$66*'TUSD BE'!$X$78</f>
        <v>0</v>
      </c>
      <c r="Y66" s="13">
        <f>'TUSD BE'!$Y$66*'TUSD BE'!$Y$78</f>
        <v>0</v>
      </c>
      <c r="Z66" s="13">
        <f>'TUSD BE'!$Z$66*'TUSD BE'!$Z$78</f>
        <v>0</v>
      </c>
      <c r="AA66" s="13">
        <f>'TUSD BE'!$AA$66*'TUSD BE'!$AA$78</f>
        <v>0</v>
      </c>
      <c r="AB66" s="13">
        <f>SUM($U$66:$AA$66)</f>
        <v>-0.94536987423984931</v>
      </c>
      <c r="AC66" s="13">
        <f>'TUSD BE'!$AC$66*'TUSD BE'!$AC$78</f>
        <v>3.9780075224438265E-2</v>
      </c>
      <c r="AD66" s="13">
        <f>SUM($AC$66:$AC$66)</f>
        <v>3.9780075224438265E-2</v>
      </c>
      <c r="AE66" s="13">
        <f ca="1">$AO$66*$AO$75</f>
        <v>0</v>
      </c>
      <c r="AF66" s="13">
        <f ca="1">$AP$66*$AP$75</f>
        <v>0</v>
      </c>
      <c r="AG66" s="13">
        <f ca="1">SUM($AE$66:$AF$66)</f>
        <v>0</v>
      </c>
      <c r="AH66" s="13">
        <f>'TUSD BE'!$AH$66*'TUSD BE'!$AH$78</f>
        <v>10.920190337325092</v>
      </c>
      <c r="AI66" s="13">
        <f>'TUSD BE'!$AI$66*'TUSD BE'!$AI$78</f>
        <v>0.18925872471314215</v>
      </c>
      <c r="AJ66" s="13">
        <f ca="1">'TUSD BE'!$AJ$66*'TUSD BE'!$AJ$78</f>
        <v>0.75386565992479893</v>
      </c>
      <c r="AK66" s="13">
        <f ca="1">'TUSD BE'!$AK$66*'TUSD BE'!$AK$78</f>
        <v>-1.7241257166437356E-2</v>
      </c>
      <c r="AL66" s="13">
        <f ca="1">SUM($AH$66:$AK$66)</f>
        <v>11.846073464796595</v>
      </c>
      <c r="AM66" s="13">
        <f ca="1">SUMIF($L$4:$AL$4,"SUBTOTAL",$L$66:$AL$66)+AZ66</f>
        <v>12.672547466239271</v>
      </c>
      <c r="AO66" s="20">
        <f ca="1">+'TUSD BE'!$T$66+'TUSD BE'!$AB$66+'TUSD BE'!$AD$66+'TUSD BE'!$AL$66</f>
        <v>573.00725856759266</v>
      </c>
      <c r="AP66" s="20">
        <f ca="1">+'TUSD BE'!$T$66+'TUSD BE'!$AB$66+'TUSD BE'!$AD$66+'TUSD BE'!$AL$66</f>
        <v>573.00725856759266</v>
      </c>
      <c r="AQ66" s="9" t="str">
        <f t="shared" si="7"/>
        <v>B3</v>
      </c>
      <c r="AR66" s="9" t="str">
        <f t="shared" si="8"/>
        <v>Branca</v>
      </c>
      <c r="AS66" s="9" t="str">
        <f t="shared" si="9"/>
        <v>Não se aplica</v>
      </c>
      <c r="AT66" s="9" t="str">
        <f t="shared" si="10"/>
        <v>Não se aplica</v>
      </c>
      <c r="AU66" s="9" t="str">
        <f t="shared" si="11"/>
        <v>Não se aplica</v>
      </c>
      <c r="AV66" s="58">
        <f t="shared" si="12"/>
        <v>1</v>
      </c>
      <c r="AW66" s="58">
        <f ca="1">TarifaMedia!$G$52</f>
        <v>1</v>
      </c>
      <c r="AX66" s="23">
        <f ca="1">'TUSD BE'!$AM66+'TUSD BF'!$AM66+'TUSD CVA'!$AM66</f>
        <v>612.13700429564483</v>
      </c>
      <c r="AY66" s="58">
        <v>616.41999999999996</v>
      </c>
      <c r="AZ66" s="58">
        <f t="shared" ca="1" si="13"/>
        <v>4.2829957043551303</v>
      </c>
      <c r="BA66" s="58"/>
      <c r="BB66" s="58"/>
      <c r="BC66" s="82" t="s">
        <v>1000</v>
      </c>
    </row>
    <row r="67" spans="1:55" ht="11.25" customHeight="1" x14ac:dyDescent="0.3">
      <c r="A67" s="128"/>
      <c r="B67" s="128"/>
      <c r="C67" s="128"/>
      <c r="D67" s="128"/>
      <c r="E67" s="128"/>
      <c r="F67" s="128"/>
      <c r="G67" s="18" t="s">
        <v>80</v>
      </c>
      <c r="H67" s="18" t="s">
        <v>78</v>
      </c>
      <c r="I67" s="18">
        <f>'MERCADO TUSD'!$U$64</f>
        <v>464.17199999999997</v>
      </c>
      <c r="J67" s="15"/>
      <c r="L67" s="13">
        <f>'TUSD BE'!$L$67*'TUSD BE'!$L$78</f>
        <v>-0.56348944178893323</v>
      </c>
      <c r="M67" s="13">
        <f>'TUSD BE'!$M$67*'TUSD BE'!$M$78</f>
        <v>-2.0658970226936097E-3</v>
      </c>
      <c r="N67" s="13">
        <f ca="1">'TUSD BE'!$N$67*'TUSD BE'!$N$78</f>
        <v>2.6851342103026876E-7</v>
      </c>
      <c r="O67" s="13">
        <f>'TUSD BE'!$O$67*'TUSD BE'!$O$78</f>
        <v>0</v>
      </c>
      <c r="P67" s="13">
        <f>'TUSD BE'!$P$67*'TUSD BE'!$P$78</f>
        <v>0</v>
      </c>
      <c r="Q67" s="13">
        <f>'TUSD BE'!$Q$67*'TUSD BE'!$Q$78</f>
        <v>-1.6095968681012454</v>
      </c>
      <c r="R67" s="13">
        <f>'TUSD BE'!$R$67*'TUSD BE'!$R$78</f>
        <v>-0.37578018258543827</v>
      </c>
      <c r="S67" s="13">
        <f>'TUSD BE'!$R$67*'TUSD BE'!$S$78</f>
        <v>0</v>
      </c>
      <c r="T67" s="13">
        <f ca="1">SUM($L$67:$S$67)</f>
        <v>-2.5509321209848892</v>
      </c>
      <c r="U67" s="13">
        <f>'TUSD BE'!$U$67*'TUSD BE'!$U$78</f>
        <v>-0.25568751796536321</v>
      </c>
      <c r="V67" s="13">
        <f>'TUSD BE'!$V$67*'TUSD BE'!$V$78</f>
        <v>-5.746679034566695E-2</v>
      </c>
      <c r="W67" s="13">
        <f>'TUSD BE'!$W$67*'TUSD BE'!$W$78</f>
        <v>-1.969744493353858E-3</v>
      </c>
      <c r="X67" s="13">
        <f>'TUSD BE'!$X$67*'TUSD BE'!$X$78</f>
        <v>0</v>
      </c>
      <c r="Y67" s="13">
        <f>'TUSD BE'!$Y$67*'TUSD BE'!$Y$78</f>
        <v>0</v>
      </c>
      <c r="Z67" s="13">
        <f>'TUSD BE'!$Z$67*'TUSD BE'!$Z$78</f>
        <v>0</v>
      </c>
      <c r="AA67" s="13">
        <f>'TUSD BE'!$AA$67*'TUSD BE'!$AA$78</f>
        <v>0</v>
      </c>
      <c r="AB67" s="13">
        <f>SUM($U$67:$AA$67)</f>
        <v>-0.31512405280438399</v>
      </c>
      <c r="AC67" s="13">
        <f>'TUSD BE'!$AC$67*'TUSD BE'!$AC$78</f>
        <v>1.3260020729360765E-2</v>
      </c>
      <c r="AD67" s="13">
        <f>SUM($AC$67:$AC$67)</f>
        <v>1.3260020729360765E-2</v>
      </c>
      <c r="AE67" s="13">
        <f ca="1">$AO$67*$AO$75</f>
        <v>0</v>
      </c>
      <c r="AF67" s="13">
        <f ca="1">$AP$67*$AP$75</f>
        <v>0</v>
      </c>
      <c r="AG67" s="13">
        <f ca="1">SUM($AE$67:$AF$67)</f>
        <v>0</v>
      </c>
      <c r="AH67" s="13">
        <f>'TUSD BE'!$AH$67*'TUSD BE'!$AH$78</f>
        <v>10.920190337325092</v>
      </c>
      <c r="AI67" s="13">
        <f>'TUSD BE'!$AI$67*'TUSD BE'!$AI$78</f>
        <v>0.18925872471314215</v>
      </c>
      <c r="AJ67" s="13">
        <f ca="1">'TUSD BE'!$AJ$67*'TUSD BE'!$AJ$78</f>
        <v>0.75386565992479893</v>
      </c>
      <c r="AK67" s="13">
        <f ca="1">'TUSD BE'!$AK$67*'TUSD BE'!$AK$78</f>
        <v>-1.7241257166437356E-2</v>
      </c>
      <c r="AL67" s="13">
        <f ca="1">SUM($AH$67:$AK$67)</f>
        <v>11.846073464796595</v>
      </c>
      <c r="AM67" s="13">
        <f ca="1">SUMIF($L$4:$AL$4,"SUBTOTAL",$L$67:$AL$67)+AZ67</f>
        <v>3.367294231372858</v>
      </c>
      <c r="AO67" s="20">
        <f ca="1">+'TUSD BE'!$T$67+'TUSD BE'!$AB$67+'TUSD BE'!$AD$67+'TUSD BE'!$AL$67</f>
        <v>281.31291474198082</v>
      </c>
      <c r="AP67" s="20">
        <f ca="1">+'TUSD BE'!$T$67+'TUSD BE'!$AB$67+'TUSD BE'!$AD$67+'TUSD BE'!$AL$67</f>
        <v>281.31291474198082</v>
      </c>
      <c r="AQ67" s="9" t="str">
        <f t="shared" si="7"/>
        <v>B3</v>
      </c>
      <c r="AR67" s="9" t="str">
        <f t="shared" si="8"/>
        <v>Branca</v>
      </c>
      <c r="AS67" s="9" t="str">
        <f t="shared" si="9"/>
        <v>Não se aplica</v>
      </c>
      <c r="AT67" s="9" t="str">
        <f t="shared" si="10"/>
        <v>Não se aplica</v>
      </c>
      <c r="AU67" s="9" t="str">
        <f t="shared" si="11"/>
        <v>Não se aplica</v>
      </c>
      <c r="AV67" s="58">
        <f t="shared" si="12"/>
        <v>1</v>
      </c>
      <c r="AW67" s="58">
        <f ca="1">TarifaMedia!$G$52</f>
        <v>1</v>
      </c>
      <c r="AX67" s="23">
        <f ca="1">'TUSD BE'!$AM67+'TUSD BF'!$AM67+'TUSD CVA'!$AM67</f>
        <v>317.35598308036384</v>
      </c>
      <c r="AY67" s="58">
        <v>311.73</v>
      </c>
      <c r="AZ67" s="58">
        <f t="shared" ca="1" si="13"/>
        <v>-5.6259830803638238</v>
      </c>
      <c r="BA67" s="58"/>
      <c r="BB67" s="58"/>
      <c r="BC67" s="82" t="s">
        <v>1001</v>
      </c>
    </row>
    <row r="68" spans="1:55" ht="11.25" customHeight="1" x14ac:dyDescent="0.3">
      <c r="A68" s="128"/>
      <c r="B68" s="17" t="s">
        <v>23</v>
      </c>
      <c r="C68" s="17" t="s">
        <v>25</v>
      </c>
      <c r="D68" s="17" t="s">
        <v>25</v>
      </c>
      <c r="E68" s="17" t="s">
        <v>25</v>
      </c>
      <c r="F68" s="17" t="s">
        <v>25</v>
      </c>
      <c r="G68" s="18" t="s">
        <v>84</v>
      </c>
      <c r="H68" s="18" t="s">
        <v>78</v>
      </c>
      <c r="I68" s="18">
        <f>'MERCADO TUSD'!$U$65</f>
        <v>47738.307000000001</v>
      </c>
      <c r="J68" s="15"/>
      <c r="L68" s="13">
        <f>'TUSD BE'!$L$68*'TUSD BE'!$L$78</f>
        <v>-0.56348944178893323</v>
      </c>
      <c r="M68" s="13">
        <f>'TUSD BE'!$M$68*'TUSD BE'!$M$78</f>
        <v>-2.0658970226936097E-3</v>
      </c>
      <c r="N68" s="13">
        <f ca="1">'TUSD BE'!$N$68*'TUSD BE'!$N$78</f>
        <v>3.2442995957833044E-7</v>
      </c>
      <c r="O68" s="13">
        <f>'TUSD BE'!$O$68*'TUSD BE'!$O$78</f>
        <v>0</v>
      </c>
      <c r="P68" s="13">
        <f>'TUSD BE'!$P$68*'TUSD BE'!$P$78</f>
        <v>0</v>
      </c>
      <c r="Q68" s="13">
        <f>'TUSD BE'!$Q$68*'TUSD BE'!$Q$78</f>
        <v>-1.6095968681012454</v>
      </c>
      <c r="R68" s="13">
        <f>'TUSD BE'!$R$68*'TUSD BE'!$R$78</f>
        <v>-0.37578018258543827</v>
      </c>
      <c r="S68" s="13">
        <f>'TUSD BE'!$R$68*'TUSD BE'!$S$78</f>
        <v>0</v>
      </c>
      <c r="T68" s="13">
        <f ca="1">SUM($L$68:$S$68)</f>
        <v>-2.5509320650683507</v>
      </c>
      <c r="U68" s="13">
        <f>'TUSD BE'!$U$68*'TUSD BE'!$U$78</f>
        <v>-0.38740392314125843</v>
      </c>
      <c r="V68" s="13">
        <f>'TUSD BE'!$V$68*'TUSD BE'!$V$78</f>
        <v>-8.7071283954943249E-2</v>
      </c>
      <c r="W68" s="13">
        <f>'TUSD BE'!$W$68*'TUSD BE'!$W$78</f>
        <v>-2.9844390398367057E-3</v>
      </c>
      <c r="X68" s="13">
        <f>'TUSD BE'!$X$68*'TUSD BE'!$X$78</f>
        <v>0</v>
      </c>
      <c r="Y68" s="13">
        <f>'TUSD BE'!$Y$68*'TUSD BE'!$Y$78</f>
        <v>0</v>
      </c>
      <c r="Z68" s="13">
        <f>'TUSD BE'!$Z$68*'TUSD BE'!$Z$78</f>
        <v>0</v>
      </c>
      <c r="AA68" s="13">
        <f>'TUSD BE'!$AA$68*'TUSD BE'!$AA$78</f>
        <v>0</v>
      </c>
      <c r="AB68" s="13">
        <f>SUM($U$68:$AA$68)</f>
        <v>-0.47745964613603836</v>
      </c>
      <c r="AC68" s="13">
        <f>'TUSD BE'!$AC$68*'TUSD BE'!$AC$78</f>
        <v>2.0090940894072554E-2</v>
      </c>
      <c r="AD68" s="13">
        <f>SUM($AC$68:$AC$68)</f>
        <v>2.0090940894072554E-2</v>
      </c>
      <c r="AE68" s="13">
        <f ca="1">$AO$68*$AO$75</f>
        <v>0</v>
      </c>
      <c r="AF68" s="13">
        <f ca="1">$AP$68*$AP$75</f>
        <v>0</v>
      </c>
      <c r="AG68" s="13">
        <f ca="1">SUM($AE$68:$AF$68)</f>
        <v>0</v>
      </c>
      <c r="AH68" s="13">
        <f>'TUSD BE'!$AH$68*'TUSD BE'!$AH$78</f>
        <v>10.920190337325092</v>
      </c>
      <c r="AI68" s="13">
        <f>'TUSD BE'!$AI$68*'TUSD BE'!$AI$78</f>
        <v>0.18925872471314215</v>
      </c>
      <c r="AJ68" s="13">
        <f ca="1">'TUSD BE'!$AJ$68*'TUSD BE'!$AJ$78</f>
        <v>0.75386565992479893</v>
      </c>
      <c r="AK68" s="13">
        <f ca="1">'TUSD BE'!$AK$68*'TUSD BE'!$AK$78</f>
        <v>-1.7241257166437356E-2</v>
      </c>
      <c r="AL68" s="13">
        <f ca="1">SUM($AH$68:$AK$68)</f>
        <v>11.846073464796595</v>
      </c>
      <c r="AM68" s="13">
        <f ca="1">SUMIF($L$4:$AL$4,"SUBTOTAL",$L$68:$AL$68)+AZ68</f>
        <v>24.68337448577013</v>
      </c>
      <c r="AO68" s="20">
        <f ca="1">+'TUSD BE'!$T$68+'TUSD BE'!$AB$68+'TUSD BE'!$AD$68+'TUSD BE'!$AL$68</f>
        <v>356.4462800994238</v>
      </c>
      <c r="AP68" s="20">
        <f ca="1">+'TUSD BE'!$T$68+'TUSD BE'!$AB$68+'TUSD BE'!$AD$68+'TUSD BE'!$AL$68</f>
        <v>356.4462800994238</v>
      </c>
      <c r="AQ68" s="9" t="str">
        <f t="shared" si="7"/>
        <v>B3</v>
      </c>
      <c r="AR68" s="9" t="str">
        <f t="shared" si="8"/>
        <v>Convencional</v>
      </c>
      <c r="AS68" s="9" t="str">
        <f t="shared" si="9"/>
        <v>Não se aplica</v>
      </c>
      <c r="AT68" s="9" t="str">
        <f t="shared" si="10"/>
        <v>Não se aplica</v>
      </c>
      <c r="AU68" s="9" t="str">
        <f t="shared" si="11"/>
        <v>Não se aplica</v>
      </c>
      <c r="AV68" s="58">
        <f t="shared" si="12"/>
        <v>1</v>
      </c>
      <c r="AW68" s="58">
        <f ca="1">TarifaMedia!$G$52</f>
        <v>1</v>
      </c>
      <c r="AX68" s="23">
        <f ca="1">'TUSD BE'!$AM68+'TUSD BF'!$AM68+'TUSD CVA'!$AM68</f>
        <v>393.28439820871614</v>
      </c>
      <c r="AY68" s="58">
        <v>409.13</v>
      </c>
      <c r="AZ68" s="58">
        <f t="shared" ca="1" si="13"/>
        <v>15.845601791283855</v>
      </c>
      <c r="BA68" s="58"/>
      <c r="BB68" s="58"/>
      <c r="BC68" s="82" t="s">
        <v>1002</v>
      </c>
    </row>
    <row r="69" spans="1:55" ht="11.25" customHeight="1" x14ac:dyDescent="0.3">
      <c r="A69" s="128"/>
      <c r="B69" s="17" t="s">
        <v>92</v>
      </c>
      <c r="C69" s="17" t="s">
        <v>25</v>
      </c>
      <c r="D69" s="17" t="s">
        <v>25</v>
      </c>
      <c r="E69" s="17" t="s">
        <v>25</v>
      </c>
      <c r="F69" s="17" t="s">
        <v>25</v>
      </c>
      <c r="G69" s="18" t="s">
        <v>84</v>
      </c>
      <c r="H69" s="18" t="s">
        <v>78</v>
      </c>
      <c r="I69" s="18">
        <f>'MERCADO TUSD'!$U$66</f>
        <v>0</v>
      </c>
      <c r="J69" s="15"/>
      <c r="L69" s="13">
        <f>'TUSD BE'!$L$69*'TUSD BE'!$L$78</f>
        <v>-0.56348944178893323</v>
      </c>
      <c r="M69" s="13">
        <f>'TUSD BE'!$M$69*'TUSD BE'!$M$78</f>
        <v>-2.0658970226936097E-3</v>
      </c>
      <c r="N69" s="13">
        <f ca="1">'TUSD BE'!$N$69*'TUSD BE'!$N$78</f>
        <v>3.2442995957833044E-7</v>
      </c>
      <c r="O69" s="13">
        <f>'TUSD BE'!$O$69*'TUSD BE'!$O$78</f>
        <v>0</v>
      </c>
      <c r="P69" s="13">
        <f>'TUSD BE'!$P$69*'TUSD BE'!$P$78</f>
        <v>0</v>
      </c>
      <c r="Q69" s="13">
        <f>'TUSD BE'!$Q$69*'TUSD BE'!$Q$78</f>
        <v>-1.6095968681012454</v>
      </c>
      <c r="R69" s="13">
        <f>'TUSD BE'!$R$69*'TUSD BE'!$R$78</f>
        <v>-0.37578018258543827</v>
      </c>
      <c r="S69" s="13">
        <f>'TUSD BE'!$R$69*'TUSD BE'!$S$78</f>
        <v>0</v>
      </c>
      <c r="T69" s="13">
        <f ca="1">SUM($L$69:$S$69)</f>
        <v>-2.5509320650683507</v>
      </c>
      <c r="U69" s="13">
        <f>'TUSD BE'!$U$69*'TUSD BE'!$U$78</f>
        <v>-0.38740392314125843</v>
      </c>
      <c r="V69" s="13">
        <f>'TUSD BE'!$V$69*'TUSD BE'!$V$78</f>
        <v>-8.7071283954943249E-2</v>
      </c>
      <c r="W69" s="13">
        <f>'TUSD BE'!$W$69*'TUSD BE'!$W$78</f>
        <v>-2.9844390398367057E-3</v>
      </c>
      <c r="X69" s="13">
        <f>'TUSD BE'!$X$69*'TUSD BE'!$X$78</f>
        <v>0</v>
      </c>
      <c r="Y69" s="13">
        <f>'TUSD BE'!$Y$69*'TUSD BE'!$Y$78</f>
        <v>0</v>
      </c>
      <c r="Z69" s="13">
        <f>'TUSD BE'!$Z$69*'TUSD BE'!$Z$78</f>
        <v>0</v>
      </c>
      <c r="AA69" s="13">
        <f>'TUSD BE'!$AA$69*'TUSD BE'!$AA$78</f>
        <v>0</v>
      </c>
      <c r="AB69" s="13">
        <f>SUM($U$69:$AA$69)</f>
        <v>-0.47745964613603836</v>
      </c>
      <c r="AC69" s="13">
        <f>'TUSD BE'!$AC$69*'TUSD BE'!$AC$78</f>
        <v>2.0090940894072554E-2</v>
      </c>
      <c r="AD69" s="13">
        <f>SUM($AC$69:$AC$69)</f>
        <v>2.0090940894072554E-2</v>
      </c>
      <c r="AE69" s="13">
        <f ca="1">$AO$69*$AO$75</f>
        <v>0</v>
      </c>
      <c r="AF69" s="13">
        <f ca="1">$AP$69*$AP$75</f>
        <v>0</v>
      </c>
      <c r="AG69" s="13">
        <f ca="1">SUM($AE$69:$AF$69)</f>
        <v>0</v>
      </c>
      <c r="AH69" s="13">
        <f>'TUSD BE'!$AH$69*'TUSD BE'!$AH$78</f>
        <v>10.920190337325092</v>
      </c>
      <c r="AI69" s="13">
        <f>'TUSD BE'!$AI$69*'TUSD BE'!$AI$78</f>
        <v>0.18925872471314215</v>
      </c>
      <c r="AJ69" s="13">
        <f ca="1">'TUSD BE'!$AJ$69*'TUSD BE'!$AJ$78</f>
        <v>0.75386565992479893</v>
      </c>
      <c r="AK69" s="13">
        <f ca="1">'TUSD BE'!$AK$69*'TUSD BE'!$AK$78</f>
        <v>-1.7241257166437356E-2</v>
      </c>
      <c r="AL69" s="13">
        <f ca="1">SUM($AH$69:$AK$69)</f>
        <v>11.846073464796595</v>
      </c>
      <c r="AM69" s="13">
        <f ca="1">SUMIF($L$4:$AL$4,"SUBTOTAL",$L$69:$AL$69)+AZ69</f>
        <v>24.68337448577013</v>
      </c>
      <c r="AO69" s="20">
        <f ca="1">+'TUSD BE'!$T$69+'TUSD BE'!$AB$69+'TUSD BE'!$AD$69+'TUSD BE'!$AL$69</f>
        <v>356.4462800994238</v>
      </c>
      <c r="AP69" s="20">
        <f ca="1">+'TUSD BE'!$T$69+'TUSD BE'!$AB$69+'TUSD BE'!$AD$69+'TUSD BE'!$AL$69</f>
        <v>356.4462800994238</v>
      </c>
      <c r="AQ69" s="9" t="str">
        <f t="shared" si="7"/>
        <v>B3</v>
      </c>
      <c r="AR69" s="9" t="str">
        <f t="shared" si="8"/>
        <v>Convencional pré-pagamento</v>
      </c>
      <c r="AS69" s="9" t="str">
        <f t="shared" si="9"/>
        <v>Não se aplica</v>
      </c>
      <c r="AT69" s="9" t="str">
        <f t="shared" si="10"/>
        <v>Não se aplica</v>
      </c>
      <c r="AU69" s="9" t="str">
        <f t="shared" si="11"/>
        <v>Não se aplica</v>
      </c>
      <c r="AV69" s="58">
        <f t="shared" si="12"/>
        <v>1</v>
      </c>
      <c r="AW69" s="58">
        <f ca="1">TarifaMedia!$G$52</f>
        <v>1</v>
      </c>
      <c r="AX69" s="23">
        <f ca="1">'TUSD BE'!$AM69+'TUSD BF'!$AM69+'TUSD CVA'!$AM69</f>
        <v>393.28439820871614</v>
      </c>
      <c r="AY69" s="58">
        <v>409.13</v>
      </c>
      <c r="AZ69" s="58">
        <f t="shared" ref="AZ69:AZ71" ca="1" si="14">(AY69-AX69)*AW69*AV69</f>
        <v>15.845601791283855</v>
      </c>
      <c r="BA69" s="58"/>
      <c r="BB69" s="58"/>
      <c r="BC69" s="82" t="s">
        <v>1003</v>
      </c>
    </row>
    <row r="70" spans="1:55" ht="11.25" customHeight="1" x14ac:dyDescent="0.3">
      <c r="A70" s="128" t="s">
        <v>47</v>
      </c>
      <c r="B70" s="128" t="s">
        <v>23</v>
      </c>
      <c r="C70" s="128" t="s">
        <v>48</v>
      </c>
      <c r="D70" s="17" t="s">
        <v>49</v>
      </c>
      <c r="E70" s="17" t="s">
        <v>25</v>
      </c>
      <c r="F70" s="17" t="s">
        <v>25</v>
      </c>
      <c r="G70" s="18" t="s">
        <v>84</v>
      </c>
      <c r="H70" s="18" t="s">
        <v>78</v>
      </c>
      <c r="I70" s="18">
        <f>'MERCADO TUSD'!$U$67</f>
        <v>19654.344999999998</v>
      </c>
      <c r="J70" s="15"/>
      <c r="L70" s="13">
        <f>'TUSD BE'!$L$70*'TUSD BE'!$L$78</f>
        <v>-0.30991919298391329</v>
      </c>
      <c r="M70" s="13">
        <f>'TUSD BE'!$M$70*'TUSD BE'!$M$78</f>
        <v>-1.1362433624814855E-3</v>
      </c>
      <c r="N70" s="13">
        <f ca="1">'TUSD BE'!$N$70*'TUSD BE'!$N$78</f>
        <v>1.7843647776808178E-7</v>
      </c>
      <c r="O70" s="13">
        <f>'TUSD BE'!$O$70*'TUSD BE'!$O$78</f>
        <v>0</v>
      </c>
      <c r="P70" s="13">
        <f>'TUSD BE'!$P$70*'TUSD BE'!$P$78</f>
        <v>0</v>
      </c>
      <c r="Q70" s="13">
        <f>'TUSD BE'!$Q$70*'TUSD BE'!$Q$78</f>
        <v>-0.88527827745568499</v>
      </c>
      <c r="R70" s="13">
        <f>'TUSD BE'!$R$70*'TUSD BE'!$R$78</f>
        <v>-0.20667910042199109</v>
      </c>
      <c r="S70" s="13">
        <f>'TUSD BE'!$R$70*'TUSD BE'!$S$78</f>
        <v>0</v>
      </c>
      <c r="T70" s="13">
        <f ca="1">SUM($L$70:$S$70)</f>
        <v>-1.4030126357875929</v>
      </c>
      <c r="U70" s="13">
        <f>'TUSD BE'!$U$70*'TUSD BE'!$U$78</f>
        <v>-0.21307215772769214</v>
      </c>
      <c r="V70" s="13">
        <f>'TUSD BE'!$V$70*'TUSD BE'!$V$78</f>
        <v>-4.7889206175218794E-2</v>
      </c>
      <c r="W70" s="13">
        <f>'TUSD BE'!$W$70*'TUSD BE'!$W$78</f>
        <v>-1.6414414719101882E-3</v>
      </c>
      <c r="X70" s="13">
        <f>'TUSD BE'!$X$70*'TUSD BE'!$X$78</f>
        <v>0</v>
      </c>
      <c r="Y70" s="13">
        <f>'TUSD BE'!$Y$70*'TUSD BE'!$Y$78</f>
        <v>0</v>
      </c>
      <c r="Z70" s="13">
        <f>'TUSD BE'!$Z$70*'TUSD BE'!$Z$78</f>
        <v>0</v>
      </c>
      <c r="AA70" s="13">
        <f>'TUSD BE'!$AA$70*'TUSD BE'!$AA$78</f>
        <v>0</v>
      </c>
      <c r="AB70" s="13">
        <f>SUM($U$70:$AA$70)</f>
        <v>-0.26260280537482111</v>
      </c>
      <c r="AC70" s="13">
        <f>'TUSD BE'!$AC$70*'TUSD BE'!$AC$78</f>
        <v>1.1050017491739905E-2</v>
      </c>
      <c r="AD70" s="13">
        <f>SUM($AC$70:$AC$70)</f>
        <v>1.1050017491739905E-2</v>
      </c>
      <c r="AE70" s="13">
        <f ca="1">$AO$70*$AO$75</f>
        <v>0</v>
      </c>
      <c r="AF70" s="13">
        <f ca="1">$AP$70*$AP$75</f>
        <v>0</v>
      </c>
      <c r="AG70" s="13">
        <f ca="1">SUM($AE$70:$AF$70)</f>
        <v>0</v>
      </c>
      <c r="AH70" s="13">
        <f>'TUSD BE'!$AH$70*'TUSD BE'!$AH$78</f>
        <v>6.0061046855288005</v>
      </c>
      <c r="AI70" s="13">
        <f>'TUSD BE'!$AI$70*'TUSD BE'!$AI$78</f>
        <v>0.10409229859222818</v>
      </c>
      <c r="AJ70" s="13">
        <f ca="1">'TUSD BE'!$AJ$70*'TUSD BE'!$AJ$78</f>
        <v>0.41462611295863949</v>
      </c>
      <c r="AK70" s="13">
        <f ca="1">'TUSD BE'!$AK$70*'TUSD BE'!$AK$78</f>
        <v>-9.4826914415405451E-3</v>
      </c>
      <c r="AL70" s="13">
        <f ca="1">SUM($AH$70:$AK$70)</f>
        <v>6.5153404056381277</v>
      </c>
      <c r="AM70" s="13">
        <f ca="1">SUMIF($L$4:$AL$4,"SUBTOTAL",$L$70:$AL$70)+AZ70</f>
        <v>13.57435596717356</v>
      </c>
      <c r="AO70" s="20">
        <f ca="1">+'TUSD BE'!$T$70+'TUSD BE'!$AB$70+'TUSD BE'!$AD$70+'TUSD BE'!$AL$70</f>
        <v>196.04545405468309</v>
      </c>
      <c r="AP70" s="20">
        <f ca="1">+'TUSD BE'!$T$70+'TUSD BE'!$AB$70+'TUSD BE'!$AD$70+'TUSD BE'!$AL$70</f>
        <v>196.04545405468309</v>
      </c>
      <c r="AQ70" s="9" t="str">
        <f t="shared" si="7"/>
        <v>B4</v>
      </c>
      <c r="AR70" s="9" t="str">
        <f t="shared" si="8"/>
        <v>Convencional</v>
      </c>
      <c r="AS70" s="9" t="str">
        <f t="shared" si="9"/>
        <v>Iluminação pública</v>
      </c>
      <c r="AT70" s="9" t="str">
        <f t="shared" si="10"/>
        <v>Iluminação pública – B4a</v>
      </c>
      <c r="AU70" s="9" t="str">
        <f t="shared" si="11"/>
        <v>Não se aplica</v>
      </c>
      <c r="AV70" s="58">
        <f t="shared" si="12"/>
        <v>1</v>
      </c>
      <c r="AW70" s="58">
        <f ca="1">TarifaMedia!$G$52</f>
        <v>1</v>
      </c>
      <c r="AX70" s="23">
        <f ca="1">'TUSD BE'!$AM70+'TUSD BF'!$AM70+'TUSD CVA'!$AM70</f>
        <v>216.3064190147939</v>
      </c>
      <c r="AY70" s="58">
        <v>225.02</v>
      </c>
      <c r="AZ70" s="58">
        <f t="shared" ca="1" si="14"/>
        <v>8.7135809852061072</v>
      </c>
      <c r="BA70" s="58"/>
      <c r="BB70" s="58"/>
      <c r="BC70" s="82" t="s">
        <v>1004</v>
      </c>
    </row>
    <row r="71" spans="1:55" ht="11.25" customHeight="1" x14ac:dyDescent="0.3">
      <c r="A71" s="128"/>
      <c r="B71" s="128"/>
      <c r="C71" s="128"/>
      <c r="D71" s="18" t="s">
        <v>95</v>
      </c>
      <c r="E71" s="18" t="s">
        <v>25</v>
      </c>
      <c r="F71" s="18" t="s">
        <v>25</v>
      </c>
      <c r="G71" s="18" t="s">
        <v>84</v>
      </c>
      <c r="H71" s="18" t="s">
        <v>78</v>
      </c>
      <c r="I71" s="18">
        <f>'MERCADO TUSD'!$U$68</f>
        <v>0</v>
      </c>
      <c r="J71" s="15"/>
      <c r="L71" s="13">
        <f>'TUSD BE'!$L$71*'TUSD BE'!$L$78</f>
        <v>-0.33809366507335986</v>
      </c>
      <c r="M71" s="13">
        <f>'TUSD BE'!$M$71*'TUSD BE'!$M$78</f>
        <v>-1.2395382136161659E-3</v>
      </c>
      <c r="N71" s="13">
        <f ca="1">'TUSD BE'!$N$71*'TUSD BE'!$N$78</f>
        <v>1.9465797574699829E-7</v>
      </c>
      <c r="O71" s="13">
        <f>'TUSD BE'!$O$71*'TUSD BE'!$O$78</f>
        <v>0</v>
      </c>
      <c r="P71" s="13">
        <f>'TUSD BE'!$P$71*'TUSD BE'!$P$78</f>
        <v>0</v>
      </c>
      <c r="Q71" s="13">
        <f>'TUSD BE'!$Q$71*'TUSD BE'!$Q$78</f>
        <v>-0.96575812086074708</v>
      </c>
      <c r="R71" s="13">
        <f>'TUSD BE'!$R$71*'TUSD BE'!$R$78</f>
        <v>-0.22546810955126298</v>
      </c>
      <c r="S71" s="13">
        <f>'TUSD BE'!$R$71*'TUSD BE'!$S$78</f>
        <v>0</v>
      </c>
      <c r="T71" s="13">
        <f ca="1">SUM($L$71:$S$71)</f>
        <v>-1.5305592390410103</v>
      </c>
      <c r="U71" s="13">
        <f>'TUSD BE'!$U$71*'TUSD BE'!$U$78</f>
        <v>-0.23244235388475504</v>
      </c>
      <c r="V71" s="13">
        <f>'TUSD BE'!$V$71*'TUSD BE'!$V$78</f>
        <v>-5.2242770372965944E-2</v>
      </c>
      <c r="W71" s="13">
        <f>'TUSD BE'!$W$71*'TUSD BE'!$W$78</f>
        <v>-1.7906634239020234E-3</v>
      </c>
      <c r="X71" s="13">
        <f>'TUSD BE'!$X$71*'TUSD BE'!$X$78</f>
        <v>0</v>
      </c>
      <c r="Y71" s="13">
        <f>'TUSD BE'!$Y$71*'TUSD BE'!$Y$78</f>
        <v>0</v>
      </c>
      <c r="Z71" s="13">
        <f>'TUSD BE'!$Z$71*'TUSD BE'!$Z$78</f>
        <v>0</v>
      </c>
      <c r="AA71" s="13">
        <f>'TUSD BE'!$AA$71*'TUSD BE'!$AA$78</f>
        <v>0</v>
      </c>
      <c r="AB71" s="13">
        <f>SUM($U$71:$AA$71)</f>
        <v>-0.28647578768162302</v>
      </c>
      <c r="AC71" s="13">
        <f>'TUSD BE'!$AC$71*'TUSD BE'!$AC$78</f>
        <v>1.205456453644353E-2</v>
      </c>
      <c r="AD71" s="13">
        <f>SUM($AC$71:$AC$71)</f>
        <v>1.205456453644353E-2</v>
      </c>
      <c r="AE71" s="13">
        <f ca="1">$AO$71*$AO$75</f>
        <v>0</v>
      </c>
      <c r="AF71" s="13">
        <f ca="1">$AP$71*$AP$75</f>
        <v>0</v>
      </c>
      <c r="AG71" s="13">
        <f ca="1">SUM($AE$71:$AF$71)</f>
        <v>0</v>
      </c>
      <c r="AH71" s="13">
        <f>'TUSD BE'!$AH$71*'TUSD BE'!$AH$78</f>
        <v>6.5521142023950549</v>
      </c>
      <c r="AI71" s="13">
        <f>'TUSD BE'!$AI$71*'TUSD BE'!$AI$78</f>
        <v>0.11355523482788528</v>
      </c>
      <c r="AJ71" s="13">
        <f ca="1">'TUSD BE'!$AJ$71*'TUSD BE'!$AJ$78</f>
        <v>0.45231939595487936</v>
      </c>
      <c r="AK71" s="13">
        <f ca="1">'TUSD BE'!$AK$71*'TUSD BE'!$AK$78</f>
        <v>-1.0344754299862412E-2</v>
      </c>
      <c r="AL71" s="13">
        <f ca="1">SUM($AH$71:$AK$71)</f>
        <v>7.1076440788779571</v>
      </c>
      <c r="AM71" s="13">
        <f ca="1">SUMIF($L$4:$AL$4,"SUBTOTAL",$L$71:$AL$71)+AZ71</f>
        <v>14.812024691462078</v>
      </c>
      <c r="AO71" s="20">
        <f ca="1">+'TUSD BE'!$T$71+'TUSD BE'!$AB$71+'TUSD BE'!$AD$71+'TUSD BE'!$AL$71</f>
        <v>213.86776805965425</v>
      </c>
      <c r="AP71" s="20">
        <f ca="1">+'TUSD BE'!$T$71+'TUSD BE'!$AB$71+'TUSD BE'!$AD$71+'TUSD BE'!$AL$71</f>
        <v>213.86776805965425</v>
      </c>
      <c r="AQ71" s="9" t="str">
        <f t="shared" si="7"/>
        <v>B4</v>
      </c>
      <c r="AR71" s="9" t="str">
        <f t="shared" si="8"/>
        <v>Convencional</v>
      </c>
      <c r="AS71" s="9" t="str">
        <f t="shared" si="9"/>
        <v>Iluminação pública</v>
      </c>
      <c r="AT71" s="9" t="str">
        <f t="shared" si="10"/>
        <v>Iluminação pública – B4b</v>
      </c>
      <c r="AU71" s="9" t="str">
        <f t="shared" si="11"/>
        <v>Não se aplica</v>
      </c>
      <c r="AV71" s="58">
        <f t="shared" si="12"/>
        <v>1</v>
      </c>
      <c r="AW71" s="58">
        <f ca="1">TarifaMedia!$G$52</f>
        <v>1</v>
      </c>
      <c r="AX71" s="23">
        <f ca="1">'TUSD BE'!$AM71+'TUSD BF'!$AM71+'TUSD CVA'!$AM71</f>
        <v>235.97063892522968</v>
      </c>
      <c r="AY71" s="58">
        <v>245.48</v>
      </c>
      <c r="AZ71" s="58">
        <f t="shared" ca="1" si="14"/>
        <v>9.509361074770311</v>
      </c>
      <c r="BA71" s="58"/>
      <c r="BB71" s="58"/>
      <c r="BC71" s="82" t="s">
        <v>1005</v>
      </c>
    </row>
    <row r="73" spans="1:55" ht="11.25" customHeight="1" x14ac:dyDescent="0.3">
      <c r="K73" s="16" t="s">
        <v>766</v>
      </c>
      <c r="L73" s="13">
        <f>SUMPRODUCT($I$5:$I71,$L$5:$L71)</f>
        <v>-272918.45718012837</v>
      </c>
      <c r="M73" s="13">
        <f>SUMPRODUCT($I$5:$I71,$M$5:$M71)</f>
        <v>-716.77332712039458</v>
      </c>
      <c r="N73" s="13">
        <f ca="1">SUMPRODUCT($I$5:$I71,$N$5:$N71)</f>
        <v>7.8643862956890895E-2</v>
      </c>
      <c r="O73" s="13">
        <f>SUMPRODUCT($I$5:$I71,$O$5:$O71)</f>
        <v>0</v>
      </c>
      <c r="P73" s="13">
        <f>SUMPRODUCT($I$5:$I71,$P$5:$P71)</f>
        <v>0</v>
      </c>
      <c r="Q73" s="13">
        <f>SUMPRODUCT($I$5:$I71,$Q$5:$Q71)</f>
        <v>-779586.37970133102</v>
      </c>
      <c r="R73" s="13">
        <f>SUMPRODUCT($I$5:$I71,$R$5:$R71)</f>
        <v>-214649.38672727768</v>
      </c>
      <c r="S73" s="13">
        <f>SUMPRODUCT($I$5:$I71,$S$5:$S71)</f>
        <v>0</v>
      </c>
      <c r="T73" s="13">
        <f ca="1">SUMPRODUCT($I$5:$I71,$T$5:$T71)</f>
        <v>-1267870.9182919944</v>
      </c>
      <c r="U73" s="13">
        <f>SUMPRODUCT($I$5:$I71,$U$5:$U71)</f>
        <v>-188968.60819784438</v>
      </c>
      <c r="V73" s="13">
        <f>SUMPRODUCT($I$5:$I71,$V$5:$V71)</f>
        <v>-44420.893552581743</v>
      </c>
      <c r="W73" s="13">
        <f>SUMPRODUCT($I$5:$I71,$W$5:$W71)</f>
        <v>-1595.9885302039947</v>
      </c>
      <c r="X73" s="13">
        <f>SUMPRODUCT($I$5:$I71,$X$5:$X71)</f>
        <v>0</v>
      </c>
      <c r="Y73" s="13">
        <f>SUMPRODUCT($I$5:$I71,$Y$5:$Y71)</f>
        <v>0</v>
      </c>
      <c r="Z73" s="13">
        <f>SUMPRODUCT($I$5:$I71,$Z$5:$Z71)</f>
        <v>0</v>
      </c>
      <c r="AA73" s="13">
        <f>SUMPRODUCT($I$5:$I71,$AA$5:$AA71)</f>
        <v>0</v>
      </c>
      <c r="AB73" s="13">
        <f>SUMPRODUCT($I$5:$I71,$AB$5:$AB71)</f>
        <v>-234985.49028063004</v>
      </c>
      <c r="AC73" s="13">
        <f>SUMPRODUCT($I$5:$I71,$AC$5:$AC71)</f>
        <v>6947.701001350224</v>
      </c>
      <c r="AD73" s="13">
        <f>SUMPRODUCT($I$5:$I71,$AD$5:$AD71)</f>
        <v>6947.701001350224</v>
      </c>
      <c r="AE73" s="13">
        <f ca="1">SUMPRODUCT($I$5:$I71,$AE$5:$AE71)</f>
        <v>0</v>
      </c>
      <c r="AF73" s="13">
        <f ca="1">SUMPRODUCT($I$5:$I71,$AF$5:$AF71)</f>
        <v>0</v>
      </c>
      <c r="AG73" s="13">
        <f ca="1">SUMPRODUCT($I$5:$I71,$AG$5:$AG71)</f>
        <v>0</v>
      </c>
      <c r="AH73" s="13">
        <f>SUMPRODUCT($I$5:$I71,$AH$5:$AH71)</f>
        <v>2629305.7683312716</v>
      </c>
      <c r="AI73" s="13">
        <f>SUMPRODUCT($I$5:$I71,$AI$5:$AI71)</f>
        <v>45567.264989804564</v>
      </c>
      <c r="AJ73" s="13">
        <f ca="1">SUMPRODUCT($I$5:$I71,$AJ$5:$AJ71)</f>
        <v>307179.5807907487</v>
      </c>
      <c r="AK73" s="13">
        <f ca="1">SUMPRODUCT($I$5:$I71,$AK$5:$AK71)</f>
        <v>-7025.3394341108869</v>
      </c>
      <c r="AL73" s="13">
        <f ca="1">SUMPRODUCT($I$5:$I71,$AL$5:$AL71)</f>
        <v>2975027.2746777143</v>
      </c>
      <c r="AM73" s="13">
        <f ca="1">SUMPRODUCT($I$5:$I71,$AM$5:$AM71)</f>
        <v>3465890.8059072178</v>
      </c>
      <c r="AO73" s="18">
        <f ca="1">SUMPRODUCT($I$5:$I71,$AO$5:$AO71)</f>
        <v>141285121.47918466</v>
      </c>
      <c r="AP73" s="18">
        <f ca="1">SUMPRODUCT($I$5:$I71,$AP$5:$AP71)</f>
        <v>141285121.47918466</v>
      </c>
    </row>
    <row r="74" spans="1:55" ht="11.25" customHeight="1" x14ac:dyDescent="0.3">
      <c r="K74" s="16" t="s">
        <v>698</v>
      </c>
      <c r="L74" s="13">
        <f>'TR TUSD'!$L$76</f>
        <v>3263782.2795950784</v>
      </c>
      <c r="M74" s="13">
        <f>'TR TUSD'!$M$76</f>
        <v>333370.91399464809</v>
      </c>
      <c r="N74" s="13">
        <f>'TR TUSD'!$N$76</f>
        <v>1124879.8979031066</v>
      </c>
      <c r="O74" s="13">
        <f>'TR TUSD'!$O$76</f>
        <v>0</v>
      </c>
      <c r="P74" s="13">
        <f>'TR TUSD'!$P$76</f>
        <v>0</v>
      </c>
      <c r="Q74" s="13">
        <f>'TR TUSD'!$Q$76</f>
        <v>41969122.213877276</v>
      </c>
      <c r="R74" s="13">
        <f>'TR TUSD'!$R$76</f>
        <v>7792628.5853286218</v>
      </c>
      <c r="S74" s="13">
        <f>'TR TUSD'!$S$76</f>
        <v>0</v>
      </c>
      <c r="T74" s="13">
        <f>'TR TUSD'!$T$76</f>
        <v>54483783.890698731</v>
      </c>
      <c r="U74" s="13">
        <f>'TR TUSD'!$U$76</f>
        <v>12972589.400000002</v>
      </c>
      <c r="V74" s="13">
        <f>'TR TUSD'!$V$76</f>
        <v>2748681.3200000003</v>
      </c>
      <c r="W74" s="13">
        <f>'TR TUSD'!$W$76</f>
        <v>445314.77308886201</v>
      </c>
      <c r="X74" s="13">
        <f>'TR TUSD'!$X$76</f>
        <v>0</v>
      </c>
      <c r="Y74" s="13">
        <f>'TR TUSD'!$Y$76</f>
        <v>0</v>
      </c>
      <c r="Z74" s="13">
        <f>'TR TUSD'!$Z$76</f>
        <v>0</v>
      </c>
      <c r="AA74" s="13">
        <f>'TR TUSD'!$AA$76</f>
        <v>0</v>
      </c>
      <c r="AB74" s="13">
        <f>'TR TUSD'!$AB$76</f>
        <v>16166585.493088864</v>
      </c>
      <c r="AC74" s="13">
        <f>'TR TUSD'!$AC$76</f>
        <v>64256372.585481919</v>
      </c>
      <c r="AD74" s="13">
        <f>'TR TUSD'!$AD$76</f>
        <v>64256372.585481919</v>
      </c>
      <c r="AE74" s="13">
        <f>'TR TUSD'!$AE$76</f>
        <v>0</v>
      </c>
      <c r="AF74" s="13">
        <f>'TR TUSD'!$AF$76</f>
        <v>0</v>
      </c>
      <c r="AG74" s="13">
        <f>'TR TUSD'!$AG$76</f>
        <v>0</v>
      </c>
      <c r="AH74" s="13">
        <f>'TR TUSD'!$AH$76</f>
        <v>5512893.3613592153</v>
      </c>
      <c r="AI74" s="13">
        <f>'TR TUSD'!$AI$76</f>
        <v>95541.369012027237</v>
      </c>
      <c r="AJ74" s="13">
        <f>'TR TUSD'!$AJ$76</f>
        <v>644066.6932249564</v>
      </c>
      <c r="AK74" s="13">
        <f>'TR TUSD'!$AK$76</f>
        <v>125878.08631896082</v>
      </c>
      <c r="AL74" s="13">
        <f>'TR TUSD'!$AL$76</f>
        <v>6378379.5099151591</v>
      </c>
      <c r="AM74" s="13">
        <f>'TUSD BE'!$AM$74</f>
        <v>141285121.47918469</v>
      </c>
      <c r="AO74" s="18">
        <f>$AE$75</f>
        <v>0</v>
      </c>
      <c r="AP74" s="18">
        <f>$AF$75</f>
        <v>0</v>
      </c>
    </row>
    <row r="75" spans="1:55" ht="11.25" customHeight="1" x14ac:dyDescent="0.3">
      <c r="K75" s="16" t="s">
        <v>699</v>
      </c>
      <c r="L75" s="13">
        <f>CUSTOS!$E$2</f>
        <v>-272918.45718012837</v>
      </c>
      <c r="M75" s="13">
        <f>CUSTOS!$E$3</f>
        <v>-716.77332712039424</v>
      </c>
      <c r="N75" s="13">
        <f>CUSTOS!$E$4</f>
        <v>7.8643862956890867E-2</v>
      </c>
      <c r="O75" s="13">
        <f>CUSTOS!$E$5</f>
        <v>0</v>
      </c>
      <c r="P75" s="13">
        <f>CUSTOS!$E$6</f>
        <v>0</v>
      </c>
      <c r="Q75" s="13">
        <f>CUSTOS!$E$7</f>
        <v>-779586.37970133126</v>
      </c>
      <c r="R75" s="13">
        <f>CUSTOS!$E$8</f>
        <v>-214649.38672727766</v>
      </c>
      <c r="S75" s="13">
        <f>CUSTOS!$E$9</f>
        <v>0</v>
      </c>
      <c r="T75" s="13">
        <f>CUSTOS!$E$10</f>
        <v>-1267870.9182919948</v>
      </c>
      <c r="U75" s="13">
        <f>CUSTOS!$E$11</f>
        <v>-188968.60819784435</v>
      </c>
      <c r="V75" s="13">
        <f>CUSTOS!$E$12</f>
        <v>-44420.893552581736</v>
      </c>
      <c r="W75" s="13">
        <f>CUSTOS!$E$13</f>
        <v>-1595.9885302039947</v>
      </c>
      <c r="X75" s="13">
        <f>CUSTOS!$E$14</f>
        <v>0</v>
      </c>
      <c r="Y75" s="13">
        <f>CUSTOS!$E$15</f>
        <v>0</v>
      </c>
      <c r="Z75" s="13">
        <f>CUSTOS!$E$16</f>
        <v>0</v>
      </c>
      <c r="AA75" s="13">
        <f>CUSTOS!$E$17</f>
        <v>0</v>
      </c>
      <c r="AB75" s="13">
        <f>CUSTOS!$E$18</f>
        <v>-234985.49028063007</v>
      </c>
      <c r="AC75" s="13">
        <f>CUSTOS!$E$19</f>
        <v>6947.701001350224</v>
      </c>
      <c r="AD75" s="13">
        <f>CUSTOS!$E$20</f>
        <v>6947.701001350224</v>
      </c>
      <c r="AE75" s="13">
        <f>CUSTOS!$E$21</f>
        <v>0</v>
      </c>
      <c r="AF75" s="13">
        <f>CUSTOS!$E$22</f>
        <v>0</v>
      </c>
      <c r="AG75" s="13">
        <f>CUSTOS!$E$23</f>
        <v>0</v>
      </c>
      <c r="AH75" s="13">
        <f>CUSTOS!$E$24</f>
        <v>2629305.7683312711</v>
      </c>
      <c r="AI75" s="13">
        <f>CUSTOS!$E$25</f>
        <v>45567.264989804564</v>
      </c>
      <c r="AJ75" s="13">
        <f>CUSTOS!$E$26</f>
        <v>307179.5807907487</v>
      </c>
      <c r="AK75" s="13">
        <f>CUSTOS!$E$27</f>
        <v>-7025.3394341108897</v>
      </c>
      <c r="AL75" s="13">
        <f>CUSTOS!$E$28</f>
        <v>2975027.2746777134</v>
      </c>
      <c r="AM75" s="13">
        <f>CUSTOS!$E$29</f>
        <v>1479118.5671064388</v>
      </c>
      <c r="AO75" s="18">
        <f ca="1">IF(AO73&lt;&gt;0,AO74/AO73,0)</f>
        <v>0</v>
      </c>
      <c r="AP75" s="18">
        <f ca="1">IF(AP73&lt;&gt;0,AP74/AP73,0)</f>
        <v>0</v>
      </c>
    </row>
    <row r="76" spans="1:55" ht="11.25" customHeight="1" x14ac:dyDescent="0.3">
      <c r="K76" s="16" t="s">
        <v>700</v>
      </c>
      <c r="L76" s="13">
        <f>CUSTOS!$F$2</f>
        <v>225997.53526647703</v>
      </c>
      <c r="M76" s="13">
        <f>CUSTOS!$F$3</f>
        <v>0</v>
      </c>
      <c r="N76" s="13">
        <f>CUSTOS!$F$4</f>
        <v>0</v>
      </c>
      <c r="O76" s="13">
        <f>CUSTOS!$F$5</f>
        <v>0</v>
      </c>
      <c r="P76" s="13">
        <f>CUSTOS!$F$6</f>
        <v>0</v>
      </c>
      <c r="Q76" s="13">
        <f>CUSTOS!$F$7</f>
        <v>11193747.975400001</v>
      </c>
      <c r="R76" s="13">
        <f>CUSTOS!$F$8</f>
        <v>3001959.0934000001</v>
      </c>
      <c r="S76" s="13">
        <f>CUSTOS!$F$9</f>
        <v>0</v>
      </c>
      <c r="T76" s="13">
        <f>CUSTOS!$F$10</f>
        <v>14421704.604066478</v>
      </c>
      <c r="U76" s="13">
        <f>CUSTOS!$F$11</f>
        <v>1133989.9410540168</v>
      </c>
      <c r="V76" s="13">
        <f>CUSTOS!$F$12</f>
        <v>240274.0788236986</v>
      </c>
      <c r="W76" s="13">
        <f>CUSTOS!$F$13</f>
        <v>0</v>
      </c>
      <c r="X76" s="13">
        <f>CUSTOS!$F$14</f>
        <v>0</v>
      </c>
      <c r="Y76" s="13">
        <f>CUSTOS!$F$15</f>
        <v>0</v>
      </c>
      <c r="Z76" s="13">
        <f>CUSTOS!$F$16</f>
        <v>0</v>
      </c>
      <c r="AA76" s="13">
        <f>CUSTOS!$F$17</f>
        <v>0</v>
      </c>
      <c r="AB76" s="13">
        <f>CUSTOS!$F$18</f>
        <v>1374264.0198777155</v>
      </c>
      <c r="AC76" s="13">
        <f>CUSTOS!$F$19</f>
        <v>0</v>
      </c>
      <c r="AD76" s="13">
        <f>CUSTOS!$F$20</f>
        <v>0</v>
      </c>
      <c r="AE76" s="13">
        <f>CUSTOS!$F$21</f>
        <v>0</v>
      </c>
      <c r="AF76" s="13">
        <f>CUSTOS!$F$22</f>
        <v>0</v>
      </c>
      <c r="AG76" s="13">
        <f>CUSTOS!$F$23</f>
        <v>0</v>
      </c>
      <c r="AH76" s="13">
        <f>CUSTOS!$F$24</f>
        <v>-804303.06857384951</v>
      </c>
      <c r="AI76" s="13">
        <f>CUSTOS!$F$25</f>
        <v>-13938.999221485739</v>
      </c>
      <c r="AJ76" s="13">
        <f>CUSTOS!$F$26</f>
        <v>-93966.05081425418</v>
      </c>
      <c r="AK76" s="13">
        <f>CUSTOS!$F$27</f>
        <v>0</v>
      </c>
      <c r="AL76" s="13">
        <f>CUSTOS!$F$28</f>
        <v>-912208.11860958941</v>
      </c>
      <c r="AM76" s="13">
        <f>CUSTOS!$F$29</f>
        <v>14883760.505334605</v>
      </c>
    </row>
    <row r="77" spans="1:55" ht="11.25" customHeight="1" x14ac:dyDescent="0.3">
      <c r="K77" s="16" t="s">
        <v>763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f>SUM($L$77:$S$77)</f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f>SUM($U$77:$AA$77)</f>
        <v>0</v>
      </c>
      <c r="AC77" s="13">
        <v>0</v>
      </c>
      <c r="AD77" s="13">
        <f>SUM($AC$77:$AC$77)</f>
        <v>0</v>
      </c>
      <c r="AE77" s="13">
        <v>0</v>
      </c>
      <c r="AF77" s="13">
        <v>0</v>
      </c>
      <c r="AG77" s="13">
        <f>SUM($AE$77:$AF$77)</f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f>SUM($AH$77:$AK$77)</f>
        <v>0</v>
      </c>
      <c r="AM77" s="13"/>
    </row>
    <row r="78" spans="1:55" ht="11.25" customHeight="1" x14ac:dyDescent="0.3">
      <c r="K78" s="16" t="s">
        <v>775</v>
      </c>
      <c r="L78" s="13">
        <f t="shared" ref="L78:R78" si="15">IF((L74-(0))&lt;&gt;0,(L76)/(L74-(0)),0)</f>
        <v>6.9244059776718755E-2</v>
      </c>
      <c r="M78" s="13">
        <f t="shared" si="15"/>
        <v>0</v>
      </c>
      <c r="N78" s="13">
        <f t="shared" si="15"/>
        <v>0</v>
      </c>
      <c r="O78" s="13">
        <f t="shared" si="15"/>
        <v>0</v>
      </c>
      <c r="P78" s="13">
        <f t="shared" si="15"/>
        <v>0</v>
      </c>
      <c r="Q78" s="13">
        <f t="shared" si="15"/>
        <v>0.2667138930939742</v>
      </c>
      <c r="R78" s="13">
        <f t="shared" si="15"/>
        <v>0.38523061384599594</v>
      </c>
      <c r="S78" s="13">
        <f>IF((R73-(0)&lt;&gt;0),(S75)/(R73-(0)),0)</f>
        <v>0</v>
      </c>
      <c r="T78" s="13"/>
      <c r="U78" s="13">
        <f t="shared" ref="U78:AA78" si="16">IF((U74-(0))&lt;&gt;0,(U76)/(U74-(0)),0)</f>
        <v>8.7414309209078694E-2</v>
      </c>
      <c r="V78" s="13">
        <f t="shared" si="16"/>
        <v>8.7414309209078694E-2</v>
      </c>
      <c r="W78" s="13">
        <f t="shared" si="16"/>
        <v>0</v>
      </c>
      <c r="X78" s="13">
        <f t="shared" si="16"/>
        <v>0</v>
      </c>
      <c r="Y78" s="13">
        <f t="shared" si="16"/>
        <v>0</v>
      </c>
      <c r="Z78" s="13">
        <f t="shared" si="16"/>
        <v>0</v>
      </c>
      <c r="AA78" s="13">
        <f t="shared" si="16"/>
        <v>0</v>
      </c>
      <c r="AB78" s="13"/>
      <c r="AC78" s="13">
        <f>IF((AC74-(0))&lt;&gt;0,(AC76)/(AC74-(0)),0)</f>
        <v>0</v>
      </c>
      <c r="AD78" s="13"/>
      <c r="AE78" s="13">
        <f ca="1">IF(($AM73-(0))&lt;&gt;0,(AE75)/($AM73-(0)),0)</f>
        <v>0</v>
      </c>
      <c r="AF78" s="13">
        <f ca="1">IF(($AM73-(0))&lt;&gt;0,(AF75)/($AM73-(0)),0)</f>
        <v>0</v>
      </c>
      <c r="AG78" s="13"/>
      <c r="AH78" s="13">
        <f>IF((AH74-(0))&lt;&gt;0,(AH76)/(AH74-(0)),0)</f>
        <v>-0.14589490778315126</v>
      </c>
      <c r="AI78" s="13">
        <f>IF((AI74-(0))&lt;&gt;0,(AI76)/(AI74-(0)),0)</f>
        <v>-0.14589490778315126</v>
      </c>
      <c r="AJ78" s="13">
        <f>IF((AJ74-(0))&lt;&gt;0,(AJ76)/(AJ74-(0)),0)</f>
        <v>-0.14589490778315126</v>
      </c>
      <c r="AK78" s="13">
        <f>IF((AK74-(0))&lt;&gt;0,(AK76)/(AK74-(0)),0)</f>
        <v>0</v>
      </c>
      <c r="AL78" s="13"/>
      <c r="AM78" s="13"/>
    </row>
  </sheetData>
  <mergeCells count="114">
    <mergeCell ref="AP1:AP4"/>
    <mergeCell ref="L2:AM2"/>
    <mergeCell ref="L3:T3"/>
    <mergeCell ref="U3:AB3"/>
    <mergeCell ref="AC3:AD3"/>
    <mergeCell ref="A1:A4"/>
    <mergeCell ref="B1:B4"/>
    <mergeCell ref="C1:C4"/>
    <mergeCell ref="D1:D4"/>
    <mergeCell ref="E1:E4"/>
    <mergeCell ref="F1:F4"/>
    <mergeCell ref="A9:A13"/>
    <mergeCell ref="B9:B12"/>
    <mergeCell ref="C9:C12"/>
    <mergeCell ref="D9:D12"/>
    <mergeCell ref="E9:E11"/>
    <mergeCell ref="F9:F11"/>
    <mergeCell ref="AE3:AG3"/>
    <mergeCell ref="AH3:AL3"/>
    <mergeCell ref="AM3:AM4"/>
    <mergeCell ref="A5:A8"/>
    <mergeCell ref="B5:B8"/>
    <mergeCell ref="C5:C8"/>
    <mergeCell ref="D5:D8"/>
    <mergeCell ref="E5:E7"/>
    <mergeCell ref="F5:F7"/>
    <mergeCell ref="G1:G4"/>
    <mergeCell ref="H1:H4"/>
    <mergeCell ref="I1:I4"/>
    <mergeCell ref="J1:J4"/>
    <mergeCell ref="L1:AM1"/>
    <mergeCell ref="F19:F21"/>
    <mergeCell ref="E22:E23"/>
    <mergeCell ref="F22:F23"/>
    <mergeCell ref="A24:A34"/>
    <mergeCell ref="B24:B27"/>
    <mergeCell ref="C24:C27"/>
    <mergeCell ref="D24:D27"/>
    <mergeCell ref="E24:E26"/>
    <mergeCell ref="F24:F26"/>
    <mergeCell ref="B28:B32"/>
    <mergeCell ref="A14:A23"/>
    <mergeCell ref="B14:B17"/>
    <mergeCell ref="C14:C17"/>
    <mergeCell ref="D14:D17"/>
    <mergeCell ref="E14:E16"/>
    <mergeCell ref="F14:F16"/>
    <mergeCell ref="B19:B23"/>
    <mergeCell ref="C19:C23"/>
    <mergeCell ref="D19:D23"/>
    <mergeCell ref="E19:E21"/>
    <mergeCell ref="A35:A36"/>
    <mergeCell ref="B35:B36"/>
    <mergeCell ref="C35:C36"/>
    <mergeCell ref="D35:D36"/>
    <mergeCell ref="C28:C32"/>
    <mergeCell ref="D28:D32"/>
    <mergeCell ref="E28:E30"/>
    <mergeCell ref="F28:F30"/>
    <mergeCell ref="E31:E32"/>
    <mergeCell ref="F31:F32"/>
    <mergeCell ref="F37:F39"/>
    <mergeCell ref="B40:B44"/>
    <mergeCell ref="C40:C44"/>
    <mergeCell ref="B45:B49"/>
    <mergeCell ref="C45:C49"/>
    <mergeCell ref="B33:B34"/>
    <mergeCell ref="C33:C34"/>
    <mergeCell ref="D33:D34"/>
    <mergeCell ref="E33:E34"/>
    <mergeCell ref="F33:F34"/>
    <mergeCell ref="B54:B56"/>
    <mergeCell ref="C54:C56"/>
    <mergeCell ref="D54:D56"/>
    <mergeCell ref="E54:E56"/>
    <mergeCell ref="A37:A49"/>
    <mergeCell ref="B37:B39"/>
    <mergeCell ref="C37:C39"/>
    <mergeCell ref="D37:D39"/>
    <mergeCell ref="E37:E39"/>
    <mergeCell ref="E65:E67"/>
    <mergeCell ref="F65:F67"/>
    <mergeCell ref="A70:A71"/>
    <mergeCell ref="B70:B71"/>
    <mergeCell ref="C70:C71"/>
    <mergeCell ref="AQ1:AQ4"/>
    <mergeCell ref="B62:B64"/>
    <mergeCell ref="C62:C64"/>
    <mergeCell ref="A65:A69"/>
    <mergeCell ref="B65:B67"/>
    <mergeCell ref="C65:C67"/>
    <mergeCell ref="D65:D67"/>
    <mergeCell ref="F54:F56"/>
    <mergeCell ref="B58:B60"/>
    <mergeCell ref="C58:C60"/>
    <mergeCell ref="D58:D60"/>
    <mergeCell ref="E58:E60"/>
    <mergeCell ref="F58:F60"/>
    <mergeCell ref="A50:A64"/>
    <mergeCell ref="B50:B52"/>
    <mergeCell ref="C50:C52"/>
    <mergeCell ref="D50:D52"/>
    <mergeCell ref="E50:E52"/>
    <mergeCell ref="F50:F52"/>
    <mergeCell ref="AX1:AX4"/>
    <mergeCell ref="AY1:AY4"/>
    <mergeCell ref="AZ1:AZ4"/>
    <mergeCell ref="BC1:BC4"/>
    <mergeCell ref="AR1:AR4"/>
    <mergeCell ref="AS1:AS4"/>
    <mergeCell ref="AT1:AT4"/>
    <mergeCell ref="AU1:AU4"/>
    <mergeCell ref="AV1:AV4"/>
    <mergeCell ref="AW1:AW4"/>
  </mergeCells>
  <conditionalFormatting sqref="L73">
    <cfRule type="cellIs" dxfId="278" priority="55" operator="notEqual">
      <formula>$L$75</formula>
    </cfRule>
    <cfRule type="cellIs" dxfId="277" priority="56" operator="equal">
      <formula>$L$75</formula>
    </cfRule>
  </conditionalFormatting>
  <conditionalFormatting sqref="M73">
    <cfRule type="cellIs" dxfId="276" priority="53" operator="notEqual">
      <formula>$M$75</formula>
    </cfRule>
    <cfRule type="cellIs" dxfId="275" priority="54" operator="equal">
      <formula>$M$75</formula>
    </cfRule>
  </conditionalFormatting>
  <conditionalFormatting sqref="N73">
    <cfRule type="cellIs" dxfId="274" priority="51" operator="notEqual">
      <formula>$N$75</formula>
    </cfRule>
    <cfRule type="cellIs" dxfId="273" priority="52" operator="equal">
      <formula>$N$75</formula>
    </cfRule>
  </conditionalFormatting>
  <conditionalFormatting sqref="O73">
    <cfRule type="cellIs" dxfId="272" priority="49" operator="notEqual">
      <formula>$O$75</formula>
    </cfRule>
    <cfRule type="cellIs" dxfId="271" priority="50" operator="equal">
      <formula>$O$75</formula>
    </cfRule>
  </conditionalFormatting>
  <conditionalFormatting sqref="P73">
    <cfRule type="cellIs" dxfId="270" priority="47" operator="notEqual">
      <formula>$P$75</formula>
    </cfRule>
    <cfRule type="cellIs" dxfId="269" priority="48" operator="equal">
      <formula>$P$75</formula>
    </cfRule>
  </conditionalFormatting>
  <conditionalFormatting sqref="Q73">
    <cfRule type="cellIs" dxfId="268" priority="45" operator="notEqual">
      <formula>$Q$75</formula>
    </cfRule>
    <cfRule type="cellIs" dxfId="267" priority="46" operator="equal">
      <formula>$Q$75</formula>
    </cfRule>
  </conditionalFormatting>
  <conditionalFormatting sqref="R73">
    <cfRule type="cellIs" dxfId="266" priority="43" operator="notEqual">
      <formula>$R$75</formula>
    </cfRule>
    <cfRule type="cellIs" dxfId="265" priority="44" operator="equal">
      <formula>$R$75</formula>
    </cfRule>
  </conditionalFormatting>
  <conditionalFormatting sqref="S73">
    <cfRule type="cellIs" dxfId="264" priority="41" operator="notEqual">
      <formula>$S$75</formula>
    </cfRule>
    <cfRule type="cellIs" dxfId="263" priority="42" operator="equal">
      <formula>$S$75</formula>
    </cfRule>
  </conditionalFormatting>
  <conditionalFormatting sqref="T73">
    <cfRule type="cellIs" dxfId="262" priority="39" operator="notEqual">
      <formula>$T$75</formula>
    </cfRule>
    <cfRule type="cellIs" dxfId="261" priority="40" operator="equal">
      <formula>$T$75</formula>
    </cfRule>
  </conditionalFormatting>
  <conditionalFormatting sqref="U73">
    <cfRule type="cellIs" dxfId="260" priority="37" operator="notEqual">
      <formula>$U$75</formula>
    </cfRule>
    <cfRule type="cellIs" dxfId="259" priority="38" operator="equal">
      <formula>$U$75</formula>
    </cfRule>
  </conditionalFormatting>
  <conditionalFormatting sqref="V73">
    <cfRule type="cellIs" dxfId="258" priority="35" operator="notEqual">
      <formula>$V$75</formula>
    </cfRule>
    <cfRule type="cellIs" dxfId="257" priority="36" operator="equal">
      <formula>$V$75</formula>
    </cfRule>
  </conditionalFormatting>
  <conditionalFormatting sqref="W73">
    <cfRule type="cellIs" dxfId="256" priority="33" operator="notEqual">
      <formula>$W$75</formula>
    </cfRule>
    <cfRule type="cellIs" dxfId="255" priority="34" operator="equal">
      <formula>$W$75</formula>
    </cfRule>
  </conditionalFormatting>
  <conditionalFormatting sqref="X73">
    <cfRule type="cellIs" dxfId="254" priority="31" operator="notEqual">
      <formula>$X$75</formula>
    </cfRule>
    <cfRule type="cellIs" dxfId="253" priority="32" operator="equal">
      <formula>$X$75</formula>
    </cfRule>
  </conditionalFormatting>
  <conditionalFormatting sqref="Y73">
    <cfRule type="cellIs" dxfId="252" priority="29" operator="notEqual">
      <formula>$Y$75</formula>
    </cfRule>
    <cfRule type="cellIs" dxfId="251" priority="30" operator="equal">
      <formula>$Y$75</formula>
    </cfRule>
  </conditionalFormatting>
  <conditionalFormatting sqref="Z73">
    <cfRule type="cellIs" dxfId="250" priority="27" operator="notEqual">
      <formula>$Z$75</formula>
    </cfRule>
    <cfRule type="cellIs" dxfId="249" priority="28" operator="equal">
      <formula>$Z$75</formula>
    </cfRule>
  </conditionalFormatting>
  <conditionalFormatting sqref="AA73">
    <cfRule type="cellIs" dxfId="248" priority="25" operator="notEqual">
      <formula>$AA$75</formula>
    </cfRule>
    <cfRule type="cellIs" dxfId="247" priority="26" operator="equal">
      <formula>$AA$75</formula>
    </cfRule>
  </conditionalFormatting>
  <conditionalFormatting sqref="AB73">
    <cfRule type="cellIs" dxfId="246" priority="23" operator="notEqual">
      <formula>$AB$75</formula>
    </cfRule>
    <cfRule type="cellIs" dxfId="245" priority="24" operator="equal">
      <formula>$AB$75</formula>
    </cfRule>
  </conditionalFormatting>
  <conditionalFormatting sqref="AC73">
    <cfRule type="cellIs" dxfId="244" priority="21" operator="notEqual">
      <formula>$AC$75</formula>
    </cfRule>
    <cfRule type="cellIs" dxfId="243" priority="22" operator="equal">
      <formula>$AC$75</formula>
    </cfRule>
  </conditionalFormatting>
  <conditionalFormatting sqref="AD73">
    <cfRule type="cellIs" dxfId="242" priority="19" operator="notEqual">
      <formula>$AD$75</formula>
    </cfRule>
    <cfRule type="cellIs" dxfId="241" priority="20" operator="equal">
      <formula>$AD$75</formula>
    </cfRule>
  </conditionalFormatting>
  <conditionalFormatting sqref="AE73">
    <cfRule type="cellIs" dxfId="240" priority="17" operator="notEqual">
      <formula>$AE$75</formula>
    </cfRule>
    <cfRule type="cellIs" dxfId="239" priority="18" operator="equal">
      <formula>$AE$75</formula>
    </cfRule>
  </conditionalFormatting>
  <conditionalFormatting sqref="AF73">
    <cfRule type="cellIs" dxfId="238" priority="16" operator="equal">
      <formula>$AF$75</formula>
    </cfRule>
  </conditionalFormatting>
  <conditionalFormatting sqref="AF73">
    <cfRule type="cellIs" dxfId="237" priority="15" operator="notEqual">
      <formula>$AF$75</formula>
    </cfRule>
  </conditionalFormatting>
  <conditionalFormatting sqref="AG73">
    <cfRule type="cellIs" dxfId="236" priority="14" operator="equal">
      <formula>$AG$75</formula>
    </cfRule>
  </conditionalFormatting>
  <conditionalFormatting sqref="AG73">
    <cfRule type="cellIs" dxfId="235" priority="13" operator="notEqual">
      <formula>$AG$75</formula>
    </cfRule>
  </conditionalFormatting>
  <conditionalFormatting sqref="AH73">
    <cfRule type="cellIs" dxfId="234" priority="12" operator="equal">
      <formula>$AH$75</formula>
    </cfRule>
  </conditionalFormatting>
  <conditionalFormatting sqref="AH73">
    <cfRule type="cellIs" dxfId="233" priority="11" operator="notEqual">
      <formula>$AH$75</formula>
    </cfRule>
  </conditionalFormatting>
  <conditionalFormatting sqref="AI73">
    <cfRule type="cellIs" dxfId="232" priority="10" operator="equal">
      <formula>$AI$75</formula>
    </cfRule>
  </conditionalFormatting>
  <conditionalFormatting sqref="AI73">
    <cfRule type="cellIs" dxfId="231" priority="9" operator="notEqual">
      <formula>$AI$75</formula>
    </cfRule>
  </conditionalFormatting>
  <conditionalFormatting sqref="AJ73">
    <cfRule type="cellIs" dxfId="230" priority="8" operator="equal">
      <formula>$AJ$75</formula>
    </cfRule>
  </conditionalFormatting>
  <conditionalFormatting sqref="AJ73">
    <cfRule type="cellIs" dxfId="229" priority="7" operator="notEqual">
      <formula>$AJ$75</formula>
    </cfRule>
  </conditionalFormatting>
  <conditionalFormatting sqref="AK73">
    <cfRule type="cellIs" dxfId="228" priority="6" operator="equal">
      <formula>$AK$75</formula>
    </cfRule>
  </conditionalFormatting>
  <conditionalFormatting sqref="AK73">
    <cfRule type="cellIs" dxfId="227" priority="5" operator="notEqual">
      <formula>$AK$75</formula>
    </cfRule>
  </conditionalFormatting>
  <conditionalFormatting sqref="AL73">
    <cfRule type="cellIs" dxfId="226" priority="4" operator="equal">
      <formula>$AL$75</formula>
    </cfRule>
  </conditionalFormatting>
  <conditionalFormatting sqref="AL73">
    <cfRule type="cellIs" dxfId="225" priority="3" operator="notEqual">
      <formula>$AL$75</formula>
    </cfRule>
  </conditionalFormatting>
  <conditionalFormatting sqref="AM73">
    <cfRule type="cellIs" dxfId="224" priority="2" operator="equal">
      <formula>$AM$75</formula>
    </cfRule>
  </conditionalFormatting>
  <conditionalFormatting sqref="AM73">
    <cfRule type="cellIs" dxfId="223" priority="1" operator="notEqual">
      <formula>$AM$75</formula>
    </cfRule>
  </conditionalFormatting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060D6-1589-4D24-AE0F-E4F1AD42F66C}">
  <sheetPr codeName="Planilha27">
    <tabColor indexed="12" tint="-0.249977111117893"/>
  </sheetPr>
  <dimension ref="A1:AO57"/>
  <sheetViews>
    <sheetView showGridLines="0" topLeftCell="H34" workbookViewId="0">
      <selection activeCell="A15" sqref="A15:A27"/>
    </sheetView>
  </sheetViews>
  <sheetFormatPr defaultRowHeight="11.25" customHeight="1" x14ac:dyDescent="0.3"/>
  <cols>
    <col min="1" max="1" width="9" style="9" bestFit="1" customWidth="1"/>
    <col min="2" max="2" width="24.66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9.88671875" style="9" bestFit="1" customWidth="1"/>
    <col min="12" max="12" width="7.88671875" style="9" bestFit="1" customWidth="1"/>
    <col min="13" max="13" width="9.109375" style="9" bestFit="1" customWidth="1"/>
    <col min="14" max="14" width="8.33203125" style="9" bestFit="1" customWidth="1"/>
    <col min="15" max="15" width="10.33203125" style="9" bestFit="1" customWidth="1"/>
    <col min="16" max="16" width="9.5546875" style="9" bestFit="1" customWidth="1"/>
    <col min="17" max="17" width="9.109375" style="9" bestFit="1" customWidth="1"/>
    <col min="18" max="18" width="14.44140625" style="9" bestFit="1" customWidth="1"/>
    <col min="19" max="19" width="10.33203125" style="9" bestFit="1" customWidth="1"/>
    <col min="20" max="20" width="9.109375" style="9" bestFit="1" customWidth="1"/>
    <col min="21" max="21" width="9.77734375" style="9" bestFit="1" customWidth="1"/>
    <col min="22" max="22" width="7.88671875" style="9" bestFit="1" customWidth="1"/>
    <col min="23" max="23" width="9.109375" style="9" bestFit="1" customWidth="1"/>
    <col min="24" max="24" width="7.77734375" style="9" bestFit="1" customWidth="1"/>
    <col min="25" max="25" width="8.5546875" style="9" bestFit="1" customWidth="1"/>
    <col min="26" max="26" width="10.5546875" style="9" bestFit="1" customWidth="1"/>
    <col min="27" max="27" width="8.5546875" style="9" bestFit="1" customWidth="1"/>
    <col min="28" max="28" width="10.33203125" style="9" bestFit="1" customWidth="1"/>
    <col min="29" max="29" width="7.6640625" style="9" hidden="1" customWidth="1"/>
    <col min="30" max="30" width="24.6640625" style="9" hidden="1" customWidth="1"/>
    <col min="31" max="31" width="12.6640625" style="9" hidden="1" customWidth="1"/>
    <col min="32" max="32" width="23.109375" style="9" hidden="1" customWidth="1"/>
    <col min="33" max="33" width="9.5546875" style="9" hidden="1" customWidth="1"/>
    <col min="34" max="34" width="8.77734375" style="9" bestFit="1" customWidth="1"/>
    <col min="35" max="35" width="12.33203125" style="9" bestFit="1" customWidth="1"/>
    <col min="36" max="36" width="14.44140625" style="9" bestFit="1" customWidth="1"/>
    <col min="37" max="37" width="12.44140625" style="9" bestFit="1" customWidth="1"/>
    <col min="38" max="38" width="13.88671875" style="9" bestFit="1" customWidth="1"/>
    <col min="39" max="40" width="0" style="9" hidden="1" customWidth="1"/>
    <col min="41" max="41" width="27.6640625" style="9" bestFit="1" customWidth="1"/>
    <col min="42" max="16384" width="8.88671875" style="9"/>
  </cols>
  <sheetData>
    <row r="1" spans="1:41" ht="11.25" customHeight="1" x14ac:dyDescent="0.3">
      <c r="A1" s="134" t="s">
        <v>68</v>
      </c>
      <c r="B1" s="134" t="s">
        <v>69</v>
      </c>
      <c r="C1" s="134" t="s">
        <v>70</v>
      </c>
      <c r="D1" s="134" t="s">
        <v>71</v>
      </c>
      <c r="E1" s="134" t="s">
        <v>72</v>
      </c>
      <c r="F1" s="134" t="s">
        <v>15</v>
      </c>
      <c r="G1" s="134" t="s">
        <v>74</v>
      </c>
      <c r="H1" s="134" t="s">
        <v>75</v>
      </c>
      <c r="I1" s="134" t="s">
        <v>757</v>
      </c>
      <c r="J1" s="123"/>
      <c r="L1" s="135" t="s">
        <v>784</v>
      </c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48" t="s">
        <v>1</v>
      </c>
      <c r="AD1" s="146" t="s">
        <v>2</v>
      </c>
      <c r="AE1" s="146" t="s">
        <v>3</v>
      </c>
      <c r="AF1" s="146" t="s">
        <v>4</v>
      </c>
      <c r="AG1" s="146" t="s">
        <v>5</v>
      </c>
      <c r="AH1" s="134" t="s">
        <v>951</v>
      </c>
      <c r="AI1" s="134" t="s">
        <v>1006</v>
      </c>
      <c r="AJ1" s="134" t="s">
        <v>953</v>
      </c>
      <c r="AK1" s="134" t="s">
        <v>954</v>
      </c>
      <c r="AL1" s="144" t="s">
        <v>955</v>
      </c>
      <c r="AM1" s="31"/>
      <c r="AN1" s="31"/>
      <c r="AO1" s="134" t="s">
        <v>956</v>
      </c>
    </row>
    <row r="2" spans="1:41" ht="11.25" customHeight="1" x14ac:dyDescent="0.3">
      <c r="A2" s="134"/>
      <c r="B2" s="134"/>
      <c r="C2" s="134"/>
      <c r="D2" s="134"/>
      <c r="E2" s="134"/>
      <c r="F2" s="134"/>
      <c r="G2" s="134"/>
      <c r="H2" s="134"/>
      <c r="I2" s="134"/>
      <c r="J2" s="123"/>
      <c r="L2" s="135" t="s">
        <v>684</v>
      </c>
      <c r="M2" s="135"/>
      <c r="N2" s="135"/>
      <c r="O2" s="135"/>
      <c r="P2" s="135"/>
      <c r="Q2" s="135"/>
      <c r="R2" s="135"/>
      <c r="S2" s="135"/>
      <c r="T2" s="135"/>
      <c r="U2" s="135"/>
      <c r="V2" s="135"/>
      <c r="W2" s="135"/>
      <c r="X2" s="135"/>
      <c r="Y2" s="135"/>
      <c r="Z2" s="135"/>
      <c r="AA2" s="135"/>
      <c r="AB2" s="135"/>
      <c r="AC2" s="149"/>
      <c r="AD2" s="147"/>
      <c r="AE2" s="147"/>
      <c r="AF2" s="147"/>
      <c r="AG2" s="147"/>
      <c r="AH2" s="137"/>
      <c r="AI2" s="137"/>
      <c r="AJ2" s="137"/>
      <c r="AK2" s="137"/>
      <c r="AL2" s="145"/>
      <c r="AM2" s="31"/>
      <c r="AN2" s="31"/>
      <c r="AO2" s="137"/>
    </row>
    <row r="3" spans="1:41" ht="11.25" customHeight="1" x14ac:dyDescent="0.3">
      <c r="A3" s="134"/>
      <c r="B3" s="134"/>
      <c r="C3" s="134"/>
      <c r="D3" s="134"/>
      <c r="E3" s="134"/>
      <c r="F3" s="134"/>
      <c r="G3" s="134"/>
      <c r="H3" s="134"/>
      <c r="I3" s="134"/>
      <c r="J3" s="123"/>
      <c r="L3" s="135" t="s">
        <v>657</v>
      </c>
      <c r="M3" s="135"/>
      <c r="N3" s="135"/>
      <c r="O3" s="135"/>
      <c r="P3" s="135"/>
      <c r="Q3" s="135"/>
      <c r="R3" s="135" t="s">
        <v>688</v>
      </c>
      <c r="S3" s="135"/>
      <c r="T3" s="135" t="s">
        <v>666</v>
      </c>
      <c r="U3" s="135"/>
      <c r="V3" s="135"/>
      <c r="W3" s="135"/>
      <c r="X3" s="135" t="s">
        <v>676</v>
      </c>
      <c r="Y3" s="135"/>
      <c r="Z3" s="135" t="s">
        <v>679</v>
      </c>
      <c r="AA3" s="135"/>
      <c r="AB3" s="135" t="s">
        <v>665</v>
      </c>
      <c r="AC3" s="149"/>
      <c r="AD3" s="147"/>
      <c r="AE3" s="147"/>
      <c r="AF3" s="147"/>
      <c r="AG3" s="147"/>
      <c r="AH3" s="137"/>
      <c r="AI3" s="137"/>
      <c r="AJ3" s="137"/>
      <c r="AK3" s="137"/>
      <c r="AL3" s="145"/>
      <c r="AM3" s="31"/>
      <c r="AN3" s="31"/>
      <c r="AO3" s="137"/>
    </row>
    <row r="4" spans="1:41" ht="11.25" customHeight="1" x14ac:dyDescent="0.3">
      <c r="A4" s="134"/>
      <c r="B4" s="134"/>
      <c r="C4" s="134"/>
      <c r="D4" s="134"/>
      <c r="E4" s="134"/>
      <c r="F4" s="134"/>
      <c r="G4" s="134"/>
      <c r="H4" s="134"/>
      <c r="I4" s="134"/>
      <c r="J4" s="123"/>
      <c r="L4" s="24" t="s">
        <v>659</v>
      </c>
      <c r="M4" s="24" t="s">
        <v>685</v>
      </c>
      <c r="N4" s="24" t="s">
        <v>686</v>
      </c>
      <c r="O4" s="24" t="s">
        <v>745</v>
      </c>
      <c r="P4" s="24" t="s">
        <v>687</v>
      </c>
      <c r="Q4" s="24" t="s">
        <v>665</v>
      </c>
      <c r="R4" s="24" t="s">
        <v>689</v>
      </c>
      <c r="S4" s="24" t="s">
        <v>665</v>
      </c>
      <c r="T4" s="24" t="s">
        <v>690</v>
      </c>
      <c r="U4" s="24" t="s">
        <v>691</v>
      </c>
      <c r="V4" s="24" t="s">
        <v>692</v>
      </c>
      <c r="W4" s="24" t="s">
        <v>665</v>
      </c>
      <c r="X4" s="24" t="s">
        <v>677</v>
      </c>
      <c r="Y4" s="24" t="s">
        <v>665</v>
      </c>
      <c r="Z4" s="24" t="s">
        <v>693</v>
      </c>
      <c r="AA4" s="24" t="s">
        <v>665</v>
      </c>
      <c r="AB4" s="136"/>
      <c r="AC4" s="149"/>
      <c r="AD4" s="147"/>
      <c r="AE4" s="147"/>
      <c r="AF4" s="147"/>
      <c r="AG4" s="147"/>
      <c r="AH4" s="137"/>
      <c r="AI4" s="137"/>
      <c r="AJ4" s="137"/>
      <c r="AK4" s="137"/>
      <c r="AL4" s="145"/>
      <c r="AM4" s="31"/>
      <c r="AN4" s="31"/>
      <c r="AO4" s="137"/>
    </row>
    <row r="5" spans="1:41" ht="11.25" customHeight="1" x14ac:dyDescent="0.3">
      <c r="A5" s="133" t="s">
        <v>54</v>
      </c>
      <c r="B5" s="133" t="s">
        <v>77</v>
      </c>
      <c r="C5" s="133" t="s">
        <v>25</v>
      </c>
      <c r="D5" s="133" t="s">
        <v>25</v>
      </c>
      <c r="E5" s="133" t="s">
        <v>25</v>
      </c>
      <c r="F5" s="133" t="s">
        <v>25</v>
      </c>
      <c r="G5" s="23" t="s">
        <v>79</v>
      </c>
      <c r="H5" s="23" t="s">
        <v>78</v>
      </c>
      <c r="I5" s="23">
        <f>'MERCADO TE'!$U$2</f>
        <v>0</v>
      </c>
      <c r="J5" s="15"/>
      <c r="L5" s="20">
        <f>'TE BE'!$L$5*'TE BE'!$L$56</f>
        <v>1.9061118106308186E-7</v>
      </c>
      <c r="M5" s="20">
        <f>'TE BE'!$M$5*'TE BE'!$M$56</f>
        <v>3.6087573256368892</v>
      </c>
      <c r="N5" s="20">
        <f>'TE BE'!$N$5*'TE BE'!$N$56</f>
        <v>-1.0383424417631652E-2</v>
      </c>
      <c r="O5" s="20">
        <f>'TE BE'!$O$5*'TE BE'!$O$56</f>
        <v>-1.1358491858510187</v>
      </c>
      <c r="P5" s="20">
        <f>'TE BE'!$P$5*'TE BE'!$P$56</f>
        <v>0</v>
      </c>
      <c r="Q5" s="20">
        <f>SUM($L$5:$P$5)</f>
        <v>2.4625249059794196</v>
      </c>
      <c r="R5" s="20">
        <f>'TE BE'!$R$5*'TE BE'!$R$56</f>
        <v>160.28768234974626</v>
      </c>
      <c r="S5" s="20">
        <f>SUM($R$5:$R$5)</f>
        <v>160.28768234974626</v>
      </c>
      <c r="T5" s="20">
        <f>'TE BE'!$T$5*'TE BE'!$T$56</f>
        <v>-0.77596165610372048</v>
      </c>
      <c r="U5" s="20">
        <f>'TE BE'!$U$5*'TE BE'!$U$56</f>
        <v>7.7838382005741613E-2</v>
      </c>
      <c r="V5" s="20">
        <f>'TE BE'!$V$5*'TE BE'!$V$56</f>
        <v>0</v>
      </c>
      <c r="W5" s="20">
        <f>SUM($T$5:$V$5)</f>
        <v>-0.69812327409797881</v>
      </c>
      <c r="X5" s="20">
        <f>'TE BE'!$AB$5*'TE BE'!$X$56</f>
        <v>0</v>
      </c>
      <c r="Y5" s="20">
        <f>SUM($X$5:$X$5)</f>
        <v>0</v>
      </c>
      <c r="Z5" s="20">
        <f>'TE BE'!$Z$5*'TE BE'!$Z$56</f>
        <v>1.5316496487675368</v>
      </c>
      <c r="AA5" s="20">
        <f>SUM($Z$5:$Z$5)</f>
        <v>1.5316496487675368</v>
      </c>
      <c r="AB5" s="20">
        <f ca="1">SUMIF($L$4:$AA$4,"SUBTOTAL",$L$5:$AA$5)+AL5</f>
        <v>163.58373363039524</v>
      </c>
      <c r="AC5" s="9" t="str">
        <f t="shared" ref="AC5:AC49" si="0">IF($A5="",AC4,$A5)</f>
        <v>A2</v>
      </c>
      <c r="AD5" s="9" t="str">
        <f t="shared" ref="AD5:AD49" si="1">IF($B5="",AD4,$B5)</f>
        <v>Energia horária</v>
      </c>
      <c r="AE5" s="9" t="str">
        <f t="shared" ref="AE5:AE49" si="2">IF($C5="",AE4,$C5)</f>
        <v>Não se aplica</v>
      </c>
      <c r="AF5" s="9" t="str">
        <f t="shared" ref="AF5:AF49" si="3">IF($D5="",AF4,$D5)</f>
        <v>Não se aplica</v>
      </c>
      <c r="AG5" s="9" t="str">
        <f t="shared" ref="AG5:AG49" si="4">IF($E5="",AG4,$E5)</f>
        <v>Não se aplica</v>
      </c>
      <c r="AH5" s="58">
        <v>1</v>
      </c>
      <c r="AI5" s="58">
        <f ca="1">IFERROR(VLOOKUP(AC5,TarifaMedia!$C$44:$G$47,5,0),0)</f>
        <v>0</v>
      </c>
      <c r="AJ5" s="23">
        <f>'TE BE'!$AB5+'TE BF'!$AB5+'TE CVA'!$AB5</f>
        <v>486.43608405794748</v>
      </c>
      <c r="AK5" s="58">
        <v>379.31</v>
      </c>
      <c r="AL5" s="58">
        <f t="shared" ref="AL5:AL49" ca="1" si="5">(AK5-AJ5)*AI5*AH5</f>
        <v>0</v>
      </c>
      <c r="AM5" s="58"/>
      <c r="AN5" s="58"/>
      <c r="AO5" s="82" t="s">
        <v>1007</v>
      </c>
    </row>
    <row r="6" spans="1:41" ht="11.25" customHeight="1" x14ac:dyDescent="0.3">
      <c r="A6" s="133"/>
      <c r="B6" s="133"/>
      <c r="C6" s="133"/>
      <c r="D6" s="133"/>
      <c r="E6" s="133"/>
      <c r="F6" s="133"/>
      <c r="G6" s="23" t="s">
        <v>80</v>
      </c>
      <c r="H6" s="23" t="s">
        <v>78</v>
      </c>
      <c r="I6" s="23">
        <f>'MERCADO TE'!$U$3</f>
        <v>0</v>
      </c>
      <c r="J6" s="15"/>
      <c r="L6" s="20">
        <f>'TE BE'!$L$6*'TE BE'!$L$56</f>
        <v>1.9061118106308186E-7</v>
      </c>
      <c r="M6" s="20">
        <f>'TE BE'!$M$6*'TE BE'!$M$56</f>
        <v>3.6087573256368892</v>
      </c>
      <c r="N6" s="20">
        <f>'TE BE'!$N$6*'TE BE'!$N$56</f>
        <v>-1.0383424417631652E-2</v>
      </c>
      <c r="O6" s="20">
        <f>'TE BE'!$O$6*'TE BE'!$O$56</f>
        <v>-1.1358491858510187</v>
      </c>
      <c r="P6" s="20">
        <f>'TE BE'!$P$6*'TE BE'!$P$56</f>
        <v>0</v>
      </c>
      <c r="Q6" s="20">
        <f>SUM($L$6:$P$6)</f>
        <v>2.4625249059794196</v>
      </c>
      <c r="R6" s="20">
        <f>'TE BE'!$R$6*'TE BE'!$R$56</f>
        <v>93.190512994038514</v>
      </c>
      <c r="S6" s="20">
        <f>SUM($R$6:$R$6)</f>
        <v>93.190512994038514</v>
      </c>
      <c r="T6" s="20">
        <f>'TE BE'!$T$6*'TE BE'!$T$56</f>
        <v>-0.77596165610372048</v>
      </c>
      <c r="U6" s="20">
        <f>'TE BE'!$U$6*'TE BE'!$U$56</f>
        <v>7.7838382005741613E-2</v>
      </c>
      <c r="V6" s="20">
        <f>'TE BE'!$V$6*'TE BE'!$V$56</f>
        <v>0</v>
      </c>
      <c r="W6" s="20">
        <f>SUM($T$6:$V$6)</f>
        <v>-0.69812327409797881</v>
      </c>
      <c r="X6" s="20">
        <f>'TE BE'!$AB$6*'TE BE'!$X$56</f>
        <v>0</v>
      </c>
      <c r="Y6" s="20">
        <f>SUM($X$6:$X$6)</f>
        <v>0</v>
      </c>
      <c r="Z6" s="20">
        <f>'TE BE'!$Z$6*'TE BE'!$Z$56</f>
        <v>1.5316496487675368</v>
      </c>
      <c r="AA6" s="20">
        <f>SUM($Z$6:$Z$6)</f>
        <v>1.5316496487675368</v>
      </c>
      <c r="AB6" s="20">
        <f ca="1">SUMIF($L$4:$AA$4,"SUBTOTAL",$L$6:$AA$6)+AL6</f>
        <v>96.486564274687495</v>
      </c>
      <c r="AC6" s="9" t="str">
        <f t="shared" si="0"/>
        <v>A2</v>
      </c>
      <c r="AD6" s="9" t="str">
        <f t="shared" si="1"/>
        <v>Energia horária</v>
      </c>
      <c r="AE6" s="9" t="str">
        <f t="shared" si="2"/>
        <v>Não se aplica</v>
      </c>
      <c r="AF6" s="9" t="str">
        <f t="shared" si="3"/>
        <v>Não se aplica</v>
      </c>
      <c r="AG6" s="9" t="str">
        <f t="shared" si="4"/>
        <v>Não se aplica</v>
      </c>
      <c r="AH6" s="58">
        <v>1</v>
      </c>
      <c r="AI6" s="58">
        <f ca="1">IFERROR(VLOOKUP(AC6,TarifaMedia!$C$44:$G$47,5,0),0)</f>
        <v>0</v>
      </c>
      <c r="AJ6" s="23">
        <f>'TE BE'!$AB6+'TE BF'!$AB6+'TE CVA'!$AB6</f>
        <v>299.18055042718134</v>
      </c>
      <c r="AK6" s="58">
        <v>231.69</v>
      </c>
      <c r="AL6" s="58">
        <f t="shared" ca="1" si="5"/>
        <v>0</v>
      </c>
      <c r="AM6" s="58"/>
      <c r="AN6" s="58"/>
      <c r="AO6" s="82" t="s">
        <v>1008</v>
      </c>
    </row>
    <row r="7" spans="1:41" ht="11.25" customHeight="1" x14ac:dyDescent="0.3">
      <c r="A7" s="133" t="s">
        <v>60</v>
      </c>
      <c r="B7" s="133" t="s">
        <v>77</v>
      </c>
      <c r="C7" s="133" t="s">
        <v>25</v>
      </c>
      <c r="D7" s="133" t="s">
        <v>25</v>
      </c>
      <c r="E7" s="133" t="s">
        <v>25</v>
      </c>
      <c r="F7" s="133" t="s">
        <v>25</v>
      </c>
      <c r="G7" s="23" t="s">
        <v>79</v>
      </c>
      <c r="H7" s="23" t="s">
        <v>78</v>
      </c>
      <c r="I7" s="23">
        <f>'MERCADO TE'!$U$4</f>
        <v>0</v>
      </c>
      <c r="J7" s="15"/>
      <c r="L7" s="20">
        <f>'TE BE'!$L$7*'TE BE'!$L$56</f>
        <v>1.9061118106308186E-7</v>
      </c>
      <c r="M7" s="20">
        <f>'TE BE'!$M$7*'TE BE'!$M$56</f>
        <v>3.6087573256368892</v>
      </c>
      <c r="N7" s="20">
        <f>'TE BE'!$N$7*'TE BE'!$N$56</f>
        <v>-1.0383424417631652E-2</v>
      </c>
      <c r="O7" s="20">
        <f>'TE BE'!$O$7*'TE BE'!$O$56</f>
        <v>-1.1358491858510187</v>
      </c>
      <c r="P7" s="20">
        <f>'TE BE'!$P$7*'TE BE'!$P$56</f>
        <v>0</v>
      </c>
      <c r="Q7" s="20">
        <f>SUM($L$7:$P$7)</f>
        <v>2.4625249059794196</v>
      </c>
      <c r="R7" s="20">
        <f>'TE BE'!$R$7*'TE BE'!$R$56</f>
        <v>160.28768234974626</v>
      </c>
      <c r="S7" s="20">
        <f>SUM($R$7:$R$7)</f>
        <v>160.28768234974626</v>
      </c>
      <c r="T7" s="20">
        <f>'TE BE'!$T$7*'TE BE'!$T$56</f>
        <v>-0.77596165610372048</v>
      </c>
      <c r="U7" s="20">
        <f>'TE BE'!$U$7*'TE BE'!$U$56</f>
        <v>7.7838382005741613E-2</v>
      </c>
      <c r="V7" s="20">
        <f>'TE BE'!$V$7*'TE BE'!$V$56</f>
        <v>0</v>
      </c>
      <c r="W7" s="20">
        <f>SUM($T$7:$V$7)</f>
        <v>-0.69812327409797881</v>
      </c>
      <c r="X7" s="20">
        <f>'TE BE'!$AB$7*'TE BE'!$X$56</f>
        <v>0</v>
      </c>
      <c r="Y7" s="20">
        <f>SUM($X$7:$X$7)</f>
        <v>0</v>
      </c>
      <c r="Z7" s="20">
        <f>'TE BE'!$Z$7*'TE BE'!$Z$56</f>
        <v>1.5316496487675368</v>
      </c>
      <c r="AA7" s="20">
        <f>SUM($Z$7:$Z$7)</f>
        <v>1.5316496487675368</v>
      </c>
      <c r="AB7" s="20">
        <f ca="1">SUMIF($L$4:$AA$4,"SUBTOTAL",$L$7:$AA$7)+AL7</f>
        <v>163.58373363039524</v>
      </c>
      <c r="AC7" s="9" t="str">
        <f t="shared" si="0"/>
        <v>A3</v>
      </c>
      <c r="AD7" s="9" t="str">
        <f t="shared" si="1"/>
        <v>Energia horária</v>
      </c>
      <c r="AE7" s="9" t="str">
        <f t="shared" si="2"/>
        <v>Não se aplica</v>
      </c>
      <c r="AF7" s="9" t="str">
        <f t="shared" si="3"/>
        <v>Não se aplica</v>
      </c>
      <c r="AG7" s="9" t="str">
        <f t="shared" si="4"/>
        <v>Não se aplica</v>
      </c>
      <c r="AH7" s="58">
        <v>1</v>
      </c>
      <c r="AI7" s="58">
        <f ca="1">IFERROR(VLOOKUP(AC7,TarifaMedia!$C$44:$G$47,5,0),0)</f>
        <v>0</v>
      </c>
      <c r="AJ7" s="23">
        <f>'TE BE'!$AB7+'TE BF'!$AB7+'TE CVA'!$AB7</f>
        <v>486.43608405794748</v>
      </c>
      <c r="AK7" s="58">
        <v>379.31</v>
      </c>
      <c r="AL7" s="58">
        <f t="shared" ca="1" si="5"/>
        <v>0</v>
      </c>
      <c r="AM7" s="58"/>
      <c r="AN7" s="58"/>
      <c r="AO7" s="82" t="s">
        <v>1009</v>
      </c>
    </row>
    <row r="8" spans="1:41" ht="11.25" customHeight="1" x14ac:dyDescent="0.3">
      <c r="A8" s="133"/>
      <c r="B8" s="133"/>
      <c r="C8" s="133"/>
      <c r="D8" s="133"/>
      <c r="E8" s="133"/>
      <c r="F8" s="133"/>
      <c r="G8" s="23" t="s">
        <v>80</v>
      </c>
      <c r="H8" s="23" t="s">
        <v>78</v>
      </c>
      <c r="I8" s="23">
        <f>'MERCADO TE'!$U$5</f>
        <v>0</v>
      </c>
      <c r="J8" s="15"/>
      <c r="L8" s="20">
        <f>'TE BE'!$L$8*'TE BE'!$L$56</f>
        <v>1.9061118106308186E-7</v>
      </c>
      <c r="M8" s="20">
        <f>'TE BE'!$M$8*'TE BE'!$M$56</f>
        <v>3.6087573256368892</v>
      </c>
      <c r="N8" s="20">
        <f>'TE BE'!$N$8*'TE BE'!$N$56</f>
        <v>-1.0383424417631652E-2</v>
      </c>
      <c r="O8" s="20">
        <f>'TE BE'!$O$8*'TE BE'!$O$56</f>
        <v>-1.1358491858510187</v>
      </c>
      <c r="P8" s="20">
        <f>'TE BE'!$P$8*'TE BE'!$P$56</f>
        <v>0</v>
      </c>
      <c r="Q8" s="20">
        <f>SUM($L$8:$P$8)</f>
        <v>2.4625249059794196</v>
      </c>
      <c r="R8" s="20">
        <f>'TE BE'!$R$8*'TE BE'!$R$56</f>
        <v>93.190512994038514</v>
      </c>
      <c r="S8" s="20">
        <f>SUM($R$8:$R$8)</f>
        <v>93.190512994038514</v>
      </c>
      <c r="T8" s="20">
        <f>'TE BE'!$T$8*'TE BE'!$T$56</f>
        <v>-0.77596165610372048</v>
      </c>
      <c r="U8" s="20">
        <f>'TE BE'!$U$8*'TE BE'!$U$56</f>
        <v>7.7838382005741613E-2</v>
      </c>
      <c r="V8" s="20">
        <f>'TE BE'!$V$8*'TE BE'!$V$56</f>
        <v>0</v>
      </c>
      <c r="W8" s="20">
        <f>SUM($T$8:$V$8)</f>
        <v>-0.69812327409797881</v>
      </c>
      <c r="X8" s="20">
        <f>'TE BE'!$AB$8*'TE BE'!$X$56</f>
        <v>0</v>
      </c>
      <c r="Y8" s="20">
        <f>SUM($X$8:$X$8)</f>
        <v>0</v>
      </c>
      <c r="Z8" s="20">
        <f>'TE BE'!$Z$8*'TE BE'!$Z$56</f>
        <v>1.5316496487675368</v>
      </c>
      <c r="AA8" s="20">
        <f>SUM($Z$8:$Z$8)</f>
        <v>1.5316496487675368</v>
      </c>
      <c r="AB8" s="20">
        <f ca="1">SUMIF($L$4:$AA$4,"SUBTOTAL",$L$8:$AA$8)+AL8</f>
        <v>96.486564274687495</v>
      </c>
      <c r="AC8" s="9" t="str">
        <f t="shared" si="0"/>
        <v>A3</v>
      </c>
      <c r="AD8" s="9" t="str">
        <f t="shared" si="1"/>
        <v>Energia horária</v>
      </c>
      <c r="AE8" s="9" t="str">
        <f t="shared" si="2"/>
        <v>Não se aplica</v>
      </c>
      <c r="AF8" s="9" t="str">
        <f t="shared" si="3"/>
        <v>Não se aplica</v>
      </c>
      <c r="AG8" s="9" t="str">
        <f t="shared" si="4"/>
        <v>Não se aplica</v>
      </c>
      <c r="AH8" s="58">
        <v>1</v>
      </c>
      <c r="AI8" s="58">
        <f ca="1">IFERROR(VLOOKUP(AC8,TarifaMedia!$C$44:$G$47,5,0),0)</f>
        <v>0</v>
      </c>
      <c r="AJ8" s="23">
        <f>'TE BE'!$AB8+'TE BF'!$AB8+'TE CVA'!$AB8</f>
        <v>299.18055042718134</v>
      </c>
      <c r="AK8" s="58">
        <v>231.69</v>
      </c>
      <c r="AL8" s="58">
        <f t="shared" ca="1" si="5"/>
        <v>0</v>
      </c>
      <c r="AM8" s="58"/>
      <c r="AN8" s="58"/>
      <c r="AO8" s="82" t="s">
        <v>1010</v>
      </c>
    </row>
    <row r="9" spans="1:41" ht="11.25" customHeight="1" x14ac:dyDescent="0.3">
      <c r="A9" s="133" t="s">
        <v>39</v>
      </c>
      <c r="B9" s="133" t="s">
        <v>77</v>
      </c>
      <c r="C9" s="133" t="s">
        <v>25</v>
      </c>
      <c r="D9" s="133" t="s">
        <v>25</v>
      </c>
      <c r="E9" s="133" t="s">
        <v>25</v>
      </c>
      <c r="F9" s="133" t="s">
        <v>25</v>
      </c>
      <c r="G9" s="23" t="s">
        <v>79</v>
      </c>
      <c r="H9" s="23" t="s">
        <v>78</v>
      </c>
      <c r="I9" s="23">
        <f>'MERCADO TE'!$U$6</f>
        <v>5372.2169999999987</v>
      </c>
      <c r="J9" s="15"/>
      <c r="L9" s="20">
        <f>'TE BE'!$L$9*'TE BE'!$L$56</f>
        <v>1.9061118106308186E-7</v>
      </c>
      <c r="M9" s="20">
        <f>'TE BE'!$M$9*'TE BE'!$M$56</f>
        <v>3.6087573256368892</v>
      </c>
      <c r="N9" s="20">
        <f>'TE BE'!$N$9*'TE BE'!$N$56</f>
        <v>-1.0383424417631652E-2</v>
      </c>
      <c r="O9" s="20">
        <f>'TE BE'!$O$9*'TE BE'!$O$56</f>
        <v>-1.1358491858510187</v>
      </c>
      <c r="P9" s="20">
        <f>'TE BE'!$P$9*'TE BE'!$P$56</f>
        <v>0</v>
      </c>
      <c r="Q9" s="20">
        <f>SUM($L$9:$P$9)</f>
        <v>2.4625249059794196</v>
      </c>
      <c r="R9" s="20">
        <f>'TE BE'!$R$9*'TE BE'!$R$56</f>
        <v>160.28768234974626</v>
      </c>
      <c r="S9" s="20">
        <f>SUM($R$9:$R$9)</f>
        <v>160.28768234974626</v>
      </c>
      <c r="T9" s="20">
        <f>'TE BE'!$T$9*'TE BE'!$T$56</f>
        <v>-0.77596165610372048</v>
      </c>
      <c r="U9" s="20">
        <f>'TE BE'!$U$9*'TE BE'!$U$56</f>
        <v>7.7838382005741613E-2</v>
      </c>
      <c r="V9" s="20">
        <f>'TE BE'!$V$9*'TE BE'!$V$56</f>
        <v>0</v>
      </c>
      <c r="W9" s="20">
        <f>SUM($T$9:$V$9)</f>
        <v>-0.69812327409797881</v>
      </c>
      <c r="X9" s="20">
        <f>'TE BE'!$AB$9*'TE BE'!$X$56</f>
        <v>0</v>
      </c>
      <c r="Y9" s="20">
        <f>SUM($X$9:$X$9)</f>
        <v>0</v>
      </c>
      <c r="Z9" s="20">
        <f>'TE BE'!$Z$9*'TE BE'!$Z$56</f>
        <v>1.5316496487675368</v>
      </c>
      <c r="AA9" s="20">
        <f>SUM($Z$9:$Z$9)</f>
        <v>1.5316496487675368</v>
      </c>
      <c r="AB9" s="20">
        <f ca="1">SUMIF($L$4:$AA$4,"SUBTOTAL",$L$9:$AA$9)+AL9</f>
        <v>56.457649572447764</v>
      </c>
      <c r="AC9" s="9" t="str">
        <f t="shared" si="0"/>
        <v>A4</v>
      </c>
      <c r="AD9" s="9" t="str">
        <f t="shared" si="1"/>
        <v>Energia horária</v>
      </c>
      <c r="AE9" s="9" t="str">
        <f t="shared" si="2"/>
        <v>Não se aplica</v>
      </c>
      <c r="AF9" s="9" t="str">
        <f t="shared" si="3"/>
        <v>Não se aplica</v>
      </c>
      <c r="AG9" s="9" t="str">
        <f t="shared" si="4"/>
        <v>Não se aplica</v>
      </c>
      <c r="AH9" s="58">
        <v>1</v>
      </c>
      <c r="AI9" s="58">
        <f ca="1">IFERROR(VLOOKUP(AC9,TarifaMedia!$C$44:$G$47,5,0),0)</f>
        <v>1</v>
      </c>
      <c r="AJ9" s="23">
        <f>'TE BE'!$AB9+'TE BF'!$AB9+'TE CVA'!$AB9</f>
        <v>486.43608405794748</v>
      </c>
      <c r="AK9" s="58">
        <v>379.31</v>
      </c>
      <c r="AL9" s="58">
        <f t="shared" ca="1" si="5"/>
        <v>-107.12608405794748</v>
      </c>
      <c r="AM9" s="58"/>
      <c r="AN9" s="58"/>
      <c r="AO9" s="82" t="s">
        <v>1011</v>
      </c>
    </row>
    <row r="10" spans="1:41" ht="11.25" customHeight="1" x14ac:dyDescent="0.3">
      <c r="A10" s="133"/>
      <c r="B10" s="133"/>
      <c r="C10" s="133"/>
      <c r="D10" s="133"/>
      <c r="E10" s="133"/>
      <c r="F10" s="133"/>
      <c r="G10" s="23" t="s">
        <v>80</v>
      </c>
      <c r="H10" s="23" t="s">
        <v>78</v>
      </c>
      <c r="I10" s="23">
        <f>'MERCADO TE'!$U$7</f>
        <v>62595.072</v>
      </c>
      <c r="J10" s="15"/>
      <c r="L10" s="20">
        <f>'TE BE'!$L$10*'TE BE'!$L$56</f>
        <v>1.9061118106308186E-7</v>
      </c>
      <c r="M10" s="20">
        <f>'TE BE'!$M$10*'TE BE'!$M$56</f>
        <v>3.6087573256368892</v>
      </c>
      <c r="N10" s="20">
        <f>'TE BE'!$N$10*'TE BE'!$N$56</f>
        <v>-1.0383424417631652E-2</v>
      </c>
      <c r="O10" s="20">
        <f>'TE BE'!$O$10*'TE BE'!$O$56</f>
        <v>-1.1358491858510187</v>
      </c>
      <c r="P10" s="20">
        <f>'TE BE'!$P$10*'TE BE'!$P$56</f>
        <v>0</v>
      </c>
      <c r="Q10" s="20">
        <f>SUM($L$10:$P$10)</f>
        <v>2.4625249059794196</v>
      </c>
      <c r="R10" s="20">
        <f>'TE BE'!$R$10*'TE BE'!$R$56</f>
        <v>93.190512994038514</v>
      </c>
      <c r="S10" s="20">
        <f>SUM($R$10:$R$10)</f>
        <v>93.190512994038514</v>
      </c>
      <c r="T10" s="20">
        <f>'TE BE'!$T$10*'TE BE'!$T$56</f>
        <v>-0.77596165610372048</v>
      </c>
      <c r="U10" s="20">
        <f>'TE BE'!$U$10*'TE BE'!$U$56</f>
        <v>7.7838382005741613E-2</v>
      </c>
      <c r="V10" s="20">
        <f>'TE BE'!$V$10*'TE BE'!$V$56</f>
        <v>0</v>
      </c>
      <c r="W10" s="20">
        <f>SUM($T$10:$V$10)</f>
        <v>-0.69812327409797881</v>
      </c>
      <c r="X10" s="20">
        <f>'TE BE'!$AB$10*'TE BE'!$X$56</f>
        <v>0</v>
      </c>
      <c r="Y10" s="20">
        <f>SUM($X$10:$X$10)</f>
        <v>0</v>
      </c>
      <c r="Z10" s="20">
        <f>'TE BE'!$Z$10*'TE BE'!$Z$56</f>
        <v>1.5316496487675368</v>
      </c>
      <c r="AA10" s="20">
        <f>SUM($Z$10:$Z$10)</f>
        <v>1.5316496487675368</v>
      </c>
      <c r="AB10" s="20">
        <f ca="1">SUMIF($L$4:$AA$4,"SUBTOTAL",$L$10:$AA$10)+AL10</f>
        <v>28.996013847506148</v>
      </c>
      <c r="AC10" s="9" t="str">
        <f t="shared" si="0"/>
        <v>A4</v>
      </c>
      <c r="AD10" s="9" t="str">
        <f t="shared" si="1"/>
        <v>Energia horária</v>
      </c>
      <c r="AE10" s="9" t="str">
        <f t="shared" si="2"/>
        <v>Não se aplica</v>
      </c>
      <c r="AF10" s="9" t="str">
        <f t="shared" si="3"/>
        <v>Não se aplica</v>
      </c>
      <c r="AG10" s="9" t="str">
        <f t="shared" si="4"/>
        <v>Não se aplica</v>
      </c>
      <c r="AH10" s="58">
        <v>1</v>
      </c>
      <c r="AI10" s="58">
        <f ca="1">IFERROR(VLOOKUP(AC10,TarifaMedia!$C$44:$G$47,5,0),0)</f>
        <v>1</v>
      </c>
      <c r="AJ10" s="23">
        <f>'TE BE'!$AB10+'TE BF'!$AB10+'TE CVA'!$AB10</f>
        <v>299.18055042718134</v>
      </c>
      <c r="AK10" s="58">
        <v>231.69</v>
      </c>
      <c r="AL10" s="58">
        <f t="shared" ca="1" si="5"/>
        <v>-67.490550427181347</v>
      </c>
      <c r="AM10" s="58"/>
      <c r="AN10" s="58"/>
      <c r="AO10" s="82" t="s">
        <v>1012</v>
      </c>
    </row>
    <row r="11" spans="1:41" ht="11.25" customHeight="1" x14ac:dyDescent="0.3">
      <c r="A11" s="133"/>
      <c r="B11" s="22" t="s">
        <v>86</v>
      </c>
      <c r="C11" s="22" t="s">
        <v>25</v>
      </c>
      <c r="D11" s="22" t="s">
        <v>25</v>
      </c>
      <c r="E11" s="22" t="s">
        <v>25</v>
      </c>
      <c r="F11" s="22" t="s">
        <v>25</v>
      </c>
      <c r="G11" s="23" t="s">
        <v>84</v>
      </c>
      <c r="H11" s="23" t="s">
        <v>78</v>
      </c>
      <c r="I11" s="23">
        <f>'MERCADO TE'!$U$8</f>
        <v>0</v>
      </c>
      <c r="J11" s="15"/>
      <c r="L11" s="20">
        <f>'TE BE'!$L$11*'TE BE'!$L$56</f>
        <v>1.9061118106308186E-7</v>
      </c>
      <c r="M11" s="20">
        <f>'TE BE'!$M$11*'TE BE'!$M$56</f>
        <v>3.6087573256368892</v>
      </c>
      <c r="N11" s="20">
        <f>'TE BE'!$N$11*'TE BE'!$N$56</f>
        <v>-1.0383424417631652E-2</v>
      </c>
      <c r="O11" s="20">
        <f>'TE BE'!$O$11*'TE BE'!$O$56</f>
        <v>-1.1358491858510187</v>
      </c>
      <c r="P11" s="20">
        <f>'TE BE'!$P$11*'TE BE'!$P$56</f>
        <v>0</v>
      </c>
      <c r="Q11" s="20">
        <f>SUM($L$11:$P$11)</f>
        <v>2.4625249059794196</v>
      </c>
      <c r="R11" s="20">
        <f>'TE BE'!$R$11*'TE BE'!$R$56</f>
        <v>98.781943773680837</v>
      </c>
      <c r="S11" s="20">
        <f>SUM($R$11:$R$11)</f>
        <v>98.781943773680837</v>
      </c>
      <c r="T11" s="20">
        <f>'TE BE'!$T$11*'TE BE'!$T$56</f>
        <v>-0.77596165610372048</v>
      </c>
      <c r="U11" s="20">
        <f>'TE BE'!$U$11*'TE BE'!$U$56</f>
        <v>7.7838382005741613E-2</v>
      </c>
      <c r="V11" s="20">
        <f>'TE BE'!$V$11*'TE BE'!$V$56</f>
        <v>0</v>
      </c>
      <c r="W11" s="20">
        <f>SUM($T$11:$V$11)</f>
        <v>-0.69812327409797881</v>
      </c>
      <c r="X11" s="20">
        <f>'TE BE'!$AB$11*'TE BE'!$X$56</f>
        <v>0</v>
      </c>
      <c r="Y11" s="20">
        <f>SUM($X$11:$X$11)</f>
        <v>0</v>
      </c>
      <c r="Z11" s="20">
        <f>'TE BE'!$Z$11*'TE BE'!$Z$56</f>
        <v>1.5316496487675368</v>
      </c>
      <c r="AA11" s="20">
        <f>SUM($Z$11:$Z$11)</f>
        <v>1.5316496487675368</v>
      </c>
      <c r="AB11" s="20">
        <f ca="1">SUMIF($L$4:$AA$4,"SUBTOTAL",$L$11:$AA$11)+AL11</f>
        <v>-212.70718317541539</v>
      </c>
      <c r="AC11" s="9" t="str">
        <f t="shared" si="0"/>
        <v>A4</v>
      </c>
      <c r="AD11" s="9" t="str">
        <f t="shared" si="1"/>
        <v>Energia convencional</v>
      </c>
      <c r="AE11" s="9" t="str">
        <f t="shared" si="2"/>
        <v>Não se aplica</v>
      </c>
      <c r="AF11" s="9" t="str">
        <f t="shared" si="3"/>
        <v>Não se aplica</v>
      </c>
      <c r="AG11" s="9" t="str">
        <f t="shared" si="4"/>
        <v>Não se aplica</v>
      </c>
      <c r="AH11" s="58">
        <v>1</v>
      </c>
      <c r="AI11" s="58">
        <f ca="1">IFERROR(VLOOKUP(AC11,TarifaMedia!$C$44:$G$47,5,0),0)</f>
        <v>1</v>
      </c>
      <c r="AJ11" s="23">
        <f>'TE BE'!$AB11+'TE BF'!$AB11+'TE CVA'!$AB11</f>
        <v>314.78517822974521</v>
      </c>
      <c r="AK11" s="58">
        <v>0</v>
      </c>
      <c r="AL11" s="58">
        <f t="shared" ca="1" si="5"/>
        <v>-314.78517822974521</v>
      </c>
      <c r="AM11" s="58"/>
      <c r="AN11" s="58"/>
      <c r="AO11" s="82" t="s">
        <v>1013</v>
      </c>
    </row>
    <row r="12" spans="1:41" ht="11.25" customHeight="1" x14ac:dyDescent="0.3">
      <c r="A12" s="133" t="s">
        <v>43</v>
      </c>
      <c r="B12" s="133" t="s">
        <v>77</v>
      </c>
      <c r="C12" s="133" t="s">
        <v>25</v>
      </c>
      <c r="D12" s="133" t="s">
        <v>25</v>
      </c>
      <c r="E12" s="133" t="s">
        <v>25</v>
      </c>
      <c r="F12" s="133" t="s">
        <v>25</v>
      </c>
      <c r="G12" s="23" t="s">
        <v>79</v>
      </c>
      <c r="H12" s="23" t="s">
        <v>78</v>
      </c>
      <c r="I12" s="23">
        <f>'MERCADO TE'!$U$9</f>
        <v>18.171000000000003</v>
      </c>
      <c r="J12" s="15"/>
      <c r="L12" s="20">
        <f>'TE BE'!$L$12*'TE BE'!$L$56</f>
        <v>1.9061118106308186E-7</v>
      </c>
      <c r="M12" s="20">
        <f>'TE BE'!$M$12*'TE BE'!$M$56</f>
        <v>3.6087573256368892</v>
      </c>
      <c r="N12" s="20">
        <f>'TE BE'!$N$12*'TE BE'!$N$56</f>
        <v>-1.0383424417631652E-2</v>
      </c>
      <c r="O12" s="20">
        <f>'TE BE'!$O$12*'TE BE'!$O$56</f>
        <v>-1.1358491858510187</v>
      </c>
      <c r="P12" s="20">
        <f>'TE BE'!$P$12*'TE BE'!$P$56</f>
        <v>0</v>
      </c>
      <c r="Q12" s="20">
        <f>SUM($L$12:$P$12)</f>
        <v>2.4625249059794196</v>
      </c>
      <c r="R12" s="20">
        <f>'TE BE'!$R$12*'TE BE'!$R$56</f>
        <v>160.28768234974626</v>
      </c>
      <c r="S12" s="20">
        <f>SUM($R$12:$R$12)</f>
        <v>160.28768234974626</v>
      </c>
      <c r="T12" s="20">
        <f>'TE BE'!$T$12*'TE BE'!$T$56</f>
        <v>-0.77596165610372048</v>
      </c>
      <c r="U12" s="20">
        <f>'TE BE'!$U$12*'TE BE'!$U$56</f>
        <v>7.7838382005741613E-2</v>
      </c>
      <c r="V12" s="20">
        <f>'TE BE'!$V$12*'TE BE'!$V$56</f>
        <v>0</v>
      </c>
      <c r="W12" s="20">
        <f>SUM($T$12:$V$12)</f>
        <v>-0.69812327409797881</v>
      </c>
      <c r="X12" s="20">
        <f>'TE BE'!$AB$12*'TE BE'!$X$56</f>
        <v>0</v>
      </c>
      <c r="Y12" s="20">
        <f>SUM($X$12:$X$12)</f>
        <v>0</v>
      </c>
      <c r="Z12" s="20">
        <f>'TE BE'!$Z$12*'TE BE'!$Z$56</f>
        <v>1.5316496487675368</v>
      </c>
      <c r="AA12" s="20">
        <f>SUM($Z$12:$Z$12)</f>
        <v>1.5316496487675368</v>
      </c>
      <c r="AB12" s="20">
        <f ca="1">SUMIF($L$4:$AA$4,"SUBTOTAL",$L$12:$AA$12)+AL12</f>
        <v>56.457649572447764</v>
      </c>
      <c r="AC12" s="9" t="str">
        <f t="shared" si="0"/>
        <v>AS</v>
      </c>
      <c r="AD12" s="9" t="str">
        <f t="shared" si="1"/>
        <v>Energia horária</v>
      </c>
      <c r="AE12" s="9" t="str">
        <f t="shared" si="2"/>
        <v>Não se aplica</v>
      </c>
      <c r="AF12" s="9" t="str">
        <f t="shared" si="3"/>
        <v>Não se aplica</v>
      </c>
      <c r="AG12" s="9" t="str">
        <f t="shared" si="4"/>
        <v>Não se aplica</v>
      </c>
      <c r="AH12" s="58">
        <v>1</v>
      </c>
      <c r="AI12" s="58">
        <f ca="1">IFERROR(VLOOKUP(AC12,TarifaMedia!$C$44:$G$47,5,0),0)</f>
        <v>1</v>
      </c>
      <c r="AJ12" s="23">
        <f>'TE BE'!$AB12+'TE BF'!$AB12+'TE CVA'!$AB12</f>
        <v>486.43608405794748</v>
      </c>
      <c r="AK12" s="58">
        <v>379.31</v>
      </c>
      <c r="AL12" s="58">
        <f t="shared" ca="1" si="5"/>
        <v>-107.12608405794748</v>
      </c>
      <c r="AM12" s="58"/>
      <c r="AN12" s="58"/>
      <c r="AO12" s="82" t="s">
        <v>1014</v>
      </c>
    </row>
    <row r="13" spans="1:41" ht="11.25" customHeight="1" x14ac:dyDescent="0.3">
      <c r="A13" s="133"/>
      <c r="B13" s="133"/>
      <c r="C13" s="133"/>
      <c r="D13" s="133"/>
      <c r="E13" s="133"/>
      <c r="F13" s="133"/>
      <c r="G13" s="23" t="s">
        <v>80</v>
      </c>
      <c r="H13" s="23" t="s">
        <v>78</v>
      </c>
      <c r="I13" s="23">
        <f>'MERCADO TE'!$U$10</f>
        <v>246.76899999999998</v>
      </c>
      <c r="J13" s="15"/>
      <c r="L13" s="20">
        <f>'TE BE'!$L$13*'TE BE'!$L$56</f>
        <v>1.9061118106308186E-7</v>
      </c>
      <c r="M13" s="20">
        <f>'TE BE'!$M$13*'TE BE'!$M$56</f>
        <v>3.6087573256368892</v>
      </c>
      <c r="N13" s="20">
        <f>'TE BE'!$N$13*'TE BE'!$N$56</f>
        <v>-1.0383424417631652E-2</v>
      </c>
      <c r="O13" s="20">
        <f>'TE BE'!$O$13*'TE BE'!$O$56</f>
        <v>-1.1358491858510187</v>
      </c>
      <c r="P13" s="20">
        <f>'TE BE'!$P$13*'TE BE'!$P$56</f>
        <v>0</v>
      </c>
      <c r="Q13" s="20">
        <f>SUM($L$13:$P$13)</f>
        <v>2.4625249059794196</v>
      </c>
      <c r="R13" s="20">
        <f>'TE BE'!$R$13*'TE BE'!$R$56</f>
        <v>93.190512994038514</v>
      </c>
      <c r="S13" s="20">
        <f>SUM($R$13:$R$13)</f>
        <v>93.190512994038514</v>
      </c>
      <c r="T13" s="20">
        <f>'TE BE'!$T$13*'TE BE'!$T$56</f>
        <v>-0.77596165610372048</v>
      </c>
      <c r="U13" s="20">
        <f>'TE BE'!$U$13*'TE BE'!$U$56</f>
        <v>7.7838382005741613E-2</v>
      </c>
      <c r="V13" s="20">
        <f>'TE BE'!$V$13*'TE BE'!$V$56</f>
        <v>0</v>
      </c>
      <c r="W13" s="20">
        <f>SUM($T$13:$V$13)</f>
        <v>-0.69812327409797881</v>
      </c>
      <c r="X13" s="20">
        <f>'TE BE'!$AB$13*'TE BE'!$X$56</f>
        <v>0</v>
      </c>
      <c r="Y13" s="20">
        <f>SUM($X$13:$X$13)</f>
        <v>0</v>
      </c>
      <c r="Z13" s="20">
        <f>'TE BE'!$Z$13*'TE BE'!$Z$56</f>
        <v>1.5316496487675368</v>
      </c>
      <c r="AA13" s="20">
        <f>SUM($Z$13:$Z$13)</f>
        <v>1.5316496487675368</v>
      </c>
      <c r="AB13" s="20">
        <f ca="1">SUMIF($L$4:$AA$4,"SUBTOTAL",$L$13:$AA$13)+AL13</f>
        <v>28.996013847506148</v>
      </c>
      <c r="AC13" s="9" t="str">
        <f t="shared" si="0"/>
        <v>AS</v>
      </c>
      <c r="AD13" s="9" t="str">
        <f t="shared" si="1"/>
        <v>Energia horária</v>
      </c>
      <c r="AE13" s="9" t="str">
        <f t="shared" si="2"/>
        <v>Não se aplica</v>
      </c>
      <c r="AF13" s="9" t="str">
        <f t="shared" si="3"/>
        <v>Não se aplica</v>
      </c>
      <c r="AG13" s="9" t="str">
        <f t="shared" si="4"/>
        <v>Não se aplica</v>
      </c>
      <c r="AH13" s="58">
        <v>1</v>
      </c>
      <c r="AI13" s="58">
        <f ca="1">IFERROR(VLOOKUP(AC13,TarifaMedia!$C$44:$G$47,5,0),0)</f>
        <v>1</v>
      </c>
      <c r="AJ13" s="23">
        <f>'TE BE'!$AB13+'TE BF'!$AB13+'TE CVA'!$AB13</f>
        <v>299.18055042718134</v>
      </c>
      <c r="AK13" s="58">
        <v>231.69</v>
      </c>
      <c r="AL13" s="58">
        <f t="shared" ca="1" si="5"/>
        <v>-67.490550427181347</v>
      </c>
      <c r="AM13" s="58"/>
      <c r="AN13" s="58"/>
      <c r="AO13" s="82" t="s">
        <v>1015</v>
      </c>
    </row>
    <row r="14" spans="1:41" ht="11.25" customHeight="1" x14ac:dyDescent="0.3">
      <c r="A14" s="133"/>
      <c r="B14" s="22" t="s">
        <v>86</v>
      </c>
      <c r="C14" s="22" t="s">
        <v>25</v>
      </c>
      <c r="D14" s="22" t="s">
        <v>25</v>
      </c>
      <c r="E14" s="22" t="s">
        <v>25</v>
      </c>
      <c r="F14" s="22" t="s">
        <v>25</v>
      </c>
      <c r="G14" s="23" t="s">
        <v>84</v>
      </c>
      <c r="H14" s="23" t="s">
        <v>78</v>
      </c>
      <c r="I14" s="23">
        <f>'MERCADO TE'!$U$11</f>
        <v>0</v>
      </c>
      <c r="J14" s="15"/>
      <c r="L14" s="20">
        <f>'TE BE'!$L$14*'TE BE'!$L$56</f>
        <v>1.9061118106308186E-7</v>
      </c>
      <c r="M14" s="20">
        <f>'TE BE'!$M$14*'TE BE'!$M$56</f>
        <v>3.6087573256368892</v>
      </c>
      <c r="N14" s="20">
        <f>'TE BE'!$N$14*'TE BE'!$N$56</f>
        <v>-1.0383424417631652E-2</v>
      </c>
      <c r="O14" s="20">
        <f>'TE BE'!$O$14*'TE BE'!$O$56</f>
        <v>-1.1358491858510187</v>
      </c>
      <c r="P14" s="20">
        <f>'TE BE'!$P$14*'TE BE'!$P$56</f>
        <v>0</v>
      </c>
      <c r="Q14" s="20">
        <f>SUM($L$14:$P$14)</f>
        <v>2.4625249059794196</v>
      </c>
      <c r="R14" s="20">
        <f>'TE BE'!$R$14*'TE BE'!$R$56</f>
        <v>98.781943773680837</v>
      </c>
      <c r="S14" s="20">
        <f>SUM($R$14:$R$14)</f>
        <v>98.781943773680837</v>
      </c>
      <c r="T14" s="20">
        <f>'TE BE'!$T$14*'TE BE'!$T$56</f>
        <v>-0.77596165610372048</v>
      </c>
      <c r="U14" s="20">
        <f>'TE BE'!$U$14*'TE BE'!$U$56</f>
        <v>7.7838382005741613E-2</v>
      </c>
      <c r="V14" s="20">
        <f>'TE BE'!$V$14*'TE BE'!$V$56</f>
        <v>0</v>
      </c>
      <c r="W14" s="20">
        <f>SUM($T$14:$V$14)</f>
        <v>-0.69812327409797881</v>
      </c>
      <c r="X14" s="20">
        <f>'TE BE'!$AB$14*'TE BE'!$X$56</f>
        <v>0</v>
      </c>
      <c r="Y14" s="20">
        <f>SUM($X$14:$X$14)</f>
        <v>0</v>
      </c>
      <c r="Z14" s="20">
        <f>'TE BE'!$Z$14*'TE BE'!$Z$56</f>
        <v>1.5316496487675368</v>
      </c>
      <c r="AA14" s="20">
        <f>SUM($Z$14:$Z$14)</f>
        <v>1.5316496487675368</v>
      </c>
      <c r="AB14" s="20">
        <f ca="1">SUMIF($L$4:$AA$4,"SUBTOTAL",$L$14:$AA$14)+AL14</f>
        <v>-212.70718317541539</v>
      </c>
      <c r="AC14" s="9" t="str">
        <f t="shared" si="0"/>
        <v>AS</v>
      </c>
      <c r="AD14" s="9" t="str">
        <f t="shared" si="1"/>
        <v>Energia convencional</v>
      </c>
      <c r="AE14" s="9" t="str">
        <f t="shared" si="2"/>
        <v>Não se aplica</v>
      </c>
      <c r="AF14" s="9" t="str">
        <f t="shared" si="3"/>
        <v>Não se aplica</v>
      </c>
      <c r="AG14" s="9" t="str">
        <f t="shared" si="4"/>
        <v>Não se aplica</v>
      </c>
      <c r="AH14" s="58">
        <v>1</v>
      </c>
      <c r="AI14" s="58">
        <f ca="1">IFERROR(VLOOKUP(AC14,TarifaMedia!$C$44:$G$47,5,0),0)</f>
        <v>1</v>
      </c>
      <c r="AJ14" s="23">
        <f>'TE BE'!$AB14+'TE BF'!$AB14+'TE CVA'!$AB14</f>
        <v>314.78517822974521</v>
      </c>
      <c r="AK14" s="58">
        <v>0</v>
      </c>
      <c r="AL14" s="58">
        <f t="shared" ca="1" si="5"/>
        <v>-314.78517822974521</v>
      </c>
      <c r="AM14" s="58"/>
      <c r="AN14" s="58"/>
      <c r="AO14" s="82" t="s">
        <v>1016</v>
      </c>
    </row>
    <row r="15" spans="1:41" ht="11.25" customHeight="1" x14ac:dyDescent="0.3">
      <c r="A15" s="133" t="s">
        <v>22</v>
      </c>
      <c r="B15" s="133" t="s">
        <v>77</v>
      </c>
      <c r="C15" s="133" t="s">
        <v>24</v>
      </c>
      <c r="D15" s="133" t="s">
        <v>24</v>
      </c>
      <c r="E15" s="133" t="s">
        <v>25</v>
      </c>
      <c r="F15" s="133" t="s">
        <v>25</v>
      </c>
      <c r="G15" s="23" t="s">
        <v>79</v>
      </c>
      <c r="H15" s="23" t="s">
        <v>78</v>
      </c>
      <c r="I15" s="23">
        <f>'MERCADO TE'!$U$12</f>
        <v>16.994999999999997</v>
      </c>
      <c r="J15" s="15"/>
      <c r="L15" s="20">
        <f>'TE BE'!$L$15*'TE BE'!$L$56</f>
        <v>1.9061118106308186E-7</v>
      </c>
      <c r="M15" s="20">
        <f>'TE BE'!$M$15*'TE BE'!$M$56</f>
        <v>3.6087573256368892</v>
      </c>
      <c r="N15" s="20">
        <f>'TE BE'!$N$15*'TE BE'!$N$56</f>
        <v>-1.0383424417631652E-2</v>
      </c>
      <c r="O15" s="20">
        <f>'TE BE'!$O$15*'TE BE'!$O$56</f>
        <v>-1.1358491858510187</v>
      </c>
      <c r="P15" s="20">
        <f>'TE BE'!$P$15*'TE BE'!$P$56</f>
        <v>0</v>
      </c>
      <c r="Q15" s="20">
        <f>SUM($L$15:$P$15)</f>
        <v>2.4625249059794196</v>
      </c>
      <c r="R15" s="20">
        <f>'TE BE'!$R$15*'TE BE'!$R$56</f>
        <v>160.28768234974626</v>
      </c>
      <c r="S15" s="20">
        <f>SUM($R$15:$R$15)</f>
        <v>160.28768234974626</v>
      </c>
      <c r="T15" s="20">
        <f>'TE BE'!$T$15*'TE BE'!$T$56</f>
        <v>-0.77596165610372048</v>
      </c>
      <c r="U15" s="20">
        <f>'TE BE'!$U$15*'TE BE'!$U$56</f>
        <v>7.7838382005741613E-2</v>
      </c>
      <c r="V15" s="20">
        <f>'TE BE'!$V$15*'TE BE'!$V$56</f>
        <v>0</v>
      </c>
      <c r="W15" s="20">
        <f>SUM($T$15:$V$15)</f>
        <v>-0.69812327409797881</v>
      </c>
      <c r="X15" s="20">
        <f>'TE BE'!$AB$15*'TE BE'!$X$56</f>
        <v>0</v>
      </c>
      <c r="Y15" s="20">
        <f>SUM($X$15:$X$15)</f>
        <v>0</v>
      </c>
      <c r="Z15" s="20">
        <f>'TE BE'!$Z$15*'TE BE'!$Z$56</f>
        <v>1.5316496487675368</v>
      </c>
      <c r="AA15" s="20">
        <f>SUM($Z$15:$Z$15)</f>
        <v>1.5316496487675368</v>
      </c>
      <c r="AB15" s="20">
        <f ca="1">SUMIF($L$4:$AA$4,"SUBTOTAL",$L$15:$AA$15)+AL15</f>
        <v>56.457649572447764</v>
      </c>
      <c r="AC15" s="9" t="str">
        <f t="shared" si="0"/>
        <v>B1</v>
      </c>
      <c r="AD15" s="9" t="str">
        <f t="shared" si="1"/>
        <v>Energia horária</v>
      </c>
      <c r="AE15" s="9" t="str">
        <f t="shared" si="2"/>
        <v>Residencial</v>
      </c>
      <c r="AF15" s="9" t="str">
        <f t="shared" si="3"/>
        <v>Residencial</v>
      </c>
      <c r="AG15" s="9" t="str">
        <f t="shared" si="4"/>
        <v>Não se aplica</v>
      </c>
      <c r="AH15" s="58">
        <v>1</v>
      </c>
      <c r="AI15" s="58">
        <f ca="1">TarifaMedia!$G$52</f>
        <v>1</v>
      </c>
      <c r="AJ15" s="23">
        <f>'TE BE'!$AB15+'TE BF'!$AB15+'TE CVA'!$AB15</f>
        <v>486.43608405794748</v>
      </c>
      <c r="AK15" s="58">
        <v>379.31</v>
      </c>
      <c r="AL15" s="58">
        <f t="shared" ca="1" si="5"/>
        <v>-107.12608405794748</v>
      </c>
      <c r="AM15" s="58"/>
      <c r="AN15" s="58"/>
      <c r="AO15" s="82" t="s">
        <v>1017</v>
      </c>
    </row>
    <row r="16" spans="1:41" ht="11.25" customHeight="1" x14ac:dyDescent="0.3">
      <c r="A16" s="133"/>
      <c r="B16" s="133"/>
      <c r="C16" s="133"/>
      <c r="D16" s="133"/>
      <c r="E16" s="133"/>
      <c r="F16" s="133"/>
      <c r="G16" s="23" t="s">
        <v>90</v>
      </c>
      <c r="H16" s="23" t="s">
        <v>78</v>
      </c>
      <c r="I16" s="23">
        <f>'MERCADO TE'!$U$13</f>
        <v>10.9</v>
      </c>
      <c r="J16" s="15"/>
      <c r="L16" s="20">
        <f>'TE BE'!$L$16*'TE BE'!$L$56</f>
        <v>1.9061118106308186E-7</v>
      </c>
      <c r="M16" s="20">
        <f>'TE BE'!$M$16*'TE BE'!$M$56</f>
        <v>3.6087573256368892</v>
      </c>
      <c r="N16" s="20">
        <f>'TE BE'!$N$16*'TE BE'!$N$56</f>
        <v>-1.0383424417631652E-2</v>
      </c>
      <c r="O16" s="20">
        <f>'TE BE'!$O$16*'TE BE'!$O$56</f>
        <v>-1.1358491858510187</v>
      </c>
      <c r="P16" s="20">
        <f>'TE BE'!$P$16*'TE BE'!$P$56</f>
        <v>0</v>
      </c>
      <c r="Q16" s="20">
        <f>SUM($L$16:$P$16)</f>
        <v>2.4625249059794196</v>
      </c>
      <c r="R16" s="20">
        <f>'TE BE'!$R$16*'TE BE'!$R$56</f>
        <v>93.190512994038514</v>
      </c>
      <c r="S16" s="20">
        <f>SUM($R$16:$R$16)</f>
        <v>93.190512994038514</v>
      </c>
      <c r="T16" s="20">
        <f>'TE BE'!$T$16*'TE BE'!$T$56</f>
        <v>-0.77596165610372048</v>
      </c>
      <c r="U16" s="20">
        <f>'TE BE'!$U$16*'TE BE'!$U$56</f>
        <v>7.7838382005741613E-2</v>
      </c>
      <c r="V16" s="20">
        <f>'TE BE'!$V$16*'TE BE'!$V$56</f>
        <v>0</v>
      </c>
      <c r="W16" s="20">
        <f>SUM($T$16:$V$16)</f>
        <v>-0.69812327409797881</v>
      </c>
      <c r="X16" s="20">
        <f>'TE BE'!$AB$16*'TE BE'!$X$56</f>
        <v>0</v>
      </c>
      <c r="Y16" s="20">
        <f>SUM($X$16:$X$16)</f>
        <v>0</v>
      </c>
      <c r="Z16" s="20">
        <f>'TE BE'!$Z$16*'TE BE'!$Z$56</f>
        <v>1.5316496487675368</v>
      </c>
      <c r="AA16" s="20">
        <f>SUM($Z$16:$Z$16)</f>
        <v>1.5316496487675368</v>
      </c>
      <c r="AB16" s="20">
        <f ca="1">SUMIF($L$4:$AA$4,"SUBTOTAL",$L$16:$AA$16)+AL16</f>
        <v>28.996013847506148</v>
      </c>
      <c r="AC16" s="9" t="str">
        <f t="shared" si="0"/>
        <v>B1</v>
      </c>
      <c r="AD16" s="9" t="str">
        <f t="shared" si="1"/>
        <v>Energia horária</v>
      </c>
      <c r="AE16" s="9" t="str">
        <f t="shared" si="2"/>
        <v>Residencial</v>
      </c>
      <c r="AF16" s="9" t="str">
        <f t="shared" si="3"/>
        <v>Residencial</v>
      </c>
      <c r="AG16" s="9" t="str">
        <f t="shared" si="4"/>
        <v>Não se aplica</v>
      </c>
      <c r="AH16" s="58">
        <v>1</v>
      </c>
      <c r="AI16" s="58">
        <f ca="1">TarifaMedia!$G$52</f>
        <v>1</v>
      </c>
      <c r="AJ16" s="23">
        <f>'TE BE'!$AB16+'TE BF'!$AB16+'TE CVA'!$AB16</f>
        <v>299.18055042718134</v>
      </c>
      <c r="AK16" s="58">
        <v>231.69</v>
      </c>
      <c r="AL16" s="58">
        <f t="shared" ca="1" si="5"/>
        <v>-67.490550427181347</v>
      </c>
      <c r="AM16" s="58"/>
      <c r="AN16" s="58"/>
      <c r="AO16" s="82" t="s">
        <v>1018</v>
      </c>
    </row>
    <row r="17" spans="1:41" ht="11.25" customHeight="1" x14ac:dyDescent="0.3">
      <c r="A17" s="133"/>
      <c r="B17" s="133"/>
      <c r="C17" s="133"/>
      <c r="D17" s="133"/>
      <c r="E17" s="133"/>
      <c r="F17" s="133"/>
      <c r="G17" s="23" t="s">
        <v>80</v>
      </c>
      <c r="H17" s="23" t="s">
        <v>78</v>
      </c>
      <c r="I17" s="23">
        <f>'MERCADO TE'!$U$14</f>
        <v>127.76599999999999</v>
      </c>
      <c r="J17" s="15"/>
      <c r="L17" s="20">
        <f>'TE BE'!$L$17*'TE BE'!$L$56</f>
        <v>1.9061118106308186E-7</v>
      </c>
      <c r="M17" s="20">
        <f>'TE BE'!$M$17*'TE BE'!$M$56</f>
        <v>3.6087573256368892</v>
      </c>
      <c r="N17" s="20">
        <f>'TE BE'!$N$17*'TE BE'!$N$56</f>
        <v>-1.0383424417631652E-2</v>
      </c>
      <c r="O17" s="20">
        <f>'TE BE'!$O$17*'TE BE'!$O$56</f>
        <v>-1.1358491858510187</v>
      </c>
      <c r="P17" s="20">
        <f>'TE BE'!$P$17*'TE BE'!$P$56</f>
        <v>0</v>
      </c>
      <c r="Q17" s="20">
        <f>SUM($L$17:$P$17)</f>
        <v>2.4625249059794196</v>
      </c>
      <c r="R17" s="20">
        <f>'TE BE'!$R$17*'TE BE'!$R$56</f>
        <v>93.190512994038514</v>
      </c>
      <c r="S17" s="20">
        <f>SUM($R$17:$R$17)</f>
        <v>93.190512994038514</v>
      </c>
      <c r="T17" s="20">
        <f>'TE BE'!$T$17*'TE BE'!$T$56</f>
        <v>-0.77596165610372048</v>
      </c>
      <c r="U17" s="20">
        <f>'TE BE'!$U$17*'TE BE'!$U$56</f>
        <v>7.7838382005741613E-2</v>
      </c>
      <c r="V17" s="20">
        <f>'TE BE'!$V$17*'TE BE'!$V$56</f>
        <v>0</v>
      </c>
      <c r="W17" s="20">
        <f>SUM($T$17:$V$17)</f>
        <v>-0.69812327409797881</v>
      </c>
      <c r="X17" s="20">
        <f>'TE BE'!$AB$17*'TE BE'!$X$56</f>
        <v>0</v>
      </c>
      <c r="Y17" s="20">
        <f>SUM($X$17:$X$17)</f>
        <v>0</v>
      </c>
      <c r="Z17" s="20">
        <f>'TE BE'!$Z$17*'TE BE'!$Z$56</f>
        <v>1.5316496487675368</v>
      </c>
      <c r="AA17" s="20">
        <f>SUM($Z$17:$Z$17)</f>
        <v>1.5316496487675368</v>
      </c>
      <c r="AB17" s="20">
        <f ca="1">SUMIF($L$4:$AA$4,"SUBTOTAL",$L$17:$AA$17)+AL17</f>
        <v>28.996013847506148</v>
      </c>
      <c r="AC17" s="9" t="str">
        <f t="shared" si="0"/>
        <v>B1</v>
      </c>
      <c r="AD17" s="9" t="str">
        <f t="shared" si="1"/>
        <v>Energia horária</v>
      </c>
      <c r="AE17" s="9" t="str">
        <f t="shared" si="2"/>
        <v>Residencial</v>
      </c>
      <c r="AF17" s="9" t="str">
        <f t="shared" si="3"/>
        <v>Residencial</v>
      </c>
      <c r="AG17" s="9" t="str">
        <f t="shared" si="4"/>
        <v>Não se aplica</v>
      </c>
      <c r="AH17" s="58">
        <v>1</v>
      </c>
      <c r="AI17" s="58">
        <f ca="1">TarifaMedia!$G$52</f>
        <v>1</v>
      </c>
      <c r="AJ17" s="23">
        <f>'TE BE'!$AB17+'TE BF'!$AB17+'TE CVA'!$AB17</f>
        <v>299.18055042718134</v>
      </c>
      <c r="AK17" s="58">
        <v>231.69</v>
      </c>
      <c r="AL17" s="58">
        <f t="shared" ca="1" si="5"/>
        <v>-67.490550427181347</v>
      </c>
      <c r="AM17" s="58"/>
      <c r="AN17" s="58"/>
      <c r="AO17" s="82" t="s">
        <v>1019</v>
      </c>
    </row>
    <row r="18" spans="1:41" ht="11.25" customHeight="1" x14ac:dyDescent="0.3">
      <c r="A18" s="133"/>
      <c r="B18" s="133" t="s">
        <v>86</v>
      </c>
      <c r="C18" s="133" t="s">
        <v>24</v>
      </c>
      <c r="D18" s="22" t="s">
        <v>24</v>
      </c>
      <c r="E18" s="22" t="s">
        <v>25</v>
      </c>
      <c r="F18" s="22" t="s">
        <v>25</v>
      </c>
      <c r="G18" s="23" t="s">
        <v>84</v>
      </c>
      <c r="H18" s="23" t="s">
        <v>78</v>
      </c>
      <c r="I18" s="23">
        <f>'MERCADO TE'!$U$15</f>
        <v>126554.92199999999</v>
      </c>
      <c r="J18" s="15"/>
      <c r="L18" s="20">
        <f>'TE BE'!$L$18*'TE BE'!$L$56</f>
        <v>1.9061118106308186E-7</v>
      </c>
      <c r="M18" s="20">
        <f>'TE BE'!$M$18*'TE BE'!$M$56</f>
        <v>3.6087573256368892</v>
      </c>
      <c r="N18" s="20">
        <f>'TE BE'!$N$18*'TE BE'!$N$56</f>
        <v>-1.0383424417631652E-2</v>
      </c>
      <c r="O18" s="20">
        <f>'TE BE'!$O$18*'TE BE'!$O$56</f>
        <v>-1.1358491858510187</v>
      </c>
      <c r="P18" s="20">
        <f>'TE BE'!$P$18*'TE BE'!$P$56</f>
        <v>0</v>
      </c>
      <c r="Q18" s="20">
        <f>SUM($L$18:$P$18)</f>
        <v>2.4625249059794196</v>
      </c>
      <c r="R18" s="20">
        <f>'TE BE'!$R$18*'TE BE'!$R$56</f>
        <v>98.781943773680837</v>
      </c>
      <c r="S18" s="20">
        <f>SUM($R$18:$R$18)</f>
        <v>98.781943773680837</v>
      </c>
      <c r="T18" s="20">
        <f>'TE BE'!$T$18*'TE BE'!$T$56</f>
        <v>-0.77596165610372048</v>
      </c>
      <c r="U18" s="20">
        <f>'TE BE'!$U$18*'TE BE'!$U$56</f>
        <v>7.7838382005741613E-2</v>
      </c>
      <c r="V18" s="20">
        <f>'TE BE'!$V$18*'TE BE'!$V$56</f>
        <v>0</v>
      </c>
      <c r="W18" s="20">
        <f>SUM($T$18:$V$18)</f>
        <v>-0.69812327409797881</v>
      </c>
      <c r="X18" s="20">
        <f>'TE BE'!$AB$18*'TE BE'!$X$56</f>
        <v>0</v>
      </c>
      <c r="Y18" s="20">
        <f>SUM($X$18:$X$18)</f>
        <v>0</v>
      </c>
      <c r="Z18" s="20">
        <f>'TE BE'!$Z$18*'TE BE'!$Z$56</f>
        <v>1.5316496487675368</v>
      </c>
      <c r="AA18" s="20">
        <f>SUM($Z$18:$Z$18)</f>
        <v>1.5316496487675368</v>
      </c>
      <c r="AB18" s="20">
        <f ca="1">SUMIF($L$4:$AA$4,"SUBTOTAL",$L$18:$AA$18)+AL18</f>
        <v>31.292816824584605</v>
      </c>
      <c r="AC18" s="9" t="str">
        <f t="shared" si="0"/>
        <v>B1</v>
      </c>
      <c r="AD18" s="9" t="str">
        <f t="shared" si="1"/>
        <v>Energia convencional</v>
      </c>
      <c r="AE18" s="9" t="str">
        <f t="shared" si="2"/>
        <v>Residencial</v>
      </c>
      <c r="AF18" s="9" t="str">
        <f t="shared" si="3"/>
        <v>Residencial</v>
      </c>
      <c r="AG18" s="9" t="str">
        <f t="shared" si="4"/>
        <v>Não se aplica</v>
      </c>
      <c r="AH18" s="58">
        <v>1</v>
      </c>
      <c r="AI18" s="58">
        <f ca="1">TarifaMedia!$G$52</f>
        <v>1</v>
      </c>
      <c r="AJ18" s="23">
        <f>'TE BE'!$AB18+'TE BF'!$AB18+'TE CVA'!$AB18</f>
        <v>314.78517822974521</v>
      </c>
      <c r="AK18" s="58">
        <v>244</v>
      </c>
      <c r="AL18" s="58">
        <f t="shared" ca="1" si="5"/>
        <v>-70.785178229745213</v>
      </c>
      <c r="AM18" s="58"/>
      <c r="AN18" s="58"/>
      <c r="AO18" s="82" t="s">
        <v>1020</v>
      </c>
    </row>
    <row r="19" spans="1:41" ht="11.25" customHeight="1" x14ac:dyDescent="0.3">
      <c r="A19" s="133"/>
      <c r="B19" s="133"/>
      <c r="C19" s="133"/>
      <c r="D19" s="22" t="s">
        <v>29</v>
      </c>
      <c r="E19" s="22" t="s">
        <v>25</v>
      </c>
      <c r="F19" s="22" t="s">
        <v>25</v>
      </c>
      <c r="G19" s="23" t="s">
        <v>84</v>
      </c>
      <c r="H19" s="23" t="s">
        <v>78</v>
      </c>
      <c r="I19" s="23">
        <f>'MERCADO TE'!$U$16</f>
        <v>2163.31</v>
      </c>
      <c r="J19" s="15"/>
      <c r="L19" s="20">
        <f>'TE BE'!$L$19*'TE BE'!$L$56</f>
        <v>1.9061118106308186E-7</v>
      </c>
      <c r="M19" s="20">
        <f>'TE BE'!$M$19*'TE BE'!$M$56</f>
        <v>3.6087573256368892</v>
      </c>
      <c r="N19" s="20">
        <f>'TE BE'!$N$19*'TE BE'!$N$56</f>
        <v>-1.0383424417631652E-2</v>
      </c>
      <c r="O19" s="20">
        <f>'TE BE'!$O$19*'TE BE'!$O$56</f>
        <v>-1.1358491858510187</v>
      </c>
      <c r="P19" s="20">
        <f>'TE BE'!$P$19*'TE BE'!$P$56</f>
        <v>0</v>
      </c>
      <c r="Q19" s="20">
        <f>SUM($L$19:$P$19)</f>
        <v>2.4625249059794196</v>
      </c>
      <c r="R19" s="20">
        <f>'TE BE'!$R$19*'TE BE'!$R$56</f>
        <v>98.781943773680837</v>
      </c>
      <c r="S19" s="20">
        <f>SUM($R$19:$R$19)</f>
        <v>98.781943773680837</v>
      </c>
      <c r="T19" s="20">
        <f>'TE BE'!$T$19*'TE BE'!$T$56</f>
        <v>-0.77596165610372048</v>
      </c>
      <c r="U19" s="20">
        <f>'TE BE'!$U$19*'TE BE'!$U$56</f>
        <v>7.7838382005741613E-2</v>
      </c>
      <c r="V19" s="20">
        <f>'TE BE'!$V$19*'TE BE'!$V$56</f>
        <v>0</v>
      </c>
      <c r="W19" s="20">
        <f>SUM($T$19:$V$19)</f>
        <v>-0.69812327409797881</v>
      </c>
      <c r="X19" s="20">
        <f>'TE BE'!$AB$19*'TE BE'!$X$56</f>
        <v>0</v>
      </c>
      <c r="Y19" s="20">
        <f>SUM($X$19:$X$19)</f>
        <v>0</v>
      </c>
      <c r="Z19" s="20">
        <f>'TE BE'!$Z$19*'TE BE'!$Z$56</f>
        <v>1.5316496487675368</v>
      </c>
      <c r="AA19" s="20">
        <f>SUM($Z$19:$Z$19)</f>
        <v>1.5316496487675368</v>
      </c>
      <c r="AB19" s="20">
        <f ca="1">SUMIF($L$4:$AA$4,"SUBTOTAL",$L$19:$AA$19)+AL19</f>
        <v>31.292816824584605</v>
      </c>
      <c r="AC19" s="9" t="str">
        <f t="shared" si="0"/>
        <v>B1</v>
      </c>
      <c r="AD19" s="9" t="str">
        <f t="shared" si="1"/>
        <v>Energia convencional</v>
      </c>
      <c r="AE19" s="9" t="str">
        <f t="shared" si="2"/>
        <v>Residencial</v>
      </c>
      <c r="AF19" s="9" t="str">
        <f t="shared" si="3"/>
        <v>Residencial baixa renda – faixa 01</v>
      </c>
      <c r="AG19" s="9" t="str">
        <f t="shared" si="4"/>
        <v>Não se aplica</v>
      </c>
      <c r="AH19" s="58">
        <v>1</v>
      </c>
      <c r="AI19" s="58">
        <f ca="1">TarifaMedia!$G$52</f>
        <v>1</v>
      </c>
      <c r="AJ19" s="23">
        <f>'TE BE'!$AB19+'TE BF'!$AB19+'TE CVA'!$AB19</f>
        <v>314.78517822974521</v>
      </c>
      <c r="AK19" s="58">
        <v>244</v>
      </c>
      <c r="AL19" s="58">
        <f t="shared" ca="1" si="5"/>
        <v>-70.785178229745213</v>
      </c>
      <c r="AM19" s="58"/>
      <c r="AN19" s="58"/>
      <c r="AO19" s="82" t="s">
        <v>1021</v>
      </c>
    </row>
    <row r="20" spans="1:41" ht="11.25" customHeight="1" x14ac:dyDescent="0.3">
      <c r="A20" s="133"/>
      <c r="B20" s="133"/>
      <c r="C20" s="133"/>
      <c r="D20" s="22" t="s">
        <v>30</v>
      </c>
      <c r="E20" s="22" t="s">
        <v>25</v>
      </c>
      <c r="F20" s="22" t="s">
        <v>25</v>
      </c>
      <c r="G20" s="23" t="s">
        <v>84</v>
      </c>
      <c r="H20" s="23" t="s">
        <v>78</v>
      </c>
      <c r="I20" s="23">
        <f>'MERCADO TE'!$U$17</f>
        <v>4329.2419999999993</v>
      </c>
      <c r="J20" s="15"/>
      <c r="L20" s="20">
        <f>'TE BE'!$L$20*'TE BE'!$L$56</f>
        <v>1.9061118106308186E-7</v>
      </c>
      <c r="M20" s="20">
        <f>'TE BE'!$M$20*'TE BE'!$M$56</f>
        <v>3.6087573256368892</v>
      </c>
      <c r="N20" s="20">
        <f>'TE BE'!$N$20*'TE BE'!$N$56</f>
        <v>-1.0383424417631652E-2</v>
      </c>
      <c r="O20" s="20">
        <f>'TE BE'!$O$20*'TE BE'!$O$56</f>
        <v>-1.1358491858510187</v>
      </c>
      <c r="P20" s="20">
        <f>'TE BE'!$P$20*'TE BE'!$P$56</f>
        <v>0</v>
      </c>
      <c r="Q20" s="20">
        <f>SUM($L$20:$P$20)</f>
        <v>2.4625249059794196</v>
      </c>
      <c r="R20" s="20">
        <f>'TE BE'!$R$20*'TE BE'!$R$56</f>
        <v>98.781943773680837</v>
      </c>
      <c r="S20" s="20">
        <f>SUM($R$20:$R$20)</f>
        <v>98.781943773680837</v>
      </c>
      <c r="T20" s="20">
        <f>'TE BE'!$T$20*'TE BE'!$T$56</f>
        <v>-0.77596165610372048</v>
      </c>
      <c r="U20" s="20">
        <f>'TE BE'!$U$20*'TE BE'!$U$56</f>
        <v>7.7838382005741613E-2</v>
      </c>
      <c r="V20" s="20">
        <f>'TE BE'!$V$20*'TE BE'!$V$56</f>
        <v>0</v>
      </c>
      <c r="W20" s="20">
        <f>SUM($T$20:$V$20)</f>
        <v>-0.69812327409797881</v>
      </c>
      <c r="X20" s="20">
        <f>'TE BE'!$AB$20*'TE BE'!$X$56</f>
        <v>0</v>
      </c>
      <c r="Y20" s="20">
        <f>SUM($X$20:$X$20)</f>
        <v>0</v>
      </c>
      <c r="Z20" s="20">
        <f>'TE BE'!$Z$20*'TE BE'!$Z$56</f>
        <v>1.5316496487675368</v>
      </c>
      <c r="AA20" s="20">
        <f>SUM($Z$20:$Z$20)</f>
        <v>1.5316496487675368</v>
      </c>
      <c r="AB20" s="20">
        <f ca="1">SUMIF($L$4:$AA$4,"SUBTOTAL",$L$20:$AA$20)+AL20</f>
        <v>31.292816824584605</v>
      </c>
      <c r="AC20" s="9" t="str">
        <f t="shared" si="0"/>
        <v>B1</v>
      </c>
      <c r="AD20" s="9" t="str">
        <f t="shared" si="1"/>
        <v>Energia convencional</v>
      </c>
      <c r="AE20" s="9" t="str">
        <f t="shared" si="2"/>
        <v>Residencial</v>
      </c>
      <c r="AF20" s="9" t="str">
        <f t="shared" si="3"/>
        <v>Residencial baixa renda – faixa 02</v>
      </c>
      <c r="AG20" s="9" t="str">
        <f t="shared" si="4"/>
        <v>Não se aplica</v>
      </c>
      <c r="AH20" s="58">
        <v>1</v>
      </c>
      <c r="AI20" s="58">
        <f ca="1">TarifaMedia!$G$52</f>
        <v>1</v>
      </c>
      <c r="AJ20" s="23">
        <f>'TE BE'!$AB20+'TE BF'!$AB20+'TE CVA'!$AB20</f>
        <v>314.78517822974521</v>
      </c>
      <c r="AK20" s="58">
        <v>244</v>
      </c>
      <c r="AL20" s="58">
        <f t="shared" ca="1" si="5"/>
        <v>-70.785178229745213</v>
      </c>
      <c r="AM20" s="58"/>
      <c r="AN20" s="58"/>
      <c r="AO20" s="82" t="s">
        <v>1021</v>
      </c>
    </row>
    <row r="21" spans="1:41" ht="11.25" customHeight="1" x14ac:dyDescent="0.3">
      <c r="A21" s="133"/>
      <c r="B21" s="133"/>
      <c r="C21" s="133"/>
      <c r="D21" s="22" t="s">
        <v>31</v>
      </c>
      <c r="E21" s="22" t="s">
        <v>25</v>
      </c>
      <c r="F21" s="22" t="s">
        <v>25</v>
      </c>
      <c r="G21" s="23" t="s">
        <v>84</v>
      </c>
      <c r="H21" s="23" t="s">
        <v>78</v>
      </c>
      <c r="I21" s="23">
        <f>'MERCADO TE'!$U$18</f>
        <v>3237.8510000000001</v>
      </c>
      <c r="J21" s="15"/>
      <c r="L21" s="20">
        <f>'TE BE'!$L$21*'TE BE'!$L$56</f>
        <v>1.9061118106308186E-7</v>
      </c>
      <c r="M21" s="20">
        <f>'TE BE'!$M$21*'TE BE'!$M$56</f>
        <v>3.6087573256368892</v>
      </c>
      <c r="N21" s="20">
        <f>'TE BE'!$N$21*'TE BE'!$N$56</f>
        <v>-1.0383424417631652E-2</v>
      </c>
      <c r="O21" s="20">
        <f>'TE BE'!$O$21*'TE BE'!$O$56</f>
        <v>-1.1358491858510187</v>
      </c>
      <c r="P21" s="20">
        <f>'TE BE'!$P$21*'TE BE'!$P$56</f>
        <v>0</v>
      </c>
      <c r="Q21" s="20">
        <f>SUM($L$21:$P$21)</f>
        <v>2.4625249059794196</v>
      </c>
      <c r="R21" s="20">
        <f>'TE BE'!$R$21*'TE BE'!$R$56</f>
        <v>98.781943773680837</v>
      </c>
      <c r="S21" s="20">
        <f>SUM($R$21:$R$21)</f>
        <v>98.781943773680837</v>
      </c>
      <c r="T21" s="20">
        <f>'TE BE'!$T$21*'TE BE'!$T$56</f>
        <v>-0.77596165610372048</v>
      </c>
      <c r="U21" s="20">
        <f>'TE BE'!$U$21*'TE BE'!$U$56</f>
        <v>7.7838382005741613E-2</v>
      </c>
      <c r="V21" s="20">
        <f>'TE BE'!$V$21*'TE BE'!$V$56</f>
        <v>0</v>
      </c>
      <c r="W21" s="20">
        <f>SUM($T$21:$V$21)</f>
        <v>-0.69812327409797881</v>
      </c>
      <c r="X21" s="20">
        <f>'TE BE'!$AB$21*'TE BE'!$X$56</f>
        <v>0</v>
      </c>
      <c r="Y21" s="20">
        <f>SUM($X$21:$X$21)</f>
        <v>0</v>
      </c>
      <c r="Z21" s="20">
        <f>'TE BE'!$Z$21*'TE BE'!$Z$56</f>
        <v>1.5316496487675368</v>
      </c>
      <c r="AA21" s="20">
        <f>SUM($Z$21:$Z$21)</f>
        <v>1.5316496487675368</v>
      </c>
      <c r="AB21" s="20">
        <f ca="1">SUMIF($L$4:$AA$4,"SUBTOTAL",$L$21:$AA$21)+AL21</f>
        <v>31.292816824584605</v>
      </c>
      <c r="AC21" s="9" t="str">
        <f t="shared" si="0"/>
        <v>B1</v>
      </c>
      <c r="AD21" s="9" t="str">
        <f t="shared" si="1"/>
        <v>Energia convencional</v>
      </c>
      <c r="AE21" s="9" t="str">
        <f t="shared" si="2"/>
        <v>Residencial</v>
      </c>
      <c r="AF21" s="9" t="str">
        <f t="shared" si="3"/>
        <v>Residencial baixa renda – faixa 03</v>
      </c>
      <c r="AG21" s="9" t="str">
        <f t="shared" si="4"/>
        <v>Não se aplica</v>
      </c>
      <c r="AH21" s="58">
        <v>1</v>
      </c>
      <c r="AI21" s="58">
        <f ca="1">TarifaMedia!$G$52</f>
        <v>1</v>
      </c>
      <c r="AJ21" s="23">
        <f>'TE BE'!$AB21+'TE BF'!$AB21+'TE CVA'!$AB21</f>
        <v>314.78517822974521</v>
      </c>
      <c r="AK21" s="58">
        <v>244</v>
      </c>
      <c r="AL21" s="58">
        <f t="shared" ca="1" si="5"/>
        <v>-70.785178229745213</v>
      </c>
      <c r="AM21" s="58"/>
      <c r="AN21" s="58"/>
      <c r="AO21" s="82" t="s">
        <v>1021</v>
      </c>
    </row>
    <row r="22" spans="1:41" ht="11.25" customHeight="1" x14ac:dyDescent="0.3">
      <c r="A22" s="133"/>
      <c r="B22" s="133"/>
      <c r="C22" s="133"/>
      <c r="D22" s="22" t="s">
        <v>32</v>
      </c>
      <c r="E22" s="22" t="s">
        <v>25</v>
      </c>
      <c r="F22" s="22" t="s">
        <v>25</v>
      </c>
      <c r="G22" s="23" t="s">
        <v>84</v>
      </c>
      <c r="H22" s="23" t="s">
        <v>78</v>
      </c>
      <c r="I22" s="23">
        <f>'MERCADO TE'!$U$19</f>
        <v>633.93299999999999</v>
      </c>
      <c r="J22" s="15"/>
      <c r="L22" s="20">
        <f>'TE BE'!$L$22*'TE BE'!$L$56</f>
        <v>1.9061118106308186E-7</v>
      </c>
      <c r="M22" s="20">
        <f>'TE BE'!$M$22*'TE BE'!$M$56</f>
        <v>3.6087573256368892</v>
      </c>
      <c r="N22" s="20">
        <f>'TE BE'!$N$22*'TE BE'!$N$56</f>
        <v>-1.0383424417631652E-2</v>
      </c>
      <c r="O22" s="20">
        <f>'TE BE'!$O$22*'TE BE'!$O$56</f>
        <v>-1.1358491858510187</v>
      </c>
      <c r="P22" s="20">
        <f>'TE BE'!$P$22*'TE BE'!$P$56</f>
        <v>0</v>
      </c>
      <c r="Q22" s="20">
        <f>SUM($L$22:$P$22)</f>
        <v>2.4625249059794196</v>
      </c>
      <c r="R22" s="20">
        <f>'TE BE'!$R$22*'TE BE'!$R$56</f>
        <v>98.781943773680837</v>
      </c>
      <c r="S22" s="20">
        <f>SUM($R$22:$R$22)</f>
        <v>98.781943773680837</v>
      </c>
      <c r="T22" s="20">
        <f>'TE BE'!$T$22*'TE BE'!$T$56</f>
        <v>-0.77596165610372048</v>
      </c>
      <c r="U22" s="20">
        <f>'TE BE'!$U$22*'TE BE'!$U$56</f>
        <v>7.7838382005741613E-2</v>
      </c>
      <c r="V22" s="20">
        <f>'TE BE'!$V$22*'TE BE'!$V$56</f>
        <v>0</v>
      </c>
      <c r="W22" s="20">
        <f>SUM($T$22:$V$22)</f>
        <v>-0.69812327409797881</v>
      </c>
      <c r="X22" s="20">
        <f>'TE BE'!$AB$22*'TE BE'!$X$56</f>
        <v>0</v>
      </c>
      <c r="Y22" s="20">
        <f>SUM($X$22:$X$22)</f>
        <v>0</v>
      </c>
      <c r="Z22" s="20">
        <f>'TE BE'!$Z$22*'TE BE'!$Z$56</f>
        <v>1.5316496487675368</v>
      </c>
      <c r="AA22" s="20">
        <f>SUM($Z$22:$Z$22)</f>
        <v>1.5316496487675368</v>
      </c>
      <c r="AB22" s="20">
        <f ca="1">SUMIF($L$4:$AA$4,"SUBTOTAL",$L$22:$AA$22)+AL22</f>
        <v>31.292816824584605</v>
      </c>
      <c r="AC22" s="9" t="str">
        <f t="shared" si="0"/>
        <v>B1</v>
      </c>
      <c r="AD22" s="9" t="str">
        <f t="shared" si="1"/>
        <v>Energia convencional</v>
      </c>
      <c r="AE22" s="9" t="str">
        <f t="shared" si="2"/>
        <v>Residencial</v>
      </c>
      <c r="AF22" s="9" t="str">
        <f t="shared" si="3"/>
        <v>Residencial baixa renda – faixa 04</v>
      </c>
      <c r="AG22" s="9" t="str">
        <f t="shared" si="4"/>
        <v>Não se aplica</v>
      </c>
      <c r="AH22" s="58">
        <v>1</v>
      </c>
      <c r="AI22" s="58">
        <f ca="1">TarifaMedia!$G$52</f>
        <v>1</v>
      </c>
      <c r="AJ22" s="23">
        <f>'TE BE'!$AB22+'TE BF'!$AB22+'TE CVA'!$AB22</f>
        <v>314.78517822974521</v>
      </c>
      <c r="AK22" s="58">
        <v>244</v>
      </c>
      <c r="AL22" s="58">
        <f t="shared" ca="1" si="5"/>
        <v>-70.785178229745213</v>
      </c>
      <c r="AM22" s="58"/>
      <c r="AN22" s="58"/>
      <c r="AO22" s="82" t="s">
        <v>1021</v>
      </c>
    </row>
    <row r="23" spans="1:41" ht="11.25" customHeight="1" x14ac:dyDescent="0.3">
      <c r="A23" s="133"/>
      <c r="B23" s="133" t="s">
        <v>91</v>
      </c>
      <c r="C23" s="133" t="s">
        <v>24</v>
      </c>
      <c r="D23" s="22" t="s">
        <v>24</v>
      </c>
      <c r="E23" s="22" t="s">
        <v>25</v>
      </c>
      <c r="F23" s="22" t="s">
        <v>25</v>
      </c>
      <c r="G23" s="23" t="s">
        <v>84</v>
      </c>
      <c r="H23" s="23" t="s">
        <v>78</v>
      </c>
      <c r="I23" s="23">
        <f>'MERCADO TE'!$U$20</f>
        <v>0</v>
      </c>
      <c r="J23" s="15"/>
      <c r="L23" s="20">
        <f>'TE BE'!$L$23*'TE BE'!$L$56</f>
        <v>1.9061118106308186E-7</v>
      </c>
      <c r="M23" s="20">
        <f>'TE BE'!$M$23*'TE BE'!$M$56</f>
        <v>3.6087573256368892</v>
      </c>
      <c r="N23" s="20">
        <f>'TE BE'!$N$23*'TE BE'!$N$56</f>
        <v>-1.0383424417631652E-2</v>
      </c>
      <c r="O23" s="20">
        <f>'TE BE'!$O$23*'TE BE'!$O$56</f>
        <v>-1.1358491858510187</v>
      </c>
      <c r="P23" s="20">
        <f>'TE BE'!$P$23*'TE BE'!$P$56</f>
        <v>0</v>
      </c>
      <c r="Q23" s="20">
        <f>SUM($L$23:$P$23)</f>
        <v>2.4625249059794196</v>
      </c>
      <c r="R23" s="20">
        <f>'TE BE'!$R$23*'TE BE'!$R$56</f>
        <v>98.781943773680837</v>
      </c>
      <c r="S23" s="20">
        <f>SUM($R$23:$R$23)</f>
        <v>98.781943773680837</v>
      </c>
      <c r="T23" s="20">
        <f>'TE BE'!$T$23*'TE BE'!$T$56</f>
        <v>-0.77596165610372048</v>
      </c>
      <c r="U23" s="20">
        <f>'TE BE'!$U$23*'TE BE'!$U$56</f>
        <v>7.7838382005741613E-2</v>
      </c>
      <c r="V23" s="20">
        <f>'TE BE'!$V$23*'TE BE'!$V$56</f>
        <v>0</v>
      </c>
      <c r="W23" s="20">
        <f>SUM($T$23:$V$23)</f>
        <v>-0.69812327409797881</v>
      </c>
      <c r="X23" s="20">
        <f>'TE BE'!$AB$23*'TE BE'!$X$56</f>
        <v>0</v>
      </c>
      <c r="Y23" s="20">
        <f>SUM($X$23:$X$23)</f>
        <v>0</v>
      </c>
      <c r="Z23" s="20">
        <f>'TE BE'!$Z$23*'TE BE'!$Z$56</f>
        <v>1.5316496487675368</v>
      </c>
      <c r="AA23" s="20">
        <f>SUM($Z$23:$Z$23)</f>
        <v>1.5316496487675368</v>
      </c>
      <c r="AB23" s="20">
        <f ca="1">SUMIF($L$4:$AA$4,"SUBTOTAL",$L$23:$AA$23)+AL23</f>
        <v>31.292816824584605</v>
      </c>
      <c r="AC23" s="9" t="str">
        <f t="shared" si="0"/>
        <v>B1</v>
      </c>
      <c r="AD23" s="9" t="str">
        <f t="shared" si="1"/>
        <v>Energia convencional pré-pagamento</v>
      </c>
      <c r="AE23" s="9" t="str">
        <f t="shared" si="2"/>
        <v>Residencial</v>
      </c>
      <c r="AF23" s="9" t="str">
        <f t="shared" si="3"/>
        <v>Residencial</v>
      </c>
      <c r="AG23" s="9" t="str">
        <f t="shared" si="4"/>
        <v>Não se aplica</v>
      </c>
      <c r="AH23" s="58">
        <v>1</v>
      </c>
      <c r="AI23" s="58">
        <f ca="1">TarifaMedia!$G$52</f>
        <v>1</v>
      </c>
      <c r="AJ23" s="23">
        <f>'TE BE'!$AB23+'TE BF'!$AB23+'TE CVA'!$AB23</f>
        <v>314.78517822974521</v>
      </c>
      <c r="AK23" s="58">
        <v>244</v>
      </c>
      <c r="AL23" s="58">
        <f t="shared" ca="1" si="5"/>
        <v>-70.785178229745213</v>
      </c>
      <c r="AM23" s="58"/>
      <c r="AN23" s="58"/>
      <c r="AO23" s="82" t="s">
        <v>1022</v>
      </c>
    </row>
    <row r="24" spans="1:41" ht="11.25" customHeight="1" x14ac:dyDescent="0.3">
      <c r="A24" s="133"/>
      <c r="B24" s="133"/>
      <c r="C24" s="133"/>
      <c r="D24" s="22" t="s">
        <v>29</v>
      </c>
      <c r="E24" s="22" t="s">
        <v>25</v>
      </c>
      <c r="F24" s="22" t="s">
        <v>25</v>
      </c>
      <c r="G24" s="23" t="s">
        <v>84</v>
      </c>
      <c r="H24" s="23" t="s">
        <v>78</v>
      </c>
      <c r="I24" s="23">
        <f>'MERCADO TE'!$U$21</f>
        <v>0</v>
      </c>
      <c r="J24" s="15"/>
      <c r="L24" s="20">
        <f>'TE BE'!$L$24*'TE BE'!$L$56</f>
        <v>1.9061118106308186E-7</v>
      </c>
      <c r="M24" s="20">
        <f>'TE BE'!$M$24*'TE BE'!$M$56</f>
        <v>3.6087573256368892</v>
      </c>
      <c r="N24" s="20">
        <f>'TE BE'!$N$24*'TE BE'!$N$56</f>
        <v>-1.0383424417631652E-2</v>
      </c>
      <c r="O24" s="20">
        <f>'TE BE'!$O$24*'TE BE'!$O$56</f>
        <v>-1.1358491858510187</v>
      </c>
      <c r="P24" s="20">
        <f>'TE BE'!$P$24*'TE BE'!$P$56</f>
        <v>0</v>
      </c>
      <c r="Q24" s="20">
        <f>SUM($L$24:$P$24)</f>
        <v>2.4625249059794196</v>
      </c>
      <c r="R24" s="20">
        <f>'TE BE'!$R$24*'TE BE'!$R$56</f>
        <v>98.781943773680837</v>
      </c>
      <c r="S24" s="20">
        <f>SUM($R$24:$R$24)</f>
        <v>98.781943773680837</v>
      </c>
      <c r="T24" s="20">
        <f>'TE BE'!$T$24*'TE BE'!$T$56</f>
        <v>-0.77596165610372048</v>
      </c>
      <c r="U24" s="20">
        <f>'TE BE'!$U$24*'TE BE'!$U$56</f>
        <v>7.7838382005741613E-2</v>
      </c>
      <c r="V24" s="20">
        <f>'TE BE'!$V$24*'TE BE'!$V$56</f>
        <v>0</v>
      </c>
      <c r="W24" s="20">
        <f>SUM($T$24:$V$24)</f>
        <v>-0.69812327409797881</v>
      </c>
      <c r="X24" s="20">
        <f>'TE BE'!$AB$24*'TE BE'!$X$56</f>
        <v>0</v>
      </c>
      <c r="Y24" s="20">
        <f>SUM($X$24:$X$24)</f>
        <v>0</v>
      </c>
      <c r="Z24" s="20">
        <f>'TE BE'!$Z$24*'TE BE'!$Z$56</f>
        <v>1.5316496487675368</v>
      </c>
      <c r="AA24" s="20">
        <f>SUM($Z$24:$Z$24)</f>
        <v>1.5316496487675368</v>
      </c>
      <c r="AB24" s="20">
        <f ca="1">SUMIF($L$4:$AA$4,"SUBTOTAL",$L$24:$AA$24)+AL24</f>
        <v>31.292816824584605</v>
      </c>
      <c r="AC24" s="9" t="str">
        <f t="shared" si="0"/>
        <v>B1</v>
      </c>
      <c r="AD24" s="9" t="str">
        <f t="shared" si="1"/>
        <v>Energia convencional pré-pagamento</v>
      </c>
      <c r="AE24" s="9" t="str">
        <f t="shared" si="2"/>
        <v>Residencial</v>
      </c>
      <c r="AF24" s="9" t="str">
        <f t="shared" si="3"/>
        <v>Residencial baixa renda – faixa 01</v>
      </c>
      <c r="AG24" s="9" t="str">
        <f t="shared" si="4"/>
        <v>Não se aplica</v>
      </c>
      <c r="AH24" s="58">
        <v>1</v>
      </c>
      <c r="AI24" s="58">
        <f ca="1">TarifaMedia!$G$52</f>
        <v>1</v>
      </c>
      <c r="AJ24" s="23">
        <f>'TE BE'!$AB24+'TE BF'!$AB24+'TE CVA'!$AB24</f>
        <v>314.78517822974521</v>
      </c>
      <c r="AK24" s="58">
        <v>244</v>
      </c>
      <c r="AL24" s="58">
        <f t="shared" ca="1" si="5"/>
        <v>-70.785178229745213</v>
      </c>
      <c r="AM24" s="58"/>
      <c r="AN24" s="58"/>
      <c r="AO24" s="82" t="s">
        <v>1023</v>
      </c>
    </row>
    <row r="25" spans="1:41" ht="11.25" customHeight="1" x14ac:dyDescent="0.3">
      <c r="A25" s="133"/>
      <c r="B25" s="133"/>
      <c r="C25" s="133"/>
      <c r="D25" s="22" t="s">
        <v>30</v>
      </c>
      <c r="E25" s="22" t="s">
        <v>25</v>
      </c>
      <c r="F25" s="22" t="s">
        <v>25</v>
      </c>
      <c r="G25" s="23" t="s">
        <v>84</v>
      </c>
      <c r="H25" s="23" t="s">
        <v>78</v>
      </c>
      <c r="I25" s="23">
        <f>'MERCADO TE'!$U$22</f>
        <v>0</v>
      </c>
      <c r="J25" s="15"/>
      <c r="L25" s="20">
        <f>'TE BE'!$L$25*'TE BE'!$L$56</f>
        <v>1.9061118106308186E-7</v>
      </c>
      <c r="M25" s="20">
        <f>'TE BE'!$M$25*'TE BE'!$M$56</f>
        <v>3.6087573256368892</v>
      </c>
      <c r="N25" s="20">
        <f>'TE BE'!$N$25*'TE BE'!$N$56</f>
        <v>-1.0383424417631652E-2</v>
      </c>
      <c r="O25" s="20">
        <f>'TE BE'!$O$25*'TE BE'!$O$56</f>
        <v>-1.1358491858510187</v>
      </c>
      <c r="P25" s="20">
        <f>'TE BE'!$P$25*'TE BE'!$P$56</f>
        <v>0</v>
      </c>
      <c r="Q25" s="20">
        <f>SUM($L$25:$P$25)</f>
        <v>2.4625249059794196</v>
      </c>
      <c r="R25" s="20">
        <f>'TE BE'!$R$25*'TE BE'!$R$56</f>
        <v>98.781943773680837</v>
      </c>
      <c r="S25" s="20">
        <f>SUM($R$25:$R$25)</f>
        <v>98.781943773680837</v>
      </c>
      <c r="T25" s="20">
        <f>'TE BE'!$T$25*'TE BE'!$T$56</f>
        <v>-0.77596165610372048</v>
      </c>
      <c r="U25" s="20">
        <f>'TE BE'!$U$25*'TE BE'!$U$56</f>
        <v>7.7838382005741613E-2</v>
      </c>
      <c r="V25" s="20">
        <f>'TE BE'!$V$25*'TE BE'!$V$56</f>
        <v>0</v>
      </c>
      <c r="W25" s="20">
        <f>SUM($T$25:$V$25)</f>
        <v>-0.69812327409797881</v>
      </c>
      <c r="X25" s="20">
        <f>'TE BE'!$AB$25*'TE BE'!$X$56</f>
        <v>0</v>
      </c>
      <c r="Y25" s="20">
        <f>SUM($X$25:$X$25)</f>
        <v>0</v>
      </c>
      <c r="Z25" s="20">
        <f>'TE BE'!$Z$25*'TE BE'!$Z$56</f>
        <v>1.5316496487675368</v>
      </c>
      <c r="AA25" s="20">
        <f>SUM($Z$25:$Z$25)</f>
        <v>1.5316496487675368</v>
      </c>
      <c r="AB25" s="20">
        <f ca="1">SUMIF($L$4:$AA$4,"SUBTOTAL",$L$25:$AA$25)+AL25</f>
        <v>31.292816824584605</v>
      </c>
      <c r="AC25" s="9" t="str">
        <f t="shared" si="0"/>
        <v>B1</v>
      </c>
      <c r="AD25" s="9" t="str">
        <f t="shared" si="1"/>
        <v>Energia convencional pré-pagamento</v>
      </c>
      <c r="AE25" s="9" t="str">
        <f t="shared" si="2"/>
        <v>Residencial</v>
      </c>
      <c r="AF25" s="9" t="str">
        <f t="shared" si="3"/>
        <v>Residencial baixa renda – faixa 02</v>
      </c>
      <c r="AG25" s="9" t="str">
        <f t="shared" si="4"/>
        <v>Não se aplica</v>
      </c>
      <c r="AH25" s="58">
        <v>1</v>
      </c>
      <c r="AI25" s="58">
        <f ca="1">TarifaMedia!$G$52</f>
        <v>1</v>
      </c>
      <c r="AJ25" s="23">
        <f>'TE BE'!$AB25+'TE BF'!$AB25+'TE CVA'!$AB25</f>
        <v>314.78517822974521</v>
      </c>
      <c r="AK25" s="58">
        <v>244</v>
      </c>
      <c r="AL25" s="58">
        <f t="shared" ca="1" si="5"/>
        <v>-70.785178229745213</v>
      </c>
      <c r="AM25" s="58"/>
      <c r="AN25" s="58"/>
      <c r="AO25" s="82" t="s">
        <v>1023</v>
      </c>
    </row>
    <row r="26" spans="1:41" ht="11.25" customHeight="1" x14ac:dyDescent="0.3">
      <c r="A26" s="133"/>
      <c r="B26" s="133"/>
      <c r="C26" s="133"/>
      <c r="D26" s="22" t="s">
        <v>31</v>
      </c>
      <c r="E26" s="22" t="s">
        <v>25</v>
      </c>
      <c r="F26" s="22" t="s">
        <v>25</v>
      </c>
      <c r="G26" s="23" t="s">
        <v>84</v>
      </c>
      <c r="H26" s="23" t="s">
        <v>78</v>
      </c>
      <c r="I26" s="23">
        <f>'MERCADO TE'!$U$23</f>
        <v>0</v>
      </c>
      <c r="J26" s="15"/>
      <c r="L26" s="20">
        <f>'TE BE'!$L$26*'TE BE'!$L$56</f>
        <v>1.9061118106308186E-7</v>
      </c>
      <c r="M26" s="20">
        <f>'TE BE'!$M$26*'TE BE'!$M$56</f>
        <v>3.6087573256368892</v>
      </c>
      <c r="N26" s="20">
        <f>'TE BE'!$N$26*'TE BE'!$N$56</f>
        <v>-1.0383424417631652E-2</v>
      </c>
      <c r="O26" s="20">
        <f>'TE BE'!$O$26*'TE BE'!$O$56</f>
        <v>-1.1358491858510187</v>
      </c>
      <c r="P26" s="20">
        <f>'TE BE'!$P$26*'TE BE'!$P$56</f>
        <v>0</v>
      </c>
      <c r="Q26" s="20">
        <f>SUM($L$26:$P$26)</f>
        <v>2.4625249059794196</v>
      </c>
      <c r="R26" s="20">
        <f>'TE BE'!$R$26*'TE BE'!$R$56</f>
        <v>98.781943773680837</v>
      </c>
      <c r="S26" s="20">
        <f>SUM($R$26:$R$26)</f>
        <v>98.781943773680837</v>
      </c>
      <c r="T26" s="20">
        <f>'TE BE'!$T$26*'TE BE'!$T$56</f>
        <v>-0.77596165610372048</v>
      </c>
      <c r="U26" s="20">
        <f>'TE BE'!$U$26*'TE BE'!$U$56</f>
        <v>7.7838382005741613E-2</v>
      </c>
      <c r="V26" s="20">
        <f>'TE BE'!$V$26*'TE BE'!$V$56</f>
        <v>0</v>
      </c>
      <c r="W26" s="20">
        <f>SUM($T$26:$V$26)</f>
        <v>-0.69812327409797881</v>
      </c>
      <c r="X26" s="20">
        <f>'TE BE'!$AB$26*'TE BE'!$X$56</f>
        <v>0</v>
      </c>
      <c r="Y26" s="20">
        <f>SUM($X$26:$X$26)</f>
        <v>0</v>
      </c>
      <c r="Z26" s="20">
        <f>'TE BE'!$Z$26*'TE BE'!$Z$56</f>
        <v>1.5316496487675368</v>
      </c>
      <c r="AA26" s="20">
        <f>SUM($Z$26:$Z$26)</f>
        <v>1.5316496487675368</v>
      </c>
      <c r="AB26" s="20">
        <f ca="1">SUMIF($L$4:$AA$4,"SUBTOTAL",$L$26:$AA$26)+AL26</f>
        <v>31.292816824584605</v>
      </c>
      <c r="AC26" s="9" t="str">
        <f t="shared" si="0"/>
        <v>B1</v>
      </c>
      <c r="AD26" s="9" t="str">
        <f t="shared" si="1"/>
        <v>Energia convencional pré-pagamento</v>
      </c>
      <c r="AE26" s="9" t="str">
        <f t="shared" si="2"/>
        <v>Residencial</v>
      </c>
      <c r="AF26" s="9" t="str">
        <f t="shared" si="3"/>
        <v>Residencial baixa renda – faixa 03</v>
      </c>
      <c r="AG26" s="9" t="str">
        <f t="shared" si="4"/>
        <v>Não se aplica</v>
      </c>
      <c r="AH26" s="58">
        <v>1</v>
      </c>
      <c r="AI26" s="58">
        <f ca="1">TarifaMedia!$G$52</f>
        <v>1</v>
      </c>
      <c r="AJ26" s="23">
        <f>'TE BE'!$AB26+'TE BF'!$AB26+'TE CVA'!$AB26</f>
        <v>314.78517822974521</v>
      </c>
      <c r="AK26" s="58">
        <v>244</v>
      </c>
      <c r="AL26" s="58">
        <f t="shared" ca="1" si="5"/>
        <v>-70.785178229745213</v>
      </c>
      <c r="AM26" s="58"/>
      <c r="AN26" s="58"/>
      <c r="AO26" s="82" t="s">
        <v>1023</v>
      </c>
    </row>
    <row r="27" spans="1:41" ht="11.25" customHeight="1" x14ac:dyDescent="0.3">
      <c r="A27" s="133"/>
      <c r="B27" s="133"/>
      <c r="C27" s="133"/>
      <c r="D27" s="22" t="s">
        <v>32</v>
      </c>
      <c r="E27" s="22" t="s">
        <v>25</v>
      </c>
      <c r="F27" s="22" t="s">
        <v>25</v>
      </c>
      <c r="G27" s="23" t="s">
        <v>84</v>
      </c>
      <c r="H27" s="23" t="s">
        <v>78</v>
      </c>
      <c r="I27" s="23">
        <f>'MERCADO TE'!$U$24</f>
        <v>0</v>
      </c>
      <c r="J27" s="15"/>
      <c r="L27" s="20">
        <f>'TE BE'!$L$27*'TE BE'!$L$56</f>
        <v>1.9061118106308186E-7</v>
      </c>
      <c r="M27" s="20">
        <f>'TE BE'!$M$27*'TE BE'!$M$56</f>
        <v>3.6087573256368892</v>
      </c>
      <c r="N27" s="20">
        <f>'TE BE'!$N$27*'TE BE'!$N$56</f>
        <v>-1.0383424417631652E-2</v>
      </c>
      <c r="O27" s="20">
        <f>'TE BE'!$O$27*'TE BE'!$O$56</f>
        <v>-1.1358491858510187</v>
      </c>
      <c r="P27" s="20">
        <f>'TE BE'!$P$27*'TE BE'!$P$56</f>
        <v>0</v>
      </c>
      <c r="Q27" s="20">
        <f>SUM($L$27:$P$27)</f>
        <v>2.4625249059794196</v>
      </c>
      <c r="R27" s="20">
        <f>'TE BE'!$R$27*'TE BE'!$R$56</f>
        <v>98.781943773680837</v>
      </c>
      <c r="S27" s="20">
        <f>SUM($R$27:$R$27)</f>
        <v>98.781943773680837</v>
      </c>
      <c r="T27" s="20">
        <f>'TE BE'!$T$27*'TE BE'!$T$56</f>
        <v>-0.77596165610372048</v>
      </c>
      <c r="U27" s="20">
        <f>'TE BE'!$U$27*'TE BE'!$U$56</f>
        <v>7.7838382005741613E-2</v>
      </c>
      <c r="V27" s="20">
        <f>'TE BE'!$V$27*'TE BE'!$V$56</f>
        <v>0</v>
      </c>
      <c r="W27" s="20">
        <f>SUM($T$27:$V$27)</f>
        <v>-0.69812327409797881</v>
      </c>
      <c r="X27" s="20">
        <f>'TE BE'!$AB$27*'TE BE'!$X$56</f>
        <v>0</v>
      </c>
      <c r="Y27" s="20">
        <f>SUM($X$27:$X$27)</f>
        <v>0</v>
      </c>
      <c r="Z27" s="20">
        <f>'TE BE'!$Z$27*'TE BE'!$Z$56</f>
        <v>1.5316496487675368</v>
      </c>
      <c r="AA27" s="20">
        <f>SUM($Z$27:$Z$27)</f>
        <v>1.5316496487675368</v>
      </c>
      <c r="AB27" s="20">
        <f ca="1">SUMIF($L$4:$AA$4,"SUBTOTAL",$L$27:$AA$27)+AL27</f>
        <v>31.292816824584605</v>
      </c>
      <c r="AC27" s="9" t="str">
        <f t="shared" si="0"/>
        <v>B1</v>
      </c>
      <c r="AD27" s="9" t="str">
        <f t="shared" si="1"/>
        <v>Energia convencional pré-pagamento</v>
      </c>
      <c r="AE27" s="9" t="str">
        <f t="shared" si="2"/>
        <v>Residencial</v>
      </c>
      <c r="AF27" s="9" t="str">
        <f t="shared" si="3"/>
        <v>Residencial baixa renda – faixa 04</v>
      </c>
      <c r="AG27" s="9" t="str">
        <f t="shared" si="4"/>
        <v>Não se aplica</v>
      </c>
      <c r="AH27" s="58">
        <v>1</v>
      </c>
      <c r="AI27" s="58">
        <f ca="1">TarifaMedia!$G$52</f>
        <v>1</v>
      </c>
      <c r="AJ27" s="23">
        <f>'TE BE'!$AB27+'TE BF'!$AB27+'TE CVA'!$AB27</f>
        <v>314.78517822974521</v>
      </c>
      <c r="AK27" s="58">
        <v>244</v>
      </c>
      <c r="AL27" s="58">
        <f t="shared" ca="1" si="5"/>
        <v>-70.785178229745213</v>
      </c>
      <c r="AM27" s="58"/>
      <c r="AN27" s="58"/>
      <c r="AO27" s="82" t="s">
        <v>1023</v>
      </c>
    </row>
    <row r="28" spans="1:41" ht="11.25" customHeight="1" x14ac:dyDescent="0.3">
      <c r="A28" s="133" t="s">
        <v>44</v>
      </c>
      <c r="B28" s="133" t="s">
        <v>77</v>
      </c>
      <c r="C28" s="133" t="s">
        <v>45</v>
      </c>
      <c r="D28" s="133" t="s">
        <v>25</v>
      </c>
      <c r="E28" s="133" t="s">
        <v>25</v>
      </c>
      <c r="F28" s="133" t="s">
        <v>25</v>
      </c>
      <c r="G28" s="23" t="s">
        <v>79</v>
      </c>
      <c r="H28" s="23" t="s">
        <v>78</v>
      </c>
      <c r="I28" s="23">
        <f>'MERCADO TE'!$U$25</f>
        <v>0</v>
      </c>
      <c r="J28" s="15"/>
      <c r="L28" s="20">
        <f>'TE BE'!$L$28*'TE BE'!$L$56</f>
        <v>1.9061118106308186E-7</v>
      </c>
      <c r="M28" s="20">
        <f>'TE BE'!$M$28*'TE BE'!$M$56</f>
        <v>3.6087573256368892</v>
      </c>
      <c r="N28" s="20">
        <f>'TE BE'!$N$28*'TE BE'!$N$56</f>
        <v>-1.0383424417631652E-2</v>
      </c>
      <c r="O28" s="20">
        <f>'TE BE'!$O$28*'TE BE'!$O$56</f>
        <v>-1.1358491858510187</v>
      </c>
      <c r="P28" s="20">
        <f>'TE BE'!$P$28*'TE BE'!$P$56</f>
        <v>0</v>
      </c>
      <c r="Q28" s="20">
        <f>SUM($L$28:$P$28)</f>
        <v>2.4625249059794196</v>
      </c>
      <c r="R28" s="20">
        <f>'TE BE'!$R$28*'TE BE'!$R$56</f>
        <v>160.28768234974626</v>
      </c>
      <c r="S28" s="20">
        <f>SUM($R$28:$R$28)</f>
        <v>160.28768234974626</v>
      </c>
      <c r="T28" s="20">
        <f>'TE BE'!$T$28*'TE BE'!$T$56</f>
        <v>-0.77596165610372048</v>
      </c>
      <c r="U28" s="20">
        <f>'TE BE'!$U$28*'TE BE'!$U$56</f>
        <v>7.7838382005741613E-2</v>
      </c>
      <c r="V28" s="20">
        <f>'TE BE'!$V$28*'TE BE'!$V$56</f>
        <v>0</v>
      </c>
      <c r="W28" s="20">
        <f>SUM($T$28:$V$28)</f>
        <v>-0.69812327409797881</v>
      </c>
      <c r="X28" s="20">
        <f>'TE BE'!$AB$28*'TE BE'!$X$56</f>
        <v>0</v>
      </c>
      <c r="Y28" s="20">
        <f>SUM($X$28:$X$28)</f>
        <v>0</v>
      </c>
      <c r="Z28" s="20">
        <f>'TE BE'!$Z$28*'TE BE'!$Z$56</f>
        <v>1.5316496487675368</v>
      </c>
      <c r="AA28" s="20">
        <f>SUM($Z$28:$Z$28)</f>
        <v>1.5316496487675368</v>
      </c>
      <c r="AB28" s="20">
        <f ca="1">SUMIF($L$4:$AA$4,"SUBTOTAL",$L$28:$AA$28)+AL28</f>
        <v>56.457649572447764</v>
      </c>
      <c r="AC28" s="9" t="str">
        <f t="shared" si="0"/>
        <v>B2</v>
      </c>
      <c r="AD28" s="9" t="str">
        <f t="shared" si="1"/>
        <v>Energia horária</v>
      </c>
      <c r="AE28" s="9" t="str">
        <f t="shared" si="2"/>
        <v>Rural</v>
      </c>
      <c r="AF28" s="9" t="str">
        <f t="shared" si="3"/>
        <v>Não se aplica</v>
      </c>
      <c r="AG28" s="9" t="str">
        <f t="shared" si="4"/>
        <v>Não se aplica</v>
      </c>
      <c r="AH28" s="58">
        <v>1</v>
      </c>
      <c r="AI28" s="58">
        <f ca="1">TarifaMedia!$G$52</f>
        <v>1</v>
      </c>
      <c r="AJ28" s="23">
        <f>'TE BE'!$AB28+'TE BF'!$AB28+'TE CVA'!$AB28</f>
        <v>486.43608405794748</v>
      </c>
      <c r="AK28" s="58">
        <f>ROUND(356.55/(1-CUSTOS!$M$38),2)</f>
        <v>379.31</v>
      </c>
      <c r="AL28" s="58">
        <f t="shared" ca="1" si="5"/>
        <v>-107.12608405794748</v>
      </c>
      <c r="AM28" s="58"/>
      <c r="AN28" s="58"/>
      <c r="AO28" s="82" t="s">
        <v>1024</v>
      </c>
    </row>
    <row r="29" spans="1:41" ht="11.25" customHeight="1" x14ac:dyDescent="0.3">
      <c r="A29" s="133"/>
      <c r="B29" s="133"/>
      <c r="C29" s="133"/>
      <c r="D29" s="133"/>
      <c r="E29" s="133"/>
      <c r="F29" s="133"/>
      <c r="G29" s="23" t="s">
        <v>90</v>
      </c>
      <c r="H29" s="23" t="s">
        <v>78</v>
      </c>
      <c r="I29" s="23">
        <f>'MERCADO TE'!$U$26</f>
        <v>0</v>
      </c>
      <c r="J29" s="15"/>
      <c r="L29" s="20">
        <f>'TE BE'!$L$29*'TE BE'!$L$56</f>
        <v>1.9061118106308186E-7</v>
      </c>
      <c r="M29" s="20">
        <f>'TE BE'!$M$29*'TE BE'!$M$56</f>
        <v>3.6087573256368892</v>
      </c>
      <c r="N29" s="20">
        <f>'TE BE'!$N$29*'TE BE'!$N$56</f>
        <v>-1.0383424417631652E-2</v>
      </c>
      <c r="O29" s="20">
        <f>'TE BE'!$O$29*'TE BE'!$O$56</f>
        <v>-1.1358491858510187</v>
      </c>
      <c r="P29" s="20">
        <f>'TE BE'!$P$29*'TE BE'!$P$56</f>
        <v>0</v>
      </c>
      <c r="Q29" s="20">
        <f>SUM($L$29:$P$29)</f>
        <v>2.4625249059794196</v>
      </c>
      <c r="R29" s="20">
        <f>'TE BE'!$R$29*'TE BE'!$R$56</f>
        <v>93.190512994038514</v>
      </c>
      <c r="S29" s="20">
        <f>SUM($R$29:$R$29)</f>
        <v>93.190512994038514</v>
      </c>
      <c r="T29" s="20">
        <f>'TE BE'!$T$29*'TE BE'!$T$56</f>
        <v>-0.77596165610372048</v>
      </c>
      <c r="U29" s="20">
        <f>'TE BE'!$U$29*'TE BE'!$U$56</f>
        <v>7.7838382005741613E-2</v>
      </c>
      <c r="V29" s="20">
        <f>'TE BE'!$V$29*'TE BE'!$V$56</f>
        <v>0</v>
      </c>
      <c r="W29" s="20">
        <f>SUM($T$29:$V$29)</f>
        <v>-0.69812327409797881</v>
      </c>
      <c r="X29" s="20">
        <f>'TE BE'!$AB$29*'TE BE'!$X$56</f>
        <v>0</v>
      </c>
      <c r="Y29" s="20">
        <f>SUM($X$29:$X$29)</f>
        <v>0</v>
      </c>
      <c r="Z29" s="20">
        <f>'TE BE'!$Z$29*'TE BE'!$Z$56</f>
        <v>1.5316496487675368</v>
      </c>
      <c r="AA29" s="20">
        <f>SUM($Z$29:$Z$29)</f>
        <v>1.5316496487675368</v>
      </c>
      <c r="AB29" s="20">
        <f ca="1">SUMIF($L$4:$AA$4,"SUBTOTAL",$L$29:$AA$29)+AL29</f>
        <v>28.996013847506148</v>
      </c>
      <c r="AC29" s="9" t="str">
        <f t="shared" si="0"/>
        <v>B2</v>
      </c>
      <c r="AD29" s="9" t="str">
        <f t="shared" si="1"/>
        <v>Energia horária</v>
      </c>
      <c r="AE29" s="9" t="str">
        <f t="shared" si="2"/>
        <v>Rural</v>
      </c>
      <c r="AF29" s="9" t="str">
        <f t="shared" si="3"/>
        <v>Não se aplica</v>
      </c>
      <c r="AG29" s="9" t="str">
        <f t="shared" si="4"/>
        <v>Não se aplica</v>
      </c>
      <c r="AH29" s="58">
        <v>1</v>
      </c>
      <c r="AI29" s="58">
        <f ca="1">TarifaMedia!$G$52</f>
        <v>1</v>
      </c>
      <c r="AJ29" s="23">
        <f>'TE BE'!$AB29+'TE BF'!$AB29+'TE CVA'!$AB29</f>
        <v>299.18055042718134</v>
      </c>
      <c r="AK29" s="58">
        <f>ROUND(217.79/(1-CUSTOS!$M$38),2)</f>
        <v>231.69</v>
      </c>
      <c r="AL29" s="58">
        <f t="shared" ca="1" si="5"/>
        <v>-67.490550427181347</v>
      </c>
      <c r="AM29" s="58"/>
      <c r="AN29" s="58"/>
      <c r="AO29" s="82" t="s">
        <v>1025</v>
      </c>
    </row>
    <row r="30" spans="1:41" ht="11.25" customHeight="1" x14ac:dyDescent="0.3">
      <c r="A30" s="133"/>
      <c r="B30" s="133"/>
      <c r="C30" s="133"/>
      <c r="D30" s="133"/>
      <c r="E30" s="133"/>
      <c r="F30" s="133"/>
      <c r="G30" s="23" t="s">
        <v>80</v>
      </c>
      <c r="H30" s="23" t="s">
        <v>78</v>
      </c>
      <c r="I30" s="23">
        <f>'MERCADO TE'!$U$27</f>
        <v>0</v>
      </c>
      <c r="J30" s="15"/>
      <c r="L30" s="20">
        <f>'TE BE'!$L$30*'TE BE'!$L$56</f>
        <v>1.9061118106308186E-7</v>
      </c>
      <c r="M30" s="20">
        <f>'TE BE'!$M$30*'TE BE'!$M$56</f>
        <v>3.6087573256368892</v>
      </c>
      <c r="N30" s="20">
        <f>'TE BE'!$N$30*'TE BE'!$N$56</f>
        <v>-1.0383424417631652E-2</v>
      </c>
      <c r="O30" s="20">
        <f>'TE BE'!$O$30*'TE BE'!$O$56</f>
        <v>-1.1358491858510187</v>
      </c>
      <c r="P30" s="20">
        <f>'TE BE'!$P$30*'TE BE'!$P$56</f>
        <v>0</v>
      </c>
      <c r="Q30" s="20">
        <f>SUM($L$30:$P$30)</f>
        <v>2.4625249059794196</v>
      </c>
      <c r="R30" s="20">
        <f>'TE BE'!$R$30*'TE BE'!$R$56</f>
        <v>93.190512994038514</v>
      </c>
      <c r="S30" s="20">
        <f>SUM($R$30:$R$30)</f>
        <v>93.190512994038514</v>
      </c>
      <c r="T30" s="20">
        <f>'TE BE'!$T$30*'TE BE'!$T$56</f>
        <v>-0.77596165610372048</v>
      </c>
      <c r="U30" s="20">
        <f>'TE BE'!$U$30*'TE BE'!$U$56</f>
        <v>7.7838382005741613E-2</v>
      </c>
      <c r="V30" s="20">
        <f>'TE BE'!$V$30*'TE BE'!$V$56</f>
        <v>0</v>
      </c>
      <c r="W30" s="20">
        <f>SUM($T$30:$V$30)</f>
        <v>-0.69812327409797881</v>
      </c>
      <c r="X30" s="20">
        <f>'TE BE'!$AB$30*'TE BE'!$X$56</f>
        <v>0</v>
      </c>
      <c r="Y30" s="20">
        <f>SUM($X$30:$X$30)</f>
        <v>0</v>
      </c>
      <c r="Z30" s="20">
        <f>'TE BE'!$Z$30*'TE BE'!$Z$56</f>
        <v>1.5316496487675368</v>
      </c>
      <c r="AA30" s="20">
        <f>SUM($Z$30:$Z$30)</f>
        <v>1.5316496487675368</v>
      </c>
      <c r="AB30" s="20">
        <f ca="1">SUMIF($L$4:$AA$4,"SUBTOTAL",$L$30:$AA$30)+AL30</f>
        <v>28.996013847506148</v>
      </c>
      <c r="AC30" s="9" t="str">
        <f t="shared" si="0"/>
        <v>B2</v>
      </c>
      <c r="AD30" s="9" t="str">
        <f t="shared" si="1"/>
        <v>Energia horária</v>
      </c>
      <c r="AE30" s="9" t="str">
        <f t="shared" si="2"/>
        <v>Rural</v>
      </c>
      <c r="AF30" s="9" t="str">
        <f t="shared" si="3"/>
        <v>Não se aplica</v>
      </c>
      <c r="AG30" s="9" t="str">
        <f t="shared" si="4"/>
        <v>Não se aplica</v>
      </c>
      <c r="AH30" s="58">
        <v>1</v>
      </c>
      <c r="AI30" s="58">
        <f ca="1">TarifaMedia!$G$52</f>
        <v>1</v>
      </c>
      <c r="AJ30" s="23">
        <f>'TE BE'!$AB30+'TE BF'!$AB30+'TE CVA'!$AB30</f>
        <v>299.18055042718134</v>
      </c>
      <c r="AK30" s="58">
        <f>ROUND(217.79/(1-CUSTOS!$M$38),2)</f>
        <v>231.69</v>
      </c>
      <c r="AL30" s="58">
        <f t="shared" ca="1" si="5"/>
        <v>-67.490550427181347</v>
      </c>
      <c r="AM30" s="58"/>
      <c r="AN30" s="58"/>
      <c r="AO30" s="82" t="s">
        <v>1026</v>
      </c>
    </row>
    <row r="31" spans="1:41" ht="11.25" customHeight="1" x14ac:dyDescent="0.3">
      <c r="A31" s="133"/>
      <c r="B31" s="22" t="s">
        <v>86</v>
      </c>
      <c r="C31" s="22" t="s">
        <v>45</v>
      </c>
      <c r="D31" s="22" t="s">
        <v>25</v>
      </c>
      <c r="E31" s="22" t="s">
        <v>25</v>
      </c>
      <c r="F31" s="22" t="s">
        <v>25</v>
      </c>
      <c r="G31" s="23" t="s">
        <v>84</v>
      </c>
      <c r="H31" s="23" t="s">
        <v>78</v>
      </c>
      <c r="I31" s="23">
        <f>'MERCADO TE'!$U$28</f>
        <v>3773.6869999999999</v>
      </c>
      <c r="J31" s="15"/>
      <c r="L31" s="20">
        <f>'TE BE'!$L$31*'TE BE'!$L$56</f>
        <v>1.9061118106308186E-7</v>
      </c>
      <c r="M31" s="20">
        <f>'TE BE'!$M$31*'TE BE'!$M$56</f>
        <v>3.6087573256368892</v>
      </c>
      <c r="N31" s="20">
        <f>'TE BE'!$N$31*'TE BE'!$N$56</f>
        <v>-1.0383424417631652E-2</v>
      </c>
      <c r="O31" s="20">
        <f>'TE BE'!$O$31*'TE BE'!$O$56</f>
        <v>-1.1358491858510187</v>
      </c>
      <c r="P31" s="20">
        <f>'TE BE'!$P$31*'TE BE'!$P$56</f>
        <v>0</v>
      </c>
      <c r="Q31" s="20">
        <f>SUM($L$31:$P$31)</f>
        <v>2.4625249059794196</v>
      </c>
      <c r="R31" s="20">
        <f>'TE BE'!$R$31*'TE BE'!$R$56</f>
        <v>98.781943773680837</v>
      </c>
      <c r="S31" s="20">
        <f>SUM($R$31:$R$31)</f>
        <v>98.781943773680837</v>
      </c>
      <c r="T31" s="20">
        <f>'TE BE'!$T$31*'TE BE'!$T$56</f>
        <v>-0.77596165610372048</v>
      </c>
      <c r="U31" s="20">
        <f>'TE BE'!$U$31*'TE BE'!$U$56</f>
        <v>7.7838382005741613E-2</v>
      </c>
      <c r="V31" s="20">
        <f>'TE BE'!$V$31*'TE BE'!$V$56</f>
        <v>0</v>
      </c>
      <c r="W31" s="20">
        <f>SUM($T$31:$V$31)</f>
        <v>-0.69812327409797881</v>
      </c>
      <c r="X31" s="20">
        <f>'TE BE'!$AB$31*'TE BE'!$X$56</f>
        <v>0</v>
      </c>
      <c r="Y31" s="20">
        <f>SUM($X$31:$X$31)</f>
        <v>0</v>
      </c>
      <c r="Z31" s="20">
        <f>'TE BE'!$Z$31*'TE BE'!$Z$56</f>
        <v>1.5316496487675368</v>
      </c>
      <c r="AA31" s="20">
        <f>SUM($Z$31:$Z$31)</f>
        <v>1.5316496487675368</v>
      </c>
      <c r="AB31" s="20">
        <f ca="1">SUMIF($L$4:$AA$4,"SUBTOTAL",$L$31:$AA$31)+AL31</f>
        <v>31.292816824584605</v>
      </c>
      <c r="AC31" s="9" t="str">
        <f t="shared" si="0"/>
        <v>B2</v>
      </c>
      <c r="AD31" s="9" t="str">
        <f t="shared" si="1"/>
        <v>Energia convencional</v>
      </c>
      <c r="AE31" s="9" t="str">
        <f t="shared" si="2"/>
        <v>Rural</v>
      </c>
      <c r="AF31" s="9" t="str">
        <f t="shared" si="3"/>
        <v>Não se aplica</v>
      </c>
      <c r="AG31" s="9" t="str">
        <f t="shared" si="4"/>
        <v>Não se aplica</v>
      </c>
      <c r="AH31" s="58">
        <v>1</v>
      </c>
      <c r="AI31" s="58">
        <f ca="1">TarifaMedia!$G$52</f>
        <v>1</v>
      </c>
      <c r="AJ31" s="23">
        <f>'TE BE'!$AB31+'TE BF'!$AB31+'TE CVA'!$AB31</f>
        <v>314.78517822974521</v>
      </c>
      <c r="AK31" s="58">
        <v>244</v>
      </c>
      <c r="AL31" s="58">
        <f t="shared" ca="1" si="5"/>
        <v>-70.785178229745213</v>
      </c>
      <c r="AM31" s="58"/>
      <c r="AN31" s="58"/>
      <c r="AO31" s="82" t="s">
        <v>1020</v>
      </c>
    </row>
    <row r="32" spans="1:41" ht="11.25" customHeight="1" x14ac:dyDescent="0.3">
      <c r="A32" s="133"/>
      <c r="B32" s="133" t="s">
        <v>77</v>
      </c>
      <c r="C32" s="133" t="s">
        <v>45</v>
      </c>
      <c r="D32" s="133" t="s">
        <v>93</v>
      </c>
      <c r="E32" s="133" t="s">
        <v>25</v>
      </c>
      <c r="F32" s="133" t="s">
        <v>25</v>
      </c>
      <c r="G32" s="23" t="s">
        <v>79</v>
      </c>
      <c r="H32" s="23" t="s">
        <v>78</v>
      </c>
      <c r="I32" s="23">
        <f>'MERCADO TE'!$U$29</f>
        <v>0</v>
      </c>
      <c r="J32" s="15"/>
      <c r="L32" s="20">
        <f>'TE BE'!$L$32*'TE BE'!$L$56</f>
        <v>1.9061118106308186E-7</v>
      </c>
      <c r="M32" s="20">
        <f>'TE BE'!$M$32*'TE BE'!$M$56</f>
        <v>3.6087573256368892</v>
      </c>
      <c r="N32" s="20">
        <f>'TE BE'!$N$32*'TE BE'!$N$56</f>
        <v>-1.0383424417631652E-2</v>
      </c>
      <c r="O32" s="20">
        <f>'TE BE'!$O$32*'TE BE'!$O$56</f>
        <v>-1.1358491858510187</v>
      </c>
      <c r="P32" s="20">
        <f>'TE BE'!$P$32*'TE BE'!$P$56</f>
        <v>0</v>
      </c>
      <c r="Q32" s="20">
        <f>SUM($L$32:$P$32)</f>
        <v>2.4625249059794196</v>
      </c>
      <c r="R32" s="20">
        <f>'TE BE'!$R$32*'TE BE'!$R$56</f>
        <v>160.28768234974626</v>
      </c>
      <c r="S32" s="20">
        <f>SUM($R$32:$R$32)</f>
        <v>160.28768234974626</v>
      </c>
      <c r="T32" s="20">
        <f>'TE BE'!$T$32*'TE BE'!$T$56</f>
        <v>-0.77596165610372048</v>
      </c>
      <c r="U32" s="20">
        <f>'TE BE'!$U$32*'TE BE'!$U$56</f>
        <v>7.7838382005741613E-2</v>
      </c>
      <c r="V32" s="20">
        <f>'TE BE'!$V$32*'TE BE'!$V$56</f>
        <v>0</v>
      </c>
      <c r="W32" s="20">
        <f>SUM($T$32:$V$32)</f>
        <v>-0.69812327409797881</v>
      </c>
      <c r="X32" s="20">
        <f>'TE BE'!$AB$32*'TE BE'!$X$56</f>
        <v>0</v>
      </c>
      <c r="Y32" s="20">
        <f>SUM($X$32:$X$32)</f>
        <v>0</v>
      </c>
      <c r="Z32" s="20">
        <f>'TE BE'!$Z$32*'TE BE'!$Z$56</f>
        <v>1.5316496487675368</v>
      </c>
      <c r="AA32" s="20">
        <f>SUM($Z$32:$Z$32)</f>
        <v>1.5316496487675368</v>
      </c>
      <c r="AB32" s="20">
        <f ca="1">SUMIF($L$4:$AA$4,"SUBTOTAL",$L$32:$AA$32)+AL32</f>
        <v>56.457649572447764</v>
      </c>
      <c r="AC32" s="9" t="str">
        <f t="shared" si="0"/>
        <v>B2</v>
      </c>
      <c r="AD32" s="9" t="str">
        <f t="shared" si="1"/>
        <v>Energia horária</v>
      </c>
      <c r="AE32" s="9" t="str">
        <f t="shared" si="2"/>
        <v>Rural</v>
      </c>
      <c r="AF32" s="9" t="str">
        <f t="shared" si="3"/>
        <v>Cooperativa de eletrificação rural</v>
      </c>
      <c r="AG32" s="9" t="str">
        <f t="shared" si="4"/>
        <v>Não se aplica</v>
      </c>
      <c r="AH32" s="58">
        <v>1</v>
      </c>
      <c r="AI32" s="58">
        <f ca="1">TarifaMedia!$G$52</f>
        <v>1</v>
      </c>
      <c r="AJ32" s="23">
        <f>'TE BE'!$AB32+'TE BF'!$AB32+'TE CVA'!$AB32</f>
        <v>486.43608405794748</v>
      </c>
      <c r="AK32" s="58">
        <f>ROUND(356.55/(1-CUSTOS!$M$38),2)</f>
        <v>379.31</v>
      </c>
      <c r="AL32" s="58">
        <f t="shared" ca="1" si="5"/>
        <v>-107.12608405794748</v>
      </c>
      <c r="AM32" s="58"/>
      <c r="AN32" s="58"/>
      <c r="AO32" s="82" t="s">
        <v>1024</v>
      </c>
    </row>
    <row r="33" spans="1:41" ht="11.25" customHeight="1" x14ac:dyDescent="0.3">
      <c r="A33" s="133"/>
      <c r="B33" s="133"/>
      <c r="C33" s="133"/>
      <c r="D33" s="133"/>
      <c r="E33" s="133"/>
      <c r="F33" s="133"/>
      <c r="G33" s="23" t="s">
        <v>90</v>
      </c>
      <c r="H33" s="23" t="s">
        <v>78</v>
      </c>
      <c r="I33" s="23">
        <f>'MERCADO TE'!$U$30</f>
        <v>0</v>
      </c>
      <c r="J33" s="15"/>
      <c r="L33" s="20">
        <f>'TE BE'!$L$33*'TE BE'!$L$56</f>
        <v>1.9061118106308186E-7</v>
      </c>
      <c r="M33" s="20">
        <f>'TE BE'!$M$33*'TE BE'!$M$56</f>
        <v>3.6087573256368892</v>
      </c>
      <c r="N33" s="20">
        <f>'TE BE'!$N$33*'TE BE'!$N$56</f>
        <v>-1.0383424417631652E-2</v>
      </c>
      <c r="O33" s="20">
        <f>'TE BE'!$O$33*'TE BE'!$O$56</f>
        <v>-1.1358491858510187</v>
      </c>
      <c r="P33" s="20">
        <f>'TE BE'!$P$33*'TE BE'!$P$56</f>
        <v>0</v>
      </c>
      <c r="Q33" s="20">
        <f>SUM($L$33:$P$33)</f>
        <v>2.4625249059794196</v>
      </c>
      <c r="R33" s="20">
        <f>'TE BE'!$R$33*'TE BE'!$R$56</f>
        <v>93.190512994038514</v>
      </c>
      <c r="S33" s="20">
        <f>SUM($R$33:$R$33)</f>
        <v>93.190512994038514</v>
      </c>
      <c r="T33" s="20">
        <f>'TE BE'!$T$33*'TE BE'!$T$56</f>
        <v>-0.77596165610372048</v>
      </c>
      <c r="U33" s="20">
        <f>'TE BE'!$U$33*'TE BE'!$U$56</f>
        <v>7.7838382005741613E-2</v>
      </c>
      <c r="V33" s="20">
        <f>'TE BE'!$V$33*'TE BE'!$V$56</f>
        <v>0</v>
      </c>
      <c r="W33" s="20">
        <f>SUM($T$33:$V$33)</f>
        <v>-0.69812327409797881</v>
      </c>
      <c r="X33" s="20">
        <f>'TE BE'!$AB$33*'TE BE'!$X$56</f>
        <v>0</v>
      </c>
      <c r="Y33" s="20">
        <f>SUM($X$33:$X$33)</f>
        <v>0</v>
      </c>
      <c r="Z33" s="20">
        <f>'TE BE'!$Z$33*'TE BE'!$Z$56</f>
        <v>1.5316496487675368</v>
      </c>
      <c r="AA33" s="20">
        <f>SUM($Z$33:$Z$33)</f>
        <v>1.5316496487675368</v>
      </c>
      <c r="AB33" s="20">
        <f ca="1">SUMIF($L$4:$AA$4,"SUBTOTAL",$L$33:$AA$33)+AL33</f>
        <v>28.996013847506148</v>
      </c>
      <c r="AC33" s="9" t="str">
        <f t="shared" si="0"/>
        <v>B2</v>
      </c>
      <c r="AD33" s="9" t="str">
        <f t="shared" si="1"/>
        <v>Energia horária</v>
      </c>
      <c r="AE33" s="9" t="str">
        <f t="shared" si="2"/>
        <v>Rural</v>
      </c>
      <c r="AF33" s="9" t="str">
        <f t="shared" si="3"/>
        <v>Cooperativa de eletrificação rural</v>
      </c>
      <c r="AG33" s="9" t="str">
        <f t="shared" si="4"/>
        <v>Não se aplica</v>
      </c>
      <c r="AH33" s="58">
        <v>1</v>
      </c>
      <c r="AI33" s="58">
        <f ca="1">TarifaMedia!$G$52</f>
        <v>1</v>
      </c>
      <c r="AJ33" s="23">
        <f>'TE BE'!$AB33+'TE BF'!$AB33+'TE CVA'!$AB33</f>
        <v>299.18055042718134</v>
      </c>
      <c r="AK33" s="58">
        <f>ROUND(217.79/(1-CUSTOS!$M$38),2)</f>
        <v>231.69</v>
      </c>
      <c r="AL33" s="58">
        <f t="shared" ca="1" si="5"/>
        <v>-67.490550427181347</v>
      </c>
      <c r="AM33" s="58"/>
      <c r="AN33" s="58"/>
      <c r="AO33" s="82" t="s">
        <v>1025</v>
      </c>
    </row>
    <row r="34" spans="1:41" ht="11.25" customHeight="1" x14ac:dyDescent="0.3">
      <c r="A34" s="133"/>
      <c r="B34" s="133"/>
      <c r="C34" s="133"/>
      <c r="D34" s="133"/>
      <c r="E34" s="133"/>
      <c r="F34" s="133"/>
      <c r="G34" s="23" t="s">
        <v>80</v>
      </c>
      <c r="H34" s="23" t="s">
        <v>78</v>
      </c>
      <c r="I34" s="23">
        <f>'MERCADO TE'!$U$31</f>
        <v>0</v>
      </c>
      <c r="J34" s="15"/>
      <c r="L34" s="20">
        <f>'TE BE'!$L$34*'TE BE'!$L$56</f>
        <v>1.9061118106308186E-7</v>
      </c>
      <c r="M34" s="20">
        <f>'TE BE'!$M$34*'TE BE'!$M$56</f>
        <v>3.6087573256368892</v>
      </c>
      <c r="N34" s="20">
        <f>'TE BE'!$N$34*'TE BE'!$N$56</f>
        <v>-1.0383424417631652E-2</v>
      </c>
      <c r="O34" s="20">
        <f>'TE BE'!$O$34*'TE BE'!$O$56</f>
        <v>-1.1358491858510187</v>
      </c>
      <c r="P34" s="20">
        <f>'TE BE'!$P$34*'TE BE'!$P$56</f>
        <v>0</v>
      </c>
      <c r="Q34" s="20">
        <f>SUM($L$34:$P$34)</f>
        <v>2.4625249059794196</v>
      </c>
      <c r="R34" s="20">
        <f>'TE BE'!$R$34*'TE BE'!$R$56</f>
        <v>93.190512994038514</v>
      </c>
      <c r="S34" s="20">
        <f>SUM($R$34:$R$34)</f>
        <v>93.190512994038514</v>
      </c>
      <c r="T34" s="20">
        <f>'TE BE'!$T$34*'TE BE'!$T$56</f>
        <v>-0.77596165610372048</v>
      </c>
      <c r="U34" s="20">
        <f>'TE BE'!$U$34*'TE BE'!$U$56</f>
        <v>7.7838382005741613E-2</v>
      </c>
      <c r="V34" s="20">
        <f>'TE BE'!$V$34*'TE BE'!$V$56</f>
        <v>0</v>
      </c>
      <c r="W34" s="20">
        <f>SUM($T$34:$V$34)</f>
        <v>-0.69812327409797881</v>
      </c>
      <c r="X34" s="20">
        <f>'TE BE'!$AB$34*'TE BE'!$X$56</f>
        <v>0</v>
      </c>
      <c r="Y34" s="20">
        <f>SUM($X$34:$X$34)</f>
        <v>0</v>
      </c>
      <c r="Z34" s="20">
        <f>'TE BE'!$Z$34*'TE BE'!$Z$56</f>
        <v>1.5316496487675368</v>
      </c>
      <c r="AA34" s="20">
        <f>SUM($Z$34:$Z$34)</f>
        <v>1.5316496487675368</v>
      </c>
      <c r="AB34" s="20">
        <f ca="1">SUMIF($L$4:$AA$4,"SUBTOTAL",$L$34:$AA$34)+AL34</f>
        <v>28.996013847506148</v>
      </c>
      <c r="AC34" s="9" t="str">
        <f t="shared" si="0"/>
        <v>B2</v>
      </c>
      <c r="AD34" s="9" t="str">
        <f t="shared" si="1"/>
        <v>Energia horária</v>
      </c>
      <c r="AE34" s="9" t="str">
        <f t="shared" si="2"/>
        <v>Rural</v>
      </c>
      <c r="AF34" s="9" t="str">
        <f t="shared" si="3"/>
        <v>Cooperativa de eletrificação rural</v>
      </c>
      <c r="AG34" s="9" t="str">
        <f t="shared" si="4"/>
        <v>Não se aplica</v>
      </c>
      <c r="AH34" s="58">
        <v>1</v>
      </c>
      <c r="AI34" s="58">
        <f ca="1">TarifaMedia!$G$52</f>
        <v>1</v>
      </c>
      <c r="AJ34" s="23">
        <f>'TE BE'!$AB34+'TE BF'!$AB34+'TE CVA'!$AB34</f>
        <v>299.18055042718134</v>
      </c>
      <c r="AK34" s="58">
        <f>ROUND(217.79/(1-CUSTOS!$M$38),2)</f>
        <v>231.69</v>
      </c>
      <c r="AL34" s="58">
        <f t="shared" ca="1" si="5"/>
        <v>-67.490550427181347</v>
      </c>
      <c r="AM34" s="58"/>
      <c r="AN34" s="58"/>
      <c r="AO34" s="82" t="s">
        <v>1026</v>
      </c>
    </row>
    <row r="35" spans="1:41" ht="11.25" customHeight="1" x14ac:dyDescent="0.3">
      <c r="A35" s="133"/>
      <c r="B35" s="22" t="s">
        <v>86</v>
      </c>
      <c r="C35" s="22" t="s">
        <v>45</v>
      </c>
      <c r="D35" s="22" t="s">
        <v>93</v>
      </c>
      <c r="E35" s="22" t="s">
        <v>25</v>
      </c>
      <c r="F35" s="22" t="s">
        <v>25</v>
      </c>
      <c r="G35" s="23" t="s">
        <v>84</v>
      </c>
      <c r="H35" s="23" t="s">
        <v>78</v>
      </c>
      <c r="I35" s="23">
        <f>'MERCADO TE'!$U$32</f>
        <v>0</v>
      </c>
      <c r="J35" s="15"/>
      <c r="L35" s="20">
        <f>'TE BE'!$L$35*'TE BE'!$L$56</f>
        <v>1.9061118106308186E-7</v>
      </c>
      <c r="M35" s="20">
        <f>'TE BE'!$M$35*'TE BE'!$M$56</f>
        <v>3.6087573256368892</v>
      </c>
      <c r="N35" s="20">
        <f>'TE BE'!$N$35*'TE BE'!$N$56</f>
        <v>-1.0383424417631652E-2</v>
      </c>
      <c r="O35" s="20">
        <f>'TE BE'!$O$35*'TE BE'!$O$56</f>
        <v>-1.1358491858510187</v>
      </c>
      <c r="P35" s="20">
        <f>'TE BE'!$P$35*'TE BE'!$P$56</f>
        <v>0</v>
      </c>
      <c r="Q35" s="20">
        <f>SUM($L$35:$P$35)</f>
        <v>2.4625249059794196</v>
      </c>
      <c r="R35" s="20">
        <f>'TE BE'!$R$35*'TE BE'!$R$56</f>
        <v>98.781943773680837</v>
      </c>
      <c r="S35" s="20">
        <f>SUM($R$35:$R$35)</f>
        <v>98.781943773680837</v>
      </c>
      <c r="T35" s="20">
        <f>'TE BE'!$T$35*'TE BE'!$T$56</f>
        <v>-0.77596165610372048</v>
      </c>
      <c r="U35" s="20">
        <f>'TE BE'!$U$35*'TE BE'!$U$56</f>
        <v>7.7838382005741613E-2</v>
      </c>
      <c r="V35" s="20">
        <f>'TE BE'!$V$35*'TE BE'!$V$56</f>
        <v>0</v>
      </c>
      <c r="W35" s="20">
        <f>SUM($T$35:$V$35)</f>
        <v>-0.69812327409797881</v>
      </c>
      <c r="X35" s="20">
        <f>'TE BE'!$AB$35*'TE BE'!$X$56</f>
        <v>0</v>
      </c>
      <c r="Y35" s="20">
        <f>SUM($X$35:$X$35)</f>
        <v>0</v>
      </c>
      <c r="Z35" s="20">
        <f>'TE BE'!$Z$35*'TE BE'!$Z$56</f>
        <v>1.5316496487675368</v>
      </c>
      <c r="AA35" s="20">
        <f>SUM($Z$35:$Z$35)</f>
        <v>1.5316496487675368</v>
      </c>
      <c r="AB35" s="20">
        <f ca="1">SUMIF($L$4:$AA$4,"SUBTOTAL",$L$35:$AA$35)+AL35</f>
        <v>31.292816824584605</v>
      </c>
      <c r="AC35" s="9" t="str">
        <f t="shared" si="0"/>
        <v>B2</v>
      </c>
      <c r="AD35" s="9" t="str">
        <f t="shared" si="1"/>
        <v>Energia convencional</v>
      </c>
      <c r="AE35" s="9" t="str">
        <f t="shared" si="2"/>
        <v>Rural</v>
      </c>
      <c r="AF35" s="9" t="str">
        <f t="shared" si="3"/>
        <v>Cooperativa de eletrificação rural</v>
      </c>
      <c r="AG35" s="9" t="str">
        <f t="shared" si="4"/>
        <v>Não se aplica</v>
      </c>
      <c r="AH35" s="58">
        <v>1</v>
      </c>
      <c r="AI35" s="58">
        <f ca="1">TarifaMedia!$G$52</f>
        <v>1</v>
      </c>
      <c r="AJ35" s="23">
        <f>'TE BE'!$AB35+'TE BF'!$AB35+'TE CVA'!$AB35</f>
        <v>314.78517822974521</v>
      </c>
      <c r="AK35" s="58">
        <v>244</v>
      </c>
      <c r="AL35" s="58">
        <f t="shared" ca="1" si="5"/>
        <v>-70.785178229745213</v>
      </c>
      <c r="AM35" s="58"/>
      <c r="AN35" s="58"/>
      <c r="AO35" s="82" t="s">
        <v>1020</v>
      </c>
    </row>
    <row r="36" spans="1:41" ht="11.25" customHeight="1" x14ac:dyDescent="0.3">
      <c r="A36" s="133"/>
      <c r="B36" s="133" t="s">
        <v>77</v>
      </c>
      <c r="C36" s="133" t="s">
        <v>45</v>
      </c>
      <c r="D36" s="133" t="s">
        <v>94</v>
      </c>
      <c r="E36" s="133" t="s">
        <v>25</v>
      </c>
      <c r="F36" s="133" t="s">
        <v>25</v>
      </c>
      <c r="G36" s="23" t="s">
        <v>79</v>
      </c>
      <c r="H36" s="23" t="s">
        <v>78</v>
      </c>
      <c r="I36" s="23">
        <f>'MERCADO TE'!$U$33</f>
        <v>0</v>
      </c>
      <c r="J36" s="15"/>
      <c r="L36" s="20">
        <f>'TE BE'!$L$36*'TE BE'!$L$56</f>
        <v>1.9061118106308186E-7</v>
      </c>
      <c r="M36" s="20">
        <f>'TE BE'!$M$36*'TE BE'!$M$56</f>
        <v>3.6087573256368892</v>
      </c>
      <c r="N36" s="20">
        <f>'TE BE'!$N$36*'TE BE'!$N$56</f>
        <v>-1.0383424417631652E-2</v>
      </c>
      <c r="O36" s="20">
        <f>'TE BE'!$O$36*'TE BE'!$O$56</f>
        <v>-1.1358491858510187</v>
      </c>
      <c r="P36" s="20">
        <f>'TE BE'!$P$36*'TE BE'!$P$56</f>
        <v>0</v>
      </c>
      <c r="Q36" s="20">
        <f>SUM($L$36:$P$36)</f>
        <v>2.4625249059794196</v>
      </c>
      <c r="R36" s="20">
        <f>'TE BE'!$R$36*'TE BE'!$R$56</f>
        <v>160.28768234974626</v>
      </c>
      <c r="S36" s="20">
        <f>SUM($R$36:$R$36)</f>
        <v>160.28768234974626</v>
      </c>
      <c r="T36" s="20">
        <f>'TE BE'!$T$36*'TE BE'!$T$56</f>
        <v>-0.77596165610372048</v>
      </c>
      <c r="U36" s="20">
        <f>'TE BE'!$U$36*'TE BE'!$U$56</f>
        <v>7.7838382005741613E-2</v>
      </c>
      <c r="V36" s="20">
        <f>'TE BE'!$V$36*'TE BE'!$V$56</f>
        <v>0</v>
      </c>
      <c r="W36" s="20">
        <f>SUM($T$36:$V$36)</f>
        <v>-0.69812327409797881</v>
      </c>
      <c r="X36" s="20">
        <f>'TE BE'!$AB$36*'TE BE'!$X$56</f>
        <v>0</v>
      </c>
      <c r="Y36" s="20">
        <f>SUM($X$36:$X$36)</f>
        <v>0</v>
      </c>
      <c r="Z36" s="20">
        <f>'TE BE'!$Z$36*'TE BE'!$Z$56</f>
        <v>1.5316496487675368</v>
      </c>
      <c r="AA36" s="20">
        <f>SUM($Z$36:$Z$36)</f>
        <v>1.5316496487675368</v>
      </c>
      <c r="AB36" s="20">
        <f ca="1">SUMIF($L$4:$AA$4,"SUBTOTAL",$L$36:$AA$36)+AL36</f>
        <v>56.457649572447764</v>
      </c>
      <c r="AC36" s="9" t="str">
        <f t="shared" si="0"/>
        <v>B2</v>
      </c>
      <c r="AD36" s="9" t="str">
        <f t="shared" si="1"/>
        <v>Energia horária</v>
      </c>
      <c r="AE36" s="9" t="str">
        <f t="shared" si="2"/>
        <v>Rural</v>
      </c>
      <c r="AF36" s="9" t="str">
        <f t="shared" si="3"/>
        <v>Serviço público de irrigação rural</v>
      </c>
      <c r="AG36" s="9" t="str">
        <f t="shared" si="4"/>
        <v>Não se aplica</v>
      </c>
      <c r="AH36" s="58">
        <v>1</v>
      </c>
      <c r="AI36" s="58">
        <f ca="1">TarifaMedia!$G$52</f>
        <v>1</v>
      </c>
      <c r="AJ36" s="23">
        <f>'TE BE'!$AB36+'TE BF'!$AB36+'TE CVA'!$AB36</f>
        <v>486.43608405794748</v>
      </c>
      <c r="AK36" s="58">
        <f>ROUND(356.55/(1-CUSTOS!$M$38),2)</f>
        <v>379.31</v>
      </c>
      <c r="AL36" s="58">
        <f t="shared" ca="1" si="5"/>
        <v>-107.12608405794748</v>
      </c>
      <c r="AM36" s="58"/>
      <c r="AN36" s="58"/>
      <c r="AO36" s="82" t="s">
        <v>1024</v>
      </c>
    </row>
    <row r="37" spans="1:41" ht="11.25" customHeight="1" x14ac:dyDescent="0.3">
      <c r="A37" s="133"/>
      <c r="B37" s="133"/>
      <c r="C37" s="133"/>
      <c r="D37" s="133"/>
      <c r="E37" s="133"/>
      <c r="F37" s="133"/>
      <c r="G37" s="23" t="s">
        <v>90</v>
      </c>
      <c r="H37" s="23" t="s">
        <v>78</v>
      </c>
      <c r="I37" s="23">
        <f>'MERCADO TE'!$U$34</f>
        <v>0</v>
      </c>
      <c r="J37" s="15"/>
      <c r="L37" s="20">
        <f>'TE BE'!$L$37*'TE BE'!$L$56</f>
        <v>1.9061118106308186E-7</v>
      </c>
      <c r="M37" s="20">
        <f>'TE BE'!$M$37*'TE BE'!$M$56</f>
        <v>3.6087573256368892</v>
      </c>
      <c r="N37" s="20">
        <f>'TE BE'!$N$37*'TE BE'!$N$56</f>
        <v>-1.0383424417631652E-2</v>
      </c>
      <c r="O37" s="20">
        <f>'TE BE'!$O$37*'TE BE'!$O$56</f>
        <v>-1.1358491858510187</v>
      </c>
      <c r="P37" s="20">
        <f>'TE BE'!$P$37*'TE BE'!$P$56</f>
        <v>0</v>
      </c>
      <c r="Q37" s="20">
        <f>SUM($L$37:$P$37)</f>
        <v>2.4625249059794196</v>
      </c>
      <c r="R37" s="20">
        <f>'TE BE'!$R$37*'TE BE'!$R$56</f>
        <v>93.190512994038514</v>
      </c>
      <c r="S37" s="20">
        <f>SUM($R$37:$R$37)</f>
        <v>93.190512994038514</v>
      </c>
      <c r="T37" s="20">
        <f>'TE BE'!$T$37*'TE BE'!$T$56</f>
        <v>-0.77596165610372048</v>
      </c>
      <c r="U37" s="20">
        <f>'TE BE'!$U$37*'TE BE'!$U$56</f>
        <v>7.7838382005741613E-2</v>
      </c>
      <c r="V37" s="20">
        <f>'TE BE'!$V$37*'TE BE'!$V$56</f>
        <v>0</v>
      </c>
      <c r="W37" s="20">
        <f>SUM($T$37:$V$37)</f>
        <v>-0.69812327409797881</v>
      </c>
      <c r="X37" s="20">
        <f>'TE BE'!$AB$37*'TE BE'!$X$56</f>
        <v>0</v>
      </c>
      <c r="Y37" s="20">
        <f>SUM($X$37:$X$37)</f>
        <v>0</v>
      </c>
      <c r="Z37" s="20">
        <f>'TE BE'!$Z$37*'TE BE'!$Z$56</f>
        <v>1.5316496487675368</v>
      </c>
      <c r="AA37" s="20">
        <f>SUM($Z$37:$Z$37)</f>
        <v>1.5316496487675368</v>
      </c>
      <c r="AB37" s="20">
        <f ca="1">SUMIF($L$4:$AA$4,"SUBTOTAL",$L$37:$AA$37)+AL37</f>
        <v>28.996013847506148</v>
      </c>
      <c r="AC37" s="9" t="str">
        <f t="shared" si="0"/>
        <v>B2</v>
      </c>
      <c r="AD37" s="9" t="str">
        <f t="shared" si="1"/>
        <v>Energia horária</v>
      </c>
      <c r="AE37" s="9" t="str">
        <f t="shared" si="2"/>
        <v>Rural</v>
      </c>
      <c r="AF37" s="9" t="str">
        <f t="shared" si="3"/>
        <v>Serviço público de irrigação rural</v>
      </c>
      <c r="AG37" s="9" t="str">
        <f t="shared" si="4"/>
        <v>Não se aplica</v>
      </c>
      <c r="AH37" s="58">
        <v>1</v>
      </c>
      <c r="AI37" s="58">
        <f ca="1">TarifaMedia!$G$52</f>
        <v>1</v>
      </c>
      <c r="AJ37" s="23">
        <f>'TE BE'!$AB37+'TE BF'!$AB37+'TE CVA'!$AB37</f>
        <v>299.18055042718134</v>
      </c>
      <c r="AK37" s="58">
        <f>ROUND(217.79/(1-CUSTOS!$M$38),2)</f>
        <v>231.69</v>
      </c>
      <c r="AL37" s="58">
        <f t="shared" ca="1" si="5"/>
        <v>-67.490550427181347</v>
      </c>
      <c r="AM37" s="58"/>
      <c r="AN37" s="58"/>
      <c r="AO37" s="82" t="s">
        <v>1025</v>
      </c>
    </row>
    <row r="38" spans="1:41" ht="11.25" customHeight="1" x14ac:dyDescent="0.3">
      <c r="A38" s="133"/>
      <c r="B38" s="133"/>
      <c r="C38" s="133"/>
      <c r="D38" s="133"/>
      <c r="E38" s="133"/>
      <c r="F38" s="133"/>
      <c r="G38" s="23" t="s">
        <v>80</v>
      </c>
      <c r="H38" s="23" t="s">
        <v>78</v>
      </c>
      <c r="I38" s="23">
        <f>'MERCADO TE'!$U$35</f>
        <v>0</v>
      </c>
      <c r="J38" s="15"/>
      <c r="L38" s="20">
        <f>'TE BE'!$L$38*'TE BE'!$L$56</f>
        <v>1.9061118106308186E-7</v>
      </c>
      <c r="M38" s="20">
        <f>'TE BE'!$M$38*'TE BE'!$M$56</f>
        <v>3.6087573256368892</v>
      </c>
      <c r="N38" s="20">
        <f>'TE BE'!$N$38*'TE BE'!$N$56</f>
        <v>-1.0383424417631652E-2</v>
      </c>
      <c r="O38" s="20">
        <f>'TE BE'!$O$38*'TE BE'!$O$56</f>
        <v>-1.1358491858510187</v>
      </c>
      <c r="P38" s="20">
        <f>'TE BE'!$P$38*'TE BE'!$P$56</f>
        <v>0</v>
      </c>
      <c r="Q38" s="20">
        <f>SUM($L$38:$P$38)</f>
        <v>2.4625249059794196</v>
      </c>
      <c r="R38" s="20">
        <f>'TE BE'!$R$38*'TE BE'!$R$56</f>
        <v>93.190512994038514</v>
      </c>
      <c r="S38" s="20">
        <f>SUM($R$38:$R$38)</f>
        <v>93.190512994038514</v>
      </c>
      <c r="T38" s="20">
        <f>'TE BE'!$T$38*'TE BE'!$T$56</f>
        <v>-0.77596165610372048</v>
      </c>
      <c r="U38" s="20">
        <f>'TE BE'!$U$38*'TE BE'!$U$56</f>
        <v>7.7838382005741613E-2</v>
      </c>
      <c r="V38" s="20">
        <f>'TE BE'!$V$38*'TE BE'!$V$56</f>
        <v>0</v>
      </c>
      <c r="W38" s="20">
        <f>SUM($T$38:$V$38)</f>
        <v>-0.69812327409797881</v>
      </c>
      <c r="X38" s="20">
        <f>'TE BE'!$AB$38*'TE BE'!$X$56</f>
        <v>0</v>
      </c>
      <c r="Y38" s="20">
        <f>SUM($X$38:$X$38)</f>
        <v>0</v>
      </c>
      <c r="Z38" s="20">
        <f>'TE BE'!$Z$38*'TE BE'!$Z$56</f>
        <v>1.5316496487675368</v>
      </c>
      <c r="AA38" s="20">
        <f>SUM($Z$38:$Z$38)</f>
        <v>1.5316496487675368</v>
      </c>
      <c r="AB38" s="20">
        <f ca="1">SUMIF($L$4:$AA$4,"SUBTOTAL",$L$38:$AA$38)+AL38</f>
        <v>28.996013847506148</v>
      </c>
      <c r="AC38" s="9" t="str">
        <f t="shared" si="0"/>
        <v>B2</v>
      </c>
      <c r="AD38" s="9" t="str">
        <f t="shared" si="1"/>
        <v>Energia horária</v>
      </c>
      <c r="AE38" s="9" t="str">
        <f t="shared" si="2"/>
        <v>Rural</v>
      </c>
      <c r="AF38" s="9" t="str">
        <f t="shared" si="3"/>
        <v>Serviço público de irrigação rural</v>
      </c>
      <c r="AG38" s="9" t="str">
        <f t="shared" si="4"/>
        <v>Não se aplica</v>
      </c>
      <c r="AH38" s="58">
        <v>1</v>
      </c>
      <c r="AI38" s="58">
        <f ca="1">TarifaMedia!$G$52</f>
        <v>1</v>
      </c>
      <c r="AJ38" s="23">
        <f>'TE BE'!$AB38+'TE BF'!$AB38+'TE CVA'!$AB38</f>
        <v>299.18055042718134</v>
      </c>
      <c r="AK38" s="58">
        <f>ROUND(217.79/(1-CUSTOS!$M$38),2)</f>
        <v>231.69</v>
      </c>
      <c r="AL38" s="58">
        <f t="shared" ca="1" si="5"/>
        <v>-67.490550427181347</v>
      </c>
      <c r="AM38" s="58"/>
      <c r="AN38" s="58"/>
      <c r="AO38" s="82" t="s">
        <v>1026</v>
      </c>
    </row>
    <row r="39" spans="1:41" ht="11.25" customHeight="1" x14ac:dyDescent="0.3">
      <c r="A39" s="133"/>
      <c r="B39" s="22" t="s">
        <v>86</v>
      </c>
      <c r="C39" s="22" t="s">
        <v>45</v>
      </c>
      <c r="D39" s="22" t="s">
        <v>94</v>
      </c>
      <c r="E39" s="22" t="s">
        <v>25</v>
      </c>
      <c r="F39" s="22" t="s">
        <v>25</v>
      </c>
      <c r="G39" s="23" t="s">
        <v>84</v>
      </c>
      <c r="H39" s="23" t="s">
        <v>78</v>
      </c>
      <c r="I39" s="23">
        <f>'MERCADO TE'!$U$36</f>
        <v>0</v>
      </c>
      <c r="J39" s="15"/>
      <c r="L39" s="20">
        <f>'TE BE'!$L$39*'TE BE'!$L$56</f>
        <v>1.9061118106308186E-7</v>
      </c>
      <c r="M39" s="20">
        <f>'TE BE'!$M$39*'TE BE'!$M$56</f>
        <v>3.6087573256368892</v>
      </c>
      <c r="N39" s="20">
        <f>'TE BE'!$N$39*'TE BE'!$N$56</f>
        <v>-1.0383424417631652E-2</v>
      </c>
      <c r="O39" s="20">
        <f>'TE BE'!$O$39*'TE BE'!$O$56</f>
        <v>-1.1358491858510187</v>
      </c>
      <c r="P39" s="20">
        <f>'TE BE'!$P$39*'TE BE'!$P$56</f>
        <v>0</v>
      </c>
      <c r="Q39" s="20">
        <f>SUM($L$39:$P$39)</f>
        <v>2.4625249059794196</v>
      </c>
      <c r="R39" s="20">
        <f>'TE BE'!$R$39*'TE BE'!$R$56</f>
        <v>98.781943773680837</v>
      </c>
      <c r="S39" s="20">
        <f>SUM($R$39:$R$39)</f>
        <v>98.781943773680837</v>
      </c>
      <c r="T39" s="20">
        <f>'TE BE'!$T$39*'TE BE'!$T$56</f>
        <v>-0.77596165610372048</v>
      </c>
      <c r="U39" s="20">
        <f>'TE BE'!$U$39*'TE BE'!$U$56</f>
        <v>7.7838382005741613E-2</v>
      </c>
      <c r="V39" s="20">
        <f>'TE BE'!$V$39*'TE BE'!$V$56</f>
        <v>0</v>
      </c>
      <c r="W39" s="20">
        <f>SUM($T$39:$V$39)</f>
        <v>-0.69812327409797881</v>
      </c>
      <c r="X39" s="20">
        <f>'TE BE'!$AB$39*'TE BE'!$X$56</f>
        <v>0</v>
      </c>
      <c r="Y39" s="20">
        <f>SUM($X$39:$X$39)</f>
        <v>0</v>
      </c>
      <c r="Z39" s="20">
        <f>'TE BE'!$Z$39*'TE BE'!$Z$56</f>
        <v>1.5316496487675368</v>
      </c>
      <c r="AA39" s="20">
        <f>SUM($Z$39:$Z$39)</f>
        <v>1.5316496487675368</v>
      </c>
      <c r="AB39" s="20">
        <f ca="1">SUMIF($L$4:$AA$4,"SUBTOTAL",$L$39:$AA$39)+AL39</f>
        <v>31.292816824584605</v>
      </c>
      <c r="AC39" s="9" t="str">
        <f t="shared" si="0"/>
        <v>B2</v>
      </c>
      <c r="AD39" s="9" t="str">
        <f t="shared" si="1"/>
        <v>Energia convencional</v>
      </c>
      <c r="AE39" s="9" t="str">
        <f t="shared" si="2"/>
        <v>Rural</v>
      </c>
      <c r="AF39" s="9" t="str">
        <f t="shared" si="3"/>
        <v>Serviço público de irrigação rural</v>
      </c>
      <c r="AG39" s="9" t="str">
        <f t="shared" si="4"/>
        <v>Não se aplica</v>
      </c>
      <c r="AH39" s="58">
        <v>1</v>
      </c>
      <c r="AI39" s="58">
        <f ca="1">TarifaMedia!$G$52</f>
        <v>1</v>
      </c>
      <c r="AJ39" s="23">
        <f>'TE BE'!$AB39+'TE BF'!$AB39+'TE CVA'!$AB39</f>
        <v>314.78517822974521</v>
      </c>
      <c r="AK39" s="58">
        <v>244</v>
      </c>
      <c r="AL39" s="58">
        <f t="shared" ca="1" si="5"/>
        <v>-70.785178229745213</v>
      </c>
      <c r="AM39" s="58"/>
      <c r="AN39" s="58"/>
      <c r="AO39" s="82" t="s">
        <v>1020</v>
      </c>
    </row>
    <row r="40" spans="1:41" ht="11.25" customHeight="1" x14ac:dyDescent="0.3">
      <c r="A40" s="133"/>
      <c r="B40" s="133" t="s">
        <v>91</v>
      </c>
      <c r="C40" s="133" t="s">
        <v>45</v>
      </c>
      <c r="D40" s="22" t="s">
        <v>25</v>
      </c>
      <c r="E40" s="22" t="s">
        <v>25</v>
      </c>
      <c r="F40" s="22" t="s">
        <v>25</v>
      </c>
      <c r="G40" s="23" t="s">
        <v>84</v>
      </c>
      <c r="H40" s="23" t="s">
        <v>78</v>
      </c>
      <c r="I40" s="23">
        <f>'MERCADO TE'!$U$37</f>
        <v>0</v>
      </c>
      <c r="J40" s="15"/>
      <c r="L40" s="20">
        <f>'TE BE'!$L$40*'TE BE'!$L$56</f>
        <v>1.9061118106308186E-7</v>
      </c>
      <c r="M40" s="20">
        <f>'TE BE'!$M$40*'TE BE'!$M$56</f>
        <v>3.6087573256368892</v>
      </c>
      <c r="N40" s="20">
        <f>'TE BE'!$N$40*'TE BE'!$N$56</f>
        <v>-1.0383424417631652E-2</v>
      </c>
      <c r="O40" s="20">
        <f>'TE BE'!$O$40*'TE BE'!$O$56</f>
        <v>-1.1358491858510187</v>
      </c>
      <c r="P40" s="20">
        <f>'TE BE'!$P$40*'TE BE'!$P$56</f>
        <v>0</v>
      </c>
      <c r="Q40" s="20">
        <f>SUM($L$40:$P$40)</f>
        <v>2.4625249059794196</v>
      </c>
      <c r="R40" s="20">
        <f>'TE BE'!$R$40*'TE BE'!$R$56</f>
        <v>98.781943773680837</v>
      </c>
      <c r="S40" s="20">
        <f>SUM($R$40:$R$40)</f>
        <v>98.781943773680837</v>
      </c>
      <c r="T40" s="20">
        <f>'TE BE'!$T$40*'TE BE'!$T$56</f>
        <v>-0.77596165610372048</v>
      </c>
      <c r="U40" s="20">
        <f>'TE BE'!$U$40*'TE BE'!$U$56</f>
        <v>7.7838382005741613E-2</v>
      </c>
      <c r="V40" s="20">
        <f>'TE BE'!$V$40*'TE BE'!$V$56</f>
        <v>0</v>
      </c>
      <c r="W40" s="20">
        <f>SUM($T$40:$V$40)</f>
        <v>-0.69812327409797881</v>
      </c>
      <c r="X40" s="20">
        <f>'TE BE'!$AB$40*'TE BE'!$X$56</f>
        <v>0</v>
      </c>
      <c r="Y40" s="20">
        <f>SUM($X$40:$X$40)</f>
        <v>0</v>
      </c>
      <c r="Z40" s="20">
        <f>'TE BE'!$Z$40*'TE BE'!$Z$56</f>
        <v>1.5316496487675368</v>
      </c>
      <c r="AA40" s="20">
        <f>SUM($Z$40:$Z$40)</f>
        <v>1.5316496487675368</v>
      </c>
      <c r="AB40" s="20">
        <f ca="1">SUMIF($L$4:$AA$4,"SUBTOTAL",$L$40:$AA$40)+AL40</f>
        <v>31.292816824584605</v>
      </c>
      <c r="AC40" s="9" t="str">
        <f t="shared" si="0"/>
        <v>B2</v>
      </c>
      <c r="AD40" s="9" t="str">
        <f t="shared" si="1"/>
        <v>Energia convencional pré-pagamento</v>
      </c>
      <c r="AE40" s="9" t="str">
        <f t="shared" si="2"/>
        <v>Rural</v>
      </c>
      <c r="AF40" s="9" t="str">
        <f t="shared" si="3"/>
        <v>Não se aplica</v>
      </c>
      <c r="AG40" s="9" t="str">
        <f t="shared" si="4"/>
        <v>Não se aplica</v>
      </c>
      <c r="AH40" s="58">
        <v>1</v>
      </c>
      <c r="AI40" s="58">
        <f ca="1">TarifaMedia!$G$52</f>
        <v>1</v>
      </c>
      <c r="AJ40" s="23">
        <f>'TE BE'!$AB40+'TE BF'!$AB40+'TE CVA'!$AB40</f>
        <v>314.78517822974521</v>
      </c>
      <c r="AK40" s="58">
        <v>244</v>
      </c>
      <c r="AL40" s="58">
        <f t="shared" ca="1" si="5"/>
        <v>-70.785178229745213</v>
      </c>
      <c r="AM40" s="58"/>
      <c r="AN40" s="58"/>
      <c r="AO40" s="82" t="s">
        <v>1020</v>
      </c>
    </row>
    <row r="41" spans="1:41" ht="11.25" customHeight="1" x14ac:dyDescent="0.3">
      <c r="A41" s="133"/>
      <c r="B41" s="133"/>
      <c r="C41" s="133"/>
      <c r="D41" s="22" t="s">
        <v>93</v>
      </c>
      <c r="E41" s="22" t="s">
        <v>25</v>
      </c>
      <c r="F41" s="22" t="s">
        <v>25</v>
      </c>
      <c r="G41" s="23" t="s">
        <v>84</v>
      </c>
      <c r="H41" s="23" t="s">
        <v>78</v>
      </c>
      <c r="I41" s="23">
        <f>'MERCADO TE'!$U$38</f>
        <v>0</v>
      </c>
      <c r="J41" s="15"/>
      <c r="L41" s="20">
        <f>'TE BE'!$L$41*'TE BE'!$L$56</f>
        <v>1.9061118106308186E-7</v>
      </c>
      <c r="M41" s="20">
        <f>'TE BE'!$M$41*'TE BE'!$M$56</f>
        <v>3.6087573256368892</v>
      </c>
      <c r="N41" s="20">
        <f>'TE BE'!$N$41*'TE BE'!$N$56</f>
        <v>-1.0383424417631652E-2</v>
      </c>
      <c r="O41" s="20">
        <f>'TE BE'!$O$41*'TE BE'!$O$56</f>
        <v>-1.1358491858510187</v>
      </c>
      <c r="P41" s="20">
        <f>'TE BE'!$P$41*'TE BE'!$P$56</f>
        <v>0</v>
      </c>
      <c r="Q41" s="20">
        <f>SUM($L$41:$P$41)</f>
        <v>2.4625249059794196</v>
      </c>
      <c r="R41" s="20">
        <f>'TE BE'!$R$41*'TE BE'!$R$56</f>
        <v>98.781943773680837</v>
      </c>
      <c r="S41" s="20">
        <f>SUM($R$41:$R$41)</f>
        <v>98.781943773680837</v>
      </c>
      <c r="T41" s="20">
        <f>'TE BE'!$T$41*'TE BE'!$T$56</f>
        <v>-0.77596165610372048</v>
      </c>
      <c r="U41" s="20">
        <f>'TE BE'!$U$41*'TE BE'!$U$56</f>
        <v>7.7838382005741613E-2</v>
      </c>
      <c r="V41" s="20">
        <f>'TE BE'!$V$41*'TE BE'!$V$56</f>
        <v>0</v>
      </c>
      <c r="W41" s="20">
        <f>SUM($T$41:$V$41)</f>
        <v>-0.69812327409797881</v>
      </c>
      <c r="X41" s="20">
        <f>'TE BE'!$AB$41*'TE BE'!$X$56</f>
        <v>0</v>
      </c>
      <c r="Y41" s="20">
        <f>SUM($X$41:$X$41)</f>
        <v>0</v>
      </c>
      <c r="Z41" s="20">
        <f>'TE BE'!$Z$41*'TE BE'!$Z$56</f>
        <v>1.5316496487675368</v>
      </c>
      <c r="AA41" s="20">
        <f>SUM($Z$41:$Z$41)</f>
        <v>1.5316496487675368</v>
      </c>
      <c r="AB41" s="20">
        <f ca="1">SUMIF($L$4:$AA$4,"SUBTOTAL",$L$41:$AA$41)+AL41</f>
        <v>31.292816824584605</v>
      </c>
      <c r="AC41" s="9" t="str">
        <f t="shared" si="0"/>
        <v>B2</v>
      </c>
      <c r="AD41" s="9" t="str">
        <f t="shared" si="1"/>
        <v>Energia convencional pré-pagamento</v>
      </c>
      <c r="AE41" s="9" t="str">
        <f t="shared" si="2"/>
        <v>Rural</v>
      </c>
      <c r="AF41" s="9" t="str">
        <f t="shared" si="3"/>
        <v>Cooperativa de eletrificação rural</v>
      </c>
      <c r="AG41" s="9" t="str">
        <f t="shared" si="4"/>
        <v>Não se aplica</v>
      </c>
      <c r="AH41" s="58">
        <v>1</v>
      </c>
      <c r="AI41" s="58">
        <f ca="1">TarifaMedia!$G$52</f>
        <v>1</v>
      </c>
      <c r="AJ41" s="23">
        <f>'TE BE'!$AB41+'TE BF'!$AB41+'TE CVA'!$AB41</f>
        <v>314.78517822974521</v>
      </c>
      <c r="AK41" s="58">
        <v>244</v>
      </c>
      <c r="AL41" s="58">
        <f t="shared" ca="1" si="5"/>
        <v>-70.785178229745213</v>
      </c>
      <c r="AM41" s="58"/>
      <c r="AN41" s="58"/>
      <c r="AO41" s="82" t="s">
        <v>1020</v>
      </c>
    </row>
    <row r="42" spans="1:41" ht="11.25" customHeight="1" x14ac:dyDescent="0.3">
      <c r="A42" s="133"/>
      <c r="B42" s="133"/>
      <c r="C42" s="133"/>
      <c r="D42" s="22" t="s">
        <v>94</v>
      </c>
      <c r="E42" s="22" t="s">
        <v>25</v>
      </c>
      <c r="F42" s="22" t="s">
        <v>25</v>
      </c>
      <c r="G42" s="23" t="s">
        <v>84</v>
      </c>
      <c r="H42" s="23" t="s">
        <v>78</v>
      </c>
      <c r="I42" s="23">
        <f>'MERCADO TE'!$U$39</f>
        <v>0</v>
      </c>
      <c r="J42" s="15"/>
      <c r="L42" s="20">
        <f>'TE BE'!$L$42*'TE BE'!$L$56</f>
        <v>1.9061118106308186E-7</v>
      </c>
      <c r="M42" s="20">
        <f>'TE BE'!$M$42*'TE BE'!$M$56</f>
        <v>3.6087573256368892</v>
      </c>
      <c r="N42" s="20">
        <f>'TE BE'!$N$42*'TE BE'!$N$56</f>
        <v>-1.0383424417631652E-2</v>
      </c>
      <c r="O42" s="20">
        <f>'TE BE'!$O$42*'TE BE'!$O$56</f>
        <v>-1.1358491858510187</v>
      </c>
      <c r="P42" s="20">
        <f>'TE BE'!$P$42*'TE BE'!$P$56</f>
        <v>0</v>
      </c>
      <c r="Q42" s="20">
        <f>SUM($L$42:$P$42)</f>
        <v>2.4625249059794196</v>
      </c>
      <c r="R42" s="20">
        <f>'TE BE'!$R$42*'TE BE'!$R$56</f>
        <v>98.781943773680837</v>
      </c>
      <c r="S42" s="20">
        <f>SUM($R$42:$R$42)</f>
        <v>98.781943773680837</v>
      </c>
      <c r="T42" s="20">
        <f>'TE BE'!$T$42*'TE BE'!$T$56</f>
        <v>-0.77596165610372048</v>
      </c>
      <c r="U42" s="20">
        <f>'TE BE'!$U$42*'TE BE'!$U$56</f>
        <v>7.7838382005741613E-2</v>
      </c>
      <c r="V42" s="20">
        <f>'TE BE'!$V$42*'TE BE'!$V$56</f>
        <v>0</v>
      </c>
      <c r="W42" s="20">
        <f>SUM($T$42:$V$42)</f>
        <v>-0.69812327409797881</v>
      </c>
      <c r="X42" s="20">
        <f>'TE BE'!$AB$42*'TE BE'!$X$56</f>
        <v>0</v>
      </c>
      <c r="Y42" s="20">
        <f>SUM($X$42:$X$42)</f>
        <v>0</v>
      </c>
      <c r="Z42" s="20">
        <f>'TE BE'!$Z$42*'TE BE'!$Z$56</f>
        <v>1.5316496487675368</v>
      </c>
      <c r="AA42" s="20">
        <f>SUM($Z$42:$Z$42)</f>
        <v>1.5316496487675368</v>
      </c>
      <c r="AB42" s="20">
        <f ca="1">SUMIF($L$4:$AA$4,"SUBTOTAL",$L$42:$AA$42)+AL42</f>
        <v>31.292816824584605</v>
      </c>
      <c r="AC42" s="9" t="str">
        <f t="shared" si="0"/>
        <v>B2</v>
      </c>
      <c r="AD42" s="9" t="str">
        <f t="shared" si="1"/>
        <v>Energia convencional pré-pagamento</v>
      </c>
      <c r="AE42" s="9" t="str">
        <f t="shared" si="2"/>
        <v>Rural</v>
      </c>
      <c r="AF42" s="9" t="str">
        <f t="shared" si="3"/>
        <v>Serviço público de irrigação rural</v>
      </c>
      <c r="AG42" s="9" t="str">
        <f t="shared" si="4"/>
        <v>Não se aplica</v>
      </c>
      <c r="AH42" s="58">
        <v>1</v>
      </c>
      <c r="AI42" s="58">
        <f ca="1">TarifaMedia!$G$52</f>
        <v>1</v>
      </c>
      <c r="AJ42" s="23">
        <f>'TE BE'!$AB42+'TE BF'!$AB42+'TE CVA'!$AB42</f>
        <v>314.78517822974521</v>
      </c>
      <c r="AK42" s="58">
        <v>244</v>
      </c>
      <c r="AL42" s="58">
        <f t="shared" ca="1" si="5"/>
        <v>-70.785178229745213</v>
      </c>
      <c r="AM42" s="58"/>
      <c r="AN42" s="58"/>
      <c r="AO42" s="82" t="s">
        <v>1020</v>
      </c>
    </row>
    <row r="43" spans="1:41" ht="11.25" customHeight="1" x14ac:dyDescent="0.3">
      <c r="A43" s="133" t="s">
        <v>37</v>
      </c>
      <c r="B43" s="133" t="s">
        <v>77</v>
      </c>
      <c r="C43" s="133" t="s">
        <v>25</v>
      </c>
      <c r="D43" s="133" t="s">
        <v>25</v>
      </c>
      <c r="E43" s="133" t="s">
        <v>25</v>
      </c>
      <c r="F43" s="133" t="s">
        <v>25</v>
      </c>
      <c r="G43" s="23" t="s">
        <v>79</v>
      </c>
      <c r="H43" s="23" t="s">
        <v>78</v>
      </c>
      <c r="I43" s="23">
        <f>'MERCADO TE'!$U$40</f>
        <v>22.301000000000002</v>
      </c>
      <c r="J43" s="15"/>
      <c r="L43" s="20">
        <f>'TE BE'!$L$43*'TE BE'!$L$56</f>
        <v>1.9061118106308186E-7</v>
      </c>
      <c r="M43" s="20">
        <f>'TE BE'!$M$43*'TE BE'!$M$56</f>
        <v>3.6087573256368892</v>
      </c>
      <c r="N43" s="20">
        <f>'TE BE'!$N$43*'TE BE'!$N$56</f>
        <v>-1.0383424417631652E-2</v>
      </c>
      <c r="O43" s="20">
        <f>'TE BE'!$O$43*'TE BE'!$O$56</f>
        <v>-1.1358491858510187</v>
      </c>
      <c r="P43" s="20">
        <f>'TE BE'!$P$43*'TE BE'!$P$56</f>
        <v>0</v>
      </c>
      <c r="Q43" s="20">
        <f>SUM($L$43:$P$43)</f>
        <v>2.4625249059794196</v>
      </c>
      <c r="R43" s="20">
        <f>'TE BE'!$R$43*'TE BE'!$R$56</f>
        <v>160.28768234974626</v>
      </c>
      <c r="S43" s="20">
        <f>SUM($R$43:$R$43)</f>
        <v>160.28768234974626</v>
      </c>
      <c r="T43" s="20">
        <f>'TE BE'!$T$43*'TE BE'!$T$56</f>
        <v>-0.77596165610372048</v>
      </c>
      <c r="U43" s="20">
        <f>'TE BE'!$U$43*'TE BE'!$U$56</f>
        <v>7.7838382005741613E-2</v>
      </c>
      <c r="V43" s="20">
        <f>'TE BE'!$V$43*'TE BE'!$V$56</f>
        <v>0</v>
      </c>
      <c r="W43" s="20">
        <f>SUM($T$43:$V$43)</f>
        <v>-0.69812327409797881</v>
      </c>
      <c r="X43" s="20">
        <f>'TE BE'!$AB$43*'TE BE'!$X$56</f>
        <v>0</v>
      </c>
      <c r="Y43" s="20">
        <f>SUM($X$43:$X$43)</f>
        <v>0</v>
      </c>
      <c r="Z43" s="20">
        <f>'TE BE'!$Z$43*'TE BE'!$Z$56</f>
        <v>1.5316496487675368</v>
      </c>
      <c r="AA43" s="20">
        <f>SUM($Z$43:$Z$43)</f>
        <v>1.5316496487675368</v>
      </c>
      <c r="AB43" s="20">
        <f ca="1">SUMIF($L$4:$AA$4,"SUBTOTAL",$L$43:$AA$43)+AL43</f>
        <v>56.457649572447764</v>
      </c>
      <c r="AC43" s="9" t="str">
        <f t="shared" si="0"/>
        <v>B3</v>
      </c>
      <c r="AD43" s="9" t="str">
        <f t="shared" si="1"/>
        <v>Energia horária</v>
      </c>
      <c r="AE43" s="9" t="str">
        <f t="shared" si="2"/>
        <v>Não se aplica</v>
      </c>
      <c r="AF43" s="9" t="str">
        <f t="shared" si="3"/>
        <v>Não se aplica</v>
      </c>
      <c r="AG43" s="9" t="str">
        <f t="shared" si="4"/>
        <v>Não se aplica</v>
      </c>
      <c r="AH43" s="58">
        <v>1</v>
      </c>
      <c r="AI43" s="58">
        <f ca="1">TarifaMedia!$G$52</f>
        <v>1</v>
      </c>
      <c r="AJ43" s="23">
        <f>'TE BE'!$AB43+'TE BF'!$AB43+'TE CVA'!$AB43</f>
        <v>486.43608405794748</v>
      </c>
      <c r="AK43" s="58">
        <v>379.31</v>
      </c>
      <c r="AL43" s="58">
        <f t="shared" ca="1" si="5"/>
        <v>-107.12608405794748</v>
      </c>
      <c r="AM43" s="58"/>
      <c r="AN43" s="58"/>
      <c r="AO43" s="82" t="s">
        <v>1027</v>
      </c>
    </row>
    <row r="44" spans="1:41" ht="11.25" customHeight="1" x14ac:dyDescent="0.3">
      <c r="A44" s="133"/>
      <c r="B44" s="133"/>
      <c r="C44" s="133"/>
      <c r="D44" s="133"/>
      <c r="E44" s="133"/>
      <c r="F44" s="133"/>
      <c r="G44" s="23" t="s">
        <v>90</v>
      </c>
      <c r="H44" s="23" t="s">
        <v>78</v>
      </c>
      <c r="I44" s="23">
        <f>'MERCADO TE'!$U$41</f>
        <v>24.489000000000001</v>
      </c>
      <c r="J44" s="15"/>
      <c r="L44" s="20">
        <f>'TE BE'!$L$44*'TE BE'!$L$56</f>
        <v>1.9061118106308186E-7</v>
      </c>
      <c r="M44" s="20">
        <f>'TE BE'!$M$44*'TE BE'!$M$56</f>
        <v>3.6087573256368892</v>
      </c>
      <c r="N44" s="20">
        <f>'TE BE'!$N$44*'TE BE'!$N$56</f>
        <v>-1.0383424417631652E-2</v>
      </c>
      <c r="O44" s="20">
        <f>'TE BE'!$O$44*'TE BE'!$O$56</f>
        <v>-1.1358491858510187</v>
      </c>
      <c r="P44" s="20">
        <f>'TE BE'!$P$44*'TE BE'!$P$56</f>
        <v>0</v>
      </c>
      <c r="Q44" s="20">
        <f>SUM($L$44:$P$44)</f>
        <v>2.4625249059794196</v>
      </c>
      <c r="R44" s="20">
        <f>'TE BE'!$R$44*'TE BE'!$R$56</f>
        <v>93.190512994038514</v>
      </c>
      <c r="S44" s="20">
        <f>SUM($R$44:$R$44)</f>
        <v>93.190512994038514</v>
      </c>
      <c r="T44" s="20">
        <f>'TE BE'!$T$44*'TE BE'!$T$56</f>
        <v>-0.77596165610372048</v>
      </c>
      <c r="U44" s="20">
        <f>'TE BE'!$U$44*'TE BE'!$U$56</f>
        <v>7.7838382005741613E-2</v>
      </c>
      <c r="V44" s="20">
        <f>'TE BE'!$V$44*'TE BE'!$V$56</f>
        <v>0</v>
      </c>
      <c r="W44" s="20">
        <f>SUM($T$44:$V$44)</f>
        <v>-0.69812327409797881</v>
      </c>
      <c r="X44" s="20">
        <f>'TE BE'!$AB$44*'TE BE'!$X$56</f>
        <v>0</v>
      </c>
      <c r="Y44" s="20">
        <f>SUM($X$44:$X$44)</f>
        <v>0</v>
      </c>
      <c r="Z44" s="20">
        <f>'TE BE'!$Z$44*'TE BE'!$Z$56</f>
        <v>1.5316496487675368</v>
      </c>
      <c r="AA44" s="20">
        <f>SUM($Z$44:$Z$44)</f>
        <v>1.5316496487675368</v>
      </c>
      <c r="AB44" s="20">
        <f ca="1">SUMIF($L$4:$AA$4,"SUBTOTAL",$L$44:$AA$44)+AL44</f>
        <v>28.996013847506148</v>
      </c>
      <c r="AC44" s="9" t="str">
        <f t="shared" si="0"/>
        <v>B3</v>
      </c>
      <c r="AD44" s="9" t="str">
        <f t="shared" si="1"/>
        <v>Energia horária</v>
      </c>
      <c r="AE44" s="9" t="str">
        <f t="shared" si="2"/>
        <v>Não se aplica</v>
      </c>
      <c r="AF44" s="9" t="str">
        <f t="shared" si="3"/>
        <v>Não se aplica</v>
      </c>
      <c r="AG44" s="9" t="str">
        <f t="shared" si="4"/>
        <v>Não se aplica</v>
      </c>
      <c r="AH44" s="58">
        <v>1</v>
      </c>
      <c r="AI44" s="58">
        <f ca="1">TarifaMedia!$G$52</f>
        <v>1</v>
      </c>
      <c r="AJ44" s="23">
        <f>'TE BE'!$AB44+'TE BF'!$AB44+'TE CVA'!$AB44</f>
        <v>299.18055042718134</v>
      </c>
      <c r="AK44" s="58">
        <v>231.69</v>
      </c>
      <c r="AL44" s="58">
        <f t="shared" ca="1" si="5"/>
        <v>-67.490550427181347</v>
      </c>
      <c r="AM44" s="58"/>
      <c r="AN44" s="58"/>
      <c r="AO44" s="82" t="s">
        <v>1028</v>
      </c>
    </row>
    <row r="45" spans="1:41" ht="11.25" customHeight="1" x14ac:dyDescent="0.3">
      <c r="A45" s="133"/>
      <c r="B45" s="133"/>
      <c r="C45" s="133"/>
      <c r="D45" s="133"/>
      <c r="E45" s="133"/>
      <c r="F45" s="133"/>
      <c r="G45" s="23" t="s">
        <v>80</v>
      </c>
      <c r="H45" s="23" t="s">
        <v>78</v>
      </c>
      <c r="I45" s="23">
        <f>'MERCADO TE'!$U$42</f>
        <v>464.17199999999997</v>
      </c>
      <c r="J45" s="15"/>
      <c r="L45" s="20">
        <f>'TE BE'!$L$45*'TE BE'!$L$56</f>
        <v>1.9061118106308186E-7</v>
      </c>
      <c r="M45" s="20">
        <f>'TE BE'!$M$45*'TE BE'!$M$56</f>
        <v>3.6087573256368892</v>
      </c>
      <c r="N45" s="20">
        <f>'TE BE'!$N$45*'TE BE'!$N$56</f>
        <v>-1.0383424417631652E-2</v>
      </c>
      <c r="O45" s="20">
        <f>'TE BE'!$O$45*'TE BE'!$O$56</f>
        <v>-1.1358491858510187</v>
      </c>
      <c r="P45" s="20">
        <f>'TE BE'!$P$45*'TE BE'!$P$56</f>
        <v>0</v>
      </c>
      <c r="Q45" s="20">
        <f>SUM($L$45:$P$45)</f>
        <v>2.4625249059794196</v>
      </c>
      <c r="R45" s="20">
        <f>'TE BE'!$R$45*'TE BE'!$R$56</f>
        <v>93.190512994038514</v>
      </c>
      <c r="S45" s="20">
        <f>SUM($R$45:$R$45)</f>
        <v>93.190512994038514</v>
      </c>
      <c r="T45" s="20">
        <f>'TE BE'!$T$45*'TE BE'!$T$56</f>
        <v>-0.77596165610372048</v>
      </c>
      <c r="U45" s="20">
        <f>'TE BE'!$U$45*'TE BE'!$U$56</f>
        <v>7.7838382005741613E-2</v>
      </c>
      <c r="V45" s="20">
        <f>'TE BE'!$V$45*'TE BE'!$V$56</f>
        <v>0</v>
      </c>
      <c r="W45" s="20">
        <f>SUM($T$45:$V$45)</f>
        <v>-0.69812327409797881</v>
      </c>
      <c r="X45" s="20">
        <f>'TE BE'!$AB$45*'TE BE'!$X$56</f>
        <v>0</v>
      </c>
      <c r="Y45" s="20">
        <f>SUM($X$45:$X$45)</f>
        <v>0</v>
      </c>
      <c r="Z45" s="20">
        <f>'TE BE'!$Z$45*'TE BE'!$Z$56</f>
        <v>1.5316496487675368</v>
      </c>
      <c r="AA45" s="20">
        <f>SUM($Z$45:$Z$45)</f>
        <v>1.5316496487675368</v>
      </c>
      <c r="AB45" s="20">
        <f ca="1">SUMIF($L$4:$AA$4,"SUBTOTAL",$L$45:$AA$45)+AL45</f>
        <v>28.996013847506148</v>
      </c>
      <c r="AC45" s="9" t="str">
        <f t="shared" si="0"/>
        <v>B3</v>
      </c>
      <c r="AD45" s="9" t="str">
        <f t="shared" si="1"/>
        <v>Energia horária</v>
      </c>
      <c r="AE45" s="9" t="str">
        <f t="shared" si="2"/>
        <v>Não se aplica</v>
      </c>
      <c r="AF45" s="9" t="str">
        <f t="shared" si="3"/>
        <v>Não se aplica</v>
      </c>
      <c r="AG45" s="9" t="str">
        <f t="shared" si="4"/>
        <v>Não se aplica</v>
      </c>
      <c r="AH45" s="58">
        <v>1</v>
      </c>
      <c r="AI45" s="58">
        <f ca="1">TarifaMedia!$G$52</f>
        <v>1</v>
      </c>
      <c r="AJ45" s="23">
        <f>'TE BE'!$AB45+'TE BF'!$AB45+'TE CVA'!$AB45</f>
        <v>299.18055042718134</v>
      </c>
      <c r="AK45" s="58">
        <v>231.69</v>
      </c>
      <c r="AL45" s="58">
        <f t="shared" ca="1" si="5"/>
        <v>-67.490550427181347</v>
      </c>
      <c r="AM45" s="58"/>
      <c r="AN45" s="58"/>
      <c r="AO45" s="82" t="s">
        <v>1029</v>
      </c>
    </row>
    <row r="46" spans="1:41" ht="11.25" customHeight="1" x14ac:dyDescent="0.3">
      <c r="A46" s="133"/>
      <c r="B46" s="22" t="s">
        <v>86</v>
      </c>
      <c r="C46" s="22" t="s">
        <v>25</v>
      </c>
      <c r="D46" s="22" t="s">
        <v>25</v>
      </c>
      <c r="E46" s="22" t="s">
        <v>25</v>
      </c>
      <c r="F46" s="22" t="s">
        <v>25</v>
      </c>
      <c r="G46" s="23" t="s">
        <v>84</v>
      </c>
      <c r="H46" s="23" t="s">
        <v>78</v>
      </c>
      <c r="I46" s="23">
        <f>'MERCADO TE'!$U$43</f>
        <v>47738.307000000001</v>
      </c>
      <c r="J46" s="15"/>
      <c r="L46" s="20">
        <f>'TE BE'!$L$46*'TE BE'!$L$56</f>
        <v>1.9061118106308186E-7</v>
      </c>
      <c r="M46" s="20">
        <f>'TE BE'!$M$46*'TE BE'!$M$56</f>
        <v>3.6087573256368892</v>
      </c>
      <c r="N46" s="20">
        <f>'TE BE'!$N$46*'TE BE'!$N$56</f>
        <v>-1.0383424417631652E-2</v>
      </c>
      <c r="O46" s="20">
        <f>'TE BE'!$O$46*'TE BE'!$O$56</f>
        <v>-1.1358491858510187</v>
      </c>
      <c r="P46" s="20">
        <f>'TE BE'!$P$46*'TE BE'!$P$56</f>
        <v>0</v>
      </c>
      <c r="Q46" s="20">
        <f>SUM($L$46:$P$46)</f>
        <v>2.4625249059794196</v>
      </c>
      <c r="R46" s="20">
        <f>'TE BE'!$R$46*'TE BE'!$R$56</f>
        <v>98.781943773680837</v>
      </c>
      <c r="S46" s="20">
        <f>SUM($R$46:$R$46)</f>
        <v>98.781943773680837</v>
      </c>
      <c r="T46" s="20">
        <f>'TE BE'!$T$46*'TE BE'!$T$56</f>
        <v>-0.77596165610372048</v>
      </c>
      <c r="U46" s="20">
        <f>'TE BE'!$U$46*'TE BE'!$U$56</f>
        <v>7.7838382005741613E-2</v>
      </c>
      <c r="V46" s="20">
        <f>'TE BE'!$V$46*'TE BE'!$V$56</f>
        <v>0</v>
      </c>
      <c r="W46" s="20">
        <f>SUM($T$46:$V$46)</f>
        <v>-0.69812327409797881</v>
      </c>
      <c r="X46" s="20">
        <f>'TE BE'!$AB$46*'TE BE'!$X$56</f>
        <v>0</v>
      </c>
      <c r="Y46" s="20">
        <f>SUM($X$46:$X$46)</f>
        <v>0</v>
      </c>
      <c r="Z46" s="20">
        <f>'TE BE'!$Z$46*'TE BE'!$Z$56</f>
        <v>1.5316496487675368</v>
      </c>
      <c r="AA46" s="20">
        <f>SUM($Z$46:$Z$46)</f>
        <v>1.5316496487675368</v>
      </c>
      <c r="AB46" s="20">
        <f ca="1">SUMIF($L$4:$AA$4,"SUBTOTAL",$L$46:$AA$46)+AL46</f>
        <v>31.292816824584605</v>
      </c>
      <c r="AC46" s="9" t="str">
        <f t="shared" si="0"/>
        <v>B3</v>
      </c>
      <c r="AD46" s="9" t="str">
        <f t="shared" si="1"/>
        <v>Energia convencional</v>
      </c>
      <c r="AE46" s="9" t="str">
        <f t="shared" si="2"/>
        <v>Não se aplica</v>
      </c>
      <c r="AF46" s="9" t="str">
        <f t="shared" si="3"/>
        <v>Não se aplica</v>
      </c>
      <c r="AG46" s="9" t="str">
        <f t="shared" si="4"/>
        <v>Não se aplica</v>
      </c>
      <c r="AH46" s="58">
        <v>1</v>
      </c>
      <c r="AI46" s="58">
        <f ca="1">TarifaMedia!$G$52</f>
        <v>1</v>
      </c>
      <c r="AJ46" s="23">
        <f>'TE BE'!$AB46+'TE BF'!$AB46+'TE CVA'!$AB46</f>
        <v>314.78517822974521</v>
      </c>
      <c r="AK46" s="58">
        <v>244</v>
      </c>
      <c r="AL46" s="58">
        <f t="shared" ca="1" si="5"/>
        <v>-70.785178229745213</v>
      </c>
      <c r="AM46" s="58"/>
      <c r="AN46" s="58"/>
      <c r="AO46" s="82" t="s">
        <v>1030</v>
      </c>
    </row>
    <row r="47" spans="1:41" ht="11.25" customHeight="1" x14ac:dyDescent="0.3">
      <c r="A47" s="133"/>
      <c r="B47" s="22" t="s">
        <v>91</v>
      </c>
      <c r="C47" s="22" t="s">
        <v>25</v>
      </c>
      <c r="D47" s="22" t="s">
        <v>25</v>
      </c>
      <c r="E47" s="22" t="s">
        <v>25</v>
      </c>
      <c r="F47" s="22" t="s">
        <v>25</v>
      </c>
      <c r="G47" s="23" t="s">
        <v>84</v>
      </c>
      <c r="H47" s="23" t="s">
        <v>78</v>
      </c>
      <c r="I47" s="23">
        <f>'MERCADO TE'!$U$44</f>
        <v>0</v>
      </c>
      <c r="J47" s="15"/>
      <c r="L47" s="20">
        <f>'TE BE'!$L$47*'TE BE'!$L$56</f>
        <v>1.9061118106308186E-7</v>
      </c>
      <c r="M47" s="20">
        <f>'TE BE'!$M$47*'TE BE'!$M$56</f>
        <v>3.6087573256368892</v>
      </c>
      <c r="N47" s="20">
        <f>'TE BE'!$N$47*'TE BE'!$N$56</f>
        <v>-1.0383424417631652E-2</v>
      </c>
      <c r="O47" s="20">
        <f>'TE BE'!$O$47*'TE BE'!$O$56</f>
        <v>-1.1358491858510187</v>
      </c>
      <c r="P47" s="20">
        <f>'TE BE'!$P$47*'TE BE'!$P$56</f>
        <v>0</v>
      </c>
      <c r="Q47" s="20">
        <f>SUM($L$47:$P$47)</f>
        <v>2.4625249059794196</v>
      </c>
      <c r="R47" s="20">
        <f>'TE BE'!$R$47*'TE BE'!$R$56</f>
        <v>98.781943773680837</v>
      </c>
      <c r="S47" s="20">
        <f>SUM($R$47:$R$47)</f>
        <v>98.781943773680837</v>
      </c>
      <c r="T47" s="20">
        <f>'TE BE'!$T$47*'TE BE'!$T$56</f>
        <v>-0.77596165610372048</v>
      </c>
      <c r="U47" s="20">
        <f>'TE BE'!$U$47*'TE BE'!$U$56</f>
        <v>7.7838382005741613E-2</v>
      </c>
      <c r="V47" s="20">
        <f>'TE BE'!$V$47*'TE BE'!$V$56</f>
        <v>0</v>
      </c>
      <c r="W47" s="20">
        <f>SUM($T$47:$V$47)</f>
        <v>-0.69812327409797881</v>
      </c>
      <c r="X47" s="20">
        <f>'TE BE'!$AB$47*'TE BE'!$X$56</f>
        <v>0</v>
      </c>
      <c r="Y47" s="20">
        <f>SUM($X$47:$X$47)</f>
        <v>0</v>
      </c>
      <c r="Z47" s="20">
        <f>'TE BE'!$Z$47*'TE BE'!$Z$56</f>
        <v>1.5316496487675368</v>
      </c>
      <c r="AA47" s="20">
        <f>SUM($Z$47:$Z$47)</f>
        <v>1.5316496487675368</v>
      </c>
      <c r="AB47" s="20">
        <f ca="1">SUMIF($L$4:$AA$4,"SUBTOTAL",$L$47:$AA$47)+AL47</f>
        <v>31.292816824584605</v>
      </c>
      <c r="AC47" s="9" t="str">
        <f t="shared" si="0"/>
        <v>B3</v>
      </c>
      <c r="AD47" s="9" t="str">
        <f t="shared" si="1"/>
        <v>Energia convencional pré-pagamento</v>
      </c>
      <c r="AE47" s="9" t="str">
        <f t="shared" si="2"/>
        <v>Não se aplica</v>
      </c>
      <c r="AF47" s="9" t="str">
        <f t="shared" si="3"/>
        <v>Não se aplica</v>
      </c>
      <c r="AG47" s="9" t="str">
        <f t="shared" si="4"/>
        <v>Não se aplica</v>
      </c>
      <c r="AH47" s="58">
        <v>1</v>
      </c>
      <c r="AI47" s="58">
        <f ca="1">TarifaMedia!$G$52</f>
        <v>1</v>
      </c>
      <c r="AJ47" s="23">
        <f>'TE BE'!$AB47+'TE BF'!$AB47+'TE CVA'!$AB47</f>
        <v>314.78517822974521</v>
      </c>
      <c r="AK47" s="58">
        <v>244</v>
      </c>
      <c r="AL47" s="58">
        <f t="shared" ca="1" si="5"/>
        <v>-70.785178229745213</v>
      </c>
      <c r="AM47" s="58"/>
      <c r="AN47" s="58"/>
      <c r="AO47" s="82" t="s">
        <v>1031</v>
      </c>
    </row>
    <row r="48" spans="1:41" ht="11.25" customHeight="1" x14ac:dyDescent="0.3">
      <c r="A48" s="133" t="s">
        <v>47</v>
      </c>
      <c r="B48" s="133" t="s">
        <v>86</v>
      </c>
      <c r="C48" s="133" t="s">
        <v>48</v>
      </c>
      <c r="D48" s="22" t="s">
        <v>49</v>
      </c>
      <c r="E48" s="22" t="s">
        <v>25</v>
      </c>
      <c r="F48" s="22" t="s">
        <v>25</v>
      </c>
      <c r="G48" s="23" t="s">
        <v>84</v>
      </c>
      <c r="H48" s="23" t="s">
        <v>78</v>
      </c>
      <c r="I48" s="23">
        <f>'MERCADO TE'!$U$45</f>
        <v>19654.344999999998</v>
      </c>
      <c r="J48" s="15"/>
      <c r="L48" s="20">
        <f>'TE BE'!$L$48*'TE BE'!$L$56</f>
        <v>1.0483614958469504E-7</v>
      </c>
      <c r="M48" s="20">
        <f>'TE BE'!$M$48*'TE BE'!$M$56</f>
        <v>1.9848165291002891</v>
      </c>
      <c r="N48" s="20">
        <f>'TE BE'!$N$48*'TE BE'!$N$56</f>
        <v>-5.7108834296974087E-3</v>
      </c>
      <c r="O48" s="20">
        <f>'TE BE'!$O$48*'TE BE'!$O$56</f>
        <v>-0.62471705221806029</v>
      </c>
      <c r="P48" s="20">
        <f>'TE BE'!$P$48*'TE BE'!$P$56</f>
        <v>0</v>
      </c>
      <c r="Q48" s="20">
        <f>SUM($L$48:$P$48)</f>
        <v>1.3543886982886808</v>
      </c>
      <c r="R48" s="20">
        <f>'TE BE'!$R$48*'TE BE'!$R$56</f>
        <v>54.330069075524463</v>
      </c>
      <c r="S48" s="20">
        <f>SUM($R$48:$R$48)</f>
        <v>54.330069075524463</v>
      </c>
      <c r="T48" s="20">
        <f>'TE BE'!$T$48*'TE BE'!$T$56</f>
        <v>-0.42677891085704633</v>
      </c>
      <c r="U48" s="20">
        <f>'TE BE'!$U$48*'TE BE'!$U$56</f>
        <v>4.2811110103157891E-2</v>
      </c>
      <c r="V48" s="20">
        <f>'TE BE'!$V$48*'TE BE'!$V$56</f>
        <v>0</v>
      </c>
      <c r="W48" s="20">
        <f>SUM($T$48:$V$48)</f>
        <v>-0.38396780075388842</v>
      </c>
      <c r="X48" s="20">
        <f>'TE BE'!$AB$48*'TE BE'!$X$56</f>
        <v>0</v>
      </c>
      <c r="Y48" s="20">
        <f>SUM($X$48:$X$48)</f>
        <v>0</v>
      </c>
      <c r="Z48" s="20">
        <f>'TE BE'!$Z$48*'TE BE'!$Z$56</f>
        <v>0.84240730682214537</v>
      </c>
      <c r="AA48" s="20">
        <f>SUM($Z$48:$Z$48)</f>
        <v>0.84240730682214537</v>
      </c>
      <c r="AB48" s="20">
        <f ca="1">SUMIF($L$4:$AA$4,"SUBTOTAL",$L$48:$AA$48)+AL48</f>
        <v>17.211049253521544</v>
      </c>
      <c r="AC48" s="9" t="str">
        <f t="shared" si="0"/>
        <v>B4</v>
      </c>
      <c r="AD48" s="9" t="str">
        <f t="shared" si="1"/>
        <v>Energia convencional</v>
      </c>
      <c r="AE48" s="9" t="str">
        <f t="shared" si="2"/>
        <v>Iluminação pública</v>
      </c>
      <c r="AF48" s="9" t="str">
        <f t="shared" si="3"/>
        <v>Iluminação pública – B4a</v>
      </c>
      <c r="AG48" s="9" t="str">
        <f t="shared" si="4"/>
        <v>Não se aplica</v>
      </c>
      <c r="AH48" s="58">
        <v>1</v>
      </c>
      <c r="AI48" s="58">
        <f ca="1">TarifaMedia!$G$52</f>
        <v>1</v>
      </c>
      <c r="AJ48" s="23">
        <f>'TE BE'!$AB48+'TE BF'!$AB48+'TE CVA'!$AB48</f>
        <v>173.13184802635985</v>
      </c>
      <c r="AK48" s="58">
        <v>134.19999999999999</v>
      </c>
      <c r="AL48" s="58">
        <f t="shared" ca="1" si="5"/>
        <v>-38.931848026359859</v>
      </c>
      <c r="AM48" s="58"/>
      <c r="AN48" s="58"/>
      <c r="AO48" s="82" t="s">
        <v>1032</v>
      </c>
    </row>
    <row r="49" spans="1:41" ht="11.25" customHeight="1" x14ac:dyDescent="0.3">
      <c r="A49" s="133"/>
      <c r="B49" s="133"/>
      <c r="C49" s="133"/>
      <c r="D49" s="23" t="s">
        <v>95</v>
      </c>
      <c r="E49" s="23" t="s">
        <v>25</v>
      </c>
      <c r="F49" s="23" t="s">
        <v>25</v>
      </c>
      <c r="G49" s="23" t="s">
        <v>84</v>
      </c>
      <c r="H49" s="23" t="s">
        <v>78</v>
      </c>
      <c r="I49" s="23">
        <f>'MERCADO TE'!$U$46</f>
        <v>0</v>
      </c>
      <c r="J49" s="15"/>
      <c r="L49" s="20">
        <f>'TE BE'!$L$49*'TE BE'!$L$56</f>
        <v>1.1436670863784912E-7</v>
      </c>
      <c r="M49" s="20">
        <f>'TE BE'!$M$49*'TE BE'!$M$56</f>
        <v>2.1652543953821333</v>
      </c>
      <c r="N49" s="20">
        <f>'TE BE'!$N$49*'TE BE'!$N$56</f>
        <v>-6.2300546505789913E-3</v>
      </c>
      <c r="O49" s="20">
        <f>'TE BE'!$O$49*'TE BE'!$O$56</f>
        <v>-0.68150951151061123</v>
      </c>
      <c r="P49" s="20">
        <f>'TE BE'!$P$49*'TE BE'!$P$56</f>
        <v>0</v>
      </c>
      <c r="Q49" s="20">
        <f>SUM($L$49:$P$49)</f>
        <v>1.4775149435876513</v>
      </c>
      <c r="R49" s="20">
        <f>'TE BE'!$R$49*'TE BE'!$R$56</f>
        <v>59.269166264208501</v>
      </c>
      <c r="S49" s="20">
        <f>SUM($R$49:$R$49)</f>
        <v>59.269166264208501</v>
      </c>
      <c r="T49" s="20">
        <f>'TE BE'!$T$49*'TE BE'!$T$56</f>
        <v>-0.46557699366223226</v>
      </c>
      <c r="U49" s="20">
        <f>'TE BE'!$U$49*'TE BE'!$U$56</f>
        <v>4.6703029203444969E-2</v>
      </c>
      <c r="V49" s="20">
        <f>'TE BE'!$V$49*'TE BE'!$V$56</f>
        <v>0</v>
      </c>
      <c r="W49" s="20">
        <f>SUM($T$49:$V$49)</f>
        <v>-0.41887396445878727</v>
      </c>
      <c r="X49" s="20">
        <f>'TE BE'!$AB$49*'TE BE'!$X$56</f>
        <v>0</v>
      </c>
      <c r="Y49" s="20">
        <f>SUM($X$49:$X$49)</f>
        <v>0</v>
      </c>
      <c r="Z49" s="20">
        <f>'TE BE'!$Z$49*'TE BE'!$Z$56</f>
        <v>0.91898978926052211</v>
      </c>
      <c r="AA49" s="20">
        <f>SUM($Z$49:$Z$49)</f>
        <v>0.91898978926052211</v>
      </c>
      <c r="AB49" s="20">
        <f ca="1">SUMIF($L$4:$AA$4,"SUBTOTAL",$L$49:$AA$49)+AL49</f>
        <v>18.775690094750743</v>
      </c>
      <c r="AC49" s="9" t="str">
        <f t="shared" si="0"/>
        <v>B4</v>
      </c>
      <c r="AD49" s="9" t="str">
        <f t="shared" si="1"/>
        <v>Energia convencional</v>
      </c>
      <c r="AE49" s="9" t="str">
        <f t="shared" si="2"/>
        <v>Iluminação pública</v>
      </c>
      <c r="AF49" s="9" t="str">
        <f t="shared" si="3"/>
        <v>Iluminação pública – B4b</v>
      </c>
      <c r="AG49" s="9" t="str">
        <f t="shared" si="4"/>
        <v>Não se aplica</v>
      </c>
      <c r="AH49" s="58">
        <v>1</v>
      </c>
      <c r="AI49" s="58">
        <f ca="1">TarifaMedia!$G$52</f>
        <v>1</v>
      </c>
      <c r="AJ49" s="23">
        <f>'TE BE'!$AB49+'TE BF'!$AB49+'TE CVA'!$AB49</f>
        <v>188.87110693784714</v>
      </c>
      <c r="AK49" s="58">
        <v>146.4</v>
      </c>
      <c r="AL49" s="58">
        <f t="shared" ca="1" si="5"/>
        <v>-42.471106937847139</v>
      </c>
      <c r="AM49" s="58"/>
      <c r="AN49" s="58"/>
      <c r="AO49" s="82" t="s">
        <v>1033</v>
      </c>
    </row>
    <row r="51" spans="1:41" ht="11.25" customHeight="1" x14ac:dyDescent="0.3">
      <c r="K51" s="25" t="s">
        <v>779</v>
      </c>
      <c r="L51" s="20">
        <f t="shared" ref="L51:AB51" si="6">SUMPRODUCT($I$5:$I$49,L$5:L$49)</f>
        <v>5.1110480898934885E-2</v>
      </c>
      <c r="M51" s="20">
        <f t="shared" si="6"/>
        <v>967652.16674154217</v>
      </c>
      <c r="N51" s="20">
        <f t="shared" si="6"/>
        <v>-2784.2113584473482</v>
      </c>
      <c r="O51" s="20">
        <f t="shared" si="6"/>
        <v>-304566.59359503473</v>
      </c>
      <c r="P51" s="20">
        <f t="shared" si="6"/>
        <v>0</v>
      </c>
      <c r="Q51" s="20">
        <f t="shared" si="6"/>
        <v>660301.41289854085</v>
      </c>
      <c r="R51" s="20">
        <f t="shared" si="6"/>
        <v>26466463.051228777</v>
      </c>
      <c r="S51" s="20">
        <f t="shared" si="6"/>
        <v>26466463.051228777</v>
      </c>
      <c r="T51" s="20">
        <f t="shared" si="6"/>
        <v>-208066.35361789129</v>
      </c>
      <c r="U51" s="20">
        <f t="shared" si="6"/>
        <v>20871.583264529665</v>
      </c>
      <c r="V51" s="20">
        <f t="shared" si="6"/>
        <v>0</v>
      </c>
      <c r="W51" s="20">
        <f t="shared" si="6"/>
        <v>-187194.77035336156</v>
      </c>
      <c r="X51" s="20">
        <f t="shared" si="6"/>
        <v>0</v>
      </c>
      <c r="Y51" s="20">
        <f t="shared" si="6"/>
        <v>0</v>
      </c>
      <c r="Z51" s="20">
        <f t="shared" si="6"/>
        <v>410696.52724771696</v>
      </c>
      <c r="AA51" s="20">
        <f t="shared" si="6"/>
        <v>410696.52724771696</v>
      </c>
      <c r="AB51" s="20">
        <f t="shared" ca="1" si="6"/>
        <v>8381716.6234826678</v>
      </c>
    </row>
    <row r="52" spans="1:41" ht="11.25" customHeight="1" x14ac:dyDescent="0.3">
      <c r="K52" s="25" t="s">
        <v>698</v>
      </c>
      <c r="L52" s="20">
        <f>CUSTOS!$D$30</f>
        <v>731057.07646746421</v>
      </c>
      <c r="M52" s="20">
        <f>CUSTOS!$D$31</f>
        <v>5365702.4400000004</v>
      </c>
      <c r="N52" s="20">
        <f>CUSTOS!$D$32</f>
        <v>397360.84061800007</v>
      </c>
      <c r="O52" s="20">
        <f>CUSTOS!$D$33</f>
        <v>3682961.2815288282</v>
      </c>
      <c r="P52" s="20">
        <f>CUSTOS!$D$34</f>
        <v>-5084464.72</v>
      </c>
      <c r="Q52" s="20">
        <f>CUSTOS!$D$35</f>
        <v>5092616.9186142934</v>
      </c>
      <c r="R52" s="20">
        <f>CUSTOS!$D$36</f>
        <v>55492514.492287464</v>
      </c>
      <c r="S52" s="20">
        <f>CUSTOS!$D$37</f>
        <v>55492514.492287464</v>
      </c>
      <c r="T52" s="20">
        <f>CUSTOS!$D$38</f>
        <v>2161181.9848781759</v>
      </c>
      <c r="U52" s="20">
        <f>CUSTOS!$D$39</f>
        <v>1489818.5342950558</v>
      </c>
      <c r="V52" s="20">
        <f>CUSTOS!$D$40</f>
        <v>0</v>
      </c>
      <c r="W52" s="20">
        <f>CUSTOS!$D$41</f>
        <v>3651000.5191732319</v>
      </c>
      <c r="X52" s="20">
        <f>CUSTOS!$D$42</f>
        <v>0</v>
      </c>
      <c r="Y52" s="20">
        <f>CUSTOS!$D$43</f>
        <v>0</v>
      </c>
      <c r="Z52" s="20">
        <f>CUSTOS!$D$44</f>
        <v>861111.77553692611</v>
      </c>
      <c r="AA52" s="20">
        <f>CUSTOS!$D$45</f>
        <v>861111.77553692611</v>
      </c>
      <c r="AB52" s="20">
        <f>CUSTOS!$D$46</f>
        <v>65097243.705611914</v>
      </c>
    </row>
    <row r="53" spans="1:41" ht="11.25" customHeight="1" x14ac:dyDescent="0.3">
      <c r="K53" s="25" t="s">
        <v>699</v>
      </c>
      <c r="L53" s="20">
        <f>CUSTOS!$E$30</f>
        <v>5.1110480898934878E-2</v>
      </c>
      <c r="M53" s="20">
        <f>CUSTOS!$E$31</f>
        <v>967652.16674154205</v>
      </c>
      <c r="N53" s="20">
        <f>CUSTOS!$E$32</f>
        <v>-2784.2113584473482</v>
      </c>
      <c r="O53" s="20">
        <f>CUSTOS!$E$33</f>
        <v>-304566.59359503468</v>
      </c>
      <c r="P53" s="20">
        <f>CUSTOS!$E$34</f>
        <v>0</v>
      </c>
      <c r="Q53" s="20">
        <f>CUSTOS!$E$35</f>
        <v>660301.41289854096</v>
      </c>
      <c r="R53" s="20">
        <f>CUSTOS!$E$36</f>
        <v>26466463.05122878</v>
      </c>
      <c r="S53" s="20">
        <f>CUSTOS!$E$37</f>
        <v>26466463.05122878</v>
      </c>
      <c r="T53" s="20">
        <f>CUSTOS!$E$38</f>
        <v>-208066.3536178912</v>
      </c>
      <c r="U53" s="20">
        <f>CUSTOS!$E$39</f>
        <v>20871.583264529665</v>
      </c>
      <c r="V53" s="20">
        <f>CUSTOS!$E$40</f>
        <v>0</v>
      </c>
      <c r="W53" s="20">
        <f>CUSTOS!$E$41</f>
        <v>-187194.77035336153</v>
      </c>
      <c r="X53" s="20">
        <f>CUSTOS!$E$42</f>
        <v>0</v>
      </c>
      <c r="Y53" s="20">
        <f>CUSTOS!$E$43</f>
        <v>0</v>
      </c>
      <c r="Z53" s="20">
        <f>CUSTOS!$E$44</f>
        <v>410696.52724771696</v>
      </c>
      <c r="AA53" s="20">
        <f>CUSTOS!$E$45</f>
        <v>410696.52724771696</v>
      </c>
      <c r="AB53" s="20">
        <f>CUSTOS!$E$46</f>
        <v>27350266.221021675</v>
      </c>
    </row>
    <row r="54" spans="1:41" ht="11.25" customHeight="1" x14ac:dyDescent="0.3">
      <c r="K54" s="25" t="s">
        <v>700</v>
      </c>
      <c r="L54" s="20">
        <f>CUSTOS!$F$30</f>
        <v>0</v>
      </c>
      <c r="M54" s="20">
        <f>CUSTOS!$F$31</f>
        <v>-513101.21960000001</v>
      </c>
      <c r="N54" s="20">
        <f>CUSTOS!$F$32</f>
        <v>25540.483499999998</v>
      </c>
      <c r="O54" s="20">
        <f>CUSTOS!$F$33</f>
        <v>255023.19113352295</v>
      </c>
      <c r="P54" s="20">
        <f>CUSTOS!$F$34</f>
        <v>0</v>
      </c>
      <c r="Q54" s="20">
        <f>CUSTOS!$F$35</f>
        <v>-232537.54496647709</v>
      </c>
      <c r="R54" s="20">
        <f>CUSTOS!$F$36</f>
        <v>-8096075.2845074646</v>
      </c>
      <c r="S54" s="20">
        <f>CUSTOS!$F$37</f>
        <v>-8096075.2845074646</v>
      </c>
      <c r="T54" s="20">
        <f>CUSTOS!$F$38</f>
        <v>224596.42439999999</v>
      </c>
      <c r="U54" s="20">
        <f>CUSTOS!$F$39</f>
        <v>130231.45802228441</v>
      </c>
      <c r="V54" s="20">
        <f>CUSTOS!$F$40</f>
        <v>0</v>
      </c>
      <c r="W54" s="20">
        <f>CUSTOS!$F$41</f>
        <v>354827.8824222844</v>
      </c>
      <c r="X54" s="20">
        <f>CUSTOS!$F$42</f>
        <v>0</v>
      </c>
      <c r="Y54" s="20">
        <f>CUSTOS!$F$43</f>
        <v>0</v>
      </c>
      <c r="Z54" s="20">
        <f>CUSTOS!$F$44</f>
        <v>-125631.82308294547</v>
      </c>
      <c r="AA54" s="20">
        <f>CUSTOS!$F$45</f>
        <v>-125631.82308294547</v>
      </c>
      <c r="AB54" s="20">
        <f>CUSTOS!$F$46</f>
        <v>-8099416.7701346027</v>
      </c>
    </row>
    <row r="55" spans="1:41" ht="11.25" customHeight="1" x14ac:dyDescent="0.3">
      <c r="K55" s="25" t="s">
        <v>780</v>
      </c>
      <c r="L55" s="20">
        <f>'TR TE'!$L$55*L56</f>
        <v>0</v>
      </c>
      <c r="M55" s="20">
        <f>'TR TE'!$M$55*M56</f>
        <v>-1.9135572147375723</v>
      </c>
      <c r="N55" s="20">
        <f>'TR TE'!$N$55*N56</f>
        <v>9.5250556035339662E-2</v>
      </c>
      <c r="O55" s="20">
        <f>'TR TE'!$O$55*O56</f>
        <v>0.95108225955764558</v>
      </c>
      <c r="P55" s="20">
        <f>'TR TE'!$P$55*P56</f>
        <v>0</v>
      </c>
      <c r="Q55" s="20"/>
      <c r="R55" s="20">
        <f>'TR TE'!$R$55*R56</f>
        <v>-29.84558999327572</v>
      </c>
      <c r="S55" s="20"/>
      <c r="T55" s="20">
        <f>'TR TE'!$T$55*T56</f>
        <v>0.83760882238776446</v>
      </c>
      <c r="U55" s="20">
        <f>'TR TE'!$U$55*U56</f>
        <v>0.48568457170811147</v>
      </c>
      <c r="V55" s="20">
        <f>'TR TE'!$V$55*V56</f>
        <v>0</v>
      </c>
      <c r="W55" s="20"/>
      <c r="X55" s="20"/>
      <c r="Y55" s="20"/>
      <c r="Z55" s="20">
        <f>'TR TE'!$Z$55*Z56</f>
        <v>-0.46853071533998086</v>
      </c>
      <c r="AA55" s="20"/>
      <c r="AB55" s="20"/>
    </row>
    <row r="56" spans="1:41" ht="11.25" customHeight="1" x14ac:dyDescent="0.3">
      <c r="K56" s="25" t="s">
        <v>775</v>
      </c>
      <c r="L56" s="20">
        <f>IF(L52&lt;&gt;0,L54/L52,0)</f>
        <v>0</v>
      </c>
      <c r="M56" s="20">
        <f>IF(M52&lt;&gt;0,M54/M52,0)</f>
        <v>-9.5626104007362725E-2</v>
      </c>
      <c r="N56" s="20">
        <f>IF(N52&lt;&gt;0,N54/N52,0)</f>
        <v>6.4275290590481593E-2</v>
      </c>
      <c r="O56" s="20">
        <f>IF(O52&lt;&gt;0,O54/O52,0)</f>
        <v>6.9244059776718769E-2</v>
      </c>
      <c r="P56" s="20">
        <f>IF(P52&lt;&gt;0,P54/P52,0)</f>
        <v>0</v>
      </c>
      <c r="Q56" s="20"/>
      <c r="R56" s="20">
        <f>IF(R52&lt;&gt;0,R54/R52,0)</f>
        <v>-0.14589490778315126</v>
      </c>
      <c r="S56" s="20"/>
      <c r="T56" s="20">
        <f>IF(T52&lt;&gt;0,T54/T52,0)</f>
        <v>0.1039229578867049</v>
      </c>
      <c r="U56" s="20">
        <f>IF(U52&lt;&gt;0,U54/U52,0)</f>
        <v>8.7414309209078694E-2</v>
      </c>
      <c r="V56" s="20">
        <f>IF(V52&lt;&gt;0,V54/V52,0)</f>
        <v>0</v>
      </c>
      <c r="W56" s="20"/>
      <c r="X56" s="20">
        <f>IF($AB52&lt;&gt;0,X54/($AB52-SUM('TR TE'!$L55:'TR TE'!$AA55)*0),0)</f>
        <v>0</v>
      </c>
      <c r="Y56" s="20"/>
      <c r="Z56" s="20">
        <f>IF(Z52&lt;&gt;0,Z54/Z52,0)</f>
        <v>-0.14589490778315126</v>
      </c>
      <c r="AA56" s="20"/>
      <c r="AB56" s="20"/>
    </row>
    <row r="57" spans="1:41" ht="11.25" customHeight="1" x14ac:dyDescent="0.3"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</row>
  </sheetData>
  <mergeCells count="90">
    <mergeCell ref="R3:S3"/>
    <mergeCell ref="T3:W3"/>
    <mergeCell ref="X3:Y3"/>
    <mergeCell ref="A1:A4"/>
    <mergeCell ref="B1:B4"/>
    <mergeCell ref="C1:C4"/>
    <mergeCell ref="D1:D4"/>
    <mergeCell ref="E1:E4"/>
    <mergeCell ref="F1:F4"/>
    <mergeCell ref="F7:F8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A7:A8"/>
    <mergeCell ref="B7:B8"/>
    <mergeCell ref="C7:C8"/>
    <mergeCell ref="D7:D8"/>
    <mergeCell ref="E7:E8"/>
    <mergeCell ref="F12:F13"/>
    <mergeCell ref="A9:A11"/>
    <mergeCell ref="B9:B10"/>
    <mergeCell ref="C9:C10"/>
    <mergeCell ref="D9:D10"/>
    <mergeCell ref="E9:E10"/>
    <mergeCell ref="F9:F10"/>
    <mergeCell ref="A12:A14"/>
    <mergeCell ref="B12:B13"/>
    <mergeCell ref="C12:C13"/>
    <mergeCell ref="D12:D13"/>
    <mergeCell ref="E12:E13"/>
    <mergeCell ref="F15:F17"/>
    <mergeCell ref="B18:B22"/>
    <mergeCell ref="C18:C22"/>
    <mergeCell ref="B23:B27"/>
    <mergeCell ref="C23:C27"/>
    <mergeCell ref="A15:A27"/>
    <mergeCell ref="B15:B17"/>
    <mergeCell ref="C15:C17"/>
    <mergeCell ref="D15:D17"/>
    <mergeCell ref="E15:E17"/>
    <mergeCell ref="D28:D30"/>
    <mergeCell ref="E28:E30"/>
    <mergeCell ref="F28:F30"/>
    <mergeCell ref="B32:B34"/>
    <mergeCell ref="C32:C34"/>
    <mergeCell ref="D32:D34"/>
    <mergeCell ref="E32:E34"/>
    <mergeCell ref="AC1:AC4"/>
    <mergeCell ref="B40:B42"/>
    <mergeCell ref="C40:C42"/>
    <mergeCell ref="A43:A47"/>
    <mergeCell ref="B43:B45"/>
    <mergeCell ref="C43:C45"/>
    <mergeCell ref="D43:D45"/>
    <mergeCell ref="F32:F34"/>
    <mergeCell ref="B36:B38"/>
    <mergeCell ref="C36:C38"/>
    <mergeCell ref="D36:D38"/>
    <mergeCell ref="E36:E38"/>
    <mergeCell ref="F36:F38"/>
    <mergeCell ref="A28:A42"/>
    <mergeCell ref="B28:B30"/>
    <mergeCell ref="C28:C30"/>
    <mergeCell ref="E43:E45"/>
    <mergeCell ref="F43:F45"/>
    <mergeCell ref="A48:A49"/>
    <mergeCell ref="B48:B49"/>
    <mergeCell ref="C48:C49"/>
    <mergeCell ref="AJ1:AJ4"/>
    <mergeCell ref="AK1:AK4"/>
    <mergeCell ref="AL1:AL4"/>
    <mergeCell ref="AO1:AO4"/>
    <mergeCell ref="AD1:AD4"/>
    <mergeCell ref="AE1:AE4"/>
    <mergeCell ref="AF1:AF4"/>
    <mergeCell ref="AG1:AG4"/>
    <mergeCell ref="AH1:AH4"/>
    <mergeCell ref="AI1:AI4"/>
  </mergeCells>
  <conditionalFormatting sqref="L51">
    <cfRule type="cellIs" dxfId="222" priority="33" operator="notEqual">
      <formula>$L$53</formula>
    </cfRule>
    <cfRule type="cellIs" dxfId="221" priority="34" operator="equal">
      <formula>$L$53</formula>
    </cfRule>
  </conditionalFormatting>
  <conditionalFormatting sqref="M51">
    <cfRule type="cellIs" dxfId="220" priority="31" operator="notEqual">
      <formula>$M$53</formula>
    </cfRule>
    <cfRule type="cellIs" dxfId="219" priority="32" operator="equal">
      <formula>$M$53</formula>
    </cfRule>
  </conditionalFormatting>
  <conditionalFormatting sqref="N51">
    <cfRule type="cellIs" dxfId="218" priority="29" operator="notEqual">
      <formula>$N$53</formula>
    </cfRule>
    <cfRule type="cellIs" dxfId="217" priority="30" operator="equal">
      <formula>$N$53</formula>
    </cfRule>
  </conditionalFormatting>
  <conditionalFormatting sqref="O51">
    <cfRule type="cellIs" dxfId="216" priority="27" operator="notEqual">
      <formula>$O$53</formula>
    </cfRule>
    <cfRule type="cellIs" dxfId="215" priority="28" operator="equal">
      <formula>$O$53</formula>
    </cfRule>
  </conditionalFormatting>
  <conditionalFormatting sqref="P51">
    <cfRule type="cellIs" dxfId="214" priority="25" operator="notEqual">
      <formula>$P$53</formula>
    </cfRule>
    <cfRule type="cellIs" dxfId="213" priority="26" operator="equal">
      <formula>$P$53</formula>
    </cfRule>
  </conditionalFormatting>
  <conditionalFormatting sqref="Q51">
    <cfRule type="cellIs" dxfId="212" priority="23" operator="notEqual">
      <formula>$Q$53</formula>
    </cfRule>
    <cfRule type="cellIs" dxfId="211" priority="24" operator="equal">
      <formula>$Q$53</formula>
    </cfRule>
  </conditionalFormatting>
  <conditionalFormatting sqref="R51">
    <cfRule type="cellIs" dxfId="210" priority="21" operator="notEqual">
      <formula>$R$53</formula>
    </cfRule>
    <cfRule type="cellIs" dxfId="209" priority="22" operator="equal">
      <formula>$R$53</formula>
    </cfRule>
  </conditionalFormatting>
  <conditionalFormatting sqref="S51">
    <cfRule type="cellIs" dxfId="208" priority="19" operator="notEqual">
      <formula>$S$53</formula>
    </cfRule>
    <cfRule type="cellIs" dxfId="207" priority="20" operator="equal">
      <formula>$S$53</formula>
    </cfRule>
  </conditionalFormatting>
  <conditionalFormatting sqref="T51">
    <cfRule type="cellIs" dxfId="206" priority="17" operator="notEqual">
      <formula>$T$53</formula>
    </cfRule>
    <cfRule type="cellIs" dxfId="205" priority="18" operator="equal">
      <formula>$T$53</formula>
    </cfRule>
  </conditionalFormatting>
  <conditionalFormatting sqref="U51">
    <cfRule type="cellIs" dxfId="204" priority="15" operator="notEqual">
      <formula>$U$53</formula>
    </cfRule>
    <cfRule type="cellIs" dxfId="203" priority="16" operator="equal">
      <formula>$U$53</formula>
    </cfRule>
  </conditionalFormatting>
  <conditionalFormatting sqref="V51">
    <cfRule type="cellIs" dxfId="202" priority="13" operator="notEqual">
      <formula>$V$53</formula>
    </cfRule>
    <cfRule type="cellIs" dxfId="201" priority="14" operator="equal">
      <formula>$V$53</formula>
    </cfRule>
  </conditionalFormatting>
  <conditionalFormatting sqref="W51">
    <cfRule type="cellIs" dxfId="200" priority="11" operator="notEqual">
      <formula>$W$53</formula>
    </cfRule>
    <cfRule type="cellIs" dxfId="199" priority="12" operator="equal">
      <formula>$W$53</formula>
    </cfRule>
  </conditionalFormatting>
  <conditionalFormatting sqref="X51">
    <cfRule type="cellIs" dxfId="198" priority="9" operator="notEqual">
      <formula>$X$53</formula>
    </cfRule>
    <cfRule type="cellIs" dxfId="197" priority="10" operator="equal">
      <formula>$X$53</formula>
    </cfRule>
  </conditionalFormatting>
  <conditionalFormatting sqref="Y51">
    <cfRule type="cellIs" dxfId="196" priority="7" operator="notEqual">
      <formula>$Y$53</formula>
    </cfRule>
    <cfRule type="cellIs" dxfId="195" priority="8" operator="equal">
      <formula>$Y$53</formula>
    </cfRule>
  </conditionalFormatting>
  <conditionalFormatting sqref="Z51">
    <cfRule type="cellIs" dxfId="194" priority="5" operator="notEqual">
      <formula>$Z$53</formula>
    </cfRule>
    <cfRule type="cellIs" dxfId="193" priority="6" operator="equal">
      <formula>$Z$53</formula>
    </cfRule>
  </conditionalFormatting>
  <conditionalFormatting sqref="AA51">
    <cfRule type="cellIs" dxfId="192" priority="3" operator="notEqual">
      <formula>$AA$53</formula>
    </cfRule>
    <cfRule type="cellIs" dxfId="191" priority="4" operator="equal">
      <formula>$AA$53</formula>
    </cfRule>
  </conditionalFormatting>
  <conditionalFormatting sqref="AB51">
    <cfRule type="cellIs" dxfId="190" priority="1" operator="notEqual">
      <formula>$AB$53</formula>
    </cfRule>
    <cfRule type="cellIs" dxfId="189" priority="2" operator="equal">
      <formula>$AB$53</formula>
    </cfRule>
  </conditionalFormatting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383A2-D46E-4D16-9DE9-F15E2E8BD33B}">
  <sheetPr codeName="Planilha28">
    <tabColor indexed="12" tint="-0.249977111117893"/>
  </sheetPr>
  <dimension ref="A1:J1063"/>
  <sheetViews>
    <sheetView workbookViewId="0"/>
  </sheetViews>
  <sheetFormatPr defaultRowHeight="14.4" x14ac:dyDescent="0.3"/>
  <cols>
    <col min="1" max="1" width="39" bestFit="1" customWidth="1"/>
    <col min="2" max="2" width="27.5546875" style="60" bestFit="1" customWidth="1"/>
    <col min="3" max="3" width="28.77734375" style="60" bestFit="1" customWidth="1"/>
    <col min="4" max="4" width="29.33203125" style="60" bestFit="1" customWidth="1"/>
    <col min="5" max="5" width="30.6640625" style="60" bestFit="1" customWidth="1"/>
    <col min="6" max="6" width="26.88671875" style="60" bestFit="1" customWidth="1"/>
    <col min="7" max="7" width="28.109375" style="60" bestFit="1" customWidth="1"/>
    <col min="8" max="8" width="20.77734375" style="93" bestFit="1" customWidth="1"/>
    <col min="9" max="9" width="18.33203125" style="93" bestFit="1" customWidth="1"/>
    <col min="10" max="10" width="15.77734375" style="93" bestFit="1" customWidth="1"/>
  </cols>
  <sheetData>
    <row r="1" spans="1:10" x14ac:dyDescent="0.3">
      <c r="A1" s="83" t="s">
        <v>835</v>
      </c>
      <c r="B1" s="60" t="s">
        <v>836</v>
      </c>
      <c r="C1" s="60" t="s">
        <v>837</v>
      </c>
      <c r="D1" s="60" t="s">
        <v>838</v>
      </c>
      <c r="E1" s="60" t="s">
        <v>839</v>
      </c>
      <c r="F1" s="60" t="s">
        <v>840</v>
      </c>
      <c r="G1" s="60" t="s">
        <v>841</v>
      </c>
      <c r="H1" s="93" t="s">
        <v>842</v>
      </c>
      <c r="I1" s="93" t="s">
        <v>843</v>
      </c>
      <c r="J1" s="93" t="s">
        <v>844</v>
      </c>
    </row>
    <row r="2" spans="1:10" x14ac:dyDescent="0.3">
      <c r="A2" s="84" t="s">
        <v>54</v>
      </c>
      <c r="B2" s="60">
        <v>2500452.1599999992</v>
      </c>
      <c r="C2" s="60">
        <v>2835872.5260599735</v>
      </c>
      <c r="D2" s="60">
        <v>6343670.6190799996</v>
      </c>
      <c r="E2" s="60">
        <v>10312933.459263831</v>
      </c>
      <c r="F2" s="60">
        <v>0</v>
      </c>
      <c r="G2" s="60">
        <v>0</v>
      </c>
      <c r="H2" s="93">
        <v>0.48672811467816324</v>
      </c>
      <c r="I2" s="93">
        <v>0</v>
      </c>
      <c r="J2" s="93">
        <v>0.48672811467816324</v>
      </c>
    </row>
    <row r="3" spans="1:10" x14ac:dyDescent="0.3">
      <c r="A3" s="85" t="s">
        <v>40</v>
      </c>
      <c r="B3" s="60">
        <v>2500452.1599999992</v>
      </c>
      <c r="C3" s="60">
        <v>2835872.5260599735</v>
      </c>
      <c r="D3" s="60">
        <v>6343670.6190799996</v>
      </c>
      <c r="E3" s="60">
        <v>10312933.459263831</v>
      </c>
      <c r="F3" s="60">
        <v>0</v>
      </c>
      <c r="G3" s="60">
        <v>0</v>
      </c>
      <c r="H3" s="93">
        <v>0.48672811467816324</v>
      </c>
      <c r="I3" s="93">
        <v>0</v>
      </c>
      <c r="J3" s="93">
        <v>0.48672811467816324</v>
      </c>
    </row>
    <row r="4" spans="1:10" x14ac:dyDescent="0.3">
      <c r="A4" s="86" t="s">
        <v>55</v>
      </c>
      <c r="B4" s="60">
        <v>2500452.1599999992</v>
      </c>
      <c r="C4" s="60">
        <v>2835872.5260599735</v>
      </c>
      <c r="D4" s="60">
        <v>6343670.6190799996</v>
      </c>
      <c r="E4" s="60">
        <v>10312933.459263831</v>
      </c>
      <c r="F4" s="60">
        <v>0</v>
      </c>
      <c r="G4" s="60">
        <v>0</v>
      </c>
      <c r="H4" s="93">
        <v>0.48672811467816324</v>
      </c>
      <c r="I4" s="93">
        <v>0</v>
      </c>
      <c r="J4" s="93">
        <v>0.48672811467816324</v>
      </c>
    </row>
    <row r="5" spans="1:10" x14ac:dyDescent="0.3">
      <c r="A5" s="87" t="s">
        <v>38</v>
      </c>
      <c r="B5" s="60">
        <v>2500452.1599999992</v>
      </c>
      <c r="C5" s="60">
        <v>2835872.5260599735</v>
      </c>
      <c r="D5" s="60">
        <v>6343670.6190799996</v>
      </c>
      <c r="E5" s="60">
        <v>10312933.459263831</v>
      </c>
      <c r="F5" s="60">
        <v>0</v>
      </c>
      <c r="G5" s="60">
        <v>0</v>
      </c>
      <c r="H5" s="93">
        <v>0.48672811467816324</v>
      </c>
      <c r="I5" s="93">
        <v>0</v>
      </c>
      <c r="J5" s="93">
        <v>0.48672811467816324</v>
      </c>
    </row>
    <row r="6" spans="1:10" x14ac:dyDescent="0.3">
      <c r="A6" s="88" t="s">
        <v>25</v>
      </c>
      <c r="B6" s="60">
        <v>2500452.1599999992</v>
      </c>
      <c r="C6" s="60">
        <v>2835872.5260599735</v>
      </c>
      <c r="D6" s="60">
        <v>6343670.6190799996</v>
      </c>
      <c r="E6" s="60">
        <v>10312933.459263831</v>
      </c>
      <c r="F6" s="60">
        <v>0</v>
      </c>
      <c r="G6" s="60">
        <v>0</v>
      </c>
      <c r="H6" s="93">
        <v>0.48672811467816324</v>
      </c>
      <c r="I6" s="93">
        <v>0</v>
      </c>
      <c r="J6" s="93">
        <v>0.48672811467816324</v>
      </c>
    </row>
    <row r="7" spans="1:10" x14ac:dyDescent="0.3">
      <c r="A7" s="89" t="s">
        <v>25</v>
      </c>
      <c r="B7" s="60">
        <v>2500452.1599999992</v>
      </c>
      <c r="C7" s="60">
        <v>2835872.5260599735</v>
      </c>
      <c r="D7" s="60">
        <v>6343670.6190799996</v>
      </c>
      <c r="E7" s="60">
        <v>10312933.459263831</v>
      </c>
      <c r="F7" s="60">
        <v>0</v>
      </c>
      <c r="G7" s="60">
        <v>0</v>
      </c>
      <c r="H7" s="93">
        <v>0.48672811467816324</v>
      </c>
      <c r="I7" s="93">
        <v>0</v>
      </c>
      <c r="J7" s="93">
        <v>0.48672811467816324</v>
      </c>
    </row>
    <row r="8" spans="1:10" x14ac:dyDescent="0.3">
      <c r="A8" s="90" t="s">
        <v>25</v>
      </c>
      <c r="B8" s="60">
        <v>2500452.1599999992</v>
      </c>
      <c r="C8" s="60">
        <v>2835872.5260599735</v>
      </c>
      <c r="D8" s="60">
        <v>6343670.6190799996</v>
      </c>
      <c r="E8" s="60">
        <v>10312933.459263831</v>
      </c>
      <c r="F8" s="60">
        <v>0</v>
      </c>
      <c r="G8" s="60">
        <v>0</v>
      </c>
      <c r="H8" s="93">
        <v>0.48672811467816324</v>
      </c>
      <c r="I8" s="93">
        <v>0</v>
      </c>
      <c r="J8" s="93">
        <v>0.48672811467816324</v>
      </c>
    </row>
    <row r="9" spans="1:10" x14ac:dyDescent="0.3">
      <c r="A9" s="91" t="s">
        <v>35</v>
      </c>
      <c r="B9" s="60">
        <v>1663200</v>
      </c>
      <c r="C9" s="60">
        <v>1883695.4328307742</v>
      </c>
      <c r="D9" s="60">
        <v>0</v>
      </c>
      <c r="E9" s="60">
        <v>0</v>
      </c>
      <c r="F9" s="60">
        <v>0</v>
      </c>
      <c r="G9" s="60">
        <v>0</v>
      </c>
      <c r="H9" s="93">
        <v>0.13257301156251455</v>
      </c>
      <c r="I9" s="93">
        <v>0</v>
      </c>
      <c r="J9" s="93">
        <v>0.13257301156251455</v>
      </c>
    </row>
    <row r="10" spans="1:10" x14ac:dyDescent="0.3">
      <c r="A10" s="92">
        <v>44501</v>
      </c>
      <c r="B10" s="60">
        <v>138600</v>
      </c>
      <c r="C10" s="60">
        <v>156974.61940256448</v>
      </c>
      <c r="D10" s="60">
        <v>0</v>
      </c>
      <c r="E10" s="60">
        <v>0</v>
      </c>
      <c r="F10" s="60">
        <v>0</v>
      </c>
      <c r="G10" s="60">
        <v>0</v>
      </c>
      <c r="H10" s="93">
        <v>0.13257301156251433</v>
      </c>
      <c r="I10" s="93">
        <v>0</v>
      </c>
      <c r="J10" s="93">
        <v>0.13257301156251433</v>
      </c>
    </row>
    <row r="11" spans="1:10" x14ac:dyDescent="0.3">
      <c r="A11" s="92">
        <v>44531</v>
      </c>
      <c r="B11" s="60">
        <v>138600</v>
      </c>
      <c r="C11" s="60">
        <v>156974.61940256448</v>
      </c>
      <c r="D11" s="60">
        <v>0</v>
      </c>
      <c r="E11" s="60">
        <v>0</v>
      </c>
      <c r="F11" s="60">
        <v>0</v>
      </c>
      <c r="G11" s="60">
        <v>0</v>
      </c>
      <c r="H11" s="93">
        <v>0.13257301156251433</v>
      </c>
      <c r="I11" s="93">
        <v>0</v>
      </c>
      <c r="J11" s="93">
        <v>0.13257301156251433</v>
      </c>
    </row>
    <row r="12" spans="1:10" x14ac:dyDescent="0.3">
      <c r="A12" s="92">
        <v>44562</v>
      </c>
      <c r="B12" s="60">
        <v>138600</v>
      </c>
      <c r="C12" s="60">
        <v>156974.61940256448</v>
      </c>
      <c r="D12" s="60">
        <v>0</v>
      </c>
      <c r="E12" s="60">
        <v>0</v>
      </c>
      <c r="F12" s="60">
        <v>0</v>
      </c>
      <c r="G12" s="60">
        <v>0</v>
      </c>
      <c r="H12" s="93">
        <v>0.13257301156251433</v>
      </c>
      <c r="I12" s="93">
        <v>0</v>
      </c>
      <c r="J12" s="93">
        <v>0.13257301156251433</v>
      </c>
    </row>
    <row r="13" spans="1:10" x14ac:dyDescent="0.3">
      <c r="A13" s="92">
        <v>44593</v>
      </c>
      <c r="B13" s="60">
        <v>138600</v>
      </c>
      <c r="C13" s="60">
        <v>156974.61940256448</v>
      </c>
      <c r="D13" s="60">
        <v>0</v>
      </c>
      <c r="E13" s="60">
        <v>0</v>
      </c>
      <c r="F13" s="60">
        <v>0</v>
      </c>
      <c r="G13" s="60">
        <v>0</v>
      </c>
      <c r="H13" s="93">
        <v>0.13257301156251433</v>
      </c>
      <c r="I13" s="93">
        <v>0</v>
      </c>
      <c r="J13" s="93">
        <v>0.13257301156251433</v>
      </c>
    </row>
    <row r="14" spans="1:10" x14ac:dyDescent="0.3">
      <c r="A14" s="92">
        <v>44621</v>
      </c>
      <c r="B14" s="60">
        <v>138600</v>
      </c>
      <c r="C14" s="60">
        <v>156974.61940256448</v>
      </c>
      <c r="D14" s="60">
        <v>0</v>
      </c>
      <c r="E14" s="60">
        <v>0</v>
      </c>
      <c r="F14" s="60">
        <v>0</v>
      </c>
      <c r="G14" s="60">
        <v>0</v>
      </c>
      <c r="H14" s="93">
        <v>0.13257301156251433</v>
      </c>
      <c r="I14" s="93">
        <v>0</v>
      </c>
      <c r="J14" s="93">
        <v>0.13257301156251433</v>
      </c>
    </row>
    <row r="15" spans="1:10" x14ac:dyDescent="0.3">
      <c r="A15" s="92">
        <v>44652</v>
      </c>
      <c r="B15" s="60">
        <v>138600</v>
      </c>
      <c r="C15" s="60">
        <v>156974.61940256448</v>
      </c>
      <c r="D15" s="60">
        <v>0</v>
      </c>
      <c r="E15" s="60">
        <v>0</v>
      </c>
      <c r="F15" s="60">
        <v>0</v>
      </c>
      <c r="G15" s="60">
        <v>0</v>
      </c>
      <c r="H15" s="93">
        <v>0.13257301156251433</v>
      </c>
      <c r="I15" s="93">
        <v>0</v>
      </c>
      <c r="J15" s="93">
        <v>0.13257301156251433</v>
      </c>
    </row>
    <row r="16" spans="1:10" x14ac:dyDescent="0.3">
      <c r="A16" s="92">
        <v>44682</v>
      </c>
      <c r="B16" s="60">
        <v>138600</v>
      </c>
      <c r="C16" s="60">
        <v>156974.61940256448</v>
      </c>
      <c r="D16" s="60">
        <v>0</v>
      </c>
      <c r="E16" s="60">
        <v>0</v>
      </c>
      <c r="F16" s="60">
        <v>0</v>
      </c>
      <c r="G16" s="60">
        <v>0</v>
      </c>
      <c r="H16" s="93">
        <v>0.13257301156251433</v>
      </c>
      <c r="I16" s="93">
        <v>0</v>
      </c>
      <c r="J16" s="93">
        <v>0.13257301156251433</v>
      </c>
    </row>
    <row r="17" spans="1:10" x14ac:dyDescent="0.3">
      <c r="A17" s="92">
        <v>44713</v>
      </c>
      <c r="B17" s="60">
        <v>138600</v>
      </c>
      <c r="C17" s="60">
        <v>156974.61940256448</v>
      </c>
      <c r="D17" s="60">
        <v>0</v>
      </c>
      <c r="E17" s="60">
        <v>0</v>
      </c>
      <c r="F17" s="60">
        <v>0</v>
      </c>
      <c r="G17" s="60">
        <v>0</v>
      </c>
      <c r="H17" s="93">
        <v>0.13257301156251433</v>
      </c>
      <c r="I17" s="93">
        <v>0</v>
      </c>
      <c r="J17" s="93">
        <v>0.13257301156251433</v>
      </c>
    </row>
    <row r="18" spans="1:10" x14ac:dyDescent="0.3">
      <c r="A18" s="92">
        <v>44743</v>
      </c>
      <c r="B18" s="60">
        <v>138600</v>
      </c>
      <c r="C18" s="60">
        <v>156974.61940256448</v>
      </c>
      <c r="D18" s="60">
        <v>0</v>
      </c>
      <c r="E18" s="60">
        <v>0</v>
      </c>
      <c r="F18" s="60">
        <v>0</v>
      </c>
      <c r="G18" s="60">
        <v>0</v>
      </c>
      <c r="H18" s="93">
        <v>0.13257301156251433</v>
      </c>
      <c r="I18" s="93">
        <v>0</v>
      </c>
      <c r="J18" s="93">
        <v>0.13257301156251433</v>
      </c>
    </row>
    <row r="19" spans="1:10" x14ac:dyDescent="0.3">
      <c r="A19" s="92">
        <v>44774</v>
      </c>
      <c r="B19" s="60">
        <v>138600</v>
      </c>
      <c r="C19" s="60">
        <v>156974.61940256448</v>
      </c>
      <c r="D19" s="60">
        <v>0</v>
      </c>
      <c r="E19" s="60">
        <v>0</v>
      </c>
      <c r="F19" s="60">
        <v>0</v>
      </c>
      <c r="G19" s="60">
        <v>0</v>
      </c>
      <c r="H19" s="93">
        <v>0.13257301156251433</v>
      </c>
      <c r="I19" s="93">
        <v>0</v>
      </c>
      <c r="J19" s="93">
        <v>0.13257301156251433</v>
      </c>
    </row>
    <row r="20" spans="1:10" x14ac:dyDescent="0.3">
      <c r="A20" s="92">
        <v>44805</v>
      </c>
      <c r="B20" s="60">
        <v>138600</v>
      </c>
      <c r="C20" s="60">
        <v>156974.61940256448</v>
      </c>
      <c r="D20" s="60">
        <v>0</v>
      </c>
      <c r="E20" s="60">
        <v>0</v>
      </c>
      <c r="F20" s="60">
        <v>0</v>
      </c>
      <c r="G20" s="60">
        <v>0</v>
      </c>
      <c r="H20" s="93">
        <v>0.13257301156251433</v>
      </c>
      <c r="I20" s="93">
        <v>0</v>
      </c>
      <c r="J20" s="93">
        <v>0.13257301156251433</v>
      </c>
    </row>
    <row r="21" spans="1:10" x14ac:dyDescent="0.3">
      <c r="A21" s="92">
        <v>44835</v>
      </c>
      <c r="B21" s="60">
        <v>138600</v>
      </c>
      <c r="C21" s="60">
        <v>156974.61940256448</v>
      </c>
      <c r="D21" s="60">
        <v>0</v>
      </c>
      <c r="E21" s="60">
        <v>0</v>
      </c>
      <c r="F21" s="60">
        <v>0</v>
      </c>
      <c r="G21" s="60">
        <v>0</v>
      </c>
      <c r="H21" s="93">
        <v>0.13257301156251433</v>
      </c>
      <c r="I21" s="93">
        <v>0</v>
      </c>
      <c r="J21" s="93">
        <v>0.13257301156251433</v>
      </c>
    </row>
    <row r="22" spans="1:10" x14ac:dyDescent="0.3">
      <c r="A22" s="91" t="s">
        <v>25</v>
      </c>
      <c r="B22" s="60">
        <v>0</v>
      </c>
      <c r="C22" s="60">
        <v>0</v>
      </c>
      <c r="D22" s="60">
        <v>6343670.6190799996</v>
      </c>
      <c r="E22" s="60">
        <v>10312933.459263831</v>
      </c>
      <c r="F22" s="60">
        <v>0</v>
      </c>
      <c r="G22" s="60">
        <v>0</v>
      </c>
      <c r="H22" s="93">
        <v>0.62570443494424044</v>
      </c>
      <c r="I22" s="93">
        <v>0</v>
      </c>
      <c r="J22" s="93">
        <v>0.62570443494424044</v>
      </c>
    </row>
    <row r="23" spans="1:10" x14ac:dyDescent="0.3">
      <c r="A23" s="92">
        <v>44501</v>
      </c>
      <c r="B23" s="60">
        <v>0</v>
      </c>
      <c r="C23" s="60">
        <v>0</v>
      </c>
      <c r="D23" s="60">
        <v>546007.71377000003</v>
      </c>
      <c r="E23" s="60">
        <v>887647.16178965429</v>
      </c>
      <c r="F23" s="60">
        <v>0</v>
      </c>
      <c r="G23" s="60">
        <v>0</v>
      </c>
      <c r="H23" s="93">
        <v>0.62570443494424</v>
      </c>
      <c r="I23" s="93">
        <v>0</v>
      </c>
      <c r="J23" s="93">
        <v>0.62570443494424</v>
      </c>
    </row>
    <row r="24" spans="1:10" x14ac:dyDescent="0.3">
      <c r="A24" s="92">
        <v>44531</v>
      </c>
      <c r="B24" s="60">
        <v>0</v>
      </c>
      <c r="C24" s="60">
        <v>0</v>
      </c>
      <c r="D24" s="60">
        <v>572982.24549</v>
      </c>
      <c r="E24" s="60">
        <v>931499.77763740241</v>
      </c>
      <c r="F24" s="60">
        <v>0</v>
      </c>
      <c r="G24" s="60">
        <v>0</v>
      </c>
      <c r="H24" s="93">
        <v>0.62570443494424022</v>
      </c>
      <c r="I24" s="93">
        <v>0</v>
      </c>
      <c r="J24" s="93">
        <v>0.62570443494424022</v>
      </c>
    </row>
    <row r="25" spans="1:10" x14ac:dyDescent="0.3">
      <c r="A25" s="92">
        <v>44562</v>
      </c>
      <c r="B25" s="60">
        <v>0</v>
      </c>
      <c r="C25" s="60">
        <v>0</v>
      </c>
      <c r="D25" s="60">
        <v>537442.65272999997</v>
      </c>
      <c r="E25" s="60">
        <v>873722.90407135815</v>
      </c>
      <c r="F25" s="60">
        <v>0</v>
      </c>
      <c r="G25" s="60">
        <v>0</v>
      </c>
      <c r="H25" s="93">
        <v>0.62570443494424022</v>
      </c>
      <c r="I25" s="93">
        <v>0</v>
      </c>
      <c r="J25" s="93">
        <v>0.62570443494424022</v>
      </c>
    </row>
    <row r="26" spans="1:10" x14ac:dyDescent="0.3">
      <c r="A26" s="92">
        <v>44593</v>
      </c>
      <c r="B26" s="60">
        <v>0</v>
      </c>
      <c r="C26" s="60">
        <v>0</v>
      </c>
      <c r="D26" s="60">
        <v>491675.33075999998</v>
      </c>
      <c r="E26" s="60">
        <v>799318.76576920808</v>
      </c>
      <c r="F26" s="60">
        <v>0</v>
      </c>
      <c r="G26" s="60">
        <v>0</v>
      </c>
      <c r="H26" s="93">
        <v>0.62570443494424</v>
      </c>
      <c r="I26" s="93">
        <v>0</v>
      </c>
      <c r="J26" s="93">
        <v>0.62570443494424</v>
      </c>
    </row>
    <row r="27" spans="1:10" x14ac:dyDescent="0.3">
      <c r="A27" s="92">
        <v>44621</v>
      </c>
      <c r="B27" s="60">
        <v>0</v>
      </c>
      <c r="C27" s="60">
        <v>0</v>
      </c>
      <c r="D27" s="60">
        <v>512168.35051000002</v>
      </c>
      <c r="E27" s="60">
        <v>832634.35886218317</v>
      </c>
      <c r="F27" s="60">
        <v>0</v>
      </c>
      <c r="G27" s="60">
        <v>0</v>
      </c>
      <c r="H27" s="93">
        <v>0.62570443494424022</v>
      </c>
      <c r="I27" s="93">
        <v>0</v>
      </c>
      <c r="J27" s="93">
        <v>0.62570443494424022</v>
      </c>
    </row>
    <row r="28" spans="1:10" x14ac:dyDescent="0.3">
      <c r="A28" s="92">
        <v>44652</v>
      </c>
      <c r="B28" s="60">
        <v>0</v>
      </c>
      <c r="C28" s="60">
        <v>0</v>
      </c>
      <c r="D28" s="60">
        <v>561985.12875000003</v>
      </c>
      <c r="E28" s="60">
        <v>913621.71618158487</v>
      </c>
      <c r="F28" s="60">
        <v>0</v>
      </c>
      <c r="G28" s="60">
        <v>0</v>
      </c>
      <c r="H28" s="93">
        <v>0.62570443494424022</v>
      </c>
      <c r="I28" s="93">
        <v>0</v>
      </c>
      <c r="J28" s="93">
        <v>0.62570443494424022</v>
      </c>
    </row>
    <row r="29" spans="1:10" x14ac:dyDescent="0.3">
      <c r="A29" s="92">
        <v>44682</v>
      </c>
      <c r="B29" s="60">
        <v>0</v>
      </c>
      <c r="C29" s="60">
        <v>0</v>
      </c>
      <c r="D29" s="60">
        <v>558225.27734000003</v>
      </c>
      <c r="E29" s="60">
        <v>907509.30906961649</v>
      </c>
      <c r="F29" s="60">
        <v>0</v>
      </c>
      <c r="G29" s="60">
        <v>0</v>
      </c>
      <c r="H29" s="93">
        <v>0.62570443494424022</v>
      </c>
      <c r="I29" s="93">
        <v>0</v>
      </c>
      <c r="J29" s="93">
        <v>0.62570443494424022</v>
      </c>
    </row>
    <row r="30" spans="1:10" x14ac:dyDescent="0.3">
      <c r="A30" s="92">
        <v>44713</v>
      </c>
      <c r="B30" s="60">
        <v>0</v>
      </c>
      <c r="C30" s="60">
        <v>0</v>
      </c>
      <c r="D30" s="60">
        <v>484841.64764000004</v>
      </c>
      <c r="E30" s="60">
        <v>788209.21681402065</v>
      </c>
      <c r="F30" s="60">
        <v>0</v>
      </c>
      <c r="G30" s="60">
        <v>0</v>
      </c>
      <c r="H30" s="93">
        <v>0.62570443494424022</v>
      </c>
      <c r="I30" s="93">
        <v>0</v>
      </c>
      <c r="J30" s="93">
        <v>0.62570443494424022</v>
      </c>
    </row>
    <row r="31" spans="1:10" x14ac:dyDescent="0.3">
      <c r="A31" s="92">
        <v>44743</v>
      </c>
      <c r="B31" s="60">
        <v>0</v>
      </c>
      <c r="C31" s="60">
        <v>0</v>
      </c>
      <c r="D31" s="60">
        <v>457050.14351999998</v>
      </c>
      <c r="E31" s="60">
        <v>743028.44531236542</v>
      </c>
      <c r="F31" s="60">
        <v>0</v>
      </c>
      <c r="G31" s="60">
        <v>0</v>
      </c>
      <c r="H31" s="93">
        <v>0.62570443494424022</v>
      </c>
      <c r="I31" s="93">
        <v>0</v>
      </c>
      <c r="J31" s="93">
        <v>0.62570443494424022</v>
      </c>
    </row>
    <row r="32" spans="1:10" x14ac:dyDescent="0.3">
      <c r="A32" s="92">
        <v>44774</v>
      </c>
      <c r="B32" s="60">
        <v>0</v>
      </c>
      <c r="C32" s="60">
        <v>0</v>
      </c>
      <c r="D32" s="60">
        <v>524346.73604999995</v>
      </c>
      <c r="E32" s="60">
        <v>852432.8142450219</v>
      </c>
      <c r="F32" s="60">
        <v>0</v>
      </c>
      <c r="G32" s="60">
        <v>0</v>
      </c>
      <c r="H32" s="93">
        <v>0.62570443494424044</v>
      </c>
      <c r="I32" s="93">
        <v>0</v>
      </c>
      <c r="J32" s="93">
        <v>0.62570443494424044</v>
      </c>
    </row>
    <row r="33" spans="1:10" x14ac:dyDescent="0.3">
      <c r="A33" s="92">
        <v>44805</v>
      </c>
      <c r="B33" s="60">
        <v>0</v>
      </c>
      <c r="C33" s="60">
        <v>0</v>
      </c>
      <c r="D33" s="60">
        <v>548472.69626</v>
      </c>
      <c r="E33" s="60">
        <v>891654.49475570722</v>
      </c>
      <c r="F33" s="60">
        <v>0</v>
      </c>
      <c r="G33" s="60">
        <v>0</v>
      </c>
      <c r="H33" s="93">
        <v>0.62570443494424022</v>
      </c>
      <c r="I33" s="93">
        <v>0</v>
      </c>
      <c r="J33" s="93">
        <v>0.62570443494424022</v>
      </c>
    </row>
    <row r="34" spans="1:10" x14ac:dyDescent="0.3">
      <c r="A34" s="92">
        <v>44835</v>
      </c>
      <c r="B34" s="60">
        <v>0</v>
      </c>
      <c r="C34" s="60">
        <v>0</v>
      </c>
      <c r="D34" s="60">
        <v>548472.69626</v>
      </c>
      <c r="E34" s="60">
        <v>891654.49475570722</v>
      </c>
      <c r="F34" s="60">
        <v>0</v>
      </c>
      <c r="G34" s="60">
        <v>0</v>
      </c>
      <c r="H34" s="93">
        <v>0.62570443494424022</v>
      </c>
      <c r="I34" s="93">
        <v>0</v>
      </c>
      <c r="J34" s="93">
        <v>0.62570443494424022</v>
      </c>
    </row>
    <row r="35" spans="1:10" x14ac:dyDescent="0.3">
      <c r="A35" s="91" t="s">
        <v>34</v>
      </c>
      <c r="B35" s="60">
        <v>837252.1599999998</v>
      </c>
      <c r="C35" s="60">
        <v>952177.09322919929</v>
      </c>
      <c r="D35" s="60">
        <v>0</v>
      </c>
      <c r="E35" s="60">
        <v>0</v>
      </c>
      <c r="F35" s="60">
        <v>0</v>
      </c>
      <c r="G35" s="60">
        <v>0</v>
      </c>
      <c r="H35" s="93">
        <v>0.13726442130552341</v>
      </c>
      <c r="I35" s="93">
        <v>0</v>
      </c>
      <c r="J35" s="93">
        <v>0.13726442130552341</v>
      </c>
    </row>
    <row r="36" spans="1:10" x14ac:dyDescent="0.3">
      <c r="A36" s="92">
        <v>44501</v>
      </c>
      <c r="B36" s="60">
        <v>69227.759999999995</v>
      </c>
      <c r="C36" s="60">
        <v>78730.268414677645</v>
      </c>
      <c r="D36" s="60">
        <v>0</v>
      </c>
      <c r="E36" s="60">
        <v>0</v>
      </c>
      <c r="F36" s="60">
        <v>0</v>
      </c>
      <c r="G36" s="60">
        <v>0</v>
      </c>
      <c r="H36" s="93">
        <v>0.13726442130552319</v>
      </c>
      <c r="I36" s="93">
        <v>0</v>
      </c>
      <c r="J36" s="93">
        <v>0.13726442130552319</v>
      </c>
    </row>
    <row r="37" spans="1:10" x14ac:dyDescent="0.3">
      <c r="A37" s="92">
        <v>44531</v>
      </c>
      <c r="B37" s="60">
        <v>71913.16</v>
      </c>
      <c r="C37" s="60">
        <v>81784.278291651499</v>
      </c>
      <c r="D37" s="60">
        <v>0</v>
      </c>
      <c r="E37" s="60">
        <v>0</v>
      </c>
      <c r="F37" s="60">
        <v>0</v>
      </c>
      <c r="G37" s="60">
        <v>0</v>
      </c>
      <c r="H37" s="93">
        <v>0.13726442130552319</v>
      </c>
      <c r="I37" s="93">
        <v>0</v>
      </c>
      <c r="J37" s="93">
        <v>0.13726442130552319</v>
      </c>
    </row>
    <row r="38" spans="1:10" x14ac:dyDescent="0.3">
      <c r="A38" s="92">
        <v>44562</v>
      </c>
      <c r="B38" s="60">
        <v>73061.399999999994</v>
      </c>
      <c r="C38" s="60">
        <v>83090.130790771349</v>
      </c>
      <c r="D38" s="60">
        <v>0</v>
      </c>
      <c r="E38" s="60">
        <v>0</v>
      </c>
      <c r="F38" s="60">
        <v>0</v>
      </c>
      <c r="G38" s="60">
        <v>0</v>
      </c>
      <c r="H38" s="93">
        <v>0.13726442130552319</v>
      </c>
      <c r="I38" s="93">
        <v>0</v>
      </c>
      <c r="J38" s="93">
        <v>0.13726442130552319</v>
      </c>
    </row>
    <row r="39" spans="1:10" x14ac:dyDescent="0.3">
      <c r="A39" s="92">
        <v>44593</v>
      </c>
      <c r="B39" s="60">
        <v>70264.88</v>
      </c>
      <c r="C39" s="60">
        <v>79909.748091302026</v>
      </c>
      <c r="D39" s="60">
        <v>0</v>
      </c>
      <c r="E39" s="60">
        <v>0</v>
      </c>
      <c r="F39" s="60">
        <v>0</v>
      </c>
      <c r="G39" s="60">
        <v>0</v>
      </c>
      <c r="H39" s="93">
        <v>0.13726442130552297</v>
      </c>
      <c r="I39" s="93">
        <v>0</v>
      </c>
      <c r="J39" s="93">
        <v>0.13726442130552297</v>
      </c>
    </row>
    <row r="40" spans="1:10" x14ac:dyDescent="0.3">
      <c r="A40" s="92">
        <v>44621</v>
      </c>
      <c r="B40" s="60">
        <v>68524</v>
      </c>
      <c r="C40" s="60">
        <v>77929.907205539668</v>
      </c>
      <c r="D40" s="60">
        <v>0</v>
      </c>
      <c r="E40" s="60">
        <v>0</v>
      </c>
      <c r="F40" s="60">
        <v>0</v>
      </c>
      <c r="G40" s="60">
        <v>0</v>
      </c>
      <c r="H40" s="93">
        <v>0.13726442130552319</v>
      </c>
      <c r="I40" s="93">
        <v>0</v>
      </c>
      <c r="J40" s="93">
        <v>0.13726442130552319</v>
      </c>
    </row>
    <row r="41" spans="1:10" x14ac:dyDescent="0.3">
      <c r="A41" s="92">
        <v>44652</v>
      </c>
      <c r="B41" s="60">
        <v>68524</v>
      </c>
      <c r="C41" s="60">
        <v>77929.907205539668</v>
      </c>
      <c r="D41" s="60">
        <v>0</v>
      </c>
      <c r="E41" s="60">
        <v>0</v>
      </c>
      <c r="F41" s="60">
        <v>0</v>
      </c>
      <c r="G41" s="60">
        <v>0</v>
      </c>
      <c r="H41" s="93">
        <v>0.13726442130552319</v>
      </c>
      <c r="I41" s="93">
        <v>0</v>
      </c>
      <c r="J41" s="93">
        <v>0.13726442130552319</v>
      </c>
    </row>
    <row r="42" spans="1:10" x14ac:dyDescent="0.3">
      <c r="A42" s="92">
        <v>44682</v>
      </c>
      <c r="B42" s="60">
        <v>68524</v>
      </c>
      <c r="C42" s="60">
        <v>77929.907205539668</v>
      </c>
      <c r="D42" s="60">
        <v>0</v>
      </c>
      <c r="E42" s="60">
        <v>0</v>
      </c>
      <c r="F42" s="60">
        <v>0</v>
      </c>
      <c r="G42" s="60">
        <v>0</v>
      </c>
      <c r="H42" s="93">
        <v>0.13726442130552319</v>
      </c>
      <c r="I42" s="93">
        <v>0</v>
      </c>
      <c r="J42" s="93">
        <v>0.13726442130552319</v>
      </c>
    </row>
    <row r="43" spans="1:10" x14ac:dyDescent="0.3">
      <c r="A43" s="92">
        <v>44713</v>
      </c>
      <c r="B43" s="60">
        <v>68838.84</v>
      </c>
      <c r="C43" s="60">
        <v>78287.963535943505</v>
      </c>
      <c r="D43" s="60">
        <v>0</v>
      </c>
      <c r="E43" s="60">
        <v>0</v>
      </c>
      <c r="F43" s="60">
        <v>0</v>
      </c>
      <c r="G43" s="60">
        <v>0</v>
      </c>
      <c r="H43" s="93">
        <v>0.13726442130552319</v>
      </c>
      <c r="I43" s="93">
        <v>0</v>
      </c>
      <c r="J43" s="93">
        <v>0.13726442130552319</v>
      </c>
    </row>
    <row r="44" spans="1:10" x14ac:dyDescent="0.3">
      <c r="A44" s="92">
        <v>44743</v>
      </c>
      <c r="B44" s="60">
        <v>68635.12</v>
      </c>
      <c r="C44" s="60">
        <v>78056.280028035137</v>
      </c>
      <c r="D44" s="60">
        <v>0</v>
      </c>
      <c r="E44" s="60">
        <v>0</v>
      </c>
      <c r="F44" s="60">
        <v>0</v>
      </c>
      <c r="G44" s="60">
        <v>0</v>
      </c>
      <c r="H44" s="93">
        <v>0.13726442130552319</v>
      </c>
      <c r="I44" s="93">
        <v>0</v>
      </c>
      <c r="J44" s="93">
        <v>0.13726442130552319</v>
      </c>
    </row>
    <row r="45" spans="1:10" x14ac:dyDescent="0.3">
      <c r="A45" s="92">
        <v>44774</v>
      </c>
      <c r="B45" s="60">
        <v>69283.319999999992</v>
      </c>
      <c r="C45" s="60">
        <v>78793.454825925379</v>
      </c>
      <c r="D45" s="60">
        <v>0</v>
      </c>
      <c r="E45" s="60">
        <v>0</v>
      </c>
      <c r="F45" s="60">
        <v>0</v>
      </c>
      <c r="G45" s="60">
        <v>0</v>
      </c>
      <c r="H45" s="93">
        <v>0.13726442130552319</v>
      </c>
      <c r="I45" s="93">
        <v>0</v>
      </c>
      <c r="J45" s="93">
        <v>0.13726442130552319</v>
      </c>
    </row>
    <row r="46" spans="1:10" x14ac:dyDescent="0.3">
      <c r="A46" s="92">
        <v>44805</v>
      </c>
      <c r="B46" s="60">
        <v>70227.839999999997</v>
      </c>
      <c r="C46" s="60">
        <v>79867.623817136875</v>
      </c>
      <c r="D46" s="60">
        <v>0</v>
      </c>
      <c r="E46" s="60">
        <v>0</v>
      </c>
      <c r="F46" s="60">
        <v>0</v>
      </c>
      <c r="G46" s="60">
        <v>0</v>
      </c>
      <c r="H46" s="93">
        <v>0.13726442130552319</v>
      </c>
      <c r="I46" s="93">
        <v>0</v>
      </c>
      <c r="J46" s="93">
        <v>0.13726442130552319</v>
      </c>
    </row>
    <row r="47" spans="1:10" x14ac:dyDescent="0.3">
      <c r="A47" s="92">
        <v>44835</v>
      </c>
      <c r="B47" s="60">
        <v>70227.839999999997</v>
      </c>
      <c r="C47" s="60">
        <v>79867.623817136875</v>
      </c>
      <c r="D47" s="60">
        <v>0</v>
      </c>
      <c r="E47" s="60">
        <v>0</v>
      </c>
      <c r="F47" s="60">
        <v>0</v>
      </c>
      <c r="G47" s="60">
        <v>0</v>
      </c>
      <c r="H47" s="93">
        <v>0.13726442130552319</v>
      </c>
      <c r="I47" s="93">
        <v>0</v>
      </c>
      <c r="J47" s="93">
        <v>0.13726442130552319</v>
      </c>
    </row>
    <row r="48" spans="1:10" x14ac:dyDescent="0.3">
      <c r="A48" s="84" t="s">
        <v>60</v>
      </c>
      <c r="B48" s="60">
        <v>0</v>
      </c>
      <c r="C48" s="60">
        <v>0</v>
      </c>
      <c r="D48" s="60">
        <v>0</v>
      </c>
      <c r="E48" s="60">
        <v>0</v>
      </c>
      <c r="F48" s="60">
        <v>0</v>
      </c>
      <c r="G48" s="60">
        <v>0</v>
      </c>
      <c r="H48" s="93">
        <v>0</v>
      </c>
      <c r="I48" s="93">
        <v>0</v>
      </c>
      <c r="J48" s="93">
        <v>0</v>
      </c>
    </row>
    <row r="49" spans="1:10" x14ac:dyDescent="0.3">
      <c r="A49" s="85" t="s">
        <v>57</v>
      </c>
      <c r="B49" s="60">
        <v>0</v>
      </c>
      <c r="C49" s="60">
        <v>0</v>
      </c>
      <c r="D49" s="60">
        <v>0</v>
      </c>
      <c r="E49" s="60">
        <v>0</v>
      </c>
      <c r="F49" s="60">
        <v>0</v>
      </c>
      <c r="G49" s="60">
        <v>0</v>
      </c>
      <c r="H49" s="93">
        <v>0</v>
      </c>
      <c r="I49" s="93">
        <v>0</v>
      </c>
      <c r="J49" s="93">
        <v>0</v>
      </c>
    </row>
    <row r="50" spans="1:10" x14ac:dyDescent="0.3">
      <c r="A50" s="86" t="s">
        <v>59</v>
      </c>
      <c r="B50" s="60">
        <v>0</v>
      </c>
      <c r="C50" s="60">
        <v>0</v>
      </c>
      <c r="D50" s="60">
        <v>0</v>
      </c>
      <c r="E50" s="60">
        <v>0</v>
      </c>
      <c r="F50" s="60">
        <v>0</v>
      </c>
      <c r="G50" s="60">
        <v>0</v>
      </c>
      <c r="H50" s="93">
        <v>0</v>
      </c>
      <c r="I50" s="93">
        <v>0</v>
      </c>
      <c r="J50" s="93">
        <v>0</v>
      </c>
    </row>
    <row r="51" spans="1:10" x14ac:dyDescent="0.3">
      <c r="A51" s="87" t="s">
        <v>25</v>
      </c>
      <c r="B51" s="60">
        <v>0</v>
      </c>
      <c r="C51" s="60">
        <v>0</v>
      </c>
      <c r="D51" s="60">
        <v>0</v>
      </c>
      <c r="E51" s="60">
        <v>0</v>
      </c>
      <c r="F51" s="60">
        <v>0</v>
      </c>
      <c r="G51" s="60">
        <v>0</v>
      </c>
      <c r="H51" s="93">
        <v>0</v>
      </c>
      <c r="I51" s="93">
        <v>0</v>
      </c>
      <c r="J51" s="93">
        <v>0</v>
      </c>
    </row>
    <row r="52" spans="1:10" x14ac:dyDescent="0.3">
      <c r="A52" s="88" t="s">
        <v>25</v>
      </c>
      <c r="B52" s="60">
        <v>0</v>
      </c>
      <c r="C52" s="60">
        <v>0</v>
      </c>
      <c r="D52" s="60">
        <v>0</v>
      </c>
      <c r="E52" s="60">
        <v>0</v>
      </c>
      <c r="F52" s="60">
        <v>0</v>
      </c>
      <c r="G52" s="60">
        <v>0</v>
      </c>
      <c r="H52" s="93">
        <v>0</v>
      </c>
      <c r="I52" s="93">
        <v>0</v>
      </c>
      <c r="J52" s="93">
        <v>0</v>
      </c>
    </row>
    <row r="53" spans="1:10" x14ac:dyDescent="0.3">
      <c r="A53" s="89" t="s">
        <v>25</v>
      </c>
      <c r="B53" s="60">
        <v>0</v>
      </c>
      <c r="C53" s="60">
        <v>0</v>
      </c>
      <c r="D53" s="60">
        <v>0</v>
      </c>
      <c r="E53" s="60">
        <v>0</v>
      </c>
      <c r="F53" s="60">
        <v>0</v>
      </c>
      <c r="G53" s="60">
        <v>0</v>
      </c>
      <c r="H53" s="93">
        <v>0</v>
      </c>
      <c r="I53" s="93">
        <v>0</v>
      </c>
      <c r="J53" s="93">
        <v>0</v>
      </c>
    </row>
    <row r="54" spans="1:10" x14ac:dyDescent="0.3">
      <c r="A54" s="90" t="s">
        <v>61</v>
      </c>
      <c r="B54" s="60">
        <v>0</v>
      </c>
      <c r="C54" s="60">
        <v>0</v>
      </c>
      <c r="D54" s="60">
        <v>0</v>
      </c>
      <c r="E54" s="60">
        <v>0</v>
      </c>
      <c r="F54" s="60">
        <v>0</v>
      </c>
      <c r="G54" s="60">
        <v>0</v>
      </c>
      <c r="H54" s="93">
        <v>0</v>
      </c>
      <c r="I54" s="93">
        <v>0</v>
      </c>
      <c r="J54" s="93">
        <v>0</v>
      </c>
    </row>
    <row r="55" spans="1:10" x14ac:dyDescent="0.3">
      <c r="A55" s="91" t="s">
        <v>25</v>
      </c>
      <c r="B55" s="60">
        <v>0</v>
      </c>
      <c r="C55" s="60">
        <v>0</v>
      </c>
      <c r="D55" s="60">
        <v>0</v>
      </c>
      <c r="E55" s="60">
        <v>0</v>
      </c>
      <c r="F55" s="60">
        <v>0</v>
      </c>
      <c r="G55" s="60">
        <v>0</v>
      </c>
      <c r="H55" s="93">
        <v>0</v>
      </c>
      <c r="I55" s="93">
        <v>0</v>
      </c>
      <c r="J55" s="93">
        <v>0</v>
      </c>
    </row>
    <row r="56" spans="1:10" x14ac:dyDescent="0.3">
      <c r="A56" s="92">
        <v>44501</v>
      </c>
      <c r="B56" s="60">
        <v>0</v>
      </c>
      <c r="C56" s="60">
        <v>0</v>
      </c>
      <c r="D56" s="60">
        <v>0</v>
      </c>
      <c r="E56" s="60">
        <v>0</v>
      </c>
      <c r="F56" s="60">
        <v>0</v>
      </c>
      <c r="G56" s="60">
        <v>0</v>
      </c>
      <c r="H56" s="93">
        <v>0</v>
      </c>
      <c r="I56" s="93">
        <v>0</v>
      </c>
      <c r="J56" s="93">
        <v>0</v>
      </c>
    </row>
    <row r="57" spans="1:10" x14ac:dyDescent="0.3">
      <c r="A57" s="92">
        <v>44531</v>
      </c>
      <c r="B57" s="60">
        <v>0</v>
      </c>
      <c r="C57" s="60">
        <v>0</v>
      </c>
      <c r="D57" s="60">
        <v>0</v>
      </c>
      <c r="E57" s="60">
        <v>0</v>
      </c>
      <c r="F57" s="60">
        <v>0</v>
      </c>
      <c r="G57" s="60">
        <v>0</v>
      </c>
      <c r="H57" s="93">
        <v>0</v>
      </c>
      <c r="I57" s="93">
        <v>0</v>
      </c>
      <c r="J57" s="93">
        <v>0</v>
      </c>
    </row>
    <row r="58" spans="1:10" x14ac:dyDescent="0.3">
      <c r="A58" s="92">
        <v>44562</v>
      </c>
      <c r="B58" s="60">
        <v>0</v>
      </c>
      <c r="C58" s="60">
        <v>0</v>
      </c>
      <c r="D58" s="60">
        <v>0</v>
      </c>
      <c r="E58" s="60">
        <v>0</v>
      </c>
      <c r="F58" s="60">
        <v>0</v>
      </c>
      <c r="G58" s="60">
        <v>0</v>
      </c>
      <c r="H58" s="93">
        <v>0</v>
      </c>
      <c r="I58" s="93">
        <v>0</v>
      </c>
      <c r="J58" s="93">
        <v>0</v>
      </c>
    </row>
    <row r="59" spans="1:10" x14ac:dyDescent="0.3">
      <c r="A59" s="92">
        <v>44593</v>
      </c>
      <c r="B59" s="60">
        <v>0</v>
      </c>
      <c r="C59" s="60">
        <v>0</v>
      </c>
      <c r="D59" s="60">
        <v>0</v>
      </c>
      <c r="E59" s="60">
        <v>0</v>
      </c>
      <c r="F59" s="60">
        <v>0</v>
      </c>
      <c r="G59" s="60">
        <v>0</v>
      </c>
      <c r="H59" s="93">
        <v>0</v>
      </c>
      <c r="I59" s="93">
        <v>0</v>
      </c>
      <c r="J59" s="93">
        <v>0</v>
      </c>
    </row>
    <row r="60" spans="1:10" x14ac:dyDescent="0.3">
      <c r="A60" s="92">
        <v>44621</v>
      </c>
      <c r="B60" s="60">
        <v>0</v>
      </c>
      <c r="C60" s="60">
        <v>0</v>
      </c>
      <c r="D60" s="60">
        <v>0</v>
      </c>
      <c r="E60" s="60">
        <v>0</v>
      </c>
      <c r="F60" s="60">
        <v>0</v>
      </c>
      <c r="G60" s="60">
        <v>0</v>
      </c>
      <c r="H60" s="93">
        <v>0</v>
      </c>
      <c r="I60" s="93">
        <v>0</v>
      </c>
      <c r="J60" s="93">
        <v>0</v>
      </c>
    </row>
    <row r="61" spans="1:10" x14ac:dyDescent="0.3">
      <c r="A61" s="92">
        <v>44652</v>
      </c>
      <c r="B61" s="60">
        <v>0</v>
      </c>
      <c r="C61" s="60">
        <v>0</v>
      </c>
      <c r="D61" s="60">
        <v>0</v>
      </c>
      <c r="E61" s="60">
        <v>0</v>
      </c>
      <c r="F61" s="60">
        <v>0</v>
      </c>
      <c r="G61" s="60">
        <v>0</v>
      </c>
      <c r="H61" s="93">
        <v>0</v>
      </c>
      <c r="I61" s="93">
        <v>0</v>
      </c>
      <c r="J61" s="93">
        <v>0</v>
      </c>
    </row>
    <row r="62" spans="1:10" x14ac:dyDescent="0.3">
      <c r="A62" s="92">
        <v>44682</v>
      </c>
      <c r="B62" s="60">
        <v>0</v>
      </c>
      <c r="C62" s="60">
        <v>0</v>
      </c>
      <c r="D62" s="60">
        <v>0</v>
      </c>
      <c r="E62" s="60">
        <v>0</v>
      </c>
      <c r="F62" s="60">
        <v>0</v>
      </c>
      <c r="G62" s="60">
        <v>0</v>
      </c>
      <c r="H62" s="93">
        <v>0</v>
      </c>
      <c r="I62" s="93">
        <v>0</v>
      </c>
      <c r="J62" s="93">
        <v>0</v>
      </c>
    </row>
    <row r="63" spans="1:10" x14ac:dyDescent="0.3">
      <c r="A63" s="92">
        <v>44713</v>
      </c>
      <c r="B63" s="60">
        <v>0</v>
      </c>
      <c r="C63" s="60">
        <v>0</v>
      </c>
      <c r="D63" s="60">
        <v>0</v>
      </c>
      <c r="E63" s="60">
        <v>0</v>
      </c>
      <c r="F63" s="60">
        <v>0</v>
      </c>
      <c r="G63" s="60">
        <v>0</v>
      </c>
      <c r="H63" s="93">
        <v>0</v>
      </c>
      <c r="I63" s="93">
        <v>0</v>
      </c>
      <c r="J63" s="93">
        <v>0</v>
      </c>
    </row>
    <row r="64" spans="1:10" x14ac:dyDescent="0.3">
      <c r="A64" s="92">
        <v>44743</v>
      </c>
      <c r="B64" s="60">
        <v>0</v>
      </c>
      <c r="C64" s="60">
        <v>0</v>
      </c>
      <c r="D64" s="60">
        <v>0</v>
      </c>
      <c r="E64" s="60">
        <v>0</v>
      </c>
      <c r="F64" s="60">
        <v>0</v>
      </c>
      <c r="G64" s="60">
        <v>0</v>
      </c>
      <c r="H64" s="93">
        <v>0</v>
      </c>
      <c r="I64" s="93">
        <v>0</v>
      </c>
      <c r="J64" s="93">
        <v>0</v>
      </c>
    </row>
    <row r="65" spans="1:10" x14ac:dyDescent="0.3">
      <c r="A65" s="92">
        <v>44774</v>
      </c>
      <c r="B65" s="60">
        <v>0</v>
      </c>
      <c r="C65" s="60">
        <v>0</v>
      </c>
      <c r="D65" s="60">
        <v>0</v>
      </c>
      <c r="E65" s="60">
        <v>0</v>
      </c>
      <c r="F65" s="60">
        <v>0</v>
      </c>
      <c r="G65" s="60">
        <v>0</v>
      </c>
      <c r="H65" s="93">
        <v>0</v>
      </c>
      <c r="I65" s="93">
        <v>0</v>
      </c>
      <c r="J65" s="93">
        <v>0</v>
      </c>
    </row>
    <row r="66" spans="1:10" x14ac:dyDescent="0.3">
      <c r="A66" s="92">
        <v>44805</v>
      </c>
      <c r="B66" s="60">
        <v>0</v>
      </c>
      <c r="C66" s="60">
        <v>0</v>
      </c>
      <c r="D66" s="60">
        <v>0</v>
      </c>
      <c r="E66" s="60">
        <v>0</v>
      </c>
      <c r="F66" s="60">
        <v>0</v>
      </c>
      <c r="G66" s="60">
        <v>0</v>
      </c>
      <c r="H66" s="93">
        <v>0</v>
      </c>
      <c r="I66" s="93">
        <v>0</v>
      </c>
      <c r="J66" s="93">
        <v>0</v>
      </c>
    </row>
    <row r="67" spans="1:10" x14ac:dyDescent="0.3">
      <c r="A67" s="92">
        <v>44835</v>
      </c>
      <c r="B67" s="60">
        <v>0</v>
      </c>
      <c r="C67" s="60">
        <v>0</v>
      </c>
      <c r="D67" s="60">
        <v>0</v>
      </c>
      <c r="E67" s="60">
        <v>0</v>
      </c>
      <c r="F67" s="60">
        <v>0</v>
      </c>
      <c r="G67" s="60">
        <v>0</v>
      </c>
      <c r="H67" s="93">
        <v>0</v>
      </c>
      <c r="I67" s="93">
        <v>0</v>
      </c>
      <c r="J67" s="93">
        <v>0</v>
      </c>
    </row>
    <row r="68" spans="1:10" x14ac:dyDescent="0.3">
      <c r="A68" s="84" t="s">
        <v>39</v>
      </c>
      <c r="B68" s="60">
        <v>18382023.482857741</v>
      </c>
      <c r="C68" s="60">
        <v>20886405.738879986</v>
      </c>
      <c r="D68" s="60">
        <v>24243328.005616184</v>
      </c>
      <c r="E68" s="60">
        <v>36916211.876596391</v>
      </c>
      <c r="F68" s="60">
        <v>19586793.071164194</v>
      </c>
      <c r="G68" s="60">
        <v>20956896.395620469</v>
      </c>
      <c r="H68" s="93">
        <v>0.35606195836546806</v>
      </c>
      <c r="I68" s="93">
        <v>6.9950364997389602E-2</v>
      </c>
      <c r="J68" s="93">
        <v>0.26598294542950551</v>
      </c>
    </row>
    <row r="69" spans="1:10" x14ac:dyDescent="0.3">
      <c r="A69" s="85" t="s">
        <v>40</v>
      </c>
      <c r="B69" s="60">
        <v>13941660.475326583</v>
      </c>
      <c r="C69" s="60">
        <v>15869372.844583677</v>
      </c>
      <c r="D69" s="60">
        <v>12649325.493519003</v>
      </c>
      <c r="E69" s="60">
        <v>20635440.758341238</v>
      </c>
      <c r="F69" s="60">
        <v>3839935.0954169999</v>
      </c>
      <c r="G69" s="60">
        <v>4097788.9525140086</v>
      </c>
      <c r="H69" s="93">
        <v>0.37282662800448718</v>
      </c>
      <c r="I69" s="93">
        <v>6.7150576947188512E-2</v>
      </c>
      <c r="J69" s="93">
        <v>0.33425480187393153</v>
      </c>
    </row>
    <row r="70" spans="1:10" x14ac:dyDescent="0.3">
      <c r="A70" s="86" t="s">
        <v>26</v>
      </c>
      <c r="B70" s="60">
        <v>1663706.5280000009</v>
      </c>
      <c r="C70" s="60">
        <v>1882424.8967803272</v>
      </c>
      <c r="D70" s="60">
        <v>939621.90741900005</v>
      </c>
      <c r="E70" s="60">
        <v>1532849.4958659078</v>
      </c>
      <c r="F70" s="60">
        <v>3839935.0954169999</v>
      </c>
      <c r="G70" s="60">
        <v>4097788.9525140086</v>
      </c>
      <c r="H70" s="93">
        <v>0.311887638217478</v>
      </c>
      <c r="I70" s="93">
        <v>6.7150576947188512E-2</v>
      </c>
      <c r="J70" s="93">
        <v>0.16603384437163293</v>
      </c>
    </row>
    <row r="71" spans="1:10" x14ac:dyDescent="0.3">
      <c r="A71" s="87" t="s">
        <v>42</v>
      </c>
      <c r="B71" s="60">
        <v>1154124.7999999998</v>
      </c>
      <c r="C71" s="60">
        <v>1314773.0497724253</v>
      </c>
      <c r="D71" s="60">
        <v>601036.9169999999</v>
      </c>
      <c r="E71" s="60">
        <v>980499.84567826788</v>
      </c>
      <c r="F71" s="60">
        <v>2459489.4398999996</v>
      </c>
      <c r="G71" s="60">
        <v>2616948.963506774</v>
      </c>
      <c r="H71" s="93">
        <v>0.30772730126194614</v>
      </c>
      <c r="I71" s="93">
        <v>6.4021223694774809E-2</v>
      </c>
      <c r="J71" s="93">
        <v>0.1655108990255203</v>
      </c>
    </row>
    <row r="72" spans="1:10" x14ac:dyDescent="0.3">
      <c r="A72" s="88" t="s">
        <v>25</v>
      </c>
      <c r="B72" s="60">
        <v>1154124.7999999998</v>
      </c>
      <c r="C72" s="60">
        <v>1314773.0497724253</v>
      </c>
      <c r="D72" s="60">
        <v>601036.9169999999</v>
      </c>
      <c r="E72" s="60">
        <v>980499.84567826788</v>
      </c>
      <c r="F72" s="60">
        <v>2459489.4398999996</v>
      </c>
      <c r="G72" s="60">
        <v>2616948.963506774</v>
      </c>
      <c r="H72" s="93">
        <v>0.30772730126194614</v>
      </c>
      <c r="I72" s="93">
        <v>6.4021223694774809E-2</v>
      </c>
      <c r="J72" s="93">
        <v>0.1655108990255203</v>
      </c>
    </row>
    <row r="73" spans="1:10" x14ac:dyDescent="0.3">
      <c r="A73" s="89" t="s">
        <v>25</v>
      </c>
      <c r="B73" s="60">
        <v>1154124.7999999998</v>
      </c>
      <c r="C73" s="60">
        <v>1314773.0497724253</v>
      </c>
      <c r="D73" s="60">
        <v>601036.9169999999</v>
      </c>
      <c r="E73" s="60">
        <v>980499.84567826788</v>
      </c>
      <c r="F73" s="60">
        <v>2459489.4398999996</v>
      </c>
      <c r="G73" s="60">
        <v>2616948.963506774</v>
      </c>
      <c r="H73" s="93">
        <v>0.30772730126194614</v>
      </c>
      <c r="I73" s="93">
        <v>6.4021223694774809E-2</v>
      </c>
      <c r="J73" s="93">
        <v>0.1655108990255203</v>
      </c>
    </row>
    <row r="74" spans="1:10" x14ac:dyDescent="0.3">
      <c r="A74" s="90" t="s">
        <v>25</v>
      </c>
      <c r="B74" s="60">
        <v>1154124.7999999998</v>
      </c>
      <c r="C74" s="60">
        <v>1314773.0497724253</v>
      </c>
      <c r="D74" s="60">
        <v>601036.9169999999</v>
      </c>
      <c r="E74" s="60">
        <v>980499.84567826788</v>
      </c>
      <c r="F74" s="60">
        <v>2459489.4398999996</v>
      </c>
      <c r="G74" s="60">
        <v>2616948.963506774</v>
      </c>
      <c r="H74" s="93">
        <v>0.30772730126194614</v>
      </c>
      <c r="I74" s="93">
        <v>6.4021223694774809E-2</v>
      </c>
      <c r="J74" s="93">
        <v>0.1655108990255203</v>
      </c>
    </row>
    <row r="75" spans="1:10" x14ac:dyDescent="0.3">
      <c r="A75" s="91" t="s">
        <v>35</v>
      </c>
      <c r="B75" s="60">
        <v>332360</v>
      </c>
      <c r="C75" s="60">
        <v>378078.19575351791</v>
      </c>
      <c r="D75" s="60">
        <v>540368.14650000003</v>
      </c>
      <c r="E75" s="60">
        <v>881528.02143549803</v>
      </c>
      <c r="F75" s="60">
        <v>2087101.7516999999</v>
      </c>
      <c r="G75" s="60">
        <v>2215948.3597474215</v>
      </c>
      <c r="H75" s="93">
        <v>0.4432973455027851</v>
      </c>
      <c r="I75" s="93">
        <v>6.1734703611106889E-2</v>
      </c>
      <c r="J75" s="93">
        <v>0.17424132347945798</v>
      </c>
    </row>
    <row r="76" spans="1:10" x14ac:dyDescent="0.3">
      <c r="A76" s="92">
        <v>44501</v>
      </c>
      <c r="B76" s="60">
        <v>27678</v>
      </c>
      <c r="C76" s="60">
        <v>31485.281929431545</v>
      </c>
      <c r="D76" s="60">
        <v>46117.774949999999</v>
      </c>
      <c r="E76" s="60">
        <v>75234.09950790109</v>
      </c>
      <c r="F76" s="60">
        <v>178123.91331</v>
      </c>
      <c r="G76" s="60">
        <v>189120.34030424335</v>
      </c>
      <c r="H76" s="93">
        <v>0.4461448708905067</v>
      </c>
      <c r="I76" s="93">
        <v>6.1734703611106889E-2</v>
      </c>
      <c r="J76" s="93">
        <v>0.17434140929964648</v>
      </c>
    </row>
    <row r="77" spans="1:10" x14ac:dyDescent="0.3">
      <c r="A77" s="92">
        <v>44531</v>
      </c>
      <c r="B77" s="60">
        <v>27706</v>
      </c>
      <c r="C77" s="60">
        <v>31517.133504473964</v>
      </c>
      <c r="D77" s="60">
        <v>46035.01890000001</v>
      </c>
      <c r="E77" s="60">
        <v>75099.09566377959</v>
      </c>
      <c r="F77" s="60">
        <v>177804.27882000004</v>
      </c>
      <c r="G77" s="60">
        <v>188780.97327373934</v>
      </c>
      <c r="H77" s="93">
        <v>0.44581985384329359</v>
      </c>
      <c r="I77" s="93">
        <v>6.1734703611106889E-2</v>
      </c>
      <c r="J77" s="93">
        <v>0.17433005156313941</v>
      </c>
    </row>
    <row r="78" spans="1:10" x14ac:dyDescent="0.3">
      <c r="A78" s="92">
        <v>44562</v>
      </c>
      <c r="B78" s="60">
        <v>27846</v>
      </c>
      <c r="C78" s="60">
        <v>31676.391379686058</v>
      </c>
      <c r="D78" s="60">
        <v>46324.556850000001</v>
      </c>
      <c r="E78" s="60">
        <v>75571.432565662428</v>
      </c>
      <c r="F78" s="60">
        <v>178922.58153</v>
      </c>
      <c r="G78" s="60">
        <v>189968.31407008864</v>
      </c>
      <c r="H78" s="93">
        <v>0.4459622321865917</v>
      </c>
      <c r="I78" s="93">
        <v>6.1734703611106889E-2</v>
      </c>
      <c r="J78" s="93">
        <v>0.17433502906424048</v>
      </c>
    </row>
    <row r="79" spans="1:10" x14ac:dyDescent="0.3">
      <c r="A79" s="92">
        <v>44593</v>
      </c>
      <c r="B79" s="60">
        <v>27552</v>
      </c>
      <c r="C79" s="60">
        <v>31341.949841740658</v>
      </c>
      <c r="D79" s="60">
        <v>46422.753000000004</v>
      </c>
      <c r="E79" s="60">
        <v>75731.624572505825</v>
      </c>
      <c r="F79" s="60">
        <v>179301.85139999999</v>
      </c>
      <c r="G79" s="60">
        <v>190370.99805310174</v>
      </c>
      <c r="H79" s="93">
        <v>0.44743402406827215</v>
      </c>
      <c r="I79" s="93">
        <v>6.1734703611107111E-2</v>
      </c>
      <c r="J79" s="93">
        <v>0.17438629269363415</v>
      </c>
    </row>
    <row r="80" spans="1:10" x14ac:dyDescent="0.3">
      <c r="A80" s="92">
        <v>44621</v>
      </c>
      <c r="B80" s="60">
        <v>27874</v>
      </c>
      <c r="C80" s="60">
        <v>31708.242954728477</v>
      </c>
      <c r="D80" s="60">
        <v>43387.907550000004</v>
      </c>
      <c r="E80" s="60">
        <v>70780.738177315579</v>
      </c>
      <c r="F80" s="60">
        <v>167580.15518999999</v>
      </c>
      <c r="G80" s="60">
        <v>177925.66640175795</v>
      </c>
      <c r="H80" s="93">
        <v>0.43820148317155239</v>
      </c>
      <c r="I80" s="93">
        <v>6.1734703611106889E-2</v>
      </c>
      <c r="J80" s="93">
        <v>0.17405889195931668</v>
      </c>
    </row>
    <row r="81" spans="1:10" x14ac:dyDescent="0.3">
      <c r="A81" s="92">
        <v>44652</v>
      </c>
      <c r="B81" s="60">
        <v>28084</v>
      </c>
      <c r="C81" s="60">
        <v>31947.129767546623</v>
      </c>
      <c r="D81" s="60">
        <v>49674.481350000009</v>
      </c>
      <c r="E81" s="60">
        <v>81036.322262752132</v>
      </c>
      <c r="F81" s="60">
        <v>191861.22963000002</v>
      </c>
      <c r="G81" s="60">
        <v>203705.72577567058</v>
      </c>
      <c r="H81" s="93">
        <v>0.45300486929196859</v>
      </c>
      <c r="I81" s="93">
        <v>6.1734703611106889E-2</v>
      </c>
      <c r="J81" s="93">
        <v>0.17457724680025644</v>
      </c>
    </row>
    <row r="82" spans="1:10" x14ac:dyDescent="0.3">
      <c r="A82" s="92">
        <v>44682</v>
      </c>
      <c r="B82" s="60">
        <v>27888</v>
      </c>
      <c r="C82" s="60">
        <v>31724.168742249687</v>
      </c>
      <c r="D82" s="60">
        <v>45853.778100000003</v>
      </c>
      <c r="E82" s="60">
        <v>74803.429006034814</v>
      </c>
      <c r="F82" s="60">
        <v>177104.25978000002</v>
      </c>
      <c r="G82" s="60">
        <v>188037.73876578279</v>
      </c>
      <c r="H82" s="93">
        <v>0.4446030526118343</v>
      </c>
      <c r="I82" s="93">
        <v>6.1734703611106889E-2</v>
      </c>
      <c r="J82" s="93">
        <v>0.17428737963555863</v>
      </c>
    </row>
    <row r="83" spans="1:10" x14ac:dyDescent="0.3">
      <c r="A83" s="92">
        <v>44713</v>
      </c>
      <c r="B83" s="60">
        <v>27664</v>
      </c>
      <c r="C83" s="60">
        <v>31469.356141910335</v>
      </c>
      <c r="D83" s="60">
        <v>43890.215850000001</v>
      </c>
      <c r="E83" s="60">
        <v>71600.177377641623</v>
      </c>
      <c r="F83" s="60">
        <v>169520.25573</v>
      </c>
      <c r="G83" s="60">
        <v>179985.53847357057</v>
      </c>
      <c r="H83" s="93">
        <v>0.44043970428825463</v>
      </c>
      <c r="I83" s="93">
        <v>6.1734703611106667E-2</v>
      </c>
      <c r="J83" s="93">
        <v>0.17413955172433648</v>
      </c>
    </row>
    <row r="84" spans="1:10" x14ac:dyDescent="0.3">
      <c r="A84" s="92">
        <v>44743</v>
      </c>
      <c r="B84" s="60">
        <v>27468</v>
      </c>
      <c r="C84" s="60">
        <v>31246.395116613399</v>
      </c>
      <c r="D84" s="60">
        <v>42025.426950000001</v>
      </c>
      <c r="E84" s="60">
        <v>68558.059369651528</v>
      </c>
      <c r="F84" s="60">
        <v>162317.75091</v>
      </c>
      <c r="G84" s="60">
        <v>172338.38915325032</v>
      </c>
      <c r="H84" s="93">
        <v>0.436171144043213</v>
      </c>
      <c r="I84" s="93">
        <v>6.1734703611106889E-2</v>
      </c>
      <c r="J84" s="93">
        <v>0.17398499137031753</v>
      </c>
    </row>
    <row r="85" spans="1:10" x14ac:dyDescent="0.3">
      <c r="A85" s="92">
        <v>44774</v>
      </c>
      <c r="B85" s="60">
        <v>27412</v>
      </c>
      <c r="C85" s="60">
        <v>31182.69196652856</v>
      </c>
      <c r="D85" s="60">
        <v>44435.742000000006</v>
      </c>
      <c r="E85" s="60">
        <v>72490.119893249968</v>
      </c>
      <c r="F85" s="60">
        <v>171627.27960000001</v>
      </c>
      <c r="G85" s="60">
        <v>182222.63883768657</v>
      </c>
      <c r="H85" s="93">
        <v>0.44295156638017286</v>
      </c>
      <c r="I85" s="93">
        <v>6.1734703611106889E-2</v>
      </c>
      <c r="J85" s="93">
        <v>0.17422908033316342</v>
      </c>
    </row>
    <row r="86" spans="1:10" x14ac:dyDescent="0.3">
      <c r="A86" s="92">
        <v>44805</v>
      </c>
      <c r="B86" s="60">
        <v>27594</v>
      </c>
      <c r="C86" s="60">
        <v>31389.727204304287</v>
      </c>
      <c r="D86" s="60">
        <v>43100.245500000005</v>
      </c>
      <c r="E86" s="60">
        <v>70311.46151950174</v>
      </c>
      <c r="F86" s="60">
        <v>166469.09790000002</v>
      </c>
      <c r="G86" s="60">
        <v>176746.01831926484</v>
      </c>
      <c r="H86" s="93">
        <v>0.43860632509057651</v>
      </c>
      <c r="I86" s="93">
        <v>6.1734703611106667E-2</v>
      </c>
      <c r="J86" s="93">
        <v>0.174073543791468</v>
      </c>
    </row>
    <row r="87" spans="1:10" x14ac:dyDescent="0.3">
      <c r="A87" s="92">
        <v>44835</v>
      </c>
      <c r="B87" s="60">
        <v>27594</v>
      </c>
      <c r="C87" s="60">
        <v>31389.727204304287</v>
      </c>
      <c r="D87" s="60">
        <v>43100.245500000005</v>
      </c>
      <c r="E87" s="60">
        <v>70311.46151950174</v>
      </c>
      <c r="F87" s="60">
        <v>166469.09790000002</v>
      </c>
      <c r="G87" s="60">
        <v>176746.01831926484</v>
      </c>
      <c r="H87" s="93">
        <v>0.43860632509057651</v>
      </c>
      <c r="I87" s="93">
        <v>6.1734703611106667E-2</v>
      </c>
      <c r="J87" s="93">
        <v>0.174073543791468</v>
      </c>
    </row>
    <row r="88" spans="1:10" x14ac:dyDescent="0.3">
      <c r="A88" s="91" t="s">
        <v>34</v>
      </c>
      <c r="B88" s="60">
        <v>821764.79999999993</v>
      </c>
      <c r="C88" s="60">
        <v>936694.85401890776</v>
      </c>
      <c r="D88" s="60">
        <v>60668.770500000013</v>
      </c>
      <c r="E88" s="60">
        <v>98971.824242769857</v>
      </c>
      <c r="F88" s="60">
        <v>372387.68819999998</v>
      </c>
      <c r="G88" s="60">
        <v>401000.60375935223</v>
      </c>
      <c r="H88" s="93">
        <v>0.1736483208303754</v>
      </c>
      <c r="I88" s="93">
        <v>7.6836362925041035E-2</v>
      </c>
      <c r="J88" s="93">
        <v>0.14491786942582019</v>
      </c>
    </row>
    <row r="89" spans="1:10" x14ac:dyDescent="0.3">
      <c r="A89" s="92">
        <v>44501</v>
      </c>
      <c r="B89" s="60">
        <v>68051.28</v>
      </c>
      <c r="C89" s="60">
        <v>77568.768807570988</v>
      </c>
      <c r="D89" s="60">
        <v>4700.2117500000004</v>
      </c>
      <c r="E89" s="60">
        <v>7667.6769183051392</v>
      </c>
      <c r="F89" s="60">
        <v>28850.114699999998</v>
      </c>
      <c r="G89" s="60">
        <v>31066.852583518266</v>
      </c>
      <c r="H89" s="93">
        <v>0.17161096873145731</v>
      </c>
      <c r="I89" s="93">
        <v>7.6836362925041257E-2</v>
      </c>
      <c r="J89" s="93">
        <v>0.1446994036125735</v>
      </c>
    </row>
    <row r="90" spans="1:10" x14ac:dyDescent="0.3">
      <c r="A90" s="92">
        <v>44531</v>
      </c>
      <c r="B90" s="60">
        <v>68694.959999999992</v>
      </c>
      <c r="C90" s="60">
        <v>78302.472348577969</v>
      </c>
      <c r="D90" s="60">
        <v>4914.0643499999996</v>
      </c>
      <c r="E90" s="60">
        <v>8016.544742172764</v>
      </c>
      <c r="F90" s="60">
        <v>30162.75174</v>
      </c>
      <c r="G90" s="60">
        <v>32480.347879512556</v>
      </c>
      <c r="H90" s="93">
        <v>0.1726689472246854</v>
      </c>
      <c r="I90" s="93">
        <v>7.6836362925041035E-2</v>
      </c>
      <c r="J90" s="93">
        <v>0.14481383519185442</v>
      </c>
    </row>
    <row r="91" spans="1:10" x14ac:dyDescent="0.3">
      <c r="A91" s="92">
        <v>44562</v>
      </c>
      <c r="B91" s="60">
        <v>68802.239999999991</v>
      </c>
      <c r="C91" s="60">
        <v>78424.756272079132</v>
      </c>
      <c r="D91" s="60">
        <v>5386.4304000000011</v>
      </c>
      <c r="E91" s="60">
        <v>8787.1377390895468</v>
      </c>
      <c r="F91" s="60">
        <v>33062.156160000006</v>
      </c>
      <c r="G91" s="60">
        <v>35602.531989794152</v>
      </c>
      <c r="H91" s="93">
        <v>0.175541946512209</v>
      </c>
      <c r="I91" s="93">
        <v>7.6836362925041257E-2</v>
      </c>
      <c r="J91" s="93">
        <v>0.14511402793018102</v>
      </c>
    </row>
    <row r="92" spans="1:10" x14ac:dyDescent="0.3">
      <c r="A92" s="92">
        <v>44593</v>
      </c>
      <c r="B92" s="60">
        <v>68408.87999999999</v>
      </c>
      <c r="C92" s="60">
        <v>77976.381885908195</v>
      </c>
      <c r="D92" s="60">
        <v>5029.9372500000009</v>
      </c>
      <c r="E92" s="60">
        <v>8205.5736642818756</v>
      </c>
      <c r="F92" s="60">
        <v>30873.984900000003</v>
      </c>
      <c r="G92" s="60">
        <v>33246.229608718641</v>
      </c>
      <c r="H92" s="93">
        <v>0.17352047292387573</v>
      </c>
      <c r="I92" s="93">
        <v>7.6836362925041035E-2</v>
      </c>
      <c r="J92" s="93">
        <v>0.14490439042345971</v>
      </c>
    </row>
    <row r="93" spans="1:10" x14ac:dyDescent="0.3">
      <c r="A93" s="92">
        <v>44621</v>
      </c>
      <c r="B93" s="60">
        <v>68551.92</v>
      </c>
      <c r="C93" s="60">
        <v>78139.427117243089</v>
      </c>
      <c r="D93" s="60">
        <v>4933.8334500000001</v>
      </c>
      <c r="E93" s="60">
        <v>8048.795006592376</v>
      </c>
      <c r="F93" s="60">
        <v>30284.095379999999</v>
      </c>
      <c r="G93" s="60">
        <v>32611.015123474241</v>
      </c>
      <c r="H93" s="93">
        <v>0.17285620786998224</v>
      </c>
      <c r="I93" s="93">
        <v>7.6836362925041257E-2</v>
      </c>
      <c r="J93" s="93">
        <v>0.1448338663568014</v>
      </c>
    </row>
    <row r="94" spans="1:10" x14ac:dyDescent="0.3">
      <c r="A94" s="92">
        <v>44652</v>
      </c>
      <c r="B94" s="60">
        <v>69231.360000000001</v>
      </c>
      <c r="C94" s="60">
        <v>78913.891966083786</v>
      </c>
      <c r="D94" s="60">
        <v>5740.2540000000008</v>
      </c>
      <c r="E94" s="60">
        <v>9364.3468511836199</v>
      </c>
      <c r="F94" s="60">
        <v>35233.941600000006</v>
      </c>
      <c r="G94" s="60">
        <v>37941.189524057307</v>
      </c>
      <c r="H94" s="93">
        <v>0.17748884020647338</v>
      </c>
      <c r="I94" s="93">
        <v>7.6836362925041035E-2</v>
      </c>
      <c r="J94" s="93">
        <v>0.14530912397418838</v>
      </c>
    </row>
    <row r="95" spans="1:10" x14ac:dyDescent="0.3">
      <c r="A95" s="92">
        <v>44682</v>
      </c>
      <c r="B95" s="60">
        <v>69052.56</v>
      </c>
      <c r="C95" s="60">
        <v>78710.085426915175</v>
      </c>
      <c r="D95" s="60">
        <v>4847.7584999999999</v>
      </c>
      <c r="E95" s="60">
        <v>7908.3768845026061</v>
      </c>
      <c r="F95" s="60">
        <v>29755.7634</v>
      </c>
      <c r="G95" s="60">
        <v>32042.088035714056</v>
      </c>
      <c r="H95" s="93">
        <v>0.17209863326120556</v>
      </c>
      <c r="I95" s="93">
        <v>7.6836362925041035E-2</v>
      </c>
      <c r="J95" s="93">
        <v>0.14475241753404378</v>
      </c>
    </row>
    <row r="96" spans="1:10" x14ac:dyDescent="0.3">
      <c r="A96" s="92">
        <v>44713</v>
      </c>
      <c r="B96" s="60">
        <v>68659.199999999997</v>
      </c>
      <c r="C96" s="60">
        <v>78261.711040744252</v>
      </c>
      <c r="D96" s="60">
        <v>5119.6197000000002</v>
      </c>
      <c r="E96" s="60">
        <v>8351.8768711197499</v>
      </c>
      <c r="F96" s="60">
        <v>31424.459879999999</v>
      </c>
      <c r="G96" s="60">
        <v>33839.001084063078</v>
      </c>
      <c r="H96" s="93">
        <v>0.1739627750085031</v>
      </c>
      <c r="I96" s="93">
        <v>7.6836362925041257E-2</v>
      </c>
      <c r="J96" s="93">
        <v>0.14495089389614524</v>
      </c>
    </row>
    <row r="97" spans="1:10" x14ac:dyDescent="0.3">
      <c r="A97" s="92">
        <v>44743</v>
      </c>
      <c r="B97" s="60">
        <v>68301.599999999991</v>
      </c>
      <c r="C97" s="60">
        <v>77854.097962407046</v>
      </c>
      <c r="D97" s="60">
        <v>4949.9228999999996</v>
      </c>
      <c r="E97" s="60">
        <v>8075.0424845689213</v>
      </c>
      <c r="F97" s="60">
        <v>30382.853159999999</v>
      </c>
      <c r="G97" s="60">
        <v>32717.361092099993</v>
      </c>
      <c r="H97" s="93">
        <v>0.17306967889640945</v>
      </c>
      <c r="I97" s="93">
        <v>7.6836362925041257E-2</v>
      </c>
      <c r="J97" s="93">
        <v>0.14485662045559655</v>
      </c>
    </row>
    <row r="98" spans="1:10" x14ac:dyDescent="0.3">
      <c r="A98" s="92">
        <v>44774</v>
      </c>
      <c r="B98" s="60">
        <v>67765.2</v>
      </c>
      <c r="C98" s="60">
        <v>77242.678344901229</v>
      </c>
      <c r="D98" s="60">
        <v>4833.3284999999996</v>
      </c>
      <c r="E98" s="60">
        <v>7884.8365455101884</v>
      </c>
      <c r="F98" s="60">
        <v>29667.1914</v>
      </c>
      <c r="G98" s="60">
        <v>31946.710485377058</v>
      </c>
      <c r="H98" s="93">
        <v>0.17257906805110257</v>
      </c>
      <c r="I98" s="93">
        <v>7.6836362925041035E-2</v>
      </c>
      <c r="J98" s="93">
        <v>0.14480419724487237</v>
      </c>
    </row>
    <row r="99" spans="1:10" x14ac:dyDescent="0.3">
      <c r="A99" s="92">
        <v>44805</v>
      </c>
      <c r="B99" s="60">
        <v>68122.8</v>
      </c>
      <c r="C99" s="60">
        <v>77650.291423238436</v>
      </c>
      <c r="D99" s="60">
        <v>5106.7048500000001</v>
      </c>
      <c r="E99" s="60">
        <v>8330.8082677215352</v>
      </c>
      <c r="F99" s="60">
        <v>31345.18794</v>
      </c>
      <c r="G99" s="60">
        <v>33753.638176511464</v>
      </c>
      <c r="H99" s="93">
        <v>0.17413192765784435</v>
      </c>
      <c r="I99" s="93">
        <v>7.6836362925041257E-2</v>
      </c>
      <c r="J99" s="93">
        <v>0.14496858344030539</v>
      </c>
    </row>
    <row r="100" spans="1:10" x14ac:dyDescent="0.3">
      <c r="A100" s="92">
        <v>44835</v>
      </c>
      <c r="B100" s="60">
        <v>68122.8</v>
      </c>
      <c r="C100" s="60">
        <v>77650.291423238436</v>
      </c>
      <c r="D100" s="60">
        <v>5106.7048500000001</v>
      </c>
      <c r="E100" s="60">
        <v>8330.8082677215352</v>
      </c>
      <c r="F100" s="60">
        <v>31345.18794</v>
      </c>
      <c r="G100" s="60">
        <v>33753.638176511464</v>
      </c>
      <c r="H100" s="93">
        <v>0.17413192765784435</v>
      </c>
      <c r="I100" s="93">
        <v>7.6836362925041257E-2</v>
      </c>
      <c r="J100" s="93">
        <v>0.14496858344030539</v>
      </c>
    </row>
    <row r="101" spans="1:10" x14ac:dyDescent="0.3">
      <c r="A101" s="87" t="s">
        <v>38</v>
      </c>
      <c r="B101" s="60">
        <v>391710.24000000005</v>
      </c>
      <c r="C101" s="60">
        <v>446228.08875764062</v>
      </c>
      <c r="D101" s="60">
        <v>250347.22440000001</v>
      </c>
      <c r="E101" s="60">
        <v>408403.22440656798</v>
      </c>
      <c r="F101" s="60">
        <v>1020791.22852</v>
      </c>
      <c r="G101" s="60">
        <v>1086003.2442566729</v>
      </c>
      <c r="H101" s="93">
        <v>0.33108227931413881</v>
      </c>
      <c r="I101" s="93">
        <v>6.3883793193659111E-2</v>
      </c>
      <c r="J101" s="93">
        <v>0.16705420383924596</v>
      </c>
    </row>
    <row r="102" spans="1:10" x14ac:dyDescent="0.3">
      <c r="A102" s="88" t="s">
        <v>25</v>
      </c>
      <c r="B102" s="60">
        <v>391710.24000000005</v>
      </c>
      <c r="C102" s="60">
        <v>446228.08875764062</v>
      </c>
      <c r="D102" s="60">
        <v>250347.22440000001</v>
      </c>
      <c r="E102" s="60">
        <v>408403.22440656798</v>
      </c>
      <c r="F102" s="60">
        <v>1020791.22852</v>
      </c>
      <c r="G102" s="60">
        <v>1086003.2442566729</v>
      </c>
      <c r="H102" s="93">
        <v>0.33108227931413881</v>
      </c>
      <c r="I102" s="93">
        <v>6.3883793193659111E-2</v>
      </c>
      <c r="J102" s="93">
        <v>0.16705420383924596</v>
      </c>
    </row>
    <row r="103" spans="1:10" x14ac:dyDescent="0.3">
      <c r="A103" s="89" t="s">
        <v>25</v>
      </c>
      <c r="B103" s="60">
        <v>391710.24000000005</v>
      </c>
      <c r="C103" s="60">
        <v>446228.08875764062</v>
      </c>
      <c r="D103" s="60">
        <v>250347.22440000001</v>
      </c>
      <c r="E103" s="60">
        <v>408403.22440656798</v>
      </c>
      <c r="F103" s="60">
        <v>1020791.22852</v>
      </c>
      <c r="G103" s="60">
        <v>1086003.2442566729</v>
      </c>
      <c r="H103" s="93">
        <v>0.33108227931413881</v>
      </c>
      <c r="I103" s="93">
        <v>6.3883793193659111E-2</v>
      </c>
      <c r="J103" s="93">
        <v>0.16705420383924596</v>
      </c>
    </row>
    <row r="104" spans="1:10" x14ac:dyDescent="0.3">
      <c r="A104" s="90" t="s">
        <v>25</v>
      </c>
      <c r="B104" s="60">
        <v>391710.24000000005</v>
      </c>
      <c r="C104" s="60">
        <v>446228.08875764062</v>
      </c>
      <c r="D104" s="60">
        <v>250347.22440000001</v>
      </c>
      <c r="E104" s="60">
        <v>408403.22440656798</v>
      </c>
      <c r="F104" s="60">
        <v>1020791.22852</v>
      </c>
      <c r="G104" s="60">
        <v>1086003.2442566729</v>
      </c>
      <c r="H104" s="93">
        <v>0.33108227931413881</v>
      </c>
      <c r="I104" s="93">
        <v>6.3883793193659111E-2</v>
      </c>
      <c r="J104" s="93">
        <v>0.16705420383924596</v>
      </c>
    </row>
    <row r="105" spans="1:10" x14ac:dyDescent="0.3">
      <c r="A105" s="91" t="s">
        <v>35</v>
      </c>
      <c r="B105" s="60">
        <v>115500</v>
      </c>
      <c r="C105" s="60">
        <v>131387.74704997987</v>
      </c>
      <c r="D105" s="60">
        <v>226680.58140000002</v>
      </c>
      <c r="E105" s="60">
        <v>369794.7144251042</v>
      </c>
      <c r="F105" s="60">
        <v>875524.29132000008</v>
      </c>
      <c r="G105" s="60">
        <v>929574.52394896466</v>
      </c>
      <c r="H105" s="93">
        <v>0.46467242362071692</v>
      </c>
      <c r="I105" s="93">
        <v>6.1734703611106889E-2</v>
      </c>
      <c r="J105" s="93">
        <v>0.17496202690570817</v>
      </c>
    </row>
    <row r="106" spans="1:10" x14ac:dyDescent="0.3">
      <c r="A106" s="92">
        <v>44501</v>
      </c>
      <c r="B106" s="60">
        <v>9170</v>
      </c>
      <c r="C106" s="60">
        <v>10431.390826392342</v>
      </c>
      <c r="D106" s="60">
        <v>17705.465700000001</v>
      </c>
      <c r="E106" s="60">
        <v>28883.760540306157</v>
      </c>
      <c r="F106" s="60">
        <v>68385.060660000003</v>
      </c>
      <c r="G106" s="60">
        <v>72606.792111272662</v>
      </c>
      <c r="H106" s="93">
        <v>0.46286400412769391</v>
      </c>
      <c r="I106" s="93">
        <v>6.1734703611106889E-2</v>
      </c>
      <c r="J106" s="93">
        <v>0.17490368523690325</v>
      </c>
    </row>
    <row r="107" spans="1:10" x14ac:dyDescent="0.3">
      <c r="A107" s="92">
        <v>44531</v>
      </c>
      <c r="B107" s="60">
        <v>9016</v>
      </c>
      <c r="C107" s="60">
        <v>10256.207163659035</v>
      </c>
      <c r="D107" s="60">
        <v>14160.664050000001</v>
      </c>
      <c r="E107" s="60">
        <v>23100.958565123874</v>
      </c>
      <c r="F107" s="60">
        <v>54693.724890000005</v>
      </c>
      <c r="G107" s="60">
        <v>58070.225785471572</v>
      </c>
      <c r="H107" s="93">
        <v>0.43925655809740705</v>
      </c>
      <c r="I107" s="93">
        <v>6.1734703611106889E-2</v>
      </c>
      <c r="J107" s="93">
        <v>0.174097018889944</v>
      </c>
    </row>
    <row r="108" spans="1:10" x14ac:dyDescent="0.3">
      <c r="A108" s="92">
        <v>44562</v>
      </c>
      <c r="B108" s="60">
        <v>9422</v>
      </c>
      <c r="C108" s="60">
        <v>10718.055001774117</v>
      </c>
      <c r="D108" s="60">
        <v>18237.211200000002</v>
      </c>
      <c r="E108" s="60">
        <v>29751.222032176735</v>
      </c>
      <c r="F108" s="60">
        <v>70438.858560000008</v>
      </c>
      <c r="G108" s="60">
        <v>74787.380615906281</v>
      </c>
      <c r="H108" s="93">
        <v>0.46313923203821683</v>
      </c>
      <c r="I108" s="93">
        <v>6.1734703611106889E-2</v>
      </c>
      <c r="J108" s="93">
        <v>0.17491259442551876</v>
      </c>
    </row>
    <row r="109" spans="1:10" x14ac:dyDescent="0.3">
      <c r="A109" s="92">
        <v>44593</v>
      </c>
      <c r="B109" s="60">
        <v>10010</v>
      </c>
      <c r="C109" s="60">
        <v>11386.938077664923</v>
      </c>
      <c r="D109" s="60">
        <v>22004.95635</v>
      </c>
      <c r="E109" s="60">
        <v>35897.722244791861</v>
      </c>
      <c r="F109" s="60">
        <v>84991.284629999995</v>
      </c>
      <c r="G109" s="60">
        <v>90238.196396160274</v>
      </c>
      <c r="H109" s="93">
        <v>0.4769553269266531</v>
      </c>
      <c r="I109" s="93">
        <v>6.1734703611106889E-2</v>
      </c>
      <c r="J109" s="93">
        <v>0.17534633680030787</v>
      </c>
    </row>
    <row r="110" spans="1:10" x14ac:dyDescent="0.3">
      <c r="A110" s="92">
        <v>44621</v>
      </c>
      <c r="B110" s="60">
        <v>9338</v>
      </c>
      <c r="C110" s="60">
        <v>10622.500276646859</v>
      </c>
      <c r="D110" s="60">
        <v>17005.610700000001</v>
      </c>
      <c r="E110" s="60">
        <v>27742.054099173918</v>
      </c>
      <c r="F110" s="60">
        <v>65681.961660000001</v>
      </c>
      <c r="G110" s="60">
        <v>69736.818095676193</v>
      </c>
      <c r="H110" s="93">
        <v>0.45631344209853419</v>
      </c>
      <c r="I110" s="93">
        <v>6.1734703611106889E-2</v>
      </c>
      <c r="J110" s="93">
        <v>0.17468840126969432</v>
      </c>
    </row>
    <row r="111" spans="1:10" x14ac:dyDescent="0.3">
      <c r="A111" s="92">
        <v>44652</v>
      </c>
      <c r="B111" s="60">
        <v>9716</v>
      </c>
      <c r="C111" s="60">
        <v>11052.496539719519</v>
      </c>
      <c r="D111" s="60">
        <v>22744.638150000002</v>
      </c>
      <c r="E111" s="60">
        <v>37104.400021543181</v>
      </c>
      <c r="F111" s="60">
        <v>87848.209470000002</v>
      </c>
      <c r="G111" s="60">
        <v>93271.492644396887</v>
      </c>
      <c r="H111" s="93">
        <v>0.48354743793792898</v>
      </c>
      <c r="I111" s="93">
        <v>6.1734703611106889E-2</v>
      </c>
      <c r="J111" s="93">
        <v>0.17554437602433404</v>
      </c>
    </row>
    <row r="112" spans="1:10" x14ac:dyDescent="0.3">
      <c r="A112" s="92">
        <v>44682</v>
      </c>
      <c r="B112" s="60">
        <v>9646</v>
      </c>
      <c r="C112" s="60">
        <v>10972.867602113472</v>
      </c>
      <c r="D112" s="60">
        <v>18931.65495</v>
      </c>
      <c r="E112" s="60">
        <v>30884.100846186819</v>
      </c>
      <c r="F112" s="60">
        <v>73121.057309999989</v>
      </c>
      <c r="G112" s="60">
        <v>77635.16411076361</v>
      </c>
      <c r="H112" s="93">
        <v>0.46467470901772834</v>
      </c>
      <c r="I112" s="93">
        <v>6.1734703611107111E-2</v>
      </c>
      <c r="J112" s="93">
        <v>0.17496210034177984</v>
      </c>
    </row>
    <row r="113" spans="1:10" x14ac:dyDescent="0.3">
      <c r="A113" s="92">
        <v>44713</v>
      </c>
      <c r="B113" s="60">
        <v>9842</v>
      </c>
      <c r="C113" s="60">
        <v>11195.828627410407</v>
      </c>
      <c r="D113" s="60">
        <v>22016.716800000002</v>
      </c>
      <c r="E113" s="60">
        <v>35916.907621070684</v>
      </c>
      <c r="F113" s="60">
        <v>85036.707840000003</v>
      </c>
      <c r="G113" s="60">
        <v>90286.423794566683</v>
      </c>
      <c r="H113" s="93">
        <v>0.47880206677003034</v>
      </c>
      <c r="I113" s="93">
        <v>6.1734703611106667E-2</v>
      </c>
      <c r="J113" s="93">
        <v>0.17540237751984411</v>
      </c>
    </row>
    <row r="114" spans="1:10" x14ac:dyDescent="0.3">
      <c r="A114" s="92">
        <v>44743</v>
      </c>
      <c r="B114" s="60">
        <v>9660</v>
      </c>
      <c r="C114" s="60">
        <v>10988.793389634682</v>
      </c>
      <c r="D114" s="60">
        <v>10801.576500000001</v>
      </c>
      <c r="E114" s="60">
        <v>17621.120752774004</v>
      </c>
      <c r="F114" s="60">
        <v>41719.685700000002</v>
      </c>
      <c r="G114" s="60">
        <v>44295.23813143804</v>
      </c>
      <c r="H114" s="93">
        <v>0.39822628732486387</v>
      </c>
      <c r="I114" s="93">
        <v>6.1734703611106889E-2</v>
      </c>
      <c r="J114" s="93">
        <v>0.17246176250579115</v>
      </c>
    </row>
    <row r="115" spans="1:10" x14ac:dyDescent="0.3">
      <c r="A115" s="92">
        <v>44774</v>
      </c>
      <c r="B115" s="60">
        <v>9576</v>
      </c>
      <c r="C115" s="60">
        <v>10893.238664507424</v>
      </c>
      <c r="D115" s="60">
        <v>21340.671300000002</v>
      </c>
      <c r="E115" s="60">
        <v>34814.04273927593</v>
      </c>
      <c r="F115" s="60">
        <v>82425.569940000001</v>
      </c>
      <c r="G115" s="60">
        <v>87514.088070222453</v>
      </c>
      <c r="H115" s="93">
        <v>0.47840241144535334</v>
      </c>
      <c r="I115" s="93">
        <v>6.1734703611106667E-2</v>
      </c>
      <c r="J115" s="93">
        <v>0.17539028712086369</v>
      </c>
    </row>
    <row r="116" spans="1:10" x14ac:dyDescent="0.3">
      <c r="A116" s="92">
        <v>44805</v>
      </c>
      <c r="B116" s="60">
        <v>10052</v>
      </c>
      <c r="C116" s="60">
        <v>11434.715440228552</v>
      </c>
      <c r="D116" s="60">
        <v>20865.707850000003</v>
      </c>
      <c r="E116" s="60">
        <v>34039.212481340517</v>
      </c>
      <c r="F116" s="60">
        <v>80591.085330000002</v>
      </c>
      <c r="G116" s="60">
        <v>85566.352096544986</v>
      </c>
      <c r="H116" s="93">
        <v>0.4708052790391144</v>
      </c>
      <c r="I116" s="93">
        <v>6.1734703611107111E-2</v>
      </c>
      <c r="J116" s="93">
        <v>0.17515647224865827</v>
      </c>
    </row>
    <row r="117" spans="1:10" x14ac:dyDescent="0.3">
      <c r="A117" s="92">
        <v>44835</v>
      </c>
      <c r="B117" s="60">
        <v>10052</v>
      </c>
      <c r="C117" s="60">
        <v>11434.715440228552</v>
      </c>
      <c r="D117" s="60">
        <v>20865.707850000003</v>
      </c>
      <c r="E117" s="60">
        <v>34039.212481340517</v>
      </c>
      <c r="F117" s="60">
        <v>80591.085330000002</v>
      </c>
      <c r="G117" s="60">
        <v>85566.352096544986</v>
      </c>
      <c r="H117" s="93">
        <v>0.4708052790391144</v>
      </c>
      <c r="I117" s="93">
        <v>6.1734703611107111E-2</v>
      </c>
      <c r="J117" s="93">
        <v>0.17515647224865827</v>
      </c>
    </row>
    <row r="118" spans="1:10" x14ac:dyDescent="0.3">
      <c r="A118" s="91" t="s">
        <v>34</v>
      </c>
      <c r="B118" s="60">
        <v>276210.24</v>
      </c>
      <c r="C118" s="60">
        <v>314840.3417076607</v>
      </c>
      <c r="D118" s="60">
        <v>23666.643000000004</v>
      </c>
      <c r="E118" s="60">
        <v>38608.509981463685</v>
      </c>
      <c r="F118" s="60">
        <v>145266.93719999999</v>
      </c>
      <c r="G118" s="60">
        <v>156428.7203077084</v>
      </c>
      <c r="H118" s="93">
        <v>0.17864654371882471</v>
      </c>
      <c r="I118" s="93">
        <v>7.6836362925041479E-2</v>
      </c>
      <c r="J118" s="93">
        <v>0.14542210597857652</v>
      </c>
    </row>
    <row r="119" spans="1:10" x14ac:dyDescent="0.3">
      <c r="A119" s="92">
        <v>44501</v>
      </c>
      <c r="B119" s="60">
        <v>21777.84</v>
      </c>
      <c r="C119" s="60">
        <v>24823.636470736066</v>
      </c>
      <c r="D119" s="60">
        <v>1684.34175</v>
      </c>
      <c r="E119" s="60">
        <v>2747.7460688899141</v>
      </c>
      <c r="F119" s="60">
        <v>10338.566699999999</v>
      </c>
      <c r="G119" s="60">
        <v>11132.944563085945</v>
      </c>
      <c r="H119" s="93">
        <v>0.17514146098650785</v>
      </c>
      <c r="I119" s="93">
        <v>7.6836362925041257E-2</v>
      </c>
      <c r="J119" s="93">
        <v>0.14507307907591405</v>
      </c>
    </row>
    <row r="120" spans="1:10" x14ac:dyDescent="0.3">
      <c r="A120" s="92">
        <v>44531</v>
      </c>
      <c r="B120" s="60">
        <v>21670.559999999998</v>
      </c>
      <c r="C120" s="60">
        <v>24701.352547234903</v>
      </c>
      <c r="D120" s="60">
        <v>1417.0260000000001</v>
      </c>
      <c r="E120" s="60">
        <v>2311.6612890553833</v>
      </c>
      <c r="F120" s="60">
        <v>8697.7704000000012</v>
      </c>
      <c r="G120" s="60">
        <v>9366.075443093081</v>
      </c>
      <c r="H120" s="93">
        <v>0.17002331193440012</v>
      </c>
      <c r="I120" s="93">
        <v>7.6836362925041035E-2</v>
      </c>
      <c r="J120" s="93">
        <v>0.14452356052183113</v>
      </c>
    </row>
    <row r="121" spans="1:10" x14ac:dyDescent="0.3">
      <c r="A121" s="92">
        <v>44562</v>
      </c>
      <c r="B121" s="60">
        <v>21563.279999999999</v>
      </c>
      <c r="C121" s="60">
        <v>24579.06862373374</v>
      </c>
      <c r="D121" s="60">
        <v>1844.6590500000002</v>
      </c>
      <c r="E121" s="60">
        <v>3009.2792350956711</v>
      </c>
      <c r="F121" s="60">
        <v>11322.601620000001</v>
      </c>
      <c r="G121" s="60">
        <v>12192.58914732998</v>
      </c>
      <c r="H121" s="93">
        <v>0.17858935807633225</v>
      </c>
      <c r="I121" s="93">
        <v>7.6836362925041035E-2</v>
      </c>
      <c r="J121" s="93">
        <v>0.14541657684361597</v>
      </c>
    </row>
    <row r="122" spans="1:10" x14ac:dyDescent="0.3">
      <c r="A122" s="92">
        <v>44593</v>
      </c>
      <c r="B122" s="60">
        <v>24638.639999999999</v>
      </c>
      <c r="C122" s="60">
        <v>28084.541097433743</v>
      </c>
      <c r="D122" s="60">
        <v>2230.3729500000004</v>
      </c>
      <c r="E122" s="60">
        <v>3638.5124963629869</v>
      </c>
      <c r="F122" s="60">
        <v>13690.13118</v>
      </c>
      <c r="G122" s="60">
        <v>14742.031067837903</v>
      </c>
      <c r="H122" s="93">
        <v>0.18065571120269719</v>
      </c>
      <c r="I122" s="93">
        <v>7.6836362925041257E-2</v>
      </c>
      <c r="J122" s="93">
        <v>0.14561304628877125</v>
      </c>
    </row>
    <row r="123" spans="1:10" x14ac:dyDescent="0.3">
      <c r="A123" s="92">
        <v>44621</v>
      </c>
      <c r="B123" s="60">
        <v>22135.439999999999</v>
      </c>
      <c r="C123" s="60">
        <v>25231.249549073276</v>
      </c>
      <c r="D123" s="60">
        <v>1698.6996000000001</v>
      </c>
      <c r="E123" s="60">
        <v>2771.1687061873699</v>
      </c>
      <c r="F123" s="60">
        <v>10426.69584</v>
      </c>
      <c r="G123" s="60">
        <v>11227.845225671257</v>
      </c>
      <c r="H123" s="93">
        <v>0.17488689439666816</v>
      </c>
      <c r="I123" s="93">
        <v>7.6836362925041257E-2</v>
      </c>
      <c r="J123" s="93">
        <v>0.14504690201249537</v>
      </c>
    </row>
    <row r="124" spans="1:10" x14ac:dyDescent="0.3">
      <c r="A124" s="92">
        <v>44652</v>
      </c>
      <c r="B124" s="60">
        <v>23172.48</v>
      </c>
      <c r="C124" s="60">
        <v>26413.327476251183</v>
      </c>
      <c r="D124" s="60">
        <v>2371.1376</v>
      </c>
      <c r="E124" s="60">
        <v>3868.1485032340174</v>
      </c>
      <c r="F124" s="60">
        <v>14554.151039999999</v>
      </c>
      <c r="G124" s="60">
        <v>15672.439071375306</v>
      </c>
      <c r="H124" s="93">
        <v>0.18548110348650071</v>
      </c>
      <c r="I124" s="93">
        <v>7.6836362925041257E-2</v>
      </c>
      <c r="J124" s="93">
        <v>0.14604669061356823</v>
      </c>
    </row>
    <row r="125" spans="1:10" x14ac:dyDescent="0.3">
      <c r="A125" s="92">
        <v>44682</v>
      </c>
      <c r="B125" s="60">
        <v>23351.279999999999</v>
      </c>
      <c r="C125" s="60">
        <v>26617.13401541979</v>
      </c>
      <c r="D125" s="60">
        <v>1751.0083500000001</v>
      </c>
      <c r="E125" s="60">
        <v>2856.5024350348822</v>
      </c>
      <c r="F125" s="60">
        <v>10747.769339999999</v>
      </c>
      <c r="G125" s="60">
        <v>11573.588845642869</v>
      </c>
      <c r="H125" s="93">
        <v>0.17414141848365294</v>
      </c>
      <c r="I125" s="93">
        <v>7.6836362925041257E-2</v>
      </c>
      <c r="J125" s="93">
        <v>0.14496957441569869</v>
      </c>
    </row>
    <row r="126" spans="1:10" x14ac:dyDescent="0.3">
      <c r="A126" s="92">
        <v>44713</v>
      </c>
      <c r="B126" s="60">
        <v>24209.52</v>
      </c>
      <c r="C126" s="60">
        <v>27595.405403429093</v>
      </c>
      <c r="D126" s="60">
        <v>2318.0352000000003</v>
      </c>
      <c r="E126" s="60">
        <v>3781.5200557419221</v>
      </c>
      <c r="F126" s="60">
        <v>14228.20608</v>
      </c>
      <c r="G126" s="60">
        <v>15321.449686135158</v>
      </c>
      <c r="H126" s="93">
        <v>0.18280502001070231</v>
      </c>
      <c r="I126" s="93">
        <v>7.6836362925041257E-2</v>
      </c>
      <c r="J126" s="93">
        <v>0.14581040026413072</v>
      </c>
    </row>
    <row r="127" spans="1:10" x14ac:dyDescent="0.3">
      <c r="A127" s="92">
        <v>44743</v>
      </c>
      <c r="B127" s="60">
        <v>23387.039999999997</v>
      </c>
      <c r="C127" s="60">
        <v>26657.89532325351</v>
      </c>
      <c r="D127" s="60">
        <v>1282.6105500000001</v>
      </c>
      <c r="E127" s="60">
        <v>2092.3830313410158</v>
      </c>
      <c r="F127" s="60">
        <v>7872.7222200000006</v>
      </c>
      <c r="G127" s="60">
        <v>8477.6335617039567</v>
      </c>
      <c r="H127" s="93">
        <v>0.16541084748338797</v>
      </c>
      <c r="I127" s="93">
        <v>7.6836362925041257E-2</v>
      </c>
      <c r="J127" s="93">
        <v>0.14398271384248784</v>
      </c>
    </row>
    <row r="128" spans="1:10" x14ac:dyDescent="0.3">
      <c r="A128" s="92">
        <v>44774</v>
      </c>
      <c r="B128" s="60">
        <v>23244</v>
      </c>
      <c r="C128" s="60">
        <v>26494.850091918626</v>
      </c>
      <c r="D128" s="60">
        <v>2203.3888500000003</v>
      </c>
      <c r="E128" s="60">
        <v>3594.4920624471665</v>
      </c>
      <c r="F128" s="60">
        <v>13524.501540000001</v>
      </c>
      <c r="G128" s="60">
        <v>14563.675048707719</v>
      </c>
      <c r="H128" s="93">
        <v>0.18241373728864096</v>
      </c>
      <c r="I128" s="93">
        <v>7.6836362925041035E-2</v>
      </c>
      <c r="J128" s="93">
        <v>0.14577498695139668</v>
      </c>
    </row>
    <row r="129" spans="1:10" x14ac:dyDescent="0.3">
      <c r="A129" s="92">
        <v>44805</v>
      </c>
      <c r="B129" s="60">
        <v>23530.079999999998</v>
      </c>
      <c r="C129" s="60">
        <v>26820.940554588393</v>
      </c>
      <c r="D129" s="60">
        <v>2432.6815500000002</v>
      </c>
      <c r="E129" s="60">
        <v>3968.5480490366776</v>
      </c>
      <c r="F129" s="60">
        <v>14931.910620000001</v>
      </c>
      <c r="G129" s="60">
        <v>16079.224323562597</v>
      </c>
      <c r="H129" s="93">
        <v>0.1859096169076464</v>
      </c>
      <c r="I129" s="93">
        <v>7.6836362925041257E-2</v>
      </c>
      <c r="J129" s="93">
        <v>0.14608359573964691</v>
      </c>
    </row>
    <row r="130" spans="1:10" x14ac:dyDescent="0.3">
      <c r="A130" s="92">
        <v>44835</v>
      </c>
      <c r="B130" s="60">
        <v>23530.079999999998</v>
      </c>
      <c r="C130" s="60">
        <v>26820.940554588393</v>
      </c>
      <c r="D130" s="60">
        <v>2432.6815500000002</v>
      </c>
      <c r="E130" s="60">
        <v>3968.5480490366776</v>
      </c>
      <c r="F130" s="60">
        <v>14931.910620000001</v>
      </c>
      <c r="G130" s="60">
        <v>16079.224323562597</v>
      </c>
      <c r="H130" s="93">
        <v>0.1859096169076464</v>
      </c>
      <c r="I130" s="93">
        <v>7.6836362925041257E-2</v>
      </c>
      <c r="J130" s="93">
        <v>0.14608359573964691</v>
      </c>
    </row>
    <row r="131" spans="1:10" x14ac:dyDescent="0.3">
      <c r="A131" s="87" t="s">
        <v>50</v>
      </c>
      <c r="B131" s="60">
        <v>117871.48800000001</v>
      </c>
      <c r="C131" s="60">
        <v>121423.75825026148</v>
      </c>
      <c r="D131" s="60">
        <v>88237.766019000017</v>
      </c>
      <c r="E131" s="60">
        <v>143946.42578107159</v>
      </c>
      <c r="F131" s="60">
        <v>359654.426997</v>
      </c>
      <c r="G131" s="60">
        <v>394836.74475056055</v>
      </c>
      <c r="H131" s="93">
        <v>0.28752192760287265</v>
      </c>
      <c r="I131" s="93">
        <v>9.7822562750921049E-2</v>
      </c>
      <c r="J131" s="93">
        <v>0.1669305594100563</v>
      </c>
    </row>
    <row r="132" spans="1:10" x14ac:dyDescent="0.3">
      <c r="A132" s="88" t="s">
        <v>51</v>
      </c>
      <c r="B132" s="60">
        <v>117871.48800000001</v>
      </c>
      <c r="C132" s="60">
        <v>121423.75825026148</v>
      </c>
      <c r="D132" s="60">
        <v>88237.766019000017</v>
      </c>
      <c r="E132" s="60">
        <v>143946.42578107159</v>
      </c>
      <c r="F132" s="60">
        <v>359654.426997</v>
      </c>
      <c r="G132" s="60">
        <v>394836.74475056055</v>
      </c>
      <c r="H132" s="93">
        <v>0.28752192760287265</v>
      </c>
      <c r="I132" s="93">
        <v>9.7822562750921049E-2</v>
      </c>
      <c r="J132" s="93">
        <v>0.1669305594100563</v>
      </c>
    </row>
    <row r="133" spans="1:10" x14ac:dyDescent="0.3">
      <c r="A133" s="89" t="s">
        <v>25</v>
      </c>
      <c r="B133" s="60">
        <v>117871.48800000001</v>
      </c>
      <c r="C133" s="60">
        <v>121423.75825026148</v>
      </c>
      <c r="D133" s="60">
        <v>88237.766019000017</v>
      </c>
      <c r="E133" s="60">
        <v>143946.42578107159</v>
      </c>
      <c r="F133" s="60">
        <v>359654.426997</v>
      </c>
      <c r="G133" s="60">
        <v>394836.74475056055</v>
      </c>
      <c r="H133" s="93">
        <v>0.28752192760287265</v>
      </c>
      <c r="I133" s="93">
        <v>9.7822562750921049E-2</v>
      </c>
      <c r="J133" s="93">
        <v>0.1669305594100563</v>
      </c>
    </row>
    <row r="134" spans="1:10" x14ac:dyDescent="0.3">
      <c r="A134" s="90" t="s">
        <v>25</v>
      </c>
      <c r="B134" s="60">
        <v>117871.48800000001</v>
      </c>
      <c r="C134" s="60">
        <v>121423.75825026148</v>
      </c>
      <c r="D134" s="60">
        <v>88237.766019000017</v>
      </c>
      <c r="E134" s="60">
        <v>143946.42578107159</v>
      </c>
      <c r="F134" s="60">
        <v>359654.426997</v>
      </c>
      <c r="G134" s="60">
        <v>394836.74475056055</v>
      </c>
      <c r="H134" s="93">
        <v>0.28752192760287265</v>
      </c>
      <c r="I134" s="93">
        <v>9.7822562750921049E-2</v>
      </c>
      <c r="J134" s="93">
        <v>0.1669305594100563</v>
      </c>
    </row>
    <row r="135" spans="1:10" x14ac:dyDescent="0.3">
      <c r="A135" s="91" t="s">
        <v>35</v>
      </c>
      <c r="B135" s="60">
        <v>33163.19999999999</v>
      </c>
      <c r="C135" s="60">
        <v>34113.03687043114</v>
      </c>
      <c r="D135" s="60">
        <v>79955.601140999992</v>
      </c>
      <c r="E135" s="60">
        <v>130435.33993081431</v>
      </c>
      <c r="F135" s="60">
        <v>308818.12016579998</v>
      </c>
      <c r="G135" s="60">
        <v>338347.26364410174</v>
      </c>
      <c r="H135" s="93">
        <v>0.45465099648766327</v>
      </c>
      <c r="I135" s="93">
        <v>9.5619853726355064E-2</v>
      </c>
      <c r="J135" s="93">
        <v>0.19187398649022303</v>
      </c>
    </row>
    <row r="136" spans="1:10" x14ac:dyDescent="0.3">
      <c r="A136" s="92">
        <v>44501</v>
      </c>
      <c r="B136" s="60">
        <v>2763.6</v>
      </c>
      <c r="C136" s="60">
        <v>2842.7530725359284</v>
      </c>
      <c r="D136" s="60">
        <v>6584.5374270000002</v>
      </c>
      <c r="E136" s="60">
        <v>10741.666191257067</v>
      </c>
      <c r="F136" s="60">
        <v>25431.920232599998</v>
      </c>
      <c r="G136" s="60">
        <v>27863.71672522154</v>
      </c>
      <c r="H136" s="93">
        <v>0.45316854505769721</v>
      </c>
      <c r="I136" s="93">
        <v>9.5619853726355064E-2</v>
      </c>
      <c r="J136" s="93">
        <v>0.19172131325015274</v>
      </c>
    </row>
    <row r="137" spans="1:10" x14ac:dyDescent="0.3">
      <c r="A137" s="92">
        <v>44531</v>
      </c>
      <c r="B137" s="60">
        <v>2763.6</v>
      </c>
      <c r="C137" s="60">
        <v>2842.7530725359284</v>
      </c>
      <c r="D137" s="60">
        <v>6352.3861440000001</v>
      </c>
      <c r="E137" s="60">
        <v>10362.946863513156</v>
      </c>
      <c r="F137" s="60">
        <v>24535.266067199998</v>
      </c>
      <c r="G137" s="60">
        <v>26881.324619682862</v>
      </c>
      <c r="H137" s="93">
        <v>0.44863097940762775</v>
      </c>
      <c r="I137" s="93">
        <v>9.5619853726354842E-2</v>
      </c>
      <c r="J137" s="93">
        <v>0.19124911917512399</v>
      </c>
    </row>
    <row r="138" spans="1:10" x14ac:dyDescent="0.3">
      <c r="A138" s="92">
        <v>44562</v>
      </c>
      <c r="B138" s="60">
        <v>2763.6</v>
      </c>
      <c r="C138" s="60">
        <v>2842.7530725359284</v>
      </c>
      <c r="D138" s="60">
        <v>7191.8066609999996</v>
      </c>
      <c r="E138" s="60">
        <v>11732.33310934616</v>
      </c>
      <c r="F138" s="60">
        <v>27777.418741799996</v>
      </c>
      <c r="G138" s="60">
        <v>30433.491458786626</v>
      </c>
      <c r="H138" s="93">
        <v>0.46403724912409072</v>
      </c>
      <c r="I138" s="93">
        <v>9.5619853726355064E-2</v>
      </c>
      <c r="J138" s="93">
        <v>0.19282288458920482</v>
      </c>
    </row>
    <row r="139" spans="1:10" x14ac:dyDescent="0.3">
      <c r="A139" s="92">
        <v>44593</v>
      </c>
      <c r="B139" s="60">
        <v>2763.6</v>
      </c>
      <c r="C139" s="60">
        <v>2842.7530725359284</v>
      </c>
      <c r="D139" s="60">
        <v>7020.6264569999994</v>
      </c>
      <c r="E139" s="60">
        <v>11453.078775946911</v>
      </c>
      <c r="F139" s="60">
        <v>27116.257446599997</v>
      </c>
      <c r="G139" s="60">
        <v>29709.110017250074</v>
      </c>
      <c r="H139" s="93">
        <v>0.46111007459921072</v>
      </c>
      <c r="I139" s="93">
        <v>9.5619853726355064E-2</v>
      </c>
      <c r="J139" s="93">
        <v>0.19253021127562531</v>
      </c>
    </row>
    <row r="140" spans="1:10" x14ac:dyDescent="0.3">
      <c r="A140" s="92">
        <v>44621</v>
      </c>
      <c r="B140" s="60">
        <v>2763.6</v>
      </c>
      <c r="C140" s="60">
        <v>2842.7530725359284</v>
      </c>
      <c r="D140" s="60">
        <v>6234.1063199999999</v>
      </c>
      <c r="E140" s="60">
        <v>10169.99141286011</v>
      </c>
      <c r="F140" s="60">
        <v>24078.425616</v>
      </c>
      <c r="G140" s="60">
        <v>26380.801151362837</v>
      </c>
      <c r="H140" s="93">
        <v>0.44622907467778306</v>
      </c>
      <c r="I140" s="93">
        <v>9.5619853726354842E-2</v>
      </c>
      <c r="J140" s="93">
        <v>0.19099614528635422</v>
      </c>
    </row>
    <row r="141" spans="1:10" x14ac:dyDescent="0.3">
      <c r="A141" s="92">
        <v>44652</v>
      </c>
      <c r="B141" s="60">
        <v>2763.6</v>
      </c>
      <c r="C141" s="60">
        <v>2842.7530725359284</v>
      </c>
      <c r="D141" s="60">
        <v>6720.6541739999993</v>
      </c>
      <c r="E141" s="60">
        <v>10963.719854938639</v>
      </c>
      <c r="F141" s="60">
        <v>25957.653481199995</v>
      </c>
      <c r="G141" s="60">
        <v>28439.72051015175</v>
      </c>
      <c r="H141" s="93">
        <v>0.45572574017717038</v>
      </c>
      <c r="I141" s="93">
        <v>9.5619853726355064E-2</v>
      </c>
      <c r="J141" s="93">
        <v>0.19198418574480991</v>
      </c>
    </row>
    <row r="142" spans="1:10" x14ac:dyDescent="0.3">
      <c r="A142" s="92">
        <v>44682</v>
      </c>
      <c r="B142" s="60">
        <v>2763.6</v>
      </c>
      <c r="C142" s="60">
        <v>2842.7530725359284</v>
      </c>
      <c r="D142" s="60">
        <v>6824.8272299999999</v>
      </c>
      <c r="E142" s="60">
        <v>11133.662270192701</v>
      </c>
      <c r="F142" s="60">
        <v>26360.008373999997</v>
      </c>
      <c r="G142" s="60">
        <v>28880.548518947369</v>
      </c>
      <c r="H142" s="93">
        <v>0.45763377115692316</v>
      </c>
      <c r="I142" s="93">
        <v>9.5619853726355064E-2</v>
      </c>
      <c r="J142" s="93">
        <v>0.19217882896988381</v>
      </c>
    </row>
    <row r="143" spans="1:10" x14ac:dyDescent="0.3">
      <c r="A143" s="92">
        <v>44713</v>
      </c>
      <c r="B143" s="60">
        <v>2763.6</v>
      </c>
      <c r="C143" s="60">
        <v>2842.7530725359284</v>
      </c>
      <c r="D143" s="60">
        <v>6708.7854989999996</v>
      </c>
      <c r="E143" s="60">
        <v>10944.357926117378</v>
      </c>
      <c r="F143" s="60">
        <v>25911.812266199999</v>
      </c>
      <c r="G143" s="60">
        <v>28389.495964878814</v>
      </c>
      <c r="H143" s="93">
        <v>0.45550569073744018</v>
      </c>
      <c r="I143" s="93">
        <v>9.5619853726355064E-2</v>
      </c>
      <c r="J143" s="93">
        <v>0.19196165597436221</v>
      </c>
    </row>
    <row r="144" spans="1:10" x14ac:dyDescent="0.3">
      <c r="A144" s="92">
        <v>44743</v>
      </c>
      <c r="B144" s="60">
        <v>2763.6</v>
      </c>
      <c r="C144" s="60">
        <v>2842.7530725359284</v>
      </c>
      <c r="D144" s="60">
        <v>6369.9517829999995</v>
      </c>
      <c r="E144" s="60">
        <v>10391.602518168627</v>
      </c>
      <c r="F144" s="60">
        <v>24603.1110654</v>
      </c>
      <c r="G144" s="60">
        <v>26955.656946686813</v>
      </c>
      <c r="H144" s="93">
        <v>0.44898237894016835</v>
      </c>
      <c r="I144" s="93">
        <v>9.5619853726354842E-2</v>
      </c>
      <c r="J144" s="93">
        <v>0.19128595255524594</v>
      </c>
    </row>
    <row r="145" spans="1:10" x14ac:dyDescent="0.3">
      <c r="A145" s="92">
        <v>44774</v>
      </c>
      <c r="B145" s="60">
        <v>2763.6</v>
      </c>
      <c r="C145" s="60">
        <v>2842.7530725359284</v>
      </c>
      <c r="D145" s="60">
        <v>6682.5387719999999</v>
      </c>
      <c r="E145" s="60">
        <v>10901.54040352407</v>
      </c>
      <c r="F145" s="60">
        <v>25810.437693599997</v>
      </c>
      <c r="G145" s="60">
        <v>28278.42797047523</v>
      </c>
      <c r="H145" s="93">
        <v>0.45501710358103953</v>
      </c>
      <c r="I145" s="93">
        <v>9.5619853726355064E-2</v>
      </c>
      <c r="J145" s="93">
        <v>0.19191157109474299</v>
      </c>
    </row>
    <row r="146" spans="1:10" x14ac:dyDescent="0.3">
      <c r="A146" s="92">
        <v>44805</v>
      </c>
      <c r="B146" s="60">
        <v>2763.6</v>
      </c>
      <c r="C146" s="60">
        <v>2842.7530725359284</v>
      </c>
      <c r="D146" s="60">
        <v>6632.690337</v>
      </c>
      <c r="E146" s="60">
        <v>10820.220302474763</v>
      </c>
      <c r="F146" s="60">
        <v>25617.904590599999</v>
      </c>
      <c r="G146" s="60">
        <v>28067.484880328888</v>
      </c>
      <c r="H146" s="93">
        <v>0.45408165190571759</v>
      </c>
      <c r="I146" s="93">
        <v>9.5619853726354842E-2</v>
      </c>
      <c r="J146" s="93">
        <v>0.19181544346877089</v>
      </c>
    </row>
    <row r="147" spans="1:10" x14ac:dyDescent="0.3">
      <c r="A147" s="92">
        <v>44835</v>
      </c>
      <c r="B147" s="60">
        <v>2763.6</v>
      </c>
      <c r="C147" s="60">
        <v>2842.7530725359284</v>
      </c>
      <c r="D147" s="60">
        <v>6632.690337</v>
      </c>
      <c r="E147" s="60">
        <v>10820.220302474763</v>
      </c>
      <c r="F147" s="60">
        <v>25617.904590599999</v>
      </c>
      <c r="G147" s="60">
        <v>28067.484880328888</v>
      </c>
      <c r="H147" s="93">
        <v>0.45408165190571759</v>
      </c>
      <c r="I147" s="93">
        <v>9.5619853726354842E-2</v>
      </c>
      <c r="J147" s="93">
        <v>0.19181544346877089</v>
      </c>
    </row>
    <row r="148" spans="1:10" x14ac:dyDescent="0.3">
      <c r="A148" s="91" t="s">
        <v>34</v>
      </c>
      <c r="B148" s="60">
        <v>84708.288</v>
      </c>
      <c r="C148" s="60">
        <v>87310.721379830298</v>
      </c>
      <c r="D148" s="60">
        <v>8282.1648779999996</v>
      </c>
      <c r="E148" s="60">
        <v>13511.085850257299</v>
      </c>
      <c r="F148" s="60">
        <v>50836.306831199996</v>
      </c>
      <c r="G148" s="60">
        <v>56489.481106458828</v>
      </c>
      <c r="H148" s="93">
        <v>8.4216756771386514E-2</v>
      </c>
      <c r="I148" s="93">
        <v>0.11120348089073384</v>
      </c>
      <c r="J148" s="93">
        <v>9.3755352999751018E-2</v>
      </c>
    </row>
    <row r="149" spans="1:10" x14ac:dyDescent="0.3">
      <c r="A149" s="92">
        <v>44501</v>
      </c>
      <c r="B149" s="60">
        <v>7059.0239999999994</v>
      </c>
      <c r="C149" s="60">
        <v>7275.8934483191915</v>
      </c>
      <c r="D149" s="60">
        <v>581.90418</v>
      </c>
      <c r="E149" s="60">
        <v>949.28771020822171</v>
      </c>
      <c r="F149" s="60">
        <v>3571.7544719999996</v>
      </c>
      <c r="G149" s="60">
        <v>3968.9460021734458</v>
      </c>
      <c r="H149" s="93">
        <v>7.6463613420250098E-2</v>
      </c>
      <c r="I149" s="93">
        <v>0.11120348089073406</v>
      </c>
      <c r="J149" s="93">
        <v>8.7529856962981212E-2</v>
      </c>
    </row>
    <row r="150" spans="1:10" x14ac:dyDescent="0.3">
      <c r="A150" s="92">
        <v>44531</v>
      </c>
      <c r="B150" s="60">
        <v>7059.0239999999994</v>
      </c>
      <c r="C150" s="60">
        <v>7275.8934483191915</v>
      </c>
      <c r="D150" s="60">
        <v>591.19565699999998</v>
      </c>
      <c r="E150" s="60">
        <v>964.44533448543928</v>
      </c>
      <c r="F150" s="60">
        <v>3628.7859828000001</v>
      </c>
      <c r="G150" s="60">
        <v>4032.3196154948632</v>
      </c>
      <c r="H150" s="93">
        <v>7.713754013123908E-2</v>
      </c>
      <c r="I150" s="93">
        <v>0.11120348089073406</v>
      </c>
      <c r="J150" s="93">
        <v>8.8097549574158496E-2</v>
      </c>
    </row>
    <row r="151" spans="1:10" x14ac:dyDescent="0.3">
      <c r="A151" s="92">
        <v>44562</v>
      </c>
      <c r="B151" s="60">
        <v>7059.0239999999994</v>
      </c>
      <c r="C151" s="60">
        <v>7275.8934483191915</v>
      </c>
      <c r="D151" s="60">
        <v>756.00068699999997</v>
      </c>
      <c r="E151" s="60">
        <v>1233.2995461178377</v>
      </c>
      <c r="F151" s="60">
        <v>4640.3667947999993</v>
      </c>
      <c r="G151" s="60">
        <v>5156.3917349915382</v>
      </c>
      <c r="H151" s="93">
        <v>8.8824838722743049E-2</v>
      </c>
      <c r="I151" s="93">
        <v>0.11120348089073406</v>
      </c>
      <c r="J151" s="93">
        <v>9.7162200754341788E-2</v>
      </c>
    </row>
    <row r="152" spans="1:10" x14ac:dyDescent="0.3">
      <c r="A152" s="92">
        <v>44593</v>
      </c>
      <c r="B152" s="60">
        <v>7059.0239999999994</v>
      </c>
      <c r="C152" s="60">
        <v>7275.8934483191915</v>
      </c>
      <c r="D152" s="60">
        <v>662.00078099999996</v>
      </c>
      <c r="E152" s="60">
        <v>1079.9530698534327</v>
      </c>
      <c r="F152" s="60">
        <v>4063.3910723999993</v>
      </c>
      <c r="G152" s="60">
        <v>4515.254303871212</v>
      </c>
      <c r="H152" s="93">
        <v>8.2219880803232614E-2</v>
      </c>
      <c r="I152" s="93">
        <v>0.11120348089073406</v>
      </c>
      <c r="J152" s="93">
        <v>9.221373228528007E-2</v>
      </c>
    </row>
    <row r="153" spans="1:10" x14ac:dyDescent="0.3">
      <c r="A153" s="92">
        <v>44621</v>
      </c>
      <c r="B153" s="60">
        <v>7059.0239999999994</v>
      </c>
      <c r="C153" s="60">
        <v>7275.8934483191915</v>
      </c>
      <c r="D153" s="60">
        <v>710.69625899999994</v>
      </c>
      <c r="E153" s="60">
        <v>1159.3922978172443</v>
      </c>
      <c r="F153" s="60">
        <v>4362.2861435999994</v>
      </c>
      <c r="G153" s="60">
        <v>4847.3875474097358</v>
      </c>
      <c r="H153" s="93">
        <v>8.5661447896465015E-2</v>
      </c>
      <c r="I153" s="93">
        <v>0.11120348089073406</v>
      </c>
      <c r="J153" s="93">
        <v>9.484555585954646E-2</v>
      </c>
    </row>
    <row r="154" spans="1:10" x14ac:dyDescent="0.3">
      <c r="A154" s="92">
        <v>44652</v>
      </c>
      <c r="B154" s="60">
        <v>7059.0239999999994</v>
      </c>
      <c r="C154" s="60">
        <v>7275.8934483191915</v>
      </c>
      <c r="D154" s="60">
        <v>664.30669499999999</v>
      </c>
      <c r="E154" s="60">
        <v>1083.714816024421</v>
      </c>
      <c r="F154" s="60">
        <v>4077.5448779999997</v>
      </c>
      <c r="G154" s="60">
        <v>4530.9820619217835</v>
      </c>
      <c r="H154" s="93">
        <v>8.2383830819976689E-2</v>
      </c>
      <c r="I154" s="93">
        <v>0.11120348089073406</v>
      </c>
      <c r="J154" s="93">
        <v>9.2341856036396663E-2</v>
      </c>
    </row>
    <row r="155" spans="1:10" x14ac:dyDescent="0.3">
      <c r="A155" s="92">
        <v>44682</v>
      </c>
      <c r="B155" s="60">
        <v>7059.0239999999994</v>
      </c>
      <c r="C155" s="60">
        <v>7275.8934483191915</v>
      </c>
      <c r="D155" s="60">
        <v>690.41777999999999</v>
      </c>
      <c r="E155" s="60">
        <v>1126.3110594312002</v>
      </c>
      <c r="F155" s="60">
        <v>4237.8159119999991</v>
      </c>
      <c r="G155" s="60">
        <v>4709.0757927885406</v>
      </c>
      <c r="H155" s="93">
        <v>8.4233515946279258E-2</v>
      </c>
      <c r="I155" s="93">
        <v>0.11120348089073429</v>
      </c>
      <c r="J155" s="93">
        <v>9.3768119232898295E-2</v>
      </c>
    </row>
    <row r="156" spans="1:10" x14ac:dyDescent="0.3">
      <c r="A156" s="92">
        <v>44713</v>
      </c>
      <c r="B156" s="60">
        <v>7059.0239999999994</v>
      </c>
      <c r="C156" s="60">
        <v>7275.8934483191915</v>
      </c>
      <c r="D156" s="60">
        <v>740.19839400000001</v>
      </c>
      <c r="E156" s="60">
        <v>1207.5205208872414</v>
      </c>
      <c r="F156" s="60">
        <v>4543.3715975999994</v>
      </c>
      <c r="G156" s="60">
        <v>5048.6103342332153</v>
      </c>
      <c r="H156" s="93">
        <v>8.7725614252619266E-2</v>
      </c>
      <c r="I156" s="93">
        <v>0.11120348089073406</v>
      </c>
      <c r="J156" s="93">
        <v>9.6367936322716341E-2</v>
      </c>
    </row>
    <row r="157" spans="1:10" x14ac:dyDescent="0.3">
      <c r="A157" s="92">
        <v>44743</v>
      </c>
      <c r="B157" s="60">
        <v>7059.0239999999994</v>
      </c>
      <c r="C157" s="60">
        <v>7275.8934483191915</v>
      </c>
      <c r="D157" s="60">
        <v>729.88960199999997</v>
      </c>
      <c r="E157" s="60">
        <v>1190.7033027110585</v>
      </c>
      <c r="F157" s="60">
        <v>4480.0957607999999</v>
      </c>
      <c r="G157" s="60">
        <v>4978.2980041247811</v>
      </c>
      <c r="H157" s="93">
        <v>8.7006119679673866E-2</v>
      </c>
      <c r="I157" s="93">
        <v>0.11120348089073406</v>
      </c>
      <c r="J157" s="93">
        <v>9.5841918249761182E-2</v>
      </c>
    </row>
    <row r="158" spans="1:10" x14ac:dyDescent="0.3">
      <c r="A158" s="92">
        <v>44774</v>
      </c>
      <c r="B158" s="60">
        <v>7059.0239999999994</v>
      </c>
      <c r="C158" s="60">
        <v>7275.8934483191915</v>
      </c>
      <c r="D158" s="60">
        <v>688.99353900000006</v>
      </c>
      <c r="E158" s="60">
        <v>1123.9876279726486</v>
      </c>
      <c r="F158" s="60">
        <v>4229.0738555999997</v>
      </c>
      <c r="G158" s="60">
        <v>4699.3615892867174</v>
      </c>
      <c r="H158" s="93">
        <v>8.4132945493560873E-2</v>
      </c>
      <c r="I158" s="93">
        <v>0.11120348089073406</v>
      </c>
      <c r="J158" s="93">
        <v>9.3691467653364446E-2</v>
      </c>
    </row>
    <row r="159" spans="1:10" x14ac:dyDescent="0.3">
      <c r="A159" s="92">
        <v>44805</v>
      </c>
      <c r="B159" s="60">
        <v>7059.0239999999994</v>
      </c>
      <c r="C159" s="60">
        <v>7275.8934483191915</v>
      </c>
      <c r="D159" s="60">
        <v>733.28065199999992</v>
      </c>
      <c r="E159" s="60">
        <v>1196.2352823742767</v>
      </c>
      <c r="F159" s="60">
        <v>4500.9101807999996</v>
      </c>
      <c r="G159" s="60">
        <v>5001.4270600815025</v>
      </c>
      <c r="H159" s="93">
        <v>8.7243005638772519E-2</v>
      </c>
      <c r="I159" s="93">
        <v>0.11120348089073406</v>
      </c>
      <c r="J159" s="93">
        <v>9.6015645543398476E-2</v>
      </c>
    </row>
    <row r="160" spans="1:10" x14ac:dyDescent="0.3">
      <c r="A160" s="92">
        <v>44835</v>
      </c>
      <c r="B160" s="60">
        <v>7059.0239999999994</v>
      </c>
      <c r="C160" s="60">
        <v>7275.8934483191915</v>
      </c>
      <c r="D160" s="60">
        <v>733.28065199999992</v>
      </c>
      <c r="E160" s="60">
        <v>1196.2352823742767</v>
      </c>
      <c r="F160" s="60">
        <v>4500.9101807999996</v>
      </c>
      <c r="G160" s="60">
        <v>5001.4270600815025</v>
      </c>
      <c r="H160" s="93">
        <v>8.7243005638772519E-2</v>
      </c>
      <c r="I160" s="93">
        <v>0.11120348089073406</v>
      </c>
      <c r="J160" s="93">
        <v>9.6015645543398476E-2</v>
      </c>
    </row>
    <row r="161" spans="1:10" x14ac:dyDescent="0.3">
      <c r="A161" s="86" t="s">
        <v>55</v>
      </c>
      <c r="B161" s="60">
        <v>12277953.947326584</v>
      </c>
      <c r="C161" s="60">
        <v>13986947.947803348</v>
      </c>
      <c r="D161" s="60">
        <v>11709703.586100003</v>
      </c>
      <c r="E161" s="60">
        <v>19102591.26247533</v>
      </c>
      <c r="F161" s="60">
        <v>0</v>
      </c>
      <c r="G161" s="60">
        <v>0</v>
      </c>
      <c r="H161" s="93">
        <v>0.37944020437046433</v>
      </c>
      <c r="I161" s="93">
        <v>0</v>
      </c>
      <c r="J161" s="93">
        <v>0.37944020437046433</v>
      </c>
    </row>
    <row r="162" spans="1:10" x14ac:dyDescent="0.3">
      <c r="A162" s="87" t="s">
        <v>38</v>
      </c>
      <c r="B162" s="60">
        <v>12277953.947326584</v>
      </c>
      <c r="C162" s="60">
        <v>13986947.947803348</v>
      </c>
      <c r="D162" s="60">
        <v>11709703.586100003</v>
      </c>
      <c r="E162" s="60">
        <v>19102591.26247533</v>
      </c>
      <c r="F162" s="60">
        <v>0</v>
      </c>
      <c r="G162" s="60">
        <v>0</v>
      </c>
      <c r="H162" s="93">
        <v>0.37944020437046433</v>
      </c>
      <c r="I162" s="93">
        <v>0</v>
      </c>
      <c r="J162" s="93">
        <v>0.37944020437046433</v>
      </c>
    </row>
    <row r="163" spans="1:10" x14ac:dyDescent="0.3">
      <c r="A163" s="88" t="s">
        <v>25</v>
      </c>
      <c r="B163" s="60">
        <v>12277953.947326584</v>
      </c>
      <c r="C163" s="60">
        <v>13986947.947803348</v>
      </c>
      <c r="D163" s="60">
        <v>11709703.586100003</v>
      </c>
      <c r="E163" s="60">
        <v>19102591.26247533</v>
      </c>
      <c r="F163" s="60">
        <v>0</v>
      </c>
      <c r="G163" s="60">
        <v>0</v>
      </c>
      <c r="H163" s="93">
        <v>0.37944020437046433</v>
      </c>
      <c r="I163" s="93">
        <v>0</v>
      </c>
      <c r="J163" s="93">
        <v>0.37944020437046433</v>
      </c>
    </row>
    <row r="164" spans="1:10" x14ac:dyDescent="0.3">
      <c r="A164" s="89" t="s">
        <v>56</v>
      </c>
      <c r="B164" s="60">
        <v>5346814.8273265827</v>
      </c>
      <c r="C164" s="60">
        <v>6091019.1505597699</v>
      </c>
      <c r="D164" s="60">
        <v>6484050.2259</v>
      </c>
      <c r="E164" s="60">
        <v>10577736.684791841</v>
      </c>
      <c r="F164" s="60">
        <v>0</v>
      </c>
      <c r="G164" s="60">
        <v>0</v>
      </c>
      <c r="H164" s="93">
        <v>0.40892113639700511</v>
      </c>
      <c r="I164" s="93">
        <v>0</v>
      </c>
      <c r="J164" s="93">
        <v>0.40892113639700511</v>
      </c>
    </row>
    <row r="165" spans="1:10" x14ac:dyDescent="0.3">
      <c r="A165" s="90" t="s">
        <v>25</v>
      </c>
      <c r="B165" s="60">
        <v>5346814.8273265827</v>
      </c>
      <c r="C165" s="60">
        <v>6091019.1505597699</v>
      </c>
      <c r="D165" s="60">
        <v>6484050.2259</v>
      </c>
      <c r="E165" s="60">
        <v>10577736.684791841</v>
      </c>
      <c r="F165" s="60">
        <v>0</v>
      </c>
      <c r="G165" s="60">
        <v>0</v>
      </c>
      <c r="H165" s="93">
        <v>0.40892113639700511</v>
      </c>
      <c r="I165" s="93">
        <v>0</v>
      </c>
      <c r="J165" s="93">
        <v>0.40892113639700511</v>
      </c>
    </row>
    <row r="166" spans="1:10" x14ac:dyDescent="0.3">
      <c r="A166" s="91" t="s">
        <v>35</v>
      </c>
      <c r="B166" s="60">
        <v>1559247.6750337202</v>
      </c>
      <c r="C166" s="60">
        <v>1773731.9403948023</v>
      </c>
      <c r="D166" s="60">
        <v>0</v>
      </c>
      <c r="E166" s="60">
        <v>0</v>
      </c>
      <c r="F166" s="60">
        <v>0</v>
      </c>
      <c r="G166" s="60">
        <v>0</v>
      </c>
      <c r="H166" s="93">
        <v>0.1375562515149773</v>
      </c>
      <c r="I166" s="93">
        <v>0</v>
      </c>
      <c r="J166" s="93">
        <v>0.1375562515149773</v>
      </c>
    </row>
    <row r="167" spans="1:10" x14ac:dyDescent="0.3">
      <c r="A167" s="92">
        <v>44501</v>
      </c>
      <c r="B167" s="60">
        <v>144695.06328718</v>
      </c>
      <c r="C167" s="60">
        <v>164598.77380568691</v>
      </c>
      <c r="D167" s="60">
        <v>0</v>
      </c>
      <c r="E167" s="60">
        <v>0</v>
      </c>
      <c r="F167" s="60">
        <v>0</v>
      </c>
      <c r="G167" s="60">
        <v>0</v>
      </c>
      <c r="H167" s="93">
        <v>0.13755625151497752</v>
      </c>
      <c r="I167" s="93">
        <v>0</v>
      </c>
      <c r="J167" s="93">
        <v>0.13755625151497752</v>
      </c>
    </row>
    <row r="168" spans="1:10" x14ac:dyDescent="0.3">
      <c r="A168" s="92">
        <v>44531</v>
      </c>
      <c r="B168" s="60">
        <v>146645.96262512001</v>
      </c>
      <c r="C168" s="60">
        <v>166818.03154363699</v>
      </c>
      <c r="D168" s="60">
        <v>0</v>
      </c>
      <c r="E168" s="60">
        <v>0</v>
      </c>
      <c r="F168" s="60">
        <v>0</v>
      </c>
      <c r="G168" s="60">
        <v>0</v>
      </c>
      <c r="H168" s="93">
        <v>0.1375562515149773</v>
      </c>
      <c r="I168" s="93">
        <v>0</v>
      </c>
      <c r="J168" s="93">
        <v>0.1375562515149773</v>
      </c>
    </row>
    <row r="169" spans="1:10" x14ac:dyDescent="0.3">
      <c r="A169" s="92">
        <v>44562</v>
      </c>
      <c r="B169" s="60">
        <v>128999.34891354002</v>
      </c>
      <c r="C169" s="60">
        <v>146744.01579795923</v>
      </c>
      <c r="D169" s="60">
        <v>0</v>
      </c>
      <c r="E169" s="60">
        <v>0</v>
      </c>
      <c r="F169" s="60">
        <v>0</v>
      </c>
      <c r="G169" s="60">
        <v>0</v>
      </c>
      <c r="H169" s="93">
        <v>0.1375562515149773</v>
      </c>
      <c r="I169" s="93">
        <v>0</v>
      </c>
      <c r="J169" s="93">
        <v>0.1375562515149773</v>
      </c>
    </row>
    <row r="170" spans="1:10" x14ac:dyDescent="0.3">
      <c r="A170" s="92">
        <v>44593</v>
      </c>
      <c r="B170" s="60">
        <v>134040.33051080001</v>
      </c>
      <c r="C170" s="60">
        <v>152478.4159276943</v>
      </c>
      <c r="D170" s="60">
        <v>0</v>
      </c>
      <c r="E170" s="60">
        <v>0</v>
      </c>
      <c r="F170" s="60">
        <v>0</v>
      </c>
      <c r="G170" s="60">
        <v>0</v>
      </c>
      <c r="H170" s="93">
        <v>0.1375562515149773</v>
      </c>
      <c r="I170" s="93">
        <v>0</v>
      </c>
      <c r="J170" s="93">
        <v>0.1375562515149773</v>
      </c>
    </row>
    <row r="171" spans="1:10" x14ac:dyDescent="0.3">
      <c r="A171" s="92">
        <v>44621</v>
      </c>
      <c r="B171" s="60">
        <v>123350.95994550001</v>
      </c>
      <c r="C171" s="60">
        <v>140318.6556163771</v>
      </c>
      <c r="D171" s="60">
        <v>0</v>
      </c>
      <c r="E171" s="60">
        <v>0</v>
      </c>
      <c r="F171" s="60">
        <v>0</v>
      </c>
      <c r="G171" s="60">
        <v>0</v>
      </c>
      <c r="H171" s="93">
        <v>0.1375562515149773</v>
      </c>
      <c r="I171" s="93">
        <v>0</v>
      </c>
      <c r="J171" s="93">
        <v>0.1375562515149773</v>
      </c>
    </row>
    <row r="172" spans="1:10" x14ac:dyDescent="0.3">
      <c r="A172" s="92">
        <v>44652</v>
      </c>
      <c r="B172" s="60">
        <v>112027.50077735999</v>
      </c>
      <c r="C172" s="60">
        <v>127437.58385088485</v>
      </c>
      <c r="D172" s="60">
        <v>0</v>
      </c>
      <c r="E172" s="60">
        <v>0</v>
      </c>
      <c r="F172" s="60">
        <v>0</v>
      </c>
      <c r="G172" s="60">
        <v>0</v>
      </c>
      <c r="H172" s="93">
        <v>0.13755625151497752</v>
      </c>
      <c r="I172" s="93">
        <v>0</v>
      </c>
      <c r="J172" s="93">
        <v>0.13755625151497752</v>
      </c>
    </row>
    <row r="173" spans="1:10" x14ac:dyDescent="0.3">
      <c r="A173" s="92">
        <v>44682</v>
      </c>
      <c r="B173" s="60">
        <v>148323.04028080002</v>
      </c>
      <c r="C173" s="60">
        <v>168725.80171513185</v>
      </c>
      <c r="D173" s="60">
        <v>0</v>
      </c>
      <c r="E173" s="60">
        <v>0</v>
      </c>
      <c r="F173" s="60">
        <v>0</v>
      </c>
      <c r="G173" s="60">
        <v>0</v>
      </c>
      <c r="H173" s="93">
        <v>0.1375562515149773</v>
      </c>
      <c r="I173" s="93">
        <v>0</v>
      </c>
      <c r="J173" s="93">
        <v>0.1375562515149773</v>
      </c>
    </row>
    <row r="174" spans="1:10" x14ac:dyDescent="0.3">
      <c r="A174" s="92">
        <v>44713</v>
      </c>
      <c r="B174" s="60">
        <v>136926.73030805998</v>
      </c>
      <c r="C174" s="60">
        <v>155761.85806143895</v>
      </c>
      <c r="D174" s="60">
        <v>0</v>
      </c>
      <c r="E174" s="60">
        <v>0</v>
      </c>
      <c r="F174" s="60">
        <v>0</v>
      </c>
      <c r="G174" s="60">
        <v>0</v>
      </c>
      <c r="H174" s="93">
        <v>0.1375562515149773</v>
      </c>
      <c r="I174" s="93">
        <v>0</v>
      </c>
      <c r="J174" s="93">
        <v>0.1375562515149773</v>
      </c>
    </row>
    <row r="175" spans="1:10" x14ac:dyDescent="0.3">
      <c r="A175" s="92">
        <v>44743</v>
      </c>
      <c r="B175" s="60">
        <v>112158.54994119999</v>
      </c>
      <c r="C175" s="60">
        <v>127586.65964646685</v>
      </c>
      <c r="D175" s="60">
        <v>0</v>
      </c>
      <c r="E175" s="60">
        <v>0</v>
      </c>
      <c r="F175" s="60">
        <v>0</v>
      </c>
      <c r="G175" s="60">
        <v>0</v>
      </c>
      <c r="H175" s="93">
        <v>0.13755625151497752</v>
      </c>
      <c r="I175" s="93">
        <v>0</v>
      </c>
      <c r="J175" s="93">
        <v>0.13755625151497752</v>
      </c>
    </row>
    <row r="176" spans="1:10" x14ac:dyDescent="0.3">
      <c r="A176" s="92">
        <v>44774</v>
      </c>
      <c r="B176" s="60">
        <v>118886.75001168001</v>
      </c>
      <c r="C176" s="60">
        <v>135240.3656980849</v>
      </c>
      <c r="D176" s="60">
        <v>0</v>
      </c>
      <c r="E176" s="60">
        <v>0</v>
      </c>
      <c r="F176" s="60">
        <v>0</v>
      </c>
      <c r="G176" s="60">
        <v>0</v>
      </c>
      <c r="H176" s="93">
        <v>0.1375562515149773</v>
      </c>
      <c r="I176" s="93">
        <v>0</v>
      </c>
      <c r="J176" s="93">
        <v>0.1375562515149773</v>
      </c>
    </row>
    <row r="177" spans="1:10" x14ac:dyDescent="0.3">
      <c r="A177" s="92">
        <v>44805</v>
      </c>
      <c r="B177" s="60">
        <v>126596.71921623999</v>
      </c>
      <c r="C177" s="60">
        <v>144010.88936572007</v>
      </c>
      <c r="D177" s="60">
        <v>0</v>
      </c>
      <c r="E177" s="60">
        <v>0</v>
      </c>
      <c r="F177" s="60">
        <v>0</v>
      </c>
      <c r="G177" s="60">
        <v>0</v>
      </c>
      <c r="H177" s="93">
        <v>0.1375562515149773</v>
      </c>
      <c r="I177" s="93">
        <v>0</v>
      </c>
      <c r="J177" s="93">
        <v>0.1375562515149773</v>
      </c>
    </row>
    <row r="178" spans="1:10" x14ac:dyDescent="0.3">
      <c r="A178" s="92">
        <v>44835</v>
      </c>
      <c r="B178" s="60">
        <v>126596.71921623999</v>
      </c>
      <c r="C178" s="60">
        <v>144010.88936572007</v>
      </c>
      <c r="D178" s="60">
        <v>0</v>
      </c>
      <c r="E178" s="60">
        <v>0</v>
      </c>
      <c r="F178" s="60">
        <v>0</v>
      </c>
      <c r="G178" s="60">
        <v>0</v>
      </c>
      <c r="H178" s="93">
        <v>0.1375562515149773</v>
      </c>
      <c r="I178" s="93">
        <v>0</v>
      </c>
      <c r="J178" s="93">
        <v>0.1375562515149773</v>
      </c>
    </row>
    <row r="179" spans="1:10" x14ac:dyDescent="0.3">
      <c r="A179" s="91" t="s">
        <v>25</v>
      </c>
      <c r="B179" s="60">
        <v>0</v>
      </c>
      <c r="C179" s="60">
        <v>0</v>
      </c>
      <c r="D179" s="60">
        <v>6484050.2259</v>
      </c>
      <c r="E179" s="60">
        <v>10577736.684791841</v>
      </c>
      <c r="F179" s="60">
        <v>0</v>
      </c>
      <c r="G179" s="60">
        <v>0</v>
      </c>
      <c r="H179" s="93">
        <v>0.63134712352164546</v>
      </c>
      <c r="I179" s="93">
        <v>0</v>
      </c>
      <c r="J179" s="93">
        <v>0.63134712352164546</v>
      </c>
    </row>
    <row r="180" spans="1:10" x14ac:dyDescent="0.3">
      <c r="A180" s="92">
        <v>44501</v>
      </c>
      <c r="B180" s="60">
        <v>0</v>
      </c>
      <c r="C180" s="60">
        <v>0</v>
      </c>
      <c r="D180" s="60">
        <v>569120.64300000004</v>
      </c>
      <c r="E180" s="60">
        <v>928433.32389483938</v>
      </c>
      <c r="F180" s="60">
        <v>0</v>
      </c>
      <c r="G180" s="60">
        <v>0</v>
      </c>
      <c r="H180" s="93">
        <v>0.63134712352164546</v>
      </c>
      <c r="I180" s="93">
        <v>0</v>
      </c>
      <c r="J180" s="93">
        <v>0.63134712352164546</v>
      </c>
    </row>
    <row r="181" spans="1:10" x14ac:dyDescent="0.3">
      <c r="A181" s="92">
        <v>44531</v>
      </c>
      <c r="B181" s="60">
        <v>0</v>
      </c>
      <c r="C181" s="60">
        <v>0</v>
      </c>
      <c r="D181" s="60">
        <v>552026.50425000011</v>
      </c>
      <c r="E181" s="60">
        <v>900546.84981594689</v>
      </c>
      <c r="F181" s="60">
        <v>0</v>
      </c>
      <c r="G181" s="60">
        <v>0</v>
      </c>
      <c r="H181" s="93">
        <v>0.63134712352164502</v>
      </c>
      <c r="I181" s="93">
        <v>0</v>
      </c>
      <c r="J181" s="93">
        <v>0.63134712352164502</v>
      </c>
    </row>
    <row r="182" spans="1:10" x14ac:dyDescent="0.3">
      <c r="A182" s="92">
        <v>44562</v>
      </c>
      <c r="B182" s="60">
        <v>0</v>
      </c>
      <c r="C182" s="60">
        <v>0</v>
      </c>
      <c r="D182" s="60">
        <v>516263.91375000007</v>
      </c>
      <c r="E182" s="60">
        <v>842205.65067408944</v>
      </c>
      <c r="F182" s="60">
        <v>0</v>
      </c>
      <c r="G182" s="60">
        <v>0</v>
      </c>
      <c r="H182" s="93">
        <v>0.63134712352164546</v>
      </c>
      <c r="I182" s="93">
        <v>0</v>
      </c>
      <c r="J182" s="93">
        <v>0.63134712352164546</v>
      </c>
    </row>
    <row r="183" spans="1:10" x14ac:dyDescent="0.3">
      <c r="A183" s="92">
        <v>44593</v>
      </c>
      <c r="B183" s="60">
        <v>0</v>
      </c>
      <c r="C183" s="60">
        <v>0</v>
      </c>
      <c r="D183" s="60">
        <v>544187.04599999997</v>
      </c>
      <c r="E183" s="60">
        <v>887757.97214984125</v>
      </c>
      <c r="F183" s="60">
        <v>0</v>
      </c>
      <c r="G183" s="60">
        <v>0</v>
      </c>
      <c r="H183" s="93">
        <v>0.63134712352164524</v>
      </c>
      <c r="I183" s="93">
        <v>0</v>
      </c>
      <c r="J183" s="93">
        <v>0.63134712352164524</v>
      </c>
    </row>
    <row r="184" spans="1:10" x14ac:dyDescent="0.3">
      <c r="A184" s="92">
        <v>44621</v>
      </c>
      <c r="B184" s="60">
        <v>0</v>
      </c>
      <c r="C184" s="60">
        <v>0</v>
      </c>
      <c r="D184" s="60">
        <v>534750.33105000004</v>
      </c>
      <c r="E184" s="60">
        <v>872363.41436066513</v>
      </c>
      <c r="F184" s="60">
        <v>0</v>
      </c>
      <c r="G184" s="60">
        <v>0</v>
      </c>
      <c r="H184" s="93">
        <v>0.63134712352164524</v>
      </c>
      <c r="I184" s="93">
        <v>0</v>
      </c>
      <c r="J184" s="93">
        <v>0.63134712352164524</v>
      </c>
    </row>
    <row r="185" spans="1:10" x14ac:dyDescent="0.3">
      <c r="A185" s="92">
        <v>44652</v>
      </c>
      <c r="B185" s="60">
        <v>0</v>
      </c>
      <c r="C185" s="60">
        <v>0</v>
      </c>
      <c r="D185" s="60">
        <v>575202.31080000009</v>
      </c>
      <c r="E185" s="60">
        <v>938354.63516658347</v>
      </c>
      <c r="F185" s="60">
        <v>0</v>
      </c>
      <c r="G185" s="60">
        <v>0</v>
      </c>
      <c r="H185" s="93">
        <v>0.63134712352164524</v>
      </c>
      <c r="I185" s="93">
        <v>0</v>
      </c>
      <c r="J185" s="93">
        <v>0.63134712352164524</v>
      </c>
    </row>
    <row r="186" spans="1:10" x14ac:dyDescent="0.3">
      <c r="A186" s="92">
        <v>44682</v>
      </c>
      <c r="B186" s="60">
        <v>0</v>
      </c>
      <c r="C186" s="60">
        <v>0</v>
      </c>
      <c r="D186" s="60">
        <v>522313.3305000001</v>
      </c>
      <c r="E186" s="60">
        <v>852074.34928818559</v>
      </c>
      <c r="F186" s="60">
        <v>0</v>
      </c>
      <c r="G186" s="60">
        <v>0</v>
      </c>
      <c r="H186" s="93">
        <v>0.63134712352164524</v>
      </c>
      <c r="I186" s="93">
        <v>0</v>
      </c>
      <c r="J186" s="93">
        <v>0.63134712352164524</v>
      </c>
    </row>
    <row r="187" spans="1:10" x14ac:dyDescent="0.3">
      <c r="A187" s="92">
        <v>44713</v>
      </c>
      <c r="B187" s="60">
        <v>0</v>
      </c>
      <c r="C187" s="60">
        <v>0</v>
      </c>
      <c r="D187" s="60">
        <v>533753.07374999998</v>
      </c>
      <c r="E187" s="60">
        <v>870736.54153289914</v>
      </c>
      <c r="F187" s="60">
        <v>0</v>
      </c>
      <c r="G187" s="60">
        <v>0</v>
      </c>
      <c r="H187" s="93">
        <v>0.63134712352164546</v>
      </c>
      <c r="I187" s="93">
        <v>0</v>
      </c>
      <c r="J187" s="93">
        <v>0.63134712352164546</v>
      </c>
    </row>
    <row r="188" spans="1:10" x14ac:dyDescent="0.3">
      <c r="A188" s="92">
        <v>44743</v>
      </c>
      <c r="B188" s="60">
        <v>0</v>
      </c>
      <c r="C188" s="60">
        <v>0</v>
      </c>
      <c r="D188" s="60">
        <v>507421.06545000005</v>
      </c>
      <c r="E188" s="60">
        <v>827779.89553614613</v>
      </c>
      <c r="F188" s="60">
        <v>0</v>
      </c>
      <c r="G188" s="60">
        <v>0</v>
      </c>
      <c r="H188" s="93">
        <v>0.63134712352164546</v>
      </c>
      <c r="I188" s="93">
        <v>0</v>
      </c>
      <c r="J188" s="93">
        <v>0.63134712352164546</v>
      </c>
    </row>
    <row r="189" spans="1:10" x14ac:dyDescent="0.3">
      <c r="A189" s="92">
        <v>44774</v>
      </c>
      <c r="B189" s="60">
        <v>0</v>
      </c>
      <c r="C189" s="60">
        <v>0</v>
      </c>
      <c r="D189" s="60">
        <v>533042.10765000002</v>
      </c>
      <c r="E189" s="60">
        <v>869576.70903074276</v>
      </c>
      <c r="F189" s="60">
        <v>0</v>
      </c>
      <c r="G189" s="60">
        <v>0</v>
      </c>
      <c r="H189" s="93">
        <v>0.63134712352164524</v>
      </c>
      <c r="I189" s="93">
        <v>0</v>
      </c>
      <c r="J189" s="93">
        <v>0.63134712352164524</v>
      </c>
    </row>
    <row r="190" spans="1:10" x14ac:dyDescent="0.3">
      <c r="A190" s="92">
        <v>44805</v>
      </c>
      <c r="B190" s="60">
        <v>0</v>
      </c>
      <c r="C190" s="60">
        <v>0</v>
      </c>
      <c r="D190" s="60">
        <v>547984.94984999998</v>
      </c>
      <c r="E190" s="60">
        <v>893953.6716709506</v>
      </c>
      <c r="F190" s="60">
        <v>0</v>
      </c>
      <c r="G190" s="60">
        <v>0</v>
      </c>
      <c r="H190" s="93">
        <v>0.63134712352164546</v>
      </c>
      <c r="I190" s="93">
        <v>0</v>
      </c>
      <c r="J190" s="93">
        <v>0.63134712352164546</v>
      </c>
    </row>
    <row r="191" spans="1:10" x14ac:dyDescent="0.3">
      <c r="A191" s="92">
        <v>44835</v>
      </c>
      <c r="B191" s="60">
        <v>0</v>
      </c>
      <c r="C191" s="60">
        <v>0</v>
      </c>
      <c r="D191" s="60">
        <v>547984.94984999998</v>
      </c>
      <c r="E191" s="60">
        <v>893953.6716709506</v>
      </c>
      <c r="F191" s="60">
        <v>0</v>
      </c>
      <c r="G191" s="60">
        <v>0</v>
      </c>
      <c r="H191" s="93">
        <v>0.63134712352164546</v>
      </c>
      <c r="I191" s="93">
        <v>0</v>
      </c>
      <c r="J191" s="93">
        <v>0.63134712352164546</v>
      </c>
    </row>
    <row r="192" spans="1:10" x14ac:dyDescent="0.3">
      <c r="A192" s="91" t="s">
        <v>34</v>
      </c>
      <c r="B192" s="60">
        <v>3787567.1522928625</v>
      </c>
      <c r="C192" s="60">
        <v>4317287.2101649679</v>
      </c>
      <c r="D192" s="60">
        <v>0</v>
      </c>
      <c r="E192" s="60">
        <v>0</v>
      </c>
      <c r="F192" s="60">
        <v>0</v>
      </c>
      <c r="G192" s="60">
        <v>0</v>
      </c>
      <c r="H192" s="93">
        <v>0.13985760161412086</v>
      </c>
      <c r="I192" s="93">
        <v>0</v>
      </c>
      <c r="J192" s="93">
        <v>0.13985760161412086</v>
      </c>
    </row>
    <row r="193" spans="1:10" x14ac:dyDescent="0.3">
      <c r="A193" s="92">
        <v>44501</v>
      </c>
      <c r="B193" s="60">
        <v>348373.59124473121</v>
      </c>
      <c r="C193" s="60">
        <v>397096.28618191741</v>
      </c>
      <c r="D193" s="60">
        <v>0</v>
      </c>
      <c r="E193" s="60">
        <v>0</v>
      </c>
      <c r="F193" s="60">
        <v>0</v>
      </c>
      <c r="G193" s="60">
        <v>0</v>
      </c>
      <c r="H193" s="93">
        <v>0.13985760161412086</v>
      </c>
      <c r="I193" s="93">
        <v>0</v>
      </c>
      <c r="J193" s="93">
        <v>0.13985760161412086</v>
      </c>
    </row>
    <row r="194" spans="1:10" x14ac:dyDescent="0.3">
      <c r="A194" s="92">
        <v>44531</v>
      </c>
      <c r="B194" s="60">
        <v>349102.14446714881</v>
      </c>
      <c r="C194" s="60">
        <v>397926.73311067058</v>
      </c>
      <c r="D194" s="60">
        <v>0</v>
      </c>
      <c r="E194" s="60">
        <v>0</v>
      </c>
      <c r="F194" s="60">
        <v>0</v>
      </c>
      <c r="G194" s="60">
        <v>0</v>
      </c>
      <c r="H194" s="93">
        <v>0.13985760161412086</v>
      </c>
      <c r="I194" s="93">
        <v>0</v>
      </c>
      <c r="J194" s="93">
        <v>0.13985760161412086</v>
      </c>
    </row>
    <row r="195" spans="1:10" x14ac:dyDescent="0.3">
      <c r="A195" s="92">
        <v>44562</v>
      </c>
      <c r="B195" s="60">
        <v>311808.76886866795</v>
      </c>
      <c r="C195" s="60">
        <v>355417.59544489166</v>
      </c>
      <c r="D195" s="60">
        <v>0</v>
      </c>
      <c r="E195" s="60">
        <v>0</v>
      </c>
      <c r="F195" s="60">
        <v>0</v>
      </c>
      <c r="G195" s="60">
        <v>0</v>
      </c>
      <c r="H195" s="93">
        <v>0.13985760161412109</v>
      </c>
      <c r="I195" s="93">
        <v>0</v>
      </c>
      <c r="J195" s="93">
        <v>0.13985760161412109</v>
      </c>
    </row>
    <row r="196" spans="1:10" x14ac:dyDescent="0.3">
      <c r="A196" s="92">
        <v>44593</v>
      </c>
      <c r="B196" s="60">
        <v>323145.42030191998</v>
      </c>
      <c r="C196" s="60">
        <v>368339.76375793363</v>
      </c>
      <c r="D196" s="60">
        <v>0</v>
      </c>
      <c r="E196" s="60">
        <v>0</v>
      </c>
      <c r="F196" s="60">
        <v>0</v>
      </c>
      <c r="G196" s="60">
        <v>0</v>
      </c>
      <c r="H196" s="93">
        <v>0.13985760161412109</v>
      </c>
      <c r="I196" s="93">
        <v>0</v>
      </c>
      <c r="J196" s="93">
        <v>0.13985760161412109</v>
      </c>
    </row>
    <row r="197" spans="1:10" x14ac:dyDescent="0.3">
      <c r="A197" s="92">
        <v>44621</v>
      </c>
      <c r="B197" s="60">
        <v>298009.48909646878</v>
      </c>
      <c r="C197" s="60">
        <v>339688.38149975042</v>
      </c>
      <c r="D197" s="60">
        <v>0</v>
      </c>
      <c r="E197" s="60">
        <v>0</v>
      </c>
      <c r="F197" s="60">
        <v>0</v>
      </c>
      <c r="G197" s="60">
        <v>0</v>
      </c>
      <c r="H197" s="93">
        <v>0.13985760161412086</v>
      </c>
      <c r="I197" s="93">
        <v>0</v>
      </c>
      <c r="J197" s="93">
        <v>0.13985760161412086</v>
      </c>
    </row>
    <row r="198" spans="1:10" x14ac:dyDescent="0.3">
      <c r="A198" s="92">
        <v>44652</v>
      </c>
      <c r="B198" s="60">
        <v>270149.28000450239</v>
      </c>
      <c r="C198" s="60">
        <v>307931.71038371371</v>
      </c>
      <c r="D198" s="60">
        <v>0</v>
      </c>
      <c r="E198" s="60">
        <v>0</v>
      </c>
      <c r="F198" s="60">
        <v>0</v>
      </c>
      <c r="G198" s="60">
        <v>0</v>
      </c>
      <c r="H198" s="93">
        <v>0.13985760161412109</v>
      </c>
      <c r="I198" s="93">
        <v>0</v>
      </c>
      <c r="J198" s="93">
        <v>0.13985760161412109</v>
      </c>
    </row>
    <row r="199" spans="1:10" x14ac:dyDescent="0.3">
      <c r="A199" s="92">
        <v>44682</v>
      </c>
      <c r="B199" s="60">
        <v>358920.34804214397</v>
      </c>
      <c r="C199" s="60">
        <v>409118.08708982379</v>
      </c>
      <c r="D199" s="60">
        <v>0</v>
      </c>
      <c r="E199" s="60">
        <v>0</v>
      </c>
      <c r="F199" s="60">
        <v>0</v>
      </c>
      <c r="G199" s="60">
        <v>0</v>
      </c>
      <c r="H199" s="93">
        <v>0.13985760161412109</v>
      </c>
      <c r="I199" s="93">
        <v>0</v>
      </c>
      <c r="J199" s="93">
        <v>0.13985760161412109</v>
      </c>
    </row>
    <row r="200" spans="1:10" x14ac:dyDescent="0.3">
      <c r="A200" s="92">
        <v>44713</v>
      </c>
      <c r="B200" s="60">
        <v>336817.35083476076</v>
      </c>
      <c r="C200" s="60">
        <v>383923.81770453235</v>
      </c>
      <c r="D200" s="60">
        <v>0</v>
      </c>
      <c r="E200" s="60">
        <v>0</v>
      </c>
      <c r="F200" s="60">
        <v>0</v>
      </c>
      <c r="G200" s="60">
        <v>0</v>
      </c>
      <c r="H200" s="93">
        <v>0.13985760161412109</v>
      </c>
      <c r="I200" s="93">
        <v>0</v>
      </c>
      <c r="J200" s="93">
        <v>0.13985760161412109</v>
      </c>
    </row>
    <row r="201" spans="1:10" x14ac:dyDescent="0.3">
      <c r="A201" s="92">
        <v>44743</v>
      </c>
      <c r="B201" s="60">
        <v>275179.47226502158</v>
      </c>
      <c r="C201" s="60">
        <v>313665.41326944699</v>
      </c>
      <c r="D201" s="60">
        <v>0</v>
      </c>
      <c r="E201" s="60">
        <v>0</v>
      </c>
      <c r="F201" s="60">
        <v>0</v>
      </c>
      <c r="G201" s="60">
        <v>0</v>
      </c>
      <c r="H201" s="93">
        <v>0.13985760161412086</v>
      </c>
      <c r="I201" s="93">
        <v>0</v>
      </c>
      <c r="J201" s="93">
        <v>0.13985760161412086</v>
      </c>
    </row>
    <row r="202" spans="1:10" x14ac:dyDescent="0.3">
      <c r="A202" s="92">
        <v>44774</v>
      </c>
      <c r="B202" s="60">
        <v>292573.42963362479</v>
      </c>
      <c r="C202" s="60">
        <v>333492.04779820133</v>
      </c>
      <c r="D202" s="60">
        <v>0</v>
      </c>
      <c r="E202" s="60">
        <v>0</v>
      </c>
      <c r="F202" s="60">
        <v>0</v>
      </c>
      <c r="G202" s="60">
        <v>0</v>
      </c>
      <c r="H202" s="93">
        <v>0.13985760161412086</v>
      </c>
      <c r="I202" s="93">
        <v>0</v>
      </c>
      <c r="J202" s="93">
        <v>0.13985760161412086</v>
      </c>
    </row>
    <row r="203" spans="1:10" x14ac:dyDescent="0.3">
      <c r="A203" s="92">
        <v>44805</v>
      </c>
      <c r="B203" s="60">
        <v>311743.92876693601</v>
      </c>
      <c r="C203" s="60">
        <v>355343.68696204305</v>
      </c>
      <c r="D203" s="60">
        <v>0</v>
      </c>
      <c r="E203" s="60">
        <v>0</v>
      </c>
      <c r="F203" s="60">
        <v>0</v>
      </c>
      <c r="G203" s="60">
        <v>0</v>
      </c>
      <c r="H203" s="93">
        <v>0.13985760161412109</v>
      </c>
      <c r="I203" s="93">
        <v>0</v>
      </c>
      <c r="J203" s="93">
        <v>0.13985760161412109</v>
      </c>
    </row>
    <row r="204" spans="1:10" x14ac:dyDescent="0.3">
      <c r="A204" s="92">
        <v>44835</v>
      </c>
      <c r="B204" s="60">
        <v>311743.92876693601</v>
      </c>
      <c r="C204" s="60">
        <v>355343.68696204305</v>
      </c>
      <c r="D204" s="60">
        <v>0</v>
      </c>
      <c r="E204" s="60">
        <v>0</v>
      </c>
      <c r="F204" s="60">
        <v>0</v>
      </c>
      <c r="G204" s="60">
        <v>0</v>
      </c>
      <c r="H204" s="93">
        <v>0.13985760161412109</v>
      </c>
      <c r="I204" s="93">
        <v>0</v>
      </c>
      <c r="J204" s="93">
        <v>0.13985760161412109</v>
      </c>
    </row>
    <row r="205" spans="1:10" x14ac:dyDescent="0.3">
      <c r="A205" s="89" t="s">
        <v>25</v>
      </c>
      <c r="B205" s="60">
        <v>6931139.1199999992</v>
      </c>
      <c r="C205" s="60">
        <v>7895928.7972435774</v>
      </c>
      <c r="D205" s="60">
        <v>5225653.3602</v>
      </c>
      <c r="E205" s="60">
        <v>8524854.5776834916</v>
      </c>
      <c r="F205" s="60">
        <v>0</v>
      </c>
      <c r="G205" s="60">
        <v>0</v>
      </c>
      <c r="H205" s="93">
        <v>0.35074966539668373</v>
      </c>
      <c r="I205" s="93">
        <v>0</v>
      </c>
      <c r="J205" s="93">
        <v>0.35074966539668373</v>
      </c>
    </row>
    <row r="206" spans="1:10" x14ac:dyDescent="0.3">
      <c r="A206" s="90" t="s">
        <v>25</v>
      </c>
      <c r="B206" s="60">
        <v>6931139.1199999992</v>
      </c>
      <c r="C206" s="60">
        <v>7895928.7972435774</v>
      </c>
      <c r="D206" s="60">
        <v>5225653.3602</v>
      </c>
      <c r="E206" s="60">
        <v>8524854.5776834916</v>
      </c>
      <c r="F206" s="60">
        <v>0</v>
      </c>
      <c r="G206" s="60">
        <v>0</v>
      </c>
      <c r="H206" s="93">
        <v>0.35074966539668373</v>
      </c>
      <c r="I206" s="93">
        <v>0</v>
      </c>
      <c r="J206" s="93">
        <v>0.35074966539668373</v>
      </c>
    </row>
    <row r="207" spans="1:10" x14ac:dyDescent="0.3">
      <c r="A207" s="91" t="s">
        <v>35</v>
      </c>
      <c r="B207" s="60">
        <v>1991360</v>
      </c>
      <c r="C207" s="60">
        <v>2265284.0170168653</v>
      </c>
      <c r="D207" s="60">
        <v>0</v>
      </c>
      <c r="E207" s="60">
        <v>0</v>
      </c>
      <c r="F207" s="60">
        <v>0</v>
      </c>
      <c r="G207" s="60">
        <v>0</v>
      </c>
      <c r="H207" s="93">
        <v>0.1375562515149773</v>
      </c>
      <c r="I207" s="93">
        <v>0</v>
      </c>
      <c r="J207" s="93">
        <v>0.1375562515149773</v>
      </c>
    </row>
    <row r="208" spans="1:10" x14ac:dyDescent="0.3">
      <c r="A208" s="92">
        <v>44501</v>
      </c>
      <c r="B208" s="60">
        <v>180866</v>
      </c>
      <c r="C208" s="60">
        <v>205745.24898650788</v>
      </c>
      <c r="D208" s="60">
        <v>0</v>
      </c>
      <c r="E208" s="60">
        <v>0</v>
      </c>
      <c r="F208" s="60">
        <v>0</v>
      </c>
      <c r="G208" s="60">
        <v>0</v>
      </c>
      <c r="H208" s="93">
        <v>0.1375562515149773</v>
      </c>
      <c r="I208" s="93">
        <v>0</v>
      </c>
      <c r="J208" s="93">
        <v>0.1375562515149773</v>
      </c>
    </row>
    <row r="209" spans="1:10" x14ac:dyDescent="0.3">
      <c r="A209" s="92">
        <v>44531</v>
      </c>
      <c r="B209" s="60">
        <v>180712</v>
      </c>
      <c r="C209" s="60">
        <v>205570.06532377459</v>
      </c>
      <c r="D209" s="60">
        <v>0</v>
      </c>
      <c r="E209" s="60">
        <v>0</v>
      </c>
      <c r="F209" s="60">
        <v>0</v>
      </c>
      <c r="G209" s="60">
        <v>0</v>
      </c>
      <c r="H209" s="93">
        <v>0.1375562515149773</v>
      </c>
      <c r="I209" s="93">
        <v>0</v>
      </c>
      <c r="J209" s="93">
        <v>0.1375562515149773</v>
      </c>
    </row>
    <row r="210" spans="1:10" x14ac:dyDescent="0.3">
      <c r="A210" s="92">
        <v>44562</v>
      </c>
      <c r="B210" s="60">
        <v>182686</v>
      </c>
      <c r="C210" s="60">
        <v>207815.60136426517</v>
      </c>
      <c r="D210" s="60">
        <v>0</v>
      </c>
      <c r="E210" s="60">
        <v>0</v>
      </c>
      <c r="F210" s="60">
        <v>0</v>
      </c>
      <c r="G210" s="60">
        <v>0</v>
      </c>
      <c r="H210" s="93">
        <v>0.13755625151497752</v>
      </c>
      <c r="I210" s="93">
        <v>0</v>
      </c>
      <c r="J210" s="93">
        <v>0.13755625151497752</v>
      </c>
    </row>
    <row r="211" spans="1:10" x14ac:dyDescent="0.3">
      <c r="A211" s="92">
        <v>44593</v>
      </c>
      <c r="B211" s="60">
        <v>182140</v>
      </c>
      <c r="C211" s="60">
        <v>207194.49565093798</v>
      </c>
      <c r="D211" s="60">
        <v>0</v>
      </c>
      <c r="E211" s="60">
        <v>0</v>
      </c>
      <c r="F211" s="60">
        <v>0</v>
      </c>
      <c r="G211" s="60">
        <v>0</v>
      </c>
      <c r="H211" s="93">
        <v>0.1375562515149773</v>
      </c>
      <c r="I211" s="93">
        <v>0</v>
      </c>
      <c r="J211" s="93">
        <v>0.1375562515149773</v>
      </c>
    </row>
    <row r="212" spans="1:10" x14ac:dyDescent="0.3">
      <c r="A212" s="92">
        <v>44621</v>
      </c>
      <c r="B212" s="60">
        <v>151928</v>
      </c>
      <c r="C212" s="60">
        <v>172826.64618016747</v>
      </c>
      <c r="D212" s="60">
        <v>0</v>
      </c>
      <c r="E212" s="60">
        <v>0</v>
      </c>
      <c r="F212" s="60">
        <v>0</v>
      </c>
      <c r="G212" s="60">
        <v>0</v>
      </c>
      <c r="H212" s="93">
        <v>0.1375562515149773</v>
      </c>
      <c r="I212" s="93">
        <v>0</v>
      </c>
      <c r="J212" s="93">
        <v>0.1375562515149773</v>
      </c>
    </row>
    <row r="213" spans="1:10" x14ac:dyDescent="0.3">
      <c r="A213" s="92">
        <v>44652</v>
      </c>
      <c r="B213" s="60">
        <v>143710</v>
      </c>
      <c r="C213" s="60">
        <v>163478.20890521738</v>
      </c>
      <c r="D213" s="60">
        <v>0</v>
      </c>
      <c r="E213" s="60">
        <v>0</v>
      </c>
      <c r="F213" s="60">
        <v>0</v>
      </c>
      <c r="G213" s="60">
        <v>0</v>
      </c>
      <c r="H213" s="93">
        <v>0.1375562515149773</v>
      </c>
      <c r="I213" s="93">
        <v>0</v>
      </c>
      <c r="J213" s="93">
        <v>0.1375562515149773</v>
      </c>
    </row>
    <row r="214" spans="1:10" x14ac:dyDescent="0.3">
      <c r="A214" s="92">
        <v>44682</v>
      </c>
      <c r="B214" s="60">
        <v>159922</v>
      </c>
      <c r="C214" s="60">
        <v>181920.27085477821</v>
      </c>
      <c r="D214" s="60">
        <v>0</v>
      </c>
      <c r="E214" s="60">
        <v>0</v>
      </c>
      <c r="F214" s="60">
        <v>0</v>
      </c>
      <c r="G214" s="60">
        <v>0</v>
      </c>
      <c r="H214" s="93">
        <v>0.1375562515149773</v>
      </c>
      <c r="I214" s="93">
        <v>0</v>
      </c>
      <c r="J214" s="93">
        <v>0.1375562515149773</v>
      </c>
    </row>
    <row r="215" spans="1:10" x14ac:dyDescent="0.3">
      <c r="A215" s="92">
        <v>44713</v>
      </c>
      <c r="B215" s="60">
        <v>156716</v>
      </c>
      <c r="C215" s="60">
        <v>178273.2655124212</v>
      </c>
      <c r="D215" s="60">
        <v>0</v>
      </c>
      <c r="E215" s="60">
        <v>0</v>
      </c>
      <c r="F215" s="60">
        <v>0</v>
      </c>
      <c r="G215" s="60">
        <v>0</v>
      </c>
      <c r="H215" s="93">
        <v>0.13755625151497752</v>
      </c>
      <c r="I215" s="93">
        <v>0</v>
      </c>
      <c r="J215" s="93">
        <v>0.13755625151497752</v>
      </c>
    </row>
    <row r="216" spans="1:10" x14ac:dyDescent="0.3">
      <c r="A216" s="92">
        <v>44743</v>
      </c>
      <c r="B216" s="60">
        <v>157668</v>
      </c>
      <c r="C216" s="60">
        <v>179356.21906386345</v>
      </c>
      <c r="D216" s="60">
        <v>0</v>
      </c>
      <c r="E216" s="60">
        <v>0</v>
      </c>
      <c r="F216" s="60">
        <v>0</v>
      </c>
      <c r="G216" s="60">
        <v>0</v>
      </c>
      <c r="H216" s="93">
        <v>0.1375562515149773</v>
      </c>
      <c r="I216" s="93">
        <v>0</v>
      </c>
      <c r="J216" s="93">
        <v>0.1375562515149773</v>
      </c>
    </row>
    <row r="217" spans="1:10" x14ac:dyDescent="0.3">
      <c r="A217" s="92">
        <v>44774</v>
      </c>
      <c r="B217" s="60">
        <v>154196</v>
      </c>
      <c r="C217" s="60">
        <v>175406.62375860344</v>
      </c>
      <c r="D217" s="60">
        <v>0</v>
      </c>
      <c r="E217" s="60">
        <v>0</v>
      </c>
      <c r="F217" s="60">
        <v>0</v>
      </c>
      <c r="G217" s="60">
        <v>0</v>
      </c>
      <c r="H217" s="93">
        <v>0.1375562515149773</v>
      </c>
      <c r="I217" s="93">
        <v>0</v>
      </c>
      <c r="J217" s="93">
        <v>0.1375562515149773</v>
      </c>
    </row>
    <row r="218" spans="1:10" x14ac:dyDescent="0.3">
      <c r="A218" s="92">
        <v>44805</v>
      </c>
      <c r="B218" s="60">
        <v>170408</v>
      </c>
      <c r="C218" s="60">
        <v>193848.68570816427</v>
      </c>
      <c r="D218" s="60">
        <v>0</v>
      </c>
      <c r="E218" s="60">
        <v>0</v>
      </c>
      <c r="F218" s="60">
        <v>0</v>
      </c>
      <c r="G218" s="60">
        <v>0</v>
      </c>
      <c r="H218" s="93">
        <v>0.1375562515149773</v>
      </c>
      <c r="I218" s="93">
        <v>0</v>
      </c>
      <c r="J218" s="93">
        <v>0.1375562515149773</v>
      </c>
    </row>
    <row r="219" spans="1:10" x14ac:dyDescent="0.3">
      <c r="A219" s="92">
        <v>44835</v>
      </c>
      <c r="B219" s="60">
        <v>170408</v>
      </c>
      <c r="C219" s="60">
        <v>193848.68570816427</v>
      </c>
      <c r="D219" s="60">
        <v>0</v>
      </c>
      <c r="E219" s="60">
        <v>0</v>
      </c>
      <c r="F219" s="60">
        <v>0</v>
      </c>
      <c r="G219" s="60">
        <v>0</v>
      </c>
      <c r="H219" s="93">
        <v>0.1375562515149773</v>
      </c>
      <c r="I219" s="93">
        <v>0</v>
      </c>
      <c r="J219" s="93">
        <v>0.1375562515149773</v>
      </c>
    </row>
    <row r="220" spans="1:10" x14ac:dyDescent="0.3">
      <c r="A220" s="91" t="s">
        <v>25</v>
      </c>
      <c r="B220" s="60">
        <v>0</v>
      </c>
      <c r="C220" s="60">
        <v>0</v>
      </c>
      <c r="D220" s="60">
        <v>5225653.3602</v>
      </c>
      <c r="E220" s="60">
        <v>8524854.5776834916</v>
      </c>
      <c r="F220" s="60">
        <v>0</v>
      </c>
      <c r="G220" s="60">
        <v>0</v>
      </c>
      <c r="H220" s="93">
        <v>0.63134712352164568</v>
      </c>
      <c r="I220" s="93">
        <v>0</v>
      </c>
      <c r="J220" s="93">
        <v>0.63134712352164568</v>
      </c>
    </row>
    <row r="221" spans="1:10" x14ac:dyDescent="0.3">
      <c r="A221" s="92">
        <v>44501</v>
      </c>
      <c r="B221" s="60">
        <v>0</v>
      </c>
      <c r="C221" s="60">
        <v>0</v>
      </c>
      <c r="D221" s="60">
        <v>516784.47600000008</v>
      </c>
      <c r="E221" s="60">
        <v>843054.86840324081</v>
      </c>
      <c r="F221" s="60">
        <v>0</v>
      </c>
      <c r="G221" s="60">
        <v>0</v>
      </c>
      <c r="H221" s="93">
        <v>0.63134712352164524</v>
      </c>
      <c r="I221" s="93">
        <v>0</v>
      </c>
      <c r="J221" s="93">
        <v>0.63134712352164524</v>
      </c>
    </row>
    <row r="222" spans="1:10" x14ac:dyDescent="0.3">
      <c r="A222" s="92">
        <v>44531</v>
      </c>
      <c r="B222" s="60">
        <v>0</v>
      </c>
      <c r="C222" s="60">
        <v>0</v>
      </c>
      <c r="D222" s="60">
        <v>419815.95825000003</v>
      </c>
      <c r="E222" s="60">
        <v>684865.55589962064</v>
      </c>
      <c r="F222" s="60">
        <v>0</v>
      </c>
      <c r="G222" s="60">
        <v>0</v>
      </c>
      <c r="H222" s="93">
        <v>0.63134712352164524</v>
      </c>
      <c r="I222" s="93">
        <v>0</v>
      </c>
      <c r="J222" s="93">
        <v>0.63134712352164524</v>
      </c>
    </row>
    <row r="223" spans="1:10" x14ac:dyDescent="0.3">
      <c r="A223" s="92">
        <v>44562</v>
      </c>
      <c r="B223" s="60">
        <v>0</v>
      </c>
      <c r="C223" s="60">
        <v>0</v>
      </c>
      <c r="D223" s="60">
        <v>448152.36570000002</v>
      </c>
      <c r="E223" s="60">
        <v>731092.0726841155</v>
      </c>
      <c r="F223" s="60">
        <v>0</v>
      </c>
      <c r="G223" s="60">
        <v>0</v>
      </c>
      <c r="H223" s="93">
        <v>0.63134712352164524</v>
      </c>
      <c r="I223" s="93">
        <v>0</v>
      </c>
      <c r="J223" s="93">
        <v>0.63134712352164524</v>
      </c>
    </row>
    <row r="224" spans="1:10" x14ac:dyDescent="0.3">
      <c r="A224" s="92">
        <v>44593</v>
      </c>
      <c r="B224" s="60">
        <v>0</v>
      </c>
      <c r="C224" s="60">
        <v>0</v>
      </c>
      <c r="D224" s="60">
        <v>426052.0992</v>
      </c>
      <c r="E224" s="60">
        <v>695038.8665002787</v>
      </c>
      <c r="F224" s="60">
        <v>0</v>
      </c>
      <c r="G224" s="60">
        <v>0</v>
      </c>
      <c r="H224" s="93">
        <v>0.63134712352164546</v>
      </c>
      <c r="I224" s="93">
        <v>0</v>
      </c>
      <c r="J224" s="93">
        <v>0.63134712352164546</v>
      </c>
    </row>
    <row r="225" spans="1:10" x14ac:dyDescent="0.3">
      <c r="A225" s="92">
        <v>44621</v>
      </c>
      <c r="B225" s="60">
        <v>0</v>
      </c>
      <c r="C225" s="60">
        <v>0</v>
      </c>
      <c r="D225" s="60">
        <v>386634.89475000004</v>
      </c>
      <c r="E225" s="60">
        <v>630735.72340350668</v>
      </c>
      <c r="F225" s="60">
        <v>0</v>
      </c>
      <c r="G225" s="60">
        <v>0</v>
      </c>
      <c r="H225" s="93">
        <v>0.63134712352164546</v>
      </c>
      <c r="I225" s="93">
        <v>0</v>
      </c>
      <c r="J225" s="93">
        <v>0.63134712352164546</v>
      </c>
    </row>
    <row r="226" spans="1:10" x14ac:dyDescent="0.3">
      <c r="A226" s="92">
        <v>44652</v>
      </c>
      <c r="B226" s="60">
        <v>0</v>
      </c>
      <c r="C226" s="60">
        <v>0</v>
      </c>
      <c r="D226" s="60">
        <v>421213.64805000002</v>
      </c>
      <c r="E226" s="60">
        <v>687145.67313442624</v>
      </c>
      <c r="F226" s="60">
        <v>0</v>
      </c>
      <c r="G226" s="60">
        <v>0</v>
      </c>
      <c r="H226" s="93">
        <v>0.63134712352164546</v>
      </c>
      <c r="I226" s="93">
        <v>0</v>
      </c>
      <c r="J226" s="93">
        <v>0.63134712352164546</v>
      </c>
    </row>
    <row r="227" spans="1:10" x14ac:dyDescent="0.3">
      <c r="A227" s="92">
        <v>44682</v>
      </c>
      <c r="B227" s="60">
        <v>0</v>
      </c>
      <c r="C227" s="60">
        <v>0</v>
      </c>
      <c r="D227" s="60">
        <v>445109.80020000006</v>
      </c>
      <c r="E227" s="60">
        <v>726128.59220756439</v>
      </c>
      <c r="F227" s="60">
        <v>0</v>
      </c>
      <c r="G227" s="60">
        <v>0</v>
      </c>
      <c r="H227" s="93">
        <v>0.63134712352164546</v>
      </c>
      <c r="I227" s="93">
        <v>0</v>
      </c>
      <c r="J227" s="93">
        <v>0.63134712352164546</v>
      </c>
    </row>
    <row r="228" spans="1:10" x14ac:dyDescent="0.3">
      <c r="A228" s="92">
        <v>44713</v>
      </c>
      <c r="B228" s="60">
        <v>0</v>
      </c>
      <c r="C228" s="60">
        <v>0</v>
      </c>
      <c r="D228" s="60">
        <v>465877.09545000002</v>
      </c>
      <c r="E228" s="60">
        <v>760007.25957697653</v>
      </c>
      <c r="F228" s="60">
        <v>0</v>
      </c>
      <c r="G228" s="60">
        <v>0</v>
      </c>
      <c r="H228" s="93">
        <v>0.63134712352164524</v>
      </c>
      <c r="I228" s="93">
        <v>0</v>
      </c>
      <c r="J228" s="93">
        <v>0.63134712352164524</v>
      </c>
    </row>
    <row r="229" spans="1:10" x14ac:dyDescent="0.3">
      <c r="A229" s="92">
        <v>44743</v>
      </c>
      <c r="B229" s="60">
        <v>0</v>
      </c>
      <c r="C229" s="60">
        <v>0</v>
      </c>
      <c r="D229" s="60">
        <v>447950.41785000003</v>
      </c>
      <c r="E229" s="60">
        <v>730762.62563991663</v>
      </c>
      <c r="F229" s="60">
        <v>0</v>
      </c>
      <c r="G229" s="60">
        <v>0</v>
      </c>
      <c r="H229" s="93">
        <v>0.63134712352164524</v>
      </c>
      <c r="I229" s="93">
        <v>0</v>
      </c>
      <c r="J229" s="93">
        <v>0.63134712352164524</v>
      </c>
    </row>
    <row r="230" spans="1:10" x14ac:dyDescent="0.3">
      <c r="A230" s="92">
        <v>44774</v>
      </c>
      <c r="B230" s="60">
        <v>0</v>
      </c>
      <c r="C230" s="60">
        <v>0</v>
      </c>
      <c r="D230" s="60">
        <v>446251.57395000005</v>
      </c>
      <c r="E230" s="60">
        <v>727991.22153033933</v>
      </c>
      <c r="F230" s="60">
        <v>0</v>
      </c>
      <c r="G230" s="60">
        <v>0</v>
      </c>
      <c r="H230" s="93">
        <v>0.63134712352164524</v>
      </c>
      <c r="I230" s="93">
        <v>0</v>
      </c>
      <c r="J230" s="93">
        <v>0.63134712352164524</v>
      </c>
    </row>
    <row r="231" spans="1:10" x14ac:dyDescent="0.3">
      <c r="A231" s="92">
        <v>44805</v>
      </c>
      <c r="B231" s="60">
        <v>0</v>
      </c>
      <c r="C231" s="60">
        <v>0</v>
      </c>
      <c r="D231" s="60">
        <v>400905.51539999997</v>
      </c>
      <c r="E231" s="60">
        <v>654016.05935175263</v>
      </c>
      <c r="F231" s="60">
        <v>0</v>
      </c>
      <c r="G231" s="60">
        <v>0</v>
      </c>
      <c r="H231" s="93">
        <v>0.63134712352164524</v>
      </c>
      <c r="I231" s="93">
        <v>0</v>
      </c>
      <c r="J231" s="93">
        <v>0.63134712352164524</v>
      </c>
    </row>
    <row r="232" spans="1:10" x14ac:dyDescent="0.3">
      <c r="A232" s="92">
        <v>44835</v>
      </c>
      <c r="B232" s="60">
        <v>0</v>
      </c>
      <c r="C232" s="60">
        <v>0</v>
      </c>
      <c r="D232" s="60">
        <v>400905.51539999997</v>
      </c>
      <c r="E232" s="60">
        <v>654016.05935175263</v>
      </c>
      <c r="F232" s="60">
        <v>0</v>
      </c>
      <c r="G232" s="60">
        <v>0</v>
      </c>
      <c r="H232" s="93">
        <v>0.63134712352164524</v>
      </c>
      <c r="I232" s="93">
        <v>0</v>
      </c>
      <c r="J232" s="93">
        <v>0.63134712352164524</v>
      </c>
    </row>
    <row r="233" spans="1:10" x14ac:dyDescent="0.3">
      <c r="A233" s="91" t="s">
        <v>34</v>
      </c>
      <c r="B233" s="60">
        <v>4939779.1199999982</v>
      </c>
      <c r="C233" s="60">
        <v>5630644.780226713</v>
      </c>
      <c r="D233" s="60">
        <v>0</v>
      </c>
      <c r="E233" s="60">
        <v>0</v>
      </c>
      <c r="F233" s="60">
        <v>0</v>
      </c>
      <c r="G233" s="60">
        <v>0</v>
      </c>
      <c r="H233" s="93">
        <v>0.13985760161412131</v>
      </c>
      <c r="I233" s="93">
        <v>0</v>
      </c>
      <c r="J233" s="93">
        <v>0.13985760161412131</v>
      </c>
    </row>
    <row r="234" spans="1:10" x14ac:dyDescent="0.3">
      <c r="A234" s="92">
        <v>44501</v>
      </c>
      <c r="B234" s="60">
        <v>444675.6</v>
      </c>
      <c r="C234" s="60">
        <v>506866.86291232018</v>
      </c>
      <c r="D234" s="60">
        <v>0</v>
      </c>
      <c r="E234" s="60">
        <v>0</v>
      </c>
      <c r="F234" s="60">
        <v>0</v>
      </c>
      <c r="G234" s="60">
        <v>0</v>
      </c>
      <c r="H234" s="93">
        <v>0.13985760161412086</v>
      </c>
      <c r="I234" s="93">
        <v>0</v>
      </c>
      <c r="J234" s="93">
        <v>0.13985760161412086</v>
      </c>
    </row>
    <row r="235" spans="1:10" x14ac:dyDescent="0.3">
      <c r="A235" s="92">
        <v>44531</v>
      </c>
      <c r="B235" s="60">
        <v>443567.04</v>
      </c>
      <c r="C235" s="60">
        <v>505603.2623694748</v>
      </c>
      <c r="D235" s="60">
        <v>0</v>
      </c>
      <c r="E235" s="60">
        <v>0</v>
      </c>
      <c r="F235" s="60">
        <v>0</v>
      </c>
      <c r="G235" s="60">
        <v>0</v>
      </c>
      <c r="H235" s="93">
        <v>0.13985760161412086</v>
      </c>
      <c r="I235" s="93">
        <v>0</v>
      </c>
      <c r="J235" s="93">
        <v>0.13985760161412086</v>
      </c>
    </row>
    <row r="236" spans="1:10" x14ac:dyDescent="0.3">
      <c r="A236" s="92">
        <v>44562</v>
      </c>
      <c r="B236" s="60">
        <v>448823.75999999995</v>
      </c>
      <c r="C236" s="60">
        <v>511595.17462103179</v>
      </c>
      <c r="D236" s="60">
        <v>0</v>
      </c>
      <c r="E236" s="60">
        <v>0</v>
      </c>
      <c r="F236" s="60">
        <v>0</v>
      </c>
      <c r="G236" s="60">
        <v>0</v>
      </c>
      <c r="H236" s="93">
        <v>0.13985760161412109</v>
      </c>
      <c r="I236" s="93">
        <v>0</v>
      </c>
      <c r="J236" s="93">
        <v>0.13985760161412109</v>
      </c>
    </row>
    <row r="237" spans="1:10" x14ac:dyDescent="0.3">
      <c r="A237" s="92">
        <v>44593</v>
      </c>
      <c r="B237" s="60">
        <v>450003.83999999997</v>
      </c>
      <c r="C237" s="60">
        <v>512940.29777954461</v>
      </c>
      <c r="D237" s="60">
        <v>0</v>
      </c>
      <c r="E237" s="60">
        <v>0</v>
      </c>
      <c r="F237" s="60">
        <v>0</v>
      </c>
      <c r="G237" s="60">
        <v>0</v>
      </c>
      <c r="H237" s="93">
        <v>0.13985760161412109</v>
      </c>
      <c r="I237" s="93">
        <v>0</v>
      </c>
      <c r="J237" s="93">
        <v>0.13985760161412109</v>
      </c>
    </row>
    <row r="238" spans="1:10" x14ac:dyDescent="0.3">
      <c r="A238" s="92">
        <v>44621</v>
      </c>
      <c r="B238" s="60">
        <v>371331.83999999997</v>
      </c>
      <c r="C238" s="60">
        <v>423265.4205453585</v>
      </c>
      <c r="D238" s="60">
        <v>0</v>
      </c>
      <c r="E238" s="60">
        <v>0</v>
      </c>
      <c r="F238" s="60">
        <v>0</v>
      </c>
      <c r="G238" s="60">
        <v>0</v>
      </c>
      <c r="H238" s="93">
        <v>0.13985760161412109</v>
      </c>
      <c r="I238" s="93">
        <v>0</v>
      </c>
      <c r="J238" s="93">
        <v>0.13985760161412109</v>
      </c>
    </row>
    <row r="239" spans="1:10" x14ac:dyDescent="0.3">
      <c r="A239" s="92">
        <v>44652</v>
      </c>
      <c r="B239" s="60">
        <v>370402.07999999996</v>
      </c>
      <c r="C239" s="60">
        <v>422205.62654168176</v>
      </c>
      <c r="D239" s="60">
        <v>0</v>
      </c>
      <c r="E239" s="60">
        <v>0</v>
      </c>
      <c r="F239" s="60">
        <v>0</v>
      </c>
      <c r="G239" s="60">
        <v>0</v>
      </c>
      <c r="H239" s="93">
        <v>0.13985760161412109</v>
      </c>
      <c r="I239" s="93">
        <v>0</v>
      </c>
      <c r="J239" s="93">
        <v>0.13985760161412109</v>
      </c>
    </row>
    <row r="240" spans="1:10" x14ac:dyDescent="0.3">
      <c r="A240" s="92">
        <v>44682</v>
      </c>
      <c r="B240" s="60">
        <v>401227.19999999995</v>
      </c>
      <c r="C240" s="60">
        <v>457341.87389434921</v>
      </c>
      <c r="D240" s="60">
        <v>0</v>
      </c>
      <c r="E240" s="60">
        <v>0</v>
      </c>
      <c r="F240" s="60">
        <v>0</v>
      </c>
      <c r="G240" s="60">
        <v>0</v>
      </c>
      <c r="H240" s="93">
        <v>0.13985760161412109</v>
      </c>
      <c r="I240" s="93">
        <v>0</v>
      </c>
      <c r="J240" s="93">
        <v>0.13985760161412109</v>
      </c>
    </row>
    <row r="241" spans="1:10" x14ac:dyDescent="0.3">
      <c r="A241" s="92">
        <v>44713</v>
      </c>
      <c r="B241" s="60">
        <v>393002.39999999997</v>
      </c>
      <c r="C241" s="60">
        <v>447966.77309259336</v>
      </c>
      <c r="D241" s="60">
        <v>0</v>
      </c>
      <c r="E241" s="60">
        <v>0</v>
      </c>
      <c r="F241" s="60">
        <v>0</v>
      </c>
      <c r="G241" s="60">
        <v>0</v>
      </c>
      <c r="H241" s="93">
        <v>0.13985760161412086</v>
      </c>
      <c r="I241" s="93">
        <v>0</v>
      </c>
      <c r="J241" s="93">
        <v>0.13985760161412086</v>
      </c>
    </row>
    <row r="242" spans="1:10" x14ac:dyDescent="0.3">
      <c r="A242" s="92">
        <v>44743</v>
      </c>
      <c r="B242" s="60">
        <v>393538.8</v>
      </c>
      <c r="C242" s="60">
        <v>448578.19271009922</v>
      </c>
      <c r="D242" s="60">
        <v>0</v>
      </c>
      <c r="E242" s="60">
        <v>0</v>
      </c>
      <c r="F242" s="60">
        <v>0</v>
      </c>
      <c r="G242" s="60">
        <v>0</v>
      </c>
      <c r="H242" s="93">
        <v>0.13985760161412086</v>
      </c>
      <c r="I242" s="93">
        <v>0</v>
      </c>
      <c r="J242" s="93">
        <v>0.13985760161412086</v>
      </c>
    </row>
    <row r="243" spans="1:10" x14ac:dyDescent="0.3">
      <c r="A243" s="92">
        <v>44774</v>
      </c>
      <c r="B243" s="60">
        <v>374693.27999999997</v>
      </c>
      <c r="C243" s="60">
        <v>427096.98348172824</v>
      </c>
      <c r="D243" s="60">
        <v>0</v>
      </c>
      <c r="E243" s="60">
        <v>0</v>
      </c>
      <c r="F243" s="60">
        <v>0</v>
      </c>
      <c r="G243" s="60">
        <v>0</v>
      </c>
      <c r="H243" s="93">
        <v>0.13985760161412086</v>
      </c>
      <c r="I243" s="93">
        <v>0</v>
      </c>
      <c r="J243" s="93">
        <v>0.13985760161412086</v>
      </c>
    </row>
    <row r="244" spans="1:10" x14ac:dyDescent="0.3">
      <c r="A244" s="92">
        <v>44805</v>
      </c>
      <c r="B244" s="60">
        <v>424256.63999999996</v>
      </c>
      <c r="C244" s="60">
        <v>483592.15613926551</v>
      </c>
      <c r="D244" s="60">
        <v>0</v>
      </c>
      <c r="E244" s="60">
        <v>0</v>
      </c>
      <c r="F244" s="60">
        <v>0</v>
      </c>
      <c r="G244" s="60">
        <v>0</v>
      </c>
      <c r="H244" s="93">
        <v>0.13985760161412109</v>
      </c>
      <c r="I244" s="93">
        <v>0</v>
      </c>
      <c r="J244" s="93">
        <v>0.13985760161412109</v>
      </c>
    </row>
    <row r="245" spans="1:10" x14ac:dyDescent="0.3">
      <c r="A245" s="92">
        <v>44835</v>
      </c>
      <c r="B245" s="60">
        <v>424256.63999999996</v>
      </c>
      <c r="C245" s="60">
        <v>483592.15613926551</v>
      </c>
      <c r="D245" s="60">
        <v>0</v>
      </c>
      <c r="E245" s="60">
        <v>0</v>
      </c>
      <c r="F245" s="60">
        <v>0</v>
      </c>
      <c r="G245" s="60">
        <v>0</v>
      </c>
      <c r="H245" s="93">
        <v>0.13985760161412109</v>
      </c>
      <c r="I245" s="93">
        <v>0</v>
      </c>
      <c r="J245" s="93">
        <v>0.13985760161412109</v>
      </c>
    </row>
    <row r="246" spans="1:10" x14ac:dyDescent="0.3">
      <c r="A246" s="85" t="s">
        <v>57</v>
      </c>
      <c r="B246" s="60">
        <v>344527.19999999995</v>
      </c>
      <c r="C246" s="60">
        <v>393286.89109787048</v>
      </c>
      <c r="D246" s="60">
        <v>0</v>
      </c>
      <c r="E246" s="60">
        <v>0</v>
      </c>
      <c r="F246" s="60">
        <v>0</v>
      </c>
      <c r="G246" s="60">
        <v>0</v>
      </c>
      <c r="H246" s="93">
        <v>0.14152639065325046</v>
      </c>
      <c r="I246" s="93">
        <v>0</v>
      </c>
      <c r="J246" s="93">
        <v>0.14152639065325046</v>
      </c>
    </row>
    <row r="247" spans="1:10" x14ac:dyDescent="0.3">
      <c r="A247" s="86" t="s">
        <v>59</v>
      </c>
      <c r="B247" s="60">
        <v>344527.19999999995</v>
      </c>
      <c r="C247" s="60">
        <v>393286.89109787048</v>
      </c>
      <c r="D247" s="60">
        <v>0</v>
      </c>
      <c r="E247" s="60">
        <v>0</v>
      </c>
      <c r="F247" s="60">
        <v>0</v>
      </c>
      <c r="G247" s="60">
        <v>0</v>
      </c>
      <c r="H247" s="93">
        <v>0.14152639065325046</v>
      </c>
      <c r="I247" s="93">
        <v>0</v>
      </c>
      <c r="J247" s="93">
        <v>0.14152639065325046</v>
      </c>
    </row>
    <row r="248" spans="1:10" x14ac:dyDescent="0.3">
      <c r="A248" s="87" t="s">
        <v>25</v>
      </c>
      <c r="B248" s="60">
        <v>344527.19999999995</v>
      </c>
      <c r="C248" s="60">
        <v>393286.89109787048</v>
      </c>
      <c r="D248" s="60">
        <v>0</v>
      </c>
      <c r="E248" s="60">
        <v>0</v>
      </c>
      <c r="F248" s="60">
        <v>0</v>
      </c>
      <c r="G248" s="60">
        <v>0</v>
      </c>
      <c r="H248" s="93">
        <v>0.14152639065325046</v>
      </c>
      <c r="I248" s="93">
        <v>0</v>
      </c>
      <c r="J248" s="93">
        <v>0.14152639065325046</v>
      </c>
    </row>
    <row r="249" spans="1:10" x14ac:dyDescent="0.3">
      <c r="A249" s="88" t="s">
        <v>25</v>
      </c>
      <c r="B249" s="60">
        <v>344527.19999999995</v>
      </c>
      <c r="C249" s="60">
        <v>393286.89109787048</v>
      </c>
      <c r="D249" s="60">
        <v>0</v>
      </c>
      <c r="E249" s="60">
        <v>0</v>
      </c>
      <c r="F249" s="60">
        <v>0</v>
      </c>
      <c r="G249" s="60">
        <v>0</v>
      </c>
      <c r="H249" s="93">
        <v>0.14152639065325046</v>
      </c>
      <c r="I249" s="93">
        <v>0</v>
      </c>
      <c r="J249" s="93">
        <v>0.14152639065325046</v>
      </c>
    </row>
    <row r="250" spans="1:10" x14ac:dyDescent="0.3">
      <c r="A250" s="89" t="s">
        <v>25</v>
      </c>
      <c r="B250" s="60">
        <v>344527.19999999995</v>
      </c>
      <c r="C250" s="60">
        <v>393286.89109787048</v>
      </c>
      <c r="D250" s="60">
        <v>0</v>
      </c>
      <c r="E250" s="60">
        <v>0</v>
      </c>
      <c r="F250" s="60">
        <v>0</v>
      </c>
      <c r="G250" s="60">
        <v>0</v>
      </c>
      <c r="H250" s="93">
        <v>0.14152639065325046</v>
      </c>
      <c r="I250" s="93">
        <v>0</v>
      </c>
      <c r="J250" s="93">
        <v>0.14152639065325046</v>
      </c>
    </row>
    <row r="251" spans="1:10" x14ac:dyDescent="0.3">
      <c r="A251" s="90" t="s">
        <v>58</v>
      </c>
      <c r="B251" s="60">
        <v>344527.19999999995</v>
      </c>
      <c r="C251" s="60">
        <v>393286.89109787048</v>
      </c>
      <c r="D251" s="60">
        <v>0</v>
      </c>
      <c r="E251" s="60">
        <v>0</v>
      </c>
      <c r="F251" s="60">
        <v>0</v>
      </c>
      <c r="G251" s="60">
        <v>0</v>
      </c>
      <c r="H251" s="93">
        <v>0.14152639065325046</v>
      </c>
      <c r="I251" s="93">
        <v>0</v>
      </c>
      <c r="J251" s="93">
        <v>0.14152639065325046</v>
      </c>
    </row>
    <row r="252" spans="1:10" x14ac:dyDescent="0.3">
      <c r="A252" s="91" t="s">
        <v>25</v>
      </c>
      <c r="B252" s="60">
        <v>344527.19999999995</v>
      </c>
      <c r="C252" s="60">
        <v>393286.89109787048</v>
      </c>
      <c r="D252" s="60">
        <v>0</v>
      </c>
      <c r="E252" s="60">
        <v>0</v>
      </c>
      <c r="F252" s="60">
        <v>0</v>
      </c>
      <c r="G252" s="60">
        <v>0</v>
      </c>
      <c r="H252" s="93">
        <v>0.14152639065325046</v>
      </c>
      <c r="I252" s="93">
        <v>0</v>
      </c>
      <c r="J252" s="93">
        <v>0.14152639065325046</v>
      </c>
    </row>
    <row r="253" spans="1:10" x14ac:dyDescent="0.3">
      <c r="A253" s="92">
        <v>44501</v>
      </c>
      <c r="B253" s="60">
        <v>28710.6</v>
      </c>
      <c r="C253" s="60">
        <v>32773.907591489209</v>
      </c>
      <c r="D253" s="60">
        <v>0</v>
      </c>
      <c r="E253" s="60">
        <v>0</v>
      </c>
      <c r="F253" s="60">
        <v>0</v>
      </c>
      <c r="G253" s="60">
        <v>0</v>
      </c>
      <c r="H253" s="93">
        <v>0.14152639065325046</v>
      </c>
      <c r="I253" s="93">
        <v>0</v>
      </c>
      <c r="J253" s="93">
        <v>0.14152639065325046</v>
      </c>
    </row>
    <row r="254" spans="1:10" x14ac:dyDescent="0.3">
      <c r="A254" s="92">
        <v>44531</v>
      </c>
      <c r="B254" s="60">
        <v>28710.6</v>
      </c>
      <c r="C254" s="60">
        <v>32773.907591489209</v>
      </c>
      <c r="D254" s="60">
        <v>0</v>
      </c>
      <c r="E254" s="60">
        <v>0</v>
      </c>
      <c r="F254" s="60">
        <v>0</v>
      </c>
      <c r="G254" s="60">
        <v>0</v>
      </c>
      <c r="H254" s="93">
        <v>0.14152639065325046</v>
      </c>
      <c r="I254" s="93">
        <v>0</v>
      </c>
      <c r="J254" s="93">
        <v>0.14152639065325046</v>
      </c>
    </row>
    <row r="255" spans="1:10" x14ac:dyDescent="0.3">
      <c r="A255" s="92">
        <v>44562</v>
      </c>
      <c r="B255" s="60">
        <v>28710.6</v>
      </c>
      <c r="C255" s="60">
        <v>32773.907591489209</v>
      </c>
      <c r="D255" s="60">
        <v>0</v>
      </c>
      <c r="E255" s="60">
        <v>0</v>
      </c>
      <c r="F255" s="60">
        <v>0</v>
      </c>
      <c r="G255" s="60">
        <v>0</v>
      </c>
      <c r="H255" s="93">
        <v>0.14152639065325046</v>
      </c>
      <c r="I255" s="93">
        <v>0</v>
      </c>
      <c r="J255" s="93">
        <v>0.14152639065325046</v>
      </c>
    </row>
    <row r="256" spans="1:10" x14ac:dyDescent="0.3">
      <c r="A256" s="92">
        <v>44593</v>
      </c>
      <c r="B256" s="60">
        <v>28710.6</v>
      </c>
      <c r="C256" s="60">
        <v>32773.907591489209</v>
      </c>
      <c r="D256" s="60">
        <v>0</v>
      </c>
      <c r="E256" s="60">
        <v>0</v>
      </c>
      <c r="F256" s="60">
        <v>0</v>
      </c>
      <c r="G256" s="60">
        <v>0</v>
      </c>
      <c r="H256" s="93">
        <v>0.14152639065325046</v>
      </c>
      <c r="I256" s="93">
        <v>0</v>
      </c>
      <c r="J256" s="93">
        <v>0.14152639065325046</v>
      </c>
    </row>
    <row r="257" spans="1:10" x14ac:dyDescent="0.3">
      <c r="A257" s="92">
        <v>44621</v>
      </c>
      <c r="B257" s="60">
        <v>28710.6</v>
      </c>
      <c r="C257" s="60">
        <v>32773.907591489209</v>
      </c>
      <c r="D257" s="60">
        <v>0</v>
      </c>
      <c r="E257" s="60">
        <v>0</v>
      </c>
      <c r="F257" s="60">
        <v>0</v>
      </c>
      <c r="G257" s="60">
        <v>0</v>
      </c>
      <c r="H257" s="93">
        <v>0.14152639065325046</v>
      </c>
      <c r="I257" s="93">
        <v>0</v>
      </c>
      <c r="J257" s="93">
        <v>0.14152639065325046</v>
      </c>
    </row>
    <row r="258" spans="1:10" x14ac:dyDescent="0.3">
      <c r="A258" s="92">
        <v>44652</v>
      </c>
      <c r="B258" s="60">
        <v>28710.6</v>
      </c>
      <c r="C258" s="60">
        <v>32773.907591489209</v>
      </c>
      <c r="D258" s="60">
        <v>0</v>
      </c>
      <c r="E258" s="60">
        <v>0</v>
      </c>
      <c r="F258" s="60">
        <v>0</v>
      </c>
      <c r="G258" s="60">
        <v>0</v>
      </c>
      <c r="H258" s="93">
        <v>0.14152639065325046</v>
      </c>
      <c r="I258" s="93">
        <v>0</v>
      </c>
      <c r="J258" s="93">
        <v>0.14152639065325046</v>
      </c>
    </row>
    <row r="259" spans="1:10" x14ac:dyDescent="0.3">
      <c r="A259" s="92">
        <v>44682</v>
      </c>
      <c r="B259" s="60">
        <v>28710.6</v>
      </c>
      <c r="C259" s="60">
        <v>32773.907591489209</v>
      </c>
      <c r="D259" s="60">
        <v>0</v>
      </c>
      <c r="E259" s="60">
        <v>0</v>
      </c>
      <c r="F259" s="60">
        <v>0</v>
      </c>
      <c r="G259" s="60">
        <v>0</v>
      </c>
      <c r="H259" s="93">
        <v>0.14152639065325046</v>
      </c>
      <c r="I259" s="93">
        <v>0</v>
      </c>
      <c r="J259" s="93">
        <v>0.14152639065325046</v>
      </c>
    </row>
    <row r="260" spans="1:10" x14ac:dyDescent="0.3">
      <c r="A260" s="92">
        <v>44713</v>
      </c>
      <c r="B260" s="60">
        <v>28710.6</v>
      </c>
      <c r="C260" s="60">
        <v>32773.907591489209</v>
      </c>
      <c r="D260" s="60">
        <v>0</v>
      </c>
      <c r="E260" s="60">
        <v>0</v>
      </c>
      <c r="F260" s="60">
        <v>0</v>
      </c>
      <c r="G260" s="60">
        <v>0</v>
      </c>
      <c r="H260" s="93">
        <v>0.14152639065325046</v>
      </c>
      <c r="I260" s="93">
        <v>0</v>
      </c>
      <c r="J260" s="93">
        <v>0.14152639065325046</v>
      </c>
    </row>
    <row r="261" spans="1:10" x14ac:dyDescent="0.3">
      <c r="A261" s="92">
        <v>44743</v>
      </c>
      <c r="B261" s="60">
        <v>28710.6</v>
      </c>
      <c r="C261" s="60">
        <v>32773.907591489209</v>
      </c>
      <c r="D261" s="60">
        <v>0</v>
      </c>
      <c r="E261" s="60">
        <v>0</v>
      </c>
      <c r="F261" s="60">
        <v>0</v>
      </c>
      <c r="G261" s="60">
        <v>0</v>
      </c>
      <c r="H261" s="93">
        <v>0.14152639065325046</v>
      </c>
      <c r="I261" s="93">
        <v>0</v>
      </c>
      <c r="J261" s="93">
        <v>0.14152639065325046</v>
      </c>
    </row>
    <row r="262" spans="1:10" x14ac:dyDescent="0.3">
      <c r="A262" s="92">
        <v>44774</v>
      </c>
      <c r="B262" s="60">
        <v>28710.6</v>
      </c>
      <c r="C262" s="60">
        <v>32773.907591489209</v>
      </c>
      <c r="D262" s="60">
        <v>0</v>
      </c>
      <c r="E262" s="60">
        <v>0</v>
      </c>
      <c r="F262" s="60">
        <v>0</v>
      </c>
      <c r="G262" s="60">
        <v>0</v>
      </c>
      <c r="H262" s="93">
        <v>0.14152639065325046</v>
      </c>
      <c r="I262" s="93">
        <v>0</v>
      </c>
      <c r="J262" s="93">
        <v>0.14152639065325046</v>
      </c>
    </row>
    <row r="263" spans="1:10" x14ac:dyDescent="0.3">
      <c r="A263" s="92">
        <v>44805</v>
      </c>
      <c r="B263" s="60">
        <v>28710.6</v>
      </c>
      <c r="C263" s="60">
        <v>32773.907591489209</v>
      </c>
      <c r="D263" s="60">
        <v>0</v>
      </c>
      <c r="E263" s="60">
        <v>0</v>
      </c>
      <c r="F263" s="60">
        <v>0</v>
      </c>
      <c r="G263" s="60">
        <v>0</v>
      </c>
      <c r="H263" s="93">
        <v>0.14152639065325046</v>
      </c>
      <c r="I263" s="93">
        <v>0</v>
      </c>
      <c r="J263" s="93">
        <v>0.14152639065325046</v>
      </c>
    </row>
    <row r="264" spans="1:10" x14ac:dyDescent="0.3">
      <c r="A264" s="92">
        <v>44835</v>
      </c>
      <c r="B264" s="60">
        <v>28710.6</v>
      </c>
      <c r="C264" s="60">
        <v>32773.907591489209</v>
      </c>
      <c r="D264" s="60">
        <v>0</v>
      </c>
      <c r="E264" s="60">
        <v>0</v>
      </c>
      <c r="F264" s="60">
        <v>0</v>
      </c>
      <c r="G264" s="60">
        <v>0</v>
      </c>
      <c r="H264" s="93">
        <v>0.14152639065325046</v>
      </c>
      <c r="I264" s="93">
        <v>0</v>
      </c>
      <c r="J264" s="93">
        <v>0.14152639065325046</v>
      </c>
    </row>
    <row r="265" spans="1:10" x14ac:dyDescent="0.3">
      <c r="A265" s="85" t="s">
        <v>41</v>
      </c>
      <c r="B265" s="60">
        <v>4095835.8075311617</v>
      </c>
      <c r="C265" s="60">
        <v>4623746.0031984383</v>
      </c>
      <c r="D265" s="60">
        <v>11594002.512097176</v>
      </c>
      <c r="E265" s="60">
        <v>16280771.11825514</v>
      </c>
      <c r="F265" s="60">
        <v>15746857.9757472</v>
      </c>
      <c r="G265" s="60">
        <v>16859107.443106439</v>
      </c>
      <c r="H265" s="93">
        <v>0.33236026373207217</v>
      </c>
      <c r="I265" s="93">
        <v>7.0633104653151202E-2</v>
      </c>
      <c r="J265" s="93">
        <v>0.20125932476292774</v>
      </c>
    </row>
    <row r="266" spans="1:10" x14ac:dyDescent="0.3">
      <c r="A266" s="86" t="s">
        <v>26</v>
      </c>
      <c r="B266" s="60">
        <v>3215967.4400000004</v>
      </c>
      <c r="C266" s="60">
        <v>3622846.241203093</v>
      </c>
      <c r="D266" s="60">
        <v>7417561.0491379974</v>
      </c>
      <c r="E266" s="60">
        <v>10378079.627431056</v>
      </c>
      <c r="F266" s="60">
        <v>15746857.9757472</v>
      </c>
      <c r="G266" s="60">
        <v>16859107.443106439</v>
      </c>
      <c r="H266" s="93">
        <v>0.31667732709193386</v>
      </c>
      <c r="I266" s="93">
        <v>7.0633104653151202E-2</v>
      </c>
      <c r="J266" s="93">
        <v>0.16980975061977399</v>
      </c>
    </row>
    <row r="267" spans="1:10" x14ac:dyDescent="0.3">
      <c r="A267" s="87" t="s">
        <v>42</v>
      </c>
      <c r="B267" s="60">
        <v>1185562</v>
      </c>
      <c r="C267" s="60">
        <v>1348643.4646585996</v>
      </c>
      <c r="D267" s="60">
        <v>2202008.3179700002</v>
      </c>
      <c r="E267" s="60">
        <v>3069492.1322973473</v>
      </c>
      <c r="F267" s="60">
        <v>4589376.3947399994</v>
      </c>
      <c r="G267" s="60">
        <v>4880910.8062026426</v>
      </c>
      <c r="H267" s="93">
        <v>0.30421959760336814</v>
      </c>
      <c r="I267" s="93">
        <v>6.3523752768845032E-2</v>
      </c>
      <c r="J267" s="93">
        <v>0.16574006798140295</v>
      </c>
    </row>
    <row r="268" spans="1:10" x14ac:dyDescent="0.3">
      <c r="A268" s="88" t="s">
        <v>25</v>
      </c>
      <c r="B268" s="60">
        <v>1185562</v>
      </c>
      <c r="C268" s="60">
        <v>1348643.4646585996</v>
      </c>
      <c r="D268" s="60">
        <v>2202008.3179700002</v>
      </c>
      <c r="E268" s="60">
        <v>3069492.1322973473</v>
      </c>
      <c r="F268" s="60">
        <v>4589376.3947399994</v>
      </c>
      <c r="G268" s="60">
        <v>4880910.8062026426</v>
      </c>
      <c r="H268" s="93">
        <v>0.30421959760336814</v>
      </c>
      <c r="I268" s="93">
        <v>6.3523752768845032E-2</v>
      </c>
      <c r="J268" s="93">
        <v>0.16574006798140295</v>
      </c>
    </row>
    <row r="269" spans="1:10" x14ac:dyDescent="0.3">
      <c r="A269" s="89" t="s">
        <v>25</v>
      </c>
      <c r="B269" s="60">
        <v>1185562</v>
      </c>
      <c r="C269" s="60">
        <v>1348643.4646585996</v>
      </c>
      <c r="D269" s="60">
        <v>2202008.3179700002</v>
      </c>
      <c r="E269" s="60">
        <v>3069492.1322973473</v>
      </c>
      <c r="F269" s="60">
        <v>4589376.3947399994</v>
      </c>
      <c r="G269" s="60">
        <v>4880910.8062026426</v>
      </c>
      <c r="H269" s="93">
        <v>0.30421959760336814</v>
      </c>
      <c r="I269" s="93">
        <v>6.3523752768845032E-2</v>
      </c>
      <c r="J269" s="93">
        <v>0.16574006798140295</v>
      </c>
    </row>
    <row r="270" spans="1:10" x14ac:dyDescent="0.3">
      <c r="A270" s="90" t="s">
        <v>25</v>
      </c>
      <c r="B270" s="60">
        <v>1185562</v>
      </c>
      <c r="C270" s="60">
        <v>1348643.4646585996</v>
      </c>
      <c r="D270" s="60">
        <v>2202008.3179700002</v>
      </c>
      <c r="E270" s="60">
        <v>3069492.1322973473</v>
      </c>
      <c r="F270" s="60">
        <v>4589376.3947399994</v>
      </c>
      <c r="G270" s="60">
        <v>4880910.8062026426</v>
      </c>
      <c r="H270" s="93">
        <v>0.30421959760336814</v>
      </c>
      <c r="I270" s="93">
        <v>6.3523752768845032E-2</v>
      </c>
      <c r="J270" s="93">
        <v>0.16574006798140295</v>
      </c>
    </row>
    <row r="271" spans="1:10" x14ac:dyDescent="0.3">
      <c r="A271" s="91" t="s">
        <v>35</v>
      </c>
      <c r="B271" s="60">
        <v>0</v>
      </c>
      <c r="C271" s="60">
        <v>0</v>
      </c>
      <c r="D271" s="60">
        <v>1047462.156</v>
      </c>
      <c r="E271" s="60">
        <v>1708774.3751883812</v>
      </c>
      <c r="F271" s="60">
        <v>4045686.4728000001</v>
      </c>
      <c r="G271" s="60">
        <v>4295445.7281017732</v>
      </c>
      <c r="H271" s="93">
        <v>0.63134712352164524</v>
      </c>
      <c r="I271" s="93">
        <v>6.1734703611107111E-2</v>
      </c>
      <c r="J271" s="93">
        <v>0.17888177645913572</v>
      </c>
    </row>
    <row r="272" spans="1:10" x14ac:dyDescent="0.3">
      <c r="A272" s="92">
        <v>44501</v>
      </c>
      <c r="B272" s="60">
        <v>0</v>
      </c>
      <c r="C272" s="60">
        <v>0</v>
      </c>
      <c r="D272" s="60">
        <v>104537.12490000001</v>
      </c>
      <c r="E272" s="60">
        <v>170536.33800683799</v>
      </c>
      <c r="F272" s="60">
        <v>403761.06162000005</v>
      </c>
      <c r="G272" s="60">
        <v>428687.13108881656</v>
      </c>
      <c r="H272" s="93">
        <v>0.63134712352164546</v>
      </c>
      <c r="I272" s="93">
        <v>6.1734703611106667E-2</v>
      </c>
      <c r="J272" s="93">
        <v>0.17888177645913528</v>
      </c>
    </row>
    <row r="273" spans="1:10" x14ac:dyDescent="0.3">
      <c r="A273" s="92">
        <v>44531</v>
      </c>
      <c r="B273" s="60">
        <v>0</v>
      </c>
      <c r="C273" s="60">
        <v>0</v>
      </c>
      <c r="D273" s="60">
        <v>104466.63435000001</v>
      </c>
      <c r="E273" s="60">
        <v>170421.34345086</v>
      </c>
      <c r="F273" s="60">
        <v>403488.80102999997</v>
      </c>
      <c r="G273" s="60">
        <v>428398.06257198792</v>
      </c>
      <c r="H273" s="93">
        <v>0.63134712352164524</v>
      </c>
      <c r="I273" s="93">
        <v>6.1734703611106889E-2</v>
      </c>
      <c r="J273" s="93">
        <v>0.17888177645913528</v>
      </c>
    </row>
    <row r="274" spans="1:10" x14ac:dyDescent="0.3">
      <c r="A274" s="92">
        <v>44562</v>
      </c>
      <c r="B274" s="60">
        <v>0</v>
      </c>
      <c r="C274" s="60">
        <v>0</v>
      </c>
      <c r="D274" s="60">
        <v>103049.82480000002</v>
      </c>
      <c r="E274" s="60">
        <v>168110.03526688952</v>
      </c>
      <c r="F274" s="60">
        <v>398016.55824000004</v>
      </c>
      <c r="G274" s="60">
        <v>422587.99249525933</v>
      </c>
      <c r="H274" s="93">
        <v>0.63134712352164524</v>
      </c>
      <c r="I274" s="93">
        <v>6.1734703611106889E-2</v>
      </c>
      <c r="J274" s="93">
        <v>0.1788817764591355</v>
      </c>
    </row>
    <row r="275" spans="1:10" x14ac:dyDescent="0.3">
      <c r="A275" s="92">
        <v>44593</v>
      </c>
      <c r="B275" s="60">
        <v>0</v>
      </c>
      <c r="C275" s="60">
        <v>0</v>
      </c>
      <c r="D275" s="60">
        <v>104261.87264999999</v>
      </c>
      <c r="E275" s="60">
        <v>170087.3060405576</v>
      </c>
      <c r="F275" s="60">
        <v>402697.93556999997</v>
      </c>
      <c r="G275" s="60">
        <v>427558.37326721859</v>
      </c>
      <c r="H275" s="93">
        <v>0.63134712352164546</v>
      </c>
      <c r="I275" s="93">
        <v>6.1734703611107111E-2</v>
      </c>
      <c r="J275" s="93">
        <v>0.1788817764591355</v>
      </c>
    </row>
    <row r="276" spans="1:10" x14ac:dyDescent="0.3">
      <c r="A276" s="92">
        <v>44621</v>
      </c>
      <c r="B276" s="60">
        <v>0</v>
      </c>
      <c r="C276" s="60">
        <v>0</v>
      </c>
      <c r="D276" s="60">
        <v>90179.635650000011</v>
      </c>
      <c r="E276" s="60">
        <v>147114.28921785756</v>
      </c>
      <c r="F276" s="60">
        <v>348307.12497</v>
      </c>
      <c r="G276" s="60">
        <v>369809.76209565974</v>
      </c>
      <c r="H276" s="93">
        <v>0.63134712352164546</v>
      </c>
      <c r="I276" s="93">
        <v>6.1734703611106889E-2</v>
      </c>
      <c r="J276" s="93">
        <v>0.17888177645913528</v>
      </c>
    </row>
    <row r="277" spans="1:10" x14ac:dyDescent="0.3">
      <c r="A277" s="92">
        <v>44652</v>
      </c>
      <c r="B277" s="60">
        <v>0</v>
      </c>
      <c r="C277" s="60">
        <v>0</v>
      </c>
      <c r="D277" s="60">
        <v>88961.382900000011</v>
      </c>
      <c r="E277" s="60">
        <v>145126.89609842267</v>
      </c>
      <c r="F277" s="60">
        <v>343601.78201999998</v>
      </c>
      <c r="G277" s="60">
        <v>364813.93619325286</v>
      </c>
      <c r="H277" s="93">
        <v>0.63134712352164502</v>
      </c>
      <c r="I277" s="93">
        <v>6.1734703611106889E-2</v>
      </c>
      <c r="J277" s="93">
        <v>0.17888177645913528</v>
      </c>
    </row>
    <row r="278" spans="1:10" x14ac:dyDescent="0.3">
      <c r="A278" s="92">
        <v>44682</v>
      </c>
      <c r="B278" s="60">
        <v>0</v>
      </c>
      <c r="C278" s="60">
        <v>0</v>
      </c>
      <c r="D278" s="60">
        <v>80488.519799999995</v>
      </c>
      <c r="E278" s="60">
        <v>131304.71525224499</v>
      </c>
      <c r="F278" s="60">
        <v>310876.44923999999</v>
      </c>
      <c r="G278" s="60">
        <v>330068.31469350471</v>
      </c>
      <c r="H278" s="93">
        <v>0.63134712352164546</v>
      </c>
      <c r="I278" s="93">
        <v>6.1734703611106889E-2</v>
      </c>
      <c r="J278" s="93">
        <v>0.17888177645913528</v>
      </c>
    </row>
    <row r="279" spans="1:10" x14ac:dyDescent="0.3">
      <c r="A279" s="92">
        <v>44713</v>
      </c>
      <c r="B279" s="60">
        <v>0</v>
      </c>
      <c r="C279" s="60">
        <v>0</v>
      </c>
      <c r="D279" s="60">
        <v>75614.787300000011</v>
      </c>
      <c r="E279" s="60">
        <v>123353.96575755604</v>
      </c>
      <c r="F279" s="60">
        <v>292052.29074000003</v>
      </c>
      <c r="G279" s="60">
        <v>310082.05234777869</v>
      </c>
      <c r="H279" s="93">
        <v>0.63134712352164524</v>
      </c>
      <c r="I279" s="93">
        <v>6.1734703611106667E-2</v>
      </c>
      <c r="J279" s="93">
        <v>0.17888177645913506</v>
      </c>
    </row>
    <row r="280" spans="1:10" x14ac:dyDescent="0.3">
      <c r="A280" s="92">
        <v>44743</v>
      </c>
      <c r="B280" s="60">
        <v>0</v>
      </c>
      <c r="C280" s="60">
        <v>0</v>
      </c>
      <c r="D280" s="60">
        <v>69993.075750000004</v>
      </c>
      <c r="E280" s="60">
        <v>114183.00279119513</v>
      </c>
      <c r="F280" s="60">
        <v>270339.16035000002</v>
      </c>
      <c r="G280" s="60">
        <v>287028.46828868275</v>
      </c>
      <c r="H280" s="93">
        <v>0.63134712352164524</v>
      </c>
      <c r="I280" s="93">
        <v>6.1734703611106889E-2</v>
      </c>
      <c r="J280" s="93">
        <v>0.17888177645913528</v>
      </c>
    </row>
    <row r="281" spans="1:10" x14ac:dyDescent="0.3">
      <c r="A281" s="92">
        <v>44774</v>
      </c>
      <c r="B281" s="60">
        <v>0</v>
      </c>
      <c r="C281" s="60">
        <v>0</v>
      </c>
      <c r="D281" s="60">
        <v>75656.778600000005</v>
      </c>
      <c r="E281" s="60">
        <v>123422.46814402398</v>
      </c>
      <c r="F281" s="60">
        <v>292214.47668000002</v>
      </c>
      <c r="G281" s="60">
        <v>310254.2507887145</v>
      </c>
      <c r="H281" s="93">
        <v>0.63134712352164524</v>
      </c>
      <c r="I281" s="93">
        <v>6.1734703611106889E-2</v>
      </c>
      <c r="J281" s="93">
        <v>0.17888177645913528</v>
      </c>
    </row>
    <row r="282" spans="1:10" x14ac:dyDescent="0.3">
      <c r="A282" s="92">
        <v>44805</v>
      </c>
      <c r="B282" s="60">
        <v>0</v>
      </c>
      <c r="C282" s="60">
        <v>0</v>
      </c>
      <c r="D282" s="60">
        <v>75126.259650000007</v>
      </c>
      <c r="E282" s="60">
        <v>122557.00758096777</v>
      </c>
      <c r="F282" s="60">
        <v>290165.41617000004</v>
      </c>
      <c r="G282" s="60">
        <v>308078.69213544845</v>
      </c>
      <c r="H282" s="93">
        <v>0.63134712352164546</v>
      </c>
      <c r="I282" s="93">
        <v>6.1734703611106889E-2</v>
      </c>
      <c r="J282" s="93">
        <v>0.17888177645913528</v>
      </c>
    </row>
    <row r="283" spans="1:10" x14ac:dyDescent="0.3">
      <c r="A283" s="92">
        <v>44835</v>
      </c>
      <c r="B283" s="60">
        <v>0</v>
      </c>
      <c r="C283" s="60">
        <v>0</v>
      </c>
      <c r="D283" s="60">
        <v>75126.259650000007</v>
      </c>
      <c r="E283" s="60">
        <v>122557.00758096777</v>
      </c>
      <c r="F283" s="60">
        <v>290165.41617000004</v>
      </c>
      <c r="G283" s="60">
        <v>308078.69213544845</v>
      </c>
      <c r="H283" s="93">
        <v>0.63134712352164546</v>
      </c>
      <c r="I283" s="93">
        <v>6.1734703611106889E-2</v>
      </c>
      <c r="J283" s="93">
        <v>0.17888177645913528</v>
      </c>
    </row>
    <row r="284" spans="1:10" x14ac:dyDescent="0.3">
      <c r="A284" s="91" t="s">
        <v>25</v>
      </c>
      <c r="B284" s="60">
        <v>1185562</v>
      </c>
      <c r="C284" s="60">
        <v>1348643.4646585996</v>
      </c>
      <c r="D284" s="60">
        <v>0</v>
      </c>
      <c r="E284" s="60">
        <v>0</v>
      </c>
      <c r="F284" s="60">
        <v>0</v>
      </c>
      <c r="G284" s="60">
        <v>0</v>
      </c>
      <c r="H284" s="93">
        <v>0.13755625151497708</v>
      </c>
      <c r="I284" s="93">
        <v>0</v>
      </c>
      <c r="J284" s="93">
        <v>0.13755625151497708</v>
      </c>
    </row>
    <row r="285" spans="1:10" x14ac:dyDescent="0.3">
      <c r="A285" s="92">
        <v>44501</v>
      </c>
      <c r="B285" s="60">
        <v>105308</v>
      </c>
      <c r="C285" s="60">
        <v>119793.77373453922</v>
      </c>
      <c r="D285" s="60">
        <v>0</v>
      </c>
      <c r="E285" s="60">
        <v>0</v>
      </c>
      <c r="F285" s="60">
        <v>0</v>
      </c>
      <c r="G285" s="60">
        <v>0</v>
      </c>
      <c r="H285" s="93">
        <v>0.1375562515149773</v>
      </c>
      <c r="I285" s="93">
        <v>0</v>
      </c>
      <c r="J285" s="93">
        <v>0.1375562515149773</v>
      </c>
    </row>
    <row r="286" spans="1:10" x14ac:dyDescent="0.3">
      <c r="A286" s="92">
        <v>44531</v>
      </c>
      <c r="B286" s="60">
        <v>107170</v>
      </c>
      <c r="C286" s="60">
        <v>121911.90347486011</v>
      </c>
      <c r="D286" s="60">
        <v>0</v>
      </c>
      <c r="E286" s="60">
        <v>0</v>
      </c>
      <c r="F286" s="60">
        <v>0</v>
      </c>
      <c r="G286" s="60">
        <v>0</v>
      </c>
      <c r="H286" s="93">
        <v>0.1375562515149773</v>
      </c>
      <c r="I286" s="93">
        <v>0</v>
      </c>
      <c r="J286" s="93">
        <v>0.1375562515149773</v>
      </c>
    </row>
    <row r="287" spans="1:10" x14ac:dyDescent="0.3">
      <c r="A287" s="92">
        <v>44562</v>
      </c>
      <c r="B287" s="60">
        <v>101934</v>
      </c>
      <c r="C287" s="60">
        <v>115955.6589419277</v>
      </c>
      <c r="D287" s="60">
        <v>0</v>
      </c>
      <c r="E287" s="60">
        <v>0</v>
      </c>
      <c r="F287" s="60">
        <v>0</v>
      </c>
      <c r="G287" s="60">
        <v>0</v>
      </c>
      <c r="H287" s="93">
        <v>0.1375562515149773</v>
      </c>
      <c r="I287" s="93">
        <v>0</v>
      </c>
      <c r="J287" s="93">
        <v>0.1375562515149773</v>
      </c>
    </row>
    <row r="288" spans="1:10" x14ac:dyDescent="0.3">
      <c r="A288" s="92">
        <v>44593</v>
      </c>
      <c r="B288" s="60">
        <v>102312</v>
      </c>
      <c r="C288" s="60">
        <v>116385.65520500037</v>
      </c>
      <c r="D288" s="60">
        <v>0</v>
      </c>
      <c r="E288" s="60">
        <v>0</v>
      </c>
      <c r="F288" s="60">
        <v>0</v>
      </c>
      <c r="G288" s="60">
        <v>0</v>
      </c>
      <c r="H288" s="93">
        <v>0.1375562515149773</v>
      </c>
      <c r="I288" s="93">
        <v>0</v>
      </c>
      <c r="J288" s="93">
        <v>0.1375562515149773</v>
      </c>
    </row>
    <row r="289" spans="1:10" x14ac:dyDescent="0.3">
      <c r="A289" s="92">
        <v>44621</v>
      </c>
      <c r="B289" s="60">
        <v>101318</v>
      </c>
      <c r="C289" s="60">
        <v>115254.92429099447</v>
      </c>
      <c r="D289" s="60">
        <v>0</v>
      </c>
      <c r="E289" s="60">
        <v>0</v>
      </c>
      <c r="F289" s="60">
        <v>0</v>
      </c>
      <c r="G289" s="60">
        <v>0</v>
      </c>
      <c r="H289" s="93">
        <v>0.1375562515149773</v>
      </c>
      <c r="I289" s="93">
        <v>0</v>
      </c>
      <c r="J289" s="93">
        <v>0.1375562515149773</v>
      </c>
    </row>
    <row r="290" spans="1:10" x14ac:dyDescent="0.3">
      <c r="A290" s="92">
        <v>44652</v>
      </c>
      <c r="B290" s="60">
        <v>96754</v>
      </c>
      <c r="C290" s="60">
        <v>110063.11755908011</v>
      </c>
      <c r="D290" s="60">
        <v>0</v>
      </c>
      <c r="E290" s="60">
        <v>0</v>
      </c>
      <c r="F290" s="60">
        <v>0</v>
      </c>
      <c r="G290" s="60">
        <v>0</v>
      </c>
      <c r="H290" s="93">
        <v>0.1375562515149773</v>
      </c>
      <c r="I290" s="93">
        <v>0</v>
      </c>
      <c r="J290" s="93">
        <v>0.1375562515149773</v>
      </c>
    </row>
    <row r="291" spans="1:10" x14ac:dyDescent="0.3">
      <c r="A291" s="92">
        <v>44682</v>
      </c>
      <c r="B291" s="60">
        <v>95998</v>
      </c>
      <c r="C291" s="60">
        <v>109203.1250329348</v>
      </c>
      <c r="D291" s="60">
        <v>0</v>
      </c>
      <c r="E291" s="60">
        <v>0</v>
      </c>
      <c r="F291" s="60">
        <v>0</v>
      </c>
      <c r="G291" s="60">
        <v>0</v>
      </c>
      <c r="H291" s="93">
        <v>0.1375562515149773</v>
      </c>
      <c r="I291" s="93">
        <v>0</v>
      </c>
      <c r="J291" s="93">
        <v>0.1375562515149773</v>
      </c>
    </row>
    <row r="292" spans="1:10" x14ac:dyDescent="0.3">
      <c r="A292" s="92">
        <v>44713</v>
      </c>
      <c r="B292" s="60">
        <v>95284</v>
      </c>
      <c r="C292" s="60">
        <v>108390.90986935311</v>
      </c>
      <c r="D292" s="60">
        <v>0</v>
      </c>
      <c r="E292" s="60">
        <v>0</v>
      </c>
      <c r="F292" s="60">
        <v>0</v>
      </c>
      <c r="G292" s="60">
        <v>0</v>
      </c>
      <c r="H292" s="93">
        <v>0.13755625151497752</v>
      </c>
      <c r="I292" s="93">
        <v>0</v>
      </c>
      <c r="J292" s="93">
        <v>0.13755625151497752</v>
      </c>
    </row>
    <row r="293" spans="1:10" x14ac:dyDescent="0.3">
      <c r="A293" s="92">
        <v>44743</v>
      </c>
      <c r="B293" s="60">
        <v>90020</v>
      </c>
      <c r="C293" s="60">
        <v>102402.81376137826</v>
      </c>
      <c r="D293" s="60">
        <v>0</v>
      </c>
      <c r="E293" s="60">
        <v>0</v>
      </c>
      <c r="F293" s="60">
        <v>0</v>
      </c>
      <c r="G293" s="60">
        <v>0</v>
      </c>
      <c r="H293" s="93">
        <v>0.1375562515149773</v>
      </c>
      <c r="I293" s="93">
        <v>0</v>
      </c>
      <c r="J293" s="93">
        <v>0.1375562515149773</v>
      </c>
    </row>
    <row r="294" spans="1:10" x14ac:dyDescent="0.3">
      <c r="A294" s="92">
        <v>44774</v>
      </c>
      <c r="B294" s="60">
        <v>96488</v>
      </c>
      <c r="C294" s="60">
        <v>109760.52759617714</v>
      </c>
      <c r="D294" s="60">
        <v>0</v>
      </c>
      <c r="E294" s="60">
        <v>0</v>
      </c>
      <c r="F294" s="60">
        <v>0</v>
      </c>
      <c r="G294" s="60">
        <v>0</v>
      </c>
      <c r="H294" s="93">
        <v>0.1375562515149773</v>
      </c>
      <c r="I294" s="93">
        <v>0</v>
      </c>
      <c r="J294" s="93">
        <v>0.1375562515149773</v>
      </c>
    </row>
    <row r="295" spans="1:10" x14ac:dyDescent="0.3">
      <c r="A295" s="92">
        <v>44805</v>
      </c>
      <c r="B295" s="60">
        <v>96488</v>
      </c>
      <c r="C295" s="60">
        <v>109760.52759617714</v>
      </c>
      <c r="D295" s="60">
        <v>0</v>
      </c>
      <c r="E295" s="60">
        <v>0</v>
      </c>
      <c r="F295" s="60">
        <v>0</v>
      </c>
      <c r="G295" s="60">
        <v>0</v>
      </c>
      <c r="H295" s="93">
        <v>0.1375562515149773</v>
      </c>
      <c r="I295" s="93">
        <v>0</v>
      </c>
      <c r="J295" s="93">
        <v>0.1375562515149773</v>
      </c>
    </row>
    <row r="296" spans="1:10" x14ac:dyDescent="0.3">
      <c r="A296" s="92">
        <v>44835</v>
      </c>
      <c r="B296" s="60">
        <v>96488</v>
      </c>
      <c r="C296" s="60">
        <v>109760.52759617714</v>
      </c>
      <c r="D296" s="60">
        <v>0</v>
      </c>
      <c r="E296" s="60">
        <v>0</v>
      </c>
      <c r="F296" s="60">
        <v>0</v>
      </c>
      <c r="G296" s="60">
        <v>0</v>
      </c>
      <c r="H296" s="93">
        <v>0.1375562515149773</v>
      </c>
      <c r="I296" s="93">
        <v>0</v>
      </c>
      <c r="J296" s="93">
        <v>0.1375562515149773</v>
      </c>
    </row>
    <row r="297" spans="1:10" x14ac:dyDescent="0.3">
      <c r="A297" s="91" t="s">
        <v>34</v>
      </c>
      <c r="B297" s="60">
        <v>0</v>
      </c>
      <c r="C297" s="60">
        <v>0</v>
      </c>
      <c r="D297" s="60">
        <v>1154546.16197</v>
      </c>
      <c r="E297" s="60">
        <v>1360717.7571089654</v>
      </c>
      <c r="F297" s="60">
        <v>543689.92194000003</v>
      </c>
      <c r="G297" s="60">
        <v>585465.07810086908</v>
      </c>
      <c r="H297" s="93">
        <v>0.17857371314385051</v>
      </c>
      <c r="I297" s="93">
        <v>7.6836362925041701E-2</v>
      </c>
      <c r="J297" s="93">
        <v>0.1460025220574539</v>
      </c>
    </row>
    <row r="298" spans="1:10" x14ac:dyDescent="0.3">
      <c r="A298" s="92">
        <v>44501</v>
      </c>
      <c r="B298" s="60">
        <v>0</v>
      </c>
      <c r="C298" s="60">
        <v>0</v>
      </c>
      <c r="D298" s="60">
        <v>107242.87548</v>
      </c>
      <c r="E298" s="60">
        <v>126393.63396268731</v>
      </c>
      <c r="F298" s="60">
        <v>50501.982960000001</v>
      </c>
      <c r="G298" s="60">
        <v>54382.371651148802</v>
      </c>
      <c r="H298" s="93">
        <v>0.1785737131438514</v>
      </c>
      <c r="I298" s="93">
        <v>7.6836362925041035E-2</v>
      </c>
      <c r="J298" s="93">
        <v>0.14600252205745434</v>
      </c>
    </row>
    <row r="299" spans="1:10" x14ac:dyDescent="0.3">
      <c r="A299" s="92">
        <v>44531</v>
      </c>
      <c r="B299" s="60">
        <v>0</v>
      </c>
      <c r="C299" s="60">
        <v>0</v>
      </c>
      <c r="D299" s="60">
        <v>122002.92432999999</v>
      </c>
      <c r="E299" s="60">
        <v>143789.43954201645</v>
      </c>
      <c r="F299" s="60">
        <v>57452.670660000003</v>
      </c>
      <c r="G299" s="60">
        <v>61867.124913844629</v>
      </c>
      <c r="H299" s="93">
        <v>0.17857371314385162</v>
      </c>
      <c r="I299" s="93">
        <v>7.6836362925041257E-2</v>
      </c>
      <c r="J299" s="93">
        <v>0.14600252205745434</v>
      </c>
    </row>
    <row r="300" spans="1:10" x14ac:dyDescent="0.3">
      <c r="A300" s="92">
        <v>44562</v>
      </c>
      <c r="B300" s="60">
        <v>0</v>
      </c>
      <c r="C300" s="60">
        <v>0</v>
      </c>
      <c r="D300" s="60">
        <v>126735.16808999999</v>
      </c>
      <c r="E300" s="60">
        <v>149366.73764174146</v>
      </c>
      <c r="F300" s="60">
        <v>59681.142179999995</v>
      </c>
      <c r="G300" s="60">
        <v>64266.824080323458</v>
      </c>
      <c r="H300" s="93">
        <v>0.17857371314385162</v>
      </c>
      <c r="I300" s="93">
        <v>7.6836362925041257E-2</v>
      </c>
      <c r="J300" s="93">
        <v>0.14600252205745434</v>
      </c>
    </row>
    <row r="301" spans="1:10" x14ac:dyDescent="0.3">
      <c r="A301" s="92">
        <v>44593</v>
      </c>
      <c r="B301" s="60">
        <v>0</v>
      </c>
      <c r="C301" s="60">
        <v>0</v>
      </c>
      <c r="D301" s="60">
        <v>120730.52253999999</v>
      </c>
      <c r="E301" s="60">
        <v>142289.82023976525</v>
      </c>
      <c r="F301" s="60">
        <v>56853.481079999998</v>
      </c>
      <c r="G301" s="60">
        <v>61221.895785814842</v>
      </c>
      <c r="H301" s="93">
        <v>0.17857371314385162</v>
      </c>
      <c r="I301" s="93">
        <v>7.6836362925041257E-2</v>
      </c>
      <c r="J301" s="93">
        <v>0.14600252205745456</v>
      </c>
    </row>
    <row r="302" spans="1:10" x14ac:dyDescent="0.3">
      <c r="A302" s="92">
        <v>44621</v>
      </c>
      <c r="B302" s="60">
        <v>0</v>
      </c>
      <c r="C302" s="60">
        <v>0</v>
      </c>
      <c r="D302" s="60">
        <v>100877.10480999999</v>
      </c>
      <c r="E302" s="60">
        <v>118891.10398712319</v>
      </c>
      <c r="F302" s="60">
        <v>47504.263620000005</v>
      </c>
      <c r="G302" s="60">
        <v>51154.318459993156</v>
      </c>
      <c r="H302" s="93">
        <v>0.17857371314385162</v>
      </c>
      <c r="I302" s="93">
        <v>7.6836362925041257E-2</v>
      </c>
      <c r="J302" s="93">
        <v>0.14600252205745434</v>
      </c>
    </row>
    <row r="303" spans="1:10" x14ac:dyDescent="0.3">
      <c r="A303" s="92">
        <v>44652</v>
      </c>
      <c r="B303" s="60">
        <v>0</v>
      </c>
      <c r="C303" s="60">
        <v>0</v>
      </c>
      <c r="D303" s="60">
        <v>92815.738849999994</v>
      </c>
      <c r="E303" s="60">
        <v>109390.18997463452</v>
      </c>
      <c r="F303" s="60">
        <v>43708.0677</v>
      </c>
      <c r="G303" s="60">
        <v>47066.43665254947</v>
      </c>
      <c r="H303" s="93">
        <v>0.1785737131438514</v>
      </c>
      <c r="I303" s="93">
        <v>7.6836362925041257E-2</v>
      </c>
      <c r="J303" s="93">
        <v>0.14600252205745434</v>
      </c>
    </row>
    <row r="304" spans="1:10" x14ac:dyDescent="0.3">
      <c r="A304" s="92">
        <v>44682</v>
      </c>
      <c r="B304" s="60">
        <v>0</v>
      </c>
      <c r="C304" s="60">
        <v>0</v>
      </c>
      <c r="D304" s="60">
        <v>79676.050889999999</v>
      </c>
      <c r="E304" s="60">
        <v>93904.099146065768</v>
      </c>
      <c r="F304" s="60">
        <v>37520.427780000005</v>
      </c>
      <c r="G304" s="60">
        <v>40403.360986006883</v>
      </c>
      <c r="H304" s="93">
        <v>0.1785737131438514</v>
      </c>
      <c r="I304" s="93">
        <v>7.6836362925041257E-2</v>
      </c>
      <c r="J304" s="93">
        <v>0.14600252205745412</v>
      </c>
    </row>
    <row r="305" spans="1:10" x14ac:dyDescent="0.3">
      <c r="A305" s="92">
        <v>44713</v>
      </c>
      <c r="B305" s="60">
        <v>0</v>
      </c>
      <c r="C305" s="60">
        <v>0</v>
      </c>
      <c r="D305" s="60">
        <v>83273.195639999991</v>
      </c>
      <c r="E305" s="60">
        <v>98143.599390789183</v>
      </c>
      <c r="F305" s="60">
        <v>39214.367279999999</v>
      </c>
      <c r="G305" s="60">
        <v>42227.45663620194</v>
      </c>
      <c r="H305" s="93">
        <v>0.17857371314385162</v>
      </c>
      <c r="I305" s="93">
        <v>7.6836362925041257E-2</v>
      </c>
      <c r="J305" s="93">
        <v>0.14600252205745412</v>
      </c>
    </row>
    <row r="306" spans="1:10" x14ac:dyDescent="0.3">
      <c r="A306" s="92">
        <v>44743</v>
      </c>
      <c r="B306" s="60">
        <v>0</v>
      </c>
      <c r="C306" s="60">
        <v>0</v>
      </c>
      <c r="D306" s="60">
        <v>77070.119359999997</v>
      </c>
      <c r="E306" s="60">
        <v>90832.816746555036</v>
      </c>
      <c r="F306" s="60">
        <v>36293.262719999999</v>
      </c>
      <c r="G306" s="60">
        <v>39081.905026087785</v>
      </c>
      <c r="H306" s="93">
        <v>0.17857371314385162</v>
      </c>
      <c r="I306" s="93">
        <v>7.6836362925041257E-2</v>
      </c>
      <c r="J306" s="93">
        <v>0.14600252205745434</v>
      </c>
    </row>
    <row r="307" spans="1:10" x14ac:dyDescent="0.3">
      <c r="A307" s="92">
        <v>44774</v>
      </c>
      <c r="B307" s="60">
        <v>0</v>
      </c>
      <c r="C307" s="60">
        <v>0</v>
      </c>
      <c r="D307" s="60">
        <v>82473.830139999991</v>
      </c>
      <c r="E307" s="60">
        <v>97201.488225295092</v>
      </c>
      <c r="F307" s="60">
        <v>38837.936279999994</v>
      </c>
      <c r="G307" s="60">
        <v>41822.102047269706</v>
      </c>
      <c r="H307" s="93">
        <v>0.17857371314385162</v>
      </c>
      <c r="I307" s="93">
        <v>7.6836362925041479E-2</v>
      </c>
      <c r="J307" s="93">
        <v>0.14600252205745434</v>
      </c>
    </row>
    <row r="308" spans="1:10" x14ac:dyDescent="0.3">
      <c r="A308" s="92">
        <v>44805</v>
      </c>
      <c r="B308" s="60">
        <v>0</v>
      </c>
      <c r="C308" s="60">
        <v>0</v>
      </c>
      <c r="D308" s="60">
        <v>80824.315919999979</v>
      </c>
      <c r="E308" s="60">
        <v>95257.414126146105</v>
      </c>
      <c r="F308" s="60">
        <v>38061.15984</v>
      </c>
      <c r="G308" s="60">
        <v>40985.640930814247</v>
      </c>
      <c r="H308" s="93">
        <v>0.17857371314385184</v>
      </c>
      <c r="I308" s="93">
        <v>7.6836362925041257E-2</v>
      </c>
      <c r="J308" s="93">
        <v>0.14600252205745456</v>
      </c>
    </row>
    <row r="309" spans="1:10" x14ac:dyDescent="0.3">
      <c r="A309" s="92">
        <v>44835</v>
      </c>
      <c r="B309" s="60">
        <v>0</v>
      </c>
      <c r="C309" s="60">
        <v>0</v>
      </c>
      <c r="D309" s="60">
        <v>80824.315919999979</v>
      </c>
      <c r="E309" s="60">
        <v>95257.414126146105</v>
      </c>
      <c r="F309" s="60">
        <v>38061.15984</v>
      </c>
      <c r="G309" s="60">
        <v>40985.640930814247</v>
      </c>
      <c r="H309" s="93">
        <v>0.17857371314385184</v>
      </c>
      <c r="I309" s="93">
        <v>7.6836362925041257E-2</v>
      </c>
      <c r="J309" s="93">
        <v>0.14600252205745456</v>
      </c>
    </row>
    <row r="310" spans="1:10" x14ac:dyDescent="0.3">
      <c r="A310" s="87" t="s">
        <v>52</v>
      </c>
      <c r="B310" s="60">
        <v>43260</v>
      </c>
      <c r="C310" s="60">
        <v>49210.683440537912</v>
      </c>
      <c r="D310" s="60">
        <v>94498.889830000015</v>
      </c>
      <c r="E310" s="60">
        <v>129150.6035475425</v>
      </c>
      <c r="F310" s="60">
        <v>177655.40019000004</v>
      </c>
      <c r="G310" s="60">
        <v>189015.72538432182</v>
      </c>
      <c r="H310" s="93">
        <v>0.29473522331796809</v>
      </c>
      <c r="I310" s="93">
        <v>6.3945847872747263E-2</v>
      </c>
      <c r="J310" s="93">
        <v>0.16474435051470637</v>
      </c>
    </row>
    <row r="311" spans="1:10" x14ac:dyDescent="0.3">
      <c r="A311" s="88" t="s">
        <v>25</v>
      </c>
      <c r="B311" s="60">
        <v>43260</v>
      </c>
      <c r="C311" s="60">
        <v>49210.683440537912</v>
      </c>
      <c r="D311" s="60">
        <v>94498.889830000015</v>
      </c>
      <c r="E311" s="60">
        <v>129150.6035475425</v>
      </c>
      <c r="F311" s="60">
        <v>177655.40019000004</v>
      </c>
      <c r="G311" s="60">
        <v>189015.72538432182</v>
      </c>
      <c r="H311" s="93">
        <v>0.29473522331796809</v>
      </c>
      <c r="I311" s="93">
        <v>6.3945847872747263E-2</v>
      </c>
      <c r="J311" s="93">
        <v>0.16474435051470637</v>
      </c>
    </row>
    <row r="312" spans="1:10" x14ac:dyDescent="0.3">
      <c r="A312" s="89" t="s">
        <v>25</v>
      </c>
      <c r="B312" s="60">
        <v>43260</v>
      </c>
      <c r="C312" s="60">
        <v>49210.683440537912</v>
      </c>
      <c r="D312" s="60">
        <v>94498.889830000015</v>
      </c>
      <c r="E312" s="60">
        <v>129150.6035475425</v>
      </c>
      <c r="F312" s="60">
        <v>177655.40019000004</v>
      </c>
      <c r="G312" s="60">
        <v>189015.72538432182</v>
      </c>
      <c r="H312" s="93">
        <v>0.29473522331796809</v>
      </c>
      <c r="I312" s="93">
        <v>6.3945847872747263E-2</v>
      </c>
      <c r="J312" s="93">
        <v>0.16474435051470637</v>
      </c>
    </row>
    <row r="313" spans="1:10" x14ac:dyDescent="0.3">
      <c r="A313" s="90" t="s">
        <v>25</v>
      </c>
      <c r="B313" s="60">
        <v>43260</v>
      </c>
      <c r="C313" s="60">
        <v>49210.683440537912</v>
      </c>
      <c r="D313" s="60">
        <v>94498.889830000015</v>
      </c>
      <c r="E313" s="60">
        <v>129150.6035475425</v>
      </c>
      <c r="F313" s="60">
        <v>177655.40019000004</v>
      </c>
      <c r="G313" s="60">
        <v>189015.72538432182</v>
      </c>
      <c r="H313" s="93">
        <v>0.29473522331796809</v>
      </c>
      <c r="I313" s="93">
        <v>6.3945847872747263E-2</v>
      </c>
      <c r="J313" s="93">
        <v>0.16474435051470637</v>
      </c>
    </row>
    <row r="314" spans="1:10" x14ac:dyDescent="0.3">
      <c r="A314" s="91" t="s">
        <v>35</v>
      </c>
      <c r="B314" s="60">
        <v>0</v>
      </c>
      <c r="C314" s="60">
        <v>0</v>
      </c>
      <c r="D314" s="60">
        <v>39261.793350000007</v>
      </c>
      <c r="E314" s="60">
        <v>64049.61364582376</v>
      </c>
      <c r="F314" s="60">
        <v>151643.57523000005</v>
      </c>
      <c r="G314" s="60">
        <v>161005.24640135263</v>
      </c>
      <c r="H314" s="93">
        <v>0.63134712352164502</v>
      </c>
      <c r="I314" s="93">
        <v>6.1734703611106445E-2</v>
      </c>
      <c r="J314" s="93">
        <v>0.17888177645913483</v>
      </c>
    </row>
    <row r="315" spans="1:10" x14ac:dyDescent="0.3">
      <c r="A315" s="92">
        <v>44501</v>
      </c>
      <c r="B315" s="60">
        <v>0</v>
      </c>
      <c r="C315" s="60">
        <v>0</v>
      </c>
      <c r="D315" s="60">
        <v>3202.2334500000006</v>
      </c>
      <c r="E315" s="60">
        <v>5223.9543275022952</v>
      </c>
      <c r="F315" s="60">
        <v>12368.210610000002</v>
      </c>
      <c r="G315" s="60">
        <v>13131.758426208098</v>
      </c>
      <c r="H315" s="93">
        <v>0.63134712352164524</v>
      </c>
      <c r="I315" s="93">
        <v>6.1734703611106667E-2</v>
      </c>
      <c r="J315" s="93">
        <v>0.1788817764591355</v>
      </c>
    </row>
    <row r="316" spans="1:10" x14ac:dyDescent="0.3">
      <c r="A316" s="92">
        <v>44531</v>
      </c>
      <c r="B316" s="60">
        <v>0</v>
      </c>
      <c r="C316" s="60">
        <v>0</v>
      </c>
      <c r="D316" s="60">
        <v>3028.0633500000004</v>
      </c>
      <c r="E316" s="60">
        <v>4939.8224358638181</v>
      </c>
      <c r="F316" s="60">
        <v>11695.501230000002</v>
      </c>
      <c r="G316" s="60">
        <v>12417.519532017386</v>
      </c>
      <c r="H316" s="93">
        <v>0.63134712352164546</v>
      </c>
      <c r="I316" s="93">
        <v>6.1734703611106667E-2</v>
      </c>
      <c r="J316" s="93">
        <v>0.1788817764591355</v>
      </c>
    </row>
    <row r="317" spans="1:10" x14ac:dyDescent="0.3">
      <c r="A317" s="92">
        <v>44562</v>
      </c>
      <c r="B317" s="60">
        <v>0</v>
      </c>
      <c r="C317" s="60">
        <v>0</v>
      </c>
      <c r="D317" s="60">
        <v>3319.9101000000005</v>
      </c>
      <c r="E317" s="60">
        <v>5415.925791985459</v>
      </c>
      <c r="F317" s="60">
        <v>12822.721380000001</v>
      </c>
      <c r="G317" s="60">
        <v>13614.328283882105</v>
      </c>
      <c r="H317" s="93">
        <v>0.63134712352164546</v>
      </c>
      <c r="I317" s="93">
        <v>6.1734703611106889E-2</v>
      </c>
      <c r="J317" s="93">
        <v>0.1788817764591355</v>
      </c>
    </row>
    <row r="318" spans="1:10" x14ac:dyDescent="0.3">
      <c r="A318" s="92">
        <v>44593</v>
      </c>
      <c r="B318" s="60">
        <v>0</v>
      </c>
      <c r="C318" s="60">
        <v>0</v>
      </c>
      <c r="D318" s="60">
        <v>3376.5478500000004</v>
      </c>
      <c r="E318" s="60">
        <v>5508.321622530696</v>
      </c>
      <c r="F318" s="60">
        <v>13041.47733</v>
      </c>
      <c r="G318" s="60">
        <v>13846.589067618519</v>
      </c>
      <c r="H318" s="93">
        <v>0.63134712352164524</v>
      </c>
      <c r="I318" s="93">
        <v>6.1734703611106889E-2</v>
      </c>
      <c r="J318" s="93">
        <v>0.17888177645913528</v>
      </c>
    </row>
    <row r="319" spans="1:10" x14ac:dyDescent="0.3">
      <c r="A319" s="92">
        <v>44621</v>
      </c>
      <c r="B319" s="60">
        <v>0</v>
      </c>
      <c r="C319" s="60">
        <v>0</v>
      </c>
      <c r="D319" s="60">
        <v>3000.3577500000001</v>
      </c>
      <c r="E319" s="60">
        <v>4894.624984998376</v>
      </c>
      <c r="F319" s="60">
        <v>11588.491950000001</v>
      </c>
      <c r="G319" s="60">
        <v>12303.904065832949</v>
      </c>
      <c r="H319" s="93">
        <v>0.63134712352164524</v>
      </c>
      <c r="I319" s="93">
        <v>6.1734703611106889E-2</v>
      </c>
      <c r="J319" s="93">
        <v>0.17888177645913528</v>
      </c>
    </row>
    <row r="320" spans="1:10" x14ac:dyDescent="0.3">
      <c r="A320" s="92">
        <v>44652</v>
      </c>
      <c r="B320" s="60">
        <v>0</v>
      </c>
      <c r="C320" s="60">
        <v>0</v>
      </c>
      <c r="D320" s="60">
        <v>3423.5175000000004</v>
      </c>
      <c r="E320" s="60">
        <v>5584.9454259510148</v>
      </c>
      <c r="F320" s="60">
        <v>13222.891500000002</v>
      </c>
      <c r="G320" s="60">
        <v>14039.202787634325</v>
      </c>
      <c r="H320" s="93">
        <v>0.63134712352164524</v>
      </c>
      <c r="I320" s="93">
        <v>6.1734703611106889E-2</v>
      </c>
      <c r="J320" s="93">
        <v>0.17888177645913528</v>
      </c>
    </row>
    <row r="321" spans="1:10" x14ac:dyDescent="0.3">
      <c r="A321" s="92">
        <v>44682</v>
      </c>
      <c r="B321" s="60">
        <v>0</v>
      </c>
      <c r="C321" s="60">
        <v>0</v>
      </c>
      <c r="D321" s="60">
        <v>3356.4901500000005</v>
      </c>
      <c r="E321" s="60">
        <v>5475.6005513312366</v>
      </c>
      <c r="F321" s="60">
        <v>12964.007070000001</v>
      </c>
      <c r="G321" s="60">
        <v>13764.336204078745</v>
      </c>
      <c r="H321" s="93">
        <v>0.63134712352164524</v>
      </c>
      <c r="I321" s="93">
        <v>6.1734703611106889E-2</v>
      </c>
      <c r="J321" s="93">
        <v>0.17888177645913528</v>
      </c>
    </row>
    <row r="322" spans="1:10" x14ac:dyDescent="0.3">
      <c r="A322" s="92">
        <v>44713</v>
      </c>
      <c r="B322" s="60">
        <v>0</v>
      </c>
      <c r="C322" s="60">
        <v>0</v>
      </c>
      <c r="D322" s="60">
        <v>3312.1900500000002</v>
      </c>
      <c r="E322" s="60">
        <v>5403.3317106245149</v>
      </c>
      <c r="F322" s="60">
        <v>12792.903689999999</v>
      </c>
      <c r="G322" s="60">
        <v>13582.669807627584</v>
      </c>
      <c r="H322" s="93">
        <v>0.63134712352164524</v>
      </c>
      <c r="I322" s="93">
        <v>6.1734703611106889E-2</v>
      </c>
      <c r="J322" s="93">
        <v>0.17888177645913528</v>
      </c>
    </row>
    <row r="323" spans="1:10" x14ac:dyDescent="0.3">
      <c r="A323" s="92">
        <v>44743</v>
      </c>
      <c r="B323" s="60">
        <v>0</v>
      </c>
      <c r="C323" s="60">
        <v>0</v>
      </c>
      <c r="D323" s="60">
        <v>3049.9248000000002</v>
      </c>
      <c r="E323" s="60">
        <v>4975.4860494373297</v>
      </c>
      <c r="F323" s="60">
        <v>11779.938239999999</v>
      </c>
      <c r="G323" s="60">
        <v>12507.169235803543</v>
      </c>
      <c r="H323" s="93">
        <v>0.63134712352164524</v>
      </c>
      <c r="I323" s="93">
        <v>6.1734703611106889E-2</v>
      </c>
      <c r="J323" s="93">
        <v>0.17888177645913528</v>
      </c>
    </row>
    <row r="324" spans="1:10" x14ac:dyDescent="0.3">
      <c r="A324" s="92">
        <v>44774</v>
      </c>
      <c r="B324" s="60">
        <v>0</v>
      </c>
      <c r="C324" s="60">
        <v>0</v>
      </c>
      <c r="D324" s="60">
        <v>3419.1163500000007</v>
      </c>
      <c r="E324" s="60">
        <v>5577.7656225583278</v>
      </c>
      <c r="F324" s="60">
        <v>13205.892630000002</v>
      </c>
      <c r="G324" s="60">
        <v>14021.154497433152</v>
      </c>
      <c r="H324" s="93">
        <v>0.63134712352164524</v>
      </c>
      <c r="I324" s="93">
        <v>6.1734703611106889E-2</v>
      </c>
      <c r="J324" s="93">
        <v>0.17888177645913528</v>
      </c>
    </row>
    <row r="325" spans="1:10" x14ac:dyDescent="0.3">
      <c r="A325" s="92">
        <v>44805</v>
      </c>
      <c r="B325" s="60">
        <v>0</v>
      </c>
      <c r="C325" s="60">
        <v>0</v>
      </c>
      <c r="D325" s="60">
        <v>3386.721</v>
      </c>
      <c r="E325" s="60">
        <v>5524.9175615203503</v>
      </c>
      <c r="F325" s="60">
        <v>13080.7698</v>
      </c>
      <c r="G325" s="60">
        <v>13888.307246608118</v>
      </c>
      <c r="H325" s="93">
        <v>0.63134712352164546</v>
      </c>
      <c r="I325" s="93">
        <v>6.1734703611106889E-2</v>
      </c>
      <c r="J325" s="93">
        <v>0.17888177645913528</v>
      </c>
    </row>
    <row r="326" spans="1:10" x14ac:dyDescent="0.3">
      <c r="A326" s="92">
        <v>44835</v>
      </c>
      <c r="B326" s="60">
        <v>0</v>
      </c>
      <c r="C326" s="60">
        <v>0</v>
      </c>
      <c r="D326" s="60">
        <v>3386.721</v>
      </c>
      <c r="E326" s="60">
        <v>5524.9175615203503</v>
      </c>
      <c r="F326" s="60">
        <v>13080.7698</v>
      </c>
      <c r="G326" s="60">
        <v>13888.307246608118</v>
      </c>
      <c r="H326" s="93">
        <v>0.63134712352164546</v>
      </c>
      <c r="I326" s="93">
        <v>6.1734703611106889E-2</v>
      </c>
      <c r="J326" s="93">
        <v>0.17888177645913528</v>
      </c>
    </row>
    <row r="327" spans="1:10" x14ac:dyDescent="0.3">
      <c r="A327" s="91" t="s">
        <v>25</v>
      </c>
      <c r="B327" s="60">
        <v>43260</v>
      </c>
      <c r="C327" s="60">
        <v>49210.683440537912</v>
      </c>
      <c r="D327" s="60">
        <v>0</v>
      </c>
      <c r="E327" s="60">
        <v>0</v>
      </c>
      <c r="F327" s="60">
        <v>0</v>
      </c>
      <c r="G327" s="60">
        <v>0</v>
      </c>
      <c r="H327" s="93">
        <v>0.13755625151497708</v>
      </c>
      <c r="I327" s="93">
        <v>0</v>
      </c>
      <c r="J327" s="93">
        <v>0.13755625151497708</v>
      </c>
    </row>
    <row r="328" spans="1:10" x14ac:dyDescent="0.3">
      <c r="A328" s="92">
        <v>44501</v>
      </c>
      <c r="B328" s="60">
        <v>3598</v>
      </c>
      <c r="C328" s="60">
        <v>4092.9273929508886</v>
      </c>
      <c r="D328" s="60">
        <v>0</v>
      </c>
      <c r="E328" s="60">
        <v>0</v>
      </c>
      <c r="F328" s="60">
        <v>0</v>
      </c>
      <c r="G328" s="60">
        <v>0</v>
      </c>
      <c r="H328" s="93">
        <v>0.1375562515149773</v>
      </c>
      <c r="I328" s="93">
        <v>0</v>
      </c>
      <c r="J328" s="93">
        <v>0.1375562515149773</v>
      </c>
    </row>
    <row r="329" spans="1:10" x14ac:dyDescent="0.3">
      <c r="A329" s="92">
        <v>44531</v>
      </c>
      <c r="B329" s="60">
        <v>3682</v>
      </c>
      <c r="C329" s="60">
        <v>4188.4821180781464</v>
      </c>
      <c r="D329" s="60">
        <v>0</v>
      </c>
      <c r="E329" s="60">
        <v>0</v>
      </c>
      <c r="F329" s="60">
        <v>0</v>
      </c>
      <c r="G329" s="60">
        <v>0</v>
      </c>
      <c r="H329" s="93">
        <v>0.1375562515149773</v>
      </c>
      <c r="I329" s="93">
        <v>0</v>
      </c>
      <c r="J329" s="93">
        <v>0.1375562515149773</v>
      </c>
    </row>
    <row r="330" spans="1:10" x14ac:dyDescent="0.3">
      <c r="A330" s="92">
        <v>44562</v>
      </c>
      <c r="B330" s="60">
        <v>3584</v>
      </c>
      <c r="C330" s="60">
        <v>4077.0016054296789</v>
      </c>
      <c r="D330" s="60">
        <v>0</v>
      </c>
      <c r="E330" s="60">
        <v>0</v>
      </c>
      <c r="F330" s="60">
        <v>0</v>
      </c>
      <c r="G330" s="60">
        <v>0</v>
      </c>
      <c r="H330" s="93">
        <v>0.1375562515149773</v>
      </c>
      <c r="I330" s="93">
        <v>0</v>
      </c>
      <c r="J330" s="93">
        <v>0.1375562515149773</v>
      </c>
    </row>
    <row r="331" spans="1:10" x14ac:dyDescent="0.3">
      <c r="A331" s="92">
        <v>44593</v>
      </c>
      <c r="B331" s="60">
        <v>3640</v>
      </c>
      <c r="C331" s="60">
        <v>4140.7047555145173</v>
      </c>
      <c r="D331" s="60">
        <v>0</v>
      </c>
      <c r="E331" s="60">
        <v>0</v>
      </c>
      <c r="F331" s="60">
        <v>0</v>
      </c>
      <c r="G331" s="60">
        <v>0</v>
      </c>
      <c r="H331" s="93">
        <v>0.1375562515149773</v>
      </c>
      <c r="I331" s="93">
        <v>0</v>
      </c>
      <c r="J331" s="93">
        <v>0.1375562515149773</v>
      </c>
    </row>
    <row r="332" spans="1:10" x14ac:dyDescent="0.3">
      <c r="A332" s="92">
        <v>44621</v>
      </c>
      <c r="B332" s="60">
        <v>3612</v>
      </c>
      <c r="C332" s="60">
        <v>4108.8531804720978</v>
      </c>
      <c r="D332" s="60">
        <v>0</v>
      </c>
      <c r="E332" s="60">
        <v>0</v>
      </c>
      <c r="F332" s="60">
        <v>0</v>
      </c>
      <c r="G332" s="60">
        <v>0</v>
      </c>
      <c r="H332" s="93">
        <v>0.1375562515149773</v>
      </c>
      <c r="I332" s="93">
        <v>0</v>
      </c>
      <c r="J332" s="93">
        <v>0.1375562515149773</v>
      </c>
    </row>
    <row r="333" spans="1:10" x14ac:dyDescent="0.3">
      <c r="A333" s="92">
        <v>44652</v>
      </c>
      <c r="B333" s="60">
        <v>3542</v>
      </c>
      <c r="C333" s="60">
        <v>4029.2242428660497</v>
      </c>
      <c r="D333" s="60">
        <v>0</v>
      </c>
      <c r="E333" s="60">
        <v>0</v>
      </c>
      <c r="F333" s="60">
        <v>0</v>
      </c>
      <c r="G333" s="60">
        <v>0</v>
      </c>
      <c r="H333" s="93">
        <v>0.1375562515149773</v>
      </c>
      <c r="I333" s="93">
        <v>0</v>
      </c>
      <c r="J333" s="93">
        <v>0.1375562515149773</v>
      </c>
    </row>
    <row r="334" spans="1:10" x14ac:dyDescent="0.3">
      <c r="A334" s="92">
        <v>44682</v>
      </c>
      <c r="B334" s="60">
        <v>3486</v>
      </c>
      <c r="C334" s="60">
        <v>3965.5210927812109</v>
      </c>
      <c r="D334" s="60">
        <v>0</v>
      </c>
      <c r="E334" s="60">
        <v>0</v>
      </c>
      <c r="F334" s="60">
        <v>0</v>
      </c>
      <c r="G334" s="60">
        <v>0</v>
      </c>
      <c r="H334" s="93">
        <v>0.1375562515149773</v>
      </c>
      <c r="I334" s="93">
        <v>0</v>
      </c>
      <c r="J334" s="93">
        <v>0.1375562515149773</v>
      </c>
    </row>
    <row r="335" spans="1:10" x14ac:dyDescent="0.3">
      <c r="A335" s="92">
        <v>44713</v>
      </c>
      <c r="B335" s="60">
        <v>3486</v>
      </c>
      <c r="C335" s="60">
        <v>3965.5210927812109</v>
      </c>
      <c r="D335" s="60">
        <v>0</v>
      </c>
      <c r="E335" s="60">
        <v>0</v>
      </c>
      <c r="F335" s="60">
        <v>0</v>
      </c>
      <c r="G335" s="60">
        <v>0</v>
      </c>
      <c r="H335" s="93">
        <v>0.1375562515149773</v>
      </c>
      <c r="I335" s="93">
        <v>0</v>
      </c>
      <c r="J335" s="93">
        <v>0.1375562515149773</v>
      </c>
    </row>
    <row r="336" spans="1:10" x14ac:dyDescent="0.3">
      <c r="A336" s="92">
        <v>44743</v>
      </c>
      <c r="B336" s="60">
        <v>3556</v>
      </c>
      <c r="C336" s="60">
        <v>4045.1500303872594</v>
      </c>
      <c r="D336" s="60">
        <v>0</v>
      </c>
      <c r="E336" s="60">
        <v>0</v>
      </c>
      <c r="F336" s="60">
        <v>0</v>
      </c>
      <c r="G336" s="60">
        <v>0</v>
      </c>
      <c r="H336" s="93">
        <v>0.1375562515149773</v>
      </c>
      <c r="I336" s="93">
        <v>0</v>
      </c>
      <c r="J336" s="93">
        <v>0.1375562515149773</v>
      </c>
    </row>
    <row r="337" spans="1:10" x14ac:dyDescent="0.3">
      <c r="A337" s="92">
        <v>44774</v>
      </c>
      <c r="B337" s="60">
        <v>3990</v>
      </c>
      <c r="C337" s="60">
        <v>4538.8494435447601</v>
      </c>
      <c r="D337" s="60">
        <v>0</v>
      </c>
      <c r="E337" s="60">
        <v>0</v>
      </c>
      <c r="F337" s="60">
        <v>0</v>
      </c>
      <c r="G337" s="60">
        <v>0</v>
      </c>
      <c r="H337" s="93">
        <v>0.13755625151497752</v>
      </c>
      <c r="I337" s="93">
        <v>0</v>
      </c>
      <c r="J337" s="93">
        <v>0.13755625151497752</v>
      </c>
    </row>
    <row r="338" spans="1:10" x14ac:dyDescent="0.3">
      <c r="A338" s="92">
        <v>44805</v>
      </c>
      <c r="B338" s="60">
        <v>3542</v>
      </c>
      <c r="C338" s="60">
        <v>4029.2242428660497</v>
      </c>
      <c r="D338" s="60">
        <v>0</v>
      </c>
      <c r="E338" s="60">
        <v>0</v>
      </c>
      <c r="F338" s="60">
        <v>0</v>
      </c>
      <c r="G338" s="60">
        <v>0</v>
      </c>
      <c r="H338" s="93">
        <v>0.1375562515149773</v>
      </c>
      <c r="I338" s="93">
        <v>0</v>
      </c>
      <c r="J338" s="93">
        <v>0.1375562515149773</v>
      </c>
    </row>
    <row r="339" spans="1:10" x14ac:dyDescent="0.3">
      <c r="A339" s="92">
        <v>44835</v>
      </c>
      <c r="B339" s="60">
        <v>3542</v>
      </c>
      <c r="C339" s="60">
        <v>4029.2242428660497</v>
      </c>
      <c r="D339" s="60">
        <v>0</v>
      </c>
      <c r="E339" s="60">
        <v>0</v>
      </c>
      <c r="F339" s="60">
        <v>0</v>
      </c>
      <c r="G339" s="60">
        <v>0</v>
      </c>
      <c r="H339" s="93">
        <v>0.1375562515149773</v>
      </c>
      <c r="I339" s="93">
        <v>0</v>
      </c>
      <c r="J339" s="93">
        <v>0.1375562515149773</v>
      </c>
    </row>
    <row r="340" spans="1:10" x14ac:dyDescent="0.3">
      <c r="A340" s="91" t="s">
        <v>34</v>
      </c>
      <c r="B340" s="60">
        <v>0</v>
      </c>
      <c r="C340" s="60">
        <v>0</v>
      </c>
      <c r="D340" s="60">
        <v>55237.096479999986</v>
      </c>
      <c r="E340" s="60">
        <v>65100.989901718771</v>
      </c>
      <c r="F340" s="60">
        <v>26011.824960000002</v>
      </c>
      <c r="G340" s="60">
        <v>28010.478982969202</v>
      </c>
      <c r="H340" s="93">
        <v>0.17857371314385184</v>
      </c>
      <c r="I340" s="93">
        <v>7.6836362925041035E-2</v>
      </c>
      <c r="J340" s="93">
        <v>0.14600252205745434</v>
      </c>
    </row>
    <row r="341" spans="1:10" x14ac:dyDescent="0.3">
      <c r="A341" s="92">
        <v>44501</v>
      </c>
      <c r="B341" s="60">
        <v>0</v>
      </c>
      <c r="C341" s="60">
        <v>0</v>
      </c>
      <c r="D341" s="60">
        <v>4208.4242499999991</v>
      </c>
      <c r="E341" s="60">
        <v>4959.9381948071277</v>
      </c>
      <c r="F341" s="60">
        <v>1981.7984999999999</v>
      </c>
      <c r="G341" s="60">
        <v>2134.072688790302</v>
      </c>
      <c r="H341" s="93">
        <v>0.17857371314385162</v>
      </c>
      <c r="I341" s="93">
        <v>7.6836362925041035E-2</v>
      </c>
      <c r="J341" s="93">
        <v>0.14600252205745434</v>
      </c>
    </row>
    <row r="342" spans="1:10" x14ac:dyDescent="0.3">
      <c r="A342" s="92">
        <v>44531</v>
      </c>
      <c r="B342" s="60">
        <v>0</v>
      </c>
      <c r="C342" s="60">
        <v>0</v>
      </c>
      <c r="D342" s="60">
        <v>4001.5296499999995</v>
      </c>
      <c r="E342" s="60">
        <v>4716.0976578557165</v>
      </c>
      <c r="F342" s="60">
        <v>1884.3693000000001</v>
      </c>
      <c r="G342" s="60">
        <v>2029.1573834196058</v>
      </c>
      <c r="H342" s="93">
        <v>0.17857371314385162</v>
      </c>
      <c r="I342" s="93">
        <v>7.6836362925041257E-2</v>
      </c>
      <c r="J342" s="93">
        <v>0.14600252205745434</v>
      </c>
    </row>
    <row r="343" spans="1:10" x14ac:dyDescent="0.3">
      <c r="A343" s="92">
        <v>44562</v>
      </c>
      <c r="B343" s="60">
        <v>0</v>
      </c>
      <c r="C343" s="60">
        <v>0</v>
      </c>
      <c r="D343" s="60">
        <v>4866.7252499999995</v>
      </c>
      <c r="E343" s="60">
        <v>5735.7944487434388</v>
      </c>
      <c r="F343" s="60">
        <v>2291.8004999999998</v>
      </c>
      <c r="G343" s="60">
        <v>2467.8941149697907</v>
      </c>
      <c r="H343" s="93">
        <v>0.17857371314385162</v>
      </c>
      <c r="I343" s="93">
        <v>7.6836362925041257E-2</v>
      </c>
      <c r="J343" s="93">
        <v>0.14600252205745434</v>
      </c>
    </row>
    <row r="344" spans="1:10" x14ac:dyDescent="0.3">
      <c r="A344" s="92">
        <v>44593</v>
      </c>
      <c r="B344" s="60">
        <v>0</v>
      </c>
      <c r="C344" s="60">
        <v>0</v>
      </c>
      <c r="D344" s="60">
        <v>4508.4214199999997</v>
      </c>
      <c r="E344" s="60">
        <v>5313.5069733866749</v>
      </c>
      <c r="F344" s="60">
        <v>2123.0708399999999</v>
      </c>
      <c r="G344" s="60">
        <v>2286.199881577812</v>
      </c>
      <c r="H344" s="93">
        <v>0.1785737131438514</v>
      </c>
      <c r="I344" s="93">
        <v>7.6836362925041257E-2</v>
      </c>
      <c r="J344" s="93">
        <v>0.14600252205745434</v>
      </c>
    </row>
    <row r="345" spans="1:10" x14ac:dyDescent="0.3">
      <c r="A345" s="92">
        <v>44621</v>
      </c>
      <c r="B345" s="60">
        <v>0</v>
      </c>
      <c r="C345" s="60">
        <v>0</v>
      </c>
      <c r="D345" s="60">
        <v>4296.82467</v>
      </c>
      <c r="E345" s="60">
        <v>5064.1246060500043</v>
      </c>
      <c r="F345" s="60">
        <v>2023.42734</v>
      </c>
      <c r="G345" s="60">
        <v>2178.9001374486907</v>
      </c>
      <c r="H345" s="93">
        <v>0.1785737131438514</v>
      </c>
      <c r="I345" s="93">
        <v>7.6836362925041257E-2</v>
      </c>
      <c r="J345" s="93">
        <v>0.14600252205745434</v>
      </c>
    </row>
    <row r="346" spans="1:10" x14ac:dyDescent="0.3">
      <c r="A346" s="92">
        <v>44652</v>
      </c>
      <c r="B346" s="60">
        <v>0</v>
      </c>
      <c r="C346" s="60">
        <v>0</v>
      </c>
      <c r="D346" s="60">
        <v>4959.8278199999995</v>
      </c>
      <c r="E346" s="60">
        <v>5845.5226903715738</v>
      </c>
      <c r="F346" s="60">
        <v>2335.6436400000002</v>
      </c>
      <c r="G346" s="60">
        <v>2515.1060023866044</v>
      </c>
      <c r="H346" s="93">
        <v>0.17857371314385162</v>
      </c>
      <c r="I346" s="93">
        <v>7.6836362925041035E-2</v>
      </c>
      <c r="J346" s="93">
        <v>0.14600252205745434</v>
      </c>
    </row>
    <row r="347" spans="1:10" x14ac:dyDescent="0.3">
      <c r="A347" s="92">
        <v>44682</v>
      </c>
      <c r="B347" s="60">
        <v>0</v>
      </c>
      <c r="C347" s="60">
        <v>0</v>
      </c>
      <c r="D347" s="60">
        <v>4341.024879999999</v>
      </c>
      <c r="E347" s="60">
        <v>5116.2178116714422</v>
      </c>
      <c r="F347" s="60">
        <v>2044.2417599999999</v>
      </c>
      <c r="G347" s="60">
        <v>2201.313861777885</v>
      </c>
      <c r="H347" s="93">
        <v>0.17857371314385162</v>
      </c>
      <c r="I347" s="93">
        <v>7.6836362925041257E-2</v>
      </c>
      <c r="J347" s="93">
        <v>0.14600252205745456</v>
      </c>
    </row>
    <row r="348" spans="1:10" x14ac:dyDescent="0.3">
      <c r="A348" s="92">
        <v>44713</v>
      </c>
      <c r="B348" s="60">
        <v>0</v>
      </c>
      <c r="C348" s="60">
        <v>0</v>
      </c>
      <c r="D348" s="60">
        <v>4785.8482700000004</v>
      </c>
      <c r="E348" s="60">
        <v>5640.4749661169781</v>
      </c>
      <c r="F348" s="60">
        <v>2253.7145400000004</v>
      </c>
      <c r="G348" s="60">
        <v>2426.8817683248826</v>
      </c>
      <c r="H348" s="93">
        <v>0.1785737131438514</v>
      </c>
      <c r="I348" s="93">
        <v>7.6836362925041257E-2</v>
      </c>
      <c r="J348" s="93">
        <v>0.14600252205745412</v>
      </c>
    </row>
    <row r="349" spans="1:10" x14ac:dyDescent="0.3">
      <c r="A349" s="92">
        <v>44743</v>
      </c>
      <c r="B349" s="60">
        <v>0</v>
      </c>
      <c r="C349" s="60">
        <v>0</v>
      </c>
      <c r="D349" s="60">
        <v>4479.2680899999996</v>
      </c>
      <c r="E349" s="60">
        <v>5279.1476249980678</v>
      </c>
      <c r="F349" s="60">
        <v>2109.3421800000001</v>
      </c>
      <c r="G349" s="60">
        <v>2271.4163612755774</v>
      </c>
      <c r="H349" s="93">
        <v>0.17857371314385162</v>
      </c>
      <c r="I349" s="93">
        <v>7.6836362925041035E-2</v>
      </c>
      <c r="J349" s="93">
        <v>0.14600252205745456</v>
      </c>
    </row>
    <row r="350" spans="1:10" x14ac:dyDescent="0.3">
      <c r="A350" s="92">
        <v>44774</v>
      </c>
      <c r="B350" s="60">
        <v>0</v>
      </c>
      <c r="C350" s="60">
        <v>0</v>
      </c>
      <c r="D350" s="60">
        <v>4651.3667799999994</v>
      </c>
      <c r="E350" s="60">
        <v>5481.9786170985599</v>
      </c>
      <c r="F350" s="60">
        <v>2190.3855600000002</v>
      </c>
      <c r="G350" s="60">
        <v>2358.6868198339293</v>
      </c>
      <c r="H350" s="93">
        <v>0.17857371314385162</v>
      </c>
      <c r="I350" s="93">
        <v>7.6836362925041035E-2</v>
      </c>
      <c r="J350" s="93">
        <v>0.14600252205745456</v>
      </c>
    </row>
    <row r="351" spans="1:10" x14ac:dyDescent="0.3">
      <c r="A351" s="92">
        <v>44805</v>
      </c>
      <c r="B351" s="60">
        <v>0</v>
      </c>
      <c r="C351" s="60">
        <v>0</v>
      </c>
      <c r="D351" s="60">
        <v>5068.9176999999991</v>
      </c>
      <c r="E351" s="60">
        <v>5974.0931553095907</v>
      </c>
      <c r="F351" s="60">
        <v>2387.0153999999998</v>
      </c>
      <c r="G351" s="60">
        <v>2570.4249815820622</v>
      </c>
      <c r="H351" s="93">
        <v>0.17857371314385162</v>
      </c>
      <c r="I351" s="93">
        <v>7.6836362925041257E-2</v>
      </c>
      <c r="J351" s="93">
        <v>0.14600252205745434</v>
      </c>
    </row>
    <row r="352" spans="1:10" x14ac:dyDescent="0.3">
      <c r="A352" s="92">
        <v>44835</v>
      </c>
      <c r="B352" s="60">
        <v>0</v>
      </c>
      <c r="C352" s="60">
        <v>0</v>
      </c>
      <c r="D352" s="60">
        <v>5068.9176999999991</v>
      </c>
      <c r="E352" s="60">
        <v>5974.0931553095907</v>
      </c>
      <c r="F352" s="60">
        <v>2387.0153999999998</v>
      </c>
      <c r="G352" s="60">
        <v>2570.4249815820622</v>
      </c>
      <c r="H352" s="93">
        <v>0.17857371314385162</v>
      </c>
      <c r="I352" s="93">
        <v>7.6836362925041257E-2</v>
      </c>
      <c r="J352" s="93">
        <v>0.14600252205745434</v>
      </c>
    </row>
    <row r="353" spans="1:10" x14ac:dyDescent="0.3">
      <c r="A353" s="87" t="s">
        <v>38</v>
      </c>
      <c r="B353" s="60">
        <v>1447768</v>
      </c>
      <c r="C353" s="60">
        <v>1646917.5391433358</v>
      </c>
      <c r="D353" s="60">
        <v>3606379.8207399999</v>
      </c>
      <c r="E353" s="60">
        <v>4997232.9925586078</v>
      </c>
      <c r="F353" s="60">
        <v>7292489.0622000014</v>
      </c>
      <c r="G353" s="60">
        <v>7756605.1928748628</v>
      </c>
      <c r="H353" s="93">
        <v>0.31459363029258292</v>
      </c>
      <c r="I353" s="93">
        <v>6.3643034184387215E-2</v>
      </c>
      <c r="J353" s="93">
        <v>0.16637071788148972</v>
      </c>
    </row>
    <row r="354" spans="1:10" x14ac:dyDescent="0.3">
      <c r="A354" s="88" t="s">
        <v>25</v>
      </c>
      <c r="B354" s="60">
        <v>1447768</v>
      </c>
      <c r="C354" s="60">
        <v>1646917.5391433358</v>
      </c>
      <c r="D354" s="60">
        <v>3606379.8207399999</v>
      </c>
      <c r="E354" s="60">
        <v>4997232.9925586078</v>
      </c>
      <c r="F354" s="60">
        <v>7292489.0622000014</v>
      </c>
      <c r="G354" s="60">
        <v>7756605.1928748628</v>
      </c>
      <c r="H354" s="93">
        <v>0.31459363029258292</v>
      </c>
      <c r="I354" s="93">
        <v>6.3643034184387215E-2</v>
      </c>
      <c r="J354" s="93">
        <v>0.16637071788148972</v>
      </c>
    </row>
    <row r="355" spans="1:10" x14ac:dyDescent="0.3">
      <c r="A355" s="89" t="s">
        <v>25</v>
      </c>
      <c r="B355" s="60">
        <v>1447768</v>
      </c>
      <c r="C355" s="60">
        <v>1646917.5391433358</v>
      </c>
      <c r="D355" s="60">
        <v>3606379.8207399999</v>
      </c>
      <c r="E355" s="60">
        <v>4997232.9925586078</v>
      </c>
      <c r="F355" s="60">
        <v>7292489.0622000014</v>
      </c>
      <c r="G355" s="60">
        <v>7756605.1928748628</v>
      </c>
      <c r="H355" s="93">
        <v>0.31459363029258292</v>
      </c>
      <c r="I355" s="93">
        <v>6.3643034184387215E-2</v>
      </c>
      <c r="J355" s="93">
        <v>0.16637071788148972</v>
      </c>
    </row>
    <row r="356" spans="1:10" x14ac:dyDescent="0.3">
      <c r="A356" s="90" t="s">
        <v>25</v>
      </c>
      <c r="B356" s="60">
        <v>1447768</v>
      </c>
      <c r="C356" s="60">
        <v>1646917.5391433358</v>
      </c>
      <c r="D356" s="60">
        <v>3606379.8207399999</v>
      </c>
      <c r="E356" s="60">
        <v>4997232.9925586078</v>
      </c>
      <c r="F356" s="60">
        <v>7292489.0622000014</v>
      </c>
      <c r="G356" s="60">
        <v>7756605.1928748628</v>
      </c>
      <c r="H356" s="93">
        <v>0.31459363029258292</v>
      </c>
      <c r="I356" s="93">
        <v>6.3643034184387215E-2</v>
      </c>
      <c r="J356" s="93">
        <v>0.16637071788148972</v>
      </c>
    </row>
    <row r="357" spans="1:10" x14ac:dyDescent="0.3">
      <c r="A357" s="91" t="s">
        <v>35</v>
      </c>
      <c r="B357" s="60">
        <v>0</v>
      </c>
      <c r="C357" s="60">
        <v>0</v>
      </c>
      <c r="D357" s="60">
        <v>1649497.3404000001</v>
      </c>
      <c r="E357" s="60">
        <v>2690902.7415181445</v>
      </c>
      <c r="F357" s="60">
        <v>6370969.1455200016</v>
      </c>
      <c r="G357" s="60">
        <v>6764279.0374341849</v>
      </c>
      <c r="H357" s="93">
        <v>0.6313471235216459</v>
      </c>
      <c r="I357" s="93">
        <v>6.1734703611106889E-2</v>
      </c>
      <c r="J357" s="93">
        <v>0.1788817764591355</v>
      </c>
    </row>
    <row r="358" spans="1:10" x14ac:dyDescent="0.3">
      <c r="A358" s="92">
        <v>44501</v>
      </c>
      <c r="B358" s="60">
        <v>0</v>
      </c>
      <c r="C358" s="60">
        <v>0</v>
      </c>
      <c r="D358" s="60">
        <v>142736.00445000001</v>
      </c>
      <c r="E358" s="60">
        <v>232851.9702824803</v>
      </c>
      <c r="F358" s="60">
        <v>551299.27041000011</v>
      </c>
      <c r="G358" s="60">
        <v>585333.56746978092</v>
      </c>
      <c r="H358" s="93">
        <v>0.63134712352164546</v>
      </c>
      <c r="I358" s="93">
        <v>6.1734703611106889E-2</v>
      </c>
      <c r="J358" s="93">
        <v>0.17888177645913528</v>
      </c>
    </row>
    <row r="359" spans="1:10" x14ac:dyDescent="0.3">
      <c r="A359" s="92">
        <v>44531</v>
      </c>
      <c r="B359" s="60">
        <v>0</v>
      </c>
      <c r="C359" s="60">
        <v>0</v>
      </c>
      <c r="D359" s="60">
        <v>140081.10090000002</v>
      </c>
      <c r="E359" s="60">
        <v>228520.90101296038</v>
      </c>
      <c r="F359" s="60">
        <v>541045.0504200001</v>
      </c>
      <c r="G359" s="60">
        <v>574446.30624793516</v>
      </c>
      <c r="H359" s="93">
        <v>0.63134712352164524</v>
      </c>
      <c r="I359" s="93">
        <v>6.1734703611106889E-2</v>
      </c>
      <c r="J359" s="93">
        <v>0.17888177645913506</v>
      </c>
    </row>
    <row r="360" spans="1:10" x14ac:dyDescent="0.3">
      <c r="A360" s="92">
        <v>44562</v>
      </c>
      <c r="B360" s="60">
        <v>0</v>
      </c>
      <c r="C360" s="60">
        <v>0</v>
      </c>
      <c r="D360" s="60">
        <v>128112.13740000001</v>
      </c>
      <c r="E360" s="60">
        <v>208995.36683569982</v>
      </c>
      <c r="F360" s="60">
        <v>494816.48412000004</v>
      </c>
      <c r="G360" s="60">
        <v>525363.83310903818</v>
      </c>
      <c r="H360" s="93">
        <v>0.63134712352164546</v>
      </c>
      <c r="I360" s="93">
        <v>6.1734703611106889E-2</v>
      </c>
      <c r="J360" s="93">
        <v>0.1788817764591355</v>
      </c>
    </row>
    <row r="361" spans="1:10" x14ac:dyDescent="0.3">
      <c r="A361" s="92">
        <v>44593</v>
      </c>
      <c r="B361" s="60">
        <v>0</v>
      </c>
      <c r="C361" s="60">
        <v>0</v>
      </c>
      <c r="D361" s="60">
        <v>126121.15815</v>
      </c>
      <c r="E361" s="60">
        <v>205747.38856322103</v>
      </c>
      <c r="F361" s="60">
        <v>487126.58547000005</v>
      </c>
      <c r="G361" s="60">
        <v>517199.20084508095</v>
      </c>
      <c r="H361" s="93">
        <v>0.63134712352164546</v>
      </c>
      <c r="I361" s="93">
        <v>6.1734703611106667E-2</v>
      </c>
      <c r="J361" s="93">
        <v>0.17888177645913528</v>
      </c>
    </row>
    <row r="362" spans="1:10" x14ac:dyDescent="0.3">
      <c r="A362" s="92">
        <v>44621</v>
      </c>
      <c r="B362" s="60">
        <v>0</v>
      </c>
      <c r="C362" s="60">
        <v>0</v>
      </c>
      <c r="D362" s="60">
        <v>127436.09190000001</v>
      </c>
      <c r="E362" s="60">
        <v>207892.50195390504</v>
      </c>
      <c r="F362" s="60">
        <v>492205.34622000001</v>
      </c>
      <c r="G362" s="60">
        <v>522591.49738469394</v>
      </c>
      <c r="H362" s="93">
        <v>0.63134712352164502</v>
      </c>
      <c r="I362" s="93">
        <v>6.1734703611106889E-2</v>
      </c>
      <c r="J362" s="93">
        <v>0.17888177645913506</v>
      </c>
    </row>
    <row r="363" spans="1:10" x14ac:dyDescent="0.3">
      <c r="A363" s="92">
        <v>44652</v>
      </c>
      <c r="B363" s="60">
        <v>0</v>
      </c>
      <c r="C363" s="60">
        <v>0</v>
      </c>
      <c r="D363" s="60">
        <v>143464.71945</v>
      </c>
      <c r="E363" s="60">
        <v>234040.75740159737</v>
      </c>
      <c r="F363" s="60">
        <v>554113.83741000004</v>
      </c>
      <c r="G363" s="60">
        <v>588321.89092931943</v>
      </c>
      <c r="H363" s="93">
        <v>0.63134712352164546</v>
      </c>
      <c r="I363" s="93">
        <v>6.1734703611106889E-2</v>
      </c>
      <c r="J363" s="93">
        <v>0.17888177645913528</v>
      </c>
    </row>
    <row r="364" spans="1:10" x14ac:dyDescent="0.3">
      <c r="A364" s="92">
        <v>44682</v>
      </c>
      <c r="B364" s="60">
        <v>0</v>
      </c>
      <c r="C364" s="60">
        <v>0</v>
      </c>
      <c r="D364" s="60">
        <v>131043.30330000003</v>
      </c>
      <c r="E364" s="60">
        <v>213777.11589522957</v>
      </c>
      <c r="F364" s="60">
        <v>506137.73154000007</v>
      </c>
      <c r="G364" s="60">
        <v>537383.99438301998</v>
      </c>
      <c r="H364" s="93">
        <v>0.63134712352164524</v>
      </c>
      <c r="I364" s="93">
        <v>6.1734703611106889E-2</v>
      </c>
      <c r="J364" s="93">
        <v>0.17888177645913528</v>
      </c>
    </row>
    <row r="365" spans="1:10" x14ac:dyDescent="0.3">
      <c r="A365" s="92">
        <v>44713</v>
      </c>
      <c r="B365" s="60">
        <v>0</v>
      </c>
      <c r="C365" s="60">
        <v>0</v>
      </c>
      <c r="D365" s="60">
        <v>139284.63705000002</v>
      </c>
      <c r="E365" s="60">
        <v>227221.59200227389</v>
      </c>
      <c r="F365" s="60">
        <v>537968.81229000003</v>
      </c>
      <c r="G365" s="60">
        <v>571180.15746874246</v>
      </c>
      <c r="H365" s="93">
        <v>0.63134712352164502</v>
      </c>
      <c r="I365" s="93">
        <v>6.1734703611107111E-2</v>
      </c>
      <c r="J365" s="93">
        <v>0.1788817764591355</v>
      </c>
    </row>
    <row r="366" spans="1:10" x14ac:dyDescent="0.3">
      <c r="A366" s="92">
        <v>44743</v>
      </c>
      <c r="B366" s="60">
        <v>0</v>
      </c>
      <c r="C366" s="60">
        <v>0</v>
      </c>
      <c r="D366" s="60">
        <v>130042.43850000002</v>
      </c>
      <c r="E366" s="60">
        <v>212144.3579827155</v>
      </c>
      <c r="F366" s="60">
        <v>502272.02130000008</v>
      </c>
      <c r="G366" s="60">
        <v>533279.63566710707</v>
      </c>
      <c r="H366" s="93">
        <v>0.63134712352164546</v>
      </c>
      <c r="I366" s="93">
        <v>6.1734703611106667E-2</v>
      </c>
      <c r="J366" s="93">
        <v>0.17888177645913528</v>
      </c>
    </row>
    <row r="367" spans="1:10" x14ac:dyDescent="0.3">
      <c r="A367" s="92">
        <v>44774</v>
      </c>
      <c r="B367" s="60">
        <v>0</v>
      </c>
      <c r="C367" s="60">
        <v>0</v>
      </c>
      <c r="D367" s="60">
        <v>141772.00830000002</v>
      </c>
      <c r="E367" s="60">
        <v>231279.35793609187</v>
      </c>
      <c r="F367" s="60">
        <v>547575.96054</v>
      </c>
      <c r="G367" s="60">
        <v>581380.4001685041</v>
      </c>
      <c r="H367" s="93">
        <v>0.63134712352164546</v>
      </c>
      <c r="I367" s="93">
        <v>6.1734703611106889E-2</v>
      </c>
      <c r="J367" s="93">
        <v>0.1788817764591355</v>
      </c>
    </row>
    <row r="368" spans="1:10" x14ac:dyDescent="0.3">
      <c r="A368" s="92">
        <v>44805</v>
      </c>
      <c r="B368" s="60">
        <v>0</v>
      </c>
      <c r="C368" s="60">
        <v>0</v>
      </c>
      <c r="D368" s="60">
        <v>149701.87050000002</v>
      </c>
      <c r="E368" s="60">
        <v>244215.71582598487</v>
      </c>
      <c r="F368" s="60">
        <v>578204.02289999998</v>
      </c>
      <c r="G368" s="60">
        <v>613899.27688048116</v>
      </c>
      <c r="H368" s="93">
        <v>0.63134712352164524</v>
      </c>
      <c r="I368" s="93">
        <v>6.1734703611106889E-2</v>
      </c>
      <c r="J368" s="93">
        <v>0.1788817764591355</v>
      </c>
    </row>
    <row r="369" spans="1:10" x14ac:dyDescent="0.3">
      <c r="A369" s="92">
        <v>44835</v>
      </c>
      <c r="B369" s="60">
        <v>0</v>
      </c>
      <c r="C369" s="60">
        <v>0</v>
      </c>
      <c r="D369" s="60">
        <v>149701.87050000002</v>
      </c>
      <c r="E369" s="60">
        <v>244215.71582598487</v>
      </c>
      <c r="F369" s="60">
        <v>578204.02289999998</v>
      </c>
      <c r="G369" s="60">
        <v>613899.27688048116</v>
      </c>
      <c r="H369" s="93">
        <v>0.63134712352164524</v>
      </c>
      <c r="I369" s="93">
        <v>6.1734703611106889E-2</v>
      </c>
      <c r="J369" s="93">
        <v>0.1788817764591355</v>
      </c>
    </row>
    <row r="370" spans="1:10" x14ac:dyDescent="0.3">
      <c r="A370" s="91" t="s">
        <v>25</v>
      </c>
      <c r="B370" s="60">
        <v>1447768</v>
      </c>
      <c r="C370" s="60">
        <v>1646917.5391433358</v>
      </c>
      <c r="D370" s="60">
        <v>0</v>
      </c>
      <c r="E370" s="60">
        <v>0</v>
      </c>
      <c r="F370" s="60">
        <v>0</v>
      </c>
      <c r="G370" s="60">
        <v>0</v>
      </c>
      <c r="H370" s="93">
        <v>0.1375562515149773</v>
      </c>
      <c r="I370" s="93">
        <v>0</v>
      </c>
      <c r="J370" s="93">
        <v>0.1375562515149773</v>
      </c>
    </row>
    <row r="371" spans="1:10" x14ac:dyDescent="0.3">
      <c r="A371" s="92">
        <v>44501</v>
      </c>
      <c r="B371" s="60">
        <v>127526</v>
      </c>
      <c r="C371" s="60">
        <v>145067.998530699</v>
      </c>
      <c r="D371" s="60">
        <v>0</v>
      </c>
      <c r="E371" s="60">
        <v>0</v>
      </c>
      <c r="F371" s="60">
        <v>0</v>
      </c>
      <c r="G371" s="60">
        <v>0</v>
      </c>
      <c r="H371" s="93">
        <v>0.1375562515149773</v>
      </c>
      <c r="I371" s="93">
        <v>0</v>
      </c>
      <c r="J371" s="93">
        <v>0.1375562515149773</v>
      </c>
    </row>
    <row r="372" spans="1:10" x14ac:dyDescent="0.3">
      <c r="A372" s="92">
        <v>44531</v>
      </c>
      <c r="B372" s="60">
        <v>126896</v>
      </c>
      <c r="C372" s="60">
        <v>144351.33809224458</v>
      </c>
      <c r="D372" s="60">
        <v>0</v>
      </c>
      <c r="E372" s="60">
        <v>0</v>
      </c>
      <c r="F372" s="60">
        <v>0</v>
      </c>
      <c r="G372" s="60">
        <v>0</v>
      </c>
      <c r="H372" s="93">
        <v>0.13755625151497752</v>
      </c>
      <c r="I372" s="93">
        <v>0</v>
      </c>
      <c r="J372" s="93">
        <v>0.13755625151497752</v>
      </c>
    </row>
    <row r="373" spans="1:10" x14ac:dyDescent="0.3">
      <c r="A373" s="92">
        <v>44562</v>
      </c>
      <c r="B373" s="60">
        <v>125972</v>
      </c>
      <c r="C373" s="60">
        <v>143300.23611584472</v>
      </c>
      <c r="D373" s="60">
        <v>0</v>
      </c>
      <c r="E373" s="60">
        <v>0</v>
      </c>
      <c r="F373" s="60">
        <v>0</v>
      </c>
      <c r="G373" s="60">
        <v>0</v>
      </c>
      <c r="H373" s="93">
        <v>0.1375562515149773</v>
      </c>
      <c r="I373" s="93">
        <v>0</v>
      </c>
      <c r="J373" s="93">
        <v>0.1375562515149773</v>
      </c>
    </row>
    <row r="374" spans="1:10" x14ac:dyDescent="0.3">
      <c r="A374" s="92">
        <v>44593</v>
      </c>
      <c r="B374" s="60">
        <v>120022</v>
      </c>
      <c r="C374" s="60">
        <v>136531.77641933062</v>
      </c>
      <c r="D374" s="60">
        <v>0</v>
      </c>
      <c r="E374" s="60">
        <v>0</v>
      </c>
      <c r="F374" s="60">
        <v>0</v>
      </c>
      <c r="G374" s="60">
        <v>0</v>
      </c>
      <c r="H374" s="93">
        <v>0.13755625151497752</v>
      </c>
      <c r="I374" s="93">
        <v>0</v>
      </c>
      <c r="J374" s="93">
        <v>0.13755625151497752</v>
      </c>
    </row>
    <row r="375" spans="1:10" x14ac:dyDescent="0.3">
      <c r="A375" s="92">
        <v>44621</v>
      </c>
      <c r="B375" s="60">
        <v>118538</v>
      </c>
      <c r="C375" s="60">
        <v>134843.6429420824</v>
      </c>
      <c r="D375" s="60">
        <v>0</v>
      </c>
      <c r="E375" s="60">
        <v>0</v>
      </c>
      <c r="F375" s="60">
        <v>0</v>
      </c>
      <c r="G375" s="60">
        <v>0</v>
      </c>
      <c r="H375" s="93">
        <v>0.13755625151497752</v>
      </c>
      <c r="I375" s="93">
        <v>0</v>
      </c>
      <c r="J375" s="93">
        <v>0.13755625151497752</v>
      </c>
    </row>
    <row r="376" spans="1:10" x14ac:dyDescent="0.3">
      <c r="A376" s="92">
        <v>44652</v>
      </c>
      <c r="B376" s="60">
        <v>118902</v>
      </c>
      <c r="C376" s="60">
        <v>135257.71341763384</v>
      </c>
      <c r="D376" s="60">
        <v>0</v>
      </c>
      <c r="E376" s="60">
        <v>0</v>
      </c>
      <c r="F376" s="60">
        <v>0</v>
      </c>
      <c r="G376" s="60">
        <v>0</v>
      </c>
      <c r="H376" s="93">
        <v>0.1375562515149773</v>
      </c>
      <c r="I376" s="93">
        <v>0</v>
      </c>
      <c r="J376" s="93">
        <v>0.1375562515149773</v>
      </c>
    </row>
    <row r="377" spans="1:10" x14ac:dyDescent="0.3">
      <c r="A377" s="92">
        <v>44682</v>
      </c>
      <c r="B377" s="60">
        <v>118636</v>
      </c>
      <c r="C377" s="60">
        <v>134955.12345473087</v>
      </c>
      <c r="D377" s="60">
        <v>0</v>
      </c>
      <c r="E377" s="60">
        <v>0</v>
      </c>
      <c r="F377" s="60">
        <v>0</v>
      </c>
      <c r="G377" s="60">
        <v>0</v>
      </c>
      <c r="H377" s="93">
        <v>0.13755625151497752</v>
      </c>
      <c r="I377" s="93">
        <v>0</v>
      </c>
      <c r="J377" s="93">
        <v>0.13755625151497752</v>
      </c>
    </row>
    <row r="378" spans="1:10" x14ac:dyDescent="0.3">
      <c r="A378" s="92">
        <v>44713</v>
      </c>
      <c r="B378" s="60">
        <v>118356</v>
      </c>
      <c r="C378" s="60">
        <v>134636.60770430666</v>
      </c>
      <c r="D378" s="60">
        <v>0</v>
      </c>
      <c r="E378" s="60">
        <v>0</v>
      </c>
      <c r="F378" s="60">
        <v>0</v>
      </c>
      <c r="G378" s="60">
        <v>0</v>
      </c>
      <c r="H378" s="93">
        <v>0.1375562515149773</v>
      </c>
      <c r="I378" s="93">
        <v>0</v>
      </c>
      <c r="J378" s="93">
        <v>0.1375562515149773</v>
      </c>
    </row>
    <row r="379" spans="1:10" x14ac:dyDescent="0.3">
      <c r="A379" s="92">
        <v>44743</v>
      </c>
      <c r="B379" s="60">
        <v>113428</v>
      </c>
      <c r="C379" s="60">
        <v>129030.73049684086</v>
      </c>
      <c r="D379" s="60">
        <v>0</v>
      </c>
      <c r="E379" s="60">
        <v>0</v>
      </c>
      <c r="F379" s="60">
        <v>0</v>
      </c>
      <c r="G379" s="60">
        <v>0</v>
      </c>
      <c r="H379" s="93">
        <v>0.1375562515149773</v>
      </c>
      <c r="I379" s="93">
        <v>0</v>
      </c>
      <c r="J379" s="93">
        <v>0.1375562515149773</v>
      </c>
    </row>
    <row r="380" spans="1:10" x14ac:dyDescent="0.3">
      <c r="A380" s="92">
        <v>44774</v>
      </c>
      <c r="B380" s="60">
        <v>119812</v>
      </c>
      <c r="C380" s="60">
        <v>136292.88960651247</v>
      </c>
      <c r="D380" s="60">
        <v>0</v>
      </c>
      <c r="E380" s="60">
        <v>0</v>
      </c>
      <c r="F380" s="60">
        <v>0</v>
      </c>
      <c r="G380" s="60">
        <v>0</v>
      </c>
      <c r="H380" s="93">
        <v>0.1375562515149773</v>
      </c>
      <c r="I380" s="93">
        <v>0</v>
      </c>
      <c r="J380" s="93">
        <v>0.1375562515149773</v>
      </c>
    </row>
    <row r="381" spans="1:10" x14ac:dyDescent="0.3">
      <c r="A381" s="92">
        <v>44805</v>
      </c>
      <c r="B381" s="60">
        <v>119840</v>
      </c>
      <c r="C381" s="60">
        <v>136324.74118155488</v>
      </c>
      <c r="D381" s="60">
        <v>0</v>
      </c>
      <c r="E381" s="60">
        <v>0</v>
      </c>
      <c r="F381" s="60">
        <v>0</v>
      </c>
      <c r="G381" s="60">
        <v>0</v>
      </c>
      <c r="H381" s="93">
        <v>0.1375562515149773</v>
      </c>
      <c r="I381" s="93">
        <v>0</v>
      </c>
      <c r="J381" s="93">
        <v>0.1375562515149773</v>
      </c>
    </row>
    <row r="382" spans="1:10" x14ac:dyDescent="0.3">
      <c r="A382" s="92">
        <v>44835</v>
      </c>
      <c r="B382" s="60">
        <v>119840</v>
      </c>
      <c r="C382" s="60">
        <v>136324.74118155488</v>
      </c>
      <c r="D382" s="60">
        <v>0</v>
      </c>
      <c r="E382" s="60">
        <v>0</v>
      </c>
      <c r="F382" s="60">
        <v>0</v>
      </c>
      <c r="G382" s="60">
        <v>0</v>
      </c>
      <c r="H382" s="93">
        <v>0.1375562515149773</v>
      </c>
      <c r="I382" s="93">
        <v>0</v>
      </c>
      <c r="J382" s="93">
        <v>0.1375562515149773</v>
      </c>
    </row>
    <row r="383" spans="1:10" x14ac:dyDescent="0.3">
      <c r="A383" s="91" t="s">
        <v>34</v>
      </c>
      <c r="B383" s="60">
        <v>0</v>
      </c>
      <c r="C383" s="60">
        <v>0</v>
      </c>
      <c r="D383" s="60">
        <v>1956882.4803399998</v>
      </c>
      <c r="E383" s="60">
        <v>2306330.2510404633</v>
      </c>
      <c r="F383" s="60">
        <v>921519.91667999979</v>
      </c>
      <c r="G383" s="60">
        <v>992326.15544067824</v>
      </c>
      <c r="H383" s="93">
        <v>0.17857371314385184</v>
      </c>
      <c r="I383" s="93">
        <v>7.6836362925041257E-2</v>
      </c>
      <c r="J383" s="93">
        <v>0.14600252205745479</v>
      </c>
    </row>
    <row r="384" spans="1:10" x14ac:dyDescent="0.3">
      <c r="A384" s="92">
        <v>44501</v>
      </c>
      <c r="B384" s="60">
        <v>0</v>
      </c>
      <c r="C384" s="60">
        <v>0</v>
      </c>
      <c r="D384" s="60">
        <v>146499.24497</v>
      </c>
      <c r="E384" s="60">
        <v>172660.15911706359</v>
      </c>
      <c r="F384" s="60">
        <v>68988.287939999995</v>
      </c>
      <c r="G384" s="60">
        <v>74289.097069735086</v>
      </c>
      <c r="H384" s="93">
        <v>0.1785737131438514</v>
      </c>
      <c r="I384" s="93">
        <v>7.6836362925041257E-2</v>
      </c>
      <c r="J384" s="93">
        <v>0.14600252205745434</v>
      </c>
    </row>
    <row r="385" spans="1:10" x14ac:dyDescent="0.3">
      <c r="A385" s="92">
        <v>44531</v>
      </c>
      <c r="B385" s="60">
        <v>0</v>
      </c>
      <c r="C385" s="60">
        <v>0</v>
      </c>
      <c r="D385" s="60">
        <v>154721.42445999998</v>
      </c>
      <c r="E385" s="60">
        <v>182350.60372872811</v>
      </c>
      <c r="F385" s="60">
        <v>72860.212920000005</v>
      </c>
      <c r="G385" s="60">
        <v>78458.526682716896</v>
      </c>
      <c r="H385" s="93">
        <v>0.1785737131438514</v>
      </c>
      <c r="I385" s="93">
        <v>7.6836362925041035E-2</v>
      </c>
      <c r="J385" s="93">
        <v>0.14600252205745434</v>
      </c>
    </row>
    <row r="386" spans="1:10" x14ac:dyDescent="0.3">
      <c r="A386" s="92">
        <v>44562</v>
      </c>
      <c r="B386" s="60">
        <v>0</v>
      </c>
      <c r="C386" s="60">
        <v>0</v>
      </c>
      <c r="D386" s="60">
        <v>146235.92456999997</v>
      </c>
      <c r="E386" s="60">
        <v>172349.81661548908</v>
      </c>
      <c r="F386" s="60">
        <v>68864.28714</v>
      </c>
      <c r="G386" s="60">
        <v>74155.568499263289</v>
      </c>
      <c r="H386" s="93">
        <v>0.17857371314385162</v>
      </c>
      <c r="I386" s="93">
        <v>7.6836362925041257E-2</v>
      </c>
      <c r="J386" s="93">
        <v>0.14600252205745434</v>
      </c>
    </row>
    <row r="387" spans="1:10" x14ac:dyDescent="0.3">
      <c r="A387" s="92">
        <v>44593</v>
      </c>
      <c r="B387" s="60">
        <v>0</v>
      </c>
      <c r="C387" s="60">
        <v>0</v>
      </c>
      <c r="D387" s="60">
        <v>143319.65114</v>
      </c>
      <c r="E387" s="60">
        <v>168912.77341055125</v>
      </c>
      <c r="F387" s="60">
        <v>67490.978279999996</v>
      </c>
      <c r="G387" s="60">
        <v>72676.739581288159</v>
      </c>
      <c r="H387" s="93">
        <v>0.17857371314385162</v>
      </c>
      <c r="I387" s="93">
        <v>7.6836362925041257E-2</v>
      </c>
      <c r="J387" s="93">
        <v>0.14600252205745434</v>
      </c>
    </row>
    <row r="388" spans="1:10" x14ac:dyDescent="0.3">
      <c r="A388" s="92">
        <v>44621</v>
      </c>
      <c r="B388" s="60">
        <v>0</v>
      </c>
      <c r="C388" s="60">
        <v>0</v>
      </c>
      <c r="D388" s="60">
        <v>156077.52452000001</v>
      </c>
      <c r="E388" s="60">
        <v>183948.86761183693</v>
      </c>
      <c r="F388" s="60">
        <v>73498.817040000009</v>
      </c>
      <c r="G388" s="60">
        <v>79146.198820646649</v>
      </c>
      <c r="H388" s="93">
        <v>0.1785737131438514</v>
      </c>
      <c r="I388" s="93">
        <v>7.6836362925041257E-2</v>
      </c>
      <c r="J388" s="93">
        <v>0.14600252205745434</v>
      </c>
    </row>
    <row r="389" spans="1:10" x14ac:dyDescent="0.3">
      <c r="A389" s="92">
        <v>44652</v>
      </c>
      <c r="B389" s="60">
        <v>0</v>
      </c>
      <c r="C389" s="60">
        <v>0</v>
      </c>
      <c r="D389" s="60">
        <v>176473.57036000001</v>
      </c>
      <c r="E389" s="60">
        <v>207987.11109093795</v>
      </c>
      <c r="F389" s="60">
        <v>83103.564720000009</v>
      </c>
      <c r="G389" s="60">
        <v>89488.940379190579</v>
      </c>
      <c r="H389" s="93">
        <v>0.1785737131438514</v>
      </c>
      <c r="I389" s="93">
        <v>7.6836362925041257E-2</v>
      </c>
      <c r="J389" s="93">
        <v>0.14600252205745434</v>
      </c>
    </row>
    <row r="390" spans="1:10" x14ac:dyDescent="0.3">
      <c r="A390" s="92">
        <v>44682</v>
      </c>
      <c r="B390" s="60">
        <v>0</v>
      </c>
      <c r="C390" s="60">
        <v>0</v>
      </c>
      <c r="D390" s="60">
        <v>148672.57869999998</v>
      </c>
      <c r="E390" s="60">
        <v>175221.59312113049</v>
      </c>
      <c r="F390" s="60">
        <v>70011.737399999998</v>
      </c>
      <c r="G390" s="60">
        <v>75391.184663879074</v>
      </c>
      <c r="H390" s="93">
        <v>0.17857371314385162</v>
      </c>
      <c r="I390" s="93">
        <v>7.6836362925041035E-2</v>
      </c>
      <c r="J390" s="93">
        <v>0.14600252205745434</v>
      </c>
    </row>
    <row r="391" spans="1:10" x14ac:dyDescent="0.3">
      <c r="A391" s="92">
        <v>44713</v>
      </c>
      <c r="B391" s="60">
        <v>0</v>
      </c>
      <c r="C391" s="60">
        <v>0</v>
      </c>
      <c r="D391" s="60">
        <v>171133.80882000001</v>
      </c>
      <c r="E391" s="60">
        <v>201693.8085054374</v>
      </c>
      <c r="F391" s="60">
        <v>80589.005640000003</v>
      </c>
      <c r="G391" s="60">
        <v>86781.171725123248</v>
      </c>
      <c r="H391" s="93">
        <v>0.1785737131438514</v>
      </c>
      <c r="I391" s="93">
        <v>7.6836362925041257E-2</v>
      </c>
      <c r="J391" s="93">
        <v>0.14600252205745434</v>
      </c>
    </row>
    <row r="392" spans="1:10" x14ac:dyDescent="0.3">
      <c r="A392" s="92">
        <v>44743</v>
      </c>
      <c r="B392" s="60">
        <v>0</v>
      </c>
      <c r="C392" s="60">
        <v>0</v>
      </c>
      <c r="D392" s="60">
        <v>170316.57514999999</v>
      </c>
      <c r="E392" s="60">
        <v>200730.6383844793</v>
      </c>
      <c r="F392" s="60">
        <v>80204.160300000003</v>
      </c>
      <c r="G392" s="60">
        <v>86366.756268908983</v>
      </c>
      <c r="H392" s="93">
        <v>0.1785737131438514</v>
      </c>
      <c r="I392" s="93">
        <v>7.6836362925041257E-2</v>
      </c>
      <c r="J392" s="93">
        <v>0.14600252205745434</v>
      </c>
    </row>
    <row r="393" spans="1:10" x14ac:dyDescent="0.3">
      <c r="A393" s="92">
        <v>44774</v>
      </c>
      <c r="B393" s="60">
        <v>0</v>
      </c>
      <c r="C393" s="60">
        <v>0</v>
      </c>
      <c r="D393" s="60">
        <v>164585.59472999998</v>
      </c>
      <c r="E393" s="60">
        <v>193976.2555109252</v>
      </c>
      <c r="F393" s="60">
        <v>77505.371459999995</v>
      </c>
      <c r="G393" s="60">
        <v>83460.60231014069</v>
      </c>
      <c r="H393" s="93">
        <v>0.17857371314385162</v>
      </c>
      <c r="I393" s="93">
        <v>7.6836362925041257E-2</v>
      </c>
      <c r="J393" s="93">
        <v>0.14600252205745434</v>
      </c>
    </row>
    <row r="394" spans="1:10" x14ac:dyDescent="0.3">
      <c r="A394" s="92">
        <v>44805</v>
      </c>
      <c r="B394" s="60">
        <v>0</v>
      </c>
      <c r="C394" s="60">
        <v>0</v>
      </c>
      <c r="D394" s="60">
        <v>189423.29145999998</v>
      </c>
      <c r="E394" s="60">
        <v>223249.3119719422</v>
      </c>
      <c r="F394" s="60">
        <v>89201.74691999999</v>
      </c>
      <c r="G394" s="60">
        <v>96055.684719892801</v>
      </c>
      <c r="H394" s="93">
        <v>0.17857371314385162</v>
      </c>
      <c r="I394" s="93">
        <v>7.6836362925041257E-2</v>
      </c>
      <c r="J394" s="93">
        <v>0.14600252205745434</v>
      </c>
    </row>
    <row r="395" spans="1:10" x14ac:dyDescent="0.3">
      <c r="A395" s="92">
        <v>44835</v>
      </c>
      <c r="B395" s="60">
        <v>0</v>
      </c>
      <c r="C395" s="60">
        <v>0</v>
      </c>
      <c r="D395" s="60">
        <v>189423.29145999998</v>
      </c>
      <c r="E395" s="60">
        <v>223249.3119719422</v>
      </c>
      <c r="F395" s="60">
        <v>89201.74691999999</v>
      </c>
      <c r="G395" s="60">
        <v>96055.684719892801</v>
      </c>
      <c r="H395" s="93">
        <v>0.17857371314385162</v>
      </c>
      <c r="I395" s="93">
        <v>7.6836362925041257E-2</v>
      </c>
      <c r="J395" s="93">
        <v>0.14600252205745434</v>
      </c>
    </row>
    <row r="396" spans="1:10" x14ac:dyDescent="0.3">
      <c r="A396" s="87" t="s">
        <v>46</v>
      </c>
      <c r="B396" s="60">
        <v>136822</v>
      </c>
      <c r="C396" s="60">
        <v>155642.72144478225</v>
      </c>
      <c r="D396" s="60">
        <v>113897.25810000004</v>
      </c>
      <c r="E396" s="60">
        <v>154643.66708677201</v>
      </c>
      <c r="F396" s="60">
        <v>206495.02209000001</v>
      </c>
      <c r="G396" s="60">
        <v>219732.3865628464</v>
      </c>
      <c r="H396" s="93">
        <v>0.23758498203514833</v>
      </c>
      <c r="I396" s="93">
        <v>6.4105005238706658E-2</v>
      </c>
      <c r="J396" s="93">
        <v>0.15923495406605803</v>
      </c>
    </row>
    <row r="397" spans="1:10" x14ac:dyDescent="0.3">
      <c r="A397" s="88" t="s">
        <v>25</v>
      </c>
      <c r="B397" s="60">
        <v>136822</v>
      </c>
      <c r="C397" s="60">
        <v>155642.72144478225</v>
      </c>
      <c r="D397" s="60">
        <v>113897.25810000004</v>
      </c>
      <c r="E397" s="60">
        <v>154643.66708677201</v>
      </c>
      <c r="F397" s="60">
        <v>206495.02209000001</v>
      </c>
      <c r="G397" s="60">
        <v>219732.3865628464</v>
      </c>
      <c r="H397" s="93">
        <v>0.23758498203514833</v>
      </c>
      <c r="I397" s="93">
        <v>6.4105005238706658E-2</v>
      </c>
      <c r="J397" s="93">
        <v>0.15923495406605803</v>
      </c>
    </row>
    <row r="398" spans="1:10" x14ac:dyDescent="0.3">
      <c r="A398" s="89" t="s">
        <v>25</v>
      </c>
      <c r="B398" s="60">
        <v>136822</v>
      </c>
      <c r="C398" s="60">
        <v>155642.72144478225</v>
      </c>
      <c r="D398" s="60">
        <v>113897.25810000004</v>
      </c>
      <c r="E398" s="60">
        <v>154643.66708677201</v>
      </c>
      <c r="F398" s="60">
        <v>206495.02209000001</v>
      </c>
      <c r="G398" s="60">
        <v>219732.3865628464</v>
      </c>
      <c r="H398" s="93">
        <v>0.23758498203514833</v>
      </c>
      <c r="I398" s="93">
        <v>6.4105005238706658E-2</v>
      </c>
      <c r="J398" s="93">
        <v>0.15923495406605803</v>
      </c>
    </row>
    <row r="399" spans="1:10" x14ac:dyDescent="0.3">
      <c r="A399" s="90" t="s">
        <v>25</v>
      </c>
      <c r="B399" s="60">
        <v>136822</v>
      </c>
      <c r="C399" s="60">
        <v>155642.72144478225</v>
      </c>
      <c r="D399" s="60">
        <v>113897.25810000004</v>
      </c>
      <c r="E399" s="60">
        <v>154643.66708677201</v>
      </c>
      <c r="F399" s="60">
        <v>206495.02209000001</v>
      </c>
      <c r="G399" s="60">
        <v>219732.3865628464</v>
      </c>
      <c r="H399" s="93">
        <v>0.23758498203514833</v>
      </c>
      <c r="I399" s="93">
        <v>6.4105005238706658E-2</v>
      </c>
      <c r="J399" s="93">
        <v>0.15923495406605803</v>
      </c>
    </row>
    <row r="400" spans="1:10" x14ac:dyDescent="0.3">
      <c r="A400" s="91" t="s">
        <v>35</v>
      </c>
      <c r="B400" s="60">
        <v>0</v>
      </c>
      <c r="C400" s="60">
        <v>0</v>
      </c>
      <c r="D400" s="60">
        <v>45071.888550000003</v>
      </c>
      <c r="E400" s="60">
        <v>73527.895737730694</v>
      </c>
      <c r="F400" s="60">
        <v>174084.31299000001</v>
      </c>
      <c r="G400" s="60">
        <v>184831.35645578086</v>
      </c>
      <c r="H400" s="93">
        <v>0.63134712352164524</v>
      </c>
      <c r="I400" s="93">
        <v>6.1734703611106223E-2</v>
      </c>
      <c r="J400" s="93">
        <v>0.17888177645913506</v>
      </c>
    </row>
    <row r="401" spans="1:10" x14ac:dyDescent="0.3">
      <c r="A401" s="92">
        <v>44501</v>
      </c>
      <c r="B401" s="60">
        <v>0</v>
      </c>
      <c r="C401" s="60">
        <v>0</v>
      </c>
      <c r="D401" s="60">
        <v>3575.9704500000003</v>
      </c>
      <c r="E401" s="60">
        <v>5833.649107405904</v>
      </c>
      <c r="F401" s="60">
        <v>13811.72121</v>
      </c>
      <c r="G401" s="60">
        <v>14664.383725258589</v>
      </c>
      <c r="H401" s="93">
        <v>0.63134712352164524</v>
      </c>
      <c r="I401" s="93">
        <v>6.1734703611106889E-2</v>
      </c>
      <c r="J401" s="93">
        <v>0.17888177645913528</v>
      </c>
    </row>
    <row r="402" spans="1:10" x14ac:dyDescent="0.3">
      <c r="A402" s="92">
        <v>44531</v>
      </c>
      <c r="B402" s="60">
        <v>0</v>
      </c>
      <c r="C402" s="60">
        <v>0</v>
      </c>
      <c r="D402" s="60">
        <v>3484.0513500000002</v>
      </c>
      <c r="E402" s="60">
        <v>5683.6971480242055</v>
      </c>
      <c r="F402" s="60">
        <v>13456.695630000002</v>
      </c>
      <c r="G402" s="60">
        <v>14287.440746302927</v>
      </c>
      <c r="H402" s="93">
        <v>0.63134712352164524</v>
      </c>
      <c r="I402" s="93">
        <v>6.1734703611106667E-2</v>
      </c>
      <c r="J402" s="93">
        <v>0.17888177645913528</v>
      </c>
    </row>
    <row r="403" spans="1:10" x14ac:dyDescent="0.3">
      <c r="A403" s="92">
        <v>44562</v>
      </c>
      <c r="B403" s="60">
        <v>0</v>
      </c>
      <c r="C403" s="60">
        <v>0</v>
      </c>
      <c r="D403" s="60">
        <v>3364.5709500000003</v>
      </c>
      <c r="E403" s="60">
        <v>5488.7831411669904</v>
      </c>
      <c r="F403" s="60">
        <v>12995.218110000002</v>
      </c>
      <c r="G403" s="60">
        <v>13797.474048382539</v>
      </c>
      <c r="H403" s="93">
        <v>0.63134712352164546</v>
      </c>
      <c r="I403" s="93">
        <v>6.1734703611106889E-2</v>
      </c>
      <c r="J403" s="93">
        <v>0.17888177645913506</v>
      </c>
    </row>
    <row r="404" spans="1:10" x14ac:dyDescent="0.3">
      <c r="A404" s="92">
        <v>44593</v>
      </c>
      <c r="B404" s="60">
        <v>0</v>
      </c>
      <c r="C404" s="60">
        <v>0</v>
      </c>
      <c r="D404" s="60">
        <v>3289.6071000000002</v>
      </c>
      <c r="E404" s="60">
        <v>5366.4910801013821</v>
      </c>
      <c r="F404" s="60">
        <v>12705.679980000001</v>
      </c>
      <c r="G404" s="60">
        <v>13490.061367742874</v>
      </c>
      <c r="H404" s="93">
        <v>0.63134712352164546</v>
      </c>
      <c r="I404" s="93">
        <v>6.1734703611106667E-2</v>
      </c>
      <c r="J404" s="93">
        <v>0.17888177645913528</v>
      </c>
    </row>
    <row r="405" spans="1:10" x14ac:dyDescent="0.3">
      <c r="A405" s="92">
        <v>44621</v>
      </c>
      <c r="B405" s="60">
        <v>0</v>
      </c>
      <c r="C405" s="60">
        <v>0</v>
      </c>
      <c r="D405" s="60">
        <v>3294.5133000000005</v>
      </c>
      <c r="E405" s="60">
        <v>5374.4947953588044</v>
      </c>
      <c r="F405" s="60">
        <v>12724.629540000002</v>
      </c>
      <c r="G405" s="60">
        <v>13510.180773213036</v>
      </c>
      <c r="H405" s="93">
        <v>0.63134712352164546</v>
      </c>
      <c r="I405" s="93">
        <v>6.1734703611106889E-2</v>
      </c>
      <c r="J405" s="93">
        <v>0.17888177645913528</v>
      </c>
    </row>
    <row r="406" spans="1:10" x14ac:dyDescent="0.3">
      <c r="A406" s="92">
        <v>44652</v>
      </c>
      <c r="B406" s="60">
        <v>0</v>
      </c>
      <c r="C406" s="60">
        <v>0</v>
      </c>
      <c r="D406" s="60">
        <v>4057.5717</v>
      </c>
      <c r="E406" s="60">
        <v>6619.307921277833</v>
      </c>
      <c r="F406" s="60">
        <v>15671.84346</v>
      </c>
      <c r="G406" s="60">
        <v>16639.340071042763</v>
      </c>
      <c r="H406" s="93">
        <v>0.63134712352164546</v>
      </c>
      <c r="I406" s="93">
        <v>6.1734703611106889E-2</v>
      </c>
      <c r="J406" s="93">
        <v>0.17888177645913528</v>
      </c>
    </row>
    <row r="407" spans="1:10" x14ac:dyDescent="0.3">
      <c r="A407" s="92">
        <v>44682</v>
      </c>
      <c r="B407" s="60">
        <v>0</v>
      </c>
      <c r="C407" s="60">
        <v>0</v>
      </c>
      <c r="D407" s="60">
        <v>3734.3397</v>
      </c>
      <c r="E407" s="60">
        <v>6092.0043278476842</v>
      </c>
      <c r="F407" s="60">
        <v>14423.40186</v>
      </c>
      <c r="G407" s="60">
        <v>15313.826298890988</v>
      </c>
      <c r="H407" s="93">
        <v>0.63134712352164546</v>
      </c>
      <c r="I407" s="93">
        <v>6.1734703611106889E-2</v>
      </c>
      <c r="J407" s="93">
        <v>0.1788817764591355</v>
      </c>
    </row>
    <row r="408" spans="1:10" x14ac:dyDescent="0.3">
      <c r="A408" s="92">
        <v>44713</v>
      </c>
      <c r="B408" s="60">
        <v>0</v>
      </c>
      <c r="C408" s="60">
        <v>0</v>
      </c>
      <c r="D408" s="60">
        <v>3972.3625500000003</v>
      </c>
      <c r="E408" s="60">
        <v>6480.3022195276089</v>
      </c>
      <c r="F408" s="60">
        <v>15342.734190000001</v>
      </c>
      <c r="G408" s="60">
        <v>16289.913337803646</v>
      </c>
      <c r="H408" s="93">
        <v>0.63134712352164546</v>
      </c>
      <c r="I408" s="93">
        <v>6.1734703611106889E-2</v>
      </c>
      <c r="J408" s="93">
        <v>0.17888177645913528</v>
      </c>
    </row>
    <row r="409" spans="1:10" x14ac:dyDescent="0.3">
      <c r="A409" s="92">
        <v>44743</v>
      </c>
      <c r="B409" s="60">
        <v>0</v>
      </c>
      <c r="C409" s="60">
        <v>0</v>
      </c>
      <c r="D409" s="60">
        <v>3335.7109500000001</v>
      </c>
      <c r="E409" s="60">
        <v>5441.702463182155</v>
      </c>
      <c r="F409" s="60">
        <v>12883.750109999999</v>
      </c>
      <c r="G409" s="60">
        <v>13679.124604440416</v>
      </c>
      <c r="H409" s="93">
        <v>0.63134712352164524</v>
      </c>
      <c r="I409" s="93">
        <v>6.1734703611106889E-2</v>
      </c>
      <c r="J409" s="93">
        <v>0.1788817764591355</v>
      </c>
    </row>
    <row r="410" spans="1:10" x14ac:dyDescent="0.3">
      <c r="A410" s="92">
        <v>44774</v>
      </c>
      <c r="B410" s="60">
        <v>0</v>
      </c>
      <c r="C410" s="60">
        <v>0</v>
      </c>
      <c r="D410" s="60">
        <v>4238.3796000000002</v>
      </c>
      <c r="E410" s="60">
        <v>6914.2683688528223</v>
      </c>
      <c r="F410" s="60">
        <v>16370.190479999999</v>
      </c>
      <c r="G410" s="60">
        <v>17380.799337340162</v>
      </c>
      <c r="H410" s="93">
        <v>0.63134712352164546</v>
      </c>
      <c r="I410" s="93">
        <v>6.1734703611106889E-2</v>
      </c>
      <c r="J410" s="93">
        <v>0.1788817764591355</v>
      </c>
    </row>
    <row r="411" spans="1:10" x14ac:dyDescent="0.3">
      <c r="A411" s="92">
        <v>44805</v>
      </c>
      <c r="B411" s="60">
        <v>0</v>
      </c>
      <c r="C411" s="60">
        <v>0</v>
      </c>
      <c r="D411" s="60">
        <v>4362.4054500000002</v>
      </c>
      <c r="E411" s="60">
        <v>7116.59758249265</v>
      </c>
      <c r="F411" s="60">
        <v>16849.22421</v>
      </c>
      <c r="G411" s="60">
        <v>17889.406072681439</v>
      </c>
      <c r="H411" s="93">
        <v>0.63134712352164546</v>
      </c>
      <c r="I411" s="93">
        <v>6.1734703611106889E-2</v>
      </c>
      <c r="J411" s="93">
        <v>0.1788817764591355</v>
      </c>
    </row>
    <row r="412" spans="1:10" x14ac:dyDescent="0.3">
      <c r="A412" s="92">
        <v>44835</v>
      </c>
      <c r="B412" s="60">
        <v>0</v>
      </c>
      <c r="C412" s="60">
        <v>0</v>
      </c>
      <c r="D412" s="60">
        <v>4362.4054500000002</v>
      </c>
      <c r="E412" s="60">
        <v>7116.59758249265</v>
      </c>
      <c r="F412" s="60">
        <v>16849.22421</v>
      </c>
      <c r="G412" s="60">
        <v>17889.406072681439</v>
      </c>
      <c r="H412" s="93">
        <v>0.63134712352164546</v>
      </c>
      <c r="I412" s="93">
        <v>6.1734703611106889E-2</v>
      </c>
      <c r="J412" s="93">
        <v>0.1788817764591355</v>
      </c>
    </row>
    <row r="413" spans="1:10" x14ac:dyDescent="0.3">
      <c r="A413" s="91" t="s">
        <v>25</v>
      </c>
      <c r="B413" s="60">
        <v>136822</v>
      </c>
      <c r="C413" s="60">
        <v>155642.72144478225</v>
      </c>
      <c r="D413" s="60">
        <v>0</v>
      </c>
      <c r="E413" s="60">
        <v>0</v>
      </c>
      <c r="F413" s="60">
        <v>0</v>
      </c>
      <c r="G413" s="60">
        <v>0</v>
      </c>
      <c r="H413" s="93">
        <v>0.13755625151497752</v>
      </c>
      <c r="I413" s="93">
        <v>0</v>
      </c>
      <c r="J413" s="93">
        <v>0.13755625151497752</v>
      </c>
    </row>
    <row r="414" spans="1:10" x14ac:dyDescent="0.3">
      <c r="A414" s="92">
        <v>44501</v>
      </c>
      <c r="B414" s="60">
        <v>11186</v>
      </c>
      <c r="C414" s="60">
        <v>12724.704229446537</v>
      </c>
      <c r="D414" s="60">
        <v>0</v>
      </c>
      <c r="E414" s="60">
        <v>0</v>
      </c>
      <c r="F414" s="60">
        <v>0</v>
      </c>
      <c r="G414" s="60">
        <v>0</v>
      </c>
      <c r="H414" s="93">
        <v>0.1375562515149773</v>
      </c>
      <c r="I414" s="93">
        <v>0</v>
      </c>
      <c r="J414" s="93">
        <v>0.1375562515149773</v>
      </c>
    </row>
    <row r="415" spans="1:10" x14ac:dyDescent="0.3">
      <c r="A415" s="92">
        <v>44531</v>
      </c>
      <c r="B415" s="60">
        <v>11186</v>
      </c>
      <c r="C415" s="60">
        <v>12724.704229446537</v>
      </c>
      <c r="D415" s="60">
        <v>0</v>
      </c>
      <c r="E415" s="60">
        <v>0</v>
      </c>
      <c r="F415" s="60">
        <v>0</v>
      </c>
      <c r="G415" s="60">
        <v>0</v>
      </c>
      <c r="H415" s="93">
        <v>0.1375562515149773</v>
      </c>
      <c r="I415" s="93">
        <v>0</v>
      </c>
      <c r="J415" s="93">
        <v>0.1375562515149773</v>
      </c>
    </row>
    <row r="416" spans="1:10" x14ac:dyDescent="0.3">
      <c r="A416" s="92">
        <v>44562</v>
      </c>
      <c r="B416" s="60">
        <v>11186</v>
      </c>
      <c r="C416" s="60">
        <v>12724.704229446537</v>
      </c>
      <c r="D416" s="60">
        <v>0</v>
      </c>
      <c r="E416" s="60">
        <v>0</v>
      </c>
      <c r="F416" s="60">
        <v>0</v>
      </c>
      <c r="G416" s="60">
        <v>0</v>
      </c>
      <c r="H416" s="93">
        <v>0.1375562515149773</v>
      </c>
      <c r="I416" s="93">
        <v>0</v>
      </c>
      <c r="J416" s="93">
        <v>0.1375562515149773</v>
      </c>
    </row>
    <row r="417" spans="1:10" x14ac:dyDescent="0.3">
      <c r="A417" s="92">
        <v>44593</v>
      </c>
      <c r="B417" s="60">
        <v>11928</v>
      </c>
      <c r="C417" s="60">
        <v>13568.77096807065</v>
      </c>
      <c r="D417" s="60">
        <v>0</v>
      </c>
      <c r="E417" s="60">
        <v>0</v>
      </c>
      <c r="F417" s="60">
        <v>0</v>
      </c>
      <c r="G417" s="60">
        <v>0</v>
      </c>
      <c r="H417" s="93">
        <v>0.1375562515149773</v>
      </c>
      <c r="I417" s="93">
        <v>0</v>
      </c>
      <c r="J417" s="93">
        <v>0.1375562515149773</v>
      </c>
    </row>
    <row r="418" spans="1:10" x14ac:dyDescent="0.3">
      <c r="A418" s="92">
        <v>44621</v>
      </c>
      <c r="B418" s="60">
        <v>11914</v>
      </c>
      <c r="C418" s="60">
        <v>13552.845180549441</v>
      </c>
      <c r="D418" s="60">
        <v>0</v>
      </c>
      <c r="E418" s="60">
        <v>0</v>
      </c>
      <c r="F418" s="60">
        <v>0</v>
      </c>
      <c r="G418" s="60">
        <v>0</v>
      </c>
      <c r="H418" s="93">
        <v>0.1375562515149773</v>
      </c>
      <c r="I418" s="93">
        <v>0</v>
      </c>
      <c r="J418" s="93">
        <v>0.1375562515149773</v>
      </c>
    </row>
    <row r="419" spans="1:10" x14ac:dyDescent="0.3">
      <c r="A419" s="92">
        <v>44652</v>
      </c>
      <c r="B419" s="60">
        <v>12012</v>
      </c>
      <c r="C419" s="60">
        <v>13664.325693197909</v>
      </c>
      <c r="D419" s="60">
        <v>0</v>
      </c>
      <c r="E419" s="60">
        <v>0</v>
      </c>
      <c r="F419" s="60">
        <v>0</v>
      </c>
      <c r="G419" s="60">
        <v>0</v>
      </c>
      <c r="H419" s="93">
        <v>0.1375562515149773</v>
      </c>
      <c r="I419" s="93">
        <v>0</v>
      </c>
      <c r="J419" s="93">
        <v>0.1375562515149773</v>
      </c>
    </row>
    <row r="420" spans="1:10" x14ac:dyDescent="0.3">
      <c r="A420" s="92">
        <v>44682</v>
      </c>
      <c r="B420" s="60">
        <v>11970</v>
      </c>
      <c r="C420" s="60">
        <v>13616.548330634279</v>
      </c>
      <c r="D420" s="60">
        <v>0</v>
      </c>
      <c r="E420" s="60">
        <v>0</v>
      </c>
      <c r="F420" s="60">
        <v>0</v>
      </c>
      <c r="G420" s="60">
        <v>0</v>
      </c>
      <c r="H420" s="93">
        <v>0.1375562515149773</v>
      </c>
      <c r="I420" s="93">
        <v>0</v>
      </c>
      <c r="J420" s="93">
        <v>0.1375562515149773</v>
      </c>
    </row>
    <row r="421" spans="1:10" x14ac:dyDescent="0.3">
      <c r="A421" s="92">
        <v>44713</v>
      </c>
      <c r="B421" s="60">
        <v>11956</v>
      </c>
      <c r="C421" s="60">
        <v>13600.62254311307</v>
      </c>
      <c r="D421" s="60">
        <v>0</v>
      </c>
      <c r="E421" s="60">
        <v>0</v>
      </c>
      <c r="F421" s="60">
        <v>0</v>
      </c>
      <c r="G421" s="60">
        <v>0</v>
      </c>
      <c r="H421" s="93">
        <v>0.1375562515149773</v>
      </c>
      <c r="I421" s="93">
        <v>0</v>
      </c>
      <c r="J421" s="93">
        <v>0.1375562515149773</v>
      </c>
    </row>
    <row r="422" spans="1:10" x14ac:dyDescent="0.3">
      <c r="A422" s="92">
        <v>44743</v>
      </c>
      <c r="B422" s="60">
        <v>7826</v>
      </c>
      <c r="C422" s="60">
        <v>8902.5152243562134</v>
      </c>
      <c r="D422" s="60">
        <v>0</v>
      </c>
      <c r="E422" s="60">
        <v>0</v>
      </c>
      <c r="F422" s="60">
        <v>0</v>
      </c>
      <c r="G422" s="60">
        <v>0</v>
      </c>
      <c r="H422" s="93">
        <v>0.13755625151497752</v>
      </c>
      <c r="I422" s="93">
        <v>0</v>
      </c>
      <c r="J422" s="93">
        <v>0.13755625151497752</v>
      </c>
    </row>
    <row r="423" spans="1:10" x14ac:dyDescent="0.3">
      <c r="A423" s="92">
        <v>44774</v>
      </c>
      <c r="B423" s="60">
        <v>11886</v>
      </c>
      <c r="C423" s="60">
        <v>13520.993605507021</v>
      </c>
      <c r="D423" s="60">
        <v>0</v>
      </c>
      <c r="E423" s="60">
        <v>0</v>
      </c>
      <c r="F423" s="60">
        <v>0</v>
      </c>
      <c r="G423" s="60">
        <v>0</v>
      </c>
      <c r="H423" s="93">
        <v>0.1375562515149773</v>
      </c>
      <c r="I423" s="93">
        <v>0</v>
      </c>
      <c r="J423" s="93">
        <v>0.1375562515149773</v>
      </c>
    </row>
    <row r="424" spans="1:10" x14ac:dyDescent="0.3">
      <c r="A424" s="92">
        <v>44805</v>
      </c>
      <c r="B424" s="60">
        <v>11886</v>
      </c>
      <c r="C424" s="60">
        <v>13520.993605507021</v>
      </c>
      <c r="D424" s="60">
        <v>0</v>
      </c>
      <c r="E424" s="60">
        <v>0</v>
      </c>
      <c r="F424" s="60">
        <v>0</v>
      </c>
      <c r="G424" s="60">
        <v>0</v>
      </c>
      <c r="H424" s="93">
        <v>0.1375562515149773</v>
      </c>
      <c r="I424" s="93">
        <v>0</v>
      </c>
      <c r="J424" s="93">
        <v>0.1375562515149773</v>
      </c>
    </row>
    <row r="425" spans="1:10" x14ac:dyDescent="0.3">
      <c r="A425" s="92">
        <v>44835</v>
      </c>
      <c r="B425" s="60">
        <v>11886</v>
      </c>
      <c r="C425" s="60">
        <v>13520.993605507021</v>
      </c>
      <c r="D425" s="60">
        <v>0</v>
      </c>
      <c r="E425" s="60">
        <v>0</v>
      </c>
      <c r="F425" s="60">
        <v>0</v>
      </c>
      <c r="G425" s="60">
        <v>0</v>
      </c>
      <c r="H425" s="93">
        <v>0.1375562515149773</v>
      </c>
      <c r="I425" s="93">
        <v>0</v>
      </c>
      <c r="J425" s="93">
        <v>0.1375562515149773</v>
      </c>
    </row>
    <row r="426" spans="1:10" x14ac:dyDescent="0.3">
      <c r="A426" s="91" t="s">
        <v>34</v>
      </c>
      <c r="B426" s="60">
        <v>0</v>
      </c>
      <c r="C426" s="60">
        <v>0</v>
      </c>
      <c r="D426" s="60">
        <v>68825.369550000003</v>
      </c>
      <c r="E426" s="60">
        <v>81115.771349041257</v>
      </c>
      <c r="F426" s="60">
        <v>32410.709099999993</v>
      </c>
      <c r="G426" s="60">
        <v>34901.030107065541</v>
      </c>
      <c r="H426" s="93">
        <v>0.1785737131438514</v>
      </c>
      <c r="I426" s="93">
        <v>7.6836362925041035E-2</v>
      </c>
      <c r="J426" s="93">
        <v>0.14600252205745412</v>
      </c>
    </row>
    <row r="427" spans="1:10" x14ac:dyDescent="0.3">
      <c r="A427" s="92">
        <v>44501</v>
      </c>
      <c r="B427" s="60">
        <v>0</v>
      </c>
      <c r="C427" s="60">
        <v>0</v>
      </c>
      <c r="D427" s="60">
        <v>5033.1813599999987</v>
      </c>
      <c r="E427" s="60">
        <v>5931.9752443816196</v>
      </c>
      <c r="F427" s="60">
        <v>2370.1867199999997</v>
      </c>
      <c r="G427" s="60">
        <v>2552.3032470180328</v>
      </c>
      <c r="H427" s="93">
        <v>0.17857371314385162</v>
      </c>
      <c r="I427" s="93">
        <v>7.6836362925041257E-2</v>
      </c>
      <c r="J427" s="93">
        <v>0.14600252205745456</v>
      </c>
    </row>
    <row r="428" spans="1:10" x14ac:dyDescent="0.3">
      <c r="A428" s="92">
        <v>44531</v>
      </c>
      <c r="B428" s="60">
        <v>0</v>
      </c>
      <c r="C428" s="60">
        <v>0</v>
      </c>
      <c r="D428" s="60">
        <v>4625.0347400000001</v>
      </c>
      <c r="E428" s="60">
        <v>5450.9443669411075</v>
      </c>
      <c r="F428" s="60">
        <v>2177.9854799999998</v>
      </c>
      <c r="G428" s="60">
        <v>2345.3339627867499</v>
      </c>
      <c r="H428" s="93">
        <v>0.1785737131438514</v>
      </c>
      <c r="I428" s="93">
        <v>7.6836362925041257E-2</v>
      </c>
      <c r="J428" s="93">
        <v>0.14600252205745412</v>
      </c>
    </row>
    <row r="429" spans="1:10" x14ac:dyDescent="0.3">
      <c r="A429" s="92">
        <v>44562</v>
      </c>
      <c r="B429" s="60">
        <v>0</v>
      </c>
      <c r="C429" s="60">
        <v>0</v>
      </c>
      <c r="D429" s="60">
        <v>4564.8472199999997</v>
      </c>
      <c r="E429" s="60">
        <v>5380.0089380097879</v>
      </c>
      <c r="F429" s="60">
        <v>2149.6424400000001</v>
      </c>
      <c r="G429" s="60">
        <v>2314.8131466789109</v>
      </c>
      <c r="H429" s="93">
        <v>0.17857371314385162</v>
      </c>
      <c r="I429" s="93">
        <v>7.6836362925041035E-2</v>
      </c>
      <c r="J429" s="93">
        <v>0.14600252205745434</v>
      </c>
    </row>
    <row r="430" spans="1:10" x14ac:dyDescent="0.3">
      <c r="A430" s="92">
        <v>44593</v>
      </c>
      <c r="B430" s="60">
        <v>0</v>
      </c>
      <c r="C430" s="60">
        <v>0</v>
      </c>
      <c r="D430" s="60">
        <v>4209.3646799999997</v>
      </c>
      <c r="E430" s="60">
        <v>4961.0465608841805</v>
      </c>
      <c r="F430" s="60">
        <v>1982.24136</v>
      </c>
      <c r="G430" s="60">
        <v>2134.5495765419873</v>
      </c>
      <c r="H430" s="93">
        <v>0.17857371314385162</v>
      </c>
      <c r="I430" s="93">
        <v>7.6836362925041257E-2</v>
      </c>
      <c r="J430" s="93">
        <v>0.14600252205745456</v>
      </c>
    </row>
    <row r="431" spans="1:10" x14ac:dyDescent="0.3">
      <c r="A431" s="92">
        <v>44621</v>
      </c>
      <c r="B431" s="60">
        <v>0</v>
      </c>
      <c r="C431" s="60">
        <v>0</v>
      </c>
      <c r="D431" s="60">
        <v>4736.0054799999998</v>
      </c>
      <c r="E431" s="60">
        <v>5581.731564033229</v>
      </c>
      <c r="F431" s="60">
        <v>2230.2429599999996</v>
      </c>
      <c r="G431" s="60">
        <v>2401.606717485578</v>
      </c>
      <c r="H431" s="93">
        <v>0.17857371314385162</v>
      </c>
      <c r="I431" s="93">
        <v>7.6836362925041257E-2</v>
      </c>
      <c r="J431" s="93">
        <v>0.14600252205745434</v>
      </c>
    </row>
    <row r="432" spans="1:10" x14ac:dyDescent="0.3">
      <c r="A432" s="92">
        <v>44652</v>
      </c>
      <c r="B432" s="60">
        <v>0</v>
      </c>
      <c r="C432" s="60">
        <v>0</v>
      </c>
      <c r="D432" s="60">
        <v>6098.6885499999999</v>
      </c>
      <c r="E432" s="60">
        <v>7187.7540096813918</v>
      </c>
      <c r="F432" s="60">
        <v>2871.9471000000003</v>
      </c>
      <c r="G432" s="60">
        <v>3092.6170696771196</v>
      </c>
      <c r="H432" s="93">
        <v>0.17857371314385162</v>
      </c>
      <c r="I432" s="93">
        <v>7.6836362925041035E-2</v>
      </c>
      <c r="J432" s="93">
        <v>0.14600252205745434</v>
      </c>
    </row>
    <row r="433" spans="1:10" x14ac:dyDescent="0.3">
      <c r="A433" s="92">
        <v>44682</v>
      </c>
      <c r="B433" s="60">
        <v>0</v>
      </c>
      <c r="C433" s="60">
        <v>0</v>
      </c>
      <c r="D433" s="60">
        <v>5713.1122500000001</v>
      </c>
      <c r="E433" s="60">
        <v>6733.3239180901237</v>
      </c>
      <c r="F433" s="60">
        <v>2690.3744999999999</v>
      </c>
      <c r="G433" s="60">
        <v>2897.0930914862761</v>
      </c>
      <c r="H433" s="93">
        <v>0.1785737131438514</v>
      </c>
      <c r="I433" s="93">
        <v>7.6836362925041257E-2</v>
      </c>
      <c r="J433" s="93">
        <v>0.14600252205745434</v>
      </c>
    </row>
    <row r="434" spans="1:10" x14ac:dyDescent="0.3">
      <c r="A434" s="92">
        <v>44713</v>
      </c>
      <c r="B434" s="60">
        <v>0</v>
      </c>
      <c r="C434" s="60">
        <v>0</v>
      </c>
      <c r="D434" s="60">
        <v>6710.9084799999991</v>
      </c>
      <c r="E434" s="60">
        <v>7909.3003258421595</v>
      </c>
      <c r="F434" s="60">
        <v>3160.2489599999999</v>
      </c>
      <c r="G434" s="60">
        <v>3403.0709960240438</v>
      </c>
      <c r="H434" s="93">
        <v>0.1785737131438514</v>
      </c>
      <c r="I434" s="93">
        <v>7.6836362925041257E-2</v>
      </c>
      <c r="J434" s="93">
        <v>0.14600252205745434</v>
      </c>
    </row>
    <row r="435" spans="1:10" x14ac:dyDescent="0.3">
      <c r="A435" s="92">
        <v>44743</v>
      </c>
      <c r="B435" s="60">
        <v>0</v>
      </c>
      <c r="C435" s="60">
        <v>0</v>
      </c>
      <c r="D435" s="60">
        <v>4167.9857600000005</v>
      </c>
      <c r="E435" s="60">
        <v>4912.2784534938983</v>
      </c>
      <c r="F435" s="60">
        <v>1962.7555200000002</v>
      </c>
      <c r="G435" s="60">
        <v>2113.5665154678481</v>
      </c>
      <c r="H435" s="93">
        <v>0.1785737131438514</v>
      </c>
      <c r="I435" s="93">
        <v>7.6836362925041257E-2</v>
      </c>
      <c r="J435" s="93">
        <v>0.14600252205745434</v>
      </c>
    </row>
    <row r="436" spans="1:10" x14ac:dyDescent="0.3">
      <c r="A436" s="92">
        <v>44774</v>
      </c>
      <c r="B436" s="60">
        <v>0</v>
      </c>
      <c r="C436" s="60">
        <v>0</v>
      </c>
      <c r="D436" s="60">
        <v>7306.2006700000002</v>
      </c>
      <c r="E436" s="60">
        <v>8610.8960526159954</v>
      </c>
      <c r="F436" s="60">
        <v>3440.5793400000002</v>
      </c>
      <c r="G436" s="60">
        <v>3704.9409428406389</v>
      </c>
      <c r="H436" s="93">
        <v>0.1785737131438514</v>
      </c>
      <c r="I436" s="93">
        <v>7.6836362925041257E-2</v>
      </c>
      <c r="J436" s="93">
        <v>0.14600252205745412</v>
      </c>
    </row>
    <row r="437" spans="1:10" x14ac:dyDescent="0.3">
      <c r="A437" s="92">
        <v>44805</v>
      </c>
      <c r="B437" s="60">
        <v>0</v>
      </c>
      <c r="C437" s="60">
        <v>0</v>
      </c>
      <c r="D437" s="60">
        <v>7830.0201800000004</v>
      </c>
      <c r="E437" s="60">
        <v>9228.2559575338892</v>
      </c>
      <c r="F437" s="60">
        <v>3687.2523600000004</v>
      </c>
      <c r="G437" s="60">
        <v>3970.5674205291753</v>
      </c>
      <c r="H437" s="93">
        <v>0.17857371314385162</v>
      </c>
      <c r="I437" s="93">
        <v>7.6836362925041257E-2</v>
      </c>
      <c r="J437" s="93">
        <v>0.14600252205745434</v>
      </c>
    </row>
    <row r="438" spans="1:10" x14ac:dyDescent="0.3">
      <c r="A438" s="92">
        <v>44835</v>
      </c>
      <c r="B438" s="60">
        <v>0</v>
      </c>
      <c r="C438" s="60">
        <v>0</v>
      </c>
      <c r="D438" s="60">
        <v>7830.0201800000004</v>
      </c>
      <c r="E438" s="60">
        <v>9228.2559575338892</v>
      </c>
      <c r="F438" s="60">
        <v>3687.2523600000004</v>
      </c>
      <c r="G438" s="60">
        <v>3970.5674205291753</v>
      </c>
      <c r="H438" s="93">
        <v>0.17857371314385162</v>
      </c>
      <c r="I438" s="93">
        <v>7.6836362925041257E-2</v>
      </c>
      <c r="J438" s="93">
        <v>0.14600252205745434</v>
      </c>
    </row>
    <row r="439" spans="1:10" x14ac:dyDescent="0.3">
      <c r="A439" s="87" t="s">
        <v>45</v>
      </c>
      <c r="B439" s="60">
        <v>76634.87999999999</v>
      </c>
      <c r="C439" s="60">
        <v>87176.486828100111</v>
      </c>
      <c r="D439" s="60">
        <v>214517.86160639999</v>
      </c>
      <c r="E439" s="60">
        <v>296096.47136300936</v>
      </c>
      <c r="F439" s="60">
        <v>425139.24179520004</v>
      </c>
      <c r="G439" s="60">
        <v>461652.47341979289</v>
      </c>
      <c r="H439" s="93">
        <v>0.3163982453898504</v>
      </c>
      <c r="I439" s="93">
        <v>8.5885347751977648E-2</v>
      </c>
      <c r="J439" s="93">
        <v>0.17958242056323837</v>
      </c>
    </row>
    <row r="440" spans="1:10" x14ac:dyDescent="0.3">
      <c r="A440" s="88" t="s">
        <v>25</v>
      </c>
      <c r="B440" s="60">
        <v>76634.87999999999</v>
      </c>
      <c r="C440" s="60">
        <v>87176.486828100111</v>
      </c>
      <c r="D440" s="60">
        <v>214517.86160639999</v>
      </c>
      <c r="E440" s="60">
        <v>296096.47136300936</v>
      </c>
      <c r="F440" s="60">
        <v>425139.24179520004</v>
      </c>
      <c r="G440" s="60">
        <v>461652.47341979289</v>
      </c>
      <c r="H440" s="93">
        <v>0.3163982453898504</v>
      </c>
      <c r="I440" s="93">
        <v>8.5885347751977648E-2</v>
      </c>
      <c r="J440" s="93">
        <v>0.17958242056323837</v>
      </c>
    </row>
    <row r="441" spans="1:10" x14ac:dyDescent="0.3">
      <c r="A441" s="89" t="s">
        <v>25</v>
      </c>
      <c r="B441" s="60">
        <v>76634.87999999999</v>
      </c>
      <c r="C441" s="60">
        <v>87176.486828100111</v>
      </c>
      <c r="D441" s="60">
        <v>214517.86160639999</v>
      </c>
      <c r="E441" s="60">
        <v>296096.47136300936</v>
      </c>
      <c r="F441" s="60">
        <v>425139.24179520004</v>
      </c>
      <c r="G441" s="60">
        <v>461652.47341979289</v>
      </c>
      <c r="H441" s="93">
        <v>0.3163982453898504</v>
      </c>
      <c r="I441" s="93">
        <v>8.5885347751977648E-2</v>
      </c>
      <c r="J441" s="93">
        <v>0.17958242056323837</v>
      </c>
    </row>
    <row r="442" spans="1:10" x14ac:dyDescent="0.3">
      <c r="A442" s="90" t="s">
        <v>25</v>
      </c>
      <c r="B442" s="60">
        <v>76634.87999999999</v>
      </c>
      <c r="C442" s="60">
        <v>87176.486828100111</v>
      </c>
      <c r="D442" s="60">
        <v>214517.86160639999</v>
      </c>
      <c r="E442" s="60">
        <v>296096.47136300936</v>
      </c>
      <c r="F442" s="60">
        <v>425139.24179520004</v>
      </c>
      <c r="G442" s="60">
        <v>461652.47341979289</v>
      </c>
      <c r="H442" s="93">
        <v>0.3163982453898504</v>
      </c>
      <c r="I442" s="93">
        <v>8.5885347751977648E-2</v>
      </c>
      <c r="J442" s="93">
        <v>0.17958242056323837</v>
      </c>
    </row>
    <row r="443" spans="1:10" x14ac:dyDescent="0.3">
      <c r="A443" s="91" t="s">
        <v>35</v>
      </c>
      <c r="B443" s="60">
        <v>0</v>
      </c>
      <c r="C443" s="60">
        <v>0</v>
      </c>
      <c r="D443" s="60">
        <v>95569.56676799999</v>
      </c>
      <c r="E443" s="60">
        <v>155907.13784318662</v>
      </c>
      <c r="F443" s="60">
        <v>369125.0335584</v>
      </c>
      <c r="G443" s="60">
        <v>400077.70931099617</v>
      </c>
      <c r="H443" s="93">
        <v>0.63134712352164546</v>
      </c>
      <c r="I443" s="93">
        <v>8.3854176603004982E-2</v>
      </c>
      <c r="J443" s="93">
        <v>0.19645213601290146</v>
      </c>
    </row>
    <row r="444" spans="1:10" x14ac:dyDescent="0.3">
      <c r="A444" s="92">
        <v>44501</v>
      </c>
      <c r="B444" s="60">
        <v>0</v>
      </c>
      <c r="C444" s="60">
        <v>0</v>
      </c>
      <c r="D444" s="60">
        <v>7891.5938399999995</v>
      </c>
      <c r="E444" s="60">
        <v>12873.928910885137</v>
      </c>
      <c r="F444" s="60">
        <v>30480.255792000004</v>
      </c>
      <c r="G444" s="60">
        <v>33036.152544087134</v>
      </c>
      <c r="H444" s="93">
        <v>0.63134712352164568</v>
      </c>
      <c r="I444" s="93">
        <v>8.385417660300476E-2</v>
      </c>
      <c r="J444" s="93">
        <v>0.19645213601290146</v>
      </c>
    </row>
    <row r="445" spans="1:10" x14ac:dyDescent="0.3">
      <c r="A445" s="92">
        <v>44531</v>
      </c>
      <c r="B445" s="60">
        <v>0</v>
      </c>
      <c r="C445" s="60">
        <v>0</v>
      </c>
      <c r="D445" s="60">
        <v>7637.5334879999991</v>
      </c>
      <c r="E445" s="60">
        <v>12459.468286449039</v>
      </c>
      <c r="F445" s="60">
        <v>29498.980694400001</v>
      </c>
      <c r="G445" s="60">
        <v>31972.593431156853</v>
      </c>
      <c r="H445" s="93">
        <v>0.63134712352164546</v>
      </c>
      <c r="I445" s="93">
        <v>8.3854176603004982E-2</v>
      </c>
      <c r="J445" s="93">
        <v>0.19645213601290146</v>
      </c>
    </row>
    <row r="446" spans="1:10" x14ac:dyDescent="0.3">
      <c r="A446" s="92">
        <v>44562</v>
      </c>
      <c r="B446" s="60">
        <v>0</v>
      </c>
      <c r="C446" s="60">
        <v>0</v>
      </c>
      <c r="D446" s="60">
        <v>7719.4727999999996</v>
      </c>
      <c r="E446" s="60">
        <v>12593.139747383582</v>
      </c>
      <c r="F446" s="60">
        <v>29815.460640000005</v>
      </c>
      <c r="G446" s="60">
        <v>32315.611542006507</v>
      </c>
      <c r="H446" s="93">
        <v>0.63134712352164546</v>
      </c>
      <c r="I446" s="93">
        <v>8.3854176603004982E-2</v>
      </c>
      <c r="J446" s="93">
        <v>0.19645213601290124</v>
      </c>
    </row>
    <row r="447" spans="1:10" x14ac:dyDescent="0.3">
      <c r="A447" s="92">
        <v>44593</v>
      </c>
      <c r="B447" s="60">
        <v>0</v>
      </c>
      <c r="C447" s="60">
        <v>0</v>
      </c>
      <c r="D447" s="60">
        <v>7457.5163519999996</v>
      </c>
      <c r="E447" s="60">
        <v>12165.797849450833</v>
      </c>
      <c r="F447" s="60">
        <v>28803.687897600004</v>
      </c>
      <c r="G447" s="60">
        <v>31218.997429383191</v>
      </c>
      <c r="H447" s="93">
        <v>0.63134712352164524</v>
      </c>
      <c r="I447" s="93">
        <v>8.3854176603004982E-2</v>
      </c>
      <c r="J447" s="93">
        <v>0.19645213601290146</v>
      </c>
    </row>
    <row r="448" spans="1:10" x14ac:dyDescent="0.3">
      <c r="A448" s="92">
        <v>44621</v>
      </c>
      <c r="B448" s="60">
        <v>0</v>
      </c>
      <c r="C448" s="60">
        <v>0</v>
      </c>
      <c r="D448" s="60">
        <v>6498.3484799999987</v>
      </c>
      <c r="E448" s="60">
        <v>10601.062100489256</v>
      </c>
      <c r="F448" s="60">
        <v>25099.026624000002</v>
      </c>
      <c r="G448" s="60">
        <v>27203.684835092419</v>
      </c>
      <c r="H448" s="93">
        <v>0.63134712352164568</v>
      </c>
      <c r="I448" s="93">
        <v>8.3854176603004982E-2</v>
      </c>
      <c r="J448" s="93">
        <v>0.19645213601290146</v>
      </c>
    </row>
    <row r="449" spans="1:10" x14ac:dyDescent="0.3">
      <c r="A449" s="92">
        <v>44652</v>
      </c>
      <c r="B449" s="60">
        <v>0</v>
      </c>
      <c r="C449" s="60">
        <v>0</v>
      </c>
      <c r="D449" s="60">
        <v>7386.6592799999989</v>
      </c>
      <c r="E449" s="60">
        <v>12050.205368862469</v>
      </c>
      <c r="F449" s="60">
        <v>28530.011664000001</v>
      </c>
      <c r="G449" s="60">
        <v>30922.372300558851</v>
      </c>
      <c r="H449" s="93">
        <v>0.63134712352164568</v>
      </c>
      <c r="I449" s="93">
        <v>8.3854176603004982E-2</v>
      </c>
      <c r="J449" s="93">
        <v>0.19645213601290168</v>
      </c>
    </row>
    <row r="450" spans="1:10" x14ac:dyDescent="0.3">
      <c r="A450" s="92">
        <v>44682</v>
      </c>
      <c r="B450" s="60">
        <v>0</v>
      </c>
      <c r="C450" s="60">
        <v>0</v>
      </c>
      <c r="D450" s="60">
        <v>7153.2395999999999</v>
      </c>
      <c r="E450" s="60">
        <v>11669.416845321126</v>
      </c>
      <c r="F450" s="60">
        <v>27628.458480000005</v>
      </c>
      <c r="G450" s="60">
        <v>29945.220116650715</v>
      </c>
      <c r="H450" s="93">
        <v>0.63134712352164546</v>
      </c>
      <c r="I450" s="93">
        <v>8.3854176603004982E-2</v>
      </c>
      <c r="J450" s="93">
        <v>0.19645213601290146</v>
      </c>
    </row>
    <row r="451" spans="1:10" x14ac:dyDescent="0.3">
      <c r="A451" s="92">
        <v>44713</v>
      </c>
      <c r="B451" s="60">
        <v>0</v>
      </c>
      <c r="C451" s="60">
        <v>0</v>
      </c>
      <c r="D451" s="60">
        <v>6945.1705439999996</v>
      </c>
      <c r="E451" s="60">
        <v>11329.983989321661</v>
      </c>
      <c r="F451" s="60">
        <v>26824.818787200002</v>
      </c>
      <c r="G451" s="60">
        <v>29074.191879125476</v>
      </c>
      <c r="H451" s="93">
        <v>0.63134712352164546</v>
      </c>
      <c r="I451" s="93">
        <v>8.3854176603004982E-2</v>
      </c>
      <c r="J451" s="93">
        <v>0.19645213601290146</v>
      </c>
    </row>
    <row r="452" spans="1:10" x14ac:dyDescent="0.3">
      <c r="A452" s="92">
        <v>44743</v>
      </c>
      <c r="B452" s="60">
        <v>0</v>
      </c>
      <c r="C452" s="60">
        <v>0</v>
      </c>
      <c r="D452" s="60">
        <v>7477.5336479999987</v>
      </c>
      <c r="E452" s="60">
        <v>12198.453007701117</v>
      </c>
      <c r="F452" s="60">
        <v>28881.002102400002</v>
      </c>
      <c r="G452" s="60">
        <v>31302.794753166407</v>
      </c>
      <c r="H452" s="93">
        <v>0.6313471235216459</v>
      </c>
      <c r="I452" s="93">
        <v>8.3854176603004982E-2</v>
      </c>
      <c r="J452" s="93">
        <v>0.19645213601290168</v>
      </c>
    </row>
    <row r="453" spans="1:10" x14ac:dyDescent="0.3">
      <c r="A453" s="92">
        <v>44774</v>
      </c>
      <c r="B453" s="60">
        <v>0</v>
      </c>
      <c r="C453" s="60">
        <v>0</v>
      </c>
      <c r="D453" s="60">
        <v>7107.8024159999995</v>
      </c>
      <c r="E453" s="60">
        <v>11595.293025901801</v>
      </c>
      <c r="F453" s="60">
        <v>27452.963260800003</v>
      </c>
      <c r="G453" s="60">
        <v>29755.008890346933</v>
      </c>
      <c r="H453" s="93">
        <v>0.63134712352164546</v>
      </c>
      <c r="I453" s="93">
        <v>8.3854176603004982E-2</v>
      </c>
      <c r="J453" s="93">
        <v>0.19645213601290146</v>
      </c>
    </row>
    <row r="454" spans="1:10" x14ac:dyDescent="0.3">
      <c r="A454" s="92">
        <v>44805</v>
      </c>
      <c r="B454" s="60">
        <v>0</v>
      </c>
      <c r="C454" s="60">
        <v>0</v>
      </c>
      <c r="D454" s="60">
        <v>11147.34816</v>
      </c>
      <c r="E454" s="60">
        <v>18185.194355710308</v>
      </c>
      <c r="F454" s="60">
        <v>43055.183808000002</v>
      </c>
      <c r="G454" s="60">
        <v>46665.540794710876</v>
      </c>
      <c r="H454" s="93">
        <v>0.63134712352164546</v>
      </c>
      <c r="I454" s="93">
        <v>8.3854176603004982E-2</v>
      </c>
      <c r="J454" s="93">
        <v>0.19645213601290146</v>
      </c>
    </row>
    <row r="455" spans="1:10" x14ac:dyDescent="0.3">
      <c r="A455" s="92">
        <v>44835</v>
      </c>
      <c r="B455" s="60">
        <v>0</v>
      </c>
      <c r="C455" s="60">
        <v>0</v>
      </c>
      <c r="D455" s="60">
        <v>11147.34816</v>
      </c>
      <c r="E455" s="60">
        <v>18185.194355710308</v>
      </c>
      <c r="F455" s="60">
        <v>43055.183808000002</v>
      </c>
      <c r="G455" s="60">
        <v>46665.540794710876</v>
      </c>
      <c r="H455" s="93">
        <v>0.63134712352164546</v>
      </c>
      <c r="I455" s="93">
        <v>8.3854176603004982E-2</v>
      </c>
      <c r="J455" s="93">
        <v>0.19645213601290146</v>
      </c>
    </row>
    <row r="456" spans="1:10" x14ac:dyDescent="0.3">
      <c r="A456" s="91" t="s">
        <v>25</v>
      </c>
      <c r="B456" s="60">
        <v>76634.87999999999</v>
      </c>
      <c r="C456" s="60">
        <v>87176.486828100111</v>
      </c>
      <c r="D456" s="60">
        <v>0</v>
      </c>
      <c r="E456" s="60">
        <v>0</v>
      </c>
      <c r="F456" s="60">
        <v>0</v>
      </c>
      <c r="G456" s="60">
        <v>0</v>
      </c>
      <c r="H456" s="93">
        <v>0.13755625151497752</v>
      </c>
      <c r="I456" s="93">
        <v>0</v>
      </c>
      <c r="J456" s="93">
        <v>0.13755625151497752</v>
      </c>
    </row>
    <row r="457" spans="1:10" x14ac:dyDescent="0.3">
      <c r="A457" s="92">
        <v>44501</v>
      </c>
      <c r="B457" s="60">
        <v>6948.48</v>
      </c>
      <c r="C457" s="60">
        <v>7904.2868625267902</v>
      </c>
      <c r="D457" s="60">
        <v>0</v>
      </c>
      <c r="E457" s="60">
        <v>0</v>
      </c>
      <c r="F457" s="60">
        <v>0</v>
      </c>
      <c r="G457" s="60">
        <v>0</v>
      </c>
      <c r="H457" s="93">
        <v>0.13755625151497752</v>
      </c>
      <c r="I457" s="93">
        <v>0</v>
      </c>
      <c r="J457" s="93">
        <v>0.13755625151497752</v>
      </c>
    </row>
    <row r="458" spans="1:10" x14ac:dyDescent="0.3">
      <c r="A458" s="92">
        <v>44531</v>
      </c>
      <c r="B458" s="60">
        <v>5053.4399999999996</v>
      </c>
      <c r="C458" s="60">
        <v>5748.5722636558467</v>
      </c>
      <c r="D458" s="60">
        <v>0</v>
      </c>
      <c r="E458" s="60">
        <v>0</v>
      </c>
      <c r="F458" s="60">
        <v>0</v>
      </c>
      <c r="G458" s="60">
        <v>0</v>
      </c>
      <c r="H458" s="93">
        <v>0.1375562515149773</v>
      </c>
      <c r="I458" s="93">
        <v>0</v>
      </c>
      <c r="J458" s="93">
        <v>0.1375562515149773</v>
      </c>
    </row>
    <row r="459" spans="1:10" x14ac:dyDescent="0.3">
      <c r="A459" s="92">
        <v>44562</v>
      </c>
      <c r="B459" s="60">
        <v>5389.44</v>
      </c>
      <c r="C459" s="60">
        <v>6130.7911641648789</v>
      </c>
      <c r="D459" s="60">
        <v>0</v>
      </c>
      <c r="E459" s="60">
        <v>0</v>
      </c>
      <c r="F459" s="60">
        <v>0</v>
      </c>
      <c r="G459" s="60">
        <v>0</v>
      </c>
      <c r="H459" s="93">
        <v>0.1375562515149773</v>
      </c>
      <c r="I459" s="93">
        <v>0</v>
      </c>
      <c r="J459" s="93">
        <v>0.1375562515149773</v>
      </c>
    </row>
    <row r="460" spans="1:10" x14ac:dyDescent="0.3">
      <c r="A460" s="92">
        <v>44593</v>
      </c>
      <c r="B460" s="60">
        <v>5308.8</v>
      </c>
      <c r="C460" s="60">
        <v>6039.0586280427115</v>
      </c>
      <c r="D460" s="60">
        <v>0</v>
      </c>
      <c r="E460" s="60">
        <v>0</v>
      </c>
      <c r="F460" s="60">
        <v>0</v>
      </c>
      <c r="G460" s="60">
        <v>0</v>
      </c>
      <c r="H460" s="93">
        <v>0.1375562515149773</v>
      </c>
      <c r="I460" s="93">
        <v>0</v>
      </c>
      <c r="J460" s="93">
        <v>0.1375562515149773</v>
      </c>
    </row>
    <row r="461" spans="1:10" x14ac:dyDescent="0.3">
      <c r="A461" s="92">
        <v>44621</v>
      </c>
      <c r="B461" s="60">
        <v>4905.5999999999995</v>
      </c>
      <c r="C461" s="60">
        <v>5580.3959474318726</v>
      </c>
      <c r="D461" s="60">
        <v>0</v>
      </c>
      <c r="E461" s="60">
        <v>0</v>
      </c>
      <c r="F461" s="60">
        <v>0</v>
      </c>
      <c r="G461" s="60">
        <v>0</v>
      </c>
      <c r="H461" s="93">
        <v>0.13755625151497752</v>
      </c>
      <c r="I461" s="93">
        <v>0</v>
      </c>
      <c r="J461" s="93">
        <v>0.13755625151497752</v>
      </c>
    </row>
    <row r="462" spans="1:10" x14ac:dyDescent="0.3">
      <c r="A462" s="92">
        <v>44652</v>
      </c>
      <c r="B462" s="60">
        <v>5671.6799999999994</v>
      </c>
      <c r="C462" s="60">
        <v>6451.855040592467</v>
      </c>
      <c r="D462" s="60">
        <v>0</v>
      </c>
      <c r="E462" s="60">
        <v>0</v>
      </c>
      <c r="F462" s="60">
        <v>0</v>
      </c>
      <c r="G462" s="60">
        <v>0</v>
      </c>
      <c r="H462" s="93">
        <v>0.13755625151497752</v>
      </c>
      <c r="I462" s="93">
        <v>0</v>
      </c>
      <c r="J462" s="93">
        <v>0.13755625151497752</v>
      </c>
    </row>
    <row r="463" spans="1:10" x14ac:dyDescent="0.3">
      <c r="A463" s="92">
        <v>44682</v>
      </c>
      <c r="B463" s="60">
        <v>5416.32</v>
      </c>
      <c r="C463" s="60">
        <v>6161.3686762056022</v>
      </c>
      <c r="D463" s="60">
        <v>0</v>
      </c>
      <c r="E463" s="60">
        <v>0</v>
      </c>
      <c r="F463" s="60">
        <v>0</v>
      </c>
      <c r="G463" s="60">
        <v>0</v>
      </c>
      <c r="H463" s="93">
        <v>0.13755625151497752</v>
      </c>
      <c r="I463" s="93">
        <v>0</v>
      </c>
      <c r="J463" s="93">
        <v>0.13755625151497752</v>
      </c>
    </row>
    <row r="464" spans="1:10" x14ac:dyDescent="0.3">
      <c r="A464" s="92">
        <v>44713</v>
      </c>
      <c r="B464" s="60">
        <v>4905.5999999999995</v>
      </c>
      <c r="C464" s="60">
        <v>5580.3959474318726</v>
      </c>
      <c r="D464" s="60">
        <v>0</v>
      </c>
      <c r="E464" s="60">
        <v>0</v>
      </c>
      <c r="F464" s="60">
        <v>0</v>
      </c>
      <c r="G464" s="60">
        <v>0</v>
      </c>
      <c r="H464" s="93">
        <v>0.13755625151497752</v>
      </c>
      <c r="I464" s="93">
        <v>0</v>
      </c>
      <c r="J464" s="93">
        <v>0.13755625151497752</v>
      </c>
    </row>
    <row r="465" spans="1:10" x14ac:dyDescent="0.3">
      <c r="A465" s="92">
        <v>44743</v>
      </c>
      <c r="B465" s="60">
        <v>5591.04</v>
      </c>
      <c r="C465" s="60">
        <v>6360.1225044702996</v>
      </c>
      <c r="D465" s="60">
        <v>0</v>
      </c>
      <c r="E465" s="60">
        <v>0</v>
      </c>
      <c r="F465" s="60">
        <v>0</v>
      </c>
      <c r="G465" s="60">
        <v>0</v>
      </c>
      <c r="H465" s="93">
        <v>0.13755625151497752</v>
      </c>
      <c r="I465" s="93">
        <v>0</v>
      </c>
      <c r="J465" s="93">
        <v>0.13755625151497752</v>
      </c>
    </row>
    <row r="466" spans="1:10" x14ac:dyDescent="0.3">
      <c r="A466" s="92">
        <v>44774</v>
      </c>
      <c r="B466" s="60">
        <v>4919.04</v>
      </c>
      <c r="C466" s="60">
        <v>5595.6847034522343</v>
      </c>
      <c r="D466" s="60">
        <v>0</v>
      </c>
      <c r="E466" s="60">
        <v>0</v>
      </c>
      <c r="F466" s="60">
        <v>0</v>
      </c>
      <c r="G466" s="60">
        <v>0</v>
      </c>
      <c r="H466" s="93">
        <v>0.1375562515149773</v>
      </c>
      <c r="I466" s="93">
        <v>0</v>
      </c>
      <c r="J466" s="93">
        <v>0.1375562515149773</v>
      </c>
    </row>
    <row r="467" spans="1:10" x14ac:dyDescent="0.3">
      <c r="A467" s="92">
        <v>44805</v>
      </c>
      <c r="B467" s="60">
        <v>11262.72</v>
      </c>
      <c r="C467" s="60">
        <v>12811.977545062766</v>
      </c>
      <c r="D467" s="60">
        <v>0</v>
      </c>
      <c r="E467" s="60">
        <v>0</v>
      </c>
      <c r="F467" s="60">
        <v>0</v>
      </c>
      <c r="G467" s="60">
        <v>0</v>
      </c>
      <c r="H467" s="93">
        <v>0.13755625151497752</v>
      </c>
      <c r="I467" s="93">
        <v>0</v>
      </c>
      <c r="J467" s="93">
        <v>0.13755625151497752</v>
      </c>
    </row>
    <row r="468" spans="1:10" x14ac:dyDescent="0.3">
      <c r="A468" s="92">
        <v>44835</v>
      </c>
      <c r="B468" s="60">
        <v>11262.72</v>
      </c>
      <c r="C468" s="60">
        <v>12811.977545062766</v>
      </c>
      <c r="D468" s="60">
        <v>0</v>
      </c>
      <c r="E468" s="60">
        <v>0</v>
      </c>
      <c r="F468" s="60">
        <v>0</v>
      </c>
      <c r="G468" s="60">
        <v>0</v>
      </c>
      <c r="H468" s="93">
        <v>0.13755625151497752</v>
      </c>
      <c r="I468" s="93">
        <v>0</v>
      </c>
      <c r="J468" s="93">
        <v>0.13755625151497752</v>
      </c>
    </row>
    <row r="469" spans="1:10" x14ac:dyDescent="0.3">
      <c r="A469" s="91" t="s">
        <v>34</v>
      </c>
      <c r="B469" s="60">
        <v>0</v>
      </c>
      <c r="C469" s="60">
        <v>0</v>
      </c>
      <c r="D469" s="60">
        <v>118948.29483839999</v>
      </c>
      <c r="E469" s="60">
        <v>140189.33351982271</v>
      </c>
      <c r="F469" s="60">
        <v>56014.208236799997</v>
      </c>
      <c r="G469" s="60">
        <v>61574.764108796633</v>
      </c>
      <c r="H469" s="93">
        <v>0.17857371314385162</v>
      </c>
      <c r="I469" s="93">
        <v>9.9270453819312987E-2</v>
      </c>
      <c r="J469" s="93">
        <v>0.15318479149729503</v>
      </c>
    </row>
    <row r="470" spans="1:10" x14ac:dyDescent="0.3">
      <c r="A470" s="92">
        <v>44501</v>
      </c>
      <c r="B470" s="60">
        <v>0</v>
      </c>
      <c r="C470" s="60">
        <v>0</v>
      </c>
      <c r="D470" s="60">
        <v>8343.7958976000009</v>
      </c>
      <c r="E470" s="60">
        <v>9833.7785127488678</v>
      </c>
      <c r="F470" s="60">
        <v>3929.1956352000002</v>
      </c>
      <c r="G470" s="60">
        <v>4319.2486690511678</v>
      </c>
      <c r="H470" s="93">
        <v>0.1785737131438514</v>
      </c>
      <c r="I470" s="93">
        <v>9.9270453819312987E-2</v>
      </c>
      <c r="J470" s="93">
        <v>0.15318479149729503</v>
      </c>
    </row>
    <row r="471" spans="1:10" x14ac:dyDescent="0.3">
      <c r="A471" s="92">
        <v>44531</v>
      </c>
      <c r="B471" s="60">
        <v>0</v>
      </c>
      <c r="C471" s="60">
        <v>0</v>
      </c>
      <c r="D471" s="60">
        <v>8909.8595231999989</v>
      </c>
      <c r="E471" s="60">
        <v>10500.926221847931</v>
      </c>
      <c r="F471" s="60">
        <v>4195.7619263999995</v>
      </c>
      <c r="G471" s="60">
        <v>4612.2771169515227</v>
      </c>
      <c r="H471" s="93">
        <v>0.17857371314385162</v>
      </c>
      <c r="I471" s="93">
        <v>9.9270453819312987E-2</v>
      </c>
      <c r="J471" s="93">
        <v>0.15318479149729503</v>
      </c>
    </row>
    <row r="472" spans="1:10" x14ac:dyDescent="0.3">
      <c r="A472" s="92">
        <v>44562</v>
      </c>
      <c r="B472" s="60">
        <v>0</v>
      </c>
      <c r="C472" s="60">
        <v>0</v>
      </c>
      <c r="D472" s="60">
        <v>10225.2577728</v>
      </c>
      <c r="E472" s="60">
        <v>12051.220021141926</v>
      </c>
      <c r="F472" s="60">
        <v>4815.1990655999998</v>
      </c>
      <c r="G472" s="60">
        <v>5293.2060620724433</v>
      </c>
      <c r="H472" s="93">
        <v>0.17857371314385162</v>
      </c>
      <c r="I472" s="93">
        <v>9.9270453819312987E-2</v>
      </c>
      <c r="J472" s="93">
        <v>0.15318479149729503</v>
      </c>
    </row>
    <row r="473" spans="1:10" x14ac:dyDescent="0.3">
      <c r="A473" s="92">
        <v>44593</v>
      </c>
      <c r="B473" s="60">
        <v>0</v>
      </c>
      <c r="C473" s="60">
        <v>0</v>
      </c>
      <c r="D473" s="60">
        <v>9319.7365343999991</v>
      </c>
      <c r="E473" s="60">
        <v>10983.996492870219</v>
      </c>
      <c r="F473" s="60">
        <v>4388.7780288000004</v>
      </c>
      <c r="G473" s="60">
        <v>4824.4540154312053</v>
      </c>
      <c r="H473" s="93">
        <v>0.17857371314385162</v>
      </c>
      <c r="I473" s="93">
        <v>9.9270453819312765E-2</v>
      </c>
      <c r="J473" s="93">
        <v>0.15318479149729525</v>
      </c>
    </row>
    <row r="474" spans="1:10" x14ac:dyDescent="0.3">
      <c r="A474" s="92">
        <v>44621</v>
      </c>
      <c r="B474" s="60">
        <v>0</v>
      </c>
      <c r="C474" s="60">
        <v>0</v>
      </c>
      <c r="D474" s="60">
        <v>8803.327612799998</v>
      </c>
      <c r="E474" s="60">
        <v>10375.370512639494</v>
      </c>
      <c r="F474" s="60">
        <v>4145.5947455999994</v>
      </c>
      <c r="G474" s="60">
        <v>4557.1298173466712</v>
      </c>
      <c r="H474" s="93">
        <v>0.17857371314385184</v>
      </c>
      <c r="I474" s="93">
        <v>9.9270453819312987E-2</v>
      </c>
      <c r="J474" s="93">
        <v>0.15318479149729525</v>
      </c>
    </row>
    <row r="475" spans="1:10" x14ac:dyDescent="0.3">
      <c r="A475" s="92">
        <v>44652</v>
      </c>
      <c r="B475" s="60">
        <v>0</v>
      </c>
      <c r="C475" s="60">
        <v>0</v>
      </c>
      <c r="D475" s="60">
        <v>9775.656998399998</v>
      </c>
      <c r="E475" s="60">
        <v>11521.332367024967</v>
      </c>
      <c r="F475" s="60">
        <v>4603.4765567999993</v>
      </c>
      <c r="G475" s="60">
        <v>5060.4657637401033</v>
      </c>
      <c r="H475" s="93">
        <v>0.17857371314385184</v>
      </c>
      <c r="I475" s="93">
        <v>9.9270453819312987E-2</v>
      </c>
      <c r="J475" s="93">
        <v>0.15318479149729503</v>
      </c>
    </row>
    <row r="476" spans="1:10" x14ac:dyDescent="0.3">
      <c r="A476" s="92">
        <v>44682</v>
      </c>
      <c r="B476" s="60">
        <v>0</v>
      </c>
      <c r="C476" s="60">
        <v>0</v>
      </c>
      <c r="D476" s="60">
        <v>8286.9186911999986</v>
      </c>
      <c r="E476" s="60">
        <v>9766.7445324087694</v>
      </c>
      <c r="F476" s="60">
        <v>3902.4114624000003</v>
      </c>
      <c r="G476" s="60">
        <v>4289.805619262137</v>
      </c>
      <c r="H476" s="93">
        <v>0.17857371314385162</v>
      </c>
      <c r="I476" s="93">
        <v>9.9270453819312987E-2</v>
      </c>
      <c r="J476" s="93">
        <v>0.15318479149729503</v>
      </c>
    </row>
    <row r="477" spans="1:10" x14ac:dyDescent="0.3">
      <c r="A477" s="92">
        <v>44713</v>
      </c>
      <c r="B477" s="60">
        <v>0</v>
      </c>
      <c r="C477" s="60">
        <v>0</v>
      </c>
      <c r="D477" s="60">
        <v>9177.9949247999994</v>
      </c>
      <c r="E477" s="60">
        <v>10816.943557736959</v>
      </c>
      <c r="F477" s="60">
        <v>4322.0301696000006</v>
      </c>
      <c r="G477" s="60">
        <v>4751.0800659569541</v>
      </c>
      <c r="H477" s="93">
        <v>0.1785737131438514</v>
      </c>
      <c r="I477" s="93">
        <v>9.9270453819312765E-2</v>
      </c>
      <c r="J477" s="93">
        <v>0.1531847914972948</v>
      </c>
    </row>
    <row r="478" spans="1:10" x14ac:dyDescent="0.3">
      <c r="A478" s="92">
        <v>44743</v>
      </c>
      <c r="B478" s="60">
        <v>0</v>
      </c>
      <c r="C478" s="60">
        <v>0</v>
      </c>
      <c r="D478" s="60">
        <v>10561.104134399999</v>
      </c>
      <c r="E478" s="60">
        <v>12447.039714578688</v>
      </c>
      <c r="F478" s="60">
        <v>4973.3532288000006</v>
      </c>
      <c r="G478" s="60">
        <v>5467.0602608267209</v>
      </c>
      <c r="H478" s="93">
        <v>0.17857371314385162</v>
      </c>
      <c r="I478" s="93">
        <v>9.9270453819312765E-2</v>
      </c>
      <c r="J478" s="93">
        <v>0.15318479149729503</v>
      </c>
    </row>
    <row r="479" spans="1:10" x14ac:dyDescent="0.3">
      <c r="A479" s="92">
        <v>44774</v>
      </c>
      <c r="B479" s="60">
        <v>0</v>
      </c>
      <c r="C479" s="60">
        <v>0</v>
      </c>
      <c r="D479" s="60">
        <v>10464.503164799999</v>
      </c>
      <c r="E479" s="60">
        <v>12333.188351143921</v>
      </c>
      <c r="F479" s="60">
        <v>4927.8626495999997</v>
      </c>
      <c r="G479" s="60">
        <v>5417.0538111850337</v>
      </c>
      <c r="H479" s="93">
        <v>0.17857371314385162</v>
      </c>
      <c r="I479" s="93">
        <v>9.9270453819312987E-2</v>
      </c>
      <c r="J479" s="93">
        <v>0.15318479149729525</v>
      </c>
    </row>
    <row r="480" spans="1:10" x14ac:dyDescent="0.3">
      <c r="A480" s="92">
        <v>44805</v>
      </c>
      <c r="B480" s="60">
        <v>0</v>
      </c>
      <c r="C480" s="60">
        <v>0</v>
      </c>
      <c r="D480" s="60">
        <v>12540.069792</v>
      </c>
      <c r="E480" s="60">
        <v>14779.396617840486</v>
      </c>
      <c r="F480" s="60">
        <v>5905.2723839999999</v>
      </c>
      <c r="G480" s="60">
        <v>6491.4914534863365</v>
      </c>
      <c r="H480" s="93">
        <v>0.17857371314385162</v>
      </c>
      <c r="I480" s="93">
        <v>9.9270453819312987E-2</v>
      </c>
      <c r="J480" s="93">
        <v>0.15318479149729525</v>
      </c>
    </row>
    <row r="481" spans="1:10" x14ac:dyDescent="0.3">
      <c r="A481" s="92">
        <v>44835</v>
      </c>
      <c r="B481" s="60">
        <v>0</v>
      </c>
      <c r="C481" s="60">
        <v>0</v>
      </c>
      <c r="D481" s="60">
        <v>12540.069792</v>
      </c>
      <c r="E481" s="60">
        <v>14779.396617840486</v>
      </c>
      <c r="F481" s="60">
        <v>5905.2723839999999</v>
      </c>
      <c r="G481" s="60">
        <v>6491.4914534863365</v>
      </c>
      <c r="H481" s="93">
        <v>0.17857371314385162</v>
      </c>
      <c r="I481" s="93">
        <v>9.9270453819312987E-2</v>
      </c>
      <c r="J481" s="93">
        <v>0.15318479149729525</v>
      </c>
    </row>
    <row r="482" spans="1:10" x14ac:dyDescent="0.3">
      <c r="A482" s="87" t="s">
        <v>50</v>
      </c>
      <c r="B482" s="60">
        <v>325920.56</v>
      </c>
      <c r="C482" s="60">
        <v>335255.34568773716</v>
      </c>
      <c r="D482" s="60">
        <v>1186258.9008915999</v>
      </c>
      <c r="E482" s="60">
        <v>1731463.7605777772</v>
      </c>
      <c r="F482" s="60">
        <v>3055702.8547319993</v>
      </c>
      <c r="G482" s="60">
        <v>3351190.8586619697</v>
      </c>
      <c r="H482" s="93">
        <v>0.36671549886476495</v>
      </c>
      <c r="I482" s="93">
        <v>9.6700503281064609E-2</v>
      </c>
      <c r="J482" s="93">
        <v>0.18608790475983206</v>
      </c>
    </row>
    <row r="483" spans="1:10" x14ac:dyDescent="0.3">
      <c r="A483" s="88" t="s">
        <v>51</v>
      </c>
      <c r="B483" s="60">
        <v>325920.56</v>
      </c>
      <c r="C483" s="60">
        <v>335255.34568773716</v>
      </c>
      <c r="D483" s="60">
        <v>1186258.9008915999</v>
      </c>
      <c r="E483" s="60">
        <v>1731463.7605777772</v>
      </c>
      <c r="F483" s="60">
        <v>3055702.8547319993</v>
      </c>
      <c r="G483" s="60">
        <v>3351190.8586619697</v>
      </c>
      <c r="H483" s="93">
        <v>0.36671549886476495</v>
      </c>
      <c r="I483" s="93">
        <v>9.6700503281064609E-2</v>
      </c>
      <c r="J483" s="93">
        <v>0.18608790475983206</v>
      </c>
    </row>
    <row r="484" spans="1:10" x14ac:dyDescent="0.3">
      <c r="A484" s="89" t="s">
        <v>25</v>
      </c>
      <c r="B484" s="60">
        <v>325920.56</v>
      </c>
      <c r="C484" s="60">
        <v>335255.34568773716</v>
      </c>
      <c r="D484" s="60">
        <v>1186258.9008915999</v>
      </c>
      <c r="E484" s="60">
        <v>1731463.7605777772</v>
      </c>
      <c r="F484" s="60">
        <v>3055702.8547319993</v>
      </c>
      <c r="G484" s="60">
        <v>3351190.8586619697</v>
      </c>
      <c r="H484" s="93">
        <v>0.36671549886476495</v>
      </c>
      <c r="I484" s="93">
        <v>9.6700503281064609E-2</v>
      </c>
      <c r="J484" s="93">
        <v>0.18608790475983206</v>
      </c>
    </row>
    <row r="485" spans="1:10" x14ac:dyDescent="0.3">
      <c r="A485" s="90" t="s">
        <v>25</v>
      </c>
      <c r="B485" s="60">
        <v>325920.56</v>
      </c>
      <c r="C485" s="60">
        <v>335255.34568773716</v>
      </c>
      <c r="D485" s="60">
        <v>1186258.9008915999</v>
      </c>
      <c r="E485" s="60">
        <v>1731463.7605777772</v>
      </c>
      <c r="F485" s="60">
        <v>3055702.8547319993</v>
      </c>
      <c r="G485" s="60">
        <v>3351190.8586619697</v>
      </c>
      <c r="H485" s="93">
        <v>0.36671549886476495</v>
      </c>
      <c r="I485" s="93">
        <v>9.6700503281064609E-2</v>
      </c>
      <c r="J485" s="93">
        <v>0.18608790475983206</v>
      </c>
    </row>
    <row r="486" spans="1:10" x14ac:dyDescent="0.3">
      <c r="A486" s="91" t="s">
        <v>35</v>
      </c>
      <c r="B486" s="60">
        <v>0</v>
      </c>
      <c r="C486" s="60">
        <v>0</v>
      </c>
      <c r="D486" s="60">
        <v>736284.85101599991</v>
      </c>
      <c r="E486" s="60">
        <v>1201136.1737975148</v>
      </c>
      <c r="F486" s="60">
        <v>2843804.5659408001</v>
      </c>
      <c r="G486" s="60">
        <v>3115728.7425623992</v>
      </c>
      <c r="H486" s="93">
        <v>0.63134712352164546</v>
      </c>
      <c r="I486" s="93">
        <v>9.5619853726354842E-2</v>
      </c>
      <c r="J486" s="93">
        <v>0.20579807194575572</v>
      </c>
    </row>
    <row r="487" spans="1:10" x14ac:dyDescent="0.3">
      <c r="A487" s="92">
        <v>44501</v>
      </c>
      <c r="B487" s="60">
        <v>0</v>
      </c>
      <c r="C487" s="60">
        <v>0</v>
      </c>
      <c r="D487" s="60">
        <v>63672.321608999991</v>
      </c>
      <c r="E487" s="60">
        <v>103871.65870478725</v>
      </c>
      <c r="F487" s="60">
        <v>245926.06878419998</v>
      </c>
      <c r="G487" s="60">
        <v>269441.48350884271</v>
      </c>
      <c r="H487" s="93">
        <v>0.63134712352164546</v>
      </c>
      <c r="I487" s="93">
        <v>9.5619853726355064E-2</v>
      </c>
      <c r="J487" s="93">
        <v>0.20579807194575594</v>
      </c>
    </row>
    <row r="488" spans="1:10" x14ac:dyDescent="0.3">
      <c r="A488" s="92">
        <v>44531</v>
      </c>
      <c r="B488" s="60">
        <v>0</v>
      </c>
      <c r="C488" s="60">
        <v>0</v>
      </c>
      <c r="D488" s="60">
        <v>60528.546974999997</v>
      </c>
      <c r="E488" s="60">
        <v>98743.070998611031</v>
      </c>
      <c r="F488" s="60">
        <v>233783.64775499998</v>
      </c>
      <c r="G488" s="60">
        <v>256138.00595694678</v>
      </c>
      <c r="H488" s="93">
        <v>0.63134712352164524</v>
      </c>
      <c r="I488" s="93">
        <v>9.5619853726355064E-2</v>
      </c>
      <c r="J488" s="93">
        <v>0.20579807194575572</v>
      </c>
    </row>
    <row r="489" spans="1:10" x14ac:dyDescent="0.3">
      <c r="A489" s="92">
        <v>44562</v>
      </c>
      <c r="B489" s="60">
        <v>0</v>
      </c>
      <c r="C489" s="60">
        <v>0</v>
      </c>
      <c r="D489" s="60">
        <v>60759.341838</v>
      </c>
      <c r="E489" s="60">
        <v>99119.577534489668</v>
      </c>
      <c r="F489" s="60">
        <v>234675.0629244</v>
      </c>
      <c r="G489" s="60">
        <v>257114.65811445427</v>
      </c>
      <c r="H489" s="93">
        <v>0.63134712352164546</v>
      </c>
      <c r="I489" s="93">
        <v>9.5619853726354842E-2</v>
      </c>
      <c r="J489" s="93">
        <v>0.20579807194575572</v>
      </c>
    </row>
    <row r="490" spans="1:10" x14ac:dyDescent="0.3">
      <c r="A490" s="92">
        <v>44593</v>
      </c>
      <c r="B490" s="60">
        <v>0</v>
      </c>
      <c r="C490" s="60">
        <v>0</v>
      </c>
      <c r="D490" s="60">
        <v>60371.541359999996</v>
      </c>
      <c r="E490" s="60">
        <v>98486.940340204048</v>
      </c>
      <c r="F490" s="60">
        <v>233177.23396799999</v>
      </c>
      <c r="G490" s="60">
        <v>255473.60697233619</v>
      </c>
      <c r="H490" s="93">
        <v>0.63134712352164568</v>
      </c>
      <c r="I490" s="93">
        <v>9.5619853726354842E-2</v>
      </c>
      <c r="J490" s="93">
        <v>0.20579807194575594</v>
      </c>
    </row>
    <row r="491" spans="1:10" x14ac:dyDescent="0.3">
      <c r="A491" s="92">
        <v>44621</v>
      </c>
      <c r="B491" s="60">
        <v>0</v>
      </c>
      <c r="C491" s="60">
        <v>0</v>
      </c>
      <c r="D491" s="60">
        <v>57081.409008000002</v>
      </c>
      <c r="E491" s="60">
        <v>93119.592391763348</v>
      </c>
      <c r="F491" s="60">
        <v>220469.52527039999</v>
      </c>
      <c r="G491" s="60">
        <v>241550.78902787456</v>
      </c>
      <c r="H491" s="93">
        <v>0.63134712352164546</v>
      </c>
      <c r="I491" s="93">
        <v>9.5619853726355064E-2</v>
      </c>
      <c r="J491" s="93">
        <v>0.20579807194575594</v>
      </c>
    </row>
    <row r="492" spans="1:10" x14ac:dyDescent="0.3">
      <c r="A492" s="92">
        <v>44652</v>
      </c>
      <c r="B492" s="60">
        <v>0</v>
      </c>
      <c r="C492" s="60">
        <v>0</v>
      </c>
      <c r="D492" s="60">
        <v>63537.832565999997</v>
      </c>
      <c r="E492" s="60">
        <v>103652.26039134403</v>
      </c>
      <c r="F492" s="60">
        <v>245406.62233079999</v>
      </c>
      <c r="G492" s="60">
        <v>268872.36766154994</v>
      </c>
      <c r="H492" s="93">
        <v>0.63134712352164546</v>
      </c>
      <c r="I492" s="93">
        <v>9.5619853726355064E-2</v>
      </c>
      <c r="J492" s="93">
        <v>0.20579807194575594</v>
      </c>
    </row>
    <row r="493" spans="1:10" x14ac:dyDescent="0.3">
      <c r="A493" s="92">
        <v>44682</v>
      </c>
      <c r="B493" s="60">
        <v>0</v>
      </c>
      <c r="C493" s="60">
        <v>0</v>
      </c>
      <c r="D493" s="60">
        <v>60810.682334999998</v>
      </c>
      <c r="E493" s="60">
        <v>99203.33170659079</v>
      </c>
      <c r="F493" s="60">
        <v>234873.35892299999</v>
      </c>
      <c r="G493" s="60">
        <v>257331.91514743492</v>
      </c>
      <c r="H493" s="93">
        <v>0.63134712352164546</v>
      </c>
      <c r="I493" s="93">
        <v>9.5619853726355064E-2</v>
      </c>
      <c r="J493" s="93">
        <v>0.20579807194575572</v>
      </c>
    </row>
    <row r="494" spans="1:10" x14ac:dyDescent="0.3">
      <c r="A494" s="92">
        <v>44713</v>
      </c>
      <c r="B494" s="60">
        <v>0</v>
      </c>
      <c r="C494" s="60">
        <v>0</v>
      </c>
      <c r="D494" s="60">
        <v>61193.396238000001</v>
      </c>
      <c r="E494" s="60">
        <v>99827.670931381581</v>
      </c>
      <c r="F494" s="60">
        <v>236351.54164439999</v>
      </c>
      <c r="G494" s="60">
        <v>258951.44148443601</v>
      </c>
      <c r="H494" s="93">
        <v>0.63134712352164546</v>
      </c>
      <c r="I494" s="93">
        <v>9.5619853726355064E-2</v>
      </c>
      <c r="J494" s="93">
        <v>0.20579807194575572</v>
      </c>
    </row>
    <row r="495" spans="1:10" x14ac:dyDescent="0.3">
      <c r="A495" s="92">
        <v>44743</v>
      </c>
      <c r="B495" s="60">
        <v>0</v>
      </c>
      <c r="C495" s="60">
        <v>0</v>
      </c>
      <c r="D495" s="60">
        <v>59615.744135999994</v>
      </c>
      <c r="E495" s="60">
        <v>97253.972712866002</v>
      </c>
      <c r="F495" s="60">
        <v>230258.06539679997</v>
      </c>
      <c r="G495" s="60">
        <v>252275.30792935548</v>
      </c>
      <c r="H495" s="93">
        <v>0.63134712352164568</v>
      </c>
      <c r="I495" s="93">
        <v>9.5619853726355064E-2</v>
      </c>
      <c r="J495" s="93">
        <v>0.20579807194575572</v>
      </c>
    </row>
    <row r="496" spans="1:10" x14ac:dyDescent="0.3">
      <c r="A496" s="92">
        <v>44774</v>
      </c>
      <c r="B496" s="60">
        <v>0</v>
      </c>
      <c r="C496" s="60">
        <v>0</v>
      </c>
      <c r="D496" s="60">
        <v>62807.196932999999</v>
      </c>
      <c r="E496" s="60">
        <v>102460.34005310705</v>
      </c>
      <c r="F496" s="60">
        <v>242584.63713539997</v>
      </c>
      <c r="G496" s="60">
        <v>265780.54465454782</v>
      </c>
      <c r="H496" s="93">
        <v>0.63134712352164524</v>
      </c>
      <c r="I496" s="93">
        <v>9.5619853726355064E-2</v>
      </c>
      <c r="J496" s="93">
        <v>0.20579807194575594</v>
      </c>
    </row>
    <row r="497" spans="1:10" x14ac:dyDescent="0.3">
      <c r="A497" s="92">
        <v>44805</v>
      </c>
      <c r="B497" s="60">
        <v>0</v>
      </c>
      <c r="C497" s="60">
        <v>0</v>
      </c>
      <c r="D497" s="60">
        <v>62953.419008999997</v>
      </c>
      <c r="E497" s="60">
        <v>102698.87901618502</v>
      </c>
      <c r="F497" s="60">
        <v>243149.40090419998</v>
      </c>
      <c r="G497" s="60">
        <v>266399.31105231046</v>
      </c>
      <c r="H497" s="93">
        <v>0.63134712352164546</v>
      </c>
      <c r="I497" s="93">
        <v>9.5619853726355064E-2</v>
      </c>
      <c r="J497" s="93">
        <v>0.20579807194575594</v>
      </c>
    </row>
    <row r="498" spans="1:10" x14ac:dyDescent="0.3">
      <c r="A498" s="92">
        <v>44835</v>
      </c>
      <c r="B498" s="60">
        <v>0</v>
      </c>
      <c r="C498" s="60">
        <v>0</v>
      </c>
      <c r="D498" s="60">
        <v>62953.419008999997</v>
      </c>
      <c r="E498" s="60">
        <v>102698.87901618502</v>
      </c>
      <c r="F498" s="60">
        <v>243149.40090419998</v>
      </c>
      <c r="G498" s="60">
        <v>266399.31105231046</v>
      </c>
      <c r="H498" s="93">
        <v>0.63134712352164546</v>
      </c>
      <c r="I498" s="93">
        <v>9.5619853726355064E-2</v>
      </c>
      <c r="J498" s="93">
        <v>0.20579807194575594</v>
      </c>
    </row>
    <row r="499" spans="1:10" x14ac:dyDescent="0.3">
      <c r="A499" s="91" t="s">
        <v>25</v>
      </c>
      <c r="B499" s="60">
        <v>325920.56</v>
      </c>
      <c r="C499" s="60">
        <v>335255.34568773716</v>
      </c>
      <c r="D499" s="60">
        <v>0</v>
      </c>
      <c r="E499" s="60">
        <v>0</v>
      </c>
      <c r="F499" s="60">
        <v>0</v>
      </c>
      <c r="G499" s="60">
        <v>0</v>
      </c>
      <c r="H499" s="93">
        <v>2.8641291263543422E-2</v>
      </c>
      <c r="I499" s="93">
        <v>0</v>
      </c>
      <c r="J499" s="93">
        <v>2.8641291263543422E-2</v>
      </c>
    </row>
    <row r="500" spans="1:10" x14ac:dyDescent="0.3">
      <c r="A500" s="92">
        <v>44501</v>
      </c>
      <c r="B500" s="60">
        <v>27017.48</v>
      </c>
      <c r="C500" s="60">
        <v>27791.295513886958</v>
      </c>
      <c r="D500" s="60">
        <v>0</v>
      </c>
      <c r="E500" s="60">
        <v>0</v>
      </c>
      <c r="F500" s="60">
        <v>0</v>
      </c>
      <c r="G500" s="60">
        <v>0</v>
      </c>
      <c r="H500" s="93">
        <v>2.8641291263543422E-2</v>
      </c>
      <c r="I500" s="93">
        <v>0</v>
      </c>
      <c r="J500" s="93">
        <v>2.8641291263543422E-2</v>
      </c>
    </row>
    <row r="501" spans="1:10" x14ac:dyDescent="0.3">
      <c r="A501" s="92">
        <v>44531</v>
      </c>
      <c r="B501" s="60">
        <v>26938.52</v>
      </c>
      <c r="C501" s="60">
        <v>27710.073997528791</v>
      </c>
      <c r="D501" s="60">
        <v>0</v>
      </c>
      <c r="E501" s="60">
        <v>0</v>
      </c>
      <c r="F501" s="60">
        <v>0</v>
      </c>
      <c r="G501" s="60">
        <v>0</v>
      </c>
      <c r="H501" s="93">
        <v>2.8641291263543422E-2</v>
      </c>
      <c r="I501" s="93">
        <v>0</v>
      </c>
      <c r="J501" s="93">
        <v>2.8641291263543422E-2</v>
      </c>
    </row>
    <row r="502" spans="1:10" x14ac:dyDescent="0.3">
      <c r="A502" s="92">
        <v>44562</v>
      </c>
      <c r="B502" s="60">
        <v>26662.16</v>
      </c>
      <c r="C502" s="60">
        <v>27425.798690275195</v>
      </c>
      <c r="D502" s="60">
        <v>0</v>
      </c>
      <c r="E502" s="60">
        <v>0</v>
      </c>
      <c r="F502" s="60">
        <v>0</v>
      </c>
      <c r="G502" s="60">
        <v>0</v>
      </c>
      <c r="H502" s="93">
        <v>2.8641291263543422E-2</v>
      </c>
      <c r="I502" s="93">
        <v>0</v>
      </c>
      <c r="J502" s="93">
        <v>2.8641291263543422E-2</v>
      </c>
    </row>
    <row r="503" spans="1:10" x14ac:dyDescent="0.3">
      <c r="A503" s="92">
        <v>44593</v>
      </c>
      <c r="B503" s="60">
        <v>26951.68</v>
      </c>
      <c r="C503" s="60">
        <v>27723.610916921814</v>
      </c>
      <c r="D503" s="60">
        <v>0</v>
      </c>
      <c r="E503" s="60">
        <v>0</v>
      </c>
      <c r="F503" s="60">
        <v>0</v>
      </c>
      <c r="G503" s="60">
        <v>0</v>
      </c>
      <c r="H503" s="93">
        <v>2.86412912635432E-2</v>
      </c>
      <c r="I503" s="93">
        <v>0</v>
      </c>
      <c r="J503" s="93">
        <v>2.86412912635432E-2</v>
      </c>
    </row>
    <row r="504" spans="1:10" x14ac:dyDescent="0.3">
      <c r="A504" s="92">
        <v>44621</v>
      </c>
      <c r="B504" s="60">
        <v>27056.959999999999</v>
      </c>
      <c r="C504" s="60">
        <v>27831.90627206604</v>
      </c>
      <c r="D504" s="60">
        <v>0</v>
      </c>
      <c r="E504" s="60">
        <v>0</v>
      </c>
      <c r="F504" s="60">
        <v>0</v>
      </c>
      <c r="G504" s="60">
        <v>0</v>
      </c>
      <c r="H504" s="93">
        <v>2.8641291263543422E-2</v>
      </c>
      <c r="I504" s="93">
        <v>0</v>
      </c>
      <c r="J504" s="93">
        <v>2.8641291263543422E-2</v>
      </c>
    </row>
    <row r="505" spans="1:10" x14ac:dyDescent="0.3">
      <c r="A505" s="92">
        <v>44652</v>
      </c>
      <c r="B505" s="60">
        <v>26978</v>
      </c>
      <c r="C505" s="60">
        <v>27750.684755707873</v>
      </c>
      <c r="D505" s="60">
        <v>0</v>
      </c>
      <c r="E505" s="60">
        <v>0</v>
      </c>
      <c r="F505" s="60">
        <v>0</v>
      </c>
      <c r="G505" s="60">
        <v>0</v>
      </c>
      <c r="H505" s="93">
        <v>2.8641291263543422E-2</v>
      </c>
      <c r="I505" s="93">
        <v>0</v>
      </c>
      <c r="J505" s="93">
        <v>2.8641291263543422E-2</v>
      </c>
    </row>
    <row r="506" spans="1:10" x14ac:dyDescent="0.3">
      <c r="A506" s="92">
        <v>44682</v>
      </c>
      <c r="B506" s="60">
        <v>27267.52</v>
      </c>
      <c r="C506" s="60">
        <v>28048.496982354496</v>
      </c>
      <c r="D506" s="60">
        <v>0</v>
      </c>
      <c r="E506" s="60">
        <v>0</v>
      </c>
      <c r="F506" s="60">
        <v>0</v>
      </c>
      <c r="G506" s="60">
        <v>0</v>
      </c>
      <c r="H506" s="93">
        <v>2.8641291263543422E-2</v>
      </c>
      <c r="I506" s="93">
        <v>0</v>
      </c>
      <c r="J506" s="93">
        <v>2.8641291263543422E-2</v>
      </c>
    </row>
    <row r="507" spans="1:10" x14ac:dyDescent="0.3">
      <c r="A507" s="92">
        <v>44713</v>
      </c>
      <c r="B507" s="60">
        <v>27122.760000000002</v>
      </c>
      <c r="C507" s="60">
        <v>27899.590869031181</v>
      </c>
      <c r="D507" s="60">
        <v>0</v>
      </c>
      <c r="E507" s="60">
        <v>0</v>
      </c>
      <c r="F507" s="60">
        <v>0</v>
      </c>
      <c r="G507" s="60">
        <v>0</v>
      </c>
      <c r="H507" s="93">
        <v>2.86412912635432E-2</v>
      </c>
      <c r="I507" s="93">
        <v>0</v>
      </c>
      <c r="J507" s="93">
        <v>2.86412912635432E-2</v>
      </c>
    </row>
    <row r="508" spans="1:10" x14ac:dyDescent="0.3">
      <c r="A508" s="92">
        <v>44743</v>
      </c>
      <c r="B508" s="60">
        <v>27385.96</v>
      </c>
      <c r="C508" s="60">
        <v>28170.329256891746</v>
      </c>
      <c r="D508" s="60">
        <v>0</v>
      </c>
      <c r="E508" s="60">
        <v>0</v>
      </c>
      <c r="F508" s="60">
        <v>0</v>
      </c>
      <c r="G508" s="60">
        <v>0</v>
      </c>
      <c r="H508" s="93">
        <v>2.8641291263543422E-2</v>
      </c>
      <c r="I508" s="93">
        <v>0</v>
      </c>
      <c r="J508" s="93">
        <v>2.8641291263543422E-2</v>
      </c>
    </row>
    <row r="509" spans="1:10" x14ac:dyDescent="0.3">
      <c r="A509" s="92">
        <v>44774</v>
      </c>
      <c r="B509" s="60">
        <v>27504.400000000001</v>
      </c>
      <c r="C509" s="60">
        <v>28292.161531429003</v>
      </c>
      <c r="D509" s="60">
        <v>0</v>
      </c>
      <c r="E509" s="60">
        <v>0</v>
      </c>
      <c r="F509" s="60">
        <v>0</v>
      </c>
      <c r="G509" s="60">
        <v>0</v>
      </c>
      <c r="H509" s="93">
        <v>2.8641291263543422E-2</v>
      </c>
      <c r="I509" s="93">
        <v>0</v>
      </c>
      <c r="J509" s="93">
        <v>2.8641291263543422E-2</v>
      </c>
    </row>
    <row r="510" spans="1:10" x14ac:dyDescent="0.3">
      <c r="A510" s="92">
        <v>44805</v>
      </c>
      <c r="B510" s="60">
        <v>27517.56</v>
      </c>
      <c r="C510" s="60">
        <v>28305.69845082203</v>
      </c>
      <c r="D510" s="60">
        <v>0</v>
      </c>
      <c r="E510" s="60">
        <v>0</v>
      </c>
      <c r="F510" s="60">
        <v>0</v>
      </c>
      <c r="G510" s="60">
        <v>0</v>
      </c>
      <c r="H510" s="93">
        <v>2.8641291263543422E-2</v>
      </c>
      <c r="I510" s="93">
        <v>0</v>
      </c>
      <c r="J510" s="93">
        <v>2.8641291263543422E-2</v>
      </c>
    </row>
    <row r="511" spans="1:10" x14ac:dyDescent="0.3">
      <c r="A511" s="92">
        <v>44835</v>
      </c>
      <c r="B511" s="60">
        <v>27517.56</v>
      </c>
      <c r="C511" s="60">
        <v>28305.69845082203</v>
      </c>
      <c r="D511" s="60">
        <v>0</v>
      </c>
      <c r="E511" s="60">
        <v>0</v>
      </c>
      <c r="F511" s="60">
        <v>0</v>
      </c>
      <c r="G511" s="60">
        <v>0</v>
      </c>
      <c r="H511" s="93">
        <v>2.8641291263543422E-2</v>
      </c>
      <c r="I511" s="93">
        <v>0</v>
      </c>
      <c r="J511" s="93">
        <v>2.8641291263543422E-2</v>
      </c>
    </row>
    <row r="512" spans="1:10" x14ac:dyDescent="0.3">
      <c r="A512" s="91" t="s">
        <v>34</v>
      </c>
      <c r="B512" s="60">
        <v>0</v>
      </c>
      <c r="C512" s="60">
        <v>0</v>
      </c>
      <c r="D512" s="60">
        <v>449974.04987559991</v>
      </c>
      <c r="E512" s="60">
        <v>530327.58678026253</v>
      </c>
      <c r="F512" s="60">
        <v>211898.28879119997</v>
      </c>
      <c r="G512" s="60">
        <v>235462.11609957143</v>
      </c>
      <c r="H512" s="93">
        <v>0.17857371314385184</v>
      </c>
      <c r="I512" s="93">
        <v>0.11120348089073406</v>
      </c>
      <c r="J512" s="93">
        <v>0.15700514758231665</v>
      </c>
    </row>
    <row r="513" spans="1:10" x14ac:dyDescent="0.3">
      <c r="A513" s="92">
        <v>44501</v>
      </c>
      <c r="B513" s="60">
        <v>0</v>
      </c>
      <c r="C513" s="60">
        <v>0</v>
      </c>
      <c r="D513" s="60">
        <v>44064.073353199987</v>
      </c>
      <c r="E513" s="60">
        <v>51932.758548123958</v>
      </c>
      <c r="F513" s="60">
        <v>20750.311586399996</v>
      </c>
      <c r="G513" s="60">
        <v>23057.818464375006</v>
      </c>
      <c r="H513" s="93">
        <v>0.17857371314385162</v>
      </c>
      <c r="I513" s="93">
        <v>0.11120348089073406</v>
      </c>
      <c r="J513" s="93">
        <v>0.15700514758231665</v>
      </c>
    </row>
    <row r="514" spans="1:10" x14ac:dyDescent="0.3">
      <c r="A514" s="92">
        <v>44531</v>
      </c>
      <c r="B514" s="60">
        <v>0</v>
      </c>
      <c r="C514" s="60">
        <v>0</v>
      </c>
      <c r="D514" s="60">
        <v>36256.548258799994</v>
      </c>
      <c r="E514" s="60">
        <v>42731.014707153161</v>
      </c>
      <c r="F514" s="60">
        <v>17073.652437600002</v>
      </c>
      <c r="G514" s="60">
        <v>18972.302020179686</v>
      </c>
      <c r="H514" s="93">
        <v>0.17857371314385162</v>
      </c>
      <c r="I514" s="93">
        <v>0.11120348089073384</v>
      </c>
      <c r="J514" s="93">
        <v>0.15700514758231665</v>
      </c>
    </row>
    <row r="515" spans="1:10" x14ac:dyDescent="0.3">
      <c r="A515" s="92">
        <v>44562</v>
      </c>
      <c r="B515" s="60">
        <v>0</v>
      </c>
      <c r="C515" s="60">
        <v>0</v>
      </c>
      <c r="D515" s="60">
        <v>44805.752876999992</v>
      </c>
      <c r="E515" s="60">
        <v>52806.882538451697</v>
      </c>
      <c r="F515" s="60">
        <v>21099.577554</v>
      </c>
      <c r="G515" s="60">
        <v>23445.9240233288</v>
      </c>
      <c r="H515" s="93">
        <v>0.17857371314385162</v>
      </c>
      <c r="I515" s="93">
        <v>0.11120348089073406</v>
      </c>
      <c r="J515" s="93">
        <v>0.15700514758231665</v>
      </c>
    </row>
    <row r="516" spans="1:10" x14ac:dyDescent="0.3">
      <c r="A516" s="92">
        <v>44593</v>
      </c>
      <c r="B516" s="60">
        <v>0</v>
      </c>
      <c r="C516" s="60">
        <v>0</v>
      </c>
      <c r="D516" s="60">
        <v>38025.440662999994</v>
      </c>
      <c r="E516" s="60">
        <v>44815.784796123109</v>
      </c>
      <c r="F516" s="60">
        <v>17906.645526</v>
      </c>
      <c r="G516" s="60">
        <v>19897.926839567688</v>
      </c>
      <c r="H516" s="93">
        <v>0.17857371314385162</v>
      </c>
      <c r="I516" s="93">
        <v>0.11120348089073406</v>
      </c>
      <c r="J516" s="93">
        <v>0.15700514758231665</v>
      </c>
    </row>
    <row r="517" spans="1:10" x14ac:dyDescent="0.3">
      <c r="A517" s="92">
        <v>44621</v>
      </c>
      <c r="B517" s="60">
        <v>0</v>
      </c>
      <c r="C517" s="60">
        <v>0</v>
      </c>
      <c r="D517" s="60">
        <v>34088.085956199997</v>
      </c>
      <c r="E517" s="60">
        <v>40175.322039365412</v>
      </c>
      <c r="F517" s="60">
        <v>16052.496992399998</v>
      </c>
      <c r="G517" s="60">
        <v>17837.590534942919</v>
      </c>
      <c r="H517" s="93">
        <v>0.17857371314385162</v>
      </c>
      <c r="I517" s="93">
        <v>0.11120348089073429</v>
      </c>
      <c r="J517" s="93">
        <v>0.15700514758231665</v>
      </c>
    </row>
    <row r="518" spans="1:10" x14ac:dyDescent="0.3">
      <c r="A518" s="92">
        <v>44652</v>
      </c>
      <c r="B518" s="60">
        <v>0</v>
      </c>
      <c r="C518" s="60">
        <v>0</v>
      </c>
      <c r="D518" s="60">
        <v>39043.813501399993</v>
      </c>
      <c r="E518" s="60">
        <v>46016.012253641034</v>
      </c>
      <c r="F518" s="60">
        <v>18386.209762799997</v>
      </c>
      <c r="G518" s="60">
        <v>20430.820288810559</v>
      </c>
      <c r="H518" s="93">
        <v>0.17857371314385162</v>
      </c>
      <c r="I518" s="93">
        <v>0.11120348089073429</v>
      </c>
      <c r="J518" s="93">
        <v>0.15700514758231665</v>
      </c>
    </row>
    <row r="519" spans="1:10" x14ac:dyDescent="0.3">
      <c r="A519" s="92">
        <v>44682</v>
      </c>
      <c r="B519" s="60">
        <v>0</v>
      </c>
      <c r="C519" s="60">
        <v>0</v>
      </c>
      <c r="D519" s="60">
        <v>33979.353439599996</v>
      </c>
      <c r="E519" s="60">
        <v>40047.172753536674</v>
      </c>
      <c r="F519" s="60">
        <v>16001.2935192</v>
      </c>
      <c r="G519" s="60">
        <v>17780.693057289383</v>
      </c>
      <c r="H519" s="93">
        <v>0.17857371314385162</v>
      </c>
      <c r="I519" s="93">
        <v>0.11120348089073406</v>
      </c>
      <c r="J519" s="93">
        <v>0.15700514758231665</v>
      </c>
    </row>
    <row r="520" spans="1:10" x14ac:dyDescent="0.3">
      <c r="A520" s="92">
        <v>44713</v>
      </c>
      <c r="B520" s="60">
        <v>0</v>
      </c>
      <c r="C520" s="60">
        <v>0</v>
      </c>
      <c r="D520" s="60">
        <v>37701.895125799994</v>
      </c>
      <c r="E520" s="60">
        <v>44434.462530974182</v>
      </c>
      <c r="F520" s="60">
        <v>17754.283971599998</v>
      </c>
      <c r="G520" s="60">
        <v>19728.622149964485</v>
      </c>
      <c r="H520" s="93">
        <v>0.17857371314385162</v>
      </c>
      <c r="I520" s="93">
        <v>0.11120348089073406</v>
      </c>
      <c r="J520" s="93">
        <v>0.15700514758231687</v>
      </c>
    </row>
    <row r="521" spans="1:10" x14ac:dyDescent="0.3">
      <c r="A521" s="92">
        <v>44743</v>
      </c>
      <c r="B521" s="60">
        <v>0</v>
      </c>
      <c r="C521" s="60">
        <v>0</v>
      </c>
      <c r="D521" s="60">
        <v>33715.920187999996</v>
      </c>
      <c r="E521" s="60">
        <v>39736.697248032899</v>
      </c>
      <c r="F521" s="60">
        <v>15877.239575999998</v>
      </c>
      <c r="G521" s="60">
        <v>17642.843883787322</v>
      </c>
      <c r="H521" s="93">
        <v>0.1785737131438514</v>
      </c>
      <c r="I521" s="93">
        <v>0.11120348089073406</v>
      </c>
      <c r="J521" s="93">
        <v>0.15700514758231665</v>
      </c>
    </row>
    <row r="522" spans="1:10" x14ac:dyDescent="0.3">
      <c r="A522" s="92">
        <v>44774</v>
      </c>
      <c r="B522" s="60">
        <v>0</v>
      </c>
      <c r="C522" s="60">
        <v>0</v>
      </c>
      <c r="D522" s="60">
        <v>37187.404681399996</v>
      </c>
      <c r="E522" s="60">
        <v>43828.097617540647</v>
      </c>
      <c r="F522" s="60">
        <v>17512.004122799997</v>
      </c>
      <c r="G522" s="60">
        <v>19459.399938628245</v>
      </c>
      <c r="H522" s="93">
        <v>0.17857371314385162</v>
      </c>
      <c r="I522" s="93">
        <v>0.11120348089073429</v>
      </c>
      <c r="J522" s="93">
        <v>0.15700514758231687</v>
      </c>
    </row>
    <row r="523" spans="1:10" x14ac:dyDescent="0.3">
      <c r="A523" s="92">
        <v>44805</v>
      </c>
      <c r="B523" s="60">
        <v>0</v>
      </c>
      <c r="C523" s="60">
        <v>0</v>
      </c>
      <c r="D523" s="60">
        <v>35552.880915599999</v>
      </c>
      <c r="E523" s="60">
        <v>41901.690873659871</v>
      </c>
      <c r="F523" s="60">
        <v>16742.286871200002</v>
      </c>
      <c r="G523" s="60">
        <v>18604.087449348677</v>
      </c>
      <c r="H523" s="93">
        <v>0.17857371314385162</v>
      </c>
      <c r="I523" s="93">
        <v>0.11120348089073406</v>
      </c>
      <c r="J523" s="93">
        <v>0.15700514758231665</v>
      </c>
    </row>
    <row r="524" spans="1:10" x14ac:dyDescent="0.3">
      <c r="A524" s="92">
        <v>44835</v>
      </c>
      <c r="B524" s="60">
        <v>0</v>
      </c>
      <c r="C524" s="60">
        <v>0</v>
      </c>
      <c r="D524" s="60">
        <v>35552.880915599999</v>
      </c>
      <c r="E524" s="60">
        <v>41901.690873659871</v>
      </c>
      <c r="F524" s="60">
        <v>16742.286871200002</v>
      </c>
      <c r="G524" s="60">
        <v>18604.087449348677</v>
      </c>
      <c r="H524" s="93">
        <v>0.17857371314385162</v>
      </c>
      <c r="I524" s="93">
        <v>0.11120348089073406</v>
      </c>
      <c r="J524" s="93">
        <v>0.15700514758231665</v>
      </c>
    </row>
    <row r="525" spans="1:10" x14ac:dyDescent="0.3">
      <c r="A525" s="86" t="s">
        <v>55</v>
      </c>
      <c r="B525" s="60">
        <v>879868.36753116001</v>
      </c>
      <c r="C525" s="60">
        <v>1000899.761995349</v>
      </c>
      <c r="D525" s="60">
        <v>4176441.4629591824</v>
      </c>
      <c r="E525" s="60">
        <v>5902691.4908240847</v>
      </c>
      <c r="F525" s="60">
        <v>0</v>
      </c>
      <c r="G525" s="60">
        <v>0</v>
      </c>
      <c r="H525" s="93">
        <v>0.36534181730512127</v>
      </c>
      <c r="I525" s="93">
        <v>0</v>
      </c>
      <c r="J525" s="93">
        <v>0.36534181730512127</v>
      </c>
    </row>
    <row r="526" spans="1:10" x14ac:dyDescent="0.3">
      <c r="A526" s="87" t="s">
        <v>38</v>
      </c>
      <c r="B526" s="60">
        <v>879868.36753116001</v>
      </c>
      <c r="C526" s="60">
        <v>1000899.761995349</v>
      </c>
      <c r="D526" s="60">
        <v>4176441.4629591824</v>
      </c>
      <c r="E526" s="60">
        <v>5902691.4908240847</v>
      </c>
      <c r="F526" s="60">
        <v>0</v>
      </c>
      <c r="G526" s="60">
        <v>0</v>
      </c>
      <c r="H526" s="93">
        <v>0.36534181730512127</v>
      </c>
      <c r="I526" s="93">
        <v>0</v>
      </c>
      <c r="J526" s="93">
        <v>0.36534181730512127</v>
      </c>
    </row>
    <row r="527" spans="1:10" x14ac:dyDescent="0.3">
      <c r="A527" s="88" t="s">
        <v>25</v>
      </c>
      <c r="B527" s="60">
        <v>879868.36753116001</v>
      </c>
      <c r="C527" s="60">
        <v>1000899.761995349</v>
      </c>
      <c r="D527" s="60">
        <v>4176441.4629591824</v>
      </c>
      <c r="E527" s="60">
        <v>5902691.4908240847</v>
      </c>
      <c r="F527" s="60">
        <v>0</v>
      </c>
      <c r="G527" s="60">
        <v>0</v>
      </c>
      <c r="H527" s="93">
        <v>0.36534181730512127</v>
      </c>
      <c r="I527" s="93">
        <v>0</v>
      </c>
      <c r="J527" s="93">
        <v>0.36534181730512127</v>
      </c>
    </row>
    <row r="528" spans="1:10" x14ac:dyDescent="0.3">
      <c r="A528" s="89" t="s">
        <v>56</v>
      </c>
      <c r="B528" s="60">
        <v>537428.36753116001</v>
      </c>
      <c r="C528" s="60">
        <v>611354.99922656</v>
      </c>
      <c r="D528" s="60">
        <v>2695601.1208891822</v>
      </c>
      <c r="E528" s="60">
        <v>3902295.9893043926</v>
      </c>
      <c r="F528" s="60">
        <v>0</v>
      </c>
      <c r="G528" s="60">
        <v>0</v>
      </c>
      <c r="H528" s="93">
        <v>0.39610572829520407</v>
      </c>
      <c r="I528" s="93">
        <v>0</v>
      </c>
      <c r="J528" s="93">
        <v>0.39610572829520407</v>
      </c>
    </row>
    <row r="529" spans="1:10" x14ac:dyDescent="0.3">
      <c r="A529" s="90" t="s">
        <v>25</v>
      </c>
      <c r="B529" s="60">
        <v>537428.36753116001</v>
      </c>
      <c r="C529" s="60">
        <v>611354.99922656</v>
      </c>
      <c r="D529" s="60">
        <v>2695601.1208891822</v>
      </c>
      <c r="E529" s="60">
        <v>3902295.9893043926</v>
      </c>
      <c r="F529" s="60">
        <v>0</v>
      </c>
      <c r="G529" s="60">
        <v>0</v>
      </c>
      <c r="H529" s="93">
        <v>0.39610572829520407</v>
      </c>
      <c r="I529" s="93">
        <v>0</v>
      </c>
      <c r="J529" s="93">
        <v>0.39610572829520407</v>
      </c>
    </row>
    <row r="530" spans="1:10" x14ac:dyDescent="0.3">
      <c r="A530" s="91" t="s">
        <v>35</v>
      </c>
      <c r="B530" s="60">
        <v>0</v>
      </c>
      <c r="C530" s="60">
        <v>0</v>
      </c>
      <c r="D530" s="60">
        <v>1601974.2999</v>
      </c>
      <c r="E530" s="60">
        <v>2613376.1660974668</v>
      </c>
      <c r="F530" s="60">
        <v>0</v>
      </c>
      <c r="G530" s="60">
        <v>0</v>
      </c>
      <c r="H530" s="93">
        <v>0.63134712352164546</v>
      </c>
      <c r="I530" s="93">
        <v>0</v>
      </c>
      <c r="J530" s="93">
        <v>0.63134712352164546</v>
      </c>
    </row>
    <row r="531" spans="1:10" x14ac:dyDescent="0.3">
      <c r="A531" s="92">
        <v>44501</v>
      </c>
      <c r="B531" s="60">
        <v>0</v>
      </c>
      <c r="C531" s="60">
        <v>0</v>
      </c>
      <c r="D531" s="60">
        <v>126530.82585000001</v>
      </c>
      <c r="E531" s="60">
        <v>206415.69878721578</v>
      </c>
      <c r="F531" s="60">
        <v>0</v>
      </c>
      <c r="G531" s="60">
        <v>0</v>
      </c>
      <c r="H531" s="93">
        <v>0.63134712352164546</v>
      </c>
      <c r="I531" s="93">
        <v>0</v>
      </c>
      <c r="J531" s="93">
        <v>0.63134712352164546</v>
      </c>
    </row>
    <row r="532" spans="1:10" x14ac:dyDescent="0.3">
      <c r="A532" s="92">
        <v>44531</v>
      </c>
      <c r="B532" s="60">
        <v>0</v>
      </c>
      <c r="C532" s="60">
        <v>0</v>
      </c>
      <c r="D532" s="60">
        <v>121125.78075000002</v>
      </c>
      <c r="E532" s="60">
        <v>197598.194010826</v>
      </c>
      <c r="F532" s="60">
        <v>0</v>
      </c>
      <c r="G532" s="60">
        <v>0</v>
      </c>
      <c r="H532" s="93">
        <v>0.63134712352164524</v>
      </c>
      <c r="I532" s="93">
        <v>0</v>
      </c>
      <c r="J532" s="93">
        <v>0.63134712352164524</v>
      </c>
    </row>
    <row r="533" spans="1:10" x14ac:dyDescent="0.3">
      <c r="A533" s="92">
        <v>44562</v>
      </c>
      <c r="B533" s="60">
        <v>0</v>
      </c>
      <c r="C533" s="60">
        <v>0</v>
      </c>
      <c r="D533" s="60">
        <v>122210.19525000002</v>
      </c>
      <c r="E533" s="60">
        <v>199367.25048610618</v>
      </c>
      <c r="F533" s="60">
        <v>0</v>
      </c>
      <c r="G533" s="60">
        <v>0</v>
      </c>
      <c r="H533" s="93">
        <v>0.63134712352164524</v>
      </c>
      <c r="I533" s="93">
        <v>0</v>
      </c>
      <c r="J533" s="93">
        <v>0.63134712352164524</v>
      </c>
    </row>
    <row r="534" spans="1:10" x14ac:dyDescent="0.3">
      <c r="A534" s="92">
        <v>44593</v>
      </c>
      <c r="B534" s="60">
        <v>0</v>
      </c>
      <c r="C534" s="60">
        <v>0</v>
      </c>
      <c r="D534" s="60">
        <v>131385.00570000001</v>
      </c>
      <c r="E534" s="60">
        <v>214334.55112257</v>
      </c>
      <c r="F534" s="60">
        <v>0</v>
      </c>
      <c r="G534" s="60">
        <v>0</v>
      </c>
      <c r="H534" s="93">
        <v>0.63134712352164546</v>
      </c>
      <c r="I534" s="93">
        <v>0</v>
      </c>
      <c r="J534" s="93">
        <v>0.63134712352164546</v>
      </c>
    </row>
    <row r="535" spans="1:10" x14ac:dyDescent="0.3">
      <c r="A535" s="92">
        <v>44621</v>
      </c>
      <c r="B535" s="60">
        <v>0</v>
      </c>
      <c r="C535" s="60">
        <v>0</v>
      </c>
      <c r="D535" s="60">
        <v>128318.91930000001</v>
      </c>
      <c r="E535" s="60">
        <v>209332.69989346116</v>
      </c>
      <c r="F535" s="60">
        <v>0</v>
      </c>
      <c r="G535" s="60">
        <v>0</v>
      </c>
      <c r="H535" s="93">
        <v>0.63134712352164546</v>
      </c>
      <c r="I535" s="93">
        <v>0</v>
      </c>
      <c r="J535" s="93">
        <v>0.63134712352164546</v>
      </c>
    </row>
    <row r="536" spans="1:10" x14ac:dyDescent="0.3">
      <c r="A536" s="92">
        <v>44652</v>
      </c>
      <c r="B536" s="60">
        <v>0</v>
      </c>
      <c r="C536" s="60">
        <v>0</v>
      </c>
      <c r="D536" s="60">
        <v>154023.94409999999</v>
      </c>
      <c r="E536" s="60">
        <v>251266.5181609937</v>
      </c>
      <c r="F536" s="60">
        <v>0</v>
      </c>
      <c r="G536" s="60">
        <v>0</v>
      </c>
      <c r="H536" s="93">
        <v>0.63134712352164546</v>
      </c>
      <c r="I536" s="93">
        <v>0</v>
      </c>
      <c r="J536" s="93">
        <v>0.63134712352164546</v>
      </c>
    </row>
    <row r="537" spans="1:10" x14ac:dyDescent="0.3">
      <c r="A537" s="92">
        <v>44682</v>
      </c>
      <c r="B537" s="60">
        <v>0</v>
      </c>
      <c r="C537" s="60">
        <v>0</v>
      </c>
      <c r="D537" s="60">
        <v>137226.2697</v>
      </c>
      <c r="E537" s="60">
        <v>223863.68034670054</v>
      </c>
      <c r="F537" s="60">
        <v>0</v>
      </c>
      <c r="G537" s="60">
        <v>0</v>
      </c>
      <c r="H537" s="93">
        <v>0.63134712352164546</v>
      </c>
      <c r="I537" s="93">
        <v>0</v>
      </c>
      <c r="J537" s="93">
        <v>0.63134712352164546</v>
      </c>
    </row>
    <row r="538" spans="1:10" x14ac:dyDescent="0.3">
      <c r="A538" s="92">
        <v>44713</v>
      </c>
      <c r="B538" s="60">
        <v>0</v>
      </c>
      <c r="C538" s="60">
        <v>0</v>
      </c>
      <c r="D538" s="60">
        <v>133411.48275000002</v>
      </c>
      <c r="E538" s="60">
        <v>217640.43862897012</v>
      </c>
      <c r="F538" s="60">
        <v>0</v>
      </c>
      <c r="G538" s="60">
        <v>0</v>
      </c>
      <c r="H538" s="93">
        <v>0.63134712352164524</v>
      </c>
      <c r="I538" s="93">
        <v>0</v>
      </c>
      <c r="J538" s="93">
        <v>0.63134712352164524</v>
      </c>
    </row>
    <row r="539" spans="1:10" x14ac:dyDescent="0.3">
      <c r="A539" s="92">
        <v>44743</v>
      </c>
      <c r="B539" s="60">
        <v>0</v>
      </c>
      <c r="C539" s="60">
        <v>0</v>
      </c>
      <c r="D539" s="60">
        <v>131097.2715</v>
      </c>
      <c r="E539" s="60">
        <v>213865.15676306118</v>
      </c>
      <c r="F539" s="60">
        <v>0</v>
      </c>
      <c r="G539" s="60">
        <v>0</v>
      </c>
      <c r="H539" s="93">
        <v>0.63134712352164546</v>
      </c>
      <c r="I539" s="93">
        <v>0</v>
      </c>
      <c r="J539" s="93">
        <v>0.63134712352164546</v>
      </c>
    </row>
    <row r="540" spans="1:10" x14ac:dyDescent="0.3">
      <c r="A540" s="92">
        <v>44774</v>
      </c>
      <c r="B540" s="60">
        <v>0</v>
      </c>
      <c r="C540" s="60">
        <v>0</v>
      </c>
      <c r="D540" s="60">
        <v>134464.6563</v>
      </c>
      <c r="E540" s="60">
        <v>219358.53027033171</v>
      </c>
      <c r="F540" s="60">
        <v>0</v>
      </c>
      <c r="G540" s="60">
        <v>0</v>
      </c>
      <c r="H540" s="93">
        <v>0.63134712352164546</v>
      </c>
      <c r="I540" s="93">
        <v>0</v>
      </c>
      <c r="J540" s="93">
        <v>0.63134712352164546</v>
      </c>
    </row>
    <row r="541" spans="1:10" x14ac:dyDescent="0.3">
      <c r="A541" s="92">
        <v>44805</v>
      </c>
      <c r="B541" s="60">
        <v>0</v>
      </c>
      <c r="C541" s="60">
        <v>0</v>
      </c>
      <c r="D541" s="60">
        <v>141089.97435</v>
      </c>
      <c r="E541" s="60">
        <v>230166.72381361524</v>
      </c>
      <c r="F541" s="60">
        <v>0</v>
      </c>
      <c r="G541" s="60">
        <v>0</v>
      </c>
      <c r="H541" s="93">
        <v>0.63134712352164546</v>
      </c>
      <c r="I541" s="93">
        <v>0</v>
      </c>
      <c r="J541" s="93">
        <v>0.63134712352164546</v>
      </c>
    </row>
    <row r="542" spans="1:10" x14ac:dyDescent="0.3">
      <c r="A542" s="92">
        <v>44835</v>
      </c>
      <c r="B542" s="60">
        <v>0</v>
      </c>
      <c r="C542" s="60">
        <v>0</v>
      </c>
      <c r="D542" s="60">
        <v>141089.97435</v>
      </c>
      <c r="E542" s="60">
        <v>230166.72381361524</v>
      </c>
      <c r="F542" s="60">
        <v>0</v>
      </c>
      <c r="G542" s="60">
        <v>0</v>
      </c>
      <c r="H542" s="93">
        <v>0.63134712352164546</v>
      </c>
      <c r="I542" s="93">
        <v>0</v>
      </c>
      <c r="J542" s="93">
        <v>0.63134712352164546</v>
      </c>
    </row>
    <row r="543" spans="1:10" x14ac:dyDescent="0.3">
      <c r="A543" s="91" t="s">
        <v>25</v>
      </c>
      <c r="B543" s="60">
        <v>537428.36753116001</v>
      </c>
      <c r="C543" s="60">
        <v>611354.99922656</v>
      </c>
      <c r="D543" s="60">
        <v>0</v>
      </c>
      <c r="E543" s="60">
        <v>0</v>
      </c>
      <c r="F543" s="60">
        <v>0</v>
      </c>
      <c r="G543" s="60">
        <v>0</v>
      </c>
      <c r="H543" s="93">
        <v>0.13755625151497752</v>
      </c>
      <c r="I543" s="93">
        <v>0</v>
      </c>
      <c r="J543" s="93">
        <v>0.13755625151497752</v>
      </c>
    </row>
    <row r="544" spans="1:10" x14ac:dyDescent="0.3">
      <c r="A544" s="92">
        <v>44501</v>
      </c>
      <c r="B544" s="60">
        <v>61356.771205800003</v>
      </c>
      <c r="C544" s="60">
        <v>69796.778657931951</v>
      </c>
      <c r="D544" s="60">
        <v>0</v>
      </c>
      <c r="E544" s="60">
        <v>0</v>
      </c>
      <c r="F544" s="60">
        <v>0</v>
      </c>
      <c r="G544" s="60">
        <v>0</v>
      </c>
      <c r="H544" s="93">
        <v>0.1375562515149773</v>
      </c>
      <c r="I544" s="93">
        <v>0</v>
      </c>
      <c r="J544" s="93">
        <v>0.1375562515149773</v>
      </c>
    </row>
    <row r="545" spans="1:10" x14ac:dyDescent="0.3">
      <c r="A545" s="92">
        <v>44531</v>
      </c>
      <c r="B545" s="60">
        <v>36955.606199680005</v>
      </c>
      <c r="C545" s="60">
        <v>42039.080860971641</v>
      </c>
      <c r="D545" s="60">
        <v>0</v>
      </c>
      <c r="E545" s="60">
        <v>0</v>
      </c>
      <c r="F545" s="60">
        <v>0</v>
      </c>
      <c r="G545" s="60">
        <v>0</v>
      </c>
      <c r="H545" s="93">
        <v>0.1375562515149773</v>
      </c>
      <c r="I545" s="93">
        <v>0</v>
      </c>
      <c r="J545" s="93">
        <v>0.1375562515149773</v>
      </c>
    </row>
    <row r="546" spans="1:10" x14ac:dyDescent="0.3">
      <c r="A546" s="92">
        <v>44562</v>
      </c>
      <c r="B546" s="60">
        <v>25432.94998202</v>
      </c>
      <c r="C546" s="60">
        <v>28931.411246514584</v>
      </c>
      <c r="D546" s="60">
        <v>0</v>
      </c>
      <c r="E546" s="60">
        <v>0</v>
      </c>
      <c r="F546" s="60">
        <v>0</v>
      </c>
      <c r="G546" s="60">
        <v>0</v>
      </c>
      <c r="H546" s="93">
        <v>0.13755625151497752</v>
      </c>
      <c r="I546" s="93">
        <v>0</v>
      </c>
      <c r="J546" s="93">
        <v>0.13755625151497752</v>
      </c>
    </row>
    <row r="547" spans="1:10" x14ac:dyDescent="0.3">
      <c r="A547" s="92">
        <v>44593</v>
      </c>
      <c r="B547" s="60">
        <v>42292.239975999997</v>
      </c>
      <c r="C547" s="60">
        <v>48109.801975270435</v>
      </c>
      <c r="D547" s="60">
        <v>0</v>
      </c>
      <c r="E547" s="60">
        <v>0</v>
      </c>
      <c r="F547" s="60">
        <v>0</v>
      </c>
      <c r="G547" s="60">
        <v>0</v>
      </c>
      <c r="H547" s="93">
        <v>0.1375562515149773</v>
      </c>
      <c r="I547" s="93">
        <v>0</v>
      </c>
      <c r="J547" s="93">
        <v>0.1375562515149773</v>
      </c>
    </row>
    <row r="548" spans="1:10" x14ac:dyDescent="0.3">
      <c r="A548" s="92">
        <v>44621</v>
      </c>
      <c r="B548" s="60">
        <v>44832.740215760001</v>
      </c>
      <c r="C548" s="60">
        <v>50999.763904984728</v>
      </c>
      <c r="D548" s="60">
        <v>0</v>
      </c>
      <c r="E548" s="60">
        <v>0</v>
      </c>
      <c r="F548" s="60">
        <v>0</v>
      </c>
      <c r="G548" s="60">
        <v>0</v>
      </c>
      <c r="H548" s="93">
        <v>0.13755625151497752</v>
      </c>
      <c r="I548" s="93">
        <v>0</v>
      </c>
      <c r="J548" s="93">
        <v>0.13755625151497752</v>
      </c>
    </row>
    <row r="549" spans="1:10" x14ac:dyDescent="0.3">
      <c r="A549" s="92">
        <v>44652</v>
      </c>
      <c r="B549" s="60">
        <v>44621.179742439999</v>
      </c>
      <c r="C549" s="60">
        <v>50759.10196598609</v>
      </c>
      <c r="D549" s="60">
        <v>0</v>
      </c>
      <c r="E549" s="60">
        <v>0</v>
      </c>
      <c r="F549" s="60">
        <v>0</v>
      </c>
      <c r="G549" s="60">
        <v>0</v>
      </c>
      <c r="H549" s="93">
        <v>0.1375562515149773</v>
      </c>
      <c r="I549" s="93">
        <v>0</v>
      </c>
      <c r="J549" s="93">
        <v>0.1375562515149773</v>
      </c>
    </row>
    <row r="550" spans="1:10" x14ac:dyDescent="0.3">
      <c r="A550" s="92">
        <v>44682</v>
      </c>
      <c r="B550" s="60">
        <v>48448.74987806</v>
      </c>
      <c r="C550" s="60">
        <v>55113.178301872649</v>
      </c>
      <c r="D550" s="60">
        <v>0</v>
      </c>
      <c r="E550" s="60">
        <v>0</v>
      </c>
      <c r="F550" s="60">
        <v>0</v>
      </c>
      <c r="G550" s="60">
        <v>0</v>
      </c>
      <c r="H550" s="93">
        <v>0.1375562515149773</v>
      </c>
      <c r="I550" s="93">
        <v>0</v>
      </c>
      <c r="J550" s="93">
        <v>0.1375562515149773</v>
      </c>
    </row>
    <row r="551" spans="1:10" x14ac:dyDescent="0.3">
      <c r="A551" s="92">
        <v>44713</v>
      </c>
      <c r="B551" s="60">
        <v>45321.760193920003</v>
      </c>
      <c r="C551" s="60">
        <v>51556.051638256351</v>
      </c>
      <c r="D551" s="60">
        <v>0</v>
      </c>
      <c r="E551" s="60">
        <v>0</v>
      </c>
      <c r="F551" s="60">
        <v>0</v>
      </c>
      <c r="G551" s="60">
        <v>0</v>
      </c>
      <c r="H551" s="93">
        <v>0.1375562515149773</v>
      </c>
      <c r="I551" s="93">
        <v>0</v>
      </c>
      <c r="J551" s="93">
        <v>0.1375562515149773</v>
      </c>
    </row>
    <row r="552" spans="1:10" x14ac:dyDescent="0.3">
      <c r="A552" s="92">
        <v>44743</v>
      </c>
      <c r="B552" s="60">
        <v>45869.199719839999</v>
      </c>
      <c r="C552" s="60">
        <v>52178.794893293038</v>
      </c>
      <c r="D552" s="60">
        <v>0</v>
      </c>
      <c r="E552" s="60">
        <v>0</v>
      </c>
      <c r="F552" s="60">
        <v>0</v>
      </c>
      <c r="G552" s="60">
        <v>0</v>
      </c>
      <c r="H552" s="93">
        <v>0.1375562515149773</v>
      </c>
      <c r="I552" s="93">
        <v>0</v>
      </c>
      <c r="J552" s="93">
        <v>0.1375562515149773</v>
      </c>
    </row>
    <row r="553" spans="1:10" x14ac:dyDescent="0.3">
      <c r="A553" s="92">
        <v>44774</v>
      </c>
      <c r="B553" s="60">
        <v>47367.64997916</v>
      </c>
      <c r="C553" s="60">
        <v>53883.36635336675</v>
      </c>
      <c r="D553" s="60">
        <v>0</v>
      </c>
      <c r="E553" s="60">
        <v>0</v>
      </c>
      <c r="F553" s="60">
        <v>0</v>
      </c>
      <c r="G553" s="60">
        <v>0</v>
      </c>
      <c r="H553" s="93">
        <v>0.13755625151497752</v>
      </c>
      <c r="I553" s="93">
        <v>0</v>
      </c>
      <c r="J553" s="93">
        <v>0.13755625151497752</v>
      </c>
    </row>
    <row r="554" spans="1:10" x14ac:dyDescent="0.3">
      <c r="A554" s="92">
        <v>44805</v>
      </c>
      <c r="B554" s="60">
        <v>47464.760219240001</v>
      </c>
      <c r="C554" s="60">
        <v>53993.834714055869</v>
      </c>
      <c r="D554" s="60">
        <v>0</v>
      </c>
      <c r="E554" s="60">
        <v>0</v>
      </c>
      <c r="F554" s="60">
        <v>0</v>
      </c>
      <c r="G554" s="60">
        <v>0</v>
      </c>
      <c r="H554" s="93">
        <v>0.1375562515149773</v>
      </c>
      <c r="I554" s="93">
        <v>0</v>
      </c>
      <c r="J554" s="93">
        <v>0.1375562515149773</v>
      </c>
    </row>
    <row r="555" spans="1:10" x14ac:dyDescent="0.3">
      <c r="A555" s="92">
        <v>44835</v>
      </c>
      <c r="B555" s="60">
        <v>47464.760219240001</v>
      </c>
      <c r="C555" s="60">
        <v>53993.834714055869</v>
      </c>
      <c r="D555" s="60">
        <v>0</v>
      </c>
      <c r="E555" s="60">
        <v>0</v>
      </c>
      <c r="F555" s="60">
        <v>0</v>
      </c>
      <c r="G555" s="60">
        <v>0</v>
      </c>
      <c r="H555" s="93">
        <v>0.1375562515149773</v>
      </c>
      <c r="I555" s="93">
        <v>0</v>
      </c>
      <c r="J555" s="93">
        <v>0.1375562515149773</v>
      </c>
    </row>
    <row r="556" spans="1:10" x14ac:dyDescent="0.3">
      <c r="A556" s="91" t="s">
        <v>34</v>
      </c>
      <c r="B556" s="60">
        <v>0</v>
      </c>
      <c r="C556" s="60">
        <v>0</v>
      </c>
      <c r="D556" s="60">
        <v>1093626.8209891813</v>
      </c>
      <c r="E556" s="60">
        <v>1288919.8232069255</v>
      </c>
      <c r="F556" s="60">
        <v>0</v>
      </c>
      <c r="G556" s="60">
        <v>0</v>
      </c>
      <c r="H556" s="93">
        <v>0.1785737131438514</v>
      </c>
      <c r="I556" s="93">
        <v>0</v>
      </c>
      <c r="J556" s="93">
        <v>0.1785737131438514</v>
      </c>
    </row>
    <row r="557" spans="1:10" x14ac:dyDescent="0.3">
      <c r="A557" s="92">
        <v>44501</v>
      </c>
      <c r="B557" s="60">
        <v>0</v>
      </c>
      <c r="C557" s="60">
        <v>0</v>
      </c>
      <c r="D557" s="60">
        <v>101626.88765495669</v>
      </c>
      <c r="E557" s="60">
        <v>119774.77833875536</v>
      </c>
      <c r="F557" s="60">
        <v>0</v>
      </c>
      <c r="G557" s="60">
        <v>0</v>
      </c>
      <c r="H557" s="93">
        <v>0.17857371314385162</v>
      </c>
      <c r="I557" s="93">
        <v>0</v>
      </c>
      <c r="J557" s="93">
        <v>0.17857371314385162</v>
      </c>
    </row>
    <row r="558" spans="1:10" x14ac:dyDescent="0.3">
      <c r="A558" s="92">
        <v>44531</v>
      </c>
      <c r="B558" s="60">
        <v>0</v>
      </c>
      <c r="C558" s="60">
        <v>0</v>
      </c>
      <c r="D558" s="60">
        <v>69165.506093072472</v>
      </c>
      <c r="E558" s="60">
        <v>81516.64733758611</v>
      </c>
      <c r="F558" s="60">
        <v>0</v>
      </c>
      <c r="G558" s="60">
        <v>0</v>
      </c>
      <c r="H558" s="93">
        <v>0.17857371314385162</v>
      </c>
      <c r="I558" s="93">
        <v>0</v>
      </c>
      <c r="J558" s="93">
        <v>0.17857371314385162</v>
      </c>
    </row>
    <row r="559" spans="1:10" x14ac:dyDescent="0.3">
      <c r="A559" s="92">
        <v>44562</v>
      </c>
      <c r="B559" s="60">
        <v>0</v>
      </c>
      <c r="C559" s="60">
        <v>0</v>
      </c>
      <c r="D559" s="60">
        <v>77971.537948609854</v>
      </c>
      <c r="E559" s="60">
        <v>91895.204999629859</v>
      </c>
      <c r="F559" s="60">
        <v>0</v>
      </c>
      <c r="G559" s="60">
        <v>0</v>
      </c>
      <c r="H559" s="93">
        <v>0.17857371314385184</v>
      </c>
      <c r="I559" s="93">
        <v>0</v>
      </c>
      <c r="J559" s="93">
        <v>0.17857371314385184</v>
      </c>
    </row>
    <row r="560" spans="1:10" x14ac:dyDescent="0.3">
      <c r="A560" s="92">
        <v>44593</v>
      </c>
      <c r="B560" s="60">
        <v>0</v>
      </c>
      <c r="C560" s="60">
        <v>0</v>
      </c>
      <c r="D560" s="60">
        <v>89133.082090821365</v>
      </c>
      <c r="E560" s="60">
        <v>105049.90752373508</v>
      </c>
      <c r="F560" s="60">
        <v>0</v>
      </c>
      <c r="G560" s="60">
        <v>0</v>
      </c>
      <c r="H560" s="93">
        <v>0.17857371314385162</v>
      </c>
      <c r="I560" s="93">
        <v>0</v>
      </c>
      <c r="J560" s="93">
        <v>0.17857371314385162</v>
      </c>
    </row>
    <row r="561" spans="1:10" x14ac:dyDescent="0.3">
      <c r="A561" s="92">
        <v>44621</v>
      </c>
      <c r="B561" s="60">
        <v>0</v>
      </c>
      <c r="C561" s="60">
        <v>0</v>
      </c>
      <c r="D561" s="60">
        <v>92408.055834905608</v>
      </c>
      <c r="E561" s="60">
        <v>108909.70548974906</v>
      </c>
      <c r="F561" s="60">
        <v>0</v>
      </c>
      <c r="G561" s="60">
        <v>0</v>
      </c>
      <c r="H561" s="93">
        <v>0.17857371314385162</v>
      </c>
      <c r="I561" s="93">
        <v>0</v>
      </c>
      <c r="J561" s="93">
        <v>0.17857371314385162</v>
      </c>
    </row>
    <row r="562" spans="1:10" x14ac:dyDescent="0.3">
      <c r="A562" s="92">
        <v>44652</v>
      </c>
      <c r="B562" s="60">
        <v>0</v>
      </c>
      <c r="C562" s="60">
        <v>0</v>
      </c>
      <c r="D562" s="60">
        <v>106830.80905104618</v>
      </c>
      <c r="E562" s="60">
        <v>125907.98330145328</v>
      </c>
      <c r="F562" s="60">
        <v>0</v>
      </c>
      <c r="G562" s="60">
        <v>0</v>
      </c>
      <c r="H562" s="93">
        <v>0.17857371314385162</v>
      </c>
      <c r="I562" s="93">
        <v>0</v>
      </c>
      <c r="J562" s="93">
        <v>0.17857371314385162</v>
      </c>
    </row>
    <row r="563" spans="1:10" x14ac:dyDescent="0.3">
      <c r="A563" s="92">
        <v>44682</v>
      </c>
      <c r="B563" s="60">
        <v>0</v>
      </c>
      <c r="C563" s="60">
        <v>0</v>
      </c>
      <c r="D563" s="60">
        <v>92834.567716774327</v>
      </c>
      <c r="E563" s="60">
        <v>109412.38118206305</v>
      </c>
      <c r="F563" s="60">
        <v>0</v>
      </c>
      <c r="G563" s="60">
        <v>0</v>
      </c>
      <c r="H563" s="93">
        <v>0.17857371314385162</v>
      </c>
      <c r="I563" s="93">
        <v>0</v>
      </c>
      <c r="J563" s="93">
        <v>0.17857371314385162</v>
      </c>
    </row>
    <row r="564" spans="1:10" x14ac:dyDescent="0.3">
      <c r="A564" s="92">
        <v>44713</v>
      </c>
      <c r="B564" s="60">
        <v>0</v>
      </c>
      <c r="C564" s="60">
        <v>0</v>
      </c>
      <c r="D564" s="60">
        <v>94278.953094819386</v>
      </c>
      <c r="E564" s="60">
        <v>111114.69582027631</v>
      </c>
      <c r="F564" s="60">
        <v>0</v>
      </c>
      <c r="G564" s="60">
        <v>0</v>
      </c>
      <c r="H564" s="93">
        <v>0.17857371314385162</v>
      </c>
      <c r="I564" s="93">
        <v>0</v>
      </c>
      <c r="J564" s="93">
        <v>0.17857371314385162</v>
      </c>
    </row>
    <row r="565" spans="1:10" x14ac:dyDescent="0.3">
      <c r="A565" s="92">
        <v>44743</v>
      </c>
      <c r="B565" s="60">
        <v>0</v>
      </c>
      <c r="C565" s="60">
        <v>0</v>
      </c>
      <c r="D565" s="60">
        <v>87107.811158116936</v>
      </c>
      <c r="E565" s="60">
        <v>102662.97644045531</v>
      </c>
      <c r="F565" s="60">
        <v>0</v>
      </c>
      <c r="G565" s="60">
        <v>0</v>
      </c>
      <c r="H565" s="93">
        <v>0.17857371314385162</v>
      </c>
      <c r="I565" s="93">
        <v>0</v>
      </c>
      <c r="J565" s="93">
        <v>0.17857371314385162</v>
      </c>
    </row>
    <row r="566" spans="1:10" x14ac:dyDescent="0.3">
      <c r="A566" s="92">
        <v>44774</v>
      </c>
      <c r="B566" s="60">
        <v>0</v>
      </c>
      <c r="C566" s="60">
        <v>0</v>
      </c>
      <c r="D566" s="60">
        <v>82788.606330163195</v>
      </c>
      <c r="E566" s="60">
        <v>97572.475168545003</v>
      </c>
      <c r="F566" s="60">
        <v>0</v>
      </c>
      <c r="G566" s="60">
        <v>0</v>
      </c>
      <c r="H566" s="93">
        <v>0.1785737131438514</v>
      </c>
      <c r="I566" s="93">
        <v>0</v>
      </c>
      <c r="J566" s="93">
        <v>0.1785737131438514</v>
      </c>
    </row>
    <row r="567" spans="1:10" x14ac:dyDescent="0.3">
      <c r="A567" s="92">
        <v>44805</v>
      </c>
      <c r="B567" s="60">
        <v>0</v>
      </c>
      <c r="C567" s="60">
        <v>0</v>
      </c>
      <c r="D567" s="60">
        <v>99740.502007947653</v>
      </c>
      <c r="E567" s="60">
        <v>117551.53380233864</v>
      </c>
      <c r="F567" s="60">
        <v>0</v>
      </c>
      <c r="G567" s="60">
        <v>0</v>
      </c>
      <c r="H567" s="93">
        <v>0.17857371314385162</v>
      </c>
      <c r="I567" s="93">
        <v>0</v>
      </c>
      <c r="J567" s="93">
        <v>0.17857371314385162</v>
      </c>
    </row>
    <row r="568" spans="1:10" x14ac:dyDescent="0.3">
      <c r="A568" s="92">
        <v>44835</v>
      </c>
      <c r="B568" s="60">
        <v>0</v>
      </c>
      <c r="C568" s="60">
        <v>0</v>
      </c>
      <c r="D568" s="60">
        <v>99740.502007947653</v>
      </c>
      <c r="E568" s="60">
        <v>117551.53380233864</v>
      </c>
      <c r="F568" s="60">
        <v>0</v>
      </c>
      <c r="G568" s="60">
        <v>0</v>
      </c>
      <c r="H568" s="93">
        <v>0.17857371314385162</v>
      </c>
      <c r="I568" s="93">
        <v>0</v>
      </c>
      <c r="J568" s="93">
        <v>0.17857371314385162</v>
      </c>
    </row>
    <row r="569" spans="1:10" x14ac:dyDescent="0.3">
      <c r="A569" s="89" t="s">
        <v>25</v>
      </c>
      <c r="B569" s="60">
        <v>342440</v>
      </c>
      <c r="C569" s="60">
        <v>389544.76276878885</v>
      </c>
      <c r="D569" s="60">
        <v>1480840.3420699998</v>
      </c>
      <c r="E569" s="60">
        <v>2000395.5015196926</v>
      </c>
      <c r="F569" s="60">
        <v>0</v>
      </c>
      <c r="G569" s="60">
        <v>0</v>
      </c>
      <c r="H569" s="93">
        <v>0.31079143955182631</v>
      </c>
      <c r="I569" s="93">
        <v>0</v>
      </c>
      <c r="J569" s="93">
        <v>0.31079143955182631</v>
      </c>
    </row>
    <row r="570" spans="1:10" x14ac:dyDescent="0.3">
      <c r="A570" s="90" t="s">
        <v>25</v>
      </c>
      <c r="B570" s="60">
        <v>342440</v>
      </c>
      <c r="C570" s="60">
        <v>389544.76276878885</v>
      </c>
      <c r="D570" s="60">
        <v>1480840.3420699998</v>
      </c>
      <c r="E570" s="60">
        <v>2000395.5015196926</v>
      </c>
      <c r="F570" s="60">
        <v>0</v>
      </c>
      <c r="G570" s="60">
        <v>0</v>
      </c>
      <c r="H570" s="93">
        <v>0.31079143955182631</v>
      </c>
      <c r="I570" s="93">
        <v>0</v>
      </c>
      <c r="J570" s="93">
        <v>0.31079143955182631</v>
      </c>
    </row>
    <row r="571" spans="1:10" x14ac:dyDescent="0.3">
      <c r="A571" s="91" t="s">
        <v>35</v>
      </c>
      <c r="B571" s="60">
        <v>0</v>
      </c>
      <c r="C571" s="60">
        <v>0</v>
      </c>
      <c r="D571" s="60">
        <v>563451.81750000012</v>
      </c>
      <c r="E571" s="60">
        <v>919185.50172166817</v>
      </c>
      <c r="F571" s="60">
        <v>0</v>
      </c>
      <c r="G571" s="60">
        <v>0</v>
      </c>
      <c r="H571" s="93">
        <v>0.63134712352164524</v>
      </c>
      <c r="I571" s="93">
        <v>0</v>
      </c>
      <c r="J571" s="93">
        <v>0.63134712352164524</v>
      </c>
    </row>
    <row r="572" spans="1:10" x14ac:dyDescent="0.3">
      <c r="A572" s="92">
        <v>44501</v>
      </c>
      <c r="B572" s="60">
        <v>0</v>
      </c>
      <c r="C572" s="60">
        <v>0</v>
      </c>
      <c r="D572" s="60">
        <v>49442.879850000005</v>
      </c>
      <c r="E572" s="60">
        <v>80658.499821923819</v>
      </c>
      <c r="F572" s="60">
        <v>0</v>
      </c>
      <c r="G572" s="60">
        <v>0</v>
      </c>
      <c r="H572" s="93">
        <v>0.63134712352164524</v>
      </c>
      <c r="I572" s="93">
        <v>0</v>
      </c>
      <c r="J572" s="93">
        <v>0.63134712352164524</v>
      </c>
    </row>
    <row r="573" spans="1:10" x14ac:dyDescent="0.3">
      <c r="A573" s="92">
        <v>44531</v>
      </c>
      <c r="B573" s="60">
        <v>0</v>
      </c>
      <c r="C573" s="60">
        <v>0</v>
      </c>
      <c r="D573" s="60">
        <v>50038.766700000007</v>
      </c>
      <c r="E573" s="60">
        <v>81630.598120615701</v>
      </c>
      <c r="F573" s="60">
        <v>0</v>
      </c>
      <c r="G573" s="60">
        <v>0</v>
      </c>
      <c r="H573" s="93">
        <v>0.63134712352164524</v>
      </c>
      <c r="I573" s="93">
        <v>0</v>
      </c>
      <c r="J573" s="93">
        <v>0.63134712352164524</v>
      </c>
    </row>
    <row r="574" spans="1:10" x14ac:dyDescent="0.3">
      <c r="A574" s="92">
        <v>44562</v>
      </c>
      <c r="B574" s="60">
        <v>0</v>
      </c>
      <c r="C574" s="60">
        <v>0</v>
      </c>
      <c r="D574" s="60">
        <v>39383.799000000006</v>
      </c>
      <c r="E574" s="60">
        <v>64248.64721200466</v>
      </c>
      <c r="F574" s="60">
        <v>0</v>
      </c>
      <c r="G574" s="60">
        <v>0</v>
      </c>
      <c r="H574" s="93">
        <v>0.63134712352164524</v>
      </c>
      <c r="I574" s="93">
        <v>0</v>
      </c>
      <c r="J574" s="93">
        <v>0.63134712352164524</v>
      </c>
    </row>
    <row r="575" spans="1:10" x14ac:dyDescent="0.3">
      <c r="A575" s="92">
        <v>44593</v>
      </c>
      <c r="B575" s="60">
        <v>0</v>
      </c>
      <c r="C575" s="60">
        <v>0</v>
      </c>
      <c r="D575" s="60">
        <v>47025.061200000004</v>
      </c>
      <c r="E575" s="60">
        <v>76714.198322049342</v>
      </c>
      <c r="F575" s="60">
        <v>0</v>
      </c>
      <c r="G575" s="60">
        <v>0</v>
      </c>
      <c r="H575" s="93">
        <v>0.63134712352164546</v>
      </c>
      <c r="I575" s="93">
        <v>0</v>
      </c>
      <c r="J575" s="93">
        <v>0.63134712352164546</v>
      </c>
    </row>
    <row r="576" spans="1:10" x14ac:dyDescent="0.3">
      <c r="A576" s="92">
        <v>44621</v>
      </c>
      <c r="B576" s="60">
        <v>0</v>
      </c>
      <c r="C576" s="60">
        <v>0</v>
      </c>
      <c r="D576" s="60">
        <v>47091.872100000001</v>
      </c>
      <c r="E576" s="60">
        <v>76823.190091584227</v>
      </c>
      <c r="F576" s="60">
        <v>0</v>
      </c>
      <c r="G576" s="60">
        <v>0</v>
      </c>
      <c r="H576" s="93">
        <v>0.63134712352164546</v>
      </c>
      <c r="I576" s="93">
        <v>0</v>
      </c>
      <c r="J576" s="93">
        <v>0.63134712352164546</v>
      </c>
    </row>
    <row r="577" spans="1:10" x14ac:dyDescent="0.3">
      <c r="A577" s="92">
        <v>44652</v>
      </c>
      <c r="B577" s="60">
        <v>0</v>
      </c>
      <c r="C577" s="60">
        <v>0</v>
      </c>
      <c r="D577" s="60">
        <v>54506.150400000006</v>
      </c>
      <c r="E577" s="60">
        <v>88918.451669278191</v>
      </c>
      <c r="F577" s="60">
        <v>0</v>
      </c>
      <c r="G577" s="60">
        <v>0</v>
      </c>
      <c r="H577" s="93">
        <v>0.63134712352164546</v>
      </c>
      <c r="I577" s="93">
        <v>0</v>
      </c>
      <c r="J577" s="93">
        <v>0.63134712352164546</v>
      </c>
    </row>
    <row r="578" spans="1:10" x14ac:dyDescent="0.3">
      <c r="A578" s="92">
        <v>44682</v>
      </c>
      <c r="B578" s="60">
        <v>0</v>
      </c>
      <c r="C578" s="60">
        <v>0</v>
      </c>
      <c r="D578" s="60">
        <v>48845.189250000003</v>
      </c>
      <c r="E578" s="60">
        <v>79683.458980857904</v>
      </c>
      <c r="F578" s="60">
        <v>0</v>
      </c>
      <c r="G578" s="60">
        <v>0</v>
      </c>
      <c r="H578" s="93">
        <v>0.63134712352164546</v>
      </c>
      <c r="I578" s="93">
        <v>0</v>
      </c>
      <c r="J578" s="93">
        <v>0.63134712352164546</v>
      </c>
    </row>
    <row r="579" spans="1:10" x14ac:dyDescent="0.3">
      <c r="A579" s="92">
        <v>44713</v>
      </c>
      <c r="B579" s="60">
        <v>0</v>
      </c>
      <c r="C579" s="60">
        <v>0</v>
      </c>
      <c r="D579" s="60">
        <v>50009.257350000007</v>
      </c>
      <c r="E579" s="60">
        <v>81582.458127376201</v>
      </c>
      <c r="F579" s="60">
        <v>0</v>
      </c>
      <c r="G579" s="60">
        <v>0</v>
      </c>
      <c r="H579" s="93">
        <v>0.63134712352164524</v>
      </c>
      <c r="I579" s="93">
        <v>0</v>
      </c>
      <c r="J579" s="93">
        <v>0.63134712352164524</v>
      </c>
    </row>
    <row r="580" spans="1:10" x14ac:dyDescent="0.3">
      <c r="A580" s="92">
        <v>44743</v>
      </c>
      <c r="B580" s="60">
        <v>0</v>
      </c>
      <c r="C580" s="60">
        <v>0</v>
      </c>
      <c r="D580" s="60">
        <v>32804.729100000004</v>
      </c>
      <c r="E580" s="60">
        <v>53515.900455191811</v>
      </c>
      <c r="F580" s="60">
        <v>0</v>
      </c>
      <c r="G580" s="60">
        <v>0</v>
      </c>
      <c r="H580" s="93">
        <v>0.63134712352164502</v>
      </c>
      <c r="I580" s="93">
        <v>0</v>
      </c>
      <c r="J580" s="93">
        <v>0.63134712352164502</v>
      </c>
    </row>
    <row r="581" spans="1:10" x14ac:dyDescent="0.3">
      <c r="A581" s="92">
        <v>44774</v>
      </c>
      <c r="B581" s="60">
        <v>0</v>
      </c>
      <c r="C581" s="60">
        <v>0</v>
      </c>
      <c r="D581" s="60">
        <v>47685.738750000004</v>
      </c>
      <c r="E581" s="60">
        <v>77791.992742817165</v>
      </c>
      <c r="F581" s="60">
        <v>0</v>
      </c>
      <c r="G581" s="60">
        <v>0</v>
      </c>
      <c r="H581" s="93">
        <v>0.63134712352164524</v>
      </c>
      <c r="I581" s="93">
        <v>0</v>
      </c>
      <c r="J581" s="93">
        <v>0.63134712352164524</v>
      </c>
    </row>
    <row r="582" spans="1:10" x14ac:dyDescent="0.3">
      <c r="A582" s="92">
        <v>44805</v>
      </c>
      <c r="B582" s="60">
        <v>0</v>
      </c>
      <c r="C582" s="60">
        <v>0</v>
      </c>
      <c r="D582" s="60">
        <v>48309.186900000008</v>
      </c>
      <c r="E582" s="60">
        <v>78809.053088984554</v>
      </c>
      <c r="F582" s="60">
        <v>0</v>
      </c>
      <c r="G582" s="60">
        <v>0</v>
      </c>
      <c r="H582" s="93">
        <v>0.63134712352164524</v>
      </c>
      <c r="I582" s="93">
        <v>0</v>
      </c>
      <c r="J582" s="93">
        <v>0.63134712352164524</v>
      </c>
    </row>
    <row r="583" spans="1:10" x14ac:dyDescent="0.3">
      <c r="A583" s="92">
        <v>44835</v>
      </c>
      <c r="B583" s="60">
        <v>0</v>
      </c>
      <c r="C583" s="60">
        <v>0</v>
      </c>
      <c r="D583" s="60">
        <v>48309.186900000008</v>
      </c>
      <c r="E583" s="60">
        <v>78809.053088984554</v>
      </c>
      <c r="F583" s="60">
        <v>0</v>
      </c>
      <c r="G583" s="60">
        <v>0</v>
      </c>
      <c r="H583" s="93">
        <v>0.63134712352164524</v>
      </c>
      <c r="I583" s="93">
        <v>0</v>
      </c>
      <c r="J583" s="93">
        <v>0.63134712352164524</v>
      </c>
    </row>
    <row r="584" spans="1:10" x14ac:dyDescent="0.3">
      <c r="A584" s="91" t="s">
        <v>25</v>
      </c>
      <c r="B584" s="60">
        <v>342440</v>
      </c>
      <c r="C584" s="60">
        <v>389544.76276878885</v>
      </c>
      <c r="D584" s="60">
        <v>0</v>
      </c>
      <c r="E584" s="60">
        <v>0</v>
      </c>
      <c r="F584" s="60">
        <v>0</v>
      </c>
      <c r="G584" s="60">
        <v>0</v>
      </c>
      <c r="H584" s="93">
        <v>0.1375562515149773</v>
      </c>
      <c r="I584" s="93">
        <v>0</v>
      </c>
      <c r="J584" s="93">
        <v>0.1375562515149773</v>
      </c>
    </row>
    <row r="585" spans="1:10" x14ac:dyDescent="0.3">
      <c r="A585" s="92">
        <v>44501</v>
      </c>
      <c r="B585" s="60">
        <v>28000</v>
      </c>
      <c r="C585" s="60">
        <v>31851.575042419365</v>
      </c>
      <c r="D585" s="60">
        <v>0</v>
      </c>
      <c r="E585" s="60">
        <v>0</v>
      </c>
      <c r="F585" s="60">
        <v>0</v>
      </c>
      <c r="G585" s="60">
        <v>0</v>
      </c>
      <c r="H585" s="93">
        <v>0.1375562515149773</v>
      </c>
      <c r="I585" s="93">
        <v>0</v>
      </c>
      <c r="J585" s="93">
        <v>0.1375562515149773</v>
      </c>
    </row>
    <row r="586" spans="1:10" x14ac:dyDescent="0.3">
      <c r="A586" s="92">
        <v>44531</v>
      </c>
      <c r="B586" s="60">
        <v>28000</v>
      </c>
      <c r="C586" s="60">
        <v>31851.575042419365</v>
      </c>
      <c r="D586" s="60">
        <v>0</v>
      </c>
      <c r="E586" s="60">
        <v>0</v>
      </c>
      <c r="F586" s="60">
        <v>0</v>
      </c>
      <c r="G586" s="60">
        <v>0</v>
      </c>
      <c r="H586" s="93">
        <v>0.1375562515149773</v>
      </c>
      <c r="I586" s="93">
        <v>0</v>
      </c>
      <c r="J586" s="93">
        <v>0.1375562515149773</v>
      </c>
    </row>
    <row r="587" spans="1:10" x14ac:dyDescent="0.3">
      <c r="A587" s="92">
        <v>44562</v>
      </c>
      <c r="B587" s="60">
        <v>28000</v>
      </c>
      <c r="C587" s="60">
        <v>31851.575042419365</v>
      </c>
      <c r="D587" s="60">
        <v>0</v>
      </c>
      <c r="E587" s="60">
        <v>0</v>
      </c>
      <c r="F587" s="60">
        <v>0</v>
      </c>
      <c r="G587" s="60">
        <v>0</v>
      </c>
      <c r="H587" s="93">
        <v>0.1375562515149773</v>
      </c>
      <c r="I587" s="93">
        <v>0</v>
      </c>
      <c r="J587" s="93">
        <v>0.1375562515149773</v>
      </c>
    </row>
    <row r="588" spans="1:10" x14ac:dyDescent="0.3">
      <c r="A588" s="92">
        <v>44593</v>
      </c>
      <c r="B588" s="60">
        <v>28000</v>
      </c>
      <c r="C588" s="60">
        <v>31851.575042419365</v>
      </c>
      <c r="D588" s="60">
        <v>0</v>
      </c>
      <c r="E588" s="60">
        <v>0</v>
      </c>
      <c r="F588" s="60">
        <v>0</v>
      </c>
      <c r="G588" s="60">
        <v>0</v>
      </c>
      <c r="H588" s="93">
        <v>0.1375562515149773</v>
      </c>
      <c r="I588" s="93">
        <v>0</v>
      </c>
      <c r="J588" s="93">
        <v>0.1375562515149773</v>
      </c>
    </row>
    <row r="589" spans="1:10" x14ac:dyDescent="0.3">
      <c r="A589" s="92">
        <v>44621</v>
      </c>
      <c r="B589" s="60">
        <v>28000</v>
      </c>
      <c r="C589" s="60">
        <v>31851.575042419365</v>
      </c>
      <c r="D589" s="60">
        <v>0</v>
      </c>
      <c r="E589" s="60">
        <v>0</v>
      </c>
      <c r="F589" s="60">
        <v>0</v>
      </c>
      <c r="G589" s="60">
        <v>0</v>
      </c>
      <c r="H589" s="93">
        <v>0.1375562515149773</v>
      </c>
      <c r="I589" s="93">
        <v>0</v>
      </c>
      <c r="J589" s="93">
        <v>0.1375562515149773</v>
      </c>
    </row>
    <row r="590" spans="1:10" x14ac:dyDescent="0.3">
      <c r="A590" s="92">
        <v>44652</v>
      </c>
      <c r="B590" s="60">
        <v>31220</v>
      </c>
      <c r="C590" s="60">
        <v>35514.506172297595</v>
      </c>
      <c r="D590" s="60">
        <v>0</v>
      </c>
      <c r="E590" s="60">
        <v>0</v>
      </c>
      <c r="F590" s="60">
        <v>0</v>
      </c>
      <c r="G590" s="60">
        <v>0</v>
      </c>
      <c r="H590" s="93">
        <v>0.13755625151497752</v>
      </c>
      <c r="I590" s="93">
        <v>0</v>
      </c>
      <c r="J590" s="93">
        <v>0.13755625151497752</v>
      </c>
    </row>
    <row r="591" spans="1:10" x14ac:dyDescent="0.3">
      <c r="A591" s="92">
        <v>44682</v>
      </c>
      <c r="B591" s="60">
        <v>31220</v>
      </c>
      <c r="C591" s="60">
        <v>35514.506172297595</v>
      </c>
      <c r="D591" s="60">
        <v>0</v>
      </c>
      <c r="E591" s="60">
        <v>0</v>
      </c>
      <c r="F591" s="60">
        <v>0</v>
      </c>
      <c r="G591" s="60">
        <v>0</v>
      </c>
      <c r="H591" s="93">
        <v>0.13755625151497752</v>
      </c>
      <c r="I591" s="93">
        <v>0</v>
      </c>
      <c r="J591" s="93">
        <v>0.13755625151497752</v>
      </c>
    </row>
    <row r="592" spans="1:10" x14ac:dyDescent="0.3">
      <c r="A592" s="92">
        <v>44713</v>
      </c>
      <c r="B592" s="60">
        <v>28000</v>
      </c>
      <c r="C592" s="60">
        <v>31851.575042419365</v>
      </c>
      <c r="D592" s="60">
        <v>0</v>
      </c>
      <c r="E592" s="60">
        <v>0</v>
      </c>
      <c r="F592" s="60">
        <v>0</v>
      </c>
      <c r="G592" s="60">
        <v>0</v>
      </c>
      <c r="H592" s="93">
        <v>0.1375562515149773</v>
      </c>
      <c r="I592" s="93">
        <v>0</v>
      </c>
      <c r="J592" s="93">
        <v>0.1375562515149773</v>
      </c>
    </row>
    <row r="593" spans="1:10" x14ac:dyDescent="0.3">
      <c r="A593" s="92">
        <v>44743</v>
      </c>
      <c r="B593" s="60">
        <v>28000</v>
      </c>
      <c r="C593" s="60">
        <v>31851.575042419365</v>
      </c>
      <c r="D593" s="60">
        <v>0</v>
      </c>
      <c r="E593" s="60">
        <v>0</v>
      </c>
      <c r="F593" s="60">
        <v>0</v>
      </c>
      <c r="G593" s="60">
        <v>0</v>
      </c>
      <c r="H593" s="93">
        <v>0.1375562515149773</v>
      </c>
      <c r="I593" s="93">
        <v>0</v>
      </c>
      <c r="J593" s="93">
        <v>0.1375562515149773</v>
      </c>
    </row>
    <row r="594" spans="1:10" x14ac:dyDescent="0.3">
      <c r="A594" s="92">
        <v>44774</v>
      </c>
      <c r="B594" s="60">
        <v>28000</v>
      </c>
      <c r="C594" s="60">
        <v>31851.575042419365</v>
      </c>
      <c r="D594" s="60">
        <v>0</v>
      </c>
      <c r="E594" s="60">
        <v>0</v>
      </c>
      <c r="F594" s="60">
        <v>0</v>
      </c>
      <c r="G594" s="60">
        <v>0</v>
      </c>
      <c r="H594" s="93">
        <v>0.1375562515149773</v>
      </c>
      <c r="I594" s="93">
        <v>0</v>
      </c>
      <c r="J594" s="93">
        <v>0.1375562515149773</v>
      </c>
    </row>
    <row r="595" spans="1:10" x14ac:dyDescent="0.3">
      <c r="A595" s="92">
        <v>44805</v>
      </c>
      <c r="B595" s="60">
        <v>28000</v>
      </c>
      <c r="C595" s="60">
        <v>31851.575042419365</v>
      </c>
      <c r="D595" s="60">
        <v>0</v>
      </c>
      <c r="E595" s="60">
        <v>0</v>
      </c>
      <c r="F595" s="60">
        <v>0</v>
      </c>
      <c r="G595" s="60">
        <v>0</v>
      </c>
      <c r="H595" s="93">
        <v>0.1375562515149773</v>
      </c>
      <c r="I595" s="93">
        <v>0</v>
      </c>
      <c r="J595" s="93">
        <v>0.1375562515149773</v>
      </c>
    </row>
    <row r="596" spans="1:10" x14ac:dyDescent="0.3">
      <c r="A596" s="92">
        <v>44835</v>
      </c>
      <c r="B596" s="60">
        <v>28000</v>
      </c>
      <c r="C596" s="60">
        <v>31851.575042419365</v>
      </c>
      <c r="D596" s="60">
        <v>0</v>
      </c>
      <c r="E596" s="60">
        <v>0</v>
      </c>
      <c r="F596" s="60">
        <v>0</v>
      </c>
      <c r="G596" s="60">
        <v>0</v>
      </c>
      <c r="H596" s="93">
        <v>0.1375562515149773</v>
      </c>
      <c r="I596" s="93">
        <v>0</v>
      </c>
      <c r="J596" s="93">
        <v>0.1375562515149773</v>
      </c>
    </row>
    <row r="597" spans="1:10" x14ac:dyDescent="0.3">
      <c r="A597" s="91" t="s">
        <v>34</v>
      </c>
      <c r="B597" s="60">
        <v>0</v>
      </c>
      <c r="C597" s="60">
        <v>0</v>
      </c>
      <c r="D597" s="60">
        <v>917388.52456999989</v>
      </c>
      <c r="E597" s="60">
        <v>1081209.9997980243</v>
      </c>
      <c r="F597" s="60">
        <v>0</v>
      </c>
      <c r="G597" s="60">
        <v>0</v>
      </c>
      <c r="H597" s="93">
        <v>0.17857371314385162</v>
      </c>
      <c r="I597" s="93">
        <v>0</v>
      </c>
      <c r="J597" s="93">
        <v>0.17857371314385162</v>
      </c>
    </row>
    <row r="598" spans="1:10" x14ac:dyDescent="0.3">
      <c r="A598" s="92">
        <v>44501</v>
      </c>
      <c r="B598" s="60">
        <v>0</v>
      </c>
      <c r="C598" s="60">
        <v>0</v>
      </c>
      <c r="D598" s="60">
        <v>82693.890759999995</v>
      </c>
      <c r="E598" s="60">
        <v>97460.845887325238</v>
      </c>
      <c r="F598" s="60">
        <v>0</v>
      </c>
      <c r="G598" s="60">
        <v>0</v>
      </c>
      <c r="H598" s="93">
        <v>0.17857371314385162</v>
      </c>
      <c r="I598" s="93">
        <v>0</v>
      </c>
      <c r="J598" s="93">
        <v>0.17857371314385162</v>
      </c>
    </row>
    <row r="599" spans="1:10" x14ac:dyDescent="0.3">
      <c r="A599" s="92">
        <v>44531</v>
      </c>
      <c r="B599" s="60">
        <v>0</v>
      </c>
      <c r="C599" s="60">
        <v>0</v>
      </c>
      <c r="D599" s="60">
        <v>74163.250230000005</v>
      </c>
      <c r="E599" s="60">
        <v>87406.857202387706</v>
      </c>
      <c r="F599" s="60">
        <v>0</v>
      </c>
      <c r="G599" s="60">
        <v>0</v>
      </c>
      <c r="H599" s="93">
        <v>0.17857371314385162</v>
      </c>
      <c r="I599" s="93">
        <v>0</v>
      </c>
      <c r="J599" s="93">
        <v>0.17857371314385162</v>
      </c>
    </row>
    <row r="600" spans="1:10" x14ac:dyDescent="0.3">
      <c r="A600" s="92">
        <v>44562</v>
      </c>
      <c r="B600" s="60">
        <v>0</v>
      </c>
      <c r="C600" s="60">
        <v>0</v>
      </c>
      <c r="D600" s="60">
        <v>63528.867789999997</v>
      </c>
      <c r="E600" s="60">
        <v>74873.45360308513</v>
      </c>
      <c r="F600" s="60">
        <v>0</v>
      </c>
      <c r="G600" s="60">
        <v>0</v>
      </c>
      <c r="H600" s="93">
        <v>0.17857371314385162</v>
      </c>
      <c r="I600" s="93">
        <v>0</v>
      </c>
      <c r="J600" s="93">
        <v>0.17857371314385162</v>
      </c>
    </row>
    <row r="601" spans="1:10" x14ac:dyDescent="0.3">
      <c r="A601" s="92">
        <v>44593</v>
      </c>
      <c r="B601" s="60">
        <v>0</v>
      </c>
      <c r="C601" s="60">
        <v>0</v>
      </c>
      <c r="D601" s="60">
        <v>79428.717799999984</v>
      </c>
      <c r="E601" s="60">
        <v>93612.59886780112</v>
      </c>
      <c r="F601" s="60">
        <v>0</v>
      </c>
      <c r="G601" s="60">
        <v>0</v>
      </c>
      <c r="H601" s="93">
        <v>0.17857371314385162</v>
      </c>
      <c r="I601" s="93">
        <v>0</v>
      </c>
      <c r="J601" s="93">
        <v>0.17857371314385162</v>
      </c>
    </row>
    <row r="602" spans="1:10" x14ac:dyDescent="0.3">
      <c r="A602" s="92">
        <v>44621</v>
      </c>
      <c r="B602" s="60">
        <v>0</v>
      </c>
      <c r="C602" s="60">
        <v>0</v>
      </c>
      <c r="D602" s="60">
        <v>78865.400229999999</v>
      </c>
      <c r="E602" s="60">
        <v>92948.687587647059</v>
      </c>
      <c r="F602" s="60">
        <v>0</v>
      </c>
      <c r="G602" s="60">
        <v>0</v>
      </c>
      <c r="H602" s="93">
        <v>0.1785737131438514</v>
      </c>
      <c r="I602" s="93">
        <v>0</v>
      </c>
      <c r="J602" s="93">
        <v>0.1785737131438514</v>
      </c>
    </row>
    <row r="603" spans="1:10" x14ac:dyDescent="0.3">
      <c r="A603" s="92">
        <v>44652</v>
      </c>
      <c r="B603" s="60">
        <v>0</v>
      </c>
      <c r="C603" s="60">
        <v>0</v>
      </c>
      <c r="D603" s="60">
        <v>84878.509649999993</v>
      </c>
      <c r="E603" s="60">
        <v>100035.58028431672</v>
      </c>
      <c r="F603" s="60">
        <v>0</v>
      </c>
      <c r="G603" s="60">
        <v>0</v>
      </c>
      <c r="H603" s="93">
        <v>0.1785737131438514</v>
      </c>
      <c r="I603" s="93">
        <v>0</v>
      </c>
      <c r="J603" s="93">
        <v>0.1785737131438514</v>
      </c>
    </row>
    <row r="604" spans="1:10" x14ac:dyDescent="0.3">
      <c r="A604" s="92">
        <v>44682</v>
      </c>
      <c r="B604" s="60">
        <v>0</v>
      </c>
      <c r="C604" s="60">
        <v>0</v>
      </c>
      <c r="D604" s="60">
        <v>75730.947039999999</v>
      </c>
      <c r="E604" s="60">
        <v>89254.503452833174</v>
      </c>
      <c r="F604" s="60">
        <v>0</v>
      </c>
      <c r="G604" s="60">
        <v>0</v>
      </c>
      <c r="H604" s="93">
        <v>0.17857371314385162</v>
      </c>
      <c r="I604" s="93">
        <v>0</v>
      </c>
      <c r="J604" s="93">
        <v>0.17857371314385162</v>
      </c>
    </row>
    <row r="605" spans="1:10" x14ac:dyDescent="0.3">
      <c r="A605" s="92">
        <v>44713</v>
      </c>
      <c r="B605" s="60">
        <v>0</v>
      </c>
      <c r="C605" s="60">
        <v>0</v>
      </c>
      <c r="D605" s="60">
        <v>83784.78955999999</v>
      </c>
      <c r="E605" s="60">
        <v>98746.550536705399</v>
      </c>
      <c r="F605" s="60">
        <v>0</v>
      </c>
      <c r="G605" s="60">
        <v>0</v>
      </c>
      <c r="H605" s="93">
        <v>0.17857371314385162</v>
      </c>
      <c r="I605" s="93">
        <v>0</v>
      </c>
      <c r="J605" s="93">
        <v>0.17857371314385162</v>
      </c>
    </row>
    <row r="606" spans="1:10" x14ac:dyDescent="0.3">
      <c r="A606" s="92">
        <v>44743</v>
      </c>
      <c r="B606" s="60">
        <v>0</v>
      </c>
      <c r="C606" s="60">
        <v>0</v>
      </c>
      <c r="D606" s="60">
        <v>51313.622519999997</v>
      </c>
      <c r="E606" s="60">
        <v>60476.886628258355</v>
      </c>
      <c r="F606" s="60">
        <v>0</v>
      </c>
      <c r="G606" s="60">
        <v>0</v>
      </c>
      <c r="H606" s="93">
        <v>0.1785737131438514</v>
      </c>
      <c r="I606" s="93">
        <v>0</v>
      </c>
      <c r="J606" s="93">
        <v>0.1785737131438514</v>
      </c>
    </row>
    <row r="607" spans="1:10" x14ac:dyDescent="0.3">
      <c r="A607" s="92">
        <v>44774</v>
      </c>
      <c r="B607" s="60">
        <v>0</v>
      </c>
      <c r="C607" s="60">
        <v>0</v>
      </c>
      <c r="D607" s="60">
        <v>75927.496909999987</v>
      </c>
      <c r="E607" s="60">
        <v>89486.151962937001</v>
      </c>
      <c r="F607" s="60">
        <v>0</v>
      </c>
      <c r="G607" s="60">
        <v>0</v>
      </c>
      <c r="H607" s="93">
        <v>0.17857371314385162</v>
      </c>
      <c r="I607" s="93">
        <v>0</v>
      </c>
      <c r="J607" s="93">
        <v>0.17857371314385162</v>
      </c>
    </row>
    <row r="608" spans="1:10" x14ac:dyDescent="0.3">
      <c r="A608" s="92">
        <v>44805</v>
      </c>
      <c r="B608" s="60">
        <v>0</v>
      </c>
      <c r="C608" s="60">
        <v>0</v>
      </c>
      <c r="D608" s="60">
        <v>83536.516040000002</v>
      </c>
      <c r="E608" s="60">
        <v>98453.941892363713</v>
      </c>
      <c r="F608" s="60">
        <v>0</v>
      </c>
      <c r="G608" s="60">
        <v>0</v>
      </c>
      <c r="H608" s="93">
        <v>0.17857371314385162</v>
      </c>
      <c r="I608" s="93">
        <v>0</v>
      </c>
      <c r="J608" s="93">
        <v>0.17857371314385162</v>
      </c>
    </row>
    <row r="609" spans="1:10" x14ac:dyDescent="0.3">
      <c r="A609" s="92">
        <v>44835</v>
      </c>
      <c r="B609" s="60">
        <v>0</v>
      </c>
      <c r="C609" s="60">
        <v>0</v>
      </c>
      <c r="D609" s="60">
        <v>83536.516040000002</v>
      </c>
      <c r="E609" s="60">
        <v>98453.941892363713</v>
      </c>
      <c r="F609" s="60">
        <v>0</v>
      </c>
      <c r="G609" s="60">
        <v>0</v>
      </c>
      <c r="H609" s="93">
        <v>0.17857371314385162</v>
      </c>
      <c r="I609" s="93">
        <v>0</v>
      </c>
      <c r="J609" s="93">
        <v>0.17857371314385162</v>
      </c>
    </row>
    <row r="610" spans="1:10" x14ac:dyDescent="0.3">
      <c r="A610" s="84" t="s">
        <v>43</v>
      </c>
      <c r="B610" s="60">
        <v>27471.100002674597</v>
      </c>
      <c r="C610" s="60">
        <v>31196.219085977587</v>
      </c>
      <c r="D610" s="60">
        <v>115011.55159117786</v>
      </c>
      <c r="E610" s="60">
        <v>154735.73675468774</v>
      </c>
      <c r="F610" s="60">
        <v>76814.326289999997</v>
      </c>
      <c r="G610" s="60">
        <v>81677.962166252109</v>
      </c>
      <c r="H610" s="93">
        <v>0.30494452314563403</v>
      </c>
      <c r="I610" s="93">
        <v>6.3316781011529599E-2</v>
      </c>
      <c r="J610" s="93">
        <v>0.220308280530219</v>
      </c>
    </row>
    <row r="611" spans="1:10" x14ac:dyDescent="0.3">
      <c r="A611" s="85" t="s">
        <v>41</v>
      </c>
      <c r="B611" s="60">
        <v>27471.100002674597</v>
      </c>
      <c r="C611" s="60">
        <v>31196.219085977587</v>
      </c>
      <c r="D611" s="60">
        <v>115011.55159117786</v>
      </c>
      <c r="E611" s="60">
        <v>154735.73675468774</v>
      </c>
      <c r="F611" s="60">
        <v>76814.326289999997</v>
      </c>
      <c r="G611" s="60">
        <v>81677.962166252109</v>
      </c>
      <c r="H611" s="93">
        <v>0.30494452314563403</v>
      </c>
      <c r="I611" s="93">
        <v>6.3316781011529599E-2</v>
      </c>
      <c r="J611" s="93">
        <v>0.220308280530219</v>
      </c>
    </row>
    <row r="612" spans="1:10" x14ac:dyDescent="0.3">
      <c r="A612" s="86" t="s">
        <v>26</v>
      </c>
      <c r="B612" s="60">
        <v>20908.939999999999</v>
      </c>
      <c r="C612" s="60">
        <v>23744.221128096582</v>
      </c>
      <c r="D612" s="60">
        <v>55245.529029999991</v>
      </c>
      <c r="E612" s="60">
        <v>74400.491423238112</v>
      </c>
      <c r="F612" s="60">
        <v>76814.326289999997</v>
      </c>
      <c r="G612" s="60">
        <v>81677.962166252109</v>
      </c>
      <c r="H612" s="93">
        <v>0.28875841170492511</v>
      </c>
      <c r="I612" s="93">
        <v>6.3316781011529599E-2</v>
      </c>
      <c r="J612" s="93">
        <v>0.17555135569584901</v>
      </c>
    </row>
    <row r="613" spans="1:10" x14ac:dyDescent="0.3">
      <c r="A613" s="87" t="s">
        <v>42</v>
      </c>
      <c r="B613" s="60">
        <v>20908.939999999999</v>
      </c>
      <c r="C613" s="60">
        <v>23744.221128096582</v>
      </c>
      <c r="D613" s="60">
        <v>55245.529029999991</v>
      </c>
      <c r="E613" s="60">
        <v>74400.491423238112</v>
      </c>
      <c r="F613" s="60">
        <v>76814.326289999997</v>
      </c>
      <c r="G613" s="60">
        <v>81677.962166252109</v>
      </c>
      <c r="H613" s="93">
        <v>0.28875841170492511</v>
      </c>
      <c r="I613" s="93">
        <v>6.3316781011529599E-2</v>
      </c>
      <c r="J613" s="93">
        <v>0.17555135569584901</v>
      </c>
    </row>
    <row r="614" spans="1:10" x14ac:dyDescent="0.3">
      <c r="A614" s="88" t="s">
        <v>25</v>
      </c>
      <c r="B614" s="60">
        <v>20908.939999999999</v>
      </c>
      <c r="C614" s="60">
        <v>23744.221128096582</v>
      </c>
      <c r="D614" s="60">
        <v>55245.529029999991</v>
      </c>
      <c r="E614" s="60">
        <v>74400.491423238112</v>
      </c>
      <c r="F614" s="60">
        <v>76814.326289999997</v>
      </c>
      <c r="G614" s="60">
        <v>81677.962166252109</v>
      </c>
      <c r="H614" s="93">
        <v>0.28875841170492511</v>
      </c>
      <c r="I614" s="93">
        <v>6.3316781011529599E-2</v>
      </c>
      <c r="J614" s="93">
        <v>0.17555135569584901</v>
      </c>
    </row>
    <row r="615" spans="1:10" x14ac:dyDescent="0.3">
      <c r="A615" s="89" t="s">
        <v>25</v>
      </c>
      <c r="B615" s="60">
        <v>20908.939999999999</v>
      </c>
      <c r="C615" s="60">
        <v>23744.221128096582</v>
      </c>
      <c r="D615" s="60">
        <v>55245.529029999991</v>
      </c>
      <c r="E615" s="60">
        <v>74400.491423238112</v>
      </c>
      <c r="F615" s="60">
        <v>76814.326289999997</v>
      </c>
      <c r="G615" s="60">
        <v>81677.962166252109</v>
      </c>
      <c r="H615" s="93">
        <v>0.28875841170492511</v>
      </c>
      <c r="I615" s="93">
        <v>6.3316781011529599E-2</v>
      </c>
      <c r="J615" s="93">
        <v>0.17555135569584901</v>
      </c>
    </row>
    <row r="616" spans="1:10" x14ac:dyDescent="0.3">
      <c r="A616" s="90" t="s">
        <v>25</v>
      </c>
      <c r="B616" s="60">
        <v>20908.939999999999</v>
      </c>
      <c r="C616" s="60">
        <v>23744.221128096582</v>
      </c>
      <c r="D616" s="60">
        <v>55245.529029999991</v>
      </c>
      <c r="E616" s="60">
        <v>74400.491423238112</v>
      </c>
      <c r="F616" s="60">
        <v>76814.326289999997</v>
      </c>
      <c r="G616" s="60">
        <v>81677.962166252109</v>
      </c>
      <c r="H616" s="93">
        <v>0.28875841170492511</v>
      </c>
      <c r="I616" s="93">
        <v>6.3316781011529599E-2</v>
      </c>
      <c r="J616" s="93">
        <v>0.17555135569584901</v>
      </c>
    </row>
    <row r="617" spans="1:10" x14ac:dyDescent="0.3">
      <c r="A617" s="91" t="s">
        <v>35</v>
      </c>
      <c r="B617" s="60">
        <v>0</v>
      </c>
      <c r="C617" s="60">
        <v>0</v>
      </c>
      <c r="D617" s="60">
        <v>26090.88637</v>
      </c>
      <c r="E617" s="60">
        <v>40337.621854526093</v>
      </c>
      <c r="F617" s="60">
        <v>68767.117230000003</v>
      </c>
      <c r="G617" s="60">
        <v>73012.4348303843</v>
      </c>
      <c r="H617" s="93">
        <v>0.54604260209830846</v>
      </c>
      <c r="I617" s="93">
        <v>6.1734703611106889E-2</v>
      </c>
      <c r="J617" s="93">
        <v>0.19494457381675701</v>
      </c>
    </row>
    <row r="618" spans="1:10" x14ac:dyDescent="0.3">
      <c r="A618" s="92">
        <v>44501</v>
      </c>
      <c r="B618" s="60">
        <v>0</v>
      </c>
      <c r="C618" s="60">
        <v>0</v>
      </c>
      <c r="D618" s="60">
        <v>5162.1615199999997</v>
      </c>
      <c r="E618" s="60">
        <v>7980.9216288325615</v>
      </c>
      <c r="F618" s="60">
        <v>13605.784079999999</v>
      </c>
      <c r="G618" s="60">
        <v>14445.733127575517</v>
      </c>
      <c r="H618" s="93">
        <v>0.5460426020983089</v>
      </c>
      <c r="I618" s="93">
        <v>6.1734703611106889E-2</v>
      </c>
      <c r="J618" s="93">
        <v>0.19494457381675701</v>
      </c>
    </row>
    <row r="619" spans="1:10" x14ac:dyDescent="0.3">
      <c r="A619" s="92">
        <v>44531</v>
      </c>
      <c r="B619" s="60">
        <v>0</v>
      </c>
      <c r="C619" s="60">
        <v>0</v>
      </c>
      <c r="D619" s="60">
        <v>2223.60763</v>
      </c>
      <c r="E619" s="60">
        <v>3437.7921263308535</v>
      </c>
      <c r="F619" s="60">
        <v>5860.7087700000002</v>
      </c>
      <c r="G619" s="60">
        <v>6222.5178888669643</v>
      </c>
      <c r="H619" s="93">
        <v>0.5460426020983089</v>
      </c>
      <c r="I619" s="93">
        <v>6.1734703611106667E-2</v>
      </c>
      <c r="J619" s="93">
        <v>0.19494457381675678</v>
      </c>
    </row>
    <row r="620" spans="1:10" x14ac:dyDescent="0.3">
      <c r="A620" s="92">
        <v>44562</v>
      </c>
      <c r="B620" s="60">
        <v>0</v>
      </c>
      <c r="C620" s="60">
        <v>0</v>
      </c>
      <c r="D620" s="60">
        <v>2250.0401299999999</v>
      </c>
      <c r="E620" s="60">
        <v>3478.657897410817</v>
      </c>
      <c r="F620" s="60">
        <v>5930.3762699999997</v>
      </c>
      <c r="G620" s="60">
        <v>6296.4862913307916</v>
      </c>
      <c r="H620" s="93">
        <v>0.5460426020983089</v>
      </c>
      <c r="I620" s="93">
        <v>6.1734703611106889E-2</v>
      </c>
      <c r="J620" s="93">
        <v>0.19494457381675678</v>
      </c>
    </row>
    <row r="621" spans="1:10" x14ac:dyDescent="0.3">
      <c r="A621" s="92">
        <v>44593</v>
      </c>
      <c r="B621" s="60">
        <v>0</v>
      </c>
      <c r="C621" s="60">
        <v>0</v>
      </c>
      <c r="D621" s="60">
        <v>2309.7775799999999</v>
      </c>
      <c r="E621" s="60">
        <v>3571.0145400515348</v>
      </c>
      <c r="F621" s="60">
        <v>6087.8248200000007</v>
      </c>
      <c r="G621" s="60">
        <v>6463.6548808990401</v>
      </c>
      <c r="H621" s="93">
        <v>0.5460426020983089</v>
      </c>
      <c r="I621" s="93">
        <v>6.1734703611106667E-2</v>
      </c>
      <c r="J621" s="93">
        <v>0.19494457381675701</v>
      </c>
    </row>
    <row r="622" spans="1:10" x14ac:dyDescent="0.3">
      <c r="A622" s="92">
        <v>44621</v>
      </c>
      <c r="B622" s="60">
        <v>0</v>
      </c>
      <c r="C622" s="60">
        <v>0</v>
      </c>
      <c r="D622" s="60">
        <v>1966.4722700000002</v>
      </c>
      <c r="E622" s="60">
        <v>3040.2499052649682</v>
      </c>
      <c r="F622" s="60">
        <v>5182.98333</v>
      </c>
      <c r="G622" s="60">
        <v>5502.9532696988581</v>
      </c>
      <c r="H622" s="93">
        <v>0.54604260209830868</v>
      </c>
      <c r="I622" s="93">
        <v>6.1734703611106889E-2</v>
      </c>
      <c r="J622" s="93">
        <v>0.19494457381675701</v>
      </c>
    </row>
    <row r="623" spans="1:10" x14ac:dyDescent="0.3">
      <c r="A623" s="92">
        <v>44652</v>
      </c>
      <c r="B623" s="60">
        <v>0</v>
      </c>
      <c r="C623" s="60">
        <v>0</v>
      </c>
      <c r="D623" s="60">
        <v>2533.7137199999997</v>
      </c>
      <c r="E623" s="60">
        <v>3917.2293526409858</v>
      </c>
      <c r="F623" s="60">
        <v>6678.0478800000001</v>
      </c>
      <c r="G623" s="60">
        <v>7090.3151865725804</v>
      </c>
      <c r="H623" s="93">
        <v>0.5460426020983089</v>
      </c>
      <c r="I623" s="93">
        <v>6.1734703611106889E-2</v>
      </c>
      <c r="J623" s="93">
        <v>0.19494457381675678</v>
      </c>
    </row>
    <row r="624" spans="1:10" x14ac:dyDescent="0.3">
      <c r="A624" s="92">
        <v>44682</v>
      </c>
      <c r="B624" s="60">
        <v>0</v>
      </c>
      <c r="C624" s="60">
        <v>0</v>
      </c>
      <c r="D624" s="60">
        <v>2206.5851000000002</v>
      </c>
      <c r="E624" s="60">
        <v>3411.4745697553576</v>
      </c>
      <c r="F624" s="60">
        <v>5815.8429000000006</v>
      </c>
      <c r="G624" s="60">
        <v>6174.8822376802609</v>
      </c>
      <c r="H624" s="93">
        <v>0.5460426020983089</v>
      </c>
      <c r="I624" s="93">
        <v>6.1734703611106889E-2</v>
      </c>
      <c r="J624" s="93">
        <v>0.19494457381675701</v>
      </c>
    </row>
    <row r="625" spans="1:10" x14ac:dyDescent="0.3">
      <c r="A625" s="92">
        <v>44713</v>
      </c>
      <c r="B625" s="60">
        <v>0</v>
      </c>
      <c r="C625" s="60">
        <v>0</v>
      </c>
      <c r="D625" s="60">
        <v>1523.8864900000001</v>
      </c>
      <c r="E625" s="60">
        <v>2355.9934343020586</v>
      </c>
      <c r="F625" s="60">
        <v>4016.4707100000005</v>
      </c>
      <c r="G625" s="60">
        <v>4264.4263388445424</v>
      </c>
      <c r="H625" s="93">
        <v>0.5460426020983089</v>
      </c>
      <c r="I625" s="93">
        <v>6.1734703611106889E-2</v>
      </c>
      <c r="J625" s="93">
        <v>0.19494457381675701</v>
      </c>
    </row>
    <row r="626" spans="1:10" x14ac:dyDescent="0.3">
      <c r="A626" s="92">
        <v>44743</v>
      </c>
      <c r="B626" s="60">
        <v>0</v>
      </c>
      <c r="C626" s="60">
        <v>0</v>
      </c>
      <c r="D626" s="60">
        <v>1381.4681800000001</v>
      </c>
      <c r="E626" s="60">
        <v>2135.808659723215</v>
      </c>
      <c r="F626" s="60">
        <v>3641.1022200000002</v>
      </c>
      <c r="G626" s="60">
        <v>3865.8845863694437</v>
      </c>
      <c r="H626" s="93">
        <v>0.5460426020983089</v>
      </c>
      <c r="I626" s="93">
        <v>6.1734703611106889E-2</v>
      </c>
      <c r="J626" s="93">
        <v>0.19494457381675678</v>
      </c>
    </row>
    <row r="627" spans="1:10" x14ac:dyDescent="0.3">
      <c r="A627" s="92">
        <v>44774</v>
      </c>
      <c r="B627" s="60">
        <v>0</v>
      </c>
      <c r="C627" s="60">
        <v>0</v>
      </c>
      <c r="D627" s="60">
        <v>1463.62039</v>
      </c>
      <c r="E627" s="60">
        <v>2262.8194762397416</v>
      </c>
      <c r="F627" s="60">
        <v>3857.6288100000002</v>
      </c>
      <c r="G627" s="60">
        <v>4095.7783812270172</v>
      </c>
      <c r="H627" s="93">
        <v>0.54604260209830868</v>
      </c>
      <c r="I627" s="93">
        <v>6.1734703611106889E-2</v>
      </c>
      <c r="J627" s="93">
        <v>0.19494457381675678</v>
      </c>
    </row>
    <row r="628" spans="1:10" x14ac:dyDescent="0.3">
      <c r="A628" s="92">
        <v>44805</v>
      </c>
      <c r="B628" s="60">
        <v>0</v>
      </c>
      <c r="C628" s="60">
        <v>0</v>
      </c>
      <c r="D628" s="60">
        <v>1534.7766800000002</v>
      </c>
      <c r="E628" s="60">
        <v>2372.8301319870038</v>
      </c>
      <c r="F628" s="60">
        <v>4045.1737200000002</v>
      </c>
      <c r="G628" s="60">
        <v>4294.9013206596392</v>
      </c>
      <c r="H628" s="93">
        <v>0.5460426020983089</v>
      </c>
      <c r="I628" s="93">
        <v>6.1734703611106889E-2</v>
      </c>
      <c r="J628" s="93">
        <v>0.19494457381675701</v>
      </c>
    </row>
    <row r="629" spans="1:10" x14ac:dyDescent="0.3">
      <c r="A629" s="92">
        <v>44835</v>
      </c>
      <c r="B629" s="60">
        <v>0</v>
      </c>
      <c r="C629" s="60">
        <v>0</v>
      </c>
      <c r="D629" s="60">
        <v>1534.7766800000002</v>
      </c>
      <c r="E629" s="60">
        <v>2372.8301319870038</v>
      </c>
      <c r="F629" s="60">
        <v>4045.1737200000002</v>
      </c>
      <c r="G629" s="60">
        <v>4294.9013206596392</v>
      </c>
      <c r="H629" s="93">
        <v>0.5460426020983089</v>
      </c>
      <c r="I629" s="93">
        <v>6.1734703611106889E-2</v>
      </c>
      <c r="J629" s="93">
        <v>0.19494457381675701</v>
      </c>
    </row>
    <row r="630" spans="1:10" x14ac:dyDescent="0.3">
      <c r="A630" s="91" t="s">
        <v>25</v>
      </c>
      <c r="B630" s="60">
        <v>20908.939999999999</v>
      </c>
      <c r="C630" s="60">
        <v>23744.221128096582</v>
      </c>
      <c r="D630" s="60">
        <v>0</v>
      </c>
      <c r="E630" s="60">
        <v>0</v>
      </c>
      <c r="F630" s="60">
        <v>0</v>
      </c>
      <c r="G630" s="60">
        <v>0</v>
      </c>
      <c r="H630" s="93">
        <v>0.1356013804667564</v>
      </c>
      <c r="I630" s="93">
        <v>0</v>
      </c>
      <c r="J630" s="93">
        <v>0.1356013804667564</v>
      </c>
    </row>
    <row r="631" spans="1:10" x14ac:dyDescent="0.3">
      <c r="A631" s="92">
        <v>44501</v>
      </c>
      <c r="B631" s="60">
        <v>2829.34</v>
      </c>
      <c r="C631" s="60">
        <v>3213.002409809812</v>
      </c>
      <c r="D631" s="60">
        <v>0</v>
      </c>
      <c r="E631" s="60">
        <v>0</v>
      </c>
      <c r="F631" s="60">
        <v>0</v>
      </c>
      <c r="G631" s="60">
        <v>0</v>
      </c>
      <c r="H631" s="93">
        <v>0.13560138046675618</v>
      </c>
      <c r="I631" s="93">
        <v>0</v>
      </c>
      <c r="J631" s="93">
        <v>0.13560138046675618</v>
      </c>
    </row>
    <row r="632" spans="1:10" x14ac:dyDescent="0.3">
      <c r="A632" s="92">
        <v>44531</v>
      </c>
      <c r="B632" s="60">
        <v>1643.6000000000001</v>
      </c>
      <c r="C632" s="60">
        <v>1866.4744289351604</v>
      </c>
      <c r="D632" s="60">
        <v>0</v>
      </c>
      <c r="E632" s="60">
        <v>0</v>
      </c>
      <c r="F632" s="60">
        <v>0</v>
      </c>
      <c r="G632" s="60">
        <v>0</v>
      </c>
      <c r="H632" s="93">
        <v>0.13560138046675596</v>
      </c>
      <c r="I632" s="93">
        <v>0</v>
      </c>
      <c r="J632" s="93">
        <v>0.13560138046675596</v>
      </c>
    </row>
    <row r="633" spans="1:10" x14ac:dyDescent="0.3">
      <c r="A633" s="92">
        <v>44562</v>
      </c>
      <c r="B633" s="60">
        <v>1643.6000000000001</v>
      </c>
      <c r="C633" s="60">
        <v>1866.4744289351604</v>
      </c>
      <c r="D633" s="60">
        <v>0</v>
      </c>
      <c r="E633" s="60">
        <v>0</v>
      </c>
      <c r="F633" s="60">
        <v>0</v>
      </c>
      <c r="G633" s="60">
        <v>0</v>
      </c>
      <c r="H633" s="93">
        <v>0.13560138046675596</v>
      </c>
      <c r="I633" s="93">
        <v>0</v>
      </c>
      <c r="J633" s="93">
        <v>0.13560138046675596</v>
      </c>
    </row>
    <row r="634" spans="1:10" x14ac:dyDescent="0.3">
      <c r="A634" s="92">
        <v>44593</v>
      </c>
      <c r="B634" s="60">
        <v>1643.6000000000001</v>
      </c>
      <c r="C634" s="60">
        <v>1866.4744289351604</v>
      </c>
      <c r="D634" s="60">
        <v>0</v>
      </c>
      <c r="E634" s="60">
        <v>0</v>
      </c>
      <c r="F634" s="60">
        <v>0</v>
      </c>
      <c r="G634" s="60">
        <v>0</v>
      </c>
      <c r="H634" s="93">
        <v>0.13560138046675596</v>
      </c>
      <c r="I634" s="93">
        <v>0</v>
      </c>
      <c r="J634" s="93">
        <v>0.13560138046675596</v>
      </c>
    </row>
    <row r="635" spans="1:10" x14ac:dyDescent="0.3">
      <c r="A635" s="92">
        <v>44621</v>
      </c>
      <c r="B635" s="60">
        <v>1643.6000000000001</v>
      </c>
      <c r="C635" s="60">
        <v>1866.4744289351604</v>
      </c>
      <c r="D635" s="60">
        <v>0</v>
      </c>
      <c r="E635" s="60">
        <v>0</v>
      </c>
      <c r="F635" s="60">
        <v>0</v>
      </c>
      <c r="G635" s="60">
        <v>0</v>
      </c>
      <c r="H635" s="93">
        <v>0.13560138046675596</v>
      </c>
      <c r="I635" s="93">
        <v>0</v>
      </c>
      <c r="J635" s="93">
        <v>0.13560138046675596</v>
      </c>
    </row>
    <row r="636" spans="1:10" x14ac:dyDescent="0.3">
      <c r="A636" s="92">
        <v>44652</v>
      </c>
      <c r="B636" s="60">
        <v>1643.6000000000001</v>
      </c>
      <c r="C636" s="60">
        <v>1866.4744289351604</v>
      </c>
      <c r="D636" s="60">
        <v>0</v>
      </c>
      <c r="E636" s="60">
        <v>0</v>
      </c>
      <c r="F636" s="60">
        <v>0</v>
      </c>
      <c r="G636" s="60">
        <v>0</v>
      </c>
      <c r="H636" s="93">
        <v>0.13560138046675596</v>
      </c>
      <c r="I636" s="93">
        <v>0</v>
      </c>
      <c r="J636" s="93">
        <v>0.13560138046675596</v>
      </c>
    </row>
    <row r="637" spans="1:10" x14ac:dyDescent="0.3">
      <c r="A637" s="92">
        <v>44682</v>
      </c>
      <c r="B637" s="60">
        <v>1643.6000000000001</v>
      </c>
      <c r="C637" s="60">
        <v>1866.4744289351604</v>
      </c>
      <c r="D637" s="60">
        <v>0</v>
      </c>
      <c r="E637" s="60">
        <v>0</v>
      </c>
      <c r="F637" s="60">
        <v>0</v>
      </c>
      <c r="G637" s="60">
        <v>0</v>
      </c>
      <c r="H637" s="93">
        <v>0.13560138046675596</v>
      </c>
      <c r="I637" s="93">
        <v>0</v>
      </c>
      <c r="J637" s="93">
        <v>0.13560138046675596</v>
      </c>
    </row>
    <row r="638" spans="1:10" x14ac:dyDescent="0.3">
      <c r="A638" s="92">
        <v>44713</v>
      </c>
      <c r="B638" s="60">
        <v>1643.6000000000001</v>
      </c>
      <c r="C638" s="60">
        <v>1866.4744289351604</v>
      </c>
      <c r="D638" s="60">
        <v>0</v>
      </c>
      <c r="E638" s="60">
        <v>0</v>
      </c>
      <c r="F638" s="60">
        <v>0</v>
      </c>
      <c r="G638" s="60">
        <v>0</v>
      </c>
      <c r="H638" s="93">
        <v>0.13560138046675596</v>
      </c>
      <c r="I638" s="93">
        <v>0</v>
      </c>
      <c r="J638" s="93">
        <v>0.13560138046675596</v>
      </c>
    </row>
    <row r="639" spans="1:10" x14ac:dyDescent="0.3">
      <c r="A639" s="92">
        <v>44743</v>
      </c>
      <c r="B639" s="60">
        <v>1643.6000000000001</v>
      </c>
      <c r="C639" s="60">
        <v>1866.4744289351604</v>
      </c>
      <c r="D639" s="60">
        <v>0</v>
      </c>
      <c r="E639" s="60">
        <v>0</v>
      </c>
      <c r="F639" s="60">
        <v>0</v>
      </c>
      <c r="G639" s="60">
        <v>0</v>
      </c>
      <c r="H639" s="93">
        <v>0.13560138046675596</v>
      </c>
      <c r="I639" s="93">
        <v>0</v>
      </c>
      <c r="J639" s="93">
        <v>0.13560138046675596</v>
      </c>
    </row>
    <row r="640" spans="1:10" x14ac:dyDescent="0.3">
      <c r="A640" s="92">
        <v>44774</v>
      </c>
      <c r="B640" s="60">
        <v>1643.6000000000001</v>
      </c>
      <c r="C640" s="60">
        <v>1866.4744289351604</v>
      </c>
      <c r="D640" s="60">
        <v>0</v>
      </c>
      <c r="E640" s="60">
        <v>0</v>
      </c>
      <c r="F640" s="60">
        <v>0</v>
      </c>
      <c r="G640" s="60">
        <v>0</v>
      </c>
      <c r="H640" s="93">
        <v>0.13560138046675596</v>
      </c>
      <c r="I640" s="93">
        <v>0</v>
      </c>
      <c r="J640" s="93">
        <v>0.13560138046675596</v>
      </c>
    </row>
    <row r="641" spans="1:10" x14ac:dyDescent="0.3">
      <c r="A641" s="92">
        <v>44805</v>
      </c>
      <c r="B641" s="60">
        <v>1643.6000000000001</v>
      </c>
      <c r="C641" s="60">
        <v>1866.4744289351604</v>
      </c>
      <c r="D641" s="60">
        <v>0</v>
      </c>
      <c r="E641" s="60">
        <v>0</v>
      </c>
      <c r="F641" s="60">
        <v>0</v>
      </c>
      <c r="G641" s="60">
        <v>0</v>
      </c>
      <c r="H641" s="93">
        <v>0.13560138046675596</v>
      </c>
      <c r="I641" s="93">
        <v>0</v>
      </c>
      <c r="J641" s="93">
        <v>0.13560138046675596</v>
      </c>
    </row>
    <row r="642" spans="1:10" x14ac:dyDescent="0.3">
      <c r="A642" s="92">
        <v>44835</v>
      </c>
      <c r="B642" s="60">
        <v>1643.6000000000001</v>
      </c>
      <c r="C642" s="60">
        <v>1866.4744289351604</v>
      </c>
      <c r="D642" s="60">
        <v>0</v>
      </c>
      <c r="E642" s="60">
        <v>0</v>
      </c>
      <c r="F642" s="60">
        <v>0</v>
      </c>
      <c r="G642" s="60">
        <v>0</v>
      </c>
      <c r="H642" s="93">
        <v>0.13560138046675596</v>
      </c>
      <c r="I642" s="93">
        <v>0</v>
      </c>
      <c r="J642" s="93">
        <v>0.13560138046675596</v>
      </c>
    </row>
    <row r="643" spans="1:10" x14ac:dyDescent="0.3">
      <c r="A643" s="91" t="s">
        <v>34</v>
      </c>
      <c r="B643" s="60">
        <v>0</v>
      </c>
      <c r="C643" s="60">
        <v>0</v>
      </c>
      <c r="D643" s="60">
        <v>29154.642660000001</v>
      </c>
      <c r="E643" s="60">
        <v>34062.869568711991</v>
      </c>
      <c r="F643" s="60">
        <v>8047.2090599999992</v>
      </c>
      <c r="G643" s="60">
        <v>8665.5273358678405</v>
      </c>
      <c r="H643" s="93">
        <v>0.16835146861347217</v>
      </c>
      <c r="I643" s="93">
        <v>7.6836362925041479E-2</v>
      </c>
      <c r="J643" s="93">
        <v>0.14855564787945008</v>
      </c>
    </row>
    <row r="644" spans="1:10" x14ac:dyDescent="0.3">
      <c r="A644" s="92">
        <v>44501</v>
      </c>
      <c r="B644" s="60">
        <v>0</v>
      </c>
      <c r="C644" s="60">
        <v>0</v>
      </c>
      <c r="D644" s="60">
        <v>7810.5112800000006</v>
      </c>
      <c r="E644" s="60">
        <v>9125.4223246100937</v>
      </c>
      <c r="F644" s="60">
        <v>2155.8424800000003</v>
      </c>
      <c r="G644" s="60">
        <v>2321.4895752025009</v>
      </c>
      <c r="H644" s="93">
        <v>0.16835146861347261</v>
      </c>
      <c r="I644" s="93">
        <v>7.6836362925041035E-2</v>
      </c>
      <c r="J644" s="93">
        <v>0.14855564787944986</v>
      </c>
    </row>
    <row r="645" spans="1:10" x14ac:dyDescent="0.3">
      <c r="A645" s="92">
        <v>44531</v>
      </c>
      <c r="B645" s="60">
        <v>0</v>
      </c>
      <c r="C645" s="60">
        <v>0</v>
      </c>
      <c r="D645" s="60">
        <v>2013.5972999999999</v>
      </c>
      <c r="E645" s="60">
        <v>2352.5893626511229</v>
      </c>
      <c r="F645" s="60">
        <v>555.78930000000003</v>
      </c>
      <c r="G645" s="60">
        <v>598.49412836465456</v>
      </c>
      <c r="H645" s="93">
        <v>0.16835146861347261</v>
      </c>
      <c r="I645" s="93">
        <v>7.6836362925041035E-2</v>
      </c>
      <c r="J645" s="93">
        <v>0.14855564787945008</v>
      </c>
    </row>
    <row r="646" spans="1:10" x14ac:dyDescent="0.3">
      <c r="A646" s="92">
        <v>44562</v>
      </c>
      <c r="B646" s="60">
        <v>0</v>
      </c>
      <c r="C646" s="60">
        <v>0</v>
      </c>
      <c r="D646" s="60">
        <v>2162.8120800000002</v>
      </c>
      <c r="E646" s="60">
        <v>2526.9246700029594</v>
      </c>
      <c r="F646" s="60">
        <v>596.97528000000011</v>
      </c>
      <c r="G646" s="60">
        <v>642.84468927135811</v>
      </c>
      <c r="H646" s="93">
        <v>0.16835146861347261</v>
      </c>
      <c r="I646" s="93">
        <v>7.6836362925041035E-2</v>
      </c>
      <c r="J646" s="93">
        <v>0.14855564787945008</v>
      </c>
    </row>
    <row r="647" spans="1:10" x14ac:dyDescent="0.3">
      <c r="A647" s="92">
        <v>44593</v>
      </c>
      <c r="B647" s="60">
        <v>0</v>
      </c>
      <c r="C647" s="60">
        <v>0</v>
      </c>
      <c r="D647" s="60">
        <v>2166.0210000000002</v>
      </c>
      <c r="E647" s="60">
        <v>2530.6738163976224</v>
      </c>
      <c r="F647" s="60">
        <v>597.8610000000001</v>
      </c>
      <c r="G647" s="60">
        <v>643.79846477472813</v>
      </c>
      <c r="H647" s="93">
        <v>0.16835146861347239</v>
      </c>
      <c r="I647" s="93">
        <v>7.6836362925041035E-2</v>
      </c>
      <c r="J647" s="93">
        <v>0.14855564787944986</v>
      </c>
    </row>
    <row r="648" spans="1:10" x14ac:dyDescent="0.3">
      <c r="A648" s="92">
        <v>44621</v>
      </c>
      <c r="B648" s="60">
        <v>0</v>
      </c>
      <c r="C648" s="60">
        <v>0</v>
      </c>
      <c r="D648" s="60">
        <v>1910.9118600000002</v>
      </c>
      <c r="E648" s="60">
        <v>2232.6166780219023</v>
      </c>
      <c r="F648" s="60">
        <v>527.44626000000005</v>
      </c>
      <c r="G648" s="60">
        <v>567.97331225681569</v>
      </c>
      <c r="H648" s="93">
        <v>0.16835146861347239</v>
      </c>
      <c r="I648" s="93">
        <v>7.6836362925041257E-2</v>
      </c>
      <c r="J648" s="93">
        <v>0.14855564787944986</v>
      </c>
    </row>
    <row r="649" spans="1:10" x14ac:dyDescent="0.3">
      <c r="A649" s="92">
        <v>44652</v>
      </c>
      <c r="B649" s="60">
        <v>0</v>
      </c>
      <c r="C649" s="60">
        <v>0</v>
      </c>
      <c r="D649" s="60">
        <v>2210.9458799999998</v>
      </c>
      <c r="E649" s="60">
        <v>2583.1618659229061</v>
      </c>
      <c r="F649" s="60">
        <v>610.26107999999999</v>
      </c>
      <c r="G649" s="60">
        <v>657.15132182190757</v>
      </c>
      <c r="H649" s="93">
        <v>0.16835146861347261</v>
      </c>
      <c r="I649" s="93">
        <v>7.6836362925041257E-2</v>
      </c>
      <c r="J649" s="93">
        <v>0.1485556478794503</v>
      </c>
    </row>
    <row r="650" spans="1:10" x14ac:dyDescent="0.3">
      <c r="A650" s="92">
        <v>44682</v>
      </c>
      <c r="B650" s="60">
        <v>0</v>
      </c>
      <c r="C650" s="60">
        <v>0</v>
      </c>
      <c r="D650" s="60">
        <v>1970.2768800000001</v>
      </c>
      <c r="E650" s="60">
        <v>2301.9758863231705</v>
      </c>
      <c r="F650" s="60">
        <v>543.83208000000002</v>
      </c>
      <c r="G650" s="60">
        <v>585.61815906916001</v>
      </c>
      <c r="H650" s="93">
        <v>0.16835146861347239</v>
      </c>
      <c r="I650" s="93">
        <v>7.6836362925041035E-2</v>
      </c>
      <c r="J650" s="93">
        <v>0.14855564787945008</v>
      </c>
    </row>
    <row r="651" spans="1:10" x14ac:dyDescent="0.3">
      <c r="A651" s="92">
        <v>44713</v>
      </c>
      <c r="B651" s="60">
        <v>0</v>
      </c>
      <c r="C651" s="60">
        <v>0</v>
      </c>
      <c r="D651" s="60">
        <v>1806.6219599999999</v>
      </c>
      <c r="E651" s="60">
        <v>2110.76942019535</v>
      </c>
      <c r="F651" s="60">
        <v>498.66035999999997</v>
      </c>
      <c r="G651" s="60">
        <v>536.97560839729169</v>
      </c>
      <c r="H651" s="93">
        <v>0.16835146861347239</v>
      </c>
      <c r="I651" s="93">
        <v>7.6836362925041257E-2</v>
      </c>
      <c r="J651" s="93">
        <v>0.14855564787945008</v>
      </c>
    </row>
    <row r="652" spans="1:10" x14ac:dyDescent="0.3">
      <c r="A652" s="92">
        <v>44743</v>
      </c>
      <c r="B652" s="60">
        <v>0</v>
      </c>
      <c r="C652" s="60">
        <v>0</v>
      </c>
      <c r="D652" s="60">
        <v>1541.88606</v>
      </c>
      <c r="E652" s="60">
        <v>1801.4648426356407</v>
      </c>
      <c r="F652" s="60">
        <v>425.58846</v>
      </c>
      <c r="G652" s="60">
        <v>458.28912936926935</v>
      </c>
      <c r="H652" s="93">
        <v>0.16835146861347239</v>
      </c>
      <c r="I652" s="93">
        <v>7.6836362925041035E-2</v>
      </c>
      <c r="J652" s="93">
        <v>0.14855564787945008</v>
      </c>
    </row>
    <row r="653" spans="1:10" x14ac:dyDescent="0.3">
      <c r="A653" s="92">
        <v>44774</v>
      </c>
      <c r="B653" s="60">
        <v>0</v>
      </c>
      <c r="C653" s="60">
        <v>0</v>
      </c>
      <c r="D653" s="60">
        <v>1659.0116400000002</v>
      </c>
      <c r="E653" s="60">
        <v>1938.3086860408457</v>
      </c>
      <c r="F653" s="60">
        <v>457.91724000000005</v>
      </c>
      <c r="G653" s="60">
        <v>493.10193524227321</v>
      </c>
      <c r="H653" s="93">
        <v>0.16835146861347239</v>
      </c>
      <c r="I653" s="93">
        <v>7.6836362925041035E-2</v>
      </c>
      <c r="J653" s="93">
        <v>0.14855564787945008</v>
      </c>
    </row>
    <row r="654" spans="1:10" x14ac:dyDescent="0.3">
      <c r="A654" s="92">
        <v>44805</v>
      </c>
      <c r="B654" s="60">
        <v>0</v>
      </c>
      <c r="C654" s="60">
        <v>0</v>
      </c>
      <c r="D654" s="60">
        <v>1951.0233599999999</v>
      </c>
      <c r="E654" s="60">
        <v>2279.4810079551917</v>
      </c>
      <c r="F654" s="60">
        <v>538.51775999999995</v>
      </c>
      <c r="G654" s="60">
        <v>579.89550604894021</v>
      </c>
      <c r="H654" s="93">
        <v>0.16835146861347261</v>
      </c>
      <c r="I654" s="93">
        <v>7.6836362925041257E-2</v>
      </c>
      <c r="J654" s="93">
        <v>0.14855564787945008</v>
      </c>
    </row>
    <row r="655" spans="1:10" x14ac:dyDescent="0.3">
      <c r="A655" s="92">
        <v>44835</v>
      </c>
      <c r="B655" s="60">
        <v>0</v>
      </c>
      <c r="C655" s="60">
        <v>0</v>
      </c>
      <c r="D655" s="60">
        <v>1951.0233599999999</v>
      </c>
      <c r="E655" s="60">
        <v>2279.4810079551917</v>
      </c>
      <c r="F655" s="60">
        <v>538.51775999999995</v>
      </c>
      <c r="G655" s="60">
        <v>579.89550604894021</v>
      </c>
      <c r="H655" s="93">
        <v>0.16835146861347261</v>
      </c>
      <c r="I655" s="93">
        <v>7.6836362925041257E-2</v>
      </c>
      <c r="J655" s="93">
        <v>0.14855564787945008</v>
      </c>
    </row>
    <row r="656" spans="1:10" x14ac:dyDescent="0.3">
      <c r="A656" s="86" t="s">
        <v>55</v>
      </c>
      <c r="B656" s="60">
        <v>6562.1600026746</v>
      </c>
      <c r="C656" s="60">
        <v>7451.997957881008</v>
      </c>
      <c r="D656" s="60">
        <v>59766.022561177873</v>
      </c>
      <c r="E656" s="60">
        <v>80335.245331449623</v>
      </c>
      <c r="F656" s="60">
        <v>0</v>
      </c>
      <c r="G656" s="60">
        <v>0</v>
      </c>
      <c r="H656" s="93">
        <v>0.32352854994662406</v>
      </c>
      <c r="I656" s="93">
        <v>0</v>
      </c>
      <c r="J656" s="93">
        <v>0.32352854994662406</v>
      </c>
    </row>
    <row r="657" spans="1:10" x14ac:dyDescent="0.3">
      <c r="A657" s="87" t="s">
        <v>38</v>
      </c>
      <c r="B657" s="60">
        <v>6562.1600026746</v>
      </c>
      <c r="C657" s="60">
        <v>7451.997957881008</v>
      </c>
      <c r="D657" s="60">
        <v>59766.022561177873</v>
      </c>
      <c r="E657" s="60">
        <v>80335.245331449623</v>
      </c>
      <c r="F657" s="60">
        <v>0</v>
      </c>
      <c r="G657" s="60">
        <v>0</v>
      </c>
      <c r="H657" s="93">
        <v>0.32352854994662406</v>
      </c>
      <c r="I657" s="93">
        <v>0</v>
      </c>
      <c r="J657" s="93">
        <v>0.32352854994662406</v>
      </c>
    </row>
    <row r="658" spans="1:10" x14ac:dyDescent="0.3">
      <c r="A658" s="88" t="s">
        <v>25</v>
      </c>
      <c r="B658" s="60">
        <v>6562.1600026746</v>
      </c>
      <c r="C658" s="60">
        <v>7451.997957881008</v>
      </c>
      <c r="D658" s="60">
        <v>59766.022561177873</v>
      </c>
      <c r="E658" s="60">
        <v>80335.245331449623</v>
      </c>
      <c r="F658" s="60">
        <v>0</v>
      </c>
      <c r="G658" s="60">
        <v>0</v>
      </c>
      <c r="H658" s="93">
        <v>0.32352854994662406</v>
      </c>
      <c r="I658" s="93">
        <v>0</v>
      </c>
      <c r="J658" s="93">
        <v>0.32352854994662406</v>
      </c>
    </row>
    <row r="659" spans="1:10" x14ac:dyDescent="0.3">
      <c r="A659" s="89" t="s">
        <v>56</v>
      </c>
      <c r="B659" s="60">
        <v>6562.1600026746</v>
      </c>
      <c r="C659" s="60">
        <v>7451.997957881008</v>
      </c>
      <c r="D659" s="60">
        <v>59766.022561177873</v>
      </c>
      <c r="E659" s="60">
        <v>80335.245331449623</v>
      </c>
      <c r="F659" s="60">
        <v>0</v>
      </c>
      <c r="G659" s="60">
        <v>0</v>
      </c>
      <c r="H659" s="93">
        <v>0.32352854994662406</v>
      </c>
      <c r="I659" s="93">
        <v>0</v>
      </c>
      <c r="J659" s="93">
        <v>0.32352854994662406</v>
      </c>
    </row>
    <row r="660" spans="1:10" x14ac:dyDescent="0.3">
      <c r="A660" s="90" t="s">
        <v>25</v>
      </c>
      <c r="B660" s="60">
        <v>6562.1600026746</v>
      </c>
      <c r="C660" s="60">
        <v>7451.997957881008</v>
      </c>
      <c r="D660" s="60">
        <v>59766.022561177873</v>
      </c>
      <c r="E660" s="60">
        <v>80335.245331449623</v>
      </c>
      <c r="F660" s="60">
        <v>0</v>
      </c>
      <c r="G660" s="60">
        <v>0</v>
      </c>
      <c r="H660" s="93">
        <v>0.32352854994662406</v>
      </c>
      <c r="I660" s="93">
        <v>0</v>
      </c>
      <c r="J660" s="93">
        <v>0.32352854994662406</v>
      </c>
    </row>
    <row r="661" spans="1:10" x14ac:dyDescent="0.3">
      <c r="A661" s="91" t="s">
        <v>35</v>
      </c>
      <c r="B661" s="60">
        <v>0</v>
      </c>
      <c r="C661" s="60">
        <v>0</v>
      </c>
      <c r="D661" s="60">
        <v>27820.417710000002</v>
      </c>
      <c r="E661" s="60">
        <v>43011.550987830276</v>
      </c>
      <c r="F661" s="60">
        <v>0</v>
      </c>
      <c r="G661" s="60">
        <v>0</v>
      </c>
      <c r="H661" s="93">
        <v>0.5460426020983089</v>
      </c>
      <c r="I661" s="93">
        <v>0</v>
      </c>
      <c r="J661" s="93">
        <v>0.5460426020983089</v>
      </c>
    </row>
    <row r="662" spans="1:10" x14ac:dyDescent="0.3">
      <c r="A662" s="92">
        <v>44531</v>
      </c>
      <c r="B662" s="60">
        <v>0</v>
      </c>
      <c r="C662" s="60">
        <v>0</v>
      </c>
      <c r="D662" s="60">
        <v>2856.6131400000004</v>
      </c>
      <c r="E662" s="60">
        <v>4416.4456121538205</v>
      </c>
      <c r="F662" s="60">
        <v>0</v>
      </c>
      <c r="G662" s="60">
        <v>0</v>
      </c>
      <c r="H662" s="93">
        <v>0.54604260209830868</v>
      </c>
      <c r="I662" s="93">
        <v>0</v>
      </c>
      <c r="J662" s="93">
        <v>0.54604260209830868</v>
      </c>
    </row>
    <row r="663" spans="1:10" x14ac:dyDescent="0.3">
      <c r="A663" s="92">
        <v>44562</v>
      </c>
      <c r="B663" s="60">
        <v>0</v>
      </c>
      <c r="C663" s="60">
        <v>0</v>
      </c>
      <c r="D663" s="60">
        <v>2865.7059199999999</v>
      </c>
      <c r="E663" s="60">
        <v>4430.5034374053284</v>
      </c>
      <c r="F663" s="60">
        <v>0</v>
      </c>
      <c r="G663" s="60">
        <v>0</v>
      </c>
      <c r="H663" s="93">
        <v>0.54604260209830913</v>
      </c>
      <c r="I663" s="93">
        <v>0</v>
      </c>
      <c r="J663" s="93">
        <v>0.54604260209830913</v>
      </c>
    </row>
    <row r="664" spans="1:10" x14ac:dyDescent="0.3">
      <c r="A664" s="92">
        <v>44593</v>
      </c>
      <c r="B664" s="60">
        <v>0</v>
      </c>
      <c r="C664" s="60">
        <v>0</v>
      </c>
      <c r="D664" s="60">
        <v>2774.5666600000004</v>
      </c>
      <c r="E664" s="60">
        <v>4289.598258721614</v>
      </c>
      <c r="F664" s="60">
        <v>0</v>
      </c>
      <c r="G664" s="60">
        <v>0</v>
      </c>
      <c r="H664" s="93">
        <v>0.54604260209830868</v>
      </c>
      <c r="I664" s="93">
        <v>0</v>
      </c>
      <c r="J664" s="93">
        <v>0.54604260209830868</v>
      </c>
    </row>
    <row r="665" spans="1:10" x14ac:dyDescent="0.3">
      <c r="A665" s="92">
        <v>44621</v>
      </c>
      <c r="B665" s="60">
        <v>0</v>
      </c>
      <c r="C665" s="60">
        <v>0</v>
      </c>
      <c r="D665" s="60">
        <v>2614.0685200000003</v>
      </c>
      <c r="E665" s="60">
        <v>4041.4612967240755</v>
      </c>
      <c r="F665" s="60">
        <v>0</v>
      </c>
      <c r="G665" s="60">
        <v>0</v>
      </c>
      <c r="H665" s="93">
        <v>0.5460426020983089</v>
      </c>
      <c r="I665" s="93">
        <v>0</v>
      </c>
      <c r="J665" s="93">
        <v>0.5460426020983089</v>
      </c>
    </row>
    <row r="666" spans="1:10" x14ac:dyDescent="0.3">
      <c r="A666" s="92">
        <v>44652</v>
      </c>
      <c r="B666" s="60">
        <v>0</v>
      </c>
      <c r="C666" s="60">
        <v>0</v>
      </c>
      <c r="D666" s="60">
        <v>3038.2572800000003</v>
      </c>
      <c r="E666" s="60">
        <v>4697.2751910153302</v>
      </c>
      <c r="F666" s="60">
        <v>0</v>
      </c>
      <c r="G666" s="60">
        <v>0</v>
      </c>
      <c r="H666" s="93">
        <v>0.54604260209830868</v>
      </c>
      <c r="I666" s="93">
        <v>0</v>
      </c>
      <c r="J666" s="93">
        <v>0.54604260209830868</v>
      </c>
    </row>
    <row r="667" spans="1:10" x14ac:dyDescent="0.3">
      <c r="A667" s="92">
        <v>44682</v>
      </c>
      <c r="B667" s="60">
        <v>0</v>
      </c>
      <c r="C667" s="60">
        <v>0</v>
      </c>
      <c r="D667" s="60">
        <v>2725.50794</v>
      </c>
      <c r="E667" s="60">
        <v>4213.7513875972018</v>
      </c>
      <c r="F667" s="60">
        <v>0</v>
      </c>
      <c r="G667" s="60">
        <v>0</v>
      </c>
      <c r="H667" s="93">
        <v>0.5460426020983089</v>
      </c>
      <c r="I667" s="93">
        <v>0</v>
      </c>
      <c r="J667" s="93">
        <v>0.5460426020983089</v>
      </c>
    </row>
    <row r="668" spans="1:10" x14ac:dyDescent="0.3">
      <c r="A668" s="92">
        <v>44713</v>
      </c>
      <c r="B668" s="60">
        <v>0</v>
      </c>
      <c r="C668" s="60">
        <v>0</v>
      </c>
      <c r="D668" s="60">
        <v>2007.60124</v>
      </c>
      <c r="E668" s="60">
        <v>3103.8370450653915</v>
      </c>
      <c r="F668" s="60">
        <v>0</v>
      </c>
      <c r="G668" s="60">
        <v>0</v>
      </c>
      <c r="H668" s="93">
        <v>0.5460426020983089</v>
      </c>
      <c r="I668" s="93">
        <v>0</v>
      </c>
      <c r="J668" s="93">
        <v>0.5460426020983089</v>
      </c>
    </row>
    <row r="669" spans="1:10" x14ac:dyDescent="0.3">
      <c r="A669" s="92">
        <v>44743</v>
      </c>
      <c r="B669" s="60">
        <v>0</v>
      </c>
      <c r="C669" s="60">
        <v>0</v>
      </c>
      <c r="D669" s="60">
        <v>1888.86645</v>
      </c>
      <c r="E669" s="60">
        <v>2920.2680013741951</v>
      </c>
      <c r="F669" s="60">
        <v>0</v>
      </c>
      <c r="G669" s="60">
        <v>0</v>
      </c>
      <c r="H669" s="93">
        <v>0.5460426020983089</v>
      </c>
      <c r="I669" s="93">
        <v>0</v>
      </c>
      <c r="J669" s="93">
        <v>0.5460426020983089</v>
      </c>
    </row>
    <row r="670" spans="1:10" x14ac:dyDescent="0.3">
      <c r="A670" s="92">
        <v>44774</v>
      </c>
      <c r="B670" s="60">
        <v>0</v>
      </c>
      <c r="C670" s="60">
        <v>0</v>
      </c>
      <c r="D670" s="60">
        <v>2192.2058200000001</v>
      </c>
      <c r="E670" s="60">
        <v>3389.2435902878574</v>
      </c>
      <c r="F670" s="60">
        <v>0</v>
      </c>
      <c r="G670" s="60">
        <v>0</v>
      </c>
      <c r="H670" s="93">
        <v>0.5460426020983089</v>
      </c>
      <c r="I670" s="93">
        <v>0</v>
      </c>
      <c r="J670" s="93">
        <v>0.5460426020983089</v>
      </c>
    </row>
    <row r="671" spans="1:10" x14ac:dyDescent="0.3">
      <c r="A671" s="92">
        <v>44805</v>
      </c>
      <c r="B671" s="60">
        <v>0</v>
      </c>
      <c r="C671" s="60">
        <v>0</v>
      </c>
      <c r="D671" s="60">
        <v>2428.5123700000004</v>
      </c>
      <c r="E671" s="60">
        <v>3754.5835837427312</v>
      </c>
      <c r="F671" s="60">
        <v>0</v>
      </c>
      <c r="G671" s="60">
        <v>0</v>
      </c>
      <c r="H671" s="93">
        <v>0.54604260209830868</v>
      </c>
      <c r="I671" s="93">
        <v>0</v>
      </c>
      <c r="J671" s="93">
        <v>0.54604260209830868</v>
      </c>
    </row>
    <row r="672" spans="1:10" x14ac:dyDescent="0.3">
      <c r="A672" s="92">
        <v>44835</v>
      </c>
      <c r="B672" s="60">
        <v>0</v>
      </c>
      <c r="C672" s="60">
        <v>0</v>
      </c>
      <c r="D672" s="60">
        <v>2428.5123700000004</v>
      </c>
      <c r="E672" s="60">
        <v>3754.5835837427312</v>
      </c>
      <c r="F672" s="60">
        <v>0</v>
      </c>
      <c r="G672" s="60">
        <v>0</v>
      </c>
      <c r="H672" s="93">
        <v>0.54604260209830868</v>
      </c>
      <c r="I672" s="93">
        <v>0</v>
      </c>
      <c r="J672" s="93">
        <v>0.54604260209830868</v>
      </c>
    </row>
    <row r="673" spans="1:10" x14ac:dyDescent="0.3">
      <c r="A673" s="91" t="s">
        <v>25</v>
      </c>
      <c r="B673" s="60">
        <v>6562.1600026746</v>
      </c>
      <c r="C673" s="60">
        <v>7451.997957881008</v>
      </c>
      <c r="D673" s="60">
        <v>0</v>
      </c>
      <c r="E673" s="60">
        <v>0</v>
      </c>
      <c r="F673" s="60">
        <v>0</v>
      </c>
      <c r="G673" s="60">
        <v>0</v>
      </c>
      <c r="H673" s="93">
        <v>0.13560138046675618</v>
      </c>
      <c r="I673" s="93">
        <v>0</v>
      </c>
      <c r="J673" s="93">
        <v>0.13560138046675618</v>
      </c>
    </row>
    <row r="674" spans="1:10" x14ac:dyDescent="0.3">
      <c r="A674" s="92">
        <v>44531</v>
      </c>
      <c r="B674" s="60">
        <v>592.87</v>
      </c>
      <c r="C674" s="60">
        <v>673.26399043732567</v>
      </c>
      <c r="D674" s="60">
        <v>0</v>
      </c>
      <c r="E674" s="60">
        <v>0</v>
      </c>
      <c r="F674" s="60">
        <v>0</v>
      </c>
      <c r="G674" s="60">
        <v>0</v>
      </c>
      <c r="H674" s="93">
        <v>0.13560138046675596</v>
      </c>
      <c r="I674" s="93">
        <v>0</v>
      </c>
      <c r="J674" s="93">
        <v>0.13560138046675596</v>
      </c>
    </row>
    <row r="675" spans="1:10" x14ac:dyDescent="0.3">
      <c r="A675" s="92">
        <v>44562</v>
      </c>
      <c r="B675" s="60">
        <v>592.87</v>
      </c>
      <c r="C675" s="60">
        <v>673.26399043732567</v>
      </c>
      <c r="D675" s="60">
        <v>0</v>
      </c>
      <c r="E675" s="60">
        <v>0</v>
      </c>
      <c r="F675" s="60">
        <v>0</v>
      </c>
      <c r="G675" s="60">
        <v>0</v>
      </c>
      <c r="H675" s="93">
        <v>0.13560138046675596</v>
      </c>
      <c r="I675" s="93">
        <v>0</v>
      </c>
      <c r="J675" s="93">
        <v>0.13560138046675596</v>
      </c>
    </row>
    <row r="676" spans="1:10" x14ac:dyDescent="0.3">
      <c r="A676" s="92">
        <v>44593</v>
      </c>
      <c r="B676" s="60">
        <v>594.22000056219997</v>
      </c>
      <c r="C676" s="60">
        <v>674.79705293939094</v>
      </c>
      <c r="D676" s="60">
        <v>0</v>
      </c>
      <c r="E676" s="60">
        <v>0</v>
      </c>
      <c r="F676" s="60">
        <v>0</v>
      </c>
      <c r="G676" s="60">
        <v>0</v>
      </c>
      <c r="H676" s="93">
        <v>0.13560138046675618</v>
      </c>
      <c r="I676" s="93">
        <v>0</v>
      </c>
      <c r="J676" s="93">
        <v>0.13560138046675618</v>
      </c>
    </row>
    <row r="677" spans="1:10" x14ac:dyDescent="0.3">
      <c r="A677" s="92">
        <v>44621</v>
      </c>
      <c r="B677" s="60">
        <v>593.74000115280001</v>
      </c>
      <c r="C677" s="60">
        <v>674.25196494745308</v>
      </c>
      <c r="D677" s="60">
        <v>0</v>
      </c>
      <c r="E677" s="60">
        <v>0</v>
      </c>
      <c r="F677" s="60">
        <v>0</v>
      </c>
      <c r="G677" s="60">
        <v>0</v>
      </c>
      <c r="H677" s="93">
        <v>0.13560138046675618</v>
      </c>
      <c r="I677" s="93">
        <v>0</v>
      </c>
      <c r="J677" s="93">
        <v>0.13560138046675618</v>
      </c>
    </row>
    <row r="678" spans="1:10" x14ac:dyDescent="0.3">
      <c r="A678" s="92">
        <v>44652</v>
      </c>
      <c r="B678" s="60">
        <v>593.60999661920005</v>
      </c>
      <c r="C678" s="60">
        <v>674.10433161962999</v>
      </c>
      <c r="D678" s="60">
        <v>0</v>
      </c>
      <c r="E678" s="60">
        <v>0</v>
      </c>
      <c r="F678" s="60">
        <v>0</v>
      </c>
      <c r="G678" s="60">
        <v>0</v>
      </c>
      <c r="H678" s="93">
        <v>0.13560138046675618</v>
      </c>
      <c r="I678" s="93">
        <v>0</v>
      </c>
      <c r="J678" s="93">
        <v>0.13560138046675618</v>
      </c>
    </row>
    <row r="679" spans="1:10" x14ac:dyDescent="0.3">
      <c r="A679" s="92">
        <v>44682</v>
      </c>
      <c r="B679" s="60">
        <v>594.24999978419999</v>
      </c>
      <c r="C679" s="60">
        <v>674.83112009730712</v>
      </c>
      <c r="D679" s="60">
        <v>0</v>
      </c>
      <c r="E679" s="60">
        <v>0</v>
      </c>
      <c r="F679" s="60">
        <v>0</v>
      </c>
      <c r="G679" s="60">
        <v>0</v>
      </c>
      <c r="H679" s="93">
        <v>0.13560138046675618</v>
      </c>
      <c r="I679" s="93">
        <v>0</v>
      </c>
      <c r="J679" s="93">
        <v>0.13560138046675618</v>
      </c>
    </row>
    <row r="680" spans="1:10" x14ac:dyDescent="0.3">
      <c r="A680" s="92">
        <v>44713</v>
      </c>
      <c r="B680" s="60">
        <v>665.22000114499997</v>
      </c>
      <c r="C680" s="60">
        <v>755.42475161435914</v>
      </c>
      <c r="D680" s="60">
        <v>0</v>
      </c>
      <c r="E680" s="60">
        <v>0</v>
      </c>
      <c r="F680" s="60">
        <v>0</v>
      </c>
      <c r="G680" s="60">
        <v>0</v>
      </c>
      <c r="H680" s="93">
        <v>0.13560138046675618</v>
      </c>
      <c r="I680" s="93">
        <v>0</v>
      </c>
      <c r="J680" s="93">
        <v>0.13560138046675618</v>
      </c>
    </row>
    <row r="681" spans="1:10" x14ac:dyDescent="0.3">
      <c r="A681" s="92">
        <v>44743</v>
      </c>
      <c r="B681" s="60">
        <v>593.11000563339996</v>
      </c>
      <c r="C681" s="60">
        <v>673.53654116593452</v>
      </c>
      <c r="D681" s="60">
        <v>0</v>
      </c>
      <c r="E681" s="60">
        <v>0</v>
      </c>
      <c r="F681" s="60">
        <v>0</v>
      </c>
      <c r="G681" s="60">
        <v>0</v>
      </c>
      <c r="H681" s="93">
        <v>0.13560138046675618</v>
      </c>
      <c r="I681" s="93">
        <v>0</v>
      </c>
      <c r="J681" s="93">
        <v>0.13560138046675618</v>
      </c>
    </row>
    <row r="682" spans="1:10" x14ac:dyDescent="0.3">
      <c r="A682" s="92">
        <v>44774</v>
      </c>
      <c r="B682" s="60">
        <v>556.63000308940002</v>
      </c>
      <c r="C682" s="60">
        <v>632.10979991753743</v>
      </c>
      <c r="D682" s="60">
        <v>0</v>
      </c>
      <c r="E682" s="60">
        <v>0</v>
      </c>
      <c r="F682" s="60">
        <v>0</v>
      </c>
      <c r="G682" s="60">
        <v>0</v>
      </c>
      <c r="H682" s="93">
        <v>0.13560138046675618</v>
      </c>
      <c r="I682" s="93">
        <v>0</v>
      </c>
      <c r="J682" s="93">
        <v>0.13560138046675618</v>
      </c>
    </row>
    <row r="683" spans="1:10" x14ac:dyDescent="0.3">
      <c r="A683" s="92">
        <v>44805</v>
      </c>
      <c r="B683" s="60">
        <v>592.81999734420003</v>
      </c>
      <c r="C683" s="60">
        <v>673.20720735237228</v>
      </c>
      <c r="D683" s="60">
        <v>0</v>
      </c>
      <c r="E683" s="60">
        <v>0</v>
      </c>
      <c r="F683" s="60">
        <v>0</v>
      </c>
      <c r="G683" s="60">
        <v>0</v>
      </c>
      <c r="H683" s="93">
        <v>0.13560138046675618</v>
      </c>
      <c r="I683" s="93">
        <v>0</v>
      </c>
      <c r="J683" s="93">
        <v>0.13560138046675618</v>
      </c>
    </row>
    <row r="684" spans="1:10" x14ac:dyDescent="0.3">
      <c r="A684" s="92">
        <v>44835</v>
      </c>
      <c r="B684" s="60">
        <v>592.81999734420003</v>
      </c>
      <c r="C684" s="60">
        <v>673.20720735237228</v>
      </c>
      <c r="D684" s="60">
        <v>0</v>
      </c>
      <c r="E684" s="60">
        <v>0</v>
      </c>
      <c r="F684" s="60">
        <v>0</v>
      </c>
      <c r="G684" s="60">
        <v>0</v>
      </c>
      <c r="H684" s="93">
        <v>0.13560138046675618</v>
      </c>
      <c r="I684" s="93">
        <v>0</v>
      </c>
      <c r="J684" s="93">
        <v>0.13560138046675618</v>
      </c>
    </row>
    <row r="685" spans="1:10" x14ac:dyDescent="0.3">
      <c r="A685" s="91" t="s">
        <v>34</v>
      </c>
      <c r="B685" s="60">
        <v>0</v>
      </c>
      <c r="C685" s="60">
        <v>0</v>
      </c>
      <c r="D685" s="60">
        <v>31945.604851177872</v>
      </c>
      <c r="E685" s="60">
        <v>37323.69434361934</v>
      </c>
      <c r="F685" s="60">
        <v>0</v>
      </c>
      <c r="G685" s="60">
        <v>0</v>
      </c>
      <c r="H685" s="93">
        <v>0.16835146861347261</v>
      </c>
      <c r="I685" s="93">
        <v>0</v>
      </c>
      <c r="J685" s="93">
        <v>0.16835146861347261</v>
      </c>
    </row>
    <row r="686" spans="1:10" x14ac:dyDescent="0.3">
      <c r="A686" s="92">
        <v>44531</v>
      </c>
      <c r="B686" s="60">
        <v>0</v>
      </c>
      <c r="C686" s="60">
        <v>0</v>
      </c>
      <c r="D686" s="60">
        <v>3023.8965279847039</v>
      </c>
      <c r="E686" s="60">
        <v>3532.9739494061091</v>
      </c>
      <c r="F686" s="60">
        <v>0</v>
      </c>
      <c r="G686" s="60">
        <v>0</v>
      </c>
      <c r="H686" s="93">
        <v>0.16835146861347239</v>
      </c>
      <c r="I686" s="93">
        <v>0</v>
      </c>
      <c r="J686" s="93">
        <v>0.16835146861347239</v>
      </c>
    </row>
    <row r="687" spans="1:10" x14ac:dyDescent="0.3">
      <c r="A687" s="92">
        <v>44562</v>
      </c>
      <c r="B687" s="60">
        <v>0</v>
      </c>
      <c r="C687" s="60">
        <v>0</v>
      </c>
      <c r="D687" s="60">
        <v>3428.0600941448865</v>
      </c>
      <c r="E687" s="60">
        <v>4005.1790454894167</v>
      </c>
      <c r="F687" s="60">
        <v>0</v>
      </c>
      <c r="G687" s="60">
        <v>0</v>
      </c>
      <c r="H687" s="93">
        <v>0.16835146861347239</v>
      </c>
      <c r="I687" s="93">
        <v>0</v>
      </c>
      <c r="J687" s="93">
        <v>0.16835146861347239</v>
      </c>
    </row>
    <row r="688" spans="1:10" x14ac:dyDescent="0.3">
      <c r="A688" s="92">
        <v>44593</v>
      </c>
      <c r="B688" s="60">
        <v>0</v>
      </c>
      <c r="C688" s="60">
        <v>0</v>
      </c>
      <c r="D688" s="60">
        <v>3204.1902139704598</v>
      </c>
      <c r="E688" s="60">
        <v>3743.6203422093035</v>
      </c>
      <c r="F688" s="60">
        <v>0</v>
      </c>
      <c r="G688" s="60">
        <v>0</v>
      </c>
      <c r="H688" s="93">
        <v>0.16835146861347261</v>
      </c>
      <c r="I688" s="93">
        <v>0</v>
      </c>
      <c r="J688" s="93">
        <v>0.16835146861347261</v>
      </c>
    </row>
    <row r="689" spans="1:10" x14ac:dyDescent="0.3">
      <c r="A689" s="92">
        <v>44621</v>
      </c>
      <c r="B689" s="60">
        <v>0</v>
      </c>
      <c r="C689" s="60">
        <v>0</v>
      </c>
      <c r="D689" s="60">
        <v>2952.4243046648066</v>
      </c>
      <c r="E689" s="60">
        <v>3449.4692723252369</v>
      </c>
      <c r="F689" s="60">
        <v>0</v>
      </c>
      <c r="G689" s="60">
        <v>0</v>
      </c>
      <c r="H689" s="93">
        <v>0.16835146861347239</v>
      </c>
      <c r="I689" s="93">
        <v>0</v>
      </c>
      <c r="J689" s="93">
        <v>0.16835146861347239</v>
      </c>
    </row>
    <row r="690" spans="1:10" x14ac:dyDescent="0.3">
      <c r="A690" s="92">
        <v>44652</v>
      </c>
      <c r="B690" s="60">
        <v>0</v>
      </c>
      <c r="C690" s="60">
        <v>0</v>
      </c>
      <c r="D690" s="60">
        <v>3569.544400758336</v>
      </c>
      <c r="E690" s="60">
        <v>4170.4824429069995</v>
      </c>
      <c r="F690" s="60">
        <v>0</v>
      </c>
      <c r="G690" s="60">
        <v>0</v>
      </c>
      <c r="H690" s="93">
        <v>0.16835146861347239</v>
      </c>
      <c r="I690" s="93">
        <v>0</v>
      </c>
      <c r="J690" s="93">
        <v>0.16835146861347239</v>
      </c>
    </row>
    <row r="691" spans="1:10" x14ac:dyDescent="0.3">
      <c r="A691" s="92">
        <v>44682</v>
      </c>
      <c r="B691" s="60">
        <v>0</v>
      </c>
      <c r="C691" s="60">
        <v>0</v>
      </c>
      <c r="D691" s="60">
        <v>2803.6616753553408</v>
      </c>
      <c r="E691" s="60">
        <v>3275.6622358967215</v>
      </c>
      <c r="F691" s="60">
        <v>0</v>
      </c>
      <c r="G691" s="60">
        <v>0</v>
      </c>
      <c r="H691" s="93">
        <v>0.16835146861347261</v>
      </c>
      <c r="I691" s="93">
        <v>0</v>
      </c>
      <c r="J691" s="93">
        <v>0.16835146861347261</v>
      </c>
    </row>
    <row r="692" spans="1:10" x14ac:dyDescent="0.3">
      <c r="A692" s="92">
        <v>44713</v>
      </c>
      <c r="B692" s="60">
        <v>0</v>
      </c>
      <c r="C692" s="60">
        <v>0</v>
      </c>
      <c r="D692" s="60">
        <v>2580.7641373624965</v>
      </c>
      <c r="E692" s="60">
        <v>3015.2395700324546</v>
      </c>
      <c r="F692" s="60">
        <v>0</v>
      </c>
      <c r="G692" s="60">
        <v>0</v>
      </c>
      <c r="H692" s="93">
        <v>0.16835146861347261</v>
      </c>
      <c r="I692" s="93">
        <v>0</v>
      </c>
      <c r="J692" s="93">
        <v>0.16835146861347261</v>
      </c>
    </row>
    <row r="693" spans="1:10" x14ac:dyDescent="0.3">
      <c r="A693" s="92">
        <v>44743</v>
      </c>
      <c r="B693" s="60">
        <v>0</v>
      </c>
      <c r="C693" s="60">
        <v>0</v>
      </c>
      <c r="D693" s="60">
        <v>2358.0833366774973</v>
      </c>
      <c r="E693" s="60">
        <v>2755.0701295201115</v>
      </c>
      <c r="F693" s="60">
        <v>0</v>
      </c>
      <c r="G693" s="60">
        <v>0</v>
      </c>
      <c r="H693" s="93">
        <v>0.16835146861347261</v>
      </c>
      <c r="I693" s="93">
        <v>0</v>
      </c>
      <c r="J693" s="93">
        <v>0.16835146861347261</v>
      </c>
    </row>
    <row r="694" spans="1:10" x14ac:dyDescent="0.3">
      <c r="A694" s="92">
        <v>44774</v>
      </c>
      <c r="B694" s="60">
        <v>0</v>
      </c>
      <c r="C694" s="60">
        <v>0</v>
      </c>
      <c r="D694" s="60">
        <v>2353.9808657078997</v>
      </c>
      <c r="E694" s="60">
        <v>2750.2770015378383</v>
      </c>
      <c r="F694" s="60">
        <v>0</v>
      </c>
      <c r="G694" s="60">
        <v>0</v>
      </c>
      <c r="H694" s="93">
        <v>0.16835146861347261</v>
      </c>
      <c r="I694" s="93">
        <v>0</v>
      </c>
      <c r="J694" s="93">
        <v>0.16835146861347261</v>
      </c>
    </row>
    <row r="695" spans="1:10" x14ac:dyDescent="0.3">
      <c r="A695" s="92">
        <v>44805</v>
      </c>
      <c r="B695" s="60">
        <v>0</v>
      </c>
      <c r="C695" s="60">
        <v>0</v>
      </c>
      <c r="D695" s="60">
        <v>2835.4996472757239</v>
      </c>
      <c r="E695" s="60">
        <v>3312.8601771475751</v>
      </c>
      <c r="F695" s="60">
        <v>0</v>
      </c>
      <c r="G695" s="60">
        <v>0</v>
      </c>
      <c r="H695" s="93">
        <v>0.16835146861347239</v>
      </c>
      <c r="I695" s="93">
        <v>0</v>
      </c>
      <c r="J695" s="93">
        <v>0.16835146861347239</v>
      </c>
    </row>
    <row r="696" spans="1:10" x14ac:dyDescent="0.3">
      <c r="A696" s="92">
        <v>44835</v>
      </c>
      <c r="B696" s="60">
        <v>0</v>
      </c>
      <c r="C696" s="60">
        <v>0</v>
      </c>
      <c r="D696" s="60">
        <v>2835.4996472757239</v>
      </c>
      <c r="E696" s="60">
        <v>3312.8601771475751</v>
      </c>
      <c r="F696" s="60">
        <v>0</v>
      </c>
      <c r="G696" s="60">
        <v>0</v>
      </c>
      <c r="H696" s="93">
        <v>0.16835146861347239</v>
      </c>
      <c r="I696" s="93">
        <v>0</v>
      </c>
      <c r="J696" s="93">
        <v>0.16835146861347239</v>
      </c>
    </row>
    <row r="697" spans="1:10" x14ac:dyDescent="0.3">
      <c r="A697" s="84" t="s">
        <v>22</v>
      </c>
      <c r="B697" s="60">
        <v>0</v>
      </c>
      <c r="C697" s="60">
        <v>0</v>
      </c>
      <c r="D697" s="60">
        <v>39605220.734357022</v>
      </c>
      <c r="E697" s="60">
        <v>50631345.2660124</v>
      </c>
      <c r="F697" s="60">
        <v>39063626.949199982</v>
      </c>
      <c r="G697" s="60">
        <v>41548693.62207564</v>
      </c>
      <c r="H697" s="93">
        <v>0.27840078472508867</v>
      </c>
      <c r="I697" s="93">
        <v>6.3615871514115518E-2</v>
      </c>
      <c r="J697" s="93">
        <v>0.17174766889785076</v>
      </c>
    </row>
    <row r="698" spans="1:10" x14ac:dyDescent="0.3">
      <c r="A698" s="85" t="s">
        <v>33</v>
      </c>
      <c r="B698" s="60">
        <v>0</v>
      </c>
      <c r="C698" s="60">
        <v>0</v>
      </c>
      <c r="D698" s="60">
        <v>41762.502099999998</v>
      </c>
      <c r="E698" s="60">
        <v>54356.450357998328</v>
      </c>
      <c r="F698" s="60">
        <v>46168.459920000008</v>
      </c>
      <c r="G698" s="60">
        <v>49132.317324082323</v>
      </c>
      <c r="H698" s="93">
        <v>0.30156115234288938</v>
      </c>
      <c r="I698" s="93">
        <v>6.4196583754754899E-2</v>
      </c>
      <c r="J698" s="93">
        <v>0.17693205333682149</v>
      </c>
    </row>
    <row r="699" spans="1:10" x14ac:dyDescent="0.3">
      <c r="A699" s="86" t="s">
        <v>26</v>
      </c>
      <c r="B699" s="60">
        <v>0</v>
      </c>
      <c r="C699" s="60">
        <v>0</v>
      </c>
      <c r="D699" s="60">
        <v>41762.502099999998</v>
      </c>
      <c r="E699" s="60">
        <v>54356.450357998328</v>
      </c>
      <c r="F699" s="60">
        <v>46168.459920000008</v>
      </c>
      <c r="G699" s="60">
        <v>49132.317324082323</v>
      </c>
      <c r="H699" s="93">
        <v>0.30156115234288938</v>
      </c>
      <c r="I699" s="93">
        <v>6.4196583754754899E-2</v>
      </c>
      <c r="J699" s="93">
        <v>0.17693205333682149</v>
      </c>
    </row>
    <row r="700" spans="1:10" x14ac:dyDescent="0.3">
      <c r="A700" s="87" t="s">
        <v>24</v>
      </c>
      <c r="B700" s="60">
        <v>0</v>
      </c>
      <c r="C700" s="60">
        <v>0</v>
      </c>
      <c r="D700" s="60">
        <v>41762.502099999998</v>
      </c>
      <c r="E700" s="60">
        <v>54356.450357998328</v>
      </c>
      <c r="F700" s="60">
        <v>46168.459920000008</v>
      </c>
      <c r="G700" s="60">
        <v>49132.317324082323</v>
      </c>
      <c r="H700" s="93">
        <v>0.30156115234288938</v>
      </c>
      <c r="I700" s="93">
        <v>6.4196583754754899E-2</v>
      </c>
      <c r="J700" s="93">
        <v>0.17693205333682149</v>
      </c>
    </row>
    <row r="701" spans="1:10" x14ac:dyDescent="0.3">
      <c r="A701" s="88" t="s">
        <v>24</v>
      </c>
      <c r="B701" s="60">
        <v>0</v>
      </c>
      <c r="C701" s="60">
        <v>0</v>
      </c>
      <c r="D701" s="60">
        <v>41762.502099999998</v>
      </c>
      <c r="E701" s="60">
        <v>54356.450357998328</v>
      </c>
      <c r="F701" s="60">
        <v>46168.459920000008</v>
      </c>
      <c r="G701" s="60">
        <v>49132.317324082323</v>
      </c>
      <c r="H701" s="93">
        <v>0.30156115234288938</v>
      </c>
      <c r="I701" s="93">
        <v>6.4196583754754899E-2</v>
      </c>
      <c r="J701" s="93">
        <v>0.17693205333682149</v>
      </c>
    </row>
    <row r="702" spans="1:10" x14ac:dyDescent="0.3">
      <c r="A702" s="89" t="s">
        <v>25</v>
      </c>
      <c r="B702" s="60">
        <v>0</v>
      </c>
      <c r="C702" s="60">
        <v>0</v>
      </c>
      <c r="D702" s="60">
        <v>41762.502099999998</v>
      </c>
      <c r="E702" s="60">
        <v>54356.450357998328</v>
      </c>
      <c r="F702" s="60">
        <v>46168.459920000008</v>
      </c>
      <c r="G702" s="60">
        <v>49132.317324082323</v>
      </c>
      <c r="H702" s="93">
        <v>0.30156115234288938</v>
      </c>
      <c r="I702" s="93">
        <v>6.4196583754754899E-2</v>
      </c>
      <c r="J702" s="93">
        <v>0.17693205333682149</v>
      </c>
    </row>
    <row r="703" spans="1:10" x14ac:dyDescent="0.3">
      <c r="A703" s="90" t="s">
        <v>25</v>
      </c>
      <c r="B703" s="60">
        <v>0</v>
      </c>
      <c r="C703" s="60">
        <v>0</v>
      </c>
      <c r="D703" s="60">
        <v>41762.502099999998</v>
      </c>
      <c r="E703" s="60">
        <v>54356.450357998328</v>
      </c>
      <c r="F703" s="60">
        <v>46168.459920000008</v>
      </c>
      <c r="G703" s="60">
        <v>49132.317324082323</v>
      </c>
      <c r="H703" s="93">
        <v>0.30156115234288938</v>
      </c>
      <c r="I703" s="93">
        <v>6.4196583754754899E-2</v>
      </c>
      <c r="J703" s="93">
        <v>0.17693205333682149</v>
      </c>
    </row>
    <row r="704" spans="1:10" x14ac:dyDescent="0.3">
      <c r="A704" s="91" t="s">
        <v>35</v>
      </c>
      <c r="B704" s="60">
        <v>0</v>
      </c>
      <c r="C704" s="60">
        <v>0</v>
      </c>
      <c r="D704" s="60">
        <v>26671.1525</v>
      </c>
      <c r="E704" s="60">
        <v>35935.484588690517</v>
      </c>
      <c r="F704" s="60">
        <v>35604.551220000001</v>
      </c>
      <c r="G704" s="60">
        <v>37802.587636773176</v>
      </c>
      <c r="H704" s="93">
        <v>0.34735402186652897</v>
      </c>
      <c r="I704" s="93">
        <v>6.1734703611106667E-2</v>
      </c>
      <c r="J704" s="93">
        <v>0.18405843404034528</v>
      </c>
    </row>
    <row r="705" spans="1:10" x14ac:dyDescent="0.3">
      <c r="A705" s="92">
        <v>44501</v>
      </c>
      <c r="B705" s="60">
        <v>0</v>
      </c>
      <c r="C705" s="60">
        <v>0</v>
      </c>
      <c r="D705" s="60">
        <v>2561.57125</v>
      </c>
      <c r="E705" s="60">
        <v>3451.3433259851713</v>
      </c>
      <c r="F705" s="60">
        <v>3419.5595700000003</v>
      </c>
      <c r="G705" s="60">
        <v>3630.6650665344746</v>
      </c>
      <c r="H705" s="93">
        <v>0.34735402186652875</v>
      </c>
      <c r="I705" s="93">
        <v>6.1734703611106889E-2</v>
      </c>
      <c r="J705" s="93">
        <v>0.18405843404034505</v>
      </c>
    </row>
    <row r="706" spans="1:10" x14ac:dyDescent="0.3">
      <c r="A706" s="92">
        <v>44531</v>
      </c>
      <c r="B706" s="60">
        <v>0</v>
      </c>
      <c r="C706" s="60">
        <v>0</v>
      </c>
      <c r="D706" s="60">
        <v>2545.4974999999995</v>
      </c>
      <c r="E706" s="60">
        <v>3429.6862942761936</v>
      </c>
      <c r="F706" s="60">
        <v>3398.1019799999999</v>
      </c>
      <c r="G706" s="60">
        <v>3607.8827985756152</v>
      </c>
      <c r="H706" s="93">
        <v>0.34735402186652875</v>
      </c>
      <c r="I706" s="93">
        <v>6.1734703611106889E-2</v>
      </c>
      <c r="J706" s="93">
        <v>0.18405843404034528</v>
      </c>
    </row>
    <row r="707" spans="1:10" x14ac:dyDescent="0.3">
      <c r="A707" s="92">
        <v>44562</v>
      </c>
      <c r="B707" s="60">
        <v>0</v>
      </c>
      <c r="C707" s="60">
        <v>0</v>
      </c>
      <c r="D707" s="60">
        <v>2844.4274999999998</v>
      </c>
      <c r="E707" s="60">
        <v>3832.450832032755</v>
      </c>
      <c r="F707" s="60">
        <v>3797.15742</v>
      </c>
      <c r="G707" s="60">
        <v>4031.5738078884151</v>
      </c>
      <c r="H707" s="93">
        <v>0.34735402186652853</v>
      </c>
      <c r="I707" s="93">
        <v>6.1734703611106889E-2</v>
      </c>
      <c r="J707" s="93">
        <v>0.18405843404034505</v>
      </c>
    </row>
    <row r="708" spans="1:10" x14ac:dyDescent="0.3">
      <c r="A708" s="92">
        <v>44593</v>
      </c>
      <c r="B708" s="60">
        <v>0</v>
      </c>
      <c r="C708" s="60">
        <v>0</v>
      </c>
      <c r="D708" s="60">
        <v>2626.0749999999998</v>
      </c>
      <c r="E708" s="60">
        <v>3538.2527129731443</v>
      </c>
      <c r="F708" s="60">
        <v>3505.6686000000004</v>
      </c>
      <c r="G708" s="60">
        <v>3722.0900119797643</v>
      </c>
      <c r="H708" s="93">
        <v>0.34735402186652875</v>
      </c>
      <c r="I708" s="93">
        <v>6.1734703611106889E-2</v>
      </c>
      <c r="J708" s="93">
        <v>0.18405843404034528</v>
      </c>
    </row>
    <row r="709" spans="1:10" x14ac:dyDescent="0.3">
      <c r="A709" s="92">
        <v>44621</v>
      </c>
      <c r="B709" s="60">
        <v>0</v>
      </c>
      <c r="C709" s="60">
        <v>0</v>
      </c>
      <c r="D709" s="60">
        <v>2804.3474999999999</v>
      </c>
      <c r="E709" s="60">
        <v>3778.4488828363446</v>
      </c>
      <c r="F709" s="60">
        <v>3743.6527799999999</v>
      </c>
      <c r="G709" s="60">
        <v>3974.7660747961963</v>
      </c>
      <c r="H709" s="93">
        <v>0.34735402186652853</v>
      </c>
      <c r="I709" s="93">
        <v>6.1734703611106889E-2</v>
      </c>
      <c r="J709" s="93">
        <v>0.18405843404034505</v>
      </c>
    </row>
    <row r="710" spans="1:10" x14ac:dyDescent="0.3">
      <c r="A710" s="92">
        <v>44652</v>
      </c>
      <c r="B710" s="60">
        <v>0</v>
      </c>
      <c r="C710" s="60">
        <v>0</v>
      </c>
      <c r="D710" s="60">
        <v>2136.3474999999999</v>
      </c>
      <c r="E710" s="60">
        <v>2878.4163962295038</v>
      </c>
      <c r="F710" s="60">
        <v>2851.9087800000002</v>
      </c>
      <c r="G710" s="60">
        <v>3027.9705232592137</v>
      </c>
      <c r="H710" s="93">
        <v>0.34735402186652875</v>
      </c>
      <c r="I710" s="93">
        <v>6.1734703611106889E-2</v>
      </c>
      <c r="J710" s="93">
        <v>0.18405843404034528</v>
      </c>
    </row>
    <row r="711" spans="1:10" x14ac:dyDescent="0.3">
      <c r="A711" s="92">
        <v>44682</v>
      </c>
      <c r="B711" s="60">
        <v>0</v>
      </c>
      <c r="C711" s="60">
        <v>0</v>
      </c>
      <c r="D711" s="60">
        <v>2094.8062500000001</v>
      </c>
      <c r="E711" s="60">
        <v>2822.4456259686413</v>
      </c>
      <c r="F711" s="60">
        <v>2796.4534500000004</v>
      </c>
      <c r="G711" s="60">
        <v>2969.0916748980076</v>
      </c>
      <c r="H711" s="93">
        <v>0.34735402186652875</v>
      </c>
      <c r="I711" s="93">
        <v>6.1734703611106889E-2</v>
      </c>
      <c r="J711" s="93">
        <v>0.18405843404034505</v>
      </c>
    </row>
    <row r="712" spans="1:10" x14ac:dyDescent="0.3">
      <c r="A712" s="92">
        <v>44713</v>
      </c>
      <c r="B712" s="60">
        <v>0</v>
      </c>
      <c r="C712" s="60">
        <v>0</v>
      </c>
      <c r="D712" s="60">
        <v>1798.59</v>
      </c>
      <c r="E712" s="60">
        <v>2423.3374701889197</v>
      </c>
      <c r="F712" s="60">
        <v>2401.02072</v>
      </c>
      <c r="G712" s="60">
        <v>2549.2470225133266</v>
      </c>
      <c r="H712" s="93">
        <v>0.34735402186652875</v>
      </c>
      <c r="I712" s="93">
        <v>6.1734703611106889E-2</v>
      </c>
      <c r="J712" s="93">
        <v>0.18405843404034528</v>
      </c>
    </row>
    <row r="713" spans="1:10" x14ac:dyDescent="0.3">
      <c r="A713" s="92">
        <v>44743</v>
      </c>
      <c r="B713" s="60">
        <v>0</v>
      </c>
      <c r="C713" s="60">
        <v>0</v>
      </c>
      <c r="D713" s="60">
        <v>1888.5612500000002</v>
      </c>
      <c r="E713" s="60">
        <v>2544.5605957287789</v>
      </c>
      <c r="F713" s="60">
        <v>2521.1274900000003</v>
      </c>
      <c r="G713" s="60">
        <v>2676.7685483609639</v>
      </c>
      <c r="H713" s="93">
        <v>0.34735402186652875</v>
      </c>
      <c r="I713" s="93">
        <v>6.1734703611106889E-2</v>
      </c>
      <c r="J713" s="93">
        <v>0.18405843404034505</v>
      </c>
    </row>
    <row r="714" spans="1:10" x14ac:dyDescent="0.3">
      <c r="A714" s="92">
        <v>44774</v>
      </c>
      <c r="B714" s="60">
        <v>0</v>
      </c>
      <c r="C714" s="60">
        <v>0</v>
      </c>
      <c r="D714" s="60">
        <v>1744.10625</v>
      </c>
      <c r="E714" s="60">
        <v>2349.9285705000493</v>
      </c>
      <c r="F714" s="60">
        <v>2328.2878500000002</v>
      </c>
      <c r="G714" s="60">
        <v>2472.0240103410911</v>
      </c>
      <c r="H714" s="93">
        <v>0.34735402186652853</v>
      </c>
      <c r="I714" s="93">
        <v>6.1734703611106667E-2</v>
      </c>
      <c r="J714" s="93">
        <v>0.18405843404034483</v>
      </c>
    </row>
    <row r="715" spans="1:10" x14ac:dyDescent="0.3">
      <c r="A715" s="92">
        <v>44805</v>
      </c>
      <c r="B715" s="60">
        <v>0</v>
      </c>
      <c r="C715" s="60">
        <v>0</v>
      </c>
      <c r="D715" s="60">
        <v>1813.4112499999999</v>
      </c>
      <c r="E715" s="60">
        <v>2443.3069409855088</v>
      </c>
      <c r="F715" s="60">
        <v>2420.80629</v>
      </c>
      <c r="G715" s="60">
        <v>2570.254048813053</v>
      </c>
      <c r="H715" s="93">
        <v>0.34735402186652853</v>
      </c>
      <c r="I715" s="93">
        <v>6.1734703611106889E-2</v>
      </c>
      <c r="J715" s="93">
        <v>0.18405843404034505</v>
      </c>
    </row>
    <row r="716" spans="1:10" x14ac:dyDescent="0.3">
      <c r="A716" s="92">
        <v>44835</v>
      </c>
      <c r="B716" s="60">
        <v>0</v>
      </c>
      <c r="C716" s="60">
        <v>0</v>
      </c>
      <c r="D716" s="60">
        <v>1813.4112499999999</v>
      </c>
      <c r="E716" s="60">
        <v>2443.3069409855088</v>
      </c>
      <c r="F716" s="60">
        <v>2420.80629</v>
      </c>
      <c r="G716" s="60">
        <v>2570.254048813053</v>
      </c>
      <c r="H716" s="93">
        <v>0.34735402186652853</v>
      </c>
      <c r="I716" s="93">
        <v>6.1734703611106889E-2</v>
      </c>
      <c r="J716" s="93">
        <v>0.18405843404034505</v>
      </c>
    </row>
    <row r="717" spans="1:10" x14ac:dyDescent="0.3">
      <c r="A717" s="91" t="s">
        <v>36</v>
      </c>
      <c r="B717" s="60">
        <v>0</v>
      </c>
      <c r="C717" s="60">
        <v>0</v>
      </c>
      <c r="D717" s="60">
        <v>4525.8980000000001</v>
      </c>
      <c r="E717" s="60">
        <v>5633.5643321382886</v>
      </c>
      <c r="F717" s="60">
        <v>3037.5030000000002</v>
      </c>
      <c r="G717" s="60">
        <v>3225.0223474228478</v>
      </c>
      <c r="H717" s="93">
        <v>0.2447395703876416</v>
      </c>
      <c r="I717" s="93">
        <v>6.1734703611106667E-2</v>
      </c>
      <c r="J717" s="93">
        <v>0.17124382001709737</v>
      </c>
    </row>
    <row r="718" spans="1:10" x14ac:dyDescent="0.3">
      <c r="A718" s="92">
        <v>44501</v>
      </c>
      <c r="B718" s="60">
        <v>0</v>
      </c>
      <c r="C718" s="60">
        <v>0</v>
      </c>
      <c r="D718" s="60">
        <v>301.03450000000004</v>
      </c>
      <c r="E718" s="60">
        <v>374.70955420185862</v>
      </c>
      <c r="F718" s="60">
        <v>202.03575000000001</v>
      </c>
      <c r="G718" s="60">
        <v>214.50836714509768</v>
      </c>
      <c r="H718" s="93">
        <v>0.24473957038764182</v>
      </c>
      <c r="I718" s="93">
        <v>6.1734703611106889E-2</v>
      </c>
      <c r="J718" s="93">
        <v>0.17124382001709737</v>
      </c>
    </row>
    <row r="719" spans="1:10" x14ac:dyDescent="0.3">
      <c r="A719" s="92">
        <v>44531</v>
      </c>
      <c r="B719" s="60">
        <v>0</v>
      </c>
      <c r="C719" s="60">
        <v>0</v>
      </c>
      <c r="D719" s="60">
        <v>324.70204000000001</v>
      </c>
      <c r="E719" s="60">
        <v>404.16947777359098</v>
      </c>
      <c r="F719" s="60">
        <v>217.91994000000003</v>
      </c>
      <c r="G719" s="60">
        <v>231.37316290685021</v>
      </c>
      <c r="H719" s="93">
        <v>0.24473957038764205</v>
      </c>
      <c r="I719" s="93">
        <v>6.1734703611106889E-2</v>
      </c>
      <c r="J719" s="93">
        <v>0.17124382001709759</v>
      </c>
    </row>
    <row r="720" spans="1:10" x14ac:dyDescent="0.3">
      <c r="A720" s="92">
        <v>44562</v>
      </c>
      <c r="B720" s="60">
        <v>0</v>
      </c>
      <c r="C720" s="60">
        <v>0</v>
      </c>
      <c r="D720" s="60">
        <v>409.82214000000005</v>
      </c>
      <c r="E720" s="60">
        <v>510.12183447894409</v>
      </c>
      <c r="F720" s="60">
        <v>275.04729000000003</v>
      </c>
      <c r="G720" s="60">
        <v>292.02725292718821</v>
      </c>
      <c r="H720" s="93">
        <v>0.24473957038764182</v>
      </c>
      <c r="I720" s="93">
        <v>6.1734703611106889E-2</v>
      </c>
      <c r="J720" s="93">
        <v>0.17124382001709759</v>
      </c>
    </row>
    <row r="721" spans="1:10" x14ac:dyDescent="0.3">
      <c r="A721" s="92">
        <v>44593</v>
      </c>
      <c r="B721" s="60">
        <v>0</v>
      </c>
      <c r="C721" s="60">
        <v>0</v>
      </c>
      <c r="D721" s="60">
        <v>392.38290000000006</v>
      </c>
      <c r="E721" s="60">
        <v>488.41452237345709</v>
      </c>
      <c r="F721" s="60">
        <v>263.34315000000004</v>
      </c>
      <c r="G721" s="60">
        <v>279.60056131326525</v>
      </c>
      <c r="H721" s="93">
        <v>0.24473957038764182</v>
      </c>
      <c r="I721" s="93">
        <v>6.1734703611106667E-2</v>
      </c>
      <c r="J721" s="93">
        <v>0.17124382001709759</v>
      </c>
    </row>
    <row r="722" spans="1:10" x14ac:dyDescent="0.3">
      <c r="A722" s="92">
        <v>44621</v>
      </c>
      <c r="B722" s="60">
        <v>0</v>
      </c>
      <c r="C722" s="60">
        <v>0</v>
      </c>
      <c r="D722" s="60">
        <v>382.00239999999997</v>
      </c>
      <c r="E722" s="60">
        <v>475.49350326304818</v>
      </c>
      <c r="F722" s="60">
        <v>256.37639999999999</v>
      </c>
      <c r="G722" s="60">
        <v>272.20372106688262</v>
      </c>
      <c r="H722" s="93">
        <v>0.24473957038764205</v>
      </c>
      <c r="I722" s="93">
        <v>6.1734703611107111E-2</v>
      </c>
      <c r="J722" s="93">
        <v>0.17124382001709781</v>
      </c>
    </row>
    <row r="723" spans="1:10" x14ac:dyDescent="0.3">
      <c r="A723" s="92">
        <v>44652</v>
      </c>
      <c r="B723" s="60">
        <v>0</v>
      </c>
      <c r="C723" s="60">
        <v>0</v>
      </c>
      <c r="D723" s="60">
        <v>362.48705999999999</v>
      </c>
      <c r="E723" s="60">
        <v>451.20198733547943</v>
      </c>
      <c r="F723" s="60">
        <v>243.27891000000002</v>
      </c>
      <c r="G723" s="60">
        <v>258.29766140368315</v>
      </c>
      <c r="H723" s="93">
        <v>0.24473957038764205</v>
      </c>
      <c r="I723" s="93">
        <v>6.1734703611106889E-2</v>
      </c>
      <c r="J723" s="93">
        <v>0.17124382001709759</v>
      </c>
    </row>
    <row r="724" spans="1:10" x14ac:dyDescent="0.3">
      <c r="A724" s="92">
        <v>44682</v>
      </c>
      <c r="B724" s="60">
        <v>0</v>
      </c>
      <c r="C724" s="60">
        <v>0</v>
      </c>
      <c r="D724" s="60">
        <v>577.98624000000007</v>
      </c>
      <c r="E724" s="60">
        <v>719.44234406756857</v>
      </c>
      <c r="F724" s="60">
        <v>387.90864000000005</v>
      </c>
      <c r="G724" s="60">
        <v>411.85606491858761</v>
      </c>
      <c r="H724" s="93">
        <v>0.24473957038764182</v>
      </c>
      <c r="I724" s="93">
        <v>6.1734703611106889E-2</v>
      </c>
      <c r="J724" s="93">
        <v>0.17124382001709759</v>
      </c>
    </row>
    <row r="725" spans="1:10" x14ac:dyDescent="0.3">
      <c r="A725" s="92">
        <v>44713</v>
      </c>
      <c r="B725" s="60">
        <v>0</v>
      </c>
      <c r="C725" s="60">
        <v>0</v>
      </c>
      <c r="D725" s="60">
        <v>306.43236000000002</v>
      </c>
      <c r="E725" s="60">
        <v>381.42848413927123</v>
      </c>
      <c r="F725" s="60">
        <v>205.65845999999999</v>
      </c>
      <c r="G725" s="60">
        <v>218.35472407321669</v>
      </c>
      <c r="H725" s="93">
        <v>0.24473957038764182</v>
      </c>
      <c r="I725" s="93">
        <v>6.1734703611106889E-2</v>
      </c>
      <c r="J725" s="93">
        <v>0.17124382001709759</v>
      </c>
    </row>
    <row r="726" spans="1:10" x14ac:dyDescent="0.3">
      <c r="A726" s="92">
        <v>44743</v>
      </c>
      <c r="B726" s="60">
        <v>0</v>
      </c>
      <c r="C726" s="60">
        <v>0</v>
      </c>
      <c r="D726" s="60">
        <v>424.77006</v>
      </c>
      <c r="E726" s="60">
        <v>528.72810199793287</v>
      </c>
      <c r="F726" s="60">
        <v>285.07941</v>
      </c>
      <c r="G726" s="60">
        <v>302.67870288197918</v>
      </c>
      <c r="H726" s="93">
        <v>0.24473957038764182</v>
      </c>
      <c r="I726" s="93">
        <v>6.1734703611106667E-2</v>
      </c>
      <c r="J726" s="93">
        <v>0.17124382001709737</v>
      </c>
    </row>
    <row r="727" spans="1:10" x14ac:dyDescent="0.3">
      <c r="A727" s="92">
        <v>44774</v>
      </c>
      <c r="B727" s="60">
        <v>0</v>
      </c>
      <c r="C727" s="60">
        <v>0</v>
      </c>
      <c r="D727" s="60">
        <v>331.76078000000001</v>
      </c>
      <c r="E727" s="60">
        <v>412.95577076866903</v>
      </c>
      <c r="F727" s="60">
        <v>222.65733</v>
      </c>
      <c r="G727" s="60">
        <v>236.40301427439042</v>
      </c>
      <c r="H727" s="93">
        <v>0.24473957038764205</v>
      </c>
      <c r="I727" s="93">
        <v>6.1734703611106889E-2</v>
      </c>
      <c r="J727" s="93">
        <v>0.17124382001709759</v>
      </c>
    </row>
    <row r="728" spans="1:10" x14ac:dyDescent="0.3">
      <c r="A728" s="92">
        <v>44805</v>
      </c>
      <c r="B728" s="60">
        <v>0</v>
      </c>
      <c r="C728" s="60">
        <v>0</v>
      </c>
      <c r="D728" s="60">
        <v>356.25876000000005</v>
      </c>
      <c r="E728" s="60">
        <v>443.44937586923407</v>
      </c>
      <c r="F728" s="60">
        <v>239.09886</v>
      </c>
      <c r="G728" s="60">
        <v>253.85955725585353</v>
      </c>
      <c r="H728" s="93">
        <v>0.24473957038764182</v>
      </c>
      <c r="I728" s="93">
        <v>6.1734703611106889E-2</v>
      </c>
      <c r="J728" s="93">
        <v>0.17124382001709759</v>
      </c>
    </row>
    <row r="729" spans="1:10" x14ac:dyDescent="0.3">
      <c r="A729" s="92">
        <v>44835</v>
      </c>
      <c r="B729" s="60">
        <v>0</v>
      </c>
      <c r="C729" s="60">
        <v>0</v>
      </c>
      <c r="D729" s="60">
        <v>356.25876000000005</v>
      </c>
      <c r="E729" s="60">
        <v>443.44937586923407</v>
      </c>
      <c r="F729" s="60">
        <v>239.09886</v>
      </c>
      <c r="G729" s="60">
        <v>253.85955725585353</v>
      </c>
      <c r="H729" s="93">
        <v>0.24473957038764182</v>
      </c>
      <c r="I729" s="93">
        <v>6.1734703611106889E-2</v>
      </c>
      <c r="J729" s="93">
        <v>0.17124382001709759</v>
      </c>
    </row>
    <row r="730" spans="1:10" x14ac:dyDescent="0.3">
      <c r="A730" s="91" t="s">
        <v>34</v>
      </c>
      <c r="B730" s="60">
        <v>0</v>
      </c>
      <c r="C730" s="60">
        <v>0</v>
      </c>
      <c r="D730" s="60">
        <v>10565.4516</v>
      </c>
      <c r="E730" s="60">
        <v>12787.401437169519</v>
      </c>
      <c r="F730" s="60">
        <v>7526.4056999999993</v>
      </c>
      <c r="G730" s="60">
        <v>8104.7073398862976</v>
      </c>
      <c r="H730" s="93">
        <v>0.21030334729558797</v>
      </c>
      <c r="I730" s="93">
        <v>7.6836362925041035E-2</v>
      </c>
      <c r="J730" s="93">
        <v>0.15477965753443224</v>
      </c>
    </row>
    <row r="731" spans="1:10" x14ac:dyDescent="0.3">
      <c r="A731" s="92">
        <v>44501</v>
      </c>
      <c r="B731" s="60">
        <v>0</v>
      </c>
      <c r="C731" s="60">
        <v>0</v>
      </c>
      <c r="D731" s="60">
        <v>982.87607999999989</v>
      </c>
      <c r="E731" s="60">
        <v>1189.5782096007656</v>
      </c>
      <c r="F731" s="60">
        <v>700.16165999999998</v>
      </c>
      <c r="G731" s="60">
        <v>753.95953541395932</v>
      </c>
      <c r="H731" s="93">
        <v>0.21030334729558753</v>
      </c>
      <c r="I731" s="93">
        <v>7.6836362925041257E-2</v>
      </c>
      <c r="J731" s="93">
        <v>0.15477965753443246</v>
      </c>
    </row>
    <row r="732" spans="1:10" x14ac:dyDescent="0.3">
      <c r="A732" s="92">
        <v>44531</v>
      </c>
      <c r="B732" s="60">
        <v>0</v>
      </c>
      <c r="C732" s="60">
        <v>0</v>
      </c>
      <c r="D732" s="60">
        <v>989.09287999999992</v>
      </c>
      <c r="E732" s="60">
        <v>1197.1024234502327</v>
      </c>
      <c r="F732" s="60">
        <v>704.59026000000006</v>
      </c>
      <c r="G732" s="60">
        <v>758.7284129308091</v>
      </c>
      <c r="H732" s="93">
        <v>0.21030334729558731</v>
      </c>
      <c r="I732" s="93">
        <v>7.6836362925041035E-2</v>
      </c>
      <c r="J732" s="93">
        <v>0.15477965753443201</v>
      </c>
    </row>
    <row r="733" spans="1:10" x14ac:dyDescent="0.3">
      <c r="A733" s="92">
        <v>44562</v>
      </c>
      <c r="B733" s="60">
        <v>0</v>
      </c>
      <c r="C733" s="60">
        <v>0</v>
      </c>
      <c r="D733" s="60">
        <v>1092.9134399999998</v>
      </c>
      <c r="E733" s="60">
        <v>1322.756794736335</v>
      </c>
      <c r="F733" s="60">
        <v>778.54788000000008</v>
      </c>
      <c r="G733" s="60">
        <v>838.36866746220142</v>
      </c>
      <c r="H733" s="93">
        <v>0.21030334729558753</v>
      </c>
      <c r="I733" s="93">
        <v>7.6836362925041035E-2</v>
      </c>
      <c r="J733" s="93">
        <v>0.15477965753443224</v>
      </c>
    </row>
    <row r="734" spans="1:10" x14ac:dyDescent="0.3">
      <c r="A734" s="92">
        <v>44593</v>
      </c>
      <c r="B734" s="60">
        <v>0</v>
      </c>
      <c r="C734" s="60">
        <v>0</v>
      </c>
      <c r="D734" s="60">
        <v>1074.88472</v>
      </c>
      <c r="E734" s="60">
        <v>1300.9365745728801</v>
      </c>
      <c r="F734" s="60">
        <v>765.70494000000008</v>
      </c>
      <c r="G734" s="60">
        <v>824.53892266333696</v>
      </c>
      <c r="H734" s="93">
        <v>0.21030334729558731</v>
      </c>
      <c r="I734" s="93">
        <v>7.6836362925041257E-2</v>
      </c>
      <c r="J734" s="93">
        <v>0.15477965753443224</v>
      </c>
    </row>
    <row r="735" spans="1:10" x14ac:dyDescent="0.3">
      <c r="A735" s="92">
        <v>44621</v>
      </c>
      <c r="B735" s="60">
        <v>0</v>
      </c>
      <c r="C735" s="60">
        <v>0</v>
      </c>
      <c r="D735" s="60">
        <v>1176.84024</v>
      </c>
      <c r="E735" s="60">
        <v>1424.3336817041422</v>
      </c>
      <c r="F735" s="60">
        <v>838.33398</v>
      </c>
      <c r="G735" s="60">
        <v>902.74851393967424</v>
      </c>
      <c r="H735" s="93">
        <v>0.21030334729558731</v>
      </c>
      <c r="I735" s="93">
        <v>7.6836362925041257E-2</v>
      </c>
      <c r="J735" s="93">
        <v>0.15477965753443246</v>
      </c>
    </row>
    <row r="736" spans="1:10" x14ac:dyDescent="0.3">
      <c r="A736" s="92">
        <v>44652</v>
      </c>
      <c r="B736" s="60">
        <v>0</v>
      </c>
      <c r="C736" s="60">
        <v>0</v>
      </c>
      <c r="D736" s="60">
        <v>785.18183999999997</v>
      </c>
      <c r="E736" s="60">
        <v>950.30820918770826</v>
      </c>
      <c r="F736" s="60">
        <v>559.33217999999999</v>
      </c>
      <c r="G736" s="60">
        <v>602.30923037813443</v>
      </c>
      <c r="H736" s="93">
        <v>0.21030334729558731</v>
      </c>
      <c r="I736" s="93">
        <v>7.6836362925041035E-2</v>
      </c>
      <c r="J736" s="93">
        <v>0.15477965753443201</v>
      </c>
    </row>
    <row r="737" spans="1:10" x14ac:dyDescent="0.3">
      <c r="A737" s="92">
        <v>44682</v>
      </c>
      <c r="B737" s="60">
        <v>0</v>
      </c>
      <c r="C737" s="60">
        <v>0</v>
      </c>
      <c r="D737" s="60">
        <v>672.65775999999994</v>
      </c>
      <c r="E737" s="60">
        <v>814.11993851235184</v>
      </c>
      <c r="F737" s="60">
        <v>479.17451999999997</v>
      </c>
      <c r="G737" s="60">
        <v>515.99254732315239</v>
      </c>
      <c r="H737" s="93">
        <v>0.21030334729558753</v>
      </c>
      <c r="I737" s="93">
        <v>7.6836362925041257E-2</v>
      </c>
      <c r="J737" s="93">
        <v>0.15477965753443246</v>
      </c>
    </row>
    <row r="738" spans="1:10" x14ac:dyDescent="0.3">
      <c r="A738" s="92">
        <v>44713</v>
      </c>
      <c r="B738" s="60">
        <v>0</v>
      </c>
      <c r="C738" s="60">
        <v>0</v>
      </c>
      <c r="D738" s="60">
        <v>706.22847999999999</v>
      </c>
      <c r="E738" s="60">
        <v>854.75069329947473</v>
      </c>
      <c r="F738" s="60">
        <v>503.08895999999999</v>
      </c>
      <c r="G738" s="60">
        <v>541.74448591414148</v>
      </c>
      <c r="H738" s="93">
        <v>0.21030334729558731</v>
      </c>
      <c r="I738" s="93">
        <v>7.6836362925041035E-2</v>
      </c>
      <c r="J738" s="93">
        <v>0.15477965753443224</v>
      </c>
    </row>
    <row r="739" spans="1:10" x14ac:dyDescent="0.3">
      <c r="A739" s="92">
        <v>44743</v>
      </c>
      <c r="B739" s="60">
        <v>0</v>
      </c>
      <c r="C739" s="60">
        <v>0</v>
      </c>
      <c r="D739" s="60">
        <v>998.41808000000003</v>
      </c>
      <c r="E739" s="60">
        <v>1208.3887442244336</v>
      </c>
      <c r="F739" s="60">
        <v>711.23316000000011</v>
      </c>
      <c r="G739" s="60">
        <v>765.88172920608395</v>
      </c>
      <c r="H739" s="93">
        <v>0.21030334729558731</v>
      </c>
      <c r="I739" s="93">
        <v>7.6836362925041035E-2</v>
      </c>
      <c r="J739" s="93">
        <v>0.15477965753443224</v>
      </c>
    </row>
    <row r="740" spans="1:10" x14ac:dyDescent="0.3">
      <c r="A740" s="92">
        <v>44774</v>
      </c>
      <c r="B740" s="60">
        <v>0</v>
      </c>
      <c r="C740" s="60">
        <v>0</v>
      </c>
      <c r="D740" s="60">
        <v>741.04255999999998</v>
      </c>
      <c r="E740" s="60">
        <v>896.88629085649109</v>
      </c>
      <c r="F740" s="60">
        <v>527.88912000000005</v>
      </c>
      <c r="G740" s="60">
        <v>568.4502000085007</v>
      </c>
      <c r="H740" s="93">
        <v>0.21030334729558731</v>
      </c>
      <c r="I740" s="93">
        <v>7.6836362925041257E-2</v>
      </c>
      <c r="J740" s="93">
        <v>0.15477965753443224</v>
      </c>
    </row>
    <row r="741" spans="1:10" x14ac:dyDescent="0.3">
      <c r="A741" s="92">
        <v>44805</v>
      </c>
      <c r="B741" s="60">
        <v>0</v>
      </c>
      <c r="C741" s="60">
        <v>0</v>
      </c>
      <c r="D741" s="60">
        <v>672.65775999999994</v>
      </c>
      <c r="E741" s="60">
        <v>814.11993851235184</v>
      </c>
      <c r="F741" s="60">
        <v>479.17452000000003</v>
      </c>
      <c r="G741" s="60">
        <v>515.99254732315239</v>
      </c>
      <c r="H741" s="93">
        <v>0.21030334729558753</v>
      </c>
      <c r="I741" s="93">
        <v>7.6836362925041035E-2</v>
      </c>
      <c r="J741" s="93">
        <v>0.15477965753443224</v>
      </c>
    </row>
    <row r="742" spans="1:10" x14ac:dyDescent="0.3">
      <c r="A742" s="92">
        <v>44835</v>
      </c>
      <c r="B742" s="60">
        <v>0</v>
      </c>
      <c r="C742" s="60">
        <v>0</v>
      </c>
      <c r="D742" s="60">
        <v>672.65775999999994</v>
      </c>
      <c r="E742" s="60">
        <v>814.11993851235184</v>
      </c>
      <c r="F742" s="60">
        <v>479.17452000000003</v>
      </c>
      <c r="G742" s="60">
        <v>515.99254732315239</v>
      </c>
      <c r="H742" s="93">
        <v>0.21030334729558753</v>
      </c>
      <c r="I742" s="93">
        <v>7.6836362925041035E-2</v>
      </c>
      <c r="J742" s="93">
        <v>0.15477965753443224</v>
      </c>
    </row>
    <row r="743" spans="1:10" x14ac:dyDescent="0.3">
      <c r="A743" s="85" t="s">
        <v>23</v>
      </c>
      <c r="B743" s="60">
        <v>0</v>
      </c>
      <c r="C743" s="60">
        <v>0</v>
      </c>
      <c r="D743" s="60">
        <v>39563458.232257016</v>
      </c>
      <c r="E743" s="60">
        <v>50576988.815654404</v>
      </c>
      <c r="F743" s="60">
        <v>39017458.489279978</v>
      </c>
      <c r="G743" s="60">
        <v>41499561.30475156</v>
      </c>
      <c r="H743" s="93">
        <v>0.27837633704168341</v>
      </c>
      <c r="I743" s="93">
        <v>6.3615184370697353E-2</v>
      </c>
      <c r="J743" s="93">
        <v>0.17174186764316679</v>
      </c>
    </row>
    <row r="744" spans="1:10" x14ac:dyDescent="0.3">
      <c r="A744" s="86" t="s">
        <v>26</v>
      </c>
      <c r="B744" s="60">
        <v>0</v>
      </c>
      <c r="C744" s="60">
        <v>0</v>
      </c>
      <c r="D744" s="60">
        <v>39563458.232257016</v>
      </c>
      <c r="E744" s="60">
        <v>50576988.815654404</v>
      </c>
      <c r="F744" s="60">
        <v>39017458.489279978</v>
      </c>
      <c r="G744" s="60">
        <v>41499561.30475156</v>
      </c>
      <c r="H744" s="93">
        <v>0.27837633704168341</v>
      </c>
      <c r="I744" s="93">
        <v>6.3615184370697353E-2</v>
      </c>
      <c r="J744" s="93">
        <v>0.17174186764316679</v>
      </c>
    </row>
    <row r="745" spans="1:10" x14ac:dyDescent="0.3">
      <c r="A745" s="87" t="s">
        <v>24</v>
      </c>
      <c r="B745" s="60">
        <v>0</v>
      </c>
      <c r="C745" s="60">
        <v>0</v>
      </c>
      <c r="D745" s="60">
        <v>39563458.232257016</v>
      </c>
      <c r="E745" s="60">
        <v>50576988.815654404</v>
      </c>
      <c r="F745" s="60">
        <v>39017458.489279978</v>
      </c>
      <c r="G745" s="60">
        <v>41499561.30475156</v>
      </c>
      <c r="H745" s="93">
        <v>0.27837633704168341</v>
      </c>
      <c r="I745" s="93">
        <v>6.3615184370697353E-2</v>
      </c>
      <c r="J745" s="93">
        <v>0.17174186764316679</v>
      </c>
    </row>
    <row r="746" spans="1:10" x14ac:dyDescent="0.3">
      <c r="A746" s="88" t="s">
        <v>24</v>
      </c>
      <c r="B746" s="60">
        <v>0</v>
      </c>
      <c r="C746" s="60">
        <v>0</v>
      </c>
      <c r="D746" s="60">
        <v>38004443.076599993</v>
      </c>
      <c r="E746" s="60">
        <v>48814215.023367763</v>
      </c>
      <c r="F746" s="60">
        <v>36999596.995920002</v>
      </c>
      <c r="G746" s="60">
        <v>39353280.833776131</v>
      </c>
      <c r="H746" s="93">
        <v>0.28443442586384138</v>
      </c>
      <c r="I746" s="93">
        <v>6.3613769580130652E-2</v>
      </c>
      <c r="J746" s="93">
        <v>0.17550328984807217</v>
      </c>
    </row>
    <row r="747" spans="1:10" x14ac:dyDescent="0.3">
      <c r="A747" s="89" t="s">
        <v>25</v>
      </c>
      <c r="B747" s="60">
        <v>0</v>
      </c>
      <c r="C747" s="60">
        <v>0</v>
      </c>
      <c r="D747" s="60">
        <v>38004443.076599993</v>
      </c>
      <c r="E747" s="60">
        <v>48814215.023367763</v>
      </c>
      <c r="F747" s="60">
        <v>36999596.995920002</v>
      </c>
      <c r="G747" s="60">
        <v>39353280.833776131</v>
      </c>
      <c r="H747" s="93">
        <v>0.28443442586384138</v>
      </c>
      <c r="I747" s="93">
        <v>6.3613769580130652E-2</v>
      </c>
      <c r="J747" s="93">
        <v>0.17550328984807217</v>
      </c>
    </row>
    <row r="748" spans="1:10" x14ac:dyDescent="0.3">
      <c r="A748" s="90" t="s">
        <v>25</v>
      </c>
      <c r="B748" s="60">
        <v>0</v>
      </c>
      <c r="C748" s="60">
        <v>0</v>
      </c>
      <c r="D748" s="60">
        <v>38004443.076599993</v>
      </c>
      <c r="E748" s="60">
        <v>48814215.023367763</v>
      </c>
      <c r="F748" s="60">
        <v>36999596.995920002</v>
      </c>
      <c r="G748" s="60">
        <v>39353280.833776131</v>
      </c>
      <c r="H748" s="93">
        <v>0.28443442586384138</v>
      </c>
      <c r="I748" s="93">
        <v>6.3613769580130652E-2</v>
      </c>
      <c r="J748" s="93">
        <v>0.17550328984807217</v>
      </c>
    </row>
    <row r="749" spans="1:10" x14ac:dyDescent="0.3">
      <c r="A749" s="91" t="s">
        <v>25</v>
      </c>
      <c r="B749" s="60">
        <v>0</v>
      </c>
      <c r="C749" s="60">
        <v>0</v>
      </c>
      <c r="D749" s="60">
        <v>38004443.076599993</v>
      </c>
      <c r="E749" s="60">
        <v>48814215.023367763</v>
      </c>
      <c r="F749" s="60">
        <v>36999596.995920002</v>
      </c>
      <c r="G749" s="60">
        <v>39353280.833776131</v>
      </c>
      <c r="H749" s="93">
        <v>0.28443442586384138</v>
      </c>
      <c r="I749" s="93">
        <v>6.3613769580130652E-2</v>
      </c>
      <c r="J749" s="93">
        <v>0.17550328984807217</v>
      </c>
    </row>
    <row r="750" spans="1:10" x14ac:dyDescent="0.3">
      <c r="A750" s="92">
        <v>44501</v>
      </c>
      <c r="B750" s="60">
        <v>0</v>
      </c>
      <c r="C750" s="60">
        <v>0</v>
      </c>
      <c r="D750" s="60">
        <v>3144259.0179000003</v>
      </c>
      <c r="E750" s="60">
        <v>4038594.5264235921</v>
      </c>
      <c r="F750" s="60">
        <v>3061124.0974800005</v>
      </c>
      <c r="G750" s="60">
        <v>3255853.7404732769</v>
      </c>
      <c r="H750" s="93">
        <v>0.28443442586384116</v>
      </c>
      <c r="I750" s="93">
        <v>6.3613769580130208E-2</v>
      </c>
      <c r="J750" s="93">
        <v>0.17550328984807217</v>
      </c>
    </row>
    <row r="751" spans="1:10" x14ac:dyDescent="0.3">
      <c r="A751" s="92">
        <v>44531</v>
      </c>
      <c r="B751" s="60">
        <v>0</v>
      </c>
      <c r="C751" s="60">
        <v>0</v>
      </c>
      <c r="D751" s="60">
        <v>3018462.4470000002</v>
      </c>
      <c r="E751" s="60">
        <v>3877017.0801040106</v>
      </c>
      <c r="F751" s="60">
        <v>2938653.6164000006</v>
      </c>
      <c r="G751" s="60">
        <v>3125592.4504294866</v>
      </c>
      <c r="H751" s="93">
        <v>0.28443442586384138</v>
      </c>
      <c r="I751" s="93">
        <v>6.3613769580130208E-2</v>
      </c>
      <c r="J751" s="93">
        <v>0.17550328984807217</v>
      </c>
    </row>
    <row r="752" spans="1:10" x14ac:dyDescent="0.3">
      <c r="A752" s="92">
        <v>44562</v>
      </c>
      <c r="B752" s="60">
        <v>0</v>
      </c>
      <c r="C752" s="60">
        <v>0</v>
      </c>
      <c r="D752" s="60">
        <v>3310468.7616000003</v>
      </c>
      <c r="E752" s="60">
        <v>4252080.0431458773</v>
      </c>
      <c r="F752" s="60">
        <v>3222939.2179200002</v>
      </c>
      <c r="G752" s="60">
        <v>3427962.5306995283</v>
      </c>
      <c r="H752" s="93">
        <v>0.28443442586384116</v>
      </c>
      <c r="I752" s="93">
        <v>6.3613769580130208E-2</v>
      </c>
      <c r="J752" s="93">
        <v>0.17550328984807195</v>
      </c>
    </row>
    <row r="753" spans="1:10" x14ac:dyDescent="0.3">
      <c r="A753" s="92">
        <v>44593</v>
      </c>
      <c r="B753" s="60">
        <v>0</v>
      </c>
      <c r="C753" s="60">
        <v>0</v>
      </c>
      <c r="D753" s="60">
        <v>3052119.1701000002</v>
      </c>
      <c r="E753" s="60">
        <v>3920246.9339154167</v>
      </c>
      <c r="F753" s="60">
        <v>2971420.4481200003</v>
      </c>
      <c r="G753" s="60">
        <v>3160443.703832393</v>
      </c>
      <c r="H753" s="93">
        <v>0.28443442586384093</v>
      </c>
      <c r="I753" s="93">
        <v>6.3613769580130208E-2</v>
      </c>
      <c r="J753" s="93">
        <v>0.17550328984807195</v>
      </c>
    </row>
    <row r="754" spans="1:10" x14ac:dyDescent="0.3">
      <c r="A754" s="92">
        <v>44621</v>
      </c>
      <c r="B754" s="60">
        <v>0</v>
      </c>
      <c r="C754" s="60">
        <v>0</v>
      </c>
      <c r="D754" s="60">
        <v>3090691.2036000001</v>
      </c>
      <c r="E754" s="60">
        <v>3969790.1816183906</v>
      </c>
      <c r="F754" s="60">
        <v>3008972.6283200006</v>
      </c>
      <c r="G754" s="60">
        <v>3200384.7197708674</v>
      </c>
      <c r="H754" s="93">
        <v>0.28443442586384116</v>
      </c>
      <c r="I754" s="93">
        <v>6.3613769580129986E-2</v>
      </c>
      <c r="J754" s="93">
        <v>0.17550328984807195</v>
      </c>
    </row>
    <row r="755" spans="1:10" x14ac:dyDescent="0.3">
      <c r="A755" s="92">
        <v>44652</v>
      </c>
      <c r="B755" s="60">
        <v>0</v>
      </c>
      <c r="C755" s="60">
        <v>0</v>
      </c>
      <c r="D755" s="60">
        <v>3161458.4001000007</v>
      </c>
      <c r="E755" s="60">
        <v>4060686.005024862</v>
      </c>
      <c r="F755" s="60">
        <v>3077868.7241200004</v>
      </c>
      <c r="G755" s="60">
        <v>3273663.5559340594</v>
      </c>
      <c r="H755" s="93">
        <v>0.28443442586384116</v>
      </c>
      <c r="I755" s="93">
        <v>6.3613769580130208E-2</v>
      </c>
      <c r="J755" s="93">
        <v>0.17550328984807217</v>
      </c>
    </row>
    <row r="756" spans="1:10" x14ac:dyDescent="0.3">
      <c r="A756" s="92">
        <v>44682</v>
      </c>
      <c r="B756" s="60">
        <v>0</v>
      </c>
      <c r="C756" s="60">
        <v>0</v>
      </c>
      <c r="D756" s="60">
        <v>3099687.2907000002</v>
      </c>
      <c r="E756" s="60">
        <v>3981345.0655877003</v>
      </c>
      <c r="F756" s="60">
        <v>3017730.85684</v>
      </c>
      <c r="G756" s="60">
        <v>3209700.0922218687</v>
      </c>
      <c r="H756" s="93">
        <v>0.28443442586384116</v>
      </c>
      <c r="I756" s="93">
        <v>6.3613769580130208E-2</v>
      </c>
      <c r="J756" s="93">
        <v>0.17550328984807195</v>
      </c>
    </row>
    <row r="757" spans="1:10" x14ac:dyDescent="0.3">
      <c r="A757" s="92">
        <v>44713</v>
      </c>
      <c r="B757" s="60">
        <v>0</v>
      </c>
      <c r="C757" s="60">
        <v>0</v>
      </c>
      <c r="D757" s="60">
        <v>3131260.2321000001</v>
      </c>
      <c r="E757" s="60">
        <v>4021898.4384476412</v>
      </c>
      <c r="F757" s="60">
        <v>3048469.0025200006</v>
      </c>
      <c r="G757" s="60">
        <v>3242393.6072184774</v>
      </c>
      <c r="H757" s="93">
        <v>0.28443442586384093</v>
      </c>
      <c r="I757" s="93">
        <v>6.3613769580130208E-2</v>
      </c>
      <c r="J757" s="93">
        <v>0.17550328984807195</v>
      </c>
    </row>
    <row r="758" spans="1:10" x14ac:dyDescent="0.3">
      <c r="A758" s="92">
        <v>44743</v>
      </c>
      <c r="B758" s="60">
        <v>0</v>
      </c>
      <c r="C758" s="60">
        <v>0</v>
      </c>
      <c r="D758" s="60">
        <v>3220912.9953000001</v>
      </c>
      <c r="E758" s="60">
        <v>4137051.5338755404</v>
      </c>
      <c r="F758" s="60">
        <v>3135751.3263600003</v>
      </c>
      <c r="G758" s="60">
        <v>3335228.288695653</v>
      </c>
      <c r="H758" s="93">
        <v>0.28443442586384116</v>
      </c>
      <c r="I758" s="93">
        <v>6.3613769580130208E-2</v>
      </c>
      <c r="J758" s="93">
        <v>0.17550328984807195</v>
      </c>
    </row>
    <row r="759" spans="1:10" x14ac:dyDescent="0.3">
      <c r="A759" s="92">
        <v>44774</v>
      </c>
      <c r="B759" s="60">
        <v>0</v>
      </c>
      <c r="C759" s="60">
        <v>0</v>
      </c>
      <c r="D759" s="60">
        <v>3059019.1632000003</v>
      </c>
      <c r="E759" s="60">
        <v>3929109.5225912794</v>
      </c>
      <c r="F759" s="60">
        <v>2978138.0038400004</v>
      </c>
      <c r="G759" s="60">
        <v>3167588.5885941065</v>
      </c>
      <c r="H759" s="93">
        <v>0.28443442586384093</v>
      </c>
      <c r="I759" s="93">
        <v>6.3613769580129986E-2</v>
      </c>
      <c r="J759" s="93">
        <v>0.17550328984807173</v>
      </c>
    </row>
    <row r="760" spans="1:10" x14ac:dyDescent="0.3">
      <c r="A760" s="92">
        <v>44805</v>
      </c>
      <c r="B760" s="60">
        <v>0</v>
      </c>
      <c r="C760" s="60">
        <v>0</v>
      </c>
      <c r="D760" s="60">
        <v>3358052.1975000002</v>
      </c>
      <c r="E760" s="60">
        <v>4313197.8463167222</v>
      </c>
      <c r="F760" s="60">
        <v>3269264.537</v>
      </c>
      <c r="G760" s="60">
        <v>3477234.7779532089</v>
      </c>
      <c r="H760" s="93">
        <v>0.28443442586384093</v>
      </c>
      <c r="I760" s="93">
        <v>6.3613769580130208E-2</v>
      </c>
      <c r="J760" s="93">
        <v>0.17550328984807173</v>
      </c>
    </row>
    <row r="761" spans="1:10" x14ac:dyDescent="0.3">
      <c r="A761" s="92">
        <v>44835</v>
      </c>
      <c r="B761" s="60">
        <v>0</v>
      </c>
      <c r="C761" s="60">
        <v>0</v>
      </c>
      <c r="D761" s="60">
        <v>3358052.1975000002</v>
      </c>
      <c r="E761" s="60">
        <v>4313197.8463167222</v>
      </c>
      <c r="F761" s="60">
        <v>3269264.537</v>
      </c>
      <c r="G761" s="60">
        <v>3477234.7779532089</v>
      </c>
      <c r="H761" s="93">
        <v>0.28443442586384093</v>
      </c>
      <c r="I761" s="93">
        <v>6.3613769580130208E-2</v>
      </c>
      <c r="J761" s="93">
        <v>0.17550328984807173</v>
      </c>
    </row>
    <row r="762" spans="1:10" x14ac:dyDescent="0.3">
      <c r="A762" s="88" t="s">
        <v>29</v>
      </c>
      <c r="B762" s="60">
        <v>0</v>
      </c>
      <c r="C762" s="60">
        <v>0</v>
      </c>
      <c r="D762" s="60">
        <v>170984.98711099999</v>
      </c>
      <c r="E762" s="60">
        <v>193321.97788475055</v>
      </c>
      <c r="F762" s="60">
        <v>221289.95549200001</v>
      </c>
      <c r="G762" s="60">
        <v>235380.84555145612</v>
      </c>
      <c r="H762" s="93">
        <v>0.13063714628495338</v>
      </c>
      <c r="I762" s="93">
        <v>6.3676139425883571E-2</v>
      </c>
      <c r="J762" s="93">
        <v>9.2863134697016125E-2</v>
      </c>
    </row>
    <row r="763" spans="1:10" x14ac:dyDescent="0.3">
      <c r="A763" s="89" t="s">
        <v>25</v>
      </c>
      <c r="B763" s="60">
        <v>0</v>
      </c>
      <c r="C763" s="60">
        <v>0</v>
      </c>
      <c r="D763" s="60">
        <v>170984.98711099999</v>
      </c>
      <c r="E763" s="60">
        <v>193321.97788475055</v>
      </c>
      <c r="F763" s="60">
        <v>221289.95549200001</v>
      </c>
      <c r="G763" s="60">
        <v>235380.84555145612</v>
      </c>
      <c r="H763" s="93">
        <v>0.13063714628495338</v>
      </c>
      <c r="I763" s="93">
        <v>6.3676139425883571E-2</v>
      </c>
      <c r="J763" s="93">
        <v>9.2863134697016125E-2</v>
      </c>
    </row>
    <row r="764" spans="1:10" x14ac:dyDescent="0.3">
      <c r="A764" s="90" t="s">
        <v>25</v>
      </c>
      <c r="B764" s="60">
        <v>0</v>
      </c>
      <c r="C764" s="60">
        <v>0</v>
      </c>
      <c r="D764" s="60">
        <v>170984.98711099999</v>
      </c>
      <c r="E764" s="60">
        <v>193321.97788475055</v>
      </c>
      <c r="F764" s="60">
        <v>221289.95549200001</v>
      </c>
      <c r="G764" s="60">
        <v>235380.84555145612</v>
      </c>
      <c r="H764" s="93">
        <v>0.13063714628495338</v>
      </c>
      <c r="I764" s="93">
        <v>6.3676139425883571E-2</v>
      </c>
      <c r="J764" s="93">
        <v>9.2863134697016125E-2</v>
      </c>
    </row>
    <row r="765" spans="1:10" x14ac:dyDescent="0.3">
      <c r="A765" s="91" t="s">
        <v>25</v>
      </c>
      <c r="B765" s="60">
        <v>0</v>
      </c>
      <c r="C765" s="60">
        <v>0</v>
      </c>
      <c r="D765" s="60">
        <v>170984.98711099999</v>
      </c>
      <c r="E765" s="60">
        <v>193321.97788475055</v>
      </c>
      <c r="F765" s="60">
        <v>221289.95549200001</v>
      </c>
      <c r="G765" s="60">
        <v>235380.84555145612</v>
      </c>
      <c r="H765" s="93">
        <v>0.13063714628495338</v>
      </c>
      <c r="I765" s="93">
        <v>6.3676139425883571E-2</v>
      </c>
      <c r="J765" s="93">
        <v>9.2863134697016125E-2</v>
      </c>
    </row>
    <row r="766" spans="1:10" x14ac:dyDescent="0.3">
      <c r="A766" s="92">
        <v>44501</v>
      </c>
      <c r="B766" s="60">
        <v>0</v>
      </c>
      <c r="C766" s="60">
        <v>0</v>
      </c>
      <c r="D766" s="60">
        <v>12752.298940000001</v>
      </c>
      <c r="E766" s="60">
        <v>14418.222882094233</v>
      </c>
      <c r="F766" s="60">
        <v>16504.113680000002</v>
      </c>
      <c r="G766" s="60">
        <v>17555.031923788309</v>
      </c>
      <c r="H766" s="93">
        <v>0.13063714628495315</v>
      </c>
      <c r="I766" s="93">
        <v>6.3676139425883127E-2</v>
      </c>
      <c r="J766" s="93">
        <v>9.2863134697015903E-2</v>
      </c>
    </row>
    <row r="767" spans="1:10" x14ac:dyDescent="0.3">
      <c r="A767" s="92">
        <v>44531</v>
      </c>
      <c r="B767" s="60">
        <v>0</v>
      </c>
      <c r="C767" s="60">
        <v>0</v>
      </c>
      <c r="D767" s="60">
        <v>13407.785400000001</v>
      </c>
      <c r="E767" s="60">
        <v>15159.340222657058</v>
      </c>
      <c r="F767" s="60">
        <v>17352.448800000002</v>
      </c>
      <c r="G767" s="60">
        <v>18457.385749169302</v>
      </c>
      <c r="H767" s="93">
        <v>0.13063714628495293</v>
      </c>
      <c r="I767" s="93">
        <v>6.3676139425883127E-2</v>
      </c>
      <c r="J767" s="93">
        <v>9.2863134697015903E-2</v>
      </c>
    </row>
    <row r="768" spans="1:10" x14ac:dyDescent="0.3">
      <c r="A768" s="92">
        <v>44562</v>
      </c>
      <c r="B768" s="60">
        <v>0</v>
      </c>
      <c r="C768" s="60">
        <v>0</v>
      </c>
      <c r="D768" s="60">
        <v>12959.83144</v>
      </c>
      <c r="E768" s="60">
        <v>14652.866835655614</v>
      </c>
      <c r="F768" s="60">
        <v>16772.703679999999</v>
      </c>
      <c r="G768" s="60">
        <v>17840.724698076709</v>
      </c>
      <c r="H768" s="93">
        <v>0.13063714628495315</v>
      </c>
      <c r="I768" s="93">
        <v>6.3676139425883571E-2</v>
      </c>
      <c r="J768" s="93">
        <v>9.2863134697016125E-2</v>
      </c>
    </row>
    <row r="769" spans="1:10" x14ac:dyDescent="0.3">
      <c r="A769" s="92">
        <v>44593</v>
      </c>
      <c r="B769" s="60">
        <v>0</v>
      </c>
      <c r="C769" s="60">
        <v>0</v>
      </c>
      <c r="D769" s="60">
        <v>14406.234139999999</v>
      </c>
      <c r="E769" s="60">
        <v>16288.223456762464</v>
      </c>
      <c r="F769" s="60">
        <v>18644.648079999999</v>
      </c>
      <c r="G769" s="60">
        <v>19831.86729068861</v>
      </c>
      <c r="H769" s="93">
        <v>0.13063714628495315</v>
      </c>
      <c r="I769" s="93">
        <v>6.3676139425883571E-2</v>
      </c>
      <c r="J769" s="93">
        <v>9.2863134697016125E-2</v>
      </c>
    </row>
    <row r="770" spans="1:10" x14ac:dyDescent="0.3">
      <c r="A770" s="92">
        <v>44621</v>
      </c>
      <c r="B770" s="60">
        <v>0</v>
      </c>
      <c r="C770" s="60">
        <v>0</v>
      </c>
      <c r="D770" s="60">
        <v>14863.042819999999</v>
      </c>
      <c r="E770" s="60">
        <v>16804.70831911586</v>
      </c>
      <c r="F770" s="60">
        <v>19235.853039999998</v>
      </c>
      <c r="G770" s="60">
        <v>20460.717900150841</v>
      </c>
      <c r="H770" s="93">
        <v>0.13063714628495315</v>
      </c>
      <c r="I770" s="93">
        <v>6.3676139425883349E-2</v>
      </c>
      <c r="J770" s="93">
        <v>9.2863134697016125E-2</v>
      </c>
    </row>
    <row r="771" spans="1:10" x14ac:dyDescent="0.3">
      <c r="A771" s="92">
        <v>44652</v>
      </c>
      <c r="B771" s="60">
        <v>0</v>
      </c>
      <c r="C771" s="60">
        <v>0</v>
      </c>
      <c r="D771" s="60">
        <v>14963.528080000002</v>
      </c>
      <c r="E771" s="60">
        <v>16918.320686725961</v>
      </c>
      <c r="F771" s="60">
        <v>19365.901759999997</v>
      </c>
      <c r="G771" s="60">
        <v>20599.047620577727</v>
      </c>
      <c r="H771" s="93">
        <v>0.13063714628495293</v>
      </c>
      <c r="I771" s="93">
        <v>6.3676139425883793E-2</v>
      </c>
      <c r="J771" s="93">
        <v>9.2863134697016347E-2</v>
      </c>
    </row>
    <row r="772" spans="1:10" x14ac:dyDescent="0.3">
      <c r="A772" s="92">
        <v>44682</v>
      </c>
      <c r="B772" s="60">
        <v>0</v>
      </c>
      <c r="C772" s="60">
        <v>0</v>
      </c>
      <c r="D772" s="60">
        <v>15309.787162000001</v>
      </c>
      <c r="E772" s="60">
        <v>17309.81406707369</v>
      </c>
      <c r="F772" s="60">
        <v>19814.032664000002</v>
      </c>
      <c r="G772" s="60">
        <v>21075.713770501876</v>
      </c>
      <c r="H772" s="93">
        <v>0.13063714628495293</v>
      </c>
      <c r="I772" s="93">
        <v>6.3676139425883571E-2</v>
      </c>
      <c r="J772" s="93">
        <v>9.2863134697015903E-2</v>
      </c>
    </row>
    <row r="773" spans="1:10" x14ac:dyDescent="0.3">
      <c r="A773" s="92">
        <v>44713</v>
      </c>
      <c r="B773" s="60">
        <v>0</v>
      </c>
      <c r="C773" s="60">
        <v>0</v>
      </c>
      <c r="D773" s="60">
        <v>14804.949532000001</v>
      </c>
      <c r="E773" s="60">
        <v>16739.025889753233</v>
      </c>
      <c r="F773" s="60">
        <v>19160.668304000003</v>
      </c>
      <c r="G773" s="60">
        <v>20380.745690418615</v>
      </c>
      <c r="H773" s="93">
        <v>0.13063714628495315</v>
      </c>
      <c r="I773" s="93">
        <v>6.3676139425883571E-2</v>
      </c>
      <c r="J773" s="93">
        <v>9.2863134697016125E-2</v>
      </c>
    </row>
    <row r="774" spans="1:10" x14ac:dyDescent="0.3">
      <c r="A774" s="92">
        <v>44743</v>
      </c>
      <c r="B774" s="60">
        <v>0</v>
      </c>
      <c r="C774" s="60">
        <v>0</v>
      </c>
      <c r="D774" s="60">
        <v>14047.697040000001</v>
      </c>
      <c r="E774" s="60">
        <v>15882.848093181183</v>
      </c>
      <c r="F774" s="60">
        <v>18180.62688</v>
      </c>
      <c r="G774" s="60">
        <v>19338.299012060845</v>
      </c>
      <c r="H774" s="93">
        <v>0.13063714628495293</v>
      </c>
      <c r="I774" s="93">
        <v>6.3676139425883571E-2</v>
      </c>
      <c r="J774" s="93">
        <v>9.2863134697015903E-2</v>
      </c>
    </row>
    <row r="775" spans="1:10" x14ac:dyDescent="0.3">
      <c r="A775" s="92">
        <v>44774</v>
      </c>
      <c r="B775" s="60">
        <v>0</v>
      </c>
      <c r="C775" s="60">
        <v>0</v>
      </c>
      <c r="D775" s="60">
        <v>14510.273147</v>
      </c>
      <c r="E775" s="60">
        <v>16405.853822739267</v>
      </c>
      <c r="F775" s="60">
        <v>18779.296083999998</v>
      </c>
      <c r="G775" s="60">
        <v>19975.089159764731</v>
      </c>
      <c r="H775" s="93">
        <v>0.13063714628495315</v>
      </c>
      <c r="I775" s="93">
        <v>6.3676139425883571E-2</v>
      </c>
      <c r="J775" s="93">
        <v>9.2863134697016125E-2</v>
      </c>
    </row>
    <row r="776" spans="1:10" x14ac:dyDescent="0.3">
      <c r="A776" s="92">
        <v>44805</v>
      </c>
      <c r="B776" s="60">
        <v>0</v>
      </c>
      <c r="C776" s="60">
        <v>0</v>
      </c>
      <c r="D776" s="60">
        <v>14479.779705000001</v>
      </c>
      <c r="E776" s="60">
        <v>16371.37680449598</v>
      </c>
      <c r="F776" s="60">
        <v>18739.831259999999</v>
      </c>
      <c r="G776" s="60">
        <v>19933.111368129292</v>
      </c>
      <c r="H776" s="93">
        <v>0.13063714628495293</v>
      </c>
      <c r="I776" s="93">
        <v>6.3676139425883571E-2</v>
      </c>
      <c r="J776" s="93">
        <v>9.2863134697016125E-2</v>
      </c>
    </row>
    <row r="777" spans="1:10" x14ac:dyDescent="0.3">
      <c r="A777" s="92">
        <v>44835</v>
      </c>
      <c r="B777" s="60">
        <v>0</v>
      </c>
      <c r="C777" s="60">
        <v>0</v>
      </c>
      <c r="D777" s="60">
        <v>14479.779705000001</v>
      </c>
      <c r="E777" s="60">
        <v>16371.37680449598</v>
      </c>
      <c r="F777" s="60">
        <v>18739.831259999999</v>
      </c>
      <c r="G777" s="60">
        <v>19933.111368129292</v>
      </c>
      <c r="H777" s="93">
        <v>0.13063714628495293</v>
      </c>
      <c r="I777" s="93">
        <v>6.3676139425883571E-2</v>
      </c>
      <c r="J777" s="93">
        <v>9.2863134697016125E-2</v>
      </c>
    </row>
    <row r="778" spans="1:10" x14ac:dyDescent="0.3">
      <c r="A778" s="88" t="s">
        <v>30</v>
      </c>
      <c r="B778" s="60">
        <v>0</v>
      </c>
      <c r="C778" s="60">
        <v>0</v>
      </c>
      <c r="D778" s="60">
        <v>586630.14009600005</v>
      </c>
      <c r="E778" s="60">
        <v>663321.76156129839</v>
      </c>
      <c r="F778" s="60">
        <v>759303.37126799999</v>
      </c>
      <c r="G778" s="60">
        <v>807633.14558088745</v>
      </c>
      <c r="H778" s="93">
        <v>0.13073249433237155</v>
      </c>
      <c r="I778" s="93">
        <v>6.3650151101237729E-2</v>
      </c>
      <c r="J778" s="93">
        <v>9.2888240557653212E-2</v>
      </c>
    </row>
    <row r="779" spans="1:10" x14ac:dyDescent="0.3">
      <c r="A779" s="89" t="s">
        <v>25</v>
      </c>
      <c r="B779" s="60">
        <v>0</v>
      </c>
      <c r="C779" s="60">
        <v>0</v>
      </c>
      <c r="D779" s="60">
        <v>586630.14009600005</v>
      </c>
      <c r="E779" s="60">
        <v>663321.76156129839</v>
      </c>
      <c r="F779" s="60">
        <v>759303.37126799999</v>
      </c>
      <c r="G779" s="60">
        <v>807633.14558088745</v>
      </c>
      <c r="H779" s="93">
        <v>0.13073249433237155</v>
      </c>
      <c r="I779" s="93">
        <v>6.3650151101237729E-2</v>
      </c>
      <c r="J779" s="93">
        <v>9.2888240557653212E-2</v>
      </c>
    </row>
    <row r="780" spans="1:10" x14ac:dyDescent="0.3">
      <c r="A780" s="90" t="s">
        <v>25</v>
      </c>
      <c r="B780" s="60">
        <v>0</v>
      </c>
      <c r="C780" s="60">
        <v>0</v>
      </c>
      <c r="D780" s="60">
        <v>586630.14009600005</v>
      </c>
      <c r="E780" s="60">
        <v>663321.76156129839</v>
      </c>
      <c r="F780" s="60">
        <v>759303.37126799999</v>
      </c>
      <c r="G780" s="60">
        <v>807633.14558088745</v>
      </c>
      <c r="H780" s="93">
        <v>0.13073249433237155</v>
      </c>
      <c r="I780" s="93">
        <v>6.3650151101237729E-2</v>
      </c>
      <c r="J780" s="93">
        <v>9.2888240557653212E-2</v>
      </c>
    </row>
    <row r="781" spans="1:10" x14ac:dyDescent="0.3">
      <c r="A781" s="91" t="s">
        <v>25</v>
      </c>
      <c r="B781" s="60">
        <v>0</v>
      </c>
      <c r="C781" s="60">
        <v>0</v>
      </c>
      <c r="D781" s="60">
        <v>586630.14009600005</v>
      </c>
      <c r="E781" s="60">
        <v>663321.76156129839</v>
      </c>
      <c r="F781" s="60">
        <v>759303.37126799999</v>
      </c>
      <c r="G781" s="60">
        <v>807633.14558088745</v>
      </c>
      <c r="H781" s="93">
        <v>0.13073249433237155</v>
      </c>
      <c r="I781" s="93">
        <v>6.3650151101237729E-2</v>
      </c>
      <c r="J781" s="93">
        <v>9.2888240557653212E-2</v>
      </c>
    </row>
    <row r="782" spans="1:10" x14ac:dyDescent="0.3">
      <c r="A782" s="92">
        <v>44501</v>
      </c>
      <c r="B782" s="60">
        <v>0</v>
      </c>
      <c r="C782" s="60">
        <v>0</v>
      </c>
      <c r="D782" s="60">
        <v>44337.40080000001</v>
      </c>
      <c r="E782" s="60">
        <v>50133.73979879808</v>
      </c>
      <c r="F782" s="60">
        <v>57388.012649999997</v>
      </c>
      <c r="G782" s="60">
        <v>61040.768326572252</v>
      </c>
      <c r="H782" s="93">
        <v>0.13073249433237111</v>
      </c>
      <c r="I782" s="93">
        <v>6.3650151101237951E-2</v>
      </c>
      <c r="J782" s="93">
        <v>9.2888240557653212E-2</v>
      </c>
    </row>
    <row r="783" spans="1:10" x14ac:dyDescent="0.3">
      <c r="A783" s="92">
        <v>44531</v>
      </c>
      <c r="B783" s="60">
        <v>0</v>
      </c>
      <c r="C783" s="60">
        <v>0</v>
      </c>
      <c r="D783" s="60">
        <v>46072.761504000002</v>
      </c>
      <c r="E783" s="60">
        <v>52095.968536198372</v>
      </c>
      <c r="F783" s="60">
        <v>59634.172781999994</v>
      </c>
      <c r="G783" s="60">
        <v>63429.896890371616</v>
      </c>
      <c r="H783" s="93">
        <v>0.13073249433237111</v>
      </c>
      <c r="I783" s="93">
        <v>6.3650151101237729E-2</v>
      </c>
      <c r="J783" s="93">
        <v>9.288824055765299E-2</v>
      </c>
    </row>
    <row r="784" spans="1:10" x14ac:dyDescent="0.3">
      <c r="A784" s="92">
        <v>44562</v>
      </c>
      <c r="B784" s="60">
        <v>0</v>
      </c>
      <c r="C784" s="60">
        <v>0</v>
      </c>
      <c r="D784" s="60">
        <v>45523.119488000011</v>
      </c>
      <c r="E784" s="60">
        <v>51474.470448456821</v>
      </c>
      <c r="F784" s="60">
        <v>58922.744903999999</v>
      </c>
      <c r="G784" s="60">
        <v>62673.186520439289</v>
      </c>
      <c r="H784" s="93">
        <v>0.13073249433237111</v>
      </c>
      <c r="I784" s="93">
        <v>6.3650151101237729E-2</v>
      </c>
      <c r="J784" s="93">
        <v>9.2888240557652768E-2</v>
      </c>
    </row>
    <row r="785" spans="1:10" x14ac:dyDescent="0.3">
      <c r="A785" s="92">
        <v>44593</v>
      </c>
      <c r="B785" s="60">
        <v>0</v>
      </c>
      <c r="C785" s="60">
        <v>0</v>
      </c>
      <c r="D785" s="60">
        <v>49225.986656000001</v>
      </c>
      <c r="E785" s="60">
        <v>55661.422677510913</v>
      </c>
      <c r="F785" s="60">
        <v>63715.542497999995</v>
      </c>
      <c r="G785" s="60">
        <v>67771.046405495028</v>
      </c>
      <c r="H785" s="93">
        <v>0.13073249433237133</v>
      </c>
      <c r="I785" s="93">
        <v>6.3650151101237729E-2</v>
      </c>
      <c r="J785" s="93">
        <v>9.2888240557653212E-2</v>
      </c>
    </row>
    <row r="786" spans="1:10" x14ac:dyDescent="0.3">
      <c r="A786" s="92">
        <v>44621</v>
      </c>
      <c r="B786" s="60">
        <v>0</v>
      </c>
      <c r="C786" s="60">
        <v>0</v>
      </c>
      <c r="D786" s="60">
        <v>51514.756832000006</v>
      </c>
      <c r="E786" s="60">
        <v>58249.409487572928</v>
      </c>
      <c r="F786" s="60">
        <v>66678.00690600001</v>
      </c>
      <c r="G786" s="60">
        <v>70922.072120696277</v>
      </c>
      <c r="H786" s="93">
        <v>0.13073249433237111</v>
      </c>
      <c r="I786" s="93">
        <v>6.3650151101237729E-2</v>
      </c>
      <c r="J786" s="93">
        <v>9.2888240557653212E-2</v>
      </c>
    </row>
    <row r="787" spans="1:10" x14ac:dyDescent="0.3">
      <c r="A787" s="92">
        <v>44652</v>
      </c>
      <c r="B787" s="60">
        <v>0</v>
      </c>
      <c r="C787" s="60">
        <v>0</v>
      </c>
      <c r="D787" s="60">
        <v>51510.393088000004</v>
      </c>
      <c r="E787" s="60">
        <v>58244.475260435174</v>
      </c>
      <c r="F787" s="60">
        <v>66672.358703999998</v>
      </c>
      <c r="G787" s="60">
        <v>70916.064409785526</v>
      </c>
      <c r="H787" s="93">
        <v>0.13073249433237111</v>
      </c>
      <c r="I787" s="93">
        <v>6.3650151101237729E-2</v>
      </c>
      <c r="J787" s="93">
        <v>9.288824055765299E-2</v>
      </c>
    </row>
    <row r="788" spans="1:10" x14ac:dyDescent="0.3">
      <c r="A788" s="92">
        <v>44682</v>
      </c>
      <c r="B788" s="60">
        <v>0</v>
      </c>
      <c r="C788" s="60">
        <v>0</v>
      </c>
      <c r="D788" s="60">
        <v>52603.226368000011</v>
      </c>
      <c r="E788" s="60">
        <v>59480.177361019007</v>
      </c>
      <c r="F788" s="60">
        <v>68086.864944000001</v>
      </c>
      <c r="G788" s="60">
        <v>72420.604185695178</v>
      </c>
      <c r="H788" s="93">
        <v>0.13073249433237111</v>
      </c>
      <c r="I788" s="93">
        <v>6.3650151101237951E-2</v>
      </c>
      <c r="J788" s="93">
        <v>9.2888240557653212E-2</v>
      </c>
    </row>
    <row r="789" spans="1:10" x14ac:dyDescent="0.3">
      <c r="A789" s="92">
        <v>44713</v>
      </c>
      <c r="B789" s="60">
        <v>0</v>
      </c>
      <c r="C789" s="60">
        <v>0</v>
      </c>
      <c r="D789" s="60">
        <v>49793.707040000001</v>
      </c>
      <c r="E789" s="60">
        <v>56303.362563394563</v>
      </c>
      <c r="F789" s="60">
        <v>64450.370069999997</v>
      </c>
      <c r="G789" s="60">
        <v>68552.645863486192</v>
      </c>
      <c r="H789" s="93">
        <v>0.13073249433237133</v>
      </c>
      <c r="I789" s="93">
        <v>6.3650151101237729E-2</v>
      </c>
      <c r="J789" s="93">
        <v>9.2888240557653212E-2</v>
      </c>
    </row>
    <row r="790" spans="1:10" x14ac:dyDescent="0.3">
      <c r="A790" s="92">
        <v>44743</v>
      </c>
      <c r="B790" s="60">
        <v>0</v>
      </c>
      <c r="C790" s="60">
        <v>0</v>
      </c>
      <c r="D790" s="60">
        <v>47092.251360000002</v>
      </c>
      <c r="E790" s="60">
        <v>53248.738844019805</v>
      </c>
      <c r="F790" s="60">
        <v>60953.747129999996</v>
      </c>
      <c r="G790" s="60">
        <v>64833.462345011139</v>
      </c>
      <c r="H790" s="93">
        <v>0.13073249433237133</v>
      </c>
      <c r="I790" s="93">
        <v>6.3650151101237951E-2</v>
      </c>
      <c r="J790" s="93">
        <v>9.2888240557653212E-2</v>
      </c>
    </row>
    <row r="791" spans="1:10" x14ac:dyDescent="0.3">
      <c r="A791" s="92">
        <v>44774</v>
      </c>
      <c r="B791" s="60">
        <v>0</v>
      </c>
      <c r="C791" s="60">
        <v>0</v>
      </c>
      <c r="D791" s="60">
        <v>48614.005440000001</v>
      </c>
      <c r="E791" s="60">
        <v>54969.435630658671</v>
      </c>
      <c r="F791" s="60">
        <v>62923.426019999999</v>
      </c>
      <c r="G791" s="60">
        <v>66928.511593980555</v>
      </c>
      <c r="H791" s="93">
        <v>0.13073249433237133</v>
      </c>
      <c r="I791" s="93">
        <v>6.3650151101237729E-2</v>
      </c>
      <c r="J791" s="93">
        <v>9.2888240557653212E-2</v>
      </c>
    </row>
    <row r="792" spans="1:10" x14ac:dyDescent="0.3">
      <c r="A792" s="92">
        <v>44805</v>
      </c>
      <c r="B792" s="60">
        <v>0</v>
      </c>
      <c r="C792" s="60">
        <v>0</v>
      </c>
      <c r="D792" s="60">
        <v>50171.265760000002</v>
      </c>
      <c r="E792" s="60">
        <v>56730.280476617096</v>
      </c>
      <c r="F792" s="60">
        <v>64939.062329999993</v>
      </c>
      <c r="G792" s="60">
        <v>69072.443459677204</v>
      </c>
      <c r="H792" s="93">
        <v>0.13073249433237133</v>
      </c>
      <c r="I792" s="93">
        <v>6.3650151101237951E-2</v>
      </c>
      <c r="J792" s="93">
        <v>9.2888240557653212E-2</v>
      </c>
    </row>
    <row r="793" spans="1:10" x14ac:dyDescent="0.3">
      <c r="A793" s="92">
        <v>44835</v>
      </c>
      <c r="B793" s="60">
        <v>0</v>
      </c>
      <c r="C793" s="60">
        <v>0</v>
      </c>
      <c r="D793" s="60">
        <v>50171.265760000002</v>
      </c>
      <c r="E793" s="60">
        <v>56730.280476617096</v>
      </c>
      <c r="F793" s="60">
        <v>64939.062329999993</v>
      </c>
      <c r="G793" s="60">
        <v>69072.443459677204</v>
      </c>
      <c r="H793" s="93">
        <v>0.13073249433237133</v>
      </c>
      <c r="I793" s="93">
        <v>6.3650151101237951E-2</v>
      </c>
      <c r="J793" s="93">
        <v>9.2888240557653212E-2</v>
      </c>
    </row>
    <row r="794" spans="1:10" x14ac:dyDescent="0.3">
      <c r="A794" s="88" t="s">
        <v>31</v>
      </c>
      <c r="B794" s="60">
        <v>0</v>
      </c>
      <c r="C794" s="60">
        <v>0</v>
      </c>
      <c r="D794" s="60">
        <v>658213.58174000005</v>
      </c>
      <c r="E794" s="60">
        <v>744226.87415976892</v>
      </c>
      <c r="F794" s="60">
        <v>851931.51472000009</v>
      </c>
      <c r="G794" s="60">
        <v>906139.86489562877</v>
      </c>
      <c r="H794" s="93">
        <v>0.13067687268377415</v>
      </c>
      <c r="I794" s="93">
        <v>6.3629938837801214E-2</v>
      </c>
      <c r="J794" s="93">
        <v>9.2853092675728721E-2</v>
      </c>
    </row>
    <row r="795" spans="1:10" x14ac:dyDescent="0.3">
      <c r="A795" s="89" t="s">
        <v>25</v>
      </c>
      <c r="B795" s="60">
        <v>0</v>
      </c>
      <c r="C795" s="60">
        <v>0</v>
      </c>
      <c r="D795" s="60">
        <v>658213.58174000005</v>
      </c>
      <c r="E795" s="60">
        <v>744226.87415976892</v>
      </c>
      <c r="F795" s="60">
        <v>851931.51472000009</v>
      </c>
      <c r="G795" s="60">
        <v>906139.86489562877</v>
      </c>
      <c r="H795" s="93">
        <v>0.13067687268377415</v>
      </c>
      <c r="I795" s="93">
        <v>6.3629938837801214E-2</v>
      </c>
      <c r="J795" s="93">
        <v>9.2853092675728721E-2</v>
      </c>
    </row>
    <row r="796" spans="1:10" x14ac:dyDescent="0.3">
      <c r="A796" s="90" t="s">
        <v>25</v>
      </c>
      <c r="B796" s="60">
        <v>0</v>
      </c>
      <c r="C796" s="60">
        <v>0</v>
      </c>
      <c r="D796" s="60">
        <v>658213.58174000005</v>
      </c>
      <c r="E796" s="60">
        <v>744226.87415976892</v>
      </c>
      <c r="F796" s="60">
        <v>851931.51472000009</v>
      </c>
      <c r="G796" s="60">
        <v>906139.86489562877</v>
      </c>
      <c r="H796" s="93">
        <v>0.13067687268377415</v>
      </c>
      <c r="I796" s="93">
        <v>6.3629938837801214E-2</v>
      </c>
      <c r="J796" s="93">
        <v>9.2853092675728721E-2</v>
      </c>
    </row>
    <row r="797" spans="1:10" x14ac:dyDescent="0.3">
      <c r="A797" s="91" t="s">
        <v>25</v>
      </c>
      <c r="B797" s="60">
        <v>0</v>
      </c>
      <c r="C797" s="60">
        <v>0</v>
      </c>
      <c r="D797" s="60">
        <v>658213.58174000005</v>
      </c>
      <c r="E797" s="60">
        <v>744226.87415976892</v>
      </c>
      <c r="F797" s="60">
        <v>851931.51472000009</v>
      </c>
      <c r="G797" s="60">
        <v>906139.86489562877</v>
      </c>
      <c r="H797" s="93">
        <v>0.13067687268377415</v>
      </c>
      <c r="I797" s="93">
        <v>6.3629938837801214E-2</v>
      </c>
      <c r="J797" s="93">
        <v>9.2853092675728721E-2</v>
      </c>
    </row>
    <row r="798" spans="1:10" x14ac:dyDescent="0.3">
      <c r="A798" s="92">
        <v>44501</v>
      </c>
      <c r="B798" s="60">
        <v>0</v>
      </c>
      <c r="C798" s="60">
        <v>0</v>
      </c>
      <c r="D798" s="60">
        <v>48800.577660000003</v>
      </c>
      <c r="E798" s="60">
        <v>55177.684533770451</v>
      </c>
      <c r="F798" s="60">
        <v>63163.008480000004</v>
      </c>
      <c r="G798" s="60">
        <v>67182.066846393893</v>
      </c>
      <c r="H798" s="93">
        <v>0.13067687268377415</v>
      </c>
      <c r="I798" s="93">
        <v>6.362993883780077E-2</v>
      </c>
      <c r="J798" s="93">
        <v>9.2853092675728721E-2</v>
      </c>
    </row>
    <row r="799" spans="1:10" x14ac:dyDescent="0.3">
      <c r="A799" s="92">
        <v>44531</v>
      </c>
      <c r="B799" s="60">
        <v>0</v>
      </c>
      <c r="C799" s="60">
        <v>0</v>
      </c>
      <c r="D799" s="60">
        <v>46985.502894999998</v>
      </c>
      <c r="E799" s="60">
        <v>53125.421474793009</v>
      </c>
      <c r="F799" s="60">
        <v>60813.741560000002</v>
      </c>
      <c r="G799" s="60">
        <v>64683.316215960629</v>
      </c>
      <c r="H799" s="93">
        <v>0.13067687268377415</v>
      </c>
      <c r="I799" s="93">
        <v>6.362993883780077E-2</v>
      </c>
      <c r="J799" s="93">
        <v>9.2853092675728499E-2</v>
      </c>
    </row>
    <row r="800" spans="1:10" x14ac:dyDescent="0.3">
      <c r="A800" s="92">
        <v>44562</v>
      </c>
      <c r="B800" s="60">
        <v>0</v>
      </c>
      <c r="C800" s="60">
        <v>0</v>
      </c>
      <c r="D800" s="60">
        <v>53818.892955000003</v>
      </c>
      <c r="E800" s="60">
        <v>60851.777577662207</v>
      </c>
      <c r="F800" s="60">
        <v>69658.257239999992</v>
      </c>
      <c r="G800" s="60">
        <v>74090.607887729013</v>
      </c>
      <c r="H800" s="93">
        <v>0.13067687268377415</v>
      </c>
      <c r="I800" s="93">
        <v>6.3629938837801214E-2</v>
      </c>
      <c r="J800" s="93">
        <v>9.2853092675728721E-2</v>
      </c>
    </row>
    <row r="801" spans="1:10" x14ac:dyDescent="0.3">
      <c r="A801" s="92">
        <v>44593</v>
      </c>
      <c r="B801" s="60">
        <v>0</v>
      </c>
      <c r="C801" s="60">
        <v>0</v>
      </c>
      <c r="D801" s="60">
        <v>50873.708750999991</v>
      </c>
      <c r="E801" s="60">
        <v>57521.72591240584</v>
      </c>
      <c r="F801" s="60">
        <v>65846.279928000004</v>
      </c>
      <c r="G801" s="60">
        <v>70036.074692515365</v>
      </c>
      <c r="H801" s="93">
        <v>0.13067687268377437</v>
      </c>
      <c r="I801" s="93">
        <v>6.3629938837800992E-2</v>
      </c>
      <c r="J801" s="93">
        <v>9.2853092675728943E-2</v>
      </c>
    </row>
    <row r="802" spans="1:10" x14ac:dyDescent="0.3">
      <c r="A802" s="92">
        <v>44621</v>
      </c>
      <c r="B802" s="60">
        <v>0</v>
      </c>
      <c r="C802" s="60">
        <v>0</v>
      </c>
      <c r="D802" s="60">
        <v>55717.093001000001</v>
      </c>
      <c r="E802" s="60">
        <v>62998.028469401681</v>
      </c>
      <c r="F802" s="60">
        <v>72115.113928000006</v>
      </c>
      <c r="G802" s="60">
        <v>76703.794216519687</v>
      </c>
      <c r="H802" s="93">
        <v>0.13067687268377415</v>
      </c>
      <c r="I802" s="93">
        <v>6.362993883780077E-2</v>
      </c>
      <c r="J802" s="93">
        <v>9.2853092675728499E-2</v>
      </c>
    </row>
    <row r="803" spans="1:10" x14ac:dyDescent="0.3">
      <c r="A803" s="92">
        <v>44652</v>
      </c>
      <c r="B803" s="60">
        <v>0</v>
      </c>
      <c r="C803" s="60">
        <v>0</v>
      </c>
      <c r="D803" s="60">
        <v>55810.830019999994</v>
      </c>
      <c r="E803" s="60">
        <v>63104.014748899303</v>
      </c>
      <c r="F803" s="60">
        <v>72236.43856000001</v>
      </c>
      <c r="G803" s="60">
        <v>76832.838727433365</v>
      </c>
      <c r="H803" s="93">
        <v>0.13067687268377437</v>
      </c>
      <c r="I803" s="93">
        <v>6.362993883780077E-2</v>
      </c>
      <c r="J803" s="93">
        <v>9.2853092675728721E-2</v>
      </c>
    </row>
    <row r="804" spans="1:10" x14ac:dyDescent="0.3">
      <c r="A804" s="92">
        <v>44682</v>
      </c>
      <c r="B804" s="60">
        <v>0</v>
      </c>
      <c r="C804" s="60">
        <v>0</v>
      </c>
      <c r="D804" s="60">
        <v>58410.502539999994</v>
      </c>
      <c r="E804" s="60">
        <v>66043.404343814851</v>
      </c>
      <c r="F804" s="60">
        <v>75601.217119999987</v>
      </c>
      <c r="G804" s="60">
        <v>80411.717941408919</v>
      </c>
      <c r="H804" s="93">
        <v>0.13067687268377437</v>
      </c>
      <c r="I804" s="93">
        <v>6.3629938837801214E-2</v>
      </c>
      <c r="J804" s="93">
        <v>9.2853092675728943E-2</v>
      </c>
    </row>
    <row r="805" spans="1:10" x14ac:dyDescent="0.3">
      <c r="A805" s="92">
        <v>44713</v>
      </c>
      <c r="B805" s="60">
        <v>0</v>
      </c>
      <c r="C805" s="60">
        <v>0</v>
      </c>
      <c r="D805" s="60">
        <v>54483.956189999997</v>
      </c>
      <c r="E805" s="60">
        <v>61603.749196348959</v>
      </c>
      <c r="F805" s="60">
        <v>70519.05432000001</v>
      </c>
      <c r="G805" s="60">
        <v>75006.177433281176</v>
      </c>
      <c r="H805" s="93">
        <v>0.13067687268377415</v>
      </c>
      <c r="I805" s="93">
        <v>6.3629938837800992E-2</v>
      </c>
      <c r="J805" s="93">
        <v>9.2853092675728943E-2</v>
      </c>
    </row>
    <row r="806" spans="1:10" x14ac:dyDescent="0.3">
      <c r="A806" s="92">
        <v>44743</v>
      </c>
      <c r="B806" s="60">
        <v>0</v>
      </c>
      <c r="C806" s="60">
        <v>0</v>
      </c>
      <c r="D806" s="60">
        <v>54185.729759999995</v>
      </c>
      <c r="E806" s="60">
        <v>61266.551469124905</v>
      </c>
      <c r="F806" s="60">
        <v>70133.057279999994</v>
      </c>
      <c r="G806" s="60">
        <v>74595.619425234385</v>
      </c>
      <c r="H806" s="93">
        <v>0.13067687268377415</v>
      </c>
      <c r="I806" s="93">
        <v>6.3629938837800992E-2</v>
      </c>
      <c r="J806" s="93">
        <v>9.2853092675728721E-2</v>
      </c>
    </row>
    <row r="807" spans="1:10" x14ac:dyDescent="0.3">
      <c r="A807" s="92">
        <v>44774</v>
      </c>
      <c r="B807" s="60">
        <v>0</v>
      </c>
      <c r="C807" s="60">
        <v>0</v>
      </c>
      <c r="D807" s="60">
        <v>54038.141220000005</v>
      </c>
      <c r="E807" s="60">
        <v>61099.676520273759</v>
      </c>
      <c r="F807" s="60">
        <v>69942.032160000002</v>
      </c>
      <c r="G807" s="60">
        <v>74392.439388532308</v>
      </c>
      <c r="H807" s="93">
        <v>0.13067687268377415</v>
      </c>
      <c r="I807" s="93">
        <v>6.3629938837800992E-2</v>
      </c>
      <c r="J807" s="93">
        <v>9.2853092675728721E-2</v>
      </c>
    </row>
    <row r="808" spans="1:10" x14ac:dyDescent="0.3">
      <c r="A808" s="92">
        <v>44805</v>
      </c>
      <c r="B808" s="60">
        <v>0</v>
      </c>
      <c r="C808" s="60">
        <v>0</v>
      </c>
      <c r="D808" s="60">
        <v>62544.323374</v>
      </c>
      <c r="E808" s="60">
        <v>70717.419956636993</v>
      </c>
      <c r="F808" s="60">
        <v>80951.657071999987</v>
      </c>
      <c r="G808" s="60">
        <v>86102.606060309976</v>
      </c>
      <c r="H808" s="93">
        <v>0.13067687268377415</v>
      </c>
      <c r="I808" s="93">
        <v>6.362993883780077E-2</v>
      </c>
      <c r="J808" s="93">
        <v>9.2853092675728499E-2</v>
      </c>
    </row>
    <row r="809" spans="1:10" x14ac:dyDescent="0.3">
      <c r="A809" s="92">
        <v>44835</v>
      </c>
      <c r="B809" s="60">
        <v>0</v>
      </c>
      <c r="C809" s="60">
        <v>0</v>
      </c>
      <c r="D809" s="60">
        <v>62544.323374</v>
      </c>
      <c r="E809" s="60">
        <v>70717.419956636993</v>
      </c>
      <c r="F809" s="60">
        <v>80951.657071999987</v>
      </c>
      <c r="G809" s="60">
        <v>86102.606060309976</v>
      </c>
      <c r="H809" s="93">
        <v>0.13067687268377415</v>
      </c>
      <c r="I809" s="93">
        <v>6.362993883780077E-2</v>
      </c>
      <c r="J809" s="93">
        <v>9.2853092675728499E-2</v>
      </c>
    </row>
    <row r="810" spans="1:10" x14ac:dyDescent="0.3">
      <c r="A810" s="88" t="s">
        <v>32</v>
      </c>
      <c r="B810" s="60">
        <v>0</v>
      </c>
      <c r="C810" s="60">
        <v>0</v>
      </c>
      <c r="D810" s="60">
        <v>143186.44670999999</v>
      </c>
      <c r="E810" s="60">
        <v>161903.17868084635</v>
      </c>
      <c r="F810" s="60">
        <v>185336.65188000002</v>
      </c>
      <c r="G810" s="60">
        <v>197126.61494744709</v>
      </c>
      <c r="H810" s="93">
        <v>0.13071580726319665</v>
      </c>
      <c r="I810" s="93">
        <v>6.3613769580130208E-2</v>
      </c>
      <c r="J810" s="93">
        <v>9.286012207125216E-2</v>
      </c>
    </row>
    <row r="811" spans="1:10" x14ac:dyDescent="0.3">
      <c r="A811" s="89" t="s">
        <v>25</v>
      </c>
      <c r="B811" s="60">
        <v>0</v>
      </c>
      <c r="C811" s="60">
        <v>0</v>
      </c>
      <c r="D811" s="60">
        <v>143186.44670999999</v>
      </c>
      <c r="E811" s="60">
        <v>161903.17868084635</v>
      </c>
      <c r="F811" s="60">
        <v>185336.65188000002</v>
      </c>
      <c r="G811" s="60">
        <v>197126.61494744709</v>
      </c>
      <c r="H811" s="93">
        <v>0.13071580726319665</v>
      </c>
      <c r="I811" s="93">
        <v>6.3613769580130208E-2</v>
      </c>
      <c r="J811" s="93">
        <v>9.286012207125216E-2</v>
      </c>
    </row>
    <row r="812" spans="1:10" x14ac:dyDescent="0.3">
      <c r="A812" s="90" t="s">
        <v>25</v>
      </c>
      <c r="B812" s="60">
        <v>0</v>
      </c>
      <c r="C812" s="60">
        <v>0</v>
      </c>
      <c r="D812" s="60">
        <v>143186.44670999999</v>
      </c>
      <c r="E812" s="60">
        <v>161903.17868084635</v>
      </c>
      <c r="F812" s="60">
        <v>185336.65188000002</v>
      </c>
      <c r="G812" s="60">
        <v>197126.61494744709</v>
      </c>
      <c r="H812" s="93">
        <v>0.13071580726319665</v>
      </c>
      <c r="I812" s="93">
        <v>6.3613769580130208E-2</v>
      </c>
      <c r="J812" s="93">
        <v>9.286012207125216E-2</v>
      </c>
    </row>
    <row r="813" spans="1:10" x14ac:dyDescent="0.3">
      <c r="A813" s="91" t="s">
        <v>25</v>
      </c>
      <c r="B813" s="60">
        <v>0</v>
      </c>
      <c r="C813" s="60">
        <v>0</v>
      </c>
      <c r="D813" s="60">
        <v>143186.44670999999</v>
      </c>
      <c r="E813" s="60">
        <v>161903.17868084635</v>
      </c>
      <c r="F813" s="60">
        <v>185336.65188000002</v>
      </c>
      <c r="G813" s="60">
        <v>197126.61494744709</v>
      </c>
      <c r="H813" s="93">
        <v>0.13071580726319665</v>
      </c>
      <c r="I813" s="93">
        <v>6.3613769580130208E-2</v>
      </c>
      <c r="J813" s="93">
        <v>9.286012207125216E-2</v>
      </c>
    </row>
    <row r="814" spans="1:10" x14ac:dyDescent="0.3">
      <c r="A814" s="92">
        <v>44501</v>
      </c>
      <c r="B814" s="60">
        <v>0</v>
      </c>
      <c r="C814" s="60">
        <v>0</v>
      </c>
      <c r="D814" s="60">
        <v>9023.7323700000015</v>
      </c>
      <c r="E814" s="60">
        <v>10203.276831271591</v>
      </c>
      <c r="F814" s="60">
        <v>11680.074360000001</v>
      </c>
      <c r="G814" s="60">
        <v>12423.087919015828</v>
      </c>
      <c r="H814" s="93">
        <v>0.13071580726319665</v>
      </c>
      <c r="I814" s="93">
        <v>6.3613769580130208E-2</v>
      </c>
      <c r="J814" s="93">
        <v>9.2860122071252382E-2</v>
      </c>
    </row>
    <row r="815" spans="1:10" x14ac:dyDescent="0.3">
      <c r="A815" s="92">
        <v>44531</v>
      </c>
      <c r="B815" s="60">
        <v>0</v>
      </c>
      <c r="C815" s="60">
        <v>0</v>
      </c>
      <c r="D815" s="60">
        <v>8035.0993799999997</v>
      </c>
      <c r="E815" s="60">
        <v>9085.4138818967112</v>
      </c>
      <c r="F815" s="60">
        <v>10400.414639999999</v>
      </c>
      <c r="G815" s="60">
        <v>11062.024220446772</v>
      </c>
      <c r="H815" s="93">
        <v>0.13071580726319665</v>
      </c>
      <c r="I815" s="93">
        <v>6.3613769580130208E-2</v>
      </c>
      <c r="J815" s="93">
        <v>9.2860122071252382E-2</v>
      </c>
    </row>
    <row r="816" spans="1:10" x14ac:dyDescent="0.3">
      <c r="A816" s="92">
        <v>44562</v>
      </c>
      <c r="B816" s="60">
        <v>0</v>
      </c>
      <c r="C816" s="60">
        <v>0</v>
      </c>
      <c r="D816" s="60">
        <v>12090.369359999999</v>
      </c>
      <c r="E816" s="60">
        <v>13670.77175100262</v>
      </c>
      <c r="F816" s="60">
        <v>15649.446080000002</v>
      </c>
      <c r="G816" s="60">
        <v>16644.966336989793</v>
      </c>
      <c r="H816" s="93">
        <v>0.13071580726319687</v>
      </c>
      <c r="I816" s="93">
        <v>6.3613769580130208E-2</v>
      </c>
      <c r="J816" s="93">
        <v>9.2860122071252604E-2</v>
      </c>
    </row>
    <row r="817" spans="1:10" x14ac:dyDescent="0.3">
      <c r="A817" s="92">
        <v>44593</v>
      </c>
      <c r="B817" s="60">
        <v>0</v>
      </c>
      <c r="C817" s="60">
        <v>0</v>
      </c>
      <c r="D817" s="60">
        <v>9430.0725000000002</v>
      </c>
      <c r="E817" s="60">
        <v>10662.732039387973</v>
      </c>
      <c r="F817" s="60">
        <v>12206.03</v>
      </c>
      <c r="G817" s="60">
        <v>12982.501579908158</v>
      </c>
      <c r="H817" s="93">
        <v>0.13071580726319687</v>
      </c>
      <c r="I817" s="93">
        <v>6.3613769580130208E-2</v>
      </c>
      <c r="J817" s="93">
        <v>9.2860122071252382E-2</v>
      </c>
    </row>
    <row r="818" spans="1:10" x14ac:dyDescent="0.3">
      <c r="A818" s="92">
        <v>44621</v>
      </c>
      <c r="B818" s="60">
        <v>0</v>
      </c>
      <c r="C818" s="60">
        <v>0</v>
      </c>
      <c r="D818" s="60">
        <v>10930.07517</v>
      </c>
      <c r="E818" s="60">
        <v>12358.808769293972</v>
      </c>
      <c r="F818" s="60">
        <v>14147.59276</v>
      </c>
      <c r="G818" s="60">
        <v>15047.574465948159</v>
      </c>
      <c r="H818" s="93">
        <v>0.13071580726319665</v>
      </c>
      <c r="I818" s="93">
        <v>6.3613769580130208E-2</v>
      </c>
      <c r="J818" s="93">
        <v>9.2860122071252382E-2</v>
      </c>
    </row>
    <row r="819" spans="1:10" x14ac:dyDescent="0.3">
      <c r="A819" s="92">
        <v>44652</v>
      </c>
      <c r="B819" s="60">
        <v>0</v>
      </c>
      <c r="C819" s="60">
        <v>0</v>
      </c>
      <c r="D819" s="60">
        <v>11335.060080000001</v>
      </c>
      <c r="E819" s="60">
        <v>12816.731608734037</v>
      </c>
      <c r="F819" s="60">
        <v>14671.794240000001</v>
      </c>
      <c r="G819" s="60">
        <v>15605.122378110442</v>
      </c>
      <c r="H819" s="93">
        <v>0.13071580726319665</v>
      </c>
      <c r="I819" s="93">
        <v>6.3613769580130208E-2</v>
      </c>
      <c r="J819" s="93">
        <v>9.2860122071252382E-2</v>
      </c>
    </row>
    <row r="820" spans="1:10" x14ac:dyDescent="0.3">
      <c r="A820" s="92">
        <v>44682</v>
      </c>
      <c r="B820" s="60">
        <v>0</v>
      </c>
      <c r="C820" s="60">
        <v>0</v>
      </c>
      <c r="D820" s="60">
        <v>12238.765949999999</v>
      </c>
      <c r="E820" s="60">
        <v>13838.566121059575</v>
      </c>
      <c r="F820" s="60">
        <v>15841.526599999999</v>
      </c>
      <c r="G820" s="60">
        <v>16849.265822929901</v>
      </c>
      <c r="H820" s="93">
        <v>0.13071580726319687</v>
      </c>
      <c r="I820" s="93">
        <v>6.3613769580130208E-2</v>
      </c>
      <c r="J820" s="93">
        <v>9.2860122071252382E-2</v>
      </c>
    </row>
    <row r="821" spans="1:10" x14ac:dyDescent="0.3">
      <c r="A821" s="92">
        <v>44713</v>
      </c>
      <c r="B821" s="60">
        <v>0</v>
      </c>
      <c r="C821" s="60">
        <v>0</v>
      </c>
      <c r="D821" s="60">
        <v>12124.927470000001</v>
      </c>
      <c r="E821" s="60">
        <v>13709.84715224876</v>
      </c>
      <c r="F821" s="60">
        <v>15694.177159999999</v>
      </c>
      <c r="G821" s="60">
        <v>16692.542929605981</v>
      </c>
      <c r="H821" s="93">
        <v>0.13071580726319665</v>
      </c>
      <c r="I821" s="93">
        <v>6.3613769580130208E-2</v>
      </c>
      <c r="J821" s="93">
        <v>9.286012207125216E-2</v>
      </c>
    </row>
    <row r="822" spans="1:10" x14ac:dyDescent="0.3">
      <c r="A822" s="92">
        <v>44743</v>
      </c>
      <c r="B822" s="60">
        <v>0</v>
      </c>
      <c r="C822" s="60">
        <v>0</v>
      </c>
      <c r="D822" s="60">
        <v>13489.85988</v>
      </c>
      <c r="E822" s="60">
        <v>15253.19780408161</v>
      </c>
      <c r="F822" s="60">
        <v>17460.908640000001</v>
      </c>
      <c r="G822" s="60">
        <v>18571.662858884665</v>
      </c>
      <c r="H822" s="93">
        <v>0.13071580726319665</v>
      </c>
      <c r="I822" s="93">
        <v>6.3613769580130208E-2</v>
      </c>
      <c r="J822" s="93">
        <v>9.2860122071252382E-2</v>
      </c>
    </row>
    <row r="823" spans="1:10" x14ac:dyDescent="0.3">
      <c r="A823" s="92">
        <v>44774</v>
      </c>
      <c r="B823" s="60">
        <v>0</v>
      </c>
      <c r="C823" s="60">
        <v>0</v>
      </c>
      <c r="D823" s="60">
        <v>11707.06797</v>
      </c>
      <c r="E823" s="60">
        <v>13237.366810383664</v>
      </c>
      <c r="F823" s="60">
        <v>15153.311159999999</v>
      </c>
      <c r="G823" s="60">
        <v>16117.270404508256</v>
      </c>
      <c r="H823" s="93">
        <v>0.13071580726319687</v>
      </c>
      <c r="I823" s="93">
        <v>6.3613769580130208E-2</v>
      </c>
      <c r="J823" s="93">
        <v>9.286012207125216E-2</v>
      </c>
    </row>
    <row r="824" spans="1:10" x14ac:dyDescent="0.3">
      <c r="A824" s="92">
        <v>44805</v>
      </c>
      <c r="B824" s="60">
        <v>0</v>
      </c>
      <c r="C824" s="60">
        <v>0</v>
      </c>
      <c r="D824" s="60">
        <v>16390.708289999999</v>
      </c>
      <c r="E824" s="60">
        <v>18533.232955742918</v>
      </c>
      <c r="F824" s="60">
        <v>21215.688119999999</v>
      </c>
      <c r="G824" s="60">
        <v>22565.298015549586</v>
      </c>
      <c r="H824" s="93">
        <v>0.13071580726319665</v>
      </c>
      <c r="I824" s="93">
        <v>6.3613769580130208E-2</v>
      </c>
      <c r="J824" s="93">
        <v>9.2860122071252382E-2</v>
      </c>
    </row>
    <row r="825" spans="1:10" x14ac:dyDescent="0.3">
      <c r="A825" s="92">
        <v>44835</v>
      </c>
      <c r="B825" s="60">
        <v>0</v>
      </c>
      <c r="C825" s="60">
        <v>0</v>
      </c>
      <c r="D825" s="60">
        <v>16390.708289999999</v>
      </c>
      <c r="E825" s="60">
        <v>18533.232955742918</v>
      </c>
      <c r="F825" s="60">
        <v>21215.688119999999</v>
      </c>
      <c r="G825" s="60">
        <v>22565.298015549586</v>
      </c>
      <c r="H825" s="93">
        <v>0.13071580726319665</v>
      </c>
      <c r="I825" s="93">
        <v>6.3613769580130208E-2</v>
      </c>
      <c r="J825" s="93">
        <v>9.2860122071252382E-2</v>
      </c>
    </row>
    <row r="826" spans="1:10" x14ac:dyDescent="0.3">
      <c r="A826" s="84" t="s">
        <v>44</v>
      </c>
      <c r="B826" s="60">
        <v>0</v>
      </c>
      <c r="C826" s="60">
        <v>0</v>
      </c>
      <c r="D826" s="60">
        <v>997234.5266199999</v>
      </c>
      <c r="E826" s="60">
        <v>1368235.9547418817</v>
      </c>
      <c r="F826" s="60">
        <v>970856.45448999992</v>
      </c>
      <c r="G826" s="60">
        <v>1103051.1040288417</v>
      </c>
      <c r="H826" s="93">
        <v>0.37203026792438032</v>
      </c>
      <c r="I826" s="93">
        <v>0.1361629197884715</v>
      </c>
      <c r="J826" s="93">
        <v>0.25567724383194967</v>
      </c>
    </row>
    <row r="827" spans="1:10" x14ac:dyDescent="0.3">
      <c r="A827" s="85" t="s">
        <v>23</v>
      </c>
      <c r="B827" s="60">
        <v>0</v>
      </c>
      <c r="C827" s="60">
        <v>0</v>
      </c>
      <c r="D827" s="60">
        <v>997234.5266199999</v>
      </c>
      <c r="E827" s="60">
        <v>1368235.9547418817</v>
      </c>
      <c r="F827" s="60">
        <v>970856.45448999992</v>
      </c>
      <c r="G827" s="60">
        <v>1103051.1040288417</v>
      </c>
      <c r="H827" s="93">
        <v>0.37203026792438032</v>
      </c>
      <c r="I827" s="93">
        <v>0.1361629197884715</v>
      </c>
      <c r="J827" s="93">
        <v>0.25567724383194967</v>
      </c>
    </row>
    <row r="828" spans="1:10" x14ac:dyDescent="0.3">
      <c r="A828" s="86" t="s">
        <v>26</v>
      </c>
      <c r="B828" s="60">
        <v>0</v>
      </c>
      <c r="C828" s="60">
        <v>0</v>
      </c>
      <c r="D828" s="60">
        <v>997234.5266199999</v>
      </c>
      <c r="E828" s="60">
        <v>1368235.9547418817</v>
      </c>
      <c r="F828" s="60">
        <v>970856.45448999992</v>
      </c>
      <c r="G828" s="60">
        <v>1103051.1040288417</v>
      </c>
      <c r="H828" s="93">
        <v>0.37203026792438032</v>
      </c>
      <c r="I828" s="93">
        <v>0.1361629197884715</v>
      </c>
      <c r="J828" s="93">
        <v>0.25567724383194967</v>
      </c>
    </row>
    <row r="829" spans="1:10" x14ac:dyDescent="0.3">
      <c r="A829" s="87" t="s">
        <v>45</v>
      </c>
      <c r="B829" s="60">
        <v>0</v>
      </c>
      <c r="C829" s="60">
        <v>0</v>
      </c>
      <c r="D829" s="60">
        <v>997234.5266199999</v>
      </c>
      <c r="E829" s="60">
        <v>1368235.9547418817</v>
      </c>
      <c r="F829" s="60">
        <v>970856.45448999992</v>
      </c>
      <c r="G829" s="60">
        <v>1103051.1040288417</v>
      </c>
      <c r="H829" s="93">
        <v>0.37203026792438032</v>
      </c>
      <c r="I829" s="93">
        <v>0.1361629197884715</v>
      </c>
      <c r="J829" s="93">
        <v>0.25567724383194967</v>
      </c>
    </row>
    <row r="830" spans="1:10" x14ac:dyDescent="0.3">
      <c r="A830" s="88" t="s">
        <v>25</v>
      </c>
      <c r="B830" s="60">
        <v>0</v>
      </c>
      <c r="C830" s="60">
        <v>0</v>
      </c>
      <c r="D830" s="60">
        <v>997234.5266199999</v>
      </c>
      <c r="E830" s="60">
        <v>1368235.9547418817</v>
      </c>
      <c r="F830" s="60">
        <v>970856.45448999992</v>
      </c>
      <c r="G830" s="60">
        <v>1103051.1040288417</v>
      </c>
      <c r="H830" s="93">
        <v>0.37203026792438032</v>
      </c>
      <c r="I830" s="93">
        <v>0.1361629197884715</v>
      </c>
      <c r="J830" s="93">
        <v>0.25567724383194967</v>
      </c>
    </row>
    <row r="831" spans="1:10" x14ac:dyDescent="0.3">
      <c r="A831" s="89" t="s">
        <v>25</v>
      </c>
      <c r="B831" s="60">
        <v>0</v>
      </c>
      <c r="C831" s="60">
        <v>0</v>
      </c>
      <c r="D831" s="60">
        <v>997234.5266199999</v>
      </c>
      <c r="E831" s="60">
        <v>1368235.9547418817</v>
      </c>
      <c r="F831" s="60">
        <v>970856.45448999992</v>
      </c>
      <c r="G831" s="60">
        <v>1103051.1040288417</v>
      </c>
      <c r="H831" s="93">
        <v>0.37203026792438032</v>
      </c>
      <c r="I831" s="93">
        <v>0.1361629197884715</v>
      </c>
      <c r="J831" s="93">
        <v>0.25567724383194967</v>
      </c>
    </row>
    <row r="832" spans="1:10" x14ac:dyDescent="0.3">
      <c r="A832" s="90" t="s">
        <v>25</v>
      </c>
      <c r="B832" s="60">
        <v>0</v>
      </c>
      <c r="C832" s="60">
        <v>0</v>
      </c>
      <c r="D832" s="60">
        <v>997234.5266199999</v>
      </c>
      <c r="E832" s="60">
        <v>1368235.9547418817</v>
      </c>
      <c r="F832" s="60">
        <v>970856.45448999992</v>
      </c>
      <c r="G832" s="60">
        <v>1103051.1040288417</v>
      </c>
      <c r="H832" s="93">
        <v>0.37203026792438032</v>
      </c>
      <c r="I832" s="93">
        <v>0.1361629197884715</v>
      </c>
      <c r="J832" s="93">
        <v>0.25567724383194967</v>
      </c>
    </row>
    <row r="833" spans="1:10" x14ac:dyDescent="0.3">
      <c r="A833" s="91" t="s">
        <v>25</v>
      </c>
      <c r="B833" s="60">
        <v>0</v>
      </c>
      <c r="C833" s="60">
        <v>0</v>
      </c>
      <c r="D833" s="60">
        <v>997234.5266199999</v>
      </c>
      <c r="E833" s="60">
        <v>1368235.9547418817</v>
      </c>
      <c r="F833" s="60">
        <v>970856.45448999992</v>
      </c>
      <c r="G833" s="60">
        <v>1103051.1040288417</v>
      </c>
      <c r="H833" s="93">
        <v>0.37203026792438032</v>
      </c>
      <c r="I833" s="93">
        <v>0.1361629197884715</v>
      </c>
      <c r="J833" s="93">
        <v>0.25567724383194967</v>
      </c>
    </row>
    <row r="834" spans="1:10" x14ac:dyDescent="0.3">
      <c r="A834" s="92">
        <v>44501</v>
      </c>
      <c r="B834" s="60">
        <v>0</v>
      </c>
      <c r="C834" s="60">
        <v>0</v>
      </c>
      <c r="D834" s="60">
        <v>80633.6538</v>
      </c>
      <c r="E834" s="60">
        <v>110631.81362693575</v>
      </c>
      <c r="F834" s="60">
        <v>78500.795099999988</v>
      </c>
      <c r="G834" s="60">
        <v>89189.692566532525</v>
      </c>
      <c r="H834" s="93">
        <v>0.37203026792438054</v>
      </c>
      <c r="I834" s="93">
        <v>0.1361629197884715</v>
      </c>
      <c r="J834" s="93">
        <v>0.25567724383195012</v>
      </c>
    </row>
    <row r="835" spans="1:10" x14ac:dyDescent="0.3">
      <c r="A835" s="92">
        <v>44531</v>
      </c>
      <c r="B835" s="60">
        <v>0</v>
      </c>
      <c r="C835" s="60">
        <v>0</v>
      </c>
      <c r="D835" s="60">
        <v>78123.712319999991</v>
      </c>
      <c r="E835" s="60">
        <v>107188.09794565682</v>
      </c>
      <c r="F835" s="60">
        <v>76057.24463999999</v>
      </c>
      <c r="G835" s="60">
        <v>86413.421141248473</v>
      </c>
      <c r="H835" s="93">
        <v>0.37203026792438054</v>
      </c>
      <c r="I835" s="93">
        <v>0.13616291978847173</v>
      </c>
      <c r="J835" s="93">
        <v>0.25567724383195012</v>
      </c>
    </row>
    <row r="836" spans="1:10" x14ac:dyDescent="0.3">
      <c r="A836" s="92">
        <v>44562</v>
      </c>
      <c r="B836" s="60">
        <v>0</v>
      </c>
      <c r="C836" s="60">
        <v>0</v>
      </c>
      <c r="D836" s="60">
        <v>86101.721719999987</v>
      </c>
      <c r="E836" s="60">
        <v>118134.16832024207</v>
      </c>
      <c r="F836" s="60">
        <v>83824.225939999989</v>
      </c>
      <c r="G836" s="60">
        <v>95237.977292998941</v>
      </c>
      <c r="H836" s="93">
        <v>0.37203026792438099</v>
      </c>
      <c r="I836" s="93">
        <v>0.13616291978847173</v>
      </c>
      <c r="J836" s="93">
        <v>0.25567724383195034</v>
      </c>
    </row>
    <row r="837" spans="1:10" x14ac:dyDescent="0.3">
      <c r="A837" s="92">
        <v>44593</v>
      </c>
      <c r="B837" s="60">
        <v>0</v>
      </c>
      <c r="C837" s="60">
        <v>0</v>
      </c>
      <c r="D837" s="60">
        <v>75157.92233999999</v>
      </c>
      <c r="E837" s="60">
        <v>103118.94432479001</v>
      </c>
      <c r="F837" s="60">
        <v>73169.903429999991</v>
      </c>
      <c r="G837" s="60">
        <v>83132.931121669302</v>
      </c>
      <c r="H837" s="93">
        <v>0.37203026792438099</v>
      </c>
      <c r="I837" s="93">
        <v>0.13616291978847173</v>
      </c>
      <c r="J837" s="93">
        <v>0.25567724383195012</v>
      </c>
    </row>
    <row r="838" spans="1:10" x14ac:dyDescent="0.3">
      <c r="A838" s="92">
        <v>44621</v>
      </c>
      <c r="B838" s="60">
        <v>0</v>
      </c>
      <c r="C838" s="60">
        <v>0</v>
      </c>
      <c r="D838" s="60">
        <v>78021.443699999989</v>
      </c>
      <c r="E838" s="60">
        <v>107047.78230355796</v>
      </c>
      <c r="F838" s="60">
        <v>75957.681149999989</v>
      </c>
      <c r="G838" s="60">
        <v>86300.30079574573</v>
      </c>
      <c r="H838" s="93">
        <v>0.37203026792438054</v>
      </c>
      <c r="I838" s="93">
        <v>0.1361629197884715</v>
      </c>
      <c r="J838" s="93">
        <v>0.25567724383195012</v>
      </c>
    </row>
    <row r="839" spans="1:10" x14ac:dyDescent="0.3">
      <c r="A839" s="92">
        <v>44652</v>
      </c>
      <c r="B839" s="60">
        <v>0</v>
      </c>
      <c r="C839" s="60">
        <v>0</v>
      </c>
      <c r="D839" s="60">
        <v>75302.736820000006</v>
      </c>
      <c r="E839" s="60">
        <v>103317.63417458373</v>
      </c>
      <c r="F839" s="60">
        <v>73310.887390000004</v>
      </c>
      <c r="G839" s="60">
        <v>83293.11186930626</v>
      </c>
      <c r="H839" s="93">
        <v>0.37203026792438054</v>
      </c>
      <c r="I839" s="93">
        <v>0.13616291978847173</v>
      </c>
      <c r="J839" s="93">
        <v>0.25567724383195012</v>
      </c>
    </row>
    <row r="840" spans="1:10" x14ac:dyDescent="0.3">
      <c r="A840" s="92">
        <v>44682</v>
      </c>
      <c r="B840" s="60">
        <v>0</v>
      </c>
      <c r="C840" s="60">
        <v>0</v>
      </c>
      <c r="D840" s="60">
        <v>80288.00172</v>
      </c>
      <c r="E840" s="60">
        <v>110157.56851100473</v>
      </c>
      <c r="F840" s="60">
        <v>78164.285939999987</v>
      </c>
      <c r="G840" s="60">
        <v>88807.363336771377</v>
      </c>
      <c r="H840" s="93">
        <v>0.37203026792438054</v>
      </c>
      <c r="I840" s="93">
        <v>0.13616291978847173</v>
      </c>
      <c r="J840" s="93">
        <v>0.25567724383195034</v>
      </c>
    </row>
    <row r="841" spans="1:10" x14ac:dyDescent="0.3">
      <c r="A841" s="92">
        <v>44713</v>
      </c>
      <c r="B841" s="60">
        <v>0</v>
      </c>
      <c r="C841" s="60">
        <v>0</v>
      </c>
      <c r="D841" s="60">
        <v>85365.229099999997</v>
      </c>
      <c r="E841" s="60">
        <v>117123.67815349913</v>
      </c>
      <c r="F841" s="60">
        <v>83107.214449999999</v>
      </c>
      <c r="G841" s="60">
        <v>94423.335424998659</v>
      </c>
      <c r="H841" s="93">
        <v>0.37203026792438054</v>
      </c>
      <c r="I841" s="93">
        <v>0.13616291978847173</v>
      </c>
      <c r="J841" s="93">
        <v>0.25567724383195012</v>
      </c>
    </row>
    <row r="842" spans="1:10" x14ac:dyDescent="0.3">
      <c r="A842" s="92">
        <v>44743</v>
      </c>
      <c r="B842" s="60">
        <v>0</v>
      </c>
      <c r="C842" s="60">
        <v>0</v>
      </c>
      <c r="D842" s="60">
        <v>89342.606360000005</v>
      </c>
      <c r="E842" s="60">
        <v>122580.76014117328</v>
      </c>
      <c r="F842" s="60">
        <v>86979.385219999996</v>
      </c>
      <c r="G842" s="60">
        <v>98822.752272961428</v>
      </c>
      <c r="H842" s="93">
        <v>0.37203026792438054</v>
      </c>
      <c r="I842" s="93">
        <v>0.1361629197884715</v>
      </c>
      <c r="J842" s="93">
        <v>0.2556772438319499</v>
      </c>
    </row>
    <row r="843" spans="1:10" x14ac:dyDescent="0.3">
      <c r="A843" s="92">
        <v>44774</v>
      </c>
      <c r="B843" s="60">
        <v>0</v>
      </c>
      <c r="C843" s="60">
        <v>0</v>
      </c>
      <c r="D843" s="60">
        <v>90669.984339999995</v>
      </c>
      <c r="E843" s="60">
        <v>124401.96290670958</v>
      </c>
      <c r="F843" s="60">
        <v>88271.652430000002</v>
      </c>
      <c r="G843" s="60">
        <v>100290.97835942192</v>
      </c>
      <c r="H843" s="93">
        <v>0.37203026792438054</v>
      </c>
      <c r="I843" s="93">
        <v>0.1361629197884715</v>
      </c>
      <c r="J843" s="93">
        <v>0.25567724383195012</v>
      </c>
    </row>
    <row r="844" spans="1:10" x14ac:dyDescent="0.3">
      <c r="A844" s="92">
        <v>44805</v>
      </c>
      <c r="B844" s="60">
        <v>0</v>
      </c>
      <c r="C844" s="60">
        <v>0</v>
      </c>
      <c r="D844" s="60">
        <v>89113.757199999993</v>
      </c>
      <c r="E844" s="60">
        <v>122266.7721668642</v>
      </c>
      <c r="F844" s="60">
        <v>86756.589399999983</v>
      </c>
      <c r="G844" s="60">
        <v>98569.619923593564</v>
      </c>
      <c r="H844" s="93">
        <v>0.37203026792438076</v>
      </c>
      <c r="I844" s="93">
        <v>0.13616291978847173</v>
      </c>
      <c r="J844" s="93">
        <v>0.25567724383195012</v>
      </c>
    </row>
    <row r="845" spans="1:10" x14ac:dyDescent="0.3">
      <c r="A845" s="92">
        <v>44835</v>
      </c>
      <c r="B845" s="60">
        <v>0</v>
      </c>
      <c r="C845" s="60">
        <v>0</v>
      </c>
      <c r="D845" s="60">
        <v>89113.757199999993</v>
      </c>
      <c r="E845" s="60">
        <v>122266.7721668642</v>
      </c>
      <c r="F845" s="60">
        <v>86756.589399999983</v>
      </c>
      <c r="G845" s="60">
        <v>98569.619923593564</v>
      </c>
      <c r="H845" s="93">
        <v>0.37203026792438076</v>
      </c>
      <c r="I845" s="93">
        <v>0.13616291978847173</v>
      </c>
      <c r="J845" s="93">
        <v>0.25567724383195012</v>
      </c>
    </row>
    <row r="846" spans="1:10" x14ac:dyDescent="0.3">
      <c r="A846" s="84" t="s">
        <v>37</v>
      </c>
      <c r="B846" s="60">
        <v>0</v>
      </c>
      <c r="C846" s="60">
        <v>0</v>
      </c>
      <c r="D846" s="60">
        <v>14446154.030672396</v>
      </c>
      <c r="E846" s="60">
        <v>18557420.090126276</v>
      </c>
      <c r="F846" s="60">
        <v>14076372.842617804</v>
      </c>
      <c r="G846" s="60">
        <v>14985765.673220752</v>
      </c>
      <c r="H846" s="93">
        <v>0.28459242859550993</v>
      </c>
      <c r="I846" s="93">
        <v>6.4604201719469678E-2</v>
      </c>
      <c r="J846" s="93">
        <v>0.17602433726720035</v>
      </c>
    </row>
    <row r="847" spans="1:10" x14ac:dyDescent="0.3">
      <c r="A847" s="85" t="s">
        <v>33</v>
      </c>
      <c r="B847" s="60">
        <v>0</v>
      </c>
      <c r="C847" s="60">
        <v>0</v>
      </c>
      <c r="D847" s="60">
        <v>136628.93480640004</v>
      </c>
      <c r="E847" s="60">
        <v>177773.43923339128</v>
      </c>
      <c r="F847" s="60">
        <v>145194.83053859998</v>
      </c>
      <c r="G847" s="60">
        <v>154762.15484200552</v>
      </c>
      <c r="H847" s="93">
        <v>0.3011404903748387</v>
      </c>
      <c r="I847" s="93">
        <v>6.5893009192653285E-2</v>
      </c>
      <c r="J847" s="93">
        <v>0.17994163362453475</v>
      </c>
    </row>
    <row r="848" spans="1:10" x14ac:dyDescent="0.3">
      <c r="A848" s="86" t="s">
        <v>26</v>
      </c>
      <c r="B848" s="60">
        <v>0</v>
      </c>
      <c r="C848" s="60">
        <v>0</v>
      </c>
      <c r="D848" s="60">
        <v>136628.93480640004</v>
      </c>
      <c r="E848" s="60">
        <v>177773.43923339128</v>
      </c>
      <c r="F848" s="60">
        <v>145194.83053859998</v>
      </c>
      <c r="G848" s="60">
        <v>154762.15484200552</v>
      </c>
      <c r="H848" s="93">
        <v>0.3011404903748387</v>
      </c>
      <c r="I848" s="93">
        <v>6.5893009192653285E-2</v>
      </c>
      <c r="J848" s="93">
        <v>0.17994163362453475</v>
      </c>
    </row>
    <row r="849" spans="1:10" x14ac:dyDescent="0.3">
      <c r="A849" s="87" t="s">
        <v>42</v>
      </c>
      <c r="B849" s="60">
        <v>0</v>
      </c>
      <c r="C849" s="60">
        <v>0</v>
      </c>
      <c r="D849" s="60">
        <v>113199.59761</v>
      </c>
      <c r="E849" s="60">
        <v>147117.81935114862</v>
      </c>
      <c r="F849" s="60">
        <v>119400.84389999999</v>
      </c>
      <c r="G849" s="60">
        <v>126903.93884772586</v>
      </c>
      <c r="H849" s="93">
        <v>0.29963199920555428</v>
      </c>
      <c r="I849" s="93">
        <v>6.2839547047170541E-2</v>
      </c>
      <c r="J849" s="93">
        <v>0.17807926941141972</v>
      </c>
    </row>
    <row r="850" spans="1:10" x14ac:dyDescent="0.3">
      <c r="A850" s="88" t="s">
        <v>25</v>
      </c>
      <c r="B850" s="60">
        <v>0</v>
      </c>
      <c r="C850" s="60">
        <v>0</v>
      </c>
      <c r="D850" s="60">
        <v>113199.59761</v>
      </c>
      <c r="E850" s="60">
        <v>147117.81935114862</v>
      </c>
      <c r="F850" s="60">
        <v>119400.84389999999</v>
      </c>
      <c r="G850" s="60">
        <v>126903.93884772586</v>
      </c>
      <c r="H850" s="93">
        <v>0.29963199920555428</v>
      </c>
      <c r="I850" s="93">
        <v>6.2839547047170541E-2</v>
      </c>
      <c r="J850" s="93">
        <v>0.17807926941141972</v>
      </c>
    </row>
    <row r="851" spans="1:10" x14ac:dyDescent="0.3">
      <c r="A851" s="89" t="s">
        <v>25</v>
      </c>
      <c r="B851" s="60">
        <v>0</v>
      </c>
      <c r="C851" s="60">
        <v>0</v>
      </c>
      <c r="D851" s="60">
        <v>113199.59761</v>
      </c>
      <c r="E851" s="60">
        <v>147117.81935114862</v>
      </c>
      <c r="F851" s="60">
        <v>119400.84389999999</v>
      </c>
      <c r="G851" s="60">
        <v>126903.93884772586</v>
      </c>
      <c r="H851" s="93">
        <v>0.29963199920555428</v>
      </c>
      <c r="I851" s="93">
        <v>6.2839547047170541E-2</v>
      </c>
      <c r="J851" s="93">
        <v>0.17807926941141972</v>
      </c>
    </row>
    <row r="852" spans="1:10" x14ac:dyDescent="0.3">
      <c r="A852" s="90" t="s">
        <v>25</v>
      </c>
      <c r="B852" s="60">
        <v>0</v>
      </c>
      <c r="C852" s="60">
        <v>0</v>
      </c>
      <c r="D852" s="60">
        <v>113199.59761</v>
      </c>
      <c r="E852" s="60">
        <v>147117.81935114862</v>
      </c>
      <c r="F852" s="60">
        <v>119400.84389999999</v>
      </c>
      <c r="G852" s="60">
        <v>126903.93884772586</v>
      </c>
      <c r="H852" s="93">
        <v>0.29963199920555428</v>
      </c>
      <c r="I852" s="93">
        <v>6.2839547047170541E-2</v>
      </c>
      <c r="J852" s="93">
        <v>0.17807926941141972</v>
      </c>
    </row>
    <row r="853" spans="1:10" x14ac:dyDescent="0.3">
      <c r="A853" s="91" t="s">
        <v>35</v>
      </c>
      <c r="B853" s="60">
        <v>0</v>
      </c>
      <c r="C853" s="60">
        <v>0</v>
      </c>
      <c r="D853" s="60">
        <v>87959.760880000002</v>
      </c>
      <c r="E853" s="60">
        <v>116550.20974654755</v>
      </c>
      <c r="F853" s="60">
        <v>104719.72728000001</v>
      </c>
      <c r="G853" s="60">
        <v>111184.56860586675</v>
      </c>
      <c r="H853" s="93">
        <v>0.32504009311203474</v>
      </c>
      <c r="I853" s="93">
        <v>6.1734703611106667E-2</v>
      </c>
      <c r="J853" s="93">
        <v>0.18193576559277802</v>
      </c>
    </row>
    <row r="854" spans="1:10" x14ac:dyDescent="0.3">
      <c r="A854" s="92">
        <v>44501</v>
      </c>
      <c r="B854" s="60">
        <v>0</v>
      </c>
      <c r="C854" s="60">
        <v>0</v>
      </c>
      <c r="D854" s="60">
        <v>7256.4040699999996</v>
      </c>
      <c r="E854" s="60">
        <v>9615.0263245713486</v>
      </c>
      <c r="F854" s="60">
        <v>8639.0486700000001</v>
      </c>
      <c r="G854" s="60">
        <v>9172.3777791243774</v>
      </c>
      <c r="H854" s="93">
        <v>0.32504009311203497</v>
      </c>
      <c r="I854" s="93">
        <v>6.1734703611106889E-2</v>
      </c>
      <c r="J854" s="93">
        <v>0.18193576559277846</v>
      </c>
    </row>
    <row r="855" spans="1:10" x14ac:dyDescent="0.3">
      <c r="A855" s="92">
        <v>44531</v>
      </c>
      <c r="B855" s="60">
        <v>0</v>
      </c>
      <c r="C855" s="60">
        <v>0</v>
      </c>
      <c r="D855" s="60">
        <v>7095.83205</v>
      </c>
      <c r="E855" s="60">
        <v>9402.2619602393625</v>
      </c>
      <c r="F855" s="60">
        <v>8447.88105</v>
      </c>
      <c r="G855" s="60">
        <v>8969.4084827636361</v>
      </c>
      <c r="H855" s="93">
        <v>0.32504009311203497</v>
      </c>
      <c r="I855" s="93">
        <v>6.1734703611106889E-2</v>
      </c>
      <c r="J855" s="93">
        <v>0.18193576559277846</v>
      </c>
    </row>
    <row r="856" spans="1:10" x14ac:dyDescent="0.3">
      <c r="A856" s="92">
        <v>44562</v>
      </c>
      <c r="B856" s="60">
        <v>0</v>
      </c>
      <c r="C856" s="60">
        <v>0</v>
      </c>
      <c r="D856" s="60">
        <v>7573.5689199999997</v>
      </c>
      <c r="E856" s="60">
        <v>10035.282466947214</v>
      </c>
      <c r="F856" s="60">
        <v>9016.6465200000002</v>
      </c>
      <c r="G856" s="60">
        <v>9573.2865204783193</v>
      </c>
      <c r="H856" s="93">
        <v>0.32504009311203497</v>
      </c>
      <c r="I856" s="93">
        <v>6.1734703611106889E-2</v>
      </c>
      <c r="J856" s="93">
        <v>0.18193576559277846</v>
      </c>
    </row>
    <row r="857" spans="1:10" x14ac:dyDescent="0.3">
      <c r="A857" s="92">
        <v>44593</v>
      </c>
      <c r="B857" s="60">
        <v>0</v>
      </c>
      <c r="C857" s="60">
        <v>0</v>
      </c>
      <c r="D857" s="60">
        <v>6991.2027600000001</v>
      </c>
      <c r="E857" s="60">
        <v>9263.6239560755148</v>
      </c>
      <c r="F857" s="60">
        <v>8323.3155600000009</v>
      </c>
      <c r="G857" s="60">
        <v>8837.1529791583143</v>
      </c>
      <c r="H857" s="93">
        <v>0.32504009311203474</v>
      </c>
      <c r="I857" s="93">
        <v>6.1734703611106889E-2</v>
      </c>
      <c r="J857" s="93">
        <v>0.18193576559277824</v>
      </c>
    </row>
    <row r="858" spans="1:10" x14ac:dyDescent="0.3">
      <c r="A858" s="92">
        <v>44621</v>
      </c>
      <c r="B858" s="60">
        <v>0</v>
      </c>
      <c r="C858" s="60">
        <v>0</v>
      </c>
      <c r="D858" s="60">
        <v>7310.2401700000009</v>
      </c>
      <c r="E858" s="60">
        <v>9686.3613155281382</v>
      </c>
      <c r="F858" s="60">
        <v>8703.1427700000004</v>
      </c>
      <c r="G858" s="60">
        <v>9240.4287093910989</v>
      </c>
      <c r="H858" s="93">
        <v>0.32504009311203474</v>
      </c>
      <c r="I858" s="93">
        <v>6.1734703611106889E-2</v>
      </c>
      <c r="J858" s="93">
        <v>0.18193576559277846</v>
      </c>
    </row>
    <row r="859" spans="1:10" x14ac:dyDescent="0.3">
      <c r="A859" s="92">
        <v>44652</v>
      </c>
      <c r="B859" s="60">
        <v>0</v>
      </c>
      <c r="C859" s="60">
        <v>0</v>
      </c>
      <c r="D859" s="60">
        <v>8647.2480099999993</v>
      </c>
      <c r="E859" s="60">
        <v>11457.950308333258</v>
      </c>
      <c r="F859" s="60">
        <v>10294.90581</v>
      </c>
      <c r="G859" s="60">
        <v>10930.458768884611</v>
      </c>
      <c r="H859" s="93">
        <v>0.32504009311203497</v>
      </c>
      <c r="I859" s="93">
        <v>6.1734703611106667E-2</v>
      </c>
      <c r="J859" s="93">
        <v>0.18193576559277824</v>
      </c>
    </row>
    <row r="860" spans="1:10" x14ac:dyDescent="0.3">
      <c r="A860" s="92">
        <v>44682</v>
      </c>
      <c r="B860" s="60">
        <v>0</v>
      </c>
      <c r="C860" s="60">
        <v>0</v>
      </c>
      <c r="D860" s="60">
        <v>7601.4232499999989</v>
      </c>
      <c r="E860" s="60">
        <v>10072.190570963989</v>
      </c>
      <c r="F860" s="60">
        <v>9049.80825</v>
      </c>
      <c r="G860" s="60">
        <v>9608.4954800511005</v>
      </c>
      <c r="H860" s="93">
        <v>0.32504009311203541</v>
      </c>
      <c r="I860" s="93">
        <v>6.1734703611106889E-2</v>
      </c>
      <c r="J860" s="93">
        <v>0.18193576559277846</v>
      </c>
    </row>
    <row r="861" spans="1:10" x14ac:dyDescent="0.3">
      <c r="A861" s="92">
        <v>44713</v>
      </c>
      <c r="B861" s="60">
        <v>0</v>
      </c>
      <c r="C861" s="60">
        <v>0</v>
      </c>
      <c r="D861" s="60">
        <v>7134.9217399999998</v>
      </c>
      <c r="E861" s="60">
        <v>9454.0573667166846</v>
      </c>
      <c r="F861" s="60">
        <v>8494.4189400000014</v>
      </c>
      <c r="G861" s="60">
        <v>9018.8193756094734</v>
      </c>
      <c r="H861" s="93">
        <v>0.32504009311203519</v>
      </c>
      <c r="I861" s="93">
        <v>6.1734703611106889E-2</v>
      </c>
      <c r="J861" s="93">
        <v>0.18193576559277846</v>
      </c>
    </row>
    <row r="862" spans="1:10" x14ac:dyDescent="0.3">
      <c r="A862" s="92">
        <v>44743</v>
      </c>
      <c r="B862" s="60">
        <v>0</v>
      </c>
      <c r="C862" s="60">
        <v>0</v>
      </c>
      <c r="D862" s="60">
        <v>7696.2216000000008</v>
      </c>
      <c r="E862" s="60">
        <v>10197.802185474857</v>
      </c>
      <c r="F862" s="60">
        <v>9162.6696000000011</v>
      </c>
      <c r="G862" s="60">
        <v>9728.3242920425</v>
      </c>
      <c r="H862" s="93">
        <v>0.32504009311203519</v>
      </c>
      <c r="I862" s="93">
        <v>6.1734703611106889E-2</v>
      </c>
      <c r="J862" s="93">
        <v>0.18193576559277824</v>
      </c>
    </row>
    <row r="863" spans="1:10" x14ac:dyDescent="0.3">
      <c r="A863" s="92">
        <v>44774</v>
      </c>
      <c r="B863" s="60">
        <v>0</v>
      </c>
      <c r="C863" s="60">
        <v>0</v>
      </c>
      <c r="D863" s="60">
        <v>7349.5639299999993</v>
      </c>
      <c r="E863" s="60">
        <v>9738.4668741400528</v>
      </c>
      <c r="F863" s="60">
        <v>8749.9593300000015</v>
      </c>
      <c r="G863" s="60">
        <v>9290.1354758467896</v>
      </c>
      <c r="H863" s="93">
        <v>0.32504009311203497</v>
      </c>
      <c r="I863" s="93">
        <v>6.1734703611106667E-2</v>
      </c>
      <c r="J863" s="93">
        <v>0.18193576559277824</v>
      </c>
    </row>
    <row r="864" spans="1:10" x14ac:dyDescent="0.3">
      <c r="A864" s="92">
        <v>44805</v>
      </c>
      <c r="B864" s="60">
        <v>0</v>
      </c>
      <c r="C864" s="60">
        <v>0</v>
      </c>
      <c r="D864" s="60">
        <v>6651.5671899999988</v>
      </c>
      <c r="E864" s="60">
        <v>8813.5932087785568</v>
      </c>
      <c r="F864" s="60">
        <v>7918.9653900000003</v>
      </c>
      <c r="G864" s="60">
        <v>8407.840371258264</v>
      </c>
      <c r="H864" s="93">
        <v>0.32504009311203519</v>
      </c>
      <c r="I864" s="93">
        <v>6.1734703611106889E-2</v>
      </c>
      <c r="J864" s="93">
        <v>0.18193576559277846</v>
      </c>
    </row>
    <row r="865" spans="1:10" x14ac:dyDescent="0.3">
      <c r="A865" s="92">
        <v>44835</v>
      </c>
      <c r="B865" s="60">
        <v>0</v>
      </c>
      <c r="C865" s="60">
        <v>0</v>
      </c>
      <c r="D865" s="60">
        <v>6651.5671899999988</v>
      </c>
      <c r="E865" s="60">
        <v>8813.5932087785568</v>
      </c>
      <c r="F865" s="60">
        <v>7918.9653900000003</v>
      </c>
      <c r="G865" s="60">
        <v>8407.840371258264</v>
      </c>
      <c r="H865" s="93">
        <v>0.32504009311203519</v>
      </c>
      <c r="I865" s="93">
        <v>6.1734703611106889E-2</v>
      </c>
      <c r="J865" s="93">
        <v>0.18193576559277846</v>
      </c>
    </row>
    <row r="866" spans="1:10" x14ac:dyDescent="0.3">
      <c r="A866" s="91" t="s">
        <v>36</v>
      </c>
      <c r="B866" s="60">
        <v>0</v>
      </c>
      <c r="C866" s="60">
        <v>0</v>
      </c>
      <c r="D866" s="60">
        <v>10479.81648</v>
      </c>
      <c r="E866" s="60">
        <v>12876.6283668205</v>
      </c>
      <c r="F866" s="60">
        <v>5945.7031200000001</v>
      </c>
      <c r="G866" s="60">
        <v>6312.7593398728341</v>
      </c>
      <c r="H866" s="93">
        <v>0.22870742931373322</v>
      </c>
      <c r="I866" s="93">
        <v>6.1734703611106889E-2</v>
      </c>
      <c r="J866" s="93">
        <v>0.16826670778155051</v>
      </c>
    </row>
    <row r="867" spans="1:10" x14ac:dyDescent="0.3">
      <c r="A867" s="92">
        <v>44501</v>
      </c>
      <c r="B867" s="60">
        <v>0</v>
      </c>
      <c r="C867" s="60">
        <v>0</v>
      </c>
      <c r="D867" s="60">
        <v>866.44152000000008</v>
      </c>
      <c r="E867" s="60">
        <v>1064.603132689884</v>
      </c>
      <c r="F867" s="60">
        <v>491.57388000000009</v>
      </c>
      <c r="G867" s="60">
        <v>521.92104778476187</v>
      </c>
      <c r="H867" s="93">
        <v>0.22870742931373367</v>
      </c>
      <c r="I867" s="93">
        <v>6.1734703611106889E-2</v>
      </c>
      <c r="J867" s="93">
        <v>0.16826670778155073</v>
      </c>
    </row>
    <row r="868" spans="1:10" x14ac:dyDescent="0.3">
      <c r="A868" s="92">
        <v>44531</v>
      </c>
      <c r="B868" s="60">
        <v>0</v>
      </c>
      <c r="C868" s="60">
        <v>0</v>
      </c>
      <c r="D868" s="60">
        <v>894.92995999999994</v>
      </c>
      <c r="E868" s="60">
        <v>1099.6070905674426</v>
      </c>
      <c r="F868" s="60">
        <v>507.73674</v>
      </c>
      <c r="G868" s="60">
        <v>539.08171715636968</v>
      </c>
      <c r="H868" s="93">
        <v>0.22870742931373389</v>
      </c>
      <c r="I868" s="93">
        <v>6.1734703611106889E-2</v>
      </c>
      <c r="J868" s="93">
        <v>0.16826670778155095</v>
      </c>
    </row>
    <row r="869" spans="1:10" x14ac:dyDescent="0.3">
      <c r="A869" s="92">
        <v>44562</v>
      </c>
      <c r="B869" s="60">
        <v>0</v>
      </c>
      <c r="C869" s="60">
        <v>0</v>
      </c>
      <c r="D869" s="60">
        <v>910.64771999999994</v>
      </c>
      <c r="E869" s="60">
        <v>1118.9196190516127</v>
      </c>
      <c r="F869" s="60">
        <v>516.65418</v>
      </c>
      <c r="G869" s="60">
        <v>548.54967267173947</v>
      </c>
      <c r="H869" s="93">
        <v>0.22870742931373367</v>
      </c>
      <c r="I869" s="93">
        <v>6.1734703611106889E-2</v>
      </c>
      <c r="J869" s="93">
        <v>0.16826670778155073</v>
      </c>
    </row>
    <row r="870" spans="1:10" x14ac:dyDescent="0.3">
      <c r="A870" s="92">
        <v>44593</v>
      </c>
      <c r="B870" s="60">
        <v>0</v>
      </c>
      <c r="C870" s="60">
        <v>0</v>
      </c>
      <c r="D870" s="60">
        <v>966.64224000000002</v>
      </c>
      <c r="E870" s="60">
        <v>1187.7205017764691</v>
      </c>
      <c r="F870" s="60">
        <v>548.42255999999998</v>
      </c>
      <c r="G870" s="60">
        <v>582.27926419524454</v>
      </c>
      <c r="H870" s="93">
        <v>0.22870742931373345</v>
      </c>
      <c r="I870" s="93">
        <v>6.1734703611107111E-2</v>
      </c>
      <c r="J870" s="93">
        <v>0.16826670778155073</v>
      </c>
    </row>
    <row r="871" spans="1:10" x14ac:dyDescent="0.3">
      <c r="A871" s="92">
        <v>44621</v>
      </c>
      <c r="B871" s="60">
        <v>0</v>
      </c>
      <c r="C871" s="60">
        <v>0</v>
      </c>
      <c r="D871" s="60">
        <v>929.31255999999996</v>
      </c>
      <c r="E871" s="60">
        <v>1141.8532466265649</v>
      </c>
      <c r="F871" s="60">
        <v>527.24364000000003</v>
      </c>
      <c r="G871" s="60">
        <v>559.79286984624116</v>
      </c>
      <c r="H871" s="93">
        <v>0.22870742931373367</v>
      </c>
      <c r="I871" s="93">
        <v>6.1734703611106889E-2</v>
      </c>
      <c r="J871" s="93">
        <v>0.16826670778155095</v>
      </c>
    </row>
    <row r="872" spans="1:10" x14ac:dyDescent="0.3">
      <c r="A872" s="92">
        <v>44652</v>
      </c>
      <c r="B872" s="60">
        <v>0</v>
      </c>
      <c r="C872" s="60">
        <v>0</v>
      </c>
      <c r="D872" s="60">
        <v>940.60969999999998</v>
      </c>
      <c r="E872" s="60">
        <v>1155.7341264745623</v>
      </c>
      <c r="F872" s="60">
        <v>533.65305000000001</v>
      </c>
      <c r="G872" s="60">
        <v>566.59796287291329</v>
      </c>
      <c r="H872" s="93">
        <v>0.22870742931373389</v>
      </c>
      <c r="I872" s="93">
        <v>6.1734703611107111E-2</v>
      </c>
      <c r="J872" s="93">
        <v>0.16826670778155095</v>
      </c>
    </row>
    <row r="873" spans="1:10" x14ac:dyDescent="0.3">
      <c r="A873" s="92">
        <v>44682</v>
      </c>
      <c r="B873" s="60">
        <v>0</v>
      </c>
      <c r="C873" s="60">
        <v>0</v>
      </c>
      <c r="D873" s="60">
        <v>939.13616000000002</v>
      </c>
      <c r="E873" s="60">
        <v>1153.9235769291713</v>
      </c>
      <c r="F873" s="60">
        <v>532.81704000000002</v>
      </c>
      <c r="G873" s="60">
        <v>565.71034204334728</v>
      </c>
      <c r="H873" s="93">
        <v>0.22870742931373367</v>
      </c>
      <c r="I873" s="93">
        <v>6.1734703611106889E-2</v>
      </c>
      <c r="J873" s="93">
        <v>0.16826670778155095</v>
      </c>
    </row>
    <row r="874" spans="1:10" x14ac:dyDescent="0.3">
      <c r="A874" s="92">
        <v>44713</v>
      </c>
      <c r="B874" s="60">
        <v>0</v>
      </c>
      <c r="C874" s="60">
        <v>0</v>
      </c>
      <c r="D874" s="60">
        <v>601.69550000000004</v>
      </c>
      <c r="E874" s="60">
        <v>739.30773103464162</v>
      </c>
      <c r="F874" s="60">
        <v>341.37075000000004</v>
      </c>
      <c r="G874" s="60">
        <v>362.44517207275135</v>
      </c>
      <c r="H874" s="93">
        <v>0.22870742931373367</v>
      </c>
      <c r="I874" s="93">
        <v>6.1734703611106889E-2</v>
      </c>
      <c r="J874" s="93">
        <v>0.16826670778155073</v>
      </c>
    </row>
    <row r="875" spans="1:10" x14ac:dyDescent="0.3">
      <c r="A875" s="92">
        <v>44743</v>
      </c>
      <c r="B875" s="60">
        <v>0</v>
      </c>
      <c r="C875" s="60">
        <v>0</v>
      </c>
      <c r="D875" s="60">
        <v>994.14832000000001</v>
      </c>
      <c r="E875" s="60">
        <v>1221.5174266237671</v>
      </c>
      <c r="F875" s="60">
        <v>564.02808000000005</v>
      </c>
      <c r="G875" s="60">
        <v>598.84818634714168</v>
      </c>
      <c r="H875" s="93">
        <v>0.22870742931373367</v>
      </c>
      <c r="I875" s="93">
        <v>6.1734703611106889E-2</v>
      </c>
      <c r="J875" s="93">
        <v>0.16826670778155073</v>
      </c>
    </row>
    <row r="876" spans="1:10" x14ac:dyDescent="0.3">
      <c r="A876" s="92">
        <v>44774</v>
      </c>
      <c r="B876" s="60">
        <v>0</v>
      </c>
      <c r="C876" s="60">
        <v>0</v>
      </c>
      <c r="D876" s="60">
        <v>799.64103999999998</v>
      </c>
      <c r="E876" s="60">
        <v>982.52488663216047</v>
      </c>
      <c r="F876" s="60">
        <v>453.67475999999999</v>
      </c>
      <c r="G876" s="60">
        <v>481.68223684444001</v>
      </c>
      <c r="H876" s="93">
        <v>0.22870742931373367</v>
      </c>
      <c r="I876" s="93">
        <v>6.1734703611106889E-2</v>
      </c>
      <c r="J876" s="93">
        <v>0.16826670778155073</v>
      </c>
    </row>
    <row r="877" spans="1:10" x14ac:dyDescent="0.3">
      <c r="A877" s="92">
        <v>44805</v>
      </c>
      <c r="B877" s="60">
        <v>0</v>
      </c>
      <c r="C877" s="60">
        <v>0</v>
      </c>
      <c r="D877" s="60">
        <v>818.30588</v>
      </c>
      <c r="E877" s="60">
        <v>1005.4585142071126</v>
      </c>
      <c r="F877" s="60">
        <v>464.26422000000002</v>
      </c>
      <c r="G877" s="60">
        <v>492.9254340189417</v>
      </c>
      <c r="H877" s="93">
        <v>0.22870742931373367</v>
      </c>
      <c r="I877" s="93">
        <v>6.1734703611106889E-2</v>
      </c>
      <c r="J877" s="93">
        <v>0.16826670778155073</v>
      </c>
    </row>
    <row r="878" spans="1:10" x14ac:dyDescent="0.3">
      <c r="A878" s="92">
        <v>44835</v>
      </c>
      <c r="B878" s="60">
        <v>0</v>
      </c>
      <c r="C878" s="60">
        <v>0</v>
      </c>
      <c r="D878" s="60">
        <v>818.30588</v>
      </c>
      <c r="E878" s="60">
        <v>1005.4585142071126</v>
      </c>
      <c r="F878" s="60">
        <v>464.26422000000002</v>
      </c>
      <c r="G878" s="60">
        <v>492.9254340189417</v>
      </c>
      <c r="H878" s="93">
        <v>0.22870742931373367</v>
      </c>
      <c r="I878" s="93">
        <v>6.1734703611106889E-2</v>
      </c>
      <c r="J878" s="93">
        <v>0.16826670778155073</v>
      </c>
    </row>
    <row r="879" spans="1:10" x14ac:dyDescent="0.3">
      <c r="A879" s="91" t="s">
        <v>34</v>
      </c>
      <c r="B879" s="60">
        <v>0</v>
      </c>
      <c r="C879" s="60">
        <v>0</v>
      </c>
      <c r="D879" s="60">
        <v>14760.020249999998</v>
      </c>
      <c r="E879" s="60">
        <v>17690.981237780561</v>
      </c>
      <c r="F879" s="60">
        <v>8735.4135000000006</v>
      </c>
      <c r="G879" s="60">
        <v>9406.6109019863015</v>
      </c>
      <c r="H879" s="93">
        <v>0.19857432023377908</v>
      </c>
      <c r="I879" s="93">
        <v>7.6836362925040591E-2</v>
      </c>
      <c r="J879" s="93">
        <v>0.15331312577989187</v>
      </c>
    </row>
    <row r="880" spans="1:10" x14ac:dyDescent="0.3">
      <c r="A880" s="92">
        <v>44501</v>
      </c>
      <c r="B880" s="60">
        <v>0</v>
      </c>
      <c r="C880" s="60">
        <v>0</v>
      </c>
      <c r="D880" s="60">
        <v>1391.0711100000001</v>
      </c>
      <c r="E880" s="60">
        <v>1667.3021100650983</v>
      </c>
      <c r="F880" s="60">
        <v>823.27674000000002</v>
      </c>
      <c r="G880" s="60">
        <v>886.53433038238484</v>
      </c>
      <c r="H880" s="93">
        <v>0.19857432023377886</v>
      </c>
      <c r="I880" s="93">
        <v>7.6836362925041257E-2</v>
      </c>
      <c r="J880" s="93">
        <v>0.15331312577989187</v>
      </c>
    </row>
    <row r="881" spans="1:10" x14ac:dyDescent="0.3">
      <c r="A881" s="92">
        <v>44531</v>
      </c>
      <c r="B881" s="60">
        <v>0</v>
      </c>
      <c r="C881" s="60">
        <v>0</v>
      </c>
      <c r="D881" s="60">
        <v>1150.1217299999998</v>
      </c>
      <c r="E881" s="60">
        <v>1378.5063707208476</v>
      </c>
      <c r="F881" s="60">
        <v>680.67581999999993</v>
      </c>
      <c r="G881" s="60">
        <v>732.9764743398199</v>
      </c>
      <c r="H881" s="93">
        <v>0.19857432023377886</v>
      </c>
      <c r="I881" s="93">
        <v>7.6836362925041035E-2</v>
      </c>
      <c r="J881" s="93">
        <v>0.15331312577989165</v>
      </c>
    </row>
    <row r="882" spans="1:10" x14ac:dyDescent="0.3">
      <c r="A882" s="92">
        <v>44562</v>
      </c>
      <c r="B882" s="60">
        <v>0</v>
      </c>
      <c r="C882" s="60">
        <v>0</v>
      </c>
      <c r="D882" s="60">
        <v>1251.1408799999999</v>
      </c>
      <c r="E882" s="60">
        <v>1499.5853297626918</v>
      </c>
      <c r="F882" s="60">
        <v>740.46192000000008</v>
      </c>
      <c r="G882" s="60">
        <v>797.35632081729284</v>
      </c>
      <c r="H882" s="93">
        <v>0.19857432023377886</v>
      </c>
      <c r="I882" s="93">
        <v>7.6836362925041035E-2</v>
      </c>
      <c r="J882" s="93">
        <v>0.15331312577989165</v>
      </c>
    </row>
    <row r="883" spans="1:10" x14ac:dyDescent="0.3">
      <c r="A883" s="92">
        <v>44593</v>
      </c>
      <c r="B883" s="60">
        <v>0</v>
      </c>
      <c r="C883" s="60">
        <v>0</v>
      </c>
      <c r="D883" s="60">
        <v>1171.07385</v>
      </c>
      <c r="E883" s="60">
        <v>1403.6190437073042</v>
      </c>
      <c r="F883" s="60">
        <v>693.07590000000005</v>
      </c>
      <c r="G883" s="60">
        <v>746.32933138699957</v>
      </c>
      <c r="H883" s="93">
        <v>0.19857432023377886</v>
      </c>
      <c r="I883" s="93">
        <v>7.6836362925041035E-2</v>
      </c>
      <c r="J883" s="93">
        <v>0.15331312577989165</v>
      </c>
    </row>
    <row r="884" spans="1:10" x14ac:dyDescent="0.3">
      <c r="A884" s="92">
        <v>44621</v>
      </c>
      <c r="B884" s="60">
        <v>0</v>
      </c>
      <c r="C884" s="60">
        <v>0</v>
      </c>
      <c r="D884" s="60">
        <v>1126.9247399999999</v>
      </c>
      <c r="E884" s="60">
        <v>1350.703054200128</v>
      </c>
      <c r="F884" s="60">
        <v>666.94716000000005</v>
      </c>
      <c r="G884" s="60">
        <v>718.19295403758554</v>
      </c>
      <c r="H884" s="93">
        <v>0.19857432023377886</v>
      </c>
      <c r="I884" s="93">
        <v>7.6836362925041035E-2</v>
      </c>
      <c r="J884" s="93">
        <v>0.15331312577989165</v>
      </c>
    </row>
    <row r="885" spans="1:10" x14ac:dyDescent="0.3">
      <c r="A885" s="92">
        <v>44652</v>
      </c>
      <c r="B885" s="60">
        <v>0</v>
      </c>
      <c r="C885" s="60">
        <v>0</v>
      </c>
      <c r="D885" s="60">
        <v>1050.59916</v>
      </c>
      <c r="E885" s="60">
        <v>1259.221174035179</v>
      </c>
      <c r="F885" s="60">
        <v>621.77544</v>
      </c>
      <c r="G885" s="60">
        <v>669.5504033657171</v>
      </c>
      <c r="H885" s="93">
        <v>0.19857432023377886</v>
      </c>
      <c r="I885" s="93">
        <v>7.6836362925041035E-2</v>
      </c>
      <c r="J885" s="93">
        <v>0.15331312577989165</v>
      </c>
    </row>
    <row r="886" spans="1:10" x14ac:dyDescent="0.3">
      <c r="A886" s="92">
        <v>44682</v>
      </c>
      <c r="B886" s="60">
        <v>0</v>
      </c>
      <c r="C886" s="60">
        <v>0</v>
      </c>
      <c r="D886" s="60">
        <v>1322.9767199999999</v>
      </c>
      <c r="E886" s="60">
        <v>1585.6859228591145</v>
      </c>
      <c r="F886" s="60">
        <v>782.97648000000004</v>
      </c>
      <c r="G886" s="60">
        <v>843.1375449790512</v>
      </c>
      <c r="H886" s="93">
        <v>0.19857432023377908</v>
      </c>
      <c r="I886" s="93">
        <v>7.6836362925041035E-2</v>
      </c>
      <c r="J886" s="93">
        <v>0.15331312577989209</v>
      </c>
    </row>
    <row r="887" spans="1:10" x14ac:dyDescent="0.3">
      <c r="A887" s="92">
        <v>44713</v>
      </c>
      <c r="B887" s="60">
        <v>0</v>
      </c>
      <c r="C887" s="60">
        <v>0</v>
      </c>
      <c r="D887" s="60">
        <v>926.38301999999999</v>
      </c>
      <c r="E887" s="60">
        <v>1110.338898472615</v>
      </c>
      <c r="F887" s="60">
        <v>548.26067999999998</v>
      </c>
      <c r="G887" s="60">
        <v>590.3870365860098</v>
      </c>
      <c r="H887" s="93">
        <v>0.19857432023377863</v>
      </c>
      <c r="I887" s="93">
        <v>7.6836362925041035E-2</v>
      </c>
      <c r="J887" s="93">
        <v>0.15331312577989165</v>
      </c>
    </row>
    <row r="888" spans="1:10" x14ac:dyDescent="0.3">
      <c r="A888" s="92">
        <v>44743</v>
      </c>
      <c r="B888" s="60">
        <v>0</v>
      </c>
      <c r="C888" s="60">
        <v>0</v>
      </c>
      <c r="D888" s="60">
        <v>1488.34881</v>
      </c>
      <c r="E888" s="60">
        <v>1783.8966632165038</v>
      </c>
      <c r="F888" s="60">
        <v>880.84854000000007</v>
      </c>
      <c r="G888" s="60">
        <v>948.52973810143271</v>
      </c>
      <c r="H888" s="93">
        <v>0.19857432023377908</v>
      </c>
      <c r="I888" s="93">
        <v>7.6836362925041257E-2</v>
      </c>
      <c r="J888" s="93">
        <v>0.15331312577989187</v>
      </c>
    </row>
    <row r="889" spans="1:10" x14ac:dyDescent="0.3">
      <c r="A889" s="92">
        <v>44774</v>
      </c>
      <c r="B889" s="60">
        <v>0</v>
      </c>
      <c r="C889" s="60">
        <v>0</v>
      </c>
      <c r="D889" s="60">
        <v>1374.6087300000002</v>
      </c>
      <c r="E889" s="60">
        <v>1647.5707241471682</v>
      </c>
      <c r="F889" s="60">
        <v>813.53382000000011</v>
      </c>
      <c r="G889" s="60">
        <v>876.04279984531513</v>
      </c>
      <c r="H889" s="93">
        <v>0.19857432023377886</v>
      </c>
      <c r="I889" s="93">
        <v>7.6836362925041035E-2</v>
      </c>
      <c r="J889" s="93">
        <v>0.15331312577989165</v>
      </c>
    </row>
    <row r="890" spans="1:10" x14ac:dyDescent="0.3">
      <c r="A890" s="92">
        <v>44805</v>
      </c>
      <c r="B890" s="60">
        <v>0</v>
      </c>
      <c r="C890" s="60">
        <v>0</v>
      </c>
      <c r="D890" s="60">
        <v>1253.3857499999999</v>
      </c>
      <c r="E890" s="60">
        <v>1502.2759732969548</v>
      </c>
      <c r="F890" s="60">
        <v>741.79050000000007</v>
      </c>
      <c r="G890" s="60">
        <v>798.78698407234765</v>
      </c>
      <c r="H890" s="93">
        <v>0.19857432023377863</v>
      </c>
      <c r="I890" s="93">
        <v>7.6836362925041035E-2</v>
      </c>
      <c r="J890" s="93">
        <v>0.15331312577989142</v>
      </c>
    </row>
    <row r="891" spans="1:10" x14ac:dyDescent="0.3">
      <c r="A891" s="92">
        <v>44835</v>
      </c>
      <c r="B891" s="60">
        <v>0</v>
      </c>
      <c r="C891" s="60">
        <v>0</v>
      </c>
      <c r="D891" s="60">
        <v>1253.3857499999999</v>
      </c>
      <c r="E891" s="60">
        <v>1502.2759732969548</v>
      </c>
      <c r="F891" s="60">
        <v>741.79050000000007</v>
      </c>
      <c r="G891" s="60">
        <v>798.78698407234765</v>
      </c>
      <c r="H891" s="93">
        <v>0.19857432023377863</v>
      </c>
      <c r="I891" s="93">
        <v>7.6836362925041035E-2</v>
      </c>
      <c r="J891" s="93">
        <v>0.15331312577989142</v>
      </c>
    </row>
    <row r="892" spans="1:10" x14ac:dyDescent="0.3">
      <c r="A892" s="87" t="s">
        <v>38</v>
      </c>
      <c r="B892" s="60">
        <v>0</v>
      </c>
      <c r="C892" s="60">
        <v>0</v>
      </c>
      <c r="D892" s="60">
        <v>11899.805680000001</v>
      </c>
      <c r="E892" s="60">
        <v>15437.639071575266</v>
      </c>
      <c r="F892" s="60">
        <v>12374.684640000001</v>
      </c>
      <c r="G892" s="60">
        <v>13152.596507253105</v>
      </c>
      <c r="H892" s="93">
        <v>0.29730177842494521</v>
      </c>
      <c r="I892" s="93">
        <v>6.2863167012642052E-2</v>
      </c>
      <c r="J892" s="93">
        <v>0.17778932541675552</v>
      </c>
    </row>
    <row r="893" spans="1:10" x14ac:dyDescent="0.3">
      <c r="A893" s="88" t="s">
        <v>25</v>
      </c>
      <c r="B893" s="60">
        <v>0</v>
      </c>
      <c r="C893" s="60">
        <v>0</v>
      </c>
      <c r="D893" s="60">
        <v>11899.805680000001</v>
      </c>
      <c r="E893" s="60">
        <v>15437.639071575266</v>
      </c>
      <c r="F893" s="60">
        <v>12374.684640000001</v>
      </c>
      <c r="G893" s="60">
        <v>13152.596507253105</v>
      </c>
      <c r="H893" s="93">
        <v>0.29730177842494521</v>
      </c>
      <c r="I893" s="93">
        <v>6.2863167012642052E-2</v>
      </c>
      <c r="J893" s="93">
        <v>0.17778932541675552</v>
      </c>
    </row>
    <row r="894" spans="1:10" x14ac:dyDescent="0.3">
      <c r="A894" s="89" t="s">
        <v>25</v>
      </c>
      <c r="B894" s="60">
        <v>0</v>
      </c>
      <c r="C894" s="60">
        <v>0</v>
      </c>
      <c r="D894" s="60">
        <v>11899.805680000001</v>
      </c>
      <c r="E894" s="60">
        <v>15437.639071575266</v>
      </c>
      <c r="F894" s="60">
        <v>12374.684640000001</v>
      </c>
      <c r="G894" s="60">
        <v>13152.596507253105</v>
      </c>
      <c r="H894" s="93">
        <v>0.29730177842494521</v>
      </c>
      <c r="I894" s="93">
        <v>6.2863167012642052E-2</v>
      </c>
      <c r="J894" s="93">
        <v>0.17778932541675552</v>
      </c>
    </row>
    <row r="895" spans="1:10" x14ac:dyDescent="0.3">
      <c r="A895" s="90" t="s">
        <v>25</v>
      </c>
      <c r="B895" s="60">
        <v>0</v>
      </c>
      <c r="C895" s="60">
        <v>0</v>
      </c>
      <c r="D895" s="60">
        <v>11899.805680000001</v>
      </c>
      <c r="E895" s="60">
        <v>15437.639071575266</v>
      </c>
      <c r="F895" s="60">
        <v>12374.684640000001</v>
      </c>
      <c r="G895" s="60">
        <v>13152.596507253105</v>
      </c>
      <c r="H895" s="93">
        <v>0.29730177842494521</v>
      </c>
      <c r="I895" s="93">
        <v>6.2863167012642052E-2</v>
      </c>
      <c r="J895" s="93">
        <v>0.17778932541675552</v>
      </c>
    </row>
    <row r="896" spans="1:10" x14ac:dyDescent="0.3">
      <c r="A896" s="91" t="s">
        <v>35</v>
      </c>
      <c r="B896" s="60">
        <v>0</v>
      </c>
      <c r="C896" s="60">
        <v>0</v>
      </c>
      <c r="D896" s="60">
        <v>8962.0721599999997</v>
      </c>
      <c r="E896" s="60">
        <v>11875.104929363179</v>
      </c>
      <c r="F896" s="60">
        <v>10669.71696</v>
      </c>
      <c r="G896" s="60">
        <v>11328.40877414</v>
      </c>
      <c r="H896" s="93">
        <v>0.32504009311203519</v>
      </c>
      <c r="I896" s="93">
        <v>6.1734703611106667E-2</v>
      </c>
      <c r="J896" s="93">
        <v>0.18193576559277824</v>
      </c>
    </row>
    <row r="897" spans="1:10" x14ac:dyDescent="0.3">
      <c r="A897" s="92">
        <v>44501</v>
      </c>
      <c r="B897" s="60">
        <v>0</v>
      </c>
      <c r="C897" s="60">
        <v>0</v>
      </c>
      <c r="D897" s="60">
        <v>1559.1402699999999</v>
      </c>
      <c r="E897" s="60">
        <v>2065.9233685355234</v>
      </c>
      <c r="F897" s="60">
        <v>1856.2208700000003</v>
      </c>
      <c r="G897" s="60">
        <v>1970.8141152462013</v>
      </c>
      <c r="H897" s="93">
        <v>0.32504009311203519</v>
      </c>
      <c r="I897" s="93">
        <v>6.1734703611106889E-2</v>
      </c>
      <c r="J897" s="93">
        <v>0.18193576559277846</v>
      </c>
    </row>
    <row r="898" spans="1:10" x14ac:dyDescent="0.3">
      <c r="A898" s="92">
        <v>44531</v>
      </c>
      <c r="B898" s="60">
        <v>0</v>
      </c>
      <c r="C898" s="60">
        <v>0</v>
      </c>
      <c r="D898" s="60">
        <v>1737.7356799999998</v>
      </c>
      <c r="E898" s="60">
        <v>2302.5694472313057</v>
      </c>
      <c r="F898" s="60">
        <v>2068.8460799999998</v>
      </c>
      <c r="G898" s="60">
        <v>2196.5656795658006</v>
      </c>
      <c r="H898" s="93">
        <v>0.32504009311203541</v>
      </c>
      <c r="I898" s="93">
        <v>6.1734703611107111E-2</v>
      </c>
      <c r="J898" s="93">
        <v>0.18193576559277846</v>
      </c>
    </row>
    <row r="899" spans="1:10" x14ac:dyDescent="0.3">
      <c r="A899" s="92">
        <v>44562</v>
      </c>
      <c r="B899" s="60">
        <v>0</v>
      </c>
      <c r="C899" s="60">
        <v>0</v>
      </c>
      <c r="D899" s="60">
        <v>1783.6134</v>
      </c>
      <c r="E899" s="60">
        <v>2363.3592656118735</v>
      </c>
      <c r="F899" s="60">
        <v>2123.4654000000005</v>
      </c>
      <c r="G899" s="60">
        <v>2254.5569070974407</v>
      </c>
      <c r="H899" s="93">
        <v>0.32504009311203519</v>
      </c>
      <c r="I899" s="93">
        <v>6.1734703611106667E-2</v>
      </c>
      <c r="J899" s="93">
        <v>0.18193576559277846</v>
      </c>
    </row>
    <row r="900" spans="1:10" x14ac:dyDescent="0.3">
      <c r="A900" s="92">
        <v>44593</v>
      </c>
      <c r="B900" s="60">
        <v>0</v>
      </c>
      <c r="C900" s="60">
        <v>0</v>
      </c>
      <c r="D900" s="60">
        <v>1934.35448</v>
      </c>
      <c r="E900" s="60">
        <v>2563.0972402908824</v>
      </c>
      <c r="F900" s="60">
        <v>2302.9288800000004</v>
      </c>
      <c r="G900" s="60">
        <v>2445.0995118442584</v>
      </c>
      <c r="H900" s="93">
        <v>0.32504009311203519</v>
      </c>
      <c r="I900" s="93">
        <v>6.1734703611106667E-2</v>
      </c>
      <c r="J900" s="93">
        <v>0.18193576559277846</v>
      </c>
    </row>
    <row r="901" spans="1:10" x14ac:dyDescent="0.3">
      <c r="A901" s="92">
        <v>44621</v>
      </c>
      <c r="B901" s="60">
        <v>0</v>
      </c>
      <c r="C901" s="60">
        <v>0</v>
      </c>
      <c r="D901" s="60">
        <v>1633.5745299999999</v>
      </c>
      <c r="E901" s="60">
        <v>2164.551747336649</v>
      </c>
      <c r="F901" s="60">
        <v>1944.8379300000001</v>
      </c>
      <c r="G901" s="60">
        <v>2064.9019231801885</v>
      </c>
      <c r="H901" s="93">
        <v>0.32504009311203519</v>
      </c>
      <c r="I901" s="93">
        <v>6.1734703611106667E-2</v>
      </c>
      <c r="J901" s="93">
        <v>0.18193576559277846</v>
      </c>
    </row>
    <row r="902" spans="1:10" x14ac:dyDescent="0.3">
      <c r="A902" s="92">
        <v>44652</v>
      </c>
      <c r="B902" s="60">
        <v>0</v>
      </c>
      <c r="C902" s="60">
        <v>0</v>
      </c>
      <c r="D902" s="60">
        <v>39.089690000000004</v>
      </c>
      <c r="E902" s="60">
        <v>51.79540647732059</v>
      </c>
      <c r="F902" s="60">
        <v>46.537890000000004</v>
      </c>
      <c r="G902" s="60">
        <v>49.410892845836301</v>
      </c>
      <c r="H902" s="93">
        <v>0.32504009311203497</v>
      </c>
      <c r="I902" s="93">
        <v>6.1734703611106889E-2</v>
      </c>
      <c r="J902" s="93">
        <v>0.18193576559277824</v>
      </c>
    </row>
    <row r="903" spans="1:10" x14ac:dyDescent="0.3">
      <c r="A903" s="92">
        <v>44682</v>
      </c>
      <c r="B903" s="60">
        <v>0</v>
      </c>
      <c r="C903" s="60">
        <v>0</v>
      </c>
      <c r="D903" s="60">
        <v>36.514919999999996</v>
      </c>
      <c r="E903" s="60">
        <v>48.383732996778512</v>
      </c>
      <c r="F903" s="60">
        <v>43.472520000000003</v>
      </c>
      <c r="G903" s="60">
        <v>46.15628313742792</v>
      </c>
      <c r="H903" s="93">
        <v>0.32504009311203519</v>
      </c>
      <c r="I903" s="93">
        <v>6.1734703611106889E-2</v>
      </c>
      <c r="J903" s="93">
        <v>0.18193576559277869</v>
      </c>
    </row>
    <row r="904" spans="1:10" x14ac:dyDescent="0.3">
      <c r="A904" s="92">
        <v>44713</v>
      </c>
      <c r="B904" s="60">
        <v>0</v>
      </c>
      <c r="C904" s="60">
        <v>0</v>
      </c>
      <c r="D904" s="60">
        <v>33.706079999999993</v>
      </c>
      <c r="E904" s="60">
        <v>44.661907381641697</v>
      </c>
      <c r="F904" s="60">
        <v>40.128479999999996</v>
      </c>
      <c r="G904" s="60">
        <v>42.605799819164226</v>
      </c>
      <c r="H904" s="93">
        <v>0.32504009311203519</v>
      </c>
      <c r="I904" s="93">
        <v>6.1734703611106889E-2</v>
      </c>
      <c r="J904" s="93">
        <v>0.18193576559277846</v>
      </c>
    </row>
    <row r="905" spans="1:10" x14ac:dyDescent="0.3">
      <c r="A905" s="92">
        <v>44774</v>
      </c>
      <c r="B905" s="60">
        <v>0</v>
      </c>
      <c r="C905" s="60">
        <v>0</v>
      </c>
      <c r="D905" s="60">
        <v>55.474589999999999</v>
      </c>
      <c r="E905" s="60">
        <v>73.506055898951956</v>
      </c>
      <c r="F905" s="60">
        <v>66.044790000000006</v>
      </c>
      <c r="G905" s="60">
        <v>70.122045535707798</v>
      </c>
      <c r="H905" s="93">
        <v>0.32504009311203474</v>
      </c>
      <c r="I905" s="93">
        <v>6.1734703611106889E-2</v>
      </c>
      <c r="J905" s="93">
        <v>0.18193576559277824</v>
      </c>
    </row>
    <row r="906" spans="1:10" x14ac:dyDescent="0.3">
      <c r="A906" s="92">
        <v>44805</v>
      </c>
      <c r="B906" s="60">
        <v>0</v>
      </c>
      <c r="C906" s="60">
        <v>0</v>
      </c>
      <c r="D906" s="60">
        <v>74.434259999999995</v>
      </c>
      <c r="E906" s="60">
        <v>98.628378801125422</v>
      </c>
      <c r="F906" s="60">
        <v>88.617060000000009</v>
      </c>
      <c r="G906" s="60">
        <v>94.087807933987676</v>
      </c>
      <c r="H906" s="93">
        <v>0.32504009311203519</v>
      </c>
      <c r="I906" s="93">
        <v>6.1734703611106889E-2</v>
      </c>
      <c r="J906" s="93">
        <v>0.18193576559277846</v>
      </c>
    </row>
    <row r="907" spans="1:10" x14ac:dyDescent="0.3">
      <c r="A907" s="92">
        <v>44835</v>
      </c>
      <c r="B907" s="60">
        <v>0</v>
      </c>
      <c r="C907" s="60">
        <v>0</v>
      </c>
      <c r="D907" s="60">
        <v>74.434259999999995</v>
      </c>
      <c r="E907" s="60">
        <v>98.628378801125422</v>
      </c>
      <c r="F907" s="60">
        <v>88.617060000000009</v>
      </c>
      <c r="G907" s="60">
        <v>94.087807933987676</v>
      </c>
      <c r="H907" s="93">
        <v>0.32504009311203519</v>
      </c>
      <c r="I907" s="93">
        <v>6.1734703611106889E-2</v>
      </c>
      <c r="J907" s="93">
        <v>0.18193576559277846</v>
      </c>
    </row>
    <row r="908" spans="1:10" x14ac:dyDescent="0.3">
      <c r="A908" s="91" t="s">
        <v>36</v>
      </c>
      <c r="B908" s="60">
        <v>0</v>
      </c>
      <c r="C908" s="60">
        <v>0</v>
      </c>
      <c r="D908" s="60">
        <v>1375.3040000000003</v>
      </c>
      <c r="E908" s="60">
        <v>1689.8462423648957</v>
      </c>
      <c r="F908" s="60">
        <v>780.27600000000018</v>
      </c>
      <c r="G908" s="60">
        <v>828.44610759486</v>
      </c>
      <c r="H908" s="93">
        <v>0.22870742931373389</v>
      </c>
      <c r="I908" s="93">
        <v>6.1734703611106445E-2</v>
      </c>
      <c r="J908" s="93">
        <v>0.16826670778155073</v>
      </c>
    </row>
    <row r="909" spans="1:10" x14ac:dyDescent="0.3">
      <c r="A909" s="92">
        <v>44501</v>
      </c>
      <c r="B909" s="60">
        <v>0</v>
      </c>
      <c r="C909" s="60">
        <v>0</v>
      </c>
      <c r="D909" s="60">
        <v>217.59273999999999</v>
      </c>
      <c r="E909" s="60">
        <v>267.35781620273167</v>
      </c>
      <c r="F909" s="60">
        <v>123.45081000000002</v>
      </c>
      <c r="G909" s="60">
        <v>131.07200916590108</v>
      </c>
      <c r="H909" s="93">
        <v>0.22870742931373389</v>
      </c>
      <c r="I909" s="93">
        <v>6.1734703611106889E-2</v>
      </c>
      <c r="J909" s="93">
        <v>0.16826670778155095</v>
      </c>
    </row>
    <row r="910" spans="1:10" x14ac:dyDescent="0.3">
      <c r="A910" s="92">
        <v>44531</v>
      </c>
      <c r="B910" s="60">
        <v>0</v>
      </c>
      <c r="C910" s="60">
        <v>0</v>
      </c>
      <c r="D910" s="60">
        <v>269.65782000000002</v>
      </c>
      <c r="E910" s="60">
        <v>331.33056680654551</v>
      </c>
      <c r="F910" s="60">
        <v>152.98983000000001</v>
      </c>
      <c r="G910" s="60">
        <v>162.43461181056364</v>
      </c>
      <c r="H910" s="93">
        <v>0.22870742931373345</v>
      </c>
      <c r="I910" s="93">
        <v>6.1734703611106889E-2</v>
      </c>
      <c r="J910" s="93">
        <v>0.16826670778155073</v>
      </c>
    </row>
    <row r="911" spans="1:10" x14ac:dyDescent="0.3">
      <c r="A911" s="92">
        <v>44562</v>
      </c>
      <c r="B911" s="60">
        <v>0</v>
      </c>
      <c r="C911" s="60">
        <v>0</v>
      </c>
      <c r="D911" s="60">
        <v>222.99572000000001</v>
      </c>
      <c r="E911" s="60">
        <v>273.99649786916518</v>
      </c>
      <c r="F911" s="60">
        <v>126.51618000000002</v>
      </c>
      <c r="G911" s="60">
        <v>134.32661887430947</v>
      </c>
      <c r="H911" s="93">
        <v>0.22870742931373389</v>
      </c>
      <c r="I911" s="93">
        <v>6.1734703611106889E-2</v>
      </c>
      <c r="J911" s="93">
        <v>0.16826670778155095</v>
      </c>
    </row>
    <row r="912" spans="1:10" x14ac:dyDescent="0.3">
      <c r="A912" s="92">
        <v>44593</v>
      </c>
      <c r="B912" s="60">
        <v>0</v>
      </c>
      <c r="C912" s="60">
        <v>0</v>
      </c>
      <c r="D912" s="60">
        <v>241.66056</v>
      </c>
      <c r="E912" s="60">
        <v>296.93012544411732</v>
      </c>
      <c r="F912" s="60">
        <v>137.10564000000002</v>
      </c>
      <c r="G912" s="60">
        <v>145.56981604881113</v>
      </c>
      <c r="H912" s="93">
        <v>0.22870742931373367</v>
      </c>
      <c r="I912" s="93">
        <v>6.1734703611106889E-2</v>
      </c>
      <c r="J912" s="93">
        <v>0.16826670778155073</v>
      </c>
    </row>
    <row r="913" spans="1:10" x14ac:dyDescent="0.3">
      <c r="A913" s="92">
        <v>44621</v>
      </c>
      <c r="B913" s="60">
        <v>0</v>
      </c>
      <c r="C913" s="60">
        <v>0</v>
      </c>
      <c r="D913" s="60">
        <v>246.57236</v>
      </c>
      <c r="E913" s="60">
        <v>302.96529059542053</v>
      </c>
      <c r="F913" s="60">
        <v>139.89234000000002</v>
      </c>
      <c r="G913" s="60">
        <v>148.52855214736419</v>
      </c>
      <c r="H913" s="93">
        <v>0.22870742931373389</v>
      </c>
      <c r="I913" s="93">
        <v>6.1734703611106667E-2</v>
      </c>
      <c r="J913" s="93">
        <v>0.16826670778155095</v>
      </c>
    </row>
    <row r="914" spans="1:10" x14ac:dyDescent="0.3">
      <c r="A914" s="92">
        <v>44652</v>
      </c>
      <c r="B914" s="60">
        <v>0</v>
      </c>
      <c r="C914" s="60">
        <v>0</v>
      </c>
      <c r="D914" s="60">
        <v>25.050179999999997</v>
      </c>
      <c r="E914" s="60">
        <v>30.779342271646303</v>
      </c>
      <c r="F914" s="60">
        <v>14.21217</v>
      </c>
      <c r="G914" s="60">
        <v>15.089554102620664</v>
      </c>
      <c r="H914" s="93">
        <v>0.22870742931373367</v>
      </c>
      <c r="I914" s="93">
        <v>6.1734703611106667E-2</v>
      </c>
      <c r="J914" s="93">
        <v>0.16826670778155073</v>
      </c>
    </row>
    <row r="915" spans="1:10" x14ac:dyDescent="0.3">
      <c r="A915" s="92">
        <v>44682</v>
      </c>
      <c r="B915" s="60">
        <v>0</v>
      </c>
      <c r="C915" s="60">
        <v>0</v>
      </c>
      <c r="D915" s="60">
        <v>27.997260000000001</v>
      </c>
      <c r="E915" s="60">
        <v>34.400441362428225</v>
      </c>
      <c r="F915" s="60">
        <v>15.884190000000002</v>
      </c>
      <c r="G915" s="60">
        <v>16.864795761752507</v>
      </c>
      <c r="H915" s="93">
        <v>0.22870742931373367</v>
      </c>
      <c r="I915" s="93">
        <v>6.1734703611106667E-2</v>
      </c>
      <c r="J915" s="93">
        <v>0.16826670778155073</v>
      </c>
    </row>
    <row r="916" spans="1:10" x14ac:dyDescent="0.3">
      <c r="A916" s="92">
        <v>44713</v>
      </c>
      <c r="B916" s="60">
        <v>0</v>
      </c>
      <c r="C916" s="60">
        <v>0</v>
      </c>
      <c r="D916" s="60">
        <v>29.470800000000001</v>
      </c>
      <c r="E916" s="60">
        <v>36.210990907819181</v>
      </c>
      <c r="F916" s="60">
        <v>16.720200000000002</v>
      </c>
      <c r="G916" s="60">
        <v>17.752416591318429</v>
      </c>
      <c r="H916" s="93">
        <v>0.22870742931373367</v>
      </c>
      <c r="I916" s="93">
        <v>6.1734703611106667E-2</v>
      </c>
      <c r="J916" s="93">
        <v>0.16826670778155073</v>
      </c>
    </row>
    <row r="917" spans="1:10" x14ac:dyDescent="0.3">
      <c r="A917" s="92">
        <v>44774</v>
      </c>
      <c r="B917" s="60">
        <v>0</v>
      </c>
      <c r="C917" s="60">
        <v>0</v>
      </c>
      <c r="D917" s="60">
        <v>30.45316</v>
      </c>
      <c r="E917" s="60">
        <v>37.41802393807982</v>
      </c>
      <c r="F917" s="60">
        <v>17.277540000000002</v>
      </c>
      <c r="G917" s="60">
        <v>18.344163811029045</v>
      </c>
      <c r="H917" s="93">
        <v>0.22870742931373367</v>
      </c>
      <c r="I917" s="93">
        <v>6.1734703611106889E-2</v>
      </c>
      <c r="J917" s="93">
        <v>0.16826670778155073</v>
      </c>
    </row>
    <row r="918" spans="1:10" x14ac:dyDescent="0.3">
      <c r="A918" s="92">
        <v>44805</v>
      </c>
      <c r="B918" s="60">
        <v>0</v>
      </c>
      <c r="C918" s="60">
        <v>0</v>
      </c>
      <c r="D918" s="60">
        <v>31.9267</v>
      </c>
      <c r="E918" s="60">
        <v>39.228573483470782</v>
      </c>
      <c r="F918" s="60">
        <v>18.11355</v>
      </c>
      <c r="G918" s="60">
        <v>19.231784640594967</v>
      </c>
      <c r="H918" s="93">
        <v>0.22870742931373367</v>
      </c>
      <c r="I918" s="93">
        <v>6.1734703611106889E-2</v>
      </c>
      <c r="J918" s="93">
        <v>0.16826670778155073</v>
      </c>
    </row>
    <row r="919" spans="1:10" x14ac:dyDescent="0.3">
      <c r="A919" s="92">
        <v>44835</v>
      </c>
      <c r="B919" s="60">
        <v>0</v>
      </c>
      <c r="C919" s="60">
        <v>0</v>
      </c>
      <c r="D919" s="60">
        <v>31.9267</v>
      </c>
      <c r="E919" s="60">
        <v>39.228573483470782</v>
      </c>
      <c r="F919" s="60">
        <v>18.11355</v>
      </c>
      <c r="G919" s="60">
        <v>19.231784640594967</v>
      </c>
      <c r="H919" s="93">
        <v>0.22870742931373367</v>
      </c>
      <c r="I919" s="93">
        <v>6.1734703611106889E-2</v>
      </c>
      <c r="J919" s="93">
        <v>0.16826670778155073</v>
      </c>
    </row>
    <row r="920" spans="1:10" x14ac:dyDescent="0.3">
      <c r="A920" s="91" t="s">
        <v>34</v>
      </c>
      <c r="B920" s="60">
        <v>0</v>
      </c>
      <c r="C920" s="60">
        <v>0</v>
      </c>
      <c r="D920" s="60">
        <v>1562.4295199999997</v>
      </c>
      <c r="E920" s="60">
        <v>1872.6878998471896</v>
      </c>
      <c r="F920" s="60">
        <v>924.69167999999991</v>
      </c>
      <c r="G920" s="60">
        <v>995.74162551824611</v>
      </c>
      <c r="H920" s="93">
        <v>0.1985743202337793</v>
      </c>
      <c r="I920" s="93">
        <v>7.6836362925041257E-2</v>
      </c>
      <c r="J920" s="93">
        <v>0.15331312577989209</v>
      </c>
    </row>
    <row r="921" spans="1:10" x14ac:dyDescent="0.3">
      <c r="A921" s="92">
        <v>44501</v>
      </c>
      <c r="B921" s="60">
        <v>0</v>
      </c>
      <c r="C921" s="60">
        <v>0</v>
      </c>
      <c r="D921" s="60">
        <v>248.43227999999999</v>
      </c>
      <c r="E921" s="60">
        <v>297.76455112512781</v>
      </c>
      <c r="F921" s="60">
        <v>147.02951999999999</v>
      </c>
      <c r="G921" s="60">
        <v>158.32673355941461</v>
      </c>
      <c r="H921" s="93">
        <v>0.19857432023377886</v>
      </c>
      <c r="I921" s="93">
        <v>7.6836362925041257E-2</v>
      </c>
      <c r="J921" s="93">
        <v>0.15331312577989187</v>
      </c>
    </row>
    <row r="922" spans="1:10" x14ac:dyDescent="0.3">
      <c r="A922" s="92">
        <v>44531</v>
      </c>
      <c r="B922" s="60">
        <v>0</v>
      </c>
      <c r="C922" s="60">
        <v>0</v>
      </c>
      <c r="D922" s="60">
        <v>297.81941999999998</v>
      </c>
      <c r="E922" s="60">
        <v>356.95870887891829</v>
      </c>
      <c r="F922" s="60">
        <v>176.25828000000001</v>
      </c>
      <c r="G922" s="60">
        <v>189.80132517062353</v>
      </c>
      <c r="H922" s="93">
        <v>0.19857432023377886</v>
      </c>
      <c r="I922" s="93">
        <v>7.6836362925041035E-2</v>
      </c>
      <c r="J922" s="93">
        <v>0.15331312577989187</v>
      </c>
    </row>
    <row r="923" spans="1:10" x14ac:dyDescent="0.3">
      <c r="A923" s="92">
        <v>44562</v>
      </c>
      <c r="B923" s="60">
        <v>0</v>
      </c>
      <c r="C923" s="60">
        <v>0</v>
      </c>
      <c r="D923" s="60">
        <v>225.23528999999999</v>
      </c>
      <c r="E923" s="60">
        <v>269.96123460440805</v>
      </c>
      <c r="F923" s="60">
        <v>133.30086</v>
      </c>
      <c r="G923" s="60">
        <v>143.54321325718013</v>
      </c>
      <c r="H923" s="93">
        <v>0.19857432023377886</v>
      </c>
      <c r="I923" s="93">
        <v>7.6836362925041257E-2</v>
      </c>
      <c r="J923" s="93">
        <v>0.15331312577989187</v>
      </c>
    </row>
    <row r="924" spans="1:10" x14ac:dyDescent="0.3">
      <c r="A924" s="92">
        <v>44593</v>
      </c>
      <c r="B924" s="60">
        <v>0</v>
      </c>
      <c r="C924" s="60">
        <v>0</v>
      </c>
      <c r="D924" s="60">
        <v>139.93022999999999</v>
      </c>
      <c r="E924" s="60">
        <v>167.71678030240633</v>
      </c>
      <c r="F924" s="60">
        <v>82.814819999999997</v>
      </c>
      <c r="G924" s="60">
        <v>89.178009565091969</v>
      </c>
      <c r="H924" s="93">
        <v>0.19857432023377886</v>
      </c>
      <c r="I924" s="93">
        <v>7.6836362925041257E-2</v>
      </c>
      <c r="J924" s="93">
        <v>0.15331312577989187</v>
      </c>
    </row>
    <row r="925" spans="1:10" x14ac:dyDescent="0.3">
      <c r="A925" s="92">
        <v>44621</v>
      </c>
      <c r="B925" s="60">
        <v>0</v>
      </c>
      <c r="C925" s="60">
        <v>0</v>
      </c>
      <c r="D925" s="60">
        <v>192.31052999999997</v>
      </c>
      <c r="E925" s="60">
        <v>230.49846276854771</v>
      </c>
      <c r="F925" s="60">
        <v>113.81502</v>
      </c>
      <c r="G925" s="60">
        <v>122.56015218304083</v>
      </c>
      <c r="H925" s="93">
        <v>0.19857432023377886</v>
      </c>
      <c r="I925" s="93">
        <v>7.6836362925041257E-2</v>
      </c>
      <c r="J925" s="93">
        <v>0.15331312577989187</v>
      </c>
    </row>
    <row r="926" spans="1:10" x14ac:dyDescent="0.3">
      <c r="A926" s="92">
        <v>44652</v>
      </c>
      <c r="B926" s="60">
        <v>0</v>
      </c>
      <c r="C926" s="60">
        <v>0</v>
      </c>
      <c r="D926" s="60">
        <v>74.080709999999996</v>
      </c>
      <c r="E926" s="60">
        <v>88.791236630685702</v>
      </c>
      <c r="F926" s="60">
        <v>43.843140000000005</v>
      </c>
      <c r="G926" s="60">
        <v>47.211887416813397</v>
      </c>
      <c r="H926" s="93">
        <v>0.19857432023377886</v>
      </c>
      <c r="I926" s="93">
        <v>7.6836362925041257E-2</v>
      </c>
      <c r="J926" s="93">
        <v>0.15331312577989187</v>
      </c>
    </row>
    <row r="927" spans="1:10" x14ac:dyDescent="0.3">
      <c r="A927" s="92">
        <v>44682</v>
      </c>
      <c r="B927" s="60">
        <v>0</v>
      </c>
      <c r="C927" s="60">
        <v>0</v>
      </c>
      <c r="D927" s="60">
        <v>72.584130000000002</v>
      </c>
      <c r="E927" s="60">
        <v>86.997474274510239</v>
      </c>
      <c r="F927" s="60">
        <v>42.957419999999999</v>
      </c>
      <c r="G927" s="60">
        <v>46.258111913443429</v>
      </c>
      <c r="H927" s="93">
        <v>0.19857432023377886</v>
      </c>
      <c r="I927" s="93">
        <v>7.6836362925041257E-2</v>
      </c>
      <c r="J927" s="93">
        <v>0.15331312577989187</v>
      </c>
    </row>
    <row r="928" spans="1:10" x14ac:dyDescent="0.3">
      <c r="A928" s="92">
        <v>44713</v>
      </c>
      <c r="B928" s="60">
        <v>0</v>
      </c>
      <c r="C928" s="60">
        <v>0</v>
      </c>
      <c r="D928" s="60">
        <v>67.346099999999993</v>
      </c>
      <c r="E928" s="60">
        <v>80.719306027896096</v>
      </c>
      <c r="F928" s="60">
        <v>39.857399999999998</v>
      </c>
      <c r="G928" s="60">
        <v>42.919897651648533</v>
      </c>
      <c r="H928" s="93">
        <v>0.19857432023377908</v>
      </c>
      <c r="I928" s="93">
        <v>7.6836362925041035E-2</v>
      </c>
      <c r="J928" s="93">
        <v>0.15331312577989187</v>
      </c>
    </row>
    <row r="929" spans="1:10" x14ac:dyDescent="0.3">
      <c r="A929" s="92">
        <v>44774</v>
      </c>
      <c r="B929" s="60">
        <v>0</v>
      </c>
      <c r="C929" s="60">
        <v>0</v>
      </c>
      <c r="D929" s="60">
        <v>77.073869999999985</v>
      </c>
      <c r="E929" s="60">
        <v>92.378761343036643</v>
      </c>
      <c r="F929" s="60">
        <v>45.614579999999997</v>
      </c>
      <c r="G929" s="60">
        <v>49.119438423553326</v>
      </c>
      <c r="H929" s="93">
        <v>0.19857432023377908</v>
      </c>
      <c r="I929" s="93">
        <v>7.6836362925041257E-2</v>
      </c>
      <c r="J929" s="93">
        <v>0.15331312577989209</v>
      </c>
    </row>
    <row r="930" spans="1:10" x14ac:dyDescent="0.3">
      <c r="A930" s="92">
        <v>44805</v>
      </c>
      <c r="B930" s="60">
        <v>0</v>
      </c>
      <c r="C930" s="60">
        <v>0</v>
      </c>
      <c r="D930" s="60">
        <v>83.808480000000003</v>
      </c>
      <c r="E930" s="60">
        <v>100.45069194582625</v>
      </c>
      <c r="F930" s="60">
        <v>49.600320000000004</v>
      </c>
      <c r="G930" s="60">
        <v>53.411428188718183</v>
      </c>
      <c r="H930" s="93">
        <v>0.19857432023377886</v>
      </c>
      <c r="I930" s="93">
        <v>7.6836362925041257E-2</v>
      </c>
      <c r="J930" s="93">
        <v>0.15331312577989165</v>
      </c>
    </row>
    <row r="931" spans="1:10" x14ac:dyDescent="0.3">
      <c r="A931" s="92">
        <v>44835</v>
      </c>
      <c r="B931" s="60">
        <v>0</v>
      </c>
      <c r="C931" s="60">
        <v>0</v>
      </c>
      <c r="D931" s="60">
        <v>83.808480000000003</v>
      </c>
      <c r="E931" s="60">
        <v>100.45069194582625</v>
      </c>
      <c r="F931" s="60">
        <v>49.600320000000004</v>
      </c>
      <c r="G931" s="60">
        <v>53.411428188718183</v>
      </c>
      <c r="H931" s="93">
        <v>0.19857432023377886</v>
      </c>
      <c r="I931" s="93">
        <v>7.6836362925041257E-2</v>
      </c>
      <c r="J931" s="93">
        <v>0.15331312577989165</v>
      </c>
    </row>
    <row r="932" spans="1:10" x14ac:dyDescent="0.3">
      <c r="A932" s="87" t="s">
        <v>50</v>
      </c>
      <c r="B932" s="60">
        <v>0</v>
      </c>
      <c r="C932" s="60">
        <v>0</v>
      </c>
      <c r="D932" s="60">
        <v>11529.531516400002</v>
      </c>
      <c r="E932" s="60">
        <v>15217.980810667357</v>
      </c>
      <c r="F932" s="60">
        <v>13419.301998600005</v>
      </c>
      <c r="G932" s="60">
        <v>14705.619487026521</v>
      </c>
      <c r="H932" s="93">
        <v>0.31991319760224246</v>
      </c>
      <c r="I932" s="93">
        <v>9.5855767204636511E-2</v>
      </c>
      <c r="J932" s="93">
        <v>0.19939877268020911</v>
      </c>
    </row>
    <row r="933" spans="1:10" x14ac:dyDescent="0.3">
      <c r="A933" s="88" t="s">
        <v>51</v>
      </c>
      <c r="B933" s="60">
        <v>0</v>
      </c>
      <c r="C933" s="60">
        <v>0</v>
      </c>
      <c r="D933" s="60">
        <v>11529.531516400002</v>
      </c>
      <c r="E933" s="60">
        <v>15217.980810667357</v>
      </c>
      <c r="F933" s="60">
        <v>13419.301998600005</v>
      </c>
      <c r="G933" s="60">
        <v>14705.619487026521</v>
      </c>
      <c r="H933" s="93">
        <v>0.31991319760224246</v>
      </c>
      <c r="I933" s="93">
        <v>9.5855767204636511E-2</v>
      </c>
      <c r="J933" s="93">
        <v>0.19939877268020911</v>
      </c>
    </row>
    <row r="934" spans="1:10" x14ac:dyDescent="0.3">
      <c r="A934" s="89" t="s">
        <v>25</v>
      </c>
      <c r="B934" s="60">
        <v>0</v>
      </c>
      <c r="C934" s="60">
        <v>0</v>
      </c>
      <c r="D934" s="60">
        <v>11529.531516400002</v>
      </c>
      <c r="E934" s="60">
        <v>15217.980810667357</v>
      </c>
      <c r="F934" s="60">
        <v>13419.301998600005</v>
      </c>
      <c r="G934" s="60">
        <v>14705.619487026521</v>
      </c>
      <c r="H934" s="93">
        <v>0.31991319760224246</v>
      </c>
      <c r="I934" s="93">
        <v>9.5855767204636511E-2</v>
      </c>
      <c r="J934" s="93">
        <v>0.19939877268020911</v>
      </c>
    </row>
    <row r="935" spans="1:10" x14ac:dyDescent="0.3">
      <c r="A935" s="90" t="s">
        <v>25</v>
      </c>
      <c r="B935" s="60">
        <v>0</v>
      </c>
      <c r="C935" s="60">
        <v>0</v>
      </c>
      <c r="D935" s="60">
        <v>11529.531516400002</v>
      </c>
      <c r="E935" s="60">
        <v>15217.980810667357</v>
      </c>
      <c r="F935" s="60">
        <v>13419.301998600005</v>
      </c>
      <c r="G935" s="60">
        <v>14705.619487026521</v>
      </c>
      <c r="H935" s="93">
        <v>0.31991319760224246</v>
      </c>
      <c r="I935" s="93">
        <v>9.5855767204636511E-2</v>
      </c>
      <c r="J935" s="93">
        <v>0.19939877268020911</v>
      </c>
    </row>
    <row r="936" spans="1:10" x14ac:dyDescent="0.3">
      <c r="A936" s="91" t="s">
        <v>35</v>
      </c>
      <c r="B936" s="60">
        <v>0</v>
      </c>
      <c r="C936" s="60">
        <v>0</v>
      </c>
      <c r="D936" s="60">
        <v>11023.292579999999</v>
      </c>
      <c r="E936" s="60">
        <v>14606.304626604406</v>
      </c>
      <c r="F936" s="60">
        <v>13123.684980000002</v>
      </c>
      <c r="G936" s="60">
        <v>14378.56981813836</v>
      </c>
      <c r="H936" s="93">
        <v>0.32504009311203519</v>
      </c>
      <c r="I936" s="93">
        <v>9.561985372635462E-2</v>
      </c>
      <c r="J936" s="93">
        <v>0.20035206777832304</v>
      </c>
    </row>
    <row r="937" spans="1:10" x14ac:dyDescent="0.3">
      <c r="A937" s="92">
        <v>44682</v>
      </c>
      <c r="B937" s="60">
        <v>0</v>
      </c>
      <c r="C937" s="60">
        <v>0</v>
      </c>
      <c r="D937" s="60">
        <v>2380.0190785999998</v>
      </c>
      <c r="E937" s="60">
        <v>3153.6207015165637</v>
      </c>
      <c r="F937" s="60">
        <v>2833.5109865999998</v>
      </c>
      <c r="G937" s="60">
        <v>3104.4508926707117</v>
      </c>
      <c r="H937" s="93">
        <v>0.32504009311203519</v>
      </c>
      <c r="I937" s="93">
        <v>9.5619853726355064E-2</v>
      </c>
      <c r="J937" s="93">
        <v>0.20035206777832304</v>
      </c>
    </row>
    <row r="938" spans="1:10" x14ac:dyDescent="0.3">
      <c r="A938" s="92">
        <v>44713</v>
      </c>
      <c r="B938" s="60">
        <v>0</v>
      </c>
      <c r="C938" s="60">
        <v>0</v>
      </c>
      <c r="D938" s="60">
        <v>1572.0843409999998</v>
      </c>
      <c r="E938" s="60">
        <v>2083.0747815786121</v>
      </c>
      <c r="F938" s="60">
        <v>1871.6313209999998</v>
      </c>
      <c r="G938" s="60">
        <v>2050.5964341436843</v>
      </c>
      <c r="H938" s="93">
        <v>0.32504009311203519</v>
      </c>
      <c r="I938" s="93">
        <v>9.5619853726354842E-2</v>
      </c>
      <c r="J938" s="93">
        <v>0.20035206777832304</v>
      </c>
    </row>
    <row r="939" spans="1:10" x14ac:dyDescent="0.3">
      <c r="A939" s="92">
        <v>44743</v>
      </c>
      <c r="B939" s="60">
        <v>0</v>
      </c>
      <c r="C939" s="60">
        <v>0</v>
      </c>
      <c r="D939" s="60">
        <v>1601.3477723999997</v>
      </c>
      <c r="E939" s="60">
        <v>2121.8500014456458</v>
      </c>
      <c r="F939" s="60">
        <v>1906.4706443999999</v>
      </c>
      <c r="G939" s="60">
        <v>2088.7670885511175</v>
      </c>
      <c r="H939" s="93">
        <v>0.32504009311203519</v>
      </c>
      <c r="I939" s="93">
        <v>9.5619853726354842E-2</v>
      </c>
      <c r="J939" s="93">
        <v>0.20035206777832326</v>
      </c>
    </row>
    <row r="940" spans="1:10" x14ac:dyDescent="0.3">
      <c r="A940" s="92">
        <v>44774</v>
      </c>
      <c r="B940" s="60">
        <v>0</v>
      </c>
      <c r="C940" s="60">
        <v>0</v>
      </c>
      <c r="D940" s="60">
        <v>1827.0942431999999</v>
      </c>
      <c r="E940" s="60">
        <v>2420.9731261341913</v>
      </c>
      <c r="F940" s="60">
        <v>2175.2311392000001</v>
      </c>
      <c r="G940" s="60">
        <v>2383.2264225513163</v>
      </c>
      <c r="H940" s="93">
        <v>0.32504009311203519</v>
      </c>
      <c r="I940" s="93">
        <v>9.5619853726354842E-2</v>
      </c>
      <c r="J940" s="93">
        <v>0.20035206777832304</v>
      </c>
    </row>
    <row r="941" spans="1:10" x14ac:dyDescent="0.3">
      <c r="A941" s="92">
        <v>44805</v>
      </c>
      <c r="B941" s="60">
        <v>0</v>
      </c>
      <c r="C941" s="60">
        <v>0</v>
      </c>
      <c r="D941" s="60">
        <v>1821.3735723999998</v>
      </c>
      <c r="E941" s="60">
        <v>2413.3930079646957</v>
      </c>
      <c r="F941" s="60">
        <v>2168.4204444000002</v>
      </c>
      <c r="G941" s="60">
        <v>2375.7644901107656</v>
      </c>
      <c r="H941" s="93">
        <v>0.32504009311203497</v>
      </c>
      <c r="I941" s="93">
        <v>9.5619853726354842E-2</v>
      </c>
      <c r="J941" s="93">
        <v>0.20035206777832304</v>
      </c>
    </row>
    <row r="942" spans="1:10" x14ac:dyDescent="0.3">
      <c r="A942" s="92">
        <v>44835</v>
      </c>
      <c r="B942" s="60">
        <v>0</v>
      </c>
      <c r="C942" s="60">
        <v>0</v>
      </c>
      <c r="D942" s="60">
        <v>1821.3735723999998</v>
      </c>
      <c r="E942" s="60">
        <v>2413.3930079646957</v>
      </c>
      <c r="F942" s="60">
        <v>2168.4204444000002</v>
      </c>
      <c r="G942" s="60">
        <v>2375.7644901107656</v>
      </c>
      <c r="H942" s="93">
        <v>0.32504009311203497</v>
      </c>
      <c r="I942" s="93">
        <v>9.5619853726354842E-2</v>
      </c>
      <c r="J942" s="93">
        <v>0.20035206777832304</v>
      </c>
    </row>
    <row r="943" spans="1:10" x14ac:dyDescent="0.3">
      <c r="A943" s="91" t="s">
        <v>36</v>
      </c>
      <c r="B943" s="60">
        <v>0</v>
      </c>
      <c r="C943" s="60">
        <v>0</v>
      </c>
      <c r="D943" s="60">
        <v>162.9833476</v>
      </c>
      <c r="E943" s="60">
        <v>200.25885005054269</v>
      </c>
      <c r="F943" s="60">
        <v>92.468279399999986</v>
      </c>
      <c r="G943" s="60">
        <v>101.31008275055572</v>
      </c>
      <c r="H943" s="93">
        <v>0.22870742931373367</v>
      </c>
      <c r="I943" s="93">
        <v>9.5619853726355064E-2</v>
      </c>
      <c r="J943" s="93">
        <v>0.18053244108364375</v>
      </c>
    </row>
    <row r="944" spans="1:10" x14ac:dyDescent="0.3">
      <c r="A944" s="92">
        <v>44682</v>
      </c>
      <c r="B944" s="60">
        <v>0</v>
      </c>
      <c r="C944" s="60">
        <v>0</v>
      </c>
      <c r="D944" s="60">
        <v>101.11431479999999</v>
      </c>
      <c r="E944" s="60">
        <v>124.2399098047276</v>
      </c>
      <c r="F944" s="60">
        <v>57.367006199999999</v>
      </c>
      <c r="G944" s="60">
        <v>62.852430941562893</v>
      </c>
      <c r="H944" s="93">
        <v>0.22870742931373367</v>
      </c>
      <c r="I944" s="93">
        <v>9.5619853726354842E-2</v>
      </c>
      <c r="J944" s="93">
        <v>0.18053244108364352</v>
      </c>
    </row>
    <row r="945" spans="1:10" x14ac:dyDescent="0.3">
      <c r="A945" s="92">
        <v>44713</v>
      </c>
      <c r="B945" s="60">
        <v>0</v>
      </c>
      <c r="C945" s="60">
        <v>0</v>
      </c>
      <c r="D945" s="60">
        <v>24.470587599999998</v>
      </c>
      <c r="E945" s="60">
        <v>30.067192783792528</v>
      </c>
      <c r="F945" s="60">
        <v>13.883339399999999</v>
      </c>
      <c r="G945" s="60">
        <v>15.21086228266134</v>
      </c>
      <c r="H945" s="93">
        <v>0.22870742931373389</v>
      </c>
      <c r="I945" s="93">
        <v>9.5619853726355064E-2</v>
      </c>
      <c r="J945" s="93">
        <v>0.18053244108364352</v>
      </c>
    </row>
    <row r="946" spans="1:10" x14ac:dyDescent="0.3">
      <c r="A946" s="92">
        <v>44743</v>
      </c>
      <c r="B946" s="60">
        <v>0</v>
      </c>
      <c r="C946" s="60">
        <v>0</v>
      </c>
      <c r="D946" s="60">
        <v>7.8490563999999994</v>
      </c>
      <c r="E946" s="60">
        <v>9.6441939117825104</v>
      </c>
      <c r="F946" s="60">
        <v>4.4531466000000002</v>
      </c>
      <c r="G946" s="60">
        <v>4.8789558265140149</v>
      </c>
      <c r="H946" s="93">
        <v>0.22870742931373389</v>
      </c>
      <c r="I946" s="93">
        <v>9.5619853726354842E-2</v>
      </c>
      <c r="J946" s="93">
        <v>0.18053244108364375</v>
      </c>
    </row>
    <row r="947" spans="1:10" x14ac:dyDescent="0.3">
      <c r="A947" s="92">
        <v>44774</v>
      </c>
      <c r="B947" s="60">
        <v>0</v>
      </c>
      <c r="C947" s="60">
        <v>0</v>
      </c>
      <c r="D947" s="60">
        <v>9.2341839999999991</v>
      </c>
      <c r="E947" s="60">
        <v>11.34611048445001</v>
      </c>
      <c r="F947" s="60">
        <v>5.2389959999999993</v>
      </c>
      <c r="G947" s="60">
        <v>5.7399480311929585</v>
      </c>
      <c r="H947" s="93">
        <v>0.22870742931373367</v>
      </c>
      <c r="I947" s="93">
        <v>9.5619853726355064E-2</v>
      </c>
      <c r="J947" s="93">
        <v>0.18053244108364352</v>
      </c>
    </row>
    <row r="948" spans="1:10" x14ac:dyDescent="0.3">
      <c r="A948" s="92">
        <v>44805</v>
      </c>
      <c r="B948" s="60">
        <v>0</v>
      </c>
      <c r="C948" s="60">
        <v>0</v>
      </c>
      <c r="D948" s="60">
        <v>10.157602399999998</v>
      </c>
      <c r="E948" s="60">
        <v>12.480721532895013</v>
      </c>
      <c r="F948" s="60">
        <v>5.7628955999999993</v>
      </c>
      <c r="G948" s="60">
        <v>6.3139428343122539</v>
      </c>
      <c r="H948" s="93">
        <v>0.22870742931373389</v>
      </c>
      <c r="I948" s="93">
        <v>9.5619853726355064E-2</v>
      </c>
      <c r="J948" s="93">
        <v>0.18053244108364397</v>
      </c>
    </row>
    <row r="949" spans="1:10" x14ac:dyDescent="0.3">
      <c r="A949" s="92">
        <v>44835</v>
      </c>
      <c r="B949" s="60">
        <v>0</v>
      </c>
      <c r="C949" s="60">
        <v>0</v>
      </c>
      <c r="D949" s="60">
        <v>10.157602399999998</v>
      </c>
      <c r="E949" s="60">
        <v>12.480721532895013</v>
      </c>
      <c r="F949" s="60">
        <v>5.7628955999999993</v>
      </c>
      <c r="G949" s="60">
        <v>6.3139428343122539</v>
      </c>
      <c r="H949" s="93">
        <v>0.22870742931373389</v>
      </c>
      <c r="I949" s="93">
        <v>9.5619853726355064E-2</v>
      </c>
      <c r="J949" s="93">
        <v>0.18053244108364397</v>
      </c>
    </row>
    <row r="950" spans="1:10" x14ac:dyDescent="0.3">
      <c r="A950" s="91" t="s">
        <v>34</v>
      </c>
      <c r="B950" s="60">
        <v>0</v>
      </c>
      <c r="C950" s="60">
        <v>0</v>
      </c>
      <c r="D950" s="60">
        <v>343.25558879999994</v>
      </c>
      <c r="E950" s="60">
        <v>411.41733401240549</v>
      </c>
      <c r="F950" s="60">
        <v>203.14873919999997</v>
      </c>
      <c r="G950" s="60">
        <v>225.73958613760391</v>
      </c>
      <c r="H950" s="93">
        <v>0.19857432023377908</v>
      </c>
      <c r="I950" s="93">
        <v>0.11120348089073429</v>
      </c>
      <c r="J950" s="93">
        <v>0.16609054412542945</v>
      </c>
    </row>
    <row r="951" spans="1:10" x14ac:dyDescent="0.3">
      <c r="A951" s="92">
        <v>44682</v>
      </c>
      <c r="B951" s="60">
        <v>0</v>
      </c>
      <c r="C951" s="60">
        <v>0</v>
      </c>
      <c r="D951" s="60">
        <v>251.11115819999995</v>
      </c>
      <c r="E951" s="60">
        <v>300.97538574268191</v>
      </c>
      <c r="F951" s="60">
        <v>148.61495879999998</v>
      </c>
      <c r="G951" s="60">
        <v>165.14145953099302</v>
      </c>
      <c r="H951" s="93">
        <v>0.19857432023377908</v>
      </c>
      <c r="I951" s="93">
        <v>0.11120348089073406</v>
      </c>
      <c r="J951" s="93">
        <v>0.16609054412542923</v>
      </c>
    </row>
    <row r="952" spans="1:10" x14ac:dyDescent="0.3">
      <c r="A952" s="92">
        <v>44713</v>
      </c>
      <c r="B952" s="60">
        <v>0</v>
      </c>
      <c r="C952" s="60">
        <v>0</v>
      </c>
      <c r="D952" s="60">
        <v>11.9576742</v>
      </c>
      <c r="E952" s="60">
        <v>14.332161225841997</v>
      </c>
      <c r="F952" s="60">
        <v>7.0769028</v>
      </c>
      <c r="G952" s="60">
        <v>7.8638790252853825</v>
      </c>
      <c r="H952" s="93">
        <v>0.19857432023377908</v>
      </c>
      <c r="I952" s="93">
        <v>0.11120348089073406</v>
      </c>
      <c r="J952" s="93">
        <v>0.16609054412542923</v>
      </c>
    </row>
    <row r="953" spans="1:10" x14ac:dyDescent="0.3">
      <c r="A953" s="92">
        <v>44743</v>
      </c>
      <c r="B953" s="60">
        <v>0</v>
      </c>
      <c r="C953" s="60">
        <v>0</v>
      </c>
      <c r="D953" s="60">
        <v>21.101777999999996</v>
      </c>
      <c r="E953" s="60">
        <v>25.292049222074109</v>
      </c>
      <c r="F953" s="60">
        <v>12.488651999999998</v>
      </c>
      <c r="G953" s="60">
        <v>13.877433574033027</v>
      </c>
      <c r="H953" s="93">
        <v>0.19857432023377908</v>
      </c>
      <c r="I953" s="93">
        <v>0.11120348089073406</v>
      </c>
      <c r="J953" s="93">
        <v>0.16609054412542901</v>
      </c>
    </row>
    <row r="954" spans="1:10" x14ac:dyDescent="0.3">
      <c r="A954" s="92">
        <v>44774</v>
      </c>
      <c r="B954" s="60">
        <v>0</v>
      </c>
      <c r="C954" s="60">
        <v>0</v>
      </c>
      <c r="D954" s="60">
        <v>11.254281599999999</v>
      </c>
      <c r="E954" s="60">
        <v>13.489092918439525</v>
      </c>
      <c r="F954" s="60">
        <v>6.6606144</v>
      </c>
      <c r="G954" s="60">
        <v>7.4012979061509476</v>
      </c>
      <c r="H954" s="93">
        <v>0.19857432023377886</v>
      </c>
      <c r="I954" s="93">
        <v>0.11120348089073406</v>
      </c>
      <c r="J954" s="93">
        <v>0.16609054412542923</v>
      </c>
    </row>
    <row r="955" spans="1:10" x14ac:dyDescent="0.3">
      <c r="A955" s="92">
        <v>44805</v>
      </c>
      <c r="B955" s="60">
        <v>0</v>
      </c>
      <c r="C955" s="60">
        <v>0</v>
      </c>
      <c r="D955" s="60">
        <v>23.915348399999999</v>
      </c>
      <c r="E955" s="60">
        <v>28.664322451683994</v>
      </c>
      <c r="F955" s="60">
        <v>14.1538056</v>
      </c>
      <c r="G955" s="60">
        <v>15.727758050570765</v>
      </c>
      <c r="H955" s="93">
        <v>0.19857432023377908</v>
      </c>
      <c r="I955" s="93">
        <v>0.11120348089073406</v>
      </c>
      <c r="J955" s="93">
        <v>0.16609054412542923</v>
      </c>
    </row>
    <row r="956" spans="1:10" x14ac:dyDescent="0.3">
      <c r="A956" s="92">
        <v>44835</v>
      </c>
      <c r="B956" s="60">
        <v>0</v>
      </c>
      <c r="C956" s="60">
        <v>0</v>
      </c>
      <c r="D956" s="60">
        <v>23.915348399999999</v>
      </c>
      <c r="E956" s="60">
        <v>28.664322451683994</v>
      </c>
      <c r="F956" s="60">
        <v>14.1538056</v>
      </c>
      <c r="G956" s="60">
        <v>15.727758050570765</v>
      </c>
      <c r="H956" s="93">
        <v>0.19857432023377908</v>
      </c>
      <c r="I956" s="93">
        <v>0.11120348089073406</v>
      </c>
      <c r="J956" s="93">
        <v>0.16609054412542923</v>
      </c>
    </row>
    <row r="957" spans="1:10" x14ac:dyDescent="0.3">
      <c r="A957" s="85" t="s">
        <v>23</v>
      </c>
      <c r="B957" s="60">
        <v>0</v>
      </c>
      <c r="C957" s="60">
        <v>0</v>
      </c>
      <c r="D957" s="60">
        <v>14309525.095865995</v>
      </c>
      <c r="E957" s="60">
        <v>18379646.650892884</v>
      </c>
      <c r="F957" s="60">
        <v>13931178.012079204</v>
      </c>
      <c r="G957" s="60">
        <v>14831003.518378746</v>
      </c>
      <c r="H957" s="93">
        <v>0.2844344258638416</v>
      </c>
      <c r="I957" s="93">
        <v>6.4590769389303082E-2</v>
      </c>
      <c r="J957" s="93">
        <v>0.17598524520900383</v>
      </c>
    </row>
    <row r="958" spans="1:10" x14ac:dyDescent="0.3">
      <c r="A958" s="86" t="s">
        <v>26</v>
      </c>
      <c r="B958" s="60">
        <v>0</v>
      </c>
      <c r="C958" s="60">
        <v>0</v>
      </c>
      <c r="D958" s="60">
        <v>14309525.095865995</v>
      </c>
      <c r="E958" s="60">
        <v>18379646.650892884</v>
      </c>
      <c r="F958" s="60">
        <v>13931178.012079204</v>
      </c>
      <c r="G958" s="60">
        <v>14831003.518378746</v>
      </c>
      <c r="H958" s="93">
        <v>0.2844344258638416</v>
      </c>
      <c r="I958" s="93">
        <v>6.4590769389303082E-2</v>
      </c>
      <c r="J958" s="93">
        <v>0.17598524520900383</v>
      </c>
    </row>
    <row r="959" spans="1:10" x14ac:dyDescent="0.3">
      <c r="A959" s="87" t="s">
        <v>42</v>
      </c>
      <c r="B959" s="60">
        <v>0</v>
      </c>
      <c r="C959" s="60">
        <v>0</v>
      </c>
      <c r="D959" s="60">
        <v>11977351.085699998</v>
      </c>
      <c r="E959" s="60">
        <v>15384122.065130735</v>
      </c>
      <c r="F959" s="60">
        <v>11660667.210840002</v>
      </c>
      <c r="G959" s="60">
        <v>12402446.207940957</v>
      </c>
      <c r="H959" s="93">
        <v>0.28443442586384116</v>
      </c>
      <c r="I959" s="93">
        <v>6.3613769580129986E-2</v>
      </c>
      <c r="J959" s="93">
        <v>0.17550328984807173</v>
      </c>
    </row>
    <row r="960" spans="1:10" x14ac:dyDescent="0.3">
      <c r="A960" s="88" t="s">
        <v>25</v>
      </c>
      <c r="B960" s="60">
        <v>0</v>
      </c>
      <c r="C960" s="60">
        <v>0</v>
      </c>
      <c r="D960" s="60">
        <v>11977351.085699998</v>
      </c>
      <c r="E960" s="60">
        <v>15384122.065130735</v>
      </c>
      <c r="F960" s="60">
        <v>11660667.210840002</v>
      </c>
      <c r="G960" s="60">
        <v>12402446.207940957</v>
      </c>
      <c r="H960" s="93">
        <v>0.28443442586384116</v>
      </c>
      <c r="I960" s="93">
        <v>6.3613769580129986E-2</v>
      </c>
      <c r="J960" s="93">
        <v>0.17550328984807173</v>
      </c>
    </row>
    <row r="961" spans="1:10" x14ac:dyDescent="0.3">
      <c r="A961" s="89" t="s">
        <v>25</v>
      </c>
      <c r="B961" s="60">
        <v>0</v>
      </c>
      <c r="C961" s="60">
        <v>0</v>
      </c>
      <c r="D961" s="60">
        <v>11977351.085699998</v>
      </c>
      <c r="E961" s="60">
        <v>15384122.065130735</v>
      </c>
      <c r="F961" s="60">
        <v>11660667.210840002</v>
      </c>
      <c r="G961" s="60">
        <v>12402446.207940957</v>
      </c>
      <c r="H961" s="93">
        <v>0.28443442586384116</v>
      </c>
      <c r="I961" s="93">
        <v>6.3613769580129986E-2</v>
      </c>
      <c r="J961" s="93">
        <v>0.17550328984807173</v>
      </c>
    </row>
    <row r="962" spans="1:10" x14ac:dyDescent="0.3">
      <c r="A962" s="90" t="s">
        <v>25</v>
      </c>
      <c r="B962" s="60">
        <v>0</v>
      </c>
      <c r="C962" s="60">
        <v>0</v>
      </c>
      <c r="D962" s="60">
        <v>11977351.085699998</v>
      </c>
      <c r="E962" s="60">
        <v>15384122.065130735</v>
      </c>
      <c r="F962" s="60">
        <v>11660667.210840002</v>
      </c>
      <c r="G962" s="60">
        <v>12402446.207940957</v>
      </c>
      <c r="H962" s="93">
        <v>0.28443442586384116</v>
      </c>
      <c r="I962" s="93">
        <v>6.3613769580129986E-2</v>
      </c>
      <c r="J962" s="93">
        <v>0.17550328984807173</v>
      </c>
    </row>
    <row r="963" spans="1:10" x14ac:dyDescent="0.3">
      <c r="A963" s="91" t="s">
        <v>25</v>
      </c>
      <c r="B963" s="60">
        <v>0</v>
      </c>
      <c r="C963" s="60">
        <v>0</v>
      </c>
      <c r="D963" s="60">
        <v>11977351.085699998</v>
      </c>
      <c r="E963" s="60">
        <v>15384122.065130735</v>
      </c>
      <c r="F963" s="60">
        <v>11660667.210840002</v>
      </c>
      <c r="G963" s="60">
        <v>12402446.207940957</v>
      </c>
      <c r="H963" s="93">
        <v>0.28443442586384116</v>
      </c>
      <c r="I963" s="93">
        <v>6.3613769580129986E-2</v>
      </c>
      <c r="J963" s="93">
        <v>0.17550328984807173</v>
      </c>
    </row>
    <row r="964" spans="1:10" x14ac:dyDescent="0.3">
      <c r="A964" s="92">
        <v>44501</v>
      </c>
      <c r="B964" s="60">
        <v>0</v>
      </c>
      <c r="C964" s="60">
        <v>0</v>
      </c>
      <c r="D964" s="60">
        <v>975223.04879999999</v>
      </c>
      <c r="E964" s="60">
        <v>1252610.0567746127</v>
      </c>
      <c r="F964" s="60">
        <v>949437.93056000001</v>
      </c>
      <c r="G964" s="60">
        <v>1009835.2563052796</v>
      </c>
      <c r="H964" s="93">
        <v>0.28443442586384116</v>
      </c>
      <c r="I964" s="93">
        <v>6.3613769580130208E-2</v>
      </c>
      <c r="J964" s="93">
        <v>0.17550328984807195</v>
      </c>
    </row>
    <row r="965" spans="1:10" x14ac:dyDescent="0.3">
      <c r="A965" s="92">
        <v>44531</v>
      </c>
      <c r="B965" s="60">
        <v>0</v>
      </c>
      <c r="C965" s="60">
        <v>0</v>
      </c>
      <c r="D965" s="60">
        <v>987309.22290000017</v>
      </c>
      <c r="E965" s="60">
        <v>1268133.9548656368</v>
      </c>
      <c r="F965" s="60">
        <v>961204.54348000011</v>
      </c>
      <c r="G965" s="60">
        <v>1022350.3878283111</v>
      </c>
      <c r="H965" s="93">
        <v>0.28443442586384093</v>
      </c>
      <c r="I965" s="93">
        <v>6.3613769580130208E-2</v>
      </c>
      <c r="J965" s="93">
        <v>0.17550328984807173</v>
      </c>
    </row>
    <row r="966" spans="1:10" x14ac:dyDescent="0.3">
      <c r="A966" s="92">
        <v>44562</v>
      </c>
      <c r="B966" s="60">
        <v>0</v>
      </c>
      <c r="C966" s="60">
        <v>0</v>
      </c>
      <c r="D966" s="60">
        <v>1078695.3177000002</v>
      </c>
      <c r="E966" s="60">
        <v>1385513.4010720134</v>
      </c>
      <c r="F966" s="60">
        <v>1050174.3692400001</v>
      </c>
      <c r="G966" s="60">
        <v>1116979.9195837921</v>
      </c>
      <c r="H966" s="93">
        <v>0.28443442586384093</v>
      </c>
      <c r="I966" s="93">
        <v>6.3613769580130208E-2</v>
      </c>
      <c r="J966" s="93">
        <v>0.17550328984807195</v>
      </c>
    </row>
    <row r="967" spans="1:10" x14ac:dyDescent="0.3">
      <c r="A967" s="92">
        <v>44593</v>
      </c>
      <c r="B967" s="60">
        <v>0</v>
      </c>
      <c r="C967" s="60">
        <v>0</v>
      </c>
      <c r="D967" s="60">
        <v>997639.8432</v>
      </c>
      <c r="E967" s="60">
        <v>1281402.9592194846</v>
      </c>
      <c r="F967" s="60">
        <v>971262.01983999996</v>
      </c>
      <c r="G967" s="60">
        <v>1033047.6581720336</v>
      </c>
      <c r="H967" s="93">
        <v>0.28443442586384116</v>
      </c>
      <c r="I967" s="93">
        <v>6.3613769580130208E-2</v>
      </c>
      <c r="J967" s="93">
        <v>0.17550328984807217</v>
      </c>
    </row>
    <row r="968" spans="1:10" x14ac:dyDescent="0.3">
      <c r="A968" s="92">
        <v>44621</v>
      </c>
      <c r="B968" s="60">
        <v>0</v>
      </c>
      <c r="C968" s="60">
        <v>0</v>
      </c>
      <c r="D968" s="60">
        <v>1025564.4399</v>
      </c>
      <c r="E968" s="60">
        <v>1317270.2725493286</v>
      </c>
      <c r="F968" s="60">
        <v>998448.28388000012</v>
      </c>
      <c r="G968" s="60">
        <v>1061963.3429484188</v>
      </c>
      <c r="H968" s="93">
        <v>0.28443442586384138</v>
      </c>
      <c r="I968" s="93">
        <v>6.3613769580130208E-2</v>
      </c>
      <c r="J968" s="93">
        <v>0.17550328984807217</v>
      </c>
    </row>
    <row r="969" spans="1:10" x14ac:dyDescent="0.3">
      <c r="A969" s="92">
        <v>44652</v>
      </c>
      <c r="B969" s="60">
        <v>0</v>
      </c>
      <c r="C969" s="60">
        <v>0</v>
      </c>
      <c r="D969" s="60">
        <v>1095590.7962999998</v>
      </c>
      <c r="E969" s="60">
        <v>1407214.5354272991</v>
      </c>
      <c r="F969" s="60">
        <v>1066623.1275599999</v>
      </c>
      <c r="G969" s="60">
        <v>1134475.0454254397</v>
      </c>
      <c r="H969" s="93">
        <v>0.28443442586384138</v>
      </c>
      <c r="I969" s="93">
        <v>6.3613769580130208E-2</v>
      </c>
      <c r="J969" s="93">
        <v>0.17550328984807217</v>
      </c>
    </row>
    <row r="970" spans="1:10" x14ac:dyDescent="0.3">
      <c r="A970" s="92">
        <v>44682</v>
      </c>
      <c r="B970" s="60">
        <v>0</v>
      </c>
      <c r="C970" s="60">
        <v>0</v>
      </c>
      <c r="D970" s="60">
        <v>994054.56150000007</v>
      </c>
      <c r="E970" s="60">
        <v>1276797.8999775848</v>
      </c>
      <c r="F970" s="60">
        <v>967771.53380000009</v>
      </c>
      <c r="G970" s="60">
        <v>1029335.1291573624</v>
      </c>
      <c r="H970" s="93">
        <v>0.28443442586384093</v>
      </c>
      <c r="I970" s="93">
        <v>6.3613769580130208E-2</v>
      </c>
      <c r="J970" s="93">
        <v>0.17550328984807195</v>
      </c>
    </row>
    <row r="971" spans="1:10" x14ac:dyDescent="0.3">
      <c r="A971" s="92">
        <v>44713</v>
      </c>
      <c r="B971" s="60">
        <v>0</v>
      </c>
      <c r="C971" s="60">
        <v>0</v>
      </c>
      <c r="D971" s="60">
        <v>931880.14919999999</v>
      </c>
      <c r="E971" s="60">
        <v>1196938.9444116128</v>
      </c>
      <c r="F971" s="60">
        <v>907241.02703999996</v>
      </c>
      <c r="G971" s="60">
        <v>964954.0486877634</v>
      </c>
      <c r="H971" s="93">
        <v>0.28443442586384138</v>
      </c>
      <c r="I971" s="93">
        <v>6.361376958013043E-2</v>
      </c>
      <c r="J971" s="93">
        <v>0.17550328984807217</v>
      </c>
    </row>
    <row r="972" spans="1:10" x14ac:dyDescent="0.3">
      <c r="A972" s="92">
        <v>44743</v>
      </c>
      <c r="B972" s="60">
        <v>0</v>
      </c>
      <c r="C972" s="60">
        <v>0</v>
      </c>
      <c r="D972" s="60">
        <v>950709.86010000005</v>
      </c>
      <c r="E972" s="60">
        <v>1221124.4733206364</v>
      </c>
      <c r="F972" s="60">
        <v>925572.87612000015</v>
      </c>
      <c r="G972" s="60">
        <v>984452.0557911162</v>
      </c>
      <c r="H972" s="93">
        <v>0.28443442586384138</v>
      </c>
      <c r="I972" s="93">
        <v>6.3613769580130208E-2</v>
      </c>
      <c r="J972" s="93">
        <v>0.17550328984807195</v>
      </c>
    </row>
    <row r="973" spans="1:10" x14ac:dyDescent="0.3">
      <c r="A973" s="92">
        <v>44774</v>
      </c>
      <c r="B973" s="60">
        <v>0</v>
      </c>
      <c r="C973" s="60">
        <v>0</v>
      </c>
      <c r="D973" s="60">
        <v>924578.95530000003</v>
      </c>
      <c r="E973" s="60">
        <v>1187561.0396165454</v>
      </c>
      <c r="F973" s="60">
        <v>900132.87835999997</v>
      </c>
      <c r="G973" s="60">
        <v>957393.72387549235</v>
      </c>
      <c r="H973" s="93">
        <v>0.28443442586384093</v>
      </c>
      <c r="I973" s="93">
        <v>6.3613769580130208E-2</v>
      </c>
      <c r="J973" s="93">
        <v>0.17550328984807173</v>
      </c>
    </row>
    <row r="974" spans="1:10" x14ac:dyDescent="0.3">
      <c r="A974" s="92">
        <v>44805</v>
      </c>
      <c r="B974" s="60">
        <v>0</v>
      </c>
      <c r="C974" s="60">
        <v>0</v>
      </c>
      <c r="D974" s="60">
        <v>1008052.4454000002</v>
      </c>
      <c r="E974" s="60">
        <v>1294777.26394799</v>
      </c>
      <c r="F974" s="60">
        <v>981399.31047999999</v>
      </c>
      <c r="G974" s="60">
        <v>1043829.8200829736</v>
      </c>
      <c r="H974" s="93">
        <v>0.28443442586384093</v>
      </c>
      <c r="I974" s="93">
        <v>6.361376958013043E-2</v>
      </c>
      <c r="J974" s="93">
        <v>0.17550328984807195</v>
      </c>
    </row>
    <row r="975" spans="1:10" x14ac:dyDescent="0.3">
      <c r="A975" s="92">
        <v>44835</v>
      </c>
      <c r="B975" s="60">
        <v>0</v>
      </c>
      <c r="C975" s="60">
        <v>0</v>
      </c>
      <c r="D975" s="60">
        <v>1008052.4454000002</v>
      </c>
      <c r="E975" s="60">
        <v>1294777.26394799</v>
      </c>
      <c r="F975" s="60">
        <v>981399.31047999999</v>
      </c>
      <c r="G975" s="60">
        <v>1043829.8200829736</v>
      </c>
      <c r="H975" s="93">
        <v>0.28443442586384093</v>
      </c>
      <c r="I975" s="93">
        <v>6.361376958013043E-2</v>
      </c>
      <c r="J975" s="93">
        <v>0.17550328984807195</v>
      </c>
    </row>
    <row r="976" spans="1:10" x14ac:dyDescent="0.3">
      <c r="A976" s="87" t="s">
        <v>52</v>
      </c>
      <c r="B976" s="60">
        <v>0</v>
      </c>
      <c r="C976" s="60">
        <v>0</v>
      </c>
      <c r="D976" s="60">
        <v>68026.058099999995</v>
      </c>
      <c r="E976" s="60">
        <v>87375.01087945381</v>
      </c>
      <c r="F976" s="60">
        <v>66227.433720000001</v>
      </c>
      <c r="G976" s="60">
        <v>70440.410428547431</v>
      </c>
      <c r="H976" s="93">
        <v>0.28443442586384116</v>
      </c>
      <c r="I976" s="93">
        <v>6.3613769580130652E-2</v>
      </c>
      <c r="J976" s="93">
        <v>0.17550328984807217</v>
      </c>
    </row>
    <row r="977" spans="1:10" x14ac:dyDescent="0.3">
      <c r="A977" s="88" t="s">
        <v>25</v>
      </c>
      <c r="B977" s="60">
        <v>0</v>
      </c>
      <c r="C977" s="60">
        <v>0</v>
      </c>
      <c r="D977" s="60">
        <v>68026.058099999995</v>
      </c>
      <c r="E977" s="60">
        <v>87375.01087945381</v>
      </c>
      <c r="F977" s="60">
        <v>66227.433720000001</v>
      </c>
      <c r="G977" s="60">
        <v>70440.410428547431</v>
      </c>
      <c r="H977" s="93">
        <v>0.28443442586384116</v>
      </c>
      <c r="I977" s="93">
        <v>6.3613769580130652E-2</v>
      </c>
      <c r="J977" s="93">
        <v>0.17550328984807217</v>
      </c>
    </row>
    <row r="978" spans="1:10" x14ac:dyDescent="0.3">
      <c r="A978" s="89" t="s">
        <v>25</v>
      </c>
      <c r="B978" s="60">
        <v>0</v>
      </c>
      <c r="C978" s="60">
        <v>0</v>
      </c>
      <c r="D978" s="60">
        <v>68026.058099999995</v>
      </c>
      <c r="E978" s="60">
        <v>87375.01087945381</v>
      </c>
      <c r="F978" s="60">
        <v>66227.433720000001</v>
      </c>
      <c r="G978" s="60">
        <v>70440.410428547431</v>
      </c>
      <c r="H978" s="93">
        <v>0.28443442586384116</v>
      </c>
      <c r="I978" s="93">
        <v>6.3613769580130652E-2</v>
      </c>
      <c r="J978" s="93">
        <v>0.17550328984807217</v>
      </c>
    </row>
    <row r="979" spans="1:10" x14ac:dyDescent="0.3">
      <c r="A979" s="90" t="s">
        <v>25</v>
      </c>
      <c r="B979" s="60">
        <v>0</v>
      </c>
      <c r="C979" s="60">
        <v>0</v>
      </c>
      <c r="D979" s="60">
        <v>68026.058099999995</v>
      </c>
      <c r="E979" s="60">
        <v>87375.01087945381</v>
      </c>
      <c r="F979" s="60">
        <v>66227.433720000001</v>
      </c>
      <c r="G979" s="60">
        <v>70440.410428547431</v>
      </c>
      <c r="H979" s="93">
        <v>0.28443442586384116</v>
      </c>
      <c r="I979" s="93">
        <v>6.3613769580130652E-2</v>
      </c>
      <c r="J979" s="93">
        <v>0.17550328984807217</v>
      </c>
    </row>
    <row r="980" spans="1:10" x14ac:dyDescent="0.3">
      <c r="A980" s="91" t="s">
        <v>25</v>
      </c>
      <c r="B980" s="60">
        <v>0</v>
      </c>
      <c r="C980" s="60">
        <v>0</v>
      </c>
      <c r="D980" s="60">
        <v>68026.058099999995</v>
      </c>
      <c r="E980" s="60">
        <v>87375.01087945381</v>
      </c>
      <c r="F980" s="60">
        <v>66227.433720000001</v>
      </c>
      <c r="G980" s="60">
        <v>70440.410428547431</v>
      </c>
      <c r="H980" s="93">
        <v>0.28443442586384116</v>
      </c>
      <c r="I980" s="93">
        <v>6.3613769580130652E-2</v>
      </c>
      <c r="J980" s="93">
        <v>0.17550328984807217</v>
      </c>
    </row>
    <row r="981" spans="1:10" x14ac:dyDescent="0.3">
      <c r="A981" s="92">
        <v>44501</v>
      </c>
      <c r="B981" s="60">
        <v>0</v>
      </c>
      <c r="C981" s="60">
        <v>0</v>
      </c>
      <c r="D981" s="60">
        <v>5842.3365000000003</v>
      </c>
      <c r="E981" s="60">
        <v>7504.0981280808637</v>
      </c>
      <c r="F981" s="60">
        <v>5687.8638000000001</v>
      </c>
      <c r="G981" s="60">
        <v>6049.6902571763649</v>
      </c>
      <c r="H981" s="93">
        <v>0.28443442586384116</v>
      </c>
      <c r="I981" s="93">
        <v>6.361376958013043E-2</v>
      </c>
      <c r="J981" s="93">
        <v>0.17550328984807217</v>
      </c>
    </row>
    <row r="982" spans="1:10" x14ac:dyDescent="0.3">
      <c r="A982" s="92">
        <v>44531</v>
      </c>
      <c r="B982" s="60">
        <v>0</v>
      </c>
      <c r="C982" s="60">
        <v>0</v>
      </c>
      <c r="D982" s="60">
        <v>5484.9795000000013</v>
      </c>
      <c r="E982" s="60">
        <v>7045.0964949574391</v>
      </c>
      <c r="F982" s="60">
        <v>5339.9554000000007</v>
      </c>
      <c r="G982" s="60">
        <v>5679.650092383773</v>
      </c>
      <c r="H982" s="93">
        <v>0.28443442586384093</v>
      </c>
      <c r="I982" s="93">
        <v>6.3613769580130208E-2</v>
      </c>
      <c r="J982" s="93">
        <v>0.17550328984807195</v>
      </c>
    </row>
    <row r="983" spans="1:10" x14ac:dyDescent="0.3">
      <c r="A983" s="92">
        <v>44562</v>
      </c>
      <c r="B983" s="60">
        <v>0</v>
      </c>
      <c r="C983" s="60">
        <v>0</v>
      </c>
      <c r="D983" s="60">
        <v>5673.2676000000001</v>
      </c>
      <c r="E983" s="60">
        <v>7286.9402125779325</v>
      </c>
      <c r="F983" s="60">
        <v>5523.26512</v>
      </c>
      <c r="G983" s="60">
        <v>5874.6208346736503</v>
      </c>
      <c r="H983" s="93">
        <v>0.28443442586384116</v>
      </c>
      <c r="I983" s="93">
        <v>6.3613769580130208E-2</v>
      </c>
      <c r="J983" s="93">
        <v>0.17550328984807217</v>
      </c>
    </row>
    <row r="984" spans="1:10" x14ac:dyDescent="0.3">
      <c r="A984" s="92">
        <v>44593</v>
      </c>
      <c r="B984" s="60">
        <v>0</v>
      </c>
      <c r="C984" s="60">
        <v>0</v>
      </c>
      <c r="D984" s="60">
        <v>4999.6947000000009</v>
      </c>
      <c r="E984" s="60">
        <v>6421.7799914889893</v>
      </c>
      <c r="F984" s="60">
        <v>4867.5016400000004</v>
      </c>
      <c r="G984" s="60">
        <v>5177.1417677578665</v>
      </c>
      <c r="H984" s="93">
        <v>0.28443442586384093</v>
      </c>
      <c r="I984" s="93">
        <v>6.3613769580130208E-2</v>
      </c>
      <c r="J984" s="93">
        <v>0.17550328984807173</v>
      </c>
    </row>
    <row r="985" spans="1:10" x14ac:dyDescent="0.3">
      <c r="A985" s="92">
        <v>44621</v>
      </c>
      <c r="B985" s="60">
        <v>0</v>
      </c>
      <c r="C985" s="60">
        <v>0</v>
      </c>
      <c r="D985" s="60">
        <v>5681.0753999999997</v>
      </c>
      <c r="E985" s="60">
        <v>7296.9688196881916</v>
      </c>
      <c r="F985" s="60">
        <v>5530.8664800000006</v>
      </c>
      <c r="G985" s="60">
        <v>5882.7057458371855</v>
      </c>
      <c r="H985" s="93">
        <v>0.28443442586384116</v>
      </c>
      <c r="I985" s="93">
        <v>6.3613769580129986E-2</v>
      </c>
      <c r="J985" s="93">
        <v>0.17550328984807195</v>
      </c>
    </row>
    <row r="986" spans="1:10" x14ac:dyDescent="0.3">
      <c r="A986" s="92">
        <v>44652</v>
      </c>
      <c r="B986" s="60">
        <v>0</v>
      </c>
      <c r="C986" s="60">
        <v>0</v>
      </c>
      <c r="D986" s="60">
        <v>6035.1291000000001</v>
      </c>
      <c r="E986" s="60">
        <v>7751.7275805726604</v>
      </c>
      <c r="F986" s="60">
        <v>5875.5589199999995</v>
      </c>
      <c r="G986" s="60">
        <v>6249.3253712913584</v>
      </c>
      <c r="H986" s="93">
        <v>0.28443442586384116</v>
      </c>
      <c r="I986" s="93">
        <v>6.3613769580130208E-2</v>
      </c>
      <c r="J986" s="93">
        <v>0.17550328984807195</v>
      </c>
    </row>
    <row r="987" spans="1:10" x14ac:dyDescent="0.3">
      <c r="A987" s="92">
        <v>44682</v>
      </c>
      <c r="B987" s="60">
        <v>0</v>
      </c>
      <c r="C987" s="60">
        <v>0</v>
      </c>
      <c r="D987" s="60">
        <v>5726.1203999999998</v>
      </c>
      <c r="E987" s="60">
        <v>7354.8261684012286</v>
      </c>
      <c r="F987" s="60">
        <v>5574.72048</v>
      </c>
      <c r="G987" s="60">
        <v>5929.3494640883537</v>
      </c>
      <c r="H987" s="93">
        <v>0.28443442586384116</v>
      </c>
      <c r="I987" s="93">
        <v>6.361376958013043E-2</v>
      </c>
      <c r="J987" s="93">
        <v>0.17550328984807217</v>
      </c>
    </row>
    <row r="988" spans="1:10" x14ac:dyDescent="0.3">
      <c r="A988" s="92">
        <v>44713</v>
      </c>
      <c r="B988" s="60">
        <v>0</v>
      </c>
      <c r="C988" s="60">
        <v>0</v>
      </c>
      <c r="D988" s="60">
        <v>6517.4109000000008</v>
      </c>
      <c r="E988" s="60">
        <v>8371.1869274602413</v>
      </c>
      <c r="F988" s="60">
        <v>6345.0890799999997</v>
      </c>
      <c r="G988" s="60">
        <v>6748.7241147005207</v>
      </c>
      <c r="H988" s="93">
        <v>0.28443442586384116</v>
      </c>
      <c r="I988" s="93">
        <v>6.3613769580130208E-2</v>
      </c>
      <c r="J988" s="93">
        <v>0.17550328984807217</v>
      </c>
    </row>
    <row r="989" spans="1:10" x14ac:dyDescent="0.3">
      <c r="A989" s="92">
        <v>44743</v>
      </c>
      <c r="B989" s="60">
        <v>0</v>
      </c>
      <c r="C989" s="60">
        <v>0</v>
      </c>
      <c r="D989" s="60">
        <v>2278.6764000000003</v>
      </c>
      <c r="E989" s="60">
        <v>2926.8104135634844</v>
      </c>
      <c r="F989" s="60">
        <v>2218.4276800000002</v>
      </c>
      <c r="G989" s="60">
        <v>2359.5502272657031</v>
      </c>
      <c r="H989" s="93">
        <v>0.28443442586384093</v>
      </c>
      <c r="I989" s="93">
        <v>6.3613769580130208E-2</v>
      </c>
      <c r="J989" s="93">
        <v>0.17550328984807173</v>
      </c>
    </row>
    <row r="990" spans="1:10" x14ac:dyDescent="0.3">
      <c r="A990" s="92">
        <v>44774</v>
      </c>
      <c r="B990" s="60">
        <v>0</v>
      </c>
      <c r="C990" s="60">
        <v>0</v>
      </c>
      <c r="D990" s="60">
        <v>6456.4500000000007</v>
      </c>
      <c r="E990" s="60">
        <v>8292.8866488685981</v>
      </c>
      <c r="F990" s="60">
        <v>6285.7400000000007</v>
      </c>
      <c r="G990" s="60">
        <v>6685.5996160006089</v>
      </c>
      <c r="H990" s="93">
        <v>0.28443442586384116</v>
      </c>
      <c r="I990" s="93">
        <v>6.3613769580130208E-2</v>
      </c>
      <c r="J990" s="93">
        <v>0.17550328984807195</v>
      </c>
    </row>
    <row r="991" spans="1:10" x14ac:dyDescent="0.3">
      <c r="A991" s="92">
        <v>44805</v>
      </c>
      <c r="B991" s="60">
        <v>0</v>
      </c>
      <c r="C991" s="60">
        <v>0</v>
      </c>
      <c r="D991" s="60">
        <v>6665.4588000000003</v>
      </c>
      <c r="E991" s="60">
        <v>8561.344746897088</v>
      </c>
      <c r="F991" s="60">
        <v>6489.2225600000002</v>
      </c>
      <c r="G991" s="60">
        <v>6902.0264686860228</v>
      </c>
      <c r="H991" s="93">
        <v>0.28443442586384116</v>
      </c>
      <c r="I991" s="93">
        <v>6.3613769580130208E-2</v>
      </c>
      <c r="J991" s="93">
        <v>0.17550328984807195</v>
      </c>
    </row>
    <row r="992" spans="1:10" x14ac:dyDescent="0.3">
      <c r="A992" s="92">
        <v>44835</v>
      </c>
      <c r="B992" s="60">
        <v>0</v>
      </c>
      <c r="C992" s="60">
        <v>0</v>
      </c>
      <c r="D992" s="60">
        <v>6665.4588000000003</v>
      </c>
      <c r="E992" s="60">
        <v>8561.344746897088</v>
      </c>
      <c r="F992" s="60">
        <v>6489.2225600000002</v>
      </c>
      <c r="G992" s="60">
        <v>6902.0264686860228</v>
      </c>
      <c r="H992" s="93">
        <v>0.28443442586384116</v>
      </c>
      <c r="I992" s="93">
        <v>6.3613769580130208E-2</v>
      </c>
      <c r="J992" s="93">
        <v>0.17550328984807195</v>
      </c>
    </row>
    <row r="993" spans="1:10" x14ac:dyDescent="0.3">
      <c r="A993" s="87" t="s">
        <v>38</v>
      </c>
      <c r="B993" s="60">
        <v>0</v>
      </c>
      <c r="C993" s="60">
        <v>0</v>
      </c>
      <c r="D993" s="60">
        <v>685734.44940000016</v>
      </c>
      <c r="E993" s="60">
        <v>880780.93381014629</v>
      </c>
      <c r="F993" s="60">
        <v>667603.4752799999</v>
      </c>
      <c r="G993" s="60">
        <v>710072.24892735609</v>
      </c>
      <c r="H993" s="93">
        <v>0.28443442586384116</v>
      </c>
      <c r="I993" s="93">
        <v>6.3613769580130652E-2</v>
      </c>
      <c r="J993" s="93">
        <v>0.17550328984807217</v>
      </c>
    </row>
    <row r="994" spans="1:10" x14ac:dyDescent="0.3">
      <c r="A994" s="88" t="s">
        <v>25</v>
      </c>
      <c r="B994" s="60">
        <v>0</v>
      </c>
      <c r="C994" s="60">
        <v>0</v>
      </c>
      <c r="D994" s="60">
        <v>685734.44940000016</v>
      </c>
      <c r="E994" s="60">
        <v>880780.93381014629</v>
      </c>
      <c r="F994" s="60">
        <v>667603.4752799999</v>
      </c>
      <c r="G994" s="60">
        <v>710072.24892735609</v>
      </c>
      <c r="H994" s="93">
        <v>0.28443442586384116</v>
      </c>
      <c r="I994" s="93">
        <v>6.3613769580130652E-2</v>
      </c>
      <c r="J994" s="93">
        <v>0.17550328984807217</v>
      </c>
    </row>
    <row r="995" spans="1:10" x14ac:dyDescent="0.3">
      <c r="A995" s="89" t="s">
        <v>25</v>
      </c>
      <c r="B995" s="60">
        <v>0</v>
      </c>
      <c r="C995" s="60">
        <v>0</v>
      </c>
      <c r="D995" s="60">
        <v>685734.44940000016</v>
      </c>
      <c r="E995" s="60">
        <v>880780.93381014629</v>
      </c>
      <c r="F995" s="60">
        <v>667603.4752799999</v>
      </c>
      <c r="G995" s="60">
        <v>710072.24892735609</v>
      </c>
      <c r="H995" s="93">
        <v>0.28443442586384116</v>
      </c>
      <c r="I995" s="93">
        <v>6.3613769580130652E-2</v>
      </c>
      <c r="J995" s="93">
        <v>0.17550328984807217</v>
      </c>
    </row>
    <row r="996" spans="1:10" x14ac:dyDescent="0.3">
      <c r="A996" s="90" t="s">
        <v>25</v>
      </c>
      <c r="B996" s="60">
        <v>0</v>
      </c>
      <c r="C996" s="60">
        <v>0</v>
      </c>
      <c r="D996" s="60">
        <v>685734.44940000016</v>
      </c>
      <c r="E996" s="60">
        <v>880780.93381014629</v>
      </c>
      <c r="F996" s="60">
        <v>667603.4752799999</v>
      </c>
      <c r="G996" s="60">
        <v>710072.24892735609</v>
      </c>
      <c r="H996" s="93">
        <v>0.28443442586384116</v>
      </c>
      <c r="I996" s="93">
        <v>6.3613769580130652E-2</v>
      </c>
      <c r="J996" s="93">
        <v>0.17550328984807217</v>
      </c>
    </row>
    <row r="997" spans="1:10" x14ac:dyDescent="0.3">
      <c r="A997" s="91" t="s">
        <v>25</v>
      </c>
      <c r="B997" s="60">
        <v>0</v>
      </c>
      <c r="C997" s="60">
        <v>0</v>
      </c>
      <c r="D997" s="60">
        <v>685734.44940000016</v>
      </c>
      <c r="E997" s="60">
        <v>880780.93381014629</v>
      </c>
      <c r="F997" s="60">
        <v>667603.4752799999</v>
      </c>
      <c r="G997" s="60">
        <v>710072.24892735609</v>
      </c>
      <c r="H997" s="93">
        <v>0.28443442586384116</v>
      </c>
      <c r="I997" s="93">
        <v>6.3613769580130652E-2</v>
      </c>
      <c r="J997" s="93">
        <v>0.17550328984807217</v>
      </c>
    </row>
    <row r="998" spans="1:10" x14ac:dyDescent="0.3">
      <c r="A998" s="92">
        <v>44501</v>
      </c>
      <c r="B998" s="60">
        <v>0</v>
      </c>
      <c r="C998" s="60">
        <v>0</v>
      </c>
      <c r="D998" s="60">
        <v>56794.537800000006</v>
      </c>
      <c r="E998" s="60">
        <v>72948.859551345231</v>
      </c>
      <c r="F998" s="60">
        <v>55292.877360000006</v>
      </c>
      <c r="G998" s="60">
        <v>58810.265719801449</v>
      </c>
      <c r="H998" s="93">
        <v>0.28443442586384116</v>
      </c>
      <c r="I998" s="93">
        <v>6.3613769580130208E-2</v>
      </c>
      <c r="J998" s="93">
        <v>0.17550328984807217</v>
      </c>
    </row>
    <row r="999" spans="1:10" x14ac:dyDescent="0.3">
      <c r="A999" s="92">
        <v>44531</v>
      </c>
      <c r="B999" s="60">
        <v>0</v>
      </c>
      <c r="C999" s="60">
        <v>0</v>
      </c>
      <c r="D999" s="60">
        <v>56942.885999999999</v>
      </c>
      <c r="E999" s="60">
        <v>73139.403086440157</v>
      </c>
      <c r="F999" s="60">
        <v>55437.303200000002</v>
      </c>
      <c r="G999" s="60">
        <v>58963.879031908611</v>
      </c>
      <c r="H999" s="93">
        <v>0.28443442586384116</v>
      </c>
      <c r="I999" s="93">
        <v>6.3613769580129986E-2</v>
      </c>
      <c r="J999" s="93">
        <v>0.17550328984807195</v>
      </c>
    </row>
    <row r="1000" spans="1:10" x14ac:dyDescent="0.3">
      <c r="A1000" s="92">
        <v>44562</v>
      </c>
      <c r="B1000" s="60">
        <v>0</v>
      </c>
      <c r="C1000" s="60">
        <v>0</v>
      </c>
      <c r="D1000" s="60">
        <v>55357.902600000001</v>
      </c>
      <c r="E1000" s="60">
        <v>71103.595843057439</v>
      </c>
      <c r="F1000" s="60">
        <v>53894.227120000003</v>
      </c>
      <c r="G1000" s="60">
        <v>57322.64206571089</v>
      </c>
      <c r="H1000" s="93">
        <v>0.28443442586384116</v>
      </c>
      <c r="I1000" s="93">
        <v>6.3613769580130208E-2</v>
      </c>
      <c r="J1000" s="93">
        <v>0.17550328984807195</v>
      </c>
    </row>
    <row r="1001" spans="1:10" x14ac:dyDescent="0.3">
      <c r="A1001" s="92">
        <v>44593</v>
      </c>
      <c r="B1001" s="60">
        <v>0</v>
      </c>
      <c r="C1001" s="60">
        <v>0</v>
      </c>
      <c r="D1001" s="60">
        <v>53566.3128</v>
      </c>
      <c r="E1001" s="60">
        <v>68802.416226910937</v>
      </c>
      <c r="F1001" s="60">
        <v>52150.007359999996</v>
      </c>
      <c r="G1001" s="60">
        <v>55467.465911801133</v>
      </c>
      <c r="H1001" s="93">
        <v>0.28443442586384138</v>
      </c>
      <c r="I1001" s="93">
        <v>6.3613769580130208E-2</v>
      </c>
      <c r="J1001" s="93">
        <v>0.17550328984807217</v>
      </c>
    </row>
    <row r="1002" spans="1:10" x14ac:dyDescent="0.3">
      <c r="A1002" s="92">
        <v>44621</v>
      </c>
      <c r="B1002" s="60">
        <v>0</v>
      </c>
      <c r="C1002" s="60">
        <v>0</v>
      </c>
      <c r="D1002" s="60">
        <v>58297.539299999997</v>
      </c>
      <c r="E1002" s="60">
        <v>74879.366420070219</v>
      </c>
      <c r="F1002" s="60">
        <v>56756.139159999999</v>
      </c>
      <c r="G1002" s="60">
        <v>60366.611118782042</v>
      </c>
      <c r="H1002" s="93">
        <v>0.28443442586384138</v>
      </c>
      <c r="I1002" s="93">
        <v>6.3613769580130208E-2</v>
      </c>
      <c r="J1002" s="93">
        <v>0.17550328984807195</v>
      </c>
    </row>
    <row r="1003" spans="1:10" x14ac:dyDescent="0.3">
      <c r="A1003" s="92">
        <v>44652</v>
      </c>
      <c r="B1003" s="60">
        <v>0</v>
      </c>
      <c r="C1003" s="60">
        <v>0</v>
      </c>
      <c r="D1003" s="60">
        <v>58719.160500000005</v>
      </c>
      <c r="E1003" s="60">
        <v>75420.911204024233</v>
      </c>
      <c r="F1003" s="60">
        <v>57166.6126</v>
      </c>
      <c r="G1003" s="60">
        <v>60803.196321612973</v>
      </c>
      <c r="H1003" s="93">
        <v>0.28443442586384093</v>
      </c>
      <c r="I1003" s="93">
        <v>6.3613769580130208E-2</v>
      </c>
      <c r="J1003" s="93">
        <v>0.17550328984807195</v>
      </c>
    </row>
    <row r="1004" spans="1:10" x14ac:dyDescent="0.3">
      <c r="A1004" s="92">
        <v>44682</v>
      </c>
      <c r="B1004" s="60">
        <v>0</v>
      </c>
      <c r="C1004" s="60">
        <v>0</v>
      </c>
      <c r="D1004" s="60">
        <v>56583.126600000003</v>
      </c>
      <c r="E1004" s="60">
        <v>72677.315728052039</v>
      </c>
      <c r="F1004" s="60">
        <v>55087.055920000006</v>
      </c>
      <c r="G1004" s="60">
        <v>58591.351202142629</v>
      </c>
      <c r="H1004" s="93">
        <v>0.28443442586384116</v>
      </c>
      <c r="I1004" s="93">
        <v>6.3613769580130208E-2</v>
      </c>
      <c r="J1004" s="93">
        <v>0.17550328984807195</v>
      </c>
    </row>
    <row r="1005" spans="1:10" x14ac:dyDescent="0.3">
      <c r="A1005" s="92">
        <v>44713</v>
      </c>
      <c r="B1005" s="60">
        <v>0</v>
      </c>
      <c r="C1005" s="60">
        <v>0</v>
      </c>
      <c r="D1005" s="60">
        <v>54526.071599999996</v>
      </c>
      <c r="E1005" s="60">
        <v>70035.163470156695</v>
      </c>
      <c r="F1005" s="60">
        <v>53084.389920000001</v>
      </c>
      <c r="G1005" s="60">
        <v>56461.288068672664</v>
      </c>
      <c r="H1005" s="93">
        <v>0.28443442586384116</v>
      </c>
      <c r="I1005" s="93">
        <v>6.3613769580130208E-2</v>
      </c>
      <c r="J1005" s="93">
        <v>0.17550328984807217</v>
      </c>
    </row>
    <row r="1006" spans="1:10" x14ac:dyDescent="0.3">
      <c r="A1006" s="92">
        <v>44743</v>
      </c>
      <c r="B1006" s="60">
        <v>0</v>
      </c>
      <c r="C1006" s="60">
        <v>0</v>
      </c>
      <c r="D1006" s="60">
        <v>56458.802400000008</v>
      </c>
      <c r="E1006" s="60">
        <v>72517.629445604063</v>
      </c>
      <c r="F1006" s="60">
        <v>54966.018880000003</v>
      </c>
      <c r="G1006" s="60">
        <v>58462.614539769413</v>
      </c>
      <c r="H1006" s="93">
        <v>0.28443442586384116</v>
      </c>
      <c r="I1006" s="93">
        <v>6.3613769580130208E-2</v>
      </c>
      <c r="J1006" s="93">
        <v>0.17550328984807195</v>
      </c>
    </row>
    <row r="1007" spans="1:10" x14ac:dyDescent="0.3">
      <c r="A1007" s="92">
        <v>44774</v>
      </c>
      <c r="B1007" s="60">
        <v>0</v>
      </c>
      <c r="C1007" s="60">
        <v>0</v>
      </c>
      <c r="D1007" s="60">
        <v>55729.073400000001</v>
      </c>
      <c r="E1007" s="60">
        <v>71580.34039645287</v>
      </c>
      <c r="F1007" s="60">
        <v>54255.584080000008</v>
      </c>
      <c r="G1007" s="60">
        <v>57706.986304100501</v>
      </c>
      <c r="H1007" s="93">
        <v>0.28443442586384116</v>
      </c>
      <c r="I1007" s="93">
        <v>6.3613769580129986E-2</v>
      </c>
      <c r="J1007" s="93">
        <v>0.17550328984807195</v>
      </c>
    </row>
    <row r="1008" spans="1:10" x14ac:dyDescent="0.3">
      <c r="A1008" s="92">
        <v>44805</v>
      </c>
      <c r="B1008" s="60">
        <v>0</v>
      </c>
      <c r="C1008" s="60">
        <v>0</v>
      </c>
      <c r="D1008" s="60">
        <v>61379.518200000006</v>
      </c>
      <c r="E1008" s="60">
        <v>78837.966219016191</v>
      </c>
      <c r="F1008" s="60">
        <v>59756.629840000001</v>
      </c>
      <c r="G1008" s="60">
        <v>63557.974321526905</v>
      </c>
      <c r="H1008" s="93">
        <v>0.28443442586384116</v>
      </c>
      <c r="I1008" s="93">
        <v>6.361376958013043E-2</v>
      </c>
      <c r="J1008" s="93">
        <v>0.17550328984807217</v>
      </c>
    </row>
    <row r="1009" spans="1:10" x14ac:dyDescent="0.3">
      <c r="A1009" s="92">
        <v>44835</v>
      </c>
      <c r="B1009" s="60">
        <v>0</v>
      </c>
      <c r="C1009" s="60">
        <v>0</v>
      </c>
      <c r="D1009" s="60">
        <v>61379.518200000006</v>
      </c>
      <c r="E1009" s="60">
        <v>78837.966219016191</v>
      </c>
      <c r="F1009" s="60">
        <v>59756.629840000001</v>
      </c>
      <c r="G1009" s="60">
        <v>63557.974321526905</v>
      </c>
      <c r="H1009" s="93">
        <v>0.28443442586384116</v>
      </c>
      <c r="I1009" s="93">
        <v>6.361376958013043E-2</v>
      </c>
      <c r="J1009" s="93">
        <v>0.17550328984807217</v>
      </c>
    </row>
    <row r="1010" spans="1:10" x14ac:dyDescent="0.3">
      <c r="A1010" s="87" t="s">
        <v>46</v>
      </c>
      <c r="B1010" s="60">
        <v>0</v>
      </c>
      <c r="C1010" s="60">
        <v>0</v>
      </c>
      <c r="D1010" s="60">
        <v>1166560.395</v>
      </c>
      <c r="E1010" s="60">
        <v>1498370.3311873209</v>
      </c>
      <c r="F1010" s="60">
        <v>1135716.2740000002</v>
      </c>
      <c r="G1010" s="60">
        <v>1207963.46736264</v>
      </c>
      <c r="H1010" s="93">
        <v>0.28443442586384116</v>
      </c>
      <c r="I1010" s="93">
        <v>6.3613769580129764E-2</v>
      </c>
      <c r="J1010" s="93">
        <v>0.17550328984807173</v>
      </c>
    </row>
    <row r="1011" spans="1:10" x14ac:dyDescent="0.3">
      <c r="A1011" s="88" t="s">
        <v>25</v>
      </c>
      <c r="B1011" s="60">
        <v>0</v>
      </c>
      <c r="C1011" s="60">
        <v>0</v>
      </c>
      <c r="D1011" s="60">
        <v>1166560.395</v>
      </c>
      <c r="E1011" s="60">
        <v>1498370.3311873209</v>
      </c>
      <c r="F1011" s="60">
        <v>1135716.2740000002</v>
      </c>
      <c r="G1011" s="60">
        <v>1207963.46736264</v>
      </c>
      <c r="H1011" s="93">
        <v>0.28443442586384116</v>
      </c>
      <c r="I1011" s="93">
        <v>6.3613769580129764E-2</v>
      </c>
      <c r="J1011" s="93">
        <v>0.17550328984807173</v>
      </c>
    </row>
    <row r="1012" spans="1:10" x14ac:dyDescent="0.3">
      <c r="A1012" s="89" t="s">
        <v>25</v>
      </c>
      <c r="B1012" s="60">
        <v>0</v>
      </c>
      <c r="C1012" s="60">
        <v>0</v>
      </c>
      <c r="D1012" s="60">
        <v>1166560.395</v>
      </c>
      <c r="E1012" s="60">
        <v>1498370.3311873209</v>
      </c>
      <c r="F1012" s="60">
        <v>1135716.2740000002</v>
      </c>
      <c r="G1012" s="60">
        <v>1207963.46736264</v>
      </c>
      <c r="H1012" s="93">
        <v>0.28443442586384116</v>
      </c>
      <c r="I1012" s="93">
        <v>6.3613769580129764E-2</v>
      </c>
      <c r="J1012" s="93">
        <v>0.17550328984807173</v>
      </c>
    </row>
    <row r="1013" spans="1:10" x14ac:dyDescent="0.3">
      <c r="A1013" s="90" t="s">
        <v>25</v>
      </c>
      <c r="B1013" s="60">
        <v>0</v>
      </c>
      <c r="C1013" s="60">
        <v>0</v>
      </c>
      <c r="D1013" s="60">
        <v>1166560.395</v>
      </c>
      <c r="E1013" s="60">
        <v>1498370.3311873209</v>
      </c>
      <c r="F1013" s="60">
        <v>1135716.2740000002</v>
      </c>
      <c r="G1013" s="60">
        <v>1207963.46736264</v>
      </c>
      <c r="H1013" s="93">
        <v>0.28443442586384116</v>
      </c>
      <c r="I1013" s="93">
        <v>6.3613769580129764E-2</v>
      </c>
      <c r="J1013" s="93">
        <v>0.17550328984807173</v>
      </c>
    </row>
    <row r="1014" spans="1:10" x14ac:dyDescent="0.3">
      <c r="A1014" s="91" t="s">
        <v>25</v>
      </c>
      <c r="B1014" s="60">
        <v>0</v>
      </c>
      <c r="C1014" s="60">
        <v>0</v>
      </c>
      <c r="D1014" s="60">
        <v>1166560.395</v>
      </c>
      <c r="E1014" s="60">
        <v>1498370.3311873209</v>
      </c>
      <c r="F1014" s="60">
        <v>1135716.2740000002</v>
      </c>
      <c r="G1014" s="60">
        <v>1207963.46736264</v>
      </c>
      <c r="H1014" s="93">
        <v>0.28443442586384116</v>
      </c>
      <c r="I1014" s="93">
        <v>6.3613769580129764E-2</v>
      </c>
      <c r="J1014" s="93">
        <v>0.17550328984807173</v>
      </c>
    </row>
    <row r="1015" spans="1:10" x14ac:dyDescent="0.3">
      <c r="A1015" s="92">
        <v>44501</v>
      </c>
      <c r="B1015" s="60">
        <v>0</v>
      </c>
      <c r="C1015" s="60">
        <v>0</v>
      </c>
      <c r="D1015" s="60">
        <v>86119.733699999997</v>
      </c>
      <c r="E1015" s="60">
        <v>110615.15071050639</v>
      </c>
      <c r="F1015" s="60">
        <v>83842.708440000002</v>
      </c>
      <c r="G1015" s="60">
        <v>89176.259175676198</v>
      </c>
      <c r="H1015" s="93">
        <v>0.28443442586384116</v>
      </c>
      <c r="I1015" s="93">
        <v>6.3613769580130208E-2</v>
      </c>
      <c r="J1015" s="93">
        <v>0.17550328984807195</v>
      </c>
    </row>
    <row r="1016" spans="1:10" x14ac:dyDescent="0.3">
      <c r="A1016" s="92">
        <v>44531</v>
      </c>
      <c r="B1016" s="60">
        <v>0</v>
      </c>
      <c r="C1016" s="60">
        <v>0</v>
      </c>
      <c r="D1016" s="60">
        <v>94245.251099999994</v>
      </c>
      <c r="E1016" s="60">
        <v>121051.84498702204</v>
      </c>
      <c r="F1016" s="60">
        <v>91753.385320000001</v>
      </c>
      <c r="G1016" s="60">
        <v>97590.164031943379</v>
      </c>
      <c r="H1016" s="93">
        <v>0.28443442586384116</v>
      </c>
      <c r="I1016" s="93">
        <v>6.3613769580130208E-2</v>
      </c>
      <c r="J1016" s="93">
        <v>0.17550328984807195</v>
      </c>
    </row>
    <row r="1017" spans="1:10" x14ac:dyDescent="0.3">
      <c r="A1017" s="92">
        <v>44562</v>
      </c>
      <c r="B1017" s="60">
        <v>0</v>
      </c>
      <c r="C1017" s="60">
        <v>0</v>
      </c>
      <c r="D1017" s="60">
        <v>92968.9761</v>
      </c>
      <c r="E1017" s="60">
        <v>119412.55344015268</v>
      </c>
      <c r="F1017" s="60">
        <v>90510.855320000017</v>
      </c>
      <c r="G1017" s="60">
        <v>96268.592014826994</v>
      </c>
      <c r="H1017" s="93">
        <v>0.28443442586384138</v>
      </c>
      <c r="I1017" s="93">
        <v>6.3613769580130208E-2</v>
      </c>
      <c r="J1017" s="93">
        <v>0.17550328984807217</v>
      </c>
    </row>
    <row r="1018" spans="1:10" x14ac:dyDescent="0.3">
      <c r="A1018" s="92">
        <v>44593</v>
      </c>
      <c r="B1018" s="60">
        <v>0</v>
      </c>
      <c r="C1018" s="60">
        <v>0</v>
      </c>
      <c r="D1018" s="60">
        <v>83377.394100000005</v>
      </c>
      <c r="E1018" s="60">
        <v>107092.79532085672</v>
      </c>
      <c r="F1018" s="60">
        <v>81172.876919999995</v>
      </c>
      <c r="G1018" s="60">
        <v>86336.589608545153</v>
      </c>
      <c r="H1018" s="93">
        <v>0.28443442586384116</v>
      </c>
      <c r="I1018" s="93">
        <v>6.3613769580130208E-2</v>
      </c>
      <c r="J1018" s="93">
        <v>0.17550328984807217</v>
      </c>
    </row>
    <row r="1019" spans="1:10" x14ac:dyDescent="0.3">
      <c r="A1019" s="92">
        <v>44621</v>
      </c>
      <c r="B1019" s="60">
        <v>0</v>
      </c>
      <c r="C1019" s="60">
        <v>0</v>
      </c>
      <c r="D1019" s="60">
        <v>89608.318800000008</v>
      </c>
      <c r="E1019" s="60">
        <v>115096.00951050204</v>
      </c>
      <c r="F1019" s="60">
        <v>87239.054560000004</v>
      </c>
      <c r="G1019" s="60">
        <v>92788.659675168252</v>
      </c>
      <c r="H1019" s="93">
        <v>0.28443442586384116</v>
      </c>
      <c r="I1019" s="93">
        <v>6.3613769580130208E-2</v>
      </c>
      <c r="J1019" s="93">
        <v>0.17550328984807195</v>
      </c>
    </row>
    <row r="1020" spans="1:10" x14ac:dyDescent="0.3">
      <c r="A1020" s="92">
        <v>44652</v>
      </c>
      <c r="B1020" s="60">
        <v>0</v>
      </c>
      <c r="C1020" s="60">
        <v>0</v>
      </c>
      <c r="D1020" s="60">
        <v>94756.061400000006</v>
      </c>
      <c r="E1020" s="60">
        <v>121707.94732142788</v>
      </c>
      <c r="F1020" s="60">
        <v>92250.689679999996</v>
      </c>
      <c r="G1020" s="60">
        <v>98119.103796911615</v>
      </c>
      <c r="H1020" s="93">
        <v>0.28443442586384116</v>
      </c>
      <c r="I1020" s="93">
        <v>6.3613769580130208E-2</v>
      </c>
      <c r="J1020" s="93">
        <v>0.17550328984807195</v>
      </c>
    </row>
    <row r="1021" spans="1:10" x14ac:dyDescent="0.3">
      <c r="A1021" s="92">
        <v>44682</v>
      </c>
      <c r="B1021" s="60">
        <v>0</v>
      </c>
      <c r="C1021" s="60">
        <v>0</v>
      </c>
      <c r="D1021" s="60">
        <v>92454.261899999998</v>
      </c>
      <c r="E1021" s="60">
        <v>118751.4368021917</v>
      </c>
      <c r="F1021" s="60">
        <v>90009.750280000007</v>
      </c>
      <c r="G1021" s="60">
        <v>95735.609794276985</v>
      </c>
      <c r="H1021" s="93">
        <v>0.28443442586384116</v>
      </c>
      <c r="I1021" s="93">
        <v>6.3613769580130208E-2</v>
      </c>
      <c r="J1021" s="93">
        <v>0.17550328984807195</v>
      </c>
    </row>
    <row r="1022" spans="1:10" x14ac:dyDescent="0.3">
      <c r="A1022" s="92">
        <v>44713</v>
      </c>
      <c r="B1022" s="60">
        <v>0</v>
      </c>
      <c r="C1022" s="60">
        <v>0</v>
      </c>
      <c r="D1022" s="60">
        <v>93100.207200000004</v>
      </c>
      <c r="E1022" s="60">
        <v>119581.11118273665</v>
      </c>
      <c r="F1022" s="60">
        <v>90638.616640000007</v>
      </c>
      <c r="G1022" s="60">
        <v>96404.480713998724</v>
      </c>
      <c r="H1022" s="93">
        <v>0.28443442586384116</v>
      </c>
      <c r="I1022" s="93">
        <v>6.3613769580130208E-2</v>
      </c>
      <c r="J1022" s="93">
        <v>0.17550328984807195</v>
      </c>
    </row>
    <row r="1023" spans="1:10" x14ac:dyDescent="0.3">
      <c r="A1023" s="92">
        <v>44743</v>
      </c>
      <c r="B1023" s="60">
        <v>0</v>
      </c>
      <c r="C1023" s="60">
        <v>0</v>
      </c>
      <c r="D1023" s="60">
        <v>142102.26030000002</v>
      </c>
      <c r="E1023" s="60">
        <v>182521.03512238461</v>
      </c>
      <c r="F1023" s="60">
        <v>138345.04436</v>
      </c>
      <c r="G1023" s="60">
        <v>147145.69413446996</v>
      </c>
      <c r="H1023" s="93">
        <v>0.28443442586384093</v>
      </c>
      <c r="I1023" s="93">
        <v>6.361376958013043E-2</v>
      </c>
      <c r="J1023" s="93">
        <v>0.17550328984807195</v>
      </c>
    </row>
    <row r="1024" spans="1:10" x14ac:dyDescent="0.3">
      <c r="A1024" s="92">
        <v>44774</v>
      </c>
      <c r="B1024" s="60">
        <v>0</v>
      </c>
      <c r="C1024" s="60">
        <v>0</v>
      </c>
      <c r="D1024" s="60">
        <v>89659.3698</v>
      </c>
      <c r="E1024" s="60">
        <v>115161.58117237683</v>
      </c>
      <c r="F1024" s="60">
        <v>87288.755760000015</v>
      </c>
      <c r="G1024" s="60">
        <v>92841.52255585292</v>
      </c>
      <c r="H1024" s="93">
        <v>0.28443442586384116</v>
      </c>
      <c r="I1024" s="93">
        <v>6.3613769580130208E-2</v>
      </c>
      <c r="J1024" s="93">
        <v>0.17550328984807217</v>
      </c>
    </row>
    <row r="1025" spans="1:10" x14ac:dyDescent="0.3">
      <c r="A1025" s="92">
        <v>44805</v>
      </c>
      <c r="B1025" s="60">
        <v>0</v>
      </c>
      <c r="C1025" s="60">
        <v>0</v>
      </c>
      <c r="D1025" s="60">
        <v>104084.2803</v>
      </c>
      <c r="E1025" s="60">
        <v>133689.43280858162</v>
      </c>
      <c r="F1025" s="60">
        <v>101332.26836</v>
      </c>
      <c r="G1025" s="60">
        <v>107778.39593048497</v>
      </c>
      <c r="H1025" s="93">
        <v>0.28443442586384138</v>
      </c>
      <c r="I1025" s="93">
        <v>6.3613769580130208E-2</v>
      </c>
      <c r="J1025" s="93">
        <v>0.17550328984807217</v>
      </c>
    </row>
    <row r="1026" spans="1:10" x14ac:dyDescent="0.3">
      <c r="A1026" s="92">
        <v>44835</v>
      </c>
      <c r="B1026" s="60">
        <v>0</v>
      </c>
      <c r="C1026" s="60">
        <v>0</v>
      </c>
      <c r="D1026" s="60">
        <v>104084.2803</v>
      </c>
      <c r="E1026" s="60">
        <v>133689.43280858162</v>
      </c>
      <c r="F1026" s="60">
        <v>101332.26836</v>
      </c>
      <c r="G1026" s="60">
        <v>107778.39593048497</v>
      </c>
      <c r="H1026" s="93">
        <v>0.28443442586384138</v>
      </c>
      <c r="I1026" s="93">
        <v>6.3613769580130208E-2</v>
      </c>
      <c r="J1026" s="93">
        <v>0.17550328984807217</v>
      </c>
    </row>
    <row r="1027" spans="1:10" x14ac:dyDescent="0.3">
      <c r="A1027" s="87" t="s">
        <v>50</v>
      </c>
      <c r="B1027" s="60">
        <v>0</v>
      </c>
      <c r="C1027" s="60">
        <v>0</v>
      </c>
      <c r="D1027" s="60">
        <v>411853.10766600003</v>
      </c>
      <c r="E1027" s="60">
        <v>528998.30988521746</v>
      </c>
      <c r="F1027" s="60">
        <v>400963.61823919992</v>
      </c>
      <c r="G1027" s="60">
        <v>440081.1837192417</v>
      </c>
      <c r="H1027" s="93">
        <v>0.28443442586384116</v>
      </c>
      <c r="I1027" s="93">
        <v>9.7558889885879241E-2</v>
      </c>
      <c r="J1027" s="93">
        <v>0.19224846477566726</v>
      </c>
    </row>
    <row r="1028" spans="1:10" x14ac:dyDescent="0.3">
      <c r="A1028" s="88" t="s">
        <v>51</v>
      </c>
      <c r="B1028" s="60">
        <v>0</v>
      </c>
      <c r="C1028" s="60">
        <v>0</v>
      </c>
      <c r="D1028" s="60">
        <v>411853.10766600003</v>
      </c>
      <c r="E1028" s="60">
        <v>528998.30988521746</v>
      </c>
      <c r="F1028" s="60">
        <v>400963.61823919992</v>
      </c>
      <c r="G1028" s="60">
        <v>440081.1837192417</v>
      </c>
      <c r="H1028" s="93">
        <v>0.28443442586384116</v>
      </c>
      <c r="I1028" s="93">
        <v>9.7558889885879241E-2</v>
      </c>
      <c r="J1028" s="93">
        <v>0.19224846477566726</v>
      </c>
    </row>
    <row r="1029" spans="1:10" x14ac:dyDescent="0.3">
      <c r="A1029" s="89" t="s">
        <v>25</v>
      </c>
      <c r="B1029" s="60">
        <v>0</v>
      </c>
      <c r="C1029" s="60">
        <v>0</v>
      </c>
      <c r="D1029" s="60">
        <v>411853.10766600003</v>
      </c>
      <c r="E1029" s="60">
        <v>528998.30988521746</v>
      </c>
      <c r="F1029" s="60">
        <v>400963.61823919992</v>
      </c>
      <c r="G1029" s="60">
        <v>440081.1837192417</v>
      </c>
      <c r="H1029" s="93">
        <v>0.28443442586384116</v>
      </c>
      <c r="I1029" s="93">
        <v>9.7558889885879241E-2</v>
      </c>
      <c r="J1029" s="93">
        <v>0.19224846477566726</v>
      </c>
    </row>
    <row r="1030" spans="1:10" x14ac:dyDescent="0.3">
      <c r="A1030" s="90" t="s">
        <v>25</v>
      </c>
      <c r="B1030" s="60">
        <v>0</v>
      </c>
      <c r="C1030" s="60">
        <v>0</v>
      </c>
      <c r="D1030" s="60">
        <v>411853.10766600003</v>
      </c>
      <c r="E1030" s="60">
        <v>528998.30988521746</v>
      </c>
      <c r="F1030" s="60">
        <v>400963.61823919992</v>
      </c>
      <c r="G1030" s="60">
        <v>440081.1837192417</v>
      </c>
      <c r="H1030" s="93">
        <v>0.28443442586384116</v>
      </c>
      <c r="I1030" s="93">
        <v>9.7558889885879241E-2</v>
      </c>
      <c r="J1030" s="93">
        <v>0.19224846477566726</v>
      </c>
    </row>
    <row r="1031" spans="1:10" x14ac:dyDescent="0.3">
      <c r="A1031" s="91" t="s">
        <v>25</v>
      </c>
      <c r="B1031" s="60">
        <v>0</v>
      </c>
      <c r="C1031" s="60">
        <v>0</v>
      </c>
      <c r="D1031" s="60">
        <v>411853.10766600003</v>
      </c>
      <c r="E1031" s="60">
        <v>528998.30988521746</v>
      </c>
      <c r="F1031" s="60">
        <v>400963.61823919992</v>
      </c>
      <c r="G1031" s="60">
        <v>440081.1837192417</v>
      </c>
      <c r="H1031" s="93">
        <v>0.28443442586384116</v>
      </c>
      <c r="I1031" s="93">
        <v>9.7558889885879241E-2</v>
      </c>
      <c r="J1031" s="93">
        <v>0.19224846477566726</v>
      </c>
    </row>
    <row r="1032" spans="1:10" x14ac:dyDescent="0.3">
      <c r="A1032" s="92">
        <v>44501</v>
      </c>
      <c r="B1032" s="60">
        <v>0</v>
      </c>
      <c r="C1032" s="60">
        <v>0</v>
      </c>
      <c r="D1032" s="60">
        <v>32449.162745999998</v>
      </c>
      <c r="E1032" s="60">
        <v>41678.821721420856</v>
      </c>
      <c r="F1032" s="60">
        <v>31591.199535200001</v>
      </c>
      <c r="G1032" s="60">
        <v>34673.201892017409</v>
      </c>
      <c r="H1032" s="93">
        <v>0.28443442586384138</v>
      </c>
      <c r="I1032" s="93">
        <v>9.7558889885879019E-2</v>
      </c>
      <c r="J1032" s="93">
        <v>0.1922484647756677</v>
      </c>
    </row>
    <row r="1033" spans="1:10" x14ac:dyDescent="0.3">
      <c r="A1033" s="92">
        <v>44531</v>
      </c>
      <c r="B1033" s="60">
        <v>0</v>
      </c>
      <c r="C1033" s="60">
        <v>0</v>
      </c>
      <c r="D1033" s="60">
        <v>34508.974499999997</v>
      </c>
      <c r="E1033" s="60">
        <v>44324.514849057436</v>
      </c>
      <c r="F1033" s="60">
        <v>33596.549399999996</v>
      </c>
      <c r="G1033" s="60">
        <v>36874.191463460098</v>
      </c>
      <c r="H1033" s="93">
        <v>0.28443442586384138</v>
      </c>
      <c r="I1033" s="93">
        <v>9.7558889885879241E-2</v>
      </c>
      <c r="J1033" s="93">
        <v>0.19224846477566748</v>
      </c>
    </row>
    <row r="1034" spans="1:10" x14ac:dyDescent="0.3">
      <c r="A1034" s="92">
        <v>44562</v>
      </c>
      <c r="B1034" s="60">
        <v>0</v>
      </c>
      <c r="C1034" s="60">
        <v>0</v>
      </c>
      <c r="D1034" s="60">
        <v>38889.708857999998</v>
      </c>
      <c r="E1034" s="60">
        <v>49951.280869037168</v>
      </c>
      <c r="F1034" s="60">
        <v>37861.456149600002</v>
      </c>
      <c r="G1034" s="60">
        <v>41555.177781017868</v>
      </c>
      <c r="H1034" s="93">
        <v>0.28443442586384116</v>
      </c>
      <c r="I1034" s="93">
        <v>9.7558889885879019E-2</v>
      </c>
      <c r="J1034" s="93">
        <v>0.19224846477566748</v>
      </c>
    </row>
    <row r="1035" spans="1:10" x14ac:dyDescent="0.3">
      <c r="A1035" s="92">
        <v>44593</v>
      </c>
      <c r="B1035" s="60">
        <v>0</v>
      </c>
      <c r="C1035" s="60">
        <v>0</v>
      </c>
      <c r="D1035" s="60">
        <v>35498.937473999998</v>
      </c>
      <c r="E1035" s="60">
        <v>45596.057373193587</v>
      </c>
      <c r="F1035" s="60">
        <v>34560.337528800002</v>
      </c>
      <c r="G1035" s="60">
        <v>37932.005692191015</v>
      </c>
      <c r="H1035" s="93">
        <v>0.28443442586384116</v>
      </c>
      <c r="I1035" s="93">
        <v>9.7558889885879019E-2</v>
      </c>
      <c r="J1035" s="93">
        <v>0.19224846477566748</v>
      </c>
    </row>
    <row r="1036" spans="1:10" x14ac:dyDescent="0.3">
      <c r="A1036" s="92">
        <v>44621</v>
      </c>
      <c r="B1036" s="60">
        <v>0</v>
      </c>
      <c r="C1036" s="60">
        <v>0</v>
      </c>
      <c r="D1036" s="60">
        <v>36231.176981999997</v>
      </c>
      <c r="E1036" s="60">
        <v>46536.571005246391</v>
      </c>
      <c r="F1036" s="60">
        <v>35273.216458399998</v>
      </c>
      <c r="G1036" s="60">
        <v>38714.432298785818</v>
      </c>
      <c r="H1036" s="93">
        <v>0.28443442586384138</v>
      </c>
      <c r="I1036" s="93">
        <v>9.7558889885879019E-2</v>
      </c>
      <c r="J1036" s="93">
        <v>0.19224846477566748</v>
      </c>
    </row>
    <row r="1037" spans="1:10" x14ac:dyDescent="0.3">
      <c r="A1037" s="92">
        <v>44652</v>
      </c>
      <c r="B1037" s="60">
        <v>0</v>
      </c>
      <c r="C1037" s="60">
        <v>0</v>
      </c>
      <c r="D1037" s="60">
        <v>30851.446626000001</v>
      </c>
      <c r="E1037" s="60">
        <v>39626.660134135251</v>
      </c>
      <c r="F1037" s="60">
        <v>30035.727391200002</v>
      </c>
      <c r="G1037" s="60">
        <v>32965.979612400362</v>
      </c>
      <c r="H1037" s="93">
        <v>0.28443442586384116</v>
      </c>
      <c r="I1037" s="93">
        <v>9.7558889885879019E-2</v>
      </c>
      <c r="J1037" s="93">
        <v>0.19224846477566748</v>
      </c>
    </row>
    <row r="1038" spans="1:10" x14ac:dyDescent="0.3">
      <c r="A1038" s="92">
        <v>44682</v>
      </c>
      <c r="B1038" s="60">
        <v>0</v>
      </c>
      <c r="C1038" s="60">
        <v>0</v>
      </c>
      <c r="D1038" s="60">
        <v>29766.636899999998</v>
      </c>
      <c r="E1038" s="60">
        <v>38233.293176548934</v>
      </c>
      <c r="F1038" s="60">
        <v>28979.600279999999</v>
      </c>
      <c r="G1038" s="60">
        <v>31806.81791265331</v>
      </c>
      <c r="H1038" s="93">
        <v>0.28443442586384138</v>
      </c>
      <c r="I1038" s="93">
        <v>9.7558889885879019E-2</v>
      </c>
      <c r="J1038" s="93">
        <v>0.1922484647756677</v>
      </c>
    </row>
    <row r="1039" spans="1:10" x14ac:dyDescent="0.3">
      <c r="A1039" s="92">
        <v>44713</v>
      </c>
      <c r="B1039" s="60">
        <v>0</v>
      </c>
      <c r="C1039" s="60">
        <v>0</v>
      </c>
      <c r="D1039" s="60">
        <v>31887.703847999997</v>
      </c>
      <c r="E1039" s="60">
        <v>40957.664584122082</v>
      </c>
      <c r="F1039" s="60">
        <v>31044.585737599999</v>
      </c>
      <c r="G1039" s="60">
        <v>34073.261059127246</v>
      </c>
      <c r="H1039" s="93">
        <v>0.28443442586384138</v>
      </c>
      <c r="I1039" s="93">
        <v>9.7558889885879019E-2</v>
      </c>
      <c r="J1039" s="93">
        <v>0.19224846477566748</v>
      </c>
    </row>
    <row r="1040" spans="1:10" x14ac:dyDescent="0.3">
      <c r="A1040" s="92">
        <v>44743</v>
      </c>
      <c r="B1040" s="60">
        <v>0</v>
      </c>
      <c r="C1040" s="60">
        <v>0</v>
      </c>
      <c r="D1040" s="60">
        <v>36911.476601999995</v>
      </c>
      <c r="E1040" s="60">
        <v>47410.371257076476</v>
      </c>
      <c r="F1040" s="60">
        <v>35935.528802399996</v>
      </c>
      <c r="G1040" s="60">
        <v>39441.359099824171</v>
      </c>
      <c r="H1040" s="93">
        <v>0.28443442586384138</v>
      </c>
      <c r="I1040" s="93">
        <v>9.7558889885879019E-2</v>
      </c>
      <c r="J1040" s="93">
        <v>0.19224846477566748</v>
      </c>
    </row>
    <row r="1041" spans="1:10" x14ac:dyDescent="0.3">
      <c r="A1041" s="92">
        <v>44774</v>
      </c>
      <c r="B1041" s="60">
        <v>0</v>
      </c>
      <c r="C1041" s="60">
        <v>0</v>
      </c>
      <c r="D1041" s="60">
        <v>31865.403569999999</v>
      </c>
      <c r="E1041" s="60">
        <v>40929.021339352548</v>
      </c>
      <c r="F1041" s="60">
        <v>31022.875083999999</v>
      </c>
      <c r="G1041" s="60">
        <v>34049.432338263337</v>
      </c>
      <c r="H1041" s="93">
        <v>0.28443442586384138</v>
      </c>
      <c r="I1041" s="93">
        <v>9.7558889885879019E-2</v>
      </c>
      <c r="J1041" s="93">
        <v>0.19224846477566748</v>
      </c>
    </row>
    <row r="1042" spans="1:10" x14ac:dyDescent="0.3">
      <c r="A1042" s="92">
        <v>44805</v>
      </c>
      <c r="B1042" s="60">
        <v>0</v>
      </c>
      <c r="C1042" s="60">
        <v>0</v>
      </c>
      <c r="D1042" s="60">
        <v>36496.239779999996</v>
      </c>
      <c r="E1042" s="60">
        <v>46877.026788013383</v>
      </c>
      <c r="F1042" s="60">
        <v>35531.270936000001</v>
      </c>
      <c r="G1042" s="60">
        <v>38997.662284750557</v>
      </c>
      <c r="H1042" s="93">
        <v>0.28443442586384138</v>
      </c>
      <c r="I1042" s="93">
        <v>9.7558889885879019E-2</v>
      </c>
      <c r="J1042" s="93">
        <v>0.1922484647756677</v>
      </c>
    </row>
    <row r="1043" spans="1:10" x14ac:dyDescent="0.3">
      <c r="A1043" s="92">
        <v>44835</v>
      </c>
      <c r="B1043" s="60">
        <v>0</v>
      </c>
      <c r="C1043" s="60">
        <v>0</v>
      </c>
      <c r="D1043" s="60">
        <v>36496.239779999996</v>
      </c>
      <c r="E1043" s="60">
        <v>46877.026788013383</v>
      </c>
      <c r="F1043" s="60">
        <v>35531.270936000001</v>
      </c>
      <c r="G1043" s="60">
        <v>38997.662284750557</v>
      </c>
      <c r="H1043" s="93">
        <v>0.28443442586384138</v>
      </c>
      <c r="I1043" s="93">
        <v>9.7558889885879019E-2</v>
      </c>
      <c r="J1043" s="93">
        <v>0.1922484647756677</v>
      </c>
    </row>
    <row r="1044" spans="1:10" x14ac:dyDescent="0.3">
      <c r="A1044" s="84" t="s">
        <v>47</v>
      </c>
      <c r="B1044" s="60">
        <v>0</v>
      </c>
      <c r="C1044" s="60">
        <v>0</v>
      </c>
      <c r="D1044" s="60">
        <v>3246111.6201999998</v>
      </c>
      <c r="E1044" s="60">
        <v>4169543.7387682102</v>
      </c>
      <c r="F1044" s="60">
        <v>3160418.676</v>
      </c>
      <c r="G1044" s="60">
        <v>3361423.012167857</v>
      </c>
      <c r="H1044" s="93">
        <v>0.28447331041294133</v>
      </c>
      <c r="I1044" s="93">
        <v>6.3600540553145679E-2</v>
      </c>
      <c r="J1044" s="93">
        <v>0.17551410869047479</v>
      </c>
    </row>
    <row r="1045" spans="1:10" x14ac:dyDescent="0.3">
      <c r="A1045" s="85" t="s">
        <v>23</v>
      </c>
      <c r="B1045" s="60">
        <v>0</v>
      </c>
      <c r="C1045" s="60">
        <v>0</v>
      </c>
      <c r="D1045" s="60">
        <v>3246111.6201999998</v>
      </c>
      <c r="E1045" s="60">
        <v>4169543.7387682102</v>
      </c>
      <c r="F1045" s="60">
        <v>3160418.676</v>
      </c>
      <c r="G1045" s="60">
        <v>3361423.012167857</v>
      </c>
      <c r="H1045" s="93">
        <v>0.28447331041294133</v>
      </c>
      <c r="I1045" s="93">
        <v>6.3600540553145679E-2</v>
      </c>
      <c r="J1045" s="93">
        <v>0.17551410869047479</v>
      </c>
    </row>
    <row r="1046" spans="1:10" x14ac:dyDescent="0.3">
      <c r="A1046" s="86" t="s">
        <v>26</v>
      </c>
      <c r="B1046" s="60">
        <v>0</v>
      </c>
      <c r="C1046" s="60">
        <v>0</v>
      </c>
      <c r="D1046" s="60">
        <v>3246111.6201999998</v>
      </c>
      <c r="E1046" s="60">
        <v>4169543.7387682102</v>
      </c>
      <c r="F1046" s="60">
        <v>3160418.676</v>
      </c>
      <c r="G1046" s="60">
        <v>3361423.012167857</v>
      </c>
      <c r="H1046" s="93">
        <v>0.28447331041294133</v>
      </c>
      <c r="I1046" s="93">
        <v>6.3600540553145679E-2</v>
      </c>
      <c r="J1046" s="93">
        <v>0.17551410869047479</v>
      </c>
    </row>
    <row r="1047" spans="1:10" x14ac:dyDescent="0.3">
      <c r="A1047" s="87" t="s">
        <v>48</v>
      </c>
      <c r="B1047" s="60">
        <v>0</v>
      </c>
      <c r="C1047" s="60">
        <v>0</v>
      </c>
      <c r="D1047" s="60">
        <v>3246111.6201999998</v>
      </c>
      <c r="E1047" s="60">
        <v>4169543.7387682102</v>
      </c>
      <c r="F1047" s="60">
        <v>3160418.676</v>
      </c>
      <c r="G1047" s="60">
        <v>3361423.012167857</v>
      </c>
      <c r="H1047" s="93">
        <v>0.28447331041294133</v>
      </c>
      <c r="I1047" s="93">
        <v>6.3600540553145679E-2</v>
      </c>
      <c r="J1047" s="93">
        <v>0.17551410869047479</v>
      </c>
    </row>
    <row r="1048" spans="1:10" x14ac:dyDescent="0.3">
      <c r="A1048" s="88" t="s">
        <v>49</v>
      </c>
      <c r="B1048" s="60">
        <v>0</v>
      </c>
      <c r="C1048" s="60">
        <v>0</v>
      </c>
      <c r="D1048" s="60">
        <v>3246111.6201999998</v>
      </c>
      <c r="E1048" s="60">
        <v>4169543.7387682102</v>
      </c>
      <c r="F1048" s="60">
        <v>3160418.676</v>
      </c>
      <c r="G1048" s="60">
        <v>3361423.012167857</v>
      </c>
      <c r="H1048" s="93">
        <v>0.28447331041294133</v>
      </c>
      <c r="I1048" s="93">
        <v>6.3600540553145679E-2</v>
      </c>
      <c r="J1048" s="93">
        <v>0.17551410869047479</v>
      </c>
    </row>
    <row r="1049" spans="1:10" x14ac:dyDescent="0.3">
      <c r="A1049" s="89" t="s">
        <v>25</v>
      </c>
      <c r="B1049" s="60">
        <v>0</v>
      </c>
      <c r="C1049" s="60">
        <v>0</v>
      </c>
      <c r="D1049" s="60">
        <v>3246111.6201999998</v>
      </c>
      <c r="E1049" s="60">
        <v>4169543.7387682102</v>
      </c>
      <c r="F1049" s="60">
        <v>3160418.676</v>
      </c>
      <c r="G1049" s="60">
        <v>3361423.012167857</v>
      </c>
      <c r="H1049" s="93">
        <v>0.28447331041294133</v>
      </c>
      <c r="I1049" s="93">
        <v>6.3600540553145679E-2</v>
      </c>
      <c r="J1049" s="93">
        <v>0.17551410869047479</v>
      </c>
    </row>
    <row r="1050" spans="1:10" x14ac:dyDescent="0.3">
      <c r="A1050" s="90" t="s">
        <v>25</v>
      </c>
      <c r="B1050" s="60">
        <v>0</v>
      </c>
      <c r="C1050" s="60">
        <v>0</v>
      </c>
      <c r="D1050" s="60">
        <v>3246111.6201999998</v>
      </c>
      <c r="E1050" s="60">
        <v>4169543.7387682102</v>
      </c>
      <c r="F1050" s="60">
        <v>3160418.676</v>
      </c>
      <c r="G1050" s="60">
        <v>3361423.012167857</v>
      </c>
      <c r="H1050" s="93">
        <v>0.28447331041294133</v>
      </c>
      <c r="I1050" s="93">
        <v>6.3600540553145679E-2</v>
      </c>
      <c r="J1050" s="93">
        <v>0.17551410869047479</v>
      </c>
    </row>
    <row r="1051" spans="1:10" x14ac:dyDescent="0.3">
      <c r="A1051" s="91" t="s">
        <v>25</v>
      </c>
      <c r="B1051" s="60">
        <v>0</v>
      </c>
      <c r="C1051" s="60">
        <v>0</v>
      </c>
      <c r="D1051" s="60">
        <v>3246111.6201999998</v>
      </c>
      <c r="E1051" s="60">
        <v>4169543.7387682102</v>
      </c>
      <c r="F1051" s="60">
        <v>3160418.676</v>
      </c>
      <c r="G1051" s="60">
        <v>3361423.012167857</v>
      </c>
      <c r="H1051" s="93">
        <v>0.28447331041294133</v>
      </c>
      <c r="I1051" s="93">
        <v>6.3600540553145679E-2</v>
      </c>
      <c r="J1051" s="93">
        <v>0.17551410869047479</v>
      </c>
    </row>
    <row r="1052" spans="1:10" x14ac:dyDescent="0.3">
      <c r="A1052" s="92">
        <v>44501</v>
      </c>
      <c r="B1052" s="60">
        <v>0</v>
      </c>
      <c r="C1052" s="60">
        <v>0</v>
      </c>
      <c r="D1052" s="60">
        <v>273476.38731999998</v>
      </c>
      <c r="E1052" s="60">
        <v>351273.12054069206</v>
      </c>
      <c r="F1052" s="60">
        <v>266256.9816</v>
      </c>
      <c r="G1052" s="60">
        <v>283191.06955580896</v>
      </c>
      <c r="H1052" s="93">
        <v>0.2844733104129411</v>
      </c>
      <c r="I1052" s="93">
        <v>6.3600540553145679E-2</v>
      </c>
      <c r="J1052" s="93">
        <v>0.17551410869047479</v>
      </c>
    </row>
    <row r="1053" spans="1:10" x14ac:dyDescent="0.3">
      <c r="A1053" s="92">
        <v>44531</v>
      </c>
      <c r="B1053" s="60">
        <v>0</v>
      </c>
      <c r="C1053" s="60">
        <v>0</v>
      </c>
      <c r="D1053" s="60">
        <v>251144.93855999998</v>
      </c>
      <c r="E1053" s="60">
        <v>322588.97062561789</v>
      </c>
      <c r="F1053" s="60">
        <v>244515.0528</v>
      </c>
      <c r="G1053" s="60">
        <v>260066.34233146094</v>
      </c>
      <c r="H1053" s="93">
        <v>0.2844733104129411</v>
      </c>
      <c r="I1053" s="93">
        <v>6.3600540553145679E-2</v>
      </c>
      <c r="J1053" s="93">
        <v>0.17551410869047479</v>
      </c>
    </row>
    <row r="1054" spans="1:10" x14ac:dyDescent="0.3">
      <c r="A1054" s="92">
        <v>44562</v>
      </c>
      <c r="B1054" s="60">
        <v>0</v>
      </c>
      <c r="C1054" s="60">
        <v>0</v>
      </c>
      <c r="D1054" s="60">
        <v>261171.47184000001</v>
      </c>
      <c r="E1054" s="60">
        <v>335467.78501974506</v>
      </c>
      <c r="F1054" s="60">
        <v>254276.89920000004</v>
      </c>
      <c r="G1054" s="60">
        <v>270449.04743929772</v>
      </c>
      <c r="H1054" s="93">
        <v>0.2844733104129411</v>
      </c>
      <c r="I1054" s="93">
        <v>6.3600540553145457E-2</v>
      </c>
      <c r="J1054" s="93">
        <v>0.17551410869047479</v>
      </c>
    </row>
    <row r="1055" spans="1:10" x14ac:dyDescent="0.3">
      <c r="A1055" s="92">
        <v>44593</v>
      </c>
      <c r="B1055" s="60">
        <v>0</v>
      </c>
      <c r="C1055" s="60">
        <v>0</v>
      </c>
      <c r="D1055" s="60">
        <v>253216.37527999998</v>
      </c>
      <c r="E1055" s="60">
        <v>325249.67580666719</v>
      </c>
      <c r="F1055" s="60">
        <v>246531.8064</v>
      </c>
      <c r="G1055" s="60">
        <v>262211.36255058344</v>
      </c>
      <c r="H1055" s="93">
        <v>0.2844733104129411</v>
      </c>
      <c r="I1055" s="93">
        <v>6.3600540553145679E-2</v>
      </c>
      <c r="J1055" s="93">
        <v>0.17551410869047479</v>
      </c>
    </row>
    <row r="1056" spans="1:10" x14ac:dyDescent="0.3">
      <c r="A1056" s="92">
        <v>44621</v>
      </c>
      <c r="B1056" s="60">
        <v>0</v>
      </c>
      <c r="C1056" s="60">
        <v>0</v>
      </c>
      <c r="D1056" s="60">
        <v>236894.10795999996</v>
      </c>
      <c r="E1056" s="60">
        <v>304284.15906870185</v>
      </c>
      <c r="F1056" s="60">
        <v>230640.42480000001</v>
      </c>
      <c r="G1056" s="60">
        <v>245309.28049068712</v>
      </c>
      <c r="H1056" s="93">
        <v>0.28447331041294133</v>
      </c>
      <c r="I1056" s="93">
        <v>6.3600540553145457E-2</v>
      </c>
      <c r="J1056" s="93">
        <v>0.17551410869047479</v>
      </c>
    </row>
    <row r="1057" spans="1:10" x14ac:dyDescent="0.3">
      <c r="A1057" s="92">
        <v>44652</v>
      </c>
      <c r="B1057" s="60">
        <v>0</v>
      </c>
      <c r="C1057" s="60">
        <v>0</v>
      </c>
      <c r="D1057" s="60">
        <v>270800.13468000002</v>
      </c>
      <c r="E1057" s="60">
        <v>347835.54545268993</v>
      </c>
      <c r="F1057" s="60">
        <v>263651.37840000005</v>
      </c>
      <c r="G1057" s="60">
        <v>280419.74858382199</v>
      </c>
      <c r="H1057" s="93">
        <v>0.2844733104129411</v>
      </c>
      <c r="I1057" s="93">
        <v>6.3600540553145679E-2</v>
      </c>
      <c r="J1057" s="93">
        <v>0.17551410869047479</v>
      </c>
    </row>
    <row r="1058" spans="1:10" x14ac:dyDescent="0.3">
      <c r="A1058" s="92">
        <v>44682</v>
      </c>
      <c r="B1058" s="60">
        <v>0</v>
      </c>
      <c r="C1058" s="60">
        <v>0</v>
      </c>
      <c r="D1058" s="60">
        <v>274029.67332</v>
      </c>
      <c r="E1058" s="60">
        <v>351983.8016407172</v>
      </c>
      <c r="F1058" s="60">
        <v>266795.66159999999</v>
      </c>
      <c r="G1058" s="60">
        <v>283764.00989499409</v>
      </c>
      <c r="H1058" s="93">
        <v>0.2844733104129411</v>
      </c>
      <c r="I1058" s="93">
        <v>6.3600540553145457E-2</v>
      </c>
      <c r="J1058" s="93">
        <v>0.17551410869047457</v>
      </c>
    </row>
    <row r="1059" spans="1:10" x14ac:dyDescent="0.3">
      <c r="A1059" s="92">
        <v>44713</v>
      </c>
      <c r="B1059" s="60">
        <v>0</v>
      </c>
      <c r="C1059" s="60">
        <v>0</v>
      </c>
      <c r="D1059" s="60">
        <v>293439.44167999999</v>
      </c>
      <c r="E1059" s="60">
        <v>376915.1310604348</v>
      </c>
      <c r="F1059" s="60">
        <v>285693.03840000002</v>
      </c>
      <c r="G1059" s="60">
        <v>303863.2700745106</v>
      </c>
      <c r="H1059" s="93">
        <v>0.28447331041294133</v>
      </c>
      <c r="I1059" s="93">
        <v>6.3600540553145679E-2</v>
      </c>
      <c r="J1059" s="93">
        <v>0.17551410869047501</v>
      </c>
    </row>
    <row r="1060" spans="1:10" x14ac:dyDescent="0.3">
      <c r="A1060" s="92">
        <v>44743</v>
      </c>
      <c r="B1060" s="60">
        <v>0</v>
      </c>
      <c r="C1060" s="60">
        <v>0</v>
      </c>
      <c r="D1060" s="60">
        <v>286007.73716000002</v>
      </c>
      <c r="E1060" s="60">
        <v>367369.30495361955</v>
      </c>
      <c r="F1060" s="60">
        <v>278457.5208</v>
      </c>
      <c r="G1060" s="60">
        <v>296167.56964396883</v>
      </c>
      <c r="H1060" s="93">
        <v>0.2844733104129411</v>
      </c>
      <c r="I1060" s="93">
        <v>6.3600540553145679E-2</v>
      </c>
      <c r="J1060" s="93">
        <v>0.17551410869047457</v>
      </c>
    </row>
    <row r="1061" spans="1:10" x14ac:dyDescent="0.3">
      <c r="A1061" s="92">
        <v>44774</v>
      </c>
      <c r="B1061" s="60">
        <v>0</v>
      </c>
      <c r="C1061" s="60">
        <v>0</v>
      </c>
      <c r="D1061" s="60">
        <v>292535.35583999997</v>
      </c>
      <c r="E1061" s="60">
        <v>375753.85692863248</v>
      </c>
      <c r="F1061" s="60">
        <v>284812.81920000003</v>
      </c>
      <c r="G1061" s="60">
        <v>302927.06845758535</v>
      </c>
      <c r="H1061" s="93">
        <v>0.2844733104129411</v>
      </c>
      <c r="I1061" s="93">
        <v>6.3600540553145679E-2</v>
      </c>
      <c r="J1061" s="93">
        <v>0.17551410869047479</v>
      </c>
    </row>
    <row r="1062" spans="1:10" x14ac:dyDescent="0.3">
      <c r="A1062" s="92">
        <v>44805</v>
      </c>
      <c r="B1062" s="60">
        <v>0</v>
      </c>
      <c r="C1062" s="60">
        <v>0</v>
      </c>
      <c r="D1062" s="60">
        <v>276697.99828</v>
      </c>
      <c r="E1062" s="60">
        <v>355411.19383534591</v>
      </c>
      <c r="F1062" s="60">
        <v>269393.54640000005</v>
      </c>
      <c r="G1062" s="60">
        <v>286527.12157256895</v>
      </c>
      <c r="H1062" s="93">
        <v>0.2844733104129411</v>
      </c>
      <c r="I1062" s="93">
        <v>6.3600540553145457E-2</v>
      </c>
      <c r="J1062" s="93">
        <v>0.17551410869047479</v>
      </c>
    </row>
    <row r="1063" spans="1:10" x14ac:dyDescent="0.3">
      <c r="A1063" s="92">
        <v>44835</v>
      </c>
      <c r="B1063" s="60">
        <v>0</v>
      </c>
      <c r="C1063" s="60">
        <v>0</v>
      </c>
      <c r="D1063" s="60">
        <v>276697.99828</v>
      </c>
      <c r="E1063" s="60">
        <v>355411.19383534591</v>
      </c>
      <c r="F1063" s="60">
        <v>269393.54640000005</v>
      </c>
      <c r="G1063" s="60">
        <v>286527.12157256895</v>
      </c>
      <c r="H1063" s="93">
        <v>0.2844733104129411</v>
      </c>
      <c r="I1063" s="93">
        <v>6.3600540553145457E-2</v>
      </c>
      <c r="J1063" s="93">
        <v>0.17551410869047479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18E9A-EF16-4ED6-B66C-EF9AD06D12A2}">
  <sheetPr codeName="Planilha29">
    <tabColor indexed="12" tint="-0.249977111117893"/>
  </sheetPr>
  <dimension ref="A1:AV1157"/>
  <sheetViews>
    <sheetView showGridLines="0" topLeftCell="AF1" workbookViewId="0">
      <selection activeCell="AV10" sqref="AV10:AV12"/>
    </sheetView>
  </sheetViews>
  <sheetFormatPr defaultRowHeight="11.25" customHeight="1" x14ac:dyDescent="0.3"/>
  <cols>
    <col min="1" max="1" width="18" style="4" bestFit="1" customWidth="1"/>
    <col min="2" max="2" width="12.109375" style="4" bestFit="1" customWidth="1"/>
    <col min="3" max="3" width="13.5546875" style="4" bestFit="1" customWidth="1"/>
    <col min="4" max="4" width="12.6640625" style="4" bestFit="1" customWidth="1"/>
    <col min="5" max="5" width="23.109375" style="4" bestFit="1" customWidth="1"/>
    <col min="6" max="6" width="12" style="4" bestFit="1" customWidth="1"/>
    <col min="7" max="7" width="15.6640625" style="4" bestFit="1" customWidth="1"/>
    <col min="8" max="8" width="9.5546875" style="4" bestFit="1" customWidth="1"/>
    <col min="9" max="9" width="10.77734375" style="5" bestFit="1" customWidth="1"/>
    <col min="10" max="10" width="7.109375" style="6" bestFit="1" customWidth="1"/>
    <col min="11" max="11" width="7.5546875" style="6" bestFit="1" customWidth="1"/>
    <col min="12" max="12" width="10.77734375" style="6" bestFit="1" customWidth="1"/>
    <col min="13" max="13" width="12.109375" style="6" bestFit="1" customWidth="1"/>
    <col min="14" max="14" width="8.6640625" style="6" bestFit="1" customWidth="1"/>
    <col min="15" max="15" width="10" style="6" bestFit="1" customWidth="1"/>
    <col min="16" max="16" width="7.21875" style="6" bestFit="1" customWidth="1"/>
    <col min="17" max="17" width="10.44140625" style="4" bestFit="1" customWidth="1"/>
    <col min="18" max="18" width="12.44140625" style="4" bestFit="1" customWidth="1"/>
    <col min="19" max="19" width="21.88671875" style="4" bestFit="1" customWidth="1"/>
    <col min="20" max="20" width="23.21875" style="4" bestFit="1" customWidth="1"/>
    <col min="21" max="21" width="21" style="4" bestFit="1" customWidth="1"/>
    <col min="22" max="22" width="14.88671875" style="4" bestFit="1" customWidth="1"/>
    <col min="23" max="23" width="16.21875" style="4" bestFit="1" customWidth="1"/>
    <col min="24" max="24" width="14.109375" style="4" bestFit="1" customWidth="1"/>
    <col min="25" max="25" width="19.5546875" style="4" bestFit="1" customWidth="1"/>
    <col min="26" max="26" width="20.88671875" style="4" bestFit="1" customWidth="1"/>
    <col min="27" max="27" width="18.77734375" style="4" bestFit="1" customWidth="1"/>
    <col min="28" max="28" width="21.6640625" style="4" bestFit="1" customWidth="1"/>
    <col min="29" max="29" width="23" style="4" bestFit="1" customWidth="1"/>
    <col min="30" max="30" width="20.77734375" style="4" bestFit="1" customWidth="1"/>
    <col min="31" max="31" width="22.6640625" style="4" bestFit="1" customWidth="1"/>
    <col min="32" max="32" width="24" style="4" bestFit="1" customWidth="1"/>
    <col min="33" max="33" width="21.88671875" style="4" bestFit="1" customWidth="1"/>
    <col min="34" max="34" width="8.88671875" style="4"/>
    <col min="35" max="35" width="9" style="4" bestFit="1" customWidth="1"/>
    <col min="36" max="36" width="13.5546875" style="4" bestFit="1" customWidth="1"/>
    <col min="37" max="37" width="14.5546875" style="4" bestFit="1" customWidth="1"/>
    <col min="38" max="38" width="8.33203125" style="4" bestFit="1" customWidth="1"/>
    <col min="39" max="39" width="8.88671875" style="4"/>
    <col min="40" max="40" width="9" style="4" bestFit="1" customWidth="1"/>
    <col min="41" max="41" width="11.33203125" style="4" bestFit="1" customWidth="1"/>
    <col min="42" max="42" width="12.33203125" style="4" bestFit="1" customWidth="1"/>
    <col min="43" max="43" width="8.33203125" style="4" bestFit="1" customWidth="1"/>
    <col min="44" max="44" width="8.88671875" style="4"/>
    <col min="45" max="45" width="9" style="4" bestFit="1" customWidth="1"/>
    <col min="46" max="47" width="10.6640625" style="4" bestFit="1" customWidth="1"/>
    <col min="48" max="48" width="8.33203125" style="4" bestFit="1" customWidth="1"/>
    <col min="49" max="16384" width="8.88671875" style="4"/>
  </cols>
  <sheetData>
    <row r="1" spans="1:48" s="1" customFormat="1" ht="11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802</v>
      </c>
      <c r="W1" s="1" t="s">
        <v>803</v>
      </c>
      <c r="X1" s="1" t="s">
        <v>804</v>
      </c>
      <c r="Y1" s="1" t="s">
        <v>805</v>
      </c>
      <c r="Z1" s="1" t="s">
        <v>806</v>
      </c>
      <c r="AA1" s="1" t="s">
        <v>807</v>
      </c>
      <c r="AB1" s="1" t="s">
        <v>820</v>
      </c>
      <c r="AC1" s="1" t="s">
        <v>821</v>
      </c>
      <c r="AD1" s="1" t="s">
        <v>822</v>
      </c>
      <c r="AE1" s="1" t="s">
        <v>823</v>
      </c>
      <c r="AF1" s="1" t="s">
        <v>824</v>
      </c>
      <c r="AG1" s="1" t="s">
        <v>825</v>
      </c>
      <c r="AI1" s="34" t="s">
        <v>68</v>
      </c>
      <c r="AJ1" s="34" t="s">
        <v>826</v>
      </c>
      <c r="AK1" s="34" t="s">
        <v>827</v>
      </c>
      <c r="AL1" s="34" t="s">
        <v>828</v>
      </c>
      <c r="AN1" s="34" t="s">
        <v>68</v>
      </c>
      <c r="AO1" s="34" t="s">
        <v>829</v>
      </c>
      <c r="AP1" s="34" t="s">
        <v>830</v>
      </c>
      <c r="AQ1" s="34" t="s">
        <v>828</v>
      </c>
      <c r="AS1" s="34" t="s">
        <v>68</v>
      </c>
      <c r="AT1" s="34" t="s">
        <v>831</v>
      </c>
      <c r="AU1" s="34" t="s">
        <v>832</v>
      </c>
      <c r="AV1" s="34" t="s">
        <v>828</v>
      </c>
    </row>
    <row r="2" spans="1:48" ht="11.25" customHeight="1" x14ac:dyDescent="0.3">
      <c r="A2" s="4" t="s">
        <v>21</v>
      </c>
      <c r="B2" s="4" t="s">
        <v>54</v>
      </c>
      <c r="C2" s="4" t="s">
        <v>40</v>
      </c>
      <c r="D2" s="4" t="s">
        <v>38</v>
      </c>
      <c r="E2" s="4" t="s">
        <v>25</v>
      </c>
      <c r="F2" s="4" t="s">
        <v>25</v>
      </c>
      <c r="G2" s="4" t="s">
        <v>25</v>
      </c>
      <c r="H2" s="4" t="s">
        <v>35</v>
      </c>
      <c r="I2" s="5">
        <v>44501</v>
      </c>
      <c r="J2" s="6">
        <v>20000</v>
      </c>
      <c r="K2" s="6">
        <v>20000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55</v>
      </c>
      <c r="R2" s="4">
        <v>0</v>
      </c>
      <c r="S2" s="6">
        <v>19</v>
      </c>
      <c r="T2" s="6">
        <v>0</v>
      </c>
      <c r="U2" s="6">
        <v>0</v>
      </c>
      <c r="V2" s="6">
        <f>IF(ISERROR(VLOOKUP($S$2,'TAR FIN'!$A$1:$O$113,15,0)),0,VLOOKUP($S$2,'TAR FIN'!$A$1:$O$113,15,0))</f>
        <v>6.93</v>
      </c>
      <c r="W2" s="6">
        <f>IF(ISERROR(VLOOKUP($T$2,'TAR FIN'!$A$1:$O$113,15,0)),0,VLOOKUP($T$2,'TAR FIN'!$A$1:$O$113,15,0))</f>
        <v>0</v>
      </c>
      <c r="X2" s="6">
        <f>IF(ISERROR(VLOOKUP($U$2,'TAR FIN'!$A$1:$O$113,15,0)),0,VLOOKUP($U$2,'TAR FIN'!$A$1:$O$113,15,0))</f>
        <v>0</v>
      </c>
      <c r="Y2" s="6">
        <f ca="1">('TUSD BE'!$AM$6+'TUSD BF_350'!$AM$6+'TUSD CVA'!$AM$6)*1</f>
        <v>6.7999999999999989</v>
      </c>
      <c r="Z2" s="6">
        <f ca="1">('TUSD BE'!$AM$7+'TUSD BF_350'!$AM$7+'TUSD CVA'!$AM$7)*1</f>
        <v>82.830000000000013</v>
      </c>
      <c r="AA2" s="6"/>
      <c r="AB2" s="6">
        <f>$K$2*$V$2</f>
        <v>138600</v>
      </c>
      <c r="AC2" s="6">
        <f>$M$2*$W$2</f>
        <v>0</v>
      </c>
      <c r="AD2" s="6">
        <f>$O$2*$X$2</f>
        <v>0</v>
      </c>
      <c r="AE2" s="6">
        <f ca="1">$K$2*$Y$2</f>
        <v>135999.99999999997</v>
      </c>
      <c r="AF2" s="6">
        <f ca="1">$M$2*$Z$2</f>
        <v>0</v>
      </c>
      <c r="AG2" s="6">
        <f>$O$2*$AA$2</f>
        <v>0</v>
      </c>
      <c r="AI2" s="35" t="s">
        <v>54</v>
      </c>
      <c r="AJ2" s="36">
        <f t="shared" ref="AJ2:AJ9" si="0">SUMIF($B$2:$B$1157,AI2,$AB$2:$AB$1157)+SUMIF($B$2:$B$1157,AI2,$AC$2:$AC$1157)</f>
        <v>8844122.7790799998</v>
      </c>
      <c r="AK2" s="36">
        <f t="shared" ref="AK2:AK9" ca="1" si="1">SUMIF($B$2:$B$1157,AI2,$AE$2:$AE$1157)+SUMIF($B$2:$B$1157,AI2,$AF$2:$AF$1157)</f>
        <v>12088044.576760001</v>
      </c>
      <c r="AL2" s="37">
        <f t="shared" ref="AL2:AL12" ca="1" si="2">IF(AJ2&lt;&gt;0,AK2/AJ2-1,0)</f>
        <v>0.36678841742826274</v>
      </c>
      <c r="AN2" s="35" t="s">
        <v>54</v>
      </c>
      <c r="AO2" s="36">
        <f t="shared" ref="AO2:AO9" si="3">SUMIF($B$2:$B$1157,AN2,$AD$2:$AD$1157)</f>
        <v>0</v>
      </c>
      <c r="AP2" s="36">
        <f t="shared" ref="AP2:AP9" si="4">SUMIF($B$2:$B$1157,AN2,$AG$2:$AG$1157)</f>
        <v>0</v>
      </c>
      <c r="AQ2" s="37">
        <f t="shared" ref="AQ2:AQ12" si="5">IF(AO2&lt;&gt;0,AP2/AO2-1,0)</f>
        <v>0</v>
      </c>
      <c r="AS2" s="35" t="s">
        <v>54</v>
      </c>
      <c r="AT2" s="36">
        <f t="shared" ref="AT2:AT9" si="6">SUMIF($B$2:$B$1157,AS2,$AB$2:$AB$1157)+SUMIF($B$2:$B$1157,AS2,$AC$2:$AC$1157)+SUMIF($B$2:$B$1157,AS2,$AD$2:$AD$1157)</f>
        <v>8844122.7790799998</v>
      </c>
      <c r="AU2" s="36">
        <f t="shared" ref="AU2:AU9" ca="1" si="7">SUMIF($B$2:$B$1157,AS2,$AE$2:$AE$1157)+SUMIF($B$2:$B$1157,AS2,$AF$2:$AF$1157)+SUMIF($B$2:$B$1157,AS2,$AG$2:$AG$1157)</f>
        <v>12088044.576760001</v>
      </c>
      <c r="AV2" s="37">
        <f t="shared" ref="AV2:AV12" ca="1" si="8">IF(AT2&lt;&gt;0,AU2/AT2-1,0)</f>
        <v>0.36678841742826274</v>
      </c>
    </row>
    <row r="3" spans="1:48" ht="11.25" customHeight="1" x14ac:dyDescent="0.3">
      <c r="A3" s="4" t="s">
        <v>21</v>
      </c>
      <c r="B3" s="4" t="s">
        <v>54</v>
      </c>
      <c r="C3" s="4" t="s">
        <v>40</v>
      </c>
      <c r="D3" s="4" t="s">
        <v>38</v>
      </c>
      <c r="E3" s="4" t="s">
        <v>25</v>
      </c>
      <c r="F3" s="4" t="s">
        <v>25</v>
      </c>
      <c r="G3" s="4" t="s">
        <v>25</v>
      </c>
      <c r="H3" s="4" t="s">
        <v>35</v>
      </c>
      <c r="I3" s="5">
        <v>44531</v>
      </c>
      <c r="J3" s="6">
        <v>20000</v>
      </c>
      <c r="K3" s="6">
        <v>20000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55</v>
      </c>
      <c r="R3" s="4">
        <v>0</v>
      </c>
      <c r="S3" s="6">
        <v>19</v>
      </c>
      <c r="T3" s="6">
        <v>0</v>
      </c>
      <c r="U3" s="6">
        <v>0</v>
      </c>
      <c r="V3" s="6">
        <f>IF(ISERROR(VLOOKUP($S$3,'TAR FIN'!$A$1:$O$113,15,0)),0,VLOOKUP($S$3,'TAR FIN'!$A$1:$O$113,15,0))</f>
        <v>6.93</v>
      </c>
      <c r="W3" s="6">
        <f>IF(ISERROR(VLOOKUP($T$3,'TAR FIN'!$A$1:$O$113,15,0)),0,VLOOKUP($T$3,'TAR FIN'!$A$1:$O$113,15,0))</f>
        <v>0</v>
      </c>
      <c r="X3" s="6">
        <f>IF(ISERROR(VLOOKUP($U$3,'TAR FIN'!$A$1:$O$113,15,0)),0,VLOOKUP($U$3,'TAR FIN'!$A$1:$O$113,15,0))</f>
        <v>0</v>
      </c>
      <c r="Y3" s="6">
        <f ca="1">('TUSD BE'!$AM$6+'TUSD BF_350'!$AM$6+'TUSD CVA'!$AM$6)*1</f>
        <v>6.7999999999999989</v>
      </c>
      <c r="Z3" s="6">
        <f ca="1">('TUSD BE'!$AM$7+'TUSD BF_350'!$AM$7+'TUSD CVA'!$AM$7)*1</f>
        <v>82.830000000000013</v>
      </c>
      <c r="AA3" s="6"/>
      <c r="AB3" s="6">
        <f>$K$3*$V$3</f>
        <v>138600</v>
      </c>
      <c r="AC3" s="6">
        <f>$M$3*$W$3</f>
        <v>0</v>
      </c>
      <c r="AD3" s="6">
        <f>$O$3*$X$3</f>
        <v>0</v>
      </c>
      <c r="AE3" s="6">
        <f ca="1">$K$3*$Y$3</f>
        <v>135999.99999999997</v>
      </c>
      <c r="AF3" s="6">
        <f ca="1">$M$3*$Z$3</f>
        <v>0</v>
      </c>
      <c r="AG3" s="6">
        <f>$O$3*$AA$3</f>
        <v>0</v>
      </c>
      <c r="AI3" s="35" t="s">
        <v>60</v>
      </c>
      <c r="AJ3" s="36">
        <f t="shared" si="0"/>
        <v>0</v>
      </c>
      <c r="AK3" s="36">
        <f t="shared" ca="1" si="1"/>
        <v>0</v>
      </c>
      <c r="AL3" s="37">
        <f t="shared" si="2"/>
        <v>0</v>
      </c>
      <c r="AN3" s="35" t="s">
        <v>60</v>
      </c>
      <c r="AO3" s="36">
        <f t="shared" si="3"/>
        <v>0</v>
      </c>
      <c r="AP3" s="36">
        <f t="shared" si="4"/>
        <v>0</v>
      </c>
      <c r="AQ3" s="37">
        <f t="shared" si="5"/>
        <v>0</v>
      </c>
      <c r="AS3" s="35" t="s">
        <v>60</v>
      </c>
      <c r="AT3" s="36">
        <f t="shared" si="6"/>
        <v>0</v>
      </c>
      <c r="AU3" s="36">
        <f t="shared" ca="1" si="7"/>
        <v>0</v>
      </c>
      <c r="AV3" s="37">
        <f t="shared" si="8"/>
        <v>0</v>
      </c>
    </row>
    <row r="4" spans="1:48" ht="11.25" customHeight="1" x14ac:dyDescent="0.3">
      <c r="A4" s="4" t="s">
        <v>21</v>
      </c>
      <c r="B4" s="4" t="s">
        <v>54</v>
      </c>
      <c r="C4" s="4" t="s">
        <v>40</v>
      </c>
      <c r="D4" s="4" t="s">
        <v>38</v>
      </c>
      <c r="E4" s="4" t="s">
        <v>25</v>
      </c>
      <c r="F4" s="4" t="s">
        <v>25</v>
      </c>
      <c r="G4" s="4" t="s">
        <v>25</v>
      </c>
      <c r="H4" s="4" t="s">
        <v>35</v>
      </c>
      <c r="I4" s="5">
        <v>44562</v>
      </c>
      <c r="J4" s="6">
        <v>20000</v>
      </c>
      <c r="K4" s="6">
        <v>20000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55</v>
      </c>
      <c r="R4" s="4">
        <v>0</v>
      </c>
      <c r="S4" s="6">
        <v>19</v>
      </c>
      <c r="T4" s="6">
        <v>0</v>
      </c>
      <c r="U4" s="6">
        <v>0</v>
      </c>
      <c r="V4" s="6">
        <f>IF(ISERROR(VLOOKUP($S$4,'TAR FIN'!$A$1:$O$113,15,0)),0,VLOOKUP($S$4,'TAR FIN'!$A$1:$O$113,15,0))</f>
        <v>6.93</v>
      </c>
      <c r="W4" s="6">
        <f>IF(ISERROR(VLOOKUP($T$4,'TAR FIN'!$A$1:$O$113,15,0)),0,VLOOKUP($T$4,'TAR FIN'!$A$1:$O$113,15,0))</f>
        <v>0</v>
      </c>
      <c r="X4" s="6">
        <f>IF(ISERROR(VLOOKUP($U$4,'TAR FIN'!$A$1:$O$113,15,0)),0,VLOOKUP($U$4,'TAR FIN'!$A$1:$O$113,15,0))</f>
        <v>0</v>
      </c>
      <c r="Y4" s="6">
        <f ca="1">('TUSD BE'!$AM$6+'TUSD BF_350'!$AM$6+'TUSD CVA'!$AM$6)*1</f>
        <v>6.7999999999999989</v>
      </c>
      <c r="Z4" s="6">
        <f ca="1">('TUSD BE'!$AM$7+'TUSD BF_350'!$AM$7+'TUSD CVA'!$AM$7)*1</f>
        <v>82.830000000000013</v>
      </c>
      <c r="AA4" s="6"/>
      <c r="AB4" s="6">
        <f>$K$4*$V$4</f>
        <v>138600</v>
      </c>
      <c r="AC4" s="6">
        <f>$M$4*$W$4</f>
        <v>0</v>
      </c>
      <c r="AD4" s="6">
        <f>$O$4*$X$4</f>
        <v>0</v>
      </c>
      <c r="AE4" s="6">
        <f ca="1">$K$4*$Y$4</f>
        <v>135999.99999999997</v>
      </c>
      <c r="AF4" s="6">
        <f ca="1">$M$4*$Z$4</f>
        <v>0</v>
      </c>
      <c r="AG4" s="6">
        <f>$O$4*$AA$4</f>
        <v>0</v>
      </c>
      <c r="AI4" s="35" t="s">
        <v>39</v>
      </c>
      <c r="AJ4" s="36">
        <f t="shared" si="0"/>
        <v>42625351.488473937</v>
      </c>
      <c r="AK4" s="36">
        <f t="shared" ca="1" si="1"/>
        <v>59250265.035600364</v>
      </c>
      <c r="AL4" s="37">
        <f t="shared" ca="1" si="2"/>
        <v>0.39002408112979126</v>
      </c>
      <c r="AN4" s="35" t="s">
        <v>39</v>
      </c>
      <c r="AO4" s="36">
        <f t="shared" si="3"/>
        <v>19586793.071164172</v>
      </c>
      <c r="AP4" s="36">
        <f t="shared" ca="1" si="4"/>
        <v>16442159.6316541</v>
      </c>
      <c r="AQ4" s="37">
        <f t="shared" ca="1" si="5"/>
        <v>-0.16054866297329828</v>
      </c>
      <c r="AS4" s="35" t="s">
        <v>39</v>
      </c>
      <c r="AT4" s="36">
        <f t="shared" si="6"/>
        <v>62212144.559638113</v>
      </c>
      <c r="AU4" s="36">
        <f t="shared" ca="1" si="7"/>
        <v>75692424.667254463</v>
      </c>
      <c r="AV4" s="37">
        <f t="shared" ca="1" si="8"/>
        <v>0.21668245329002955</v>
      </c>
    </row>
    <row r="5" spans="1:48" ht="11.25" customHeight="1" x14ac:dyDescent="0.3">
      <c r="A5" s="4" t="s">
        <v>21</v>
      </c>
      <c r="B5" s="4" t="s">
        <v>54</v>
      </c>
      <c r="C5" s="4" t="s">
        <v>40</v>
      </c>
      <c r="D5" s="4" t="s">
        <v>38</v>
      </c>
      <c r="E5" s="4" t="s">
        <v>25</v>
      </c>
      <c r="F5" s="4" t="s">
        <v>25</v>
      </c>
      <c r="G5" s="4" t="s">
        <v>25</v>
      </c>
      <c r="H5" s="4" t="s">
        <v>35</v>
      </c>
      <c r="I5" s="5">
        <v>44593</v>
      </c>
      <c r="J5" s="6">
        <v>20000</v>
      </c>
      <c r="K5" s="6">
        <v>20000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55</v>
      </c>
      <c r="R5" s="4">
        <v>0</v>
      </c>
      <c r="S5" s="6">
        <v>19</v>
      </c>
      <c r="T5" s="6">
        <v>0</v>
      </c>
      <c r="U5" s="6">
        <v>0</v>
      </c>
      <c r="V5" s="6">
        <f>IF(ISERROR(VLOOKUP($S$5,'TAR FIN'!$A$1:$O$113,15,0)),0,VLOOKUP($S$5,'TAR FIN'!$A$1:$O$113,15,0))</f>
        <v>6.93</v>
      </c>
      <c r="W5" s="6">
        <f>IF(ISERROR(VLOOKUP($T$5,'TAR FIN'!$A$1:$O$113,15,0)),0,VLOOKUP($T$5,'TAR FIN'!$A$1:$O$113,15,0))</f>
        <v>0</v>
      </c>
      <c r="X5" s="6">
        <f>IF(ISERROR(VLOOKUP($U$5,'TAR FIN'!$A$1:$O$113,15,0)),0,VLOOKUP($U$5,'TAR FIN'!$A$1:$O$113,15,0))</f>
        <v>0</v>
      </c>
      <c r="Y5" s="6">
        <f ca="1">('TUSD BE'!$AM$6+'TUSD BF_350'!$AM$6+'TUSD CVA'!$AM$6)*1</f>
        <v>6.7999999999999989</v>
      </c>
      <c r="Z5" s="6">
        <f ca="1">('TUSD BE'!$AM$7+'TUSD BF_350'!$AM$7+'TUSD CVA'!$AM$7)*1</f>
        <v>82.830000000000013</v>
      </c>
      <c r="AA5" s="6"/>
      <c r="AB5" s="6">
        <f>$K$5*$V$5</f>
        <v>138600</v>
      </c>
      <c r="AC5" s="6">
        <f>$M$5*$W$5</f>
        <v>0</v>
      </c>
      <c r="AD5" s="6">
        <f>$O$5*$X$5</f>
        <v>0</v>
      </c>
      <c r="AE5" s="6">
        <f ca="1">$K$5*$Y$5</f>
        <v>135999.99999999997</v>
      </c>
      <c r="AF5" s="6">
        <f ca="1">$M$5*$Z$5</f>
        <v>0</v>
      </c>
      <c r="AG5" s="6">
        <f>$O$5*$AA$5</f>
        <v>0</v>
      </c>
      <c r="AI5" s="35" t="s">
        <v>43</v>
      </c>
      <c r="AJ5" s="36">
        <f t="shared" si="0"/>
        <v>142482.65159385247</v>
      </c>
      <c r="AK5" s="36">
        <f t="shared" ca="1" si="1"/>
        <v>190180.08819232028</v>
      </c>
      <c r="AL5" s="37">
        <f t="shared" ca="1" si="2"/>
        <v>0.33475960802883997</v>
      </c>
      <c r="AN5" s="35" t="s">
        <v>43</v>
      </c>
      <c r="AO5" s="36">
        <f t="shared" si="3"/>
        <v>76814.326289999997</v>
      </c>
      <c r="AP5" s="36">
        <f t="shared" ca="1" si="4"/>
        <v>64066.351620000009</v>
      </c>
      <c r="AQ5" s="37">
        <f t="shared" ca="1" si="5"/>
        <v>-0.16595829561626407</v>
      </c>
      <c r="AS5" s="35" t="s">
        <v>43</v>
      </c>
      <c r="AT5" s="36">
        <f t="shared" si="6"/>
        <v>219296.97788385247</v>
      </c>
      <c r="AU5" s="36">
        <f t="shared" ca="1" si="7"/>
        <v>254246.43981232028</v>
      </c>
      <c r="AV5" s="37">
        <f t="shared" ca="1" si="8"/>
        <v>0.15937046769052299</v>
      </c>
    </row>
    <row r="6" spans="1:48" ht="11.25" customHeight="1" x14ac:dyDescent="0.3">
      <c r="A6" s="4" t="s">
        <v>21</v>
      </c>
      <c r="B6" s="4" t="s">
        <v>54</v>
      </c>
      <c r="C6" s="4" t="s">
        <v>40</v>
      </c>
      <c r="D6" s="4" t="s">
        <v>38</v>
      </c>
      <c r="E6" s="4" t="s">
        <v>25</v>
      </c>
      <c r="F6" s="4" t="s">
        <v>25</v>
      </c>
      <c r="G6" s="4" t="s">
        <v>25</v>
      </c>
      <c r="H6" s="4" t="s">
        <v>35</v>
      </c>
      <c r="I6" s="5">
        <v>44621</v>
      </c>
      <c r="J6" s="6">
        <v>20000</v>
      </c>
      <c r="K6" s="6">
        <v>20000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55</v>
      </c>
      <c r="R6" s="4">
        <v>0</v>
      </c>
      <c r="S6" s="6">
        <v>19</v>
      </c>
      <c r="T6" s="6">
        <v>0</v>
      </c>
      <c r="U6" s="6">
        <v>0</v>
      </c>
      <c r="V6" s="6">
        <f>IF(ISERROR(VLOOKUP($S$6,'TAR FIN'!$A$1:$O$113,15,0)),0,VLOOKUP($S$6,'TAR FIN'!$A$1:$O$113,15,0))</f>
        <v>6.93</v>
      </c>
      <c r="W6" s="6">
        <f>IF(ISERROR(VLOOKUP($T$6,'TAR FIN'!$A$1:$O$113,15,0)),0,VLOOKUP($T$6,'TAR FIN'!$A$1:$O$113,15,0))</f>
        <v>0</v>
      </c>
      <c r="X6" s="6">
        <f>IF(ISERROR(VLOOKUP($U$6,'TAR FIN'!$A$1:$O$113,15,0)),0,VLOOKUP($U$6,'TAR FIN'!$A$1:$O$113,15,0))</f>
        <v>0</v>
      </c>
      <c r="Y6" s="6">
        <f ca="1">('TUSD BE'!$AM$6+'TUSD BF_350'!$AM$6+'TUSD CVA'!$AM$6)*1</f>
        <v>6.7999999999999989</v>
      </c>
      <c r="Z6" s="6">
        <f ca="1">('TUSD BE'!$AM$7+'TUSD BF_350'!$AM$7+'TUSD CVA'!$AM$7)*1</f>
        <v>82.830000000000013</v>
      </c>
      <c r="AA6" s="6"/>
      <c r="AB6" s="6">
        <f>$K$6*$V$6</f>
        <v>138600</v>
      </c>
      <c r="AC6" s="6">
        <f>$M$6*$W$6</f>
        <v>0</v>
      </c>
      <c r="AD6" s="6">
        <f>$O$6*$X$6</f>
        <v>0</v>
      </c>
      <c r="AE6" s="6">
        <f ca="1">$K$6*$Y$6</f>
        <v>135999.99999999997</v>
      </c>
      <c r="AF6" s="6">
        <f ca="1">$M$6*$Z$6</f>
        <v>0</v>
      </c>
      <c r="AG6" s="6">
        <f>$O$6*$AA$6</f>
        <v>0</v>
      </c>
      <c r="AI6" s="35" t="s">
        <v>22</v>
      </c>
      <c r="AJ6" s="36">
        <f t="shared" si="0"/>
        <v>39605220.734357044</v>
      </c>
      <c r="AK6" s="36">
        <f t="shared" ca="1" si="1"/>
        <v>53917266.80998943</v>
      </c>
      <c r="AL6" s="37">
        <f t="shared" ca="1" si="2"/>
        <v>0.36136766341051763</v>
      </c>
      <c r="AN6" s="35" t="s">
        <v>22</v>
      </c>
      <c r="AO6" s="36">
        <f t="shared" si="3"/>
        <v>39063626.949200019</v>
      </c>
      <c r="AP6" s="36">
        <f t="shared" ca="1" si="4"/>
        <v>32602100.15079999</v>
      </c>
      <c r="AQ6" s="37">
        <f t="shared" ca="1" si="5"/>
        <v>-0.16541031396810313</v>
      </c>
      <c r="AS6" s="35" t="s">
        <v>22</v>
      </c>
      <c r="AT6" s="36">
        <f t="shared" si="6"/>
        <v>78668847.683557063</v>
      </c>
      <c r="AU6" s="36">
        <f t="shared" ca="1" si="7"/>
        <v>86519366.960789412</v>
      </c>
      <c r="AV6" s="37">
        <f t="shared" ca="1" si="8"/>
        <v>9.9791969863481489E-2</v>
      </c>
    </row>
    <row r="7" spans="1:48" ht="11.25" customHeight="1" x14ac:dyDescent="0.3">
      <c r="A7" s="4" t="s">
        <v>21</v>
      </c>
      <c r="B7" s="4" t="s">
        <v>54</v>
      </c>
      <c r="C7" s="4" t="s">
        <v>40</v>
      </c>
      <c r="D7" s="4" t="s">
        <v>38</v>
      </c>
      <c r="E7" s="4" t="s">
        <v>25</v>
      </c>
      <c r="F7" s="4" t="s">
        <v>25</v>
      </c>
      <c r="G7" s="4" t="s">
        <v>25</v>
      </c>
      <c r="H7" s="4" t="s">
        <v>35</v>
      </c>
      <c r="I7" s="5">
        <v>44652</v>
      </c>
      <c r="J7" s="6">
        <v>20000</v>
      </c>
      <c r="K7" s="6">
        <v>20000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55</v>
      </c>
      <c r="R7" s="4">
        <v>0</v>
      </c>
      <c r="S7" s="6">
        <v>19</v>
      </c>
      <c r="T7" s="6">
        <v>0</v>
      </c>
      <c r="U7" s="6">
        <v>0</v>
      </c>
      <c r="V7" s="6">
        <f>IF(ISERROR(VLOOKUP($S$7,'TAR FIN'!$A$1:$O$113,15,0)),0,VLOOKUP($S$7,'TAR FIN'!$A$1:$O$113,15,0))</f>
        <v>6.93</v>
      </c>
      <c r="W7" s="6">
        <f>IF(ISERROR(VLOOKUP($T$7,'TAR FIN'!$A$1:$O$113,15,0)),0,VLOOKUP($T$7,'TAR FIN'!$A$1:$O$113,15,0))</f>
        <v>0</v>
      </c>
      <c r="X7" s="6">
        <f>IF(ISERROR(VLOOKUP($U$7,'TAR FIN'!$A$1:$O$113,15,0)),0,VLOOKUP($U$7,'TAR FIN'!$A$1:$O$113,15,0))</f>
        <v>0</v>
      </c>
      <c r="Y7" s="6">
        <f ca="1">('TUSD BE'!$AM$6+'TUSD BF_350'!$AM$6+'TUSD CVA'!$AM$6)*1</f>
        <v>6.7999999999999989</v>
      </c>
      <c r="Z7" s="6">
        <f ca="1">('TUSD BE'!$AM$7+'TUSD BF_350'!$AM$7+'TUSD CVA'!$AM$7)*1</f>
        <v>82.830000000000013</v>
      </c>
      <c r="AA7" s="6"/>
      <c r="AB7" s="6">
        <f>$K$7*$V$7</f>
        <v>138600</v>
      </c>
      <c r="AC7" s="6">
        <f>$M$7*$W$7</f>
        <v>0</v>
      </c>
      <c r="AD7" s="6">
        <f>$O$7*$X$7</f>
        <v>0</v>
      </c>
      <c r="AE7" s="6">
        <f ca="1">$K$7*$Y$7</f>
        <v>135999.99999999997</v>
      </c>
      <c r="AF7" s="6">
        <f ca="1">$M$7*$Z$7</f>
        <v>0</v>
      </c>
      <c r="AG7" s="6">
        <f>$O$7*$AA$7</f>
        <v>0</v>
      </c>
      <c r="AI7" s="35" t="s">
        <v>44</v>
      </c>
      <c r="AJ7" s="36">
        <f t="shared" si="0"/>
        <v>997234.5266199999</v>
      </c>
      <c r="AK7" s="36">
        <f t="shared" ca="1" si="1"/>
        <v>1451292.8485714004</v>
      </c>
      <c r="AL7" s="37">
        <f t="shared" ca="1" si="2"/>
        <v>0.45531749035041291</v>
      </c>
      <c r="AN7" s="35" t="s">
        <v>44</v>
      </c>
      <c r="AO7" s="36">
        <f t="shared" si="3"/>
        <v>970856.45449000015</v>
      </c>
      <c r="AP7" s="36">
        <f t="shared" ca="1" si="4"/>
        <v>865532.85032000009</v>
      </c>
      <c r="AQ7" s="37">
        <f t="shared" ca="1" si="5"/>
        <v>-0.10848524896023637</v>
      </c>
      <c r="AS7" s="35" t="s">
        <v>44</v>
      </c>
      <c r="AT7" s="36">
        <f t="shared" si="6"/>
        <v>1968090.9811100001</v>
      </c>
      <c r="AU7" s="36">
        <f t="shared" ca="1" si="7"/>
        <v>2316825.6988914004</v>
      </c>
      <c r="AV7" s="37">
        <f t="shared" ca="1" si="8"/>
        <v>0.1771944087588444</v>
      </c>
    </row>
    <row r="8" spans="1:48" ht="11.25" customHeight="1" x14ac:dyDescent="0.3">
      <c r="A8" s="4" t="s">
        <v>21</v>
      </c>
      <c r="B8" s="4" t="s">
        <v>54</v>
      </c>
      <c r="C8" s="4" t="s">
        <v>40</v>
      </c>
      <c r="D8" s="4" t="s">
        <v>38</v>
      </c>
      <c r="E8" s="4" t="s">
        <v>25</v>
      </c>
      <c r="F8" s="4" t="s">
        <v>25</v>
      </c>
      <c r="G8" s="4" t="s">
        <v>25</v>
      </c>
      <c r="H8" s="4" t="s">
        <v>35</v>
      </c>
      <c r="I8" s="5">
        <v>44682</v>
      </c>
      <c r="J8" s="6">
        <v>20000</v>
      </c>
      <c r="K8" s="6">
        <v>20000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55</v>
      </c>
      <c r="R8" s="4">
        <v>0</v>
      </c>
      <c r="S8" s="6">
        <v>19</v>
      </c>
      <c r="T8" s="6">
        <v>0</v>
      </c>
      <c r="U8" s="6">
        <v>0</v>
      </c>
      <c r="V8" s="6">
        <f>IF(ISERROR(VLOOKUP($S$8,'TAR FIN'!$A$1:$O$113,15,0)),0,VLOOKUP($S$8,'TAR FIN'!$A$1:$O$113,15,0))</f>
        <v>6.93</v>
      </c>
      <c r="W8" s="6">
        <f>IF(ISERROR(VLOOKUP($T$8,'TAR FIN'!$A$1:$O$113,15,0)),0,VLOOKUP($T$8,'TAR FIN'!$A$1:$O$113,15,0))</f>
        <v>0</v>
      </c>
      <c r="X8" s="6">
        <f>IF(ISERROR(VLOOKUP($U$8,'TAR FIN'!$A$1:$O$113,15,0)),0,VLOOKUP($U$8,'TAR FIN'!$A$1:$O$113,15,0))</f>
        <v>0</v>
      </c>
      <c r="Y8" s="6">
        <f ca="1">('TUSD BE'!$AM$6+'TUSD BF_350'!$AM$6+'TUSD CVA'!$AM$6)*1</f>
        <v>6.7999999999999989</v>
      </c>
      <c r="Z8" s="6">
        <f ca="1">('TUSD BE'!$AM$7+'TUSD BF_350'!$AM$7+'TUSD CVA'!$AM$7)*1</f>
        <v>82.830000000000013</v>
      </c>
      <c r="AA8" s="6"/>
      <c r="AB8" s="6">
        <f>$K$8*$V$8</f>
        <v>138600</v>
      </c>
      <c r="AC8" s="6">
        <f>$M$8*$W$8</f>
        <v>0</v>
      </c>
      <c r="AD8" s="6">
        <f>$O$8*$X$8</f>
        <v>0</v>
      </c>
      <c r="AE8" s="6">
        <f ca="1">$K$8*$Y$8</f>
        <v>135999.99999999997</v>
      </c>
      <c r="AF8" s="6">
        <f ca="1">$M$8*$Z$8</f>
        <v>0</v>
      </c>
      <c r="AG8" s="6">
        <f>$O$8*$AA$8</f>
        <v>0</v>
      </c>
      <c r="AI8" s="35" t="s">
        <v>37</v>
      </c>
      <c r="AJ8" s="36">
        <f t="shared" si="0"/>
        <v>14446154.030672403</v>
      </c>
      <c r="AK8" s="36">
        <f t="shared" ca="1" si="1"/>
        <v>19693110.5183075</v>
      </c>
      <c r="AL8" s="37">
        <f t="shared" ca="1" si="2"/>
        <v>0.36320784594256983</v>
      </c>
      <c r="AN8" s="35" t="s">
        <v>37</v>
      </c>
      <c r="AO8" s="36">
        <f t="shared" si="3"/>
        <v>14076372.842617806</v>
      </c>
      <c r="AP8" s="36">
        <f t="shared" ca="1" si="4"/>
        <v>11758787.555474497</v>
      </c>
      <c r="AQ8" s="37">
        <f t="shared" ca="1" si="5"/>
        <v>-0.16464364172896573</v>
      </c>
      <c r="AS8" s="35" t="s">
        <v>37</v>
      </c>
      <c r="AT8" s="36">
        <f t="shared" si="6"/>
        <v>28522526.873290211</v>
      </c>
      <c r="AU8" s="36">
        <f t="shared" ca="1" si="7"/>
        <v>31451898.073781997</v>
      </c>
      <c r="AV8" s="37">
        <f t="shared" ca="1" si="8"/>
        <v>0.10270377563339173</v>
      </c>
    </row>
    <row r="9" spans="1:48" ht="11.25" customHeight="1" x14ac:dyDescent="0.3">
      <c r="A9" s="4" t="s">
        <v>21</v>
      </c>
      <c r="B9" s="4" t="s">
        <v>54</v>
      </c>
      <c r="C9" s="4" t="s">
        <v>40</v>
      </c>
      <c r="D9" s="4" t="s">
        <v>38</v>
      </c>
      <c r="E9" s="4" t="s">
        <v>25</v>
      </c>
      <c r="F9" s="4" t="s">
        <v>25</v>
      </c>
      <c r="G9" s="4" t="s">
        <v>25</v>
      </c>
      <c r="H9" s="4" t="s">
        <v>35</v>
      </c>
      <c r="I9" s="5">
        <v>44713</v>
      </c>
      <c r="J9" s="6">
        <v>20000</v>
      </c>
      <c r="K9" s="6">
        <v>20000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55</v>
      </c>
      <c r="R9" s="4">
        <v>0</v>
      </c>
      <c r="S9" s="6">
        <v>19</v>
      </c>
      <c r="T9" s="6">
        <v>0</v>
      </c>
      <c r="U9" s="6">
        <v>0</v>
      </c>
      <c r="V9" s="6">
        <f>IF(ISERROR(VLOOKUP($S$9,'TAR FIN'!$A$1:$O$113,15,0)),0,VLOOKUP($S$9,'TAR FIN'!$A$1:$O$113,15,0))</f>
        <v>6.93</v>
      </c>
      <c r="W9" s="6">
        <f>IF(ISERROR(VLOOKUP($T$9,'TAR FIN'!$A$1:$O$113,15,0)),0,VLOOKUP($T$9,'TAR FIN'!$A$1:$O$113,15,0))</f>
        <v>0</v>
      </c>
      <c r="X9" s="6">
        <f>IF(ISERROR(VLOOKUP($U$9,'TAR FIN'!$A$1:$O$113,15,0)),0,VLOOKUP($U$9,'TAR FIN'!$A$1:$O$113,15,0))</f>
        <v>0</v>
      </c>
      <c r="Y9" s="6">
        <f ca="1">('TUSD BE'!$AM$6+'TUSD BF_350'!$AM$6+'TUSD CVA'!$AM$6)*1</f>
        <v>6.7999999999999989</v>
      </c>
      <c r="Z9" s="6">
        <f ca="1">('TUSD BE'!$AM$7+'TUSD BF_350'!$AM$7+'TUSD CVA'!$AM$7)*1</f>
        <v>82.830000000000013</v>
      </c>
      <c r="AA9" s="6"/>
      <c r="AB9" s="6">
        <f>$K$9*$V$9</f>
        <v>138600</v>
      </c>
      <c r="AC9" s="6">
        <f>$M$9*$W$9</f>
        <v>0</v>
      </c>
      <c r="AD9" s="6">
        <f>$O$9*$X$9</f>
        <v>0</v>
      </c>
      <c r="AE9" s="6">
        <f ca="1">$K$9*$Y$9</f>
        <v>135999.99999999997</v>
      </c>
      <c r="AF9" s="6">
        <f ca="1">$M$9*$Z$9</f>
        <v>0</v>
      </c>
      <c r="AG9" s="6">
        <f>$O$9*$AA$9</f>
        <v>0</v>
      </c>
      <c r="AI9" s="35" t="s">
        <v>47</v>
      </c>
      <c r="AJ9" s="36">
        <f t="shared" si="0"/>
        <v>3246111.6201999998</v>
      </c>
      <c r="AK9" s="36">
        <f t="shared" ca="1" si="1"/>
        <v>4422620.7118999995</v>
      </c>
      <c r="AL9" s="37">
        <f t="shared" ca="1" si="2"/>
        <v>0.36243642528457243</v>
      </c>
      <c r="AN9" s="35" t="s">
        <v>47</v>
      </c>
      <c r="AO9" s="36">
        <f t="shared" si="3"/>
        <v>3160418.676</v>
      </c>
      <c r="AP9" s="36">
        <f t="shared" ca="1" si="4"/>
        <v>2637613.0989999999</v>
      </c>
      <c r="AQ9" s="37">
        <f t="shared" ca="1" si="5"/>
        <v>-0.16542288557213936</v>
      </c>
      <c r="AS9" s="35" t="s">
        <v>47</v>
      </c>
      <c r="AT9" s="36">
        <f t="shared" si="6"/>
        <v>6406530.2961999997</v>
      </c>
      <c r="AU9" s="36">
        <f t="shared" ca="1" si="7"/>
        <v>7060233.810899999</v>
      </c>
      <c r="AV9" s="37">
        <f t="shared" ca="1" si="8"/>
        <v>0.10203705976193378</v>
      </c>
    </row>
    <row r="10" spans="1:48" ht="11.25" customHeight="1" x14ac:dyDescent="0.3">
      <c r="A10" s="4" t="s">
        <v>21</v>
      </c>
      <c r="B10" s="4" t="s">
        <v>54</v>
      </c>
      <c r="C10" s="4" t="s">
        <v>40</v>
      </c>
      <c r="D10" s="4" t="s">
        <v>38</v>
      </c>
      <c r="E10" s="4" t="s">
        <v>25</v>
      </c>
      <c r="F10" s="4" t="s">
        <v>25</v>
      </c>
      <c r="G10" s="4" t="s">
        <v>25</v>
      </c>
      <c r="H10" s="4" t="s">
        <v>35</v>
      </c>
      <c r="I10" s="5">
        <v>44743</v>
      </c>
      <c r="J10" s="6">
        <v>20000</v>
      </c>
      <c r="K10" s="6">
        <v>20000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55</v>
      </c>
      <c r="R10" s="4">
        <v>0</v>
      </c>
      <c r="S10" s="6">
        <v>19</v>
      </c>
      <c r="T10" s="6">
        <v>0</v>
      </c>
      <c r="U10" s="6">
        <v>0</v>
      </c>
      <c r="V10" s="6">
        <f>IF(ISERROR(VLOOKUP($S$10,'TAR FIN'!$A$1:$O$113,15,0)),0,VLOOKUP($S$10,'TAR FIN'!$A$1:$O$113,15,0))</f>
        <v>6.93</v>
      </c>
      <c r="W10" s="6">
        <f>IF(ISERROR(VLOOKUP($T$10,'TAR FIN'!$A$1:$O$113,15,0)),0,VLOOKUP($T$10,'TAR FIN'!$A$1:$O$113,15,0))</f>
        <v>0</v>
      </c>
      <c r="X10" s="6">
        <f>IF(ISERROR(VLOOKUP($U$10,'TAR FIN'!$A$1:$O$113,15,0)),0,VLOOKUP($U$10,'TAR FIN'!$A$1:$O$113,15,0))</f>
        <v>0</v>
      </c>
      <c r="Y10" s="6">
        <f ca="1">('TUSD BE'!$AM$6+'TUSD BF_350'!$AM$6+'TUSD CVA'!$AM$6)*1</f>
        <v>6.7999999999999989</v>
      </c>
      <c r="Z10" s="6">
        <f ca="1">('TUSD BE'!$AM$7+'TUSD BF_350'!$AM$7+'TUSD CVA'!$AM$7)*1</f>
        <v>82.830000000000013</v>
      </c>
      <c r="AA10" s="6"/>
      <c r="AB10" s="6">
        <f>$K$10*$V$10</f>
        <v>138600</v>
      </c>
      <c r="AC10" s="6">
        <f>$M$10*$W$10</f>
        <v>0</v>
      </c>
      <c r="AD10" s="6">
        <f>$O$10*$X$10</f>
        <v>0</v>
      </c>
      <c r="AE10" s="6">
        <f ca="1">$K$10*$Y$10</f>
        <v>135999.99999999997</v>
      </c>
      <c r="AF10" s="6">
        <f ca="1">$M$10*$Z$10</f>
        <v>0</v>
      </c>
      <c r="AG10" s="6">
        <f>$O$10*$AA$10</f>
        <v>0</v>
      </c>
      <c r="AI10" s="35" t="s">
        <v>833</v>
      </c>
      <c r="AJ10" s="36">
        <f>+$AJ$2+$AJ$3+$AJ$4+$AJ$5</f>
        <v>51611956.919147789</v>
      </c>
      <c r="AK10" s="36">
        <f ca="1">+$AK$2+$AK$3+$AK$4+$AK$5</f>
        <v>71528489.700552672</v>
      </c>
      <c r="AL10" s="37">
        <f t="shared" ca="1" si="2"/>
        <v>0.38588989781195338</v>
      </c>
      <c r="AN10" s="35" t="s">
        <v>833</v>
      </c>
      <c r="AO10" s="36">
        <f>+$AO$2+$AO$3+$AO$4+$AO$5</f>
        <v>19663607.397454172</v>
      </c>
      <c r="AP10" s="36">
        <f ca="1">+$AP$2+$AP$3+$AP$4+$AP$5</f>
        <v>16506225.9832741</v>
      </c>
      <c r="AQ10" s="37">
        <f t="shared" ca="1" si="5"/>
        <v>-0.16056979527514648</v>
      </c>
      <c r="AS10" s="35" t="s">
        <v>833</v>
      </c>
      <c r="AT10" s="36">
        <f>+$AT$2+$AT$3+$AT$4+$AT$5</f>
        <v>71275564.316601962</v>
      </c>
      <c r="AU10" s="36">
        <f ca="1">+$AU$2+$AU$3+$AU$4+$AU$5</f>
        <v>88034715.683826789</v>
      </c>
      <c r="AV10" s="37">
        <f t="shared" ca="1" si="8"/>
        <v>0.23513179485723379</v>
      </c>
    </row>
    <row r="11" spans="1:48" ht="11.25" customHeight="1" x14ac:dyDescent="0.3">
      <c r="A11" s="4" t="s">
        <v>21</v>
      </c>
      <c r="B11" s="4" t="s">
        <v>54</v>
      </c>
      <c r="C11" s="4" t="s">
        <v>40</v>
      </c>
      <c r="D11" s="4" t="s">
        <v>38</v>
      </c>
      <c r="E11" s="4" t="s">
        <v>25</v>
      </c>
      <c r="F11" s="4" t="s">
        <v>25</v>
      </c>
      <c r="G11" s="4" t="s">
        <v>25</v>
      </c>
      <c r="H11" s="4" t="s">
        <v>35</v>
      </c>
      <c r="I11" s="5">
        <v>44774</v>
      </c>
      <c r="J11" s="6">
        <v>20000</v>
      </c>
      <c r="K11" s="6">
        <v>20000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55</v>
      </c>
      <c r="R11" s="4">
        <v>0</v>
      </c>
      <c r="S11" s="6">
        <v>19</v>
      </c>
      <c r="T11" s="6">
        <v>0</v>
      </c>
      <c r="U11" s="6">
        <v>0</v>
      </c>
      <c r="V11" s="6">
        <f>IF(ISERROR(VLOOKUP($S$11,'TAR FIN'!$A$1:$O$113,15,0)),0,VLOOKUP($S$11,'TAR FIN'!$A$1:$O$113,15,0))</f>
        <v>6.93</v>
      </c>
      <c r="W11" s="6">
        <f>IF(ISERROR(VLOOKUP($T$11,'TAR FIN'!$A$1:$O$113,15,0)),0,VLOOKUP($T$11,'TAR FIN'!$A$1:$O$113,15,0))</f>
        <v>0</v>
      </c>
      <c r="X11" s="6">
        <f>IF(ISERROR(VLOOKUP($U$11,'TAR FIN'!$A$1:$O$113,15,0)),0,VLOOKUP($U$11,'TAR FIN'!$A$1:$O$113,15,0))</f>
        <v>0</v>
      </c>
      <c r="Y11" s="6">
        <f ca="1">('TUSD BE'!$AM$6+'TUSD BF_350'!$AM$6+'TUSD CVA'!$AM$6)*1</f>
        <v>6.7999999999999989</v>
      </c>
      <c r="Z11" s="6">
        <f ca="1">('TUSD BE'!$AM$7+'TUSD BF_350'!$AM$7+'TUSD CVA'!$AM$7)*1</f>
        <v>82.830000000000013</v>
      </c>
      <c r="AA11" s="6"/>
      <c r="AB11" s="6">
        <f>$K$11*$V$11</f>
        <v>138600</v>
      </c>
      <c r="AC11" s="6">
        <f>$M$11*$W$11</f>
        <v>0</v>
      </c>
      <c r="AD11" s="6">
        <f>$O$11*$X$11</f>
        <v>0</v>
      </c>
      <c r="AE11" s="6">
        <f ca="1">$K$11*$Y$11</f>
        <v>135999.99999999997</v>
      </c>
      <c r="AF11" s="6">
        <f ca="1">$M$11*$Z$11</f>
        <v>0</v>
      </c>
      <c r="AG11" s="6">
        <f>$O$11*$AA$11</f>
        <v>0</v>
      </c>
      <c r="AI11" s="35" t="s">
        <v>87</v>
      </c>
      <c r="AJ11" s="36">
        <f>+$AJ$6+$AJ$7+$AJ$8+$AJ$9</f>
        <v>58294720.911849447</v>
      </c>
      <c r="AK11" s="36">
        <f ca="1">+$AK$6+$AK$7+$AK$8+$AK$9</f>
        <v>79484290.888768315</v>
      </c>
      <c r="AL11" s="37">
        <f t="shared" ca="1" si="2"/>
        <v>0.36349037520842997</v>
      </c>
      <c r="AN11" s="35" t="s">
        <v>87</v>
      </c>
      <c r="AO11" s="36">
        <f>+$AO$6+$AO$7+$AO$8+$AO$9</f>
        <v>57271274.922307819</v>
      </c>
      <c r="AP11" s="36">
        <f ca="1">+$AP$6+$AP$7+$AP$8+$AP$9</f>
        <v>47864033.65559449</v>
      </c>
      <c r="AQ11" s="37">
        <f t="shared" ca="1" si="5"/>
        <v>-0.16425758426846371</v>
      </c>
      <c r="AS11" s="35" t="s">
        <v>87</v>
      </c>
      <c r="AT11" s="36">
        <f>+$AT$6+$AT$7+$AT$8+$AT$9</f>
        <v>115565995.83415729</v>
      </c>
      <c r="AU11" s="36">
        <f ca="1">+$AU$6+$AU$7+$AU$8+$AU$9</f>
        <v>127348324.54436281</v>
      </c>
      <c r="AV11" s="37">
        <f t="shared" ca="1" si="8"/>
        <v>0.10195324866246747</v>
      </c>
    </row>
    <row r="12" spans="1:48" ht="11.25" customHeight="1" x14ac:dyDescent="0.3">
      <c r="A12" s="4" t="s">
        <v>21</v>
      </c>
      <c r="B12" s="4" t="s">
        <v>54</v>
      </c>
      <c r="C12" s="4" t="s">
        <v>40</v>
      </c>
      <c r="D12" s="4" t="s">
        <v>38</v>
      </c>
      <c r="E12" s="4" t="s">
        <v>25</v>
      </c>
      <c r="F12" s="4" t="s">
        <v>25</v>
      </c>
      <c r="G12" s="4" t="s">
        <v>25</v>
      </c>
      <c r="H12" s="4" t="s">
        <v>35</v>
      </c>
      <c r="I12" s="5">
        <v>44805</v>
      </c>
      <c r="J12" s="6">
        <v>20000</v>
      </c>
      <c r="K12" s="6">
        <v>20000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55</v>
      </c>
      <c r="R12" s="4">
        <v>0</v>
      </c>
      <c r="S12" s="6">
        <v>19</v>
      </c>
      <c r="T12" s="6">
        <v>0</v>
      </c>
      <c r="U12" s="6">
        <v>0</v>
      </c>
      <c r="V12" s="6">
        <f>IF(ISERROR(VLOOKUP($S$12,'TAR FIN'!$A$1:$O$113,15,0)),0,VLOOKUP($S$12,'TAR FIN'!$A$1:$O$113,15,0))</f>
        <v>6.93</v>
      </c>
      <c r="W12" s="6">
        <f>IF(ISERROR(VLOOKUP($T$12,'TAR FIN'!$A$1:$O$113,15,0)),0,VLOOKUP($T$12,'TAR FIN'!$A$1:$O$113,15,0))</f>
        <v>0</v>
      </c>
      <c r="X12" s="6">
        <f>IF(ISERROR(VLOOKUP($U$12,'TAR FIN'!$A$1:$O$113,15,0)),0,VLOOKUP($U$12,'TAR FIN'!$A$1:$O$113,15,0))</f>
        <v>0</v>
      </c>
      <c r="Y12" s="6">
        <f ca="1">('TUSD BE'!$AM$6+'TUSD BF_350'!$AM$6+'TUSD CVA'!$AM$6)*1</f>
        <v>6.7999999999999989</v>
      </c>
      <c r="Z12" s="6">
        <f ca="1">('TUSD BE'!$AM$7+'TUSD BF_350'!$AM$7+'TUSD CVA'!$AM$7)*1</f>
        <v>82.830000000000013</v>
      </c>
      <c r="AA12" s="6"/>
      <c r="AB12" s="6">
        <f>$K$12*$V$12</f>
        <v>138600</v>
      </c>
      <c r="AC12" s="6">
        <f>$M$12*$W$12</f>
        <v>0</v>
      </c>
      <c r="AD12" s="6">
        <f>$O$12*$X$12</f>
        <v>0</v>
      </c>
      <c r="AE12" s="6">
        <f ca="1">$K$12*$Y$12</f>
        <v>135999.99999999997</v>
      </c>
      <c r="AF12" s="6">
        <f ca="1">$M$12*$Z$12</f>
        <v>0</v>
      </c>
      <c r="AG12" s="6">
        <f>$O$12*$AA$12</f>
        <v>0</v>
      </c>
      <c r="AI12" s="35" t="s">
        <v>834</v>
      </c>
      <c r="AJ12" s="36">
        <f>AJ11+AJ10</f>
        <v>109906677.83099723</v>
      </c>
      <c r="AK12" s="36">
        <f ca="1">AK11+AK10</f>
        <v>151012780.58932099</v>
      </c>
      <c r="AL12" s="37">
        <f t="shared" ca="1" si="2"/>
        <v>0.37400914639174454</v>
      </c>
      <c r="AN12" s="35" t="s">
        <v>834</v>
      </c>
      <c r="AO12" s="36">
        <f>AO11+AO10</f>
        <v>76934882.319761992</v>
      </c>
      <c r="AP12" s="36">
        <f ca="1">AP11+AP10</f>
        <v>64370259.638868593</v>
      </c>
      <c r="AQ12" s="37">
        <f t="shared" ca="1" si="5"/>
        <v>-0.16331503086820176</v>
      </c>
      <c r="AS12" s="35" t="s">
        <v>834</v>
      </c>
      <c r="AT12" s="36">
        <f>AT11+AT10</f>
        <v>186841560.15075925</v>
      </c>
      <c r="AU12" s="36">
        <f ca="1">AU11+AU10</f>
        <v>215383040.22818959</v>
      </c>
      <c r="AV12" s="37">
        <f t="shared" ca="1" si="8"/>
        <v>0.15275766298676108</v>
      </c>
    </row>
    <row r="13" spans="1:48" ht="11.25" customHeight="1" x14ac:dyDescent="0.3">
      <c r="A13" s="4" t="s">
        <v>53</v>
      </c>
      <c r="B13" s="4" t="s">
        <v>54</v>
      </c>
      <c r="C13" s="4" t="s">
        <v>40</v>
      </c>
      <c r="D13" s="4" t="s">
        <v>38</v>
      </c>
      <c r="E13" s="4" t="s">
        <v>25</v>
      </c>
      <c r="F13" s="4" t="s">
        <v>25</v>
      </c>
      <c r="G13" s="4" t="s">
        <v>25</v>
      </c>
      <c r="H13" s="4" t="s">
        <v>35</v>
      </c>
      <c r="I13" s="5">
        <v>44835</v>
      </c>
      <c r="J13" s="6">
        <v>20000</v>
      </c>
      <c r="K13" s="6">
        <v>20000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55</v>
      </c>
      <c r="R13" s="4">
        <v>0</v>
      </c>
      <c r="S13" s="6">
        <v>19</v>
      </c>
      <c r="T13" s="6">
        <v>0</v>
      </c>
      <c r="U13" s="6">
        <v>0</v>
      </c>
      <c r="V13" s="6">
        <f>IF(ISERROR(VLOOKUP($S$13,'TAR FIN'!$A$1:$O$113,15,0)),0,VLOOKUP($S$13,'TAR FIN'!$A$1:$O$113,15,0))</f>
        <v>6.93</v>
      </c>
      <c r="W13" s="6">
        <f>IF(ISERROR(VLOOKUP($T$13,'TAR FIN'!$A$1:$O$113,15,0)),0,VLOOKUP($T$13,'TAR FIN'!$A$1:$O$113,15,0))</f>
        <v>0</v>
      </c>
      <c r="X13" s="6">
        <f>IF(ISERROR(VLOOKUP($U$13,'TAR FIN'!$A$1:$O$113,15,0)),0,VLOOKUP($U$13,'TAR FIN'!$A$1:$O$113,15,0))</f>
        <v>0</v>
      </c>
      <c r="Y13" s="6">
        <f ca="1">('TUSD BE'!$AM$6+'TUSD BF_350'!$AM$6+'TUSD CVA'!$AM$6)*1</f>
        <v>6.7999999999999989</v>
      </c>
      <c r="Z13" s="6">
        <f ca="1">('TUSD BE'!$AM$7+'TUSD BF_350'!$AM$7+'TUSD CVA'!$AM$7)*1</f>
        <v>82.830000000000013</v>
      </c>
      <c r="AA13" s="6"/>
      <c r="AB13" s="6">
        <f>$K$13*$V$13</f>
        <v>138600</v>
      </c>
      <c r="AC13" s="6">
        <f>$M$13*$W$13</f>
        <v>0</v>
      </c>
      <c r="AD13" s="6">
        <f>$O$13*$X$13</f>
        <v>0</v>
      </c>
      <c r="AE13" s="6">
        <f ca="1">$K$13*$Y$13</f>
        <v>135999.99999999997</v>
      </c>
      <c r="AF13" s="6">
        <f ca="1">$M$13*$Z$13</f>
        <v>0</v>
      </c>
      <c r="AG13" s="6">
        <f>$O$13*$AA$13</f>
        <v>0</v>
      </c>
    </row>
    <row r="14" spans="1:48" ht="11.25" customHeight="1" x14ac:dyDescent="0.3">
      <c r="A14" s="4" t="s">
        <v>21</v>
      </c>
      <c r="B14" s="4" t="s">
        <v>54</v>
      </c>
      <c r="C14" s="4" t="s">
        <v>40</v>
      </c>
      <c r="D14" s="4" t="s">
        <v>38</v>
      </c>
      <c r="E14" s="4" t="s">
        <v>25</v>
      </c>
      <c r="F14" s="4" t="s">
        <v>25</v>
      </c>
      <c r="G14" s="4" t="s">
        <v>25</v>
      </c>
      <c r="H14" s="4" t="s">
        <v>25</v>
      </c>
      <c r="I14" s="5">
        <v>44501</v>
      </c>
      <c r="J14" s="6">
        <v>0</v>
      </c>
      <c r="K14" s="6">
        <v>0</v>
      </c>
      <c r="L14" s="6">
        <v>10131.893</v>
      </c>
      <c r="M14" s="6">
        <v>10131.893</v>
      </c>
      <c r="N14" s="6">
        <v>0</v>
      </c>
      <c r="O14" s="6">
        <v>0</v>
      </c>
      <c r="P14" s="6">
        <v>2</v>
      </c>
      <c r="Q14" s="4" t="s">
        <v>55</v>
      </c>
      <c r="R14" s="4">
        <v>0</v>
      </c>
      <c r="S14" s="6">
        <v>0</v>
      </c>
      <c r="T14" s="6">
        <v>5</v>
      </c>
      <c r="U14" s="6">
        <v>0</v>
      </c>
      <c r="V14" s="6">
        <f>IF(ISERROR(VLOOKUP($S$14,'TAR FIN'!$A$1:$O$113,15,0)),0,VLOOKUP($S$14,'TAR FIN'!$A$1:$O$113,15,0))</f>
        <v>0</v>
      </c>
      <c r="W14" s="6">
        <f>IF(ISERROR(VLOOKUP($T$14,'TAR FIN'!$A$1:$O$113,15,0)),0,VLOOKUP($T$14,'TAR FIN'!$A$1:$O$113,15,0))</f>
        <v>53.89</v>
      </c>
      <c r="X14" s="6">
        <f>IF(ISERROR(VLOOKUP($U$14,'TAR FIN'!$A$1:$O$113,15,0)),0,VLOOKUP($U$14,'TAR FIN'!$A$1:$O$113,15,0))</f>
        <v>0</v>
      </c>
      <c r="Y14" s="6"/>
      <c r="Z14" s="6">
        <f ca="1">('TUSD BE'!$AM$7+'TUSD BF_350'!$AM$7+'TUSD CVA'!$AM$7)*1</f>
        <v>82.830000000000013</v>
      </c>
      <c r="AA14" s="6"/>
      <c r="AB14" s="6">
        <f>$K$14*$V$14</f>
        <v>0</v>
      </c>
      <c r="AC14" s="6">
        <f>$M$14*$W$14</f>
        <v>546007.71377000003</v>
      </c>
      <c r="AD14" s="6">
        <f>$O$14*$X$14</f>
        <v>0</v>
      </c>
      <c r="AE14" s="6">
        <f>$K$14*$Y$14</f>
        <v>0</v>
      </c>
      <c r="AF14" s="6">
        <f ca="1">$M$14*$Z$14</f>
        <v>839224.69719000009</v>
      </c>
      <c r="AG14" s="6">
        <f>$O$14*$AA$14</f>
        <v>0</v>
      </c>
    </row>
    <row r="15" spans="1:48" ht="11.25" customHeight="1" x14ac:dyDescent="0.3">
      <c r="A15" s="4" t="s">
        <v>21</v>
      </c>
      <c r="B15" s="4" t="s">
        <v>54</v>
      </c>
      <c r="C15" s="4" t="s">
        <v>40</v>
      </c>
      <c r="D15" s="4" t="s">
        <v>38</v>
      </c>
      <c r="E15" s="4" t="s">
        <v>25</v>
      </c>
      <c r="F15" s="4" t="s">
        <v>25</v>
      </c>
      <c r="G15" s="4" t="s">
        <v>25</v>
      </c>
      <c r="H15" s="4" t="s">
        <v>25</v>
      </c>
      <c r="I15" s="5">
        <v>44531</v>
      </c>
      <c r="J15" s="6">
        <v>0</v>
      </c>
      <c r="K15" s="6">
        <v>0</v>
      </c>
      <c r="L15" s="6">
        <v>10632.441000000001</v>
      </c>
      <c r="M15" s="6">
        <v>10632.441000000001</v>
      </c>
      <c r="N15" s="6">
        <v>0</v>
      </c>
      <c r="O15" s="6">
        <v>0</v>
      </c>
      <c r="P15" s="6">
        <v>2</v>
      </c>
      <c r="Q15" s="4" t="s">
        <v>55</v>
      </c>
      <c r="R15" s="4">
        <v>0</v>
      </c>
      <c r="S15" s="6">
        <v>0</v>
      </c>
      <c r="T15" s="6">
        <v>5</v>
      </c>
      <c r="U15" s="6">
        <v>0</v>
      </c>
      <c r="V15" s="6">
        <f>IF(ISERROR(VLOOKUP($S$15,'TAR FIN'!$A$1:$O$113,15,0)),0,VLOOKUP($S$15,'TAR FIN'!$A$1:$O$113,15,0))</f>
        <v>0</v>
      </c>
      <c r="W15" s="6">
        <f>IF(ISERROR(VLOOKUP($T$15,'TAR FIN'!$A$1:$O$113,15,0)),0,VLOOKUP($T$15,'TAR FIN'!$A$1:$O$113,15,0))</f>
        <v>53.89</v>
      </c>
      <c r="X15" s="6">
        <f>IF(ISERROR(VLOOKUP($U$15,'TAR FIN'!$A$1:$O$113,15,0)),0,VLOOKUP($U$15,'TAR FIN'!$A$1:$O$113,15,0))</f>
        <v>0</v>
      </c>
      <c r="Y15" s="6"/>
      <c r="Z15" s="6">
        <f ca="1">('TUSD BE'!$AM$7+'TUSD BF_350'!$AM$7+'TUSD CVA'!$AM$7)*1</f>
        <v>82.830000000000013</v>
      </c>
      <c r="AA15" s="6"/>
      <c r="AB15" s="6">
        <f>$K$15*$V$15</f>
        <v>0</v>
      </c>
      <c r="AC15" s="6">
        <f>$M$15*$W$15</f>
        <v>572982.24549</v>
      </c>
      <c r="AD15" s="6">
        <f>$O$15*$X$15</f>
        <v>0</v>
      </c>
      <c r="AE15" s="6">
        <f>$K$15*$Y$15</f>
        <v>0</v>
      </c>
      <c r="AF15" s="6">
        <f ca="1">$M$15*$Z$15</f>
        <v>880685.08803000022</v>
      </c>
      <c r="AG15" s="6">
        <f>$O$15*$AA$15</f>
        <v>0</v>
      </c>
    </row>
    <row r="16" spans="1:48" ht="11.25" customHeight="1" x14ac:dyDescent="0.3">
      <c r="A16" s="4" t="s">
        <v>21</v>
      </c>
      <c r="B16" s="4" t="s">
        <v>54</v>
      </c>
      <c r="C16" s="4" t="s">
        <v>40</v>
      </c>
      <c r="D16" s="4" t="s">
        <v>38</v>
      </c>
      <c r="E16" s="4" t="s">
        <v>25</v>
      </c>
      <c r="F16" s="4" t="s">
        <v>25</v>
      </c>
      <c r="G16" s="4" t="s">
        <v>25</v>
      </c>
      <c r="H16" s="4" t="s">
        <v>25</v>
      </c>
      <c r="I16" s="5">
        <v>44562</v>
      </c>
      <c r="J16" s="6">
        <v>0</v>
      </c>
      <c r="K16" s="6">
        <v>0</v>
      </c>
      <c r="L16" s="6">
        <v>9972.9570000000003</v>
      </c>
      <c r="M16" s="6">
        <v>9972.9570000000003</v>
      </c>
      <c r="N16" s="6">
        <v>0</v>
      </c>
      <c r="O16" s="6">
        <v>0</v>
      </c>
      <c r="P16" s="6">
        <v>2</v>
      </c>
      <c r="Q16" s="4" t="s">
        <v>55</v>
      </c>
      <c r="R16" s="4">
        <v>0</v>
      </c>
      <c r="S16" s="6">
        <v>0</v>
      </c>
      <c r="T16" s="6">
        <v>5</v>
      </c>
      <c r="U16" s="6">
        <v>0</v>
      </c>
      <c r="V16" s="6">
        <f>IF(ISERROR(VLOOKUP($S$16,'TAR FIN'!$A$1:$O$113,15,0)),0,VLOOKUP($S$16,'TAR FIN'!$A$1:$O$113,15,0))</f>
        <v>0</v>
      </c>
      <c r="W16" s="6">
        <f>IF(ISERROR(VLOOKUP($T$16,'TAR FIN'!$A$1:$O$113,15,0)),0,VLOOKUP($T$16,'TAR FIN'!$A$1:$O$113,15,0))</f>
        <v>53.89</v>
      </c>
      <c r="X16" s="6">
        <f>IF(ISERROR(VLOOKUP($U$16,'TAR FIN'!$A$1:$O$113,15,0)),0,VLOOKUP($U$16,'TAR FIN'!$A$1:$O$113,15,0))</f>
        <v>0</v>
      </c>
      <c r="Y16" s="6"/>
      <c r="Z16" s="6">
        <f ca="1">('TUSD BE'!$AM$7+'TUSD BF_350'!$AM$7+'TUSD CVA'!$AM$7)*1</f>
        <v>82.830000000000013</v>
      </c>
      <c r="AA16" s="6"/>
      <c r="AB16" s="6">
        <f>$K$16*$V$16</f>
        <v>0</v>
      </c>
      <c r="AC16" s="6">
        <f>$M$16*$W$16</f>
        <v>537442.65272999997</v>
      </c>
      <c r="AD16" s="6">
        <f>$O$16*$X$16</f>
        <v>0</v>
      </c>
      <c r="AE16" s="6">
        <f>$K$16*$Y$16</f>
        <v>0</v>
      </c>
      <c r="AF16" s="6">
        <f ca="1">$M$16*$Z$16</f>
        <v>826060.0283100002</v>
      </c>
      <c r="AG16" s="6">
        <f>$O$16*$AA$16</f>
        <v>0</v>
      </c>
    </row>
    <row r="17" spans="1:33" ht="11.25" customHeight="1" x14ac:dyDescent="0.3">
      <c r="A17" s="4" t="s">
        <v>21</v>
      </c>
      <c r="B17" s="4" t="s">
        <v>54</v>
      </c>
      <c r="C17" s="4" t="s">
        <v>40</v>
      </c>
      <c r="D17" s="4" t="s">
        <v>38</v>
      </c>
      <c r="E17" s="4" t="s">
        <v>25</v>
      </c>
      <c r="F17" s="4" t="s">
        <v>25</v>
      </c>
      <c r="G17" s="4" t="s">
        <v>25</v>
      </c>
      <c r="H17" s="4" t="s">
        <v>25</v>
      </c>
      <c r="I17" s="5">
        <v>44593</v>
      </c>
      <c r="J17" s="6">
        <v>0</v>
      </c>
      <c r="K17" s="6">
        <v>0</v>
      </c>
      <c r="L17" s="6">
        <v>9123.6839999999993</v>
      </c>
      <c r="M17" s="6">
        <v>9123.6839999999993</v>
      </c>
      <c r="N17" s="6">
        <v>0</v>
      </c>
      <c r="O17" s="6">
        <v>0</v>
      </c>
      <c r="P17" s="6">
        <v>2</v>
      </c>
      <c r="Q17" s="4" t="s">
        <v>55</v>
      </c>
      <c r="R17" s="4">
        <v>0</v>
      </c>
      <c r="S17" s="6">
        <v>0</v>
      </c>
      <c r="T17" s="6">
        <v>5</v>
      </c>
      <c r="U17" s="6">
        <v>0</v>
      </c>
      <c r="V17" s="6">
        <f>IF(ISERROR(VLOOKUP($S$17,'TAR FIN'!$A$1:$O$113,15,0)),0,VLOOKUP($S$17,'TAR FIN'!$A$1:$O$113,15,0))</f>
        <v>0</v>
      </c>
      <c r="W17" s="6">
        <f>IF(ISERROR(VLOOKUP($T$17,'TAR FIN'!$A$1:$O$113,15,0)),0,VLOOKUP($T$17,'TAR FIN'!$A$1:$O$113,15,0))</f>
        <v>53.89</v>
      </c>
      <c r="X17" s="6">
        <f>IF(ISERROR(VLOOKUP($U$17,'TAR FIN'!$A$1:$O$113,15,0)),0,VLOOKUP($U$17,'TAR FIN'!$A$1:$O$113,15,0))</f>
        <v>0</v>
      </c>
      <c r="Y17" s="6"/>
      <c r="Z17" s="6">
        <f ca="1">('TUSD BE'!$AM$7+'TUSD BF_350'!$AM$7+'TUSD CVA'!$AM$7)*1</f>
        <v>82.830000000000013</v>
      </c>
      <c r="AA17" s="6"/>
      <c r="AB17" s="6">
        <f>$K$17*$V$17</f>
        <v>0</v>
      </c>
      <c r="AC17" s="6">
        <f>$M$17*$W$17</f>
        <v>491675.33075999998</v>
      </c>
      <c r="AD17" s="6">
        <f>$O$17*$X$17</f>
        <v>0</v>
      </c>
      <c r="AE17" s="6">
        <f>$K$17*$Y$17</f>
        <v>0</v>
      </c>
      <c r="AF17" s="6">
        <f ca="1">$M$17*$Z$17</f>
        <v>755714.74572000001</v>
      </c>
      <c r="AG17" s="6">
        <f>$O$17*$AA$17</f>
        <v>0</v>
      </c>
    </row>
    <row r="18" spans="1:33" ht="11.25" customHeight="1" x14ac:dyDescent="0.3">
      <c r="A18" s="4" t="s">
        <v>21</v>
      </c>
      <c r="B18" s="4" t="s">
        <v>54</v>
      </c>
      <c r="C18" s="4" t="s">
        <v>40</v>
      </c>
      <c r="D18" s="4" t="s">
        <v>38</v>
      </c>
      <c r="E18" s="4" t="s">
        <v>25</v>
      </c>
      <c r="F18" s="4" t="s">
        <v>25</v>
      </c>
      <c r="G18" s="4" t="s">
        <v>25</v>
      </c>
      <c r="H18" s="4" t="s">
        <v>25</v>
      </c>
      <c r="I18" s="5">
        <v>44621</v>
      </c>
      <c r="J18" s="6">
        <v>0</v>
      </c>
      <c r="K18" s="6">
        <v>0</v>
      </c>
      <c r="L18" s="6">
        <v>9503.9590000000007</v>
      </c>
      <c r="M18" s="6">
        <v>9503.9590000000007</v>
      </c>
      <c r="N18" s="6">
        <v>0</v>
      </c>
      <c r="O18" s="6">
        <v>0</v>
      </c>
      <c r="P18" s="6">
        <v>2</v>
      </c>
      <c r="Q18" s="4" t="s">
        <v>55</v>
      </c>
      <c r="R18" s="4">
        <v>0</v>
      </c>
      <c r="S18" s="6">
        <v>0</v>
      </c>
      <c r="T18" s="6">
        <v>5</v>
      </c>
      <c r="U18" s="6">
        <v>0</v>
      </c>
      <c r="V18" s="6">
        <f>IF(ISERROR(VLOOKUP($S$18,'TAR FIN'!$A$1:$O$113,15,0)),0,VLOOKUP($S$18,'TAR FIN'!$A$1:$O$113,15,0))</f>
        <v>0</v>
      </c>
      <c r="W18" s="6">
        <f>IF(ISERROR(VLOOKUP($T$18,'TAR FIN'!$A$1:$O$113,15,0)),0,VLOOKUP($T$18,'TAR FIN'!$A$1:$O$113,15,0))</f>
        <v>53.89</v>
      </c>
      <c r="X18" s="6">
        <f>IF(ISERROR(VLOOKUP($U$18,'TAR FIN'!$A$1:$O$113,15,0)),0,VLOOKUP($U$18,'TAR FIN'!$A$1:$O$113,15,0))</f>
        <v>0</v>
      </c>
      <c r="Y18" s="6"/>
      <c r="Z18" s="6">
        <f ca="1">('TUSD BE'!$AM$7+'TUSD BF_350'!$AM$7+'TUSD CVA'!$AM$7)*1</f>
        <v>82.830000000000013</v>
      </c>
      <c r="AA18" s="6"/>
      <c r="AB18" s="6">
        <f>$K$18*$V$18</f>
        <v>0</v>
      </c>
      <c r="AC18" s="6">
        <f>$M$18*$W$18</f>
        <v>512168.35051000002</v>
      </c>
      <c r="AD18" s="6">
        <f>$O$18*$X$18</f>
        <v>0</v>
      </c>
      <c r="AE18" s="6">
        <f>$K$18*$Y$18</f>
        <v>0</v>
      </c>
      <c r="AF18" s="6">
        <f ca="1">$M$18*$Z$18</f>
        <v>787212.92397000024</v>
      </c>
      <c r="AG18" s="6">
        <f>$O$18*$AA$18</f>
        <v>0</v>
      </c>
    </row>
    <row r="19" spans="1:33" ht="11.25" customHeight="1" x14ac:dyDescent="0.3">
      <c r="A19" s="4" t="s">
        <v>21</v>
      </c>
      <c r="B19" s="4" t="s">
        <v>54</v>
      </c>
      <c r="C19" s="4" t="s">
        <v>40</v>
      </c>
      <c r="D19" s="4" t="s">
        <v>38</v>
      </c>
      <c r="E19" s="4" t="s">
        <v>25</v>
      </c>
      <c r="F19" s="4" t="s">
        <v>25</v>
      </c>
      <c r="G19" s="4" t="s">
        <v>25</v>
      </c>
      <c r="H19" s="4" t="s">
        <v>25</v>
      </c>
      <c r="I19" s="5">
        <v>44652</v>
      </c>
      <c r="J19" s="6">
        <v>0</v>
      </c>
      <c r="K19" s="6">
        <v>0</v>
      </c>
      <c r="L19" s="6">
        <v>10428.375</v>
      </c>
      <c r="M19" s="6">
        <v>10428.375</v>
      </c>
      <c r="N19" s="6">
        <v>0</v>
      </c>
      <c r="O19" s="6">
        <v>0</v>
      </c>
      <c r="P19" s="6">
        <v>2</v>
      </c>
      <c r="Q19" s="4" t="s">
        <v>55</v>
      </c>
      <c r="R19" s="4">
        <v>0</v>
      </c>
      <c r="S19" s="6">
        <v>0</v>
      </c>
      <c r="T19" s="6">
        <v>5</v>
      </c>
      <c r="U19" s="6">
        <v>0</v>
      </c>
      <c r="V19" s="6">
        <f>IF(ISERROR(VLOOKUP($S$19,'TAR FIN'!$A$1:$O$113,15,0)),0,VLOOKUP($S$19,'TAR FIN'!$A$1:$O$113,15,0))</f>
        <v>0</v>
      </c>
      <c r="W19" s="6">
        <f>IF(ISERROR(VLOOKUP($T$19,'TAR FIN'!$A$1:$O$113,15,0)),0,VLOOKUP($T$19,'TAR FIN'!$A$1:$O$113,15,0))</f>
        <v>53.89</v>
      </c>
      <c r="X19" s="6">
        <f>IF(ISERROR(VLOOKUP($U$19,'TAR FIN'!$A$1:$O$113,15,0)),0,VLOOKUP($U$19,'TAR FIN'!$A$1:$O$113,15,0))</f>
        <v>0</v>
      </c>
      <c r="Y19" s="6"/>
      <c r="Z19" s="6">
        <f ca="1">('TUSD BE'!$AM$7+'TUSD BF_350'!$AM$7+'TUSD CVA'!$AM$7)*1</f>
        <v>82.830000000000013</v>
      </c>
      <c r="AA19" s="6"/>
      <c r="AB19" s="6">
        <f>$K$19*$V$19</f>
        <v>0</v>
      </c>
      <c r="AC19" s="6">
        <f>$M$19*$W$19</f>
        <v>561985.12875000003</v>
      </c>
      <c r="AD19" s="6">
        <f>$O$19*$X$19</f>
        <v>0</v>
      </c>
      <c r="AE19" s="6">
        <f>$K$19*$Y$19</f>
        <v>0</v>
      </c>
      <c r="AF19" s="6">
        <f ca="1">$M$19*$Z$19</f>
        <v>863782.30125000014</v>
      </c>
      <c r="AG19" s="6">
        <f>$O$19*$AA$19</f>
        <v>0</v>
      </c>
    </row>
    <row r="20" spans="1:33" ht="11.25" customHeight="1" x14ac:dyDescent="0.3">
      <c r="A20" s="4" t="s">
        <v>21</v>
      </c>
      <c r="B20" s="4" t="s">
        <v>54</v>
      </c>
      <c r="C20" s="4" t="s">
        <v>40</v>
      </c>
      <c r="D20" s="4" t="s">
        <v>38</v>
      </c>
      <c r="E20" s="4" t="s">
        <v>25</v>
      </c>
      <c r="F20" s="4" t="s">
        <v>25</v>
      </c>
      <c r="G20" s="4" t="s">
        <v>25</v>
      </c>
      <c r="H20" s="4" t="s">
        <v>25</v>
      </c>
      <c r="I20" s="5">
        <v>44682</v>
      </c>
      <c r="J20" s="6">
        <v>0</v>
      </c>
      <c r="K20" s="6">
        <v>0</v>
      </c>
      <c r="L20" s="6">
        <v>10358.606</v>
      </c>
      <c r="M20" s="6">
        <v>10358.606</v>
      </c>
      <c r="N20" s="6">
        <v>0</v>
      </c>
      <c r="O20" s="6">
        <v>0</v>
      </c>
      <c r="P20" s="6">
        <v>2</v>
      </c>
      <c r="Q20" s="4" t="s">
        <v>55</v>
      </c>
      <c r="R20" s="4">
        <v>0</v>
      </c>
      <c r="S20" s="6">
        <v>0</v>
      </c>
      <c r="T20" s="6">
        <v>5</v>
      </c>
      <c r="U20" s="6">
        <v>0</v>
      </c>
      <c r="V20" s="6">
        <f>IF(ISERROR(VLOOKUP($S$20,'TAR FIN'!$A$1:$O$113,15,0)),0,VLOOKUP($S$20,'TAR FIN'!$A$1:$O$113,15,0))</f>
        <v>0</v>
      </c>
      <c r="W20" s="6">
        <f>IF(ISERROR(VLOOKUP($T$20,'TAR FIN'!$A$1:$O$113,15,0)),0,VLOOKUP($T$20,'TAR FIN'!$A$1:$O$113,15,0))</f>
        <v>53.89</v>
      </c>
      <c r="X20" s="6">
        <f>IF(ISERROR(VLOOKUP($U$20,'TAR FIN'!$A$1:$O$113,15,0)),0,VLOOKUP($U$20,'TAR FIN'!$A$1:$O$113,15,0))</f>
        <v>0</v>
      </c>
      <c r="Y20" s="6"/>
      <c r="Z20" s="6">
        <f ca="1">('TUSD BE'!$AM$7+'TUSD BF_350'!$AM$7+'TUSD CVA'!$AM$7)*1</f>
        <v>82.830000000000013</v>
      </c>
      <c r="AA20" s="6"/>
      <c r="AB20" s="6">
        <f>$K$20*$V$20</f>
        <v>0</v>
      </c>
      <c r="AC20" s="6">
        <f>$M$20*$W$20</f>
        <v>558225.27734000003</v>
      </c>
      <c r="AD20" s="6">
        <f>$O$20*$X$20</f>
        <v>0</v>
      </c>
      <c r="AE20" s="6">
        <f>$K$20*$Y$20</f>
        <v>0</v>
      </c>
      <c r="AF20" s="6">
        <f ca="1">$M$20*$Z$20</f>
        <v>858003.33498000016</v>
      </c>
      <c r="AG20" s="6">
        <f>$O$20*$AA$20</f>
        <v>0</v>
      </c>
    </row>
    <row r="21" spans="1:33" ht="11.25" customHeight="1" x14ac:dyDescent="0.3">
      <c r="A21" s="4" t="s">
        <v>21</v>
      </c>
      <c r="B21" s="4" t="s">
        <v>54</v>
      </c>
      <c r="C21" s="4" t="s">
        <v>40</v>
      </c>
      <c r="D21" s="4" t="s">
        <v>38</v>
      </c>
      <c r="E21" s="4" t="s">
        <v>25</v>
      </c>
      <c r="F21" s="4" t="s">
        <v>25</v>
      </c>
      <c r="G21" s="4" t="s">
        <v>25</v>
      </c>
      <c r="H21" s="4" t="s">
        <v>25</v>
      </c>
      <c r="I21" s="5">
        <v>44713</v>
      </c>
      <c r="J21" s="6">
        <v>0</v>
      </c>
      <c r="K21" s="6">
        <v>0</v>
      </c>
      <c r="L21" s="6">
        <v>8996.8760000000002</v>
      </c>
      <c r="M21" s="6">
        <v>8996.8760000000002</v>
      </c>
      <c r="N21" s="6">
        <v>0</v>
      </c>
      <c r="O21" s="6">
        <v>0</v>
      </c>
      <c r="P21" s="6">
        <v>2</v>
      </c>
      <c r="Q21" s="4" t="s">
        <v>55</v>
      </c>
      <c r="R21" s="4">
        <v>0</v>
      </c>
      <c r="S21" s="6">
        <v>0</v>
      </c>
      <c r="T21" s="6">
        <v>5</v>
      </c>
      <c r="U21" s="6">
        <v>0</v>
      </c>
      <c r="V21" s="6">
        <f>IF(ISERROR(VLOOKUP($S$21,'TAR FIN'!$A$1:$O$113,15,0)),0,VLOOKUP($S$21,'TAR FIN'!$A$1:$O$113,15,0))</f>
        <v>0</v>
      </c>
      <c r="W21" s="6">
        <f>IF(ISERROR(VLOOKUP($T$21,'TAR FIN'!$A$1:$O$113,15,0)),0,VLOOKUP($T$21,'TAR FIN'!$A$1:$O$113,15,0))</f>
        <v>53.89</v>
      </c>
      <c r="X21" s="6">
        <f>IF(ISERROR(VLOOKUP($U$21,'TAR FIN'!$A$1:$O$113,15,0)),0,VLOOKUP($U$21,'TAR FIN'!$A$1:$O$113,15,0))</f>
        <v>0</v>
      </c>
      <c r="Y21" s="6"/>
      <c r="Z21" s="6">
        <f ca="1">('TUSD BE'!$AM$7+'TUSD BF_350'!$AM$7+'TUSD CVA'!$AM$7)*1</f>
        <v>82.830000000000013</v>
      </c>
      <c r="AA21" s="6"/>
      <c r="AB21" s="6">
        <f>$K$21*$V$21</f>
        <v>0</v>
      </c>
      <c r="AC21" s="6">
        <f>$M$21*$W$21</f>
        <v>484841.64764000004</v>
      </c>
      <c r="AD21" s="6">
        <f>$O$21*$X$21</f>
        <v>0</v>
      </c>
      <c r="AE21" s="6">
        <f>$K$21*$Y$21</f>
        <v>0</v>
      </c>
      <c r="AF21" s="6">
        <f ca="1">$M$21*$Z$21</f>
        <v>745211.23908000009</v>
      </c>
      <c r="AG21" s="6">
        <f>$O$21*$AA$21</f>
        <v>0</v>
      </c>
    </row>
    <row r="22" spans="1:33" ht="11.25" customHeight="1" x14ac:dyDescent="0.3">
      <c r="A22" s="4" t="s">
        <v>21</v>
      </c>
      <c r="B22" s="4" t="s">
        <v>54</v>
      </c>
      <c r="C22" s="4" t="s">
        <v>40</v>
      </c>
      <c r="D22" s="4" t="s">
        <v>38</v>
      </c>
      <c r="E22" s="4" t="s">
        <v>25</v>
      </c>
      <c r="F22" s="4" t="s">
        <v>25</v>
      </c>
      <c r="G22" s="4" t="s">
        <v>25</v>
      </c>
      <c r="H22" s="4" t="s">
        <v>25</v>
      </c>
      <c r="I22" s="5">
        <v>44743</v>
      </c>
      <c r="J22" s="6">
        <v>0</v>
      </c>
      <c r="K22" s="6">
        <v>0</v>
      </c>
      <c r="L22" s="6">
        <v>8481.1679999999997</v>
      </c>
      <c r="M22" s="6">
        <v>8481.1679999999997</v>
      </c>
      <c r="N22" s="6">
        <v>0</v>
      </c>
      <c r="O22" s="6">
        <v>0</v>
      </c>
      <c r="P22" s="6">
        <v>2</v>
      </c>
      <c r="Q22" s="4" t="s">
        <v>55</v>
      </c>
      <c r="R22" s="4">
        <v>0</v>
      </c>
      <c r="S22" s="6">
        <v>0</v>
      </c>
      <c r="T22" s="6">
        <v>5</v>
      </c>
      <c r="U22" s="6">
        <v>0</v>
      </c>
      <c r="V22" s="6">
        <f>IF(ISERROR(VLOOKUP($S$22,'TAR FIN'!$A$1:$O$113,15,0)),0,VLOOKUP($S$22,'TAR FIN'!$A$1:$O$113,15,0))</f>
        <v>0</v>
      </c>
      <c r="W22" s="6">
        <f>IF(ISERROR(VLOOKUP($T$22,'TAR FIN'!$A$1:$O$113,15,0)),0,VLOOKUP($T$22,'TAR FIN'!$A$1:$O$113,15,0))</f>
        <v>53.89</v>
      </c>
      <c r="X22" s="6">
        <f>IF(ISERROR(VLOOKUP($U$22,'TAR FIN'!$A$1:$O$113,15,0)),0,VLOOKUP($U$22,'TAR FIN'!$A$1:$O$113,15,0))</f>
        <v>0</v>
      </c>
      <c r="Y22" s="6"/>
      <c r="Z22" s="6">
        <f ca="1">('TUSD BE'!$AM$7+'TUSD BF_350'!$AM$7+'TUSD CVA'!$AM$7)*1</f>
        <v>82.830000000000013</v>
      </c>
      <c r="AA22" s="6"/>
      <c r="AB22" s="6">
        <f>$K$22*$V$22</f>
        <v>0</v>
      </c>
      <c r="AC22" s="6">
        <f>$M$22*$W$22</f>
        <v>457050.14351999998</v>
      </c>
      <c r="AD22" s="6">
        <f>$O$22*$X$22</f>
        <v>0</v>
      </c>
      <c r="AE22" s="6">
        <f>$K$22*$Y$22</f>
        <v>0</v>
      </c>
      <c r="AF22" s="6">
        <f ca="1">$M$22*$Z$22</f>
        <v>702495.14544000011</v>
      </c>
      <c r="AG22" s="6">
        <f>$O$22*$AA$22</f>
        <v>0</v>
      </c>
    </row>
    <row r="23" spans="1:33" ht="11.25" customHeight="1" x14ac:dyDescent="0.3">
      <c r="A23" s="4" t="s">
        <v>21</v>
      </c>
      <c r="B23" s="4" t="s">
        <v>54</v>
      </c>
      <c r="C23" s="4" t="s">
        <v>40</v>
      </c>
      <c r="D23" s="4" t="s">
        <v>38</v>
      </c>
      <c r="E23" s="4" t="s">
        <v>25</v>
      </c>
      <c r="F23" s="4" t="s">
        <v>25</v>
      </c>
      <c r="G23" s="4" t="s">
        <v>25</v>
      </c>
      <c r="H23" s="4" t="s">
        <v>25</v>
      </c>
      <c r="I23" s="5">
        <v>44774</v>
      </c>
      <c r="J23" s="6">
        <v>0</v>
      </c>
      <c r="K23" s="6">
        <v>0</v>
      </c>
      <c r="L23" s="6">
        <v>9729.9449999999997</v>
      </c>
      <c r="M23" s="6">
        <v>9729.9449999999997</v>
      </c>
      <c r="N23" s="6">
        <v>0</v>
      </c>
      <c r="O23" s="6">
        <v>0</v>
      </c>
      <c r="P23" s="6">
        <v>2</v>
      </c>
      <c r="Q23" s="4" t="s">
        <v>55</v>
      </c>
      <c r="R23" s="4">
        <v>0</v>
      </c>
      <c r="S23" s="6">
        <v>0</v>
      </c>
      <c r="T23" s="6">
        <v>5</v>
      </c>
      <c r="U23" s="6">
        <v>0</v>
      </c>
      <c r="V23" s="6">
        <f>IF(ISERROR(VLOOKUP($S$23,'TAR FIN'!$A$1:$O$113,15,0)),0,VLOOKUP($S$23,'TAR FIN'!$A$1:$O$113,15,0))</f>
        <v>0</v>
      </c>
      <c r="W23" s="6">
        <f>IF(ISERROR(VLOOKUP($T$23,'TAR FIN'!$A$1:$O$113,15,0)),0,VLOOKUP($T$23,'TAR FIN'!$A$1:$O$113,15,0))</f>
        <v>53.89</v>
      </c>
      <c r="X23" s="6">
        <f>IF(ISERROR(VLOOKUP($U$23,'TAR FIN'!$A$1:$O$113,15,0)),0,VLOOKUP($U$23,'TAR FIN'!$A$1:$O$113,15,0))</f>
        <v>0</v>
      </c>
      <c r="Y23" s="6"/>
      <c r="Z23" s="6">
        <f ca="1">('TUSD BE'!$AM$7+'TUSD BF_350'!$AM$7+'TUSD CVA'!$AM$7)*1</f>
        <v>82.830000000000013</v>
      </c>
      <c r="AA23" s="6"/>
      <c r="AB23" s="6">
        <f>$K$23*$V$23</f>
        <v>0</v>
      </c>
      <c r="AC23" s="6">
        <f>$M$23*$W$23</f>
        <v>524346.73604999995</v>
      </c>
      <c r="AD23" s="6">
        <f>$O$23*$X$23</f>
        <v>0</v>
      </c>
      <c r="AE23" s="6">
        <f>$K$23*$Y$23</f>
        <v>0</v>
      </c>
      <c r="AF23" s="6">
        <f ca="1">$M$23*$Z$23</f>
        <v>805931.34435000014</v>
      </c>
      <c r="AG23" s="6">
        <f>$O$23*$AA$23</f>
        <v>0</v>
      </c>
    </row>
    <row r="24" spans="1:33" ht="11.25" customHeight="1" x14ac:dyDescent="0.3">
      <c r="A24" s="4" t="s">
        <v>21</v>
      </c>
      <c r="B24" s="4" t="s">
        <v>54</v>
      </c>
      <c r="C24" s="4" t="s">
        <v>40</v>
      </c>
      <c r="D24" s="4" t="s">
        <v>38</v>
      </c>
      <c r="E24" s="4" t="s">
        <v>25</v>
      </c>
      <c r="F24" s="4" t="s">
        <v>25</v>
      </c>
      <c r="G24" s="4" t="s">
        <v>25</v>
      </c>
      <c r="H24" s="4" t="s">
        <v>25</v>
      </c>
      <c r="I24" s="5">
        <v>44805</v>
      </c>
      <c r="J24" s="6">
        <v>0</v>
      </c>
      <c r="K24" s="6">
        <v>0</v>
      </c>
      <c r="L24" s="6">
        <v>10177.634</v>
      </c>
      <c r="M24" s="6">
        <v>10177.634</v>
      </c>
      <c r="N24" s="6">
        <v>0</v>
      </c>
      <c r="O24" s="6">
        <v>0</v>
      </c>
      <c r="P24" s="6">
        <v>2</v>
      </c>
      <c r="Q24" s="4" t="s">
        <v>55</v>
      </c>
      <c r="R24" s="4">
        <v>0</v>
      </c>
      <c r="S24" s="6">
        <v>0</v>
      </c>
      <c r="T24" s="6">
        <v>5</v>
      </c>
      <c r="U24" s="6">
        <v>0</v>
      </c>
      <c r="V24" s="6">
        <f>IF(ISERROR(VLOOKUP($S$24,'TAR FIN'!$A$1:$O$113,15,0)),0,VLOOKUP($S$24,'TAR FIN'!$A$1:$O$113,15,0))</f>
        <v>0</v>
      </c>
      <c r="W24" s="6">
        <f>IF(ISERROR(VLOOKUP($T$24,'TAR FIN'!$A$1:$O$113,15,0)),0,VLOOKUP($T$24,'TAR FIN'!$A$1:$O$113,15,0))</f>
        <v>53.89</v>
      </c>
      <c r="X24" s="6">
        <f>IF(ISERROR(VLOOKUP($U$24,'TAR FIN'!$A$1:$O$113,15,0)),0,VLOOKUP($U$24,'TAR FIN'!$A$1:$O$113,15,0))</f>
        <v>0</v>
      </c>
      <c r="Y24" s="6"/>
      <c r="Z24" s="6">
        <f ca="1">('TUSD BE'!$AM$7+'TUSD BF_350'!$AM$7+'TUSD CVA'!$AM$7)*1</f>
        <v>82.830000000000013</v>
      </c>
      <c r="AA24" s="6"/>
      <c r="AB24" s="6">
        <f>$K$24*$V$24</f>
        <v>0</v>
      </c>
      <c r="AC24" s="6">
        <f>$M$24*$W$24</f>
        <v>548472.69626</v>
      </c>
      <c r="AD24" s="6">
        <f>$O$24*$X$24</f>
        <v>0</v>
      </c>
      <c r="AE24" s="6">
        <f>$K$24*$Y$24</f>
        <v>0</v>
      </c>
      <c r="AF24" s="6">
        <f ca="1">$M$24*$Z$24</f>
        <v>843013.42422000016</v>
      </c>
      <c r="AG24" s="6">
        <f>$O$24*$AA$24</f>
        <v>0</v>
      </c>
    </row>
    <row r="25" spans="1:33" ht="11.25" customHeight="1" x14ac:dyDescent="0.3">
      <c r="A25" s="4" t="s">
        <v>53</v>
      </c>
      <c r="B25" s="4" t="s">
        <v>54</v>
      </c>
      <c r="C25" s="4" t="s">
        <v>40</v>
      </c>
      <c r="D25" s="4" t="s">
        <v>38</v>
      </c>
      <c r="E25" s="4" t="s">
        <v>25</v>
      </c>
      <c r="F25" s="4" t="s">
        <v>25</v>
      </c>
      <c r="G25" s="4" t="s">
        <v>25</v>
      </c>
      <c r="H25" s="4" t="s">
        <v>25</v>
      </c>
      <c r="I25" s="5">
        <v>44835</v>
      </c>
      <c r="J25" s="6">
        <v>0</v>
      </c>
      <c r="K25" s="6">
        <v>0</v>
      </c>
      <c r="L25" s="6">
        <v>10177.634</v>
      </c>
      <c r="M25" s="6">
        <v>10177.634</v>
      </c>
      <c r="N25" s="6">
        <v>0</v>
      </c>
      <c r="O25" s="6">
        <v>0</v>
      </c>
      <c r="P25" s="6">
        <v>2</v>
      </c>
      <c r="Q25" s="4" t="s">
        <v>55</v>
      </c>
      <c r="R25" s="4">
        <v>0</v>
      </c>
      <c r="S25" s="6">
        <v>0</v>
      </c>
      <c r="T25" s="6">
        <v>5</v>
      </c>
      <c r="U25" s="6">
        <v>0</v>
      </c>
      <c r="V25" s="6">
        <f>IF(ISERROR(VLOOKUP($S$25,'TAR FIN'!$A$1:$O$113,15,0)),0,VLOOKUP($S$25,'TAR FIN'!$A$1:$O$113,15,0))</f>
        <v>0</v>
      </c>
      <c r="W25" s="6">
        <f>IF(ISERROR(VLOOKUP($T$25,'TAR FIN'!$A$1:$O$113,15,0)),0,VLOOKUP($T$25,'TAR FIN'!$A$1:$O$113,15,0))</f>
        <v>53.89</v>
      </c>
      <c r="X25" s="6">
        <f>IF(ISERROR(VLOOKUP($U$25,'TAR FIN'!$A$1:$O$113,15,0)),0,VLOOKUP($U$25,'TAR FIN'!$A$1:$O$113,15,0))</f>
        <v>0</v>
      </c>
      <c r="Y25" s="6"/>
      <c r="Z25" s="6">
        <f ca="1">('TUSD BE'!$AM$7+'TUSD BF_350'!$AM$7+'TUSD CVA'!$AM$7)*1</f>
        <v>82.830000000000013</v>
      </c>
      <c r="AA25" s="6"/>
      <c r="AB25" s="6">
        <f>$K$25*$V$25</f>
        <v>0</v>
      </c>
      <c r="AC25" s="6">
        <f>$M$25*$W$25</f>
        <v>548472.69626</v>
      </c>
      <c r="AD25" s="6">
        <f>$O$25*$X$25</f>
        <v>0</v>
      </c>
      <c r="AE25" s="6">
        <f>$K$25*$Y$25</f>
        <v>0</v>
      </c>
      <c r="AF25" s="6">
        <f ca="1">$M$25*$Z$25</f>
        <v>843013.42422000016</v>
      </c>
      <c r="AG25" s="6">
        <f>$O$25*$AA$25</f>
        <v>0</v>
      </c>
    </row>
    <row r="26" spans="1:33" ht="11.25" customHeight="1" x14ac:dyDescent="0.3">
      <c r="A26" s="4" t="s">
        <v>21</v>
      </c>
      <c r="B26" s="4" t="s">
        <v>54</v>
      </c>
      <c r="C26" s="4" t="s">
        <v>40</v>
      </c>
      <c r="D26" s="4" t="s">
        <v>38</v>
      </c>
      <c r="E26" s="4" t="s">
        <v>25</v>
      </c>
      <c r="F26" s="4" t="s">
        <v>25</v>
      </c>
      <c r="G26" s="4" t="s">
        <v>25</v>
      </c>
      <c r="H26" s="4" t="s">
        <v>34</v>
      </c>
      <c r="I26" s="5">
        <v>44501</v>
      </c>
      <c r="J26" s="6">
        <v>3738</v>
      </c>
      <c r="K26" s="6">
        <v>3738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55</v>
      </c>
      <c r="R26" s="4">
        <v>0</v>
      </c>
      <c r="S26" s="6">
        <v>16</v>
      </c>
      <c r="T26" s="6">
        <v>0</v>
      </c>
      <c r="U26" s="6">
        <v>0</v>
      </c>
      <c r="V26" s="6">
        <f>IF(ISERROR(VLOOKUP($S$26,'TAR FIN'!$A$1:$O$113,15,0)),0,VLOOKUP($S$26,'TAR FIN'!$A$1:$O$113,15,0))</f>
        <v>18.52</v>
      </c>
      <c r="W26" s="6">
        <f>IF(ISERROR(VLOOKUP($T$26,'TAR FIN'!$A$1:$O$113,15,0)),0,VLOOKUP($T$26,'TAR FIN'!$A$1:$O$113,15,0))</f>
        <v>0</v>
      </c>
      <c r="X26" s="6">
        <f>IF(ISERROR(VLOOKUP($U$26,'TAR FIN'!$A$1:$O$113,15,0)),0,VLOOKUP($U$26,'TAR FIN'!$A$1:$O$113,15,0))</f>
        <v>0</v>
      </c>
      <c r="Y26" s="6">
        <f ca="1">('TUSD BE'!$AM$5+'TUSD BF_350'!$AM$5+'TUSD CVA'!$AM$5)*1</f>
        <v>15.61</v>
      </c>
      <c r="Z26" s="6">
        <f ca="1">('TUSD BE'!$AM$7+'TUSD BF_350'!$AM$7+'TUSD CVA'!$AM$7)*1</f>
        <v>82.830000000000013</v>
      </c>
      <c r="AA26" s="6"/>
      <c r="AB26" s="6">
        <f>$K$26*$V$26</f>
        <v>69227.759999999995</v>
      </c>
      <c r="AC26" s="6">
        <f>$M$26*$W$26</f>
        <v>0</v>
      </c>
      <c r="AD26" s="6">
        <f>$O$26*$X$26</f>
        <v>0</v>
      </c>
      <c r="AE26" s="6">
        <f ca="1">$K$26*$Y$26</f>
        <v>58350.18</v>
      </c>
      <c r="AF26" s="6">
        <f ca="1">$M$26*$Z$26</f>
        <v>0</v>
      </c>
      <c r="AG26" s="6">
        <f>$O$26*$AA$26</f>
        <v>0</v>
      </c>
    </row>
    <row r="27" spans="1:33" ht="11.25" customHeight="1" x14ac:dyDescent="0.3">
      <c r="A27" s="4" t="s">
        <v>21</v>
      </c>
      <c r="B27" s="4" t="s">
        <v>54</v>
      </c>
      <c r="C27" s="4" t="s">
        <v>40</v>
      </c>
      <c r="D27" s="4" t="s">
        <v>38</v>
      </c>
      <c r="E27" s="4" t="s">
        <v>25</v>
      </c>
      <c r="F27" s="4" t="s">
        <v>25</v>
      </c>
      <c r="G27" s="4" t="s">
        <v>25</v>
      </c>
      <c r="H27" s="4" t="s">
        <v>34</v>
      </c>
      <c r="I27" s="5">
        <v>44531</v>
      </c>
      <c r="J27" s="6">
        <v>3883</v>
      </c>
      <c r="K27" s="6">
        <v>3883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55</v>
      </c>
      <c r="R27" s="4">
        <v>0</v>
      </c>
      <c r="S27" s="6">
        <v>16</v>
      </c>
      <c r="T27" s="6">
        <v>0</v>
      </c>
      <c r="U27" s="6">
        <v>0</v>
      </c>
      <c r="V27" s="6">
        <f>IF(ISERROR(VLOOKUP($S$27,'TAR FIN'!$A$1:$O$113,15,0)),0,VLOOKUP($S$27,'TAR FIN'!$A$1:$O$113,15,0))</f>
        <v>18.52</v>
      </c>
      <c r="W27" s="6">
        <f>IF(ISERROR(VLOOKUP($T$27,'TAR FIN'!$A$1:$O$113,15,0)),0,VLOOKUP($T$27,'TAR FIN'!$A$1:$O$113,15,0))</f>
        <v>0</v>
      </c>
      <c r="X27" s="6">
        <f>IF(ISERROR(VLOOKUP($U$27,'TAR FIN'!$A$1:$O$113,15,0)),0,VLOOKUP($U$27,'TAR FIN'!$A$1:$O$113,15,0))</f>
        <v>0</v>
      </c>
      <c r="Y27" s="6">
        <f ca="1">('TUSD BE'!$AM$5+'TUSD BF_350'!$AM$5+'TUSD CVA'!$AM$5)*1</f>
        <v>15.61</v>
      </c>
      <c r="Z27" s="6">
        <f ca="1">('TUSD BE'!$AM$7+'TUSD BF_350'!$AM$7+'TUSD CVA'!$AM$7)*1</f>
        <v>82.830000000000013</v>
      </c>
      <c r="AA27" s="6"/>
      <c r="AB27" s="6">
        <f>$K$27*$V$27</f>
        <v>71913.16</v>
      </c>
      <c r="AC27" s="6">
        <f>$M$27*$W$27</f>
        <v>0</v>
      </c>
      <c r="AD27" s="6">
        <f>$O$27*$X$27</f>
        <v>0</v>
      </c>
      <c r="AE27" s="6">
        <f ca="1">$K$27*$Y$27</f>
        <v>60613.63</v>
      </c>
      <c r="AF27" s="6">
        <f ca="1">$M$27*$Z$27</f>
        <v>0</v>
      </c>
      <c r="AG27" s="6">
        <f>$O$27*$AA$27</f>
        <v>0</v>
      </c>
    </row>
    <row r="28" spans="1:33" ht="11.25" customHeight="1" x14ac:dyDescent="0.3">
      <c r="A28" s="4" t="s">
        <v>21</v>
      </c>
      <c r="B28" s="4" t="s">
        <v>54</v>
      </c>
      <c r="C28" s="4" t="s">
        <v>40</v>
      </c>
      <c r="D28" s="4" t="s">
        <v>38</v>
      </c>
      <c r="E28" s="4" t="s">
        <v>25</v>
      </c>
      <c r="F28" s="4" t="s">
        <v>25</v>
      </c>
      <c r="G28" s="4" t="s">
        <v>25</v>
      </c>
      <c r="H28" s="4" t="s">
        <v>34</v>
      </c>
      <c r="I28" s="5">
        <v>44562</v>
      </c>
      <c r="J28" s="6">
        <v>3945</v>
      </c>
      <c r="K28" s="6">
        <v>3945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55</v>
      </c>
      <c r="R28" s="4">
        <v>0</v>
      </c>
      <c r="S28" s="6">
        <v>16</v>
      </c>
      <c r="T28" s="6">
        <v>0</v>
      </c>
      <c r="U28" s="6">
        <v>0</v>
      </c>
      <c r="V28" s="6">
        <f>IF(ISERROR(VLOOKUP($S$28,'TAR FIN'!$A$1:$O$113,15,0)),0,VLOOKUP($S$28,'TAR FIN'!$A$1:$O$113,15,0))</f>
        <v>18.52</v>
      </c>
      <c r="W28" s="6">
        <f>IF(ISERROR(VLOOKUP($T$28,'TAR FIN'!$A$1:$O$113,15,0)),0,VLOOKUP($T$28,'TAR FIN'!$A$1:$O$113,15,0))</f>
        <v>0</v>
      </c>
      <c r="X28" s="6">
        <f>IF(ISERROR(VLOOKUP($U$28,'TAR FIN'!$A$1:$O$113,15,0)),0,VLOOKUP($U$28,'TAR FIN'!$A$1:$O$113,15,0))</f>
        <v>0</v>
      </c>
      <c r="Y28" s="6">
        <f ca="1">('TUSD BE'!$AM$5+'TUSD BF_350'!$AM$5+'TUSD CVA'!$AM$5)*1</f>
        <v>15.61</v>
      </c>
      <c r="Z28" s="6">
        <f ca="1">('TUSD BE'!$AM$7+'TUSD BF_350'!$AM$7+'TUSD CVA'!$AM$7)*1</f>
        <v>82.830000000000013</v>
      </c>
      <c r="AA28" s="6"/>
      <c r="AB28" s="6">
        <f>$K$28*$V$28</f>
        <v>73061.399999999994</v>
      </c>
      <c r="AC28" s="6">
        <f>$M$28*$W$28</f>
        <v>0</v>
      </c>
      <c r="AD28" s="6">
        <f>$O$28*$X$28</f>
        <v>0</v>
      </c>
      <c r="AE28" s="6">
        <f ca="1">$K$28*$Y$28</f>
        <v>61581.45</v>
      </c>
      <c r="AF28" s="6">
        <f ca="1">$M$28*$Z$28</f>
        <v>0</v>
      </c>
      <c r="AG28" s="6">
        <f>$O$28*$AA$28</f>
        <v>0</v>
      </c>
    </row>
    <row r="29" spans="1:33" ht="11.25" customHeight="1" x14ac:dyDescent="0.3">
      <c r="A29" s="4" t="s">
        <v>21</v>
      </c>
      <c r="B29" s="4" t="s">
        <v>54</v>
      </c>
      <c r="C29" s="4" t="s">
        <v>40</v>
      </c>
      <c r="D29" s="4" t="s">
        <v>38</v>
      </c>
      <c r="E29" s="4" t="s">
        <v>25</v>
      </c>
      <c r="F29" s="4" t="s">
        <v>25</v>
      </c>
      <c r="G29" s="4" t="s">
        <v>25</v>
      </c>
      <c r="H29" s="4" t="s">
        <v>34</v>
      </c>
      <c r="I29" s="5">
        <v>44593</v>
      </c>
      <c r="J29" s="6">
        <v>3794</v>
      </c>
      <c r="K29" s="6">
        <v>3794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55</v>
      </c>
      <c r="R29" s="4">
        <v>0</v>
      </c>
      <c r="S29" s="6">
        <v>16</v>
      </c>
      <c r="T29" s="6">
        <v>0</v>
      </c>
      <c r="U29" s="6">
        <v>0</v>
      </c>
      <c r="V29" s="6">
        <f>IF(ISERROR(VLOOKUP($S$29,'TAR FIN'!$A$1:$O$113,15,0)),0,VLOOKUP($S$29,'TAR FIN'!$A$1:$O$113,15,0))</f>
        <v>18.52</v>
      </c>
      <c r="W29" s="6">
        <f>IF(ISERROR(VLOOKUP($T$29,'TAR FIN'!$A$1:$O$113,15,0)),0,VLOOKUP($T$29,'TAR FIN'!$A$1:$O$113,15,0))</f>
        <v>0</v>
      </c>
      <c r="X29" s="6">
        <f>IF(ISERROR(VLOOKUP($U$29,'TAR FIN'!$A$1:$O$113,15,0)),0,VLOOKUP($U$29,'TAR FIN'!$A$1:$O$113,15,0))</f>
        <v>0</v>
      </c>
      <c r="Y29" s="6">
        <f ca="1">('TUSD BE'!$AM$5+'TUSD BF_350'!$AM$5+'TUSD CVA'!$AM$5)*1</f>
        <v>15.61</v>
      </c>
      <c r="Z29" s="6">
        <f ca="1">('TUSD BE'!$AM$7+'TUSD BF_350'!$AM$7+'TUSD CVA'!$AM$7)*1</f>
        <v>82.830000000000013</v>
      </c>
      <c r="AA29" s="6"/>
      <c r="AB29" s="6">
        <f>$K$29*$V$29</f>
        <v>70264.88</v>
      </c>
      <c r="AC29" s="6">
        <f>$M$29*$W$29</f>
        <v>0</v>
      </c>
      <c r="AD29" s="6">
        <f>$O$29*$X$29</f>
        <v>0</v>
      </c>
      <c r="AE29" s="6">
        <f ca="1">$K$29*$Y$29</f>
        <v>59224.34</v>
      </c>
      <c r="AF29" s="6">
        <f ca="1">$M$29*$Z$29</f>
        <v>0</v>
      </c>
      <c r="AG29" s="6">
        <f>$O$29*$AA$29</f>
        <v>0</v>
      </c>
    </row>
    <row r="30" spans="1:33" ht="11.25" customHeight="1" x14ac:dyDescent="0.3">
      <c r="A30" s="4" t="s">
        <v>21</v>
      </c>
      <c r="B30" s="4" t="s">
        <v>54</v>
      </c>
      <c r="C30" s="4" t="s">
        <v>40</v>
      </c>
      <c r="D30" s="4" t="s">
        <v>38</v>
      </c>
      <c r="E30" s="4" t="s">
        <v>25</v>
      </c>
      <c r="F30" s="4" t="s">
        <v>25</v>
      </c>
      <c r="G30" s="4" t="s">
        <v>25</v>
      </c>
      <c r="H30" s="4" t="s">
        <v>34</v>
      </c>
      <c r="I30" s="5">
        <v>44621</v>
      </c>
      <c r="J30" s="6">
        <v>3700</v>
      </c>
      <c r="K30" s="6">
        <v>3700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55</v>
      </c>
      <c r="R30" s="4">
        <v>0</v>
      </c>
      <c r="S30" s="6">
        <v>16</v>
      </c>
      <c r="T30" s="6">
        <v>0</v>
      </c>
      <c r="U30" s="6">
        <v>0</v>
      </c>
      <c r="V30" s="6">
        <f>IF(ISERROR(VLOOKUP($S$30,'TAR FIN'!$A$1:$O$113,15,0)),0,VLOOKUP($S$30,'TAR FIN'!$A$1:$O$113,15,0))</f>
        <v>18.52</v>
      </c>
      <c r="W30" s="6">
        <f>IF(ISERROR(VLOOKUP($T$30,'TAR FIN'!$A$1:$O$113,15,0)),0,VLOOKUP($T$30,'TAR FIN'!$A$1:$O$113,15,0))</f>
        <v>0</v>
      </c>
      <c r="X30" s="6">
        <f>IF(ISERROR(VLOOKUP($U$30,'TAR FIN'!$A$1:$O$113,15,0)),0,VLOOKUP($U$30,'TAR FIN'!$A$1:$O$113,15,0))</f>
        <v>0</v>
      </c>
      <c r="Y30" s="6">
        <f ca="1">('TUSD BE'!$AM$5+'TUSD BF_350'!$AM$5+'TUSD CVA'!$AM$5)*1</f>
        <v>15.61</v>
      </c>
      <c r="Z30" s="6">
        <f ca="1">('TUSD BE'!$AM$7+'TUSD BF_350'!$AM$7+'TUSD CVA'!$AM$7)*1</f>
        <v>82.830000000000013</v>
      </c>
      <c r="AA30" s="6"/>
      <c r="AB30" s="6">
        <f>$K$30*$V$30</f>
        <v>68524</v>
      </c>
      <c r="AC30" s="6">
        <f>$M$30*$W$30</f>
        <v>0</v>
      </c>
      <c r="AD30" s="6">
        <f>$O$30*$X$30</f>
        <v>0</v>
      </c>
      <c r="AE30" s="6">
        <f ca="1">$K$30*$Y$30</f>
        <v>57757</v>
      </c>
      <c r="AF30" s="6">
        <f ca="1">$M$30*$Z$30</f>
        <v>0</v>
      </c>
      <c r="AG30" s="6">
        <f>$O$30*$AA$30</f>
        <v>0</v>
      </c>
    </row>
    <row r="31" spans="1:33" ht="11.25" customHeight="1" x14ac:dyDescent="0.3">
      <c r="A31" s="4" t="s">
        <v>21</v>
      </c>
      <c r="B31" s="4" t="s">
        <v>54</v>
      </c>
      <c r="C31" s="4" t="s">
        <v>40</v>
      </c>
      <c r="D31" s="4" t="s">
        <v>38</v>
      </c>
      <c r="E31" s="4" t="s">
        <v>25</v>
      </c>
      <c r="F31" s="4" t="s">
        <v>25</v>
      </c>
      <c r="G31" s="4" t="s">
        <v>25</v>
      </c>
      <c r="H31" s="4" t="s">
        <v>34</v>
      </c>
      <c r="I31" s="5">
        <v>44652</v>
      </c>
      <c r="J31" s="6">
        <v>3700</v>
      </c>
      <c r="K31" s="6">
        <v>3700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55</v>
      </c>
      <c r="R31" s="4">
        <v>0</v>
      </c>
      <c r="S31" s="6">
        <v>16</v>
      </c>
      <c r="T31" s="6">
        <v>0</v>
      </c>
      <c r="U31" s="6">
        <v>0</v>
      </c>
      <c r="V31" s="6">
        <f>IF(ISERROR(VLOOKUP($S$31,'TAR FIN'!$A$1:$O$113,15,0)),0,VLOOKUP($S$31,'TAR FIN'!$A$1:$O$113,15,0))</f>
        <v>18.52</v>
      </c>
      <c r="W31" s="6">
        <f>IF(ISERROR(VLOOKUP($T$31,'TAR FIN'!$A$1:$O$113,15,0)),0,VLOOKUP($T$31,'TAR FIN'!$A$1:$O$113,15,0))</f>
        <v>0</v>
      </c>
      <c r="X31" s="6">
        <f>IF(ISERROR(VLOOKUP($U$31,'TAR FIN'!$A$1:$O$113,15,0)),0,VLOOKUP($U$31,'TAR FIN'!$A$1:$O$113,15,0))</f>
        <v>0</v>
      </c>
      <c r="Y31" s="6">
        <f ca="1">('TUSD BE'!$AM$5+'TUSD BF_350'!$AM$5+'TUSD CVA'!$AM$5)*1</f>
        <v>15.61</v>
      </c>
      <c r="Z31" s="6">
        <f ca="1">('TUSD BE'!$AM$7+'TUSD BF_350'!$AM$7+'TUSD CVA'!$AM$7)*1</f>
        <v>82.830000000000013</v>
      </c>
      <c r="AA31" s="6"/>
      <c r="AB31" s="6">
        <f>$K$31*$V$31</f>
        <v>68524</v>
      </c>
      <c r="AC31" s="6">
        <f>$M$31*$W$31</f>
        <v>0</v>
      </c>
      <c r="AD31" s="6">
        <f>$O$31*$X$31</f>
        <v>0</v>
      </c>
      <c r="AE31" s="6">
        <f ca="1">$K$31*$Y$31</f>
        <v>57757</v>
      </c>
      <c r="AF31" s="6">
        <f ca="1">$M$31*$Z$31</f>
        <v>0</v>
      </c>
      <c r="AG31" s="6">
        <f>$O$31*$AA$31</f>
        <v>0</v>
      </c>
    </row>
    <row r="32" spans="1:33" ht="11.25" customHeight="1" x14ac:dyDescent="0.3">
      <c r="A32" s="4" t="s">
        <v>21</v>
      </c>
      <c r="B32" s="4" t="s">
        <v>54</v>
      </c>
      <c r="C32" s="4" t="s">
        <v>40</v>
      </c>
      <c r="D32" s="4" t="s">
        <v>38</v>
      </c>
      <c r="E32" s="4" t="s">
        <v>25</v>
      </c>
      <c r="F32" s="4" t="s">
        <v>25</v>
      </c>
      <c r="G32" s="4" t="s">
        <v>25</v>
      </c>
      <c r="H32" s="4" t="s">
        <v>34</v>
      </c>
      <c r="I32" s="5">
        <v>44682</v>
      </c>
      <c r="J32" s="6">
        <v>3700</v>
      </c>
      <c r="K32" s="6">
        <v>3700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55</v>
      </c>
      <c r="R32" s="4">
        <v>0</v>
      </c>
      <c r="S32" s="6">
        <v>16</v>
      </c>
      <c r="T32" s="6">
        <v>0</v>
      </c>
      <c r="U32" s="6">
        <v>0</v>
      </c>
      <c r="V32" s="6">
        <f>IF(ISERROR(VLOOKUP($S$32,'TAR FIN'!$A$1:$O$113,15,0)),0,VLOOKUP($S$32,'TAR FIN'!$A$1:$O$113,15,0))</f>
        <v>18.52</v>
      </c>
      <c r="W32" s="6">
        <f>IF(ISERROR(VLOOKUP($T$32,'TAR FIN'!$A$1:$O$113,15,0)),0,VLOOKUP($T$32,'TAR FIN'!$A$1:$O$113,15,0))</f>
        <v>0</v>
      </c>
      <c r="X32" s="6">
        <f>IF(ISERROR(VLOOKUP($U$32,'TAR FIN'!$A$1:$O$113,15,0)),0,VLOOKUP($U$32,'TAR FIN'!$A$1:$O$113,15,0))</f>
        <v>0</v>
      </c>
      <c r="Y32" s="6">
        <f ca="1">('TUSD BE'!$AM$5+'TUSD BF_350'!$AM$5+'TUSD CVA'!$AM$5)*1</f>
        <v>15.61</v>
      </c>
      <c r="Z32" s="6">
        <f ca="1">('TUSD BE'!$AM$7+'TUSD BF_350'!$AM$7+'TUSD CVA'!$AM$7)*1</f>
        <v>82.830000000000013</v>
      </c>
      <c r="AA32" s="6"/>
      <c r="AB32" s="6">
        <f>$K$32*$V$32</f>
        <v>68524</v>
      </c>
      <c r="AC32" s="6">
        <f>$M$32*$W$32</f>
        <v>0</v>
      </c>
      <c r="AD32" s="6">
        <f>$O$32*$X$32</f>
        <v>0</v>
      </c>
      <c r="AE32" s="6">
        <f ca="1">$K$32*$Y$32</f>
        <v>57757</v>
      </c>
      <c r="AF32" s="6">
        <f ca="1">$M$32*$Z$32</f>
        <v>0</v>
      </c>
      <c r="AG32" s="6">
        <f>$O$32*$AA$32</f>
        <v>0</v>
      </c>
    </row>
    <row r="33" spans="1:33" ht="11.25" customHeight="1" x14ac:dyDescent="0.3">
      <c r="A33" s="4" t="s">
        <v>21</v>
      </c>
      <c r="B33" s="4" t="s">
        <v>54</v>
      </c>
      <c r="C33" s="4" t="s">
        <v>40</v>
      </c>
      <c r="D33" s="4" t="s">
        <v>38</v>
      </c>
      <c r="E33" s="4" t="s">
        <v>25</v>
      </c>
      <c r="F33" s="4" t="s">
        <v>25</v>
      </c>
      <c r="G33" s="4" t="s">
        <v>25</v>
      </c>
      <c r="H33" s="4" t="s">
        <v>34</v>
      </c>
      <c r="I33" s="5">
        <v>44713</v>
      </c>
      <c r="J33" s="6">
        <v>3717</v>
      </c>
      <c r="K33" s="6">
        <v>3717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55</v>
      </c>
      <c r="R33" s="4">
        <v>0</v>
      </c>
      <c r="S33" s="6">
        <v>16</v>
      </c>
      <c r="T33" s="6">
        <v>0</v>
      </c>
      <c r="U33" s="6">
        <v>0</v>
      </c>
      <c r="V33" s="6">
        <f>IF(ISERROR(VLOOKUP($S$33,'TAR FIN'!$A$1:$O$113,15,0)),0,VLOOKUP($S$33,'TAR FIN'!$A$1:$O$113,15,0))</f>
        <v>18.52</v>
      </c>
      <c r="W33" s="6">
        <f>IF(ISERROR(VLOOKUP($T$33,'TAR FIN'!$A$1:$O$113,15,0)),0,VLOOKUP($T$33,'TAR FIN'!$A$1:$O$113,15,0))</f>
        <v>0</v>
      </c>
      <c r="X33" s="6">
        <f>IF(ISERROR(VLOOKUP($U$33,'TAR FIN'!$A$1:$O$113,15,0)),0,VLOOKUP($U$33,'TAR FIN'!$A$1:$O$113,15,0))</f>
        <v>0</v>
      </c>
      <c r="Y33" s="6">
        <f ca="1">('TUSD BE'!$AM$5+'TUSD BF_350'!$AM$5+'TUSD CVA'!$AM$5)*1</f>
        <v>15.61</v>
      </c>
      <c r="Z33" s="6">
        <f ca="1">('TUSD BE'!$AM$7+'TUSD BF_350'!$AM$7+'TUSD CVA'!$AM$7)*1</f>
        <v>82.830000000000013</v>
      </c>
      <c r="AA33" s="6"/>
      <c r="AB33" s="6">
        <f>$K$33*$V$33</f>
        <v>68838.84</v>
      </c>
      <c r="AC33" s="6">
        <f>$M$33*$W$33</f>
        <v>0</v>
      </c>
      <c r="AD33" s="6">
        <f>$O$33*$X$33</f>
        <v>0</v>
      </c>
      <c r="AE33" s="6">
        <f ca="1">$K$33*$Y$33</f>
        <v>58022.369999999995</v>
      </c>
      <c r="AF33" s="6">
        <f ca="1">$M$33*$Z$33</f>
        <v>0</v>
      </c>
      <c r="AG33" s="6">
        <f>$O$33*$AA$33</f>
        <v>0</v>
      </c>
    </row>
    <row r="34" spans="1:33" ht="11.25" customHeight="1" x14ac:dyDescent="0.3">
      <c r="A34" s="4" t="s">
        <v>21</v>
      </c>
      <c r="B34" s="4" t="s">
        <v>54</v>
      </c>
      <c r="C34" s="4" t="s">
        <v>40</v>
      </c>
      <c r="D34" s="4" t="s">
        <v>38</v>
      </c>
      <c r="E34" s="4" t="s">
        <v>25</v>
      </c>
      <c r="F34" s="4" t="s">
        <v>25</v>
      </c>
      <c r="G34" s="4" t="s">
        <v>25</v>
      </c>
      <c r="H34" s="4" t="s">
        <v>34</v>
      </c>
      <c r="I34" s="5">
        <v>44743</v>
      </c>
      <c r="J34" s="6">
        <v>3706</v>
      </c>
      <c r="K34" s="6">
        <v>3706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55</v>
      </c>
      <c r="R34" s="4">
        <v>0</v>
      </c>
      <c r="S34" s="6">
        <v>16</v>
      </c>
      <c r="T34" s="6">
        <v>0</v>
      </c>
      <c r="U34" s="6">
        <v>0</v>
      </c>
      <c r="V34" s="6">
        <f>IF(ISERROR(VLOOKUP($S$34,'TAR FIN'!$A$1:$O$113,15,0)),0,VLOOKUP($S$34,'TAR FIN'!$A$1:$O$113,15,0))</f>
        <v>18.52</v>
      </c>
      <c r="W34" s="6">
        <f>IF(ISERROR(VLOOKUP($T$34,'TAR FIN'!$A$1:$O$113,15,0)),0,VLOOKUP($T$34,'TAR FIN'!$A$1:$O$113,15,0))</f>
        <v>0</v>
      </c>
      <c r="X34" s="6">
        <f>IF(ISERROR(VLOOKUP($U$34,'TAR FIN'!$A$1:$O$113,15,0)),0,VLOOKUP($U$34,'TAR FIN'!$A$1:$O$113,15,0))</f>
        <v>0</v>
      </c>
      <c r="Y34" s="6">
        <f ca="1">('TUSD BE'!$AM$5+'TUSD BF_350'!$AM$5+'TUSD CVA'!$AM$5)*1</f>
        <v>15.61</v>
      </c>
      <c r="Z34" s="6">
        <f ca="1">('TUSD BE'!$AM$7+'TUSD BF_350'!$AM$7+'TUSD CVA'!$AM$7)*1</f>
        <v>82.830000000000013</v>
      </c>
      <c r="AA34" s="6"/>
      <c r="AB34" s="6">
        <f>$K$34*$V$34</f>
        <v>68635.12</v>
      </c>
      <c r="AC34" s="6">
        <f>$M$34*$W$34</f>
        <v>0</v>
      </c>
      <c r="AD34" s="6">
        <f>$O$34*$X$34</f>
        <v>0</v>
      </c>
      <c r="AE34" s="6">
        <f ca="1">$K$34*$Y$34</f>
        <v>57850.659999999996</v>
      </c>
      <c r="AF34" s="6">
        <f ca="1">$M$34*$Z$34</f>
        <v>0</v>
      </c>
      <c r="AG34" s="6">
        <f>$O$34*$AA$34</f>
        <v>0</v>
      </c>
    </row>
    <row r="35" spans="1:33" ht="11.25" customHeight="1" x14ac:dyDescent="0.3">
      <c r="A35" s="4" t="s">
        <v>21</v>
      </c>
      <c r="B35" s="4" t="s">
        <v>54</v>
      </c>
      <c r="C35" s="4" t="s">
        <v>40</v>
      </c>
      <c r="D35" s="4" t="s">
        <v>38</v>
      </c>
      <c r="E35" s="4" t="s">
        <v>25</v>
      </c>
      <c r="F35" s="4" t="s">
        <v>25</v>
      </c>
      <c r="G35" s="4" t="s">
        <v>25</v>
      </c>
      <c r="H35" s="4" t="s">
        <v>34</v>
      </c>
      <c r="I35" s="5">
        <v>44774</v>
      </c>
      <c r="J35" s="6">
        <v>3741</v>
      </c>
      <c r="K35" s="6">
        <v>3741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55</v>
      </c>
      <c r="R35" s="4">
        <v>0</v>
      </c>
      <c r="S35" s="6">
        <v>16</v>
      </c>
      <c r="T35" s="6">
        <v>0</v>
      </c>
      <c r="U35" s="6">
        <v>0</v>
      </c>
      <c r="V35" s="6">
        <f>IF(ISERROR(VLOOKUP($S$35,'TAR FIN'!$A$1:$O$113,15,0)),0,VLOOKUP($S$35,'TAR FIN'!$A$1:$O$113,15,0))</f>
        <v>18.52</v>
      </c>
      <c r="W35" s="6">
        <f>IF(ISERROR(VLOOKUP($T$35,'TAR FIN'!$A$1:$O$113,15,0)),0,VLOOKUP($T$35,'TAR FIN'!$A$1:$O$113,15,0))</f>
        <v>0</v>
      </c>
      <c r="X35" s="6">
        <f>IF(ISERROR(VLOOKUP($U$35,'TAR FIN'!$A$1:$O$113,15,0)),0,VLOOKUP($U$35,'TAR FIN'!$A$1:$O$113,15,0))</f>
        <v>0</v>
      </c>
      <c r="Y35" s="6">
        <f ca="1">('TUSD BE'!$AM$5+'TUSD BF_350'!$AM$5+'TUSD CVA'!$AM$5)*1</f>
        <v>15.61</v>
      </c>
      <c r="Z35" s="6">
        <f ca="1">('TUSD BE'!$AM$7+'TUSD BF_350'!$AM$7+'TUSD CVA'!$AM$7)*1</f>
        <v>82.830000000000013</v>
      </c>
      <c r="AA35" s="6"/>
      <c r="AB35" s="6">
        <f>$K$35*$V$35</f>
        <v>69283.319999999992</v>
      </c>
      <c r="AC35" s="6">
        <f>$M$35*$W$35</f>
        <v>0</v>
      </c>
      <c r="AD35" s="6">
        <f>$O$35*$X$35</f>
        <v>0</v>
      </c>
      <c r="AE35" s="6">
        <f ca="1">$K$35*$Y$35</f>
        <v>58397.009999999995</v>
      </c>
      <c r="AF35" s="6">
        <f ca="1">$M$35*$Z$35</f>
        <v>0</v>
      </c>
      <c r="AG35" s="6">
        <f>$O$35*$AA$35</f>
        <v>0</v>
      </c>
    </row>
    <row r="36" spans="1:33" ht="11.25" customHeight="1" x14ac:dyDescent="0.3">
      <c r="A36" s="4" t="s">
        <v>21</v>
      </c>
      <c r="B36" s="4" t="s">
        <v>54</v>
      </c>
      <c r="C36" s="4" t="s">
        <v>40</v>
      </c>
      <c r="D36" s="4" t="s">
        <v>38</v>
      </c>
      <c r="E36" s="4" t="s">
        <v>25</v>
      </c>
      <c r="F36" s="4" t="s">
        <v>25</v>
      </c>
      <c r="G36" s="4" t="s">
        <v>25</v>
      </c>
      <c r="H36" s="4" t="s">
        <v>34</v>
      </c>
      <c r="I36" s="5">
        <v>44805</v>
      </c>
      <c r="J36" s="6">
        <v>3792</v>
      </c>
      <c r="K36" s="6">
        <v>3792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55</v>
      </c>
      <c r="R36" s="4">
        <v>0</v>
      </c>
      <c r="S36" s="6">
        <v>16</v>
      </c>
      <c r="T36" s="6">
        <v>0</v>
      </c>
      <c r="U36" s="6">
        <v>0</v>
      </c>
      <c r="V36" s="6">
        <f>IF(ISERROR(VLOOKUP($S$36,'TAR FIN'!$A$1:$O$113,15,0)),0,VLOOKUP($S$36,'TAR FIN'!$A$1:$O$113,15,0))</f>
        <v>18.52</v>
      </c>
      <c r="W36" s="6">
        <f>IF(ISERROR(VLOOKUP($T$36,'TAR FIN'!$A$1:$O$113,15,0)),0,VLOOKUP($T$36,'TAR FIN'!$A$1:$O$113,15,0))</f>
        <v>0</v>
      </c>
      <c r="X36" s="6">
        <f>IF(ISERROR(VLOOKUP($U$36,'TAR FIN'!$A$1:$O$113,15,0)),0,VLOOKUP($U$36,'TAR FIN'!$A$1:$O$113,15,0))</f>
        <v>0</v>
      </c>
      <c r="Y36" s="6">
        <f ca="1">('TUSD BE'!$AM$5+'TUSD BF_350'!$AM$5+'TUSD CVA'!$AM$5)*1</f>
        <v>15.61</v>
      </c>
      <c r="Z36" s="6">
        <f ca="1">('TUSD BE'!$AM$7+'TUSD BF_350'!$AM$7+'TUSD CVA'!$AM$7)*1</f>
        <v>82.830000000000013</v>
      </c>
      <c r="AA36" s="6"/>
      <c r="AB36" s="6">
        <f>$K$36*$V$36</f>
        <v>70227.839999999997</v>
      </c>
      <c r="AC36" s="6">
        <f>$M$36*$W$36</f>
        <v>0</v>
      </c>
      <c r="AD36" s="6">
        <f>$O$36*$X$36</f>
        <v>0</v>
      </c>
      <c r="AE36" s="6">
        <f ca="1">$K$36*$Y$36</f>
        <v>59193.119999999995</v>
      </c>
      <c r="AF36" s="6">
        <f ca="1">$M$36*$Z$36</f>
        <v>0</v>
      </c>
      <c r="AG36" s="6">
        <f>$O$36*$AA$36</f>
        <v>0</v>
      </c>
    </row>
    <row r="37" spans="1:33" ht="11.25" customHeight="1" x14ac:dyDescent="0.3">
      <c r="A37" s="4" t="s">
        <v>53</v>
      </c>
      <c r="B37" s="4" t="s">
        <v>54</v>
      </c>
      <c r="C37" s="4" t="s">
        <v>40</v>
      </c>
      <c r="D37" s="4" t="s">
        <v>38</v>
      </c>
      <c r="E37" s="4" t="s">
        <v>25</v>
      </c>
      <c r="F37" s="4" t="s">
        <v>25</v>
      </c>
      <c r="G37" s="4" t="s">
        <v>25</v>
      </c>
      <c r="H37" s="4" t="s">
        <v>34</v>
      </c>
      <c r="I37" s="5">
        <v>44835</v>
      </c>
      <c r="J37" s="6">
        <v>3792</v>
      </c>
      <c r="K37" s="6">
        <v>3792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55</v>
      </c>
      <c r="R37" s="4">
        <v>0</v>
      </c>
      <c r="S37" s="6">
        <v>16</v>
      </c>
      <c r="T37" s="6">
        <v>0</v>
      </c>
      <c r="U37" s="6">
        <v>0</v>
      </c>
      <c r="V37" s="6">
        <f>IF(ISERROR(VLOOKUP($S$37,'TAR FIN'!$A$1:$O$113,15,0)),0,VLOOKUP($S$37,'TAR FIN'!$A$1:$O$113,15,0))</f>
        <v>18.52</v>
      </c>
      <c r="W37" s="6">
        <f>IF(ISERROR(VLOOKUP($T$37,'TAR FIN'!$A$1:$O$113,15,0)),0,VLOOKUP($T$37,'TAR FIN'!$A$1:$O$113,15,0))</f>
        <v>0</v>
      </c>
      <c r="X37" s="6">
        <f>IF(ISERROR(VLOOKUP($U$37,'TAR FIN'!$A$1:$O$113,15,0)),0,VLOOKUP($U$37,'TAR FIN'!$A$1:$O$113,15,0))</f>
        <v>0</v>
      </c>
      <c r="Y37" s="6">
        <f ca="1">('TUSD BE'!$AM$5+'TUSD BF_350'!$AM$5+'TUSD CVA'!$AM$5)*1</f>
        <v>15.61</v>
      </c>
      <c r="Z37" s="6">
        <f ca="1">('TUSD BE'!$AM$7+'TUSD BF_350'!$AM$7+'TUSD CVA'!$AM$7)*1</f>
        <v>82.830000000000013</v>
      </c>
      <c r="AA37" s="6"/>
      <c r="AB37" s="6">
        <f>$K$37*$V$37</f>
        <v>70227.839999999997</v>
      </c>
      <c r="AC37" s="6">
        <f>$M$37*$W$37</f>
        <v>0</v>
      </c>
      <c r="AD37" s="6">
        <f>$O$37*$X$37</f>
        <v>0</v>
      </c>
      <c r="AE37" s="6">
        <f ca="1">$K$37*$Y$37</f>
        <v>59193.119999999995</v>
      </c>
      <c r="AF37" s="6">
        <f ca="1">$M$37*$Z$37</f>
        <v>0</v>
      </c>
      <c r="AG37" s="6">
        <f>$O$37*$AA$37</f>
        <v>0</v>
      </c>
    </row>
    <row r="38" spans="1:33" ht="11.25" customHeight="1" x14ac:dyDescent="0.3">
      <c r="A38" s="4" t="s">
        <v>21</v>
      </c>
      <c r="B38" s="4" t="s">
        <v>60</v>
      </c>
      <c r="C38" s="4" t="s">
        <v>57</v>
      </c>
      <c r="D38" s="4" t="s">
        <v>25</v>
      </c>
      <c r="E38" s="4" t="s">
        <v>25</v>
      </c>
      <c r="F38" s="4" t="s">
        <v>25</v>
      </c>
      <c r="G38" s="4" t="s">
        <v>61</v>
      </c>
      <c r="H38" s="4" t="s">
        <v>25</v>
      </c>
      <c r="I38" s="5">
        <v>44501</v>
      </c>
      <c r="J38" s="6">
        <v>7800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59</v>
      </c>
      <c r="R38" s="4">
        <v>27870</v>
      </c>
      <c r="S38" s="6">
        <v>21</v>
      </c>
      <c r="T38" s="6">
        <v>0</v>
      </c>
      <c r="U38" s="6">
        <v>0</v>
      </c>
      <c r="V38" s="6">
        <f>IF(ISERROR(VLOOKUP($S$38,'TAR FIN'!$A$1:$O$113,15,0)),0,VLOOKUP($S$38,'TAR FIN'!$A$1:$O$113,15,0))</f>
        <v>11.03</v>
      </c>
      <c r="W38" s="6">
        <f>IF(ISERROR(VLOOKUP($T$38,'TAR FIN'!$A$1:$O$113,15,0)),0,VLOOKUP($T$38,'TAR FIN'!$A$1:$O$113,15,0))</f>
        <v>0</v>
      </c>
      <c r="X38" s="6">
        <f>IF(ISERROR(VLOOKUP($U$38,'TAR FIN'!$A$1:$O$113,15,0)),0,VLOOKUP($U$38,'TAR FIN'!$A$1:$O$113,15,0))</f>
        <v>0</v>
      </c>
      <c r="Y38" s="6">
        <f ca="1">('TUSD BE'!$AM$13+'TUSD BF_350'!$AM$13+'TUSD CVA'!$AM$13)*1</f>
        <v>11.598813715831222</v>
      </c>
      <c r="Z38" s="6"/>
      <c r="AA38" s="6"/>
      <c r="AB38" s="6">
        <f>$K$38*$V$38</f>
        <v>0</v>
      </c>
      <c r="AC38" s="6">
        <f>$M$38*$W$38</f>
        <v>0</v>
      </c>
      <c r="AD38" s="6">
        <f>$O$38*$X$38</f>
        <v>0</v>
      </c>
      <c r="AE38" s="6">
        <f ca="1">$K$38*$Y$38</f>
        <v>0</v>
      </c>
      <c r="AF38" s="6">
        <f>$M$38*$Z$38</f>
        <v>0</v>
      </c>
      <c r="AG38" s="6">
        <f>$O$38*$AA$38</f>
        <v>0</v>
      </c>
    </row>
    <row r="39" spans="1:33" ht="11.25" customHeight="1" x14ac:dyDescent="0.3">
      <c r="A39" s="4" t="s">
        <v>21</v>
      </c>
      <c r="B39" s="4" t="s">
        <v>60</v>
      </c>
      <c r="C39" s="4" t="s">
        <v>57</v>
      </c>
      <c r="D39" s="4" t="s">
        <v>25</v>
      </c>
      <c r="E39" s="4" t="s">
        <v>25</v>
      </c>
      <c r="F39" s="4" t="s">
        <v>25</v>
      </c>
      <c r="G39" s="4" t="s">
        <v>61</v>
      </c>
      <c r="H39" s="4" t="s">
        <v>25</v>
      </c>
      <c r="I39" s="5">
        <v>44531</v>
      </c>
      <c r="J39" s="6">
        <v>7800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59</v>
      </c>
      <c r="R39" s="4">
        <v>27870</v>
      </c>
      <c r="S39" s="6">
        <v>21</v>
      </c>
      <c r="T39" s="6">
        <v>0</v>
      </c>
      <c r="U39" s="6">
        <v>0</v>
      </c>
      <c r="V39" s="6">
        <f>IF(ISERROR(VLOOKUP($S$39,'TAR FIN'!$A$1:$O$113,15,0)),0,VLOOKUP($S$39,'TAR FIN'!$A$1:$O$113,15,0))</f>
        <v>11.03</v>
      </c>
      <c r="W39" s="6">
        <f>IF(ISERROR(VLOOKUP($T$39,'TAR FIN'!$A$1:$O$113,15,0)),0,VLOOKUP($T$39,'TAR FIN'!$A$1:$O$113,15,0))</f>
        <v>0</v>
      </c>
      <c r="X39" s="6">
        <f>IF(ISERROR(VLOOKUP($U$39,'TAR FIN'!$A$1:$O$113,15,0)),0,VLOOKUP($U$39,'TAR FIN'!$A$1:$O$113,15,0))</f>
        <v>0</v>
      </c>
      <c r="Y39" s="6">
        <f ca="1">('TUSD BE'!$AM$13+'TUSD BF_350'!$AM$13+'TUSD CVA'!$AM$13)*1</f>
        <v>11.598813715831222</v>
      </c>
      <c r="Z39" s="6"/>
      <c r="AA39" s="6"/>
      <c r="AB39" s="6">
        <f>$K$39*$V$39</f>
        <v>0</v>
      </c>
      <c r="AC39" s="6">
        <f>$M$39*$W$39</f>
        <v>0</v>
      </c>
      <c r="AD39" s="6">
        <f>$O$39*$X$39</f>
        <v>0</v>
      </c>
      <c r="AE39" s="6">
        <f ca="1">$K$39*$Y$39</f>
        <v>0</v>
      </c>
      <c r="AF39" s="6">
        <f>$M$39*$Z$39</f>
        <v>0</v>
      </c>
      <c r="AG39" s="6">
        <f>$O$39*$AA$39</f>
        <v>0</v>
      </c>
    </row>
    <row r="40" spans="1:33" ht="11.25" customHeight="1" x14ac:dyDescent="0.3">
      <c r="A40" s="4" t="s">
        <v>21</v>
      </c>
      <c r="B40" s="4" t="s">
        <v>60</v>
      </c>
      <c r="C40" s="4" t="s">
        <v>57</v>
      </c>
      <c r="D40" s="4" t="s">
        <v>25</v>
      </c>
      <c r="E40" s="4" t="s">
        <v>25</v>
      </c>
      <c r="F40" s="4" t="s">
        <v>25</v>
      </c>
      <c r="G40" s="4" t="s">
        <v>61</v>
      </c>
      <c r="H40" s="4" t="s">
        <v>25</v>
      </c>
      <c r="I40" s="5">
        <v>44562</v>
      </c>
      <c r="J40" s="6">
        <v>7800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59</v>
      </c>
      <c r="R40" s="4">
        <v>27870</v>
      </c>
      <c r="S40" s="6">
        <v>21</v>
      </c>
      <c r="T40" s="6">
        <v>0</v>
      </c>
      <c r="U40" s="6">
        <v>0</v>
      </c>
      <c r="V40" s="6">
        <f>IF(ISERROR(VLOOKUP($S$40,'TAR FIN'!$A$1:$O$113,15,0)),0,VLOOKUP($S$40,'TAR FIN'!$A$1:$O$113,15,0))</f>
        <v>11.03</v>
      </c>
      <c r="W40" s="6">
        <f>IF(ISERROR(VLOOKUP($T$40,'TAR FIN'!$A$1:$O$113,15,0)),0,VLOOKUP($T$40,'TAR FIN'!$A$1:$O$113,15,0))</f>
        <v>0</v>
      </c>
      <c r="X40" s="6">
        <f>IF(ISERROR(VLOOKUP($U$40,'TAR FIN'!$A$1:$O$113,15,0)),0,VLOOKUP($U$40,'TAR FIN'!$A$1:$O$113,15,0))</f>
        <v>0</v>
      </c>
      <c r="Y40" s="6">
        <f ca="1">('TUSD BE'!$AM$13+'TUSD BF_350'!$AM$13+'TUSD CVA'!$AM$13)*1</f>
        <v>11.598813715831222</v>
      </c>
      <c r="Z40" s="6"/>
      <c r="AA40" s="6"/>
      <c r="AB40" s="6">
        <f>$K$40*$V$40</f>
        <v>0</v>
      </c>
      <c r="AC40" s="6">
        <f>$M$40*$W$40</f>
        <v>0</v>
      </c>
      <c r="AD40" s="6">
        <f>$O$40*$X$40</f>
        <v>0</v>
      </c>
      <c r="AE40" s="6">
        <f ca="1">$K$40*$Y$40</f>
        <v>0</v>
      </c>
      <c r="AF40" s="6">
        <f>$M$40*$Z$40</f>
        <v>0</v>
      </c>
      <c r="AG40" s="6">
        <f>$O$40*$AA$40</f>
        <v>0</v>
      </c>
    </row>
    <row r="41" spans="1:33" ht="11.25" customHeight="1" x14ac:dyDescent="0.3">
      <c r="A41" s="4" t="s">
        <v>21</v>
      </c>
      <c r="B41" s="4" t="s">
        <v>60</v>
      </c>
      <c r="C41" s="4" t="s">
        <v>57</v>
      </c>
      <c r="D41" s="4" t="s">
        <v>25</v>
      </c>
      <c r="E41" s="4" t="s">
        <v>25</v>
      </c>
      <c r="F41" s="4" t="s">
        <v>25</v>
      </c>
      <c r="G41" s="4" t="s">
        <v>61</v>
      </c>
      <c r="H41" s="4" t="s">
        <v>25</v>
      </c>
      <c r="I41" s="5">
        <v>44593</v>
      </c>
      <c r="J41" s="6">
        <v>7800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4" t="s">
        <v>59</v>
      </c>
      <c r="R41" s="4">
        <v>27870</v>
      </c>
      <c r="S41" s="6">
        <v>21</v>
      </c>
      <c r="T41" s="6">
        <v>0</v>
      </c>
      <c r="U41" s="6">
        <v>0</v>
      </c>
      <c r="V41" s="6">
        <f>IF(ISERROR(VLOOKUP($S$41,'TAR FIN'!$A$1:$O$113,15,0)),0,VLOOKUP($S$41,'TAR FIN'!$A$1:$O$113,15,0))</f>
        <v>11.03</v>
      </c>
      <c r="W41" s="6">
        <f>IF(ISERROR(VLOOKUP($T$41,'TAR FIN'!$A$1:$O$113,15,0)),0,VLOOKUP($T$41,'TAR FIN'!$A$1:$O$113,15,0))</f>
        <v>0</v>
      </c>
      <c r="X41" s="6">
        <f>IF(ISERROR(VLOOKUP($U$41,'TAR FIN'!$A$1:$O$113,15,0)),0,VLOOKUP($U$41,'TAR FIN'!$A$1:$O$113,15,0))</f>
        <v>0</v>
      </c>
      <c r="Y41" s="6">
        <f ca="1">('TUSD BE'!$AM$13+'TUSD BF_350'!$AM$13+'TUSD CVA'!$AM$13)*1</f>
        <v>11.598813715831222</v>
      </c>
      <c r="Z41" s="6"/>
      <c r="AA41" s="6"/>
      <c r="AB41" s="6">
        <f>$K$41*$V$41</f>
        <v>0</v>
      </c>
      <c r="AC41" s="6">
        <f>$M$41*$W$41</f>
        <v>0</v>
      </c>
      <c r="AD41" s="6">
        <f>$O$41*$X$41</f>
        <v>0</v>
      </c>
      <c r="AE41" s="6">
        <f ca="1">$K$41*$Y$41</f>
        <v>0</v>
      </c>
      <c r="AF41" s="6">
        <f>$M$41*$Z$41</f>
        <v>0</v>
      </c>
      <c r="AG41" s="6">
        <f>$O$41*$AA$41</f>
        <v>0</v>
      </c>
    </row>
    <row r="42" spans="1:33" ht="11.25" customHeight="1" x14ac:dyDescent="0.3">
      <c r="A42" s="4" t="s">
        <v>21</v>
      </c>
      <c r="B42" s="4" t="s">
        <v>60</v>
      </c>
      <c r="C42" s="4" t="s">
        <v>57</v>
      </c>
      <c r="D42" s="4" t="s">
        <v>25</v>
      </c>
      <c r="E42" s="4" t="s">
        <v>25</v>
      </c>
      <c r="F42" s="4" t="s">
        <v>25</v>
      </c>
      <c r="G42" s="4" t="s">
        <v>61</v>
      </c>
      <c r="H42" s="4" t="s">
        <v>25</v>
      </c>
      <c r="I42" s="5">
        <v>44621</v>
      </c>
      <c r="J42" s="6">
        <v>7800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4" t="s">
        <v>59</v>
      </c>
      <c r="R42" s="4">
        <v>27870</v>
      </c>
      <c r="S42" s="6">
        <v>21</v>
      </c>
      <c r="T42" s="6">
        <v>0</v>
      </c>
      <c r="U42" s="6">
        <v>0</v>
      </c>
      <c r="V42" s="6">
        <f>IF(ISERROR(VLOOKUP($S$42,'TAR FIN'!$A$1:$O$113,15,0)),0,VLOOKUP($S$42,'TAR FIN'!$A$1:$O$113,15,0))</f>
        <v>11.03</v>
      </c>
      <c r="W42" s="6">
        <f>IF(ISERROR(VLOOKUP($T$42,'TAR FIN'!$A$1:$O$113,15,0)),0,VLOOKUP($T$42,'TAR FIN'!$A$1:$O$113,15,0))</f>
        <v>0</v>
      </c>
      <c r="X42" s="6">
        <f>IF(ISERROR(VLOOKUP($U$42,'TAR FIN'!$A$1:$O$113,15,0)),0,VLOOKUP($U$42,'TAR FIN'!$A$1:$O$113,15,0))</f>
        <v>0</v>
      </c>
      <c r="Y42" s="6">
        <f ca="1">('TUSD BE'!$AM$13+'TUSD BF_350'!$AM$13+'TUSD CVA'!$AM$13)*1</f>
        <v>11.598813715831222</v>
      </c>
      <c r="Z42" s="6"/>
      <c r="AA42" s="6"/>
      <c r="AB42" s="6">
        <f>$K$42*$V$42</f>
        <v>0</v>
      </c>
      <c r="AC42" s="6">
        <f>$M$42*$W$42</f>
        <v>0</v>
      </c>
      <c r="AD42" s="6">
        <f>$O$42*$X$42</f>
        <v>0</v>
      </c>
      <c r="AE42" s="6">
        <f ca="1">$K$42*$Y$42</f>
        <v>0</v>
      </c>
      <c r="AF42" s="6">
        <f>$M$42*$Z$42</f>
        <v>0</v>
      </c>
      <c r="AG42" s="6">
        <f>$O$42*$AA$42</f>
        <v>0</v>
      </c>
    </row>
    <row r="43" spans="1:33" ht="11.25" customHeight="1" x14ac:dyDescent="0.3">
      <c r="A43" s="4" t="s">
        <v>21</v>
      </c>
      <c r="B43" s="4" t="s">
        <v>60</v>
      </c>
      <c r="C43" s="4" t="s">
        <v>57</v>
      </c>
      <c r="D43" s="4" t="s">
        <v>25</v>
      </c>
      <c r="E43" s="4" t="s">
        <v>25</v>
      </c>
      <c r="F43" s="4" t="s">
        <v>25</v>
      </c>
      <c r="G43" s="4" t="s">
        <v>61</v>
      </c>
      <c r="H43" s="4" t="s">
        <v>25</v>
      </c>
      <c r="I43" s="5">
        <v>44652</v>
      </c>
      <c r="J43" s="6">
        <v>7800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4" t="s">
        <v>59</v>
      </c>
      <c r="R43" s="4">
        <v>27870</v>
      </c>
      <c r="S43" s="6">
        <v>21</v>
      </c>
      <c r="T43" s="6">
        <v>0</v>
      </c>
      <c r="U43" s="6">
        <v>0</v>
      </c>
      <c r="V43" s="6">
        <f>IF(ISERROR(VLOOKUP($S$43,'TAR FIN'!$A$1:$O$113,15,0)),0,VLOOKUP($S$43,'TAR FIN'!$A$1:$O$113,15,0))</f>
        <v>11.03</v>
      </c>
      <c r="W43" s="6">
        <f>IF(ISERROR(VLOOKUP($T$43,'TAR FIN'!$A$1:$O$113,15,0)),0,VLOOKUP($T$43,'TAR FIN'!$A$1:$O$113,15,0))</f>
        <v>0</v>
      </c>
      <c r="X43" s="6">
        <f>IF(ISERROR(VLOOKUP($U$43,'TAR FIN'!$A$1:$O$113,15,0)),0,VLOOKUP($U$43,'TAR FIN'!$A$1:$O$113,15,0))</f>
        <v>0</v>
      </c>
      <c r="Y43" s="6">
        <f ca="1">('TUSD BE'!$AM$13+'TUSD BF_350'!$AM$13+'TUSD CVA'!$AM$13)*1</f>
        <v>11.598813715831222</v>
      </c>
      <c r="Z43" s="6"/>
      <c r="AA43" s="6"/>
      <c r="AB43" s="6">
        <f>$K$43*$V$43</f>
        <v>0</v>
      </c>
      <c r="AC43" s="6">
        <f>$M$43*$W$43</f>
        <v>0</v>
      </c>
      <c r="AD43" s="6">
        <f>$O$43*$X$43</f>
        <v>0</v>
      </c>
      <c r="AE43" s="6">
        <f ca="1">$K$43*$Y$43</f>
        <v>0</v>
      </c>
      <c r="AF43" s="6">
        <f>$M$43*$Z$43</f>
        <v>0</v>
      </c>
      <c r="AG43" s="6">
        <f>$O$43*$AA$43</f>
        <v>0</v>
      </c>
    </row>
    <row r="44" spans="1:33" ht="11.25" customHeight="1" x14ac:dyDescent="0.3">
      <c r="A44" s="4" t="s">
        <v>21</v>
      </c>
      <c r="B44" s="4" t="s">
        <v>60</v>
      </c>
      <c r="C44" s="4" t="s">
        <v>57</v>
      </c>
      <c r="D44" s="4" t="s">
        <v>25</v>
      </c>
      <c r="E44" s="4" t="s">
        <v>25</v>
      </c>
      <c r="F44" s="4" t="s">
        <v>25</v>
      </c>
      <c r="G44" s="4" t="s">
        <v>61</v>
      </c>
      <c r="H44" s="4" t="s">
        <v>25</v>
      </c>
      <c r="I44" s="5">
        <v>44682</v>
      </c>
      <c r="J44" s="6">
        <v>7800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4" t="s">
        <v>59</v>
      </c>
      <c r="R44" s="4">
        <v>27870</v>
      </c>
      <c r="S44" s="6">
        <v>21</v>
      </c>
      <c r="T44" s="6">
        <v>0</v>
      </c>
      <c r="U44" s="6">
        <v>0</v>
      </c>
      <c r="V44" s="6">
        <f>IF(ISERROR(VLOOKUP($S$44,'TAR FIN'!$A$1:$O$113,15,0)),0,VLOOKUP($S$44,'TAR FIN'!$A$1:$O$113,15,0))</f>
        <v>11.03</v>
      </c>
      <c r="W44" s="6">
        <f>IF(ISERROR(VLOOKUP($T$44,'TAR FIN'!$A$1:$O$113,15,0)),0,VLOOKUP($T$44,'TAR FIN'!$A$1:$O$113,15,0))</f>
        <v>0</v>
      </c>
      <c r="X44" s="6">
        <f>IF(ISERROR(VLOOKUP($U$44,'TAR FIN'!$A$1:$O$113,15,0)),0,VLOOKUP($U$44,'TAR FIN'!$A$1:$O$113,15,0))</f>
        <v>0</v>
      </c>
      <c r="Y44" s="6">
        <f ca="1">('TUSD BE'!$AM$13+'TUSD BF_350'!$AM$13+'TUSD CVA'!$AM$13)*1</f>
        <v>11.598813715831222</v>
      </c>
      <c r="Z44" s="6"/>
      <c r="AA44" s="6"/>
      <c r="AB44" s="6">
        <f>$K$44*$V$44</f>
        <v>0</v>
      </c>
      <c r="AC44" s="6">
        <f>$M$44*$W$44</f>
        <v>0</v>
      </c>
      <c r="AD44" s="6">
        <f>$O$44*$X$44</f>
        <v>0</v>
      </c>
      <c r="AE44" s="6">
        <f ca="1">$K$44*$Y$44</f>
        <v>0</v>
      </c>
      <c r="AF44" s="6">
        <f>$M$44*$Z$44</f>
        <v>0</v>
      </c>
      <c r="AG44" s="6">
        <f>$O$44*$AA$44</f>
        <v>0</v>
      </c>
    </row>
    <row r="45" spans="1:33" ht="11.25" customHeight="1" x14ac:dyDescent="0.3">
      <c r="A45" s="4" t="s">
        <v>21</v>
      </c>
      <c r="B45" s="4" t="s">
        <v>60</v>
      </c>
      <c r="C45" s="4" t="s">
        <v>57</v>
      </c>
      <c r="D45" s="4" t="s">
        <v>25</v>
      </c>
      <c r="E45" s="4" t="s">
        <v>25</v>
      </c>
      <c r="F45" s="4" t="s">
        <v>25</v>
      </c>
      <c r="G45" s="4" t="s">
        <v>61</v>
      </c>
      <c r="H45" s="4" t="s">
        <v>25</v>
      </c>
      <c r="I45" s="5">
        <v>44713</v>
      </c>
      <c r="J45" s="6">
        <v>7800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4" t="s">
        <v>59</v>
      </c>
      <c r="R45" s="4">
        <v>27870</v>
      </c>
      <c r="S45" s="6">
        <v>21</v>
      </c>
      <c r="T45" s="6">
        <v>0</v>
      </c>
      <c r="U45" s="6">
        <v>0</v>
      </c>
      <c r="V45" s="6">
        <f>IF(ISERROR(VLOOKUP($S$45,'TAR FIN'!$A$1:$O$113,15,0)),0,VLOOKUP($S$45,'TAR FIN'!$A$1:$O$113,15,0))</f>
        <v>11.03</v>
      </c>
      <c r="W45" s="6">
        <f>IF(ISERROR(VLOOKUP($T$45,'TAR FIN'!$A$1:$O$113,15,0)),0,VLOOKUP($T$45,'TAR FIN'!$A$1:$O$113,15,0))</f>
        <v>0</v>
      </c>
      <c r="X45" s="6">
        <f>IF(ISERROR(VLOOKUP($U$45,'TAR FIN'!$A$1:$O$113,15,0)),0,VLOOKUP($U$45,'TAR FIN'!$A$1:$O$113,15,0))</f>
        <v>0</v>
      </c>
      <c r="Y45" s="6">
        <f ca="1">('TUSD BE'!$AM$13+'TUSD BF_350'!$AM$13+'TUSD CVA'!$AM$13)*1</f>
        <v>11.598813715831222</v>
      </c>
      <c r="Z45" s="6"/>
      <c r="AA45" s="6"/>
      <c r="AB45" s="6">
        <f>$K$45*$V$45</f>
        <v>0</v>
      </c>
      <c r="AC45" s="6">
        <f>$M$45*$W$45</f>
        <v>0</v>
      </c>
      <c r="AD45" s="6">
        <f>$O$45*$X$45</f>
        <v>0</v>
      </c>
      <c r="AE45" s="6">
        <f ca="1">$K$45*$Y$45</f>
        <v>0</v>
      </c>
      <c r="AF45" s="6">
        <f>$M$45*$Z$45</f>
        <v>0</v>
      </c>
      <c r="AG45" s="6">
        <f>$O$45*$AA$45</f>
        <v>0</v>
      </c>
    </row>
    <row r="46" spans="1:33" ht="11.25" customHeight="1" x14ac:dyDescent="0.3">
      <c r="A46" s="4" t="s">
        <v>21</v>
      </c>
      <c r="B46" s="4" t="s">
        <v>60</v>
      </c>
      <c r="C46" s="4" t="s">
        <v>57</v>
      </c>
      <c r="D46" s="4" t="s">
        <v>25</v>
      </c>
      <c r="E46" s="4" t="s">
        <v>25</v>
      </c>
      <c r="F46" s="4" t="s">
        <v>25</v>
      </c>
      <c r="G46" s="4" t="s">
        <v>61</v>
      </c>
      <c r="H46" s="4" t="s">
        <v>25</v>
      </c>
      <c r="I46" s="5">
        <v>44743</v>
      </c>
      <c r="J46" s="6">
        <v>7800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4" t="s">
        <v>59</v>
      </c>
      <c r="R46" s="4">
        <v>27870</v>
      </c>
      <c r="S46" s="6">
        <v>21</v>
      </c>
      <c r="T46" s="6">
        <v>0</v>
      </c>
      <c r="U46" s="6">
        <v>0</v>
      </c>
      <c r="V46" s="6">
        <f>IF(ISERROR(VLOOKUP($S$46,'TAR FIN'!$A$1:$O$113,15,0)),0,VLOOKUP($S$46,'TAR FIN'!$A$1:$O$113,15,0))</f>
        <v>11.03</v>
      </c>
      <c r="W46" s="6">
        <f>IF(ISERROR(VLOOKUP($T$46,'TAR FIN'!$A$1:$O$113,15,0)),0,VLOOKUP($T$46,'TAR FIN'!$A$1:$O$113,15,0))</f>
        <v>0</v>
      </c>
      <c r="X46" s="6">
        <f>IF(ISERROR(VLOOKUP($U$46,'TAR FIN'!$A$1:$O$113,15,0)),0,VLOOKUP($U$46,'TAR FIN'!$A$1:$O$113,15,0))</f>
        <v>0</v>
      </c>
      <c r="Y46" s="6">
        <f ca="1">('TUSD BE'!$AM$13+'TUSD BF_350'!$AM$13+'TUSD CVA'!$AM$13)*1</f>
        <v>11.598813715831222</v>
      </c>
      <c r="Z46" s="6"/>
      <c r="AA46" s="6"/>
      <c r="AB46" s="6">
        <f>$K$46*$V$46</f>
        <v>0</v>
      </c>
      <c r="AC46" s="6">
        <f>$M$46*$W$46</f>
        <v>0</v>
      </c>
      <c r="AD46" s="6">
        <f>$O$46*$X$46</f>
        <v>0</v>
      </c>
      <c r="AE46" s="6">
        <f ca="1">$K$46*$Y$46</f>
        <v>0</v>
      </c>
      <c r="AF46" s="6">
        <f>$M$46*$Z$46</f>
        <v>0</v>
      </c>
      <c r="AG46" s="6">
        <f>$O$46*$AA$46</f>
        <v>0</v>
      </c>
    </row>
    <row r="47" spans="1:33" ht="11.25" customHeight="1" x14ac:dyDescent="0.3">
      <c r="A47" s="4" t="s">
        <v>21</v>
      </c>
      <c r="B47" s="4" t="s">
        <v>60</v>
      </c>
      <c r="C47" s="4" t="s">
        <v>57</v>
      </c>
      <c r="D47" s="4" t="s">
        <v>25</v>
      </c>
      <c r="E47" s="4" t="s">
        <v>25</v>
      </c>
      <c r="F47" s="4" t="s">
        <v>25</v>
      </c>
      <c r="G47" s="4" t="s">
        <v>61</v>
      </c>
      <c r="H47" s="4" t="s">
        <v>25</v>
      </c>
      <c r="I47" s="5">
        <v>44774</v>
      </c>
      <c r="J47" s="6">
        <v>7800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4" t="s">
        <v>59</v>
      </c>
      <c r="R47" s="4">
        <v>27870</v>
      </c>
      <c r="S47" s="6">
        <v>21</v>
      </c>
      <c r="T47" s="6">
        <v>0</v>
      </c>
      <c r="U47" s="6">
        <v>0</v>
      </c>
      <c r="V47" s="6">
        <f>IF(ISERROR(VLOOKUP($S$47,'TAR FIN'!$A$1:$O$113,15,0)),0,VLOOKUP($S$47,'TAR FIN'!$A$1:$O$113,15,0))</f>
        <v>11.03</v>
      </c>
      <c r="W47" s="6">
        <f>IF(ISERROR(VLOOKUP($T$47,'TAR FIN'!$A$1:$O$113,15,0)),0,VLOOKUP($T$47,'TAR FIN'!$A$1:$O$113,15,0))</f>
        <v>0</v>
      </c>
      <c r="X47" s="6">
        <f>IF(ISERROR(VLOOKUP($U$47,'TAR FIN'!$A$1:$O$113,15,0)),0,VLOOKUP($U$47,'TAR FIN'!$A$1:$O$113,15,0))</f>
        <v>0</v>
      </c>
      <c r="Y47" s="6">
        <f ca="1">('TUSD BE'!$AM$13+'TUSD BF_350'!$AM$13+'TUSD CVA'!$AM$13)*1</f>
        <v>11.598813715831222</v>
      </c>
      <c r="Z47" s="6"/>
      <c r="AA47" s="6"/>
      <c r="AB47" s="6">
        <f>$K$47*$V$47</f>
        <v>0</v>
      </c>
      <c r="AC47" s="6">
        <f>$M$47*$W$47</f>
        <v>0</v>
      </c>
      <c r="AD47" s="6">
        <f>$O$47*$X$47</f>
        <v>0</v>
      </c>
      <c r="AE47" s="6">
        <f ca="1">$K$47*$Y$47</f>
        <v>0</v>
      </c>
      <c r="AF47" s="6">
        <f>$M$47*$Z$47</f>
        <v>0</v>
      </c>
      <c r="AG47" s="6">
        <f>$O$47*$AA$47</f>
        <v>0</v>
      </c>
    </row>
    <row r="48" spans="1:33" ht="11.25" customHeight="1" x14ac:dyDescent="0.3">
      <c r="A48" s="4" t="s">
        <v>21</v>
      </c>
      <c r="B48" s="4" t="s">
        <v>60</v>
      </c>
      <c r="C48" s="4" t="s">
        <v>57</v>
      </c>
      <c r="D48" s="4" t="s">
        <v>25</v>
      </c>
      <c r="E48" s="4" t="s">
        <v>25</v>
      </c>
      <c r="F48" s="4" t="s">
        <v>25</v>
      </c>
      <c r="G48" s="4" t="s">
        <v>61</v>
      </c>
      <c r="H48" s="4" t="s">
        <v>25</v>
      </c>
      <c r="I48" s="5">
        <v>44805</v>
      </c>
      <c r="J48" s="6">
        <v>7800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4" t="s">
        <v>59</v>
      </c>
      <c r="R48" s="4">
        <v>27870</v>
      </c>
      <c r="S48" s="6">
        <v>21</v>
      </c>
      <c r="T48" s="6">
        <v>0</v>
      </c>
      <c r="U48" s="6">
        <v>0</v>
      </c>
      <c r="V48" s="6">
        <f>IF(ISERROR(VLOOKUP($S$48,'TAR FIN'!$A$1:$O$113,15,0)),0,VLOOKUP($S$48,'TAR FIN'!$A$1:$O$113,15,0))</f>
        <v>11.03</v>
      </c>
      <c r="W48" s="6">
        <f>IF(ISERROR(VLOOKUP($T$48,'TAR FIN'!$A$1:$O$113,15,0)),0,VLOOKUP($T$48,'TAR FIN'!$A$1:$O$113,15,0))</f>
        <v>0</v>
      </c>
      <c r="X48" s="6">
        <f>IF(ISERROR(VLOOKUP($U$48,'TAR FIN'!$A$1:$O$113,15,0)),0,VLOOKUP($U$48,'TAR FIN'!$A$1:$O$113,15,0))</f>
        <v>0</v>
      </c>
      <c r="Y48" s="6">
        <f ca="1">('TUSD BE'!$AM$13+'TUSD BF_350'!$AM$13+'TUSD CVA'!$AM$13)*1</f>
        <v>11.598813715831222</v>
      </c>
      <c r="Z48" s="6"/>
      <c r="AA48" s="6"/>
      <c r="AB48" s="6">
        <f>$K$48*$V$48</f>
        <v>0</v>
      </c>
      <c r="AC48" s="6">
        <f>$M$48*$W$48</f>
        <v>0</v>
      </c>
      <c r="AD48" s="6">
        <f>$O$48*$X$48</f>
        <v>0</v>
      </c>
      <c r="AE48" s="6">
        <f ca="1">$K$48*$Y$48</f>
        <v>0</v>
      </c>
      <c r="AF48" s="6">
        <f>$M$48*$Z$48</f>
        <v>0</v>
      </c>
      <c r="AG48" s="6">
        <f>$O$48*$AA$48</f>
        <v>0</v>
      </c>
    </row>
    <row r="49" spans="1:33" ht="11.25" customHeight="1" x14ac:dyDescent="0.3">
      <c r="A49" s="4" t="s">
        <v>53</v>
      </c>
      <c r="B49" s="4" t="s">
        <v>60</v>
      </c>
      <c r="C49" s="4" t="s">
        <v>57</v>
      </c>
      <c r="D49" s="4" t="s">
        <v>25</v>
      </c>
      <c r="E49" s="4" t="s">
        <v>25</v>
      </c>
      <c r="F49" s="4" t="s">
        <v>25</v>
      </c>
      <c r="G49" s="4" t="s">
        <v>61</v>
      </c>
      <c r="H49" s="4" t="s">
        <v>25</v>
      </c>
      <c r="I49" s="5">
        <v>44835</v>
      </c>
      <c r="J49" s="6">
        <v>7800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4" t="s">
        <v>59</v>
      </c>
      <c r="R49" s="4">
        <v>27870</v>
      </c>
      <c r="S49" s="6">
        <v>21</v>
      </c>
      <c r="T49" s="6">
        <v>0</v>
      </c>
      <c r="U49" s="6">
        <v>0</v>
      </c>
      <c r="V49" s="6">
        <f>IF(ISERROR(VLOOKUP($S$49,'TAR FIN'!$A$1:$O$113,15,0)),0,VLOOKUP($S$49,'TAR FIN'!$A$1:$O$113,15,0))</f>
        <v>11.03</v>
      </c>
      <c r="W49" s="6">
        <f>IF(ISERROR(VLOOKUP($T$49,'TAR FIN'!$A$1:$O$113,15,0)),0,VLOOKUP($T$49,'TAR FIN'!$A$1:$O$113,15,0))</f>
        <v>0</v>
      </c>
      <c r="X49" s="6">
        <f>IF(ISERROR(VLOOKUP($U$49,'TAR FIN'!$A$1:$O$113,15,0)),0,VLOOKUP($U$49,'TAR FIN'!$A$1:$O$113,15,0))</f>
        <v>0</v>
      </c>
      <c r="Y49" s="6">
        <f ca="1">('TUSD BE'!$AM$13+'TUSD BF_350'!$AM$13+'TUSD CVA'!$AM$13)*1</f>
        <v>11.598813715831222</v>
      </c>
      <c r="Z49" s="6"/>
      <c r="AA49" s="6"/>
      <c r="AB49" s="6">
        <f>$K$49*$V$49</f>
        <v>0</v>
      </c>
      <c r="AC49" s="6">
        <f>$M$49*$W$49</f>
        <v>0</v>
      </c>
      <c r="AD49" s="6">
        <f>$O$49*$X$49</f>
        <v>0</v>
      </c>
      <c r="AE49" s="6">
        <f ca="1">$K$49*$Y$49</f>
        <v>0</v>
      </c>
      <c r="AF49" s="6">
        <f>$M$49*$Z$49</f>
        <v>0</v>
      </c>
      <c r="AG49" s="6">
        <f>$O$49*$AA$49</f>
        <v>0</v>
      </c>
    </row>
    <row r="50" spans="1:33" ht="11.25" customHeight="1" x14ac:dyDescent="0.3">
      <c r="A50" s="4" t="s">
        <v>21</v>
      </c>
      <c r="B50" s="4" t="s">
        <v>39</v>
      </c>
      <c r="C50" s="4" t="s">
        <v>40</v>
      </c>
      <c r="D50" s="4" t="s">
        <v>42</v>
      </c>
      <c r="E50" s="4" t="s">
        <v>25</v>
      </c>
      <c r="F50" s="4" t="s">
        <v>25</v>
      </c>
      <c r="G50" s="4" t="s">
        <v>25</v>
      </c>
      <c r="H50" s="4" t="s">
        <v>35</v>
      </c>
      <c r="I50" s="5">
        <v>44501</v>
      </c>
      <c r="J50" s="6">
        <v>1977</v>
      </c>
      <c r="K50" s="6">
        <v>1977</v>
      </c>
      <c r="L50" s="6">
        <v>639.19299999999998</v>
      </c>
      <c r="M50" s="6">
        <v>639.19299999999998</v>
      </c>
      <c r="N50" s="6">
        <v>639.19299999999998</v>
      </c>
      <c r="O50" s="6">
        <v>639.19299999999998</v>
      </c>
      <c r="P50" s="6">
        <v>0</v>
      </c>
      <c r="Q50" s="4" t="s">
        <v>26</v>
      </c>
      <c r="R50" s="4">
        <v>0</v>
      </c>
      <c r="S50" s="6">
        <v>22</v>
      </c>
      <c r="T50" s="6">
        <v>12</v>
      </c>
      <c r="U50" s="6">
        <v>61</v>
      </c>
      <c r="V50" s="6">
        <f>IF(ISERROR(VLOOKUP($S$50,'TAR FIN'!$A$1:$O$113,15,0)),0,VLOOKUP($S$50,'TAR FIN'!$A$1:$O$113,15,0))</f>
        <v>14</v>
      </c>
      <c r="W50" s="6">
        <f>IF(ISERROR(VLOOKUP($T$50,'TAR FIN'!$A$1:$O$113,15,0)),0,VLOOKUP($T$50,'TAR FIN'!$A$1:$O$113,15,0))</f>
        <v>72.150000000000006</v>
      </c>
      <c r="X50" s="6">
        <f>IF(ISERROR(VLOOKUP($U$50,'TAR FIN'!$A$1:$O$113,15,0)),0,VLOOKUP($U$50,'TAR FIN'!$A$1:$O$113,15,0))</f>
        <v>278.67</v>
      </c>
      <c r="Y50" s="6">
        <f ca="1">('TUSD BE'!$AM$15+'TUSD BF_350'!$AM$15+'TUSD CVA'!$AM$15)*1</f>
        <v>16.035953923331604</v>
      </c>
      <c r="Z50" s="6">
        <f ca="1">('TUSD BE'!$AM$16+'TUSD BF_350'!$AM$16+'TUSD CVA'!$AM$16)*1</f>
        <v>122.14055331663396</v>
      </c>
      <c r="AA50" s="6">
        <f ca="1">('TE BE'!$AB$10+'TE BF_350'!$AB$10+'TE CVA'!$AB$10)*1</f>
        <v>231.69</v>
      </c>
      <c r="AB50" s="6">
        <f>$K$50*$V$50</f>
        <v>27678</v>
      </c>
      <c r="AC50" s="6">
        <f>$M$50*$W$50</f>
        <v>46117.774949999999</v>
      </c>
      <c r="AD50" s="6">
        <f>$O$50*$X$50</f>
        <v>178123.91331</v>
      </c>
      <c r="AE50" s="6">
        <f ca="1">$K$50*$Y$50</f>
        <v>31703.080906426581</v>
      </c>
      <c r="AF50" s="6">
        <f ca="1">$M$50*$Z$50</f>
        <v>78071.386696119211</v>
      </c>
      <c r="AG50" s="6">
        <f ca="1">$O$50*$AA$50</f>
        <v>148094.62617</v>
      </c>
    </row>
    <row r="51" spans="1:33" ht="11.25" customHeight="1" x14ac:dyDescent="0.3">
      <c r="A51" s="4" t="s">
        <v>21</v>
      </c>
      <c r="B51" s="4" t="s">
        <v>39</v>
      </c>
      <c r="C51" s="4" t="s">
        <v>40</v>
      </c>
      <c r="D51" s="4" t="s">
        <v>42</v>
      </c>
      <c r="E51" s="4" t="s">
        <v>25</v>
      </c>
      <c r="F51" s="4" t="s">
        <v>25</v>
      </c>
      <c r="G51" s="4" t="s">
        <v>25</v>
      </c>
      <c r="H51" s="4" t="s">
        <v>35</v>
      </c>
      <c r="I51" s="5">
        <v>44531</v>
      </c>
      <c r="J51" s="6">
        <v>1979</v>
      </c>
      <c r="K51" s="6">
        <v>1979</v>
      </c>
      <c r="L51" s="6">
        <v>638.04600000000005</v>
      </c>
      <c r="M51" s="6">
        <v>638.04600000000005</v>
      </c>
      <c r="N51" s="6">
        <v>638.04600000000005</v>
      </c>
      <c r="O51" s="6">
        <v>638.04600000000005</v>
      </c>
      <c r="P51" s="6">
        <v>0</v>
      </c>
      <c r="Q51" s="4" t="s">
        <v>26</v>
      </c>
      <c r="R51" s="4">
        <v>0</v>
      </c>
      <c r="S51" s="6">
        <v>22</v>
      </c>
      <c r="T51" s="6">
        <v>12</v>
      </c>
      <c r="U51" s="6">
        <v>61</v>
      </c>
      <c r="V51" s="6">
        <f>IF(ISERROR(VLOOKUP($S$51,'TAR FIN'!$A$1:$O$113,15,0)),0,VLOOKUP($S$51,'TAR FIN'!$A$1:$O$113,15,0))</f>
        <v>14</v>
      </c>
      <c r="W51" s="6">
        <f>IF(ISERROR(VLOOKUP($T$51,'TAR FIN'!$A$1:$O$113,15,0)),0,VLOOKUP($T$51,'TAR FIN'!$A$1:$O$113,15,0))</f>
        <v>72.150000000000006</v>
      </c>
      <c r="X51" s="6">
        <f>IF(ISERROR(VLOOKUP($U$51,'TAR FIN'!$A$1:$O$113,15,0)),0,VLOOKUP($U$51,'TAR FIN'!$A$1:$O$113,15,0))</f>
        <v>278.67</v>
      </c>
      <c r="Y51" s="6">
        <f ca="1">('TUSD BE'!$AM$15+'TUSD BF_350'!$AM$15+'TUSD CVA'!$AM$15)*1</f>
        <v>16.035953923331604</v>
      </c>
      <c r="Z51" s="6">
        <f ca="1">('TUSD BE'!$AM$16+'TUSD BF_350'!$AM$16+'TUSD CVA'!$AM$16)*1</f>
        <v>122.14055331663396</v>
      </c>
      <c r="AA51" s="6">
        <f ca="1">('TE BE'!$AB$10+'TE BF_350'!$AB$10+'TE CVA'!$AB$10)*1</f>
        <v>231.69</v>
      </c>
      <c r="AB51" s="6">
        <f>$K$51*$V$51</f>
        <v>27706</v>
      </c>
      <c r="AC51" s="6">
        <f>$M$51*$W$51</f>
        <v>46035.01890000001</v>
      </c>
      <c r="AD51" s="6">
        <f>$O$51*$X$51</f>
        <v>177804.27882000004</v>
      </c>
      <c r="AE51" s="6">
        <f ca="1">$K$51*$Y$51</f>
        <v>31735.152814273246</v>
      </c>
      <c r="AF51" s="6">
        <f ca="1">$M$51*$Z$51</f>
        <v>77931.291481465028</v>
      </c>
      <c r="AG51" s="6">
        <f ca="1">$O$51*$AA$51</f>
        <v>147828.87774</v>
      </c>
    </row>
    <row r="52" spans="1:33" ht="11.25" customHeight="1" x14ac:dyDescent="0.3">
      <c r="A52" s="4" t="s">
        <v>21</v>
      </c>
      <c r="B52" s="4" t="s">
        <v>39</v>
      </c>
      <c r="C52" s="4" t="s">
        <v>40</v>
      </c>
      <c r="D52" s="4" t="s">
        <v>42</v>
      </c>
      <c r="E52" s="4" t="s">
        <v>25</v>
      </c>
      <c r="F52" s="4" t="s">
        <v>25</v>
      </c>
      <c r="G52" s="4" t="s">
        <v>25</v>
      </c>
      <c r="H52" s="4" t="s">
        <v>35</v>
      </c>
      <c r="I52" s="5">
        <v>44562</v>
      </c>
      <c r="J52" s="6">
        <v>1989</v>
      </c>
      <c r="K52" s="6">
        <v>1989</v>
      </c>
      <c r="L52" s="6">
        <v>642.05899999999997</v>
      </c>
      <c r="M52" s="6">
        <v>642.05899999999997</v>
      </c>
      <c r="N52" s="6">
        <v>642.05899999999997</v>
      </c>
      <c r="O52" s="6">
        <v>642.05899999999997</v>
      </c>
      <c r="P52" s="6">
        <v>0</v>
      </c>
      <c r="Q52" s="4" t="s">
        <v>26</v>
      </c>
      <c r="R52" s="4">
        <v>0</v>
      </c>
      <c r="S52" s="6">
        <v>22</v>
      </c>
      <c r="T52" s="6">
        <v>12</v>
      </c>
      <c r="U52" s="6">
        <v>61</v>
      </c>
      <c r="V52" s="6">
        <f>IF(ISERROR(VLOOKUP($S$52,'TAR FIN'!$A$1:$O$113,15,0)),0,VLOOKUP($S$52,'TAR FIN'!$A$1:$O$113,15,0))</f>
        <v>14</v>
      </c>
      <c r="W52" s="6">
        <f>IF(ISERROR(VLOOKUP($T$52,'TAR FIN'!$A$1:$O$113,15,0)),0,VLOOKUP($T$52,'TAR FIN'!$A$1:$O$113,15,0))</f>
        <v>72.150000000000006</v>
      </c>
      <c r="X52" s="6">
        <f>IF(ISERROR(VLOOKUP($U$52,'TAR FIN'!$A$1:$O$113,15,0)),0,VLOOKUP($U$52,'TAR FIN'!$A$1:$O$113,15,0))</f>
        <v>278.67</v>
      </c>
      <c r="Y52" s="6">
        <f ca="1">('TUSD BE'!$AM$15+'TUSD BF_350'!$AM$15+'TUSD CVA'!$AM$15)*1</f>
        <v>16.035953923331604</v>
      </c>
      <c r="Z52" s="6">
        <f ca="1">('TUSD BE'!$AM$16+'TUSD BF_350'!$AM$16+'TUSD CVA'!$AM$16)*1</f>
        <v>122.14055331663396</v>
      </c>
      <c r="AA52" s="6">
        <f ca="1">('TE BE'!$AB$10+'TE BF_350'!$AB$10+'TE CVA'!$AB$10)*1</f>
        <v>231.69</v>
      </c>
      <c r="AB52" s="6">
        <f>$K$52*$V$52</f>
        <v>27846</v>
      </c>
      <c r="AC52" s="6">
        <f>$M$52*$W$52</f>
        <v>46324.556850000001</v>
      </c>
      <c r="AD52" s="6">
        <f>$O$52*$X$52</f>
        <v>178922.58153</v>
      </c>
      <c r="AE52" s="6">
        <f ca="1">$K$52*$Y$52</f>
        <v>31895.512353506561</v>
      </c>
      <c r="AF52" s="6">
        <f ca="1">$M$52*$Z$52</f>
        <v>78421.441521924673</v>
      </c>
      <c r="AG52" s="6">
        <f ca="1">$O$52*$AA$52</f>
        <v>148758.64971</v>
      </c>
    </row>
    <row r="53" spans="1:33" ht="11.25" customHeight="1" x14ac:dyDescent="0.3">
      <c r="A53" s="4" t="s">
        <v>21</v>
      </c>
      <c r="B53" s="4" t="s">
        <v>39</v>
      </c>
      <c r="C53" s="4" t="s">
        <v>40</v>
      </c>
      <c r="D53" s="4" t="s">
        <v>42</v>
      </c>
      <c r="E53" s="4" t="s">
        <v>25</v>
      </c>
      <c r="F53" s="4" t="s">
        <v>25</v>
      </c>
      <c r="G53" s="4" t="s">
        <v>25</v>
      </c>
      <c r="H53" s="4" t="s">
        <v>35</v>
      </c>
      <c r="I53" s="5">
        <v>44593</v>
      </c>
      <c r="J53" s="6">
        <v>1968</v>
      </c>
      <c r="K53" s="6">
        <v>1968</v>
      </c>
      <c r="L53" s="6">
        <v>643.41999999999996</v>
      </c>
      <c r="M53" s="6">
        <v>643.41999999999996</v>
      </c>
      <c r="N53" s="6">
        <v>643.41999999999996</v>
      </c>
      <c r="O53" s="6">
        <v>643.41999999999996</v>
      </c>
      <c r="P53" s="6">
        <v>0</v>
      </c>
      <c r="Q53" s="4" t="s">
        <v>26</v>
      </c>
      <c r="R53" s="4">
        <v>0</v>
      </c>
      <c r="S53" s="6">
        <v>22</v>
      </c>
      <c r="T53" s="6">
        <v>12</v>
      </c>
      <c r="U53" s="6">
        <v>61</v>
      </c>
      <c r="V53" s="6">
        <f>IF(ISERROR(VLOOKUP($S$53,'TAR FIN'!$A$1:$O$113,15,0)),0,VLOOKUP($S$53,'TAR FIN'!$A$1:$O$113,15,0))</f>
        <v>14</v>
      </c>
      <c r="W53" s="6">
        <f>IF(ISERROR(VLOOKUP($T$53,'TAR FIN'!$A$1:$O$113,15,0)),0,VLOOKUP($T$53,'TAR FIN'!$A$1:$O$113,15,0))</f>
        <v>72.150000000000006</v>
      </c>
      <c r="X53" s="6">
        <f>IF(ISERROR(VLOOKUP($U$53,'TAR FIN'!$A$1:$O$113,15,0)),0,VLOOKUP($U$53,'TAR FIN'!$A$1:$O$113,15,0))</f>
        <v>278.67</v>
      </c>
      <c r="Y53" s="6">
        <f ca="1">('TUSD BE'!$AM$15+'TUSD BF_350'!$AM$15+'TUSD CVA'!$AM$15)*1</f>
        <v>16.035953923331604</v>
      </c>
      <c r="Z53" s="6">
        <f ca="1">('TUSD BE'!$AM$16+'TUSD BF_350'!$AM$16+'TUSD CVA'!$AM$16)*1</f>
        <v>122.14055331663396</v>
      </c>
      <c r="AA53" s="6">
        <f ca="1">('TE BE'!$AB$10+'TE BF_350'!$AB$10+'TE CVA'!$AB$10)*1</f>
        <v>231.69</v>
      </c>
      <c r="AB53" s="6">
        <f>$K$53*$V$53</f>
        <v>27552</v>
      </c>
      <c r="AC53" s="6">
        <f>$M$53*$W$53</f>
        <v>46422.753000000004</v>
      </c>
      <c r="AD53" s="6">
        <f>$O$53*$X$53</f>
        <v>179301.85139999999</v>
      </c>
      <c r="AE53" s="6">
        <f ca="1">$K$53*$Y$53</f>
        <v>31558.757321116598</v>
      </c>
      <c r="AF53" s="6">
        <f ca="1">$M$53*$Z$53</f>
        <v>78587.674814988612</v>
      </c>
      <c r="AG53" s="6">
        <f ca="1">$O$53*$AA$53</f>
        <v>149073.9798</v>
      </c>
    </row>
    <row r="54" spans="1:33" ht="11.25" customHeight="1" x14ac:dyDescent="0.3">
      <c r="A54" s="4" t="s">
        <v>21</v>
      </c>
      <c r="B54" s="4" t="s">
        <v>39</v>
      </c>
      <c r="C54" s="4" t="s">
        <v>40</v>
      </c>
      <c r="D54" s="4" t="s">
        <v>42</v>
      </c>
      <c r="E54" s="4" t="s">
        <v>25</v>
      </c>
      <c r="F54" s="4" t="s">
        <v>25</v>
      </c>
      <c r="G54" s="4" t="s">
        <v>25</v>
      </c>
      <c r="H54" s="4" t="s">
        <v>35</v>
      </c>
      <c r="I54" s="5">
        <v>44621</v>
      </c>
      <c r="J54" s="6">
        <v>1991</v>
      </c>
      <c r="K54" s="6">
        <v>1991</v>
      </c>
      <c r="L54" s="6">
        <v>601.35699999999997</v>
      </c>
      <c r="M54" s="6">
        <v>601.35699999999997</v>
      </c>
      <c r="N54" s="6">
        <v>601.35699999999997</v>
      </c>
      <c r="O54" s="6">
        <v>601.35699999999997</v>
      </c>
      <c r="P54" s="6">
        <v>0</v>
      </c>
      <c r="Q54" s="4" t="s">
        <v>26</v>
      </c>
      <c r="R54" s="4">
        <v>0</v>
      </c>
      <c r="S54" s="6">
        <v>22</v>
      </c>
      <c r="T54" s="6">
        <v>12</v>
      </c>
      <c r="U54" s="6">
        <v>61</v>
      </c>
      <c r="V54" s="6">
        <f>IF(ISERROR(VLOOKUP($S$54,'TAR FIN'!$A$1:$O$113,15,0)),0,VLOOKUP($S$54,'TAR FIN'!$A$1:$O$113,15,0))</f>
        <v>14</v>
      </c>
      <c r="W54" s="6">
        <f>IF(ISERROR(VLOOKUP($T$54,'TAR FIN'!$A$1:$O$113,15,0)),0,VLOOKUP($T$54,'TAR FIN'!$A$1:$O$113,15,0))</f>
        <v>72.150000000000006</v>
      </c>
      <c r="X54" s="6">
        <f>IF(ISERROR(VLOOKUP($U$54,'TAR FIN'!$A$1:$O$113,15,0)),0,VLOOKUP($U$54,'TAR FIN'!$A$1:$O$113,15,0))</f>
        <v>278.67</v>
      </c>
      <c r="Y54" s="6">
        <f ca="1">('TUSD BE'!$AM$15+'TUSD BF_350'!$AM$15+'TUSD CVA'!$AM$15)*1</f>
        <v>16.035953923331604</v>
      </c>
      <c r="Z54" s="6">
        <f ca="1">('TUSD BE'!$AM$16+'TUSD BF_350'!$AM$16+'TUSD CVA'!$AM$16)*1</f>
        <v>122.14055331663396</v>
      </c>
      <c r="AA54" s="6">
        <f ca="1">('TE BE'!$AB$10+'TE BF_350'!$AB$10+'TE CVA'!$AB$10)*1</f>
        <v>231.69</v>
      </c>
      <c r="AB54" s="6">
        <f>$K$54*$V$54</f>
        <v>27874</v>
      </c>
      <c r="AC54" s="6">
        <f>$M$54*$W$54</f>
        <v>43387.907550000004</v>
      </c>
      <c r="AD54" s="6">
        <f>$O$54*$X$54</f>
        <v>167580.15518999999</v>
      </c>
      <c r="AE54" s="6">
        <f ca="1">$K$54*$Y$54</f>
        <v>31927.584261353222</v>
      </c>
      <c r="AF54" s="6">
        <f ca="1">$M$54*$Z$54</f>
        <v>73450.076720831043</v>
      </c>
      <c r="AG54" s="6">
        <f ca="1">$O$54*$AA$54</f>
        <v>139328.40333</v>
      </c>
    </row>
    <row r="55" spans="1:33" ht="11.25" customHeight="1" x14ac:dyDescent="0.3">
      <c r="A55" s="4" t="s">
        <v>21</v>
      </c>
      <c r="B55" s="4" t="s">
        <v>39</v>
      </c>
      <c r="C55" s="4" t="s">
        <v>40</v>
      </c>
      <c r="D55" s="4" t="s">
        <v>42</v>
      </c>
      <c r="E55" s="4" t="s">
        <v>25</v>
      </c>
      <c r="F55" s="4" t="s">
        <v>25</v>
      </c>
      <c r="G55" s="4" t="s">
        <v>25</v>
      </c>
      <c r="H55" s="4" t="s">
        <v>35</v>
      </c>
      <c r="I55" s="5">
        <v>44652</v>
      </c>
      <c r="J55" s="6">
        <v>2006</v>
      </c>
      <c r="K55" s="6">
        <v>2006</v>
      </c>
      <c r="L55" s="6">
        <v>688.48900000000003</v>
      </c>
      <c r="M55" s="6">
        <v>688.48900000000003</v>
      </c>
      <c r="N55" s="6">
        <v>688.48900000000003</v>
      </c>
      <c r="O55" s="6">
        <v>688.48900000000003</v>
      </c>
      <c r="P55" s="6">
        <v>0</v>
      </c>
      <c r="Q55" s="4" t="s">
        <v>26</v>
      </c>
      <c r="R55" s="4">
        <v>0</v>
      </c>
      <c r="S55" s="6">
        <v>22</v>
      </c>
      <c r="T55" s="6">
        <v>12</v>
      </c>
      <c r="U55" s="6">
        <v>61</v>
      </c>
      <c r="V55" s="6">
        <f>IF(ISERROR(VLOOKUP($S$55,'TAR FIN'!$A$1:$O$113,15,0)),0,VLOOKUP($S$55,'TAR FIN'!$A$1:$O$113,15,0))</f>
        <v>14</v>
      </c>
      <c r="W55" s="6">
        <f>IF(ISERROR(VLOOKUP($T$55,'TAR FIN'!$A$1:$O$113,15,0)),0,VLOOKUP($T$55,'TAR FIN'!$A$1:$O$113,15,0))</f>
        <v>72.150000000000006</v>
      </c>
      <c r="X55" s="6">
        <f>IF(ISERROR(VLOOKUP($U$55,'TAR FIN'!$A$1:$O$113,15,0)),0,VLOOKUP($U$55,'TAR FIN'!$A$1:$O$113,15,0))</f>
        <v>278.67</v>
      </c>
      <c r="Y55" s="6">
        <f ca="1">('TUSD BE'!$AM$15+'TUSD BF_350'!$AM$15+'TUSD CVA'!$AM$15)*1</f>
        <v>16.035953923331604</v>
      </c>
      <c r="Z55" s="6">
        <f ca="1">('TUSD BE'!$AM$16+'TUSD BF_350'!$AM$16+'TUSD CVA'!$AM$16)*1</f>
        <v>122.14055331663396</v>
      </c>
      <c r="AA55" s="6">
        <f ca="1">('TE BE'!$AB$10+'TE BF_350'!$AB$10+'TE CVA'!$AB$10)*1</f>
        <v>231.69</v>
      </c>
      <c r="AB55" s="6">
        <f>$K$55*$V$55</f>
        <v>28084</v>
      </c>
      <c r="AC55" s="6">
        <f>$M$55*$W$55</f>
        <v>49674.481350000009</v>
      </c>
      <c r="AD55" s="6">
        <f>$O$55*$X$55</f>
        <v>191861.22963000002</v>
      </c>
      <c r="AE55" s="6">
        <f ca="1">$K$55*$Y$55</f>
        <v>32168.123570203199</v>
      </c>
      <c r="AF55" s="6">
        <f ca="1">$M$55*$Z$55</f>
        <v>84092.427412416</v>
      </c>
      <c r="AG55" s="6">
        <f ca="1">$O$55*$AA$55</f>
        <v>159516.01641000001</v>
      </c>
    </row>
    <row r="56" spans="1:33" ht="11.25" customHeight="1" x14ac:dyDescent="0.3">
      <c r="A56" s="4" t="s">
        <v>21</v>
      </c>
      <c r="B56" s="4" t="s">
        <v>39</v>
      </c>
      <c r="C56" s="4" t="s">
        <v>40</v>
      </c>
      <c r="D56" s="4" t="s">
        <v>42</v>
      </c>
      <c r="E56" s="4" t="s">
        <v>25</v>
      </c>
      <c r="F56" s="4" t="s">
        <v>25</v>
      </c>
      <c r="G56" s="4" t="s">
        <v>25</v>
      </c>
      <c r="H56" s="4" t="s">
        <v>35</v>
      </c>
      <c r="I56" s="5">
        <v>44682</v>
      </c>
      <c r="J56" s="6">
        <v>1992</v>
      </c>
      <c r="K56" s="6">
        <v>1992</v>
      </c>
      <c r="L56" s="6">
        <v>635.53399999999999</v>
      </c>
      <c r="M56" s="6">
        <v>635.53399999999999</v>
      </c>
      <c r="N56" s="6">
        <v>635.53399999999999</v>
      </c>
      <c r="O56" s="6">
        <v>635.53399999999999</v>
      </c>
      <c r="P56" s="6">
        <v>0</v>
      </c>
      <c r="Q56" s="4" t="s">
        <v>26</v>
      </c>
      <c r="R56" s="4">
        <v>0</v>
      </c>
      <c r="S56" s="6">
        <v>22</v>
      </c>
      <c r="T56" s="6">
        <v>12</v>
      </c>
      <c r="U56" s="6">
        <v>61</v>
      </c>
      <c r="V56" s="6">
        <f>IF(ISERROR(VLOOKUP($S$56,'TAR FIN'!$A$1:$O$113,15,0)),0,VLOOKUP($S$56,'TAR FIN'!$A$1:$O$113,15,0))</f>
        <v>14</v>
      </c>
      <c r="W56" s="6">
        <f>IF(ISERROR(VLOOKUP($T$56,'TAR FIN'!$A$1:$O$113,15,0)),0,VLOOKUP($T$56,'TAR FIN'!$A$1:$O$113,15,0))</f>
        <v>72.150000000000006</v>
      </c>
      <c r="X56" s="6">
        <f>IF(ISERROR(VLOOKUP($U$56,'TAR FIN'!$A$1:$O$113,15,0)),0,VLOOKUP($U$56,'TAR FIN'!$A$1:$O$113,15,0))</f>
        <v>278.67</v>
      </c>
      <c r="Y56" s="6">
        <f ca="1">('TUSD BE'!$AM$15+'TUSD BF_350'!$AM$15+'TUSD CVA'!$AM$15)*1</f>
        <v>16.035953923331604</v>
      </c>
      <c r="Z56" s="6">
        <f ca="1">('TUSD BE'!$AM$16+'TUSD BF_350'!$AM$16+'TUSD CVA'!$AM$16)*1</f>
        <v>122.14055331663396</v>
      </c>
      <c r="AA56" s="6">
        <f ca="1">('TE BE'!$AB$10+'TE BF_350'!$AB$10+'TE CVA'!$AB$10)*1</f>
        <v>231.69</v>
      </c>
      <c r="AB56" s="6">
        <f>$K$56*$V$56</f>
        <v>27888</v>
      </c>
      <c r="AC56" s="6">
        <f>$M$56*$W$56</f>
        <v>45853.778100000003</v>
      </c>
      <c r="AD56" s="6">
        <f>$O$56*$X$56</f>
        <v>177104.25978000002</v>
      </c>
      <c r="AE56" s="6">
        <f ca="1">$K$56*$Y$56</f>
        <v>31943.620215276555</v>
      </c>
      <c r="AF56" s="6">
        <f ca="1">$M$56*$Z$56</f>
        <v>77624.474411533636</v>
      </c>
      <c r="AG56" s="6">
        <f ca="1">$O$56*$AA$56</f>
        <v>147246.87245999998</v>
      </c>
    </row>
    <row r="57" spans="1:33" ht="11.25" customHeight="1" x14ac:dyDescent="0.3">
      <c r="A57" s="4" t="s">
        <v>21</v>
      </c>
      <c r="B57" s="4" t="s">
        <v>39</v>
      </c>
      <c r="C57" s="4" t="s">
        <v>40</v>
      </c>
      <c r="D57" s="4" t="s">
        <v>42</v>
      </c>
      <c r="E57" s="4" t="s">
        <v>25</v>
      </c>
      <c r="F57" s="4" t="s">
        <v>25</v>
      </c>
      <c r="G57" s="4" t="s">
        <v>25</v>
      </c>
      <c r="H57" s="4" t="s">
        <v>35</v>
      </c>
      <c r="I57" s="5">
        <v>44713</v>
      </c>
      <c r="J57" s="6">
        <v>1976</v>
      </c>
      <c r="K57" s="6">
        <v>1976</v>
      </c>
      <c r="L57" s="6">
        <v>608.31899999999996</v>
      </c>
      <c r="M57" s="6">
        <v>608.31899999999996</v>
      </c>
      <c r="N57" s="6">
        <v>608.31899999999996</v>
      </c>
      <c r="O57" s="6">
        <v>608.31899999999996</v>
      </c>
      <c r="P57" s="6">
        <v>0</v>
      </c>
      <c r="Q57" s="4" t="s">
        <v>26</v>
      </c>
      <c r="R57" s="4">
        <v>0</v>
      </c>
      <c r="S57" s="6">
        <v>22</v>
      </c>
      <c r="T57" s="6">
        <v>12</v>
      </c>
      <c r="U57" s="6">
        <v>61</v>
      </c>
      <c r="V57" s="6">
        <f>IF(ISERROR(VLOOKUP($S$57,'TAR FIN'!$A$1:$O$113,15,0)),0,VLOOKUP($S$57,'TAR FIN'!$A$1:$O$113,15,0))</f>
        <v>14</v>
      </c>
      <c r="W57" s="6">
        <f>IF(ISERROR(VLOOKUP($T$57,'TAR FIN'!$A$1:$O$113,15,0)),0,VLOOKUP($T$57,'TAR FIN'!$A$1:$O$113,15,0))</f>
        <v>72.150000000000006</v>
      </c>
      <c r="X57" s="6">
        <f>IF(ISERROR(VLOOKUP($U$57,'TAR FIN'!$A$1:$O$113,15,0)),0,VLOOKUP($U$57,'TAR FIN'!$A$1:$O$113,15,0))</f>
        <v>278.67</v>
      </c>
      <c r="Y57" s="6">
        <f ca="1">('TUSD BE'!$AM$15+'TUSD BF_350'!$AM$15+'TUSD CVA'!$AM$15)*1</f>
        <v>16.035953923331604</v>
      </c>
      <c r="Z57" s="6">
        <f ca="1">('TUSD BE'!$AM$16+'TUSD BF_350'!$AM$16+'TUSD CVA'!$AM$16)*1</f>
        <v>122.14055331663396</v>
      </c>
      <c r="AA57" s="6">
        <f ca="1">('TE BE'!$AB$10+'TE BF_350'!$AB$10+'TE CVA'!$AB$10)*1</f>
        <v>231.69</v>
      </c>
      <c r="AB57" s="6">
        <f>$K$57*$V$57</f>
        <v>27664</v>
      </c>
      <c r="AC57" s="6">
        <f>$M$57*$W$57</f>
        <v>43890.215850000001</v>
      </c>
      <c r="AD57" s="6">
        <f>$O$57*$X$57</f>
        <v>169520.25573</v>
      </c>
      <c r="AE57" s="6">
        <f ca="1">$K$57*$Y$57</f>
        <v>31687.044952503249</v>
      </c>
      <c r="AF57" s="6">
        <f ca="1">$M$57*$Z$57</f>
        <v>74300.41925302145</v>
      </c>
      <c r="AG57" s="6">
        <f ca="1">$O$57*$AA$57</f>
        <v>140941.42911</v>
      </c>
    </row>
    <row r="58" spans="1:33" ht="11.25" customHeight="1" x14ac:dyDescent="0.3">
      <c r="A58" s="4" t="s">
        <v>21</v>
      </c>
      <c r="B58" s="4" t="s">
        <v>39</v>
      </c>
      <c r="C58" s="4" t="s">
        <v>40</v>
      </c>
      <c r="D58" s="4" t="s">
        <v>42</v>
      </c>
      <c r="E58" s="4" t="s">
        <v>25</v>
      </c>
      <c r="F58" s="4" t="s">
        <v>25</v>
      </c>
      <c r="G58" s="4" t="s">
        <v>25</v>
      </c>
      <c r="H58" s="4" t="s">
        <v>35</v>
      </c>
      <c r="I58" s="5">
        <v>44743</v>
      </c>
      <c r="J58" s="6">
        <v>1962</v>
      </c>
      <c r="K58" s="6">
        <v>1962</v>
      </c>
      <c r="L58" s="6">
        <v>582.47299999999996</v>
      </c>
      <c r="M58" s="6">
        <v>582.47299999999996</v>
      </c>
      <c r="N58" s="6">
        <v>582.47299999999996</v>
      </c>
      <c r="O58" s="6">
        <v>582.47299999999996</v>
      </c>
      <c r="P58" s="6">
        <v>0</v>
      </c>
      <c r="Q58" s="4" t="s">
        <v>26</v>
      </c>
      <c r="R58" s="4">
        <v>0</v>
      </c>
      <c r="S58" s="6">
        <v>22</v>
      </c>
      <c r="T58" s="6">
        <v>12</v>
      </c>
      <c r="U58" s="6">
        <v>61</v>
      </c>
      <c r="V58" s="6">
        <f>IF(ISERROR(VLOOKUP($S$58,'TAR FIN'!$A$1:$O$113,15,0)),0,VLOOKUP($S$58,'TAR FIN'!$A$1:$O$113,15,0))</f>
        <v>14</v>
      </c>
      <c r="W58" s="6">
        <f>IF(ISERROR(VLOOKUP($T$58,'TAR FIN'!$A$1:$O$113,15,0)),0,VLOOKUP($T$58,'TAR FIN'!$A$1:$O$113,15,0))</f>
        <v>72.150000000000006</v>
      </c>
      <c r="X58" s="6">
        <f>IF(ISERROR(VLOOKUP($U$58,'TAR FIN'!$A$1:$O$113,15,0)),0,VLOOKUP($U$58,'TAR FIN'!$A$1:$O$113,15,0))</f>
        <v>278.67</v>
      </c>
      <c r="Y58" s="6">
        <f ca="1">('TUSD BE'!$AM$15+'TUSD BF_350'!$AM$15+'TUSD CVA'!$AM$15)*1</f>
        <v>16.035953923331604</v>
      </c>
      <c r="Z58" s="6">
        <f ca="1">('TUSD BE'!$AM$16+'TUSD BF_350'!$AM$16+'TUSD CVA'!$AM$16)*1</f>
        <v>122.14055331663396</v>
      </c>
      <c r="AA58" s="6">
        <f ca="1">('TE BE'!$AB$10+'TE BF_350'!$AB$10+'TE CVA'!$AB$10)*1</f>
        <v>231.69</v>
      </c>
      <c r="AB58" s="6">
        <f>$K$58*$V$58</f>
        <v>27468</v>
      </c>
      <c r="AC58" s="6">
        <f>$M$58*$W$58</f>
        <v>42025.426950000001</v>
      </c>
      <c r="AD58" s="6">
        <f>$O$58*$X$58</f>
        <v>162317.75091</v>
      </c>
      <c r="AE58" s="6">
        <f ca="1">$K$58*$Y$58</f>
        <v>31462.541597576608</v>
      </c>
      <c r="AF58" s="6">
        <f ca="1">$M$58*$Z$58</f>
        <v>71143.57451199973</v>
      </c>
      <c r="AG58" s="6">
        <f ca="1">$O$58*$AA$58</f>
        <v>134953.16936999999</v>
      </c>
    </row>
    <row r="59" spans="1:33" ht="11.25" customHeight="1" x14ac:dyDescent="0.3">
      <c r="A59" s="4" t="s">
        <v>21</v>
      </c>
      <c r="B59" s="4" t="s">
        <v>39</v>
      </c>
      <c r="C59" s="4" t="s">
        <v>40</v>
      </c>
      <c r="D59" s="4" t="s">
        <v>42</v>
      </c>
      <c r="E59" s="4" t="s">
        <v>25</v>
      </c>
      <c r="F59" s="4" t="s">
        <v>25</v>
      </c>
      <c r="G59" s="4" t="s">
        <v>25</v>
      </c>
      <c r="H59" s="4" t="s">
        <v>35</v>
      </c>
      <c r="I59" s="5">
        <v>44774</v>
      </c>
      <c r="J59" s="6">
        <v>1958</v>
      </c>
      <c r="K59" s="6">
        <v>1958</v>
      </c>
      <c r="L59" s="6">
        <v>615.88</v>
      </c>
      <c r="M59" s="6">
        <v>615.88</v>
      </c>
      <c r="N59" s="6">
        <v>615.88</v>
      </c>
      <c r="O59" s="6">
        <v>615.88</v>
      </c>
      <c r="P59" s="6">
        <v>0</v>
      </c>
      <c r="Q59" s="4" t="s">
        <v>26</v>
      </c>
      <c r="R59" s="4">
        <v>0</v>
      </c>
      <c r="S59" s="6">
        <v>22</v>
      </c>
      <c r="T59" s="6">
        <v>12</v>
      </c>
      <c r="U59" s="6">
        <v>61</v>
      </c>
      <c r="V59" s="6">
        <f>IF(ISERROR(VLOOKUP($S$59,'TAR FIN'!$A$1:$O$113,15,0)),0,VLOOKUP($S$59,'TAR FIN'!$A$1:$O$113,15,0))</f>
        <v>14</v>
      </c>
      <c r="W59" s="6">
        <f>IF(ISERROR(VLOOKUP($T$59,'TAR FIN'!$A$1:$O$113,15,0)),0,VLOOKUP($T$59,'TAR FIN'!$A$1:$O$113,15,0))</f>
        <v>72.150000000000006</v>
      </c>
      <c r="X59" s="6">
        <f>IF(ISERROR(VLOOKUP($U$59,'TAR FIN'!$A$1:$O$113,15,0)),0,VLOOKUP($U$59,'TAR FIN'!$A$1:$O$113,15,0))</f>
        <v>278.67</v>
      </c>
      <c r="Y59" s="6">
        <f ca="1">('TUSD BE'!$AM$15+'TUSD BF_350'!$AM$15+'TUSD CVA'!$AM$15)*1</f>
        <v>16.035953923331604</v>
      </c>
      <c r="Z59" s="6">
        <f ca="1">('TUSD BE'!$AM$16+'TUSD BF_350'!$AM$16+'TUSD CVA'!$AM$16)*1</f>
        <v>122.14055331663396</v>
      </c>
      <c r="AA59" s="6">
        <f ca="1">('TE BE'!$AB$10+'TE BF_350'!$AB$10+'TE CVA'!$AB$10)*1</f>
        <v>231.69</v>
      </c>
      <c r="AB59" s="6">
        <f>$K$59*$V$59</f>
        <v>27412</v>
      </c>
      <c r="AC59" s="6">
        <f>$M$59*$W$59</f>
        <v>44435.742000000006</v>
      </c>
      <c r="AD59" s="6">
        <f>$O$59*$X$59</f>
        <v>171627.27960000001</v>
      </c>
      <c r="AE59" s="6">
        <f ca="1">$K$59*$Y$59</f>
        <v>31398.397781883283</v>
      </c>
      <c r="AF59" s="6">
        <f ca="1">$M$59*$Z$59</f>
        <v>75223.923976648526</v>
      </c>
      <c r="AG59" s="6">
        <f ca="1">$O$59*$AA$59</f>
        <v>142693.2372</v>
      </c>
    </row>
    <row r="60" spans="1:33" ht="11.25" customHeight="1" x14ac:dyDescent="0.3">
      <c r="A60" s="4" t="s">
        <v>21</v>
      </c>
      <c r="B60" s="4" t="s">
        <v>39</v>
      </c>
      <c r="C60" s="4" t="s">
        <v>40</v>
      </c>
      <c r="D60" s="4" t="s">
        <v>42</v>
      </c>
      <c r="E60" s="4" t="s">
        <v>25</v>
      </c>
      <c r="F60" s="4" t="s">
        <v>25</v>
      </c>
      <c r="G60" s="4" t="s">
        <v>25</v>
      </c>
      <c r="H60" s="4" t="s">
        <v>35</v>
      </c>
      <c r="I60" s="5">
        <v>44805</v>
      </c>
      <c r="J60" s="6">
        <v>1971</v>
      </c>
      <c r="K60" s="6">
        <v>1971</v>
      </c>
      <c r="L60" s="6">
        <v>597.37</v>
      </c>
      <c r="M60" s="6">
        <v>597.37</v>
      </c>
      <c r="N60" s="6">
        <v>597.37</v>
      </c>
      <c r="O60" s="6">
        <v>597.37</v>
      </c>
      <c r="P60" s="6">
        <v>0</v>
      </c>
      <c r="Q60" s="4" t="s">
        <v>26</v>
      </c>
      <c r="R60" s="4">
        <v>0</v>
      </c>
      <c r="S60" s="6">
        <v>22</v>
      </c>
      <c r="T60" s="6">
        <v>12</v>
      </c>
      <c r="U60" s="6">
        <v>61</v>
      </c>
      <c r="V60" s="6">
        <f>IF(ISERROR(VLOOKUP($S$60,'TAR FIN'!$A$1:$O$113,15,0)),0,VLOOKUP($S$60,'TAR FIN'!$A$1:$O$113,15,0))</f>
        <v>14</v>
      </c>
      <c r="W60" s="6">
        <f>IF(ISERROR(VLOOKUP($T$60,'TAR FIN'!$A$1:$O$113,15,0)),0,VLOOKUP($T$60,'TAR FIN'!$A$1:$O$113,15,0))</f>
        <v>72.150000000000006</v>
      </c>
      <c r="X60" s="6">
        <f>IF(ISERROR(VLOOKUP($U$60,'TAR FIN'!$A$1:$O$113,15,0)),0,VLOOKUP($U$60,'TAR FIN'!$A$1:$O$113,15,0))</f>
        <v>278.67</v>
      </c>
      <c r="Y60" s="6">
        <f ca="1">('TUSD BE'!$AM$15+'TUSD BF_350'!$AM$15+'TUSD CVA'!$AM$15)*1</f>
        <v>16.035953923331604</v>
      </c>
      <c r="Z60" s="6">
        <f ca="1">('TUSD BE'!$AM$16+'TUSD BF_350'!$AM$16+'TUSD CVA'!$AM$16)*1</f>
        <v>122.14055331663396</v>
      </c>
      <c r="AA60" s="6">
        <f ca="1">('TE BE'!$AB$10+'TE BF_350'!$AB$10+'TE CVA'!$AB$10)*1</f>
        <v>231.69</v>
      </c>
      <c r="AB60" s="6">
        <f>$K$60*$V$60</f>
        <v>27594</v>
      </c>
      <c r="AC60" s="6">
        <f>$M$60*$W$60</f>
        <v>43100.245500000005</v>
      </c>
      <c r="AD60" s="6">
        <f>$O$60*$X$60</f>
        <v>166469.09790000002</v>
      </c>
      <c r="AE60" s="6">
        <f ca="1">$K$60*$Y$60</f>
        <v>31606.865182886591</v>
      </c>
      <c r="AF60" s="6">
        <f ca="1">$M$60*$Z$60</f>
        <v>72963.102334757627</v>
      </c>
      <c r="AG60" s="6">
        <f ca="1">$O$60*$AA$60</f>
        <v>138404.65530000001</v>
      </c>
    </row>
    <row r="61" spans="1:33" ht="11.25" customHeight="1" x14ac:dyDescent="0.3">
      <c r="A61" s="4" t="s">
        <v>53</v>
      </c>
      <c r="B61" s="4" t="s">
        <v>39</v>
      </c>
      <c r="C61" s="4" t="s">
        <v>40</v>
      </c>
      <c r="D61" s="4" t="s">
        <v>42</v>
      </c>
      <c r="E61" s="4" t="s">
        <v>25</v>
      </c>
      <c r="F61" s="4" t="s">
        <v>25</v>
      </c>
      <c r="G61" s="4" t="s">
        <v>25</v>
      </c>
      <c r="H61" s="4" t="s">
        <v>35</v>
      </c>
      <c r="I61" s="5">
        <v>44835</v>
      </c>
      <c r="J61" s="6">
        <v>1971</v>
      </c>
      <c r="K61" s="6">
        <v>1971</v>
      </c>
      <c r="L61" s="6">
        <v>597.37</v>
      </c>
      <c r="M61" s="6">
        <v>597.37</v>
      </c>
      <c r="N61" s="6">
        <v>597.37</v>
      </c>
      <c r="O61" s="6">
        <v>597.37</v>
      </c>
      <c r="P61" s="6">
        <v>0</v>
      </c>
      <c r="Q61" s="4" t="s">
        <v>26</v>
      </c>
      <c r="R61" s="4">
        <v>0</v>
      </c>
      <c r="S61" s="6">
        <v>22</v>
      </c>
      <c r="T61" s="6">
        <v>12</v>
      </c>
      <c r="U61" s="6">
        <v>61</v>
      </c>
      <c r="V61" s="6">
        <f>IF(ISERROR(VLOOKUP($S$61,'TAR FIN'!$A$1:$O$113,15,0)),0,VLOOKUP($S$61,'TAR FIN'!$A$1:$O$113,15,0))</f>
        <v>14</v>
      </c>
      <c r="W61" s="6">
        <f>IF(ISERROR(VLOOKUP($T$61,'TAR FIN'!$A$1:$O$113,15,0)),0,VLOOKUP($T$61,'TAR FIN'!$A$1:$O$113,15,0))</f>
        <v>72.150000000000006</v>
      </c>
      <c r="X61" s="6">
        <f>IF(ISERROR(VLOOKUP($U$61,'TAR FIN'!$A$1:$O$113,15,0)),0,VLOOKUP($U$61,'TAR FIN'!$A$1:$O$113,15,0))</f>
        <v>278.67</v>
      </c>
      <c r="Y61" s="6">
        <f ca="1">('TUSD BE'!$AM$15+'TUSD BF_350'!$AM$15+'TUSD CVA'!$AM$15)*1</f>
        <v>16.035953923331604</v>
      </c>
      <c r="Z61" s="6">
        <f ca="1">('TUSD BE'!$AM$16+'TUSD BF_350'!$AM$16+'TUSD CVA'!$AM$16)*1</f>
        <v>122.14055331663396</v>
      </c>
      <c r="AA61" s="6">
        <f ca="1">('TE BE'!$AB$10+'TE BF_350'!$AB$10+'TE CVA'!$AB$10)*1</f>
        <v>231.69</v>
      </c>
      <c r="AB61" s="6">
        <f>$K$61*$V$61</f>
        <v>27594</v>
      </c>
      <c r="AC61" s="6">
        <f>$M$61*$W$61</f>
        <v>43100.245500000005</v>
      </c>
      <c r="AD61" s="6">
        <f>$O$61*$X$61</f>
        <v>166469.09790000002</v>
      </c>
      <c r="AE61" s="6">
        <f ca="1">$K$61*$Y$61</f>
        <v>31606.865182886591</v>
      </c>
      <c r="AF61" s="6">
        <f ca="1">$M$61*$Z$61</f>
        <v>72963.102334757627</v>
      </c>
      <c r="AG61" s="6">
        <f ca="1">$O$61*$AA$61</f>
        <v>138404.65530000001</v>
      </c>
    </row>
    <row r="62" spans="1:33" ht="11.25" customHeight="1" x14ac:dyDescent="0.3">
      <c r="A62" s="4" t="s">
        <v>21</v>
      </c>
      <c r="B62" s="4" t="s">
        <v>39</v>
      </c>
      <c r="C62" s="4" t="s">
        <v>40</v>
      </c>
      <c r="D62" s="4" t="s">
        <v>42</v>
      </c>
      <c r="E62" s="4" t="s">
        <v>25</v>
      </c>
      <c r="F62" s="4" t="s">
        <v>25</v>
      </c>
      <c r="G62" s="4" t="s">
        <v>25</v>
      </c>
      <c r="H62" s="4" t="s">
        <v>34</v>
      </c>
      <c r="I62" s="5">
        <v>44501</v>
      </c>
      <c r="J62" s="6">
        <v>1903</v>
      </c>
      <c r="K62" s="6">
        <v>1903</v>
      </c>
      <c r="L62" s="6">
        <v>65.144999999999996</v>
      </c>
      <c r="M62" s="6">
        <v>65.144999999999996</v>
      </c>
      <c r="N62" s="6">
        <v>65.144999999999996</v>
      </c>
      <c r="O62" s="6">
        <v>65.144999999999996</v>
      </c>
      <c r="P62" s="6">
        <v>0</v>
      </c>
      <c r="Q62" s="4" t="s">
        <v>26</v>
      </c>
      <c r="R62" s="4">
        <v>0</v>
      </c>
      <c r="S62" s="6">
        <v>9</v>
      </c>
      <c r="T62" s="6">
        <v>12</v>
      </c>
      <c r="U62" s="6">
        <v>38</v>
      </c>
      <c r="V62" s="6">
        <f>IF(ISERROR(VLOOKUP($S$62,'TAR FIN'!$A$1:$O$113,15,0)),0,VLOOKUP($S$62,'TAR FIN'!$A$1:$O$113,15,0))</f>
        <v>35.76</v>
      </c>
      <c r="W62" s="6">
        <f>IF(ISERROR(VLOOKUP($T$62,'TAR FIN'!$A$1:$O$113,15,0)),0,VLOOKUP($T$62,'TAR FIN'!$A$1:$O$113,15,0))</f>
        <v>72.150000000000006</v>
      </c>
      <c r="X62" s="6">
        <f>IF(ISERROR(VLOOKUP($U$62,'TAR FIN'!$A$1:$O$113,15,0)),0,VLOOKUP($U$62,'TAR FIN'!$A$1:$O$113,15,0))</f>
        <v>442.86</v>
      </c>
      <c r="Y62" s="6">
        <f ca="1">('TUSD BE'!$AM$14+'TUSD BF_350'!$AM$14+'TUSD CVA'!$AM$14)*1</f>
        <v>40.963640769708675</v>
      </c>
      <c r="Z62" s="6">
        <f ca="1">('TUSD BE'!$AM$16+'TUSD BF_350'!$AM$16+'TUSD CVA'!$AM$16)*1</f>
        <v>122.14055331663396</v>
      </c>
      <c r="AA62" s="6">
        <f ca="1">('TE BE'!$AB$9+'TE BF_350'!$AB$9+'TE CVA'!$AB$9)*1</f>
        <v>379.30999999999995</v>
      </c>
      <c r="AB62" s="6">
        <f>$K$62*$V$62</f>
        <v>68051.28</v>
      </c>
      <c r="AC62" s="6">
        <f>$M$62*$W$62</f>
        <v>4700.2117500000004</v>
      </c>
      <c r="AD62" s="6">
        <f>$O$62*$X$62</f>
        <v>28850.114699999998</v>
      </c>
      <c r="AE62" s="6">
        <f ca="1">$K$62*$Y$62</f>
        <v>77953.808384755612</v>
      </c>
      <c r="AF62" s="6">
        <f ca="1">$M$62*$Z$62</f>
        <v>7956.8463458121187</v>
      </c>
      <c r="AG62" s="6">
        <f ca="1">$O$62*$AA$62</f>
        <v>24710.149949999995</v>
      </c>
    </row>
    <row r="63" spans="1:33" ht="11.25" customHeight="1" x14ac:dyDescent="0.3">
      <c r="A63" s="4" t="s">
        <v>21</v>
      </c>
      <c r="B63" s="4" t="s">
        <v>39</v>
      </c>
      <c r="C63" s="4" t="s">
        <v>40</v>
      </c>
      <c r="D63" s="4" t="s">
        <v>42</v>
      </c>
      <c r="E63" s="4" t="s">
        <v>25</v>
      </c>
      <c r="F63" s="4" t="s">
        <v>25</v>
      </c>
      <c r="G63" s="4" t="s">
        <v>25</v>
      </c>
      <c r="H63" s="4" t="s">
        <v>34</v>
      </c>
      <c r="I63" s="5">
        <v>44531</v>
      </c>
      <c r="J63" s="6">
        <v>1921</v>
      </c>
      <c r="K63" s="6">
        <v>1921</v>
      </c>
      <c r="L63" s="6">
        <v>68.108999999999995</v>
      </c>
      <c r="M63" s="6">
        <v>68.108999999999995</v>
      </c>
      <c r="N63" s="6">
        <v>68.108999999999995</v>
      </c>
      <c r="O63" s="6">
        <v>68.108999999999995</v>
      </c>
      <c r="P63" s="6">
        <v>0</v>
      </c>
      <c r="Q63" s="4" t="s">
        <v>26</v>
      </c>
      <c r="R63" s="4">
        <v>0</v>
      </c>
      <c r="S63" s="6">
        <v>9</v>
      </c>
      <c r="T63" s="6">
        <v>12</v>
      </c>
      <c r="U63" s="6">
        <v>38</v>
      </c>
      <c r="V63" s="6">
        <f>IF(ISERROR(VLOOKUP($S$63,'TAR FIN'!$A$1:$O$113,15,0)),0,VLOOKUP($S$63,'TAR FIN'!$A$1:$O$113,15,0))</f>
        <v>35.76</v>
      </c>
      <c r="W63" s="6">
        <f>IF(ISERROR(VLOOKUP($T$63,'TAR FIN'!$A$1:$O$113,15,0)),0,VLOOKUP($T$63,'TAR FIN'!$A$1:$O$113,15,0))</f>
        <v>72.150000000000006</v>
      </c>
      <c r="X63" s="6">
        <f>IF(ISERROR(VLOOKUP($U$63,'TAR FIN'!$A$1:$O$113,15,0)),0,VLOOKUP($U$63,'TAR FIN'!$A$1:$O$113,15,0))</f>
        <v>442.86</v>
      </c>
      <c r="Y63" s="6">
        <f ca="1">('TUSD BE'!$AM$14+'TUSD BF_350'!$AM$14+'TUSD CVA'!$AM$14)*1</f>
        <v>40.963640769708675</v>
      </c>
      <c r="Z63" s="6">
        <f ca="1">('TUSD BE'!$AM$16+'TUSD BF_350'!$AM$16+'TUSD CVA'!$AM$16)*1</f>
        <v>122.14055331663396</v>
      </c>
      <c r="AA63" s="6">
        <f ca="1">('TE BE'!$AB$9+'TE BF_350'!$AB$9+'TE CVA'!$AB$9)*1</f>
        <v>379.30999999999995</v>
      </c>
      <c r="AB63" s="6">
        <f>$K$63*$V$63</f>
        <v>68694.959999999992</v>
      </c>
      <c r="AC63" s="6">
        <f>$M$63*$W$63</f>
        <v>4914.0643499999996</v>
      </c>
      <c r="AD63" s="6">
        <f>$O$63*$X$63</f>
        <v>30162.75174</v>
      </c>
      <c r="AE63" s="6">
        <f ca="1">$K$63*$Y$63</f>
        <v>78691.153918610362</v>
      </c>
      <c r="AF63" s="6">
        <f ca="1">$M$63*$Z$63</f>
        <v>8318.8709458426219</v>
      </c>
      <c r="AG63" s="6">
        <f ca="1">$O$63*$AA$63</f>
        <v>25834.424789999994</v>
      </c>
    </row>
    <row r="64" spans="1:33" ht="11.25" customHeight="1" x14ac:dyDescent="0.3">
      <c r="A64" s="4" t="s">
        <v>21</v>
      </c>
      <c r="B64" s="4" t="s">
        <v>39</v>
      </c>
      <c r="C64" s="4" t="s">
        <v>40</v>
      </c>
      <c r="D64" s="4" t="s">
        <v>42</v>
      </c>
      <c r="E64" s="4" t="s">
        <v>25</v>
      </c>
      <c r="F64" s="4" t="s">
        <v>25</v>
      </c>
      <c r="G64" s="4" t="s">
        <v>25</v>
      </c>
      <c r="H64" s="4" t="s">
        <v>34</v>
      </c>
      <c r="I64" s="5">
        <v>44562</v>
      </c>
      <c r="J64" s="6">
        <v>1924</v>
      </c>
      <c r="K64" s="6">
        <v>1924</v>
      </c>
      <c r="L64" s="6">
        <v>74.656000000000006</v>
      </c>
      <c r="M64" s="6">
        <v>74.656000000000006</v>
      </c>
      <c r="N64" s="6">
        <v>74.656000000000006</v>
      </c>
      <c r="O64" s="6">
        <v>74.656000000000006</v>
      </c>
      <c r="P64" s="6">
        <v>0</v>
      </c>
      <c r="Q64" s="4" t="s">
        <v>26</v>
      </c>
      <c r="R64" s="4">
        <v>0</v>
      </c>
      <c r="S64" s="6">
        <v>9</v>
      </c>
      <c r="T64" s="6">
        <v>12</v>
      </c>
      <c r="U64" s="6">
        <v>38</v>
      </c>
      <c r="V64" s="6">
        <f>IF(ISERROR(VLOOKUP($S$64,'TAR FIN'!$A$1:$O$113,15,0)),0,VLOOKUP($S$64,'TAR FIN'!$A$1:$O$113,15,0))</f>
        <v>35.76</v>
      </c>
      <c r="W64" s="6">
        <f>IF(ISERROR(VLOOKUP($T$64,'TAR FIN'!$A$1:$O$113,15,0)),0,VLOOKUP($T$64,'TAR FIN'!$A$1:$O$113,15,0))</f>
        <v>72.150000000000006</v>
      </c>
      <c r="X64" s="6">
        <f>IF(ISERROR(VLOOKUP($U$64,'TAR FIN'!$A$1:$O$113,15,0)),0,VLOOKUP($U$64,'TAR FIN'!$A$1:$O$113,15,0))</f>
        <v>442.86</v>
      </c>
      <c r="Y64" s="6">
        <f ca="1">('TUSD BE'!$AM$14+'TUSD BF_350'!$AM$14+'TUSD CVA'!$AM$14)*1</f>
        <v>40.963640769708675</v>
      </c>
      <c r="Z64" s="6">
        <f ca="1">('TUSD BE'!$AM$16+'TUSD BF_350'!$AM$16+'TUSD CVA'!$AM$16)*1</f>
        <v>122.14055331663396</v>
      </c>
      <c r="AA64" s="6">
        <f ca="1">('TE BE'!$AB$9+'TE BF_350'!$AB$9+'TE CVA'!$AB$9)*1</f>
        <v>379.30999999999995</v>
      </c>
      <c r="AB64" s="6">
        <f>$K$64*$V$64</f>
        <v>68802.239999999991</v>
      </c>
      <c r="AC64" s="6">
        <f>$M$64*$W$64</f>
        <v>5386.4304000000011</v>
      </c>
      <c r="AD64" s="6">
        <f>$O$64*$X$64</f>
        <v>33062.156160000006</v>
      </c>
      <c r="AE64" s="6">
        <f ca="1">$K$64*$Y$64</f>
        <v>78814.044840919494</v>
      </c>
      <c r="AF64" s="6">
        <f ca="1">$M$64*$Z$64</f>
        <v>9118.5251484066248</v>
      </c>
      <c r="AG64" s="6">
        <f ca="1">$O$64*$AA$64</f>
        <v>28317.767359999998</v>
      </c>
    </row>
    <row r="65" spans="1:33" ht="11.25" customHeight="1" x14ac:dyDescent="0.3">
      <c r="A65" s="4" t="s">
        <v>21</v>
      </c>
      <c r="B65" s="4" t="s">
        <v>39</v>
      </c>
      <c r="C65" s="4" t="s">
        <v>40</v>
      </c>
      <c r="D65" s="4" t="s">
        <v>42</v>
      </c>
      <c r="E65" s="4" t="s">
        <v>25</v>
      </c>
      <c r="F65" s="4" t="s">
        <v>25</v>
      </c>
      <c r="G65" s="4" t="s">
        <v>25</v>
      </c>
      <c r="H65" s="4" t="s">
        <v>34</v>
      </c>
      <c r="I65" s="5">
        <v>44593</v>
      </c>
      <c r="J65" s="6">
        <v>1913</v>
      </c>
      <c r="K65" s="6">
        <v>1913</v>
      </c>
      <c r="L65" s="6">
        <v>69.715000000000003</v>
      </c>
      <c r="M65" s="6">
        <v>69.715000000000003</v>
      </c>
      <c r="N65" s="6">
        <v>69.715000000000003</v>
      </c>
      <c r="O65" s="6">
        <v>69.715000000000003</v>
      </c>
      <c r="P65" s="6">
        <v>0</v>
      </c>
      <c r="Q65" s="4" t="s">
        <v>26</v>
      </c>
      <c r="R65" s="4">
        <v>0</v>
      </c>
      <c r="S65" s="6">
        <v>9</v>
      </c>
      <c r="T65" s="6">
        <v>12</v>
      </c>
      <c r="U65" s="6">
        <v>38</v>
      </c>
      <c r="V65" s="6">
        <f>IF(ISERROR(VLOOKUP($S$65,'TAR FIN'!$A$1:$O$113,15,0)),0,VLOOKUP($S$65,'TAR FIN'!$A$1:$O$113,15,0))</f>
        <v>35.76</v>
      </c>
      <c r="W65" s="6">
        <f>IF(ISERROR(VLOOKUP($T$65,'TAR FIN'!$A$1:$O$113,15,0)),0,VLOOKUP($T$65,'TAR FIN'!$A$1:$O$113,15,0))</f>
        <v>72.150000000000006</v>
      </c>
      <c r="X65" s="6">
        <f>IF(ISERROR(VLOOKUP($U$65,'TAR FIN'!$A$1:$O$113,15,0)),0,VLOOKUP($U$65,'TAR FIN'!$A$1:$O$113,15,0))</f>
        <v>442.86</v>
      </c>
      <c r="Y65" s="6">
        <f ca="1">('TUSD BE'!$AM$14+'TUSD BF_350'!$AM$14+'TUSD CVA'!$AM$14)*1</f>
        <v>40.963640769708675</v>
      </c>
      <c r="Z65" s="6">
        <f ca="1">('TUSD BE'!$AM$16+'TUSD BF_350'!$AM$16+'TUSD CVA'!$AM$16)*1</f>
        <v>122.14055331663396</v>
      </c>
      <c r="AA65" s="6">
        <f ca="1">('TE BE'!$AB$9+'TE BF_350'!$AB$9+'TE CVA'!$AB$9)*1</f>
        <v>379.30999999999995</v>
      </c>
      <c r="AB65" s="6">
        <f>$K$65*$V$65</f>
        <v>68408.87999999999</v>
      </c>
      <c r="AC65" s="6">
        <f>$M$65*$W$65</f>
        <v>5029.9372500000009</v>
      </c>
      <c r="AD65" s="6">
        <f>$O$65*$X$65</f>
        <v>30873.984900000003</v>
      </c>
      <c r="AE65" s="6">
        <f ca="1">$K$65*$Y$65</f>
        <v>78363.44479245269</v>
      </c>
      <c r="AF65" s="6">
        <f ca="1">$M$65*$Z$65</f>
        <v>8515.0286744691366</v>
      </c>
      <c r="AG65" s="6">
        <f ca="1">$O$65*$AA$65</f>
        <v>26443.596649999996</v>
      </c>
    </row>
    <row r="66" spans="1:33" ht="11.25" customHeight="1" x14ac:dyDescent="0.3">
      <c r="A66" s="4" t="s">
        <v>21</v>
      </c>
      <c r="B66" s="4" t="s">
        <v>39</v>
      </c>
      <c r="C66" s="4" t="s">
        <v>40</v>
      </c>
      <c r="D66" s="4" t="s">
        <v>42</v>
      </c>
      <c r="E66" s="4" t="s">
        <v>25</v>
      </c>
      <c r="F66" s="4" t="s">
        <v>25</v>
      </c>
      <c r="G66" s="4" t="s">
        <v>25</v>
      </c>
      <c r="H66" s="4" t="s">
        <v>34</v>
      </c>
      <c r="I66" s="5">
        <v>44621</v>
      </c>
      <c r="J66" s="6">
        <v>1917</v>
      </c>
      <c r="K66" s="6">
        <v>1917</v>
      </c>
      <c r="L66" s="6">
        <v>68.382999999999996</v>
      </c>
      <c r="M66" s="6">
        <v>68.382999999999996</v>
      </c>
      <c r="N66" s="6">
        <v>68.382999999999996</v>
      </c>
      <c r="O66" s="6">
        <v>68.382999999999996</v>
      </c>
      <c r="P66" s="6">
        <v>0</v>
      </c>
      <c r="Q66" s="4" t="s">
        <v>26</v>
      </c>
      <c r="R66" s="4">
        <v>0</v>
      </c>
      <c r="S66" s="6">
        <v>9</v>
      </c>
      <c r="T66" s="6">
        <v>12</v>
      </c>
      <c r="U66" s="6">
        <v>38</v>
      </c>
      <c r="V66" s="6">
        <f>IF(ISERROR(VLOOKUP($S$66,'TAR FIN'!$A$1:$O$113,15,0)),0,VLOOKUP($S$66,'TAR FIN'!$A$1:$O$113,15,0))</f>
        <v>35.76</v>
      </c>
      <c r="W66" s="6">
        <f>IF(ISERROR(VLOOKUP($T$66,'TAR FIN'!$A$1:$O$113,15,0)),0,VLOOKUP($T$66,'TAR FIN'!$A$1:$O$113,15,0))</f>
        <v>72.150000000000006</v>
      </c>
      <c r="X66" s="6">
        <f>IF(ISERROR(VLOOKUP($U$66,'TAR FIN'!$A$1:$O$113,15,0)),0,VLOOKUP($U$66,'TAR FIN'!$A$1:$O$113,15,0))</f>
        <v>442.86</v>
      </c>
      <c r="Y66" s="6">
        <f ca="1">('TUSD BE'!$AM$14+'TUSD BF_350'!$AM$14+'TUSD CVA'!$AM$14)*1</f>
        <v>40.963640769708675</v>
      </c>
      <c r="Z66" s="6">
        <f ca="1">('TUSD BE'!$AM$16+'TUSD BF_350'!$AM$16+'TUSD CVA'!$AM$16)*1</f>
        <v>122.14055331663396</v>
      </c>
      <c r="AA66" s="6">
        <f ca="1">('TE BE'!$AB$9+'TE BF_350'!$AB$9+'TE CVA'!$AB$9)*1</f>
        <v>379.30999999999995</v>
      </c>
      <c r="AB66" s="6">
        <f>$K$66*$V$66</f>
        <v>68551.92</v>
      </c>
      <c r="AC66" s="6">
        <f>$M$66*$W$66</f>
        <v>4933.8334500000001</v>
      </c>
      <c r="AD66" s="6">
        <f>$O$66*$X$66</f>
        <v>30284.095379999999</v>
      </c>
      <c r="AE66" s="6">
        <f ca="1">$K$66*$Y$66</f>
        <v>78527.299355531533</v>
      </c>
      <c r="AF66" s="6">
        <f ca="1">$M$66*$Z$66</f>
        <v>8352.33745745138</v>
      </c>
      <c r="AG66" s="6">
        <f ca="1">$O$66*$AA$66</f>
        <v>25938.355729999996</v>
      </c>
    </row>
    <row r="67" spans="1:33" ht="11.25" customHeight="1" x14ac:dyDescent="0.3">
      <c r="A67" s="4" t="s">
        <v>21</v>
      </c>
      <c r="B67" s="4" t="s">
        <v>39</v>
      </c>
      <c r="C67" s="4" t="s">
        <v>40</v>
      </c>
      <c r="D67" s="4" t="s">
        <v>42</v>
      </c>
      <c r="E67" s="4" t="s">
        <v>25</v>
      </c>
      <c r="F67" s="4" t="s">
        <v>25</v>
      </c>
      <c r="G67" s="4" t="s">
        <v>25</v>
      </c>
      <c r="H67" s="4" t="s">
        <v>34</v>
      </c>
      <c r="I67" s="5">
        <v>44652</v>
      </c>
      <c r="J67" s="6">
        <v>1936</v>
      </c>
      <c r="K67" s="6">
        <v>1936</v>
      </c>
      <c r="L67" s="6">
        <v>79.56</v>
      </c>
      <c r="M67" s="6">
        <v>79.56</v>
      </c>
      <c r="N67" s="6">
        <v>79.56</v>
      </c>
      <c r="O67" s="6">
        <v>79.56</v>
      </c>
      <c r="P67" s="6">
        <v>0</v>
      </c>
      <c r="Q67" s="4" t="s">
        <v>26</v>
      </c>
      <c r="R67" s="4">
        <v>0</v>
      </c>
      <c r="S67" s="6">
        <v>9</v>
      </c>
      <c r="T67" s="6">
        <v>12</v>
      </c>
      <c r="U67" s="6">
        <v>38</v>
      </c>
      <c r="V67" s="6">
        <f>IF(ISERROR(VLOOKUP($S$67,'TAR FIN'!$A$1:$O$113,15,0)),0,VLOOKUP($S$67,'TAR FIN'!$A$1:$O$113,15,0))</f>
        <v>35.76</v>
      </c>
      <c r="W67" s="6">
        <f>IF(ISERROR(VLOOKUP($T$67,'TAR FIN'!$A$1:$O$113,15,0)),0,VLOOKUP($T$67,'TAR FIN'!$A$1:$O$113,15,0))</f>
        <v>72.150000000000006</v>
      </c>
      <c r="X67" s="6">
        <f>IF(ISERROR(VLOOKUP($U$67,'TAR FIN'!$A$1:$O$113,15,0)),0,VLOOKUP($U$67,'TAR FIN'!$A$1:$O$113,15,0))</f>
        <v>442.86</v>
      </c>
      <c r="Y67" s="6">
        <f ca="1">('TUSD BE'!$AM$14+'TUSD BF_350'!$AM$14+'TUSD CVA'!$AM$14)*1</f>
        <v>40.963640769708675</v>
      </c>
      <c r="Z67" s="6">
        <f ca="1">('TUSD BE'!$AM$16+'TUSD BF_350'!$AM$16+'TUSD CVA'!$AM$16)*1</f>
        <v>122.14055331663396</v>
      </c>
      <c r="AA67" s="6">
        <f ca="1">('TE BE'!$AB$9+'TE BF_350'!$AB$9+'TE CVA'!$AB$9)*1</f>
        <v>379.30999999999995</v>
      </c>
      <c r="AB67" s="6">
        <f>$K$67*$V$67</f>
        <v>69231.360000000001</v>
      </c>
      <c r="AC67" s="6">
        <f>$M$67*$W$67</f>
        <v>5740.2540000000008</v>
      </c>
      <c r="AD67" s="6">
        <f>$O$67*$X$67</f>
        <v>35233.941600000006</v>
      </c>
      <c r="AE67" s="6">
        <f ca="1">$K$67*$Y$67</f>
        <v>79305.608530155994</v>
      </c>
      <c r="AF67" s="6">
        <f ca="1">$M$67*$Z$67</f>
        <v>9717.502421871397</v>
      </c>
      <c r="AG67" s="6">
        <f ca="1">$O$67*$AA$67</f>
        <v>30177.903599999998</v>
      </c>
    </row>
    <row r="68" spans="1:33" ht="11.25" customHeight="1" x14ac:dyDescent="0.3">
      <c r="A68" s="4" t="s">
        <v>21</v>
      </c>
      <c r="B68" s="4" t="s">
        <v>39</v>
      </c>
      <c r="C68" s="4" t="s">
        <v>40</v>
      </c>
      <c r="D68" s="4" t="s">
        <v>42</v>
      </c>
      <c r="E68" s="4" t="s">
        <v>25</v>
      </c>
      <c r="F68" s="4" t="s">
        <v>25</v>
      </c>
      <c r="G68" s="4" t="s">
        <v>25</v>
      </c>
      <c r="H68" s="4" t="s">
        <v>34</v>
      </c>
      <c r="I68" s="5">
        <v>44682</v>
      </c>
      <c r="J68" s="6">
        <v>1931</v>
      </c>
      <c r="K68" s="6">
        <v>1931</v>
      </c>
      <c r="L68" s="6">
        <v>67.19</v>
      </c>
      <c r="M68" s="6">
        <v>67.19</v>
      </c>
      <c r="N68" s="6">
        <v>67.19</v>
      </c>
      <c r="O68" s="6">
        <v>67.19</v>
      </c>
      <c r="P68" s="6">
        <v>0</v>
      </c>
      <c r="Q68" s="4" t="s">
        <v>26</v>
      </c>
      <c r="R68" s="4">
        <v>0</v>
      </c>
      <c r="S68" s="6">
        <v>9</v>
      </c>
      <c r="T68" s="6">
        <v>12</v>
      </c>
      <c r="U68" s="6">
        <v>38</v>
      </c>
      <c r="V68" s="6">
        <f>IF(ISERROR(VLOOKUP($S$68,'TAR FIN'!$A$1:$O$113,15,0)),0,VLOOKUP($S$68,'TAR FIN'!$A$1:$O$113,15,0))</f>
        <v>35.76</v>
      </c>
      <c r="W68" s="6">
        <f>IF(ISERROR(VLOOKUP($T$68,'TAR FIN'!$A$1:$O$113,15,0)),0,VLOOKUP($T$68,'TAR FIN'!$A$1:$O$113,15,0))</f>
        <v>72.150000000000006</v>
      </c>
      <c r="X68" s="6">
        <f>IF(ISERROR(VLOOKUP($U$68,'TAR FIN'!$A$1:$O$113,15,0)),0,VLOOKUP($U$68,'TAR FIN'!$A$1:$O$113,15,0))</f>
        <v>442.86</v>
      </c>
      <c r="Y68" s="6">
        <f ca="1">('TUSD BE'!$AM$14+'TUSD BF_350'!$AM$14+'TUSD CVA'!$AM$14)*1</f>
        <v>40.963640769708675</v>
      </c>
      <c r="Z68" s="6">
        <f ca="1">('TUSD BE'!$AM$16+'TUSD BF_350'!$AM$16+'TUSD CVA'!$AM$16)*1</f>
        <v>122.14055331663396</v>
      </c>
      <c r="AA68" s="6">
        <f ca="1">('TE BE'!$AB$9+'TE BF_350'!$AB$9+'TE CVA'!$AB$9)*1</f>
        <v>379.30999999999995</v>
      </c>
      <c r="AB68" s="6">
        <f>$K$68*$V$68</f>
        <v>69052.56</v>
      </c>
      <c r="AC68" s="6">
        <f>$M$68*$W$68</f>
        <v>4847.7584999999999</v>
      </c>
      <c r="AD68" s="6">
        <f>$O$68*$X$68</f>
        <v>29755.7634</v>
      </c>
      <c r="AE68" s="6">
        <f ca="1">$K$68*$Y$68</f>
        <v>79100.790326307455</v>
      </c>
      <c r="AF68" s="6">
        <f ca="1">$M$68*$Z$68</f>
        <v>8206.6237773446355</v>
      </c>
      <c r="AG68" s="6">
        <f ca="1">$O$68*$AA$68</f>
        <v>25485.838899999995</v>
      </c>
    </row>
    <row r="69" spans="1:33" ht="11.25" customHeight="1" x14ac:dyDescent="0.3">
      <c r="A69" s="4" t="s">
        <v>21</v>
      </c>
      <c r="B69" s="4" t="s">
        <v>39</v>
      </c>
      <c r="C69" s="4" t="s">
        <v>40</v>
      </c>
      <c r="D69" s="4" t="s">
        <v>42</v>
      </c>
      <c r="E69" s="4" t="s">
        <v>25</v>
      </c>
      <c r="F69" s="4" t="s">
        <v>25</v>
      </c>
      <c r="G69" s="4" t="s">
        <v>25</v>
      </c>
      <c r="H69" s="4" t="s">
        <v>34</v>
      </c>
      <c r="I69" s="5">
        <v>44713</v>
      </c>
      <c r="J69" s="6">
        <v>1920</v>
      </c>
      <c r="K69" s="6">
        <v>1920</v>
      </c>
      <c r="L69" s="6">
        <v>70.957999999999998</v>
      </c>
      <c r="M69" s="6">
        <v>70.957999999999998</v>
      </c>
      <c r="N69" s="6">
        <v>70.957999999999998</v>
      </c>
      <c r="O69" s="6">
        <v>70.957999999999998</v>
      </c>
      <c r="P69" s="6">
        <v>0</v>
      </c>
      <c r="Q69" s="4" t="s">
        <v>26</v>
      </c>
      <c r="R69" s="4">
        <v>0</v>
      </c>
      <c r="S69" s="6">
        <v>9</v>
      </c>
      <c r="T69" s="6">
        <v>12</v>
      </c>
      <c r="U69" s="6">
        <v>38</v>
      </c>
      <c r="V69" s="6">
        <f>IF(ISERROR(VLOOKUP($S$69,'TAR FIN'!$A$1:$O$113,15,0)),0,VLOOKUP($S$69,'TAR FIN'!$A$1:$O$113,15,0))</f>
        <v>35.76</v>
      </c>
      <c r="W69" s="6">
        <f>IF(ISERROR(VLOOKUP($T$69,'TAR FIN'!$A$1:$O$113,15,0)),0,VLOOKUP($T$69,'TAR FIN'!$A$1:$O$113,15,0))</f>
        <v>72.150000000000006</v>
      </c>
      <c r="X69" s="6">
        <f>IF(ISERROR(VLOOKUP($U$69,'TAR FIN'!$A$1:$O$113,15,0)),0,VLOOKUP($U$69,'TAR FIN'!$A$1:$O$113,15,0))</f>
        <v>442.86</v>
      </c>
      <c r="Y69" s="6">
        <f ca="1">('TUSD BE'!$AM$14+'TUSD BF_350'!$AM$14+'TUSD CVA'!$AM$14)*1</f>
        <v>40.963640769708675</v>
      </c>
      <c r="Z69" s="6">
        <f ca="1">('TUSD BE'!$AM$16+'TUSD BF_350'!$AM$16+'TUSD CVA'!$AM$16)*1</f>
        <v>122.14055331663396</v>
      </c>
      <c r="AA69" s="6">
        <f ca="1">('TE BE'!$AB$9+'TE BF_350'!$AB$9+'TE CVA'!$AB$9)*1</f>
        <v>379.30999999999995</v>
      </c>
      <c r="AB69" s="6">
        <f>$K$69*$V$69</f>
        <v>68659.199999999997</v>
      </c>
      <c r="AC69" s="6">
        <f>$M$69*$W$69</f>
        <v>5119.6197000000002</v>
      </c>
      <c r="AD69" s="6">
        <f>$O$69*$X$69</f>
        <v>31424.459879999999</v>
      </c>
      <c r="AE69" s="6">
        <f ca="1">$K$69*$Y$69</f>
        <v>78650.190277840651</v>
      </c>
      <c r="AF69" s="6">
        <f ca="1">$M$69*$Z$69</f>
        <v>8666.8493822417113</v>
      </c>
      <c r="AG69" s="6">
        <f ca="1">$O$69*$AA$69</f>
        <v>26915.078979999995</v>
      </c>
    </row>
    <row r="70" spans="1:33" ht="11.25" customHeight="1" x14ac:dyDescent="0.3">
      <c r="A70" s="4" t="s">
        <v>21</v>
      </c>
      <c r="B70" s="4" t="s">
        <v>39</v>
      </c>
      <c r="C70" s="4" t="s">
        <v>40</v>
      </c>
      <c r="D70" s="4" t="s">
        <v>42</v>
      </c>
      <c r="E70" s="4" t="s">
        <v>25</v>
      </c>
      <c r="F70" s="4" t="s">
        <v>25</v>
      </c>
      <c r="G70" s="4" t="s">
        <v>25</v>
      </c>
      <c r="H70" s="4" t="s">
        <v>34</v>
      </c>
      <c r="I70" s="5">
        <v>44743</v>
      </c>
      <c r="J70" s="6">
        <v>1910</v>
      </c>
      <c r="K70" s="6">
        <v>1910</v>
      </c>
      <c r="L70" s="6">
        <v>68.605999999999995</v>
      </c>
      <c r="M70" s="6">
        <v>68.605999999999995</v>
      </c>
      <c r="N70" s="6">
        <v>68.605999999999995</v>
      </c>
      <c r="O70" s="6">
        <v>68.605999999999995</v>
      </c>
      <c r="P70" s="6">
        <v>0</v>
      </c>
      <c r="Q70" s="4" t="s">
        <v>26</v>
      </c>
      <c r="R70" s="4">
        <v>0</v>
      </c>
      <c r="S70" s="6">
        <v>9</v>
      </c>
      <c r="T70" s="6">
        <v>12</v>
      </c>
      <c r="U70" s="6">
        <v>38</v>
      </c>
      <c r="V70" s="6">
        <f>IF(ISERROR(VLOOKUP($S$70,'TAR FIN'!$A$1:$O$113,15,0)),0,VLOOKUP($S$70,'TAR FIN'!$A$1:$O$113,15,0))</f>
        <v>35.76</v>
      </c>
      <c r="W70" s="6">
        <f>IF(ISERROR(VLOOKUP($T$70,'TAR FIN'!$A$1:$O$113,15,0)),0,VLOOKUP($T$70,'TAR FIN'!$A$1:$O$113,15,0))</f>
        <v>72.150000000000006</v>
      </c>
      <c r="X70" s="6">
        <f>IF(ISERROR(VLOOKUP($U$70,'TAR FIN'!$A$1:$O$113,15,0)),0,VLOOKUP($U$70,'TAR FIN'!$A$1:$O$113,15,0))</f>
        <v>442.86</v>
      </c>
      <c r="Y70" s="6">
        <f ca="1">('TUSD BE'!$AM$14+'TUSD BF_350'!$AM$14+'TUSD CVA'!$AM$14)*1</f>
        <v>40.963640769708675</v>
      </c>
      <c r="Z70" s="6">
        <f ca="1">('TUSD BE'!$AM$16+'TUSD BF_350'!$AM$16+'TUSD CVA'!$AM$16)*1</f>
        <v>122.14055331663396</v>
      </c>
      <c r="AA70" s="6">
        <f ca="1">('TE BE'!$AB$9+'TE BF_350'!$AB$9+'TE CVA'!$AB$9)*1</f>
        <v>379.30999999999995</v>
      </c>
      <c r="AB70" s="6">
        <f>$K$70*$V$70</f>
        <v>68301.599999999991</v>
      </c>
      <c r="AC70" s="6">
        <f>$M$70*$W$70</f>
        <v>4949.9228999999996</v>
      </c>
      <c r="AD70" s="6">
        <f>$O$70*$X$70</f>
        <v>30382.853159999999</v>
      </c>
      <c r="AE70" s="6">
        <f ca="1">$K$70*$Y$70</f>
        <v>78240.553870143573</v>
      </c>
      <c r="AF70" s="6">
        <f ca="1">$M$70*$Z$70</f>
        <v>8379.5748008409882</v>
      </c>
      <c r="AG70" s="6">
        <f ca="1">$O$70*$AA$70</f>
        <v>26022.941859999995</v>
      </c>
    </row>
    <row r="71" spans="1:33" ht="11.25" customHeight="1" x14ac:dyDescent="0.3">
      <c r="A71" s="4" t="s">
        <v>21</v>
      </c>
      <c r="B71" s="4" t="s">
        <v>39</v>
      </c>
      <c r="C71" s="4" t="s">
        <v>40</v>
      </c>
      <c r="D71" s="4" t="s">
        <v>42</v>
      </c>
      <c r="E71" s="4" t="s">
        <v>25</v>
      </c>
      <c r="F71" s="4" t="s">
        <v>25</v>
      </c>
      <c r="G71" s="4" t="s">
        <v>25</v>
      </c>
      <c r="H71" s="4" t="s">
        <v>34</v>
      </c>
      <c r="I71" s="5">
        <v>44774</v>
      </c>
      <c r="J71" s="6">
        <v>1895</v>
      </c>
      <c r="K71" s="6">
        <v>1895</v>
      </c>
      <c r="L71" s="6">
        <v>66.989999999999995</v>
      </c>
      <c r="M71" s="6">
        <v>66.989999999999995</v>
      </c>
      <c r="N71" s="6">
        <v>66.989999999999995</v>
      </c>
      <c r="O71" s="6">
        <v>66.989999999999995</v>
      </c>
      <c r="P71" s="6">
        <v>0</v>
      </c>
      <c r="Q71" s="4" t="s">
        <v>26</v>
      </c>
      <c r="R71" s="4">
        <v>0</v>
      </c>
      <c r="S71" s="6">
        <v>9</v>
      </c>
      <c r="T71" s="6">
        <v>12</v>
      </c>
      <c r="U71" s="6">
        <v>38</v>
      </c>
      <c r="V71" s="6">
        <f>IF(ISERROR(VLOOKUP($S$71,'TAR FIN'!$A$1:$O$113,15,0)),0,VLOOKUP($S$71,'TAR FIN'!$A$1:$O$113,15,0))</f>
        <v>35.76</v>
      </c>
      <c r="W71" s="6">
        <f>IF(ISERROR(VLOOKUP($T$71,'TAR FIN'!$A$1:$O$113,15,0)),0,VLOOKUP($T$71,'TAR FIN'!$A$1:$O$113,15,0))</f>
        <v>72.150000000000006</v>
      </c>
      <c r="X71" s="6">
        <f>IF(ISERROR(VLOOKUP($U$71,'TAR FIN'!$A$1:$O$113,15,0)),0,VLOOKUP($U$71,'TAR FIN'!$A$1:$O$113,15,0))</f>
        <v>442.86</v>
      </c>
      <c r="Y71" s="6">
        <f ca="1">('TUSD BE'!$AM$14+'TUSD BF_350'!$AM$14+'TUSD CVA'!$AM$14)*1</f>
        <v>40.963640769708675</v>
      </c>
      <c r="Z71" s="6">
        <f ca="1">('TUSD BE'!$AM$16+'TUSD BF_350'!$AM$16+'TUSD CVA'!$AM$16)*1</f>
        <v>122.14055331663396</v>
      </c>
      <c r="AA71" s="6">
        <f ca="1">('TE BE'!$AB$9+'TE BF_350'!$AB$9+'TE CVA'!$AB$9)*1</f>
        <v>379.30999999999995</v>
      </c>
      <c r="AB71" s="6">
        <f>$K$71*$V$71</f>
        <v>67765.2</v>
      </c>
      <c r="AC71" s="6">
        <f>$M$71*$W$71</f>
        <v>4833.3284999999996</v>
      </c>
      <c r="AD71" s="6">
        <f>$O$71*$X$71</f>
        <v>29667.1914</v>
      </c>
      <c r="AE71" s="6">
        <f ca="1">$K$71*$Y$71</f>
        <v>77626.09925859794</v>
      </c>
      <c r="AF71" s="6">
        <f ca="1">$M$71*$Z$71</f>
        <v>8182.1956666813085</v>
      </c>
      <c r="AG71" s="6">
        <f ca="1">$O$71*$AA$71</f>
        <v>25409.976899999994</v>
      </c>
    </row>
    <row r="72" spans="1:33" ht="11.25" customHeight="1" x14ac:dyDescent="0.3">
      <c r="A72" s="4" t="s">
        <v>21</v>
      </c>
      <c r="B72" s="4" t="s">
        <v>39</v>
      </c>
      <c r="C72" s="4" t="s">
        <v>40</v>
      </c>
      <c r="D72" s="4" t="s">
        <v>42</v>
      </c>
      <c r="E72" s="4" t="s">
        <v>25</v>
      </c>
      <c r="F72" s="4" t="s">
        <v>25</v>
      </c>
      <c r="G72" s="4" t="s">
        <v>25</v>
      </c>
      <c r="H72" s="4" t="s">
        <v>34</v>
      </c>
      <c r="I72" s="5">
        <v>44805</v>
      </c>
      <c r="J72" s="6">
        <v>1905</v>
      </c>
      <c r="K72" s="6">
        <v>1905</v>
      </c>
      <c r="L72" s="6">
        <v>70.778999999999996</v>
      </c>
      <c r="M72" s="6">
        <v>70.778999999999996</v>
      </c>
      <c r="N72" s="6">
        <v>70.778999999999996</v>
      </c>
      <c r="O72" s="6">
        <v>70.778999999999996</v>
      </c>
      <c r="P72" s="6">
        <v>0</v>
      </c>
      <c r="Q72" s="4" t="s">
        <v>26</v>
      </c>
      <c r="R72" s="4">
        <v>0</v>
      </c>
      <c r="S72" s="6">
        <v>9</v>
      </c>
      <c r="T72" s="6">
        <v>12</v>
      </c>
      <c r="U72" s="6">
        <v>38</v>
      </c>
      <c r="V72" s="6">
        <f>IF(ISERROR(VLOOKUP($S$72,'TAR FIN'!$A$1:$O$113,15,0)),0,VLOOKUP($S$72,'TAR FIN'!$A$1:$O$113,15,0))</f>
        <v>35.76</v>
      </c>
      <c r="W72" s="6">
        <f>IF(ISERROR(VLOOKUP($T$72,'TAR FIN'!$A$1:$O$113,15,0)),0,VLOOKUP($T$72,'TAR FIN'!$A$1:$O$113,15,0))</f>
        <v>72.150000000000006</v>
      </c>
      <c r="X72" s="6">
        <f>IF(ISERROR(VLOOKUP($U$72,'TAR FIN'!$A$1:$O$113,15,0)),0,VLOOKUP($U$72,'TAR FIN'!$A$1:$O$113,15,0))</f>
        <v>442.86</v>
      </c>
      <c r="Y72" s="6">
        <f ca="1">('TUSD BE'!$AM$14+'TUSD BF_350'!$AM$14+'TUSD CVA'!$AM$14)*1</f>
        <v>40.963640769708675</v>
      </c>
      <c r="Z72" s="6">
        <f ca="1">('TUSD BE'!$AM$16+'TUSD BF_350'!$AM$16+'TUSD CVA'!$AM$16)*1</f>
        <v>122.14055331663396</v>
      </c>
      <c r="AA72" s="6">
        <f ca="1">('TE BE'!$AB$9+'TE BF_350'!$AB$9+'TE CVA'!$AB$9)*1</f>
        <v>379.30999999999995</v>
      </c>
      <c r="AB72" s="6">
        <f>$K$72*$V$72</f>
        <v>68122.8</v>
      </c>
      <c r="AC72" s="6">
        <f>$M$72*$W$72</f>
        <v>5106.7048500000001</v>
      </c>
      <c r="AD72" s="6">
        <f>$O$72*$X$72</f>
        <v>31345.18794</v>
      </c>
      <c r="AE72" s="6">
        <f ca="1">$K$72*$Y$72</f>
        <v>78035.735666295033</v>
      </c>
      <c r="AF72" s="6">
        <f ca="1">$M$72*$Z$72</f>
        <v>8644.9862231980351</v>
      </c>
      <c r="AG72" s="6">
        <f ca="1">$O$72*$AA$72</f>
        <v>26847.182489999996</v>
      </c>
    </row>
    <row r="73" spans="1:33" ht="11.25" customHeight="1" x14ac:dyDescent="0.3">
      <c r="A73" s="4" t="s">
        <v>53</v>
      </c>
      <c r="B73" s="4" t="s">
        <v>39</v>
      </c>
      <c r="C73" s="4" t="s">
        <v>40</v>
      </c>
      <c r="D73" s="4" t="s">
        <v>42</v>
      </c>
      <c r="E73" s="4" t="s">
        <v>25</v>
      </c>
      <c r="F73" s="4" t="s">
        <v>25</v>
      </c>
      <c r="G73" s="4" t="s">
        <v>25</v>
      </c>
      <c r="H73" s="4" t="s">
        <v>34</v>
      </c>
      <c r="I73" s="5">
        <v>44835</v>
      </c>
      <c r="J73" s="6">
        <v>1905</v>
      </c>
      <c r="K73" s="6">
        <v>1905</v>
      </c>
      <c r="L73" s="6">
        <v>70.778999999999996</v>
      </c>
      <c r="M73" s="6">
        <v>70.778999999999996</v>
      </c>
      <c r="N73" s="6">
        <v>70.778999999999996</v>
      </c>
      <c r="O73" s="6">
        <v>70.778999999999996</v>
      </c>
      <c r="P73" s="6">
        <v>0</v>
      </c>
      <c r="Q73" s="4" t="s">
        <v>26</v>
      </c>
      <c r="R73" s="4">
        <v>0</v>
      </c>
      <c r="S73" s="6">
        <v>9</v>
      </c>
      <c r="T73" s="6">
        <v>12</v>
      </c>
      <c r="U73" s="6">
        <v>38</v>
      </c>
      <c r="V73" s="6">
        <f>IF(ISERROR(VLOOKUP($S$73,'TAR FIN'!$A$1:$O$113,15,0)),0,VLOOKUP($S$73,'TAR FIN'!$A$1:$O$113,15,0))</f>
        <v>35.76</v>
      </c>
      <c r="W73" s="6">
        <f>IF(ISERROR(VLOOKUP($T$73,'TAR FIN'!$A$1:$O$113,15,0)),0,VLOOKUP($T$73,'TAR FIN'!$A$1:$O$113,15,0))</f>
        <v>72.150000000000006</v>
      </c>
      <c r="X73" s="6">
        <f>IF(ISERROR(VLOOKUP($U$73,'TAR FIN'!$A$1:$O$113,15,0)),0,VLOOKUP($U$73,'TAR FIN'!$A$1:$O$113,15,0))</f>
        <v>442.86</v>
      </c>
      <c r="Y73" s="6">
        <f ca="1">('TUSD BE'!$AM$14+'TUSD BF_350'!$AM$14+'TUSD CVA'!$AM$14)*1</f>
        <v>40.963640769708675</v>
      </c>
      <c r="Z73" s="6">
        <f ca="1">('TUSD BE'!$AM$16+'TUSD BF_350'!$AM$16+'TUSD CVA'!$AM$16)*1</f>
        <v>122.14055331663396</v>
      </c>
      <c r="AA73" s="6">
        <f ca="1">('TE BE'!$AB$9+'TE BF_350'!$AB$9+'TE CVA'!$AB$9)*1</f>
        <v>379.30999999999995</v>
      </c>
      <c r="AB73" s="6">
        <f>$K$73*$V$73</f>
        <v>68122.8</v>
      </c>
      <c r="AC73" s="6">
        <f>$M$73*$W$73</f>
        <v>5106.7048500000001</v>
      </c>
      <c r="AD73" s="6">
        <f>$O$73*$X$73</f>
        <v>31345.18794</v>
      </c>
      <c r="AE73" s="6">
        <f ca="1">$K$73*$Y$73</f>
        <v>78035.735666295033</v>
      </c>
      <c r="AF73" s="6">
        <f ca="1">$M$73*$Z$73</f>
        <v>8644.9862231980351</v>
      </c>
      <c r="AG73" s="6">
        <f ca="1">$O$73*$AA$73</f>
        <v>26847.182489999996</v>
      </c>
    </row>
    <row r="74" spans="1:33" ht="11.25" customHeight="1" x14ac:dyDescent="0.3">
      <c r="A74" s="4" t="s">
        <v>21</v>
      </c>
      <c r="B74" s="4" t="s">
        <v>39</v>
      </c>
      <c r="C74" s="4" t="s">
        <v>40</v>
      </c>
      <c r="D74" s="4" t="s">
        <v>38</v>
      </c>
      <c r="E74" s="4" t="s">
        <v>25</v>
      </c>
      <c r="F74" s="4" t="s">
        <v>56</v>
      </c>
      <c r="G74" s="4" t="s">
        <v>25</v>
      </c>
      <c r="H74" s="4" t="s">
        <v>35</v>
      </c>
      <c r="I74" s="5">
        <v>44501</v>
      </c>
      <c r="J74" s="6">
        <v>16301</v>
      </c>
      <c r="K74" s="6">
        <v>10335.36166337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4" t="s">
        <v>55</v>
      </c>
      <c r="R74" s="4">
        <v>0</v>
      </c>
      <c r="S74" s="6">
        <v>22</v>
      </c>
      <c r="T74" s="6">
        <v>0</v>
      </c>
      <c r="U74" s="6">
        <v>0</v>
      </c>
      <c r="V74" s="6">
        <f>IF(ISERROR(VLOOKUP($S$74,'TAR FIN'!$A$1:$O$113,15,0)),0,VLOOKUP($S$74,'TAR FIN'!$A$1:$O$113,15,0))</f>
        <v>14</v>
      </c>
      <c r="W74" s="6">
        <f>IF(ISERROR(VLOOKUP($T$74,'TAR FIN'!$A$1:$O$113,15,0)),0,VLOOKUP($T$74,'TAR FIN'!$A$1:$O$113,15,0))</f>
        <v>0</v>
      </c>
      <c r="X74" s="6">
        <f>IF(ISERROR(VLOOKUP($U$74,'TAR FIN'!$A$1:$O$113,15,0)),0,VLOOKUP($U$74,'TAR FIN'!$A$1:$O$113,15,0))</f>
        <v>0</v>
      </c>
      <c r="Y74" s="6">
        <f ca="1">('TUSD BE'!$AM$15+'TUSD BF_350'!$AM$15+'TUSD CVA'!$AM$15)*1</f>
        <v>16.035953923331604</v>
      </c>
      <c r="Z74" s="6">
        <f ca="1">('TUSD BE'!$AM$16+'TUSD BF_350'!$AM$16+'TUSD CVA'!$AM$16)*1</f>
        <v>122.14055331663396</v>
      </c>
      <c r="AA74" s="6"/>
      <c r="AB74" s="6">
        <f>$K$74*$V$74</f>
        <v>144695.06328718</v>
      </c>
      <c r="AC74" s="6">
        <f>$M$74*$W$74</f>
        <v>0</v>
      </c>
      <c r="AD74" s="6">
        <f>$O$74*$X$74</f>
        <v>0</v>
      </c>
      <c r="AE74" s="6">
        <f ca="1">$K$74*$Y$74</f>
        <v>165737.38341476923</v>
      </c>
      <c r="AF74" s="6">
        <f ca="1">$M$74*$Z$74</f>
        <v>0</v>
      </c>
      <c r="AG74" s="6">
        <f>$O$74*$AA$74</f>
        <v>0</v>
      </c>
    </row>
    <row r="75" spans="1:33" ht="11.25" customHeight="1" x14ac:dyDescent="0.3">
      <c r="A75" s="4" t="s">
        <v>21</v>
      </c>
      <c r="B75" s="4" t="s">
        <v>39</v>
      </c>
      <c r="C75" s="4" t="s">
        <v>40</v>
      </c>
      <c r="D75" s="4" t="s">
        <v>38</v>
      </c>
      <c r="E75" s="4" t="s">
        <v>25</v>
      </c>
      <c r="F75" s="4" t="s">
        <v>56</v>
      </c>
      <c r="G75" s="4" t="s">
        <v>25</v>
      </c>
      <c r="H75" s="4" t="s">
        <v>35</v>
      </c>
      <c r="I75" s="5">
        <v>44531</v>
      </c>
      <c r="J75" s="6">
        <v>16297</v>
      </c>
      <c r="K75" s="6">
        <v>10474.71161608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4" t="s">
        <v>55</v>
      </c>
      <c r="R75" s="4">
        <v>0</v>
      </c>
      <c r="S75" s="6">
        <v>22</v>
      </c>
      <c r="T75" s="6">
        <v>0</v>
      </c>
      <c r="U75" s="6">
        <v>0</v>
      </c>
      <c r="V75" s="6">
        <f>IF(ISERROR(VLOOKUP($S$75,'TAR FIN'!$A$1:$O$113,15,0)),0,VLOOKUP($S$75,'TAR FIN'!$A$1:$O$113,15,0))</f>
        <v>14</v>
      </c>
      <c r="W75" s="6">
        <f>IF(ISERROR(VLOOKUP($T$75,'TAR FIN'!$A$1:$O$113,15,0)),0,VLOOKUP($T$75,'TAR FIN'!$A$1:$O$113,15,0))</f>
        <v>0</v>
      </c>
      <c r="X75" s="6">
        <f>IF(ISERROR(VLOOKUP($U$75,'TAR FIN'!$A$1:$O$113,15,0)),0,VLOOKUP($U$75,'TAR FIN'!$A$1:$O$113,15,0))</f>
        <v>0</v>
      </c>
      <c r="Y75" s="6">
        <f ca="1">('TUSD BE'!$AM$15+'TUSD BF_350'!$AM$15+'TUSD CVA'!$AM$15)*1</f>
        <v>16.035953923331604</v>
      </c>
      <c r="Z75" s="6">
        <f ca="1">('TUSD BE'!$AM$16+'TUSD BF_350'!$AM$16+'TUSD CVA'!$AM$16)*1</f>
        <v>122.14055331663396</v>
      </c>
      <c r="AA75" s="6"/>
      <c r="AB75" s="6">
        <f>$K$75*$V$75</f>
        <v>146645.96262512001</v>
      </c>
      <c r="AC75" s="6">
        <f>$M$75*$W$75</f>
        <v>0</v>
      </c>
      <c r="AD75" s="6">
        <f>$O$75*$X$75</f>
        <v>0</v>
      </c>
      <c r="AE75" s="6">
        <f ca="1">$K$75*$Y$75</f>
        <v>167971.99283564519</v>
      </c>
      <c r="AF75" s="6">
        <f ca="1">$M$75*$Z$75</f>
        <v>0</v>
      </c>
      <c r="AG75" s="6">
        <f>$O$75*$AA$75</f>
        <v>0</v>
      </c>
    </row>
    <row r="76" spans="1:33" ht="11.25" customHeight="1" x14ac:dyDescent="0.3">
      <c r="A76" s="4" t="s">
        <v>21</v>
      </c>
      <c r="B76" s="4" t="s">
        <v>39</v>
      </c>
      <c r="C76" s="4" t="s">
        <v>40</v>
      </c>
      <c r="D76" s="4" t="s">
        <v>38</v>
      </c>
      <c r="E76" s="4" t="s">
        <v>25</v>
      </c>
      <c r="F76" s="4" t="s">
        <v>56</v>
      </c>
      <c r="G76" s="4" t="s">
        <v>25</v>
      </c>
      <c r="H76" s="4" t="s">
        <v>35</v>
      </c>
      <c r="I76" s="5">
        <v>44562</v>
      </c>
      <c r="J76" s="6">
        <v>16147</v>
      </c>
      <c r="K76" s="6">
        <v>9214.2392081100006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4" t="s">
        <v>55</v>
      </c>
      <c r="R76" s="4">
        <v>0</v>
      </c>
      <c r="S76" s="6">
        <v>22</v>
      </c>
      <c r="T76" s="6">
        <v>0</v>
      </c>
      <c r="U76" s="6">
        <v>0</v>
      </c>
      <c r="V76" s="6">
        <f>IF(ISERROR(VLOOKUP($S$76,'TAR FIN'!$A$1:$O$113,15,0)),0,VLOOKUP($S$76,'TAR FIN'!$A$1:$O$113,15,0))</f>
        <v>14</v>
      </c>
      <c r="W76" s="6">
        <f>IF(ISERROR(VLOOKUP($T$76,'TAR FIN'!$A$1:$O$113,15,0)),0,VLOOKUP($T$76,'TAR FIN'!$A$1:$O$113,15,0))</f>
        <v>0</v>
      </c>
      <c r="X76" s="6">
        <f>IF(ISERROR(VLOOKUP($U$76,'TAR FIN'!$A$1:$O$113,15,0)),0,VLOOKUP($U$76,'TAR FIN'!$A$1:$O$113,15,0))</f>
        <v>0</v>
      </c>
      <c r="Y76" s="6">
        <f ca="1">('TUSD BE'!$AM$15+'TUSD BF_350'!$AM$15+'TUSD CVA'!$AM$15)*1</f>
        <v>16.035953923331604</v>
      </c>
      <c r="Z76" s="6">
        <f ca="1">('TUSD BE'!$AM$16+'TUSD BF_350'!$AM$16+'TUSD CVA'!$AM$16)*1</f>
        <v>122.14055331663396</v>
      </c>
      <c r="AA76" s="6"/>
      <c r="AB76" s="6">
        <f>$K$76*$V$76</f>
        <v>128999.34891354002</v>
      </c>
      <c r="AC76" s="6">
        <f>$M$76*$W$76</f>
        <v>0</v>
      </c>
      <c r="AD76" s="6">
        <f>$O$76*$X$76</f>
        <v>0</v>
      </c>
      <c r="AE76" s="6">
        <f ca="1">$K$76*$Y$76</f>
        <v>147759.11537980745</v>
      </c>
      <c r="AF76" s="6">
        <f ca="1">$M$76*$Z$76</f>
        <v>0</v>
      </c>
      <c r="AG76" s="6">
        <f>$O$76*$AA$76</f>
        <v>0</v>
      </c>
    </row>
    <row r="77" spans="1:33" ht="11.25" customHeight="1" x14ac:dyDescent="0.3">
      <c r="A77" s="4" t="s">
        <v>21</v>
      </c>
      <c r="B77" s="4" t="s">
        <v>39</v>
      </c>
      <c r="C77" s="4" t="s">
        <v>40</v>
      </c>
      <c r="D77" s="4" t="s">
        <v>38</v>
      </c>
      <c r="E77" s="4" t="s">
        <v>25</v>
      </c>
      <c r="F77" s="4" t="s">
        <v>56</v>
      </c>
      <c r="G77" s="4" t="s">
        <v>25</v>
      </c>
      <c r="H77" s="4" t="s">
        <v>35</v>
      </c>
      <c r="I77" s="5">
        <v>44593</v>
      </c>
      <c r="J77" s="6">
        <v>16220</v>
      </c>
      <c r="K77" s="6">
        <v>9574.3093222000007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4" t="s">
        <v>55</v>
      </c>
      <c r="R77" s="4">
        <v>0</v>
      </c>
      <c r="S77" s="6">
        <v>22</v>
      </c>
      <c r="T77" s="6">
        <v>0</v>
      </c>
      <c r="U77" s="6">
        <v>0</v>
      </c>
      <c r="V77" s="6">
        <f>IF(ISERROR(VLOOKUP($S$77,'TAR FIN'!$A$1:$O$113,15,0)),0,VLOOKUP($S$77,'TAR FIN'!$A$1:$O$113,15,0))</f>
        <v>14</v>
      </c>
      <c r="W77" s="6">
        <f>IF(ISERROR(VLOOKUP($T$77,'TAR FIN'!$A$1:$O$113,15,0)),0,VLOOKUP($T$77,'TAR FIN'!$A$1:$O$113,15,0))</f>
        <v>0</v>
      </c>
      <c r="X77" s="6">
        <f>IF(ISERROR(VLOOKUP($U$77,'TAR FIN'!$A$1:$O$113,15,0)),0,VLOOKUP($U$77,'TAR FIN'!$A$1:$O$113,15,0))</f>
        <v>0</v>
      </c>
      <c r="Y77" s="6">
        <f ca="1">('TUSD BE'!$AM$15+'TUSD BF_350'!$AM$15+'TUSD CVA'!$AM$15)*1</f>
        <v>16.035953923331604</v>
      </c>
      <c r="Z77" s="6">
        <f ca="1">('TUSD BE'!$AM$16+'TUSD BF_350'!$AM$16+'TUSD CVA'!$AM$16)*1</f>
        <v>122.14055331663396</v>
      </c>
      <c r="AA77" s="6"/>
      <c r="AB77" s="6">
        <f>$K$77*$V$77</f>
        <v>134040.33051080001</v>
      </c>
      <c r="AC77" s="6">
        <f>$M$77*$W$77</f>
        <v>0</v>
      </c>
      <c r="AD77" s="6">
        <f>$O$77*$X$77</f>
        <v>0</v>
      </c>
      <c r="AE77" s="6">
        <f ca="1">$K$77*$Y$77</f>
        <v>153533.18313852345</v>
      </c>
      <c r="AF77" s="6">
        <f ca="1">$M$77*$Z$77</f>
        <v>0</v>
      </c>
      <c r="AG77" s="6">
        <f>$O$77*$AA$77</f>
        <v>0</v>
      </c>
    </row>
    <row r="78" spans="1:33" ht="11.25" customHeight="1" x14ac:dyDescent="0.3">
      <c r="A78" s="4" t="s">
        <v>21</v>
      </c>
      <c r="B78" s="4" t="s">
        <v>39</v>
      </c>
      <c r="C78" s="4" t="s">
        <v>40</v>
      </c>
      <c r="D78" s="4" t="s">
        <v>38</v>
      </c>
      <c r="E78" s="4" t="s">
        <v>25</v>
      </c>
      <c r="F78" s="4" t="s">
        <v>56</v>
      </c>
      <c r="G78" s="4" t="s">
        <v>25</v>
      </c>
      <c r="H78" s="4" t="s">
        <v>35</v>
      </c>
      <c r="I78" s="5">
        <v>44621</v>
      </c>
      <c r="J78" s="6">
        <v>16455</v>
      </c>
      <c r="K78" s="6">
        <v>8810.7828532500007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4" t="s">
        <v>55</v>
      </c>
      <c r="R78" s="4">
        <v>0</v>
      </c>
      <c r="S78" s="6">
        <v>22</v>
      </c>
      <c r="T78" s="6">
        <v>0</v>
      </c>
      <c r="U78" s="6">
        <v>0</v>
      </c>
      <c r="V78" s="6">
        <f>IF(ISERROR(VLOOKUP($S$78,'TAR FIN'!$A$1:$O$113,15,0)),0,VLOOKUP($S$78,'TAR FIN'!$A$1:$O$113,15,0))</f>
        <v>14</v>
      </c>
      <c r="W78" s="6">
        <f>IF(ISERROR(VLOOKUP($T$78,'TAR FIN'!$A$1:$O$113,15,0)),0,VLOOKUP($T$78,'TAR FIN'!$A$1:$O$113,15,0))</f>
        <v>0</v>
      </c>
      <c r="X78" s="6">
        <f>IF(ISERROR(VLOOKUP($U$78,'TAR FIN'!$A$1:$O$113,15,0)),0,VLOOKUP($U$78,'TAR FIN'!$A$1:$O$113,15,0))</f>
        <v>0</v>
      </c>
      <c r="Y78" s="6">
        <f ca="1">('TUSD BE'!$AM$15+'TUSD BF_350'!$AM$15+'TUSD CVA'!$AM$15)*1</f>
        <v>16.035953923331604</v>
      </c>
      <c r="Z78" s="6">
        <f ca="1">('TUSD BE'!$AM$16+'TUSD BF_350'!$AM$16+'TUSD CVA'!$AM$16)*1</f>
        <v>122.14055331663396</v>
      </c>
      <c r="AA78" s="6"/>
      <c r="AB78" s="6">
        <f>$K$78*$V$78</f>
        <v>123350.95994550001</v>
      </c>
      <c r="AC78" s="6">
        <f>$M$78*$W$78</f>
        <v>0</v>
      </c>
      <c r="AD78" s="6">
        <f>$O$78*$X$78</f>
        <v>0</v>
      </c>
      <c r="AE78" s="6">
        <f ca="1">$K$78*$Y$78</f>
        <v>141289.30786319717</v>
      </c>
      <c r="AF78" s="6">
        <f ca="1">$M$78*$Z$78</f>
        <v>0</v>
      </c>
      <c r="AG78" s="6">
        <f>$O$78*$AA$78</f>
        <v>0</v>
      </c>
    </row>
    <row r="79" spans="1:33" ht="11.25" customHeight="1" x14ac:dyDescent="0.3">
      <c r="A79" s="4" t="s">
        <v>21</v>
      </c>
      <c r="B79" s="4" t="s">
        <v>39</v>
      </c>
      <c r="C79" s="4" t="s">
        <v>40</v>
      </c>
      <c r="D79" s="4" t="s">
        <v>38</v>
      </c>
      <c r="E79" s="4" t="s">
        <v>25</v>
      </c>
      <c r="F79" s="4" t="s">
        <v>56</v>
      </c>
      <c r="G79" s="4" t="s">
        <v>25</v>
      </c>
      <c r="H79" s="4" t="s">
        <v>35</v>
      </c>
      <c r="I79" s="5">
        <v>44652</v>
      </c>
      <c r="J79" s="6">
        <v>16206</v>
      </c>
      <c r="K79" s="6">
        <v>8001.9643412400001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4" t="s">
        <v>55</v>
      </c>
      <c r="R79" s="4">
        <v>0</v>
      </c>
      <c r="S79" s="6">
        <v>22</v>
      </c>
      <c r="T79" s="6">
        <v>0</v>
      </c>
      <c r="U79" s="6">
        <v>0</v>
      </c>
      <c r="V79" s="6">
        <f>IF(ISERROR(VLOOKUP($S$79,'TAR FIN'!$A$1:$O$113,15,0)),0,VLOOKUP($S$79,'TAR FIN'!$A$1:$O$113,15,0))</f>
        <v>14</v>
      </c>
      <c r="W79" s="6">
        <f>IF(ISERROR(VLOOKUP($T$79,'TAR FIN'!$A$1:$O$113,15,0)),0,VLOOKUP($T$79,'TAR FIN'!$A$1:$O$113,15,0))</f>
        <v>0</v>
      </c>
      <c r="X79" s="6">
        <f>IF(ISERROR(VLOOKUP($U$79,'TAR FIN'!$A$1:$O$113,15,0)),0,VLOOKUP($U$79,'TAR FIN'!$A$1:$O$113,15,0))</f>
        <v>0</v>
      </c>
      <c r="Y79" s="6">
        <f ca="1">('TUSD BE'!$AM$15+'TUSD BF_350'!$AM$15+'TUSD CVA'!$AM$15)*1</f>
        <v>16.035953923331604</v>
      </c>
      <c r="Z79" s="6">
        <f ca="1">('TUSD BE'!$AM$16+'TUSD BF_350'!$AM$16+'TUSD CVA'!$AM$16)*1</f>
        <v>122.14055331663396</v>
      </c>
      <c r="AA79" s="6"/>
      <c r="AB79" s="6">
        <f>$K$79*$V$79</f>
        <v>112027.50077735999</v>
      </c>
      <c r="AC79" s="6">
        <f>$M$79*$W$79</f>
        <v>0</v>
      </c>
      <c r="AD79" s="6">
        <f>$O$79*$X$79</f>
        <v>0</v>
      </c>
      <c r="AE79" s="6">
        <f ca="1">$K$79*$Y$79</f>
        <v>128319.13147226718</v>
      </c>
      <c r="AF79" s="6">
        <f ca="1">$M$79*$Z$79</f>
        <v>0</v>
      </c>
      <c r="AG79" s="6">
        <f>$O$79*$AA$79</f>
        <v>0</v>
      </c>
    </row>
    <row r="80" spans="1:33" ht="11.25" customHeight="1" x14ac:dyDescent="0.3">
      <c r="A80" s="4" t="s">
        <v>21</v>
      </c>
      <c r="B80" s="4" t="s">
        <v>39</v>
      </c>
      <c r="C80" s="4" t="s">
        <v>40</v>
      </c>
      <c r="D80" s="4" t="s">
        <v>38</v>
      </c>
      <c r="E80" s="4" t="s">
        <v>25</v>
      </c>
      <c r="F80" s="4" t="s">
        <v>56</v>
      </c>
      <c r="G80" s="4" t="s">
        <v>25</v>
      </c>
      <c r="H80" s="4" t="s">
        <v>35</v>
      </c>
      <c r="I80" s="5">
        <v>44682</v>
      </c>
      <c r="J80" s="6">
        <v>16280</v>
      </c>
      <c r="K80" s="6">
        <v>10594.502877200001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4" t="s">
        <v>55</v>
      </c>
      <c r="R80" s="4">
        <v>0</v>
      </c>
      <c r="S80" s="6">
        <v>22</v>
      </c>
      <c r="T80" s="6">
        <v>0</v>
      </c>
      <c r="U80" s="6">
        <v>0</v>
      </c>
      <c r="V80" s="6">
        <f>IF(ISERROR(VLOOKUP($S$80,'TAR FIN'!$A$1:$O$113,15,0)),0,VLOOKUP($S$80,'TAR FIN'!$A$1:$O$113,15,0))</f>
        <v>14</v>
      </c>
      <c r="W80" s="6">
        <f>IF(ISERROR(VLOOKUP($T$80,'TAR FIN'!$A$1:$O$113,15,0)),0,VLOOKUP($T$80,'TAR FIN'!$A$1:$O$113,15,0))</f>
        <v>0</v>
      </c>
      <c r="X80" s="6">
        <f>IF(ISERROR(VLOOKUP($U$80,'TAR FIN'!$A$1:$O$113,15,0)),0,VLOOKUP($U$80,'TAR FIN'!$A$1:$O$113,15,0))</f>
        <v>0</v>
      </c>
      <c r="Y80" s="6">
        <f ca="1">('TUSD BE'!$AM$15+'TUSD BF_350'!$AM$15+'TUSD CVA'!$AM$15)*1</f>
        <v>16.035953923331604</v>
      </c>
      <c r="Z80" s="6">
        <f ca="1">('TUSD BE'!$AM$16+'TUSD BF_350'!$AM$16+'TUSD CVA'!$AM$16)*1</f>
        <v>122.14055331663396</v>
      </c>
      <c r="AA80" s="6"/>
      <c r="AB80" s="6">
        <f>$K$80*$V$80</f>
        <v>148323.04028080002</v>
      </c>
      <c r="AC80" s="6">
        <f>$M$80*$W$80</f>
        <v>0</v>
      </c>
      <c r="AD80" s="6">
        <f>$O$80*$X$80</f>
        <v>0</v>
      </c>
      <c r="AE80" s="6">
        <f ca="1">$K$80*$Y$80</f>
        <v>169892.9599793833</v>
      </c>
      <c r="AF80" s="6">
        <f ca="1">$M$80*$Z$80</f>
        <v>0</v>
      </c>
      <c r="AG80" s="6">
        <f>$O$80*$AA$80</f>
        <v>0</v>
      </c>
    </row>
    <row r="81" spans="1:33" ht="11.25" customHeight="1" x14ac:dyDescent="0.3">
      <c r="A81" s="4" t="s">
        <v>21</v>
      </c>
      <c r="B81" s="4" t="s">
        <v>39</v>
      </c>
      <c r="C81" s="4" t="s">
        <v>40</v>
      </c>
      <c r="D81" s="4" t="s">
        <v>38</v>
      </c>
      <c r="E81" s="4" t="s">
        <v>25</v>
      </c>
      <c r="F81" s="4" t="s">
        <v>56</v>
      </c>
      <c r="G81" s="4" t="s">
        <v>25</v>
      </c>
      <c r="H81" s="4" t="s">
        <v>35</v>
      </c>
      <c r="I81" s="5">
        <v>44713</v>
      </c>
      <c r="J81" s="6">
        <v>16089</v>
      </c>
      <c r="K81" s="6">
        <v>9780.4807362899992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4" t="s">
        <v>55</v>
      </c>
      <c r="R81" s="4">
        <v>0</v>
      </c>
      <c r="S81" s="6">
        <v>22</v>
      </c>
      <c r="T81" s="6">
        <v>0</v>
      </c>
      <c r="U81" s="6">
        <v>0</v>
      </c>
      <c r="V81" s="6">
        <f>IF(ISERROR(VLOOKUP($S$81,'TAR FIN'!$A$1:$O$113,15,0)),0,VLOOKUP($S$81,'TAR FIN'!$A$1:$O$113,15,0))</f>
        <v>14</v>
      </c>
      <c r="W81" s="6">
        <f>IF(ISERROR(VLOOKUP($T$81,'TAR FIN'!$A$1:$O$113,15,0)),0,VLOOKUP($T$81,'TAR FIN'!$A$1:$O$113,15,0))</f>
        <v>0</v>
      </c>
      <c r="X81" s="6">
        <f>IF(ISERROR(VLOOKUP($U$81,'TAR FIN'!$A$1:$O$113,15,0)),0,VLOOKUP($U$81,'TAR FIN'!$A$1:$O$113,15,0))</f>
        <v>0</v>
      </c>
      <c r="Y81" s="6">
        <f ca="1">('TUSD BE'!$AM$15+'TUSD BF_350'!$AM$15+'TUSD CVA'!$AM$15)*1</f>
        <v>16.035953923331604</v>
      </c>
      <c r="Z81" s="6">
        <f ca="1">('TUSD BE'!$AM$16+'TUSD BF_350'!$AM$16+'TUSD CVA'!$AM$16)*1</f>
        <v>122.14055331663396</v>
      </c>
      <c r="AA81" s="6"/>
      <c r="AB81" s="6">
        <f>$K$81*$V$81</f>
        <v>136926.73030805998</v>
      </c>
      <c r="AC81" s="6">
        <f>$M$81*$W$81</f>
        <v>0</v>
      </c>
      <c r="AD81" s="6">
        <f>$O$81*$X$81</f>
        <v>0</v>
      </c>
      <c r="AE81" s="6">
        <f ca="1">$K$81*$Y$81</f>
        <v>156839.3384351788</v>
      </c>
      <c r="AF81" s="6">
        <f ca="1">$M$81*$Z$81</f>
        <v>0</v>
      </c>
      <c r="AG81" s="6">
        <f>$O$81*$AA$81</f>
        <v>0</v>
      </c>
    </row>
    <row r="82" spans="1:33" ht="11.25" customHeight="1" x14ac:dyDescent="0.3">
      <c r="A82" s="4" t="s">
        <v>21</v>
      </c>
      <c r="B82" s="4" t="s">
        <v>39</v>
      </c>
      <c r="C82" s="4" t="s">
        <v>40</v>
      </c>
      <c r="D82" s="4" t="s">
        <v>38</v>
      </c>
      <c r="E82" s="4" t="s">
        <v>25</v>
      </c>
      <c r="F82" s="4" t="s">
        <v>56</v>
      </c>
      <c r="G82" s="4" t="s">
        <v>25</v>
      </c>
      <c r="H82" s="4" t="s">
        <v>35</v>
      </c>
      <c r="I82" s="5">
        <v>44743</v>
      </c>
      <c r="J82" s="6">
        <v>16156</v>
      </c>
      <c r="K82" s="6">
        <v>8011.3249957999997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4" t="s">
        <v>55</v>
      </c>
      <c r="R82" s="4">
        <v>0</v>
      </c>
      <c r="S82" s="6">
        <v>22</v>
      </c>
      <c r="T82" s="6">
        <v>0</v>
      </c>
      <c r="U82" s="6">
        <v>0</v>
      </c>
      <c r="V82" s="6">
        <f>IF(ISERROR(VLOOKUP($S$82,'TAR FIN'!$A$1:$O$113,15,0)),0,VLOOKUP($S$82,'TAR FIN'!$A$1:$O$113,15,0))</f>
        <v>14</v>
      </c>
      <c r="W82" s="6">
        <f>IF(ISERROR(VLOOKUP($T$82,'TAR FIN'!$A$1:$O$113,15,0)),0,VLOOKUP($T$82,'TAR FIN'!$A$1:$O$113,15,0))</f>
        <v>0</v>
      </c>
      <c r="X82" s="6">
        <f>IF(ISERROR(VLOOKUP($U$82,'TAR FIN'!$A$1:$O$113,15,0)),0,VLOOKUP($U$82,'TAR FIN'!$A$1:$O$113,15,0))</f>
        <v>0</v>
      </c>
      <c r="Y82" s="6">
        <f ca="1">('TUSD BE'!$AM$15+'TUSD BF_350'!$AM$15+'TUSD CVA'!$AM$15)*1</f>
        <v>16.035953923331604</v>
      </c>
      <c r="Z82" s="6">
        <f ca="1">('TUSD BE'!$AM$16+'TUSD BF_350'!$AM$16+'TUSD CVA'!$AM$16)*1</f>
        <v>122.14055331663396</v>
      </c>
      <c r="AA82" s="6"/>
      <c r="AB82" s="6">
        <f>$K$82*$V$82</f>
        <v>112158.54994119999</v>
      </c>
      <c r="AC82" s="6">
        <f>$M$82*$W$82</f>
        <v>0</v>
      </c>
      <c r="AD82" s="6">
        <f>$O$82*$X$82</f>
        <v>0</v>
      </c>
      <c r="AE82" s="6">
        <f ca="1">$K$82*$Y$82</f>
        <v>128469.23849748356</v>
      </c>
      <c r="AF82" s="6">
        <f ca="1">$M$82*$Z$82</f>
        <v>0</v>
      </c>
      <c r="AG82" s="6">
        <f>$O$82*$AA$82</f>
        <v>0</v>
      </c>
    </row>
    <row r="83" spans="1:33" ht="11.25" customHeight="1" x14ac:dyDescent="0.3">
      <c r="A83" s="4" t="s">
        <v>21</v>
      </c>
      <c r="B83" s="4" t="s">
        <v>39</v>
      </c>
      <c r="C83" s="4" t="s">
        <v>40</v>
      </c>
      <c r="D83" s="4" t="s">
        <v>38</v>
      </c>
      <c r="E83" s="4" t="s">
        <v>25</v>
      </c>
      <c r="F83" s="4" t="s">
        <v>56</v>
      </c>
      <c r="G83" s="4" t="s">
        <v>25</v>
      </c>
      <c r="H83" s="4" t="s">
        <v>35</v>
      </c>
      <c r="I83" s="5">
        <v>44774</v>
      </c>
      <c r="J83" s="6">
        <v>16086</v>
      </c>
      <c r="K83" s="6">
        <v>8491.9107151200005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4" t="s">
        <v>55</v>
      </c>
      <c r="R83" s="4">
        <v>0</v>
      </c>
      <c r="S83" s="6">
        <v>22</v>
      </c>
      <c r="T83" s="6">
        <v>0</v>
      </c>
      <c r="U83" s="6">
        <v>0</v>
      </c>
      <c r="V83" s="6">
        <f>IF(ISERROR(VLOOKUP($S$83,'TAR FIN'!$A$1:$O$113,15,0)),0,VLOOKUP($S$83,'TAR FIN'!$A$1:$O$113,15,0))</f>
        <v>14</v>
      </c>
      <c r="W83" s="6">
        <f>IF(ISERROR(VLOOKUP($T$83,'TAR FIN'!$A$1:$O$113,15,0)),0,VLOOKUP($T$83,'TAR FIN'!$A$1:$O$113,15,0))</f>
        <v>0</v>
      </c>
      <c r="X83" s="6">
        <f>IF(ISERROR(VLOOKUP($U$83,'TAR FIN'!$A$1:$O$113,15,0)),0,VLOOKUP($U$83,'TAR FIN'!$A$1:$O$113,15,0))</f>
        <v>0</v>
      </c>
      <c r="Y83" s="6">
        <f ca="1">('TUSD BE'!$AM$15+'TUSD BF_350'!$AM$15+'TUSD CVA'!$AM$15)*1</f>
        <v>16.035953923331604</v>
      </c>
      <c r="Z83" s="6">
        <f ca="1">('TUSD BE'!$AM$16+'TUSD BF_350'!$AM$16+'TUSD CVA'!$AM$16)*1</f>
        <v>122.14055331663396</v>
      </c>
      <c r="AA83" s="6"/>
      <c r="AB83" s="6">
        <f>$K$83*$V$83</f>
        <v>118886.75001168001</v>
      </c>
      <c r="AC83" s="6">
        <f>$M$83*$W$83</f>
        <v>0</v>
      </c>
      <c r="AD83" s="6">
        <f>$O$83*$X$83</f>
        <v>0</v>
      </c>
      <c r="AE83" s="6">
        <f ca="1">$K$83*$Y$83</f>
        <v>136175.88894871026</v>
      </c>
      <c r="AF83" s="6">
        <f ca="1">$M$83*$Z$83</f>
        <v>0</v>
      </c>
      <c r="AG83" s="6">
        <f>$O$83*$AA$83</f>
        <v>0</v>
      </c>
    </row>
    <row r="84" spans="1:33" ht="11.25" customHeight="1" x14ac:dyDescent="0.3">
      <c r="A84" s="4" t="s">
        <v>21</v>
      </c>
      <c r="B84" s="4" t="s">
        <v>39</v>
      </c>
      <c r="C84" s="4" t="s">
        <v>40</v>
      </c>
      <c r="D84" s="4" t="s">
        <v>38</v>
      </c>
      <c r="E84" s="4" t="s">
        <v>25</v>
      </c>
      <c r="F84" s="4" t="s">
        <v>56</v>
      </c>
      <c r="G84" s="4" t="s">
        <v>25</v>
      </c>
      <c r="H84" s="4" t="s">
        <v>35</v>
      </c>
      <c r="I84" s="5">
        <v>44805</v>
      </c>
      <c r="J84" s="6">
        <v>16063</v>
      </c>
      <c r="K84" s="6">
        <v>9042.6228011599997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4" t="s">
        <v>55</v>
      </c>
      <c r="R84" s="4">
        <v>0</v>
      </c>
      <c r="S84" s="6">
        <v>22</v>
      </c>
      <c r="T84" s="6">
        <v>0</v>
      </c>
      <c r="U84" s="6">
        <v>0</v>
      </c>
      <c r="V84" s="6">
        <f>IF(ISERROR(VLOOKUP($S$84,'TAR FIN'!$A$1:$O$113,15,0)),0,VLOOKUP($S$84,'TAR FIN'!$A$1:$O$113,15,0))</f>
        <v>14</v>
      </c>
      <c r="W84" s="6">
        <f>IF(ISERROR(VLOOKUP($T$84,'TAR FIN'!$A$1:$O$113,15,0)),0,VLOOKUP($T$84,'TAR FIN'!$A$1:$O$113,15,0))</f>
        <v>0</v>
      </c>
      <c r="X84" s="6">
        <f>IF(ISERROR(VLOOKUP($U$84,'TAR FIN'!$A$1:$O$113,15,0)),0,VLOOKUP($U$84,'TAR FIN'!$A$1:$O$113,15,0))</f>
        <v>0</v>
      </c>
      <c r="Y84" s="6">
        <f ca="1">('TUSD BE'!$AM$15+'TUSD BF_350'!$AM$15+'TUSD CVA'!$AM$15)*1</f>
        <v>16.035953923331604</v>
      </c>
      <c r="Z84" s="6">
        <f ca="1">('TUSD BE'!$AM$16+'TUSD BF_350'!$AM$16+'TUSD CVA'!$AM$16)*1</f>
        <v>122.14055331663396</v>
      </c>
      <c r="AA84" s="6"/>
      <c r="AB84" s="6">
        <f>$K$84*$V$84</f>
        <v>126596.71921623999</v>
      </c>
      <c r="AC84" s="6">
        <f>$M$84*$W$84</f>
        <v>0</v>
      </c>
      <c r="AD84" s="6">
        <f>$O$84*$X$84</f>
        <v>0</v>
      </c>
      <c r="AE84" s="6">
        <f ca="1">$K$84*$Y$84</f>
        <v>145007.08258546953</v>
      </c>
      <c r="AF84" s="6">
        <f ca="1">$M$84*$Z$84</f>
        <v>0</v>
      </c>
      <c r="AG84" s="6">
        <f>$O$84*$AA$84</f>
        <v>0</v>
      </c>
    </row>
    <row r="85" spans="1:33" ht="11.25" customHeight="1" x14ac:dyDescent="0.3">
      <c r="A85" s="4" t="s">
        <v>53</v>
      </c>
      <c r="B85" s="4" t="s">
        <v>39</v>
      </c>
      <c r="C85" s="4" t="s">
        <v>40</v>
      </c>
      <c r="D85" s="4" t="s">
        <v>38</v>
      </c>
      <c r="E85" s="4" t="s">
        <v>25</v>
      </c>
      <c r="F85" s="4" t="s">
        <v>56</v>
      </c>
      <c r="G85" s="4" t="s">
        <v>25</v>
      </c>
      <c r="H85" s="4" t="s">
        <v>35</v>
      </c>
      <c r="I85" s="5">
        <v>44835</v>
      </c>
      <c r="J85" s="6">
        <v>16063</v>
      </c>
      <c r="K85" s="6">
        <v>9042.6228011599997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4" t="s">
        <v>55</v>
      </c>
      <c r="R85" s="4">
        <v>0</v>
      </c>
      <c r="S85" s="6">
        <v>22</v>
      </c>
      <c r="T85" s="6">
        <v>0</v>
      </c>
      <c r="U85" s="6">
        <v>0</v>
      </c>
      <c r="V85" s="6">
        <f>IF(ISERROR(VLOOKUP($S$85,'TAR FIN'!$A$1:$O$113,15,0)),0,VLOOKUP($S$85,'TAR FIN'!$A$1:$O$113,15,0))</f>
        <v>14</v>
      </c>
      <c r="W85" s="6">
        <f>IF(ISERROR(VLOOKUP($T$85,'TAR FIN'!$A$1:$O$113,15,0)),0,VLOOKUP($T$85,'TAR FIN'!$A$1:$O$113,15,0))</f>
        <v>0</v>
      </c>
      <c r="X85" s="6">
        <f>IF(ISERROR(VLOOKUP($U$85,'TAR FIN'!$A$1:$O$113,15,0)),0,VLOOKUP($U$85,'TAR FIN'!$A$1:$O$113,15,0))</f>
        <v>0</v>
      </c>
      <c r="Y85" s="6">
        <f ca="1">('TUSD BE'!$AM$15+'TUSD BF_350'!$AM$15+'TUSD CVA'!$AM$15)*1</f>
        <v>16.035953923331604</v>
      </c>
      <c r="Z85" s="6">
        <f ca="1">('TUSD BE'!$AM$16+'TUSD BF_350'!$AM$16+'TUSD CVA'!$AM$16)*1</f>
        <v>122.14055331663396</v>
      </c>
      <c r="AA85" s="6"/>
      <c r="AB85" s="6">
        <f>$K$85*$V$85</f>
        <v>126596.71921623999</v>
      </c>
      <c r="AC85" s="6">
        <f>$M$85*$W$85</f>
        <v>0</v>
      </c>
      <c r="AD85" s="6">
        <f>$O$85*$X$85</f>
        <v>0</v>
      </c>
      <c r="AE85" s="6">
        <f ca="1">$K$85*$Y$85</f>
        <v>145007.08258546953</v>
      </c>
      <c r="AF85" s="6">
        <f ca="1">$M$85*$Z$85</f>
        <v>0</v>
      </c>
      <c r="AG85" s="6">
        <f>$O$85*$AA$85</f>
        <v>0</v>
      </c>
    </row>
    <row r="86" spans="1:33" ht="11.25" customHeight="1" x14ac:dyDescent="0.3">
      <c r="A86" s="4" t="s">
        <v>21</v>
      </c>
      <c r="B86" s="4" t="s">
        <v>39</v>
      </c>
      <c r="C86" s="4" t="s">
        <v>40</v>
      </c>
      <c r="D86" s="4" t="s">
        <v>38</v>
      </c>
      <c r="E86" s="4" t="s">
        <v>25</v>
      </c>
      <c r="F86" s="4" t="s">
        <v>56</v>
      </c>
      <c r="G86" s="4" t="s">
        <v>25</v>
      </c>
      <c r="H86" s="4" t="s">
        <v>25</v>
      </c>
      <c r="I86" s="5">
        <v>44501</v>
      </c>
      <c r="J86" s="6">
        <v>0</v>
      </c>
      <c r="K86" s="6">
        <v>0</v>
      </c>
      <c r="L86" s="6">
        <v>7888.02</v>
      </c>
      <c r="M86" s="6">
        <v>7888.02</v>
      </c>
      <c r="N86" s="6">
        <v>0</v>
      </c>
      <c r="O86" s="6">
        <v>0</v>
      </c>
      <c r="P86" s="6">
        <v>10</v>
      </c>
      <c r="Q86" s="4" t="s">
        <v>55</v>
      </c>
      <c r="R86" s="4">
        <v>0</v>
      </c>
      <c r="S86" s="6">
        <v>0</v>
      </c>
      <c r="T86" s="6">
        <v>12</v>
      </c>
      <c r="U86" s="6">
        <v>0</v>
      </c>
      <c r="V86" s="6">
        <f>IF(ISERROR(VLOOKUP($S$86,'TAR FIN'!$A$1:$O$113,15,0)),0,VLOOKUP($S$86,'TAR FIN'!$A$1:$O$113,15,0))</f>
        <v>0</v>
      </c>
      <c r="W86" s="6">
        <f>IF(ISERROR(VLOOKUP($T$86,'TAR FIN'!$A$1:$O$113,15,0)),0,VLOOKUP($T$86,'TAR FIN'!$A$1:$O$113,15,0))</f>
        <v>72.150000000000006</v>
      </c>
      <c r="X86" s="6">
        <f>IF(ISERROR(VLOOKUP($U$86,'TAR FIN'!$A$1:$O$113,15,0)),0,VLOOKUP($U$86,'TAR FIN'!$A$1:$O$113,15,0))</f>
        <v>0</v>
      </c>
      <c r="Y86" s="6"/>
      <c r="Z86" s="6">
        <f ca="1">('TUSD BE'!$AM$16+'TUSD BF_350'!$AM$16+'TUSD CVA'!$AM$16)*1</f>
        <v>122.14055331663396</v>
      </c>
      <c r="AA86" s="6"/>
      <c r="AB86" s="6">
        <f>$K$86*$V$86</f>
        <v>0</v>
      </c>
      <c r="AC86" s="6">
        <f>$M$86*$W$86</f>
        <v>569120.64300000004</v>
      </c>
      <c r="AD86" s="6">
        <f>$O$86*$X$86</f>
        <v>0</v>
      </c>
      <c r="AE86" s="6">
        <f>$K$86*$Y$86</f>
        <v>0</v>
      </c>
      <c r="AF86" s="6">
        <f ca="1">$M$86*$Z$86</f>
        <v>963447.12737267499</v>
      </c>
      <c r="AG86" s="6">
        <f>$O$86*$AA$86</f>
        <v>0</v>
      </c>
    </row>
    <row r="87" spans="1:33" ht="11.25" customHeight="1" x14ac:dyDescent="0.3">
      <c r="A87" s="4" t="s">
        <v>21</v>
      </c>
      <c r="B87" s="4" t="s">
        <v>39</v>
      </c>
      <c r="C87" s="4" t="s">
        <v>40</v>
      </c>
      <c r="D87" s="4" t="s">
        <v>38</v>
      </c>
      <c r="E87" s="4" t="s">
        <v>25</v>
      </c>
      <c r="F87" s="4" t="s">
        <v>56</v>
      </c>
      <c r="G87" s="4" t="s">
        <v>25</v>
      </c>
      <c r="H87" s="4" t="s">
        <v>25</v>
      </c>
      <c r="I87" s="5">
        <v>44531</v>
      </c>
      <c r="J87" s="6">
        <v>0</v>
      </c>
      <c r="K87" s="6">
        <v>0</v>
      </c>
      <c r="L87" s="6">
        <v>7651.0950000000003</v>
      </c>
      <c r="M87" s="6">
        <v>7651.0950000000003</v>
      </c>
      <c r="N87" s="6">
        <v>0</v>
      </c>
      <c r="O87" s="6">
        <v>0</v>
      </c>
      <c r="P87" s="6">
        <v>10</v>
      </c>
      <c r="Q87" s="4" t="s">
        <v>55</v>
      </c>
      <c r="R87" s="4">
        <v>0</v>
      </c>
      <c r="S87" s="6">
        <v>0</v>
      </c>
      <c r="T87" s="6">
        <v>12</v>
      </c>
      <c r="U87" s="6">
        <v>0</v>
      </c>
      <c r="V87" s="6">
        <f>IF(ISERROR(VLOOKUP($S$87,'TAR FIN'!$A$1:$O$113,15,0)),0,VLOOKUP($S$87,'TAR FIN'!$A$1:$O$113,15,0))</f>
        <v>0</v>
      </c>
      <c r="W87" s="6">
        <f>IF(ISERROR(VLOOKUP($T$87,'TAR FIN'!$A$1:$O$113,15,0)),0,VLOOKUP($T$87,'TAR FIN'!$A$1:$O$113,15,0))</f>
        <v>72.150000000000006</v>
      </c>
      <c r="X87" s="6">
        <f>IF(ISERROR(VLOOKUP($U$87,'TAR FIN'!$A$1:$O$113,15,0)),0,VLOOKUP($U$87,'TAR FIN'!$A$1:$O$113,15,0))</f>
        <v>0</v>
      </c>
      <c r="Y87" s="6"/>
      <c r="Z87" s="6">
        <f ca="1">('TUSD BE'!$AM$16+'TUSD BF_350'!$AM$16+'TUSD CVA'!$AM$16)*1</f>
        <v>122.14055331663396</v>
      </c>
      <c r="AA87" s="6"/>
      <c r="AB87" s="6">
        <f>$K$87*$V$87</f>
        <v>0</v>
      </c>
      <c r="AC87" s="6">
        <f>$M$87*$W$87</f>
        <v>552026.50425000011</v>
      </c>
      <c r="AD87" s="6">
        <f>$O$87*$X$87</f>
        <v>0</v>
      </c>
      <c r="AE87" s="6">
        <f>$K$87*$Y$87</f>
        <v>0</v>
      </c>
      <c r="AF87" s="6">
        <f ca="1">$M$87*$Z$87</f>
        <v>934508.97677813156</v>
      </c>
      <c r="AG87" s="6">
        <f>$O$87*$AA$87</f>
        <v>0</v>
      </c>
    </row>
    <row r="88" spans="1:33" ht="11.25" customHeight="1" x14ac:dyDescent="0.3">
      <c r="A88" s="4" t="s">
        <v>21</v>
      </c>
      <c r="B88" s="4" t="s">
        <v>39</v>
      </c>
      <c r="C88" s="4" t="s">
        <v>40</v>
      </c>
      <c r="D88" s="4" t="s">
        <v>38</v>
      </c>
      <c r="E88" s="4" t="s">
        <v>25</v>
      </c>
      <c r="F88" s="4" t="s">
        <v>56</v>
      </c>
      <c r="G88" s="4" t="s">
        <v>25</v>
      </c>
      <c r="H88" s="4" t="s">
        <v>25</v>
      </c>
      <c r="I88" s="5">
        <v>44562</v>
      </c>
      <c r="J88" s="6">
        <v>0</v>
      </c>
      <c r="K88" s="6">
        <v>0</v>
      </c>
      <c r="L88" s="6">
        <v>7155.4250000000002</v>
      </c>
      <c r="M88" s="6">
        <v>7155.4250000000002</v>
      </c>
      <c r="N88" s="6">
        <v>0</v>
      </c>
      <c r="O88" s="6">
        <v>0</v>
      </c>
      <c r="P88" s="6">
        <v>10</v>
      </c>
      <c r="Q88" s="4" t="s">
        <v>55</v>
      </c>
      <c r="R88" s="4">
        <v>0</v>
      </c>
      <c r="S88" s="6">
        <v>0</v>
      </c>
      <c r="T88" s="6">
        <v>12</v>
      </c>
      <c r="U88" s="6">
        <v>0</v>
      </c>
      <c r="V88" s="6">
        <f>IF(ISERROR(VLOOKUP($S$88,'TAR FIN'!$A$1:$O$113,15,0)),0,VLOOKUP($S$88,'TAR FIN'!$A$1:$O$113,15,0))</f>
        <v>0</v>
      </c>
      <c r="W88" s="6">
        <f>IF(ISERROR(VLOOKUP($T$88,'TAR FIN'!$A$1:$O$113,15,0)),0,VLOOKUP($T$88,'TAR FIN'!$A$1:$O$113,15,0))</f>
        <v>72.150000000000006</v>
      </c>
      <c r="X88" s="6">
        <f>IF(ISERROR(VLOOKUP($U$88,'TAR FIN'!$A$1:$O$113,15,0)),0,VLOOKUP($U$88,'TAR FIN'!$A$1:$O$113,15,0))</f>
        <v>0</v>
      </c>
      <c r="Y88" s="6"/>
      <c r="Z88" s="6">
        <f ca="1">('TUSD BE'!$AM$16+'TUSD BF_350'!$AM$16+'TUSD CVA'!$AM$16)*1</f>
        <v>122.14055331663396</v>
      </c>
      <c r="AA88" s="6"/>
      <c r="AB88" s="6">
        <f>$K$88*$V$88</f>
        <v>0</v>
      </c>
      <c r="AC88" s="6">
        <f>$M$88*$W$88</f>
        <v>516263.91375000007</v>
      </c>
      <c r="AD88" s="6">
        <f>$O$88*$X$88</f>
        <v>0</v>
      </c>
      <c r="AE88" s="6">
        <f>$K$88*$Y$88</f>
        <v>0</v>
      </c>
      <c r="AF88" s="6">
        <f ca="1">$M$88*$Z$88</f>
        <v>873967.5687156755</v>
      </c>
      <c r="AG88" s="6">
        <f>$O$88*$AA$88</f>
        <v>0</v>
      </c>
    </row>
    <row r="89" spans="1:33" ht="11.25" customHeight="1" x14ac:dyDescent="0.3">
      <c r="A89" s="4" t="s">
        <v>21</v>
      </c>
      <c r="B89" s="4" t="s">
        <v>39</v>
      </c>
      <c r="C89" s="4" t="s">
        <v>40</v>
      </c>
      <c r="D89" s="4" t="s">
        <v>38</v>
      </c>
      <c r="E89" s="4" t="s">
        <v>25</v>
      </c>
      <c r="F89" s="4" t="s">
        <v>56</v>
      </c>
      <c r="G89" s="4" t="s">
        <v>25</v>
      </c>
      <c r="H89" s="4" t="s">
        <v>25</v>
      </c>
      <c r="I89" s="5">
        <v>44593</v>
      </c>
      <c r="J89" s="6">
        <v>0</v>
      </c>
      <c r="K89" s="6">
        <v>0</v>
      </c>
      <c r="L89" s="6">
        <v>7542.44</v>
      </c>
      <c r="M89" s="6">
        <v>7542.44</v>
      </c>
      <c r="N89" s="6">
        <v>0</v>
      </c>
      <c r="O89" s="6">
        <v>0</v>
      </c>
      <c r="P89" s="6">
        <v>10</v>
      </c>
      <c r="Q89" s="4" t="s">
        <v>55</v>
      </c>
      <c r="R89" s="4">
        <v>0</v>
      </c>
      <c r="S89" s="6">
        <v>0</v>
      </c>
      <c r="T89" s="6">
        <v>12</v>
      </c>
      <c r="U89" s="6">
        <v>0</v>
      </c>
      <c r="V89" s="6">
        <f>IF(ISERROR(VLOOKUP($S$89,'TAR FIN'!$A$1:$O$113,15,0)),0,VLOOKUP($S$89,'TAR FIN'!$A$1:$O$113,15,0))</f>
        <v>0</v>
      </c>
      <c r="W89" s="6">
        <f>IF(ISERROR(VLOOKUP($T$89,'TAR FIN'!$A$1:$O$113,15,0)),0,VLOOKUP($T$89,'TAR FIN'!$A$1:$O$113,15,0))</f>
        <v>72.150000000000006</v>
      </c>
      <c r="X89" s="6">
        <f>IF(ISERROR(VLOOKUP($U$89,'TAR FIN'!$A$1:$O$113,15,0)),0,VLOOKUP($U$89,'TAR FIN'!$A$1:$O$113,15,0))</f>
        <v>0</v>
      </c>
      <c r="Y89" s="6"/>
      <c r="Z89" s="6">
        <f ca="1">('TUSD BE'!$AM$16+'TUSD BF_350'!$AM$16+'TUSD CVA'!$AM$16)*1</f>
        <v>122.14055331663396</v>
      </c>
      <c r="AA89" s="6"/>
      <c r="AB89" s="6">
        <f>$K$89*$V$89</f>
        <v>0</v>
      </c>
      <c r="AC89" s="6">
        <f>$M$89*$W$89</f>
        <v>544187.04599999997</v>
      </c>
      <c r="AD89" s="6">
        <f>$O$89*$X$89</f>
        <v>0</v>
      </c>
      <c r="AE89" s="6">
        <f>$K$89*$Y$89</f>
        <v>0</v>
      </c>
      <c r="AF89" s="6">
        <f ca="1">$M$89*$Z$89</f>
        <v>921237.79495751252</v>
      </c>
      <c r="AG89" s="6">
        <f>$O$89*$AA$89</f>
        <v>0</v>
      </c>
    </row>
    <row r="90" spans="1:33" ht="11.25" customHeight="1" x14ac:dyDescent="0.3">
      <c r="A90" s="4" t="s">
        <v>21</v>
      </c>
      <c r="B90" s="4" t="s">
        <v>39</v>
      </c>
      <c r="C90" s="4" t="s">
        <v>40</v>
      </c>
      <c r="D90" s="4" t="s">
        <v>38</v>
      </c>
      <c r="E90" s="4" t="s">
        <v>25</v>
      </c>
      <c r="F90" s="4" t="s">
        <v>56</v>
      </c>
      <c r="G90" s="4" t="s">
        <v>25</v>
      </c>
      <c r="H90" s="4" t="s">
        <v>25</v>
      </c>
      <c r="I90" s="5">
        <v>44621</v>
      </c>
      <c r="J90" s="6">
        <v>0</v>
      </c>
      <c r="K90" s="6">
        <v>0</v>
      </c>
      <c r="L90" s="6">
        <v>7411.6469999999999</v>
      </c>
      <c r="M90" s="6">
        <v>7411.6469999999999</v>
      </c>
      <c r="N90" s="6">
        <v>0</v>
      </c>
      <c r="O90" s="6">
        <v>0</v>
      </c>
      <c r="P90" s="6">
        <v>10</v>
      </c>
      <c r="Q90" s="4" t="s">
        <v>55</v>
      </c>
      <c r="R90" s="4">
        <v>0</v>
      </c>
      <c r="S90" s="6">
        <v>0</v>
      </c>
      <c r="T90" s="6">
        <v>12</v>
      </c>
      <c r="U90" s="6">
        <v>0</v>
      </c>
      <c r="V90" s="6">
        <f>IF(ISERROR(VLOOKUP($S$90,'TAR FIN'!$A$1:$O$113,15,0)),0,VLOOKUP($S$90,'TAR FIN'!$A$1:$O$113,15,0))</f>
        <v>0</v>
      </c>
      <c r="W90" s="6">
        <f>IF(ISERROR(VLOOKUP($T$90,'TAR FIN'!$A$1:$O$113,15,0)),0,VLOOKUP($T$90,'TAR FIN'!$A$1:$O$113,15,0))</f>
        <v>72.150000000000006</v>
      </c>
      <c r="X90" s="6">
        <f>IF(ISERROR(VLOOKUP($U$90,'TAR FIN'!$A$1:$O$113,15,0)),0,VLOOKUP($U$90,'TAR FIN'!$A$1:$O$113,15,0))</f>
        <v>0</v>
      </c>
      <c r="Y90" s="6"/>
      <c r="Z90" s="6">
        <f ca="1">('TUSD BE'!$AM$16+'TUSD BF_350'!$AM$16+'TUSD CVA'!$AM$16)*1</f>
        <v>122.14055331663396</v>
      </c>
      <c r="AA90" s="6"/>
      <c r="AB90" s="6">
        <f>$K$90*$V$90</f>
        <v>0</v>
      </c>
      <c r="AC90" s="6">
        <f>$M$90*$W$90</f>
        <v>534750.33105000004</v>
      </c>
      <c r="AD90" s="6">
        <f>$O$90*$X$90</f>
        <v>0</v>
      </c>
      <c r="AE90" s="6">
        <f>$K$90*$Y$90</f>
        <v>0</v>
      </c>
      <c r="AF90" s="6">
        <f ca="1">$M$90*$Z$90</f>
        <v>905262.66556757013</v>
      </c>
      <c r="AG90" s="6">
        <f>$O$90*$AA$90</f>
        <v>0</v>
      </c>
    </row>
    <row r="91" spans="1:33" ht="11.25" customHeight="1" x14ac:dyDescent="0.3">
      <c r="A91" s="4" t="s">
        <v>21</v>
      </c>
      <c r="B91" s="4" t="s">
        <v>39</v>
      </c>
      <c r="C91" s="4" t="s">
        <v>40</v>
      </c>
      <c r="D91" s="4" t="s">
        <v>38</v>
      </c>
      <c r="E91" s="4" t="s">
        <v>25</v>
      </c>
      <c r="F91" s="4" t="s">
        <v>56</v>
      </c>
      <c r="G91" s="4" t="s">
        <v>25</v>
      </c>
      <c r="H91" s="4" t="s">
        <v>25</v>
      </c>
      <c r="I91" s="5">
        <v>44652</v>
      </c>
      <c r="J91" s="6">
        <v>0</v>
      </c>
      <c r="K91" s="6">
        <v>0</v>
      </c>
      <c r="L91" s="6">
        <v>7972.3119999999999</v>
      </c>
      <c r="M91" s="6">
        <v>7972.3119999999999</v>
      </c>
      <c r="N91" s="6">
        <v>0</v>
      </c>
      <c r="O91" s="6">
        <v>0</v>
      </c>
      <c r="P91" s="6">
        <v>10</v>
      </c>
      <c r="Q91" s="4" t="s">
        <v>55</v>
      </c>
      <c r="R91" s="4">
        <v>0</v>
      </c>
      <c r="S91" s="6">
        <v>0</v>
      </c>
      <c r="T91" s="6">
        <v>12</v>
      </c>
      <c r="U91" s="6">
        <v>0</v>
      </c>
      <c r="V91" s="6">
        <f>IF(ISERROR(VLOOKUP($S$91,'TAR FIN'!$A$1:$O$113,15,0)),0,VLOOKUP($S$91,'TAR FIN'!$A$1:$O$113,15,0))</f>
        <v>0</v>
      </c>
      <c r="W91" s="6">
        <f>IF(ISERROR(VLOOKUP($T$91,'TAR FIN'!$A$1:$O$113,15,0)),0,VLOOKUP($T$91,'TAR FIN'!$A$1:$O$113,15,0))</f>
        <v>72.150000000000006</v>
      </c>
      <c r="X91" s="6">
        <f>IF(ISERROR(VLOOKUP($U$91,'TAR FIN'!$A$1:$O$113,15,0)),0,VLOOKUP($U$91,'TAR FIN'!$A$1:$O$113,15,0))</f>
        <v>0</v>
      </c>
      <c r="Y91" s="6"/>
      <c r="Z91" s="6">
        <f ca="1">('TUSD BE'!$AM$16+'TUSD BF_350'!$AM$16+'TUSD CVA'!$AM$16)*1</f>
        <v>122.14055331663396</v>
      </c>
      <c r="AA91" s="6"/>
      <c r="AB91" s="6">
        <f>$K$91*$V$91</f>
        <v>0</v>
      </c>
      <c r="AC91" s="6">
        <f>$M$91*$W$91</f>
        <v>575202.31080000009</v>
      </c>
      <c r="AD91" s="6">
        <f>$O$91*$X$91</f>
        <v>0</v>
      </c>
      <c r="AE91" s="6">
        <f>$K$91*$Y$91</f>
        <v>0</v>
      </c>
      <c r="AF91" s="6">
        <f ca="1">$M$91*$Z$91</f>
        <v>973742.59889284067</v>
      </c>
      <c r="AG91" s="6">
        <f>$O$91*$AA$91</f>
        <v>0</v>
      </c>
    </row>
    <row r="92" spans="1:33" ht="11.25" customHeight="1" x14ac:dyDescent="0.3">
      <c r="A92" s="4" t="s">
        <v>21</v>
      </c>
      <c r="B92" s="4" t="s">
        <v>39</v>
      </c>
      <c r="C92" s="4" t="s">
        <v>40</v>
      </c>
      <c r="D92" s="4" t="s">
        <v>38</v>
      </c>
      <c r="E92" s="4" t="s">
        <v>25</v>
      </c>
      <c r="F92" s="4" t="s">
        <v>56</v>
      </c>
      <c r="G92" s="4" t="s">
        <v>25</v>
      </c>
      <c r="H92" s="4" t="s">
        <v>25</v>
      </c>
      <c r="I92" s="5">
        <v>44682</v>
      </c>
      <c r="J92" s="6">
        <v>0</v>
      </c>
      <c r="K92" s="6">
        <v>0</v>
      </c>
      <c r="L92" s="6">
        <v>7239.27</v>
      </c>
      <c r="M92" s="6">
        <v>7239.27</v>
      </c>
      <c r="N92" s="6">
        <v>0</v>
      </c>
      <c r="O92" s="6">
        <v>0</v>
      </c>
      <c r="P92" s="6">
        <v>10</v>
      </c>
      <c r="Q92" s="4" t="s">
        <v>55</v>
      </c>
      <c r="R92" s="4">
        <v>0</v>
      </c>
      <c r="S92" s="6">
        <v>0</v>
      </c>
      <c r="T92" s="6">
        <v>12</v>
      </c>
      <c r="U92" s="6">
        <v>0</v>
      </c>
      <c r="V92" s="6">
        <f>IF(ISERROR(VLOOKUP($S$92,'TAR FIN'!$A$1:$O$113,15,0)),0,VLOOKUP($S$92,'TAR FIN'!$A$1:$O$113,15,0))</f>
        <v>0</v>
      </c>
      <c r="W92" s="6">
        <f>IF(ISERROR(VLOOKUP($T$92,'TAR FIN'!$A$1:$O$113,15,0)),0,VLOOKUP($T$92,'TAR FIN'!$A$1:$O$113,15,0))</f>
        <v>72.150000000000006</v>
      </c>
      <c r="X92" s="6">
        <f>IF(ISERROR(VLOOKUP($U$92,'TAR FIN'!$A$1:$O$113,15,0)),0,VLOOKUP($U$92,'TAR FIN'!$A$1:$O$113,15,0))</f>
        <v>0</v>
      </c>
      <c r="Y92" s="6"/>
      <c r="Z92" s="6">
        <f ca="1">('TUSD BE'!$AM$16+'TUSD BF_350'!$AM$16+'TUSD CVA'!$AM$16)*1</f>
        <v>122.14055331663396</v>
      </c>
      <c r="AA92" s="6"/>
      <c r="AB92" s="6">
        <f>$K$92*$V$92</f>
        <v>0</v>
      </c>
      <c r="AC92" s="6">
        <f>$M$92*$W$92</f>
        <v>522313.3305000001</v>
      </c>
      <c r="AD92" s="6">
        <f>$O$92*$X$92</f>
        <v>0</v>
      </c>
      <c r="AE92" s="6">
        <f>$K$92*$Y$92</f>
        <v>0</v>
      </c>
      <c r="AF92" s="6">
        <f ca="1">$M$92*$Z$92</f>
        <v>884208.44340850879</v>
      </c>
      <c r="AG92" s="6">
        <f>$O$92*$AA$92</f>
        <v>0</v>
      </c>
    </row>
    <row r="93" spans="1:33" ht="11.25" customHeight="1" x14ac:dyDescent="0.3">
      <c r="A93" s="4" t="s">
        <v>21</v>
      </c>
      <c r="B93" s="4" t="s">
        <v>39</v>
      </c>
      <c r="C93" s="4" t="s">
        <v>40</v>
      </c>
      <c r="D93" s="4" t="s">
        <v>38</v>
      </c>
      <c r="E93" s="4" t="s">
        <v>25</v>
      </c>
      <c r="F93" s="4" t="s">
        <v>56</v>
      </c>
      <c r="G93" s="4" t="s">
        <v>25</v>
      </c>
      <c r="H93" s="4" t="s">
        <v>25</v>
      </c>
      <c r="I93" s="5">
        <v>44713</v>
      </c>
      <c r="J93" s="6">
        <v>0</v>
      </c>
      <c r="K93" s="6">
        <v>0</v>
      </c>
      <c r="L93" s="6">
        <v>7397.8249999999998</v>
      </c>
      <c r="M93" s="6">
        <v>7397.8249999999998</v>
      </c>
      <c r="N93" s="6">
        <v>0</v>
      </c>
      <c r="O93" s="6">
        <v>0</v>
      </c>
      <c r="P93" s="6">
        <v>10</v>
      </c>
      <c r="Q93" s="4" t="s">
        <v>55</v>
      </c>
      <c r="R93" s="4">
        <v>0</v>
      </c>
      <c r="S93" s="6">
        <v>0</v>
      </c>
      <c r="T93" s="6">
        <v>12</v>
      </c>
      <c r="U93" s="6">
        <v>0</v>
      </c>
      <c r="V93" s="6">
        <f>IF(ISERROR(VLOOKUP($S$93,'TAR FIN'!$A$1:$O$113,15,0)),0,VLOOKUP($S$93,'TAR FIN'!$A$1:$O$113,15,0))</f>
        <v>0</v>
      </c>
      <c r="W93" s="6">
        <f>IF(ISERROR(VLOOKUP($T$93,'TAR FIN'!$A$1:$O$113,15,0)),0,VLOOKUP($T$93,'TAR FIN'!$A$1:$O$113,15,0))</f>
        <v>72.150000000000006</v>
      </c>
      <c r="X93" s="6">
        <f>IF(ISERROR(VLOOKUP($U$93,'TAR FIN'!$A$1:$O$113,15,0)),0,VLOOKUP($U$93,'TAR FIN'!$A$1:$O$113,15,0))</f>
        <v>0</v>
      </c>
      <c r="Y93" s="6"/>
      <c r="Z93" s="6">
        <f ca="1">('TUSD BE'!$AM$16+'TUSD BF_350'!$AM$16+'TUSD CVA'!$AM$16)*1</f>
        <v>122.14055331663396</v>
      </c>
      <c r="AA93" s="6"/>
      <c r="AB93" s="6">
        <f>$K$93*$V$93</f>
        <v>0</v>
      </c>
      <c r="AC93" s="6">
        <f>$M$93*$W$93</f>
        <v>533753.07374999998</v>
      </c>
      <c r="AD93" s="6">
        <f>$O$93*$X$93</f>
        <v>0</v>
      </c>
      <c r="AE93" s="6">
        <f>$K$93*$Y$93</f>
        <v>0</v>
      </c>
      <c r="AF93" s="6">
        <f ca="1">$M$93*$Z$93</f>
        <v>903574.43883962755</v>
      </c>
      <c r="AG93" s="6">
        <f>$O$93*$AA$93</f>
        <v>0</v>
      </c>
    </row>
    <row r="94" spans="1:33" ht="11.25" customHeight="1" x14ac:dyDescent="0.3">
      <c r="A94" s="4" t="s">
        <v>21</v>
      </c>
      <c r="B94" s="4" t="s">
        <v>39</v>
      </c>
      <c r="C94" s="4" t="s">
        <v>40</v>
      </c>
      <c r="D94" s="4" t="s">
        <v>38</v>
      </c>
      <c r="E94" s="4" t="s">
        <v>25</v>
      </c>
      <c r="F94" s="4" t="s">
        <v>56</v>
      </c>
      <c r="G94" s="4" t="s">
        <v>25</v>
      </c>
      <c r="H94" s="4" t="s">
        <v>25</v>
      </c>
      <c r="I94" s="5">
        <v>44743</v>
      </c>
      <c r="J94" s="6">
        <v>0</v>
      </c>
      <c r="K94" s="6">
        <v>0</v>
      </c>
      <c r="L94" s="6">
        <v>7032.8630000000003</v>
      </c>
      <c r="M94" s="6">
        <v>7032.8630000000003</v>
      </c>
      <c r="N94" s="6">
        <v>0</v>
      </c>
      <c r="O94" s="6">
        <v>0</v>
      </c>
      <c r="P94" s="6">
        <v>10</v>
      </c>
      <c r="Q94" s="4" t="s">
        <v>55</v>
      </c>
      <c r="R94" s="4">
        <v>0</v>
      </c>
      <c r="S94" s="6">
        <v>0</v>
      </c>
      <c r="T94" s="6">
        <v>12</v>
      </c>
      <c r="U94" s="6">
        <v>0</v>
      </c>
      <c r="V94" s="6">
        <f>IF(ISERROR(VLOOKUP($S$94,'TAR FIN'!$A$1:$O$113,15,0)),0,VLOOKUP($S$94,'TAR FIN'!$A$1:$O$113,15,0))</f>
        <v>0</v>
      </c>
      <c r="W94" s="6">
        <f>IF(ISERROR(VLOOKUP($T$94,'TAR FIN'!$A$1:$O$113,15,0)),0,VLOOKUP($T$94,'TAR FIN'!$A$1:$O$113,15,0))</f>
        <v>72.150000000000006</v>
      </c>
      <c r="X94" s="6">
        <f>IF(ISERROR(VLOOKUP($U$94,'TAR FIN'!$A$1:$O$113,15,0)),0,VLOOKUP($U$94,'TAR FIN'!$A$1:$O$113,15,0))</f>
        <v>0</v>
      </c>
      <c r="Y94" s="6"/>
      <c r="Z94" s="6">
        <f ca="1">('TUSD BE'!$AM$16+'TUSD BF_350'!$AM$16+'TUSD CVA'!$AM$16)*1</f>
        <v>122.14055331663396</v>
      </c>
      <c r="AA94" s="6"/>
      <c r="AB94" s="6">
        <f>$K$94*$V$94</f>
        <v>0</v>
      </c>
      <c r="AC94" s="6">
        <f>$M$94*$W$94</f>
        <v>507421.06545000005</v>
      </c>
      <c r="AD94" s="6">
        <f>$O$94*$X$94</f>
        <v>0</v>
      </c>
      <c r="AE94" s="6">
        <f>$K$94*$Y$94</f>
        <v>0</v>
      </c>
      <c r="AF94" s="6">
        <f ca="1">$M$94*$Z$94</f>
        <v>858997.77822008228</v>
      </c>
      <c r="AG94" s="6">
        <f>$O$94*$AA$94</f>
        <v>0</v>
      </c>
    </row>
    <row r="95" spans="1:33" ht="11.25" customHeight="1" x14ac:dyDescent="0.3">
      <c r="A95" s="4" t="s">
        <v>21</v>
      </c>
      <c r="B95" s="4" t="s">
        <v>39</v>
      </c>
      <c r="C95" s="4" t="s">
        <v>40</v>
      </c>
      <c r="D95" s="4" t="s">
        <v>38</v>
      </c>
      <c r="E95" s="4" t="s">
        <v>25</v>
      </c>
      <c r="F95" s="4" t="s">
        <v>56</v>
      </c>
      <c r="G95" s="4" t="s">
        <v>25</v>
      </c>
      <c r="H95" s="4" t="s">
        <v>25</v>
      </c>
      <c r="I95" s="5">
        <v>44774</v>
      </c>
      <c r="J95" s="6">
        <v>0</v>
      </c>
      <c r="K95" s="6">
        <v>0</v>
      </c>
      <c r="L95" s="6">
        <v>7387.9709999999995</v>
      </c>
      <c r="M95" s="6">
        <v>7387.9709999999995</v>
      </c>
      <c r="N95" s="6">
        <v>0</v>
      </c>
      <c r="O95" s="6">
        <v>0</v>
      </c>
      <c r="P95" s="6">
        <v>10</v>
      </c>
      <c r="Q95" s="4" t="s">
        <v>55</v>
      </c>
      <c r="R95" s="4">
        <v>0</v>
      </c>
      <c r="S95" s="6">
        <v>0</v>
      </c>
      <c r="T95" s="6">
        <v>12</v>
      </c>
      <c r="U95" s="6">
        <v>0</v>
      </c>
      <c r="V95" s="6">
        <f>IF(ISERROR(VLOOKUP($S$95,'TAR FIN'!$A$1:$O$113,15,0)),0,VLOOKUP($S$95,'TAR FIN'!$A$1:$O$113,15,0))</f>
        <v>0</v>
      </c>
      <c r="W95" s="6">
        <f>IF(ISERROR(VLOOKUP($T$95,'TAR FIN'!$A$1:$O$113,15,0)),0,VLOOKUP($T$95,'TAR FIN'!$A$1:$O$113,15,0))</f>
        <v>72.150000000000006</v>
      </c>
      <c r="X95" s="6">
        <f>IF(ISERROR(VLOOKUP($U$95,'TAR FIN'!$A$1:$O$113,15,0)),0,VLOOKUP($U$95,'TAR FIN'!$A$1:$O$113,15,0))</f>
        <v>0</v>
      </c>
      <c r="Y95" s="6"/>
      <c r="Z95" s="6">
        <f ca="1">('TUSD BE'!$AM$16+'TUSD BF_350'!$AM$16+'TUSD CVA'!$AM$16)*1</f>
        <v>122.14055331663396</v>
      </c>
      <c r="AA95" s="6"/>
      <c r="AB95" s="6">
        <f>$K$95*$V$95</f>
        <v>0</v>
      </c>
      <c r="AC95" s="6">
        <f>$M$95*$W$95</f>
        <v>533042.10765000002</v>
      </c>
      <c r="AD95" s="6">
        <f>$O$95*$X$95</f>
        <v>0</v>
      </c>
      <c r="AE95" s="6">
        <f>$K$95*$Y$95</f>
        <v>0</v>
      </c>
      <c r="AF95" s="6">
        <f ca="1">$M$95*$Z$95</f>
        <v>902370.8658272454</v>
      </c>
      <c r="AG95" s="6">
        <f>$O$95*$AA$95</f>
        <v>0</v>
      </c>
    </row>
    <row r="96" spans="1:33" ht="11.25" customHeight="1" x14ac:dyDescent="0.3">
      <c r="A96" s="4" t="s">
        <v>21</v>
      </c>
      <c r="B96" s="4" t="s">
        <v>39</v>
      </c>
      <c r="C96" s="4" t="s">
        <v>40</v>
      </c>
      <c r="D96" s="4" t="s">
        <v>38</v>
      </c>
      <c r="E96" s="4" t="s">
        <v>25</v>
      </c>
      <c r="F96" s="4" t="s">
        <v>56</v>
      </c>
      <c r="G96" s="4" t="s">
        <v>25</v>
      </c>
      <c r="H96" s="4" t="s">
        <v>25</v>
      </c>
      <c r="I96" s="5">
        <v>44805</v>
      </c>
      <c r="J96" s="6">
        <v>0</v>
      </c>
      <c r="K96" s="6">
        <v>0</v>
      </c>
      <c r="L96" s="6">
        <v>7595.0789999999997</v>
      </c>
      <c r="M96" s="6">
        <v>7595.0789999999997</v>
      </c>
      <c r="N96" s="6">
        <v>0</v>
      </c>
      <c r="O96" s="6">
        <v>0</v>
      </c>
      <c r="P96" s="6">
        <v>10</v>
      </c>
      <c r="Q96" s="4" t="s">
        <v>55</v>
      </c>
      <c r="R96" s="4">
        <v>0</v>
      </c>
      <c r="S96" s="6">
        <v>0</v>
      </c>
      <c r="T96" s="6">
        <v>12</v>
      </c>
      <c r="U96" s="6">
        <v>0</v>
      </c>
      <c r="V96" s="6">
        <f>IF(ISERROR(VLOOKUP($S$96,'TAR FIN'!$A$1:$O$113,15,0)),0,VLOOKUP($S$96,'TAR FIN'!$A$1:$O$113,15,0))</f>
        <v>0</v>
      </c>
      <c r="W96" s="6">
        <f>IF(ISERROR(VLOOKUP($T$96,'TAR FIN'!$A$1:$O$113,15,0)),0,VLOOKUP($T$96,'TAR FIN'!$A$1:$O$113,15,0))</f>
        <v>72.150000000000006</v>
      </c>
      <c r="X96" s="6">
        <f>IF(ISERROR(VLOOKUP($U$96,'TAR FIN'!$A$1:$O$113,15,0)),0,VLOOKUP($U$96,'TAR FIN'!$A$1:$O$113,15,0))</f>
        <v>0</v>
      </c>
      <c r="Y96" s="6"/>
      <c r="Z96" s="6">
        <f ca="1">('TUSD BE'!$AM$16+'TUSD BF_350'!$AM$16+'TUSD CVA'!$AM$16)*1</f>
        <v>122.14055331663396</v>
      </c>
      <c r="AA96" s="6"/>
      <c r="AB96" s="6">
        <f>$K$96*$V$96</f>
        <v>0</v>
      </c>
      <c r="AC96" s="6">
        <f>$M$96*$W$96</f>
        <v>547984.94984999998</v>
      </c>
      <c r="AD96" s="6">
        <f>$O$96*$X$96</f>
        <v>0</v>
      </c>
      <c r="AE96" s="6">
        <f>$K$96*$Y$96</f>
        <v>0</v>
      </c>
      <c r="AF96" s="6">
        <f ca="1">$M$96*$Z$96</f>
        <v>927667.15154354682</v>
      </c>
      <c r="AG96" s="6">
        <f>$O$96*$AA$96</f>
        <v>0</v>
      </c>
    </row>
    <row r="97" spans="1:33" ht="11.25" customHeight="1" x14ac:dyDescent="0.3">
      <c r="A97" s="4" t="s">
        <v>53</v>
      </c>
      <c r="B97" s="4" t="s">
        <v>39</v>
      </c>
      <c r="C97" s="4" t="s">
        <v>40</v>
      </c>
      <c r="D97" s="4" t="s">
        <v>38</v>
      </c>
      <c r="E97" s="4" t="s">
        <v>25</v>
      </c>
      <c r="F97" s="4" t="s">
        <v>56</v>
      </c>
      <c r="G97" s="4" t="s">
        <v>25</v>
      </c>
      <c r="H97" s="4" t="s">
        <v>25</v>
      </c>
      <c r="I97" s="5">
        <v>44835</v>
      </c>
      <c r="J97" s="6">
        <v>0</v>
      </c>
      <c r="K97" s="6">
        <v>0</v>
      </c>
      <c r="L97" s="6">
        <v>7595.0789999999997</v>
      </c>
      <c r="M97" s="6">
        <v>7595.0789999999997</v>
      </c>
      <c r="N97" s="6">
        <v>0</v>
      </c>
      <c r="O97" s="6">
        <v>0</v>
      </c>
      <c r="P97" s="6">
        <v>10</v>
      </c>
      <c r="Q97" s="4" t="s">
        <v>55</v>
      </c>
      <c r="R97" s="4">
        <v>0</v>
      </c>
      <c r="S97" s="6">
        <v>0</v>
      </c>
      <c r="T97" s="6">
        <v>12</v>
      </c>
      <c r="U97" s="6">
        <v>0</v>
      </c>
      <c r="V97" s="6">
        <f>IF(ISERROR(VLOOKUP($S$97,'TAR FIN'!$A$1:$O$113,15,0)),0,VLOOKUP($S$97,'TAR FIN'!$A$1:$O$113,15,0))</f>
        <v>0</v>
      </c>
      <c r="W97" s="6">
        <f>IF(ISERROR(VLOOKUP($T$97,'TAR FIN'!$A$1:$O$113,15,0)),0,VLOOKUP($T$97,'TAR FIN'!$A$1:$O$113,15,0))</f>
        <v>72.150000000000006</v>
      </c>
      <c r="X97" s="6">
        <f>IF(ISERROR(VLOOKUP($U$97,'TAR FIN'!$A$1:$O$113,15,0)),0,VLOOKUP($U$97,'TAR FIN'!$A$1:$O$113,15,0))</f>
        <v>0</v>
      </c>
      <c r="Y97" s="6"/>
      <c r="Z97" s="6">
        <f ca="1">('TUSD BE'!$AM$16+'TUSD BF_350'!$AM$16+'TUSD CVA'!$AM$16)*1</f>
        <v>122.14055331663396</v>
      </c>
      <c r="AA97" s="6"/>
      <c r="AB97" s="6">
        <f>$K$97*$V$97</f>
        <v>0</v>
      </c>
      <c r="AC97" s="6">
        <f>$M$97*$W$97</f>
        <v>547984.94984999998</v>
      </c>
      <c r="AD97" s="6">
        <f>$O$97*$X$97</f>
        <v>0</v>
      </c>
      <c r="AE97" s="6">
        <f>$K$97*$Y$97</f>
        <v>0</v>
      </c>
      <c r="AF97" s="6">
        <f ca="1">$M$97*$Z$97</f>
        <v>927667.15154354682</v>
      </c>
      <c r="AG97" s="6">
        <f>$O$97*$AA$97</f>
        <v>0</v>
      </c>
    </row>
    <row r="98" spans="1:33" ht="11.25" customHeight="1" x14ac:dyDescent="0.3">
      <c r="A98" s="4" t="s">
        <v>21</v>
      </c>
      <c r="B98" s="4" t="s">
        <v>39</v>
      </c>
      <c r="C98" s="4" t="s">
        <v>40</v>
      </c>
      <c r="D98" s="4" t="s">
        <v>38</v>
      </c>
      <c r="E98" s="4" t="s">
        <v>25</v>
      </c>
      <c r="F98" s="4" t="s">
        <v>56</v>
      </c>
      <c r="G98" s="4" t="s">
        <v>25</v>
      </c>
      <c r="H98" s="4" t="s">
        <v>34</v>
      </c>
      <c r="I98" s="5">
        <v>44501</v>
      </c>
      <c r="J98" s="6">
        <v>15209</v>
      </c>
      <c r="K98" s="6">
        <v>9741.9908066200005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4" t="s">
        <v>55</v>
      </c>
      <c r="R98" s="4">
        <v>0</v>
      </c>
      <c r="S98" s="6">
        <v>9</v>
      </c>
      <c r="T98" s="6">
        <v>0</v>
      </c>
      <c r="U98" s="6">
        <v>0</v>
      </c>
      <c r="V98" s="6">
        <f>IF(ISERROR(VLOOKUP($S$98,'TAR FIN'!$A$1:$O$113,15,0)),0,VLOOKUP($S$98,'TAR FIN'!$A$1:$O$113,15,0))</f>
        <v>35.76</v>
      </c>
      <c r="W98" s="6">
        <f>IF(ISERROR(VLOOKUP($T$98,'TAR FIN'!$A$1:$O$113,15,0)),0,VLOOKUP($T$98,'TAR FIN'!$A$1:$O$113,15,0))</f>
        <v>0</v>
      </c>
      <c r="X98" s="6">
        <f>IF(ISERROR(VLOOKUP($U$98,'TAR FIN'!$A$1:$O$113,15,0)),0,VLOOKUP($U$98,'TAR FIN'!$A$1:$O$113,15,0))</f>
        <v>0</v>
      </c>
      <c r="Y98" s="6">
        <f ca="1">('TUSD BE'!$AM$14+'TUSD BF_350'!$AM$14+'TUSD CVA'!$AM$14)*1</f>
        <v>40.963640769708675</v>
      </c>
      <c r="Z98" s="6">
        <f ca="1">('TUSD BE'!$AM$16+'TUSD BF_350'!$AM$16+'TUSD CVA'!$AM$16)*1</f>
        <v>122.14055331663396</v>
      </c>
      <c r="AA98" s="6"/>
      <c r="AB98" s="6">
        <f>$K$98*$V$98</f>
        <v>348373.59124473121</v>
      </c>
      <c r="AC98" s="6">
        <f>$M$98*$W$98</f>
        <v>0</v>
      </c>
      <c r="AD98" s="6">
        <f>$O$98*$X$98</f>
        <v>0</v>
      </c>
      <c r="AE98" s="6">
        <f ca="1">$K$98*$Y$98</f>
        <v>399067.41178418614</v>
      </c>
      <c r="AF98" s="6">
        <f ca="1">$M$98*$Z$98</f>
        <v>0</v>
      </c>
      <c r="AG98" s="6">
        <f>$O$98*$AA$98</f>
        <v>0</v>
      </c>
    </row>
    <row r="99" spans="1:33" ht="11.25" customHeight="1" x14ac:dyDescent="0.3">
      <c r="A99" s="4" t="s">
        <v>21</v>
      </c>
      <c r="B99" s="4" t="s">
        <v>39</v>
      </c>
      <c r="C99" s="4" t="s">
        <v>40</v>
      </c>
      <c r="D99" s="4" t="s">
        <v>38</v>
      </c>
      <c r="E99" s="4" t="s">
        <v>25</v>
      </c>
      <c r="F99" s="4" t="s">
        <v>56</v>
      </c>
      <c r="G99" s="4" t="s">
        <v>25</v>
      </c>
      <c r="H99" s="4" t="s">
        <v>34</v>
      </c>
      <c r="I99" s="5">
        <v>44531</v>
      </c>
      <c r="J99" s="6">
        <v>15104</v>
      </c>
      <c r="K99" s="6">
        <v>9762.3642188800004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4" t="s">
        <v>55</v>
      </c>
      <c r="R99" s="4">
        <v>0</v>
      </c>
      <c r="S99" s="6">
        <v>9</v>
      </c>
      <c r="T99" s="6">
        <v>0</v>
      </c>
      <c r="U99" s="6">
        <v>0</v>
      </c>
      <c r="V99" s="6">
        <f>IF(ISERROR(VLOOKUP($S$99,'TAR FIN'!$A$1:$O$113,15,0)),0,VLOOKUP($S$99,'TAR FIN'!$A$1:$O$113,15,0))</f>
        <v>35.76</v>
      </c>
      <c r="W99" s="6">
        <f>IF(ISERROR(VLOOKUP($T$99,'TAR FIN'!$A$1:$O$113,15,0)),0,VLOOKUP($T$99,'TAR FIN'!$A$1:$O$113,15,0))</f>
        <v>0</v>
      </c>
      <c r="X99" s="6">
        <f>IF(ISERROR(VLOOKUP($U$99,'TAR FIN'!$A$1:$O$113,15,0)),0,VLOOKUP($U$99,'TAR FIN'!$A$1:$O$113,15,0))</f>
        <v>0</v>
      </c>
      <c r="Y99" s="6">
        <f ca="1">('TUSD BE'!$AM$14+'TUSD BF_350'!$AM$14+'TUSD CVA'!$AM$14)*1</f>
        <v>40.963640769708675</v>
      </c>
      <c r="Z99" s="6">
        <f ca="1">('TUSD BE'!$AM$16+'TUSD BF_350'!$AM$16+'TUSD CVA'!$AM$16)*1</f>
        <v>122.14055331663396</v>
      </c>
      <c r="AA99" s="6"/>
      <c r="AB99" s="6">
        <f>$K$99*$V$99</f>
        <v>349102.14446714881</v>
      </c>
      <c r="AC99" s="6">
        <f>$M$99*$W$99</f>
        <v>0</v>
      </c>
      <c r="AD99" s="6">
        <f>$O$99*$X$99</f>
        <v>0</v>
      </c>
      <c r="AE99" s="6">
        <f ca="1">$K$99*$Y$99</f>
        <v>399901.98092525796</v>
      </c>
      <c r="AF99" s="6">
        <f ca="1">$M$99*$Z$99</f>
        <v>0</v>
      </c>
      <c r="AG99" s="6">
        <f>$O$99*$AA$99</f>
        <v>0</v>
      </c>
    </row>
    <row r="100" spans="1:33" ht="11.25" customHeight="1" x14ac:dyDescent="0.3">
      <c r="A100" s="4" t="s">
        <v>21</v>
      </c>
      <c r="B100" s="4" t="s">
        <v>39</v>
      </c>
      <c r="C100" s="4" t="s">
        <v>40</v>
      </c>
      <c r="D100" s="4" t="s">
        <v>38</v>
      </c>
      <c r="E100" s="4" t="s">
        <v>25</v>
      </c>
      <c r="F100" s="4" t="s">
        <v>56</v>
      </c>
      <c r="G100" s="4" t="s">
        <v>25</v>
      </c>
      <c r="H100" s="4" t="s">
        <v>34</v>
      </c>
      <c r="I100" s="5">
        <v>44562</v>
      </c>
      <c r="J100" s="6">
        <v>15151</v>
      </c>
      <c r="K100" s="6">
        <v>8719.4845880499997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4" t="s">
        <v>55</v>
      </c>
      <c r="R100" s="4">
        <v>0</v>
      </c>
      <c r="S100" s="6">
        <v>9</v>
      </c>
      <c r="T100" s="6">
        <v>0</v>
      </c>
      <c r="U100" s="6">
        <v>0</v>
      </c>
      <c r="V100" s="6">
        <f>IF(ISERROR(VLOOKUP($S$100,'TAR FIN'!$A$1:$O$113,15,0)),0,VLOOKUP($S$100,'TAR FIN'!$A$1:$O$113,15,0))</f>
        <v>35.76</v>
      </c>
      <c r="W100" s="6">
        <f>IF(ISERROR(VLOOKUP($T$100,'TAR FIN'!$A$1:$O$113,15,0)),0,VLOOKUP($T$100,'TAR FIN'!$A$1:$O$113,15,0))</f>
        <v>0</v>
      </c>
      <c r="X100" s="6">
        <f>IF(ISERROR(VLOOKUP($U$100,'TAR FIN'!$A$1:$O$113,15,0)),0,VLOOKUP($U$100,'TAR FIN'!$A$1:$O$113,15,0))</f>
        <v>0</v>
      </c>
      <c r="Y100" s="6">
        <f ca="1">('TUSD BE'!$AM$14+'TUSD BF_350'!$AM$14+'TUSD CVA'!$AM$14)*1</f>
        <v>40.963640769708675</v>
      </c>
      <c r="Z100" s="6">
        <f ca="1">('TUSD BE'!$AM$16+'TUSD BF_350'!$AM$16+'TUSD CVA'!$AM$16)*1</f>
        <v>122.14055331663396</v>
      </c>
      <c r="AA100" s="6"/>
      <c r="AB100" s="6">
        <f>$K$100*$V$100</f>
        <v>311808.76886866795</v>
      </c>
      <c r="AC100" s="6">
        <f>$M$100*$W$100</f>
        <v>0</v>
      </c>
      <c r="AD100" s="6">
        <f>$O$100*$X$100</f>
        <v>0</v>
      </c>
      <c r="AE100" s="6">
        <f ca="1">$K$100*$Y$100</f>
        <v>357181.83436189144</v>
      </c>
      <c r="AF100" s="6">
        <f ca="1">$M$100*$Z$100</f>
        <v>0</v>
      </c>
      <c r="AG100" s="6">
        <f>$O$100*$AA$100</f>
        <v>0</v>
      </c>
    </row>
    <row r="101" spans="1:33" ht="11.25" customHeight="1" x14ac:dyDescent="0.3">
      <c r="A101" s="4" t="s">
        <v>21</v>
      </c>
      <c r="B101" s="4" t="s">
        <v>39</v>
      </c>
      <c r="C101" s="4" t="s">
        <v>40</v>
      </c>
      <c r="D101" s="4" t="s">
        <v>38</v>
      </c>
      <c r="E101" s="4" t="s">
        <v>25</v>
      </c>
      <c r="F101" s="4" t="s">
        <v>56</v>
      </c>
      <c r="G101" s="4" t="s">
        <v>25</v>
      </c>
      <c r="H101" s="4" t="s">
        <v>34</v>
      </c>
      <c r="I101" s="5">
        <v>44593</v>
      </c>
      <c r="J101" s="6">
        <v>15170</v>
      </c>
      <c r="K101" s="6">
        <v>9036.5050420000007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4" t="s">
        <v>55</v>
      </c>
      <c r="R101" s="4">
        <v>0</v>
      </c>
      <c r="S101" s="6">
        <v>9</v>
      </c>
      <c r="T101" s="6">
        <v>0</v>
      </c>
      <c r="U101" s="6">
        <v>0</v>
      </c>
      <c r="V101" s="6">
        <f>IF(ISERROR(VLOOKUP($S$101,'TAR FIN'!$A$1:$O$113,15,0)),0,VLOOKUP($S$101,'TAR FIN'!$A$1:$O$113,15,0))</f>
        <v>35.76</v>
      </c>
      <c r="W101" s="6">
        <f>IF(ISERROR(VLOOKUP($T$101,'TAR FIN'!$A$1:$O$113,15,0)),0,VLOOKUP($T$101,'TAR FIN'!$A$1:$O$113,15,0))</f>
        <v>0</v>
      </c>
      <c r="X101" s="6">
        <f>IF(ISERROR(VLOOKUP($U$101,'TAR FIN'!$A$1:$O$113,15,0)),0,VLOOKUP($U$101,'TAR FIN'!$A$1:$O$113,15,0))</f>
        <v>0</v>
      </c>
      <c r="Y101" s="6">
        <f ca="1">('TUSD BE'!$AM$14+'TUSD BF_350'!$AM$14+'TUSD CVA'!$AM$14)*1</f>
        <v>40.963640769708675</v>
      </c>
      <c r="Z101" s="6">
        <f ca="1">('TUSD BE'!$AM$16+'TUSD BF_350'!$AM$16+'TUSD CVA'!$AM$16)*1</f>
        <v>122.14055331663396</v>
      </c>
      <c r="AA101" s="6"/>
      <c r="AB101" s="6">
        <f>$K$101*$V$101</f>
        <v>323145.42030191998</v>
      </c>
      <c r="AC101" s="6">
        <f>$M$101*$W$101</f>
        <v>0</v>
      </c>
      <c r="AD101" s="6">
        <f>$O$101*$X$101</f>
        <v>0</v>
      </c>
      <c r="AE101" s="6">
        <f ca="1">$K$101*$Y$101</f>
        <v>370168.14635414921</v>
      </c>
      <c r="AF101" s="6">
        <f ca="1">$M$101*$Z$101</f>
        <v>0</v>
      </c>
      <c r="AG101" s="6">
        <f>$O$101*$AA$101</f>
        <v>0</v>
      </c>
    </row>
    <row r="102" spans="1:33" ht="11.25" customHeight="1" x14ac:dyDescent="0.3">
      <c r="A102" s="4" t="s">
        <v>21</v>
      </c>
      <c r="B102" s="4" t="s">
        <v>39</v>
      </c>
      <c r="C102" s="4" t="s">
        <v>40</v>
      </c>
      <c r="D102" s="4" t="s">
        <v>38</v>
      </c>
      <c r="E102" s="4" t="s">
        <v>25</v>
      </c>
      <c r="F102" s="4" t="s">
        <v>56</v>
      </c>
      <c r="G102" s="4" t="s">
        <v>25</v>
      </c>
      <c r="H102" s="4" t="s">
        <v>34</v>
      </c>
      <c r="I102" s="5">
        <v>44621</v>
      </c>
      <c r="J102" s="6">
        <v>15437</v>
      </c>
      <c r="K102" s="6">
        <v>8333.5986883799997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4" t="s">
        <v>55</v>
      </c>
      <c r="R102" s="4">
        <v>0</v>
      </c>
      <c r="S102" s="6">
        <v>9</v>
      </c>
      <c r="T102" s="6">
        <v>0</v>
      </c>
      <c r="U102" s="6">
        <v>0</v>
      </c>
      <c r="V102" s="6">
        <f>IF(ISERROR(VLOOKUP($S$102,'TAR FIN'!$A$1:$O$113,15,0)),0,VLOOKUP($S$102,'TAR FIN'!$A$1:$O$113,15,0))</f>
        <v>35.76</v>
      </c>
      <c r="W102" s="6">
        <f>IF(ISERROR(VLOOKUP($T$102,'TAR FIN'!$A$1:$O$113,15,0)),0,VLOOKUP($T$102,'TAR FIN'!$A$1:$O$113,15,0))</f>
        <v>0</v>
      </c>
      <c r="X102" s="6">
        <f>IF(ISERROR(VLOOKUP($U$102,'TAR FIN'!$A$1:$O$113,15,0)),0,VLOOKUP($U$102,'TAR FIN'!$A$1:$O$113,15,0))</f>
        <v>0</v>
      </c>
      <c r="Y102" s="6">
        <f ca="1">('TUSD BE'!$AM$14+'TUSD BF_350'!$AM$14+'TUSD CVA'!$AM$14)*1</f>
        <v>40.963640769708675</v>
      </c>
      <c r="Z102" s="6">
        <f ca="1">('TUSD BE'!$AM$16+'TUSD BF_350'!$AM$16+'TUSD CVA'!$AM$16)*1</f>
        <v>122.14055331663396</v>
      </c>
      <c r="AA102" s="6"/>
      <c r="AB102" s="6">
        <f>$K$102*$V$102</f>
        <v>298009.48909646878</v>
      </c>
      <c r="AC102" s="6">
        <f>$M$102*$W$102</f>
        <v>0</v>
      </c>
      <c r="AD102" s="6">
        <f>$O$102*$X$102</f>
        <v>0</v>
      </c>
      <c r="AE102" s="6">
        <f ca="1">$K$102*$Y$102</f>
        <v>341374.54298971372</v>
      </c>
      <c r="AF102" s="6">
        <f ca="1">$M$102*$Z$102</f>
        <v>0</v>
      </c>
      <c r="AG102" s="6">
        <f>$O$102*$AA$102</f>
        <v>0</v>
      </c>
    </row>
    <row r="103" spans="1:33" ht="11.25" customHeight="1" x14ac:dyDescent="0.3">
      <c r="A103" s="4" t="s">
        <v>21</v>
      </c>
      <c r="B103" s="4" t="s">
        <v>39</v>
      </c>
      <c r="C103" s="4" t="s">
        <v>40</v>
      </c>
      <c r="D103" s="4" t="s">
        <v>38</v>
      </c>
      <c r="E103" s="4" t="s">
        <v>25</v>
      </c>
      <c r="F103" s="4" t="s">
        <v>56</v>
      </c>
      <c r="G103" s="4" t="s">
        <v>25</v>
      </c>
      <c r="H103" s="4" t="s">
        <v>34</v>
      </c>
      <c r="I103" s="5">
        <v>44652</v>
      </c>
      <c r="J103" s="6">
        <v>15298</v>
      </c>
      <c r="K103" s="6">
        <v>7554.5100672400004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4" t="s">
        <v>55</v>
      </c>
      <c r="R103" s="4">
        <v>0</v>
      </c>
      <c r="S103" s="6">
        <v>9</v>
      </c>
      <c r="T103" s="6">
        <v>0</v>
      </c>
      <c r="U103" s="6">
        <v>0</v>
      </c>
      <c r="V103" s="6">
        <f>IF(ISERROR(VLOOKUP($S$103,'TAR FIN'!$A$1:$O$113,15,0)),0,VLOOKUP($S$103,'TAR FIN'!$A$1:$O$113,15,0))</f>
        <v>35.76</v>
      </c>
      <c r="W103" s="6">
        <f>IF(ISERROR(VLOOKUP($T$103,'TAR FIN'!$A$1:$O$113,15,0)),0,VLOOKUP($T$103,'TAR FIN'!$A$1:$O$113,15,0))</f>
        <v>0</v>
      </c>
      <c r="X103" s="6">
        <f>IF(ISERROR(VLOOKUP($U$103,'TAR FIN'!$A$1:$O$113,15,0)),0,VLOOKUP($U$103,'TAR FIN'!$A$1:$O$113,15,0))</f>
        <v>0</v>
      </c>
      <c r="Y103" s="6">
        <f ca="1">('TUSD BE'!$AM$14+'TUSD BF_350'!$AM$14+'TUSD CVA'!$AM$14)*1</f>
        <v>40.963640769708675</v>
      </c>
      <c r="Z103" s="6">
        <f ca="1">('TUSD BE'!$AM$16+'TUSD BF_350'!$AM$16+'TUSD CVA'!$AM$16)*1</f>
        <v>122.14055331663396</v>
      </c>
      <c r="AA103" s="6"/>
      <c r="AB103" s="6">
        <f>$K$103*$V$103</f>
        <v>270149.28000450239</v>
      </c>
      <c r="AC103" s="6">
        <f>$M$103*$W$103</f>
        <v>0</v>
      </c>
      <c r="AD103" s="6">
        <f>$O$103*$X$103</f>
        <v>0</v>
      </c>
      <c r="AE103" s="6">
        <f ca="1">$K$103*$Y$103</f>
        <v>309460.23658556712</v>
      </c>
      <c r="AF103" s="6">
        <f ca="1">$M$103*$Z$103</f>
        <v>0</v>
      </c>
      <c r="AG103" s="6">
        <f>$O$103*$AA$103</f>
        <v>0</v>
      </c>
    </row>
    <row r="104" spans="1:33" ht="11.25" customHeight="1" x14ac:dyDescent="0.3">
      <c r="A104" s="4" t="s">
        <v>21</v>
      </c>
      <c r="B104" s="4" t="s">
        <v>39</v>
      </c>
      <c r="C104" s="4" t="s">
        <v>40</v>
      </c>
      <c r="D104" s="4" t="s">
        <v>38</v>
      </c>
      <c r="E104" s="4" t="s">
        <v>25</v>
      </c>
      <c r="F104" s="4" t="s">
        <v>56</v>
      </c>
      <c r="G104" s="4" t="s">
        <v>25</v>
      </c>
      <c r="H104" s="4" t="s">
        <v>34</v>
      </c>
      <c r="I104" s="5">
        <v>44682</v>
      </c>
      <c r="J104" s="6">
        <v>15512</v>
      </c>
      <c r="K104" s="6">
        <v>10036.9224844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4" t="s">
        <v>55</v>
      </c>
      <c r="R104" s="4">
        <v>0</v>
      </c>
      <c r="S104" s="6">
        <v>9</v>
      </c>
      <c r="T104" s="6">
        <v>0</v>
      </c>
      <c r="U104" s="6">
        <v>0</v>
      </c>
      <c r="V104" s="6">
        <f>IF(ISERROR(VLOOKUP($S$104,'TAR FIN'!$A$1:$O$113,15,0)),0,VLOOKUP($S$104,'TAR FIN'!$A$1:$O$113,15,0))</f>
        <v>35.76</v>
      </c>
      <c r="W104" s="6">
        <f>IF(ISERROR(VLOOKUP($T$104,'TAR FIN'!$A$1:$O$113,15,0)),0,VLOOKUP($T$104,'TAR FIN'!$A$1:$O$113,15,0))</f>
        <v>0</v>
      </c>
      <c r="X104" s="6">
        <f>IF(ISERROR(VLOOKUP($U$104,'TAR FIN'!$A$1:$O$113,15,0)),0,VLOOKUP($U$104,'TAR FIN'!$A$1:$O$113,15,0))</f>
        <v>0</v>
      </c>
      <c r="Y104" s="6">
        <f ca="1">('TUSD BE'!$AM$14+'TUSD BF_350'!$AM$14+'TUSD CVA'!$AM$14)*1</f>
        <v>40.963640769708675</v>
      </c>
      <c r="Z104" s="6">
        <f ca="1">('TUSD BE'!$AM$16+'TUSD BF_350'!$AM$16+'TUSD CVA'!$AM$16)*1</f>
        <v>122.14055331663396</v>
      </c>
      <c r="AA104" s="6"/>
      <c r="AB104" s="6">
        <f>$K$104*$V$104</f>
        <v>358920.34804214397</v>
      </c>
      <c r="AC104" s="6">
        <f>$M$104*$W$104</f>
        <v>0</v>
      </c>
      <c r="AD104" s="6">
        <f>$O$104*$X$104</f>
        <v>0</v>
      </c>
      <c r="AE104" s="6">
        <f ca="1">$K$104*$Y$104</f>
        <v>411148.88708437351</v>
      </c>
      <c r="AF104" s="6">
        <f ca="1">$M$104*$Z$104</f>
        <v>0</v>
      </c>
      <c r="AG104" s="6">
        <f>$O$104*$AA$104</f>
        <v>0</v>
      </c>
    </row>
    <row r="105" spans="1:33" ht="11.25" customHeight="1" x14ac:dyDescent="0.3">
      <c r="A105" s="4" t="s">
        <v>21</v>
      </c>
      <c r="B105" s="4" t="s">
        <v>39</v>
      </c>
      <c r="C105" s="4" t="s">
        <v>40</v>
      </c>
      <c r="D105" s="4" t="s">
        <v>38</v>
      </c>
      <c r="E105" s="4" t="s">
        <v>25</v>
      </c>
      <c r="F105" s="4" t="s">
        <v>56</v>
      </c>
      <c r="G105" s="4" t="s">
        <v>25</v>
      </c>
      <c r="H105" s="4" t="s">
        <v>34</v>
      </c>
      <c r="I105" s="5">
        <v>44713</v>
      </c>
      <c r="J105" s="6">
        <v>15447</v>
      </c>
      <c r="K105" s="6">
        <v>9418.8297213299993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4" t="s">
        <v>55</v>
      </c>
      <c r="R105" s="4">
        <v>0</v>
      </c>
      <c r="S105" s="6">
        <v>9</v>
      </c>
      <c r="T105" s="6">
        <v>0</v>
      </c>
      <c r="U105" s="6">
        <v>0</v>
      </c>
      <c r="V105" s="6">
        <f>IF(ISERROR(VLOOKUP($S$105,'TAR FIN'!$A$1:$O$113,15,0)),0,VLOOKUP($S$105,'TAR FIN'!$A$1:$O$113,15,0))</f>
        <v>35.76</v>
      </c>
      <c r="W105" s="6">
        <f>IF(ISERROR(VLOOKUP($T$105,'TAR FIN'!$A$1:$O$113,15,0)),0,VLOOKUP($T$105,'TAR FIN'!$A$1:$O$113,15,0))</f>
        <v>0</v>
      </c>
      <c r="X105" s="6">
        <f>IF(ISERROR(VLOOKUP($U$105,'TAR FIN'!$A$1:$O$113,15,0)),0,VLOOKUP($U$105,'TAR FIN'!$A$1:$O$113,15,0))</f>
        <v>0</v>
      </c>
      <c r="Y105" s="6">
        <f ca="1">('TUSD BE'!$AM$14+'TUSD BF_350'!$AM$14+'TUSD CVA'!$AM$14)*1</f>
        <v>40.963640769708675</v>
      </c>
      <c r="Z105" s="6">
        <f ca="1">('TUSD BE'!$AM$16+'TUSD BF_350'!$AM$16+'TUSD CVA'!$AM$16)*1</f>
        <v>122.14055331663396</v>
      </c>
      <c r="AA105" s="6"/>
      <c r="AB105" s="6">
        <f>$K$105*$V$105</f>
        <v>336817.35083476076</v>
      </c>
      <c r="AC105" s="6">
        <f>$M$105*$W$105</f>
        <v>0</v>
      </c>
      <c r="AD105" s="6">
        <f>$O$105*$X$105</f>
        <v>0</v>
      </c>
      <c r="AE105" s="6">
        <f ca="1">$K$105*$Y$105</f>
        <v>385829.55717561737</v>
      </c>
      <c r="AF105" s="6">
        <f ca="1">$M$105*$Z$105</f>
        <v>0</v>
      </c>
      <c r="AG105" s="6">
        <f>$O$105*$AA$105</f>
        <v>0</v>
      </c>
    </row>
    <row r="106" spans="1:33" ht="11.25" customHeight="1" x14ac:dyDescent="0.3">
      <c r="A106" s="4" t="s">
        <v>21</v>
      </c>
      <c r="B106" s="4" t="s">
        <v>39</v>
      </c>
      <c r="C106" s="4" t="s">
        <v>40</v>
      </c>
      <c r="D106" s="4" t="s">
        <v>38</v>
      </c>
      <c r="E106" s="4" t="s">
        <v>25</v>
      </c>
      <c r="F106" s="4" t="s">
        <v>56</v>
      </c>
      <c r="G106" s="4" t="s">
        <v>25</v>
      </c>
      <c r="H106" s="4" t="s">
        <v>34</v>
      </c>
      <c r="I106" s="5">
        <v>44743</v>
      </c>
      <c r="J106" s="6">
        <v>15443</v>
      </c>
      <c r="K106" s="6">
        <v>7695.1753989099998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4" t="s">
        <v>55</v>
      </c>
      <c r="R106" s="4">
        <v>0</v>
      </c>
      <c r="S106" s="6">
        <v>9</v>
      </c>
      <c r="T106" s="6">
        <v>0</v>
      </c>
      <c r="U106" s="6">
        <v>0</v>
      </c>
      <c r="V106" s="6">
        <f>IF(ISERROR(VLOOKUP($S$106,'TAR FIN'!$A$1:$O$113,15,0)),0,VLOOKUP($S$106,'TAR FIN'!$A$1:$O$113,15,0))</f>
        <v>35.76</v>
      </c>
      <c r="W106" s="6">
        <f>IF(ISERROR(VLOOKUP($T$106,'TAR FIN'!$A$1:$O$113,15,0)),0,VLOOKUP($T$106,'TAR FIN'!$A$1:$O$113,15,0))</f>
        <v>0</v>
      </c>
      <c r="X106" s="6">
        <f>IF(ISERROR(VLOOKUP($U$106,'TAR FIN'!$A$1:$O$113,15,0)),0,VLOOKUP($U$106,'TAR FIN'!$A$1:$O$113,15,0))</f>
        <v>0</v>
      </c>
      <c r="Y106" s="6">
        <f ca="1">('TUSD BE'!$AM$14+'TUSD BF_350'!$AM$14+'TUSD CVA'!$AM$14)*1</f>
        <v>40.963640769708675</v>
      </c>
      <c r="Z106" s="6">
        <f ca="1">('TUSD BE'!$AM$16+'TUSD BF_350'!$AM$16+'TUSD CVA'!$AM$16)*1</f>
        <v>122.14055331663396</v>
      </c>
      <c r="AA106" s="6"/>
      <c r="AB106" s="6">
        <f>$K$106*$V$106</f>
        <v>275179.47226502158</v>
      </c>
      <c r="AC106" s="6">
        <f>$M$106*$W$106</f>
        <v>0</v>
      </c>
      <c r="AD106" s="6">
        <f>$O$106*$X$106</f>
        <v>0</v>
      </c>
      <c r="AE106" s="6">
        <f ca="1">$K$106*$Y$106</f>
        <v>315222.4007008489</v>
      </c>
      <c r="AF106" s="6">
        <f ca="1">$M$106*$Z$106</f>
        <v>0</v>
      </c>
      <c r="AG106" s="6">
        <f>$O$106*$AA$106</f>
        <v>0</v>
      </c>
    </row>
    <row r="107" spans="1:33" ht="11.25" customHeight="1" x14ac:dyDescent="0.3">
      <c r="A107" s="4" t="s">
        <v>21</v>
      </c>
      <c r="B107" s="4" t="s">
        <v>39</v>
      </c>
      <c r="C107" s="4" t="s">
        <v>40</v>
      </c>
      <c r="D107" s="4" t="s">
        <v>38</v>
      </c>
      <c r="E107" s="4" t="s">
        <v>25</v>
      </c>
      <c r="F107" s="4" t="s">
        <v>56</v>
      </c>
      <c r="G107" s="4" t="s">
        <v>25</v>
      </c>
      <c r="H107" s="4" t="s">
        <v>34</v>
      </c>
      <c r="I107" s="5">
        <v>44774</v>
      </c>
      <c r="J107" s="6">
        <v>15437</v>
      </c>
      <c r="K107" s="6">
        <v>8181.5836027300002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4" t="s">
        <v>55</v>
      </c>
      <c r="R107" s="4">
        <v>0</v>
      </c>
      <c r="S107" s="6">
        <v>9</v>
      </c>
      <c r="T107" s="6">
        <v>0</v>
      </c>
      <c r="U107" s="6">
        <v>0</v>
      </c>
      <c r="V107" s="6">
        <f>IF(ISERROR(VLOOKUP($S$107,'TAR FIN'!$A$1:$O$113,15,0)),0,VLOOKUP($S$107,'TAR FIN'!$A$1:$O$113,15,0))</f>
        <v>35.76</v>
      </c>
      <c r="W107" s="6">
        <f>IF(ISERROR(VLOOKUP($T$107,'TAR FIN'!$A$1:$O$113,15,0)),0,VLOOKUP($T$107,'TAR FIN'!$A$1:$O$113,15,0))</f>
        <v>0</v>
      </c>
      <c r="X107" s="6">
        <f>IF(ISERROR(VLOOKUP($U$107,'TAR FIN'!$A$1:$O$113,15,0)),0,VLOOKUP($U$107,'TAR FIN'!$A$1:$O$113,15,0))</f>
        <v>0</v>
      </c>
      <c r="Y107" s="6">
        <f ca="1">('TUSD BE'!$AM$14+'TUSD BF_350'!$AM$14+'TUSD CVA'!$AM$14)*1</f>
        <v>40.963640769708675</v>
      </c>
      <c r="Z107" s="6">
        <f ca="1">('TUSD BE'!$AM$16+'TUSD BF_350'!$AM$16+'TUSD CVA'!$AM$16)*1</f>
        <v>122.14055331663396</v>
      </c>
      <c r="AA107" s="6"/>
      <c r="AB107" s="6">
        <f>$K$107*$V$107</f>
        <v>292573.42963362479</v>
      </c>
      <c r="AC107" s="6">
        <f>$M$107*$W$107</f>
        <v>0</v>
      </c>
      <c r="AD107" s="6">
        <f>$O$107*$X$107</f>
        <v>0</v>
      </c>
      <c r="AE107" s="6">
        <f ca="1">$K$107*$Y$107</f>
        <v>335147.45162957063</v>
      </c>
      <c r="AF107" s="6">
        <f ca="1">$M$107*$Z$107</f>
        <v>0</v>
      </c>
      <c r="AG107" s="6">
        <f>$O$107*$AA$107</f>
        <v>0</v>
      </c>
    </row>
    <row r="108" spans="1:33" ht="11.25" customHeight="1" x14ac:dyDescent="0.3">
      <c r="A108" s="4" t="s">
        <v>21</v>
      </c>
      <c r="B108" s="4" t="s">
        <v>39</v>
      </c>
      <c r="C108" s="4" t="s">
        <v>40</v>
      </c>
      <c r="D108" s="4" t="s">
        <v>38</v>
      </c>
      <c r="E108" s="4" t="s">
        <v>25</v>
      </c>
      <c r="F108" s="4" t="s">
        <v>56</v>
      </c>
      <c r="G108" s="4" t="s">
        <v>25</v>
      </c>
      <c r="H108" s="4" t="s">
        <v>34</v>
      </c>
      <c r="I108" s="5">
        <v>44805</v>
      </c>
      <c r="J108" s="6">
        <v>15410</v>
      </c>
      <c r="K108" s="6">
        <v>8717.6713861000007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4" t="s">
        <v>55</v>
      </c>
      <c r="R108" s="4">
        <v>0</v>
      </c>
      <c r="S108" s="6">
        <v>9</v>
      </c>
      <c r="T108" s="6">
        <v>0</v>
      </c>
      <c r="U108" s="6">
        <v>0</v>
      </c>
      <c r="V108" s="6">
        <f>IF(ISERROR(VLOOKUP($S$108,'TAR FIN'!$A$1:$O$113,15,0)),0,VLOOKUP($S$108,'TAR FIN'!$A$1:$O$113,15,0))</f>
        <v>35.76</v>
      </c>
      <c r="W108" s="6">
        <f>IF(ISERROR(VLOOKUP($T$108,'TAR FIN'!$A$1:$O$113,15,0)),0,VLOOKUP($T$108,'TAR FIN'!$A$1:$O$113,15,0))</f>
        <v>0</v>
      </c>
      <c r="X108" s="6">
        <f>IF(ISERROR(VLOOKUP($U$108,'TAR FIN'!$A$1:$O$113,15,0)),0,VLOOKUP($U$108,'TAR FIN'!$A$1:$O$113,15,0))</f>
        <v>0</v>
      </c>
      <c r="Y108" s="6">
        <f ca="1">('TUSD BE'!$AM$14+'TUSD BF_350'!$AM$14+'TUSD CVA'!$AM$14)*1</f>
        <v>40.963640769708675</v>
      </c>
      <c r="Z108" s="6">
        <f ca="1">('TUSD BE'!$AM$16+'TUSD BF_350'!$AM$16+'TUSD CVA'!$AM$16)*1</f>
        <v>122.14055331663396</v>
      </c>
      <c r="AA108" s="6"/>
      <c r="AB108" s="6">
        <f>$K$108*$V$108</f>
        <v>311743.92876693601</v>
      </c>
      <c r="AC108" s="6">
        <f>$M$108*$W$108</f>
        <v>0</v>
      </c>
      <c r="AD108" s="6">
        <f>$O$108*$X$108</f>
        <v>0</v>
      </c>
      <c r="AE108" s="6">
        <f ca="1">$K$108*$Y$108</f>
        <v>357107.5590085687</v>
      </c>
      <c r="AF108" s="6">
        <f ca="1">$M$108*$Z$108</f>
        <v>0</v>
      </c>
      <c r="AG108" s="6">
        <f>$O$108*$AA$108</f>
        <v>0</v>
      </c>
    </row>
    <row r="109" spans="1:33" ht="11.25" customHeight="1" x14ac:dyDescent="0.3">
      <c r="A109" s="4" t="s">
        <v>53</v>
      </c>
      <c r="B109" s="4" t="s">
        <v>39</v>
      </c>
      <c r="C109" s="4" t="s">
        <v>40</v>
      </c>
      <c r="D109" s="4" t="s">
        <v>38</v>
      </c>
      <c r="E109" s="4" t="s">
        <v>25</v>
      </c>
      <c r="F109" s="4" t="s">
        <v>56</v>
      </c>
      <c r="G109" s="4" t="s">
        <v>25</v>
      </c>
      <c r="H109" s="4" t="s">
        <v>34</v>
      </c>
      <c r="I109" s="5">
        <v>44835</v>
      </c>
      <c r="J109" s="6">
        <v>15410</v>
      </c>
      <c r="K109" s="6">
        <v>8717.6713861000007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4" t="s">
        <v>55</v>
      </c>
      <c r="R109" s="4">
        <v>0</v>
      </c>
      <c r="S109" s="6">
        <v>9</v>
      </c>
      <c r="T109" s="6">
        <v>0</v>
      </c>
      <c r="U109" s="6">
        <v>0</v>
      </c>
      <c r="V109" s="6">
        <f>IF(ISERROR(VLOOKUP($S$109,'TAR FIN'!$A$1:$O$113,15,0)),0,VLOOKUP($S$109,'TAR FIN'!$A$1:$O$113,15,0))</f>
        <v>35.76</v>
      </c>
      <c r="W109" s="6">
        <f>IF(ISERROR(VLOOKUP($T$109,'TAR FIN'!$A$1:$O$113,15,0)),0,VLOOKUP($T$109,'TAR FIN'!$A$1:$O$113,15,0))</f>
        <v>0</v>
      </c>
      <c r="X109" s="6">
        <f>IF(ISERROR(VLOOKUP($U$109,'TAR FIN'!$A$1:$O$113,15,0)),0,VLOOKUP($U$109,'TAR FIN'!$A$1:$O$113,15,0))</f>
        <v>0</v>
      </c>
      <c r="Y109" s="6">
        <f ca="1">('TUSD BE'!$AM$14+'TUSD BF_350'!$AM$14+'TUSD CVA'!$AM$14)*1</f>
        <v>40.963640769708675</v>
      </c>
      <c r="Z109" s="6">
        <f ca="1">('TUSD BE'!$AM$16+'TUSD BF_350'!$AM$16+'TUSD CVA'!$AM$16)*1</f>
        <v>122.14055331663396</v>
      </c>
      <c r="AA109" s="6"/>
      <c r="AB109" s="6">
        <f>$K$109*$V$109</f>
        <v>311743.92876693601</v>
      </c>
      <c r="AC109" s="6">
        <f>$M$109*$W$109</f>
        <v>0</v>
      </c>
      <c r="AD109" s="6">
        <f>$O$109*$X$109</f>
        <v>0</v>
      </c>
      <c r="AE109" s="6">
        <f ca="1">$K$109*$Y$109</f>
        <v>357107.5590085687</v>
      </c>
      <c r="AF109" s="6">
        <f ca="1">$M$109*$Z$109</f>
        <v>0</v>
      </c>
      <c r="AG109" s="6">
        <f>$O$109*$AA$109</f>
        <v>0</v>
      </c>
    </row>
    <row r="110" spans="1:33" ht="11.25" customHeight="1" x14ac:dyDescent="0.3">
      <c r="A110" s="4" t="s">
        <v>21</v>
      </c>
      <c r="B110" s="4" t="s">
        <v>39</v>
      </c>
      <c r="C110" s="4" t="s">
        <v>40</v>
      </c>
      <c r="D110" s="4" t="s">
        <v>38</v>
      </c>
      <c r="E110" s="4" t="s">
        <v>25</v>
      </c>
      <c r="F110" s="4" t="s">
        <v>25</v>
      </c>
      <c r="G110" s="4" t="s">
        <v>25</v>
      </c>
      <c r="H110" s="4" t="s">
        <v>35</v>
      </c>
      <c r="I110" s="5">
        <v>44501</v>
      </c>
      <c r="J110" s="6">
        <v>655</v>
      </c>
      <c r="K110" s="6">
        <v>655</v>
      </c>
      <c r="L110" s="6">
        <v>245.398</v>
      </c>
      <c r="M110" s="6">
        <v>245.398</v>
      </c>
      <c r="N110" s="6">
        <v>245.398</v>
      </c>
      <c r="O110" s="6">
        <v>245.398</v>
      </c>
      <c r="P110" s="6">
        <v>0</v>
      </c>
      <c r="Q110" s="4" t="s">
        <v>26</v>
      </c>
      <c r="R110" s="4">
        <v>0</v>
      </c>
      <c r="S110" s="6">
        <v>22</v>
      </c>
      <c r="T110" s="6">
        <v>12</v>
      </c>
      <c r="U110" s="6">
        <v>61</v>
      </c>
      <c r="V110" s="6">
        <f>IF(ISERROR(VLOOKUP($S$110,'TAR FIN'!$A$1:$O$113,15,0)),0,VLOOKUP($S$110,'TAR FIN'!$A$1:$O$113,15,0))</f>
        <v>14</v>
      </c>
      <c r="W110" s="6">
        <f>IF(ISERROR(VLOOKUP($T$110,'TAR FIN'!$A$1:$O$113,15,0)),0,VLOOKUP($T$110,'TAR FIN'!$A$1:$O$113,15,0))</f>
        <v>72.150000000000006</v>
      </c>
      <c r="X110" s="6">
        <f>IF(ISERROR(VLOOKUP($U$110,'TAR FIN'!$A$1:$O$113,15,0)),0,VLOOKUP($U$110,'TAR FIN'!$A$1:$O$113,15,0))</f>
        <v>278.67</v>
      </c>
      <c r="Y110" s="6">
        <f ca="1">('TUSD BE'!$AM$15+'TUSD BF_350'!$AM$15+'TUSD CVA'!$AM$15)*1</f>
        <v>16.035953923331604</v>
      </c>
      <c r="Z110" s="6">
        <f ca="1">('TUSD BE'!$AM$16+'TUSD BF_350'!$AM$16+'TUSD CVA'!$AM$16)*1</f>
        <v>122.14055331663396</v>
      </c>
      <c r="AA110" s="6">
        <f ca="1">('TE BE'!$AB$10+'TE BF_350'!$AB$10+'TE CVA'!$AB$10)*1</f>
        <v>231.69</v>
      </c>
      <c r="AB110" s="6">
        <f>$K$110*$V$110</f>
        <v>9170</v>
      </c>
      <c r="AC110" s="6">
        <f>$M$110*$W$110</f>
        <v>17705.465700000001</v>
      </c>
      <c r="AD110" s="6">
        <f>$O$110*$X$110</f>
        <v>68385.060660000003</v>
      </c>
      <c r="AE110" s="6">
        <f ca="1">$K$110*$Y$110</f>
        <v>10503.5498197822</v>
      </c>
      <c r="AF110" s="6">
        <f ca="1">$M$110*$Z$110</f>
        <v>29973.04750279534</v>
      </c>
      <c r="AG110" s="6">
        <f ca="1">$O$110*$AA$110</f>
        <v>56856.262620000001</v>
      </c>
    </row>
    <row r="111" spans="1:33" ht="11.25" customHeight="1" x14ac:dyDescent="0.3">
      <c r="A111" s="4" t="s">
        <v>21</v>
      </c>
      <c r="B111" s="4" t="s">
        <v>39</v>
      </c>
      <c r="C111" s="4" t="s">
        <v>40</v>
      </c>
      <c r="D111" s="4" t="s">
        <v>38</v>
      </c>
      <c r="E111" s="4" t="s">
        <v>25</v>
      </c>
      <c r="F111" s="4" t="s">
        <v>25</v>
      </c>
      <c r="G111" s="4" t="s">
        <v>25</v>
      </c>
      <c r="H111" s="4" t="s">
        <v>35</v>
      </c>
      <c r="I111" s="5">
        <v>44501</v>
      </c>
      <c r="J111" s="6">
        <v>12919</v>
      </c>
      <c r="K111" s="6">
        <v>12919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4" t="s">
        <v>55</v>
      </c>
      <c r="R111" s="4">
        <v>0</v>
      </c>
      <c r="S111" s="6">
        <v>22</v>
      </c>
      <c r="T111" s="6">
        <v>0</v>
      </c>
      <c r="U111" s="6">
        <v>0</v>
      </c>
      <c r="V111" s="6">
        <f>IF(ISERROR(VLOOKUP($S$111,'TAR FIN'!$A$1:$O$113,15,0)),0,VLOOKUP($S$111,'TAR FIN'!$A$1:$O$113,15,0))</f>
        <v>14</v>
      </c>
      <c r="W111" s="6">
        <f>IF(ISERROR(VLOOKUP($T$111,'TAR FIN'!$A$1:$O$113,15,0)),0,VLOOKUP($T$111,'TAR FIN'!$A$1:$O$113,15,0))</f>
        <v>0</v>
      </c>
      <c r="X111" s="6">
        <f>IF(ISERROR(VLOOKUP($U$111,'TAR FIN'!$A$1:$O$113,15,0)),0,VLOOKUP($U$111,'TAR FIN'!$A$1:$O$113,15,0))</f>
        <v>0</v>
      </c>
      <c r="Y111" s="6">
        <f ca="1">('TUSD BE'!$AM$15+'TUSD BF_350'!$AM$15+'TUSD CVA'!$AM$15)*1</f>
        <v>16.035953923331604</v>
      </c>
      <c r="Z111" s="6">
        <f ca="1">('TUSD BE'!$AM$16+'TUSD BF_350'!$AM$16+'TUSD CVA'!$AM$16)*1</f>
        <v>122.14055331663396</v>
      </c>
      <c r="AA111" s="6"/>
      <c r="AB111" s="6">
        <f>$K$111*$V$111</f>
        <v>180866</v>
      </c>
      <c r="AC111" s="6">
        <f>$M$111*$W$111</f>
        <v>0</v>
      </c>
      <c r="AD111" s="6">
        <f>$O$111*$X$111</f>
        <v>0</v>
      </c>
      <c r="AE111" s="6">
        <f ca="1">$K$111*$Y$111</f>
        <v>207168.48873552101</v>
      </c>
      <c r="AF111" s="6">
        <f ca="1">$M$111*$Z$111</f>
        <v>0</v>
      </c>
      <c r="AG111" s="6">
        <f>$O$111*$AA$111</f>
        <v>0</v>
      </c>
    </row>
    <row r="112" spans="1:33" ht="11.25" customHeight="1" x14ac:dyDescent="0.3">
      <c r="A112" s="4" t="s">
        <v>21</v>
      </c>
      <c r="B112" s="4" t="s">
        <v>39</v>
      </c>
      <c r="C112" s="4" t="s">
        <v>40</v>
      </c>
      <c r="D112" s="4" t="s">
        <v>38</v>
      </c>
      <c r="E112" s="4" t="s">
        <v>25</v>
      </c>
      <c r="F112" s="4" t="s">
        <v>25</v>
      </c>
      <c r="G112" s="4" t="s">
        <v>25</v>
      </c>
      <c r="H112" s="4" t="s">
        <v>35</v>
      </c>
      <c r="I112" s="5">
        <v>44531</v>
      </c>
      <c r="J112" s="6">
        <v>644</v>
      </c>
      <c r="K112" s="6">
        <v>644</v>
      </c>
      <c r="L112" s="6">
        <v>196.267</v>
      </c>
      <c r="M112" s="6">
        <v>196.267</v>
      </c>
      <c r="N112" s="6">
        <v>196.267</v>
      </c>
      <c r="O112" s="6">
        <v>196.267</v>
      </c>
      <c r="P112" s="6">
        <v>0</v>
      </c>
      <c r="Q112" s="4" t="s">
        <v>26</v>
      </c>
      <c r="R112" s="4">
        <v>0</v>
      </c>
      <c r="S112" s="6">
        <v>22</v>
      </c>
      <c r="T112" s="6">
        <v>12</v>
      </c>
      <c r="U112" s="6">
        <v>61</v>
      </c>
      <c r="V112" s="6">
        <f>IF(ISERROR(VLOOKUP($S$112,'TAR FIN'!$A$1:$O$113,15,0)),0,VLOOKUP($S$112,'TAR FIN'!$A$1:$O$113,15,0))</f>
        <v>14</v>
      </c>
      <c r="W112" s="6">
        <f>IF(ISERROR(VLOOKUP($T$112,'TAR FIN'!$A$1:$O$113,15,0)),0,VLOOKUP($T$112,'TAR FIN'!$A$1:$O$113,15,0))</f>
        <v>72.150000000000006</v>
      </c>
      <c r="X112" s="6">
        <f>IF(ISERROR(VLOOKUP($U$112,'TAR FIN'!$A$1:$O$113,15,0)),0,VLOOKUP($U$112,'TAR FIN'!$A$1:$O$113,15,0))</f>
        <v>278.67</v>
      </c>
      <c r="Y112" s="6">
        <f ca="1">('TUSD BE'!$AM$15+'TUSD BF_350'!$AM$15+'TUSD CVA'!$AM$15)*1</f>
        <v>16.035953923331604</v>
      </c>
      <c r="Z112" s="6">
        <f ca="1">('TUSD BE'!$AM$16+'TUSD BF_350'!$AM$16+'TUSD CVA'!$AM$16)*1</f>
        <v>122.14055331663396</v>
      </c>
      <c r="AA112" s="6">
        <f ca="1">('TE BE'!$AB$10+'TE BF_350'!$AB$10+'TE CVA'!$AB$10)*1</f>
        <v>231.69</v>
      </c>
      <c r="AB112" s="6">
        <f>$K$112*$V$112</f>
        <v>9016</v>
      </c>
      <c r="AC112" s="6">
        <f>$M$112*$W$112</f>
        <v>14160.664050000001</v>
      </c>
      <c r="AD112" s="6">
        <f>$O$112*$X$112</f>
        <v>54693.724890000005</v>
      </c>
      <c r="AE112" s="6">
        <f ca="1">$K$112*$Y$112</f>
        <v>10327.154326625554</v>
      </c>
      <c r="AF112" s="6">
        <f ca="1">$M$112*$Z$112</f>
        <v>23972.159977795796</v>
      </c>
      <c r="AG112" s="6">
        <f ca="1">$O$112*$AA$112</f>
        <v>45473.10123</v>
      </c>
    </row>
    <row r="113" spans="1:33" ht="11.25" customHeight="1" x14ac:dyDescent="0.3">
      <c r="A113" s="4" t="s">
        <v>21</v>
      </c>
      <c r="B113" s="4" t="s">
        <v>39</v>
      </c>
      <c r="C113" s="4" t="s">
        <v>40</v>
      </c>
      <c r="D113" s="4" t="s">
        <v>38</v>
      </c>
      <c r="E113" s="4" t="s">
        <v>25</v>
      </c>
      <c r="F113" s="4" t="s">
        <v>25</v>
      </c>
      <c r="G113" s="4" t="s">
        <v>25</v>
      </c>
      <c r="H113" s="4" t="s">
        <v>35</v>
      </c>
      <c r="I113" s="5">
        <v>44531</v>
      </c>
      <c r="J113" s="6">
        <v>12908</v>
      </c>
      <c r="K113" s="6">
        <v>12908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4" t="s">
        <v>55</v>
      </c>
      <c r="R113" s="4">
        <v>0</v>
      </c>
      <c r="S113" s="6">
        <v>22</v>
      </c>
      <c r="T113" s="6">
        <v>0</v>
      </c>
      <c r="U113" s="6">
        <v>0</v>
      </c>
      <c r="V113" s="6">
        <f>IF(ISERROR(VLOOKUP($S$113,'TAR FIN'!$A$1:$O$113,15,0)),0,VLOOKUP($S$113,'TAR FIN'!$A$1:$O$113,15,0))</f>
        <v>14</v>
      </c>
      <c r="W113" s="6">
        <f>IF(ISERROR(VLOOKUP($T$113,'TAR FIN'!$A$1:$O$113,15,0)),0,VLOOKUP($T$113,'TAR FIN'!$A$1:$O$113,15,0))</f>
        <v>0</v>
      </c>
      <c r="X113" s="6">
        <f>IF(ISERROR(VLOOKUP($U$113,'TAR FIN'!$A$1:$O$113,15,0)),0,VLOOKUP($U$113,'TAR FIN'!$A$1:$O$113,15,0))</f>
        <v>0</v>
      </c>
      <c r="Y113" s="6">
        <f ca="1">('TUSD BE'!$AM$15+'TUSD BF_350'!$AM$15+'TUSD CVA'!$AM$15)*1</f>
        <v>16.035953923331604</v>
      </c>
      <c r="Z113" s="6">
        <f ca="1">('TUSD BE'!$AM$16+'TUSD BF_350'!$AM$16+'TUSD CVA'!$AM$16)*1</f>
        <v>122.14055331663396</v>
      </c>
      <c r="AA113" s="6"/>
      <c r="AB113" s="6">
        <f>$K$113*$V$113</f>
        <v>180712</v>
      </c>
      <c r="AC113" s="6">
        <f>$M$113*$W$113</f>
        <v>0</v>
      </c>
      <c r="AD113" s="6">
        <f>$O$113*$X$113</f>
        <v>0</v>
      </c>
      <c r="AE113" s="6">
        <f ca="1">$K$113*$Y$113</f>
        <v>206992.09324236435</v>
      </c>
      <c r="AF113" s="6">
        <f ca="1">$M$113*$Z$113</f>
        <v>0</v>
      </c>
      <c r="AG113" s="6">
        <f>$O$113*$AA$113</f>
        <v>0</v>
      </c>
    </row>
    <row r="114" spans="1:33" ht="11.25" customHeight="1" x14ac:dyDescent="0.3">
      <c r="A114" s="4" t="s">
        <v>21</v>
      </c>
      <c r="B114" s="4" t="s">
        <v>39</v>
      </c>
      <c r="C114" s="4" t="s">
        <v>40</v>
      </c>
      <c r="D114" s="4" t="s">
        <v>38</v>
      </c>
      <c r="E114" s="4" t="s">
        <v>25</v>
      </c>
      <c r="F114" s="4" t="s">
        <v>25</v>
      </c>
      <c r="G114" s="4" t="s">
        <v>25</v>
      </c>
      <c r="H114" s="4" t="s">
        <v>35</v>
      </c>
      <c r="I114" s="5">
        <v>44562</v>
      </c>
      <c r="J114" s="6">
        <v>673</v>
      </c>
      <c r="K114" s="6">
        <v>673</v>
      </c>
      <c r="L114" s="6">
        <v>252.768</v>
      </c>
      <c r="M114" s="6">
        <v>252.768</v>
      </c>
      <c r="N114" s="6">
        <v>252.768</v>
      </c>
      <c r="O114" s="6">
        <v>252.768</v>
      </c>
      <c r="P114" s="6">
        <v>0</v>
      </c>
      <c r="Q114" s="4" t="s">
        <v>26</v>
      </c>
      <c r="R114" s="4">
        <v>0</v>
      </c>
      <c r="S114" s="6">
        <v>22</v>
      </c>
      <c r="T114" s="6">
        <v>12</v>
      </c>
      <c r="U114" s="6">
        <v>61</v>
      </c>
      <c r="V114" s="6">
        <f>IF(ISERROR(VLOOKUP($S$114,'TAR FIN'!$A$1:$O$113,15,0)),0,VLOOKUP($S$114,'TAR FIN'!$A$1:$O$113,15,0))</f>
        <v>14</v>
      </c>
      <c r="W114" s="6">
        <f>IF(ISERROR(VLOOKUP($T$114,'TAR FIN'!$A$1:$O$113,15,0)),0,VLOOKUP($T$114,'TAR FIN'!$A$1:$O$113,15,0))</f>
        <v>72.150000000000006</v>
      </c>
      <c r="X114" s="6">
        <f>IF(ISERROR(VLOOKUP($U$114,'TAR FIN'!$A$1:$O$113,15,0)),0,VLOOKUP($U$114,'TAR FIN'!$A$1:$O$113,15,0))</f>
        <v>278.67</v>
      </c>
      <c r="Y114" s="6">
        <f ca="1">('TUSD BE'!$AM$15+'TUSD BF_350'!$AM$15+'TUSD CVA'!$AM$15)*1</f>
        <v>16.035953923331604</v>
      </c>
      <c r="Z114" s="6">
        <f ca="1">('TUSD BE'!$AM$16+'TUSD BF_350'!$AM$16+'TUSD CVA'!$AM$16)*1</f>
        <v>122.14055331663396</v>
      </c>
      <c r="AA114" s="6">
        <f ca="1">('TE BE'!$AB$10+'TE BF_350'!$AB$10+'TE CVA'!$AB$10)*1</f>
        <v>231.69</v>
      </c>
      <c r="AB114" s="6">
        <f>$K$114*$V$114</f>
        <v>9422</v>
      </c>
      <c r="AC114" s="6">
        <f>$M$114*$W$114</f>
        <v>18237.211200000002</v>
      </c>
      <c r="AD114" s="6">
        <f>$O$114*$X$114</f>
        <v>70438.858560000008</v>
      </c>
      <c r="AE114" s="6">
        <f ca="1">$K$114*$Y$114</f>
        <v>10792.19699040217</v>
      </c>
      <c r="AF114" s="6">
        <f ca="1">$M$114*$Z$114</f>
        <v>30873.223380738931</v>
      </c>
      <c r="AG114" s="6">
        <f ca="1">$O$114*$AA$114</f>
        <v>58563.817920000001</v>
      </c>
    </row>
    <row r="115" spans="1:33" ht="11.25" customHeight="1" x14ac:dyDescent="0.3">
      <c r="A115" s="4" t="s">
        <v>21</v>
      </c>
      <c r="B115" s="4" t="s">
        <v>39</v>
      </c>
      <c r="C115" s="4" t="s">
        <v>40</v>
      </c>
      <c r="D115" s="4" t="s">
        <v>38</v>
      </c>
      <c r="E115" s="4" t="s">
        <v>25</v>
      </c>
      <c r="F115" s="4" t="s">
        <v>25</v>
      </c>
      <c r="G115" s="4" t="s">
        <v>25</v>
      </c>
      <c r="H115" s="4" t="s">
        <v>35</v>
      </c>
      <c r="I115" s="5">
        <v>44562</v>
      </c>
      <c r="J115" s="6">
        <v>13049</v>
      </c>
      <c r="K115" s="6">
        <v>13049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4" t="s">
        <v>55</v>
      </c>
      <c r="R115" s="4">
        <v>0</v>
      </c>
      <c r="S115" s="6">
        <v>22</v>
      </c>
      <c r="T115" s="6">
        <v>0</v>
      </c>
      <c r="U115" s="6">
        <v>0</v>
      </c>
      <c r="V115" s="6">
        <f>IF(ISERROR(VLOOKUP($S$115,'TAR FIN'!$A$1:$O$113,15,0)),0,VLOOKUP($S$115,'TAR FIN'!$A$1:$O$113,15,0))</f>
        <v>14</v>
      </c>
      <c r="W115" s="6">
        <f>IF(ISERROR(VLOOKUP($T$115,'TAR FIN'!$A$1:$O$113,15,0)),0,VLOOKUP($T$115,'TAR FIN'!$A$1:$O$113,15,0))</f>
        <v>0</v>
      </c>
      <c r="X115" s="6">
        <f>IF(ISERROR(VLOOKUP($U$115,'TAR FIN'!$A$1:$O$113,15,0)),0,VLOOKUP($U$115,'TAR FIN'!$A$1:$O$113,15,0))</f>
        <v>0</v>
      </c>
      <c r="Y115" s="6">
        <f ca="1">('TUSD BE'!$AM$15+'TUSD BF_350'!$AM$15+'TUSD CVA'!$AM$15)*1</f>
        <v>16.035953923331604</v>
      </c>
      <c r="Z115" s="6">
        <f ca="1">('TUSD BE'!$AM$16+'TUSD BF_350'!$AM$16+'TUSD CVA'!$AM$16)*1</f>
        <v>122.14055331663396</v>
      </c>
      <c r="AA115" s="6"/>
      <c r="AB115" s="6">
        <f>$K$115*$V$115</f>
        <v>182686</v>
      </c>
      <c r="AC115" s="6">
        <f>$M$115*$W$115</f>
        <v>0</v>
      </c>
      <c r="AD115" s="6">
        <f>$O$115*$X$115</f>
        <v>0</v>
      </c>
      <c r="AE115" s="6">
        <f ca="1">$K$115*$Y$115</f>
        <v>209253.16274555412</v>
      </c>
      <c r="AF115" s="6">
        <f ca="1">$M$115*$Z$115</f>
        <v>0</v>
      </c>
      <c r="AG115" s="6">
        <f>$O$115*$AA$115</f>
        <v>0</v>
      </c>
    </row>
    <row r="116" spans="1:33" ht="11.25" customHeight="1" x14ac:dyDescent="0.3">
      <c r="A116" s="4" t="s">
        <v>21</v>
      </c>
      <c r="B116" s="4" t="s">
        <v>39</v>
      </c>
      <c r="C116" s="4" t="s">
        <v>40</v>
      </c>
      <c r="D116" s="4" t="s">
        <v>38</v>
      </c>
      <c r="E116" s="4" t="s">
        <v>25</v>
      </c>
      <c r="F116" s="4" t="s">
        <v>25</v>
      </c>
      <c r="G116" s="4" t="s">
        <v>25</v>
      </c>
      <c r="H116" s="4" t="s">
        <v>35</v>
      </c>
      <c r="I116" s="5">
        <v>44593</v>
      </c>
      <c r="J116" s="6">
        <v>715</v>
      </c>
      <c r="K116" s="6">
        <v>715</v>
      </c>
      <c r="L116" s="6">
        <v>304.98899999999998</v>
      </c>
      <c r="M116" s="6">
        <v>304.98899999999998</v>
      </c>
      <c r="N116" s="6">
        <v>304.98899999999998</v>
      </c>
      <c r="O116" s="6">
        <v>304.98899999999998</v>
      </c>
      <c r="P116" s="6">
        <v>0</v>
      </c>
      <c r="Q116" s="4" t="s">
        <v>26</v>
      </c>
      <c r="R116" s="4">
        <v>0</v>
      </c>
      <c r="S116" s="6">
        <v>22</v>
      </c>
      <c r="T116" s="6">
        <v>12</v>
      </c>
      <c r="U116" s="6">
        <v>61</v>
      </c>
      <c r="V116" s="6">
        <f>IF(ISERROR(VLOOKUP($S$116,'TAR FIN'!$A$1:$O$113,15,0)),0,VLOOKUP($S$116,'TAR FIN'!$A$1:$O$113,15,0))</f>
        <v>14</v>
      </c>
      <c r="W116" s="6">
        <f>IF(ISERROR(VLOOKUP($T$116,'TAR FIN'!$A$1:$O$113,15,0)),0,VLOOKUP($T$116,'TAR FIN'!$A$1:$O$113,15,0))</f>
        <v>72.150000000000006</v>
      </c>
      <c r="X116" s="6">
        <f>IF(ISERROR(VLOOKUP($U$116,'TAR FIN'!$A$1:$O$113,15,0)),0,VLOOKUP($U$116,'TAR FIN'!$A$1:$O$113,15,0))</f>
        <v>278.67</v>
      </c>
      <c r="Y116" s="6">
        <f ca="1">('TUSD BE'!$AM$15+'TUSD BF_350'!$AM$15+'TUSD CVA'!$AM$15)*1</f>
        <v>16.035953923331604</v>
      </c>
      <c r="Z116" s="6">
        <f ca="1">('TUSD BE'!$AM$16+'TUSD BF_350'!$AM$16+'TUSD CVA'!$AM$16)*1</f>
        <v>122.14055331663396</v>
      </c>
      <c r="AA116" s="6">
        <f ca="1">('TE BE'!$AB$10+'TE BF_350'!$AB$10+'TE CVA'!$AB$10)*1</f>
        <v>231.69</v>
      </c>
      <c r="AB116" s="6">
        <f>$K$116*$V$116</f>
        <v>10010</v>
      </c>
      <c r="AC116" s="6">
        <f>$M$116*$W$116</f>
        <v>22004.95635</v>
      </c>
      <c r="AD116" s="6">
        <f>$O$116*$X$116</f>
        <v>84991.284629999995</v>
      </c>
      <c r="AE116" s="6">
        <f ca="1">$K$116*$Y$116</f>
        <v>11465.707055182096</v>
      </c>
      <c r="AF116" s="6">
        <f ca="1">$M$116*$Z$116</f>
        <v>37251.525215486872</v>
      </c>
      <c r="AG116" s="6">
        <f ca="1">$O$116*$AA$116</f>
        <v>70662.901409999991</v>
      </c>
    </row>
    <row r="117" spans="1:33" ht="11.25" customHeight="1" x14ac:dyDescent="0.3">
      <c r="A117" s="4" t="s">
        <v>21</v>
      </c>
      <c r="B117" s="4" t="s">
        <v>39</v>
      </c>
      <c r="C117" s="4" t="s">
        <v>40</v>
      </c>
      <c r="D117" s="4" t="s">
        <v>38</v>
      </c>
      <c r="E117" s="4" t="s">
        <v>25</v>
      </c>
      <c r="F117" s="4" t="s">
        <v>25</v>
      </c>
      <c r="G117" s="4" t="s">
        <v>25</v>
      </c>
      <c r="H117" s="4" t="s">
        <v>35</v>
      </c>
      <c r="I117" s="5">
        <v>44593</v>
      </c>
      <c r="J117" s="6">
        <v>13010</v>
      </c>
      <c r="K117" s="6">
        <v>13010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4" t="s">
        <v>55</v>
      </c>
      <c r="R117" s="4">
        <v>0</v>
      </c>
      <c r="S117" s="6">
        <v>22</v>
      </c>
      <c r="T117" s="6">
        <v>0</v>
      </c>
      <c r="U117" s="6">
        <v>0</v>
      </c>
      <c r="V117" s="6">
        <f>IF(ISERROR(VLOOKUP($S$117,'TAR FIN'!$A$1:$O$113,15,0)),0,VLOOKUP($S$117,'TAR FIN'!$A$1:$O$113,15,0))</f>
        <v>14</v>
      </c>
      <c r="W117" s="6">
        <f>IF(ISERROR(VLOOKUP($T$117,'TAR FIN'!$A$1:$O$113,15,0)),0,VLOOKUP($T$117,'TAR FIN'!$A$1:$O$113,15,0))</f>
        <v>0</v>
      </c>
      <c r="X117" s="6">
        <f>IF(ISERROR(VLOOKUP($U$117,'TAR FIN'!$A$1:$O$113,15,0)),0,VLOOKUP($U$117,'TAR FIN'!$A$1:$O$113,15,0))</f>
        <v>0</v>
      </c>
      <c r="Y117" s="6">
        <f ca="1">('TUSD BE'!$AM$15+'TUSD BF_350'!$AM$15+'TUSD CVA'!$AM$15)*1</f>
        <v>16.035953923331604</v>
      </c>
      <c r="Z117" s="6">
        <f ca="1">('TUSD BE'!$AM$16+'TUSD BF_350'!$AM$16+'TUSD CVA'!$AM$16)*1</f>
        <v>122.14055331663396</v>
      </c>
      <c r="AA117" s="6"/>
      <c r="AB117" s="6">
        <f>$K$117*$V$117</f>
        <v>182140</v>
      </c>
      <c r="AC117" s="6">
        <f>$M$117*$W$117</f>
        <v>0</v>
      </c>
      <c r="AD117" s="6">
        <f>$O$117*$X$117</f>
        <v>0</v>
      </c>
      <c r="AE117" s="6">
        <f ca="1">$K$117*$Y$117</f>
        <v>208627.76054254416</v>
      </c>
      <c r="AF117" s="6">
        <f ca="1">$M$117*$Z$117</f>
        <v>0</v>
      </c>
      <c r="AG117" s="6">
        <f>$O$117*$AA$117</f>
        <v>0</v>
      </c>
    </row>
    <row r="118" spans="1:33" ht="11.25" customHeight="1" x14ac:dyDescent="0.3">
      <c r="A118" s="4" t="s">
        <v>21</v>
      </c>
      <c r="B118" s="4" t="s">
        <v>39</v>
      </c>
      <c r="C118" s="4" t="s">
        <v>40</v>
      </c>
      <c r="D118" s="4" t="s">
        <v>38</v>
      </c>
      <c r="E118" s="4" t="s">
        <v>25</v>
      </c>
      <c r="F118" s="4" t="s">
        <v>25</v>
      </c>
      <c r="G118" s="4" t="s">
        <v>25</v>
      </c>
      <c r="H118" s="4" t="s">
        <v>35</v>
      </c>
      <c r="I118" s="5">
        <v>44621</v>
      </c>
      <c r="J118" s="6">
        <v>667</v>
      </c>
      <c r="K118" s="6">
        <v>667</v>
      </c>
      <c r="L118" s="6">
        <v>235.69800000000001</v>
      </c>
      <c r="M118" s="6">
        <v>235.69800000000001</v>
      </c>
      <c r="N118" s="6">
        <v>235.69800000000001</v>
      </c>
      <c r="O118" s="6">
        <v>235.69800000000001</v>
      </c>
      <c r="P118" s="6">
        <v>0</v>
      </c>
      <c r="Q118" s="4" t="s">
        <v>26</v>
      </c>
      <c r="R118" s="4">
        <v>0</v>
      </c>
      <c r="S118" s="6">
        <v>22</v>
      </c>
      <c r="T118" s="6">
        <v>12</v>
      </c>
      <c r="U118" s="6">
        <v>61</v>
      </c>
      <c r="V118" s="6">
        <f>IF(ISERROR(VLOOKUP($S$118,'TAR FIN'!$A$1:$O$113,15,0)),0,VLOOKUP($S$118,'TAR FIN'!$A$1:$O$113,15,0))</f>
        <v>14</v>
      </c>
      <c r="W118" s="6">
        <f>IF(ISERROR(VLOOKUP($T$118,'TAR FIN'!$A$1:$O$113,15,0)),0,VLOOKUP($T$118,'TAR FIN'!$A$1:$O$113,15,0))</f>
        <v>72.150000000000006</v>
      </c>
      <c r="X118" s="6">
        <f>IF(ISERROR(VLOOKUP($U$118,'TAR FIN'!$A$1:$O$113,15,0)),0,VLOOKUP($U$118,'TAR FIN'!$A$1:$O$113,15,0))</f>
        <v>278.67</v>
      </c>
      <c r="Y118" s="6">
        <f ca="1">('TUSD BE'!$AM$15+'TUSD BF_350'!$AM$15+'TUSD CVA'!$AM$15)*1</f>
        <v>16.035953923331604</v>
      </c>
      <c r="Z118" s="6">
        <f ca="1">('TUSD BE'!$AM$16+'TUSD BF_350'!$AM$16+'TUSD CVA'!$AM$16)*1</f>
        <v>122.14055331663396</v>
      </c>
      <c r="AA118" s="6">
        <f ca="1">('TE BE'!$AB$10+'TE BF_350'!$AB$10+'TE CVA'!$AB$10)*1</f>
        <v>231.69</v>
      </c>
      <c r="AB118" s="6">
        <f>$K$118*$V$118</f>
        <v>9338</v>
      </c>
      <c r="AC118" s="6">
        <f>$M$118*$W$118</f>
        <v>17005.610700000001</v>
      </c>
      <c r="AD118" s="6">
        <f>$O$118*$X$118</f>
        <v>65681.961660000001</v>
      </c>
      <c r="AE118" s="6">
        <f ca="1">$K$118*$Y$118</f>
        <v>10695.98126686218</v>
      </c>
      <c r="AF118" s="6">
        <f ca="1">$M$118*$Z$118</f>
        <v>28788.284135623991</v>
      </c>
      <c r="AG118" s="6">
        <f ca="1">$O$118*$AA$118</f>
        <v>54608.869619999998</v>
      </c>
    </row>
    <row r="119" spans="1:33" ht="11.25" customHeight="1" x14ac:dyDescent="0.3">
      <c r="A119" s="4" t="s">
        <v>21</v>
      </c>
      <c r="B119" s="4" t="s">
        <v>39</v>
      </c>
      <c r="C119" s="4" t="s">
        <v>40</v>
      </c>
      <c r="D119" s="4" t="s">
        <v>38</v>
      </c>
      <c r="E119" s="4" t="s">
        <v>25</v>
      </c>
      <c r="F119" s="4" t="s">
        <v>25</v>
      </c>
      <c r="G119" s="4" t="s">
        <v>25</v>
      </c>
      <c r="H119" s="4" t="s">
        <v>35</v>
      </c>
      <c r="I119" s="5">
        <v>44621</v>
      </c>
      <c r="J119" s="6">
        <v>10852</v>
      </c>
      <c r="K119" s="6">
        <v>10852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4" t="s">
        <v>55</v>
      </c>
      <c r="R119" s="4">
        <v>0</v>
      </c>
      <c r="S119" s="6">
        <v>22</v>
      </c>
      <c r="T119" s="6">
        <v>0</v>
      </c>
      <c r="U119" s="6">
        <v>0</v>
      </c>
      <c r="V119" s="6">
        <f>IF(ISERROR(VLOOKUP($S$119,'TAR FIN'!$A$1:$O$113,15,0)),0,VLOOKUP($S$119,'TAR FIN'!$A$1:$O$113,15,0))</f>
        <v>14</v>
      </c>
      <c r="W119" s="6">
        <f>IF(ISERROR(VLOOKUP($T$119,'TAR FIN'!$A$1:$O$113,15,0)),0,VLOOKUP($T$119,'TAR FIN'!$A$1:$O$113,15,0))</f>
        <v>0</v>
      </c>
      <c r="X119" s="6">
        <f>IF(ISERROR(VLOOKUP($U$119,'TAR FIN'!$A$1:$O$113,15,0)),0,VLOOKUP($U$119,'TAR FIN'!$A$1:$O$113,15,0))</f>
        <v>0</v>
      </c>
      <c r="Y119" s="6">
        <f ca="1">('TUSD BE'!$AM$15+'TUSD BF_350'!$AM$15+'TUSD CVA'!$AM$15)*1</f>
        <v>16.035953923331604</v>
      </c>
      <c r="Z119" s="6">
        <f ca="1">('TUSD BE'!$AM$16+'TUSD BF_350'!$AM$16+'TUSD CVA'!$AM$16)*1</f>
        <v>122.14055331663396</v>
      </c>
      <c r="AA119" s="6"/>
      <c r="AB119" s="6">
        <f>$K$119*$V$119</f>
        <v>151928</v>
      </c>
      <c r="AC119" s="6">
        <f>$M$119*$W$119</f>
        <v>0</v>
      </c>
      <c r="AD119" s="6">
        <f>$O$119*$X$119</f>
        <v>0</v>
      </c>
      <c r="AE119" s="6">
        <f ca="1">$K$119*$Y$119</f>
        <v>174022.17197599457</v>
      </c>
      <c r="AF119" s="6">
        <f ca="1">$M$119*$Z$119</f>
        <v>0</v>
      </c>
      <c r="AG119" s="6">
        <f>$O$119*$AA$119</f>
        <v>0</v>
      </c>
    </row>
    <row r="120" spans="1:33" ht="11.25" customHeight="1" x14ac:dyDescent="0.3">
      <c r="A120" s="4" t="s">
        <v>21</v>
      </c>
      <c r="B120" s="4" t="s">
        <v>39</v>
      </c>
      <c r="C120" s="4" t="s">
        <v>40</v>
      </c>
      <c r="D120" s="4" t="s">
        <v>38</v>
      </c>
      <c r="E120" s="4" t="s">
        <v>25</v>
      </c>
      <c r="F120" s="4" t="s">
        <v>25</v>
      </c>
      <c r="G120" s="4" t="s">
        <v>25</v>
      </c>
      <c r="H120" s="4" t="s">
        <v>35</v>
      </c>
      <c r="I120" s="5">
        <v>44652</v>
      </c>
      <c r="J120" s="6">
        <v>694</v>
      </c>
      <c r="K120" s="6">
        <v>694</v>
      </c>
      <c r="L120" s="6">
        <v>315.24099999999999</v>
      </c>
      <c r="M120" s="6">
        <v>315.24099999999999</v>
      </c>
      <c r="N120" s="6">
        <v>315.24099999999999</v>
      </c>
      <c r="O120" s="6">
        <v>315.24099999999999</v>
      </c>
      <c r="P120" s="6">
        <v>0</v>
      </c>
      <c r="Q120" s="4" t="s">
        <v>26</v>
      </c>
      <c r="R120" s="4">
        <v>0</v>
      </c>
      <c r="S120" s="6">
        <v>22</v>
      </c>
      <c r="T120" s="6">
        <v>12</v>
      </c>
      <c r="U120" s="6">
        <v>61</v>
      </c>
      <c r="V120" s="6">
        <f>IF(ISERROR(VLOOKUP($S$120,'TAR FIN'!$A$1:$O$113,15,0)),0,VLOOKUP($S$120,'TAR FIN'!$A$1:$O$113,15,0))</f>
        <v>14</v>
      </c>
      <c r="W120" s="6">
        <f>IF(ISERROR(VLOOKUP($T$120,'TAR FIN'!$A$1:$O$113,15,0)),0,VLOOKUP($T$120,'TAR FIN'!$A$1:$O$113,15,0))</f>
        <v>72.150000000000006</v>
      </c>
      <c r="X120" s="6">
        <f>IF(ISERROR(VLOOKUP($U$120,'TAR FIN'!$A$1:$O$113,15,0)),0,VLOOKUP($U$120,'TAR FIN'!$A$1:$O$113,15,0))</f>
        <v>278.67</v>
      </c>
      <c r="Y120" s="6">
        <f ca="1">('TUSD BE'!$AM$15+'TUSD BF_350'!$AM$15+'TUSD CVA'!$AM$15)*1</f>
        <v>16.035953923331604</v>
      </c>
      <c r="Z120" s="6">
        <f ca="1">('TUSD BE'!$AM$16+'TUSD BF_350'!$AM$16+'TUSD CVA'!$AM$16)*1</f>
        <v>122.14055331663396</v>
      </c>
      <c r="AA120" s="6">
        <f ca="1">('TE BE'!$AB$10+'TE BF_350'!$AB$10+'TE CVA'!$AB$10)*1</f>
        <v>231.69</v>
      </c>
      <c r="AB120" s="6">
        <f>$K$120*$V$120</f>
        <v>9716</v>
      </c>
      <c r="AC120" s="6">
        <f>$M$120*$W$120</f>
        <v>22744.638150000002</v>
      </c>
      <c r="AD120" s="6">
        <f>$O$120*$X$120</f>
        <v>87848.209470000002</v>
      </c>
      <c r="AE120" s="6">
        <f ca="1">$K$120*$Y$120</f>
        <v>11128.952022792133</v>
      </c>
      <c r="AF120" s="6">
        <f ca="1">$M$120*$Z$120</f>
        <v>38503.710168089005</v>
      </c>
      <c r="AG120" s="6">
        <f ca="1">$O$120*$AA$120</f>
        <v>73038.187290000002</v>
      </c>
    </row>
    <row r="121" spans="1:33" ht="11.25" customHeight="1" x14ac:dyDescent="0.3">
      <c r="A121" s="4" t="s">
        <v>21</v>
      </c>
      <c r="B121" s="4" t="s">
        <v>39</v>
      </c>
      <c r="C121" s="4" t="s">
        <v>40</v>
      </c>
      <c r="D121" s="4" t="s">
        <v>38</v>
      </c>
      <c r="E121" s="4" t="s">
        <v>25</v>
      </c>
      <c r="F121" s="4" t="s">
        <v>25</v>
      </c>
      <c r="G121" s="4" t="s">
        <v>25</v>
      </c>
      <c r="H121" s="4" t="s">
        <v>35</v>
      </c>
      <c r="I121" s="5">
        <v>44652</v>
      </c>
      <c r="J121" s="6">
        <v>10265</v>
      </c>
      <c r="K121" s="6">
        <v>10265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4" t="s">
        <v>55</v>
      </c>
      <c r="R121" s="4">
        <v>0</v>
      </c>
      <c r="S121" s="6">
        <v>22</v>
      </c>
      <c r="T121" s="6">
        <v>0</v>
      </c>
      <c r="U121" s="6">
        <v>0</v>
      </c>
      <c r="V121" s="6">
        <f>IF(ISERROR(VLOOKUP($S$121,'TAR FIN'!$A$1:$O$113,15,0)),0,VLOOKUP($S$121,'TAR FIN'!$A$1:$O$113,15,0))</f>
        <v>14</v>
      </c>
      <c r="W121" s="6">
        <f>IF(ISERROR(VLOOKUP($T$121,'TAR FIN'!$A$1:$O$113,15,0)),0,VLOOKUP($T$121,'TAR FIN'!$A$1:$O$113,15,0))</f>
        <v>0</v>
      </c>
      <c r="X121" s="6">
        <f>IF(ISERROR(VLOOKUP($U$121,'TAR FIN'!$A$1:$O$113,15,0)),0,VLOOKUP($U$121,'TAR FIN'!$A$1:$O$113,15,0))</f>
        <v>0</v>
      </c>
      <c r="Y121" s="6">
        <f ca="1">('TUSD BE'!$AM$15+'TUSD BF_350'!$AM$15+'TUSD CVA'!$AM$15)*1</f>
        <v>16.035953923331604</v>
      </c>
      <c r="Z121" s="6">
        <f ca="1">('TUSD BE'!$AM$16+'TUSD BF_350'!$AM$16+'TUSD CVA'!$AM$16)*1</f>
        <v>122.14055331663396</v>
      </c>
      <c r="AA121" s="6"/>
      <c r="AB121" s="6">
        <f>$K$121*$V$121</f>
        <v>143710</v>
      </c>
      <c r="AC121" s="6">
        <f>$M$121*$W$121</f>
        <v>0</v>
      </c>
      <c r="AD121" s="6">
        <f>$O$121*$X$121</f>
        <v>0</v>
      </c>
      <c r="AE121" s="6">
        <f ca="1">$K$121*$Y$121</f>
        <v>164609.0670229989</v>
      </c>
      <c r="AF121" s="6">
        <f ca="1">$M$121*$Z$121</f>
        <v>0</v>
      </c>
      <c r="AG121" s="6">
        <f>$O$121*$AA$121</f>
        <v>0</v>
      </c>
    </row>
    <row r="122" spans="1:33" ht="11.25" customHeight="1" x14ac:dyDescent="0.3">
      <c r="A122" s="4" t="s">
        <v>21</v>
      </c>
      <c r="B122" s="4" t="s">
        <v>39</v>
      </c>
      <c r="C122" s="4" t="s">
        <v>40</v>
      </c>
      <c r="D122" s="4" t="s">
        <v>38</v>
      </c>
      <c r="E122" s="4" t="s">
        <v>25</v>
      </c>
      <c r="F122" s="4" t="s">
        <v>25</v>
      </c>
      <c r="G122" s="4" t="s">
        <v>25</v>
      </c>
      <c r="H122" s="4" t="s">
        <v>35</v>
      </c>
      <c r="I122" s="5">
        <v>44682</v>
      </c>
      <c r="J122" s="6">
        <v>689</v>
      </c>
      <c r="K122" s="6">
        <v>689</v>
      </c>
      <c r="L122" s="6">
        <v>262.39299999999997</v>
      </c>
      <c r="M122" s="6">
        <v>262.39299999999997</v>
      </c>
      <c r="N122" s="6">
        <v>262.39299999999997</v>
      </c>
      <c r="O122" s="6">
        <v>262.39299999999997</v>
      </c>
      <c r="P122" s="6">
        <v>0</v>
      </c>
      <c r="Q122" s="4" t="s">
        <v>26</v>
      </c>
      <c r="R122" s="4">
        <v>0</v>
      </c>
      <c r="S122" s="6">
        <v>22</v>
      </c>
      <c r="T122" s="6">
        <v>12</v>
      </c>
      <c r="U122" s="6">
        <v>61</v>
      </c>
      <c r="V122" s="6">
        <f>IF(ISERROR(VLOOKUP($S$122,'TAR FIN'!$A$1:$O$113,15,0)),0,VLOOKUP($S$122,'TAR FIN'!$A$1:$O$113,15,0))</f>
        <v>14</v>
      </c>
      <c r="W122" s="6">
        <f>IF(ISERROR(VLOOKUP($T$122,'TAR FIN'!$A$1:$O$113,15,0)),0,VLOOKUP($T$122,'TAR FIN'!$A$1:$O$113,15,0))</f>
        <v>72.150000000000006</v>
      </c>
      <c r="X122" s="6">
        <f>IF(ISERROR(VLOOKUP($U$122,'TAR FIN'!$A$1:$O$113,15,0)),0,VLOOKUP($U$122,'TAR FIN'!$A$1:$O$113,15,0))</f>
        <v>278.67</v>
      </c>
      <c r="Y122" s="6">
        <f ca="1">('TUSD BE'!$AM$15+'TUSD BF_350'!$AM$15+'TUSD CVA'!$AM$15)*1</f>
        <v>16.035953923331604</v>
      </c>
      <c r="Z122" s="6">
        <f ca="1">('TUSD BE'!$AM$16+'TUSD BF_350'!$AM$16+'TUSD CVA'!$AM$16)*1</f>
        <v>122.14055331663396</v>
      </c>
      <c r="AA122" s="6">
        <f ca="1">('TE BE'!$AB$10+'TE BF_350'!$AB$10+'TE CVA'!$AB$10)*1</f>
        <v>231.69</v>
      </c>
      <c r="AB122" s="6">
        <f>$K$122*$V$122</f>
        <v>9646</v>
      </c>
      <c r="AC122" s="6">
        <f>$M$122*$W$122</f>
        <v>18931.65495</v>
      </c>
      <c r="AD122" s="6">
        <f>$O$122*$X$122</f>
        <v>73121.057309999989</v>
      </c>
      <c r="AE122" s="6">
        <f ca="1">$K$122*$Y$122</f>
        <v>11048.772253175475</v>
      </c>
      <c r="AF122" s="6">
        <f ca="1">$M$122*$Z$122</f>
        <v>32048.82620641153</v>
      </c>
      <c r="AG122" s="6">
        <f ca="1">$O$122*$AA$122</f>
        <v>60793.834169999995</v>
      </c>
    </row>
    <row r="123" spans="1:33" ht="11.25" customHeight="1" x14ac:dyDescent="0.3">
      <c r="A123" s="4" t="s">
        <v>21</v>
      </c>
      <c r="B123" s="4" t="s">
        <v>39</v>
      </c>
      <c r="C123" s="4" t="s">
        <v>40</v>
      </c>
      <c r="D123" s="4" t="s">
        <v>38</v>
      </c>
      <c r="E123" s="4" t="s">
        <v>25</v>
      </c>
      <c r="F123" s="4" t="s">
        <v>25</v>
      </c>
      <c r="G123" s="4" t="s">
        <v>25</v>
      </c>
      <c r="H123" s="4" t="s">
        <v>35</v>
      </c>
      <c r="I123" s="5">
        <v>44682</v>
      </c>
      <c r="J123" s="6">
        <v>11423</v>
      </c>
      <c r="K123" s="6">
        <v>11423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4" t="s">
        <v>55</v>
      </c>
      <c r="R123" s="4">
        <v>0</v>
      </c>
      <c r="S123" s="6">
        <v>22</v>
      </c>
      <c r="T123" s="6">
        <v>0</v>
      </c>
      <c r="U123" s="6">
        <v>0</v>
      </c>
      <c r="V123" s="6">
        <f>IF(ISERROR(VLOOKUP($S$123,'TAR FIN'!$A$1:$O$113,15,0)),0,VLOOKUP($S$123,'TAR FIN'!$A$1:$O$113,15,0))</f>
        <v>14</v>
      </c>
      <c r="W123" s="6">
        <f>IF(ISERROR(VLOOKUP($T$123,'TAR FIN'!$A$1:$O$113,15,0)),0,VLOOKUP($T$123,'TAR FIN'!$A$1:$O$113,15,0))</f>
        <v>0</v>
      </c>
      <c r="X123" s="6">
        <f>IF(ISERROR(VLOOKUP($U$123,'TAR FIN'!$A$1:$O$113,15,0)),0,VLOOKUP($U$123,'TAR FIN'!$A$1:$O$113,15,0))</f>
        <v>0</v>
      </c>
      <c r="Y123" s="6">
        <f ca="1">('TUSD BE'!$AM$15+'TUSD BF_350'!$AM$15+'TUSD CVA'!$AM$15)*1</f>
        <v>16.035953923331604</v>
      </c>
      <c r="Z123" s="6">
        <f ca="1">('TUSD BE'!$AM$16+'TUSD BF_350'!$AM$16+'TUSD CVA'!$AM$16)*1</f>
        <v>122.14055331663396</v>
      </c>
      <c r="AA123" s="6"/>
      <c r="AB123" s="6">
        <f>$K$123*$V$123</f>
        <v>159922</v>
      </c>
      <c r="AC123" s="6">
        <f>$M$123*$W$123</f>
        <v>0</v>
      </c>
      <c r="AD123" s="6">
        <f>$O$123*$X$123</f>
        <v>0</v>
      </c>
      <c r="AE123" s="6">
        <f ca="1">$K$123*$Y$123</f>
        <v>183178.70166621692</v>
      </c>
      <c r="AF123" s="6">
        <f ca="1">$M$123*$Z$123</f>
        <v>0</v>
      </c>
      <c r="AG123" s="6">
        <f>$O$123*$AA$123</f>
        <v>0</v>
      </c>
    </row>
    <row r="124" spans="1:33" ht="11.25" customHeight="1" x14ac:dyDescent="0.3">
      <c r="A124" s="4" t="s">
        <v>21</v>
      </c>
      <c r="B124" s="4" t="s">
        <v>39</v>
      </c>
      <c r="C124" s="4" t="s">
        <v>40</v>
      </c>
      <c r="D124" s="4" t="s">
        <v>38</v>
      </c>
      <c r="E124" s="4" t="s">
        <v>25</v>
      </c>
      <c r="F124" s="4" t="s">
        <v>25</v>
      </c>
      <c r="G124" s="4" t="s">
        <v>25</v>
      </c>
      <c r="H124" s="4" t="s">
        <v>35</v>
      </c>
      <c r="I124" s="5">
        <v>44713</v>
      </c>
      <c r="J124" s="6">
        <v>703</v>
      </c>
      <c r="K124" s="6">
        <v>703</v>
      </c>
      <c r="L124" s="6">
        <v>305.15199999999999</v>
      </c>
      <c r="M124" s="6">
        <v>305.15199999999999</v>
      </c>
      <c r="N124" s="6">
        <v>305.15199999999999</v>
      </c>
      <c r="O124" s="6">
        <v>305.15199999999999</v>
      </c>
      <c r="P124" s="6">
        <v>0</v>
      </c>
      <c r="Q124" s="4" t="s">
        <v>26</v>
      </c>
      <c r="R124" s="4">
        <v>0</v>
      </c>
      <c r="S124" s="6">
        <v>22</v>
      </c>
      <c r="T124" s="6">
        <v>12</v>
      </c>
      <c r="U124" s="6">
        <v>61</v>
      </c>
      <c r="V124" s="6">
        <f>IF(ISERROR(VLOOKUP($S$124,'TAR FIN'!$A$1:$O$113,15,0)),0,VLOOKUP($S$124,'TAR FIN'!$A$1:$O$113,15,0))</f>
        <v>14</v>
      </c>
      <c r="W124" s="6">
        <f>IF(ISERROR(VLOOKUP($T$124,'TAR FIN'!$A$1:$O$113,15,0)),0,VLOOKUP($T$124,'TAR FIN'!$A$1:$O$113,15,0))</f>
        <v>72.150000000000006</v>
      </c>
      <c r="X124" s="6">
        <f>IF(ISERROR(VLOOKUP($U$124,'TAR FIN'!$A$1:$O$113,15,0)),0,VLOOKUP($U$124,'TAR FIN'!$A$1:$O$113,15,0))</f>
        <v>278.67</v>
      </c>
      <c r="Y124" s="6">
        <f ca="1">('TUSD BE'!$AM$15+'TUSD BF_350'!$AM$15+'TUSD CVA'!$AM$15)*1</f>
        <v>16.035953923331604</v>
      </c>
      <c r="Z124" s="6">
        <f ca="1">('TUSD BE'!$AM$16+'TUSD BF_350'!$AM$16+'TUSD CVA'!$AM$16)*1</f>
        <v>122.14055331663396</v>
      </c>
      <c r="AA124" s="6">
        <f ca="1">('TE BE'!$AB$10+'TE BF_350'!$AB$10+'TE CVA'!$AB$10)*1</f>
        <v>231.69</v>
      </c>
      <c r="AB124" s="6">
        <f>$K$124*$V$124</f>
        <v>9842</v>
      </c>
      <c r="AC124" s="6">
        <f>$M$124*$W$124</f>
        <v>22016.716800000002</v>
      </c>
      <c r="AD124" s="6">
        <f>$O$124*$X$124</f>
        <v>85036.707840000003</v>
      </c>
      <c r="AE124" s="6">
        <f ca="1">$K$124*$Y$124</f>
        <v>11273.275608102118</v>
      </c>
      <c r="AF124" s="6">
        <f ca="1">$M$124*$Z$124</f>
        <v>37271.434125677486</v>
      </c>
      <c r="AG124" s="6">
        <f ca="1">$O$124*$AA$124</f>
        <v>70700.66687999999</v>
      </c>
    </row>
    <row r="125" spans="1:33" ht="11.25" customHeight="1" x14ac:dyDescent="0.3">
      <c r="A125" s="4" t="s">
        <v>21</v>
      </c>
      <c r="B125" s="4" t="s">
        <v>39</v>
      </c>
      <c r="C125" s="4" t="s">
        <v>40</v>
      </c>
      <c r="D125" s="4" t="s">
        <v>38</v>
      </c>
      <c r="E125" s="4" t="s">
        <v>25</v>
      </c>
      <c r="F125" s="4" t="s">
        <v>25</v>
      </c>
      <c r="G125" s="4" t="s">
        <v>25</v>
      </c>
      <c r="H125" s="4" t="s">
        <v>35</v>
      </c>
      <c r="I125" s="5">
        <v>44713</v>
      </c>
      <c r="J125" s="6">
        <v>11194</v>
      </c>
      <c r="K125" s="6">
        <v>11194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4" t="s">
        <v>55</v>
      </c>
      <c r="R125" s="4">
        <v>0</v>
      </c>
      <c r="S125" s="6">
        <v>22</v>
      </c>
      <c r="T125" s="6">
        <v>0</v>
      </c>
      <c r="U125" s="6">
        <v>0</v>
      </c>
      <c r="V125" s="6">
        <f>IF(ISERROR(VLOOKUP($S$125,'TAR FIN'!$A$1:$O$113,15,0)),0,VLOOKUP($S$125,'TAR FIN'!$A$1:$O$113,15,0))</f>
        <v>14</v>
      </c>
      <c r="W125" s="6">
        <f>IF(ISERROR(VLOOKUP($T$125,'TAR FIN'!$A$1:$O$113,15,0)),0,VLOOKUP($T$125,'TAR FIN'!$A$1:$O$113,15,0))</f>
        <v>0</v>
      </c>
      <c r="X125" s="6">
        <f>IF(ISERROR(VLOOKUP($U$125,'TAR FIN'!$A$1:$O$113,15,0)),0,VLOOKUP($U$125,'TAR FIN'!$A$1:$O$113,15,0))</f>
        <v>0</v>
      </c>
      <c r="Y125" s="6">
        <f ca="1">('TUSD BE'!$AM$15+'TUSD BF_350'!$AM$15+'TUSD CVA'!$AM$15)*1</f>
        <v>16.035953923331604</v>
      </c>
      <c r="Z125" s="6">
        <f ca="1">('TUSD BE'!$AM$16+'TUSD BF_350'!$AM$16+'TUSD CVA'!$AM$16)*1</f>
        <v>122.14055331663396</v>
      </c>
      <c r="AA125" s="6"/>
      <c r="AB125" s="6">
        <f>$K$125*$V$125</f>
        <v>156716</v>
      </c>
      <c r="AC125" s="6">
        <f>$M$125*$W$125</f>
        <v>0</v>
      </c>
      <c r="AD125" s="6">
        <f>$O$125*$X$125</f>
        <v>0</v>
      </c>
      <c r="AE125" s="6">
        <f ca="1">$K$125*$Y$125</f>
        <v>179506.46821777397</v>
      </c>
      <c r="AF125" s="6">
        <f ca="1">$M$125*$Z$125</f>
        <v>0</v>
      </c>
      <c r="AG125" s="6">
        <f>$O$125*$AA$125</f>
        <v>0</v>
      </c>
    </row>
    <row r="126" spans="1:33" ht="11.25" customHeight="1" x14ac:dyDescent="0.3">
      <c r="A126" s="4" t="s">
        <v>21</v>
      </c>
      <c r="B126" s="4" t="s">
        <v>39</v>
      </c>
      <c r="C126" s="4" t="s">
        <v>40</v>
      </c>
      <c r="D126" s="4" t="s">
        <v>38</v>
      </c>
      <c r="E126" s="4" t="s">
        <v>25</v>
      </c>
      <c r="F126" s="4" t="s">
        <v>25</v>
      </c>
      <c r="G126" s="4" t="s">
        <v>25</v>
      </c>
      <c r="H126" s="4" t="s">
        <v>35</v>
      </c>
      <c r="I126" s="5">
        <v>44743</v>
      </c>
      <c r="J126" s="6">
        <v>690</v>
      </c>
      <c r="K126" s="6">
        <v>690</v>
      </c>
      <c r="L126" s="6">
        <v>149.71</v>
      </c>
      <c r="M126" s="6">
        <v>149.71</v>
      </c>
      <c r="N126" s="6">
        <v>149.71</v>
      </c>
      <c r="O126" s="6">
        <v>149.71</v>
      </c>
      <c r="P126" s="6">
        <v>0</v>
      </c>
      <c r="Q126" s="4" t="s">
        <v>26</v>
      </c>
      <c r="R126" s="4">
        <v>0</v>
      </c>
      <c r="S126" s="6">
        <v>22</v>
      </c>
      <c r="T126" s="6">
        <v>12</v>
      </c>
      <c r="U126" s="6">
        <v>61</v>
      </c>
      <c r="V126" s="6">
        <f>IF(ISERROR(VLOOKUP($S$126,'TAR FIN'!$A$1:$O$113,15,0)),0,VLOOKUP($S$126,'TAR FIN'!$A$1:$O$113,15,0))</f>
        <v>14</v>
      </c>
      <c r="W126" s="6">
        <f>IF(ISERROR(VLOOKUP($T$126,'TAR FIN'!$A$1:$O$113,15,0)),0,VLOOKUP($T$126,'TAR FIN'!$A$1:$O$113,15,0))</f>
        <v>72.150000000000006</v>
      </c>
      <c r="X126" s="6">
        <f>IF(ISERROR(VLOOKUP($U$126,'TAR FIN'!$A$1:$O$113,15,0)),0,VLOOKUP($U$126,'TAR FIN'!$A$1:$O$113,15,0))</f>
        <v>278.67</v>
      </c>
      <c r="Y126" s="6">
        <f ca="1">('TUSD BE'!$AM$15+'TUSD BF_350'!$AM$15+'TUSD CVA'!$AM$15)*1</f>
        <v>16.035953923331604</v>
      </c>
      <c r="Z126" s="6">
        <f ca="1">('TUSD BE'!$AM$16+'TUSD BF_350'!$AM$16+'TUSD CVA'!$AM$16)*1</f>
        <v>122.14055331663396</v>
      </c>
      <c r="AA126" s="6">
        <f ca="1">('TE BE'!$AB$10+'TE BF_350'!$AB$10+'TE CVA'!$AB$10)*1</f>
        <v>231.69</v>
      </c>
      <c r="AB126" s="6">
        <f>$K$126*$V$126</f>
        <v>9660</v>
      </c>
      <c r="AC126" s="6">
        <f>$M$126*$W$126</f>
        <v>10801.576500000001</v>
      </c>
      <c r="AD126" s="6">
        <f>$O$126*$X$126</f>
        <v>41719.685700000002</v>
      </c>
      <c r="AE126" s="6">
        <f ca="1">$K$126*$Y$126</f>
        <v>11064.808207098808</v>
      </c>
      <c r="AF126" s="6">
        <f ca="1">$M$126*$Z$126</f>
        <v>18285.66223703327</v>
      </c>
      <c r="AG126" s="6">
        <f ca="1">$O$126*$AA$126</f>
        <v>34686.3099</v>
      </c>
    </row>
    <row r="127" spans="1:33" ht="11.25" customHeight="1" x14ac:dyDescent="0.3">
      <c r="A127" s="4" t="s">
        <v>21</v>
      </c>
      <c r="B127" s="4" t="s">
        <v>39</v>
      </c>
      <c r="C127" s="4" t="s">
        <v>40</v>
      </c>
      <c r="D127" s="4" t="s">
        <v>38</v>
      </c>
      <c r="E127" s="4" t="s">
        <v>25</v>
      </c>
      <c r="F127" s="4" t="s">
        <v>25</v>
      </c>
      <c r="G127" s="4" t="s">
        <v>25</v>
      </c>
      <c r="H127" s="4" t="s">
        <v>35</v>
      </c>
      <c r="I127" s="5">
        <v>44743</v>
      </c>
      <c r="J127" s="6">
        <v>11262</v>
      </c>
      <c r="K127" s="6">
        <v>11262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4" t="s">
        <v>55</v>
      </c>
      <c r="R127" s="4">
        <v>0</v>
      </c>
      <c r="S127" s="6">
        <v>22</v>
      </c>
      <c r="T127" s="6">
        <v>0</v>
      </c>
      <c r="U127" s="6">
        <v>0</v>
      </c>
      <c r="V127" s="6">
        <f>IF(ISERROR(VLOOKUP($S$127,'TAR FIN'!$A$1:$O$113,15,0)),0,VLOOKUP($S$127,'TAR FIN'!$A$1:$O$113,15,0))</f>
        <v>14</v>
      </c>
      <c r="W127" s="6">
        <f>IF(ISERROR(VLOOKUP($T$127,'TAR FIN'!$A$1:$O$113,15,0)),0,VLOOKUP($T$127,'TAR FIN'!$A$1:$O$113,15,0))</f>
        <v>0</v>
      </c>
      <c r="X127" s="6">
        <f>IF(ISERROR(VLOOKUP($U$127,'TAR FIN'!$A$1:$O$113,15,0)),0,VLOOKUP($U$127,'TAR FIN'!$A$1:$O$113,15,0))</f>
        <v>0</v>
      </c>
      <c r="Y127" s="6">
        <f ca="1">('TUSD BE'!$AM$15+'TUSD BF_350'!$AM$15+'TUSD CVA'!$AM$15)*1</f>
        <v>16.035953923331604</v>
      </c>
      <c r="Z127" s="6">
        <f ca="1">('TUSD BE'!$AM$16+'TUSD BF_350'!$AM$16+'TUSD CVA'!$AM$16)*1</f>
        <v>122.14055331663396</v>
      </c>
      <c r="AA127" s="6"/>
      <c r="AB127" s="6">
        <f>$K$127*$V$127</f>
        <v>157668</v>
      </c>
      <c r="AC127" s="6">
        <f>$M$127*$W$127</f>
        <v>0</v>
      </c>
      <c r="AD127" s="6">
        <f>$O$127*$X$127</f>
        <v>0</v>
      </c>
      <c r="AE127" s="6">
        <f ca="1">$K$127*$Y$127</f>
        <v>180596.91308456054</v>
      </c>
      <c r="AF127" s="6">
        <f ca="1">$M$127*$Z$127</f>
        <v>0</v>
      </c>
      <c r="AG127" s="6">
        <f>$O$127*$AA$127</f>
        <v>0</v>
      </c>
    </row>
    <row r="128" spans="1:33" ht="11.25" customHeight="1" x14ac:dyDescent="0.3">
      <c r="A128" s="4" t="s">
        <v>21</v>
      </c>
      <c r="B128" s="4" t="s">
        <v>39</v>
      </c>
      <c r="C128" s="4" t="s">
        <v>40</v>
      </c>
      <c r="D128" s="4" t="s">
        <v>38</v>
      </c>
      <c r="E128" s="4" t="s">
        <v>25</v>
      </c>
      <c r="F128" s="4" t="s">
        <v>25</v>
      </c>
      <c r="G128" s="4" t="s">
        <v>25</v>
      </c>
      <c r="H128" s="4" t="s">
        <v>35</v>
      </c>
      <c r="I128" s="5">
        <v>44774</v>
      </c>
      <c r="J128" s="6">
        <v>684</v>
      </c>
      <c r="K128" s="6">
        <v>684</v>
      </c>
      <c r="L128" s="6">
        <v>295.78199999999998</v>
      </c>
      <c r="M128" s="6">
        <v>295.78199999999998</v>
      </c>
      <c r="N128" s="6">
        <v>295.78199999999998</v>
      </c>
      <c r="O128" s="6">
        <v>295.78199999999998</v>
      </c>
      <c r="P128" s="6">
        <v>0</v>
      </c>
      <c r="Q128" s="4" t="s">
        <v>26</v>
      </c>
      <c r="R128" s="4">
        <v>0</v>
      </c>
      <c r="S128" s="6">
        <v>22</v>
      </c>
      <c r="T128" s="6">
        <v>12</v>
      </c>
      <c r="U128" s="6">
        <v>61</v>
      </c>
      <c r="V128" s="6">
        <f>IF(ISERROR(VLOOKUP($S$128,'TAR FIN'!$A$1:$O$113,15,0)),0,VLOOKUP($S$128,'TAR FIN'!$A$1:$O$113,15,0))</f>
        <v>14</v>
      </c>
      <c r="W128" s="6">
        <f>IF(ISERROR(VLOOKUP($T$128,'TAR FIN'!$A$1:$O$113,15,0)),0,VLOOKUP($T$128,'TAR FIN'!$A$1:$O$113,15,0))</f>
        <v>72.150000000000006</v>
      </c>
      <c r="X128" s="6">
        <f>IF(ISERROR(VLOOKUP($U$128,'TAR FIN'!$A$1:$O$113,15,0)),0,VLOOKUP($U$128,'TAR FIN'!$A$1:$O$113,15,0))</f>
        <v>278.67</v>
      </c>
      <c r="Y128" s="6">
        <f ca="1">('TUSD BE'!$AM$15+'TUSD BF_350'!$AM$15+'TUSD CVA'!$AM$15)*1</f>
        <v>16.035953923331604</v>
      </c>
      <c r="Z128" s="6">
        <f ca="1">('TUSD BE'!$AM$16+'TUSD BF_350'!$AM$16+'TUSD CVA'!$AM$16)*1</f>
        <v>122.14055331663396</v>
      </c>
      <c r="AA128" s="6">
        <f ca="1">('TE BE'!$AB$10+'TE BF_350'!$AB$10+'TE CVA'!$AB$10)*1</f>
        <v>231.69</v>
      </c>
      <c r="AB128" s="6">
        <f>$K$128*$V$128</f>
        <v>9576</v>
      </c>
      <c r="AC128" s="6">
        <f>$M$128*$W$128</f>
        <v>21340.671300000002</v>
      </c>
      <c r="AD128" s="6">
        <f>$O$128*$X$128</f>
        <v>82425.569940000001</v>
      </c>
      <c r="AE128" s="6">
        <f ca="1">$K$128*$Y$128</f>
        <v>10968.592483558818</v>
      </c>
      <c r="AF128" s="6">
        <f ca="1">$M$128*$Z$128</f>
        <v>36126.977141100622</v>
      </c>
      <c r="AG128" s="6">
        <f ca="1">$O$128*$AA$128</f>
        <v>68529.731579999992</v>
      </c>
    </row>
    <row r="129" spans="1:33" ht="11.25" customHeight="1" x14ac:dyDescent="0.3">
      <c r="A129" s="4" t="s">
        <v>21</v>
      </c>
      <c r="B129" s="4" t="s">
        <v>39</v>
      </c>
      <c r="C129" s="4" t="s">
        <v>40</v>
      </c>
      <c r="D129" s="4" t="s">
        <v>38</v>
      </c>
      <c r="E129" s="4" t="s">
        <v>25</v>
      </c>
      <c r="F129" s="4" t="s">
        <v>25</v>
      </c>
      <c r="G129" s="4" t="s">
        <v>25</v>
      </c>
      <c r="H129" s="4" t="s">
        <v>35</v>
      </c>
      <c r="I129" s="5">
        <v>44774</v>
      </c>
      <c r="J129" s="6">
        <v>11014</v>
      </c>
      <c r="K129" s="6">
        <v>11014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4" t="s">
        <v>55</v>
      </c>
      <c r="R129" s="4">
        <v>0</v>
      </c>
      <c r="S129" s="6">
        <v>22</v>
      </c>
      <c r="T129" s="6">
        <v>0</v>
      </c>
      <c r="U129" s="6">
        <v>0</v>
      </c>
      <c r="V129" s="6">
        <f>IF(ISERROR(VLOOKUP($S$129,'TAR FIN'!$A$1:$O$113,15,0)),0,VLOOKUP($S$129,'TAR FIN'!$A$1:$O$113,15,0))</f>
        <v>14</v>
      </c>
      <c r="W129" s="6">
        <f>IF(ISERROR(VLOOKUP($T$129,'TAR FIN'!$A$1:$O$113,15,0)),0,VLOOKUP($T$129,'TAR FIN'!$A$1:$O$113,15,0))</f>
        <v>0</v>
      </c>
      <c r="X129" s="6">
        <f>IF(ISERROR(VLOOKUP($U$129,'TAR FIN'!$A$1:$O$113,15,0)),0,VLOOKUP($U$129,'TAR FIN'!$A$1:$O$113,15,0))</f>
        <v>0</v>
      </c>
      <c r="Y129" s="6">
        <f ca="1">('TUSD BE'!$AM$15+'TUSD BF_350'!$AM$15+'TUSD CVA'!$AM$15)*1</f>
        <v>16.035953923331604</v>
      </c>
      <c r="Z129" s="6">
        <f ca="1">('TUSD BE'!$AM$16+'TUSD BF_350'!$AM$16+'TUSD CVA'!$AM$16)*1</f>
        <v>122.14055331663396</v>
      </c>
      <c r="AA129" s="6"/>
      <c r="AB129" s="6">
        <f>$K$129*$V$129</f>
        <v>154196</v>
      </c>
      <c r="AC129" s="6">
        <f>$M$129*$W$129</f>
        <v>0</v>
      </c>
      <c r="AD129" s="6">
        <f>$O$129*$X$129</f>
        <v>0</v>
      </c>
      <c r="AE129" s="6">
        <f ca="1">$K$129*$Y$129</f>
        <v>176619.99651157428</v>
      </c>
      <c r="AF129" s="6">
        <f ca="1">$M$129*$Z$129</f>
        <v>0</v>
      </c>
      <c r="AG129" s="6">
        <f>$O$129*$AA$129</f>
        <v>0</v>
      </c>
    </row>
    <row r="130" spans="1:33" ht="11.25" customHeight="1" x14ac:dyDescent="0.3">
      <c r="A130" s="4" t="s">
        <v>21</v>
      </c>
      <c r="B130" s="4" t="s">
        <v>39</v>
      </c>
      <c r="C130" s="4" t="s">
        <v>40</v>
      </c>
      <c r="D130" s="4" t="s">
        <v>38</v>
      </c>
      <c r="E130" s="4" t="s">
        <v>25</v>
      </c>
      <c r="F130" s="4" t="s">
        <v>25</v>
      </c>
      <c r="G130" s="4" t="s">
        <v>25</v>
      </c>
      <c r="H130" s="4" t="s">
        <v>35</v>
      </c>
      <c r="I130" s="5">
        <v>44805</v>
      </c>
      <c r="J130" s="6">
        <v>718</v>
      </c>
      <c r="K130" s="6">
        <v>718</v>
      </c>
      <c r="L130" s="6">
        <v>289.19900000000001</v>
      </c>
      <c r="M130" s="6">
        <v>289.19900000000001</v>
      </c>
      <c r="N130" s="6">
        <v>289.19900000000001</v>
      </c>
      <c r="O130" s="6">
        <v>289.19900000000001</v>
      </c>
      <c r="P130" s="6">
        <v>0</v>
      </c>
      <c r="Q130" s="4" t="s">
        <v>26</v>
      </c>
      <c r="R130" s="4">
        <v>0</v>
      </c>
      <c r="S130" s="6">
        <v>22</v>
      </c>
      <c r="T130" s="6">
        <v>12</v>
      </c>
      <c r="U130" s="6">
        <v>61</v>
      </c>
      <c r="V130" s="6">
        <f>IF(ISERROR(VLOOKUP($S$130,'TAR FIN'!$A$1:$O$113,15,0)),0,VLOOKUP($S$130,'TAR FIN'!$A$1:$O$113,15,0))</f>
        <v>14</v>
      </c>
      <c r="W130" s="6">
        <f>IF(ISERROR(VLOOKUP($T$130,'TAR FIN'!$A$1:$O$113,15,0)),0,VLOOKUP($T$130,'TAR FIN'!$A$1:$O$113,15,0))</f>
        <v>72.150000000000006</v>
      </c>
      <c r="X130" s="6">
        <f>IF(ISERROR(VLOOKUP($U$130,'TAR FIN'!$A$1:$O$113,15,0)),0,VLOOKUP($U$130,'TAR FIN'!$A$1:$O$113,15,0))</f>
        <v>278.67</v>
      </c>
      <c r="Y130" s="6">
        <f ca="1">('TUSD BE'!$AM$15+'TUSD BF_350'!$AM$15+'TUSD CVA'!$AM$15)*1</f>
        <v>16.035953923331604</v>
      </c>
      <c r="Z130" s="6">
        <f ca="1">('TUSD BE'!$AM$16+'TUSD BF_350'!$AM$16+'TUSD CVA'!$AM$16)*1</f>
        <v>122.14055331663396</v>
      </c>
      <c r="AA130" s="6">
        <f ca="1">('TE BE'!$AB$10+'TE BF_350'!$AB$10+'TE CVA'!$AB$10)*1</f>
        <v>231.69</v>
      </c>
      <c r="AB130" s="6">
        <f>$K$130*$V$130</f>
        <v>10052</v>
      </c>
      <c r="AC130" s="6">
        <f>$M$130*$W$130</f>
        <v>20865.707850000003</v>
      </c>
      <c r="AD130" s="6">
        <f>$O$130*$X$130</f>
        <v>80591.085330000002</v>
      </c>
      <c r="AE130" s="6">
        <f ca="1">$K$130*$Y$130</f>
        <v>11513.814916952091</v>
      </c>
      <c r="AF130" s="6">
        <f ca="1">$M$130*$Z$130</f>
        <v>35322.925878617221</v>
      </c>
      <c r="AG130" s="6">
        <f ca="1">$O$130*$AA$130</f>
        <v>67004.516310000006</v>
      </c>
    </row>
    <row r="131" spans="1:33" ht="11.25" customHeight="1" x14ac:dyDescent="0.3">
      <c r="A131" s="4" t="s">
        <v>21</v>
      </c>
      <c r="B131" s="4" t="s">
        <v>39</v>
      </c>
      <c r="C131" s="4" t="s">
        <v>40</v>
      </c>
      <c r="D131" s="4" t="s">
        <v>38</v>
      </c>
      <c r="E131" s="4" t="s">
        <v>25</v>
      </c>
      <c r="F131" s="4" t="s">
        <v>25</v>
      </c>
      <c r="G131" s="4" t="s">
        <v>25</v>
      </c>
      <c r="H131" s="4" t="s">
        <v>35</v>
      </c>
      <c r="I131" s="5">
        <v>44805</v>
      </c>
      <c r="J131" s="6">
        <v>12172</v>
      </c>
      <c r="K131" s="6">
        <v>12172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4" t="s">
        <v>55</v>
      </c>
      <c r="R131" s="4">
        <v>0</v>
      </c>
      <c r="S131" s="6">
        <v>22</v>
      </c>
      <c r="T131" s="6">
        <v>0</v>
      </c>
      <c r="U131" s="6">
        <v>0</v>
      </c>
      <c r="V131" s="6">
        <f>IF(ISERROR(VLOOKUP($S$131,'TAR FIN'!$A$1:$O$113,15,0)),0,VLOOKUP($S$131,'TAR FIN'!$A$1:$O$113,15,0))</f>
        <v>14</v>
      </c>
      <c r="W131" s="6">
        <f>IF(ISERROR(VLOOKUP($T$131,'TAR FIN'!$A$1:$O$113,15,0)),0,VLOOKUP($T$131,'TAR FIN'!$A$1:$O$113,15,0))</f>
        <v>0</v>
      </c>
      <c r="X131" s="6">
        <f>IF(ISERROR(VLOOKUP($U$131,'TAR FIN'!$A$1:$O$113,15,0)),0,VLOOKUP($U$131,'TAR FIN'!$A$1:$O$113,15,0))</f>
        <v>0</v>
      </c>
      <c r="Y131" s="6">
        <f ca="1">('TUSD BE'!$AM$15+'TUSD BF_350'!$AM$15+'TUSD CVA'!$AM$15)*1</f>
        <v>16.035953923331604</v>
      </c>
      <c r="Z131" s="6">
        <f ca="1">('TUSD BE'!$AM$16+'TUSD BF_350'!$AM$16+'TUSD CVA'!$AM$16)*1</f>
        <v>122.14055331663396</v>
      </c>
      <c r="AA131" s="6"/>
      <c r="AB131" s="6">
        <f>$K$131*$V$131</f>
        <v>170408</v>
      </c>
      <c r="AC131" s="6">
        <f>$M$131*$W$131</f>
        <v>0</v>
      </c>
      <c r="AD131" s="6">
        <f>$O$131*$X$131</f>
        <v>0</v>
      </c>
      <c r="AE131" s="6">
        <f ca="1">$K$131*$Y$131</f>
        <v>195189.6311547923</v>
      </c>
      <c r="AF131" s="6">
        <f ca="1">$M$131*$Z$131</f>
        <v>0</v>
      </c>
      <c r="AG131" s="6">
        <f>$O$131*$AA$131</f>
        <v>0</v>
      </c>
    </row>
    <row r="132" spans="1:33" ht="11.25" customHeight="1" x14ac:dyDescent="0.3">
      <c r="A132" s="4" t="s">
        <v>53</v>
      </c>
      <c r="B132" s="4" t="s">
        <v>39</v>
      </c>
      <c r="C132" s="4" t="s">
        <v>40</v>
      </c>
      <c r="D132" s="4" t="s">
        <v>38</v>
      </c>
      <c r="E132" s="4" t="s">
        <v>25</v>
      </c>
      <c r="F132" s="4" t="s">
        <v>25</v>
      </c>
      <c r="G132" s="4" t="s">
        <v>25</v>
      </c>
      <c r="H132" s="4" t="s">
        <v>35</v>
      </c>
      <c r="I132" s="5">
        <v>44835</v>
      </c>
      <c r="J132" s="6">
        <v>718</v>
      </c>
      <c r="K132" s="6">
        <v>718</v>
      </c>
      <c r="L132" s="6">
        <v>289.19900000000001</v>
      </c>
      <c r="M132" s="6">
        <v>289.19900000000001</v>
      </c>
      <c r="N132" s="6">
        <v>289.19900000000001</v>
      </c>
      <c r="O132" s="6">
        <v>289.19900000000001</v>
      </c>
      <c r="P132" s="6">
        <v>0</v>
      </c>
      <c r="Q132" s="4" t="s">
        <v>26</v>
      </c>
      <c r="R132" s="4">
        <v>0</v>
      </c>
      <c r="S132" s="6">
        <v>22</v>
      </c>
      <c r="T132" s="6">
        <v>12</v>
      </c>
      <c r="U132" s="6">
        <v>61</v>
      </c>
      <c r="V132" s="6">
        <f>IF(ISERROR(VLOOKUP($S$132,'TAR FIN'!$A$1:$O$113,15,0)),0,VLOOKUP($S$132,'TAR FIN'!$A$1:$O$113,15,0))</f>
        <v>14</v>
      </c>
      <c r="W132" s="6">
        <f>IF(ISERROR(VLOOKUP($T$132,'TAR FIN'!$A$1:$O$113,15,0)),0,VLOOKUP($T$132,'TAR FIN'!$A$1:$O$113,15,0))</f>
        <v>72.150000000000006</v>
      </c>
      <c r="X132" s="6">
        <f>IF(ISERROR(VLOOKUP($U$132,'TAR FIN'!$A$1:$O$113,15,0)),0,VLOOKUP($U$132,'TAR FIN'!$A$1:$O$113,15,0))</f>
        <v>278.67</v>
      </c>
      <c r="Y132" s="6">
        <f ca="1">('TUSD BE'!$AM$15+'TUSD BF_350'!$AM$15+'TUSD CVA'!$AM$15)*1</f>
        <v>16.035953923331604</v>
      </c>
      <c r="Z132" s="6">
        <f ca="1">('TUSD BE'!$AM$16+'TUSD BF_350'!$AM$16+'TUSD CVA'!$AM$16)*1</f>
        <v>122.14055331663396</v>
      </c>
      <c r="AA132" s="6">
        <f ca="1">('TE BE'!$AB$10+'TE BF_350'!$AB$10+'TE CVA'!$AB$10)*1</f>
        <v>231.69</v>
      </c>
      <c r="AB132" s="6">
        <f>$K$132*$V$132</f>
        <v>10052</v>
      </c>
      <c r="AC132" s="6">
        <f>$M$132*$W$132</f>
        <v>20865.707850000003</v>
      </c>
      <c r="AD132" s="6">
        <f>$O$132*$X$132</f>
        <v>80591.085330000002</v>
      </c>
      <c r="AE132" s="6">
        <f ca="1">$K$132*$Y$132</f>
        <v>11513.814916952091</v>
      </c>
      <c r="AF132" s="6">
        <f ca="1">$M$132*$Z$132</f>
        <v>35322.925878617221</v>
      </c>
      <c r="AG132" s="6">
        <f ca="1">$O$132*$AA$132</f>
        <v>67004.516310000006</v>
      </c>
    </row>
    <row r="133" spans="1:33" ht="11.25" customHeight="1" x14ac:dyDescent="0.3">
      <c r="A133" s="4" t="s">
        <v>53</v>
      </c>
      <c r="B133" s="4" t="s">
        <v>39</v>
      </c>
      <c r="C133" s="4" t="s">
        <v>40</v>
      </c>
      <c r="D133" s="4" t="s">
        <v>38</v>
      </c>
      <c r="E133" s="4" t="s">
        <v>25</v>
      </c>
      <c r="F133" s="4" t="s">
        <v>25</v>
      </c>
      <c r="G133" s="4" t="s">
        <v>25</v>
      </c>
      <c r="H133" s="4" t="s">
        <v>35</v>
      </c>
      <c r="I133" s="5">
        <v>44835</v>
      </c>
      <c r="J133" s="6">
        <v>12172</v>
      </c>
      <c r="K133" s="6">
        <v>12172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4" t="s">
        <v>55</v>
      </c>
      <c r="R133" s="4">
        <v>0</v>
      </c>
      <c r="S133" s="6">
        <v>22</v>
      </c>
      <c r="T133" s="6">
        <v>0</v>
      </c>
      <c r="U133" s="6">
        <v>0</v>
      </c>
      <c r="V133" s="6">
        <f>IF(ISERROR(VLOOKUP($S$133,'TAR FIN'!$A$1:$O$113,15,0)),0,VLOOKUP($S$133,'TAR FIN'!$A$1:$O$113,15,0))</f>
        <v>14</v>
      </c>
      <c r="W133" s="6">
        <f>IF(ISERROR(VLOOKUP($T$133,'TAR FIN'!$A$1:$O$113,15,0)),0,VLOOKUP($T$133,'TAR FIN'!$A$1:$O$113,15,0))</f>
        <v>0</v>
      </c>
      <c r="X133" s="6">
        <f>IF(ISERROR(VLOOKUP($U$133,'TAR FIN'!$A$1:$O$113,15,0)),0,VLOOKUP($U$133,'TAR FIN'!$A$1:$O$113,15,0))</f>
        <v>0</v>
      </c>
      <c r="Y133" s="6">
        <f ca="1">('TUSD BE'!$AM$15+'TUSD BF_350'!$AM$15+'TUSD CVA'!$AM$15)*1</f>
        <v>16.035953923331604</v>
      </c>
      <c r="Z133" s="6">
        <f ca="1">('TUSD BE'!$AM$16+'TUSD BF_350'!$AM$16+'TUSD CVA'!$AM$16)*1</f>
        <v>122.14055331663396</v>
      </c>
      <c r="AA133" s="6"/>
      <c r="AB133" s="6">
        <f>$K$133*$V$133</f>
        <v>170408</v>
      </c>
      <c r="AC133" s="6">
        <f>$M$133*$W$133</f>
        <v>0</v>
      </c>
      <c r="AD133" s="6">
        <f>$O$133*$X$133</f>
        <v>0</v>
      </c>
      <c r="AE133" s="6">
        <f ca="1">$K$133*$Y$133</f>
        <v>195189.6311547923</v>
      </c>
      <c r="AF133" s="6">
        <f ca="1">$M$133*$Z$133</f>
        <v>0</v>
      </c>
      <c r="AG133" s="6">
        <f>$O$133*$AA$133</f>
        <v>0</v>
      </c>
    </row>
    <row r="134" spans="1:33" ht="11.25" customHeight="1" x14ac:dyDescent="0.3">
      <c r="A134" s="4" t="s">
        <v>21</v>
      </c>
      <c r="B134" s="4" t="s">
        <v>39</v>
      </c>
      <c r="C134" s="4" t="s">
        <v>40</v>
      </c>
      <c r="D134" s="4" t="s">
        <v>38</v>
      </c>
      <c r="E134" s="4" t="s">
        <v>25</v>
      </c>
      <c r="F134" s="4" t="s">
        <v>25</v>
      </c>
      <c r="G134" s="4" t="s">
        <v>25</v>
      </c>
      <c r="H134" s="4" t="s">
        <v>25</v>
      </c>
      <c r="I134" s="5">
        <v>44501</v>
      </c>
      <c r="J134" s="6">
        <v>0</v>
      </c>
      <c r="K134" s="6">
        <v>0</v>
      </c>
      <c r="L134" s="6">
        <v>7162.64</v>
      </c>
      <c r="M134" s="6">
        <v>7162.64</v>
      </c>
      <c r="N134" s="6">
        <v>0</v>
      </c>
      <c r="O134" s="6">
        <v>0</v>
      </c>
      <c r="P134" s="6">
        <v>2</v>
      </c>
      <c r="Q134" s="4" t="s">
        <v>55</v>
      </c>
      <c r="R134" s="4">
        <v>0</v>
      </c>
      <c r="S134" s="6">
        <v>0</v>
      </c>
      <c r="T134" s="6">
        <v>12</v>
      </c>
      <c r="U134" s="6">
        <v>0</v>
      </c>
      <c r="V134" s="6">
        <f>IF(ISERROR(VLOOKUP($S$134,'TAR FIN'!$A$1:$O$113,15,0)),0,VLOOKUP($S$134,'TAR FIN'!$A$1:$O$113,15,0))</f>
        <v>0</v>
      </c>
      <c r="W134" s="6">
        <f>IF(ISERROR(VLOOKUP($T$134,'TAR FIN'!$A$1:$O$113,15,0)),0,VLOOKUP($T$134,'TAR FIN'!$A$1:$O$113,15,0))</f>
        <v>72.150000000000006</v>
      </c>
      <c r="X134" s="6">
        <f>IF(ISERROR(VLOOKUP($U$134,'TAR FIN'!$A$1:$O$113,15,0)),0,VLOOKUP($U$134,'TAR FIN'!$A$1:$O$113,15,0))</f>
        <v>0</v>
      </c>
      <c r="Y134" s="6"/>
      <c r="Z134" s="6">
        <f ca="1">('TUSD BE'!$AM$16+'TUSD BF_350'!$AM$16+'TUSD CVA'!$AM$16)*1</f>
        <v>122.14055331663396</v>
      </c>
      <c r="AA134" s="6"/>
      <c r="AB134" s="6">
        <f>$K$134*$V$134</f>
        <v>0</v>
      </c>
      <c r="AC134" s="6">
        <f>$M$134*$W$134</f>
        <v>516784.47600000008</v>
      </c>
      <c r="AD134" s="6">
        <f>$O$134*$X$134</f>
        <v>0</v>
      </c>
      <c r="AE134" s="6">
        <f>$K$134*$Y$134</f>
        <v>0</v>
      </c>
      <c r="AF134" s="6">
        <f ca="1">$M$134*$Z$134</f>
        <v>874848.81280785508</v>
      </c>
      <c r="AG134" s="6">
        <f>$O$134*$AA$134</f>
        <v>0</v>
      </c>
    </row>
    <row r="135" spans="1:33" ht="11.25" customHeight="1" x14ac:dyDescent="0.3">
      <c r="A135" s="4" t="s">
        <v>21</v>
      </c>
      <c r="B135" s="4" t="s">
        <v>39</v>
      </c>
      <c r="C135" s="4" t="s">
        <v>40</v>
      </c>
      <c r="D135" s="4" t="s">
        <v>38</v>
      </c>
      <c r="E135" s="4" t="s">
        <v>25</v>
      </c>
      <c r="F135" s="4" t="s">
        <v>25</v>
      </c>
      <c r="G135" s="4" t="s">
        <v>25</v>
      </c>
      <c r="H135" s="4" t="s">
        <v>25</v>
      </c>
      <c r="I135" s="5">
        <v>44531</v>
      </c>
      <c r="J135" s="6">
        <v>0</v>
      </c>
      <c r="K135" s="6">
        <v>0</v>
      </c>
      <c r="L135" s="6">
        <v>5818.6549999999997</v>
      </c>
      <c r="M135" s="6">
        <v>5818.6549999999997</v>
      </c>
      <c r="N135" s="6">
        <v>0</v>
      </c>
      <c r="O135" s="6">
        <v>0</v>
      </c>
      <c r="P135" s="6">
        <v>2</v>
      </c>
      <c r="Q135" s="4" t="s">
        <v>55</v>
      </c>
      <c r="R135" s="4">
        <v>0</v>
      </c>
      <c r="S135" s="6">
        <v>0</v>
      </c>
      <c r="T135" s="6">
        <v>12</v>
      </c>
      <c r="U135" s="6">
        <v>0</v>
      </c>
      <c r="V135" s="6">
        <f>IF(ISERROR(VLOOKUP($S$135,'TAR FIN'!$A$1:$O$113,15,0)),0,VLOOKUP($S$135,'TAR FIN'!$A$1:$O$113,15,0))</f>
        <v>0</v>
      </c>
      <c r="W135" s="6">
        <f>IF(ISERROR(VLOOKUP($T$135,'TAR FIN'!$A$1:$O$113,15,0)),0,VLOOKUP($T$135,'TAR FIN'!$A$1:$O$113,15,0))</f>
        <v>72.150000000000006</v>
      </c>
      <c r="X135" s="6">
        <f>IF(ISERROR(VLOOKUP($U$135,'TAR FIN'!$A$1:$O$113,15,0)),0,VLOOKUP($U$135,'TAR FIN'!$A$1:$O$113,15,0))</f>
        <v>0</v>
      </c>
      <c r="Y135" s="6"/>
      <c r="Z135" s="6">
        <f ca="1">('TUSD BE'!$AM$16+'TUSD BF_350'!$AM$16+'TUSD CVA'!$AM$16)*1</f>
        <v>122.14055331663396</v>
      </c>
      <c r="AA135" s="6"/>
      <c r="AB135" s="6">
        <f>$K$135*$V$135</f>
        <v>0</v>
      </c>
      <c r="AC135" s="6">
        <f>$M$135*$W$135</f>
        <v>419815.95825000003</v>
      </c>
      <c r="AD135" s="6">
        <f>$O$135*$X$135</f>
        <v>0</v>
      </c>
      <c r="AE135" s="6">
        <f>$K$135*$Y$135</f>
        <v>0</v>
      </c>
      <c r="AF135" s="6">
        <f ca="1">$M$135*$Z$135</f>
        <v>710693.74125859875</v>
      </c>
      <c r="AG135" s="6">
        <f>$O$135*$AA$135</f>
        <v>0</v>
      </c>
    </row>
    <row r="136" spans="1:33" ht="11.25" customHeight="1" x14ac:dyDescent="0.3">
      <c r="A136" s="4" t="s">
        <v>21</v>
      </c>
      <c r="B136" s="4" t="s">
        <v>39</v>
      </c>
      <c r="C136" s="4" t="s">
        <v>40</v>
      </c>
      <c r="D136" s="4" t="s">
        <v>38</v>
      </c>
      <c r="E136" s="4" t="s">
        <v>25</v>
      </c>
      <c r="F136" s="4" t="s">
        <v>25</v>
      </c>
      <c r="G136" s="4" t="s">
        <v>25</v>
      </c>
      <c r="H136" s="4" t="s">
        <v>25</v>
      </c>
      <c r="I136" s="5">
        <v>44562</v>
      </c>
      <c r="J136" s="6">
        <v>0</v>
      </c>
      <c r="K136" s="6">
        <v>0</v>
      </c>
      <c r="L136" s="6">
        <v>6211.3980000000001</v>
      </c>
      <c r="M136" s="6">
        <v>6211.3980000000001</v>
      </c>
      <c r="N136" s="6">
        <v>0</v>
      </c>
      <c r="O136" s="6">
        <v>0</v>
      </c>
      <c r="P136" s="6">
        <v>2</v>
      </c>
      <c r="Q136" s="4" t="s">
        <v>55</v>
      </c>
      <c r="R136" s="4">
        <v>0</v>
      </c>
      <c r="S136" s="6">
        <v>0</v>
      </c>
      <c r="T136" s="6">
        <v>12</v>
      </c>
      <c r="U136" s="6">
        <v>0</v>
      </c>
      <c r="V136" s="6">
        <f>IF(ISERROR(VLOOKUP($S$136,'TAR FIN'!$A$1:$O$113,15,0)),0,VLOOKUP($S$136,'TAR FIN'!$A$1:$O$113,15,0))</f>
        <v>0</v>
      </c>
      <c r="W136" s="6">
        <f>IF(ISERROR(VLOOKUP($T$136,'TAR FIN'!$A$1:$O$113,15,0)),0,VLOOKUP($T$136,'TAR FIN'!$A$1:$O$113,15,0))</f>
        <v>72.150000000000006</v>
      </c>
      <c r="X136" s="6">
        <f>IF(ISERROR(VLOOKUP($U$136,'TAR FIN'!$A$1:$O$113,15,0)),0,VLOOKUP($U$136,'TAR FIN'!$A$1:$O$113,15,0))</f>
        <v>0</v>
      </c>
      <c r="Y136" s="6"/>
      <c r="Z136" s="6">
        <f ca="1">('TUSD BE'!$AM$16+'TUSD BF_350'!$AM$16+'TUSD CVA'!$AM$16)*1</f>
        <v>122.14055331663396</v>
      </c>
      <c r="AA136" s="6"/>
      <c r="AB136" s="6">
        <f>$K$136*$V$136</f>
        <v>0</v>
      </c>
      <c r="AC136" s="6">
        <f>$M$136*$W$136</f>
        <v>448152.36570000002</v>
      </c>
      <c r="AD136" s="6">
        <f>$O$136*$X$136</f>
        <v>0</v>
      </c>
      <c r="AE136" s="6">
        <f>$K$136*$Y$136</f>
        <v>0</v>
      </c>
      <c r="AF136" s="6">
        <f ca="1">$M$136*$Z$136</f>
        <v>758663.58858983358</v>
      </c>
      <c r="AG136" s="6">
        <f>$O$136*$AA$136</f>
        <v>0</v>
      </c>
    </row>
    <row r="137" spans="1:33" ht="11.25" customHeight="1" x14ac:dyDescent="0.3">
      <c r="A137" s="4" t="s">
        <v>21</v>
      </c>
      <c r="B137" s="4" t="s">
        <v>39</v>
      </c>
      <c r="C137" s="4" t="s">
        <v>40</v>
      </c>
      <c r="D137" s="4" t="s">
        <v>38</v>
      </c>
      <c r="E137" s="4" t="s">
        <v>25</v>
      </c>
      <c r="F137" s="4" t="s">
        <v>25</v>
      </c>
      <c r="G137" s="4" t="s">
        <v>25</v>
      </c>
      <c r="H137" s="4" t="s">
        <v>25</v>
      </c>
      <c r="I137" s="5">
        <v>44593</v>
      </c>
      <c r="J137" s="6">
        <v>0</v>
      </c>
      <c r="K137" s="6">
        <v>0</v>
      </c>
      <c r="L137" s="6">
        <v>5905.0879999999997</v>
      </c>
      <c r="M137" s="6">
        <v>5905.0879999999997</v>
      </c>
      <c r="N137" s="6">
        <v>0</v>
      </c>
      <c r="O137" s="6">
        <v>0</v>
      </c>
      <c r="P137" s="6">
        <v>2</v>
      </c>
      <c r="Q137" s="4" t="s">
        <v>55</v>
      </c>
      <c r="R137" s="4">
        <v>0</v>
      </c>
      <c r="S137" s="6">
        <v>0</v>
      </c>
      <c r="T137" s="6">
        <v>12</v>
      </c>
      <c r="U137" s="6">
        <v>0</v>
      </c>
      <c r="V137" s="6">
        <f>IF(ISERROR(VLOOKUP($S$137,'TAR FIN'!$A$1:$O$113,15,0)),0,VLOOKUP($S$137,'TAR FIN'!$A$1:$O$113,15,0))</f>
        <v>0</v>
      </c>
      <c r="W137" s="6">
        <f>IF(ISERROR(VLOOKUP($T$137,'TAR FIN'!$A$1:$O$113,15,0)),0,VLOOKUP($T$137,'TAR FIN'!$A$1:$O$113,15,0))</f>
        <v>72.150000000000006</v>
      </c>
      <c r="X137" s="6">
        <f>IF(ISERROR(VLOOKUP($U$137,'TAR FIN'!$A$1:$O$113,15,0)),0,VLOOKUP($U$137,'TAR FIN'!$A$1:$O$113,15,0))</f>
        <v>0</v>
      </c>
      <c r="Y137" s="6"/>
      <c r="Z137" s="6">
        <f ca="1">('TUSD BE'!$AM$16+'TUSD BF_350'!$AM$16+'TUSD CVA'!$AM$16)*1</f>
        <v>122.14055331663396</v>
      </c>
      <c r="AA137" s="6"/>
      <c r="AB137" s="6">
        <f>$K$137*$V$137</f>
        <v>0</v>
      </c>
      <c r="AC137" s="6">
        <f>$M$137*$W$137</f>
        <v>426052.0992</v>
      </c>
      <c r="AD137" s="6">
        <f>$O$137*$X$137</f>
        <v>0</v>
      </c>
      <c r="AE137" s="6">
        <f>$K$137*$Y$137</f>
        <v>0</v>
      </c>
      <c r="AF137" s="6">
        <f ca="1">$M$137*$Z$137</f>
        <v>721250.71570341534</v>
      </c>
      <c r="AG137" s="6">
        <f>$O$137*$AA$137</f>
        <v>0</v>
      </c>
    </row>
    <row r="138" spans="1:33" ht="11.25" customHeight="1" x14ac:dyDescent="0.3">
      <c r="A138" s="4" t="s">
        <v>21</v>
      </c>
      <c r="B138" s="4" t="s">
        <v>39</v>
      </c>
      <c r="C138" s="4" t="s">
        <v>40</v>
      </c>
      <c r="D138" s="4" t="s">
        <v>38</v>
      </c>
      <c r="E138" s="4" t="s">
        <v>25</v>
      </c>
      <c r="F138" s="4" t="s">
        <v>25</v>
      </c>
      <c r="G138" s="4" t="s">
        <v>25</v>
      </c>
      <c r="H138" s="4" t="s">
        <v>25</v>
      </c>
      <c r="I138" s="5">
        <v>44621</v>
      </c>
      <c r="J138" s="6">
        <v>0</v>
      </c>
      <c r="K138" s="6">
        <v>0</v>
      </c>
      <c r="L138" s="6">
        <v>5358.7650000000003</v>
      </c>
      <c r="M138" s="6">
        <v>5358.7650000000003</v>
      </c>
      <c r="N138" s="6">
        <v>0</v>
      </c>
      <c r="O138" s="6">
        <v>0</v>
      </c>
      <c r="P138" s="6">
        <v>2</v>
      </c>
      <c r="Q138" s="4" t="s">
        <v>55</v>
      </c>
      <c r="R138" s="4">
        <v>0</v>
      </c>
      <c r="S138" s="6">
        <v>0</v>
      </c>
      <c r="T138" s="6">
        <v>12</v>
      </c>
      <c r="U138" s="6">
        <v>0</v>
      </c>
      <c r="V138" s="6">
        <f>IF(ISERROR(VLOOKUP($S$138,'TAR FIN'!$A$1:$O$113,15,0)),0,VLOOKUP($S$138,'TAR FIN'!$A$1:$O$113,15,0))</f>
        <v>0</v>
      </c>
      <c r="W138" s="6">
        <f>IF(ISERROR(VLOOKUP($T$138,'TAR FIN'!$A$1:$O$113,15,0)),0,VLOOKUP($T$138,'TAR FIN'!$A$1:$O$113,15,0))</f>
        <v>72.150000000000006</v>
      </c>
      <c r="X138" s="6">
        <f>IF(ISERROR(VLOOKUP($U$138,'TAR FIN'!$A$1:$O$113,15,0)),0,VLOOKUP($U$138,'TAR FIN'!$A$1:$O$113,15,0))</f>
        <v>0</v>
      </c>
      <c r="Y138" s="6"/>
      <c r="Z138" s="6">
        <f ca="1">('TUSD BE'!$AM$16+'TUSD BF_350'!$AM$16+'TUSD CVA'!$AM$16)*1</f>
        <v>122.14055331663396</v>
      </c>
      <c r="AA138" s="6"/>
      <c r="AB138" s="6">
        <f>$K$138*$V$138</f>
        <v>0</v>
      </c>
      <c r="AC138" s="6">
        <f>$M$138*$W$138</f>
        <v>386634.89475000004</v>
      </c>
      <c r="AD138" s="6">
        <f>$O$138*$X$138</f>
        <v>0</v>
      </c>
      <c r="AE138" s="6">
        <f>$K$138*$Y$138</f>
        <v>0</v>
      </c>
      <c r="AF138" s="6">
        <f ca="1">$M$138*$Z$138</f>
        <v>654522.52219381195</v>
      </c>
      <c r="AG138" s="6">
        <f>$O$138*$AA$138</f>
        <v>0</v>
      </c>
    </row>
    <row r="139" spans="1:33" ht="11.25" customHeight="1" x14ac:dyDescent="0.3">
      <c r="A139" s="4" t="s">
        <v>21</v>
      </c>
      <c r="B139" s="4" t="s">
        <v>39</v>
      </c>
      <c r="C139" s="4" t="s">
        <v>40</v>
      </c>
      <c r="D139" s="4" t="s">
        <v>38</v>
      </c>
      <c r="E139" s="4" t="s">
        <v>25</v>
      </c>
      <c r="F139" s="4" t="s">
        <v>25</v>
      </c>
      <c r="G139" s="4" t="s">
        <v>25</v>
      </c>
      <c r="H139" s="4" t="s">
        <v>25</v>
      </c>
      <c r="I139" s="5">
        <v>44652</v>
      </c>
      <c r="J139" s="6">
        <v>0</v>
      </c>
      <c r="K139" s="6">
        <v>0</v>
      </c>
      <c r="L139" s="6">
        <v>5838.027</v>
      </c>
      <c r="M139" s="6">
        <v>5838.027</v>
      </c>
      <c r="N139" s="6">
        <v>0</v>
      </c>
      <c r="O139" s="6">
        <v>0</v>
      </c>
      <c r="P139" s="6">
        <v>2</v>
      </c>
      <c r="Q139" s="4" t="s">
        <v>55</v>
      </c>
      <c r="R139" s="4">
        <v>0</v>
      </c>
      <c r="S139" s="6">
        <v>0</v>
      </c>
      <c r="T139" s="6">
        <v>12</v>
      </c>
      <c r="U139" s="6">
        <v>0</v>
      </c>
      <c r="V139" s="6">
        <f>IF(ISERROR(VLOOKUP($S$139,'TAR FIN'!$A$1:$O$113,15,0)),0,VLOOKUP($S$139,'TAR FIN'!$A$1:$O$113,15,0))</f>
        <v>0</v>
      </c>
      <c r="W139" s="6">
        <f>IF(ISERROR(VLOOKUP($T$139,'TAR FIN'!$A$1:$O$113,15,0)),0,VLOOKUP($T$139,'TAR FIN'!$A$1:$O$113,15,0))</f>
        <v>72.150000000000006</v>
      </c>
      <c r="X139" s="6">
        <f>IF(ISERROR(VLOOKUP($U$139,'TAR FIN'!$A$1:$O$113,15,0)),0,VLOOKUP($U$139,'TAR FIN'!$A$1:$O$113,15,0))</f>
        <v>0</v>
      </c>
      <c r="Y139" s="6"/>
      <c r="Z139" s="6">
        <f ca="1">('TUSD BE'!$AM$16+'TUSD BF_350'!$AM$16+'TUSD CVA'!$AM$16)*1</f>
        <v>122.14055331663396</v>
      </c>
      <c r="AA139" s="6"/>
      <c r="AB139" s="6">
        <f>$K$139*$V$139</f>
        <v>0</v>
      </c>
      <c r="AC139" s="6">
        <f>$M$139*$W$139</f>
        <v>421213.64805000002</v>
      </c>
      <c r="AD139" s="6">
        <f>$O$139*$X$139</f>
        <v>0</v>
      </c>
      <c r="AE139" s="6">
        <f>$K$139*$Y$139</f>
        <v>0</v>
      </c>
      <c r="AF139" s="6">
        <f ca="1">$M$139*$Z$139</f>
        <v>713059.84805744863</v>
      </c>
      <c r="AG139" s="6">
        <f>$O$139*$AA$139</f>
        <v>0</v>
      </c>
    </row>
    <row r="140" spans="1:33" ht="11.25" customHeight="1" x14ac:dyDescent="0.3">
      <c r="A140" s="4" t="s">
        <v>21</v>
      </c>
      <c r="B140" s="4" t="s">
        <v>39</v>
      </c>
      <c r="C140" s="4" t="s">
        <v>40</v>
      </c>
      <c r="D140" s="4" t="s">
        <v>38</v>
      </c>
      <c r="E140" s="4" t="s">
        <v>25</v>
      </c>
      <c r="F140" s="4" t="s">
        <v>25</v>
      </c>
      <c r="G140" s="4" t="s">
        <v>25</v>
      </c>
      <c r="H140" s="4" t="s">
        <v>25</v>
      </c>
      <c r="I140" s="5">
        <v>44682</v>
      </c>
      <c r="J140" s="6">
        <v>0</v>
      </c>
      <c r="K140" s="6">
        <v>0</v>
      </c>
      <c r="L140" s="6">
        <v>6169.2280000000001</v>
      </c>
      <c r="M140" s="6">
        <v>6169.2280000000001</v>
      </c>
      <c r="N140" s="6">
        <v>0</v>
      </c>
      <c r="O140" s="6">
        <v>0</v>
      </c>
      <c r="P140" s="6">
        <v>2</v>
      </c>
      <c r="Q140" s="4" t="s">
        <v>55</v>
      </c>
      <c r="R140" s="4">
        <v>0</v>
      </c>
      <c r="S140" s="6">
        <v>0</v>
      </c>
      <c r="T140" s="6">
        <v>12</v>
      </c>
      <c r="U140" s="6">
        <v>0</v>
      </c>
      <c r="V140" s="6">
        <f>IF(ISERROR(VLOOKUP($S$140,'TAR FIN'!$A$1:$O$113,15,0)),0,VLOOKUP($S$140,'TAR FIN'!$A$1:$O$113,15,0))</f>
        <v>0</v>
      </c>
      <c r="W140" s="6">
        <f>IF(ISERROR(VLOOKUP($T$140,'TAR FIN'!$A$1:$O$113,15,0)),0,VLOOKUP($T$140,'TAR FIN'!$A$1:$O$113,15,0))</f>
        <v>72.150000000000006</v>
      </c>
      <c r="X140" s="6">
        <f>IF(ISERROR(VLOOKUP($U$140,'TAR FIN'!$A$1:$O$113,15,0)),0,VLOOKUP($U$140,'TAR FIN'!$A$1:$O$113,15,0))</f>
        <v>0</v>
      </c>
      <c r="Y140" s="6"/>
      <c r="Z140" s="6">
        <f ca="1">('TUSD BE'!$AM$16+'TUSD BF_350'!$AM$16+'TUSD CVA'!$AM$16)*1</f>
        <v>122.14055331663396</v>
      </c>
      <c r="AA140" s="6"/>
      <c r="AB140" s="6">
        <f>$K$140*$V$140</f>
        <v>0</v>
      </c>
      <c r="AC140" s="6">
        <f>$M$140*$W$140</f>
        <v>445109.80020000006</v>
      </c>
      <c r="AD140" s="6">
        <f>$O$140*$X$140</f>
        <v>0</v>
      </c>
      <c r="AE140" s="6">
        <f>$K$140*$Y$140</f>
        <v>0</v>
      </c>
      <c r="AF140" s="6">
        <f ca="1">$M$140*$Z$140</f>
        <v>753512.92145647109</v>
      </c>
      <c r="AG140" s="6">
        <f>$O$140*$AA$140</f>
        <v>0</v>
      </c>
    </row>
    <row r="141" spans="1:33" ht="11.25" customHeight="1" x14ac:dyDescent="0.3">
      <c r="A141" s="4" t="s">
        <v>21</v>
      </c>
      <c r="B141" s="4" t="s">
        <v>39</v>
      </c>
      <c r="C141" s="4" t="s">
        <v>40</v>
      </c>
      <c r="D141" s="4" t="s">
        <v>38</v>
      </c>
      <c r="E141" s="4" t="s">
        <v>25</v>
      </c>
      <c r="F141" s="4" t="s">
        <v>25</v>
      </c>
      <c r="G141" s="4" t="s">
        <v>25</v>
      </c>
      <c r="H141" s="4" t="s">
        <v>25</v>
      </c>
      <c r="I141" s="5">
        <v>44713</v>
      </c>
      <c r="J141" s="6">
        <v>0</v>
      </c>
      <c r="K141" s="6">
        <v>0</v>
      </c>
      <c r="L141" s="6">
        <v>6457.0630000000001</v>
      </c>
      <c r="M141" s="6">
        <v>6457.0630000000001</v>
      </c>
      <c r="N141" s="6">
        <v>0</v>
      </c>
      <c r="O141" s="6">
        <v>0</v>
      </c>
      <c r="P141" s="6">
        <v>2</v>
      </c>
      <c r="Q141" s="4" t="s">
        <v>55</v>
      </c>
      <c r="R141" s="4">
        <v>0</v>
      </c>
      <c r="S141" s="6">
        <v>0</v>
      </c>
      <c r="T141" s="6">
        <v>12</v>
      </c>
      <c r="U141" s="6">
        <v>0</v>
      </c>
      <c r="V141" s="6">
        <f>IF(ISERROR(VLOOKUP($S$141,'TAR FIN'!$A$1:$O$113,15,0)),0,VLOOKUP($S$141,'TAR FIN'!$A$1:$O$113,15,0))</f>
        <v>0</v>
      </c>
      <c r="W141" s="6">
        <f>IF(ISERROR(VLOOKUP($T$141,'TAR FIN'!$A$1:$O$113,15,0)),0,VLOOKUP($T$141,'TAR FIN'!$A$1:$O$113,15,0))</f>
        <v>72.150000000000006</v>
      </c>
      <c r="X141" s="6">
        <f>IF(ISERROR(VLOOKUP($U$141,'TAR FIN'!$A$1:$O$113,15,0)),0,VLOOKUP($U$141,'TAR FIN'!$A$1:$O$113,15,0))</f>
        <v>0</v>
      </c>
      <c r="Y141" s="6"/>
      <c r="Z141" s="6">
        <f ca="1">('TUSD BE'!$AM$16+'TUSD BF_350'!$AM$16+'TUSD CVA'!$AM$16)*1</f>
        <v>122.14055331663396</v>
      </c>
      <c r="AA141" s="6"/>
      <c r="AB141" s="6">
        <f>$K$141*$V$141</f>
        <v>0</v>
      </c>
      <c r="AC141" s="6">
        <f>$M$141*$W$141</f>
        <v>465877.09545000002</v>
      </c>
      <c r="AD141" s="6">
        <f>$O$141*$X$141</f>
        <v>0</v>
      </c>
      <c r="AE141" s="6">
        <f>$K$141*$Y$141</f>
        <v>0</v>
      </c>
      <c r="AF141" s="6">
        <f ca="1">$M$141*$Z$141</f>
        <v>788669.24762036442</v>
      </c>
      <c r="AG141" s="6">
        <f>$O$141*$AA$141</f>
        <v>0</v>
      </c>
    </row>
    <row r="142" spans="1:33" ht="11.25" customHeight="1" x14ac:dyDescent="0.3">
      <c r="A142" s="4" t="s">
        <v>21</v>
      </c>
      <c r="B142" s="4" t="s">
        <v>39</v>
      </c>
      <c r="C142" s="4" t="s">
        <v>40</v>
      </c>
      <c r="D142" s="4" t="s">
        <v>38</v>
      </c>
      <c r="E142" s="4" t="s">
        <v>25</v>
      </c>
      <c r="F142" s="4" t="s">
        <v>25</v>
      </c>
      <c r="G142" s="4" t="s">
        <v>25</v>
      </c>
      <c r="H142" s="4" t="s">
        <v>25</v>
      </c>
      <c r="I142" s="5">
        <v>44743</v>
      </c>
      <c r="J142" s="6">
        <v>0</v>
      </c>
      <c r="K142" s="6">
        <v>0</v>
      </c>
      <c r="L142" s="6">
        <v>6208.5990000000002</v>
      </c>
      <c r="M142" s="6">
        <v>6208.5990000000002</v>
      </c>
      <c r="N142" s="6">
        <v>0</v>
      </c>
      <c r="O142" s="6">
        <v>0</v>
      </c>
      <c r="P142" s="6">
        <v>2</v>
      </c>
      <c r="Q142" s="4" t="s">
        <v>55</v>
      </c>
      <c r="R142" s="4">
        <v>0</v>
      </c>
      <c r="S142" s="6">
        <v>0</v>
      </c>
      <c r="T142" s="6">
        <v>12</v>
      </c>
      <c r="U142" s="6">
        <v>0</v>
      </c>
      <c r="V142" s="6">
        <f>IF(ISERROR(VLOOKUP($S$142,'TAR FIN'!$A$1:$O$113,15,0)),0,VLOOKUP($S$142,'TAR FIN'!$A$1:$O$113,15,0))</f>
        <v>0</v>
      </c>
      <c r="W142" s="6">
        <f>IF(ISERROR(VLOOKUP($T$142,'TAR FIN'!$A$1:$O$113,15,0)),0,VLOOKUP($T$142,'TAR FIN'!$A$1:$O$113,15,0))</f>
        <v>72.150000000000006</v>
      </c>
      <c r="X142" s="6">
        <f>IF(ISERROR(VLOOKUP($U$142,'TAR FIN'!$A$1:$O$113,15,0)),0,VLOOKUP($U$142,'TAR FIN'!$A$1:$O$113,15,0))</f>
        <v>0</v>
      </c>
      <c r="Y142" s="6"/>
      <c r="Z142" s="6">
        <f ca="1">('TUSD BE'!$AM$16+'TUSD BF_350'!$AM$16+'TUSD CVA'!$AM$16)*1</f>
        <v>122.14055331663396</v>
      </c>
      <c r="AA142" s="6"/>
      <c r="AB142" s="6">
        <f>$K$142*$V$142</f>
        <v>0</v>
      </c>
      <c r="AC142" s="6">
        <f>$M$142*$W$142</f>
        <v>447950.41785000003</v>
      </c>
      <c r="AD142" s="6">
        <f>$O$142*$X$142</f>
        <v>0</v>
      </c>
      <c r="AE142" s="6">
        <f>$K$142*$Y$142</f>
        <v>0</v>
      </c>
      <c r="AF142" s="6">
        <f ca="1">$M$142*$Z$142</f>
        <v>758321.71718110028</v>
      </c>
      <c r="AG142" s="6">
        <f>$O$142*$AA$142</f>
        <v>0</v>
      </c>
    </row>
    <row r="143" spans="1:33" ht="11.25" customHeight="1" x14ac:dyDescent="0.3">
      <c r="A143" s="4" t="s">
        <v>21</v>
      </c>
      <c r="B143" s="4" t="s">
        <v>39</v>
      </c>
      <c r="C143" s="4" t="s">
        <v>40</v>
      </c>
      <c r="D143" s="4" t="s">
        <v>38</v>
      </c>
      <c r="E143" s="4" t="s">
        <v>25</v>
      </c>
      <c r="F143" s="4" t="s">
        <v>25</v>
      </c>
      <c r="G143" s="4" t="s">
        <v>25</v>
      </c>
      <c r="H143" s="4" t="s">
        <v>25</v>
      </c>
      <c r="I143" s="5">
        <v>44774</v>
      </c>
      <c r="J143" s="6">
        <v>0</v>
      </c>
      <c r="K143" s="6">
        <v>0</v>
      </c>
      <c r="L143" s="6">
        <v>6185.0529999999999</v>
      </c>
      <c r="M143" s="6">
        <v>6185.0529999999999</v>
      </c>
      <c r="N143" s="6">
        <v>0</v>
      </c>
      <c r="O143" s="6">
        <v>0</v>
      </c>
      <c r="P143" s="6">
        <v>2</v>
      </c>
      <c r="Q143" s="4" t="s">
        <v>55</v>
      </c>
      <c r="R143" s="4">
        <v>0</v>
      </c>
      <c r="S143" s="6">
        <v>0</v>
      </c>
      <c r="T143" s="6">
        <v>12</v>
      </c>
      <c r="U143" s="6">
        <v>0</v>
      </c>
      <c r="V143" s="6">
        <f>IF(ISERROR(VLOOKUP($S$143,'TAR FIN'!$A$1:$O$113,15,0)),0,VLOOKUP($S$143,'TAR FIN'!$A$1:$O$113,15,0))</f>
        <v>0</v>
      </c>
      <c r="W143" s="6">
        <f>IF(ISERROR(VLOOKUP($T$143,'TAR FIN'!$A$1:$O$113,15,0)),0,VLOOKUP($T$143,'TAR FIN'!$A$1:$O$113,15,0))</f>
        <v>72.150000000000006</v>
      </c>
      <c r="X143" s="6">
        <f>IF(ISERROR(VLOOKUP($U$143,'TAR FIN'!$A$1:$O$113,15,0)),0,VLOOKUP($U$143,'TAR FIN'!$A$1:$O$113,15,0))</f>
        <v>0</v>
      </c>
      <c r="Y143" s="6"/>
      <c r="Z143" s="6">
        <f ca="1">('TUSD BE'!$AM$16+'TUSD BF_350'!$AM$16+'TUSD CVA'!$AM$16)*1</f>
        <v>122.14055331663396</v>
      </c>
      <c r="AA143" s="6"/>
      <c r="AB143" s="6">
        <f>$K$143*$V$143</f>
        <v>0</v>
      </c>
      <c r="AC143" s="6">
        <f>$M$143*$W$143</f>
        <v>446251.57395000005</v>
      </c>
      <c r="AD143" s="6">
        <f>$O$143*$X$143</f>
        <v>0</v>
      </c>
      <c r="AE143" s="6">
        <f>$K$143*$Y$143</f>
        <v>0</v>
      </c>
      <c r="AF143" s="6">
        <f ca="1">$M$143*$Z$143</f>
        <v>755445.79571270675</v>
      </c>
      <c r="AG143" s="6">
        <f>$O$143*$AA$143</f>
        <v>0</v>
      </c>
    </row>
    <row r="144" spans="1:33" ht="11.25" customHeight="1" x14ac:dyDescent="0.3">
      <c r="A144" s="4" t="s">
        <v>21</v>
      </c>
      <c r="B144" s="4" t="s">
        <v>39</v>
      </c>
      <c r="C144" s="4" t="s">
        <v>40</v>
      </c>
      <c r="D144" s="4" t="s">
        <v>38</v>
      </c>
      <c r="E144" s="4" t="s">
        <v>25</v>
      </c>
      <c r="F144" s="4" t="s">
        <v>25</v>
      </c>
      <c r="G144" s="4" t="s">
        <v>25</v>
      </c>
      <c r="H144" s="4" t="s">
        <v>25</v>
      </c>
      <c r="I144" s="5">
        <v>44805</v>
      </c>
      <c r="J144" s="6">
        <v>0</v>
      </c>
      <c r="K144" s="6">
        <v>0</v>
      </c>
      <c r="L144" s="6">
        <v>5556.5559999999996</v>
      </c>
      <c r="M144" s="6">
        <v>5556.5559999999996</v>
      </c>
      <c r="N144" s="6">
        <v>0</v>
      </c>
      <c r="O144" s="6">
        <v>0</v>
      </c>
      <c r="P144" s="6">
        <v>2</v>
      </c>
      <c r="Q144" s="4" t="s">
        <v>55</v>
      </c>
      <c r="R144" s="4">
        <v>0</v>
      </c>
      <c r="S144" s="6">
        <v>0</v>
      </c>
      <c r="T144" s="6">
        <v>12</v>
      </c>
      <c r="U144" s="6">
        <v>0</v>
      </c>
      <c r="V144" s="6">
        <f>IF(ISERROR(VLOOKUP($S$144,'TAR FIN'!$A$1:$O$113,15,0)),0,VLOOKUP($S$144,'TAR FIN'!$A$1:$O$113,15,0))</f>
        <v>0</v>
      </c>
      <c r="W144" s="6">
        <f>IF(ISERROR(VLOOKUP($T$144,'TAR FIN'!$A$1:$O$113,15,0)),0,VLOOKUP($T$144,'TAR FIN'!$A$1:$O$113,15,0))</f>
        <v>72.150000000000006</v>
      </c>
      <c r="X144" s="6">
        <f>IF(ISERROR(VLOOKUP($U$144,'TAR FIN'!$A$1:$O$113,15,0)),0,VLOOKUP($U$144,'TAR FIN'!$A$1:$O$113,15,0))</f>
        <v>0</v>
      </c>
      <c r="Y144" s="6"/>
      <c r="Z144" s="6">
        <f ca="1">('TUSD BE'!$AM$16+'TUSD BF_350'!$AM$16+'TUSD CVA'!$AM$16)*1</f>
        <v>122.14055331663396</v>
      </c>
      <c r="AA144" s="6"/>
      <c r="AB144" s="6">
        <f>$K$144*$V$144</f>
        <v>0</v>
      </c>
      <c r="AC144" s="6">
        <f>$M$144*$W$144</f>
        <v>400905.51539999997</v>
      </c>
      <c r="AD144" s="6">
        <f>$O$144*$X$144</f>
        <v>0</v>
      </c>
      <c r="AE144" s="6">
        <f>$K$144*$Y$144</f>
        <v>0</v>
      </c>
      <c r="AF144" s="6">
        <f ca="1">$M$144*$Z$144</f>
        <v>678680.82437486225</v>
      </c>
      <c r="AG144" s="6">
        <f>$O$144*$AA$144</f>
        <v>0</v>
      </c>
    </row>
    <row r="145" spans="1:33" ht="11.25" customHeight="1" x14ac:dyDescent="0.3">
      <c r="A145" s="4" t="s">
        <v>53</v>
      </c>
      <c r="B145" s="4" t="s">
        <v>39</v>
      </c>
      <c r="C145" s="4" t="s">
        <v>40</v>
      </c>
      <c r="D145" s="4" t="s">
        <v>38</v>
      </c>
      <c r="E145" s="4" t="s">
        <v>25</v>
      </c>
      <c r="F145" s="4" t="s">
        <v>25</v>
      </c>
      <c r="G145" s="4" t="s">
        <v>25</v>
      </c>
      <c r="H145" s="4" t="s">
        <v>25</v>
      </c>
      <c r="I145" s="5">
        <v>44835</v>
      </c>
      <c r="J145" s="6">
        <v>0</v>
      </c>
      <c r="K145" s="6">
        <v>0</v>
      </c>
      <c r="L145" s="6">
        <v>5556.5559999999996</v>
      </c>
      <c r="M145" s="6">
        <v>5556.5559999999996</v>
      </c>
      <c r="N145" s="6">
        <v>0</v>
      </c>
      <c r="O145" s="6">
        <v>0</v>
      </c>
      <c r="P145" s="6">
        <v>2</v>
      </c>
      <c r="Q145" s="4" t="s">
        <v>55</v>
      </c>
      <c r="R145" s="4">
        <v>0</v>
      </c>
      <c r="S145" s="6">
        <v>0</v>
      </c>
      <c r="T145" s="6">
        <v>12</v>
      </c>
      <c r="U145" s="6">
        <v>0</v>
      </c>
      <c r="V145" s="6">
        <f>IF(ISERROR(VLOOKUP($S$145,'TAR FIN'!$A$1:$O$113,15,0)),0,VLOOKUP($S$145,'TAR FIN'!$A$1:$O$113,15,0))</f>
        <v>0</v>
      </c>
      <c r="W145" s="6">
        <f>IF(ISERROR(VLOOKUP($T$145,'TAR FIN'!$A$1:$O$113,15,0)),0,VLOOKUP($T$145,'TAR FIN'!$A$1:$O$113,15,0))</f>
        <v>72.150000000000006</v>
      </c>
      <c r="X145" s="6">
        <f>IF(ISERROR(VLOOKUP($U$145,'TAR FIN'!$A$1:$O$113,15,0)),0,VLOOKUP($U$145,'TAR FIN'!$A$1:$O$113,15,0))</f>
        <v>0</v>
      </c>
      <c r="Y145" s="6"/>
      <c r="Z145" s="6">
        <f ca="1">('TUSD BE'!$AM$16+'TUSD BF_350'!$AM$16+'TUSD CVA'!$AM$16)*1</f>
        <v>122.14055331663396</v>
      </c>
      <c r="AA145" s="6"/>
      <c r="AB145" s="6">
        <f>$K$145*$V$145</f>
        <v>0</v>
      </c>
      <c r="AC145" s="6">
        <f>$M$145*$W$145</f>
        <v>400905.51539999997</v>
      </c>
      <c r="AD145" s="6">
        <f>$O$145*$X$145</f>
        <v>0</v>
      </c>
      <c r="AE145" s="6">
        <f>$K$145*$Y$145</f>
        <v>0</v>
      </c>
      <c r="AF145" s="6">
        <f ca="1">$M$145*$Z$145</f>
        <v>678680.82437486225</v>
      </c>
      <c r="AG145" s="6">
        <f>$O$145*$AA$145</f>
        <v>0</v>
      </c>
    </row>
    <row r="146" spans="1:33" ht="11.25" customHeight="1" x14ac:dyDescent="0.3">
      <c r="A146" s="4" t="s">
        <v>21</v>
      </c>
      <c r="B146" s="4" t="s">
        <v>39</v>
      </c>
      <c r="C146" s="4" t="s">
        <v>40</v>
      </c>
      <c r="D146" s="4" t="s">
        <v>38</v>
      </c>
      <c r="E146" s="4" t="s">
        <v>25</v>
      </c>
      <c r="F146" s="4" t="s">
        <v>25</v>
      </c>
      <c r="G146" s="4" t="s">
        <v>25</v>
      </c>
      <c r="H146" s="4" t="s">
        <v>34</v>
      </c>
      <c r="I146" s="5">
        <v>44501</v>
      </c>
      <c r="J146" s="6">
        <v>609</v>
      </c>
      <c r="K146" s="6">
        <v>609</v>
      </c>
      <c r="L146" s="6">
        <v>23.344999999999999</v>
      </c>
      <c r="M146" s="6">
        <v>23.344999999999999</v>
      </c>
      <c r="N146" s="6">
        <v>23.344999999999999</v>
      </c>
      <c r="O146" s="6">
        <v>23.344999999999999</v>
      </c>
      <c r="P146" s="6">
        <v>0</v>
      </c>
      <c r="Q146" s="4" t="s">
        <v>26</v>
      </c>
      <c r="R146" s="4">
        <v>0</v>
      </c>
      <c r="S146" s="6">
        <v>9</v>
      </c>
      <c r="T146" s="6">
        <v>12</v>
      </c>
      <c r="U146" s="6">
        <v>38</v>
      </c>
      <c r="V146" s="6">
        <f>IF(ISERROR(VLOOKUP($S$146,'TAR FIN'!$A$1:$O$113,15,0)),0,VLOOKUP($S$146,'TAR FIN'!$A$1:$O$113,15,0))</f>
        <v>35.76</v>
      </c>
      <c r="W146" s="6">
        <f>IF(ISERROR(VLOOKUP($T$146,'TAR FIN'!$A$1:$O$113,15,0)),0,VLOOKUP($T$146,'TAR FIN'!$A$1:$O$113,15,0))</f>
        <v>72.150000000000006</v>
      </c>
      <c r="X146" s="6">
        <f>IF(ISERROR(VLOOKUP($U$146,'TAR FIN'!$A$1:$O$113,15,0)),0,VLOOKUP($U$146,'TAR FIN'!$A$1:$O$113,15,0))</f>
        <v>442.86</v>
      </c>
      <c r="Y146" s="6">
        <f ca="1">('TUSD BE'!$AM$14+'TUSD BF_350'!$AM$14+'TUSD CVA'!$AM$14)*1</f>
        <v>40.963640769708675</v>
      </c>
      <c r="Z146" s="6">
        <f ca="1">('TUSD BE'!$AM$16+'TUSD BF_350'!$AM$16+'TUSD CVA'!$AM$16)*1</f>
        <v>122.14055331663396</v>
      </c>
      <c r="AA146" s="6">
        <f ca="1">('TE BE'!$AB$9+'TE BF_350'!$AB$9+'TE CVA'!$AB$9)*1</f>
        <v>379.30999999999995</v>
      </c>
      <c r="AB146" s="6">
        <f>$K$146*$V$146</f>
        <v>21777.84</v>
      </c>
      <c r="AC146" s="6">
        <f>$M$146*$W$146</f>
        <v>1684.34175</v>
      </c>
      <c r="AD146" s="6">
        <f>$O$146*$X$146</f>
        <v>10338.566699999999</v>
      </c>
      <c r="AE146" s="6">
        <f ca="1">$K$146*$Y$146</f>
        <v>24946.857228752582</v>
      </c>
      <c r="AF146" s="6">
        <f ca="1">$M$146*$Z$146</f>
        <v>2851.3712171768198</v>
      </c>
      <c r="AG146" s="6">
        <f ca="1">$O$146*$AA$146</f>
        <v>8854.9919499999978</v>
      </c>
    </row>
    <row r="147" spans="1:33" ht="11.25" customHeight="1" x14ac:dyDescent="0.3">
      <c r="A147" s="4" t="s">
        <v>21</v>
      </c>
      <c r="B147" s="4" t="s">
        <v>39</v>
      </c>
      <c r="C147" s="4" t="s">
        <v>40</v>
      </c>
      <c r="D147" s="4" t="s">
        <v>38</v>
      </c>
      <c r="E147" s="4" t="s">
        <v>25</v>
      </c>
      <c r="F147" s="4" t="s">
        <v>25</v>
      </c>
      <c r="G147" s="4" t="s">
        <v>25</v>
      </c>
      <c r="H147" s="4" t="s">
        <v>34</v>
      </c>
      <c r="I147" s="5">
        <v>44501</v>
      </c>
      <c r="J147" s="6">
        <v>12435</v>
      </c>
      <c r="K147" s="6">
        <v>12435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4" t="s">
        <v>55</v>
      </c>
      <c r="R147" s="4">
        <v>0</v>
      </c>
      <c r="S147" s="6">
        <v>9</v>
      </c>
      <c r="T147" s="6">
        <v>0</v>
      </c>
      <c r="U147" s="6">
        <v>0</v>
      </c>
      <c r="V147" s="6">
        <f>IF(ISERROR(VLOOKUP($S$147,'TAR FIN'!$A$1:$O$113,15,0)),0,VLOOKUP($S$147,'TAR FIN'!$A$1:$O$113,15,0))</f>
        <v>35.76</v>
      </c>
      <c r="W147" s="6">
        <f>IF(ISERROR(VLOOKUP($T$147,'TAR FIN'!$A$1:$O$113,15,0)),0,VLOOKUP($T$147,'TAR FIN'!$A$1:$O$113,15,0))</f>
        <v>0</v>
      </c>
      <c r="X147" s="6">
        <f>IF(ISERROR(VLOOKUP($U$147,'TAR FIN'!$A$1:$O$113,15,0)),0,VLOOKUP($U$147,'TAR FIN'!$A$1:$O$113,15,0))</f>
        <v>0</v>
      </c>
      <c r="Y147" s="6">
        <f ca="1">('TUSD BE'!$AM$14+'TUSD BF_350'!$AM$14+'TUSD CVA'!$AM$14)*1</f>
        <v>40.963640769708675</v>
      </c>
      <c r="Z147" s="6">
        <f ca="1">('TUSD BE'!$AM$16+'TUSD BF_350'!$AM$16+'TUSD CVA'!$AM$16)*1</f>
        <v>122.14055331663396</v>
      </c>
      <c r="AA147" s="6"/>
      <c r="AB147" s="6">
        <f>$K$147*$V$147</f>
        <v>444675.6</v>
      </c>
      <c r="AC147" s="6">
        <f>$M$147*$W$147</f>
        <v>0</v>
      </c>
      <c r="AD147" s="6">
        <f>$O$147*$X$147</f>
        <v>0</v>
      </c>
      <c r="AE147" s="6">
        <f ca="1">$K$147*$Y$147</f>
        <v>509382.87297132739</v>
      </c>
      <c r="AF147" s="6">
        <f ca="1">$M$147*$Z$147</f>
        <v>0</v>
      </c>
      <c r="AG147" s="6">
        <f>$O$147*$AA$147</f>
        <v>0</v>
      </c>
    </row>
    <row r="148" spans="1:33" ht="11.25" customHeight="1" x14ac:dyDescent="0.3">
      <c r="A148" s="4" t="s">
        <v>21</v>
      </c>
      <c r="B148" s="4" t="s">
        <v>39</v>
      </c>
      <c r="C148" s="4" t="s">
        <v>40</v>
      </c>
      <c r="D148" s="4" t="s">
        <v>38</v>
      </c>
      <c r="E148" s="4" t="s">
        <v>25</v>
      </c>
      <c r="F148" s="4" t="s">
        <v>25</v>
      </c>
      <c r="G148" s="4" t="s">
        <v>25</v>
      </c>
      <c r="H148" s="4" t="s">
        <v>34</v>
      </c>
      <c r="I148" s="5">
        <v>44531</v>
      </c>
      <c r="J148" s="6">
        <v>606</v>
      </c>
      <c r="K148" s="6">
        <v>606</v>
      </c>
      <c r="L148" s="6">
        <v>19.64</v>
      </c>
      <c r="M148" s="6">
        <v>19.64</v>
      </c>
      <c r="N148" s="6">
        <v>19.64</v>
      </c>
      <c r="O148" s="6">
        <v>19.64</v>
      </c>
      <c r="P148" s="6">
        <v>0</v>
      </c>
      <c r="Q148" s="4" t="s">
        <v>26</v>
      </c>
      <c r="R148" s="4">
        <v>0</v>
      </c>
      <c r="S148" s="6">
        <v>9</v>
      </c>
      <c r="T148" s="6">
        <v>12</v>
      </c>
      <c r="U148" s="6">
        <v>38</v>
      </c>
      <c r="V148" s="6">
        <f>IF(ISERROR(VLOOKUP($S$148,'TAR FIN'!$A$1:$O$113,15,0)),0,VLOOKUP($S$148,'TAR FIN'!$A$1:$O$113,15,0))</f>
        <v>35.76</v>
      </c>
      <c r="W148" s="6">
        <f>IF(ISERROR(VLOOKUP($T$148,'TAR FIN'!$A$1:$O$113,15,0)),0,VLOOKUP($T$148,'TAR FIN'!$A$1:$O$113,15,0))</f>
        <v>72.150000000000006</v>
      </c>
      <c r="X148" s="6">
        <f>IF(ISERROR(VLOOKUP($U$148,'TAR FIN'!$A$1:$O$113,15,0)),0,VLOOKUP($U$148,'TAR FIN'!$A$1:$O$113,15,0))</f>
        <v>442.86</v>
      </c>
      <c r="Y148" s="6">
        <f ca="1">('TUSD BE'!$AM$14+'TUSD BF_350'!$AM$14+'TUSD CVA'!$AM$14)*1</f>
        <v>40.963640769708675</v>
      </c>
      <c r="Z148" s="6">
        <f ca="1">('TUSD BE'!$AM$16+'TUSD BF_350'!$AM$16+'TUSD CVA'!$AM$16)*1</f>
        <v>122.14055331663396</v>
      </c>
      <c r="AA148" s="6">
        <f ca="1">('TE BE'!$AB$9+'TE BF_350'!$AB$9+'TE CVA'!$AB$9)*1</f>
        <v>379.30999999999995</v>
      </c>
      <c r="AB148" s="6">
        <f>$K$148*$V$148</f>
        <v>21670.559999999998</v>
      </c>
      <c r="AC148" s="6">
        <f>$M$148*$W$148</f>
        <v>1417.0260000000001</v>
      </c>
      <c r="AD148" s="6">
        <f>$O$148*$X$148</f>
        <v>8697.7704000000012</v>
      </c>
      <c r="AE148" s="6">
        <f ca="1">$K$148*$Y$148</f>
        <v>24823.966306443457</v>
      </c>
      <c r="AF148" s="6">
        <f ca="1">$M$148*$Z$148</f>
        <v>2398.8404671386911</v>
      </c>
      <c r="AG148" s="6">
        <f ca="1">$O$148*$AA$148</f>
        <v>7449.6483999999991</v>
      </c>
    </row>
    <row r="149" spans="1:33" ht="11.25" customHeight="1" x14ac:dyDescent="0.3">
      <c r="A149" s="4" t="s">
        <v>21</v>
      </c>
      <c r="B149" s="4" t="s">
        <v>39</v>
      </c>
      <c r="C149" s="4" t="s">
        <v>40</v>
      </c>
      <c r="D149" s="4" t="s">
        <v>38</v>
      </c>
      <c r="E149" s="4" t="s">
        <v>25</v>
      </c>
      <c r="F149" s="4" t="s">
        <v>25</v>
      </c>
      <c r="G149" s="4" t="s">
        <v>25</v>
      </c>
      <c r="H149" s="4" t="s">
        <v>34</v>
      </c>
      <c r="I149" s="5">
        <v>44531</v>
      </c>
      <c r="J149" s="6">
        <v>12404</v>
      </c>
      <c r="K149" s="6">
        <v>12404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4" t="s">
        <v>55</v>
      </c>
      <c r="R149" s="4">
        <v>0</v>
      </c>
      <c r="S149" s="6">
        <v>9</v>
      </c>
      <c r="T149" s="6">
        <v>0</v>
      </c>
      <c r="U149" s="6">
        <v>0</v>
      </c>
      <c r="V149" s="6">
        <f>IF(ISERROR(VLOOKUP($S$149,'TAR FIN'!$A$1:$O$113,15,0)),0,VLOOKUP($S$149,'TAR FIN'!$A$1:$O$113,15,0))</f>
        <v>35.76</v>
      </c>
      <c r="W149" s="6">
        <f>IF(ISERROR(VLOOKUP($T$149,'TAR FIN'!$A$1:$O$113,15,0)),0,VLOOKUP($T$149,'TAR FIN'!$A$1:$O$113,15,0))</f>
        <v>0</v>
      </c>
      <c r="X149" s="6">
        <f>IF(ISERROR(VLOOKUP($U$149,'TAR FIN'!$A$1:$O$113,15,0)),0,VLOOKUP($U$149,'TAR FIN'!$A$1:$O$113,15,0))</f>
        <v>0</v>
      </c>
      <c r="Y149" s="6">
        <f ca="1">('TUSD BE'!$AM$14+'TUSD BF_350'!$AM$14+'TUSD CVA'!$AM$14)*1</f>
        <v>40.963640769708675</v>
      </c>
      <c r="Z149" s="6">
        <f ca="1">('TUSD BE'!$AM$16+'TUSD BF_350'!$AM$16+'TUSD CVA'!$AM$16)*1</f>
        <v>122.14055331663396</v>
      </c>
      <c r="AA149" s="6"/>
      <c r="AB149" s="6">
        <f>$K$149*$V$149</f>
        <v>443567.04</v>
      </c>
      <c r="AC149" s="6">
        <f>$M$149*$W$149</f>
        <v>0</v>
      </c>
      <c r="AD149" s="6">
        <f>$O$149*$X$149</f>
        <v>0</v>
      </c>
      <c r="AE149" s="6">
        <f ca="1">$K$149*$Y$149</f>
        <v>508113.00010746642</v>
      </c>
      <c r="AF149" s="6">
        <f ca="1">$M$149*$Z$149</f>
        <v>0</v>
      </c>
      <c r="AG149" s="6">
        <f>$O$149*$AA$149</f>
        <v>0</v>
      </c>
    </row>
    <row r="150" spans="1:33" ht="11.25" customHeight="1" x14ac:dyDescent="0.3">
      <c r="A150" s="4" t="s">
        <v>21</v>
      </c>
      <c r="B150" s="4" t="s">
        <v>39</v>
      </c>
      <c r="C150" s="4" t="s">
        <v>40</v>
      </c>
      <c r="D150" s="4" t="s">
        <v>38</v>
      </c>
      <c r="E150" s="4" t="s">
        <v>25</v>
      </c>
      <c r="F150" s="4" t="s">
        <v>25</v>
      </c>
      <c r="G150" s="4" t="s">
        <v>25</v>
      </c>
      <c r="H150" s="4" t="s">
        <v>34</v>
      </c>
      <c r="I150" s="5">
        <v>44562</v>
      </c>
      <c r="J150" s="6">
        <v>603</v>
      </c>
      <c r="K150" s="6">
        <v>603</v>
      </c>
      <c r="L150" s="6">
        <v>25.567</v>
      </c>
      <c r="M150" s="6">
        <v>25.567</v>
      </c>
      <c r="N150" s="6">
        <v>25.567</v>
      </c>
      <c r="O150" s="6">
        <v>25.567</v>
      </c>
      <c r="P150" s="6">
        <v>0</v>
      </c>
      <c r="Q150" s="4" t="s">
        <v>26</v>
      </c>
      <c r="R150" s="4">
        <v>0</v>
      </c>
      <c r="S150" s="6">
        <v>9</v>
      </c>
      <c r="T150" s="6">
        <v>12</v>
      </c>
      <c r="U150" s="6">
        <v>38</v>
      </c>
      <c r="V150" s="6">
        <f>IF(ISERROR(VLOOKUP($S$150,'TAR FIN'!$A$1:$O$113,15,0)),0,VLOOKUP($S$150,'TAR FIN'!$A$1:$O$113,15,0))</f>
        <v>35.76</v>
      </c>
      <c r="W150" s="6">
        <f>IF(ISERROR(VLOOKUP($T$150,'TAR FIN'!$A$1:$O$113,15,0)),0,VLOOKUP($T$150,'TAR FIN'!$A$1:$O$113,15,0))</f>
        <v>72.150000000000006</v>
      </c>
      <c r="X150" s="6">
        <f>IF(ISERROR(VLOOKUP($U$150,'TAR FIN'!$A$1:$O$113,15,0)),0,VLOOKUP($U$150,'TAR FIN'!$A$1:$O$113,15,0))</f>
        <v>442.86</v>
      </c>
      <c r="Y150" s="6">
        <f ca="1">('TUSD BE'!$AM$14+'TUSD BF_350'!$AM$14+'TUSD CVA'!$AM$14)*1</f>
        <v>40.963640769708675</v>
      </c>
      <c r="Z150" s="6">
        <f ca="1">('TUSD BE'!$AM$16+'TUSD BF_350'!$AM$16+'TUSD CVA'!$AM$16)*1</f>
        <v>122.14055331663396</v>
      </c>
      <c r="AA150" s="6">
        <f ca="1">('TE BE'!$AB$9+'TE BF_350'!$AB$9+'TE CVA'!$AB$9)*1</f>
        <v>379.30999999999995</v>
      </c>
      <c r="AB150" s="6">
        <f>$K$150*$V$150</f>
        <v>21563.279999999999</v>
      </c>
      <c r="AC150" s="6">
        <f>$M$150*$W$150</f>
        <v>1844.6590500000002</v>
      </c>
      <c r="AD150" s="6">
        <f>$O$150*$X$150</f>
        <v>11322.601620000001</v>
      </c>
      <c r="AE150" s="6">
        <f ca="1">$K$150*$Y$150</f>
        <v>24701.075384134332</v>
      </c>
      <c r="AF150" s="6">
        <f ca="1">$M$150*$Z$150</f>
        <v>3122.7675266463802</v>
      </c>
      <c r="AG150" s="6">
        <f ca="1">$O$150*$AA$150</f>
        <v>9697.818769999998</v>
      </c>
    </row>
    <row r="151" spans="1:33" ht="11.25" customHeight="1" x14ac:dyDescent="0.3">
      <c r="A151" s="4" t="s">
        <v>21</v>
      </c>
      <c r="B151" s="4" t="s">
        <v>39</v>
      </c>
      <c r="C151" s="4" t="s">
        <v>40</v>
      </c>
      <c r="D151" s="4" t="s">
        <v>38</v>
      </c>
      <c r="E151" s="4" t="s">
        <v>25</v>
      </c>
      <c r="F151" s="4" t="s">
        <v>25</v>
      </c>
      <c r="G151" s="4" t="s">
        <v>25</v>
      </c>
      <c r="H151" s="4" t="s">
        <v>34</v>
      </c>
      <c r="I151" s="5">
        <v>44562</v>
      </c>
      <c r="J151" s="6">
        <v>12551</v>
      </c>
      <c r="K151" s="6">
        <v>12551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4" t="s">
        <v>55</v>
      </c>
      <c r="R151" s="4">
        <v>0</v>
      </c>
      <c r="S151" s="6">
        <v>9</v>
      </c>
      <c r="T151" s="6">
        <v>0</v>
      </c>
      <c r="U151" s="6">
        <v>0</v>
      </c>
      <c r="V151" s="6">
        <f>IF(ISERROR(VLOOKUP($S$151,'TAR FIN'!$A$1:$O$113,15,0)),0,VLOOKUP($S$151,'TAR FIN'!$A$1:$O$113,15,0))</f>
        <v>35.76</v>
      </c>
      <c r="W151" s="6">
        <f>IF(ISERROR(VLOOKUP($T$151,'TAR FIN'!$A$1:$O$113,15,0)),0,VLOOKUP($T$151,'TAR FIN'!$A$1:$O$113,15,0))</f>
        <v>0</v>
      </c>
      <c r="X151" s="6">
        <f>IF(ISERROR(VLOOKUP($U$151,'TAR FIN'!$A$1:$O$113,15,0)),0,VLOOKUP($U$151,'TAR FIN'!$A$1:$O$113,15,0))</f>
        <v>0</v>
      </c>
      <c r="Y151" s="6">
        <f ca="1">('TUSD BE'!$AM$14+'TUSD BF_350'!$AM$14+'TUSD CVA'!$AM$14)*1</f>
        <v>40.963640769708675</v>
      </c>
      <c r="Z151" s="6">
        <f ca="1">('TUSD BE'!$AM$16+'TUSD BF_350'!$AM$16+'TUSD CVA'!$AM$16)*1</f>
        <v>122.14055331663396</v>
      </c>
      <c r="AA151" s="6"/>
      <c r="AB151" s="6">
        <f>$K$151*$V$151</f>
        <v>448823.75999999995</v>
      </c>
      <c r="AC151" s="6">
        <f>$M$151*$W$151</f>
        <v>0</v>
      </c>
      <c r="AD151" s="6">
        <f>$O$151*$X$151</f>
        <v>0</v>
      </c>
      <c r="AE151" s="6">
        <f ca="1">$K$151*$Y$151</f>
        <v>514134.65530061361</v>
      </c>
      <c r="AF151" s="6">
        <f ca="1">$M$151*$Z$151</f>
        <v>0</v>
      </c>
      <c r="AG151" s="6">
        <f>$O$151*$AA$151</f>
        <v>0</v>
      </c>
    </row>
    <row r="152" spans="1:33" ht="11.25" customHeight="1" x14ac:dyDescent="0.3">
      <c r="A152" s="4" t="s">
        <v>21</v>
      </c>
      <c r="B152" s="4" t="s">
        <v>39</v>
      </c>
      <c r="C152" s="4" t="s">
        <v>40</v>
      </c>
      <c r="D152" s="4" t="s">
        <v>38</v>
      </c>
      <c r="E152" s="4" t="s">
        <v>25</v>
      </c>
      <c r="F152" s="4" t="s">
        <v>25</v>
      </c>
      <c r="G152" s="4" t="s">
        <v>25</v>
      </c>
      <c r="H152" s="4" t="s">
        <v>34</v>
      </c>
      <c r="I152" s="5">
        <v>44593</v>
      </c>
      <c r="J152" s="6">
        <v>689</v>
      </c>
      <c r="K152" s="6">
        <v>689</v>
      </c>
      <c r="L152" s="6">
        <v>30.913</v>
      </c>
      <c r="M152" s="6">
        <v>30.913</v>
      </c>
      <c r="N152" s="6">
        <v>30.913</v>
      </c>
      <c r="O152" s="6">
        <v>30.913</v>
      </c>
      <c r="P152" s="6">
        <v>0</v>
      </c>
      <c r="Q152" s="4" t="s">
        <v>26</v>
      </c>
      <c r="R152" s="4">
        <v>0</v>
      </c>
      <c r="S152" s="6">
        <v>9</v>
      </c>
      <c r="T152" s="6">
        <v>12</v>
      </c>
      <c r="U152" s="6">
        <v>38</v>
      </c>
      <c r="V152" s="6">
        <f>IF(ISERROR(VLOOKUP($S$152,'TAR FIN'!$A$1:$O$113,15,0)),0,VLOOKUP($S$152,'TAR FIN'!$A$1:$O$113,15,0))</f>
        <v>35.76</v>
      </c>
      <c r="W152" s="6">
        <f>IF(ISERROR(VLOOKUP($T$152,'TAR FIN'!$A$1:$O$113,15,0)),0,VLOOKUP($T$152,'TAR FIN'!$A$1:$O$113,15,0))</f>
        <v>72.150000000000006</v>
      </c>
      <c r="X152" s="6">
        <f>IF(ISERROR(VLOOKUP($U$152,'TAR FIN'!$A$1:$O$113,15,0)),0,VLOOKUP($U$152,'TAR FIN'!$A$1:$O$113,15,0))</f>
        <v>442.86</v>
      </c>
      <c r="Y152" s="6">
        <f ca="1">('TUSD BE'!$AM$14+'TUSD BF_350'!$AM$14+'TUSD CVA'!$AM$14)*1</f>
        <v>40.963640769708675</v>
      </c>
      <c r="Z152" s="6">
        <f ca="1">('TUSD BE'!$AM$16+'TUSD BF_350'!$AM$16+'TUSD CVA'!$AM$16)*1</f>
        <v>122.14055331663396</v>
      </c>
      <c r="AA152" s="6">
        <f ca="1">('TE BE'!$AB$9+'TE BF_350'!$AB$9+'TE CVA'!$AB$9)*1</f>
        <v>379.30999999999995</v>
      </c>
      <c r="AB152" s="6">
        <f>$K$152*$V$152</f>
        <v>24638.639999999999</v>
      </c>
      <c r="AC152" s="6">
        <f>$M$152*$W$152</f>
        <v>2230.3729500000004</v>
      </c>
      <c r="AD152" s="6">
        <f>$O$152*$X$152</f>
        <v>13690.13118</v>
      </c>
      <c r="AE152" s="6">
        <f ca="1">$K$152*$Y$152</f>
        <v>28223.948490329276</v>
      </c>
      <c r="AF152" s="6">
        <f ca="1">$M$152*$Z$152</f>
        <v>3775.7309246771056</v>
      </c>
      <c r="AG152" s="6">
        <f ca="1">$O$152*$AA$152</f>
        <v>11725.610029999998</v>
      </c>
    </row>
    <row r="153" spans="1:33" ht="11.25" customHeight="1" x14ac:dyDescent="0.3">
      <c r="A153" s="4" t="s">
        <v>21</v>
      </c>
      <c r="B153" s="4" t="s">
        <v>39</v>
      </c>
      <c r="C153" s="4" t="s">
        <v>40</v>
      </c>
      <c r="D153" s="4" t="s">
        <v>38</v>
      </c>
      <c r="E153" s="4" t="s">
        <v>25</v>
      </c>
      <c r="F153" s="4" t="s">
        <v>25</v>
      </c>
      <c r="G153" s="4" t="s">
        <v>25</v>
      </c>
      <c r="H153" s="4" t="s">
        <v>34</v>
      </c>
      <c r="I153" s="5">
        <v>44593</v>
      </c>
      <c r="J153" s="6">
        <v>12584</v>
      </c>
      <c r="K153" s="6">
        <v>12584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4" t="s">
        <v>55</v>
      </c>
      <c r="R153" s="4">
        <v>0</v>
      </c>
      <c r="S153" s="6">
        <v>9</v>
      </c>
      <c r="T153" s="6">
        <v>0</v>
      </c>
      <c r="U153" s="6">
        <v>0</v>
      </c>
      <c r="V153" s="6">
        <f>IF(ISERROR(VLOOKUP($S$153,'TAR FIN'!$A$1:$O$113,15,0)),0,VLOOKUP($S$153,'TAR FIN'!$A$1:$O$113,15,0))</f>
        <v>35.76</v>
      </c>
      <c r="W153" s="6">
        <f>IF(ISERROR(VLOOKUP($T$153,'TAR FIN'!$A$1:$O$113,15,0)),0,VLOOKUP($T$153,'TAR FIN'!$A$1:$O$113,15,0))</f>
        <v>0</v>
      </c>
      <c r="X153" s="6">
        <f>IF(ISERROR(VLOOKUP($U$153,'TAR FIN'!$A$1:$O$113,15,0)),0,VLOOKUP($U$153,'TAR FIN'!$A$1:$O$113,15,0))</f>
        <v>0</v>
      </c>
      <c r="Y153" s="6">
        <f ca="1">('TUSD BE'!$AM$14+'TUSD BF_350'!$AM$14+'TUSD CVA'!$AM$14)*1</f>
        <v>40.963640769708675</v>
      </c>
      <c r="Z153" s="6">
        <f ca="1">('TUSD BE'!$AM$16+'TUSD BF_350'!$AM$16+'TUSD CVA'!$AM$16)*1</f>
        <v>122.14055331663396</v>
      </c>
      <c r="AA153" s="6"/>
      <c r="AB153" s="6">
        <f>$K$153*$V$153</f>
        <v>450003.83999999997</v>
      </c>
      <c r="AC153" s="6">
        <f>$M$153*$W$153</f>
        <v>0</v>
      </c>
      <c r="AD153" s="6">
        <f>$O$153*$X$153</f>
        <v>0</v>
      </c>
      <c r="AE153" s="6">
        <f ca="1">$K$153*$Y$153</f>
        <v>515486.45544601395</v>
      </c>
      <c r="AF153" s="6">
        <f ca="1">$M$153*$Z$153</f>
        <v>0</v>
      </c>
      <c r="AG153" s="6">
        <f>$O$153*$AA$153</f>
        <v>0</v>
      </c>
    </row>
    <row r="154" spans="1:33" ht="11.25" customHeight="1" x14ac:dyDescent="0.3">
      <c r="A154" s="4" t="s">
        <v>21</v>
      </c>
      <c r="B154" s="4" t="s">
        <v>39</v>
      </c>
      <c r="C154" s="4" t="s">
        <v>40</v>
      </c>
      <c r="D154" s="4" t="s">
        <v>38</v>
      </c>
      <c r="E154" s="4" t="s">
        <v>25</v>
      </c>
      <c r="F154" s="4" t="s">
        <v>25</v>
      </c>
      <c r="G154" s="4" t="s">
        <v>25</v>
      </c>
      <c r="H154" s="4" t="s">
        <v>34</v>
      </c>
      <c r="I154" s="5">
        <v>44621</v>
      </c>
      <c r="J154" s="6">
        <v>619</v>
      </c>
      <c r="K154" s="6">
        <v>619</v>
      </c>
      <c r="L154" s="6">
        <v>23.544</v>
      </c>
      <c r="M154" s="6">
        <v>23.544</v>
      </c>
      <c r="N154" s="6">
        <v>23.544</v>
      </c>
      <c r="O154" s="6">
        <v>23.544</v>
      </c>
      <c r="P154" s="6">
        <v>0</v>
      </c>
      <c r="Q154" s="4" t="s">
        <v>26</v>
      </c>
      <c r="R154" s="4">
        <v>0</v>
      </c>
      <c r="S154" s="6">
        <v>9</v>
      </c>
      <c r="T154" s="6">
        <v>12</v>
      </c>
      <c r="U154" s="6">
        <v>38</v>
      </c>
      <c r="V154" s="6">
        <f>IF(ISERROR(VLOOKUP($S$154,'TAR FIN'!$A$1:$O$113,15,0)),0,VLOOKUP($S$154,'TAR FIN'!$A$1:$O$113,15,0))</f>
        <v>35.76</v>
      </c>
      <c r="W154" s="6">
        <f>IF(ISERROR(VLOOKUP($T$154,'TAR FIN'!$A$1:$O$113,15,0)),0,VLOOKUP($T$154,'TAR FIN'!$A$1:$O$113,15,0))</f>
        <v>72.150000000000006</v>
      </c>
      <c r="X154" s="6">
        <f>IF(ISERROR(VLOOKUP($U$154,'TAR FIN'!$A$1:$O$113,15,0)),0,VLOOKUP($U$154,'TAR FIN'!$A$1:$O$113,15,0))</f>
        <v>442.86</v>
      </c>
      <c r="Y154" s="6">
        <f ca="1">('TUSD BE'!$AM$14+'TUSD BF_350'!$AM$14+'TUSD CVA'!$AM$14)*1</f>
        <v>40.963640769708675</v>
      </c>
      <c r="Z154" s="6">
        <f ca="1">('TUSD BE'!$AM$16+'TUSD BF_350'!$AM$16+'TUSD CVA'!$AM$16)*1</f>
        <v>122.14055331663396</v>
      </c>
      <c r="AA154" s="6">
        <f ca="1">('TE BE'!$AB$9+'TE BF_350'!$AB$9+'TE CVA'!$AB$9)*1</f>
        <v>379.30999999999995</v>
      </c>
      <c r="AB154" s="6">
        <f>$K$154*$V$154</f>
        <v>22135.439999999999</v>
      </c>
      <c r="AC154" s="6">
        <f>$M$154*$W$154</f>
        <v>1698.6996000000001</v>
      </c>
      <c r="AD154" s="6">
        <f>$O$154*$X$154</f>
        <v>10426.69584</v>
      </c>
      <c r="AE154" s="6">
        <f ca="1">$K$154*$Y$154</f>
        <v>25356.493636449672</v>
      </c>
      <c r="AF154" s="6">
        <f ca="1">$M$154*$Z$154</f>
        <v>2875.6771872868298</v>
      </c>
      <c r="AG154" s="6">
        <f ca="1">$O$154*$AA$154</f>
        <v>8930.4746399999985</v>
      </c>
    </row>
    <row r="155" spans="1:33" ht="11.25" customHeight="1" x14ac:dyDescent="0.3">
      <c r="A155" s="4" t="s">
        <v>21</v>
      </c>
      <c r="B155" s="4" t="s">
        <v>39</v>
      </c>
      <c r="C155" s="4" t="s">
        <v>40</v>
      </c>
      <c r="D155" s="4" t="s">
        <v>38</v>
      </c>
      <c r="E155" s="4" t="s">
        <v>25</v>
      </c>
      <c r="F155" s="4" t="s">
        <v>25</v>
      </c>
      <c r="G155" s="4" t="s">
        <v>25</v>
      </c>
      <c r="H155" s="4" t="s">
        <v>34</v>
      </c>
      <c r="I155" s="5">
        <v>44621</v>
      </c>
      <c r="J155" s="6">
        <v>10384</v>
      </c>
      <c r="K155" s="6">
        <v>10384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4" t="s">
        <v>55</v>
      </c>
      <c r="R155" s="4">
        <v>0</v>
      </c>
      <c r="S155" s="6">
        <v>9</v>
      </c>
      <c r="T155" s="6">
        <v>0</v>
      </c>
      <c r="U155" s="6">
        <v>0</v>
      </c>
      <c r="V155" s="6">
        <f>IF(ISERROR(VLOOKUP($S$155,'TAR FIN'!$A$1:$O$113,15,0)),0,VLOOKUP($S$155,'TAR FIN'!$A$1:$O$113,15,0))</f>
        <v>35.76</v>
      </c>
      <c r="W155" s="6">
        <f>IF(ISERROR(VLOOKUP($T$155,'TAR FIN'!$A$1:$O$113,15,0)),0,VLOOKUP($T$155,'TAR FIN'!$A$1:$O$113,15,0))</f>
        <v>0</v>
      </c>
      <c r="X155" s="6">
        <f>IF(ISERROR(VLOOKUP($U$155,'TAR FIN'!$A$1:$O$113,15,0)),0,VLOOKUP($U$155,'TAR FIN'!$A$1:$O$113,15,0))</f>
        <v>0</v>
      </c>
      <c r="Y155" s="6">
        <f ca="1">('TUSD BE'!$AM$14+'TUSD BF_350'!$AM$14+'TUSD CVA'!$AM$14)*1</f>
        <v>40.963640769708675</v>
      </c>
      <c r="Z155" s="6">
        <f ca="1">('TUSD BE'!$AM$16+'TUSD BF_350'!$AM$16+'TUSD CVA'!$AM$16)*1</f>
        <v>122.14055331663396</v>
      </c>
      <c r="AA155" s="6"/>
      <c r="AB155" s="6">
        <f>$K$155*$V$155</f>
        <v>371331.83999999997</v>
      </c>
      <c r="AC155" s="6">
        <f>$M$155*$W$155</f>
        <v>0</v>
      </c>
      <c r="AD155" s="6">
        <f>$O$155*$X$155</f>
        <v>0</v>
      </c>
      <c r="AE155" s="6">
        <f ca="1">$K$155*$Y$155</f>
        <v>425366.44575265486</v>
      </c>
      <c r="AF155" s="6">
        <f ca="1">$M$155*$Z$155</f>
        <v>0</v>
      </c>
      <c r="AG155" s="6">
        <f>$O$155*$AA$155</f>
        <v>0</v>
      </c>
    </row>
    <row r="156" spans="1:33" ht="11.25" customHeight="1" x14ac:dyDescent="0.3">
      <c r="A156" s="4" t="s">
        <v>21</v>
      </c>
      <c r="B156" s="4" t="s">
        <v>39</v>
      </c>
      <c r="C156" s="4" t="s">
        <v>40</v>
      </c>
      <c r="D156" s="4" t="s">
        <v>38</v>
      </c>
      <c r="E156" s="4" t="s">
        <v>25</v>
      </c>
      <c r="F156" s="4" t="s">
        <v>25</v>
      </c>
      <c r="G156" s="4" t="s">
        <v>25</v>
      </c>
      <c r="H156" s="4" t="s">
        <v>34</v>
      </c>
      <c r="I156" s="5">
        <v>44652</v>
      </c>
      <c r="J156" s="6">
        <v>648</v>
      </c>
      <c r="K156" s="6">
        <v>648</v>
      </c>
      <c r="L156" s="6">
        <v>32.863999999999997</v>
      </c>
      <c r="M156" s="6">
        <v>32.863999999999997</v>
      </c>
      <c r="N156" s="6">
        <v>32.863999999999997</v>
      </c>
      <c r="O156" s="6">
        <v>32.863999999999997</v>
      </c>
      <c r="P156" s="6">
        <v>0</v>
      </c>
      <c r="Q156" s="4" t="s">
        <v>26</v>
      </c>
      <c r="R156" s="4">
        <v>0</v>
      </c>
      <c r="S156" s="6">
        <v>9</v>
      </c>
      <c r="T156" s="6">
        <v>12</v>
      </c>
      <c r="U156" s="6">
        <v>38</v>
      </c>
      <c r="V156" s="6">
        <f>IF(ISERROR(VLOOKUP($S$156,'TAR FIN'!$A$1:$O$113,15,0)),0,VLOOKUP($S$156,'TAR FIN'!$A$1:$O$113,15,0))</f>
        <v>35.76</v>
      </c>
      <c r="W156" s="6">
        <f>IF(ISERROR(VLOOKUP($T$156,'TAR FIN'!$A$1:$O$113,15,0)),0,VLOOKUP($T$156,'TAR FIN'!$A$1:$O$113,15,0))</f>
        <v>72.150000000000006</v>
      </c>
      <c r="X156" s="6">
        <f>IF(ISERROR(VLOOKUP($U$156,'TAR FIN'!$A$1:$O$113,15,0)),0,VLOOKUP($U$156,'TAR FIN'!$A$1:$O$113,15,0))</f>
        <v>442.86</v>
      </c>
      <c r="Y156" s="6">
        <f ca="1">('TUSD BE'!$AM$14+'TUSD BF_350'!$AM$14+'TUSD CVA'!$AM$14)*1</f>
        <v>40.963640769708675</v>
      </c>
      <c r="Z156" s="6">
        <f ca="1">('TUSD BE'!$AM$16+'TUSD BF_350'!$AM$16+'TUSD CVA'!$AM$16)*1</f>
        <v>122.14055331663396</v>
      </c>
      <c r="AA156" s="6">
        <f ca="1">('TE BE'!$AB$9+'TE BF_350'!$AB$9+'TE CVA'!$AB$9)*1</f>
        <v>379.30999999999995</v>
      </c>
      <c r="AB156" s="6">
        <f>$K$156*$V$156</f>
        <v>23172.48</v>
      </c>
      <c r="AC156" s="6">
        <f>$M$156*$W$156</f>
        <v>2371.1376</v>
      </c>
      <c r="AD156" s="6">
        <f>$O$156*$X$156</f>
        <v>14554.151039999999</v>
      </c>
      <c r="AE156" s="6">
        <f ca="1">$K$156*$Y$156</f>
        <v>26544.439218771222</v>
      </c>
      <c r="AF156" s="6">
        <f ca="1">$M$156*$Z$156</f>
        <v>4014.027144197858</v>
      </c>
      <c r="AG156" s="6">
        <f ca="1">$O$156*$AA$156</f>
        <v>12465.643839999997</v>
      </c>
    </row>
    <row r="157" spans="1:33" ht="11.25" customHeight="1" x14ac:dyDescent="0.3">
      <c r="A157" s="4" t="s">
        <v>21</v>
      </c>
      <c r="B157" s="4" t="s">
        <v>39</v>
      </c>
      <c r="C157" s="4" t="s">
        <v>40</v>
      </c>
      <c r="D157" s="4" t="s">
        <v>38</v>
      </c>
      <c r="E157" s="4" t="s">
        <v>25</v>
      </c>
      <c r="F157" s="4" t="s">
        <v>25</v>
      </c>
      <c r="G157" s="4" t="s">
        <v>25</v>
      </c>
      <c r="H157" s="4" t="s">
        <v>34</v>
      </c>
      <c r="I157" s="5">
        <v>44652</v>
      </c>
      <c r="J157" s="6">
        <v>10358</v>
      </c>
      <c r="K157" s="6">
        <v>10358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4" t="s">
        <v>55</v>
      </c>
      <c r="R157" s="4">
        <v>0</v>
      </c>
      <c r="S157" s="6">
        <v>9</v>
      </c>
      <c r="T157" s="6">
        <v>0</v>
      </c>
      <c r="U157" s="6">
        <v>0</v>
      </c>
      <c r="V157" s="6">
        <f>IF(ISERROR(VLOOKUP($S$157,'TAR FIN'!$A$1:$O$113,15,0)),0,VLOOKUP($S$157,'TAR FIN'!$A$1:$O$113,15,0))</f>
        <v>35.76</v>
      </c>
      <c r="W157" s="6">
        <f>IF(ISERROR(VLOOKUP($T$157,'TAR FIN'!$A$1:$O$113,15,0)),0,VLOOKUP($T$157,'TAR FIN'!$A$1:$O$113,15,0))</f>
        <v>0</v>
      </c>
      <c r="X157" s="6">
        <f>IF(ISERROR(VLOOKUP($U$157,'TAR FIN'!$A$1:$O$113,15,0)),0,VLOOKUP($U$157,'TAR FIN'!$A$1:$O$113,15,0))</f>
        <v>0</v>
      </c>
      <c r="Y157" s="6">
        <f ca="1">('TUSD BE'!$AM$14+'TUSD BF_350'!$AM$14+'TUSD CVA'!$AM$14)*1</f>
        <v>40.963640769708675</v>
      </c>
      <c r="Z157" s="6">
        <f ca="1">('TUSD BE'!$AM$16+'TUSD BF_350'!$AM$16+'TUSD CVA'!$AM$16)*1</f>
        <v>122.14055331663396</v>
      </c>
      <c r="AA157" s="6"/>
      <c r="AB157" s="6">
        <f>$K$157*$V$157</f>
        <v>370402.07999999996</v>
      </c>
      <c r="AC157" s="6">
        <f>$M$157*$W$157</f>
        <v>0</v>
      </c>
      <c r="AD157" s="6">
        <f>$O$157*$X$157</f>
        <v>0</v>
      </c>
      <c r="AE157" s="6">
        <f ca="1">$K$157*$Y$157</f>
        <v>424301.39109264244</v>
      </c>
      <c r="AF157" s="6">
        <f ca="1">$M$157*$Z$157</f>
        <v>0</v>
      </c>
      <c r="AG157" s="6">
        <f>$O$157*$AA$157</f>
        <v>0</v>
      </c>
    </row>
    <row r="158" spans="1:33" ht="11.25" customHeight="1" x14ac:dyDescent="0.3">
      <c r="A158" s="4" t="s">
        <v>21</v>
      </c>
      <c r="B158" s="4" t="s">
        <v>39</v>
      </c>
      <c r="C158" s="4" t="s">
        <v>40</v>
      </c>
      <c r="D158" s="4" t="s">
        <v>38</v>
      </c>
      <c r="E158" s="4" t="s">
        <v>25</v>
      </c>
      <c r="F158" s="4" t="s">
        <v>25</v>
      </c>
      <c r="G158" s="4" t="s">
        <v>25</v>
      </c>
      <c r="H158" s="4" t="s">
        <v>34</v>
      </c>
      <c r="I158" s="5">
        <v>44682</v>
      </c>
      <c r="J158" s="6">
        <v>653</v>
      </c>
      <c r="K158" s="6">
        <v>653</v>
      </c>
      <c r="L158" s="6">
        <v>24.268999999999998</v>
      </c>
      <c r="M158" s="6">
        <v>24.268999999999998</v>
      </c>
      <c r="N158" s="6">
        <v>24.268999999999998</v>
      </c>
      <c r="O158" s="6">
        <v>24.268999999999998</v>
      </c>
      <c r="P158" s="6">
        <v>0</v>
      </c>
      <c r="Q158" s="4" t="s">
        <v>26</v>
      </c>
      <c r="R158" s="4">
        <v>0</v>
      </c>
      <c r="S158" s="6">
        <v>9</v>
      </c>
      <c r="T158" s="6">
        <v>12</v>
      </c>
      <c r="U158" s="6">
        <v>38</v>
      </c>
      <c r="V158" s="6">
        <f>IF(ISERROR(VLOOKUP($S$158,'TAR FIN'!$A$1:$O$113,15,0)),0,VLOOKUP($S$158,'TAR FIN'!$A$1:$O$113,15,0))</f>
        <v>35.76</v>
      </c>
      <c r="W158" s="6">
        <f>IF(ISERROR(VLOOKUP($T$158,'TAR FIN'!$A$1:$O$113,15,0)),0,VLOOKUP($T$158,'TAR FIN'!$A$1:$O$113,15,0))</f>
        <v>72.150000000000006</v>
      </c>
      <c r="X158" s="6">
        <f>IF(ISERROR(VLOOKUP($U$158,'TAR FIN'!$A$1:$O$113,15,0)),0,VLOOKUP($U$158,'TAR FIN'!$A$1:$O$113,15,0))</f>
        <v>442.86</v>
      </c>
      <c r="Y158" s="6">
        <f ca="1">('TUSD BE'!$AM$14+'TUSD BF_350'!$AM$14+'TUSD CVA'!$AM$14)*1</f>
        <v>40.963640769708675</v>
      </c>
      <c r="Z158" s="6">
        <f ca="1">('TUSD BE'!$AM$16+'TUSD BF_350'!$AM$16+'TUSD CVA'!$AM$16)*1</f>
        <v>122.14055331663396</v>
      </c>
      <c r="AA158" s="6">
        <f ca="1">('TE BE'!$AB$9+'TE BF_350'!$AB$9+'TE CVA'!$AB$9)*1</f>
        <v>379.30999999999995</v>
      </c>
      <c r="AB158" s="6">
        <f>$K$158*$V$158</f>
        <v>23351.279999999999</v>
      </c>
      <c r="AC158" s="6">
        <f>$M$158*$W$158</f>
        <v>1751.0083500000001</v>
      </c>
      <c r="AD158" s="6">
        <f>$O$158*$X$158</f>
        <v>10747.769339999999</v>
      </c>
      <c r="AE158" s="6">
        <f ca="1">$K$158*$Y$158</f>
        <v>26749.257422619765</v>
      </c>
      <c r="AF158" s="6">
        <f ca="1">$M$158*$Z$158</f>
        <v>2964.2290884413892</v>
      </c>
      <c r="AG158" s="6">
        <f ca="1">$O$158*$AA$158</f>
        <v>9205.4743899999976</v>
      </c>
    </row>
    <row r="159" spans="1:33" ht="11.25" customHeight="1" x14ac:dyDescent="0.3">
      <c r="A159" s="4" t="s">
        <v>21</v>
      </c>
      <c r="B159" s="4" t="s">
        <v>39</v>
      </c>
      <c r="C159" s="4" t="s">
        <v>40</v>
      </c>
      <c r="D159" s="4" t="s">
        <v>38</v>
      </c>
      <c r="E159" s="4" t="s">
        <v>25</v>
      </c>
      <c r="F159" s="4" t="s">
        <v>25</v>
      </c>
      <c r="G159" s="4" t="s">
        <v>25</v>
      </c>
      <c r="H159" s="4" t="s">
        <v>34</v>
      </c>
      <c r="I159" s="5">
        <v>44682</v>
      </c>
      <c r="J159" s="6">
        <v>11220</v>
      </c>
      <c r="K159" s="6">
        <v>11220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4" t="s">
        <v>55</v>
      </c>
      <c r="R159" s="4">
        <v>0</v>
      </c>
      <c r="S159" s="6">
        <v>9</v>
      </c>
      <c r="T159" s="6">
        <v>0</v>
      </c>
      <c r="U159" s="6">
        <v>0</v>
      </c>
      <c r="V159" s="6">
        <f>IF(ISERROR(VLOOKUP($S$159,'TAR FIN'!$A$1:$O$113,15,0)),0,VLOOKUP($S$159,'TAR FIN'!$A$1:$O$113,15,0))</f>
        <v>35.76</v>
      </c>
      <c r="W159" s="6">
        <f>IF(ISERROR(VLOOKUP($T$159,'TAR FIN'!$A$1:$O$113,15,0)),0,VLOOKUP($T$159,'TAR FIN'!$A$1:$O$113,15,0))</f>
        <v>0</v>
      </c>
      <c r="X159" s="6">
        <f>IF(ISERROR(VLOOKUP($U$159,'TAR FIN'!$A$1:$O$113,15,0)),0,VLOOKUP($U$159,'TAR FIN'!$A$1:$O$113,15,0))</f>
        <v>0</v>
      </c>
      <c r="Y159" s="6">
        <f ca="1">('TUSD BE'!$AM$14+'TUSD BF_350'!$AM$14+'TUSD CVA'!$AM$14)*1</f>
        <v>40.963640769708675</v>
      </c>
      <c r="Z159" s="6">
        <f ca="1">('TUSD BE'!$AM$16+'TUSD BF_350'!$AM$16+'TUSD CVA'!$AM$16)*1</f>
        <v>122.14055331663396</v>
      </c>
      <c r="AA159" s="6"/>
      <c r="AB159" s="6">
        <f>$K$159*$V$159</f>
        <v>401227.19999999995</v>
      </c>
      <c r="AC159" s="6">
        <f>$M$159*$W$159</f>
        <v>0</v>
      </c>
      <c r="AD159" s="6">
        <f>$O$159*$X$159</f>
        <v>0</v>
      </c>
      <c r="AE159" s="6">
        <f ca="1">$K$159*$Y$159</f>
        <v>459612.04943613132</v>
      </c>
      <c r="AF159" s="6">
        <f ca="1">$M$159*$Z$159</f>
        <v>0</v>
      </c>
      <c r="AG159" s="6">
        <f>$O$159*$AA$159</f>
        <v>0</v>
      </c>
    </row>
    <row r="160" spans="1:33" ht="11.25" customHeight="1" x14ac:dyDescent="0.3">
      <c r="A160" s="4" t="s">
        <v>21</v>
      </c>
      <c r="B160" s="4" t="s">
        <v>39</v>
      </c>
      <c r="C160" s="4" t="s">
        <v>40</v>
      </c>
      <c r="D160" s="4" t="s">
        <v>38</v>
      </c>
      <c r="E160" s="4" t="s">
        <v>25</v>
      </c>
      <c r="F160" s="4" t="s">
        <v>25</v>
      </c>
      <c r="G160" s="4" t="s">
        <v>25</v>
      </c>
      <c r="H160" s="4" t="s">
        <v>34</v>
      </c>
      <c r="I160" s="5">
        <v>44713</v>
      </c>
      <c r="J160" s="6">
        <v>677</v>
      </c>
      <c r="K160" s="6">
        <v>677</v>
      </c>
      <c r="L160" s="6">
        <v>32.128</v>
      </c>
      <c r="M160" s="6">
        <v>32.128</v>
      </c>
      <c r="N160" s="6">
        <v>32.128</v>
      </c>
      <c r="O160" s="6">
        <v>32.128</v>
      </c>
      <c r="P160" s="6">
        <v>0</v>
      </c>
      <c r="Q160" s="4" t="s">
        <v>26</v>
      </c>
      <c r="R160" s="4">
        <v>0</v>
      </c>
      <c r="S160" s="6">
        <v>9</v>
      </c>
      <c r="T160" s="6">
        <v>12</v>
      </c>
      <c r="U160" s="6">
        <v>38</v>
      </c>
      <c r="V160" s="6">
        <f>IF(ISERROR(VLOOKUP($S$160,'TAR FIN'!$A$1:$O$113,15,0)),0,VLOOKUP($S$160,'TAR FIN'!$A$1:$O$113,15,0))</f>
        <v>35.76</v>
      </c>
      <c r="W160" s="6">
        <f>IF(ISERROR(VLOOKUP($T$160,'TAR FIN'!$A$1:$O$113,15,0)),0,VLOOKUP($T$160,'TAR FIN'!$A$1:$O$113,15,0))</f>
        <v>72.150000000000006</v>
      </c>
      <c r="X160" s="6">
        <f>IF(ISERROR(VLOOKUP($U$160,'TAR FIN'!$A$1:$O$113,15,0)),0,VLOOKUP($U$160,'TAR FIN'!$A$1:$O$113,15,0))</f>
        <v>442.86</v>
      </c>
      <c r="Y160" s="6">
        <f ca="1">('TUSD BE'!$AM$14+'TUSD BF_350'!$AM$14+'TUSD CVA'!$AM$14)*1</f>
        <v>40.963640769708675</v>
      </c>
      <c r="Z160" s="6">
        <f ca="1">('TUSD BE'!$AM$16+'TUSD BF_350'!$AM$16+'TUSD CVA'!$AM$16)*1</f>
        <v>122.14055331663396</v>
      </c>
      <c r="AA160" s="6">
        <f ca="1">('TE BE'!$AB$9+'TE BF_350'!$AB$9+'TE CVA'!$AB$9)*1</f>
        <v>379.30999999999995</v>
      </c>
      <c r="AB160" s="6">
        <f>$K$160*$V$160</f>
        <v>24209.52</v>
      </c>
      <c r="AC160" s="6">
        <f>$M$160*$W$160</f>
        <v>2318.0352000000003</v>
      </c>
      <c r="AD160" s="6">
        <f>$O$160*$X$160</f>
        <v>14228.20608</v>
      </c>
      <c r="AE160" s="6">
        <f ca="1">$K$160*$Y$160</f>
        <v>27732.384801092772</v>
      </c>
      <c r="AF160" s="6">
        <f ca="1">$M$160*$Z$160</f>
        <v>3924.1316969568156</v>
      </c>
      <c r="AG160" s="6">
        <f ca="1">$O$160*$AA$160</f>
        <v>12186.471679999999</v>
      </c>
    </row>
    <row r="161" spans="1:33" ht="11.25" customHeight="1" x14ac:dyDescent="0.3">
      <c r="A161" s="4" t="s">
        <v>21</v>
      </c>
      <c r="B161" s="4" t="s">
        <v>39</v>
      </c>
      <c r="C161" s="4" t="s">
        <v>40</v>
      </c>
      <c r="D161" s="4" t="s">
        <v>38</v>
      </c>
      <c r="E161" s="4" t="s">
        <v>25</v>
      </c>
      <c r="F161" s="4" t="s">
        <v>25</v>
      </c>
      <c r="G161" s="4" t="s">
        <v>25</v>
      </c>
      <c r="H161" s="4" t="s">
        <v>34</v>
      </c>
      <c r="I161" s="5">
        <v>44713</v>
      </c>
      <c r="J161" s="6">
        <v>10990</v>
      </c>
      <c r="K161" s="6">
        <v>10990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4" t="s">
        <v>55</v>
      </c>
      <c r="R161" s="4">
        <v>0</v>
      </c>
      <c r="S161" s="6">
        <v>9</v>
      </c>
      <c r="T161" s="6">
        <v>0</v>
      </c>
      <c r="U161" s="6">
        <v>0</v>
      </c>
      <c r="V161" s="6">
        <f>IF(ISERROR(VLOOKUP($S$161,'TAR FIN'!$A$1:$O$113,15,0)),0,VLOOKUP($S$161,'TAR FIN'!$A$1:$O$113,15,0))</f>
        <v>35.76</v>
      </c>
      <c r="W161" s="6">
        <f>IF(ISERROR(VLOOKUP($T$161,'TAR FIN'!$A$1:$O$113,15,0)),0,VLOOKUP($T$161,'TAR FIN'!$A$1:$O$113,15,0))</f>
        <v>0</v>
      </c>
      <c r="X161" s="6">
        <f>IF(ISERROR(VLOOKUP($U$161,'TAR FIN'!$A$1:$O$113,15,0)),0,VLOOKUP($U$161,'TAR FIN'!$A$1:$O$113,15,0))</f>
        <v>0</v>
      </c>
      <c r="Y161" s="6">
        <f ca="1">('TUSD BE'!$AM$14+'TUSD BF_350'!$AM$14+'TUSD CVA'!$AM$14)*1</f>
        <v>40.963640769708675</v>
      </c>
      <c r="Z161" s="6">
        <f ca="1">('TUSD BE'!$AM$16+'TUSD BF_350'!$AM$16+'TUSD CVA'!$AM$16)*1</f>
        <v>122.14055331663396</v>
      </c>
      <c r="AA161" s="6"/>
      <c r="AB161" s="6">
        <f>$K$161*$V$161</f>
        <v>393002.39999999997</v>
      </c>
      <c r="AC161" s="6">
        <f>$M$161*$W$161</f>
        <v>0</v>
      </c>
      <c r="AD161" s="6">
        <f>$O$161*$X$161</f>
        <v>0</v>
      </c>
      <c r="AE161" s="6">
        <f ca="1">$K$161*$Y$161</f>
        <v>450190.41205909837</v>
      </c>
      <c r="AF161" s="6">
        <f ca="1">$M$161*$Z$161</f>
        <v>0</v>
      </c>
      <c r="AG161" s="6">
        <f>$O$161*$AA$161</f>
        <v>0</v>
      </c>
    </row>
    <row r="162" spans="1:33" ht="11.25" customHeight="1" x14ac:dyDescent="0.3">
      <c r="A162" s="4" t="s">
        <v>21</v>
      </c>
      <c r="B162" s="4" t="s">
        <v>39</v>
      </c>
      <c r="C162" s="4" t="s">
        <v>40</v>
      </c>
      <c r="D162" s="4" t="s">
        <v>38</v>
      </c>
      <c r="E162" s="4" t="s">
        <v>25</v>
      </c>
      <c r="F162" s="4" t="s">
        <v>25</v>
      </c>
      <c r="G162" s="4" t="s">
        <v>25</v>
      </c>
      <c r="H162" s="4" t="s">
        <v>34</v>
      </c>
      <c r="I162" s="5">
        <v>44743</v>
      </c>
      <c r="J162" s="6">
        <v>654</v>
      </c>
      <c r="K162" s="6">
        <v>654</v>
      </c>
      <c r="L162" s="6">
        <v>17.777000000000001</v>
      </c>
      <c r="M162" s="6">
        <v>17.777000000000001</v>
      </c>
      <c r="N162" s="6">
        <v>17.777000000000001</v>
      </c>
      <c r="O162" s="6">
        <v>17.777000000000001</v>
      </c>
      <c r="P162" s="6">
        <v>0</v>
      </c>
      <c r="Q162" s="4" t="s">
        <v>26</v>
      </c>
      <c r="R162" s="4">
        <v>0</v>
      </c>
      <c r="S162" s="6">
        <v>9</v>
      </c>
      <c r="T162" s="6">
        <v>12</v>
      </c>
      <c r="U162" s="6">
        <v>38</v>
      </c>
      <c r="V162" s="6">
        <f>IF(ISERROR(VLOOKUP($S$162,'TAR FIN'!$A$1:$O$113,15,0)),0,VLOOKUP($S$162,'TAR FIN'!$A$1:$O$113,15,0))</f>
        <v>35.76</v>
      </c>
      <c r="W162" s="6">
        <f>IF(ISERROR(VLOOKUP($T$162,'TAR FIN'!$A$1:$O$113,15,0)),0,VLOOKUP($T$162,'TAR FIN'!$A$1:$O$113,15,0))</f>
        <v>72.150000000000006</v>
      </c>
      <c r="X162" s="6">
        <f>IF(ISERROR(VLOOKUP($U$162,'TAR FIN'!$A$1:$O$113,15,0)),0,VLOOKUP($U$162,'TAR FIN'!$A$1:$O$113,15,0))</f>
        <v>442.86</v>
      </c>
      <c r="Y162" s="6">
        <f ca="1">('TUSD BE'!$AM$14+'TUSD BF_350'!$AM$14+'TUSD CVA'!$AM$14)*1</f>
        <v>40.963640769708675</v>
      </c>
      <c r="Z162" s="6">
        <f ca="1">('TUSD BE'!$AM$16+'TUSD BF_350'!$AM$16+'TUSD CVA'!$AM$16)*1</f>
        <v>122.14055331663396</v>
      </c>
      <c r="AA162" s="6">
        <f ca="1">('TE BE'!$AB$9+'TE BF_350'!$AB$9+'TE CVA'!$AB$9)*1</f>
        <v>379.30999999999995</v>
      </c>
      <c r="AB162" s="6">
        <f>$K$162*$V$162</f>
        <v>23387.039999999997</v>
      </c>
      <c r="AC162" s="6">
        <f>$M$162*$W$162</f>
        <v>1282.6105500000001</v>
      </c>
      <c r="AD162" s="6">
        <f>$O$162*$X$162</f>
        <v>7872.7222200000006</v>
      </c>
      <c r="AE162" s="6">
        <f ca="1">$K$162*$Y$162</f>
        <v>26790.221063389472</v>
      </c>
      <c r="AF162" s="6">
        <f ca="1">$M$162*$Z$162</f>
        <v>2171.2926163098018</v>
      </c>
      <c r="AG162" s="6">
        <f ca="1">$O$162*$AA$162</f>
        <v>6742.9938699999993</v>
      </c>
    </row>
    <row r="163" spans="1:33" ht="11.25" customHeight="1" x14ac:dyDescent="0.3">
      <c r="A163" s="4" t="s">
        <v>21</v>
      </c>
      <c r="B163" s="4" t="s">
        <v>39</v>
      </c>
      <c r="C163" s="4" t="s">
        <v>40</v>
      </c>
      <c r="D163" s="4" t="s">
        <v>38</v>
      </c>
      <c r="E163" s="4" t="s">
        <v>25</v>
      </c>
      <c r="F163" s="4" t="s">
        <v>25</v>
      </c>
      <c r="G163" s="4" t="s">
        <v>25</v>
      </c>
      <c r="H163" s="4" t="s">
        <v>34</v>
      </c>
      <c r="I163" s="5">
        <v>44743</v>
      </c>
      <c r="J163" s="6">
        <v>11005</v>
      </c>
      <c r="K163" s="6">
        <v>11005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4" t="s">
        <v>55</v>
      </c>
      <c r="R163" s="4">
        <v>0</v>
      </c>
      <c r="S163" s="6">
        <v>9</v>
      </c>
      <c r="T163" s="6">
        <v>0</v>
      </c>
      <c r="U163" s="6">
        <v>0</v>
      </c>
      <c r="V163" s="6">
        <f>IF(ISERROR(VLOOKUP($S$163,'TAR FIN'!$A$1:$O$113,15,0)),0,VLOOKUP($S$163,'TAR FIN'!$A$1:$O$113,15,0))</f>
        <v>35.76</v>
      </c>
      <c r="W163" s="6">
        <f>IF(ISERROR(VLOOKUP($T$163,'TAR FIN'!$A$1:$O$113,15,0)),0,VLOOKUP($T$163,'TAR FIN'!$A$1:$O$113,15,0))</f>
        <v>0</v>
      </c>
      <c r="X163" s="6">
        <f>IF(ISERROR(VLOOKUP($U$163,'TAR FIN'!$A$1:$O$113,15,0)),0,VLOOKUP($U$163,'TAR FIN'!$A$1:$O$113,15,0))</f>
        <v>0</v>
      </c>
      <c r="Y163" s="6">
        <f ca="1">('TUSD BE'!$AM$14+'TUSD BF_350'!$AM$14+'TUSD CVA'!$AM$14)*1</f>
        <v>40.963640769708675</v>
      </c>
      <c r="Z163" s="6">
        <f ca="1">('TUSD BE'!$AM$16+'TUSD BF_350'!$AM$16+'TUSD CVA'!$AM$16)*1</f>
        <v>122.14055331663396</v>
      </c>
      <c r="AA163" s="6"/>
      <c r="AB163" s="6">
        <f>$K$163*$V$163</f>
        <v>393538.8</v>
      </c>
      <c r="AC163" s="6">
        <f>$M$163*$W$163</f>
        <v>0</v>
      </c>
      <c r="AD163" s="6">
        <f>$O$163*$X$163</f>
        <v>0</v>
      </c>
      <c r="AE163" s="6">
        <f ca="1">$K$163*$Y$163</f>
        <v>450804.86667064397</v>
      </c>
      <c r="AF163" s="6">
        <f ca="1">$M$163*$Z$163</f>
        <v>0</v>
      </c>
      <c r="AG163" s="6">
        <f>$O$163*$AA$163</f>
        <v>0</v>
      </c>
    </row>
    <row r="164" spans="1:33" ht="11.25" customHeight="1" x14ac:dyDescent="0.3">
      <c r="A164" s="4" t="s">
        <v>21</v>
      </c>
      <c r="B164" s="4" t="s">
        <v>39</v>
      </c>
      <c r="C164" s="4" t="s">
        <v>40</v>
      </c>
      <c r="D164" s="4" t="s">
        <v>38</v>
      </c>
      <c r="E164" s="4" t="s">
        <v>25</v>
      </c>
      <c r="F164" s="4" t="s">
        <v>25</v>
      </c>
      <c r="G164" s="4" t="s">
        <v>25</v>
      </c>
      <c r="H164" s="4" t="s">
        <v>34</v>
      </c>
      <c r="I164" s="5">
        <v>44774</v>
      </c>
      <c r="J164" s="6">
        <v>650</v>
      </c>
      <c r="K164" s="6">
        <v>650</v>
      </c>
      <c r="L164" s="6">
        <v>30.539000000000001</v>
      </c>
      <c r="M164" s="6">
        <v>30.539000000000001</v>
      </c>
      <c r="N164" s="6">
        <v>30.539000000000001</v>
      </c>
      <c r="O164" s="6">
        <v>30.539000000000001</v>
      </c>
      <c r="P164" s="6">
        <v>0</v>
      </c>
      <c r="Q164" s="4" t="s">
        <v>26</v>
      </c>
      <c r="R164" s="4">
        <v>0</v>
      </c>
      <c r="S164" s="6">
        <v>9</v>
      </c>
      <c r="T164" s="6">
        <v>12</v>
      </c>
      <c r="U164" s="6">
        <v>38</v>
      </c>
      <c r="V164" s="6">
        <f>IF(ISERROR(VLOOKUP($S$164,'TAR FIN'!$A$1:$O$113,15,0)),0,VLOOKUP($S$164,'TAR FIN'!$A$1:$O$113,15,0))</f>
        <v>35.76</v>
      </c>
      <c r="W164" s="6">
        <f>IF(ISERROR(VLOOKUP($T$164,'TAR FIN'!$A$1:$O$113,15,0)),0,VLOOKUP($T$164,'TAR FIN'!$A$1:$O$113,15,0))</f>
        <v>72.150000000000006</v>
      </c>
      <c r="X164" s="6">
        <f>IF(ISERROR(VLOOKUP($U$164,'TAR FIN'!$A$1:$O$113,15,0)),0,VLOOKUP($U$164,'TAR FIN'!$A$1:$O$113,15,0))</f>
        <v>442.86</v>
      </c>
      <c r="Y164" s="6">
        <f ca="1">('TUSD BE'!$AM$14+'TUSD BF_350'!$AM$14+'TUSD CVA'!$AM$14)*1</f>
        <v>40.963640769708675</v>
      </c>
      <c r="Z164" s="6">
        <f ca="1">('TUSD BE'!$AM$16+'TUSD BF_350'!$AM$16+'TUSD CVA'!$AM$16)*1</f>
        <v>122.14055331663396</v>
      </c>
      <c r="AA164" s="6">
        <f ca="1">('TE BE'!$AB$9+'TE BF_350'!$AB$9+'TE CVA'!$AB$9)*1</f>
        <v>379.30999999999995</v>
      </c>
      <c r="AB164" s="6">
        <f>$K$164*$V$164</f>
        <v>23244</v>
      </c>
      <c r="AC164" s="6">
        <f>$M$164*$W$164</f>
        <v>2203.3888500000003</v>
      </c>
      <c r="AD164" s="6">
        <f>$O$164*$X$164</f>
        <v>13524.501540000001</v>
      </c>
      <c r="AE164" s="6">
        <f ca="1">$K$164*$Y$164</f>
        <v>26626.36650031064</v>
      </c>
      <c r="AF164" s="6">
        <f ca="1">$M$164*$Z$164</f>
        <v>3730.0503577366844</v>
      </c>
      <c r="AG164" s="6">
        <f ca="1">$O$164*$AA$164</f>
        <v>11583.748089999999</v>
      </c>
    </row>
    <row r="165" spans="1:33" ht="11.25" customHeight="1" x14ac:dyDescent="0.3">
      <c r="A165" s="4" t="s">
        <v>21</v>
      </c>
      <c r="B165" s="4" t="s">
        <v>39</v>
      </c>
      <c r="C165" s="4" t="s">
        <v>40</v>
      </c>
      <c r="D165" s="4" t="s">
        <v>38</v>
      </c>
      <c r="E165" s="4" t="s">
        <v>25</v>
      </c>
      <c r="F165" s="4" t="s">
        <v>25</v>
      </c>
      <c r="G165" s="4" t="s">
        <v>25</v>
      </c>
      <c r="H165" s="4" t="s">
        <v>34</v>
      </c>
      <c r="I165" s="5">
        <v>44774</v>
      </c>
      <c r="J165" s="6">
        <v>10478</v>
      </c>
      <c r="K165" s="6">
        <v>10478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4" t="s">
        <v>55</v>
      </c>
      <c r="R165" s="4">
        <v>0</v>
      </c>
      <c r="S165" s="6">
        <v>9</v>
      </c>
      <c r="T165" s="6">
        <v>0</v>
      </c>
      <c r="U165" s="6">
        <v>0</v>
      </c>
      <c r="V165" s="6">
        <f>IF(ISERROR(VLOOKUP($S$165,'TAR FIN'!$A$1:$O$113,15,0)),0,VLOOKUP($S$165,'TAR FIN'!$A$1:$O$113,15,0))</f>
        <v>35.76</v>
      </c>
      <c r="W165" s="6">
        <f>IF(ISERROR(VLOOKUP($T$165,'TAR FIN'!$A$1:$O$113,15,0)),0,VLOOKUP($T$165,'TAR FIN'!$A$1:$O$113,15,0))</f>
        <v>0</v>
      </c>
      <c r="X165" s="6">
        <f>IF(ISERROR(VLOOKUP($U$165,'TAR FIN'!$A$1:$O$113,15,0)),0,VLOOKUP($U$165,'TAR FIN'!$A$1:$O$113,15,0))</f>
        <v>0</v>
      </c>
      <c r="Y165" s="6">
        <f ca="1">('TUSD BE'!$AM$14+'TUSD BF_350'!$AM$14+'TUSD CVA'!$AM$14)*1</f>
        <v>40.963640769708675</v>
      </c>
      <c r="Z165" s="6">
        <f ca="1">('TUSD BE'!$AM$16+'TUSD BF_350'!$AM$16+'TUSD CVA'!$AM$16)*1</f>
        <v>122.14055331663396</v>
      </c>
      <c r="AA165" s="6"/>
      <c r="AB165" s="6">
        <f>$K$165*$V$165</f>
        <v>374693.27999999997</v>
      </c>
      <c r="AC165" s="6">
        <f>$M$165*$W$165</f>
        <v>0</v>
      </c>
      <c r="AD165" s="6">
        <f>$O$165*$X$165</f>
        <v>0</v>
      </c>
      <c r="AE165" s="6">
        <f ca="1">$K$165*$Y$165</f>
        <v>429217.0279850075</v>
      </c>
      <c r="AF165" s="6">
        <f ca="1">$M$165*$Z$165</f>
        <v>0</v>
      </c>
      <c r="AG165" s="6">
        <f>$O$165*$AA$165</f>
        <v>0</v>
      </c>
    </row>
    <row r="166" spans="1:33" ht="11.25" customHeight="1" x14ac:dyDescent="0.3">
      <c r="A166" s="4" t="s">
        <v>21</v>
      </c>
      <c r="B166" s="4" t="s">
        <v>39</v>
      </c>
      <c r="C166" s="4" t="s">
        <v>40</v>
      </c>
      <c r="D166" s="4" t="s">
        <v>38</v>
      </c>
      <c r="E166" s="4" t="s">
        <v>25</v>
      </c>
      <c r="F166" s="4" t="s">
        <v>25</v>
      </c>
      <c r="G166" s="4" t="s">
        <v>25</v>
      </c>
      <c r="H166" s="4" t="s">
        <v>34</v>
      </c>
      <c r="I166" s="5">
        <v>44805</v>
      </c>
      <c r="J166" s="6">
        <v>658</v>
      </c>
      <c r="K166" s="6">
        <v>658</v>
      </c>
      <c r="L166" s="6">
        <v>33.716999999999999</v>
      </c>
      <c r="M166" s="6">
        <v>33.716999999999999</v>
      </c>
      <c r="N166" s="6">
        <v>33.716999999999999</v>
      </c>
      <c r="O166" s="6">
        <v>33.716999999999999</v>
      </c>
      <c r="P166" s="6">
        <v>0</v>
      </c>
      <c r="Q166" s="4" t="s">
        <v>26</v>
      </c>
      <c r="R166" s="4">
        <v>0</v>
      </c>
      <c r="S166" s="6">
        <v>9</v>
      </c>
      <c r="T166" s="6">
        <v>12</v>
      </c>
      <c r="U166" s="6">
        <v>38</v>
      </c>
      <c r="V166" s="6">
        <f>IF(ISERROR(VLOOKUP($S$166,'TAR FIN'!$A$1:$O$113,15,0)),0,VLOOKUP($S$166,'TAR FIN'!$A$1:$O$113,15,0))</f>
        <v>35.76</v>
      </c>
      <c r="W166" s="6">
        <f>IF(ISERROR(VLOOKUP($T$166,'TAR FIN'!$A$1:$O$113,15,0)),0,VLOOKUP($T$166,'TAR FIN'!$A$1:$O$113,15,0))</f>
        <v>72.150000000000006</v>
      </c>
      <c r="X166" s="6">
        <f>IF(ISERROR(VLOOKUP($U$166,'TAR FIN'!$A$1:$O$113,15,0)),0,VLOOKUP($U$166,'TAR FIN'!$A$1:$O$113,15,0))</f>
        <v>442.86</v>
      </c>
      <c r="Y166" s="6">
        <f ca="1">('TUSD BE'!$AM$14+'TUSD BF_350'!$AM$14+'TUSD CVA'!$AM$14)*1</f>
        <v>40.963640769708675</v>
      </c>
      <c r="Z166" s="6">
        <f ca="1">('TUSD BE'!$AM$16+'TUSD BF_350'!$AM$16+'TUSD CVA'!$AM$16)*1</f>
        <v>122.14055331663396</v>
      </c>
      <c r="AA166" s="6">
        <f ca="1">('TE BE'!$AB$9+'TE BF_350'!$AB$9+'TE CVA'!$AB$9)*1</f>
        <v>379.30999999999995</v>
      </c>
      <c r="AB166" s="6">
        <f>$K$166*$V$166</f>
        <v>23530.079999999998</v>
      </c>
      <c r="AC166" s="6">
        <f>$M$166*$W$166</f>
        <v>2432.6815500000002</v>
      </c>
      <c r="AD166" s="6">
        <f>$O$166*$X$166</f>
        <v>14931.910620000001</v>
      </c>
      <c r="AE166" s="6">
        <f ca="1">$K$166*$Y$166</f>
        <v>26954.075626468308</v>
      </c>
      <c r="AF166" s="6">
        <f ca="1">$M$166*$Z$166</f>
        <v>4118.2130361769468</v>
      </c>
      <c r="AG166" s="6">
        <f ca="1">$O$166*$AA$166</f>
        <v>12789.195269999998</v>
      </c>
    </row>
    <row r="167" spans="1:33" ht="11.25" customHeight="1" x14ac:dyDescent="0.3">
      <c r="A167" s="4" t="s">
        <v>21</v>
      </c>
      <c r="B167" s="4" t="s">
        <v>39</v>
      </c>
      <c r="C167" s="4" t="s">
        <v>40</v>
      </c>
      <c r="D167" s="4" t="s">
        <v>38</v>
      </c>
      <c r="E167" s="4" t="s">
        <v>25</v>
      </c>
      <c r="F167" s="4" t="s">
        <v>25</v>
      </c>
      <c r="G167" s="4" t="s">
        <v>25</v>
      </c>
      <c r="H167" s="4" t="s">
        <v>34</v>
      </c>
      <c r="I167" s="5">
        <v>44805</v>
      </c>
      <c r="J167" s="6">
        <v>11864</v>
      </c>
      <c r="K167" s="6">
        <v>11864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4" t="s">
        <v>55</v>
      </c>
      <c r="R167" s="4">
        <v>0</v>
      </c>
      <c r="S167" s="6">
        <v>9</v>
      </c>
      <c r="T167" s="6">
        <v>0</v>
      </c>
      <c r="U167" s="6">
        <v>0</v>
      </c>
      <c r="V167" s="6">
        <f>IF(ISERROR(VLOOKUP($S$167,'TAR FIN'!$A$1:$O$113,15,0)),0,VLOOKUP($S$167,'TAR FIN'!$A$1:$O$113,15,0))</f>
        <v>35.76</v>
      </c>
      <c r="W167" s="6">
        <f>IF(ISERROR(VLOOKUP($T$167,'TAR FIN'!$A$1:$O$113,15,0)),0,VLOOKUP($T$167,'TAR FIN'!$A$1:$O$113,15,0))</f>
        <v>0</v>
      </c>
      <c r="X167" s="6">
        <f>IF(ISERROR(VLOOKUP($U$167,'TAR FIN'!$A$1:$O$113,15,0)),0,VLOOKUP($U$167,'TAR FIN'!$A$1:$O$113,15,0))</f>
        <v>0</v>
      </c>
      <c r="Y167" s="6">
        <f ca="1">('TUSD BE'!$AM$14+'TUSD BF_350'!$AM$14+'TUSD CVA'!$AM$14)*1</f>
        <v>40.963640769708675</v>
      </c>
      <c r="Z167" s="6">
        <f ca="1">('TUSD BE'!$AM$16+'TUSD BF_350'!$AM$16+'TUSD CVA'!$AM$16)*1</f>
        <v>122.14055331663396</v>
      </c>
      <c r="AA167" s="6"/>
      <c r="AB167" s="6">
        <f>$K$167*$V$167</f>
        <v>424256.63999999996</v>
      </c>
      <c r="AC167" s="6">
        <f>$M$167*$W$167</f>
        <v>0</v>
      </c>
      <c r="AD167" s="6">
        <f>$O$167*$X$167</f>
        <v>0</v>
      </c>
      <c r="AE167" s="6">
        <f ca="1">$K$167*$Y$167</f>
        <v>485992.63409182371</v>
      </c>
      <c r="AF167" s="6">
        <f ca="1">$M$167*$Z$167</f>
        <v>0</v>
      </c>
      <c r="AG167" s="6">
        <f>$O$167*$AA$167</f>
        <v>0</v>
      </c>
    </row>
    <row r="168" spans="1:33" ht="11.25" customHeight="1" x14ac:dyDescent="0.3">
      <c r="A168" s="4" t="s">
        <v>53</v>
      </c>
      <c r="B168" s="4" t="s">
        <v>39</v>
      </c>
      <c r="C168" s="4" t="s">
        <v>40</v>
      </c>
      <c r="D168" s="4" t="s">
        <v>38</v>
      </c>
      <c r="E168" s="4" t="s">
        <v>25</v>
      </c>
      <c r="F168" s="4" t="s">
        <v>25</v>
      </c>
      <c r="G168" s="4" t="s">
        <v>25</v>
      </c>
      <c r="H168" s="4" t="s">
        <v>34</v>
      </c>
      <c r="I168" s="5">
        <v>44835</v>
      </c>
      <c r="J168" s="6">
        <v>658</v>
      </c>
      <c r="K168" s="6">
        <v>658</v>
      </c>
      <c r="L168" s="6">
        <v>33.716999999999999</v>
      </c>
      <c r="M168" s="6">
        <v>33.716999999999999</v>
      </c>
      <c r="N168" s="6">
        <v>33.716999999999999</v>
      </c>
      <c r="O168" s="6">
        <v>33.716999999999999</v>
      </c>
      <c r="P168" s="6">
        <v>0</v>
      </c>
      <c r="Q168" s="4" t="s">
        <v>26</v>
      </c>
      <c r="R168" s="4">
        <v>0</v>
      </c>
      <c r="S168" s="6">
        <v>9</v>
      </c>
      <c r="T168" s="6">
        <v>12</v>
      </c>
      <c r="U168" s="6">
        <v>38</v>
      </c>
      <c r="V168" s="6">
        <f>IF(ISERROR(VLOOKUP($S$168,'TAR FIN'!$A$1:$O$113,15,0)),0,VLOOKUP($S$168,'TAR FIN'!$A$1:$O$113,15,0))</f>
        <v>35.76</v>
      </c>
      <c r="W168" s="6">
        <f>IF(ISERROR(VLOOKUP($T$168,'TAR FIN'!$A$1:$O$113,15,0)),0,VLOOKUP($T$168,'TAR FIN'!$A$1:$O$113,15,0))</f>
        <v>72.150000000000006</v>
      </c>
      <c r="X168" s="6">
        <f>IF(ISERROR(VLOOKUP($U$168,'TAR FIN'!$A$1:$O$113,15,0)),0,VLOOKUP($U$168,'TAR FIN'!$A$1:$O$113,15,0))</f>
        <v>442.86</v>
      </c>
      <c r="Y168" s="6">
        <f ca="1">('TUSD BE'!$AM$14+'TUSD BF_350'!$AM$14+'TUSD CVA'!$AM$14)*1</f>
        <v>40.963640769708675</v>
      </c>
      <c r="Z168" s="6">
        <f ca="1">('TUSD BE'!$AM$16+'TUSD BF_350'!$AM$16+'TUSD CVA'!$AM$16)*1</f>
        <v>122.14055331663396</v>
      </c>
      <c r="AA168" s="6">
        <f ca="1">('TE BE'!$AB$9+'TE BF_350'!$AB$9+'TE CVA'!$AB$9)*1</f>
        <v>379.30999999999995</v>
      </c>
      <c r="AB168" s="6">
        <f>$K$168*$V$168</f>
        <v>23530.079999999998</v>
      </c>
      <c r="AC168" s="6">
        <f>$M$168*$W$168</f>
        <v>2432.6815500000002</v>
      </c>
      <c r="AD168" s="6">
        <f>$O$168*$X$168</f>
        <v>14931.910620000001</v>
      </c>
      <c r="AE168" s="6">
        <f ca="1">$K$168*$Y$168</f>
        <v>26954.075626468308</v>
      </c>
      <c r="AF168" s="6">
        <f ca="1">$M$168*$Z$168</f>
        <v>4118.2130361769468</v>
      </c>
      <c r="AG168" s="6">
        <f ca="1">$O$168*$AA$168</f>
        <v>12789.195269999998</v>
      </c>
    </row>
    <row r="169" spans="1:33" ht="11.25" customHeight="1" x14ac:dyDescent="0.3">
      <c r="A169" s="4" t="s">
        <v>53</v>
      </c>
      <c r="B169" s="4" t="s">
        <v>39</v>
      </c>
      <c r="C169" s="4" t="s">
        <v>40</v>
      </c>
      <c r="D169" s="4" t="s">
        <v>38</v>
      </c>
      <c r="E169" s="4" t="s">
        <v>25</v>
      </c>
      <c r="F169" s="4" t="s">
        <v>25</v>
      </c>
      <c r="G169" s="4" t="s">
        <v>25</v>
      </c>
      <c r="H169" s="4" t="s">
        <v>34</v>
      </c>
      <c r="I169" s="5">
        <v>44835</v>
      </c>
      <c r="J169" s="6">
        <v>11864</v>
      </c>
      <c r="K169" s="6">
        <v>11864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4" t="s">
        <v>55</v>
      </c>
      <c r="R169" s="4">
        <v>0</v>
      </c>
      <c r="S169" s="6">
        <v>9</v>
      </c>
      <c r="T169" s="6">
        <v>0</v>
      </c>
      <c r="U169" s="6">
        <v>0</v>
      </c>
      <c r="V169" s="6">
        <f>IF(ISERROR(VLOOKUP($S$169,'TAR FIN'!$A$1:$O$113,15,0)),0,VLOOKUP($S$169,'TAR FIN'!$A$1:$O$113,15,0))</f>
        <v>35.76</v>
      </c>
      <c r="W169" s="6">
        <f>IF(ISERROR(VLOOKUP($T$169,'TAR FIN'!$A$1:$O$113,15,0)),0,VLOOKUP($T$169,'TAR FIN'!$A$1:$O$113,15,0))</f>
        <v>0</v>
      </c>
      <c r="X169" s="6">
        <f>IF(ISERROR(VLOOKUP($U$169,'TAR FIN'!$A$1:$O$113,15,0)),0,VLOOKUP($U$169,'TAR FIN'!$A$1:$O$113,15,0))</f>
        <v>0</v>
      </c>
      <c r="Y169" s="6">
        <f ca="1">('TUSD BE'!$AM$14+'TUSD BF_350'!$AM$14+'TUSD CVA'!$AM$14)*1</f>
        <v>40.963640769708675</v>
      </c>
      <c r="Z169" s="6">
        <f ca="1">('TUSD BE'!$AM$16+'TUSD BF_350'!$AM$16+'TUSD CVA'!$AM$16)*1</f>
        <v>122.14055331663396</v>
      </c>
      <c r="AA169" s="6"/>
      <c r="AB169" s="6">
        <f>$K$169*$V$169</f>
        <v>424256.63999999996</v>
      </c>
      <c r="AC169" s="6">
        <f>$M$169*$W$169</f>
        <v>0</v>
      </c>
      <c r="AD169" s="6">
        <f>$O$169*$X$169</f>
        <v>0</v>
      </c>
      <c r="AE169" s="6">
        <f ca="1">$K$169*$Y$169</f>
        <v>485992.63409182371</v>
      </c>
      <c r="AF169" s="6">
        <f ca="1">$M$169*$Z$169</f>
        <v>0</v>
      </c>
      <c r="AG169" s="6">
        <f>$O$169*$AA$169</f>
        <v>0</v>
      </c>
    </row>
    <row r="170" spans="1:33" ht="11.25" customHeight="1" x14ac:dyDescent="0.3">
      <c r="A170" s="4" t="s">
        <v>21</v>
      </c>
      <c r="B170" s="4" t="s">
        <v>39</v>
      </c>
      <c r="C170" s="4" t="s">
        <v>40</v>
      </c>
      <c r="D170" s="4" t="s">
        <v>50</v>
      </c>
      <c r="E170" s="4" t="s">
        <v>51</v>
      </c>
      <c r="F170" s="4" t="s">
        <v>25</v>
      </c>
      <c r="G170" s="4" t="s">
        <v>25</v>
      </c>
      <c r="H170" s="4" t="s">
        <v>35</v>
      </c>
      <c r="I170" s="5">
        <v>44501</v>
      </c>
      <c r="J170" s="6">
        <v>210</v>
      </c>
      <c r="K170" s="52">
        <v>210</v>
      </c>
      <c r="L170" s="6">
        <v>97.087000000000003</v>
      </c>
      <c r="M170" s="53">
        <v>97.087000000000003</v>
      </c>
      <c r="N170" s="6">
        <v>97.087000000000003</v>
      </c>
      <c r="O170" s="53">
        <v>97.087000000000003</v>
      </c>
      <c r="P170" s="6">
        <v>0</v>
      </c>
      <c r="Q170" s="4" t="s">
        <v>26</v>
      </c>
      <c r="R170" s="4">
        <v>0</v>
      </c>
      <c r="S170" s="6">
        <v>22</v>
      </c>
      <c r="T170" s="6">
        <v>12</v>
      </c>
      <c r="U170" s="6">
        <v>61</v>
      </c>
      <c r="V170" s="53">
        <f>IF(ISERROR(VLOOKUP($S$170,'TAR FIN'!$A$1:$O$113,15,0)),0,VLOOKUP($S$170,'TAR FIN'!$A$1:$O$113,15,0))*(1-0.06)</f>
        <v>13.16</v>
      </c>
      <c r="W170" s="53">
        <f>IF(ISERROR(VLOOKUP($T$170,'TAR FIN'!$A$1:$O$113,15,0)),0,VLOOKUP($T$170,'TAR FIN'!$A$1:$O$113,15,0))*(1-0.06)</f>
        <v>67.820999999999998</v>
      </c>
      <c r="X170" s="53">
        <f>IF(ISERROR(VLOOKUP($U$170,'TAR FIN'!$A$1:$O$113,15,0)),0,VLOOKUP($U$170,'TAR FIN'!$A$1:$O$113,15,0))*(1-0.06)</f>
        <v>261.94979999999998</v>
      </c>
      <c r="Y170" s="53">
        <f ca="1">('TUSD BE'!$AM$15+'TUSD BF_350'!$AM$15+'TUSD CVA'!$AM$15)*1*(1-0.03)</f>
        <v>15.554875305631656</v>
      </c>
      <c r="Z170" s="53">
        <f ca="1">('TUSD BE'!$AM$16+'TUSD BF_350'!$AM$16+'TUSD CVA'!$AM$16)*1*(1-0.03)</f>
        <v>118.47633671713493</v>
      </c>
      <c r="AA170" s="53">
        <f ca="1">('TE BE'!$AB$10+'TE BF_350'!$AB$10+'TE CVA'!$AB$10)*1*(1-0.03)</f>
        <v>224.73929999999999</v>
      </c>
      <c r="AB170" s="6">
        <f>$K$170*$V$170</f>
        <v>2763.6</v>
      </c>
      <c r="AC170" s="6">
        <f>$M$170*$W$170</f>
        <v>6584.5374270000002</v>
      </c>
      <c r="AD170" s="6">
        <f>$O$170*$X$170</f>
        <v>25431.920232599998</v>
      </c>
      <c r="AE170" s="6">
        <f ca="1">$K$170*$Y$170</f>
        <v>3266.5238141826476</v>
      </c>
      <c r="AF170" s="6">
        <f ca="1">$M$170*$Z$170</f>
        <v>11502.512102856479</v>
      </c>
      <c r="AG170" s="6">
        <f ca="1">$O$170*$AA$170</f>
        <v>21819.2644191</v>
      </c>
    </row>
    <row r="171" spans="1:33" ht="11.25" customHeight="1" x14ac:dyDescent="0.3">
      <c r="A171" s="4" t="s">
        <v>21</v>
      </c>
      <c r="B171" s="4" t="s">
        <v>39</v>
      </c>
      <c r="C171" s="4" t="s">
        <v>40</v>
      </c>
      <c r="D171" s="4" t="s">
        <v>50</v>
      </c>
      <c r="E171" s="4" t="s">
        <v>51</v>
      </c>
      <c r="F171" s="4" t="s">
        <v>25</v>
      </c>
      <c r="G171" s="4" t="s">
        <v>25</v>
      </c>
      <c r="H171" s="4" t="s">
        <v>35</v>
      </c>
      <c r="I171" s="5">
        <v>44531</v>
      </c>
      <c r="J171" s="6">
        <v>210</v>
      </c>
      <c r="K171" s="52">
        <v>210</v>
      </c>
      <c r="L171" s="6">
        <v>93.664000000000001</v>
      </c>
      <c r="M171" s="53">
        <v>93.664000000000001</v>
      </c>
      <c r="N171" s="6">
        <v>93.664000000000001</v>
      </c>
      <c r="O171" s="53">
        <v>93.664000000000001</v>
      </c>
      <c r="P171" s="6">
        <v>0</v>
      </c>
      <c r="Q171" s="4" t="s">
        <v>26</v>
      </c>
      <c r="R171" s="4">
        <v>0</v>
      </c>
      <c r="S171" s="6">
        <v>22</v>
      </c>
      <c r="T171" s="6">
        <v>12</v>
      </c>
      <c r="U171" s="6">
        <v>61</v>
      </c>
      <c r="V171" s="53">
        <f>IF(ISERROR(VLOOKUP($S$171,'TAR FIN'!$A$1:$O$113,15,0)),0,VLOOKUP($S$171,'TAR FIN'!$A$1:$O$113,15,0))*(1-0.06)</f>
        <v>13.16</v>
      </c>
      <c r="W171" s="53">
        <f>IF(ISERROR(VLOOKUP($T$171,'TAR FIN'!$A$1:$O$113,15,0)),0,VLOOKUP($T$171,'TAR FIN'!$A$1:$O$113,15,0))*(1-0.06)</f>
        <v>67.820999999999998</v>
      </c>
      <c r="X171" s="53">
        <f>IF(ISERROR(VLOOKUP($U$171,'TAR FIN'!$A$1:$O$113,15,0)),0,VLOOKUP($U$171,'TAR FIN'!$A$1:$O$113,15,0))*(1-0.06)</f>
        <v>261.94979999999998</v>
      </c>
      <c r="Y171" s="53">
        <f ca="1">('TUSD BE'!$AM$15+'TUSD BF_350'!$AM$15+'TUSD CVA'!$AM$15)*1*(1-0.03)</f>
        <v>15.554875305631656</v>
      </c>
      <c r="Z171" s="53">
        <f ca="1">('TUSD BE'!$AM$16+'TUSD BF_350'!$AM$16+'TUSD CVA'!$AM$16)*1*(1-0.03)</f>
        <v>118.47633671713493</v>
      </c>
      <c r="AA171" s="53">
        <f ca="1">('TE BE'!$AB$10+'TE BF_350'!$AB$10+'TE CVA'!$AB$10)*1*(1-0.03)</f>
        <v>224.73929999999999</v>
      </c>
      <c r="AB171" s="6">
        <f>$K$171*$V$171</f>
        <v>2763.6</v>
      </c>
      <c r="AC171" s="6">
        <f>$M$171*$W$171</f>
        <v>6352.3861440000001</v>
      </c>
      <c r="AD171" s="6">
        <f>$O$171*$X$171</f>
        <v>24535.266067199998</v>
      </c>
      <c r="AE171" s="6">
        <f ca="1">$K$171*$Y$171</f>
        <v>3266.5238141826476</v>
      </c>
      <c r="AF171" s="6">
        <f ca="1">$M$171*$Z$171</f>
        <v>11096.967602273726</v>
      </c>
      <c r="AG171" s="6">
        <f ca="1">$O$171*$AA$171</f>
        <v>21049.981795199998</v>
      </c>
    </row>
    <row r="172" spans="1:33" ht="11.25" customHeight="1" x14ac:dyDescent="0.3">
      <c r="A172" s="4" t="s">
        <v>21</v>
      </c>
      <c r="B172" s="4" t="s">
        <v>39</v>
      </c>
      <c r="C172" s="4" t="s">
        <v>40</v>
      </c>
      <c r="D172" s="4" t="s">
        <v>50</v>
      </c>
      <c r="E172" s="4" t="s">
        <v>51</v>
      </c>
      <c r="F172" s="4" t="s">
        <v>25</v>
      </c>
      <c r="G172" s="4" t="s">
        <v>25</v>
      </c>
      <c r="H172" s="4" t="s">
        <v>35</v>
      </c>
      <c r="I172" s="5">
        <v>44562</v>
      </c>
      <c r="J172" s="6">
        <v>210</v>
      </c>
      <c r="K172" s="52">
        <v>210</v>
      </c>
      <c r="L172" s="6">
        <v>106.041</v>
      </c>
      <c r="M172" s="53">
        <v>106.041</v>
      </c>
      <c r="N172" s="6">
        <v>106.041</v>
      </c>
      <c r="O172" s="53">
        <v>106.041</v>
      </c>
      <c r="P172" s="6">
        <v>0</v>
      </c>
      <c r="Q172" s="4" t="s">
        <v>26</v>
      </c>
      <c r="R172" s="4">
        <v>0</v>
      </c>
      <c r="S172" s="6">
        <v>22</v>
      </c>
      <c r="T172" s="6">
        <v>12</v>
      </c>
      <c r="U172" s="6">
        <v>61</v>
      </c>
      <c r="V172" s="53">
        <f>IF(ISERROR(VLOOKUP($S$172,'TAR FIN'!$A$1:$O$113,15,0)),0,VLOOKUP($S$172,'TAR FIN'!$A$1:$O$113,15,0))*(1-0.06)</f>
        <v>13.16</v>
      </c>
      <c r="W172" s="53">
        <f>IF(ISERROR(VLOOKUP($T$172,'TAR FIN'!$A$1:$O$113,15,0)),0,VLOOKUP($T$172,'TAR FIN'!$A$1:$O$113,15,0))*(1-0.06)</f>
        <v>67.820999999999998</v>
      </c>
      <c r="X172" s="53">
        <f>IF(ISERROR(VLOOKUP($U$172,'TAR FIN'!$A$1:$O$113,15,0)),0,VLOOKUP($U$172,'TAR FIN'!$A$1:$O$113,15,0))*(1-0.06)</f>
        <v>261.94979999999998</v>
      </c>
      <c r="Y172" s="53">
        <f ca="1">('TUSD BE'!$AM$15+'TUSD BF_350'!$AM$15+'TUSD CVA'!$AM$15)*1*(1-0.03)</f>
        <v>15.554875305631656</v>
      </c>
      <c r="Z172" s="53">
        <f ca="1">('TUSD BE'!$AM$16+'TUSD BF_350'!$AM$16+'TUSD CVA'!$AM$16)*1*(1-0.03)</f>
        <v>118.47633671713493</v>
      </c>
      <c r="AA172" s="53">
        <f ca="1">('TE BE'!$AB$10+'TE BF_350'!$AB$10+'TE CVA'!$AB$10)*1*(1-0.03)</f>
        <v>224.73929999999999</v>
      </c>
      <c r="AB172" s="6">
        <f>$K$172*$V$172</f>
        <v>2763.6</v>
      </c>
      <c r="AC172" s="6">
        <f>$M$172*$W$172</f>
        <v>7191.8066609999996</v>
      </c>
      <c r="AD172" s="6">
        <f>$O$172*$X$172</f>
        <v>27777.418741799996</v>
      </c>
      <c r="AE172" s="6">
        <f ca="1">$K$172*$Y$172</f>
        <v>3266.5238141826476</v>
      </c>
      <c r="AF172" s="6">
        <f ca="1">$M$172*$Z$172</f>
        <v>12563.349221821705</v>
      </c>
      <c r="AG172" s="6">
        <f ca="1">$O$172*$AA$172</f>
        <v>23831.580111299998</v>
      </c>
    </row>
    <row r="173" spans="1:33" ht="11.25" customHeight="1" x14ac:dyDescent="0.3">
      <c r="A173" s="4" t="s">
        <v>21</v>
      </c>
      <c r="B173" s="4" t="s">
        <v>39</v>
      </c>
      <c r="C173" s="4" t="s">
        <v>40</v>
      </c>
      <c r="D173" s="4" t="s">
        <v>50</v>
      </c>
      <c r="E173" s="4" t="s">
        <v>51</v>
      </c>
      <c r="F173" s="4" t="s">
        <v>25</v>
      </c>
      <c r="G173" s="4" t="s">
        <v>25</v>
      </c>
      <c r="H173" s="4" t="s">
        <v>35</v>
      </c>
      <c r="I173" s="5">
        <v>44593</v>
      </c>
      <c r="J173" s="6">
        <v>210</v>
      </c>
      <c r="K173" s="52">
        <v>210</v>
      </c>
      <c r="L173" s="6">
        <v>103.517</v>
      </c>
      <c r="M173" s="53">
        <v>103.517</v>
      </c>
      <c r="N173" s="6">
        <v>103.517</v>
      </c>
      <c r="O173" s="53">
        <v>103.517</v>
      </c>
      <c r="P173" s="6">
        <v>0</v>
      </c>
      <c r="Q173" s="4" t="s">
        <v>26</v>
      </c>
      <c r="R173" s="4">
        <v>0</v>
      </c>
      <c r="S173" s="6">
        <v>22</v>
      </c>
      <c r="T173" s="6">
        <v>12</v>
      </c>
      <c r="U173" s="6">
        <v>61</v>
      </c>
      <c r="V173" s="53">
        <f>IF(ISERROR(VLOOKUP($S$173,'TAR FIN'!$A$1:$O$113,15,0)),0,VLOOKUP($S$173,'TAR FIN'!$A$1:$O$113,15,0))*(1-0.06)</f>
        <v>13.16</v>
      </c>
      <c r="W173" s="53">
        <f>IF(ISERROR(VLOOKUP($T$173,'TAR FIN'!$A$1:$O$113,15,0)),0,VLOOKUP($T$173,'TAR FIN'!$A$1:$O$113,15,0))*(1-0.06)</f>
        <v>67.820999999999998</v>
      </c>
      <c r="X173" s="53">
        <f>IF(ISERROR(VLOOKUP($U$173,'TAR FIN'!$A$1:$O$113,15,0)),0,VLOOKUP($U$173,'TAR FIN'!$A$1:$O$113,15,0))*(1-0.06)</f>
        <v>261.94979999999998</v>
      </c>
      <c r="Y173" s="53">
        <f ca="1">('TUSD BE'!$AM$15+'TUSD BF_350'!$AM$15+'TUSD CVA'!$AM$15)*1*(1-0.03)</f>
        <v>15.554875305631656</v>
      </c>
      <c r="Z173" s="53">
        <f ca="1">('TUSD BE'!$AM$16+'TUSD BF_350'!$AM$16+'TUSD CVA'!$AM$16)*1*(1-0.03)</f>
        <v>118.47633671713493</v>
      </c>
      <c r="AA173" s="53">
        <f ca="1">('TE BE'!$AB$10+'TE BF_350'!$AB$10+'TE CVA'!$AB$10)*1*(1-0.03)</f>
        <v>224.73929999999999</v>
      </c>
      <c r="AB173" s="6">
        <f>$K$173*$V$173</f>
        <v>2763.6</v>
      </c>
      <c r="AC173" s="6">
        <f>$M$173*$W$173</f>
        <v>7020.6264569999994</v>
      </c>
      <c r="AD173" s="6">
        <f>$O$173*$X$173</f>
        <v>27116.257446599997</v>
      </c>
      <c r="AE173" s="6">
        <f ca="1">$K$173*$Y$173</f>
        <v>3266.5238141826476</v>
      </c>
      <c r="AF173" s="6">
        <f ca="1">$M$173*$Z$173</f>
        <v>12264.314947947656</v>
      </c>
      <c r="AG173" s="6">
        <f ca="1">$O$173*$AA$173</f>
        <v>23264.338118099997</v>
      </c>
    </row>
    <row r="174" spans="1:33" ht="11.25" customHeight="1" x14ac:dyDescent="0.3">
      <c r="A174" s="4" t="s">
        <v>21</v>
      </c>
      <c r="B174" s="4" t="s">
        <v>39</v>
      </c>
      <c r="C174" s="4" t="s">
        <v>40</v>
      </c>
      <c r="D174" s="4" t="s">
        <v>50</v>
      </c>
      <c r="E174" s="4" t="s">
        <v>51</v>
      </c>
      <c r="F174" s="4" t="s">
        <v>25</v>
      </c>
      <c r="G174" s="4" t="s">
        <v>25</v>
      </c>
      <c r="H174" s="4" t="s">
        <v>35</v>
      </c>
      <c r="I174" s="5">
        <v>44621</v>
      </c>
      <c r="J174" s="6">
        <v>210</v>
      </c>
      <c r="K174" s="52">
        <v>210</v>
      </c>
      <c r="L174" s="6">
        <v>91.92</v>
      </c>
      <c r="M174" s="53">
        <v>91.92</v>
      </c>
      <c r="N174" s="6">
        <v>91.92</v>
      </c>
      <c r="O174" s="53">
        <v>91.92</v>
      </c>
      <c r="P174" s="6">
        <v>0</v>
      </c>
      <c r="Q174" s="4" t="s">
        <v>26</v>
      </c>
      <c r="R174" s="4">
        <v>0</v>
      </c>
      <c r="S174" s="6">
        <v>22</v>
      </c>
      <c r="T174" s="6">
        <v>12</v>
      </c>
      <c r="U174" s="6">
        <v>61</v>
      </c>
      <c r="V174" s="53">
        <f>IF(ISERROR(VLOOKUP($S$174,'TAR FIN'!$A$1:$O$113,15,0)),0,VLOOKUP($S$174,'TAR FIN'!$A$1:$O$113,15,0))*(1-0.06)</f>
        <v>13.16</v>
      </c>
      <c r="W174" s="53">
        <f>IF(ISERROR(VLOOKUP($T$174,'TAR FIN'!$A$1:$O$113,15,0)),0,VLOOKUP($T$174,'TAR FIN'!$A$1:$O$113,15,0))*(1-0.06)</f>
        <v>67.820999999999998</v>
      </c>
      <c r="X174" s="53">
        <f>IF(ISERROR(VLOOKUP($U$174,'TAR FIN'!$A$1:$O$113,15,0)),0,VLOOKUP($U$174,'TAR FIN'!$A$1:$O$113,15,0))*(1-0.06)</f>
        <v>261.94979999999998</v>
      </c>
      <c r="Y174" s="53">
        <f ca="1">('TUSD BE'!$AM$15+'TUSD BF_350'!$AM$15+'TUSD CVA'!$AM$15)*1*(1-0.03)</f>
        <v>15.554875305631656</v>
      </c>
      <c r="Z174" s="53">
        <f ca="1">('TUSD BE'!$AM$16+'TUSD BF_350'!$AM$16+'TUSD CVA'!$AM$16)*1*(1-0.03)</f>
        <v>118.47633671713493</v>
      </c>
      <c r="AA174" s="53">
        <f ca="1">('TE BE'!$AB$10+'TE BF_350'!$AB$10+'TE CVA'!$AB$10)*1*(1-0.03)</f>
        <v>224.73929999999999</v>
      </c>
      <c r="AB174" s="6">
        <f>$K$174*$V$174</f>
        <v>2763.6</v>
      </c>
      <c r="AC174" s="6">
        <f>$M$174*$W$174</f>
        <v>6234.1063199999999</v>
      </c>
      <c r="AD174" s="6">
        <f>$O$174*$X$174</f>
        <v>24078.425616</v>
      </c>
      <c r="AE174" s="6">
        <f ca="1">$K$174*$Y$174</f>
        <v>3266.5238141826476</v>
      </c>
      <c r="AF174" s="6">
        <f ca="1">$M$174*$Z$174</f>
        <v>10890.344871039042</v>
      </c>
      <c r="AG174" s="6">
        <f ca="1">$O$174*$AA$174</f>
        <v>20658.036455999998</v>
      </c>
    </row>
    <row r="175" spans="1:33" ht="11.25" customHeight="1" x14ac:dyDescent="0.3">
      <c r="A175" s="4" t="s">
        <v>21</v>
      </c>
      <c r="B175" s="4" t="s">
        <v>39</v>
      </c>
      <c r="C175" s="4" t="s">
        <v>40</v>
      </c>
      <c r="D175" s="4" t="s">
        <v>50</v>
      </c>
      <c r="E175" s="4" t="s">
        <v>51</v>
      </c>
      <c r="F175" s="4" t="s">
        <v>25</v>
      </c>
      <c r="G175" s="4" t="s">
        <v>25</v>
      </c>
      <c r="H175" s="4" t="s">
        <v>35</v>
      </c>
      <c r="I175" s="5">
        <v>44652</v>
      </c>
      <c r="J175" s="6">
        <v>210</v>
      </c>
      <c r="K175" s="52">
        <v>210</v>
      </c>
      <c r="L175" s="6">
        <v>99.093999999999994</v>
      </c>
      <c r="M175" s="53">
        <v>99.093999999999994</v>
      </c>
      <c r="N175" s="6">
        <v>99.093999999999994</v>
      </c>
      <c r="O175" s="53">
        <v>99.093999999999994</v>
      </c>
      <c r="P175" s="6">
        <v>0</v>
      </c>
      <c r="Q175" s="4" t="s">
        <v>26</v>
      </c>
      <c r="R175" s="4">
        <v>0</v>
      </c>
      <c r="S175" s="6">
        <v>22</v>
      </c>
      <c r="T175" s="6">
        <v>12</v>
      </c>
      <c r="U175" s="6">
        <v>61</v>
      </c>
      <c r="V175" s="53">
        <f>IF(ISERROR(VLOOKUP($S$175,'TAR FIN'!$A$1:$O$113,15,0)),0,VLOOKUP($S$175,'TAR FIN'!$A$1:$O$113,15,0))*(1-0.06)</f>
        <v>13.16</v>
      </c>
      <c r="W175" s="53">
        <f>IF(ISERROR(VLOOKUP($T$175,'TAR FIN'!$A$1:$O$113,15,0)),0,VLOOKUP($T$175,'TAR FIN'!$A$1:$O$113,15,0))*(1-0.06)</f>
        <v>67.820999999999998</v>
      </c>
      <c r="X175" s="53">
        <f>IF(ISERROR(VLOOKUP($U$175,'TAR FIN'!$A$1:$O$113,15,0)),0,VLOOKUP($U$175,'TAR FIN'!$A$1:$O$113,15,0))*(1-0.06)</f>
        <v>261.94979999999998</v>
      </c>
      <c r="Y175" s="53">
        <f ca="1">('TUSD BE'!$AM$15+'TUSD BF_350'!$AM$15+'TUSD CVA'!$AM$15)*1*(1-0.03)</f>
        <v>15.554875305631656</v>
      </c>
      <c r="Z175" s="53">
        <f ca="1">('TUSD BE'!$AM$16+'TUSD BF_350'!$AM$16+'TUSD CVA'!$AM$16)*1*(1-0.03)</f>
        <v>118.47633671713493</v>
      </c>
      <c r="AA175" s="53">
        <f ca="1">('TE BE'!$AB$10+'TE BF_350'!$AB$10+'TE CVA'!$AB$10)*1*(1-0.03)</f>
        <v>224.73929999999999</v>
      </c>
      <c r="AB175" s="6">
        <f>$K$175*$V$175</f>
        <v>2763.6</v>
      </c>
      <c r="AC175" s="6">
        <f>$M$175*$W$175</f>
        <v>6720.6541739999993</v>
      </c>
      <c r="AD175" s="6">
        <f>$O$175*$X$175</f>
        <v>25957.653481199995</v>
      </c>
      <c r="AE175" s="6">
        <f ca="1">$K$175*$Y$175</f>
        <v>3266.5238141826476</v>
      </c>
      <c r="AF175" s="6">
        <f ca="1">$M$175*$Z$175</f>
        <v>11740.294110647768</v>
      </c>
      <c r="AG175" s="6">
        <f ca="1">$O$175*$AA$175</f>
        <v>22270.316194199997</v>
      </c>
    </row>
    <row r="176" spans="1:33" ht="11.25" customHeight="1" x14ac:dyDescent="0.3">
      <c r="A176" s="4" t="s">
        <v>21</v>
      </c>
      <c r="B176" s="4" t="s">
        <v>39</v>
      </c>
      <c r="C176" s="4" t="s">
        <v>40</v>
      </c>
      <c r="D176" s="4" t="s">
        <v>50</v>
      </c>
      <c r="E176" s="4" t="s">
        <v>51</v>
      </c>
      <c r="F176" s="4" t="s">
        <v>25</v>
      </c>
      <c r="G176" s="4" t="s">
        <v>25</v>
      </c>
      <c r="H176" s="4" t="s">
        <v>35</v>
      </c>
      <c r="I176" s="5">
        <v>44682</v>
      </c>
      <c r="J176" s="6">
        <v>210</v>
      </c>
      <c r="K176" s="52">
        <v>210</v>
      </c>
      <c r="L176" s="6">
        <v>100.63</v>
      </c>
      <c r="M176" s="53">
        <v>100.63</v>
      </c>
      <c r="N176" s="6">
        <v>100.63</v>
      </c>
      <c r="O176" s="53">
        <v>100.63</v>
      </c>
      <c r="P176" s="6">
        <v>0</v>
      </c>
      <c r="Q176" s="4" t="s">
        <v>26</v>
      </c>
      <c r="R176" s="4">
        <v>0</v>
      </c>
      <c r="S176" s="6">
        <v>22</v>
      </c>
      <c r="T176" s="6">
        <v>12</v>
      </c>
      <c r="U176" s="6">
        <v>61</v>
      </c>
      <c r="V176" s="53">
        <f>IF(ISERROR(VLOOKUP($S$176,'TAR FIN'!$A$1:$O$113,15,0)),0,VLOOKUP($S$176,'TAR FIN'!$A$1:$O$113,15,0))*(1-0.06)</f>
        <v>13.16</v>
      </c>
      <c r="W176" s="53">
        <f>IF(ISERROR(VLOOKUP($T$176,'TAR FIN'!$A$1:$O$113,15,0)),0,VLOOKUP($T$176,'TAR FIN'!$A$1:$O$113,15,0))*(1-0.06)</f>
        <v>67.820999999999998</v>
      </c>
      <c r="X176" s="53">
        <f>IF(ISERROR(VLOOKUP($U$176,'TAR FIN'!$A$1:$O$113,15,0)),0,VLOOKUP($U$176,'TAR FIN'!$A$1:$O$113,15,0))*(1-0.06)</f>
        <v>261.94979999999998</v>
      </c>
      <c r="Y176" s="53">
        <f ca="1">('TUSD BE'!$AM$15+'TUSD BF_350'!$AM$15+'TUSD CVA'!$AM$15)*1*(1-0.03)</f>
        <v>15.554875305631656</v>
      </c>
      <c r="Z176" s="53">
        <f ca="1">('TUSD BE'!$AM$16+'TUSD BF_350'!$AM$16+'TUSD CVA'!$AM$16)*1*(1-0.03)</f>
        <v>118.47633671713493</v>
      </c>
      <c r="AA176" s="53">
        <f ca="1">('TE BE'!$AB$10+'TE BF_350'!$AB$10+'TE CVA'!$AB$10)*1*(1-0.03)</f>
        <v>224.73929999999999</v>
      </c>
      <c r="AB176" s="6">
        <f>$K$176*$V$176</f>
        <v>2763.6</v>
      </c>
      <c r="AC176" s="6">
        <f>$M$176*$W$176</f>
        <v>6824.8272299999999</v>
      </c>
      <c r="AD176" s="6">
        <f>$O$176*$X$176</f>
        <v>26360.008373999997</v>
      </c>
      <c r="AE176" s="6">
        <f ca="1">$K$176*$Y$176</f>
        <v>3266.5238141826476</v>
      </c>
      <c r="AF176" s="6">
        <f ca="1">$M$176*$Z$176</f>
        <v>11922.273763845287</v>
      </c>
      <c r="AG176" s="6">
        <f ca="1">$O$176*$AA$176</f>
        <v>22615.515758999998</v>
      </c>
    </row>
    <row r="177" spans="1:33" ht="11.25" customHeight="1" x14ac:dyDescent="0.3">
      <c r="A177" s="4" t="s">
        <v>21</v>
      </c>
      <c r="B177" s="4" t="s">
        <v>39</v>
      </c>
      <c r="C177" s="4" t="s">
        <v>40</v>
      </c>
      <c r="D177" s="4" t="s">
        <v>50</v>
      </c>
      <c r="E177" s="4" t="s">
        <v>51</v>
      </c>
      <c r="F177" s="4" t="s">
        <v>25</v>
      </c>
      <c r="G177" s="4" t="s">
        <v>25</v>
      </c>
      <c r="H177" s="4" t="s">
        <v>35</v>
      </c>
      <c r="I177" s="5">
        <v>44713</v>
      </c>
      <c r="J177" s="6">
        <v>210</v>
      </c>
      <c r="K177" s="52">
        <v>210</v>
      </c>
      <c r="L177" s="6">
        <v>98.918999999999997</v>
      </c>
      <c r="M177" s="53">
        <v>98.918999999999997</v>
      </c>
      <c r="N177" s="6">
        <v>98.918999999999997</v>
      </c>
      <c r="O177" s="53">
        <v>98.918999999999997</v>
      </c>
      <c r="P177" s="6">
        <v>0</v>
      </c>
      <c r="Q177" s="4" t="s">
        <v>26</v>
      </c>
      <c r="R177" s="4">
        <v>0</v>
      </c>
      <c r="S177" s="6">
        <v>22</v>
      </c>
      <c r="T177" s="6">
        <v>12</v>
      </c>
      <c r="U177" s="6">
        <v>61</v>
      </c>
      <c r="V177" s="53">
        <f>IF(ISERROR(VLOOKUP($S$177,'TAR FIN'!$A$1:$O$113,15,0)),0,VLOOKUP($S$177,'TAR FIN'!$A$1:$O$113,15,0))*(1-0.06)</f>
        <v>13.16</v>
      </c>
      <c r="W177" s="53">
        <f>IF(ISERROR(VLOOKUP($T$177,'TAR FIN'!$A$1:$O$113,15,0)),0,VLOOKUP($T$177,'TAR FIN'!$A$1:$O$113,15,0))*(1-0.06)</f>
        <v>67.820999999999998</v>
      </c>
      <c r="X177" s="53">
        <f>IF(ISERROR(VLOOKUP($U$177,'TAR FIN'!$A$1:$O$113,15,0)),0,VLOOKUP($U$177,'TAR FIN'!$A$1:$O$113,15,0))*(1-0.06)</f>
        <v>261.94979999999998</v>
      </c>
      <c r="Y177" s="53">
        <f ca="1">('TUSD BE'!$AM$15+'TUSD BF_350'!$AM$15+'TUSD CVA'!$AM$15)*1*(1-0.03)</f>
        <v>15.554875305631656</v>
      </c>
      <c r="Z177" s="53">
        <f ca="1">('TUSD BE'!$AM$16+'TUSD BF_350'!$AM$16+'TUSD CVA'!$AM$16)*1*(1-0.03)</f>
        <v>118.47633671713493</v>
      </c>
      <c r="AA177" s="53">
        <f ca="1">('TE BE'!$AB$10+'TE BF_350'!$AB$10+'TE CVA'!$AB$10)*1*(1-0.03)</f>
        <v>224.73929999999999</v>
      </c>
      <c r="AB177" s="6">
        <f>$K$177*$V$177</f>
        <v>2763.6</v>
      </c>
      <c r="AC177" s="6">
        <f>$M$177*$W$177</f>
        <v>6708.7854989999996</v>
      </c>
      <c r="AD177" s="6">
        <f>$O$177*$X$177</f>
        <v>25911.812266199999</v>
      </c>
      <c r="AE177" s="6">
        <f ca="1">$K$177*$Y$177</f>
        <v>3266.5238141826476</v>
      </c>
      <c r="AF177" s="6">
        <f ca="1">$M$177*$Z$177</f>
        <v>11719.560751722269</v>
      </c>
      <c r="AG177" s="6">
        <f ca="1">$O$177*$AA$177</f>
        <v>22230.986816699999</v>
      </c>
    </row>
    <row r="178" spans="1:33" ht="11.25" customHeight="1" x14ac:dyDescent="0.3">
      <c r="A178" s="4" t="s">
        <v>21</v>
      </c>
      <c r="B178" s="4" t="s">
        <v>39</v>
      </c>
      <c r="C178" s="4" t="s">
        <v>40</v>
      </c>
      <c r="D178" s="4" t="s">
        <v>50</v>
      </c>
      <c r="E178" s="4" t="s">
        <v>51</v>
      </c>
      <c r="F178" s="4" t="s">
        <v>25</v>
      </c>
      <c r="G178" s="4" t="s">
        <v>25</v>
      </c>
      <c r="H178" s="4" t="s">
        <v>35</v>
      </c>
      <c r="I178" s="5">
        <v>44743</v>
      </c>
      <c r="J178" s="6">
        <v>210</v>
      </c>
      <c r="K178" s="52">
        <v>210</v>
      </c>
      <c r="L178" s="6">
        <v>93.923000000000002</v>
      </c>
      <c r="M178" s="53">
        <v>93.923000000000002</v>
      </c>
      <c r="N178" s="6">
        <v>93.923000000000002</v>
      </c>
      <c r="O178" s="53">
        <v>93.923000000000002</v>
      </c>
      <c r="P178" s="6">
        <v>0</v>
      </c>
      <c r="Q178" s="4" t="s">
        <v>26</v>
      </c>
      <c r="R178" s="4">
        <v>0</v>
      </c>
      <c r="S178" s="6">
        <v>22</v>
      </c>
      <c r="T178" s="6">
        <v>12</v>
      </c>
      <c r="U178" s="6">
        <v>61</v>
      </c>
      <c r="V178" s="53">
        <f>IF(ISERROR(VLOOKUP($S$178,'TAR FIN'!$A$1:$O$113,15,0)),0,VLOOKUP($S$178,'TAR FIN'!$A$1:$O$113,15,0))*(1-0.06)</f>
        <v>13.16</v>
      </c>
      <c r="W178" s="53">
        <f>IF(ISERROR(VLOOKUP($T$178,'TAR FIN'!$A$1:$O$113,15,0)),0,VLOOKUP($T$178,'TAR FIN'!$A$1:$O$113,15,0))*(1-0.06)</f>
        <v>67.820999999999998</v>
      </c>
      <c r="X178" s="53">
        <f>IF(ISERROR(VLOOKUP($U$178,'TAR FIN'!$A$1:$O$113,15,0)),0,VLOOKUP($U$178,'TAR FIN'!$A$1:$O$113,15,0))*(1-0.06)</f>
        <v>261.94979999999998</v>
      </c>
      <c r="Y178" s="53">
        <f ca="1">('TUSD BE'!$AM$15+'TUSD BF_350'!$AM$15+'TUSD CVA'!$AM$15)*1*(1-0.03)</f>
        <v>15.554875305631656</v>
      </c>
      <c r="Z178" s="53">
        <f ca="1">('TUSD BE'!$AM$16+'TUSD BF_350'!$AM$16+'TUSD CVA'!$AM$16)*1*(1-0.03)</f>
        <v>118.47633671713493</v>
      </c>
      <c r="AA178" s="53">
        <f ca="1">('TE BE'!$AB$10+'TE BF_350'!$AB$10+'TE CVA'!$AB$10)*1*(1-0.03)</f>
        <v>224.73929999999999</v>
      </c>
      <c r="AB178" s="6">
        <f>$K$178*$V$178</f>
        <v>2763.6</v>
      </c>
      <c r="AC178" s="6">
        <f>$M$178*$W$178</f>
        <v>6369.9517829999995</v>
      </c>
      <c r="AD178" s="6">
        <f>$O$178*$X$178</f>
        <v>24603.1110654</v>
      </c>
      <c r="AE178" s="6">
        <f ca="1">$K$178*$Y$178</f>
        <v>3266.5238141826476</v>
      </c>
      <c r="AF178" s="6">
        <f ca="1">$M$178*$Z$178</f>
        <v>11127.652973483464</v>
      </c>
      <c r="AG178" s="6">
        <f ca="1">$O$178*$AA$178</f>
        <v>21108.1892739</v>
      </c>
    </row>
    <row r="179" spans="1:33" ht="11.25" customHeight="1" x14ac:dyDescent="0.3">
      <c r="A179" s="4" t="s">
        <v>21</v>
      </c>
      <c r="B179" s="4" t="s">
        <v>39</v>
      </c>
      <c r="C179" s="4" t="s">
        <v>40</v>
      </c>
      <c r="D179" s="4" t="s">
        <v>50</v>
      </c>
      <c r="E179" s="4" t="s">
        <v>51</v>
      </c>
      <c r="F179" s="4" t="s">
        <v>25</v>
      </c>
      <c r="G179" s="4" t="s">
        <v>25</v>
      </c>
      <c r="H179" s="4" t="s">
        <v>35</v>
      </c>
      <c r="I179" s="5">
        <v>44774</v>
      </c>
      <c r="J179" s="6">
        <v>210</v>
      </c>
      <c r="K179" s="52">
        <v>210</v>
      </c>
      <c r="L179" s="6">
        <v>98.531999999999996</v>
      </c>
      <c r="M179" s="53">
        <v>98.531999999999996</v>
      </c>
      <c r="N179" s="6">
        <v>98.531999999999996</v>
      </c>
      <c r="O179" s="53">
        <v>98.531999999999996</v>
      </c>
      <c r="P179" s="6">
        <v>0</v>
      </c>
      <c r="Q179" s="4" t="s">
        <v>26</v>
      </c>
      <c r="R179" s="4">
        <v>0</v>
      </c>
      <c r="S179" s="6">
        <v>22</v>
      </c>
      <c r="T179" s="6">
        <v>12</v>
      </c>
      <c r="U179" s="6">
        <v>61</v>
      </c>
      <c r="V179" s="53">
        <f>IF(ISERROR(VLOOKUP($S$179,'TAR FIN'!$A$1:$O$113,15,0)),0,VLOOKUP($S$179,'TAR FIN'!$A$1:$O$113,15,0))*(1-0.06)</f>
        <v>13.16</v>
      </c>
      <c r="W179" s="53">
        <f>IF(ISERROR(VLOOKUP($T$179,'TAR FIN'!$A$1:$O$113,15,0)),0,VLOOKUP($T$179,'TAR FIN'!$A$1:$O$113,15,0))*(1-0.06)</f>
        <v>67.820999999999998</v>
      </c>
      <c r="X179" s="53">
        <f>IF(ISERROR(VLOOKUP($U$179,'TAR FIN'!$A$1:$O$113,15,0)),0,VLOOKUP($U$179,'TAR FIN'!$A$1:$O$113,15,0))*(1-0.06)</f>
        <v>261.94979999999998</v>
      </c>
      <c r="Y179" s="53">
        <f ca="1">('TUSD BE'!$AM$15+'TUSD BF_350'!$AM$15+'TUSD CVA'!$AM$15)*1*(1-0.03)</f>
        <v>15.554875305631656</v>
      </c>
      <c r="Z179" s="53">
        <f ca="1">('TUSD BE'!$AM$16+'TUSD BF_350'!$AM$16+'TUSD CVA'!$AM$16)*1*(1-0.03)</f>
        <v>118.47633671713493</v>
      </c>
      <c r="AA179" s="53">
        <f ca="1">('TE BE'!$AB$10+'TE BF_350'!$AB$10+'TE CVA'!$AB$10)*1*(1-0.03)</f>
        <v>224.73929999999999</v>
      </c>
      <c r="AB179" s="6">
        <f>$K$179*$V$179</f>
        <v>2763.6</v>
      </c>
      <c r="AC179" s="6">
        <f>$M$179*$W$179</f>
        <v>6682.5387719999999</v>
      </c>
      <c r="AD179" s="6">
        <f>$O$179*$X$179</f>
        <v>25810.437693599997</v>
      </c>
      <c r="AE179" s="6">
        <f ca="1">$K$179*$Y$179</f>
        <v>3266.5238141826476</v>
      </c>
      <c r="AF179" s="6">
        <f ca="1">$M$179*$Z$179</f>
        <v>11673.710409412739</v>
      </c>
      <c r="AG179" s="6">
        <f ca="1">$O$179*$AA$179</f>
        <v>22144.012707599999</v>
      </c>
    </row>
    <row r="180" spans="1:33" ht="11.25" customHeight="1" x14ac:dyDescent="0.3">
      <c r="A180" s="4" t="s">
        <v>21</v>
      </c>
      <c r="B180" s="4" t="s">
        <v>39</v>
      </c>
      <c r="C180" s="4" t="s">
        <v>40</v>
      </c>
      <c r="D180" s="4" t="s">
        <v>50</v>
      </c>
      <c r="E180" s="4" t="s">
        <v>51</v>
      </c>
      <c r="F180" s="4" t="s">
        <v>25</v>
      </c>
      <c r="G180" s="4" t="s">
        <v>25</v>
      </c>
      <c r="H180" s="4" t="s">
        <v>35</v>
      </c>
      <c r="I180" s="5">
        <v>44805</v>
      </c>
      <c r="J180" s="6">
        <v>210</v>
      </c>
      <c r="K180" s="52">
        <v>210</v>
      </c>
      <c r="L180" s="6">
        <v>97.796999999999997</v>
      </c>
      <c r="M180" s="53">
        <v>97.796999999999997</v>
      </c>
      <c r="N180" s="6">
        <v>97.796999999999997</v>
      </c>
      <c r="O180" s="53">
        <v>97.796999999999997</v>
      </c>
      <c r="P180" s="6">
        <v>0</v>
      </c>
      <c r="Q180" s="4" t="s">
        <v>26</v>
      </c>
      <c r="R180" s="4">
        <v>0</v>
      </c>
      <c r="S180" s="6">
        <v>22</v>
      </c>
      <c r="T180" s="6">
        <v>12</v>
      </c>
      <c r="U180" s="6">
        <v>61</v>
      </c>
      <c r="V180" s="53">
        <f>IF(ISERROR(VLOOKUP($S$180,'TAR FIN'!$A$1:$O$113,15,0)),0,VLOOKUP($S$180,'TAR FIN'!$A$1:$O$113,15,0))*(1-0.06)</f>
        <v>13.16</v>
      </c>
      <c r="W180" s="53">
        <f>IF(ISERROR(VLOOKUP($T$180,'TAR FIN'!$A$1:$O$113,15,0)),0,VLOOKUP($T$180,'TAR FIN'!$A$1:$O$113,15,0))*(1-0.06)</f>
        <v>67.820999999999998</v>
      </c>
      <c r="X180" s="53">
        <f>IF(ISERROR(VLOOKUP($U$180,'TAR FIN'!$A$1:$O$113,15,0)),0,VLOOKUP($U$180,'TAR FIN'!$A$1:$O$113,15,0))*(1-0.06)</f>
        <v>261.94979999999998</v>
      </c>
      <c r="Y180" s="53">
        <f ca="1">('TUSD BE'!$AM$15+'TUSD BF_350'!$AM$15+'TUSD CVA'!$AM$15)*1*(1-0.03)</f>
        <v>15.554875305631656</v>
      </c>
      <c r="Z180" s="53">
        <f ca="1">('TUSD BE'!$AM$16+'TUSD BF_350'!$AM$16+'TUSD CVA'!$AM$16)*1*(1-0.03)</f>
        <v>118.47633671713493</v>
      </c>
      <c r="AA180" s="53">
        <f ca="1">('TE BE'!$AB$10+'TE BF_350'!$AB$10+'TE CVA'!$AB$10)*1*(1-0.03)</f>
        <v>224.73929999999999</v>
      </c>
      <c r="AB180" s="6">
        <f>$K$180*$V$180</f>
        <v>2763.6</v>
      </c>
      <c r="AC180" s="6">
        <f>$M$180*$W$180</f>
        <v>6632.690337</v>
      </c>
      <c r="AD180" s="6">
        <f>$O$180*$X$180</f>
        <v>25617.904590599999</v>
      </c>
      <c r="AE180" s="6">
        <f ca="1">$K$180*$Y$180</f>
        <v>3266.5238141826476</v>
      </c>
      <c r="AF180" s="6">
        <f ca="1">$M$180*$Z$180</f>
        <v>11586.630301925645</v>
      </c>
      <c r="AG180" s="6">
        <f ca="1">$O$180*$AA$180</f>
        <v>21978.829322099999</v>
      </c>
    </row>
    <row r="181" spans="1:33" ht="11.25" customHeight="1" x14ac:dyDescent="0.3">
      <c r="A181" s="4" t="s">
        <v>53</v>
      </c>
      <c r="B181" s="4" t="s">
        <v>39</v>
      </c>
      <c r="C181" s="4" t="s">
        <v>40</v>
      </c>
      <c r="D181" s="4" t="s">
        <v>50</v>
      </c>
      <c r="E181" s="4" t="s">
        <v>51</v>
      </c>
      <c r="F181" s="4" t="s">
        <v>25</v>
      </c>
      <c r="G181" s="4" t="s">
        <v>25</v>
      </c>
      <c r="H181" s="4" t="s">
        <v>35</v>
      </c>
      <c r="I181" s="5">
        <v>44835</v>
      </c>
      <c r="J181" s="6">
        <v>210</v>
      </c>
      <c r="K181" s="52">
        <v>210</v>
      </c>
      <c r="L181" s="6">
        <v>97.796999999999997</v>
      </c>
      <c r="M181" s="53">
        <v>97.796999999999997</v>
      </c>
      <c r="N181" s="6">
        <v>97.796999999999997</v>
      </c>
      <c r="O181" s="53">
        <v>97.796999999999997</v>
      </c>
      <c r="P181" s="6">
        <v>0</v>
      </c>
      <c r="Q181" s="4" t="s">
        <v>26</v>
      </c>
      <c r="R181" s="4">
        <v>0</v>
      </c>
      <c r="S181" s="6">
        <v>22</v>
      </c>
      <c r="T181" s="6">
        <v>12</v>
      </c>
      <c r="U181" s="6">
        <v>61</v>
      </c>
      <c r="V181" s="53">
        <f>IF(ISERROR(VLOOKUP($S$181,'TAR FIN'!$A$1:$O$113,15,0)),0,VLOOKUP($S$181,'TAR FIN'!$A$1:$O$113,15,0))*(1-0.06)</f>
        <v>13.16</v>
      </c>
      <c r="W181" s="53">
        <f>IF(ISERROR(VLOOKUP($T$181,'TAR FIN'!$A$1:$O$113,15,0)),0,VLOOKUP($T$181,'TAR FIN'!$A$1:$O$113,15,0))*(1-0.06)</f>
        <v>67.820999999999998</v>
      </c>
      <c r="X181" s="53">
        <f>IF(ISERROR(VLOOKUP($U$181,'TAR FIN'!$A$1:$O$113,15,0)),0,VLOOKUP($U$181,'TAR FIN'!$A$1:$O$113,15,0))*(1-0.06)</f>
        <v>261.94979999999998</v>
      </c>
      <c r="Y181" s="53">
        <f ca="1">('TUSD BE'!$AM$15+'TUSD BF_350'!$AM$15+'TUSD CVA'!$AM$15)*1*(1-0.03)</f>
        <v>15.554875305631656</v>
      </c>
      <c r="Z181" s="53">
        <f ca="1">('TUSD BE'!$AM$16+'TUSD BF_350'!$AM$16+'TUSD CVA'!$AM$16)*1*(1-0.03)</f>
        <v>118.47633671713493</v>
      </c>
      <c r="AA181" s="53">
        <f ca="1">('TE BE'!$AB$10+'TE BF_350'!$AB$10+'TE CVA'!$AB$10)*1*(1-0.03)</f>
        <v>224.73929999999999</v>
      </c>
      <c r="AB181" s="6">
        <f>$K$181*$V$181</f>
        <v>2763.6</v>
      </c>
      <c r="AC181" s="6">
        <f>$M$181*$W$181</f>
        <v>6632.690337</v>
      </c>
      <c r="AD181" s="6">
        <f>$O$181*$X$181</f>
        <v>25617.904590599999</v>
      </c>
      <c r="AE181" s="6">
        <f ca="1">$K$181*$Y$181</f>
        <v>3266.5238141826476</v>
      </c>
      <c r="AF181" s="6">
        <f ca="1">$M$181*$Z$181</f>
        <v>11586.630301925645</v>
      </c>
      <c r="AG181" s="6">
        <f ca="1">$O$181*$AA$181</f>
        <v>21978.829322099999</v>
      </c>
    </row>
    <row r="182" spans="1:33" ht="11.25" customHeight="1" x14ac:dyDescent="0.3">
      <c r="A182" s="4" t="s">
        <v>21</v>
      </c>
      <c r="B182" s="4" t="s">
        <v>39</v>
      </c>
      <c r="C182" s="4" t="s">
        <v>40</v>
      </c>
      <c r="D182" s="4" t="s">
        <v>50</v>
      </c>
      <c r="E182" s="4" t="s">
        <v>51</v>
      </c>
      <c r="F182" s="4" t="s">
        <v>25</v>
      </c>
      <c r="G182" s="4" t="s">
        <v>25</v>
      </c>
      <c r="H182" s="4" t="s">
        <v>34</v>
      </c>
      <c r="I182" s="5">
        <v>44501</v>
      </c>
      <c r="J182" s="6">
        <v>210</v>
      </c>
      <c r="K182" s="52">
        <v>210</v>
      </c>
      <c r="L182" s="6">
        <v>8.58</v>
      </c>
      <c r="M182" s="53">
        <v>8.58</v>
      </c>
      <c r="N182" s="6">
        <v>8.58</v>
      </c>
      <c r="O182" s="53">
        <v>8.58</v>
      </c>
      <c r="P182" s="6">
        <v>0</v>
      </c>
      <c r="Q182" s="4" t="s">
        <v>26</v>
      </c>
      <c r="R182" s="4">
        <v>0</v>
      </c>
      <c r="S182" s="6">
        <v>9</v>
      </c>
      <c r="T182" s="6">
        <v>12</v>
      </c>
      <c r="U182" s="6">
        <v>38</v>
      </c>
      <c r="V182" s="53">
        <f>IF(ISERROR(VLOOKUP($S$182,'TAR FIN'!$A$1:$O$113,15,0)),0,VLOOKUP($S$182,'TAR FIN'!$A$1:$O$113,15,0))*(1-0.06)</f>
        <v>33.614399999999996</v>
      </c>
      <c r="W182" s="53">
        <f>IF(ISERROR(VLOOKUP($T$182,'TAR FIN'!$A$1:$O$113,15,0)),0,VLOOKUP($T$182,'TAR FIN'!$A$1:$O$113,15,0))*(1-0.06)</f>
        <v>67.820999999999998</v>
      </c>
      <c r="X182" s="53">
        <f>IF(ISERROR(VLOOKUP($U$182,'TAR FIN'!$A$1:$O$113,15,0)),0,VLOOKUP($U$182,'TAR FIN'!$A$1:$O$113,15,0))*(1-0.06)</f>
        <v>416.28839999999997</v>
      </c>
      <c r="Y182" s="53">
        <f ca="1">('TUSD BE'!$AM$14+'TUSD BF_350'!$AM$14+'TUSD CVA'!$AM$14)*1*(1-0.03)</f>
        <v>39.734731546617411</v>
      </c>
      <c r="Z182" s="53">
        <f ca="1">('TUSD BE'!$AM$16+'TUSD BF_350'!$AM$16+'TUSD CVA'!$AM$16)*1*(1-0.03)</f>
        <v>118.47633671713493</v>
      </c>
      <c r="AA182" s="53">
        <f ca="1">('TE BE'!$AB$9+'TE BF_350'!$AB$9+'TE CVA'!$AB$9)*1*(1-0.03)</f>
        <v>367.93069999999994</v>
      </c>
      <c r="AB182" s="6">
        <f>$K$182*$V$182</f>
        <v>7059.0239999999994</v>
      </c>
      <c r="AC182" s="6">
        <f>$M$182*$W$182</f>
        <v>581.90418</v>
      </c>
      <c r="AD182" s="6">
        <f>$O$182*$X$182</f>
        <v>3571.7544719999996</v>
      </c>
      <c r="AE182" s="6">
        <f ca="1">$K$182*$Y$182</f>
        <v>8344.293624789656</v>
      </c>
      <c r="AF182" s="6">
        <f ca="1">$M$182*$Z$182</f>
        <v>1016.5269690330177</v>
      </c>
      <c r="AG182" s="6">
        <f ca="1">$O$182*$AA$182</f>
        <v>3156.8454059999995</v>
      </c>
    </row>
    <row r="183" spans="1:33" ht="11.25" customHeight="1" x14ac:dyDescent="0.3">
      <c r="A183" s="4" t="s">
        <v>21</v>
      </c>
      <c r="B183" s="4" t="s">
        <v>39</v>
      </c>
      <c r="C183" s="4" t="s">
        <v>40</v>
      </c>
      <c r="D183" s="4" t="s">
        <v>50</v>
      </c>
      <c r="E183" s="4" t="s">
        <v>51</v>
      </c>
      <c r="F183" s="4" t="s">
        <v>25</v>
      </c>
      <c r="G183" s="4" t="s">
        <v>25</v>
      </c>
      <c r="H183" s="4" t="s">
        <v>34</v>
      </c>
      <c r="I183" s="5">
        <v>44531</v>
      </c>
      <c r="J183" s="6">
        <v>210</v>
      </c>
      <c r="K183" s="52">
        <v>210</v>
      </c>
      <c r="L183" s="6">
        <v>8.7170000000000005</v>
      </c>
      <c r="M183" s="53">
        <v>8.7170000000000005</v>
      </c>
      <c r="N183" s="6">
        <v>8.7170000000000005</v>
      </c>
      <c r="O183" s="53">
        <v>8.7170000000000005</v>
      </c>
      <c r="P183" s="6">
        <v>0</v>
      </c>
      <c r="Q183" s="4" t="s">
        <v>26</v>
      </c>
      <c r="R183" s="4">
        <v>0</v>
      </c>
      <c r="S183" s="6">
        <v>9</v>
      </c>
      <c r="T183" s="6">
        <v>12</v>
      </c>
      <c r="U183" s="6">
        <v>38</v>
      </c>
      <c r="V183" s="53">
        <f>IF(ISERROR(VLOOKUP($S$183,'TAR FIN'!$A$1:$O$113,15,0)),0,VLOOKUP($S$183,'TAR FIN'!$A$1:$O$113,15,0))*(1-0.06)</f>
        <v>33.614399999999996</v>
      </c>
      <c r="W183" s="53">
        <f>IF(ISERROR(VLOOKUP($T$183,'TAR FIN'!$A$1:$O$113,15,0)),0,VLOOKUP($T$183,'TAR FIN'!$A$1:$O$113,15,0))*(1-0.06)</f>
        <v>67.820999999999998</v>
      </c>
      <c r="X183" s="53">
        <f>IF(ISERROR(VLOOKUP($U$183,'TAR FIN'!$A$1:$O$113,15,0)),0,VLOOKUP($U$183,'TAR FIN'!$A$1:$O$113,15,0))*(1-0.06)</f>
        <v>416.28839999999997</v>
      </c>
      <c r="Y183" s="53">
        <f ca="1">('TUSD BE'!$AM$14+'TUSD BF_350'!$AM$14+'TUSD CVA'!$AM$14)*1*(1-0.03)</f>
        <v>39.734731546617411</v>
      </c>
      <c r="Z183" s="53">
        <f ca="1">('TUSD BE'!$AM$16+'TUSD BF_350'!$AM$16+'TUSD CVA'!$AM$16)*1*(1-0.03)</f>
        <v>118.47633671713493</v>
      </c>
      <c r="AA183" s="53">
        <f ca="1">('TE BE'!$AB$9+'TE BF_350'!$AB$9+'TE CVA'!$AB$9)*1*(1-0.03)</f>
        <v>367.93069999999994</v>
      </c>
      <c r="AB183" s="6">
        <f>$K$183*$V$183</f>
        <v>7059.0239999999994</v>
      </c>
      <c r="AC183" s="6">
        <f>$M$183*$W$183</f>
        <v>591.19565699999998</v>
      </c>
      <c r="AD183" s="6">
        <f>$O$183*$X$183</f>
        <v>3628.7859828000001</v>
      </c>
      <c r="AE183" s="6">
        <f ca="1">$K$183*$Y$183</f>
        <v>8344.293624789656</v>
      </c>
      <c r="AF183" s="6">
        <f ca="1">$M$183*$Z$183</f>
        <v>1032.7582271632652</v>
      </c>
      <c r="AG183" s="6">
        <f ca="1">$O$183*$AA$183</f>
        <v>3207.2519118999999</v>
      </c>
    </row>
    <row r="184" spans="1:33" ht="11.25" customHeight="1" x14ac:dyDescent="0.3">
      <c r="A184" s="4" t="s">
        <v>21</v>
      </c>
      <c r="B184" s="4" t="s">
        <v>39</v>
      </c>
      <c r="C184" s="4" t="s">
        <v>40</v>
      </c>
      <c r="D184" s="4" t="s">
        <v>50</v>
      </c>
      <c r="E184" s="4" t="s">
        <v>51</v>
      </c>
      <c r="F184" s="4" t="s">
        <v>25</v>
      </c>
      <c r="G184" s="4" t="s">
        <v>25</v>
      </c>
      <c r="H184" s="4" t="s">
        <v>34</v>
      </c>
      <c r="I184" s="5">
        <v>44562</v>
      </c>
      <c r="J184" s="6">
        <v>210</v>
      </c>
      <c r="K184" s="52">
        <v>210</v>
      </c>
      <c r="L184" s="6">
        <v>11.147</v>
      </c>
      <c r="M184" s="53">
        <v>11.147</v>
      </c>
      <c r="N184" s="6">
        <v>11.147</v>
      </c>
      <c r="O184" s="53">
        <v>11.147</v>
      </c>
      <c r="P184" s="6">
        <v>0</v>
      </c>
      <c r="Q184" s="4" t="s">
        <v>26</v>
      </c>
      <c r="R184" s="4">
        <v>0</v>
      </c>
      <c r="S184" s="6">
        <v>9</v>
      </c>
      <c r="T184" s="6">
        <v>12</v>
      </c>
      <c r="U184" s="6">
        <v>38</v>
      </c>
      <c r="V184" s="53">
        <f>IF(ISERROR(VLOOKUP($S$184,'TAR FIN'!$A$1:$O$113,15,0)),0,VLOOKUP($S$184,'TAR FIN'!$A$1:$O$113,15,0))*(1-0.06)</f>
        <v>33.614399999999996</v>
      </c>
      <c r="W184" s="53">
        <f>IF(ISERROR(VLOOKUP($T$184,'TAR FIN'!$A$1:$O$113,15,0)),0,VLOOKUP($T$184,'TAR FIN'!$A$1:$O$113,15,0))*(1-0.06)</f>
        <v>67.820999999999998</v>
      </c>
      <c r="X184" s="53">
        <f>IF(ISERROR(VLOOKUP($U$184,'TAR FIN'!$A$1:$O$113,15,0)),0,VLOOKUP($U$184,'TAR FIN'!$A$1:$O$113,15,0))*(1-0.06)</f>
        <v>416.28839999999997</v>
      </c>
      <c r="Y184" s="53">
        <f ca="1">('TUSD BE'!$AM$14+'TUSD BF_350'!$AM$14+'TUSD CVA'!$AM$14)*1*(1-0.03)</f>
        <v>39.734731546617411</v>
      </c>
      <c r="Z184" s="53">
        <f ca="1">('TUSD BE'!$AM$16+'TUSD BF_350'!$AM$16+'TUSD CVA'!$AM$16)*1*(1-0.03)</f>
        <v>118.47633671713493</v>
      </c>
      <c r="AA184" s="53">
        <f ca="1">('TE BE'!$AB$9+'TE BF_350'!$AB$9+'TE CVA'!$AB$9)*1*(1-0.03)</f>
        <v>367.93069999999994</v>
      </c>
      <c r="AB184" s="6">
        <f>$K$184*$V$184</f>
        <v>7059.0239999999994</v>
      </c>
      <c r="AC184" s="6">
        <f>$M$184*$W$184</f>
        <v>756.00068699999997</v>
      </c>
      <c r="AD184" s="6">
        <f>$O$184*$X$184</f>
        <v>4640.3667947999993</v>
      </c>
      <c r="AE184" s="6">
        <f ca="1">$K$184*$Y$184</f>
        <v>8344.293624789656</v>
      </c>
      <c r="AF184" s="6">
        <f ca="1">$M$184*$Z$184</f>
        <v>1320.655725385903</v>
      </c>
      <c r="AG184" s="6">
        <f ca="1">$O$184*$AA$184</f>
        <v>4101.3235128999995</v>
      </c>
    </row>
    <row r="185" spans="1:33" ht="11.25" customHeight="1" x14ac:dyDescent="0.3">
      <c r="A185" s="4" t="s">
        <v>21</v>
      </c>
      <c r="B185" s="4" t="s">
        <v>39</v>
      </c>
      <c r="C185" s="4" t="s">
        <v>40</v>
      </c>
      <c r="D185" s="4" t="s">
        <v>50</v>
      </c>
      <c r="E185" s="4" t="s">
        <v>51</v>
      </c>
      <c r="F185" s="4" t="s">
        <v>25</v>
      </c>
      <c r="G185" s="4" t="s">
        <v>25</v>
      </c>
      <c r="H185" s="4" t="s">
        <v>34</v>
      </c>
      <c r="I185" s="5">
        <v>44593</v>
      </c>
      <c r="J185" s="6">
        <v>210</v>
      </c>
      <c r="K185" s="52">
        <v>210</v>
      </c>
      <c r="L185" s="6">
        <v>9.7609999999999992</v>
      </c>
      <c r="M185" s="53">
        <v>9.7609999999999992</v>
      </c>
      <c r="N185" s="6">
        <v>9.7609999999999992</v>
      </c>
      <c r="O185" s="53">
        <v>9.7609999999999992</v>
      </c>
      <c r="P185" s="6">
        <v>0</v>
      </c>
      <c r="Q185" s="4" t="s">
        <v>26</v>
      </c>
      <c r="R185" s="4">
        <v>0</v>
      </c>
      <c r="S185" s="6">
        <v>9</v>
      </c>
      <c r="T185" s="6">
        <v>12</v>
      </c>
      <c r="U185" s="6">
        <v>38</v>
      </c>
      <c r="V185" s="53">
        <f>IF(ISERROR(VLOOKUP($S$185,'TAR FIN'!$A$1:$O$113,15,0)),0,VLOOKUP($S$185,'TAR FIN'!$A$1:$O$113,15,0))*(1-0.06)</f>
        <v>33.614399999999996</v>
      </c>
      <c r="W185" s="53">
        <f>IF(ISERROR(VLOOKUP($T$185,'TAR FIN'!$A$1:$O$113,15,0)),0,VLOOKUP($T$185,'TAR FIN'!$A$1:$O$113,15,0))*(1-0.06)</f>
        <v>67.820999999999998</v>
      </c>
      <c r="X185" s="53">
        <f>IF(ISERROR(VLOOKUP($U$185,'TAR FIN'!$A$1:$O$113,15,0)),0,VLOOKUP($U$185,'TAR FIN'!$A$1:$O$113,15,0))*(1-0.06)</f>
        <v>416.28839999999997</v>
      </c>
      <c r="Y185" s="53">
        <f ca="1">('TUSD BE'!$AM$14+'TUSD BF_350'!$AM$14+'TUSD CVA'!$AM$14)*1*(1-0.03)</f>
        <v>39.734731546617411</v>
      </c>
      <c r="Z185" s="53">
        <f ca="1">('TUSD BE'!$AM$16+'TUSD BF_350'!$AM$16+'TUSD CVA'!$AM$16)*1*(1-0.03)</f>
        <v>118.47633671713493</v>
      </c>
      <c r="AA185" s="53">
        <f ca="1">('TE BE'!$AB$9+'TE BF_350'!$AB$9+'TE CVA'!$AB$9)*1*(1-0.03)</f>
        <v>367.93069999999994</v>
      </c>
      <c r="AB185" s="6">
        <f>$K$185*$V$185</f>
        <v>7059.0239999999994</v>
      </c>
      <c r="AC185" s="6">
        <f>$M$185*$W$185</f>
        <v>662.00078099999996</v>
      </c>
      <c r="AD185" s="6">
        <f>$O$185*$X$185</f>
        <v>4063.3910723999993</v>
      </c>
      <c r="AE185" s="6">
        <f ca="1">$K$185*$Y$185</f>
        <v>8344.293624789656</v>
      </c>
      <c r="AF185" s="6">
        <f ca="1">$M$185*$Z$185</f>
        <v>1156.4475226959539</v>
      </c>
      <c r="AG185" s="6">
        <f ca="1">$O$185*$AA$185</f>
        <v>3591.3715626999992</v>
      </c>
    </row>
    <row r="186" spans="1:33" ht="11.25" customHeight="1" x14ac:dyDescent="0.3">
      <c r="A186" s="4" t="s">
        <v>21</v>
      </c>
      <c r="B186" s="4" t="s">
        <v>39</v>
      </c>
      <c r="C186" s="4" t="s">
        <v>40</v>
      </c>
      <c r="D186" s="4" t="s">
        <v>50</v>
      </c>
      <c r="E186" s="4" t="s">
        <v>51</v>
      </c>
      <c r="F186" s="4" t="s">
        <v>25</v>
      </c>
      <c r="G186" s="4" t="s">
        <v>25</v>
      </c>
      <c r="H186" s="4" t="s">
        <v>34</v>
      </c>
      <c r="I186" s="5">
        <v>44621</v>
      </c>
      <c r="J186" s="6">
        <v>210</v>
      </c>
      <c r="K186" s="52">
        <v>210</v>
      </c>
      <c r="L186" s="6">
        <v>10.478999999999999</v>
      </c>
      <c r="M186" s="53">
        <v>10.478999999999999</v>
      </c>
      <c r="N186" s="6">
        <v>10.478999999999999</v>
      </c>
      <c r="O186" s="53">
        <v>10.478999999999999</v>
      </c>
      <c r="P186" s="6">
        <v>0</v>
      </c>
      <c r="Q186" s="4" t="s">
        <v>26</v>
      </c>
      <c r="R186" s="4">
        <v>0</v>
      </c>
      <c r="S186" s="6">
        <v>9</v>
      </c>
      <c r="T186" s="6">
        <v>12</v>
      </c>
      <c r="U186" s="6">
        <v>38</v>
      </c>
      <c r="V186" s="53">
        <f>IF(ISERROR(VLOOKUP($S$186,'TAR FIN'!$A$1:$O$113,15,0)),0,VLOOKUP($S$186,'TAR FIN'!$A$1:$O$113,15,0))*(1-0.06)</f>
        <v>33.614399999999996</v>
      </c>
      <c r="W186" s="53">
        <f>IF(ISERROR(VLOOKUP($T$186,'TAR FIN'!$A$1:$O$113,15,0)),0,VLOOKUP($T$186,'TAR FIN'!$A$1:$O$113,15,0))*(1-0.06)</f>
        <v>67.820999999999998</v>
      </c>
      <c r="X186" s="53">
        <f>IF(ISERROR(VLOOKUP($U$186,'TAR FIN'!$A$1:$O$113,15,0)),0,VLOOKUP($U$186,'TAR FIN'!$A$1:$O$113,15,0))*(1-0.06)</f>
        <v>416.28839999999997</v>
      </c>
      <c r="Y186" s="53">
        <f ca="1">('TUSD BE'!$AM$14+'TUSD BF_350'!$AM$14+'TUSD CVA'!$AM$14)*1*(1-0.03)</f>
        <v>39.734731546617411</v>
      </c>
      <c r="Z186" s="53">
        <f ca="1">('TUSD BE'!$AM$16+'TUSD BF_350'!$AM$16+'TUSD CVA'!$AM$16)*1*(1-0.03)</f>
        <v>118.47633671713493</v>
      </c>
      <c r="AA186" s="53">
        <f ca="1">('TE BE'!$AB$9+'TE BF_350'!$AB$9+'TE CVA'!$AB$9)*1*(1-0.03)</f>
        <v>367.93069999999994</v>
      </c>
      <c r="AB186" s="6">
        <f>$K$186*$V$186</f>
        <v>7059.0239999999994</v>
      </c>
      <c r="AC186" s="6">
        <f>$M$186*$W$186</f>
        <v>710.69625899999994</v>
      </c>
      <c r="AD186" s="6">
        <f>$O$186*$X$186</f>
        <v>4362.2861435999994</v>
      </c>
      <c r="AE186" s="6">
        <f ca="1">$K$186*$Y$186</f>
        <v>8344.293624789656</v>
      </c>
      <c r="AF186" s="6">
        <f ca="1">$M$186*$Z$186</f>
        <v>1241.5135324588568</v>
      </c>
      <c r="AG186" s="6">
        <f ca="1">$O$186*$AA$186</f>
        <v>3855.5458052999993</v>
      </c>
    </row>
    <row r="187" spans="1:33" ht="11.25" customHeight="1" x14ac:dyDescent="0.3">
      <c r="A187" s="4" t="s">
        <v>21</v>
      </c>
      <c r="B187" s="4" t="s">
        <v>39</v>
      </c>
      <c r="C187" s="4" t="s">
        <v>40</v>
      </c>
      <c r="D187" s="4" t="s">
        <v>50</v>
      </c>
      <c r="E187" s="4" t="s">
        <v>51</v>
      </c>
      <c r="F187" s="4" t="s">
        <v>25</v>
      </c>
      <c r="G187" s="4" t="s">
        <v>25</v>
      </c>
      <c r="H187" s="4" t="s">
        <v>34</v>
      </c>
      <c r="I187" s="5">
        <v>44652</v>
      </c>
      <c r="J187" s="6">
        <v>210</v>
      </c>
      <c r="K187" s="52">
        <v>210</v>
      </c>
      <c r="L187" s="6">
        <v>9.7949999999999999</v>
      </c>
      <c r="M187" s="53">
        <v>9.7949999999999999</v>
      </c>
      <c r="N187" s="6">
        <v>9.7949999999999999</v>
      </c>
      <c r="O187" s="53">
        <v>9.7949999999999999</v>
      </c>
      <c r="P187" s="6">
        <v>0</v>
      </c>
      <c r="Q187" s="4" t="s">
        <v>26</v>
      </c>
      <c r="R187" s="4">
        <v>0</v>
      </c>
      <c r="S187" s="6">
        <v>9</v>
      </c>
      <c r="T187" s="6">
        <v>12</v>
      </c>
      <c r="U187" s="6">
        <v>38</v>
      </c>
      <c r="V187" s="53">
        <f>IF(ISERROR(VLOOKUP($S$187,'TAR FIN'!$A$1:$O$113,15,0)),0,VLOOKUP($S$187,'TAR FIN'!$A$1:$O$113,15,0))*(1-0.06)</f>
        <v>33.614399999999996</v>
      </c>
      <c r="W187" s="53">
        <f>IF(ISERROR(VLOOKUP($T$187,'TAR FIN'!$A$1:$O$113,15,0)),0,VLOOKUP($T$187,'TAR FIN'!$A$1:$O$113,15,0))*(1-0.06)</f>
        <v>67.820999999999998</v>
      </c>
      <c r="X187" s="53">
        <f>IF(ISERROR(VLOOKUP($U$187,'TAR FIN'!$A$1:$O$113,15,0)),0,VLOOKUP($U$187,'TAR FIN'!$A$1:$O$113,15,0))*(1-0.06)</f>
        <v>416.28839999999997</v>
      </c>
      <c r="Y187" s="53">
        <f ca="1">('TUSD BE'!$AM$14+'TUSD BF_350'!$AM$14+'TUSD CVA'!$AM$14)*1*(1-0.03)</f>
        <v>39.734731546617411</v>
      </c>
      <c r="Z187" s="53">
        <f ca="1">('TUSD BE'!$AM$16+'TUSD BF_350'!$AM$16+'TUSD CVA'!$AM$16)*1*(1-0.03)</f>
        <v>118.47633671713493</v>
      </c>
      <c r="AA187" s="53">
        <f ca="1">('TE BE'!$AB$9+'TE BF_350'!$AB$9+'TE CVA'!$AB$9)*1*(1-0.03)</f>
        <v>367.93069999999994</v>
      </c>
      <c r="AB187" s="6">
        <f>$K$187*$V$187</f>
        <v>7059.0239999999994</v>
      </c>
      <c r="AC187" s="6">
        <f>$M$187*$W$187</f>
        <v>664.30669499999999</v>
      </c>
      <c r="AD187" s="6">
        <f>$O$187*$X$187</f>
        <v>4077.5448779999997</v>
      </c>
      <c r="AE187" s="6">
        <f ca="1">$K$187*$Y$187</f>
        <v>8344.293624789656</v>
      </c>
      <c r="AF187" s="6">
        <f ca="1">$M$187*$Z$187</f>
        <v>1160.4757181443365</v>
      </c>
      <c r="AG187" s="6">
        <f ca="1">$O$187*$AA$187</f>
        <v>3603.8812064999993</v>
      </c>
    </row>
    <row r="188" spans="1:33" ht="11.25" customHeight="1" x14ac:dyDescent="0.3">
      <c r="A188" s="4" t="s">
        <v>21</v>
      </c>
      <c r="B188" s="4" t="s">
        <v>39</v>
      </c>
      <c r="C188" s="4" t="s">
        <v>40</v>
      </c>
      <c r="D188" s="4" t="s">
        <v>50</v>
      </c>
      <c r="E188" s="4" t="s">
        <v>51</v>
      </c>
      <c r="F188" s="4" t="s">
        <v>25</v>
      </c>
      <c r="G188" s="4" t="s">
        <v>25</v>
      </c>
      <c r="H188" s="4" t="s">
        <v>34</v>
      </c>
      <c r="I188" s="5">
        <v>44682</v>
      </c>
      <c r="J188" s="6">
        <v>210</v>
      </c>
      <c r="K188" s="52">
        <v>210</v>
      </c>
      <c r="L188" s="6">
        <v>10.18</v>
      </c>
      <c r="M188" s="53">
        <v>10.18</v>
      </c>
      <c r="N188" s="6">
        <v>10.18</v>
      </c>
      <c r="O188" s="53">
        <v>10.18</v>
      </c>
      <c r="P188" s="6">
        <v>0</v>
      </c>
      <c r="Q188" s="4" t="s">
        <v>26</v>
      </c>
      <c r="R188" s="4">
        <v>0</v>
      </c>
      <c r="S188" s="6">
        <v>9</v>
      </c>
      <c r="T188" s="6">
        <v>12</v>
      </c>
      <c r="U188" s="6">
        <v>38</v>
      </c>
      <c r="V188" s="53">
        <f>IF(ISERROR(VLOOKUP($S$188,'TAR FIN'!$A$1:$O$113,15,0)),0,VLOOKUP($S$188,'TAR FIN'!$A$1:$O$113,15,0))*(1-0.06)</f>
        <v>33.614399999999996</v>
      </c>
      <c r="W188" s="53">
        <f>IF(ISERROR(VLOOKUP($T$188,'TAR FIN'!$A$1:$O$113,15,0)),0,VLOOKUP($T$188,'TAR FIN'!$A$1:$O$113,15,0))*(1-0.06)</f>
        <v>67.820999999999998</v>
      </c>
      <c r="X188" s="53">
        <f>IF(ISERROR(VLOOKUP($U$188,'TAR FIN'!$A$1:$O$113,15,0)),0,VLOOKUP($U$188,'TAR FIN'!$A$1:$O$113,15,0))*(1-0.06)</f>
        <v>416.28839999999997</v>
      </c>
      <c r="Y188" s="53">
        <f ca="1">('TUSD BE'!$AM$14+'TUSD BF_350'!$AM$14+'TUSD CVA'!$AM$14)*1*(1-0.03)</f>
        <v>39.734731546617411</v>
      </c>
      <c r="Z188" s="53">
        <f ca="1">('TUSD BE'!$AM$16+'TUSD BF_350'!$AM$16+'TUSD CVA'!$AM$16)*1*(1-0.03)</f>
        <v>118.47633671713493</v>
      </c>
      <c r="AA188" s="53">
        <f ca="1">('TE BE'!$AB$9+'TE BF_350'!$AB$9+'TE CVA'!$AB$9)*1*(1-0.03)</f>
        <v>367.93069999999994</v>
      </c>
      <c r="AB188" s="6">
        <f>$K$188*$V$188</f>
        <v>7059.0239999999994</v>
      </c>
      <c r="AC188" s="6">
        <f>$M$188*$W$188</f>
        <v>690.41777999999999</v>
      </c>
      <c r="AD188" s="6">
        <f>$O$188*$X$188</f>
        <v>4237.8159119999991</v>
      </c>
      <c r="AE188" s="6">
        <f ca="1">$K$188*$Y$188</f>
        <v>8344.293624789656</v>
      </c>
      <c r="AF188" s="6">
        <f ca="1">$M$188*$Z$188</f>
        <v>1206.0891077804336</v>
      </c>
      <c r="AG188" s="6">
        <f ca="1">$O$188*$AA$188</f>
        <v>3745.5345259999995</v>
      </c>
    </row>
    <row r="189" spans="1:33" ht="11.25" customHeight="1" x14ac:dyDescent="0.3">
      <c r="A189" s="4" t="s">
        <v>21</v>
      </c>
      <c r="B189" s="4" t="s">
        <v>39</v>
      </c>
      <c r="C189" s="4" t="s">
        <v>40</v>
      </c>
      <c r="D189" s="4" t="s">
        <v>50</v>
      </c>
      <c r="E189" s="4" t="s">
        <v>51</v>
      </c>
      <c r="F189" s="4" t="s">
        <v>25</v>
      </c>
      <c r="G189" s="4" t="s">
        <v>25</v>
      </c>
      <c r="H189" s="4" t="s">
        <v>34</v>
      </c>
      <c r="I189" s="5">
        <v>44713</v>
      </c>
      <c r="J189" s="6">
        <v>210</v>
      </c>
      <c r="K189" s="52">
        <v>210</v>
      </c>
      <c r="L189" s="6">
        <v>10.914</v>
      </c>
      <c r="M189" s="53">
        <v>10.914</v>
      </c>
      <c r="N189" s="6">
        <v>10.914</v>
      </c>
      <c r="O189" s="53">
        <v>10.914</v>
      </c>
      <c r="P189" s="6">
        <v>0</v>
      </c>
      <c r="Q189" s="4" t="s">
        <v>26</v>
      </c>
      <c r="R189" s="4">
        <v>0</v>
      </c>
      <c r="S189" s="6">
        <v>9</v>
      </c>
      <c r="T189" s="6">
        <v>12</v>
      </c>
      <c r="U189" s="6">
        <v>38</v>
      </c>
      <c r="V189" s="53">
        <f>IF(ISERROR(VLOOKUP($S$189,'TAR FIN'!$A$1:$O$113,15,0)),0,VLOOKUP($S$189,'TAR FIN'!$A$1:$O$113,15,0))*(1-0.06)</f>
        <v>33.614399999999996</v>
      </c>
      <c r="W189" s="53">
        <f>IF(ISERROR(VLOOKUP($T$189,'TAR FIN'!$A$1:$O$113,15,0)),0,VLOOKUP($T$189,'TAR FIN'!$A$1:$O$113,15,0))*(1-0.06)</f>
        <v>67.820999999999998</v>
      </c>
      <c r="X189" s="53">
        <f>IF(ISERROR(VLOOKUP($U$189,'TAR FIN'!$A$1:$O$113,15,0)),0,VLOOKUP($U$189,'TAR FIN'!$A$1:$O$113,15,0))*(1-0.06)</f>
        <v>416.28839999999997</v>
      </c>
      <c r="Y189" s="53">
        <f ca="1">('TUSD BE'!$AM$14+'TUSD BF_350'!$AM$14+'TUSD CVA'!$AM$14)*1*(1-0.03)</f>
        <v>39.734731546617411</v>
      </c>
      <c r="Z189" s="53">
        <f ca="1">('TUSD BE'!$AM$16+'TUSD BF_350'!$AM$16+'TUSD CVA'!$AM$16)*1*(1-0.03)</f>
        <v>118.47633671713493</v>
      </c>
      <c r="AA189" s="53">
        <f ca="1">('TE BE'!$AB$9+'TE BF_350'!$AB$9+'TE CVA'!$AB$9)*1*(1-0.03)</f>
        <v>367.93069999999994</v>
      </c>
      <c r="AB189" s="6">
        <f>$K$189*$V$189</f>
        <v>7059.0239999999994</v>
      </c>
      <c r="AC189" s="6">
        <f>$M$189*$W$189</f>
        <v>740.19839400000001</v>
      </c>
      <c r="AD189" s="6">
        <f>$O$189*$X$189</f>
        <v>4543.3715975999994</v>
      </c>
      <c r="AE189" s="6">
        <f ca="1">$K$189*$Y$189</f>
        <v>8344.293624789656</v>
      </c>
      <c r="AF189" s="6">
        <f ca="1">$M$189*$Z$189</f>
        <v>1293.0507389308107</v>
      </c>
      <c r="AG189" s="6">
        <f ca="1">$O$189*$AA$189</f>
        <v>4015.5956597999993</v>
      </c>
    </row>
    <row r="190" spans="1:33" ht="11.25" customHeight="1" x14ac:dyDescent="0.3">
      <c r="A190" s="4" t="s">
        <v>21</v>
      </c>
      <c r="B190" s="4" t="s">
        <v>39</v>
      </c>
      <c r="C190" s="4" t="s">
        <v>40</v>
      </c>
      <c r="D190" s="4" t="s">
        <v>50</v>
      </c>
      <c r="E190" s="4" t="s">
        <v>51</v>
      </c>
      <c r="F190" s="4" t="s">
        <v>25</v>
      </c>
      <c r="G190" s="4" t="s">
        <v>25</v>
      </c>
      <c r="H190" s="4" t="s">
        <v>34</v>
      </c>
      <c r="I190" s="5">
        <v>44743</v>
      </c>
      <c r="J190" s="6">
        <v>210</v>
      </c>
      <c r="K190" s="52">
        <v>210</v>
      </c>
      <c r="L190" s="6">
        <v>10.762</v>
      </c>
      <c r="M190" s="53">
        <v>10.762</v>
      </c>
      <c r="N190" s="6">
        <v>10.762</v>
      </c>
      <c r="O190" s="53">
        <v>10.762</v>
      </c>
      <c r="P190" s="6">
        <v>0</v>
      </c>
      <c r="Q190" s="4" t="s">
        <v>26</v>
      </c>
      <c r="R190" s="4">
        <v>0</v>
      </c>
      <c r="S190" s="6">
        <v>9</v>
      </c>
      <c r="T190" s="6">
        <v>12</v>
      </c>
      <c r="U190" s="6">
        <v>38</v>
      </c>
      <c r="V190" s="53">
        <f>IF(ISERROR(VLOOKUP($S$190,'TAR FIN'!$A$1:$O$113,15,0)),0,VLOOKUP($S$190,'TAR FIN'!$A$1:$O$113,15,0))*(1-0.06)</f>
        <v>33.614399999999996</v>
      </c>
      <c r="W190" s="53">
        <f>IF(ISERROR(VLOOKUP($T$190,'TAR FIN'!$A$1:$O$113,15,0)),0,VLOOKUP($T$190,'TAR FIN'!$A$1:$O$113,15,0))*(1-0.06)</f>
        <v>67.820999999999998</v>
      </c>
      <c r="X190" s="53">
        <f>IF(ISERROR(VLOOKUP($U$190,'TAR FIN'!$A$1:$O$113,15,0)),0,VLOOKUP($U$190,'TAR FIN'!$A$1:$O$113,15,0))*(1-0.06)</f>
        <v>416.28839999999997</v>
      </c>
      <c r="Y190" s="53">
        <f ca="1">('TUSD BE'!$AM$14+'TUSD BF_350'!$AM$14+'TUSD CVA'!$AM$14)*1*(1-0.03)</f>
        <v>39.734731546617411</v>
      </c>
      <c r="Z190" s="53">
        <f ca="1">('TUSD BE'!$AM$16+'TUSD BF_350'!$AM$16+'TUSD CVA'!$AM$16)*1*(1-0.03)</f>
        <v>118.47633671713493</v>
      </c>
      <c r="AA190" s="53">
        <f ca="1">('TE BE'!$AB$9+'TE BF_350'!$AB$9+'TE CVA'!$AB$9)*1*(1-0.03)</f>
        <v>367.93069999999994</v>
      </c>
      <c r="AB190" s="6">
        <f>$K$190*$V$190</f>
        <v>7059.0239999999994</v>
      </c>
      <c r="AC190" s="6">
        <f>$M$190*$W$190</f>
        <v>729.88960199999997</v>
      </c>
      <c r="AD190" s="6">
        <f>$O$190*$X$190</f>
        <v>4480.0957607999999</v>
      </c>
      <c r="AE190" s="6">
        <f ca="1">$K$190*$Y$190</f>
        <v>8344.293624789656</v>
      </c>
      <c r="AF190" s="6">
        <f ca="1">$M$190*$Z$190</f>
        <v>1275.0423357498062</v>
      </c>
      <c r="AG190" s="6">
        <f ca="1">$O$190*$AA$190</f>
        <v>3959.6701933999998</v>
      </c>
    </row>
    <row r="191" spans="1:33" ht="11.25" customHeight="1" x14ac:dyDescent="0.3">
      <c r="A191" s="4" t="s">
        <v>21</v>
      </c>
      <c r="B191" s="4" t="s">
        <v>39</v>
      </c>
      <c r="C191" s="4" t="s">
        <v>40</v>
      </c>
      <c r="D191" s="4" t="s">
        <v>50</v>
      </c>
      <c r="E191" s="4" t="s">
        <v>51</v>
      </c>
      <c r="F191" s="4" t="s">
        <v>25</v>
      </c>
      <c r="G191" s="4" t="s">
        <v>25</v>
      </c>
      <c r="H191" s="4" t="s">
        <v>34</v>
      </c>
      <c r="I191" s="5">
        <v>44774</v>
      </c>
      <c r="J191" s="6">
        <v>210</v>
      </c>
      <c r="K191" s="52">
        <v>210</v>
      </c>
      <c r="L191" s="6">
        <v>10.159000000000001</v>
      </c>
      <c r="M191" s="53">
        <v>10.159000000000001</v>
      </c>
      <c r="N191" s="6">
        <v>10.159000000000001</v>
      </c>
      <c r="O191" s="53">
        <v>10.159000000000001</v>
      </c>
      <c r="P191" s="6">
        <v>0</v>
      </c>
      <c r="Q191" s="4" t="s">
        <v>26</v>
      </c>
      <c r="R191" s="4">
        <v>0</v>
      </c>
      <c r="S191" s="6">
        <v>9</v>
      </c>
      <c r="T191" s="6">
        <v>12</v>
      </c>
      <c r="U191" s="6">
        <v>38</v>
      </c>
      <c r="V191" s="53">
        <f>IF(ISERROR(VLOOKUP($S$191,'TAR FIN'!$A$1:$O$113,15,0)),0,VLOOKUP($S$191,'TAR FIN'!$A$1:$O$113,15,0))*(1-0.06)</f>
        <v>33.614399999999996</v>
      </c>
      <c r="W191" s="53">
        <f>IF(ISERROR(VLOOKUP($T$191,'TAR FIN'!$A$1:$O$113,15,0)),0,VLOOKUP($T$191,'TAR FIN'!$A$1:$O$113,15,0))*(1-0.06)</f>
        <v>67.820999999999998</v>
      </c>
      <c r="X191" s="53">
        <f>IF(ISERROR(VLOOKUP($U$191,'TAR FIN'!$A$1:$O$113,15,0)),0,VLOOKUP($U$191,'TAR FIN'!$A$1:$O$113,15,0))*(1-0.06)</f>
        <v>416.28839999999997</v>
      </c>
      <c r="Y191" s="53">
        <f ca="1">('TUSD BE'!$AM$14+'TUSD BF_350'!$AM$14+'TUSD CVA'!$AM$14)*1*(1-0.03)</f>
        <v>39.734731546617411</v>
      </c>
      <c r="Z191" s="53">
        <f ca="1">('TUSD BE'!$AM$16+'TUSD BF_350'!$AM$16+'TUSD CVA'!$AM$16)*1*(1-0.03)</f>
        <v>118.47633671713493</v>
      </c>
      <c r="AA191" s="53">
        <f ca="1">('TE BE'!$AB$9+'TE BF_350'!$AB$9+'TE CVA'!$AB$9)*1*(1-0.03)</f>
        <v>367.93069999999994</v>
      </c>
      <c r="AB191" s="6">
        <f>$K$191*$V$191</f>
        <v>7059.0239999999994</v>
      </c>
      <c r="AC191" s="6">
        <f>$M$191*$W$191</f>
        <v>688.99353900000006</v>
      </c>
      <c r="AD191" s="6">
        <f>$O$191*$X$191</f>
        <v>4229.0738555999997</v>
      </c>
      <c r="AE191" s="6">
        <f ca="1">$K$191*$Y$191</f>
        <v>8344.293624789656</v>
      </c>
      <c r="AF191" s="6">
        <f ca="1">$M$191*$Z$191</f>
        <v>1203.6011047093739</v>
      </c>
      <c r="AG191" s="6">
        <f ca="1">$O$191*$AA$191</f>
        <v>3737.8079812999995</v>
      </c>
    </row>
    <row r="192" spans="1:33" ht="11.25" customHeight="1" x14ac:dyDescent="0.3">
      <c r="A192" s="4" t="s">
        <v>21</v>
      </c>
      <c r="B192" s="4" t="s">
        <v>39</v>
      </c>
      <c r="C192" s="4" t="s">
        <v>40</v>
      </c>
      <c r="D192" s="4" t="s">
        <v>50</v>
      </c>
      <c r="E192" s="4" t="s">
        <v>51</v>
      </c>
      <c r="F192" s="4" t="s">
        <v>25</v>
      </c>
      <c r="G192" s="4" t="s">
        <v>25</v>
      </c>
      <c r="H192" s="4" t="s">
        <v>34</v>
      </c>
      <c r="I192" s="5">
        <v>44805</v>
      </c>
      <c r="J192" s="6">
        <v>210</v>
      </c>
      <c r="K192" s="52">
        <v>210</v>
      </c>
      <c r="L192" s="6">
        <v>10.811999999999999</v>
      </c>
      <c r="M192" s="53">
        <v>10.811999999999999</v>
      </c>
      <c r="N192" s="6">
        <v>10.811999999999999</v>
      </c>
      <c r="O192" s="53">
        <v>10.811999999999999</v>
      </c>
      <c r="P192" s="6">
        <v>0</v>
      </c>
      <c r="Q192" s="4" t="s">
        <v>26</v>
      </c>
      <c r="R192" s="4">
        <v>0</v>
      </c>
      <c r="S192" s="6">
        <v>9</v>
      </c>
      <c r="T192" s="6">
        <v>12</v>
      </c>
      <c r="U192" s="6">
        <v>38</v>
      </c>
      <c r="V192" s="53">
        <f>IF(ISERROR(VLOOKUP($S$192,'TAR FIN'!$A$1:$O$113,15,0)),0,VLOOKUP($S$192,'TAR FIN'!$A$1:$O$113,15,0))*(1-0.06)</f>
        <v>33.614399999999996</v>
      </c>
      <c r="W192" s="53">
        <f>IF(ISERROR(VLOOKUP($T$192,'TAR FIN'!$A$1:$O$113,15,0)),0,VLOOKUP($T$192,'TAR FIN'!$A$1:$O$113,15,0))*(1-0.06)</f>
        <v>67.820999999999998</v>
      </c>
      <c r="X192" s="53">
        <f>IF(ISERROR(VLOOKUP($U$192,'TAR FIN'!$A$1:$O$113,15,0)),0,VLOOKUP($U$192,'TAR FIN'!$A$1:$O$113,15,0))*(1-0.06)</f>
        <v>416.28839999999997</v>
      </c>
      <c r="Y192" s="53">
        <f ca="1">('TUSD BE'!$AM$14+'TUSD BF_350'!$AM$14+'TUSD CVA'!$AM$14)*1*(1-0.03)</f>
        <v>39.734731546617411</v>
      </c>
      <c r="Z192" s="53">
        <f ca="1">('TUSD BE'!$AM$16+'TUSD BF_350'!$AM$16+'TUSD CVA'!$AM$16)*1*(1-0.03)</f>
        <v>118.47633671713493</v>
      </c>
      <c r="AA192" s="53">
        <f ca="1">('TE BE'!$AB$9+'TE BF_350'!$AB$9+'TE CVA'!$AB$9)*1*(1-0.03)</f>
        <v>367.93069999999994</v>
      </c>
      <c r="AB192" s="6">
        <f>$K$192*$V$192</f>
        <v>7059.0239999999994</v>
      </c>
      <c r="AC192" s="6">
        <f>$M$192*$W$192</f>
        <v>733.28065199999992</v>
      </c>
      <c r="AD192" s="6">
        <f>$O$192*$X$192</f>
        <v>4500.9101807999996</v>
      </c>
      <c r="AE192" s="6">
        <f ca="1">$K$192*$Y$192</f>
        <v>8344.293624789656</v>
      </c>
      <c r="AF192" s="6">
        <f ca="1">$M$192*$Z$192</f>
        <v>1280.9661525856627</v>
      </c>
      <c r="AG192" s="6">
        <f ca="1">$O$192*$AA$192</f>
        <v>3978.0667283999992</v>
      </c>
    </row>
    <row r="193" spans="1:33" ht="11.25" customHeight="1" x14ac:dyDescent="0.3">
      <c r="A193" s="4" t="s">
        <v>53</v>
      </c>
      <c r="B193" s="4" t="s">
        <v>39</v>
      </c>
      <c r="C193" s="4" t="s">
        <v>40</v>
      </c>
      <c r="D193" s="4" t="s">
        <v>50</v>
      </c>
      <c r="E193" s="4" t="s">
        <v>51</v>
      </c>
      <c r="F193" s="4" t="s">
        <v>25</v>
      </c>
      <c r="G193" s="4" t="s">
        <v>25</v>
      </c>
      <c r="H193" s="4" t="s">
        <v>34</v>
      </c>
      <c r="I193" s="5">
        <v>44835</v>
      </c>
      <c r="J193" s="6">
        <v>210</v>
      </c>
      <c r="K193" s="52">
        <v>210</v>
      </c>
      <c r="L193" s="6">
        <v>10.811999999999999</v>
      </c>
      <c r="M193" s="53">
        <v>10.811999999999999</v>
      </c>
      <c r="N193" s="6">
        <v>10.811999999999999</v>
      </c>
      <c r="O193" s="53">
        <v>10.811999999999999</v>
      </c>
      <c r="P193" s="6">
        <v>0</v>
      </c>
      <c r="Q193" s="4" t="s">
        <v>26</v>
      </c>
      <c r="R193" s="4">
        <v>0</v>
      </c>
      <c r="S193" s="6">
        <v>9</v>
      </c>
      <c r="T193" s="6">
        <v>12</v>
      </c>
      <c r="U193" s="6">
        <v>38</v>
      </c>
      <c r="V193" s="53">
        <f>IF(ISERROR(VLOOKUP($S$193,'TAR FIN'!$A$1:$O$113,15,0)),0,VLOOKUP($S$193,'TAR FIN'!$A$1:$O$113,15,0))*(1-0.06)</f>
        <v>33.614399999999996</v>
      </c>
      <c r="W193" s="53">
        <f>IF(ISERROR(VLOOKUP($T$193,'TAR FIN'!$A$1:$O$113,15,0)),0,VLOOKUP($T$193,'TAR FIN'!$A$1:$O$113,15,0))*(1-0.06)</f>
        <v>67.820999999999998</v>
      </c>
      <c r="X193" s="53">
        <f>IF(ISERROR(VLOOKUP($U$193,'TAR FIN'!$A$1:$O$113,15,0)),0,VLOOKUP($U$193,'TAR FIN'!$A$1:$O$113,15,0))*(1-0.06)</f>
        <v>416.28839999999997</v>
      </c>
      <c r="Y193" s="53">
        <f ca="1">('TUSD BE'!$AM$14+'TUSD BF_350'!$AM$14+'TUSD CVA'!$AM$14)*1*(1-0.03)</f>
        <v>39.734731546617411</v>
      </c>
      <c r="Z193" s="53">
        <f ca="1">('TUSD BE'!$AM$16+'TUSD BF_350'!$AM$16+'TUSD CVA'!$AM$16)*1*(1-0.03)</f>
        <v>118.47633671713493</v>
      </c>
      <c r="AA193" s="53">
        <f ca="1">('TE BE'!$AB$9+'TE BF_350'!$AB$9+'TE CVA'!$AB$9)*1*(1-0.03)</f>
        <v>367.93069999999994</v>
      </c>
      <c r="AB193" s="6">
        <f>$K$193*$V$193</f>
        <v>7059.0239999999994</v>
      </c>
      <c r="AC193" s="6">
        <f>$M$193*$W$193</f>
        <v>733.28065199999992</v>
      </c>
      <c r="AD193" s="6">
        <f>$O$193*$X$193</f>
        <v>4500.9101807999996</v>
      </c>
      <c r="AE193" s="6">
        <f ca="1">$K$193*$Y$193</f>
        <v>8344.293624789656</v>
      </c>
      <c r="AF193" s="6">
        <f ca="1">$M$193*$Z$193</f>
        <v>1280.9661525856627</v>
      </c>
      <c r="AG193" s="6">
        <f ca="1">$O$193*$AA$193</f>
        <v>3978.0667283999992</v>
      </c>
    </row>
    <row r="194" spans="1:33" ht="11.25" customHeight="1" x14ac:dyDescent="0.3">
      <c r="A194" s="4" t="s">
        <v>21</v>
      </c>
      <c r="B194" s="4" t="s">
        <v>39</v>
      </c>
      <c r="C194" s="4" t="s">
        <v>57</v>
      </c>
      <c r="D194" s="4" t="s">
        <v>25</v>
      </c>
      <c r="E194" s="4" t="s">
        <v>25</v>
      </c>
      <c r="F194" s="4" t="s">
        <v>25</v>
      </c>
      <c r="G194" s="4" t="s">
        <v>58</v>
      </c>
      <c r="H194" s="4" t="s">
        <v>25</v>
      </c>
      <c r="I194" s="5">
        <v>44501</v>
      </c>
      <c r="J194" s="6">
        <v>8780</v>
      </c>
      <c r="K194" s="6">
        <v>8780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4" t="s">
        <v>59</v>
      </c>
      <c r="R194" s="4">
        <v>109</v>
      </c>
      <c r="S194" s="6">
        <v>17</v>
      </c>
      <c r="T194" s="6">
        <v>0</v>
      </c>
      <c r="U194" s="6">
        <v>0</v>
      </c>
      <c r="V194" s="6">
        <f>IF(ISERROR(VLOOKUP($S$194,'TAR FIN'!$A$1:$O$113,15,0)),0,VLOOKUP($S$194,'TAR FIN'!$A$1:$O$113,15,0))</f>
        <v>3.27</v>
      </c>
      <c r="W194" s="6">
        <f>IF(ISERROR(VLOOKUP($T$194,'TAR FIN'!$A$1:$O$113,15,0)),0,VLOOKUP($T$194,'TAR FIN'!$A$1:$O$113,15,0))</f>
        <v>0</v>
      </c>
      <c r="X194" s="6">
        <f>IF(ISERROR(VLOOKUP($U$194,'TAR FIN'!$A$1:$O$113,15,0)),0,VLOOKUP($U$194,'TAR FIN'!$A$1:$O$113,15,0))</f>
        <v>0</v>
      </c>
      <c r="Y194" s="6">
        <f ca="1">('TUSD BE'!$AM$18+'TUSD BF_350'!$AM$18+'TUSD CVA'!$AM$18)*1</f>
        <v>3.7426028242520015</v>
      </c>
      <c r="Z194" s="6"/>
      <c r="AA194" s="6"/>
      <c r="AB194" s="6">
        <f>$K$194*$V$194</f>
        <v>28710.6</v>
      </c>
      <c r="AC194" s="6">
        <f>$M$194*$W$194</f>
        <v>0</v>
      </c>
      <c r="AD194" s="6">
        <f>$O$194*$X$194</f>
        <v>0</v>
      </c>
      <c r="AE194" s="6">
        <f ca="1">$K$194*$Y$194</f>
        <v>32860.05279693257</v>
      </c>
      <c r="AF194" s="6">
        <f>$M$194*$Z$194</f>
        <v>0</v>
      </c>
      <c r="AG194" s="6">
        <f>$O$194*$AA$194</f>
        <v>0</v>
      </c>
    </row>
    <row r="195" spans="1:33" ht="11.25" customHeight="1" x14ac:dyDescent="0.3">
      <c r="A195" s="4" t="s">
        <v>21</v>
      </c>
      <c r="B195" s="4" t="s">
        <v>39</v>
      </c>
      <c r="C195" s="4" t="s">
        <v>57</v>
      </c>
      <c r="D195" s="4" t="s">
        <v>25</v>
      </c>
      <c r="E195" s="4" t="s">
        <v>25</v>
      </c>
      <c r="F195" s="4" t="s">
        <v>25</v>
      </c>
      <c r="G195" s="4" t="s">
        <v>58</v>
      </c>
      <c r="H195" s="4" t="s">
        <v>25</v>
      </c>
      <c r="I195" s="5">
        <v>44531</v>
      </c>
      <c r="J195" s="6">
        <v>8780</v>
      </c>
      <c r="K195" s="6">
        <v>8780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4" t="s">
        <v>59</v>
      </c>
      <c r="R195" s="4">
        <v>109</v>
      </c>
      <c r="S195" s="6">
        <v>17</v>
      </c>
      <c r="T195" s="6">
        <v>0</v>
      </c>
      <c r="U195" s="6">
        <v>0</v>
      </c>
      <c r="V195" s="6">
        <f>IF(ISERROR(VLOOKUP($S$195,'TAR FIN'!$A$1:$O$113,15,0)),0,VLOOKUP($S$195,'TAR FIN'!$A$1:$O$113,15,0))</f>
        <v>3.27</v>
      </c>
      <c r="W195" s="6">
        <f>IF(ISERROR(VLOOKUP($T$195,'TAR FIN'!$A$1:$O$113,15,0)),0,VLOOKUP($T$195,'TAR FIN'!$A$1:$O$113,15,0))</f>
        <v>0</v>
      </c>
      <c r="X195" s="6">
        <f>IF(ISERROR(VLOOKUP($U$195,'TAR FIN'!$A$1:$O$113,15,0)),0,VLOOKUP($U$195,'TAR FIN'!$A$1:$O$113,15,0))</f>
        <v>0</v>
      </c>
      <c r="Y195" s="6">
        <f ca="1">('TUSD BE'!$AM$18+'TUSD BF_350'!$AM$18+'TUSD CVA'!$AM$18)*1</f>
        <v>3.7426028242520015</v>
      </c>
      <c r="Z195" s="6"/>
      <c r="AA195" s="6"/>
      <c r="AB195" s="6">
        <f>$K$195*$V$195</f>
        <v>28710.6</v>
      </c>
      <c r="AC195" s="6">
        <f>$M$195*$W$195</f>
        <v>0</v>
      </c>
      <c r="AD195" s="6">
        <f>$O$195*$X$195</f>
        <v>0</v>
      </c>
      <c r="AE195" s="6">
        <f ca="1">$K$195*$Y$195</f>
        <v>32860.05279693257</v>
      </c>
      <c r="AF195" s="6">
        <f>$M$195*$Z$195</f>
        <v>0</v>
      </c>
      <c r="AG195" s="6">
        <f>$O$195*$AA$195</f>
        <v>0</v>
      </c>
    </row>
    <row r="196" spans="1:33" ht="11.25" customHeight="1" x14ac:dyDescent="0.3">
      <c r="A196" s="4" t="s">
        <v>21</v>
      </c>
      <c r="B196" s="4" t="s">
        <v>39</v>
      </c>
      <c r="C196" s="4" t="s">
        <v>57</v>
      </c>
      <c r="D196" s="4" t="s">
        <v>25</v>
      </c>
      <c r="E196" s="4" t="s">
        <v>25</v>
      </c>
      <c r="F196" s="4" t="s">
        <v>25</v>
      </c>
      <c r="G196" s="4" t="s">
        <v>58</v>
      </c>
      <c r="H196" s="4" t="s">
        <v>25</v>
      </c>
      <c r="I196" s="5">
        <v>44562</v>
      </c>
      <c r="J196" s="6">
        <v>8780</v>
      </c>
      <c r="K196" s="6">
        <v>8780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4" t="s">
        <v>59</v>
      </c>
      <c r="R196" s="4">
        <v>109</v>
      </c>
      <c r="S196" s="6">
        <v>17</v>
      </c>
      <c r="T196" s="6">
        <v>0</v>
      </c>
      <c r="U196" s="6">
        <v>0</v>
      </c>
      <c r="V196" s="6">
        <f>IF(ISERROR(VLOOKUP($S$196,'TAR FIN'!$A$1:$O$113,15,0)),0,VLOOKUP($S$196,'TAR FIN'!$A$1:$O$113,15,0))</f>
        <v>3.27</v>
      </c>
      <c r="W196" s="6">
        <f>IF(ISERROR(VLOOKUP($T$196,'TAR FIN'!$A$1:$O$113,15,0)),0,VLOOKUP($T$196,'TAR FIN'!$A$1:$O$113,15,0))</f>
        <v>0</v>
      </c>
      <c r="X196" s="6">
        <f>IF(ISERROR(VLOOKUP($U$196,'TAR FIN'!$A$1:$O$113,15,0)),0,VLOOKUP($U$196,'TAR FIN'!$A$1:$O$113,15,0))</f>
        <v>0</v>
      </c>
      <c r="Y196" s="6">
        <f ca="1">('TUSD BE'!$AM$18+'TUSD BF_350'!$AM$18+'TUSD CVA'!$AM$18)*1</f>
        <v>3.7426028242520015</v>
      </c>
      <c r="Z196" s="6"/>
      <c r="AA196" s="6"/>
      <c r="AB196" s="6">
        <f>$K$196*$V$196</f>
        <v>28710.6</v>
      </c>
      <c r="AC196" s="6">
        <f>$M$196*$W$196</f>
        <v>0</v>
      </c>
      <c r="AD196" s="6">
        <f>$O$196*$X$196</f>
        <v>0</v>
      </c>
      <c r="AE196" s="6">
        <f ca="1">$K$196*$Y$196</f>
        <v>32860.05279693257</v>
      </c>
      <c r="AF196" s="6">
        <f>$M$196*$Z$196</f>
        <v>0</v>
      </c>
      <c r="AG196" s="6">
        <f>$O$196*$AA$196</f>
        <v>0</v>
      </c>
    </row>
    <row r="197" spans="1:33" ht="11.25" customHeight="1" x14ac:dyDescent="0.3">
      <c r="A197" s="4" t="s">
        <v>21</v>
      </c>
      <c r="B197" s="4" t="s">
        <v>39</v>
      </c>
      <c r="C197" s="4" t="s">
        <v>57</v>
      </c>
      <c r="D197" s="4" t="s">
        <v>25</v>
      </c>
      <c r="E197" s="4" t="s">
        <v>25</v>
      </c>
      <c r="F197" s="4" t="s">
        <v>25</v>
      </c>
      <c r="G197" s="4" t="s">
        <v>58</v>
      </c>
      <c r="H197" s="4" t="s">
        <v>25</v>
      </c>
      <c r="I197" s="5">
        <v>44593</v>
      </c>
      <c r="J197" s="6">
        <v>8780</v>
      </c>
      <c r="K197" s="6">
        <v>8780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4" t="s">
        <v>59</v>
      </c>
      <c r="R197" s="4">
        <v>109</v>
      </c>
      <c r="S197" s="6">
        <v>17</v>
      </c>
      <c r="T197" s="6">
        <v>0</v>
      </c>
      <c r="U197" s="6">
        <v>0</v>
      </c>
      <c r="V197" s="6">
        <f>IF(ISERROR(VLOOKUP($S$197,'TAR FIN'!$A$1:$O$113,15,0)),0,VLOOKUP($S$197,'TAR FIN'!$A$1:$O$113,15,0))</f>
        <v>3.27</v>
      </c>
      <c r="W197" s="6">
        <f>IF(ISERROR(VLOOKUP($T$197,'TAR FIN'!$A$1:$O$113,15,0)),0,VLOOKUP($T$197,'TAR FIN'!$A$1:$O$113,15,0))</f>
        <v>0</v>
      </c>
      <c r="X197" s="6">
        <f>IF(ISERROR(VLOOKUP($U$197,'TAR FIN'!$A$1:$O$113,15,0)),0,VLOOKUP($U$197,'TAR FIN'!$A$1:$O$113,15,0))</f>
        <v>0</v>
      </c>
      <c r="Y197" s="6">
        <f ca="1">('TUSD BE'!$AM$18+'TUSD BF_350'!$AM$18+'TUSD CVA'!$AM$18)*1</f>
        <v>3.7426028242520015</v>
      </c>
      <c r="Z197" s="6"/>
      <c r="AA197" s="6"/>
      <c r="AB197" s="6">
        <f>$K$197*$V$197</f>
        <v>28710.6</v>
      </c>
      <c r="AC197" s="6">
        <f>$M$197*$W$197</f>
        <v>0</v>
      </c>
      <c r="AD197" s="6">
        <f>$O$197*$X$197</f>
        <v>0</v>
      </c>
      <c r="AE197" s="6">
        <f ca="1">$K$197*$Y$197</f>
        <v>32860.05279693257</v>
      </c>
      <c r="AF197" s="6">
        <f>$M$197*$Z$197</f>
        <v>0</v>
      </c>
      <c r="AG197" s="6">
        <f>$O$197*$AA$197</f>
        <v>0</v>
      </c>
    </row>
    <row r="198" spans="1:33" ht="11.25" customHeight="1" x14ac:dyDescent="0.3">
      <c r="A198" s="4" t="s">
        <v>21</v>
      </c>
      <c r="B198" s="4" t="s">
        <v>39</v>
      </c>
      <c r="C198" s="4" t="s">
        <v>57</v>
      </c>
      <c r="D198" s="4" t="s">
        <v>25</v>
      </c>
      <c r="E198" s="4" t="s">
        <v>25</v>
      </c>
      <c r="F198" s="4" t="s">
        <v>25</v>
      </c>
      <c r="G198" s="4" t="s">
        <v>58</v>
      </c>
      <c r="H198" s="4" t="s">
        <v>25</v>
      </c>
      <c r="I198" s="5">
        <v>44621</v>
      </c>
      <c r="J198" s="6">
        <v>8780</v>
      </c>
      <c r="K198" s="6">
        <v>8780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4" t="s">
        <v>59</v>
      </c>
      <c r="R198" s="4">
        <v>109</v>
      </c>
      <c r="S198" s="6">
        <v>17</v>
      </c>
      <c r="T198" s="6">
        <v>0</v>
      </c>
      <c r="U198" s="6">
        <v>0</v>
      </c>
      <c r="V198" s="6">
        <f>IF(ISERROR(VLOOKUP($S$198,'TAR FIN'!$A$1:$O$113,15,0)),0,VLOOKUP($S$198,'TAR FIN'!$A$1:$O$113,15,0))</f>
        <v>3.27</v>
      </c>
      <c r="W198" s="6">
        <f>IF(ISERROR(VLOOKUP($T$198,'TAR FIN'!$A$1:$O$113,15,0)),0,VLOOKUP($T$198,'TAR FIN'!$A$1:$O$113,15,0))</f>
        <v>0</v>
      </c>
      <c r="X198" s="6">
        <f>IF(ISERROR(VLOOKUP($U$198,'TAR FIN'!$A$1:$O$113,15,0)),0,VLOOKUP($U$198,'TAR FIN'!$A$1:$O$113,15,0))</f>
        <v>0</v>
      </c>
      <c r="Y198" s="6">
        <f ca="1">('TUSD BE'!$AM$18+'TUSD BF_350'!$AM$18+'TUSD CVA'!$AM$18)*1</f>
        <v>3.7426028242520015</v>
      </c>
      <c r="Z198" s="6"/>
      <c r="AA198" s="6"/>
      <c r="AB198" s="6">
        <f>$K$198*$V$198</f>
        <v>28710.6</v>
      </c>
      <c r="AC198" s="6">
        <f>$M$198*$W$198</f>
        <v>0</v>
      </c>
      <c r="AD198" s="6">
        <f>$O$198*$X$198</f>
        <v>0</v>
      </c>
      <c r="AE198" s="6">
        <f ca="1">$K$198*$Y$198</f>
        <v>32860.05279693257</v>
      </c>
      <c r="AF198" s="6">
        <f>$M$198*$Z$198</f>
        <v>0</v>
      </c>
      <c r="AG198" s="6">
        <f>$O$198*$AA$198</f>
        <v>0</v>
      </c>
    </row>
    <row r="199" spans="1:33" ht="11.25" customHeight="1" x14ac:dyDescent="0.3">
      <c r="A199" s="4" t="s">
        <v>21</v>
      </c>
      <c r="B199" s="4" t="s">
        <v>39</v>
      </c>
      <c r="C199" s="4" t="s">
        <v>57</v>
      </c>
      <c r="D199" s="4" t="s">
        <v>25</v>
      </c>
      <c r="E199" s="4" t="s">
        <v>25</v>
      </c>
      <c r="F199" s="4" t="s">
        <v>25</v>
      </c>
      <c r="G199" s="4" t="s">
        <v>58</v>
      </c>
      <c r="H199" s="4" t="s">
        <v>25</v>
      </c>
      <c r="I199" s="5">
        <v>44652</v>
      </c>
      <c r="J199" s="6">
        <v>8780</v>
      </c>
      <c r="K199" s="6">
        <v>8780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4" t="s">
        <v>59</v>
      </c>
      <c r="R199" s="4">
        <v>109</v>
      </c>
      <c r="S199" s="6">
        <v>17</v>
      </c>
      <c r="T199" s="6">
        <v>0</v>
      </c>
      <c r="U199" s="6">
        <v>0</v>
      </c>
      <c r="V199" s="6">
        <f>IF(ISERROR(VLOOKUP($S$199,'TAR FIN'!$A$1:$O$113,15,0)),0,VLOOKUP($S$199,'TAR FIN'!$A$1:$O$113,15,0))</f>
        <v>3.27</v>
      </c>
      <c r="W199" s="6">
        <f>IF(ISERROR(VLOOKUP($T$199,'TAR FIN'!$A$1:$O$113,15,0)),0,VLOOKUP($T$199,'TAR FIN'!$A$1:$O$113,15,0))</f>
        <v>0</v>
      </c>
      <c r="X199" s="6">
        <f>IF(ISERROR(VLOOKUP($U$199,'TAR FIN'!$A$1:$O$113,15,0)),0,VLOOKUP($U$199,'TAR FIN'!$A$1:$O$113,15,0))</f>
        <v>0</v>
      </c>
      <c r="Y199" s="6">
        <f ca="1">('TUSD BE'!$AM$18+'TUSD BF_350'!$AM$18+'TUSD CVA'!$AM$18)*1</f>
        <v>3.7426028242520015</v>
      </c>
      <c r="Z199" s="6"/>
      <c r="AA199" s="6"/>
      <c r="AB199" s="6">
        <f>$K$199*$V$199</f>
        <v>28710.6</v>
      </c>
      <c r="AC199" s="6">
        <f>$M$199*$W$199</f>
        <v>0</v>
      </c>
      <c r="AD199" s="6">
        <f>$O$199*$X$199</f>
        <v>0</v>
      </c>
      <c r="AE199" s="6">
        <f ca="1">$K$199*$Y$199</f>
        <v>32860.05279693257</v>
      </c>
      <c r="AF199" s="6">
        <f>$M$199*$Z$199</f>
        <v>0</v>
      </c>
      <c r="AG199" s="6">
        <f>$O$199*$AA$199</f>
        <v>0</v>
      </c>
    </row>
    <row r="200" spans="1:33" ht="11.25" customHeight="1" x14ac:dyDescent="0.3">
      <c r="A200" s="4" t="s">
        <v>21</v>
      </c>
      <c r="B200" s="4" t="s">
        <v>39</v>
      </c>
      <c r="C200" s="4" t="s">
        <v>57</v>
      </c>
      <c r="D200" s="4" t="s">
        <v>25</v>
      </c>
      <c r="E200" s="4" t="s">
        <v>25</v>
      </c>
      <c r="F200" s="4" t="s">
        <v>25</v>
      </c>
      <c r="G200" s="4" t="s">
        <v>58</v>
      </c>
      <c r="H200" s="4" t="s">
        <v>25</v>
      </c>
      <c r="I200" s="5">
        <v>44682</v>
      </c>
      <c r="J200" s="6">
        <v>8780</v>
      </c>
      <c r="K200" s="6">
        <v>8780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4" t="s">
        <v>59</v>
      </c>
      <c r="R200" s="4">
        <v>109</v>
      </c>
      <c r="S200" s="6">
        <v>17</v>
      </c>
      <c r="T200" s="6">
        <v>0</v>
      </c>
      <c r="U200" s="6">
        <v>0</v>
      </c>
      <c r="V200" s="6">
        <f>IF(ISERROR(VLOOKUP($S$200,'TAR FIN'!$A$1:$O$113,15,0)),0,VLOOKUP($S$200,'TAR FIN'!$A$1:$O$113,15,0))</f>
        <v>3.27</v>
      </c>
      <c r="W200" s="6">
        <f>IF(ISERROR(VLOOKUP($T$200,'TAR FIN'!$A$1:$O$113,15,0)),0,VLOOKUP($T$200,'TAR FIN'!$A$1:$O$113,15,0))</f>
        <v>0</v>
      </c>
      <c r="X200" s="6">
        <f>IF(ISERROR(VLOOKUP($U$200,'TAR FIN'!$A$1:$O$113,15,0)),0,VLOOKUP($U$200,'TAR FIN'!$A$1:$O$113,15,0))</f>
        <v>0</v>
      </c>
      <c r="Y200" s="6">
        <f ca="1">('TUSD BE'!$AM$18+'TUSD BF_350'!$AM$18+'TUSD CVA'!$AM$18)*1</f>
        <v>3.7426028242520015</v>
      </c>
      <c r="Z200" s="6"/>
      <c r="AA200" s="6"/>
      <c r="AB200" s="6">
        <f>$K$200*$V$200</f>
        <v>28710.6</v>
      </c>
      <c r="AC200" s="6">
        <f>$M$200*$W$200</f>
        <v>0</v>
      </c>
      <c r="AD200" s="6">
        <f>$O$200*$X$200</f>
        <v>0</v>
      </c>
      <c r="AE200" s="6">
        <f ca="1">$K$200*$Y$200</f>
        <v>32860.05279693257</v>
      </c>
      <c r="AF200" s="6">
        <f>$M$200*$Z$200</f>
        <v>0</v>
      </c>
      <c r="AG200" s="6">
        <f>$O$200*$AA$200</f>
        <v>0</v>
      </c>
    </row>
    <row r="201" spans="1:33" ht="11.25" customHeight="1" x14ac:dyDescent="0.3">
      <c r="A201" s="4" t="s">
        <v>21</v>
      </c>
      <c r="B201" s="4" t="s">
        <v>39</v>
      </c>
      <c r="C201" s="4" t="s">
        <v>57</v>
      </c>
      <c r="D201" s="4" t="s">
        <v>25</v>
      </c>
      <c r="E201" s="4" t="s">
        <v>25</v>
      </c>
      <c r="F201" s="4" t="s">
        <v>25</v>
      </c>
      <c r="G201" s="4" t="s">
        <v>58</v>
      </c>
      <c r="H201" s="4" t="s">
        <v>25</v>
      </c>
      <c r="I201" s="5">
        <v>44713</v>
      </c>
      <c r="J201" s="6">
        <v>8780</v>
      </c>
      <c r="K201" s="6">
        <v>8780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4" t="s">
        <v>59</v>
      </c>
      <c r="R201" s="4">
        <v>109</v>
      </c>
      <c r="S201" s="6">
        <v>17</v>
      </c>
      <c r="T201" s="6">
        <v>0</v>
      </c>
      <c r="U201" s="6">
        <v>0</v>
      </c>
      <c r="V201" s="6">
        <f>IF(ISERROR(VLOOKUP($S$201,'TAR FIN'!$A$1:$O$113,15,0)),0,VLOOKUP($S$201,'TAR FIN'!$A$1:$O$113,15,0))</f>
        <v>3.27</v>
      </c>
      <c r="W201" s="6">
        <f>IF(ISERROR(VLOOKUP($T$201,'TAR FIN'!$A$1:$O$113,15,0)),0,VLOOKUP($T$201,'TAR FIN'!$A$1:$O$113,15,0))</f>
        <v>0</v>
      </c>
      <c r="X201" s="6">
        <f>IF(ISERROR(VLOOKUP($U$201,'TAR FIN'!$A$1:$O$113,15,0)),0,VLOOKUP($U$201,'TAR FIN'!$A$1:$O$113,15,0))</f>
        <v>0</v>
      </c>
      <c r="Y201" s="6">
        <f ca="1">('TUSD BE'!$AM$18+'TUSD BF_350'!$AM$18+'TUSD CVA'!$AM$18)*1</f>
        <v>3.7426028242520015</v>
      </c>
      <c r="Z201" s="6"/>
      <c r="AA201" s="6"/>
      <c r="AB201" s="6">
        <f>$K$201*$V$201</f>
        <v>28710.6</v>
      </c>
      <c r="AC201" s="6">
        <f>$M$201*$W$201</f>
        <v>0</v>
      </c>
      <c r="AD201" s="6">
        <f>$O$201*$X$201</f>
        <v>0</v>
      </c>
      <c r="AE201" s="6">
        <f ca="1">$K$201*$Y$201</f>
        <v>32860.05279693257</v>
      </c>
      <c r="AF201" s="6">
        <f>$M$201*$Z$201</f>
        <v>0</v>
      </c>
      <c r="AG201" s="6">
        <f>$O$201*$AA$201</f>
        <v>0</v>
      </c>
    </row>
    <row r="202" spans="1:33" ht="11.25" customHeight="1" x14ac:dyDescent="0.3">
      <c r="A202" s="4" t="s">
        <v>21</v>
      </c>
      <c r="B202" s="4" t="s">
        <v>39</v>
      </c>
      <c r="C202" s="4" t="s">
        <v>57</v>
      </c>
      <c r="D202" s="4" t="s">
        <v>25</v>
      </c>
      <c r="E202" s="4" t="s">
        <v>25</v>
      </c>
      <c r="F202" s="4" t="s">
        <v>25</v>
      </c>
      <c r="G202" s="4" t="s">
        <v>58</v>
      </c>
      <c r="H202" s="4" t="s">
        <v>25</v>
      </c>
      <c r="I202" s="5">
        <v>44743</v>
      </c>
      <c r="J202" s="6">
        <v>8780</v>
      </c>
      <c r="K202" s="6">
        <v>8780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4" t="s">
        <v>59</v>
      </c>
      <c r="R202" s="4">
        <v>109</v>
      </c>
      <c r="S202" s="6">
        <v>17</v>
      </c>
      <c r="T202" s="6">
        <v>0</v>
      </c>
      <c r="U202" s="6">
        <v>0</v>
      </c>
      <c r="V202" s="6">
        <f>IF(ISERROR(VLOOKUP($S$202,'TAR FIN'!$A$1:$O$113,15,0)),0,VLOOKUP($S$202,'TAR FIN'!$A$1:$O$113,15,0))</f>
        <v>3.27</v>
      </c>
      <c r="W202" s="6">
        <f>IF(ISERROR(VLOOKUP($T$202,'TAR FIN'!$A$1:$O$113,15,0)),0,VLOOKUP($T$202,'TAR FIN'!$A$1:$O$113,15,0))</f>
        <v>0</v>
      </c>
      <c r="X202" s="6">
        <f>IF(ISERROR(VLOOKUP($U$202,'TAR FIN'!$A$1:$O$113,15,0)),0,VLOOKUP($U$202,'TAR FIN'!$A$1:$O$113,15,0))</f>
        <v>0</v>
      </c>
      <c r="Y202" s="6">
        <f ca="1">('TUSD BE'!$AM$18+'TUSD BF_350'!$AM$18+'TUSD CVA'!$AM$18)*1</f>
        <v>3.7426028242520015</v>
      </c>
      <c r="Z202" s="6"/>
      <c r="AA202" s="6"/>
      <c r="AB202" s="6">
        <f>$K$202*$V$202</f>
        <v>28710.6</v>
      </c>
      <c r="AC202" s="6">
        <f>$M$202*$W$202</f>
        <v>0</v>
      </c>
      <c r="AD202" s="6">
        <f>$O$202*$X$202</f>
        <v>0</v>
      </c>
      <c r="AE202" s="6">
        <f ca="1">$K$202*$Y$202</f>
        <v>32860.05279693257</v>
      </c>
      <c r="AF202" s="6">
        <f>$M$202*$Z$202</f>
        <v>0</v>
      </c>
      <c r="AG202" s="6">
        <f>$O$202*$AA$202</f>
        <v>0</v>
      </c>
    </row>
    <row r="203" spans="1:33" ht="11.25" customHeight="1" x14ac:dyDescent="0.3">
      <c r="A203" s="4" t="s">
        <v>21</v>
      </c>
      <c r="B203" s="4" t="s">
        <v>39</v>
      </c>
      <c r="C203" s="4" t="s">
        <v>57</v>
      </c>
      <c r="D203" s="4" t="s">
        <v>25</v>
      </c>
      <c r="E203" s="4" t="s">
        <v>25</v>
      </c>
      <c r="F203" s="4" t="s">
        <v>25</v>
      </c>
      <c r="G203" s="4" t="s">
        <v>58</v>
      </c>
      <c r="H203" s="4" t="s">
        <v>25</v>
      </c>
      <c r="I203" s="5">
        <v>44774</v>
      </c>
      <c r="J203" s="6">
        <v>8780</v>
      </c>
      <c r="K203" s="6">
        <v>8780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4" t="s">
        <v>59</v>
      </c>
      <c r="R203" s="4">
        <v>109</v>
      </c>
      <c r="S203" s="6">
        <v>17</v>
      </c>
      <c r="T203" s="6">
        <v>0</v>
      </c>
      <c r="U203" s="6">
        <v>0</v>
      </c>
      <c r="V203" s="6">
        <f>IF(ISERROR(VLOOKUP($S$203,'TAR FIN'!$A$1:$O$113,15,0)),0,VLOOKUP($S$203,'TAR FIN'!$A$1:$O$113,15,0))</f>
        <v>3.27</v>
      </c>
      <c r="W203" s="6">
        <f>IF(ISERROR(VLOOKUP($T$203,'TAR FIN'!$A$1:$O$113,15,0)),0,VLOOKUP($T$203,'TAR FIN'!$A$1:$O$113,15,0))</f>
        <v>0</v>
      </c>
      <c r="X203" s="6">
        <f>IF(ISERROR(VLOOKUP($U$203,'TAR FIN'!$A$1:$O$113,15,0)),0,VLOOKUP($U$203,'TAR FIN'!$A$1:$O$113,15,0))</f>
        <v>0</v>
      </c>
      <c r="Y203" s="6">
        <f ca="1">('TUSD BE'!$AM$18+'TUSD BF_350'!$AM$18+'TUSD CVA'!$AM$18)*1</f>
        <v>3.7426028242520015</v>
      </c>
      <c r="Z203" s="6"/>
      <c r="AA203" s="6"/>
      <c r="AB203" s="6">
        <f>$K$203*$V$203</f>
        <v>28710.6</v>
      </c>
      <c r="AC203" s="6">
        <f>$M$203*$W$203</f>
        <v>0</v>
      </c>
      <c r="AD203" s="6">
        <f>$O$203*$X$203</f>
        <v>0</v>
      </c>
      <c r="AE203" s="6">
        <f ca="1">$K$203*$Y$203</f>
        <v>32860.05279693257</v>
      </c>
      <c r="AF203" s="6">
        <f>$M$203*$Z$203</f>
        <v>0</v>
      </c>
      <c r="AG203" s="6">
        <f>$O$203*$AA$203</f>
        <v>0</v>
      </c>
    </row>
    <row r="204" spans="1:33" ht="11.25" customHeight="1" x14ac:dyDescent="0.3">
      <c r="A204" s="4" t="s">
        <v>21</v>
      </c>
      <c r="B204" s="4" t="s">
        <v>39</v>
      </c>
      <c r="C204" s="4" t="s">
        <v>57</v>
      </c>
      <c r="D204" s="4" t="s">
        <v>25</v>
      </c>
      <c r="E204" s="4" t="s">
        <v>25</v>
      </c>
      <c r="F204" s="4" t="s">
        <v>25</v>
      </c>
      <c r="G204" s="4" t="s">
        <v>58</v>
      </c>
      <c r="H204" s="4" t="s">
        <v>25</v>
      </c>
      <c r="I204" s="5">
        <v>44805</v>
      </c>
      <c r="J204" s="6">
        <v>8780</v>
      </c>
      <c r="K204" s="6">
        <v>8780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4" t="s">
        <v>59</v>
      </c>
      <c r="R204" s="4">
        <v>109</v>
      </c>
      <c r="S204" s="6">
        <v>17</v>
      </c>
      <c r="T204" s="6">
        <v>0</v>
      </c>
      <c r="U204" s="6">
        <v>0</v>
      </c>
      <c r="V204" s="6">
        <f>IF(ISERROR(VLOOKUP($S$204,'TAR FIN'!$A$1:$O$113,15,0)),0,VLOOKUP($S$204,'TAR FIN'!$A$1:$O$113,15,0))</f>
        <v>3.27</v>
      </c>
      <c r="W204" s="6">
        <f>IF(ISERROR(VLOOKUP($T$204,'TAR FIN'!$A$1:$O$113,15,0)),0,VLOOKUP($T$204,'TAR FIN'!$A$1:$O$113,15,0))</f>
        <v>0</v>
      </c>
      <c r="X204" s="6">
        <f>IF(ISERROR(VLOOKUP($U$204,'TAR FIN'!$A$1:$O$113,15,0)),0,VLOOKUP($U$204,'TAR FIN'!$A$1:$O$113,15,0))</f>
        <v>0</v>
      </c>
      <c r="Y204" s="6">
        <f ca="1">('TUSD BE'!$AM$18+'TUSD BF_350'!$AM$18+'TUSD CVA'!$AM$18)*1</f>
        <v>3.7426028242520015</v>
      </c>
      <c r="Z204" s="6"/>
      <c r="AA204" s="6"/>
      <c r="AB204" s="6">
        <f>$K$204*$V$204</f>
        <v>28710.6</v>
      </c>
      <c r="AC204" s="6">
        <f>$M$204*$W$204</f>
        <v>0</v>
      </c>
      <c r="AD204" s="6">
        <f>$O$204*$X$204</f>
        <v>0</v>
      </c>
      <c r="AE204" s="6">
        <f ca="1">$K$204*$Y$204</f>
        <v>32860.05279693257</v>
      </c>
      <c r="AF204" s="6">
        <f>$M$204*$Z$204</f>
        <v>0</v>
      </c>
      <c r="AG204" s="6">
        <f>$O$204*$AA$204</f>
        <v>0</v>
      </c>
    </row>
    <row r="205" spans="1:33" ht="11.25" customHeight="1" x14ac:dyDescent="0.3">
      <c r="A205" s="4" t="s">
        <v>53</v>
      </c>
      <c r="B205" s="4" t="s">
        <v>39</v>
      </c>
      <c r="C205" s="4" t="s">
        <v>57</v>
      </c>
      <c r="D205" s="4" t="s">
        <v>25</v>
      </c>
      <c r="E205" s="4" t="s">
        <v>25</v>
      </c>
      <c r="F205" s="4" t="s">
        <v>25</v>
      </c>
      <c r="G205" s="4" t="s">
        <v>58</v>
      </c>
      <c r="H205" s="4" t="s">
        <v>25</v>
      </c>
      <c r="I205" s="5">
        <v>44835</v>
      </c>
      <c r="J205" s="6">
        <v>8780</v>
      </c>
      <c r="K205" s="6">
        <v>8780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4" t="s">
        <v>59</v>
      </c>
      <c r="R205" s="4">
        <v>109</v>
      </c>
      <c r="S205" s="6">
        <v>17</v>
      </c>
      <c r="T205" s="6">
        <v>0</v>
      </c>
      <c r="U205" s="6">
        <v>0</v>
      </c>
      <c r="V205" s="6">
        <f>IF(ISERROR(VLOOKUP($S$205,'TAR FIN'!$A$1:$O$113,15,0)),0,VLOOKUP($S$205,'TAR FIN'!$A$1:$O$113,15,0))</f>
        <v>3.27</v>
      </c>
      <c r="W205" s="6">
        <f>IF(ISERROR(VLOOKUP($T$205,'TAR FIN'!$A$1:$O$113,15,0)),0,VLOOKUP($T$205,'TAR FIN'!$A$1:$O$113,15,0))</f>
        <v>0</v>
      </c>
      <c r="X205" s="6">
        <f>IF(ISERROR(VLOOKUP($U$205,'TAR FIN'!$A$1:$O$113,15,0)),0,VLOOKUP($U$205,'TAR FIN'!$A$1:$O$113,15,0))</f>
        <v>0</v>
      </c>
      <c r="Y205" s="6">
        <f ca="1">('TUSD BE'!$AM$18+'TUSD BF_350'!$AM$18+'TUSD CVA'!$AM$18)*1</f>
        <v>3.7426028242520015</v>
      </c>
      <c r="Z205" s="6"/>
      <c r="AA205" s="6"/>
      <c r="AB205" s="6">
        <f>$K$205*$V$205</f>
        <v>28710.6</v>
      </c>
      <c r="AC205" s="6">
        <f>$M$205*$W$205</f>
        <v>0</v>
      </c>
      <c r="AD205" s="6">
        <f>$O$205*$X$205</f>
        <v>0</v>
      </c>
      <c r="AE205" s="6">
        <f ca="1">$K$205*$Y$205</f>
        <v>32860.05279693257</v>
      </c>
      <c r="AF205" s="6">
        <f>$M$205*$Z$205</f>
        <v>0</v>
      </c>
      <c r="AG205" s="6">
        <f>$O$205*$AA$205</f>
        <v>0</v>
      </c>
    </row>
    <row r="206" spans="1:33" ht="11.25" customHeight="1" x14ac:dyDescent="0.3">
      <c r="A206" s="4" t="s">
        <v>21</v>
      </c>
      <c r="B206" s="4" t="s">
        <v>39</v>
      </c>
      <c r="C206" s="4" t="s">
        <v>41</v>
      </c>
      <c r="D206" s="4" t="s">
        <v>42</v>
      </c>
      <c r="E206" s="4" t="s">
        <v>25</v>
      </c>
      <c r="F206" s="4" t="s">
        <v>25</v>
      </c>
      <c r="G206" s="4" t="s">
        <v>25</v>
      </c>
      <c r="H206" s="4" t="s">
        <v>35</v>
      </c>
      <c r="I206" s="5">
        <v>44501</v>
      </c>
      <c r="J206" s="6">
        <v>0</v>
      </c>
      <c r="K206" s="6">
        <v>0</v>
      </c>
      <c r="L206" s="6">
        <v>1435.654</v>
      </c>
      <c r="M206" s="6">
        <v>1435.654</v>
      </c>
      <c r="N206" s="6">
        <v>1435.654</v>
      </c>
      <c r="O206" s="6">
        <v>1435.654</v>
      </c>
      <c r="P206" s="6">
        <v>0</v>
      </c>
      <c r="Q206" s="4" t="s">
        <v>26</v>
      </c>
      <c r="R206" s="4">
        <v>0</v>
      </c>
      <c r="S206" s="6">
        <v>0</v>
      </c>
      <c r="T206" s="6">
        <v>6</v>
      </c>
      <c r="U206" s="6">
        <v>61</v>
      </c>
      <c r="V206" s="6">
        <f>IF(ISERROR(VLOOKUP($S$206,'TAR FIN'!$A$1:$O$113,15,0)),0,VLOOKUP($S$206,'TAR FIN'!$A$1:$O$113,15,0))</f>
        <v>0</v>
      </c>
      <c r="W206" s="6">
        <f>IF(ISERROR(VLOOKUP($T$206,'TAR FIN'!$A$1:$O$113,15,0)),0,VLOOKUP($T$206,'TAR FIN'!$A$1:$O$113,15,0))</f>
        <v>72.150000000000006</v>
      </c>
      <c r="X206" s="6">
        <f>IF(ISERROR(VLOOKUP($U$206,'TAR FIN'!$A$1:$O$113,15,0)),0,VLOOKUP($U$206,'TAR FIN'!$A$1:$O$113,15,0))</f>
        <v>278.67</v>
      </c>
      <c r="Y206" s="6"/>
      <c r="Z206" s="6">
        <f ca="1">('TUSD BE'!$AM$21+'TUSD BF_350'!$AM$21+'TUSD CVA'!$AM$21)*1</f>
        <v>122.14055331663396</v>
      </c>
      <c r="AA206" s="6">
        <f ca="1">('TE BE'!$AB$10+'TE BF_350'!$AB$10+'TE CVA'!$AB$10)*1</f>
        <v>231.69</v>
      </c>
      <c r="AB206" s="6">
        <f>$K$206*$V$206</f>
        <v>0</v>
      </c>
      <c r="AC206" s="6">
        <f>$M$206*$W$206</f>
        <v>103582.43610000001</v>
      </c>
      <c r="AD206" s="6">
        <f>$O$206*$X$206</f>
        <v>400073.70018000004</v>
      </c>
      <c r="AE206" s="6">
        <f>$K$206*$Y$206</f>
        <v>0</v>
      </c>
      <c r="AF206" s="6">
        <f ca="1">$M$206*$Z$206</f>
        <v>175351.57393123882</v>
      </c>
      <c r="AG206" s="6">
        <f ca="1">$O$206*$AA$206</f>
        <v>332626.67525999999</v>
      </c>
    </row>
    <row r="207" spans="1:33" ht="11.25" customHeight="1" x14ac:dyDescent="0.3">
      <c r="A207" s="4" t="s">
        <v>28</v>
      </c>
      <c r="B207" s="4" t="s">
        <v>39</v>
      </c>
      <c r="C207" s="4" t="s">
        <v>41</v>
      </c>
      <c r="D207" s="4" t="s">
        <v>42</v>
      </c>
      <c r="E207" s="4" t="s">
        <v>25</v>
      </c>
      <c r="F207" s="4" t="s">
        <v>25</v>
      </c>
      <c r="G207" s="4" t="s">
        <v>25</v>
      </c>
      <c r="H207" s="4" t="s">
        <v>35</v>
      </c>
      <c r="I207" s="5">
        <v>44501</v>
      </c>
      <c r="J207" s="6">
        <v>0</v>
      </c>
      <c r="K207" s="6">
        <v>0</v>
      </c>
      <c r="L207" s="6">
        <v>13.231999999999999</v>
      </c>
      <c r="M207" s="6">
        <v>13.231999999999999</v>
      </c>
      <c r="N207" s="6">
        <v>13.231999999999999</v>
      </c>
      <c r="O207" s="6">
        <v>13.231999999999999</v>
      </c>
      <c r="P207" s="6">
        <v>0</v>
      </c>
      <c r="Q207" s="4" t="s">
        <v>26</v>
      </c>
      <c r="R207" s="4">
        <v>0</v>
      </c>
      <c r="S207" s="6">
        <v>0</v>
      </c>
      <c r="T207" s="6">
        <v>6</v>
      </c>
      <c r="U207" s="6">
        <v>61</v>
      </c>
      <c r="V207" s="6">
        <f>IF(ISERROR(VLOOKUP($S$207,'TAR FIN'!$A$1:$O$113,15,0)),0,VLOOKUP($S$207,'TAR FIN'!$A$1:$O$113,15,0))</f>
        <v>0</v>
      </c>
      <c r="W207" s="6">
        <f>IF(ISERROR(VLOOKUP($T$207,'TAR FIN'!$A$1:$O$113,15,0)),0,VLOOKUP($T$207,'TAR FIN'!$A$1:$O$113,15,0))</f>
        <v>72.150000000000006</v>
      </c>
      <c r="X207" s="6">
        <f>IF(ISERROR(VLOOKUP($U$207,'TAR FIN'!$A$1:$O$113,15,0)),0,VLOOKUP($U$207,'TAR FIN'!$A$1:$O$113,15,0))</f>
        <v>278.67</v>
      </c>
      <c r="Y207" s="6"/>
      <c r="Z207" s="6">
        <f ca="1">('TUSD BE'!$AM$21+'TUSD BF_350'!$AM$21+'TUSD CVA'!$AM$21)*1</f>
        <v>122.14055331663396</v>
      </c>
      <c r="AA207" s="6">
        <f ca="1">('TE BE'!$AB$10+'TE BF_350'!$AB$10+'TE CVA'!$AB$10)*1</f>
        <v>231.69</v>
      </c>
      <c r="AB207" s="6">
        <f>$K$207*$V$207</f>
        <v>0</v>
      </c>
      <c r="AC207" s="6">
        <f>$M$207*$W$207</f>
        <v>954.68880000000001</v>
      </c>
      <c r="AD207" s="6">
        <f>$O$207*$X$207</f>
        <v>3687.3614400000001</v>
      </c>
      <c r="AE207" s="6">
        <f>$K$207*$Y$207</f>
        <v>0</v>
      </c>
      <c r="AF207" s="6">
        <f ca="1">$M$207*$Z$207</f>
        <v>1616.1638014857003</v>
      </c>
      <c r="AG207" s="6">
        <f ca="1">$O$207*$AA$207</f>
        <v>3065.72208</v>
      </c>
    </row>
    <row r="208" spans="1:33" ht="11.25" customHeight="1" x14ac:dyDescent="0.3">
      <c r="A208" s="4" t="s">
        <v>21</v>
      </c>
      <c r="B208" s="4" t="s">
        <v>39</v>
      </c>
      <c r="C208" s="4" t="s">
        <v>41</v>
      </c>
      <c r="D208" s="4" t="s">
        <v>42</v>
      </c>
      <c r="E208" s="4" t="s">
        <v>25</v>
      </c>
      <c r="F208" s="4" t="s">
        <v>25</v>
      </c>
      <c r="G208" s="4" t="s">
        <v>25</v>
      </c>
      <c r="H208" s="4" t="s">
        <v>35</v>
      </c>
      <c r="I208" s="5">
        <v>44531</v>
      </c>
      <c r="J208" s="6">
        <v>0</v>
      </c>
      <c r="K208" s="6">
        <v>0</v>
      </c>
      <c r="L208" s="6">
        <v>1438.761</v>
      </c>
      <c r="M208" s="6">
        <v>1438.761</v>
      </c>
      <c r="N208" s="6">
        <v>1438.761</v>
      </c>
      <c r="O208" s="6">
        <v>1438.761</v>
      </c>
      <c r="P208" s="6">
        <v>0</v>
      </c>
      <c r="Q208" s="4" t="s">
        <v>26</v>
      </c>
      <c r="R208" s="4">
        <v>0</v>
      </c>
      <c r="S208" s="6">
        <v>0</v>
      </c>
      <c r="T208" s="6">
        <v>6</v>
      </c>
      <c r="U208" s="6">
        <v>61</v>
      </c>
      <c r="V208" s="6">
        <f>IF(ISERROR(VLOOKUP($S$208,'TAR FIN'!$A$1:$O$113,15,0)),0,VLOOKUP($S$208,'TAR FIN'!$A$1:$O$113,15,0))</f>
        <v>0</v>
      </c>
      <c r="W208" s="6">
        <f>IF(ISERROR(VLOOKUP($T$208,'TAR FIN'!$A$1:$O$113,15,0)),0,VLOOKUP($T$208,'TAR FIN'!$A$1:$O$113,15,0))</f>
        <v>72.150000000000006</v>
      </c>
      <c r="X208" s="6">
        <f>IF(ISERROR(VLOOKUP($U$208,'TAR FIN'!$A$1:$O$113,15,0)),0,VLOOKUP($U$208,'TAR FIN'!$A$1:$O$113,15,0))</f>
        <v>278.67</v>
      </c>
      <c r="Y208" s="6"/>
      <c r="Z208" s="6">
        <f ca="1">('TUSD BE'!$AM$21+'TUSD BF_350'!$AM$21+'TUSD CVA'!$AM$21)*1</f>
        <v>122.14055331663396</v>
      </c>
      <c r="AA208" s="6">
        <f ca="1">('TE BE'!$AB$10+'TE BF_350'!$AB$10+'TE CVA'!$AB$10)*1</f>
        <v>231.69</v>
      </c>
      <c r="AB208" s="6">
        <f>$K$208*$V$208</f>
        <v>0</v>
      </c>
      <c r="AC208" s="6">
        <f>$M$208*$W$208</f>
        <v>103806.60615000001</v>
      </c>
      <c r="AD208" s="6">
        <f>$O$208*$X$208</f>
        <v>400939.52786999999</v>
      </c>
      <c r="AE208" s="6">
        <f>$K$208*$Y$208</f>
        <v>0</v>
      </c>
      <c r="AF208" s="6">
        <f ca="1">$M$208*$Z$208</f>
        <v>175731.06463039358</v>
      </c>
      <c r="AG208" s="6">
        <f ca="1">$O$208*$AA$208</f>
        <v>333346.53609000001</v>
      </c>
    </row>
    <row r="209" spans="1:33" ht="11.25" customHeight="1" x14ac:dyDescent="0.3">
      <c r="A209" s="4" t="s">
        <v>28</v>
      </c>
      <c r="B209" s="4" t="s">
        <v>39</v>
      </c>
      <c r="C209" s="4" t="s">
        <v>41</v>
      </c>
      <c r="D209" s="4" t="s">
        <v>42</v>
      </c>
      <c r="E209" s="4" t="s">
        <v>25</v>
      </c>
      <c r="F209" s="4" t="s">
        <v>25</v>
      </c>
      <c r="G209" s="4" t="s">
        <v>25</v>
      </c>
      <c r="H209" s="4" t="s">
        <v>35</v>
      </c>
      <c r="I209" s="5">
        <v>44531</v>
      </c>
      <c r="J209" s="6">
        <v>0</v>
      </c>
      <c r="K209" s="6">
        <v>0</v>
      </c>
      <c r="L209" s="6">
        <v>9.1479999999999997</v>
      </c>
      <c r="M209" s="6">
        <v>9.1479999999999997</v>
      </c>
      <c r="N209" s="6">
        <v>9.1479999999999997</v>
      </c>
      <c r="O209" s="6">
        <v>9.1479999999999997</v>
      </c>
      <c r="P209" s="6">
        <v>0</v>
      </c>
      <c r="Q209" s="4" t="s">
        <v>26</v>
      </c>
      <c r="R209" s="4">
        <v>0</v>
      </c>
      <c r="S209" s="6">
        <v>0</v>
      </c>
      <c r="T209" s="6">
        <v>6</v>
      </c>
      <c r="U209" s="6">
        <v>61</v>
      </c>
      <c r="V209" s="6">
        <f>IF(ISERROR(VLOOKUP($S$209,'TAR FIN'!$A$1:$O$113,15,0)),0,VLOOKUP($S$209,'TAR FIN'!$A$1:$O$113,15,0))</f>
        <v>0</v>
      </c>
      <c r="W209" s="6">
        <f>IF(ISERROR(VLOOKUP($T$209,'TAR FIN'!$A$1:$O$113,15,0)),0,VLOOKUP($T$209,'TAR FIN'!$A$1:$O$113,15,0))</f>
        <v>72.150000000000006</v>
      </c>
      <c r="X209" s="6">
        <f>IF(ISERROR(VLOOKUP($U$209,'TAR FIN'!$A$1:$O$113,15,0)),0,VLOOKUP($U$209,'TAR FIN'!$A$1:$O$113,15,0))</f>
        <v>278.67</v>
      </c>
      <c r="Y209" s="6"/>
      <c r="Z209" s="6">
        <f ca="1">('TUSD BE'!$AM$21+'TUSD BF_350'!$AM$21+'TUSD CVA'!$AM$21)*1</f>
        <v>122.14055331663396</v>
      </c>
      <c r="AA209" s="6">
        <f ca="1">('TE BE'!$AB$10+'TE BF_350'!$AB$10+'TE CVA'!$AB$10)*1</f>
        <v>231.69</v>
      </c>
      <c r="AB209" s="6">
        <f>$K$209*$V$209</f>
        <v>0</v>
      </c>
      <c r="AC209" s="6">
        <f>$M$209*$W$209</f>
        <v>660.02820000000008</v>
      </c>
      <c r="AD209" s="6">
        <f>$O$209*$X$209</f>
        <v>2549.2731600000002</v>
      </c>
      <c r="AE209" s="6">
        <f>$K$209*$Y$209</f>
        <v>0</v>
      </c>
      <c r="AF209" s="6">
        <f ca="1">$M$209*$Z$209</f>
        <v>1117.3417817405673</v>
      </c>
      <c r="AG209" s="6">
        <f ca="1">$O$209*$AA$209</f>
        <v>2119.5001199999997</v>
      </c>
    </row>
    <row r="210" spans="1:33" ht="11.25" customHeight="1" x14ac:dyDescent="0.3">
      <c r="A210" s="4" t="s">
        <v>21</v>
      </c>
      <c r="B210" s="4" t="s">
        <v>39</v>
      </c>
      <c r="C210" s="4" t="s">
        <v>41</v>
      </c>
      <c r="D210" s="4" t="s">
        <v>42</v>
      </c>
      <c r="E210" s="4" t="s">
        <v>25</v>
      </c>
      <c r="F210" s="4" t="s">
        <v>25</v>
      </c>
      <c r="G210" s="4" t="s">
        <v>25</v>
      </c>
      <c r="H210" s="4" t="s">
        <v>35</v>
      </c>
      <c r="I210" s="5">
        <v>44562</v>
      </c>
      <c r="J210" s="6">
        <v>0</v>
      </c>
      <c r="K210" s="6">
        <v>0</v>
      </c>
      <c r="L210" s="6">
        <v>1416.777</v>
      </c>
      <c r="M210" s="6">
        <v>1416.777</v>
      </c>
      <c r="N210" s="6">
        <v>1416.777</v>
      </c>
      <c r="O210" s="6">
        <v>1416.777</v>
      </c>
      <c r="P210" s="6">
        <v>0</v>
      </c>
      <c r="Q210" s="4" t="s">
        <v>26</v>
      </c>
      <c r="R210" s="4">
        <v>0</v>
      </c>
      <c r="S210" s="6">
        <v>0</v>
      </c>
      <c r="T210" s="6">
        <v>6</v>
      </c>
      <c r="U210" s="6">
        <v>61</v>
      </c>
      <c r="V210" s="6">
        <f>IF(ISERROR(VLOOKUP($S$210,'TAR FIN'!$A$1:$O$113,15,0)),0,VLOOKUP($S$210,'TAR FIN'!$A$1:$O$113,15,0))</f>
        <v>0</v>
      </c>
      <c r="W210" s="6">
        <f>IF(ISERROR(VLOOKUP($T$210,'TAR FIN'!$A$1:$O$113,15,0)),0,VLOOKUP($T$210,'TAR FIN'!$A$1:$O$113,15,0))</f>
        <v>72.150000000000006</v>
      </c>
      <c r="X210" s="6">
        <f>IF(ISERROR(VLOOKUP($U$210,'TAR FIN'!$A$1:$O$113,15,0)),0,VLOOKUP($U$210,'TAR FIN'!$A$1:$O$113,15,0))</f>
        <v>278.67</v>
      </c>
      <c r="Y210" s="6"/>
      <c r="Z210" s="6">
        <f ca="1">('TUSD BE'!$AM$21+'TUSD BF_350'!$AM$21+'TUSD CVA'!$AM$21)*1</f>
        <v>122.14055331663396</v>
      </c>
      <c r="AA210" s="6">
        <f ca="1">('TE BE'!$AB$10+'TE BF_350'!$AB$10+'TE CVA'!$AB$10)*1</f>
        <v>231.69</v>
      </c>
      <c r="AB210" s="6">
        <f>$K$210*$V$210</f>
        <v>0</v>
      </c>
      <c r="AC210" s="6">
        <f>$M$210*$W$210</f>
        <v>102220.46055000002</v>
      </c>
      <c r="AD210" s="6">
        <f>$O$210*$X$210</f>
        <v>394813.24659000005</v>
      </c>
      <c r="AE210" s="6">
        <f>$K$210*$Y$210</f>
        <v>0</v>
      </c>
      <c r="AF210" s="6">
        <f ca="1">$M$210*$Z$210</f>
        <v>173045.9267062807</v>
      </c>
      <c r="AG210" s="6">
        <f ca="1">$O$210*$AA$210</f>
        <v>328253.06313000002</v>
      </c>
    </row>
    <row r="211" spans="1:33" ht="11.25" customHeight="1" x14ac:dyDescent="0.3">
      <c r="A211" s="4" t="s">
        <v>28</v>
      </c>
      <c r="B211" s="4" t="s">
        <v>39</v>
      </c>
      <c r="C211" s="4" t="s">
        <v>41</v>
      </c>
      <c r="D211" s="4" t="s">
        <v>42</v>
      </c>
      <c r="E211" s="4" t="s">
        <v>25</v>
      </c>
      <c r="F211" s="4" t="s">
        <v>25</v>
      </c>
      <c r="G211" s="4" t="s">
        <v>25</v>
      </c>
      <c r="H211" s="4" t="s">
        <v>35</v>
      </c>
      <c r="I211" s="5">
        <v>44562</v>
      </c>
      <c r="J211" s="6">
        <v>0</v>
      </c>
      <c r="K211" s="6">
        <v>0</v>
      </c>
      <c r="L211" s="6">
        <v>11.494999999999999</v>
      </c>
      <c r="M211" s="6">
        <v>11.494999999999999</v>
      </c>
      <c r="N211" s="6">
        <v>11.494999999999999</v>
      </c>
      <c r="O211" s="6">
        <v>11.494999999999999</v>
      </c>
      <c r="P211" s="6">
        <v>0</v>
      </c>
      <c r="Q211" s="4" t="s">
        <v>26</v>
      </c>
      <c r="R211" s="4">
        <v>0</v>
      </c>
      <c r="S211" s="6">
        <v>0</v>
      </c>
      <c r="T211" s="6">
        <v>6</v>
      </c>
      <c r="U211" s="6">
        <v>61</v>
      </c>
      <c r="V211" s="6">
        <f>IF(ISERROR(VLOOKUP($S$211,'TAR FIN'!$A$1:$O$113,15,0)),0,VLOOKUP($S$211,'TAR FIN'!$A$1:$O$113,15,0))</f>
        <v>0</v>
      </c>
      <c r="W211" s="6">
        <f>IF(ISERROR(VLOOKUP($T$211,'TAR FIN'!$A$1:$O$113,15,0)),0,VLOOKUP($T$211,'TAR FIN'!$A$1:$O$113,15,0))</f>
        <v>72.150000000000006</v>
      </c>
      <c r="X211" s="6">
        <f>IF(ISERROR(VLOOKUP($U$211,'TAR FIN'!$A$1:$O$113,15,0)),0,VLOOKUP($U$211,'TAR FIN'!$A$1:$O$113,15,0))</f>
        <v>278.67</v>
      </c>
      <c r="Y211" s="6"/>
      <c r="Z211" s="6">
        <f ca="1">('TUSD BE'!$AM$21+'TUSD BF_350'!$AM$21+'TUSD CVA'!$AM$21)*1</f>
        <v>122.14055331663396</v>
      </c>
      <c r="AA211" s="6">
        <f ca="1">('TE BE'!$AB$10+'TE BF_350'!$AB$10+'TE CVA'!$AB$10)*1</f>
        <v>231.69</v>
      </c>
      <c r="AB211" s="6">
        <f>$K$211*$V$211</f>
        <v>0</v>
      </c>
      <c r="AC211" s="6">
        <f>$M$211*$W$211</f>
        <v>829.36424999999997</v>
      </c>
      <c r="AD211" s="6">
        <f>$O$211*$X$211</f>
        <v>3203.3116500000001</v>
      </c>
      <c r="AE211" s="6">
        <f>$K$211*$Y$211</f>
        <v>0</v>
      </c>
      <c r="AF211" s="6">
        <f ca="1">$M$211*$Z$211</f>
        <v>1404.0056603747073</v>
      </c>
      <c r="AG211" s="6">
        <f ca="1">$O$211*$AA$211</f>
        <v>2663.2765499999996</v>
      </c>
    </row>
    <row r="212" spans="1:33" ht="11.25" customHeight="1" x14ac:dyDescent="0.3">
      <c r="A212" s="4" t="s">
        <v>21</v>
      </c>
      <c r="B212" s="4" t="s">
        <v>39</v>
      </c>
      <c r="C212" s="4" t="s">
        <v>41</v>
      </c>
      <c r="D212" s="4" t="s">
        <v>42</v>
      </c>
      <c r="E212" s="4" t="s">
        <v>25</v>
      </c>
      <c r="F212" s="4" t="s">
        <v>25</v>
      </c>
      <c r="G212" s="4" t="s">
        <v>25</v>
      </c>
      <c r="H212" s="4" t="s">
        <v>35</v>
      </c>
      <c r="I212" s="5">
        <v>44593</v>
      </c>
      <c r="J212" s="6">
        <v>0</v>
      </c>
      <c r="K212" s="6">
        <v>0</v>
      </c>
      <c r="L212" s="6">
        <v>1439.9069999999999</v>
      </c>
      <c r="M212" s="6">
        <v>1439.9069999999999</v>
      </c>
      <c r="N212" s="6">
        <v>1439.9069999999999</v>
      </c>
      <c r="O212" s="6">
        <v>1439.9069999999999</v>
      </c>
      <c r="P212" s="6">
        <v>0</v>
      </c>
      <c r="Q212" s="4" t="s">
        <v>26</v>
      </c>
      <c r="R212" s="4">
        <v>0</v>
      </c>
      <c r="S212" s="6">
        <v>0</v>
      </c>
      <c r="T212" s="6">
        <v>6</v>
      </c>
      <c r="U212" s="6">
        <v>61</v>
      </c>
      <c r="V212" s="6">
        <f>IF(ISERROR(VLOOKUP($S$212,'TAR FIN'!$A$1:$O$113,15,0)),0,VLOOKUP($S$212,'TAR FIN'!$A$1:$O$113,15,0))</f>
        <v>0</v>
      </c>
      <c r="W212" s="6">
        <f>IF(ISERROR(VLOOKUP($T$212,'TAR FIN'!$A$1:$O$113,15,0)),0,VLOOKUP($T$212,'TAR FIN'!$A$1:$O$113,15,0))</f>
        <v>72.150000000000006</v>
      </c>
      <c r="X212" s="6">
        <f>IF(ISERROR(VLOOKUP($U$212,'TAR FIN'!$A$1:$O$113,15,0)),0,VLOOKUP($U$212,'TAR FIN'!$A$1:$O$113,15,0))</f>
        <v>278.67</v>
      </c>
      <c r="Y212" s="6"/>
      <c r="Z212" s="6">
        <f ca="1">('TUSD BE'!$AM$21+'TUSD BF_350'!$AM$21+'TUSD CVA'!$AM$21)*1</f>
        <v>122.14055331663396</v>
      </c>
      <c r="AA212" s="6">
        <f ca="1">('TE BE'!$AB$10+'TE BF_350'!$AB$10+'TE CVA'!$AB$10)*1</f>
        <v>231.69</v>
      </c>
      <c r="AB212" s="6">
        <f>$K$212*$V$212</f>
        <v>0</v>
      </c>
      <c r="AC212" s="6">
        <f>$M$212*$W$212</f>
        <v>103889.29005</v>
      </c>
      <c r="AD212" s="6">
        <f>$O$212*$X$212</f>
        <v>401258.88368999999</v>
      </c>
      <c r="AE212" s="6">
        <f>$K$212*$Y$212</f>
        <v>0</v>
      </c>
      <c r="AF212" s="6">
        <f ca="1">$M$212*$Z$212</f>
        <v>175871.03770449443</v>
      </c>
      <c r="AG212" s="6">
        <f ca="1">$O$212*$AA$212</f>
        <v>333612.05283</v>
      </c>
    </row>
    <row r="213" spans="1:33" ht="11.25" customHeight="1" x14ac:dyDescent="0.3">
      <c r="A213" s="4" t="s">
        <v>27</v>
      </c>
      <c r="B213" s="4" t="s">
        <v>39</v>
      </c>
      <c r="C213" s="4" t="s">
        <v>41</v>
      </c>
      <c r="D213" s="4" t="s">
        <v>42</v>
      </c>
      <c r="E213" s="4" t="s">
        <v>25</v>
      </c>
      <c r="F213" s="4" t="s">
        <v>25</v>
      </c>
      <c r="G213" s="4" t="s">
        <v>25</v>
      </c>
      <c r="H213" s="4" t="s">
        <v>35</v>
      </c>
      <c r="I213" s="5">
        <v>44593</v>
      </c>
      <c r="J213" s="6">
        <v>0</v>
      </c>
      <c r="K213" s="6">
        <v>0</v>
      </c>
      <c r="L213" s="6">
        <v>-8.548</v>
      </c>
      <c r="M213" s="6">
        <v>-8.548</v>
      </c>
      <c r="N213" s="6">
        <v>-8.548</v>
      </c>
      <c r="O213" s="6">
        <v>-8.548</v>
      </c>
      <c r="P213" s="6">
        <v>0</v>
      </c>
      <c r="Q213" s="4" t="s">
        <v>26</v>
      </c>
      <c r="R213" s="4">
        <v>0</v>
      </c>
      <c r="S213" s="6">
        <v>0</v>
      </c>
      <c r="T213" s="6">
        <v>6</v>
      </c>
      <c r="U213" s="6">
        <v>61</v>
      </c>
      <c r="V213" s="6">
        <f>IF(ISERROR(VLOOKUP($S$213,'TAR FIN'!$A$1:$O$113,15,0)),0,VLOOKUP($S$213,'TAR FIN'!$A$1:$O$113,15,0))</f>
        <v>0</v>
      </c>
      <c r="W213" s="6">
        <f>IF(ISERROR(VLOOKUP($T$213,'TAR FIN'!$A$1:$O$113,15,0)),0,VLOOKUP($T$213,'TAR FIN'!$A$1:$O$113,15,0))</f>
        <v>72.150000000000006</v>
      </c>
      <c r="X213" s="6">
        <f>IF(ISERROR(VLOOKUP($U$213,'TAR FIN'!$A$1:$O$113,15,0)),0,VLOOKUP($U$213,'TAR FIN'!$A$1:$O$113,15,0))</f>
        <v>278.67</v>
      </c>
      <c r="Y213" s="6"/>
      <c r="Z213" s="6">
        <f ca="1">('TUSD BE'!$AM$21+'TUSD BF_350'!$AM$21+'TUSD CVA'!$AM$21)*1</f>
        <v>122.14055331663396</v>
      </c>
      <c r="AA213" s="6">
        <f ca="1">('TE BE'!$AB$10+'TE BF_350'!$AB$10+'TE CVA'!$AB$10)*1</f>
        <v>231.69</v>
      </c>
      <c r="AB213" s="6">
        <f>$K$213*$V$213</f>
        <v>0</v>
      </c>
      <c r="AC213" s="6">
        <f>$M$213*$W$213</f>
        <v>-616.73820000000001</v>
      </c>
      <c r="AD213" s="6">
        <f>$O$213*$X$213</f>
        <v>-2382.07116</v>
      </c>
      <c r="AE213" s="6">
        <f>$K$213*$Y$213</f>
        <v>0</v>
      </c>
      <c r="AF213" s="6">
        <f ca="1">$M$213*$Z$213</f>
        <v>-1044.057449750587</v>
      </c>
      <c r="AG213" s="6">
        <f ca="1">$O$213*$AA$213</f>
        <v>-1980.48612</v>
      </c>
    </row>
    <row r="214" spans="1:33" ht="11.25" customHeight="1" x14ac:dyDescent="0.3">
      <c r="A214" s="4" t="s">
        <v>28</v>
      </c>
      <c r="B214" s="4" t="s">
        <v>39</v>
      </c>
      <c r="C214" s="4" t="s">
        <v>41</v>
      </c>
      <c r="D214" s="4" t="s">
        <v>42</v>
      </c>
      <c r="E214" s="4" t="s">
        <v>25</v>
      </c>
      <c r="F214" s="4" t="s">
        <v>25</v>
      </c>
      <c r="G214" s="4" t="s">
        <v>25</v>
      </c>
      <c r="H214" s="4" t="s">
        <v>35</v>
      </c>
      <c r="I214" s="5">
        <v>44593</v>
      </c>
      <c r="J214" s="6">
        <v>0</v>
      </c>
      <c r="K214" s="6">
        <v>0</v>
      </c>
      <c r="L214" s="6">
        <v>13.712</v>
      </c>
      <c r="M214" s="6">
        <v>13.712</v>
      </c>
      <c r="N214" s="6">
        <v>13.712</v>
      </c>
      <c r="O214" s="6">
        <v>13.712</v>
      </c>
      <c r="P214" s="6">
        <v>0</v>
      </c>
      <c r="Q214" s="4" t="s">
        <v>26</v>
      </c>
      <c r="R214" s="4">
        <v>0</v>
      </c>
      <c r="S214" s="6">
        <v>0</v>
      </c>
      <c r="T214" s="6">
        <v>6</v>
      </c>
      <c r="U214" s="6">
        <v>61</v>
      </c>
      <c r="V214" s="6">
        <f>IF(ISERROR(VLOOKUP($S$214,'TAR FIN'!$A$1:$O$113,15,0)),0,VLOOKUP($S$214,'TAR FIN'!$A$1:$O$113,15,0))</f>
        <v>0</v>
      </c>
      <c r="W214" s="6">
        <f>IF(ISERROR(VLOOKUP($T$214,'TAR FIN'!$A$1:$O$113,15,0)),0,VLOOKUP($T$214,'TAR FIN'!$A$1:$O$113,15,0))</f>
        <v>72.150000000000006</v>
      </c>
      <c r="X214" s="6">
        <f>IF(ISERROR(VLOOKUP($U$214,'TAR FIN'!$A$1:$O$113,15,0)),0,VLOOKUP($U$214,'TAR FIN'!$A$1:$O$113,15,0))</f>
        <v>278.67</v>
      </c>
      <c r="Y214" s="6"/>
      <c r="Z214" s="6">
        <f ca="1">('TUSD BE'!$AM$21+'TUSD BF_350'!$AM$21+'TUSD CVA'!$AM$21)*1</f>
        <v>122.14055331663396</v>
      </c>
      <c r="AA214" s="6">
        <f ca="1">('TE BE'!$AB$10+'TE BF_350'!$AB$10+'TE CVA'!$AB$10)*1</f>
        <v>231.69</v>
      </c>
      <c r="AB214" s="6">
        <f>$K$214*$V$214</f>
        <v>0</v>
      </c>
      <c r="AC214" s="6">
        <f>$M$214*$W$214</f>
        <v>989.32080000000008</v>
      </c>
      <c r="AD214" s="6">
        <f>$O$214*$X$214</f>
        <v>3821.1230399999999</v>
      </c>
      <c r="AE214" s="6">
        <f>$K$214*$Y$214</f>
        <v>0</v>
      </c>
      <c r="AF214" s="6">
        <f ca="1">$M$214*$Z$214</f>
        <v>1674.7912670776848</v>
      </c>
      <c r="AG214" s="6">
        <f ca="1">$O$214*$AA$214</f>
        <v>3176.9332799999997</v>
      </c>
    </row>
    <row r="215" spans="1:33" ht="11.25" customHeight="1" x14ac:dyDescent="0.3">
      <c r="A215" s="4" t="s">
        <v>21</v>
      </c>
      <c r="B215" s="4" t="s">
        <v>39</v>
      </c>
      <c r="C215" s="4" t="s">
        <v>41</v>
      </c>
      <c r="D215" s="4" t="s">
        <v>42</v>
      </c>
      <c r="E215" s="4" t="s">
        <v>25</v>
      </c>
      <c r="F215" s="4" t="s">
        <v>25</v>
      </c>
      <c r="G215" s="4" t="s">
        <v>25</v>
      </c>
      <c r="H215" s="4" t="s">
        <v>35</v>
      </c>
      <c r="I215" s="5">
        <v>44621</v>
      </c>
      <c r="J215" s="6">
        <v>0</v>
      </c>
      <c r="K215" s="6">
        <v>0</v>
      </c>
      <c r="L215" s="6">
        <v>1239.104</v>
      </c>
      <c r="M215" s="6">
        <v>1239.104</v>
      </c>
      <c r="N215" s="6">
        <v>1239.104</v>
      </c>
      <c r="O215" s="6">
        <v>1239.104</v>
      </c>
      <c r="P215" s="6">
        <v>0</v>
      </c>
      <c r="Q215" s="4" t="s">
        <v>26</v>
      </c>
      <c r="R215" s="4">
        <v>0</v>
      </c>
      <c r="S215" s="6">
        <v>0</v>
      </c>
      <c r="T215" s="6">
        <v>6</v>
      </c>
      <c r="U215" s="6">
        <v>61</v>
      </c>
      <c r="V215" s="6">
        <f>IF(ISERROR(VLOOKUP($S$215,'TAR FIN'!$A$1:$O$113,15,0)),0,VLOOKUP($S$215,'TAR FIN'!$A$1:$O$113,15,0))</f>
        <v>0</v>
      </c>
      <c r="W215" s="6">
        <f>IF(ISERROR(VLOOKUP($T$215,'TAR FIN'!$A$1:$O$113,15,0)),0,VLOOKUP($T$215,'TAR FIN'!$A$1:$O$113,15,0))</f>
        <v>72.150000000000006</v>
      </c>
      <c r="X215" s="6">
        <f>IF(ISERROR(VLOOKUP($U$215,'TAR FIN'!$A$1:$O$113,15,0)),0,VLOOKUP($U$215,'TAR FIN'!$A$1:$O$113,15,0))</f>
        <v>278.67</v>
      </c>
      <c r="Y215" s="6"/>
      <c r="Z215" s="6">
        <f ca="1">('TUSD BE'!$AM$21+'TUSD BF_350'!$AM$21+'TUSD CVA'!$AM$21)*1</f>
        <v>122.14055331663396</v>
      </c>
      <c r="AA215" s="6">
        <f ca="1">('TE BE'!$AB$10+'TE BF_350'!$AB$10+'TE CVA'!$AB$10)*1</f>
        <v>231.69</v>
      </c>
      <c r="AB215" s="6">
        <f>$K$215*$V$215</f>
        <v>0</v>
      </c>
      <c r="AC215" s="6">
        <f>$M$215*$W$215</f>
        <v>89401.353600000017</v>
      </c>
      <c r="AD215" s="6">
        <f>$O$215*$X$215</f>
        <v>345301.11168000003</v>
      </c>
      <c r="AE215" s="6">
        <f>$K$215*$Y$215</f>
        <v>0</v>
      </c>
      <c r="AF215" s="6">
        <f ca="1">$M$215*$Z$215</f>
        <v>151344.8481768544</v>
      </c>
      <c r="AG215" s="6">
        <f ca="1">$O$215*$AA$215</f>
        <v>287088.00576000003</v>
      </c>
    </row>
    <row r="216" spans="1:33" ht="11.25" customHeight="1" x14ac:dyDescent="0.3">
      <c r="A216" s="4" t="s">
        <v>28</v>
      </c>
      <c r="B216" s="4" t="s">
        <v>39</v>
      </c>
      <c r="C216" s="4" t="s">
        <v>41</v>
      </c>
      <c r="D216" s="4" t="s">
        <v>42</v>
      </c>
      <c r="E216" s="4" t="s">
        <v>25</v>
      </c>
      <c r="F216" s="4" t="s">
        <v>25</v>
      </c>
      <c r="G216" s="4" t="s">
        <v>25</v>
      </c>
      <c r="H216" s="4" t="s">
        <v>35</v>
      </c>
      <c r="I216" s="5">
        <v>44621</v>
      </c>
      <c r="J216" s="6">
        <v>0</v>
      </c>
      <c r="K216" s="6">
        <v>0</v>
      </c>
      <c r="L216" s="6">
        <v>10.787000000000001</v>
      </c>
      <c r="M216" s="6">
        <v>10.787000000000001</v>
      </c>
      <c r="N216" s="6">
        <v>10.787000000000001</v>
      </c>
      <c r="O216" s="6">
        <v>10.787000000000001</v>
      </c>
      <c r="P216" s="6">
        <v>0</v>
      </c>
      <c r="Q216" s="4" t="s">
        <v>26</v>
      </c>
      <c r="R216" s="4">
        <v>0</v>
      </c>
      <c r="S216" s="6">
        <v>0</v>
      </c>
      <c r="T216" s="6">
        <v>6</v>
      </c>
      <c r="U216" s="6">
        <v>61</v>
      </c>
      <c r="V216" s="6">
        <f>IF(ISERROR(VLOOKUP($S$216,'TAR FIN'!$A$1:$O$113,15,0)),0,VLOOKUP($S$216,'TAR FIN'!$A$1:$O$113,15,0))</f>
        <v>0</v>
      </c>
      <c r="W216" s="6">
        <f>IF(ISERROR(VLOOKUP($T$216,'TAR FIN'!$A$1:$O$113,15,0)),0,VLOOKUP($T$216,'TAR FIN'!$A$1:$O$113,15,0))</f>
        <v>72.150000000000006</v>
      </c>
      <c r="X216" s="6">
        <f>IF(ISERROR(VLOOKUP($U$216,'TAR FIN'!$A$1:$O$113,15,0)),0,VLOOKUP($U$216,'TAR FIN'!$A$1:$O$113,15,0))</f>
        <v>278.67</v>
      </c>
      <c r="Y216" s="6"/>
      <c r="Z216" s="6">
        <f ca="1">('TUSD BE'!$AM$21+'TUSD BF_350'!$AM$21+'TUSD CVA'!$AM$21)*1</f>
        <v>122.14055331663396</v>
      </c>
      <c r="AA216" s="6">
        <f ca="1">('TE BE'!$AB$10+'TE BF_350'!$AB$10+'TE CVA'!$AB$10)*1</f>
        <v>231.69</v>
      </c>
      <c r="AB216" s="6">
        <f>$K$216*$V$216</f>
        <v>0</v>
      </c>
      <c r="AC216" s="6">
        <f>$M$216*$W$216</f>
        <v>778.28205000000014</v>
      </c>
      <c r="AD216" s="6">
        <f>$O$216*$X$216</f>
        <v>3006.0132900000003</v>
      </c>
      <c r="AE216" s="6">
        <f>$K$216*$Y$216</f>
        <v>0</v>
      </c>
      <c r="AF216" s="6">
        <f ca="1">$M$216*$Z$216</f>
        <v>1317.5301486265305</v>
      </c>
      <c r="AG216" s="6">
        <f ca="1">$O$216*$AA$216</f>
        <v>2499.2400300000004</v>
      </c>
    </row>
    <row r="217" spans="1:33" ht="11.25" customHeight="1" x14ac:dyDescent="0.3">
      <c r="A217" s="4" t="s">
        <v>21</v>
      </c>
      <c r="B217" s="4" t="s">
        <v>39</v>
      </c>
      <c r="C217" s="4" t="s">
        <v>41</v>
      </c>
      <c r="D217" s="4" t="s">
        <v>42</v>
      </c>
      <c r="E217" s="4" t="s">
        <v>25</v>
      </c>
      <c r="F217" s="4" t="s">
        <v>25</v>
      </c>
      <c r="G217" s="4" t="s">
        <v>25</v>
      </c>
      <c r="H217" s="4" t="s">
        <v>35</v>
      </c>
      <c r="I217" s="5">
        <v>44652</v>
      </c>
      <c r="J217" s="6">
        <v>0</v>
      </c>
      <c r="K217" s="6">
        <v>0</v>
      </c>
      <c r="L217" s="6">
        <v>1221.414</v>
      </c>
      <c r="M217" s="6">
        <v>1221.414</v>
      </c>
      <c r="N217" s="6">
        <v>1221.414</v>
      </c>
      <c r="O217" s="6">
        <v>1221.414</v>
      </c>
      <c r="P217" s="6">
        <v>0</v>
      </c>
      <c r="Q217" s="4" t="s">
        <v>26</v>
      </c>
      <c r="R217" s="4">
        <v>0</v>
      </c>
      <c r="S217" s="6">
        <v>0</v>
      </c>
      <c r="T217" s="6">
        <v>6</v>
      </c>
      <c r="U217" s="6">
        <v>61</v>
      </c>
      <c r="V217" s="6">
        <f>IF(ISERROR(VLOOKUP($S$217,'TAR FIN'!$A$1:$O$113,15,0)),0,VLOOKUP($S$217,'TAR FIN'!$A$1:$O$113,15,0))</f>
        <v>0</v>
      </c>
      <c r="W217" s="6">
        <f>IF(ISERROR(VLOOKUP($T$217,'TAR FIN'!$A$1:$O$113,15,0)),0,VLOOKUP($T$217,'TAR FIN'!$A$1:$O$113,15,0))</f>
        <v>72.150000000000006</v>
      </c>
      <c r="X217" s="6">
        <f>IF(ISERROR(VLOOKUP($U$217,'TAR FIN'!$A$1:$O$113,15,0)),0,VLOOKUP($U$217,'TAR FIN'!$A$1:$O$113,15,0))</f>
        <v>278.67</v>
      </c>
      <c r="Y217" s="6"/>
      <c r="Z217" s="6">
        <f ca="1">('TUSD BE'!$AM$21+'TUSD BF_350'!$AM$21+'TUSD CVA'!$AM$21)*1</f>
        <v>122.14055331663396</v>
      </c>
      <c r="AA217" s="6">
        <f ca="1">('TE BE'!$AB$10+'TE BF_350'!$AB$10+'TE CVA'!$AB$10)*1</f>
        <v>231.69</v>
      </c>
      <c r="AB217" s="6">
        <f>$K$217*$V$217</f>
        <v>0</v>
      </c>
      <c r="AC217" s="6">
        <f>$M$217*$W$217</f>
        <v>88125.020100000009</v>
      </c>
      <c r="AD217" s="6">
        <f>$O$217*$X$217</f>
        <v>340371.43938</v>
      </c>
      <c r="AE217" s="6">
        <f>$K$217*$Y$217</f>
        <v>0</v>
      </c>
      <c r="AF217" s="6">
        <f ca="1">$M$217*$Z$217</f>
        <v>149184.18178868314</v>
      </c>
      <c r="AG217" s="6">
        <f ca="1">$O$217*$AA$217</f>
        <v>282989.40966</v>
      </c>
    </row>
    <row r="218" spans="1:33" ht="11.25" customHeight="1" x14ac:dyDescent="0.3">
      <c r="A218" s="4" t="s">
        <v>28</v>
      </c>
      <c r="B218" s="4" t="s">
        <v>39</v>
      </c>
      <c r="C218" s="4" t="s">
        <v>41</v>
      </c>
      <c r="D218" s="4" t="s">
        <v>42</v>
      </c>
      <c r="E218" s="4" t="s">
        <v>25</v>
      </c>
      <c r="F218" s="4" t="s">
        <v>25</v>
      </c>
      <c r="G218" s="4" t="s">
        <v>25</v>
      </c>
      <c r="H218" s="4" t="s">
        <v>35</v>
      </c>
      <c r="I218" s="5">
        <v>44652</v>
      </c>
      <c r="J218" s="6">
        <v>0</v>
      </c>
      <c r="K218" s="6">
        <v>0</v>
      </c>
      <c r="L218" s="6">
        <v>11.592000000000001</v>
      </c>
      <c r="M218" s="6">
        <v>11.592000000000001</v>
      </c>
      <c r="N218" s="6">
        <v>11.592000000000001</v>
      </c>
      <c r="O218" s="6">
        <v>11.592000000000001</v>
      </c>
      <c r="P218" s="6">
        <v>0</v>
      </c>
      <c r="Q218" s="4" t="s">
        <v>26</v>
      </c>
      <c r="R218" s="4">
        <v>0</v>
      </c>
      <c r="S218" s="6">
        <v>0</v>
      </c>
      <c r="T218" s="6">
        <v>6</v>
      </c>
      <c r="U218" s="6">
        <v>61</v>
      </c>
      <c r="V218" s="6">
        <f>IF(ISERROR(VLOOKUP($S$218,'TAR FIN'!$A$1:$O$113,15,0)),0,VLOOKUP($S$218,'TAR FIN'!$A$1:$O$113,15,0))</f>
        <v>0</v>
      </c>
      <c r="W218" s="6">
        <f>IF(ISERROR(VLOOKUP($T$218,'TAR FIN'!$A$1:$O$113,15,0)),0,VLOOKUP($T$218,'TAR FIN'!$A$1:$O$113,15,0))</f>
        <v>72.150000000000006</v>
      </c>
      <c r="X218" s="6">
        <f>IF(ISERROR(VLOOKUP($U$218,'TAR FIN'!$A$1:$O$113,15,0)),0,VLOOKUP($U$218,'TAR FIN'!$A$1:$O$113,15,0))</f>
        <v>278.67</v>
      </c>
      <c r="Y218" s="6"/>
      <c r="Z218" s="6">
        <f ca="1">('TUSD BE'!$AM$21+'TUSD BF_350'!$AM$21+'TUSD CVA'!$AM$21)*1</f>
        <v>122.14055331663396</v>
      </c>
      <c r="AA218" s="6">
        <f ca="1">('TE BE'!$AB$10+'TE BF_350'!$AB$10+'TE CVA'!$AB$10)*1</f>
        <v>231.69</v>
      </c>
      <c r="AB218" s="6">
        <f>$K$218*$V$218</f>
        <v>0</v>
      </c>
      <c r="AC218" s="6">
        <f>$M$218*$W$218</f>
        <v>836.36280000000011</v>
      </c>
      <c r="AD218" s="6">
        <f>$O$218*$X$218</f>
        <v>3230.3426400000003</v>
      </c>
      <c r="AE218" s="6">
        <f>$K$218*$Y$218</f>
        <v>0</v>
      </c>
      <c r="AF218" s="6">
        <f ca="1">$M$218*$Z$218</f>
        <v>1415.8532940464208</v>
      </c>
      <c r="AG218" s="6">
        <f ca="1">$O$218*$AA$218</f>
        <v>2685.7504800000002</v>
      </c>
    </row>
    <row r="219" spans="1:33" ht="11.25" customHeight="1" x14ac:dyDescent="0.3">
      <c r="A219" s="4" t="s">
        <v>21</v>
      </c>
      <c r="B219" s="4" t="s">
        <v>39</v>
      </c>
      <c r="C219" s="4" t="s">
        <v>41</v>
      </c>
      <c r="D219" s="4" t="s">
        <v>42</v>
      </c>
      <c r="E219" s="4" t="s">
        <v>25</v>
      </c>
      <c r="F219" s="4" t="s">
        <v>25</v>
      </c>
      <c r="G219" s="4" t="s">
        <v>25</v>
      </c>
      <c r="H219" s="4" t="s">
        <v>35</v>
      </c>
      <c r="I219" s="5">
        <v>44682</v>
      </c>
      <c r="J219" s="6">
        <v>0</v>
      </c>
      <c r="K219" s="6">
        <v>0</v>
      </c>
      <c r="L219" s="6">
        <v>1104.9069999999999</v>
      </c>
      <c r="M219" s="6">
        <v>1104.9069999999999</v>
      </c>
      <c r="N219" s="6">
        <v>1104.9069999999999</v>
      </c>
      <c r="O219" s="6">
        <v>1104.9069999999999</v>
      </c>
      <c r="P219" s="6">
        <v>0</v>
      </c>
      <c r="Q219" s="4" t="s">
        <v>26</v>
      </c>
      <c r="R219" s="4">
        <v>0</v>
      </c>
      <c r="S219" s="6">
        <v>0</v>
      </c>
      <c r="T219" s="6">
        <v>6</v>
      </c>
      <c r="U219" s="6">
        <v>61</v>
      </c>
      <c r="V219" s="6">
        <f>IF(ISERROR(VLOOKUP($S$219,'TAR FIN'!$A$1:$O$113,15,0)),0,VLOOKUP($S$219,'TAR FIN'!$A$1:$O$113,15,0))</f>
        <v>0</v>
      </c>
      <c r="W219" s="6">
        <f>IF(ISERROR(VLOOKUP($T$219,'TAR FIN'!$A$1:$O$113,15,0)),0,VLOOKUP($T$219,'TAR FIN'!$A$1:$O$113,15,0))</f>
        <v>72.150000000000006</v>
      </c>
      <c r="X219" s="6">
        <f>IF(ISERROR(VLOOKUP($U$219,'TAR FIN'!$A$1:$O$113,15,0)),0,VLOOKUP($U$219,'TAR FIN'!$A$1:$O$113,15,0))</f>
        <v>278.67</v>
      </c>
      <c r="Y219" s="6"/>
      <c r="Z219" s="6">
        <f ca="1">('TUSD BE'!$AM$21+'TUSD BF_350'!$AM$21+'TUSD CVA'!$AM$21)*1</f>
        <v>122.14055331663396</v>
      </c>
      <c r="AA219" s="6">
        <f ca="1">('TE BE'!$AB$10+'TE BF_350'!$AB$10+'TE CVA'!$AB$10)*1</f>
        <v>231.69</v>
      </c>
      <c r="AB219" s="6">
        <f>$K$219*$V$219</f>
        <v>0</v>
      </c>
      <c r="AC219" s="6">
        <f>$M$219*$W$219</f>
        <v>79719.040049999996</v>
      </c>
      <c r="AD219" s="6">
        <f>$O$219*$X$219</f>
        <v>307904.43368999998</v>
      </c>
      <c r="AE219" s="6">
        <f>$K$219*$Y$219</f>
        <v>0</v>
      </c>
      <c r="AF219" s="6">
        <f ca="1">$M$219*$Z$219</f>
        <v>134953.95234342208</v>
      </c>
      <c r="AG219" s="6">
        <f ca="1">$O$219*$AA$219</f>
        <v>255995.90282999998</v>
      </c>
    </row>
    <row r="220" spans="1:33" ht="11.25" customHeight="1" x14ac:dyDescent="0.3">
      <c r="A220" s="4" t="s">
        <v>28</v>
      </c>
      <c r="B220" s="4" t="s">
        <v>39</v>
      </c>
      <c r="C220" s="4" t="s">
        <v>41</v>
      </c>
      <c r="D220" s="4" t="s">
        <v>42</v>
      </c>
      <c r="E220" s="4" t="s">
        <v>25</v>
      </c>
      <c r="F220" s="4" t="s">
        <v>25</v>
      </c>
      <c r="G220" s="4" t="s">
        <v>25</v>
      </c>
      <c r="H220" s="4" t="s">
        <v>35</v>
      </c>
      <c r="I220" s="5">
        <v>44682</v>
      </c>
      <c r="J220" s="6">
        <v>0</v>
      </c>
      <c r="K220" s="6">
        <v>0</v>
      </c>
      <c r="L220" s="6">
        <v>10.664999999999999</v>
      </c>
      <c r="M220" s="6">
        <v>10.664999999999999</v>
      </c>
      <c r="N220" s="6">
        <v>10.664999999999999</v>
      </c>
      <c r="O220" s="6">
        <v>10.664999999999999</v>
      </c>
      <c r="P220" s="6">
        <v>0</v>
      </c>
      <c r="Q220" s="4" t="s">
        <v>26</v>
      </c>
      <c r="R220" s="4">
        <v>0</v>
      </c>
      <c r="S220" s="6">
        <v>0</v>
      </c>
      <c r="T220" s="6">
        <v>6</v>
      </c>
      <c r="U220" s="6">
        <v>61</v>
      </c>
      <c r="V220" s="6">
        <f>IF(ISERROR(VLOOKUP($S$220,'TAR FIN'!$A$1:$O$113,15,0)),0,VLOOKUP($S$220,'TAR FIN'!$A$1:$O$113,15,0))</f>
        <v>0</v>
      </c>
      <c r="W220" s="6">
        <f>IF(ISERROR(VLOOKUP($T$220,'TAR FIN'!$A$1:$O$113,15,0)),0,VLOOKUP($T$220,'TAR FIN'!$A$1:$O$113,15,0))</f>
        <v>72.150000000000006</v>
      </c>
      <c r="X220" s="6">
        <f>IF(ISERROR(VLOOKUP($U$220,'TAR FIN'!$A$1:$O$113,15,0)),0,VLOOKUP($U$220,'TAR FIN'!$A$1:$O$113,15,0))</f>
        <v>278.67</v>
      </c>
      <c r="Y220" s="6"/>
      <c r="Z220" s="6">
        <f ca="1">('TUSD BE'!$AM$21+'TUSD BF_350'!$AM$21+'TUSD CVA'!$AM$21)*1</f>
        <v>122.14055331663396</v>
      </c>
      <c r="AA220" s="6">
        <f ca="1">('TE BE'!$AB$10+'TE BF_350'!$AB$10+'TE CVA'!$AB$10)*1</f>
        <v>231.69</v>
      </c>
      <c r="AB220" s="6">
        <f>$K$220*$V$220</f>
        <v>0</v>
      </c>
      <c r="AC220" s="6">
        <f>$M$220*$W$220</f>
        <v>769.47974999999997</v>
      </c>
      <c r="AD220" s="6">
        <f>$O$220*$X$220</f>
        <v>2972.0155500000001</v>
      </c>
      <c r="AE220" s="6">
        <f>$K$220*$Y$220</f>
        <v>0</v>
      </c>
      <c r="AF220" s="6">
        <f ca="1">$M$220*$Z$220</f>
        <v>1302.629001121901</v>
      </c>
      <c r="AG220" s="6">
        <f ca="1">$O$220*$AA$220</f>
        <v>2470.9738499999999</v>
      </c>
    </row>
    <row r="221" spans="1:33" ht="11.25" customHeight="1" x14ac:dyDescent="0.3">
      <c r="A221" s="4" t="s">
        <v>21</v>
      </c>
      <c r="B221" s="4" t="s">
        <v>39</v>
      </c>
      <c r="C221" s="4" t="s">
        <v>41</v>
      </c>
      <c r="D221" s="4" t="s">
        <v>42</v>
      </c>
      <c r="E221" s="4" t="s">
        <v>25</v>
      </c>
      <c r="F221" s="4" t="s">
        <v>25</v>
      </c>
      <c r="G221" s="4" t="s">
        <v>25</v>
      </c>
      <c r="H221" s="4" t="s">
        <v>35</v>
      </c>
      <c r="I221" s="5">
        <v>44713</v>
      </c>
      <c r="J221" s="6">
        <v>0</v>
      </c>
      <c r="K221" s="6">
        <v>0</v>
      </c>
      <c r="L221" s="6">
        <v>1036.903</v>
      </c>
      <c r="M221" s="6">
        <v>1036.903</v>
      </c>
      <c r="N221" s="6">
        <v>1036.903</v>
      </c>
      <c r="O221" s="6">
        <v>1036.903</v>
      </c>
      <c r="P221" s="6">
        <v>0</v>
      </c>
      <c r="Q221" s="4" t="s">
        <v>26</v>
      </c>
      <c r="R221" s="4">
        <v>0</v>
      </c>
      <c r="S221" s="6">
        <v>0</v>
      </c>
      <c r="T221" s="6">
        <v>6</v>
      </c>
      <c r="U221" s="6">
        <v>61</v>
      </c>
      <c r="V221" s="6">
        <f>IF(ISERROR(VLOOKUP($S$221,'TAR FIN'!$A$1:$O$113,15,0)),0,VLOOKUP($S$221,'TAR FIN'!$A$1:$O$113,15,0))</f>
        <v>0</v>
      </c>
      <c r="W221" s="6">
        <f>IF(ISERROR(VLOOKUP($T$221,'TAR FIN'!$A$1:$O$113,15,0)),0,VLOOKUP($T$221,'TAR FIN'!$A$1:$O$113,15,0))</f>
        <v>72.150000000000006</v>
      </c>
      <c r="X221" s="6">
        <f>IF(ISERROR(VLOOKUP($U$221,'TAR FIN'!$A$1:$O$113,15,0)),0,VLOOKUP($U$221,'TAR FIN'!$A$1:$O$113,15,0))</f>
        <v>278.67</v>
      </c>
      <c r="Y221" s="6"/>
      <c r="Z221" s="6">
        <f ca="1">('TUSD BE'!$AM$21+'TUSD BF_350'!$AM$21+'TUSD CVA'!$AM$21)*1</f>
        <v>122.14055331663396</v>
      </c>
      <c r="AA221" s="6">
        <f ca="1">('TE BE'!$AB$10+'TE BF_350'!$AB$10+'TE CVA'!$AB$10)*1</f>
        <v>231.69</v>
      </c>
      <c r="AB221" s="6">
        <f>$K$221*$V$221</f>
        <v>0</v>
      </c>
      <c r="AC221" s="6">
        <f>$M$221*$W$221</f>
        <v>74812.551450000014</v>
      </c>
      <c r="AD221" s="6">
        <f>$O$221*$X$221</f>
        <v>288953.75901000004</v>
      </c>
      <c r="AE221" s="6">
        <f>$K$221*$Y$221</f>
        <v>0</v>
      </c>
      <c r="AF221" s="6">
        <f ca="1">$M$221*$Z$221</f>
        <v>126647.9061556777</v>
      </c>
      <c r="AG221" s="6">
        <f ca="1">$O$221*$AA$221</f>
        <v>240240.05606999999</v>
      </c>
    </row>
    <row r="222" spans="1:33" ht="11.25" customHeight="1" x14ac:dyDescent="0.3">
      <c r="A222" s="4" t="s">
        <v>28</v>
      </c>
      <c r="B222" s="4" t="s">
        <v>39</v>
      </c>
      <c r="C222" s="4" t="s">
        <v>41</v>
      </c>
      <c r="D222" s="4" t="s">
        <v>42</v>
      </c>
      <c r="E222" s="4" t="s">
        <v>25</v>
      </c>
      <c r="F222" s="4" t="s">
        <v>25</v>
      </c>
      <c r="G222" s="4" t="s">
        <v>25</v>
      </c>
      <c r="H222" s="4" t="s">
        <v>35</v>
      </c>
      <c r="I222" s="5">
        <v>44713</v>
      </c>
      <c r="J222" s="6">
        <v>0</v>
      </c>
      <c r="K222" s="6">
        <v>0</v>
      </c>
      <c r="L222" s="6">
        <v>11.119</v>
      </c>
      <c r="M222" s="6">
        <v>11.119</v>
      </c>
      <c r="N222" s="6">
        <v>11.119</v>
      </c>
      <c r="O222" s="6">
        <v>11.119</v>
      </c>
      <c r="P222" s="6">
        <v>0</v>
      </c>
      <c r="Q222" s="4" t="s">
        <v>26</v>
      </c>
      <c r="R222" s="4">
        <v>0</v>
      </c>
      <c r="S222" s="6">
        <v>0</v>
      </c>
      <c r="T222" s="6">
        <v>6</v>
      </c>
      <c r="U222" s="6">
        <v>61</v>
      </c>
      <c r="V222" s="6">
        <f>IF(ISERROR(VLOOKUP($S$222,'TAR FIN'!$A$1:$O$113,15,0)),0,VLOOKUP($S$222,'TAR FIN'!$A$1:$O$113,15,0))</f>
        <v>0</v>
      </c>
      <c r="W222" s="6">
        <f>IF(ISERROR(VLOOKUP($T$222,'TAR FIN'!$A$1:$O$113,15,0)),0,VLOOKUP($T$222,'TAR FIN'!$A$1:$O$113,15,0))</f>
        <v>72.150000000000006</v>
      </c>
      <c r="X222" s="6">
        <f>IF(ISERROR(VLOOKUP($U$222,'TAR FIN'!$A$1:$O$113,15,0)),0,VLOOKUP($U$222,'TAR FIN'!$A$1:$O$113,15,0))</f>
        <v>278.67</v>
      </c>
      <c r="Y222" s="6"/>
      <c r="Z222" s="6">
        <f ca="1">('TUSD BE'!$AM$21+'TUSD BF_350'!$AM$21+'TUSD CVA'!$AM$21)*1</f>
        <v>122.14055331663396</v>
      </c>
      <c r="AA222" s="6">
        <f ca="1">('TE BE'!$AB$10+'TE BF_350'!$AB$10+'TE CVA'!$AB$10)*1</f>
        <v>231.69</v>
      </c>
      <c r="AB222" s="6">
        <f>$K$222*$V$222</f>
        <v>0</v>
      </c>
      <c r="AC222" s="6">
        <f>$M$222*$W$222</f>
        <v>802.23585000000003</v>
      </c>
      <c r="AD222" s="6">
        <f>$O$222*$X$222</f>
        <v>3098.5317300000002</v>
      </c>
      <c r="AE222" s="6">
        <f>$K$222*$Y$222</f>
        <v>0</v>
      </c>
      <c r="AF222" s="6">
        <f ca="1">$M$222*$Z$222</f>
        <v>1358.0808123276529</v>
      </c>
      <c r="AG222" s="6">
        <f ca="1">$O$222*$AA$222</f>
        <v>2576.16111</v>
      </c>
    </row>
    <row r="223" spans="1:33" ht="11.25" customHeight="1" x14ac:dyDescent="0.3">
      <c r="A223" s="4" t="s">
        <v>21</v>
      </c>
      <c r="B223" s="4" t="s">
        <v>39</v>
      </c>
      <c r="C223" s="4" t="s">
        <v>41</v>
      </c>
      <c r="D223" s="4" t="s">
        <v>42</v>
      </c>
      <c r="E223" s="4" t="s">
        <v>25</v>
      </c>
      <c r="F223" s="4" t="s">
        <v>25</v>
      </c>
      <c r="G223" s="4" t="s">
        <v>25</v>
      </c>
      <c r="H223" s="4" t="s">
        <v>35</v>
      </c>
      <c r="I223" s="5">
        <v>44743</v>
      </c>
      <c r="J223" s="6">
        <v>0</v>
      </c>
      <c r="K223" s="6">
        <v>0</v>
      </c>
      <c r="L223" s="6">
        <v>970.10500000000002</v>
      </c>
      <c r="M223" s="6">
        <v>970.10500000000002</v>
      </c>
      <c r="N223" s="6">
        <v>970.10500000000002</v>
      </c>
      <c r="O223" s="6">
        <v>970.10500000000002</v>
      </c>
      <c r="P223" s="6">
        <v>0</v>
      </c>
      <c r="Q223" s="4" t="s">
        <v>26</v>
      </c>
      <c r="R223" s="4">
        <v>0</v>
      </c>
      <c r="S223" s="6">
        <v>0</v>
      </c>
      <c r="T223" s="6">
        <v>6</v>
      </c>
      <c r="U223" s="6">
        <v>61</v>
      </c>
      <c r="V223" s="6">
        <f>IF(ISERROR(VLOOKUP($S$223,'TAR FIN'!$A$1:$O$113,15,0)),0,VLOOKUP($S$223,'TAR FIN'!$A$1:$O$113,15,0))</f>
        <v>0</v>
      </c>
      <c r="W223" s="6">
        <f>IF(ISERROR(VLOOKUP($T$223,'TAR FIN'!$A$1:$O$113,15,0)),0,VLOOKUP($T$223,'TAR FIN'!$A$1:$O$113,15,0))</f>
        <v>72.150000000000006</v>
      </c>
      <c r="X223" s="6">
        <f>IF(ISERROR(VLOOKUP($U$223,'TAR FIN'!$A$1:$O$113,15,0)),0,VLOOKUP($U$223,'TAR FIN'!$A$1:$O$113,15,0))</f>
        <v>278.67</v>
      </c>
      <c r="Y223" s="6"/>
      <c r="Z223" s="6">
        <f ca="1">('TUSD BE'!$AM$21+'TUSD BF_350'!$AM$21+'TUSD CVA'!$AM$21)*1</f>
        <v>122.14055331663396</v>
      </c>
      <c r="AA223" s="6">
        <f ca="1">('TE BE'!$AB$10+'TE BF_350'!$AB$10+'TE CVA'!$AB$10)*1</f>
        <v>231.69</v>
      </c>
      <c r="AB223" s="6">
        <f>$K$223*$V$223</f>
        <v>0</v>
      </c>
      <c r="AC223" s="6">
        <f>$M$223*$W$223</f>
        <v>69993.075750000004</v>
      </c>
      <c r="AD223" s="6">
        <f>$O$223*$X$223</f>
        <v>270339.16035000002</v>
      </c>
      <c r="AE223" s="6">
        <f>$K$223*$Y$223</f>
        <v>0</v>
      </c>
      <c r="AF223" s="6">
        <f ca="1">$M$223*$Z$223</f>
        <v>118489.16147523318</v>
      </c>
      <c r="AG223" s="6">
        <f ca="1">$O$223*$AA$223</f>
        <v>224763.62745</v>
      </c>
    </row>
    <row r="224" spans="1:33" ht="11.25" customHeight="1" x14ac:dyDescent="0.3">
      <c r="A224" s="4" t="s">
        <v>21</v>
      </c>
      <c r="B224" s="4" t="s">
        <v>39</v>
      </c>
      <c r="C224" s="4" t="s">
        <v>41</v>
      </c>
      <c r="D224" s="4" t="s">
        <v>42</v>
      </c>
      <c r="E224" s="4" t="s">
        <v>25</v>
      </c>
      <c r="F224" s="4" t="s">
        <v>25</v>
      </c>
      <c r="G224" s="4" t="s">
        <v>25</v>
      </c>
      <c r="H224" s="4" t="s">
        <v>35</v>
      </c>
      <c r="I224" s="5">
        <v>44774</v>
      </c>
      <c r="J224" s="6">
        <v>0</v>
      </c>
      <c r="K224" s="6">
        <v>0</v>
      </c>
      <c r="L224" s="6">
        <v>1034.615</v>
      </c>
      <c r="M224" s="6">
        <v>1034.615</v>
      </c>
      <c r="N224" s="6">
        <v>1034.615</v>
      </c>
      <c r="O224" s="6">
        <v>1034.615</v>
      </c>
      <c r="P224" s="6">
        <v>0</v>
      </c>
      <c r="Q224" s="4" t="s">
        <v>26</v>
      </c>
      <c r="R224" s="4">
        <v>0</v>
      </c>
      <c r="S224" s="6">
        <v>0</v>
      </c>
      <c r="T224" s="6">
        <v>6</v>
      </c>
      <c r="U224" s="6">
        <v>61</v>
      </c>
      <c r="V224" s="6">
        <f>IF(ISERROR(VLOOKUP($S$224,'TAR FIN'!$A$1:$O$113,15,0)),0,VLOOKUP($S$224,'TAR FIN'!$A$1:$O$113,15,0))</f>
        <v>0</v>
      </c>
      <c r="W224" s="6">
        <f>IF(ISERROR(VLOOKUP($T$224,'TAR FIN'!$A$1:$O$113,15,0)),0,VLOOKUP($T$224,'TAR FIN'!$A$1:$O$113,15,0))</f>
        <v>72.150000000000006</v>
      </c>
      <c r="X224" s="6">
        <f>IF(ISERROR(VLOOKUP($U$224,'TAR FIN'!$A$1:$O$113,15,0)),0,VLOOKUP($U$224,'TAR FIN'!$A$1:$O$113,15,0))</f>
        <v>278.67</v>
      </c>
      <c r="Y224" s="6"/>
      <c r="Z224" s="6">
        <f ca="1">('TUSD BE'!$AM$21+'TUSD BF_350'!$AM$21+'TUSD CVA'!$AM$21)*1</f>
        <v>122.14055331663396</v>
      </c>
      <c r="AA224" s="6">
        <f ca="1">('TE BE'!$AB$10+'TE BF_350'!$AB$10+'TE CVA'!$AB$10)*1</f>
        <v>231.69</v>
      </c>
      <c r="AB224" s="6">
        <f>$K$224*$V$224</f>
        <v>0</v>
      </c>
      <c r="AC224" s="6">
        <f>$M$224*$W$224</f>
        <v>74647.472250000006</v>
      </c>
      <c r="AD224" s="6">
        <f>$O$224*$X$224</f>
        <v>288316.16205000004</v>
      </c>
      <c r="AE224" s="6">
        <f>$K$224*$Y$224</f>
        <v>0</v>
      </c>
      <c r="AF224" s="6">
        <f ca="1">$M$224*$Z$224</f>
        <v>126368.44856968924</v>
      </c>
      <c r="AG224" s="6">
        <f ca="1">$O$224*$AA$224</f>
        <v>239709.94935000001</v>
      </c>
    </row>
    <row r="225" spans="1:33" ht="11.25" customHeight="1" x14ac:dyDescent="0.3">
      <c r="A225" s="4" t="s">
        <v>28</v>
      </c>
      <c r="B225" s="4" t="s">
        <v>39</v>
      </c>
      <c r="C225" s="4" t="s">
        <v>41</v>
      </c>
      <c r="D225" s="4" t="s">
        <v>42</v>
      </c>
      <c r="E225" s="4" t="s">
        <v>25</v>
      </c>
      <c r="F225" s="4" t="s">
        <v>25</v>
      </c>
      <c r="G225" s="4" t="s">
        <v>25</v>
      </c>
      <c r="H225" s="4" t="s">
        <v>35</v>
      </c>
      <c r="I225" s="5">
        <v>44774</v>
      </c>
      <c r="J225" s="6">
        <v>0</v>
      </c>
      <c r="K225" s="6">
        <v>0</v>
      </c>
      <c r="L225" s="6">
        <v>13.989000000000001</v>
      </c>
      <c r="M225" s="6">
        <v>13.989000000000001</v>
      </c>
      <c r="N225" s="6">
        <v>13.989000000000001</v>
      </c>
      <c r="O225" s="6">
        <v>13.989000000000001</v>
      </c>
      <c r="P225" s="6">
        <v>0</v>
      </c>
      <c r="Q225" s="4" t="s">
        <v>26</v>
      </c>
      <c r="R225" s="4">
        <v>0</v>
      </c>
      <c r="S225" s="6">
        <v>0</v>
      </c>
      <c r="T225" s="6">
        <v>6</v>
      </c>
      <c r="U225" s="6">
        <v>61</v>
      </c>
      <c r="V225" s="6">
        <f>IF(ISERROR(VLOOKUP($S$225,'TAR FIN'!$A$1:$O$113,15,0)),0,VLOOKUP($S$225,'TAR FIN'!$A$1:$O$113,15,0))</f>
        <v>0</v>
      </c>
      <c r="W225" s="6">
        <f>IF(ISERROR(VLOOKUP($T$225,'TAR FIN'!$A$1:$O$113,15,0)),0,VLOOKUP($T$225,'TAR FIN'!$A$1:$O$113,15,0))</f>
        <v>72.150000000000006</v>
      </c>
      <c r="X225" s="6">
        <f>IF(ISERROR(VLOOKUP($U$225,'TAR FIN'!$A$1:$O$113,15,0)),0,VLOOKUP($U$225,'TAR FIN'!$A$1:$O$113,15,0))</f>
        <v>278.67</v>
      </c>
      <c r="Y225" s="6"/>
      <c r="Z225" s="6">
        <f ca="1">('TUSD BE'!$AM$21+'TUSD BF_350'!$AM$21+'TUSD CVA'!$AM$21)*1</f>
        <v>122.14055331663396</v>
      </c>
      <c r="AA225" s="6">
        <f ca="1">('TE BE'!$AB$10+'TE BF_350'!$AB$10+'TE CVA'!$AB$10)*1</f>
        <v>231.69</v>
      </c>
      <c r="AB225" s="6">
        <f>$K$225*$V$225</f>
        <v>0</v>
      </c>
      <c r="AC225" s="6">
        <f>$M$225*$W$225</f>
        <v>1009.3063500000002</v>
      </c>
      <c r="AD225" s="6">
        <f>$O$225*$X$225</f>
        <v>3898.3146300000003</v>
      </c>
      <c r="AE225" s="6">
        <f>$K$225*$Y$225</f>
        <v>0</v>
      </c>
      <c r="AF225" s="6">
        <f ca="1">$M$225*$Z$225</f>
        <v>1708.6242003463924</v>
      </c>
      <c r="AG225" s="6">
        <f ca="1">$O$225*$AA$225</f>
        <v>3241.11141</v>
      </c>
    </row>
    <row r="226" spans="1:33" ht="11.25" customHeight="1" x14ac:dyDescent="0.3">
      <c r="A226" s="4" t="s">
        <v>21</v>
      </c>
      <c r="B226" s="4" t="s">
        <v>39</v>
      </c>
      <c r="C226" s="4" t="s">
        <v>41</v>
      </c>
      <c r="D226" s="4" t="s">
        <v>42</v>
      </c>
      <c r="E226" s="4" t="s">
        <v>25</v>
      </c>
      <c r="F226" s="4" t="s">
        <v>25</v>
      </c>
      <c r="G226" s="4" t="s">
        <v>25</v>
      </c>
      <c r="H226" s="4" t="s">
        <v>35</v>
      </c>
      <c r="I226" s="5">
        <v>44805</v>
      </c>
      <c r="J226" s="6">
        <v>0</v>
      </c>
      <c r="K226" s="6">
        <v>0</v>
      </c>
      <c r="L226" s="6">
        <v>1028.8389999999999</v>
      </c>
      <c r="M226" s="6">
        <v>1028.8389999999999</v>
      </c>
      <c r="N226" s="6">
        <v>1028.8389999999999</v>
      </c>
      <c r="O226" s="6">
        <v>1028.8389999999999</v>
      </c>
      <c r="P226" s="6">
        <v>0</v>
      </c>
      <c r="Q226" s="4" t="s">
        <v>26</v>
      </c>
      <c r="R226" s="4">
        <v>0</v>
      </c>
      <c r="S226" s="6">
        <v>0</v>
      </c>
      <c r="T226" s="6">
        <v>6</v>
      </c>
      <c r="U226" s="6">
        <v>61</v>
      </c>
      <c r="V226" s="6">
        <f>IF(ISERROR(VLOOKUP($S$226,'TAR FIN'!$A$1:$O$113,15,0)),0,VLOOKUP($S$226,'TAR FIN'!$A$1:$O$113,15,0))</f>
        <v>0</v>
      </c>
      <c r="W226" s="6">
        <f>IF(ISERROR(VLOOKUP($T$226,'TAR FIN'!$A$1:$O$113,15,0)),0,VLOOKUP($T$226,'TAR FIN'!$A$1:$O$113,15,0))</f>
        <v>72.150000000000006</v>
      </c>
      <c r="X226" s="6">
        <f>IF(ISERROR(VLOOKUP($U$226,'TAR FIN'!$A$1:$O$113,15,0)),0,VLOOKUP($U$226,'TAR FIN'!$A$1:$O$113,15,0))</f>
        <v>278.67</v>
      </c>
      <c r="Y226" s="6"/>
      <c r="Z226" s="6">
        <f ca="1">('TUSD BE'!$AM$21+'TUSD BF_350'!$AM$21+'TUSD CVA'!$AM$21)*1</f>
        <v>122.14055331663396</v>
      </c>
      <c r="AA226" s="6">
        <f ca="1">('TE BE'!$AB$10+'TE BF_350'!$AB$10+'TE CVA'!$AB$10)*1</f>
        <v>231.69</v>
      </c>
      <c r="AB226" s="6">
        <f>$K$226*$V$226</f>
        <v>0</v>
      </c>
      <c r="AC226" s="6">
        <f>$M$226*$W$226</f>
        <v>74230.733850000004</v>
      </c>
      <c r="AD226" s="6">
        <f>$O$226*$X$226</f>
        <v>286706.56413000001</v>
      </c>
      <c r="AE226" s="6">
        <f>$K$226*$Y$226</f>
        <v>0</v>
      </c>
      <c r="AF226" s="6">
        <f ca="1">$M$226*$Z$226</f>
        <v>125662.96473373235</v>
      </c>
      <c r="AG226" s="6">
        <f ca="1">$O$226*$AA$226</f>
        <v>238371.70791</v>
      </c>
    </row>
    <row r="227" spans="1:33" ht="11.25" customHeight="1" x14ac:dyDescent="0.3">
      <c r="A227" s="4" t="s">
        <v>27</v>
      </c>
      <c r="B227" s="4" t="s">
        <v>39</v>
      </c>
      <c r="C227" s="4" t="s">
        <v>41</v>
      </c>
      <c r="D227" s="4" t="s">
        <v>42</v>
      </c>
      <c r="E227" s="4" t="s">
        <v>25</v>
      </c>
      <c r="F227" s="4" t="s">
        <v>25</v>
      </c>
      <c r="G227" s="4" t="s">
        <v>25</v>
      </c>
      <c r="H227" s="4" t="s">
        <v>35</v>
      </c>
      <c r="I227" s="5">
        <v>44805</v>
      </c>
      <c r="J227" s="6">
        <v>0</v>
      </c>
      <c r="K227" s="6">
        <v>0</v>
      </c>
      <c r="L227" s="6">
        <v>-2.077</v>
      </c>
      <c r="M227" s="6">
        <v>-2.077</v>
      </c>
      <c r="N227" s="6">
        <v>-2.077</v>
      </c>
      <c r="O227" s="6">
        <v>-2.077</v>
      </c>
      <c r="P227" s="6">
        <v>0</v>
      </c>
      <c r="Q227" s="4" t="s">
        <v>26</v>
      </c>
      <c r="R227" s="4">
        <v>0</v>
      </c>
      <c r="S227" s="6">
        <v>0</v>
      </c>
      <c r="T227" s="6">
        <v>6</v>
      </c>
      <c r="U227" s="6">
        <v>61</v>
      </c>
      <c r="V227" s="6">
        <f>IF(ISERROR(VLOOKUP($S$227,'TAR FIN'!$A$1:$O$113,15,0)),0,VLOOKUP($S$227,'TAR FIN'!$A$1:$O$113,15,0))</f>
        <v>0</v>
      </c>
      <c r="W227" s="6">
        <f>IF(ISERROR(VLOOKUP($T$227,'TAR FIN'!$A$1:$O$113,15,0)),0,VLOOKUP($T$227,'TAR FIN'!$A$1:$O$113,15,0))</f>
        <v>72.150000000000006</v>
      </c>
      <c r="X227" s="6">
        <f>IF(ISERROR(VLOOKUP($U$227,'TAR FIN'!$A$1:$O$113,15,0)),0,VLOOKUP($U$227,'TAR FIN'!$A$1:$O$113,15,0))</f>
        <v>278.67</v>
      </c>
      <c r="Y227" s="6"/>
      <c r="Z227" s="6">
        <f ca="1">('TUSD BE'!$AM$21+'TUSD BF_350'!$AM$21+'TUSD CVA'!$AM$21)*1</f>
        <v>122.14055331663396</v>
      </c>
      <c r="AA227" s="6">
        <f ca="1">('TE BE'!$AB$10+'TE BF_350'!$AB$10+'TE CVA'!$AB$10)*1</f>
        <v>231.69</v>
      </c>
      <c r="AB227" s="6">
        <f>$K$227*$V$227</f>
        <v>0</v>
      </c>
      <c r="AC227" s="6">
        <f>$M$227*$W$227</f>
        <v>-149.85555000000002</v>
      </c>
      <c r="AD227" s="6">
        <f>$O$227*$X$227</f>
        <v>-578.79759000000001</v>
      </c>
      <c r="AE227" s="6">
        <f>$K$227*$Y$227</f>
        <v>0</v>
      </c>
      <c r="AF227" s="6">
        <f ca="1">$M$227*$Z$227</f>
        <v>-253.68592923864873</v>
      </c>
      <c r="AG227" s="6">
        <f ca="1">$O$227*$AA$227</f>
        <v>-481.22012999999998</v>
      </c>
    </row>
    <row r="228" spans="1:33" ht="11.25" customHeight="1" x14ac:dyDescent="0.3">
      <c r="A228" s="4" t="s">
        <v>28</v>
      </c>
      <c r="B228" s="4" t="s">
        <v>39</v>
      </c>
      <c r="C228" s="4" t="s">
        <v>41</v>
      </c>
      <c r="D228" s="4" t="s">
        <v>42</v>
      </c>
      <c r="E228" s="4" t="s">
        <v>25</v>
      </c>
      <c r="F228" s="4" t="s">
        <v>25</v>
      </c>
      <c r="G228" s="4" t="s">
        <v>25</v>
      </c>
      <c r="H228" s="4" t="s">
        <v>35</v>
      </c>
      <c r="I228" s="5">
        <v>44805</v>
      </c>
      <c r="J228" s="6">
        <v>0</v>
      </c>
      <c r="K228" s="6">
        <v>0</v>
      </c>
      <c r="L228" s="6">
        <v>14.489000000000001</v>
      </c>
      <c r="M228" s="6">
        <v>14.489000000000001</v>
      </c>
      <c r="N228" s="6">
        <v>14.489000000000001</v>
      </c>
      <c r="O228" s="6">
        <v>14.489000000000001</v>
      </c>
      <c r="P228" s="6">
        <v>0</v>
      </c>
      <c r="Q228" s="4" t="s">
        <v>26</v>
      </c>
      <c r="R228" s="4">
        <v>0</v>
      </c>
      <c r="S228" s="6">
        <v>0</v>
      </c>
      <c r="T228" s="6">
        <v>6</v>
      </c>
      <c r="U228" s="6">
        <v>61</v>
      </c>
      <c r="V228" s="6">
        <f>IF(ISERROR(VLOOKUP($S$228,'TAR FIN'!$A$1:$O$113,15,0)),0,VLOOKUP($S$228,'TAR FIN'!$A$1:$O$113,15,0))</f>
        <v>0</v>
      </c>
      <c r="W228" s="6">
        <f>IF(ISERROR(VLOOKUP($T$228,'TAR FIN'!$A$1:$O$113,15,0)),0,VLOOKUP($T$228,'TAR FIN'!$A$1:$O$113,15,0))</f>
        <v>72.150000000000006</v>
      </c>
      <c r="X228" s="6">
        <f>IF(ISERROR(VLOOKUP($U$228,'TAR FIN'!$A$1:$O$113,15,0)),0,VLOOKUP($U$228,'TAR FIN'!$A$1:$O$113,15,0))</f>
        <v>278.67</v>
      </c>
      <c r="Y228" s="6"/>
      <c r="Z228" s="6">
        <f ca="1">('TUSD BE'!$AM$21+'TUSD BF_350'!$AM$21+'TUSD CVA'!$AM$21)*1</f>
        <v>122.14055331663396</v>
      </c>
      <c r="AA228" s="6">
        <f ca="1">('TE BE'!$AB$10+'TE BF_350'!$AB$10+'TE CVA'!$AB$10)*1</f>
        <v>231.69</v>
      </c>
      <c r="AB228" s="6">
        <f>$K$228*$V$228</f>
        <v>0</v>
      </c>
      <c r="AC228" s="6">
        <f>$M$228*$W$228</f>
        <v>1045.3813500000001</v>
      </c>
      <c r="AD228" s="6">
        <f>$O$228*$X$228</f>
        <v>4037.6496300000003</v>
      </c>
      <c r="AE228" s="6">
        <f>$K$228*$Y$228</f>
        <v>0</v>
      </c>
      <c r="AF228" s="6">
        <f ca="1">$M$228*$Z$228</f>
        <v>1769.6944770047094</v>
      </c>
      <c r="AG228" s="6">
        <f ca="1">$O$228*$AA$228</f>
        <v>3356.9564100000002</v>
      </c>
    </row>
    <row r="229" spans="1:33" ht="11.25" customHeight="1" x14ac:dyDescent="0.3">
      <c r="A229" s="4" t="s">
        <v>53</v>
      </c>
      <c r="B229" s="4" t="s">
        <v>39</v>
      </c>
      <c r="C229" s="4" t="s">
        <v>41</v>
      </c>
      <c r="D229" s="4" t="s">
        <v>42</v>
      </c>
      <c r="E229" s="4" t="s">
        <v>25</v>
      </c>
      <c r="F229" s="4" t="s">
        <v>25</v>
      </c>
      <c r="G229" s="4" t="s">
        <v>25</v>
      </c>
      <c r="H229" s="4" t="s">
        <v>35</v>
      </c>
      <c r="I229" s="5">
        <v>44835</v>
      </c>
      <c r="J229" s="6">
        <v>0</v>
      </c>
      <c r="K229" s="6">
        <v>0</v>
      </c>
      <c r="L229" s="6">
        <v>1028.8389999999999</v>
      </c>
      <c r="M229" s="6">
        <v>1028.8389999999999</v>
      </c>
      <c r="N229" s="6">
        <v>1028.8389999999999</v>
      </c>
      <c r="O229" s="6">
        <v>1028.8389999999999</v>
      </c>
      <c r="P229" s="6">
        <v>0</v>
      </c>
      <c r="Q229" s="4" t="s">
        <v>26</v>
      </c>
      <c r="R229" s="4">
        <v>0</v>
      </c>
      <c r="S229" s="6">
        <v>0</v>
      </c>
      <c r="T229" s="6">
        <v>6</v>
      </c>
      <c r="U229" s="6">
        <v>61</v>
      </c>
      <c r="V229" s="6">
        <f>IF(ISERROR(VLOOKUP($S$229,'TAR FIN'!$A$1:$O$113,15,0)),0,VLOOKUP($S$229,'TAR FIN'!$A$1:$O$113,15,0))</f>
        <v>0</v>
      </c>
      <c r="W229" s="6">
        <f>IF(ISERROR(VLOOKUP($T$229,'TAR FIN'!$A$1:$O$113,15,0)),0,VLOOKUP($T$229,'TAR FIN'!$A$1:$O$113,15,0))</f>
        <v>72.150000000000006</v>
      </c>
      <c r="X229" s="6">
        <f>IF(ISERROR(VLOOKUP($U$229,'TAR FIN'!$A$1:$O$113,15,0)),0,VLOOKUP($U$229,'TAR FIN'!$A$1:$O$113,15,0))</f>
        <v>278.67</v>
      </c>
      <c r="Y229" s="6"/>
      <c r="Z229" s="6">
        <f ca="1">('TUSD BE'!$AM$21+'TUSD BF_350'!$AM$21+'TUSD CVA'!$AM$21)*1</f>
        <v>122.14055331663396</v>
      </c>
      <c r="AA229" s="6">
        <f ca="1">('TE BE'!$AB$10+'TE BF_350'!$AB$10+'TE CVA'!$AB$10)*1</f>
        <v>231.69</v>
      </c>
      <c r="AB229" s="6">
        <f>$K$229*$V$229</f>
        <v>0</v>
      </c>
      <c r="AC229" s="6">
        <f>$M$229*$W$229</f>
        <v>74230.733850000004</v>
      </c>
      <c r="AD229" s="6">
        <f>$O$229*$X$229</f>
        <v>286706.56413000001</v>
      </c>
      <c r="AE229" s="6">
        <f>$K$229*$Y$229</f>
        <v>0</v>
      </c>
      <c r="AF229" s="6">
        <f ca="1">$M$229*$Z$229</f>
        <v>125662.96473373235</v>
      </c>
      <c r="AG229" s="6">
        <f ca="1">$O$229*$AA$229</f>
        <v>238371.70791</v>
      </c>
    </row>
    <row r="230" spans="1:33" ht="11.25" customHeight="1" x14ac:dyDescent="0.3">
      <c r="A230" s="4" t="s">
        <v>53</v>
      </c>
      <c r="B230" s="4" t="s">
        <v>39</v>
      </c>
      <c r="C230" s="4" t="s">
        <v>41</v>
      </c>
      <c r="D230" s="4" t="s">
        <v>42</v>
      </c>
      <c r="E230" s="4" t="s">
        <v>25</v>
      </c>
      <c r="F230" s="4" t="s">
        <v>25</v>
      </c>
      <c r="G230" s="4" t="s">
        <v>25</v>
      </c>
      <c r="H230" s="4" t="s">
        <v>35</v>
      </c>
      <c r="I230" s="5">
        <v>44835</v>
      </c>
      <c r="J230" s="6">
        <v>0</v>
      </c>
      <c r="K230" s="6">
        <v>0</v>
      </c>
      <c r="L230" s="6">
        <v>-2.077</v>
      </c>
      <c r="M230" s="6">
        <v>-2.077</v>
      </c>
      <c r="N230" s="6">
        <v>-2.077</v>
      </c>
      <c r="O230" s="6">
        <v>-2.077</v>
      </c>
      <c r="P230" s="6">
        <v>0</v>
      </c>
      <c r="Q230" s="4" t="s">
        <v>26</v>
      </c>
      <c r="R230" s="4">
        <v>0</v>
      </c>
      <c r="S230" s="6">
        <v>0</v>
      </c>
      <c r="T230" s="6">
        <v>6</v>
      </c>
      <c r="U230" s="6">
        <v>61</v>
      </c>
      <c r="V230" s="6">
        <f>IF(ISERROR(VLOOKUP($S$230,'TAR FIN'!$A$1:$O$113,15,0)),0,VLOOKUP($S$230,'TAR FIN'!$A$1:$O$113,15,0))</f>
        <v>0</v>
      </c>
      <c r="W230" s="6">
        <f>IF(ISERROR(VLOOKUP($T$230,'TAR FIN'!$A$1:$O$113,15,0)),0,VLOOKUP($T$230,'TAR FIN'!$A$1:$O$113,15,0))</f>
        <v>72.150000000000006</v>
      </c>
      <c r="X230" s="6">
        <f>IF(ISERROR(VLOOKUP($U$230,'TAR FIN'!$A$1:$O$113,15,0)),0,VLOOKUP($U$230,'TAR FIN'!$A$1:$O$113,15,0))</f>
        <v>278.67</v>
      </c>
      <c r="Y230" s="6"/>
      <c r="Z230" s="6">
        <f ca="1">('TUSD BE'!$AM$21+'TUSD BF_350'!$AM$21+'TUSD CVA'!$AM$21)*1</f>
        <v>122.14055331663396</v>
      </c>
      <c r="AA230" s="6">
        <f ca="1">('TE BE'!$AB$10+'TE BF_350'!$AB$10+'TE CVA'!$AB$10)*1</f>
        <v>231.69</v>
      </c>
      <c r="AB230" s="6">
        <f>$K$230*$V$230</f>
        <v>0</v>
      </c>
      <c r="AC230" s="6">
        <f>$M$230*$W$230</f>
        <v>-149.85555000000002</v>
      </c>
      <c r="AD230" s="6">
        <f>$O$230*$X$230</f>
        <v>-578.79759000000001</v>
      </c>
      <c r="AE230" s="6">
        <f>$K$230*$Y$230</f>
        <v>0</v>
      </c>
      <c r="AF230" s="6">
        <f ca="1">$M$230*$Z$230</f>
        <v>-253.68592923864873</v>
      </c>
      <c r="AG230" s="6">
        <f ca="1">$O$230*$AA$230</f>
        <v>-481.22012999999998</v>
      </c>
    </row>
    <row r="231" spans="1:33" ht="11.25" customHeight="1" x14ac:dyDescent="0.3">
      <c r="A231" s="4" t="s">
        <v>53</v>
      </c>
      <c r="B231" s="4" t="s">
        <v>39</v>
      </c>
      <c r="C231" s="4" t="s">
        <v>41</v>
      </c>
      <c r="D231" s="4" t="s">
        <v>42</v>
      </c>
      <c r="E231" s="4" t="s">
        <v>25</v>
      </c>
      <c r="F231" s="4" t="s">
        <v>25</v>
      </c>
      <c r="G231" s="4" t="s">
        <v>25</v>
      </c>
      <c r="H231" s="4" t="s">
        <v>35</v>
      </c>
      <c r="I231" s="5">
        <v>44835</v>
      </c>
      <c r="J231" s="6">
        <v>0</v>
      </c>
      <c r="K231" s="6">
        <v>0</v>
      </c>
      <c r="L231" s="6">
        <v>14.489000000000001</v>
      </c>
      <c r="M231" s="6">
        <v>14.489000000000001</v>
      </c>
      <c r="N231" s="6">
        <v>14.489000000000001</v>
      </c>
      <c r="O231" s="6">
        <v>14.489000000000001</v>
      </c>
      <c r="P231" s="6">
        <v>0</v>
      </c>
      <c r="Q231" s="4" t="s">
        <v>26</v>
      </c>
      <c r="R231" s="4">
        <v>0</v>
      </c>
      <c r="S231" s="6">
        <v>0</v>
      </c>
      <c r="T231" s="6">
        <v>6</v>
      </c>
      <c r="U231" s="6">
        <v>61</v>
      </c>
      <c r="V231" s="6">
        <f>IF(ISERROR(VLOOKUP($S$231,'TAR FIN'!$A$1:$O$113,15,0)),0,VLOOKUP($S$231,'TAR FIN'!$A$1:$O$113,15,0))</f>
        <v>0</v>
      </c>
      <c r="W231" s="6">
        <f>IF(ISERROR(VLOOKUP($T$231,'TAR FIN'!$A$1:$O$113,15,0)),0,VLOOKUP($T$231,'TAR FIN'!$A$1:$O$113,15,0))</f>
        <v>72.150000000000006</v>
      </c>
      <c r="X231" s="6">
        <f>IF(ISERROR(VLOOKUP($U$231,'TAR FIN'!$A$1:$O$113,15,0)),0,VLOOKUP($U$231,'TAR FIN'!$A$1:$O$113,15,0))</f>
        <v>278.67</v>
      </c>
      <c r="Y231" s="6"/>
      <c r="Z231" s="6">
        <f ca="1">('TUSD BE'!$AM$21+'TUSD BF_350'!$AM$21+'TUSD CVA'!$AM$21)*1</f>
        <v>122.14055331663396</v>
      </c>
      <c r="AA231" s="6">
        <f ca="1">('TE BE'!$AB$10+'TE BF_350'!$AB$10+'TE CVA'!$AB$10)*1</f>
        <v>231.69</v>
      </c>
      <c r="AB231" s="6">
        <f>$K$231*$V$231</f>
        <v>0</v>
      </c>
      <c r="AC231" s="6">
        <f>$M$231*$W$231</f>
        <v>1045.3813500000001</v>
      </c>
      <c r="AD231" s="6">
        <f>$O$231*$X$231</f>
        <v>4037.6496300000003</v>
      </c>
      <c r="AE231" s="6">
        <f>$K$231*$Y$231</f>
        <v>0</v>
      </c>
      <c r="AF231" s="6">
        <f ca="1">$M$231*$Z$231</f>
        <v>1769.6944770047094</v>
      </c>
      <c r="AG231" s="6">
        <f ca="1">$O$231*$AA$231</f>
        <v>3356.9564100000002</v>
      </c>
    </row>
    <row r="232" spans="1:33" ht="11.25" customHeight="1" x14ac:dyDescent="0.3">
      <c r="A232" s="4" t="s">
        <v>21</v>
      </c>
      <c r="B232" s="4" t="s">
        <v>39</v>
      </c>
      <c r="C232" s="4" t="s">
        <v>41</v>
      </c>
      <c r="D232" s="4" t="s">
        <v>42</v>
      </c>
      <c r="E232" s="4" t="s">
        <v>25</v>
      </c>
      <c r="F232" s="4" t="s">
        <v>25</v>
      </c>
      <c r="G232" s="4" t="s">
        <v>25</v>
      </c>
      <c r="H232" s="4" t="s">
        <v>25</v>
      </c>
      <c r="I232" s="5">
        <v>44501</v>
      </c>
      <c r="J232" s="6">
        <v>7387</v>
      </c>
      <c r="K232" s="6">
        <v>7387</v>
      </c>
      <c r="L232" s="6">
        <v>0</v>
      </c>
      <c r="M232" s="6">
        <v>0</v>
      </c>
      <c r="N232" s="6">
        <v>0</v>
      </c>
      <c r="O232" s="6">
        <v>0</v>
      </c>
      <c r="P232" s="6">
        <v>64</v>
      </c>
      <c r="Q232" s="4" t="s">
        <v>26</v>
      </c>
      <c r="R232" s="4">
        <v>0</v>
      </c>
      <c r="S232" s="6">
        <v>20</v>
      </c>
      <c r="T232" s="6">
        <v>0</v>
      </c>
      <c r="U232" s="6">
        <v>0</v>
      </c>
      <c r="V232" s="6">
        <f>IF(ISERROR(VLOOKUP($S$232,'TAR FIN'!$A$1:$O$113,15,0)),0,VLOOKUP($S$232,'TAR FIN'!$A$1:$O$113,15,0))</f>
        <v>14</v>
      </c>
      <c r="W232" s="6">
        <f>IF(ISERROR(VLOOKUP($T$232,'TAR FIN'!$A$1:$O$113,15,0)),0,VLOOKUP($T$232,'TAR FIN'!$A$1:$O$113,15,0))</f>
        <v>0</v>
      </c>
      <c r="X232" s="6">
        <f>IF(ISERROR(VLOOKUP($U$232,'TAR FIN'!$A$1:$O$113,15,0)),0,VLOOKUP($U$232,'TAR FIN'!$A$1:$O$113,15,0))</f>
        <v>0</v>
      </c>
      <c r="Y232" s="6">
        <f ca="1">('TUSD BE'!$AM$19+'TUSD BF_350'!$AM$19+'TUSD CVA'!$AM$19)*1</f>
        <v>16.035953923331604</v>
      </c>
      <c r="Z232" s="6"/>
      <c r="AA232" s="6"/>
      <c r="AB232" s="6">
        <f>$K$232*$V$232</f>
        <v>103418</v>
      </c>
      <c r="AC232" s="6">
        <f>$M$232*$W$232</f>
        <v>0</v>
      </c>
      <c r="AD232" s="6">
        <f>$O$232*$X$232</f>
        <v>0</v>
      </c>
      <c r="AE232" s="6">
        <f ca="1">$K$232*$Y$232</f>
        <v>118457.59163165056</v>
      </c>
      <c r="AF232" s="6">
        <f>$M$232*$Z$232</f>
        <v>0</v>
      </c>
      <c r="AG232" s="6">
        <f>$O$232*$AA$232</f>
        <v>0</v>
      </c>
    </row>
    <row r="233" spans="1:33" ht="11.25" customHeight="1" x14ac:dyDescent="0.3">
      <c r="A233" s="4" t="s">
        <v>28</v>
      </c>
      <c r="B233" s="4" t="s">
        <v>39</v>
      </c>
      <c r="C233" s="4" t="s">
        <v>41</v>
      </c>
      <c r="D233" s="4" t="s">
        <v>42</v>
      </c>
      <c r="E233" s="4" t="s">
        <v>25</v>
      </c>
      <c r="F233" s="4" t="s">
        <v>25</v>
      </c>
      <c r="G233" s="4" t="s">
        <v>25</v>
      </c>
      <c r="H233" s="4" t="s">
        <v>25</v>
      </c>
      <c r="I233" s="5">
        <v>44501</v>
      </c>
      <c r="J233" s="6">
        <v>135</v>
      </c>
      <c r="K233" s="6">
        <v>135</v>
      </c>
      <c r="L233" s="6">
        <v>0</v>
      </c>
      <c r="M233" s="6">
        <v>0</v>
      </c>
      <c r="N233" s="6">
        <v>0</v>
      </c>
      <c r="O233" s="6">
        <v>0</v>
      </c>
      <c r="P233" s="6">
        <v>2</v>
      </c>
      <c r="Q233" s="4" t="s">
        <v>26</v>
      </c>
      <c r="R233" s="4">
        <v>0</v>
      </c>
      <c r="S233" s="6">
        <v>20</v>
      </c>
      <c r="T233" s="6">
        <v>0</v>
      </c>
      <c r="U233" s="6">
        <v>0</v>
      </c>
      <c r="V233" s="6">
        <f>IF(ISERROR(VLOOKUP($S$233,'TAR FIN'!$A$1:$O$113,15,0)),0,VLOOKUP($S$233,'TAR FIN'!$A$1:$O$113,15,0))</f>
        <v>14</v>
      </c>
      <c r="W233" s="6">
        <f>IF(ISERROR(VLOOKUP($T$233,'TAR FIN'!$A$1:$O$113,15,0)),0,VLOOKUP($T$233,'TAR FIN'!$A$1:$O$113,15,0))</f>
        <v>0</v>
      </c>
      <c r="X233" s="6">
        <f>IF(ISERROR(VLOOKUP($U$233,'TAR FIN'!$A$1:$O$113,15,0)),0,VLOOKUP($U$233,'TAR FIN'!$A$1:$O$113,15,0))</f>
        <v>0</v>
      </c>
      <c r="Y233" s="6">
        <f ca="1">('TUSD BE'!$AM$19+'TUSD BF_350'!$AM$19+'TUSD CVA'!$AM$19)*1</f>
        <v>16.035953923331604</v>
      </c>
      <c r="Z233" s="6"/>
      <c r="AA233" s="6"/>
      <c r="AB233" s="6">
        <f>$K$233*$V$233</f>
        <v>1890</v>
      </c>
      <c r="AC233" s="6">
        <f>$M$233*$W$233</f>
        <v>0</v>
      </c>
      <c r="AD233" s="6">
        <f>$O$233*$X$233</f>
        <v>0</v>
      </c>
      <c r="AE233" s="6">
        <f ca="1">$K$233*$Y$233</f>
        <v>2164.8537796497667</v>
      </c>
      <c r="AF233" s="6">
        <f>$M$233*$Z$233</f>
        <v>0</v>
      </c>
      <c r="AG233" s="6">
        <f>$O$233*$AA$233</f>
        <v>0</v>
      </c>
    </row>
    <row r="234" spans="1:33" ht="11.25" customHeight="1" x14ac:dyDescent="0.3">
      <c r="A234" s="4" t="s">
        <v>21</v>
      </c>
      <c r="B234" s="4" t="s">
        <v>39</v>
      </c>
      <c r="C234" s="4" t="s">
        <v>41</v>
      </c>
      <c r="D234" s="4" t="s">
        <v>42</v>
      </c>
      <c r="E234" s="4" t="s">
        <v>25</v>
      </c>
      <c r="F234" s="4" t="s">
        <v>25</v>
      </c>
      <c r="G234" s="4" t="s">
        <v>25</v>
      </c>
      <c r="H234" s="4" t="s">
        <v>25</v>
      </c>
      <c r="I234" s="5">
        <v>44531</v>
      </c>
      <c r="J234" s="6">
        <v>7520</v>
      </c>
      <c r="K234" s="6">
        <v>7520</v>
      </c>
      <c r="L234" s="6">
        <v>0</v>
      </c>
      <c r="M234" s="6">
        <v>0</v>
      </c>
      <c r="N234" s="6">
        <v>0</v>
      </c>
      <c r="O234" s="6">
        <v>0</v>
      </c>
      <c r="P234" s="6">
        <v>64</v>
      </c>
      <c r="Q234" s="4" t="s">
        <v>26</v>
      </c>
      <c r="R234" s="4">
        <v>0</v>
      </c>
      <c r="S234" s="6">
        <v>20</v>
      </c>
      <c r="T234" s="6">
        <v>0</v>
      </c>
      <c r="U234" s="6">
        <v>0</v>
      </c>
      <c r="V234" s="6">
        <f>IF(ISERROR(VLOOKUP($S$234,'TAR FIN'!$A$1:$O$113,15,0)),0,VLOOKUP($S$234,'TAR FIN'!$A$1:$O$113,15,0))</f>
        <v>14</v>
      </c>
      <c r="W234" s="6">
        <f>IF(ISERROR(VLOOKUP($T$234,'TAR FIN'!$A$1:$O$113,15,0)),0,VLOOKUP($T$234,'TAR FIN'!$A$1:$O$113,15,0))</f>
        <v>0</v>
      </c>
      <c r="X234" s="6">
        <f>IF(ISERROR(VLOOKUP($U$234,'TAR FIN'!$A$1:$O$113,15,0)),0,VLOOKUP($U$234,'TAR FIN'!$A$1:$O$113,15,0))</f>
        <v>0</v>
      </c>
      <c r="Y234" s="6">
        <f ca="1">('TUSD BE'!$AM$19+'TUSD BF_350'!$AM$19+'TUSD CVA'!$AM$19)*1</f>
        <v>16.035953923331604</v>
      </c>
      <c r="Z234" s="6"/>
      <c r="AA234" s="6"/>
      <c r="AB234" s="6">
        <f>$K$234*$V$234</f>
        <v>105280</v>
      </c>
      <c r="AC234" s="6">
        <f>$M$234*$W$234</f>
        <v>0</v>
      </c>
      <c r="AD234" s="6">
        <f>$O$234*$X$234</f>
        <v>0</v>
      </c>
      <c r="AE234" s="6">
        <f ca="1">$K$234*$Y$234</f>
        <v>120590.37350345367</v>
      </c>
      <c r="AF234" s="6">
        <f>$M$234*$Z$234</f>
        <v>0</v>
      </c>
      <c r="AG234" s="6">
        <f>$O$234*$AA$234</f>
        <v>0</v>
      </c>
    </row>
    <row r="235" spans="1:33" ht="11.25" customHeight="1" x14ac:dyDescent="0.3">
      <c r="A235" s="4" t="s">
        <v>28</v>
      </c>
      <c r="B235" s="4" t="s">
        <v>39</v>
      </c>
      <c r="C235" s="4" t="s">
        <v>41</v>
      </c>
      <c r="D235" s="4" t="s">
        <v>42</v>
      </c>
      <c r="E235" s="4" t="s">
        <v>25</v>
      </c>
      <c r="F235" s="4" t="s">
        <v>25</v>
      </c>
      <c r="G235" s="4" t="s">
        <v>25</v>
      </c>
      <c r="H235" s="4" t="s">
        <v>25</v>
      </c>
      <c r="I235" s="5">
        <v>44531</v>
      </c>
      <c r="J235" s="6">
        <v>135</v>
      </c>
      <c r="K235" s="6">
        <v>135</v>
      </c>
      <c r="L235" s="6">
        <v>0</v>
      </c>
      <c r="M235" s="6">
        <v>0</v>
      </c>
      <c r="N235" s="6">
        <v>0</v>
      </c>
      <c r="O235" s="6">
        <v>0</v>
      </c>
      <c r="P235" s="6">
        <v>2</v>
      </c>
      <c r="Q235" s="4" t="s">
        <v>26</v>
      </c>
      <c r="R235" s="4">
        <v>0</v>
      </c>
      <c r="S235" s="6">
        <v>20</v>
      </c>
      <c r="T235" s="6">
        <v>0</v>
      </c>
      <c r="U235" s="6">
        <v>0</v>
      </c>
      <c r="V235" s="6">
        <f>IF(ISERROR(VLOOKUP($S$235,'TAR FIN'!$A$1:$O$113,15,0)),0,VLOOKUP($S$235,'TAR FIN'!$A$1:$O$113,15,0))</f>
        <v>14</v>
      </c>
      <c r="W235" s="6">
        <f>IF(ISERROR(VLOOKUP($T$235,'TAR FIN'!$A$1:$O$113,15,0)),0,VLOOKUP($T$235,'TAR FIN'!$A$1:$O$113,15,0))</f>
        <v>0</v>
      </c>
      <c r="X235" s="6">
        <f>IF(ISERROR(VLOOKUP($U$235,'TAR FIN'!$A$1:$O$113,15,0)),0,VLOOKUP($U$235,'TAR FIN'!$A$1:$O$113,15,0))</f>
        <v>0</v>
      </c>
      <c r="Y235" s="6">
        <f ca="1">('TUSD BE'!$AM$19+'TUSD BF_350'!$AM$19+'TUSD CVA'!$AM$19)*1</f>
        <v>16.035953923331604</v>
      </c>
      <c r="Z235" s="6"/>
      <c r="AA235" s="6"/>
      <c r="AB235" s="6">
        <f>$K$235*$V$235</f>
        <v>1890</v>
      </c>
      <c r="AC235" s="6">
        <f>$M$235*$W$235</f>
        <v>0</v>
      </c>
      <c r="AD235" s="6">
        <f>$O$235*$X$235</f>
        <v>0</v>
      </c>
      <c r="AE235" s="6">
        <f ca="1">$K$235*$Y$235</f>
        <v>2164.8537796497667</v>
      </c>
      <c r="AF235" s="6">
        <f>$M$235*$Z$235</f>
        <v>0</v>
      </c>
      <c r="AG235" s="6">
        <f>$O$235*$AA$235</f>
        <v>0</v>
      </c>
    </row>
    <row r="236" spans="1:33" ht="11.25" customHeight="1" x14ac:dyDescent="0.3">
      <c r="A236" s="4" t="s">
        <v>21</v>
      </c>
      <c r="B236" s="4" t="s">
        <v>39</v>
      </c>
      <c r="C236" s="4" t="s">
        <v>41</v>
      </c>
      <c r="D236" s="4" t="s">
        <v>42</v>
      </c>
      <c r="E236" s="4" t="s">
        <v>25</v>
      </c>
      <c r="F236" s="4" t="s">
        <v>25</v>
      </c>
      <c r="G236" s="4" t="s">
        <v>25</v>
      </c>
      <c r="H236" s="4" t="s">
        <v>25</v>
      </c>
      <c r="I236" s="5">
        <v>44562</v>
      </c>
      <c r="J236" s="6">
        <v>7146</v>
      </c>
      <c r="K236" s="6">
        <v>7146</v>
      </c>
      <c r="L236" s="6">
        <v>0</v>
      </c>
      <c r="M236" s="6">
        <v>0</v>
      </c>
      <c r="N236" s="6">
        <v>0</v>
      </c>
      <c r="O236" s="6">
        <v>0</v>
      </c>
      <c r="P236" s="6">
        <v>62</v>
      </c>
      <c r="Q236" s="4" t="s">
        <v>26</v>
      </c>
      <c r="R236" s="4">
        <v>0</v>
      </c>
      <c r="S236" s="6">
        <v>20</v>
      </c>
      <c r="T236" s="6">
        <v>0</v>
      </c>
      <c r="U236" s="6">
        <v>0</v>
      </c>
      <c r="V236" s="6">
        <f>IF(ISERROR(VLOOKUP($S$236,'TAR FIN'!$A$1:$O$113,15,0)),0,VLOOKUP($S$236,'TAR FIN'!$A$1:$O$113,15,0))</f>
        <v>14</v>
      </c>
      <c r="W236" s="6">
        <f>IF(ISERROR(VLOOKUP($T$236,'TAR FIN'!$A$1:$O$113,15,0)),0,VLOOKUP($T$236,'TAR FIN'!$A$1:$O$113,15,0))</f>
        <v>0</v>
      </c>
      <c r="X236" s="6">
        <f>IF(ISERROR(VLOOKUP($U$236,'TAR FIN'!$A$1:$O$113,15,0)),0,VLOOKUP($U$236,'TAR FIN'!$A$1:$O$113,15,0))</f>
        <v>0</v>
      </c>
      <c r="Y236" s="6">
        <f ca="1">('TUSD BE'!$AM$19+'TUSD BF_350'!$AM$19+'TUSD CVA'!$AM$19)*1</f>
        <v>16.035953923331604</v>
      </c>
      <c r="Z236" s="6"/>
      <c r="AA236" s="6"/>
      <c r="AB236" s="6">
        <f>$K$236*$V$236</f>
        <v>100044</v>
      </c>
      <c r="AC236" s="6">
        <f>$M$236*$W$236</f>
        <v>0</v>
      </c>
      <c r="AD236" s="6">
        <f>$O$236*$X$236</f>
        <v>0</v>
      </c>
      <c r="AE236" s="6">
        <f ca="1">$K$236*$Y$236</f>
        <v>114592.92673612764</v>
      </c>
      <c r="AF236" s="6">
        <f>$M$236*$Z$236</f>
        <v>0</v>
      </c>
      <c r="AG236" s="6">
        <f>$O$236*$AA$236</f>
        <v>0</v>
      </c>
    </row>
    <row r="237" spans="1:33" ht="11.25" customHeight="1" x14ac:dyDescent="0.3">
      <c r="A237" s="4" t="s">
        <v>28</v>
      </c>
      <c r="B237" s="4" t="s">
        <v>39</v>
      </c>
      <c r="C237" s="4" t="s">
        <v>41</v>
      </c>
      <c r="D237" s="4" t="s">
        <v>42</v>
      </c>
      <c r="E237" s="4" t="s">
        <v>25</v>
      </c>
      <c r="F237" s="4" t="s">
        <v>25</v>
      </c>
      <c r="G237" s="4" t="s">
        <v>25</v>
      </c>
      <c r="H237" s="4" t="s">
        <v>25</v>
      </c>
      <c r="I237" s="5">
        <v>44562</v>
      </c>
      <c r="J237" s="6">
        <v>135</v>
      </c>
      <c r="K237" s="6">
        <v>135</v>
      </c>
      <c r="L237" s="6">
        <v>0</v>
      </c>
      <c r="M237" s="6">
        <v>0</v>
      </c>
      <c r="N237" s="6">
        <v>0</v>
      </c>
      <c r="O237" s="6">
        <v>0</v>
      </c>
      <c r="P237" s="6">
        <v>2</v>
      </c>
      <c r="Q237" s="4" t="s">
        <v>26</v>
      </c>
      <c r="R237" s="4">
        <v>0</v>
      </c>
      <c r="S237" s="6">
        <v>20</v>
      </c>
      <c r="T237" s="6">
        <v>0</v>
      </c>
      <c r="U237" s="6">
        <v>0</v>
      </c>
      <c r="V237" s="6">
        <f>IF(ISERROR(VLOOKUP($S$237,'TAR FIN'!$A$1:$O$113,15,0)),0,VLOOKUP($S$237,'TAR FIN'!$A$1:$O$113,15,0))</f>
        <v>14</v>
      </c>
      <c r="W237" s="6">
        <f>IF(ISERROR(VLOOKUP($T$237,'TAR FIN'!$A$1:$O$113,15,0)),0,VLOOKUP($T$237,'TAR FIN'!$A$1:$O$113,15,0))</f>
        <v>0</v>
      </c>
      <c r="X237" s="6">
        <f>IF(ISERROR(VLOOKUP($U$237,'TAR FIN'!$A$1:$O$113,15,0)),0,VLOOKUP($U$237,'TAR FIN'!$A$1:$O$113,15,0))</f>
        <v>0</v>
      </c>
      <c r="Y237" s="6">
        <f ca="1">('TUSD BE'!$AM$19+'TUSD BF_350'!$AM$19+'TUSD CVA'!$AM$19)*1</f>
        <v>16.035953923331604</v>
      </c>
      <c r="Z237" s="6"/>
      <c r="AA237" s="6"/>
      <c r="AB237" s="6">
        <f>$K$237*$V$237</f>
        <v>1890</v>
      </c>
      <c r="AC237" s="6">
        <f>$M$237*$W$237</f>
        <v>0</v>
      </c>
      <c r="AD237" s="6">
        <f>$O$237*$X$237</f>
        <v>0</v>
      </c>
      <c r="AE237" s="6">
        <f ca="1">$K$237*$Y$237</f>
        <v>2164.8537796497667</v>
      </c>
      <c r="AF237" s="6">
        <f>$M$237*$Z$237</f>
        <v>0</v>
      </c>
      <c r="AG237" s="6">
        <f>$O$237*$AA$237</f>
        <v>0</v>
      </c>
    </row>
    <row r="238" spans="1:33" ht="11.25" customHeight="1" x14ac:dyDescent="0.3">
      <c r="A238" s="4" t="s">
        <v>21</v>
      </c>
      <c r="B238" s="4" t="s">
        <v>39</v>
      </c>
      <c r="C238" s="4" t="s">
        <v>41</v>
      </c>
      <c r="D238" s="4" t="s">
        <v>42</v>
      </c>
      <c r="E238" s="4" t="s">
        <v>25</v>
      </c>
      <c r="F238" s="4" t="s">
        <v>25</v>
      </c>
      <c r="G238" s="4" t="s">
        <v>25</v>
      </c>
      <c r="H238" s="4" t="s">
        <v>25</v>
      </c>
      <c r="I238" s="5">
        <v>44593</v>
      </c>
      <c r="J238" s="6">
        <v>7182</v>
      </c>
      <c r="K238" s="6">
        <v>7182</v>
      </c>
      <c r="L238" s="6">
        <v>0</v>
      </c>
      <c r="M238" s="6">
        <v>0</v>
      </c>
      <c r="N238" s="6">
        <v>0</v>
      </c>
      <c r="O238" s="6">
        <v>0</v>
      </c>
      <c r="P238" s="6">
        <v>62</v>
      </c>
      <c r="Q238" s="4" t="s">
        <v>26</v>
      </c>
      <c r="R238" s="4">
        <v>0</v>
      </c>
      <c r="S238" s="6">
        <v>20</v>
      </c>
      <c r="T238" s="6">
        <v>0</v>
      </c>
      <c r="U238" s="6">
        <v>0</v>
      </c>
      <c r="V238" s="6">
        <f>IF(ISERROR(VLOOKUP($S$238,'TAR FIN'!$A$1:$O$113,15,0)),0,VLOOKUP($S$238,'TAR FIN'!$A$1:$O$113,15,0))</f>
        <v>14</v>
      </c>
      <c r="W238" s="6">
        <f>IF(ISERROR(VLOOKUP($T$238,'TAR FIN'!$A$1:$O$113,15,0)),0,VLOOKUP($T$238,'TAR FIN'!$A$1:$O$113,15,0))</f>
        <v>0</v>
      </c>
      <c r="X238" s="6">
        <f>IF(ISERROR(VLOOKUP($U$238,'TAR FIN'!$A$1:$O$113,15,0)),0,VLOOKUP($U$238,'TAR FIN'!$A$1:$O$113,15,0))</f>
        <v>0</v>
      </c>
      <c r="Y238" s="6">
        <f ca="1">('TUSD BE'!$AM$19+'TUSD BF_350'!$AM$19+'TUSD CVA'!$AM$19)*1</f>
        <v>16.035953923331604</v>
      </c>
      <c r="Z238" s="6"/>
      <c r="AA238" s="6"/>
      <c r="AB238" s="6">
        <f>$K$238*$V$238</f>
        <v>100548</v>
      </c>
      <c r="AC238" s="6">
        <f>$M$238*$W$238</f>
        <v>0</v>
      </c>
      <c r="AD238" s="6">
        <f>$O$238*$X$238</f>
        <v>0</v>
      </c>
      <c r="AE238" s="6">
        <f ca="1">$K$238*$Y$238</f>
        <v>115170.22107736758</v>
      </c>
      <c r="AF238" s="6">
        <f>$M$238*$Z$238</f>
        <v>0</v>
      </c>
      <c r="AG238" s="6">
        <f>$O$238*$AA$238</f>
        <v>0</v>
      </c>
    </row>
    <row r="239" spans="1:33" ht="11.25" customHeight="1" x14ac:dyDescent="0.3">
      <c r="A239" s="4" t="s">
        <v>27</v>
      </c>
      <c r="B239" s="4" t="s">
        <v>39</v>
      </c>
      <c r="C239" s="4" t="s">
        <v>41</v>
      </c>
      <c r="D239" s="4" t="s">
        <v>42</v>
      </c>
      <c r="E239" s="4" t="s">
        <v>25</v>
      </c>
      <c r="F239" s="4" t="s">
        <v>25</v>
      </c>
      <c r="G239" s="4" t="s">
        <v>25</v>
      </c>
      <c r="H239" s="4" t="s">
        <v>25</v>
      </c>
      <c r="I239" s="5">
        <v>44593</v>
      </c>
      <c r="J239" s="6">
        <v>-9</v>
      </c>
      <c r="K239" s="6">
        <v>-9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4" t="s">
        <v>26</v>
      </c>
      <c r="R239" s="4">
        <v>0</v>
      </c>
      <c r="S239" s="6">
        <v>20</v>
      </c>
      <c r="T239" s="6">
        <v>0</v>
      </c>
      <c r="U239" s="6">
        <v>0</v>
      </c>
      <c r="V239" s="6">
        <f>IF(ISERROR(VLOOKUP($S$239,'TAR FIN'!$A$1:$O$113,15,0)),0,VLOOKUP($S$239,'TAR FIN'!$A$1:$O$113,15,0))</f>
        <v>14</v>
      </c>
      <c r="W239" s="6">
        <f>IF(ISERROR(VLOOKUP($T$239,'TAR FIN'!$A$1:$O$113,15,0)),0,VLOOKUP($T$239,'TAR FIN'!$A$1:$O$113,15,0))</f>
        <v>0</v>
      </c>
      <c r="X239" s="6">
        <f>IF(ISERROR(VLOOKUP($U$239,'TAR FIN'!$A$1:$O$113,15,0)),0,VLOOKUP($U$239,'TAR FIN'!$A$1:$O$113,15,0))</f>
        <v>0</v>
      </c>
      <c r="Y239" s="6">
        <f ca="1">('TUSD BE'!$AM$19+'TUSD BF_350'!$AM$19+'TUSD CVA'!$AM$19)*1</f>
        <v>16.035953923331604</v>
      </c>
      <c r="Z239" s="6"/>
      <c r="AA239" s="6"/>
      <c r="AB239" s="6">
        <f>$K$239*$V$239</f>
        <v>-126</v>
      </c>
      <c r="AC239" s="6">
        <f>$M$239*$W$239</f>
        <v>0</v>
      </c>
      <c r="AD239" s="6">
        <f>$O$239*$X$239</f>
        <v>0</v>
      </c>
      <c r="AE239" s="6">
        <f ca="1">$K$239*$Y$239</f>
        <v>-144.32358530998442</v>
      </c>
      <c r="AF239" s="6">
        <f>$M$239*$Z$239</f>
        <v>0</v>
      </c>
      <c r="AG239" s="6">
        <f>$O$239*$AA$239</f>
        <v>0</v>
      </c>
    </row>
    <row r="240" spans="1:33" ht="11.25" customHeight="1" x14ac:dyDescent="0.3">
      <c r="A240" s="4" t="s">
        <v>28</v>
      </c>
      <c r="B240" s="4" t="s">
        <v>39</v>
      </c>
      <c r="C240" s="4" t="s">
        <v>41</v>
      </c>
      <c r="D240" s="4" t="s">
        <v>42</v>
      </c>
      <c r="E240" s="4" t="s">
        <v>25</v>
      </c>
      <c r="F240" s="4" t="s">
        <v>25</v>
      </c>
      <c r="G240" s="4" t="s">
        <v>25</v>
      </c>
      <c r="H240" s="4" t="s">
        <v>25</v>
      </c>
      <c r="I240" s="5">
        <v>44593</v>
      </c>
      <c r="J240" s="6">
        <v>135</v>
      </c>
      <c r="K240" s="6">
        <v>135</v>
      </c>
      <c r="L240" s="6">
        <v>0</v>
      </c>
      <c r="M240" s="6">
        <v>0</v>
      </c>
      <c r="N240" s="6">
        <v>0</v>
      </c>
      <c r="O240" s="6">
        <v>0</v>
      </c>
      <c r="P240" s="6">
        <v>2</v>
      </c>
      <c r="Q240" s="4" t="s">
        <v>26</v>
      </c>
      <c r="R240" s="4">
        <v>0</v>
      </c>
      <c r="S240" s="6">
        <v>20</v>
      </c>
      <c r="T240" s="6">
        <v>0</v>
      </c>
      <c r="U240" s="6">
        <v>0</v>
      </c>
      <c r="V240" s="6">
        <f>IF(ISERROR(VLOOKUP($S$240,'TAR FIN'!$A$1:$O$113,15,0)),0,VLOOKUP($S$240,'TAR FIN'!$A$1:$O$113,15,0))</f>
        <v>14</v>
      </c>
      <c r="W240" s="6">
        <f>IF(ISERROR(VLOOKUP($T$240,'TAR FIN'!$A$1:$O$113,15,0)),0,VLOOKUP($T$240,'TAR FIN'!$A$1:$O$113,15,0))</f>
        <v>0</v>
      </c>
      <c r="X240" s="6">
        <f>IF(ISERROR(VLOOKUP($U$240,'TAR FIN'!$A$1:$O$113,15,0)),0,VLOOKUP($U$240,'TAR FIN'!$A$1:$O$113,15,0))</f>
        <v>0</v>
      </c>
      <c r="Y240" s="6">
        <f ca="1">('TUSD BE'!$AM$19+'TUSD BF_350'!$AM$19+'TUSD CVA'!$AM$19)*1</f>
        <v>16.035953923331604</v>
      </c>
      <c r="Z240" s="6"/>
      <c r="AA240" s="6"/>
      <c r="AB240" s="6">
        <f>$K$240*$V$240</f>
        <v>1890</v>
      </c>
      <c r="AC240" s="6">
        <f>$M$240*$W$240</f>
        <v>0</v>
      </c>
      <c r="AD240" s="6">
        <f>$O$240*$X$240</f>
        <v>0</v>
      </c>
      <c r="AE240" s="6">
        <f ca="1">$K$240*$Y$240</f>
        <v>2164.8537796497667</v>
      </c>
      <c r="AF240" s="6">
        <f>$M$240*$Z$240</f>
        <v>0</v>
      </c>
      <c r="AG240" s="6">
        <f>$O$240*$AA$240</f>
        <v>0</v>
      </c>
    </row>
    <row r="241" spans="1:33" ht="11.25" customHeight="1" x14ac:dyDescent="0.3">
      <c r="A241" s="4" t="s">
        <v>21</v>
      </c>
      <c r="B241" s="4" t="s">
        <v>39</v>
      </c>
      <c r="C241" s="4" t="s">
        <v>41</v>
      </c>
      <c r="D241" s="4" t="s">
        <v>42</v>
      </c>
      <c r="E241" s="4" t="s">
        <v>25</v>
      </c>
      <c r="F241" s="4" t="s">
        <v>25</v>
      </c>
      <c r="G241" s="4" t="s">
        <v>25</v>
      </c>
      <c r="H241" s="4" t="s">
        <v>25</v>
      </c>
      <c r="I241" s="5">
        <v>44621</v>
      </c>
      <c r="J241" s="6">
        <v>7102</v>
      </c>
      <c r="K241" s="6">
        <v>7102</v>
      </c>
      <c r="L241" s="6">
        <v>0</v>
      </c>
      <c r="M241" s="6">
        <v>0</v>
      </c>
      <c r="N241" s="6">
        <v>0</v>
      </c>
      <c r="O241" s="6">
        <v>0</v>
      </c>
      <c r="P241" s="6">
        <v>62</v>
      </c>
      <c r="Q241" s="4" t="s">
        <v>26</v>
      </c>
      <c r="R241" s="4">
        <v>0</v>
      </c>
      <c r="S241" s="6">
        <v>20</v>
      </c>
      <c r="T241" s="6">
        <v>0</v>
      </c>
      <c r="U241" s="6">
        <v>0</v>
      </c>
      <c r="V241" s="6">
        <f>IF(ISERROR(VLOOKUP($S$241,'TAR FIN'!$A$1:$O$113,15,0)),0,VLOOKUP($S$241,'TAR FIN'!$A$1:$O$113,15,0))</f>
        <v>14</v>
      </c>
      <c r="W241" s="6">
        <f>IF(ISERROR(VLOOKUP($T$241,'TAR FIN'!$A$1:$O$113,15,0)),0,VLOOKUP($T$241,'TAR FIN'!$A$1:$O$113,15,0))</f>
        <v>0</v>
      </c>
      <c r="X241" s="6">
        <f>IF(ISERROR(VLOOKUP($U$241,'TAR FIN'!$A$1:$O$113,15,0)),0,VLOOKUP($U$241,'TAR FIN'!$A$1:$O$113,15,0))</f>
        <v>0</v>
      </c>
      <c r="Y241" s="6">
        <f ca="1">('TUSD BE'!$AM$19+'TUSD BF_350'!$AM$19+'TUSD CVA'!$AM$19)*1</f>
        <v>16.035953923331604</v>
      </c>
      <c r="Z241" s="6"/>
      <c r="AA241" s="6"/>
      <c r="AB241" s="6">
        <f>$K$241*$V$241</f>
        <v>99428</v>
      </c>
      <c r="AC241" s="6">
        <f>$M$241*$W$241</f>
        <v>0</v>
      </c>
      <c r="AD241" s="6">
        <f>$O$241*$X$241</f>
        <v>0</v>
      </c>
      <c r="AE241" s="6">
        <f ca="1">$K$241*$Y$241</f>
        <v>113887.34476350105</v>
      </c>
      <c r="AF241" s="6">
        <f>$M$241*$Z$241</f>
        <v>0</v>
      </c>
      <c r="AG241" s="6">
        <f>$O$241*$AA$241</f>
        <v>0</v>
      </c>
    </row>
    <row r="242" spans="1:33" ht="11.25" customHeight="1" x14ac:dyDescent="0.3">
      <c r="A242" s="4" t="s">
        <v>28</v>
      </c>
      <c r="B242" s="4" t="s">
        <v>39</v>
      </c>
      <c r="C242" s="4" t="s">
        <v>41</v>
      </c>
      <c r="D242" s="4" t="s">
        <v>42</v>
      </c>
      <c r="E242" s="4" t="s">
        <v>25</v>
      </c>
      <c r="F242" s="4" t="s">
        <v>25</v>
      </c>
      <c r="G242" s="4" t="s">
        <v>25</v>
      </c>
      <c r="H242" s="4" t="s">
        <v>25</v>
      </c>
      <c r="I242" s="5">
        <v>44621</v>
      </c>
      <c r="J242" s="6">
        <v>135</v>
      </c>
      <c r="K242" s="6">
        <v>135</v>
      </c>
      <c r="L242" s="6">
        <v>0</v>
      </c>
      <c r="M242" s="6">
        <v>0</v>
      </c>
      <c r="N242" s="6">
        <v>0</v>
      </c>
      <c r="O242" s="6">
        <v>0</v>
      </c>
      <c r="P242" s="6">
        <v>2</v>
      </c>
      <c r="Q242" s="4" t="s">
        <v>26</v>
      </c>
      <c r="R242" s="4">
        <v>0</v>
      </c>
      <c r="S242" s="6">
        <v>20</v>
      </c>
      <c r="T242" s="6">
        <v>0</v>
      </c>
      <c r="U242" s="6">
        <v>0</v>
      </c>
      <c r="V242" s="6">
        <f>IF(ISERROR(VLOOKUP($S$242,'TAR FIN'!$A$1:$O$113,15,0)),0,VLOOKUP($S$242,'TAR FIN'!$A$1:$O$113,15,0))</f>
        <v>14</v>
      </c>
      <c r="W242" s="6">
        <f>IF(ISERROR(VLOOKUP($T$242,'TAR FIN'!$A$1:$O$113,15,0)),0,VLOOKUP($T$242,'TAR FIN'!$A$1:$O$113,15,0))</f>
        <v>0</v>
      </c>
      <c r="X242" s="6">
        <f>IF(ISERROR(VLOOKUP($U$242,'TAR FIN'!$A$1:$O$113,15,0)),0,VLOOKUP($U$242,'TAR FIN'!$A$1:$O$113,15,0))</f>
        <v>0</v>
      </c>
      <c r="Y242" s="6">
        <f ca="1">('TUSD BE'!$AM$19+'TUSD BF_350'!$AM$19+'TUSD CVA'!$AM$19)*1</f>
        <v>16.035953923331604</v>
      </c>
      <c r="Z242" s="6"/>
      <c r="AA242" s="6"/>
      <c r="AB242" s="6">
        <f>$K$242*$V$242</f>
        <v>1890</v>
      </c>
      <c r="AC242" s="6">
        <f>$M$242*$W$242</f>
        <v>0</v>
      </c>
      <c r="AD242" s="6">
        <f>$O$242*$X$242</f>
        <v>0</v>
      </c>
      <c r="AE242" s="6">
        <f ca="1">$K$242*$Y$242</f>
        <v>2164.8537796497667</v>
      </c>
      <c r="AF242" s="6">
        <f>$M$242*$Z$242</f>
        <v>0</v>
      </c>
      <c r="AG242" s="6">
        <f>$O$242*$AA$242</f>
        <v>0</v>
      </c>
    </row>
    <row r="243" spans="1:33" ht="11.25" customHeight="1" x14ac:dyDescent="0.3">
      <c r="A243" s="4" t="s">
        <v>21</v>
      </c>
      <c r="B243" s="4" t="s">
        <v>39</v>
      </c>
      <c r="C243" s="4" t="s">
        <v>41</v>
      </c>
      <c r="D243" s="4" t="s">
        <v>42</v>
      </c>
      <c r="E243" s="4" t="s">
        <v>25</v>
      </c>
      <c r="F243" s="4" t="s">
        <v>25</v>
      </c>
      <c r="G243" s="4" t="s">
        <v>25</v>
      </c>
      <c r="H243" s="4" t="s">
        <v>25</v>
      </c>
      <c r="I243" s="5">
        <v>44652</v>
      </c>
      <c r="J243" s="6">
        <v>6776</v>
      </c>
      <c r="K243" s="6">
        <v>6776</v>
      </c>
      <c r="L243" s="6">
        <v>0</v>
      </c>
      <c r="M243" s="6">
        <v>0</v>
      </c>
      <c r="N243" s="6">
        <v>0</v>
      </c>
      <c r="O243" s="6">
        <v>0</v>
      </c>
      <c r="P243" s="6">
        <v>60</v>
      </c>
      <c r="Q243" s="4" t="s">
        <v>26</v>
      </c>
      <c r="R243" s="4">
        <v>0</v>
      </c>
      <c r="S243" s="6">
        <v>20</v>
      </c>
      <c r="T243" s="6">
        <v>0</v>
      </c>
      <c r="U243" s="6">
        <v>0</v>
      </c>
      <c r="V243" s="6">
        <f>IF(ISERROR(VLOOKUP($S$243,'TAR FIN'!$A$1:$O$113,15,0)),0,VLOOKUP($S$243,'TAR FIN'!$A$1:$O$113,15,0))</f>
        <v>14</v>
      </c>
      <c r="W243" s="6">
        <f>IF(ISERROR(VLOOKUP($T$243,'TAR FIN'!$A$1:$O$113,15,0)),0,VLOOKUP($T$243,'TAR FIN'!$A$1:$O$113,15,0))</f>
        <v>0</v>
      </c>
      <c r="X243" s="6">
        <f>IF(ISERROR(VLOOKUP($U$243,'TAR FIN'!$A$1:$O$113,15,0)),0,VLOOKUP($U$243,'TAR FIN'!$A$1:$O$113,15,0))</f>
        <v>0</v>
      </c>
      <c r="Y243" s="6">
        <f ca="1">('TUSD BE'!$AM$19+'TUSD BF_350'!$AM$19+'TUSD CVA'!$AM$19)*1</f>
        <v>16.035953923331604</v>
      </c>
      <c r="Z243" s="6"/>
      <c r="AA243" s="6"/>
      <c r="AB243" s="6">
        <f>$K$243*$V$243</f>
        <v>94864</v>
      </c>
      <c r="AC243" s="6">
        <f>$M$243*$W$243</f>
        <v>0</v>
      </c>
      <c r="AD243" s="6">
        <f>$O$243*$X$243</f>
        <v>0</v>
      </c>
      <c r="AE243" s="6">
        <f ca="1">$K$243*$Y$243</f>
        <v>108659.62378449495</v>
      </c>
      <c r="AF243" s="6">
        <f>$M$243*$Z$243</f>
        <v>0</v>
      </c>
      <c r="AG243" s="6">
        <f>$O$243*$AA$243</f>
        <v>0</v>
      </c>
    </row>
    <row r="244" spans="1:33" ht="11.25" customHeight="1" x14ac:dyDescent="0.3">
      <c r="A244" s="4" t="s">
        <v>28</v>
      </c>
      <c r="B244" s="4" t="s">
        <v>39</v>
      </c>
      <c r="C244" s="4" t="s">
        <v>41</v>
      </c>
      <c r="D244" s="4" t="s">
        <v>42</v>
      </c>
      <c r="E244" s="4" t="s">
        <v>25</v>
      </c>
      <c r="F244" s="4" t="s">
        <v>25</v>
      </c>
      <c r="G244" s="4" t="s">
        <v>25</v>
      </c>
      <c r="H244" s="4" t="s">
        <v>25</v>
      </c>
      <c r="I244" s="5">
        <v>44652</v>
      </c>
      <c r="J244" s="6">
        <v>135</v>
      </c>
      <c r="K244" s="6">
        <v>135</v>
      </c>
      <c r="L244" s="6">
        <v>0</v>
      </c>
      <c r="M244" s="6">
        <v>0</v>
      </c>
      <c r="N244" s="6">
        <v>0</v>
      </c>
      <c r="O244" s="6">
        <v>0</v>
      </c>
      <c r="P244" s="6">
        <v>2</v>
      </c>
      <c r="Q244" s="4" t="s">
        <v>26</v>
      </c>
      <c r="R244" s="4">
        <v>0</v>
      </c>
      <c r="S244" s="6">
        <v>20</v>
      </c>
      <c r="T244" s="6">
        <v>0</v>
      </c>
      <c r="U244" s="6">
        <v>0</v>
      </c>
      <c r="V244" s="6">
        <f>IF(ISERROR(VLOOKUP($S$244,'TAR FIN'!$A$1:$O$113,15,0)),0,VLOOKUP($S$244,'TAR FIN'!$A$1:$O$113,15,0))</f>
        <v>14</v>
      </c>
      <c r="W244" s="6">
        <f>IF(ISERROR(VLOOKUP($T$244,'TAR FIN'!$A$1:$O$113,15,0)),0,VLOOKUP($T$244,'TAR FIN'!$A$1:$O$113,15,0))</f>
        <v>0</v>
      </c>
      <c r="X244" s="6">
        <f>IF(ISERROR(VLOOKUP($U$244,'TAR FIN'!$A$1:$O$113,15,0)),0,VLOOKUP($U$244,'TAR FIN'!$A$1:$O$113,15,0))</f>
        <v>0</v>
      </c>
      <c r="Y244" s="6">
        <f ca="1">('TUSD BE'!$AM$19+'TUSD BF_350'!$AM$19+'TUSD CVA'!$AM$19)*1</f>
        <v>16.035953923331604</v>
      </c>
      <c r="Z244" s="6"/>
      <c r="AA244" s="6"/>
      <c r="AB244" s="6">
        <f>$K$244*$V$244</f>
        <v>1890</v>
      </c>
      <c r="AC244" s="6">
        <f>$M$244*$W$244</f>
        <v>0</v>
      </c>
      <c r="AD244" s="6">
        <f>$O$244*$X$244</f>
        <v>0</v>
      </c>
      <c r="AE244" s="6">
        <f ca="1">$K$244*$Y$244</f>
        <v>2164.8537796497667</v>
      </c>
      <c r="AF244" s="6">
        <f>$M$244*$Z$244</f>
        <v>0</v>
      </c>
      <c r="AG244" s="6">
        <f>$O$244*$AA$244</f>
        <v>0</v>
      </c>
    </row>
    <row r="245" spans="1:33" ht="11.25" customHeight="1" x14ac:dyDescent="0.3">
      <c r="A245" s="4" t="s">
        <v>21</v>
      </c>
      <c r="B245" s="4" t="s">
        <v>39</v>
      </c>
      <c r="C245" s="4" t="s">
        <v>41</v>
      </c>
      <c r="D245" s="4" t="s">
        <v>42</v>
      </c>
      <c r="E245" s="4" t="s">
        <v>25</v>
      </c>
      <c r="F245" s="4" t="s">
        <v>25</v>
      </c>
      <c r="G245" s="4" t="s">
        <v>25</v>
      </c>
      <c r="H245" s="4" t="s">
        <v>25</v>
      </c>
      <c r="I245" s="5">
        <v>44682</v>
      </c>
      <c r="J245" s="6">
        <v>6662</v>
      </c>
      <c r="K245" s="6">
        <v>6662</v>
      </c>
      <c r="L245" s="6">
        <v>0</v>
      </c>
      <c r="M245" s="6">
        <v>0</v>
      </c>
      <c r="N245" s="6">
        <v>0</v>
      </c>
      <c r="O245" s="6">
        <v>0</v>
      </c>
      <c r="P245" s="6">
        <v>60</v>
      </c>
      <c r="Q245" s="4" t="s">
        <v>26</v>
      </c>
      <c r="R245" s="4">
        <v>0</v>
      </c>
      <c r="S245" s="6">
        <v>20</v>
      </c>
      <c r="T245" s="6">
        <v>0</v>
      </c>
      <c r="U245" s="6">
        <v>0</v>
      </c>
      <c r="V245" s="6">
        <f>IF(ISERROR(VLOOKUP($S$245,'TAR FIN'!$A$1:$O$113,15,0)),0,VLOOKUP($S$245,'TAR FIN'!$A$1:$O$113,15,0))</f>
        <v>14</v>
      </c>
      <c r="W245" s="6">
        <f>IF(ISERROR(VLOOKUP($T$245,'TAR FIN'!$A$1:$O$113,15,0)),0,VLOOKUP($T$245,'TAR FIN'!$A$1:$O$113,15,0))</f>
        <v>0</v>
      </c>
      <c r="X245" s="6">
        <f>IF(ISERROR(VLOOKUP($U$245,'TAR FIN'!$A$1:$O$113,15,0)),0,VLOOKUP($U$245,'TAR FIN'!$A$1:$O$113,15,0))</f>
        <v>0</v>
      </c>
      <c r="Y245" s="6">
        <f ca="1">('TUSD BE'!$AM$19+'TUSD BF_350'!$AM$19+'TUSD CVA'!$AM$19)*1</f>
        <v>16.035953923331604</v>
      </c>
      <c r="Z245" s="6"/>
      <c r="AA245" s="6"/>
      <c r="AB245" s="6">
        <f>$K$245*$V$245</f>
        <v>93268</v>
      </c>
      <c r="AC245" s="6">
        <f>$M$245*$W$245</f>
        <v>0</v>
      </c>
      <c r="AD245" s="6">
        <f>$O$245*$X$245</f>
        <v>0</v>
      </c>
      <c r="AE245" s="6">
        <f ca="1">$K$245*$Y$245</f>
        <v>106831.52503723514</v>
      </c>
      <c r="AF245" s="6">
        <f>$M$245*$Z$245</f>
        <v>0</v>
      </c>
      <c r="AG245" s="6">
        <f>$O$245*$AA$245</f>
        <v>0</v>
      </c>
    </row>
    <row r="246" spans="1:33" ht="11.25" customHeight="1" x14ac:dyDescent="0.3">
      <c r="A246" s="4" t="s">
        <v>28</v>
      </c>
      <c r="B246" s="4" t="s">
        <v>39</v>
      </c>
      <c r="C246" s="4" t="s">
        <v>41</v>
      </c>
      <c r="D246" s="4" t="s">
        <v>42</v>
      </c>
      <c r="E246" s="4" t="s">
        <v>25</v>
      </c>
      <c r="F246" s="4" t="s">
        <v>25</v>
      </c>
      <c r="G246" s="4" t="s">
        <v>25</v>
      </c>
      <c r="H246" s="4" t="s">
        <v>25</v>
      </c>
      <c r="I246" s="5">
        <v>44682</v>
      </c>
      <c r="J246" s="6">
        <v>195</v>
      </c>
      <c r="K246" s="6">
        <v>195</v>
      </c>
      <c r="L246" s="6">
        <v>0</v>
      </c>
      <c r="M246" s="6">
        <v>0</v>
      </c>
      <c r="N246" s="6">
        <v>0</v>
      </c>
      <c r="O246" s="6">
        <v>0</v>
      </c>
      <c r="P246" s="6">
        <v>3</v>
      </c>
      <c r="Q246" s="4" t="s">
        <v>26</v>
      </c>
      <c r="R246" s="4">
        <v>0</v>
      </c>
      <c r="S246" s="6">
        <v>20</v>
      </c>
      <c r="T246" s="6">
        <v>0</v>
      </c>
      <c r="U246" s="6">
        <v>0</v>
      </c>
      <c r="V246" s="6">
        <f>IF(ISERROR(VLOOKUP($S$246,'TAR FIN'!$A$1:$O$113,15,0)),0,VLOOKUP($S$246,'TAR FIN'!$A$1:$O$113,15,0))</f>
        <v>14</v>
      </c>
      <c r="W246" s="6">
        <f>IF(ISERROR(VLOOKUP($T$246,'TAR FIN'!$A$1:$O$113,15,0)),0,VLOOKUP($T$246,'TAR FIN'!$A$1:$O$113,15,0))</f>
        <v>0</v>
      </c>
      <c r="X246" s="6">
        <f>IF(ISERROR(VLOOKUP($U$246,'TAR FIN'!$A$1:$O$113,15,0)),0,VLOOKUP($U$246,'TAR FIN'!$A$1:$O$113,15,0))</f>
        <v>0</v>
      </c>
      <c r="Y246" s="6">
        <f ca="1">('TUSD BE'!$AM$19+'TUSD BF_350'!$AM$19+'TUSD CVA'!$AM$19)*1</f>
        <v>16.035953923331604</v>
      </c>
      <c r="Z246" s="6"/>
      <c r="AA246" s="6"/>
      <c r="AB246" s="6">
        <f>$K$246*$V$246</f>
        <v>2730</v>
      </c>
      <c r="AC246" s="6">
        <f>$M$246*$W$246</f>
        <v>0</v>
      </c>
      <c r="AD246" s="6">
        <f>$O$246*$X$246</f>
        <v>0</v>
      </c>
      <c r="AE246" s="6">
        <f ca="1">$K$246*$Y$246</f>
        <v>3127.011015049663</v>
      </c>
      <c r="AF246" s="6">
        <f>$M$246*$Z$246</f>
        <v>0</v>
      </c>
      <c r="AG246" s="6">
        <f>$O$246*$AA$246</f>
        <v>0</v>
      </c>
    </row>
    <row r="247" spans="1:33" ht="11.25" customHeight="1" x14ac:dyDescent="0.3">
      <c r="A247" s="4" t="s">
        <v>21</v>
      </c>
      <c r="B247" s="4" t="s">
        <v>39</v>
      </c>
      <c r="C247" s="4" t="s">
        <v>41</v>
      </c>
      <c r="D247" s="4" t="s">
        <v>42</v>
      </c>
      <c r="E247" s="4" t="s">
        <v>25</v>
      </c>
      <c r="F247" s="4" t="s">
        <v>25</v>
      </c>
      <c r="G247" s="4" t="s">
        <v>25</v>
      </c>
      <c r="H247" s="4" t="s">
        <v>25</v>
      </c>
      <c r="I247" s="5">
        <v>44713</v>
      </c>
      <c r="J247" s="6">
        <v>6581</v>
      </c>
      <c r="K247" s="6">
        <v>6581</v>
      </c>
      <c r="L247" s="6">
        <v>0</v>
      </c>
      <c r="M247" s="6">
        <v>0</v>
      </c>
      <c r="N247" s="6">
        <v>0</v>
      </c>
      <c r="O247" s="6">
        <v>0</v>
      </c>
      <c r="P247" s="6">
        <v>59</v>
      </c>
      <c r="Q247" s="4" t="s">
        <v>26</v>
      </c>
      <c r="R247" s="4">
        <v>0</v>
      </c>
      <c r="S247" s="6">
        <v>20</v>
      </c>
      <c r="T247" s="6">
        <v>0</v>
      </c>
      <c r="U247" s="6">
        <v>0</v>
      </c>
      <c r="V247" s="6">
        <f>IF(ISERROR(VLOOKUP($S$247,'TAR FIN'!$A$1:$O$113,15,0)),0,VLOOKUP($S$247,'TAR FIN'!$A$1:$O$113,15,0))</f>
        <v>14</v>
      </c>
      <c r="W247" s="6">
        <f>IF(ISERROR(VLOOKUP($T$247,'TAR FIN'!$A$1:$O$113,15,0)),0,VLOOKUP($T$247,'TAR FIN'!$A$1:$O$113,15,0))</f>
        <v>0</v>
      </c>
      <c r="X247" s="6">
        <f>IF(ISERROR(VLOOKUP($U$247,'TAR FIN'!$A$1:$O$113,15,0)),0,VLOOKUP($U$247,'TAR FIN'!$A$1:$O$113,15,0))</f>
        <v>0</v>
      </c>
      <c r="Y247" s="6">
        <f ca="1">('TUSD BE'!$AM$19+'TUSD BF_350'!$AM$19+'TUSD CVA'!$AM$19)*1</f>
        <v>16.035953923331604</v>
      </c>
      <c r="Z247" s="6"/>
      <c r="AA247" s="6"/>
      <c r="AB247" s="6">
        <f>$K$247*$V$247</f>
        <v>92134</v>
      </c>
      <c r="AC247" s="6">
        <f>$M$247*$W$247</f>
        <v>0</v>
      </c>
      <c r="AD247" s="6">
        <f>$O$247*$X$247</f>
        <v>0</v>
      </c>
      <c r="AE247" s="6">
        <f ca="1">$K$247*$Y$247</f>
        <v>105532.61276944529</v>
      </c>
      <c r="AF247" s="6">
        <f>$M$247*$Z$247</f>
        <v>0</v>
      </c>
      <c r="AG247" s="6">
        <f>$O$247*$AA$247</f>
        <v>0</v>
      </c>
    </row>
    <row r="248" spans="1:33" ht="11.25" customHeight="1" x14ac:dyDescent="0.3">
      <c r="A248" s="4" t="s">
        <v>28</v>
      </c>
      <c r="B248" s="4" t="s">
        <v>39</v>
      </c>
      <c r="C248" s="4" t="s">
        <v>41</v>
      </c>
      <c r="D248" s="4" t="s">
        <v>42</v>
      </c>
      <c r="E248" s="4" t="s">
        <v>25</v>
      </c>
      <c r="F248" s="4" t="s">
        <v>25</v>
      </c>
      <c r="G248" s="4" t="s">
        <v>25</v>
      </c>
      <c r="H248" s="4" t="s">
        <v>25</v>
      </c>
      <c r="I248" s="5">
        <v>44713</v>
      </c>
      <c r="J248" s="6">
        <v>225</v>
      </c>
      <c r="K248" s="6">
        <v>225</v>
      </c>
      <c r="L248" s="6">
        <v>0</v>
      </c>
      <c r="M248" s="6">
        <v>0</v>
      </c>
      <c r="N248" s="6">
        <v>0</v>
      </c>
      <c r="O248" s="6">
        <v>0</v>
      </c>
      <c r="P248" s="6">
        <v>4</v>
      </c>
      <c r="Q248" s="4" t="s">
        <v>26</v>
      </c>
      <c r="R248" s="4">
        <v>0</v>
      </c>
      <c r="S248" s="6">
        <v>20</v>
      </c>
      <c r="T248" s="6">
        <v>0</v>
      </c>
      <c r="U248" s="6">
        <v>0</v>
      </c>
      <c r="V248" s="6">
        <f>IF(ISERROR(VLOOKUP($S$248,'TAR FIN'!$A$1:$O$113,15,0)),0,VLOOKUP($S$248,'TAR FIN'!$A$1:$O$113,15,0))</f>
        <v>14</v>
      </c>
      <c r="W248" s="6">
        <f>IF(ISERROR(VLOOKUP($T$248,'TAR FIN'!$A$1:$O$113,15,0)),0,VLOOKUP($T$248,'TAR FIN'!$A$1:$O$113,15,0))</f>
        <v>0</v>
      </c>
      <c r="X248" s="6">
        <f>IF(ISERROR(VLOOKUP($U$248,'TAR FIN'!$A$1:$O$113,15,0)),0,VLOOKUP($U$248,'TAR FIN'!$A$1:$O$113,15,0))</f>
        <v>0</v>
      </c>
      <c r="Y248" s="6">
        <f ca="1">('TUSD BE'!$AM$19+'TUSD BF_350'!$AM$19+'TUSD CVA'!$AM$19)*1</f>
        <v>16.035953923331604</v>
      </c>
      <c r="Z248" s="6"/>
      <c r="AA248" s="6"/>
      <c r="AB248" s="6">
        <f>$K$248*$V$248</f>
        <v>3150</v>
      </c>
      <c r="AC248" s="6">
        <f>$M$248*$W$248</f>
        <v>0</v>
      </c>
      <c r="AD248" s="6">
        <f>$O$248*$X$248</f>
        <v>0</v>
      </c>
      <c r="AE248" s="6">
        <f ca="1">$K$248*$Y$248</f>
        <v>3608.0896327496112</v>
      </c>
      <c r="AF248" s="6">
        <f>$M$248*$Z$248</f>
        <v>0</v>
      </c>
      <c r="AG248" s="6">
        <f>$O$248*$AA$248</f>
        <v>0</v>
      </c>
    </row>
    <row r="249" spans="1:33" ht="11.25" customHeight="1" x14ac:dyDescent="0.3">
      <c r="A249" s="4" t="s">
        <v>21</v>
      </c>
      <c r="B249" s="4" t="s">
        <v>39</v>
      </c>
      <c r="C249" s="4" t="s">
        <v>41</v>
      </c>
      <c r="D249" s="4" t="s">
        <v>42</v>
      </c>
      <c r="E249" s="4" t="s">
        <v>25</v>
      </c>
      <c r="F249" s="4" t="s">
        <v>25</v>
      </c>
      <c r="G249" s="4" t="s">
        <v>25</v>
      </c>
      <c r="H249" s="4" t="s">
        <v>25</v>
      </c>
      <c r="I249" s="5">
        <v>44743</v>
      </c>
      <c r="J249" s="6">
        <v>6430</v>
      </c>
      <c r="K249" s="6">
        <v>6430</v>
      </c>
      <c r="L249" s="6">
        <v>0</v>
      </c>
      <c r="M249" s="6">
        <v>0</v>
      </c>
      <c r="N249" s="6">
        <v>0</v>
      </c>
      <c r="O249" s="6">
        <v>0</v>
      </c>
      <c r="P249" s="6">
        <v>59</v>
      </c>
      <c r="Q249" s="4" t="s">
        <v>26</v>
      </c>
      <c r="R249" s="4">
        <v>0</v>
      </c>
      <c r="S249" s="6">
        <v>20</v>
      </c>
      <c r="T249" s="6">
        <v>0</v>
      </c>
      <c r="U249" s="6">
        <v>0</v>
      </c>
      <c r="V249" s="6">
        <f>IF(ISERROR(VLOOKUP($S$249,'TAR FIN'!$A$1:$O$113,15,0)),0,VLOOKUP($S$249,'TAR FIN'!$A$1:$O$113,15,0))</f>
        <v>14</v>
      </c>
      <c r="W249" s="6">
        <f>IF(ISERROR(VLOOKUP($T$249,'TAR FIN'!$A$1:$O$113,15,0)),0,VLOOKUP($T$249,'TAR FIN'!$A$1:$O$113,15,0))</f>
        <v>0</v>
      </c>
      <c r="X249" s="6">
        <f>IF(ISERROR(VLOOKUP($U$249,'TAR FIN'!$A$1:$O$113,15,0)),0,VLOOKUP($U$249,'TAR FIN'!$A$1:$O$113,15,0))</f>
        <v>0</v>
      </c>
      <c r="Y249" s="6">
        <f ca="1">('TUSD BE'!$AM$19+'TUSD BF_350'!$AM$19+'TUSD CVA'!$AM$19)*1</f>
        <v>16.035953923331604</v>
      </c>
      <c r="Z249" s="6"/>
      <c r="AA249" s="6"/>
      <c r="AB249" s="6">
        <f>$K$249*$V$249</f>
        <v>90020</v>
      </c>
      <c r="AC249" s="6">
        <f>$M$249*$W$249</f>
        <v>0</v>
      </c>
      <c r="AD249" s="6">
        <f>$O$249*$X$249</f>
        <v>0</v>
      </c>
      <c r="AE249" s="6">
        <f ca="1">$K$249*$Y$249</f>
        <v>103111.18372702222</v>
      </c>
      <c r="AF249" s="6">
        <f>$M$249*$Z$249</f>
        <v>0</v>
      </c>
      <c r="AG249" s="6">
        <f>$O$249*$AA$249</f>
        <v>0</v>
      </c>
    </row>
    <row r="250" spans="1:33" ht="11.25" customHeight="1" x14ac:dyDescent="0.3">
      <c r="A250" s="4" t="s">
        <v>21</v>
      </c>
      <c r="B250" s="4" t="s">
        <v>39</v>
      </c>
      <c r="C250" s="4" t="s">
        <v>41</v>
      </c>
      <c r="D250" s="4" t="s">
        <v>42</v>
      </c>
      <c r="E250" s="4" t="s">
        <v>25</v>
      </c>
      <c r="F250" s="4" t="s">
        <v>25</v>
      </c>
      <c r="G250" s="4" t="s">
        <v>25</v>
      </c>
      <c r="H250" s="4" t="s">
        <v>25</v>
      </c>
      <c r="I250" s="5">
        <v>44774</v>
      </c>
      <c r="J250" s="6">
        <v>6420</v>
      </c>
      <c r="K250" s="6">
        <v>6420</v>
      </c>
      <c r="L250" s="6">
        <v>0</v>
      </c>
      <c r="M250" s="6">
        <v>0</v>
      </c>
      <c r="N250" s="6">
        <v>0</v>
      </c>
      <c r="O250" s="6">
        <v>0</v>
      </c>
      <c r="P250" s="6">
        <v>58</v>
      </c>
      <c r="Q250" s="4" t="s">
        <v>26</v>
      </c>
      <c r="R250" s="4">
        <v>0</v>
      </c>
      <c r="S250" s="6">
        <v>20</v>
      </c>
      <c r="T250" s="6">
        <v>0</v>
      </c>
      <c r="U250" s="6">
        <v>0</v>
      </c>
      <c r="V250" s="6">
        <f>IF(ISERROR(VLOOKUP($S$250,'TAR FIN'!$A$1:$O$113,15,0)),0,VLOOKUP($S$250,'TAR FIN'!$A$1:$O$113,15,0))</f>
        <v>14</v>
      </c>
      <c r="W250" s="6">
        <f>IF(ISERROR(VLOOKUP($T$250,'TAR FIN'!$A$1:$O$113,15,0)),0,VLOOKUP($T$250,'TAR FIN'!$A$1:$O$113,15,0))</f>
        <v>0</v>
      </c>
      <c r="X250" s="6">
        <f>IF(ISERROR(VLOOKUP($U$250,'TAR FIN'!$A$1:$O$113,15,0)),0,VLOOKUP($U$250,'TAR FIN'!$A$1:$O$113,15,0))</f>
        <v>0</v>
      </c>
      <c r="Y250" s="6">
        <f ca="1">('TUSD BE'!$AM$19+'TUSD BF_350'!$AM$19+'TUSD CVA'!$AM$19)*1</f>
        <v>16.035953923331604</v>
      </c>
      <c r="Z250" s="6"/>
      <c r="AA250" s="6"/>
      <c r="AB250" s="6">
        <f>$K$250*$V$250</f>
        <v>89880</v>
      </c>
      <c r="AC250" s="6">
        <f>$M$250*$W$250</f>
        <v>0</v>
      </c>
      <c r="AD250" s="6">
        <f>$O$250*$X$250</f>
        <v>0</v>
      </c>
      <c r="AE250" s="6">
        <f ca="1">$K$250*$Y$250</f>
        <v>102950.82418778889</v>
      </c>
      <c r="AF250" s="6">
        <f>$M$250*$Z$250</f>
        <v>0</v>
      </c>
      <c r="AG250" s="6">
        <f>$O$250*$AA$250</f>
        <v>0</v>
      </c>
    </row>
    <row r="251" spans="1:33" ht="11.25" customHeight="1" x14ac:dyDescent="0.3">
      <c r="A251" s="4" t="s">
        <v>28</v>
      </c>
      <c r="B251" s="4" t="s">
        <v>39</v>
      </c>
      <c r="C251" s="4" t="s">
        <v>41</v>
      </c>
      <c r="D251" s="4" t="s">
        <v>42</v>
      </c>
      <c r="E251" s="4" t="s">
        <v>25</v>
      </c>
      <c r="F251" s="4" t="s">
        <v>25</v>
      </c>
      <c r="G251" s="4" t="s">
        <v>25</v>
      </c>
      <c r="H251" s="4" t="s">
        <v>25</v>
      </c>
      <c r="I251" s="5">
        <v>44774</v>
      </c>
      <c r="J251" s="6">
        <v>472</v>
      </c>
      <c r="K251" s="6">
        <v>472</v>
      </c>
      <c r="L251" s="6">
        <v>0</v>
      </c>
      <c r="M251" s="6">
        <v>0</v>
      </c>
      <c r="N251" s="6">
        <v>0</v>
      </c>
      <c r="O251" s="6">
        <v>0</v>
      </c>
      <c r="P251" s="6">
        <v>5</v>
      </c>
      <c r="Q251" s="4" t="s">
        <v>26</v>
      </c>
      <c r="R251" s="4">
        <v>0</v>
      </c>
      <c r="S251" s="6">
        <v>20</v>
      </c>
      <c r="T251" s="6">
        <v>0</v>
      </c>
      <c r="U251" s="6">
        <v>0</v>
      </c>
      <c r="V251" s="6">
        <f>IF(ISERROR(VLOOKUP($S$251,'TAR FIN'!$A$1:$O$113,15,0)),0,VLOOKUP($S$251,'TAR FIN'!$A$1:$O$113,15,0))</f>
        <v>14</v>
      </c>
      <c r="W251" s="6">
        <f>IF(ISERROR(VLOOKUP($T$251,'TAR FIN'!$A$1:$O$113,15,0)),0,VLOOKUP($T$251,'TAR FIN'!$A$1:$O$113,15,0))</f>
        <v>0</v>
      </c>
      <c r="X251" s="6">
        <f>IF(ISERROR(VLOOKUP($U$251,'TAR FIN'!$A$1:$O$113,15,0)),0,VLOOKUP($U$251,'TAR FIN'!$A$1:$O$113,15,0))</f>
        <v>0</v>
      </c>
      <c r="Y251" s="6">
        <f ca="1">('TUSD BE'!$AM$19+'TUSD BF_350'!$AM$19+'TUSD CVA'!$AM$19)*1</f>
        <v>16.035953923331604</v>
      </c>
      <c r="Z251" s="6"/>
      <c r="AA251" s="6"/>
      <c r="AB251" s="6">
        <f>$K$251*$V$251</f>
        <v>6608</v>
      </c>
      <c r="AC251" s="6">
        <f>$M$251*$W$251</f>
        <v>0</v>
      </c>
      <c r="AD251" s="6">
        <f>$O$251*$X$251</f>
        <v>0</v>
      </c>
      <c r="AE251" s="6">
        <f ca="1">$K$251*$Y$251</f>
        <v>7568.9702518125168</v>
      </c>
      <c r="AF251" s="6">
        <f>$M$251*$Z$251</f>
        <v>0</v>
      </c>
      <c r="AG251" s="6">
        <f>$O$251*$AA$251</f>
        <v>0</v>
      </c>
    </row>
    <row r="252" spans="1:33" ht="11.25" customHeight="1" x14ac:dyDescent="0.3">
      <c r="A252" s="4" t="s">
        <v>21</v>
      </c>
      <c r="B252" s="4" t="s">
        <v>39</v>
      </c>
      <c r="C252" s="4" t="s">
        <v>41</v>
      </c>
      <c r="D252" s="4" t="s">
        <v>42</v>
      </c>
      <c r="E252" s="4" t="s">
        <v>25</v>
      </c>
      <c r="F252" s="4" t="s">
        <v>25</v>
      </c>
      <c r="G252" s="4" t="s">
        <v>25</v>
      </c>
      <c r="H252" s="4" t="s">
        <v>25</v>
      </c>
      <c r="I252" s="5">
        <v>44805</v>
      </c>
      <c r="J252" s="6">
        <v>6420</v>
      </c>
      <c r="K252" s="6">
        <v>6420</v>
      </c>
      <c r="L252" s="6">
        <v>0</v>
      </c>
      <c r="M252" s="6">
        <v>0</v>
      </c>
      <c r="N252" s="6">
        <v>0</v>
      </c>
      <c r="O252" s="6">
        <v>0</v>
      </c>
      <c r="P252" s="6">
        <v>59</v>
      </c>
      <c r="Q252" s="4" t="s">
        <v>26</v>
      </c>
      <c r="R252" s="4">
        <v>0</v>
      </c>
      <c r="S252" s="6">
        <v>20</v>
      </c>
      <c r="T252" s="6">
        <v>0</v>
      </c>
      <c r="U252" s="6">
        <v>0</v>
      </c>
      <c r="V252" s="6">
        <f>IF(ISERROR(VLOOKUP($S$252,'TAR FIN'!$A$1:$O$113,15,0)),0,VLOOKUP($S$252,'TAR FIN'!$A$1:$O$113,15,0))</f>
        <v>14</v>
      </c>
      <c r="W252" s="6">
        <f>IF(ISERROR(VLOOKUP($T$252,'TAR FIN'!$A$1:$O$113,15,0)),0,VLOOKUP($T$252,'TAR FIN'!$A$1:$O$113,15,0))</f>
        <v>0</v>
      </c>
      <c r="X252" s="6">
        <f>IF(ISERROR(VLOOKUP($U$252,'TAR FIN'!$A$1:$O$113,15,0)),0,VLOOKUP($U$252,'TAR FIN'!$A$1:$O$113,15,0))</f>
        <v>0</v>
      </c>
      <c r="Y252" s="6">
        <f ca="1">('TUSD BE'!$AM$19+'TUSD BF_350'!$AM$19+'TUSD CVA'!$AM$19)*1</f>
        <v>16.035953923331604</v>
      </c>
      <c r="Z252" s="6"/>
      <c r="AA252" s="6"/>
      <c r="AB252" s="6">
        <f>$K$252*$V$252</f>
        <v>89880</v>
      </c>
      <c r="AC252" s="6">
        <f>$M$252*$W$252</f>
        <v>0</v>
      </c>
      <c r="AD252" s="6">
        <f>$O$252*$X$252</f>
        <v>0</v>
      </c>
      <c r="AE252" s="6">
        <f ca="1">$K$252*$Y$252</f>
        <v>102950.82418778889</v>
      </c>
      <c r="AF252" s="6">
        <f>$M$252*$Z$252</f>
        <v>0</v>
      </c>
      <c r="AG252" s="6">
        <f>$O$252*$AA$252</f>
        <v>0</v>
      </c>
    </row>
    <row r="253" spans="1:33" ht="11.25" customHeight="1" x14ac:dyDescent="0.3">
      <c r="A253" s="4" t="s">
        <v>28</v>
      </c>
      <c r="B253" s="4" t="s">
        <v>39</v>
      </c>
      <c r="C253" s="4" t="s">
        <v>41</v>
      </c>
      <c r="D253" s="4" t="s">
        <v>42</v>
      </c>
      <c r="E253" s="4" t="s">
        <v>25</v>
      </c>
      <c r="F253" s="4" t="s">
        <v>25</v>
      </c>
      <c r="G253" s="4" t="s">
        <v>25</v>
      </c>
      <c r="H253" s="4" t="s">
        <v>25</v>
      </c>
      <c r="I253" s="5">
        <v>44805</v>
      </c>
      <c r="J253" s="6">
        <v>472</v>
      </c>
      <c r="K253" s="6">
        <v>472</v>
      </c>
      <c r="L253" s="6">
        <v>0</v>
      </c>
      <c r="M253" s="6">
        <v>0</v>
      </c>
      <c r="N253" s="6">
        <v>0</v>
      </c>
      <c r="O253" s="6">
        <v>0</v>
      </c>
      <c r="P253" s="6">
        <v>5</v>
      </c>
      <c r="Q253" s="4" t="s">
        <v>26</v>
      </c>
      <c r="R253" s="4">
        <v>0</v>
      </c>
      <c r="S253" s="6">
        <v>20</v>
      </c>
      <c r="T253" s="6">
        <v>0</v>
      </c>
      <c r="U253" s="6">
        <v>0</v>
      </c>
      <c r="V253" s="6">
        <f>IF(ISERROR(VLOOKUP($S$253,'TAR FIN'!$A$1:$O$113,15,0)),0,VLOOKUP($S$253,'TAR FIN'!$A$1:$O$113,15,0))</f>
        <v>14</v>
      </c>
      <c r="W253" s="6">
        <f>IF(ISERROR(VLOOKUP($T$253,'TAR FIN'!$A$1:$O$113,15,0)),0,VLOOKUP($T$253,'TAR FIN'!$A$1:$O$113,15,0))</f>
        <v>0</v>
      </c>
      <c r="X253" s="6">
        <f>IF(ISERROR(VLOOKUP($U$253,'TAR FIN'!$A$1:$O$113,15,0)),0,VLOOKUP($U$253,'TAR FIN'!$A$1:$O$113,15,0))</f>
        <v>0</v>
      </c>
      <c r="Y253" s="6">
        <f ca="1">('TUSD BE'!$AM$19+'TUSD BF_350'!$AM$19+'TUSD CVA'!$AM$19)*1</f>
        <v>16.035953923331604</v>
      </c>
      <c r="Z253" s="6"/>
      <c r="AA253" s="6"/>
      <c r="AB253" s="6">
        <f>$K$253*$V$253</f>
        <v>6608</v>
      </c>
      <c r="AC253" s="6">
        <f>$M$253*$W$253</f>
        <v>0</v>
      </c>
      <c r="AD253" s="6">
        <f>$O$253*$X$253</f>
        <v>0</v>
      </c>
      <c r="AE253" s="6">
        <f ca="1">$K$253*$Y$253</f>
        <v>7568.9702518125168</v>
      </c>
      <c r="AF253" s="6">
        <f>$M$253*$Z$253</f>
        <v>0</v>
      </c>
      <c r="AG253" s="6">
        <f>$O$253*$AA$253</f>
        <v>0</v>
      </c>
    </row>
    <row r="254" spans="1:33" ht="11.25" customHeight="1" x14ac:dyDescent="0.3">
      <c r="A254" s="4" t="s">
        <v>53</v>
      </c>
      <c r="B254" s="4" t="s">
        <v>39</v>
      </c>
      <c r="C254" s="4" t="s">
        <v>41</v>
      </c>
      <c r="D254" s="4" t="s">
        <v>42</v>
      </c>
      <c r="E254" s="4" t="s">
        <v>25</v>
      </c>
      <c r="F254" s="4" t="s">
        <v>25</v>
      </c>
      <c r="G254" s="4" t="s">
        <v>25</v>
      </c>
      <c r="H254" s="4" t="s">
        <v>25</v>
      </c>
      <c r="I254" s="5">
        <v>44835</v>
      </c>
      <c r="J254" s="6">
        <v>6420</v>
      </c>
      <c r="K254" s="6">
        <v>6420</v>
      </c>
      <c r="L254" s="6">
        <v>0</v>
      </c>
      <c r="M254" s="6">
        <v>0</v>
      </c>
      <c r="N254" s="6">
        <v>0</v>
      </c>
      <c r="O254" s="6">
        <v>0</v>
      </c>
      <c r="P254" s="6">
        <v>59</v>
      </c>
      <c r="Q254" s="4" t="s">
        <v>26</v>
      </c>
      <c r="R254" s="4">
        <v>0</v>
      </c>
      <c r="S254" s="6">
        <v>20</v>
      </c>
      <c r="T254" s="6">
        <v>0</v>
      </c>
      <c r="U254" s="6">
        <v>0</v>
      </c>
      <c r="V254" s="6">
        <f>IF(ISERROR(VLOOKUP($S$254,'TAR FIN'!$A$1:$O$113,15,0)),0,VLOOKUP($S$254,'TAR FIN'!$A$1:$O$113,15,0))</f>
        <v>14</v>
      </c>
      <c r="W254" s="6">
        <f>IF(ISERROR(VLOOKUP($T$254,'TAR FIN'!$A$1:$O$113,15,0)),0,VLOOKUP($T$254,'TAR FIN'!$A$1:$O$113,15,0))</f>
        <v>0</v>
      </c>
      <c r="X254" s="6">
        <f>IF(ISERROR(VLOOKUP($U$254,'TAR FIN'!$A$1:$O$113,15,0)),0,VLOOKUP($U$254,'TAR FIN'!$A$1:$O$113,15,0))</f>
        <v>0</v>
      </c>
      <c r="Y254" s="6">
        <f ca="1">('TUSD BE'!$AM$19+'TUSD BF_350'!$AM$19+'TUSD CVA'!$AM$19)*1</f>
        <v>16.035953923331604</v>
      </c>
      <c r="Z254" s="6"/>
      <c r="AA254" s="6"/>
      <c r="AB254" s="6">
        <f>$K$254*$V$254</f>
        <v>89880</v>
      </c>
      <c r="AC254" s="6">
        <f>$M$254*$W$254</f>
        <v>0</v>
      </c>
      <c r="AD254" s="6">
        <f>$O$254*$X$254</f>
        <v>0</v>
      </c>
      <c r="AE254" s="6">
        <f ca="1">$K$254*$Y$254</f>
        <v>102950.82418778889</v>
      </c>
      <c r="AF254" s="6">
        <f>$M$254*$Z$254</f>
        <v>0</v>
      </c>
      <c r="AG254" s="6">
        <f>$O$254*$AA$254</f>
        <v>0</v>
      </c>
    </row>
    <row r="255" spans="1:33" ht="11.25" customHeight="1" x14ac:dyDescent="0.3">
      <c r="A255" s="4" t="s">
        <v>53</v>
      </c>
      <c r="B255" s="4" t="s">
        <v>39</v>
      </c>
      <c r="C255" s="4" t="s">
        <v>41</v>
      </c>
      <c r="D255" s="4" t="s">
        <v>42</v>
      </c>
      <c r="E255" s="4" t="s">
        <v>25</v>
      </c>
      <c r="F255" s="4" t="s">
        <v>25</v>
      </c>
      <c r="G255" s="4" t="s">
        <v>25</v>
      </c>
      <c r="H255" s="4" t="s">
        <v>25</v>
      </c>
      <c r="I255" s="5">
        <v>44835</v>
      </c>
      <c r="J255" s="6">
        <v>472</v>
      </c>
      <c r="K255" s="6">
        <v>472</v>
      </c>
      <c r="L255" s="6">
        <v>0</v>
      </c>
      <c r="M255" s="6">
        <v>0</v>
      </c>
      <c r="N255" s="6">
        <v>0</v>
      </c>
      <c r="O255" s="6">
        <v>0</v>
      </c>
      <c r="P255" s="6">
        <v>5</v>
      </c>
      <c r="Q255" s="4" t="s">
        <v>26</v>
      </c>
      <c r="R255" s="4">
        <v>0</v>
      </c>
      <c r="S255" s="6">
        <v>20</v>
      </c>
      <c r="T255" s="6">
        <v>0</v>
      </c>
      <c r="U255" s="6">
        <v>0</v>
      </c>
      <c r="V255" s="6">
        <f>IF(ISERROR(VLOOKUP($S$255,'TAR FIN'!$A$1:$O$113,15,0)),0,VLOOKUP($S$255,'TAR FIN'!$A$1:$O$113,15,0))</f>
        <v>14</v>
      </c>
      <c r="W255" s="6">
        <f>IF(ISERROR(VLOOKUP($T$255,'TAR FIN'!$A$1:$O$113,15,0)),0,VLOOKUP($T$255,'TAR FIN'!$A$1:$O$113,15,0))</f>
        <v>0</v>
      </c>
      <c r="X255" s="6">
        <f>IF(ISERROR(VLOOKUP($U$255,'TAR FIN'!$A$1:$O$113,15,0)),0,VLOOKUP($U$255,'TAR FIN'!$A$1:$O$113,15,0))</f>
        <v>0</v>
      </c>
      <c r="Y255" s="6">
        <f ca="1">('TUSD BE'!$AM$19+'TUSD BF_350'!$AM$19+'TUSD CVA'!$AM$19)*1</f>
        <v>16.035953923331604</v>
      </c>
      <c r="Z255" s="6"/>
      <c r="AA255" s="6"/>
      <c r="AB255" s="6">
        <f>$K$255*$V$255</f>
        <v>6608</v>
      </c>
      <c r="AC255" s="6">
        <f>$M$255*$W$255</f>
        <v>0</v>
      </c>
      <c r="AD255" s="6">
        <f>$O$255*$X$255</f>
        <v>0</v>
      </c>
      <c r="AE255" s="6">
        <f ca="1">$K$255*$Y$255</f>
        <v>7568.9702518125168</v>
      </c>
      <c r="AF255" s="6">
        <f>$M$255*$Z$255</f>
        <v>0</v>
      </c>
      <c r="AG255" s="6">
        <f>$O$255*$AA$255</f>
        <v>0</v>
      </c>
    </row>
    <row r="256" spans="1:33" ht="11.25" customHeight="1" x14ac:dyDescent="0.3">
      <c r="A256" s="4" t="s">
        <v>21</v>
      </c>
      <c r="B256" s="4" t="s">
        <v>39</v>
      </c>
      <c r="C256" s="4" t="s">
        <v>41</v>
      </c>
      <c r="D256" s="4" t="s">
        <v>42</v>
      </c>
      <c r="E256" s="4" t="s">
        <v>25</v>
      </c>
      <c r="F256" s="4" t="s">
        <v>25</v>
      </c>
      <c r="G256" s="4" t="s">
        <v>25</v>
      </c>
      <c r="H256" s="4" t="s">
        <v>34</v>
      </c>
      <c r="I256" s="5">
        <v>44501</v>
      </c>
      <c r="J256" s="6">
        <v>0</v>
      </c>
      <c r="K256" s="6">
        <v>0</v>
      </c>
      <c r="L256" s="6">
        <v>111.202</v>
      </c>
      <c r="M256" s="6">
        <v>111.202</v>
      </c>
      <c r="N256" s="6">
        <v>111.202</v>
      </c>
      <c r="O256" s="6">
        <v>111.202</v>
      </c>
      <c r="P256" s="6">
        <v>0</v>
      </c>
      <c r="Q256" s="4" t="s">
        <v>26</v>
      </c>
      <c r="R256" s="4">
        <v>0</v>
      </c>
      <c r="S256" s="6">
        <v>0</v>
      </c>
      <c r="T256" s="6">
        <v>8</v>
      </c>
      <c r="U256" s="6">
        <v>38</v>
      </c>
      <c r="V256" s="6">
        <f>IF(ISERROR(VLOOKUP($S$256,'TAR FIN'!$A$1:$O$113,15,0)),0,VLOOKUP($S$256,'TAR FIN'!$A$1:$O$113,15,0))</f>
        <v>0</v>
      </c>
      <c r="W256" s="6">
        <f>IF(ISERROR(VLOOKUP($T$256,'TAR FIN'!$A$1:$O$113,15,0)),0,VLOOKUP($T$256,'TAR FIN'!$A$1:$O$113,15,0))</f>
        <v>940.43</v>
      </c>
      <c r="X256" s="6">
        <f>IF(ISERROR(VLOOKUP($U$256,'TAR FIN'!$A$1:$O$113,15,0)),0,VLOOKUP($U$256,'TAR FIN'!$A$1:$O$113,15,0))</f>
        <v>442.86</v>
      </c>
      <c r="Y256" s="6"/>
      <c r="Z256" s="6">
        <f ca="1">('TUSD BE'!$AM$20+'TUSD BF_350'!$AM$20+'TUSD CVA'!$AM$20)*1</f>
        <v>1117.8285588949407</v>
      </c>
      <c r="AA256" s="6">
        <f ca="1">('TE BE'!$AB$9+'TE BF_350'!$AB$9+'TE CVA'!$AB$9)*1</f>
        <v>379.30999999999995</v>
      </c>
      <c r="AB256" s="6">
        <f>$K$256*$V$256</f>
        <v>0</v>
      </c>
      <c r="AC256" s="6">
        <f>$M$256*$W$256</f>
        <v>104577.69686</v>
      </c>
      <c r="AD256" s="6">
        <f>$O$256*$X$256</f>
        <v>49246.917719999998</v>
      </c>
      <c r="AE256" s="6">
        <f>$K$256*$Y$256</f>
        <v>0</v>
      </c>
      <c r="AF256" s="6">
        <f ca="1">$M$256*$Z$256</f>
        <v>124304.77140623519</v>
      </c>
      <c r="AG256" s="6">
        <f ca="1">$O$256*$AA$256</f>
        <v>42180.03061999999</v>
      </c>
    </row>
    <row r="257" spans="1:33" ht="11.25" customHeight="1" x14ac:dyDescent="0.3">
      <c r="A257" s="4" t="s">
        <v>28</v>
      </c>
      <c r="B257" s="4" t="s">
        <v>39</v>
      </c>
      <c r="C257" s="4" t="s">
        <v>41</v>
      </c>
      <c r="D257" s="4" t="s">
        <v>42</v>
      </c>
      <c r="E257" s="4" t="s">
        <v>25</v>
      </c>
      <c r="F257" s="4" t="s">
        <v>25</v>
      </c>
      <c r="G257" s="4" t="s">
        <v>25</v>
      </c>
      <c r="H257" s="4" t="s">
        <v>34</v>
      </c>
      <c r="I257" s="5">
        <v>44501</v>
      </c>
      <c r="J257" s="6">
        <v>0</v>
      </c>
      <c r="K257" s="6">
        <v>0</v>
      </c>
      <c r="L257" s="6">
        <v>2.8340000000000001</v>
      </c>
      <c r="M257" s="6">
        <v>2.8340000000000001</v>
      </c>
      <c r="N257" s="6">
        <v>2.8340000000000001</v>
      </c>
      <c r="O257" s="6">
        <v>2.8340000000000001</v>
      </c>
      <c r="P257" s="6">
        <v>0</v>
      </c>
      <c r="Q257" s="4" t="s">
        <v>26</v>
      </c>
      <c r="R257" s="4">
        <v>0</v>
      </c>
      <c r="S257" s="6">
        <v>0</v>
      </c>
      <c r="T257" s="6">
        <v>8</v>
      </c>
      <c r="U257" s="6">
        <v>38</v>
      </c>
      <c r="V257" s="6">
        <f>IF(ISERROR(VLOOKUP($S$257,'TAR FIN'!$A$1:$O$113,15,0)),0,VLOOKUP($S$257,'TAR FIN'!$A$1:$O$113,15,0))</f>
        <v>0</v>
      </c>
      <c r="W257" s="6">
        <f>IF(ISERROR(VLOOKUP($T$257,'TAR FIN'!$A$1:$O$113,15,0)),0,VLOOKUP($T$257,'TAR FIN'!$A$1:$O$113,15,0))</f>
        <v>940.43</v>
      </c>
      <c r="X257" s="6">
        <f>IF(ISERROR(VLOOKUP($U$257,'TAR FIN'!$A$1:$O$113,15,0)),0,VLOOKUP($U$257,'TAR FIN'!$A$1:$O$113,15,0))</f>
        <v>442.86</v>
      </c>
      <c r="Y257" s="6"/>
      <c r="Z257" s="6">
        <f ca="1">('TUSD BE'!$AM$20+'TUSD BF_350'!$AM$20+'TUSD CVA'!$AM$20)*1</f>
        <v>1117.8285588949407</v>
      </c>
      <c r="AA257" s="6">
        <f ca="1">('TE BE'!$AB$9+'TE BF_350'!$AB$9+'TE CVA'!$AB$9)*1</f>
        <v>379.30999999999995</v>
      </c>
      <c r="AB257" s="6">
        <f>$K$257*$V$257</f>
        <v>0</v>
      </c>
      <c r="AC257" s="6">
        <f>$M$257*$W$257</f>
        <v>2665.1786200000001</v>
      </c>
      <c r="AD257" s="6">
        <f>$O$257*$X$257</f>
        <v>1255.0652400000001</v>
      </c>
      <c r="AE257" s="6">
        <f>$K$257*$Y$257</f>
        <v>0</v>
      </c>
      <c r="AF257" s="6">
        <f ca="1">$M$257*$Z$257</f>
        <v>3167.926135908262</v>
      </c>
      <c r="AG257" s="6">
        <f ca="1">$O$257*$AA$257</f>
        <v>1074.9645399999999</v>
      </c>
    </row>
    <row r="258" spans="1:33" ht="11.25" customHeight="1" x14ac:dyDescent="0.3">
      <c r="A258" s="4" t="s">
        <v>21</v>
      </c>
      <c r="B258" s="4" t="s">
        <v>39</v>
      </c>
      <c r="C258" s="4" t="s">
        <v>41</v>
      </c>
      <c r="D258" s="4" t="s">
        <v>42</v>
      </c>
      <c r="E258" s="4" t="s">
        <v>25</v>
      </c>
      <c r="F258" s="4" t="s">
        <v>25</v>
      </c>
      <c r="G258" s="4" t="s">
        <v>25</v>
      </c>
      <c r="H258" s="4" t="s">
        <v>34</v>
      </c>
      <c r="I258" s="5">
        <v>44531</v>
      </c>
      <c r="J258" s="6">
        <v>0</v>
      </c>
      <c r="K258" s="6">
        <v>0</v>
      </c>
      <c r="L258" s="6">
        <v>127.17</v>
      </c>
      <c r="M258" s="6">
        <v>127.17</v>
      </c>
      <c r="N258" s="6">
        <v>127.17</v>
      </c>
      <c r="O258" s="6">
        <v>127.17</v>
      </c>
      <c r="P258" s="6">
        <v>0</v>
      </c>
      <c r="Q258" s="4" t="s">
        <v>26</v>
      </c>
      <c r="R258" s="4">
        <v>0</v>
      </c>
      <c r="S258" s="6">
        <v>0</v>
      </c>
      <c r="T258" s="6">
        <v>8</v>
      </c>
      <c r="U258" s="6">
        <v>38</v>
      </c>
      <c r="V258" s="6">
        <f>IF(ISERROR(VLOOKUP($S$258,'TAR FIN'!$A$1:$O$113,15,0)),0,VLOOKUP($S$258,'TAR FIN'!$A$1:$O$113,15,0))</f>
        <v>0</v>
      </c>
      <c r="W258" s="6">
        <f>IF(ISERROR(VLOOKUP($T$258,'TAR FIN'!$A$1:$O$113,15,0)),0,VLOOKUP($T$258,'TAR FIN'!$A$1:$O$113,15,0))</f>
        <v>940.43</v>
      </c>
      <c r="X258" s="6">
        <f>IF(ISERROR(VLOOKUP($U$258,'TAR FIN'!$A$1:$O$113,15,0)),0,VLOOKUP($U$258,'TAR FIN'!$A$1:$O$113,15,0))</f>
        <v>442.86</v>
      </c>
      <c r="Y258" s="6"/>
      <c r="Z258" s="6">
        <f ca="1">('TUSD BE'!$AM$20+'TUSD BF_350'!$AM$20+'TUSD CVA'!$AM$20)*1</f>
        <v>1117.8285588949407</v>
      </c>
      <c r="AA258" s="6">
        <f ca="1">('TE BE'!$AB$9+'TE BF_350'!$AB$9+'TE CVA'!$AB$9)*1</f>
        <v>379.30999999999995</v>
      </c>
      <c r="AB258" s="6">
        <f>$K$258*$V$258</f>
        <v>0</v>
      </c>
      <c r="AC258" s="6">
        <f>$M$258*$W$258</f>
        <v>119594.4831</v>
      </c>
      <c r="AD258" s="6">
        <f>$O$258*$X$258</f>
        <v>56318.506200000003</v>
      </c>
      <c r="AE258" s="6">
        <f>$K$258*$Y$258</f>
        <v>0</v>
      </c>
      <c r="AF258" s="6">
        <f ca="1">$M$258*$Z$258</f>
        <v>142154.25783466961</v>
      </c>
      <c r="AG258" s="6">
        <f ca="1">$O$258*$AA$258</f>
        <v>48236.852699999996</v>
      </c>
    </row>
    <row r="259" spans="1:33" ht="11.25" customHeight="1" x14ac:dyDescent="0.3">
      <c r="A259" s="4" t="s">
        <v>28</v>
      </c>
      <c r="B259" s="4" t="s">
        <v>39</v>
      </c>
      <c r="C259" s="4" t="s">
        <v>41</v>
      </c>
      <c r="D259" s="4" t="s">
        <v>42</v>
      </c>
      <c r="E259" s="4" t="s">
        <v>25</v>
      </c>
      <c r="F259" s="4" t="s">
        <v>25</v>
      </c>
      <c r="G259" s="4" t="s">
        <v>25</v>
      </c>
      <c r="H259" s="4" t="s">
        <v>34</v>
      </c>
      <c r="I259" s="5">
        <v>44531</v>
      </c>
      <c r="J259" s="6">
        <v>0</v>
      </c>
      <c r="K259" s="6">
        <v>0</v>
      </c>
      <c r="L259" s="6">
        <v>2.5609999999999999</v>
      </c>
      <c r="M259" s="6">
        <v>2.5609999999999999</v>
      </c>
      <c r="N259" s="6">
        <v>2.5609999999999999</v>
      </c>
      <c r="O259" s="6">
        <v>2.5609999999999999</v>
      </c>
      <c r="P259" s="6">
        <v>0</v>
      </c>
      <c r="Q259" s="4" t="s">
        <v>26</v>
      </c>
      <c r="R259" s="4">
        <v>0</v>
      </c>
      <c r="S259" s="6">
        <v>0</v>
      </c>
      <c r="T259" s="6">
        <v>8</v>
      </c>
      <c r="U259" s="6">
        <v>38</v>
      </c>
      <c r="V259" s="6">
        <f>IF(ISERROR(VLOOKUP($S$259,'TAR FIN'!$A$1:$O$113,15,0)),0,VLOOKUP($S$259,'TAR FIN'!$A$1:$O$113,15,0))</f>
        <v>0</v>
      </c>
      <c r="W259" s="6">
        <f>IF(ISERROR(VLOOKUP($T$259,'TAR FIN'!$A$1:$O$113,15,0)),0,VLOOKUP($T$259,'TAR FIN'!$A$1:$O$113,15,0))</f>
        <v>940.43</v>
      </c>
      <c r="X259" s="6">
        <f>IF(ISERROR(VLOOKUP($U$259,'TAR FIN'!$A$1:$O$113,15,0)),0,VLOOKUP($U$259,'TAR FIN'!$A$1:$O$113,15,0))</f>
        <v>442.86</v>
      </c>
      <c r="Y259" s="6"/>
      <c r="Z259" s="6">
        <f ca="1">('TUSD BE'!$AM$20+'TUSD BF_350'!$AM$20+'TUSD CVA'!$AM$20)*1</f>
        <v>1117.8285588949407</v>
      </c>
      <c r="AA259" s="6">
        <f ca="1">('TE BE'!$AB$9+'TE BF_350'!$AB$9+'TE CVA'!$AB$9)*1</f>
        <v>379.30999999999995</v>
      </c>
      <c r="AB259" s="6">
        <f>$K$259*$V$259</f>
        <v>0</v>
      </c>
      <c r="AC259" s="6">
        <f>$M$259*$W$259</f>
        <v>2408.4412299999999</v>
      </c>
      <c r="AD259" s="6">
        <f>$O$259*$X$259</f>
        <v>1134.16446</v>
      </c>
      <c r="AE259" s="6">
        <f>$K$259*$Y$259</f>
        <v>0</v>
      </c>
      <c r="AF259" s="6">
        <f ca="1">$M$259*$Z$259</f>
        <v>2862.7589393299431</v>
      </c>
      <c r="AG259" s="6">
        <f ca="1">$O$259*$AA$259</f>
        <v>971.41290999999978</v>
      </c>
    </row>
    <row r="260" spans="1:33" ht="11.25" customHeight="1" x14ac:dyDescent="0.3">
      <c r="A260" s="4" t="s">
        <v>21</v>
      </c>
      <c r="B260" s="4" t="s">
        <v>39</v>
      </c>
      <c r="C260" s="4" t="s">
        <v>41</v>
      </c>
      <c r="D260" s="4" t="s">
        <v>42</v>
      </c>
      <c r="E260" s="4" t="s">
        <v>25</v>
      </c>
      <c r="F260" s="4" t="s">
        <v>25</v>
      </c>
      <c r="G260" s="4" t="s">
        <v>25</v>
      </c>
      <c r="H260" s="4" t="s">
        <v>34</v>
      </c>
      <c r="I260" s="5">
        <v>44562</v>
      </c>
      <c r="J260" s="6">
        <v>0</v>
      </c>
      <c r="K260" s="6">
        <v>0</v>
      </c>
      <c r="L260" s="6">
        <v>131.60499999999999</v>
      </c>
      <c r="M260" s="6">
        <v>131.60499999999999</v>
      </c>
      <c r="N260" s="6">
        <v>131.60499999999999</v>
      </c>
      <c r="O260" s="6">
        <v>131.60499999999999</v>
      </c>
      <c r="P260" s="6">
        <v>0</v>
      </c>
      <c r="Q260" s="4" t="s">
        <v>26</v>
      </c>
      <c r="R260" s="4">
        <v>0</v>
      </c>
      <c r="S260" s="6">
        <v>0</v>
      </c>
      <c r="T260" s="6">
        <v>8</v>
      </c>
      <c r="U260" s="6">
        <v>38</v>
      </c>
      <c r="V260" s="6">
        <f>IF(ISERROR(VLOOKUP($S$260,'TAR FIN'!$A$1:$O$113,15,0)),0,VLOOKUP($S$260,'TAR FIN'!$A$1:$O$113,15,0))</f>
        <v>0</v>
      </c>
      <c r="W260" s="6">
        <f>IF(ISERROR(VLOOKUP($T$260,'TAR FIN'!$A$1:$O$113,15,0)),0,VLOOKUP($T$260,'TAR FIN'!$A$1:$O$113,15,0))</f>
        <v>940.43</v>
      </c>
      <c r="X260" s="6">
        <f>IF(ISERROR(VLOOKUP($U$260,'TAR FIN'!$A$1:$O$113,15,0)),0,VLOOKUP($U$260,'TAR FIN'!$A$1:$O$113,15,0))</f>
        <v>442.86</v>
      </c>
      <c r="Y260" s="6"/>
      <c r="Z260" s="6">
        <f ca="1">('TUSD BE'!$AM$20+'TUSD BF_350'!$AM$20+'TUSD CVA'!$AM$20)*1</f>
        <v>1117.8285588949407</v>
      </c>
      <c r="AA260" s="6">
        <f ca="1">('TE BE'!$AB$9+'TE BF_350'!$AB$9+'TE CVA'!$AB$9)*1</f>
        <v>379.30999999999995</v>
      </c>
      <c r="AB260" s="6">
        <f>$K$260*$V$260</f>
        <v>0</v>
      </c>
      <c r="AC260" s="6">
        <f>$M$260*$W$260</f>
        <v>123765.29014999999</v>
      </c>
      <c r="AD260" s="6">
        <f>$O$260*$X$260</f>
        <v>58282.590299999996</v>
      </c>
      <c r="AE260" s="6">
        <f>$K$260*$Y$260</f>
        <v>0</v>
      </c>
      <c r="AF260" s="6">
        <f ca="1">$M$260*$Z$260</f>
        <v>147111.82749336865</v>
      </c>
      <c r="AG260" s="6">
        <f ca="1">$O$260*$AA$260</f>
        <v>49919.092549999987</v>
      </c>
    </row>
    <row r="261" spans="1:33" ht="11.25" customHeight="1" x14ac:dyDescent="0.3">
      <c r="A261" s="4" t="s">
        <v>28</v>
      </c>
      <c r="B261" s="4" t="s">
        <v>39</v>
      </c>
      <c r="C261" s="4" t="s">
        <v>41</v>
      </c>
      <c r="D261" s="4" t="s">
        <v>42</v>
      </c>
      <c r="E261" s="4" t="s">
        <v>25</v>
      </c>
      <c r="F261" s="4" t="s">
        <v>25</v>
      </c>
      <c r="G261" s="4" t="s">
        <v>25</v>
      </c>
      <c r="H261" s="4" t="s">
        <v>34</v>
      </c>
      <c r="I261" s="5">
        <v>44562</v>
      </c>
      <c r="J261" s="6">
        <v>0</v>
      </c>
      <c r="K261" s="6">
        <v>0</v>
      </c>
      <c r="L261" s="6">
        <v>3.1579999999999999</v>
      </c>
      <c r="M261" s="6">
        <v>3.1579999999999999</v>
      </c>
      <c r="N261" s="6">
        <v>3.1579999999999999</v>
      </c>
      <c r="O261" s="6">
        <v>3.1579999999999999</v>
      </c>
      <c r="P261" s="6">
        <v>0</v>
      </c>
      <c r="Q261" s="4" t="s">
        <v>26</v>
      </c>
      <c r="R261" s="4">
        <v>0</v>
      </c>
      <c r="S261" s="6">
        <v>0</v>
      </c>
      <c r="T261" s="6">
        <v>8</v>
      </c>
      <c r="U261" s="6">
        <v>38</v>
      </c>
      <c r="V261" s="6">
        <f>IF(ISERROR(VLOOKUP($S$261,'TAR FIN'!$A$1:$O$113,15,0)),0,VLOOKUP($S$261,'TAR FIN'!$A$1:$O$113,15,0))</f>
        <v>0</v>
      </c>
      <c r="W261" s="6">
        <f>IF(ISERROR(VLOOKUP($T$261,'TAR FIN'!$A$1:$O$113,15,0)),0,VLOOKUP($T$261,'TAR FIN'!$A$1:$O$113,15,0))</f>
        <v>940.43</v>
      </c>
      <c r="X261" s="6">
        <f>IF(ISERROR(VLOOKUP($U$261,'TAR FIN'!$A$1:$O$113,15,0)),0,VLOOKUP($U$261,'TAR FIN'!$A$1:$O$113,15,0))</f>
        <v>442.86</v>
      </c>
      <c r="Y261" s="6"/>
      <c r="Z261" s="6">
        <f ca="1">('TUSD BE'!$AM$20+'TUSD BF_350'!$AM$20+'TUSD CVA'!$AM$20)*1</f>
        <v>1117.8285588949407</v>
      </c>
      <c r="AA261" s="6">
        <f ca="1">('TE BE'!$AB$9+'TE BF_350'!$AB$9+'TE CVA'!$AB$9)*1</f>
        <v>379.30999999999995</v>
      </c>
      <c r="AB261" s="6">
        <f>$K$261*$V$261</f>
        <v>0</v>
      </c>
      <c r="AC261" s="6">
        <f>$M$261*$W$261</f>
        <v>2969.8779399999999</v>
      </c>
      <c r="AD261" s="6">
        <f>$O$261*$X$261</f>
        <v>1398.55188</v>
      </c>
      <c r="AE261" s="6">
        <f>$K$261*$Y$261</f>
        <v>0</v>
      </c>
      <c r="AF261" s="6">
        <f ca="1">$M$261*$Z$261</f>
        <v>3530.1025889902226</v>
      </c>
      <c r="AG261" s="6">
        <f ca="1">$O$261*$AA$261</f>
        <v>1197.8609799999997</v>
      </c>
    </row>
    <row r="262" spans="1:33" ht="11.25" customHeight="1" x14ac:dyDescent="0.3">
      <c r="A262" s="4" t="s">
        <v>21</v>
      </c>
      <c r="B262" s="4" t="s">
        <v>39</v>
      </c>
      <c r="C262" s="4" t="s">
        <v>41</v>
      </c>
      <c r="D262" s="4" t="s">
        <v>42</v>
      </c>
      <c r="E262" s="4" t="s">
        <v>25</v>
      </c>
      <c r="F262" s="4" t="s">
        <v>25</v>
      </c>
      <c r="G262" s="4" t="s">
        <v>25</v>
      </c>
      <c r="H262" s="4" t="s">
        <v>34</v>
      </c>
      <c r="I262" s="5">
        <v>44593</v>
      </c>
      <c r="J262" s="6">
        <v>0</v>
      </c>
      <c r="K262" s="6">
        <v>0</v>
      </c>
      <c r="L262" s="6">
        <v>125.58199999999999</v>
      </c>
      <c r="M262" s="6">
        <v>125.58199999999999</v>
      </c>
      <c r="N262" s="6">
        <v>125.58199999999999</v>
      </c>
      <c r="O262" s="6">
        <v>125.58199999999999</v>
      </c>
      <c r="P262" s="6">
        <v>0</v>
      </c>
      <c r="Q262" s="4" t="s">
        <v>26</v>
      </c>
      <c r="R262" s="4">
        <v>0</v>
      </c>
      <c r="S262" s="6">
        <v>0</v>
      </c>
      <c r="T262" s="6">
        <v>8</v>
      </c>
      <c r="U262" s="6">
        <v>38</v>
      </c>
      <c r="V262" s="6">
        <f>IF(ISERROR(VLOOKUP($S$262,'TAR FIN'!$A$1:$O$113,15,0)),0,VLOOKUP($S$262,'TAR FIN'!$A$1:$O$113,15,0))</f>
        <v>0</v>
      </c>
      <c r="W262" s="6">
        <f>IF(ISERROR(VLOOKUP($T$262,'TAR FIN'!$A$1:$O$113,15,0)),0,VLOOKUP($T$262,'TAR FIN'!$A$1:$O$113,15,0))</f>
        <v>940.43</v>
      </c>
      <c r="X262" s="6">
        <f>IF(ISERROR(VLOOKUP($U$262,'TAR FIN'!$A$1:$O$113,15,0)),0,VLOOKUP($U$262,'TAR FIN'!$A$1:$O$113,15,0))</f>
        <v>442.86</v>
      </c>
      <c r="Y262" s="6"/>
      <c r="Z262" s="6">
        <f ca="1">('TUSD BE'!$AM$20+'TUSD BF_350'!$AM$20+'TUSD CVA'!$AM$20)*1</f>
        <v>1117.8285588949407</v>
      </c>
      <c r="AA262" s="6">
        <f ca="1">('TE BE'!$AB$9+'TE BF_350'!$AB$9+'TE CVA'!$AB$9)*1</f>
        <v>379.30999999999995</v>
      </c>
      <c r="AB262" s="6">
        <f>$K$262*$V$262</f>
        <v>0</v>
      </c>
      <c r="AC262" s="6">
        <f>$M$262*$W$262</f>
        <v>118101.08025999999</v>
      </c>
      <c r="AD262" s="6">
        <f>$O$262*$X$262</f>
        <v>55615.24452</v>
      </c>
      <c r="AE262" s="6">
        <f>$K$262*$Y$262</f>
        <v>0</v>
      </c>
      <c r="AF262" s="6">
        <f ca="1">$M$262*$Z$262</f>
        <v>140379.14608314444</v>
      </c>
      <c r="AG262" s="6">
        <f ca="1">$O$262*$AA$262</f>
        <v>47634.508419999991</v>
      </c>
    </row>
    <row r="263" spans="1:33" ht="11.25" customHeight="1" x14ac:dyDescent="0.3">
      <c r="A263" s="4" t="s">
        <v>27</v>
      </c>
      <c r="B263" s="4" t="s">
        <v>39</v>
      </c>
      <c r="C263" s="4" t="s">
        <v>41</v>
      </c>
      <c r="D263" s="4" t="s">
        <v>42</v>
      </c>
      <c r="E263" s="4" t="s">
        <v>25</v>
      </c>
      <c r="F263" s="4" t="s">
        <v>25</v>
      </c>
      <c r="G263" s="4" t="s">
        <v>25</v>
      </c>
      <c r="H263" s="4" t="s">
        <v>34</v>
      </c>
      <c r="I263" s="5">
        <v>44593</v>
      </c>
      <c r="J263" s="6">
        <v>0</v>
      </c>
      <c r="K263" s="6">
        <v>0</v>
      </c>
      <c r="L263" s="6">
        <v>-0.183</v>
      </c>
      <c r="M263" s="6">
        <v>-0.183</v>
      </c>
      <c r="N263" s="6">
        <v>-0.183</v>
      </c>
      <c r="O263" s="6">
        <v>-0.183</v>
      </c>
      <c r="P263" s="6">
        <v>0</v>
      </c>
      <c r="Q263" s="4" t="s">
        <v>26</v>
      </c>
      <c r="R263" s="4">
        <v>0</v>
      </c>
      <c r="S263" s="6">
        <v>0</v>
      </c>
      <c r="T263" s="6">
        <v>8</v>
      </c>
      <c r="U263" s="6">
        <v>38</v>
      </c>
      <c r="V263" s="6">
        <f>IF(ISERROR(VLOOKUP($S$263,'TAR FIN'!$A$1:$O$113,15,0)),0,VLOOKUP($S$263,'TAR FIN'!$A$1:$O$113,15,0))</f>
        <v>0</v>
      </c>
      <c r="W263" s="6">
        <f>IF(ISERROR(VLOOKUP($T$263,'TAR FIN'!$A$1:$O$113,15,0)),0,VLOOKUP($T$263,'TAR FIN'!$A$1:$O$113,15,0))</f>
        <v>940.43</v>
      </c>
      <c r="X263" s="6">
        <f>IF(ISERROR(VLOOKUP($U$263,'TAR FIN'!$A$1:$O$113,15,0)),0,VLOOKUP($U$263,'TAR FIN'!$A$1:$O$113,15,0))</f>
        <v>442.86</v>
      </c>
      <c r="Y263" s="6"/>
      <c r="Z263" s="6">
        <f ca="1">('TUSD BE'!$AM$20+'TUSD BF_350'!$AM$20+'TUSD CVA'!$AM$20)*1</f>
        <v>1117.8285588949407</v>
      </c>
      <c r="AA263" s="6">
        <f ca="1">('TE BE'!$AB$9+'TE BF_350'!$AB$9+'TE CVA'!$AB$9)*1</f>
        <v>379.30999999999995</v>
      </c>
      <c r="AB263" s="6">
        <f>$K$263*$V$263</f>
        <v>0</v>
      </c>
      <c r="AC263" s="6">
        <f>$M$263*$W$263</f>
        <v>-172.09868999999998</v>
      </c>
      <c r="AD263" s="6">
        <f>$O$263*$X$263</f>
        <v>-81.043379999999999</v>
      </c>
      <c r="AE263" s="6">
        <f>$K$263*$Y$263</f>
        <v>0</v>
      </c>
      <c r="AF263" s="6">
        <f ca="1">$M$263*$Z$263</f>
        <v>-204.56262627777414</v>
      </c>
      <c r="AG263" s="6">
        <f ca="1">$O$263*$AA$263</f>
        <v>-69.413729999999987</v>
      </c>
    </row>
    <row r="264" spans="1:33" ht="11.25" customHeight="1" x14ac:dyDescent="0.3">
      <c r="A264" s="4" t="s">
        <v>28</v>
      </c>
      <c r="B264" s="4" t="s">
        <v>39</v>
      </c>
      <c r="C264" s="4" t="s">
        <v>41</v>
      </c>
      <c r="D264" s="4" t="s">
        <v>42</v>
      </c>
      <c r="E264" s="4" t="s">
        <v>25</v>
      </c>
      <c r="F264" s="4" t="s">
        <v>25</v>
      </c>
      <c r="G264" s="4" t="s">
        <v>25</v>
      </c>
      <c r="H264" s="4" t="s">
        <v>34</v>
      </c>
      <c r="I264" s="5">
        <v>44593</v>
      </c>
      <c r="J264" s="6">
        <v>0</v>
      </c>
      <c r="K264" s="6">
        <v>0</v>
      </c>
      <c r="L264" s="6">
        <v>2.9790000000000001</v>
      </c>
      <c r="M264" s="6">
        <v>2.9790000000000001</v>
      </c>
      <c r="N264" s="6">
        <v>2.9790000000000001</v>
      </c>
      <c r="O264" s="6">
        <v>2.9790000000000001</v>
      </c>
      <c r="P264" s="6">
        <v>0</v>
      </c>
      <c r="Q264" s="4" t="s">
        <v>26</v>
      </c>
      <c r="R264" s="4">
        <v>0</v>
      </c>
      <c r="S264" s="6">
        <v>0</v>
      </c>
      <c r="T264" s="6">
        <v>8</v>
      </c>
      <c r="U264" s="6">
        <v>38</v>
      </c>
      <c r="V264" s="6">
        <f>IF(ISERROR(VLOOKUP($S$264,'TAR FIN'!$A$1:$O$113,15,0)),0,VLOOKUP($S$264,'TAR FIN'!$A$1:$O$113,15,0))</f>
        <v>0</v>
      </c>
      <c r="W264" s="6">
        <f>IF(ISERROR(VLOOKUP($T$264,'TAR FIN'!$A$1:$O$113,15,0)),0,VLOOKUP($T$264,'TAR FIN'!$A$1:$O$113,15,0))</f>
        <v>940.43</v>
      </c>
      <c r="X264" s="6">
        <f>IF(ISERROR(VLOOKUP($U$264,'TAR FIN'!$A$1:$O$113,15,0)),0,VLOOKUP($U$264,'TAR FIN'!$A$1:$O$113,15,0))</f>
        <v>442.86</v>
      </c>
      <c r="Y264" s="6"/>
      <c r="Z264" s="6">
        <f ca="1">('TUSD BE'!$AM$20+'TUSD BF_350'!$AM$20+'TUSD CVA'!$AM$20)*1</f>
        <v>1117.8285588949407</v>
      </c>
      <c r="AA264" s="6">
        <f ca="1">('TE BE'!$AB$9+'TE BF_350'!$AB$9+'TE CVA'!$AB$9)*1</f>
        <v>379.30999999999995</v>
      </c>
      <c r="AB264" s="6">
        <f>$K$264*$V$264</f>
        <v>0</v>
      </c>
      <c r="AC264" s="6">
        <f>$M$264*$W$264</f>
        <v>2801.54097</v>
      </c>
      <c r="AD264" s="6">
        <f>$O$264*$X$264</f>
        <v>1319.2799400000001</v>
      </c>
      <c r="AE264" s="6">
        <f>$K$264*$Y$264</f>
        <v>0</v>
      </c>
      <c r="AF264" s="6">
        <f ca="1">$M$264*$Z$264</f>
        <v>3330.0112769480284</v>
      </c>
      <c r="AG264" s="6">
        <f ca="1">$O$264*$AA$264</f>
        <v>1129.9644899999998</v>
      </c>
    </row>
    <row r="265" spans="1:33" ht="11.25" customHeight="1" x14ac:dyDescent="0.3">
      <c r="A265" s="4" t="s">
        <v>21</v>
      </c>
      <c r="B265" s="4" t="s">
        <v>39</v>
      </c>
      <c r="C265" s="4" t="s">
        <v>41</v>
      </c>
      <c r="D265" s="4" t="s">
        <v>42</v>
      </c>
      <c r="E265" s="4" t="s">
        <v>25</v>
      </c>
      <c r="F265" s="4" t="s">
        <v>25</v>
      </c>
      <c r="G265" s="4" t="s">
        <v>25</v>
      </c>
      <c r="H265" s="4" t="s">
        <v>34</v>
      </c>
      <c r="I265" s="5">
        <v>44621</v>
      </c>
      <c r="J265" s="6">
        <v>0</v>
      </c>
      <c r="K265" s="6">
        <v>0</v>
      </c>
      <c r="L265" s="6">
        <v>104.45</v>
      </c>
      <c r="M265" s="6">
        <v>104.45</v>
      </c>
      <c r="N265" s="6">
        <v>104.45</v>
      </c>
      <c r="O265" s="6">
        <v>104.45</v>
      </c>
      <c r="P265" s="6">
        <v>0</v>
      </c>
      <c r="Q265" s="4" t="s">
        <v>26</v>
      </c>
      <c r="R265" s="4">
        <v>0</v>
      </c>
      <c r="S265" s="6">
        <v>0</v>
      </c>
      <c r="T265" s="6">
        <v>8</v>
      </c>
      <c r="U265" s="6">
        <v>38</v>
      </c>
      <c r="V265" s="6">
        <f>IF(ISERROR(VLOOKUP($S$265,'TAR FIN'!$A$1:$O$113,15,0)),0,VLOOKUP($S$265,'TAR FIN'!$A$1:$O$113,15,0))</f>
        <v>0</v>
      </c>
      <c r="W265" s="6">
        <f>IF(ISERROR(VLOOKUP($T$265,'TAR FIN'!$A$1:$O$113,15,0)),0,VLOOKUP($T$265,'TAR FIN'!$A$1:$O$113,15,0))</f>
        <v>940.43</v>
      </c>
      <c r="X265" s="6">
        <f>IF(ISERROR(VLOOKUP($U$265,'TAR FIN'!$A$1:$O$113,15,0)),0,VLOOKUP($U$265,'TAR FIN'!$A$1:$O$113,15,0))</f>
        <v>442.86</v>
      </c>
      <c r="Y265" s="6"/>
      <c r="Z265" s="6">
        <f ca="1">('TUSD BE'!$AM$20+'TUSD BF_350'!$AM$20+'TUSD CVA'!$AM$20)*1</f>
        <v>1117.8285588949407</v>
      </c>
      <c r="AA265" s="6">
        <f ca="1">('TE BE'!$AB$9+'TE BF_350'!$AB$9+'TE CVA'!$AB$9)*1</f>
        <v>379.30999999999995</v>
      </c>
      <c r="AB265" s="6">
        <f>$K$265*$V$265</f>
        <v>0</v>
      </c>
      <c r="AC265" s="6">
        <f>$M$265*$W$265</f>
        <v>98227.913499999995</v>
      </c>
      <c r="AD265" s="6">
        <f>$O$265*$X$265</f>
        <v>46256.727000000006</v>
      </c>
      <c r="AE265" s="6">
        <f>$K$265*$Y$265</f>
        <v>0</v>
      </c>
      <c r="AF265" s="6">
        <f ca="1">$M$265*$Z$265</f>
        <v>116757.19297657655</v>
      </c>
      <c r="AG265" s="6">
        <f ca="1">$O$265*$AA$265</f>
        <v>39618.929499999998</v>
      </c>
    </row>
    <row r="266" spans="1:33" ht="11.25" customHeight="1" x14ac:dyDescent="0.3">
      <c r="A266" s="4" t="s">
        <v>28</v>
      </c>
      <c r="B266" s="4" t="s">
        <v>39</v>
      </c>
      <c r="C266" s="4" t="s">
        <v>41</v>
      </c>
      <c r="D266" s="4" t="s">
        <v>42</v>
      </c>
      <c r="E266" s="4" t="s">
        <v>25</v>
      </c>
      <c r="F266" s="4" t="s">
        <v>25</v>
      </c>
      <c r="G266" s="4" t="s">
        <v>25</v>
      </c>
      <c r="H266" s="4" t="s">
        <v>34</v>
      </c>
      <c r="I266" s="5">
        <v>44621</v>
      </c>
      <c r="J266" s="6">
        <v>0</v>
      </c>
      <c r="K266" s="6">
        <v>0</v>
      </c>
      <c r="L266" s="6">
        <v>2.8170000000000002</v>
      </c>
      <c r="M266" s="6">
        <v>2.8170000000000002</v>
      </c>
      <c r="N266" s="6">
        <v>2.8170000000000002</v>
      </c>
      <c r="O266" s="6">
        <v>2.8170000000000002</v>
      </c>
      <c r="P266" s="6">
        <v>0</v>
      </c>
      <c r="Q266" s="4" t="s">
        <v>26</v>
      </c>
      <c r="R266" s="4">
        <v>0</v>
      </c>
      <c r="S266" s="6">
        <v>0</v>
      </c>
      <c r="T266" s="6">
        <v>8</v>
      </c>
      <c r="U266" s="6">
        <v>38</v>
      </c>
      <c r="V266" s="6">
        <f>IF(ISERROR(VLOOKUP($S$266,'TAR FIN'!$A$1:$O$113,15,0)),0,VLOOKUP($S$266,'TAR FIN'!$A$1:$O$113,15,0))</f>
        <v>0</v>
      </c>
      <c r="W266" s="6">
        <f>IF(ISERROR(VLOOKUP($T$266,'TAR FIN'!$A$1:$O$113,15,0)),0,VLOOKUP($T$266,'TAR FIN'!$A$1:$O$113,15,0))</f>
        <v>940.43</v>
      </c>
      <c r="X266" s="6">
        <f>IF(ISERROR(VLOOKUP($U$266,'TAR FIN'!$A$1:$O$113,15,0)),0,VLOOKUP($U$266,'TAR FIN'!$A$1:$O$113,15,0))</f>
        <v>442.86</v>
      </c>
      <c r="Y266" s="6"/>
      <c r="Z266" s="6">
        <f ca="1">('TUSD BE'!$AM$20+'TUSD BF_350'!$AM$20+'TUSD CVA'!$AM$20)*1</f>
        <v>1117.8285588949407</v>
      </c>
      <c r="AA266" s="6">
        <f ca="1">('TE BE'!$AB$9+'TE BF_350'!$AB$9+'TE CVA'!$AB$9)*1</f>
        <v>379.30999999999995</v>
      </c>
      <c r="AB266" s="6">
        <f>$K$266*$V$266</f>
        <v>0</v>
      </c>
      <c r="AC266" s="6">
        <f>$M$266*$W$266</f>
        <v>2649.1913100000002</v>
      </c>
      <c r="AD266" s="6">
        <f>$O$266*$X$266</f>
        <v>1247.5366200000001</v>
      </c>
      <c r="AE266" s="6">
        <f>$K$266*$Y$266</f>
        <v>0</v>
      </c>
      <c r="AF266" s="6">
        <f ca="1">$M$266*$Z$266</f>
        <v>3148.9230504070479</v>
      </c>
      <c r="AG266" s="6">
        <f ca="1">$O$266*$AA$266</f>
        <v>1068.5162699999998</v>
      </c>
    </row>
    <row r="267" spans="1:33" ht="11.25" customHeight="1" x14ac:dyDescent="0.3">
      <c r="A267" s="4" t="s">
        <v>21</v>
      </c>
      <c r="B267" s="4" t="s">
        <v>39</v>
      </c>
      <c r="C267" s="4" t="s">
        <v>41</v>
      </c>
      <c r="D267" s="4" t="s">
        <v>42</v>
      </c>
      <c r="E267" s="4" t="s">
        <v>25</v>
      </c>
      <c r="F267" s="4" t="s">
        <v>25</v>
      </c>
      <c r="G267" s="4" t="s">
        <v>25</v>
      </c>
      <c r="H267" s="4" t="s">
        <v>34</v>
      </c>
      <c r="I267" s="5">
        <v>44652</v>
      </c>
      <c r="J267" s="6">
        <v>0</v>
      </c>
      <c r="K267" s="6">
        <v>0</v>
      </c>
      <c r="L267" s="6">
        <v>95.438999999999993</v>
      </c>
      <c r="M267" s="6">
        <v>95.438999999999993</v>
      </c>
      <c r="N267" s="6">
        <v>95.438999999999993</v>
      </c>
      <c r="O267" s="6">
        <v>95.438999999999993</v>
      </c>
      <c r="P267" s="6">
        <v>0</v>
      </c>
      <c r="Q267" s="4" t="s">
        <v>26</v>
      </c>
      <c r="R267" s="4">
        <v>0</v>
      </c>
      <c r="S267" s="6">
        <v>0</v>
      </c>
      <c r="T267" s="6">
        <v>8</v>
      </c>
      <c r="U267" s="6">
        <v>38</v>
      </c>
      <c r="V267" s="6">
        <f>IF(ISERROR(VLOOKUP($S$267,'TAR FIN'!$A$1:$O$113,15,0)),0,VLOOKUP($S$267,'TAR FIN'!$A$1:$O$113,15,0))</f>
        <v>0</v>
      </c>
      <c r="W267" s="6">
        <f>IF(ISERROR(VLOOKUP($T$267,'TAR FIN'!$A$1:$O$113,15,0)),0,VLOOKUP($T$267,'TAR FIN'!$A$1:$O$113,15,0))</f>
        <v>940.43</v>
      </c>
      <c r="X267" s="6">
        <f>IF(ISERROR(VLOOKUP($U$267,'TAR FIN'!$A$1:$O$113,15,0)),0,VLOOKUP($U$267,'TAR FIN'!$A$1:$O$113,15,0))</f>
        <v>442.86</v>
      </c>
      <c r="Y267" s="6"/>
      <c r="Z267" s="6">
        <f ca="1">('TUSD BE'!$AM$20+'TUSD BF_350'!$AM$20+'TUSD CVA'!$AM$20)*1</f>
        <v>1117.8285588949407</v>
      </c>
      <c r="AA267" s="6">
        <f ca="1">('TE BE'!$AB$9+'TE BF_350'!$AB$9+'TE CVA'!$AB$9)*1</f>
        <v>379.30999999999995</v>
      </c>
      <c r="AB267" s="6">
        <f>$K$267*$V$267</f>
        <v>0</v>
      </c>
      <c r="AC267" s="6">
        <f>$M$267*$W$267</f>
        <v>89753.698769999988</v>
      </c>
      <c r="AD267" s="6">
        <f>$O$267*$X$267</f>
        <v>42266.115539999999</v>
      </c>
      <c r="AE267" s="6">
        <f>$K$267*$Y$267</f>
        <v>0</v>
      </c>
      <c r="AF267" s="6">
        <f ca="1">$M$267*$Z$267</f>
        <v>106684.43983237424</v>
      </c>
      <c r="AG267" s="6">
        <f ca="1">$O$267*$AA$267</f>
        <v>36200.967089999991</v>
      </c>
    </row>
    <row r="268" spans="1:33" ht="11.25" customHeight="1" x14ac:dyDescent="0.3">
      <c r="A268" s="4" t="s">
        <v>28</v>
      </c>
      <c r="B268" s="4" t="s">
        <v>39</v>
      </c>
      <c r="C268" s="4" t="s">
        <v>41</v>
      </c>
      <c r="D268" s="4" t="s">
        <v>42</v>
      </c>
      <c r="E268" s="4" t="s">
        <v>25</v>
      </c>
      <c r="F268" s="4" t="s">
        <v>25</v>
      </c>
      <c r="G268" s="4" t="s">
        <v>25</v>
      </c>
      <c r="H268" s="4" t="s">
        <v>34</v>
      </c>
      <c r="I268" s="5">
        <v>44652</v>
      </c>
      <c r="J268" s="6">
        <v>0</v>
      </c>
      <c r="K268" s="6">
        <v>0</v>
      </c>
      <c r="L268" s="6">
        <v>3.2559999999999998</v>
      </c>
      <c r="M268" s="6">
        <v>3.2559999999999998</v>
      </c>
      <c r="N268" s="6">
        <v>3.2559999999999998</v>
      </c>
      <c r="O268" s="6">
        <v>3.2559999999999998</v>
      </c>
      <c r="P268" s="6">
        <v>0</v>
      </c>
      <c r="Q268" s="4" t="s">
        <v>26</v>
      </c>
      <c r="R268" s="4">
        <v>0</v>
      </c>
      <c r="S268" s="6">
        <v>0</v>
      </c>
      <c r="T268" s="6">
        <v>8</v>
      </c>
      <c r="U268" s="6">
        <v>38</v>
      </c>
      <c r="V268" s="6">
        <f>IF(ISERROR(VLOOKUP($S$268,'TAR FIN'!$A$1:$O$113,15,0)),0,VLOOKUP($S$268,'TAR FIN'!$A$1:$O$113,15,0))</f>
        <v>0</v>
      </c>
      <c r="W268" s="6">
        <f>IF(ISERROR(VLOOKUP($T$268,'TAR FIN'!$A$1:$O$113,15,0)),0,VLOOKUP($T$268,'TAR FIN'!$A$1:$O$113,15,0))</f>
        <v>940.43</v>
      </c>
      <c r="X268" s="6">
        <f>IF(ISERROR(VLOOKUP($U$268,'TAR FIN'!$A$1:$O$113,15,0)),0,VLOOKUP($U$268,'TAR FIN'!$A$1:$O$113,15,0))</f>
        <v>442.86</v>
      </c>
      <c r="Y268" s="6"/>
      <c r="Z268" s="6">
        <f ca="1">('TUSD BE'!$AM$20+'TUSD BF_350'!$AM$20+'TUSD CVA'!$AM$20)*1</f>
        <v>1117.8285588949407</v>
      </c>
      <c r="AA268" s="6">
        <f ca="1">('TE BE'!$AB$9+'TE BF_350'!$AB$9+'TE CVA'!$AB$9)*1</f>
        <v>379.30999999999995</v>
      </c>
      <c r="AB268" s="6">
        <f>$K$268*$V$268</f>
        <v>0</v>
      </c>
      <c r="AC268" s="6">
        <f>$M$268*$W$268</f>
        <v>3062.0400799999998</v>
      </c>
      <c r="AD268" s="6">
        <f>$O$268*$X$268</f>
        <v>1441.95216</v>
      </c>
      <c r="AE268" s="6">
        <f>$K$268*$Y$268</f>
        <v>0</v>
      </c>
      <c r="AF268" s="6">
        <f ca="1">$M$268*$Z$268</f>
        <v>3639.6497877619267</v>
      </c>
      <c r="AG268" s="6">
        <f ca="1">$O$268*$AA$268</f>
        <v>1235.0333599999997</v>
      </c>
    </row>
    <row r="269" spans="1:33" ht="11.25" customHeight="1" x14ac:dyDescent="0.3">
      <c r="A269" s="4" t="s">
        <v>21</v>
      </c>
      <c r="B269" s="4" t="s">
        <v>39</v>
      </c>
      <c r="C269" s="4" t="s">
        <v>41</v>
      </c>
      <c r="D269" s="4" t="s">
        <v>42</v>
      </c>
      <c r="E269" s="4" t="s">
        <v>25</v>
      </c>
      <c r="F269" s="4" t="s">
        <v>25</v>
      </c>
      <c r="G269" s="4" t="s">
        <v>25</v>
      </c>
      <c r="H269" s="4" t="s">
        <v>34</v>
      </c>
      <c r="I269" s="5">
        <v>44682</v>
      </c>
      <c r="J269" s="6">
        <v>0</v>
      </c>
      <c r="K269" s="6">
        <v>0</v>
      </c>
      <c r="L269" s="6">
        <v>81.887</v>
      </c>
      <c r="M269" s="6">
        <v>81.887</v>
      </c>
      <c r="N269" s="6">
        <v>81.887</v>
      </c>
      <c r="O269" s="6">
        <v>81.887</v>
      </c>
      <c r="P269" s="6">
        <v>0</v>
      </c>
      <c r="Q269" s="4" t="s">
        <v>26</v>
      </c>
      <c r="R269" s="4">
        <v>0</v>
      </c>
      <c r="S269" s="6">
        <v>0</v>
      </c>
      <c r="T269" s="6">
        <v>8</v>
      </c>
      <c r="U269" s="6">
        <v>38</v>
      </c>
      <c r="V269" s="6">
        <f>IF(ISERROR(VLOOKUP($S$269,'TAR FIN'!$A$1:$O$113,15,0)),0,VLOOKUP($S$269,'TAR FIN'!$A$1:$O$113,15,0))</f>
        <v>0</v>
      </c>
      <c r="W269" s="6">
        <f>IF(ISERROR(VLOOKUP($T$269,'TAR FIN'!$A$1:$O$113,15,0)),0,VLOOKUP($T$269,'TAR FIN'!$A$1:$O$113,15,0))</f>
        <v>940.43</v>
      </c>
      <c r="X269" s="6">
        <f>IF(ISERROR(VLOOKUP($U$269,'TAR FIN'!$A$1:$O$113,15,0)),0,VLOOKUP($U$269,'TAR FIN'!$A$1:$O$113,15,0))</f>
        <v>442.86</v>
      </c>
      <c r="Y269" s="6"/>
      <c r="Z269" s="6">
        <f ca="1">('TUSD BE'!$AM$20+'TUSD BF_350'!$AM$20+'TUSD CVA'!$AM$20)*1</f>
        <v>1117.8285588949407</v>
      </c>
      <c r="AA269" s="6">
        <f ca="1">('TE BE'!$AB$9+'TE BF_350'!$AB$9+'TE CVA'!$AB$9)*1</f>
        <v>379.30999999999995</v>
      </c>
      <c r="AB269" s="6">
        <f>$K$269*$V$269</f>
        <v>0</v>
      </c>
      <c r="AC269" s="6">
        <f>$M$269*$W$269</f>
        <v>77008.991410000002</v>
      </c>
      <c r="AD269" s="6">
        <f>$O$269*$X$269</f>
        <v>36264.476820000003</v>
      </c>
      <c r="AE269" s="6">
        <f>$K$269*$Y$269</f>
        <v>0</v>
      </c>
      <c r="AF269" s="6">
        <f ca="1">$M$269*$Z$269</f>
        <v>91535.627202230011</v>
      </c>
      <c r="AG269" s="6">
        <f ca="1">$O$269*$AA$269</f>
        <v>31060.557969999994</v>
      </c>
    </row>
    <row r="270" spans="1:33" ht="11.25" customHeight="1" x14ac:dyDescent="0.3">
      <c r="A270" s="4" t="s">
        <v>28</v>
      </c>
      <c r="B270" s="4" t="s">
        <v>39</v>
      </c>
      <c r="C270" s="4" t="s">
        <v>41</v>
      </c>
      <c r="D270" s="4" t="s">
        <v>42</v>
      </c>
      <c r="E270" s="4" t="s">
        <v>25</v>
      </c>
      <c r="F270" s="4" t="s">
        <v>25</v>
      </c>
      <c r="G270" s="4" t="s">
        <v>25</v>
      </c>
      <c r="H270" s="4" t="s">
        <v>34</v>
      </c>
      <c r="I270" s="5">
        <v>44682</v>
      </c>
      <c r="J270" s="6">
        <v>0</v>
      </c>
      <c r="K270" s="6">
        <v>0</v>
      </c>
      <c r="L270" s="6">
        <v>2.8359999999999999</v>
      </c>
      <c r="M270" s="6">
        <v>2.8359999999999999</v>
      </c>
      <c r="N270" s="6">
        <v>2.8359999999999999</v>
      </c>
      <c r="O270" s="6">
        <v>2.8359999999999999</v>
      </c>
      <c r="P270" s="6">
        <v>0</v>
      </c>
      <c r="Q270" s="4" t="s">
        <v>26</v>
      </c>
      <c r="R270" s="4">
        <v>0</v>
      </c>
      <c r="S270" s="6">
        <v>0</v>
      </c>
      <c r="T270" s="6">
        <v>8</v>
      </c>
      <c r="U270" s="6">
        <v>38</v>
      </c>
      <c r="V270" s="6">
        <f>IF(ISERROR(VLOOKUP($S$270,'TAR FIN'!$A$1:$O$113,15,0)),0,VLOOKUP($S$270,'TAR FIN'!$A$1:$O$113,15,0))</f>
        <v>0</v>
      </c>
      <c r="W270" s="6">
        <f>IF(ISERROR(VLOOKUP($T$270,'TAR FIN'!$A$1:$O$113,15,0)),0,VLOOKUP($T$270,'TAR FIN'!$A$1:$O$113,15,0))</f>
        <v>940.43</v>
      </c>
      <c r="X270" s="6">
        <f>IF(ISERROR(VLOOKUP($U$270,'TAR FIN'!$A$1:$O$113,15,0)),0,VLOOKUP($U$270,'TAR FIN'!$A$1:$O$113,15,0))</f>
        <v>442.86</v>
      </c>
      <c r="Y270" s="6"/>
      <c r="Z270" s="6">
        <f ca="1">('TUSD BE'!$AM$20+'TUSD BF_350'!$AM$20+'TUSD CVA'!$AM$20)*1</f>
        <v>1117.8285588949407</v>
      </c>
      <c r="AA270" s="6">
        <f ca="1">('TE BE'!$AB$9+'TE BF_350'!$AB$9+'TE CVA'!$AB$9)*1</f>
        <v>379.30999999999995</v>
      </c>
      <c r="AB270" s="6">
        <f>$K$270*$V$270</f>
        <v>0</v>
      </c>
      <c r="AC270" s="6">
        <f>$M$270*$W$270</f>
        <v>2667.0594799999999</v>
      </c>
      <c r="AD270" s="6">
        <f>$O$270*$X$270</f>
        <v>1255.9509599999999</v>
      </c>
      <c r="AE270" s="6">
        <f>$K$270*$Y$270</f>
        <v>0</v>
      </c>
      <c r="AF270" s="6">
        <f ca="1">$M$270*$Z$270</f>
        <v>3170.1617930260518</v>
      </c>
      <c r="AG270" s="6">
        <f ca="1">$O$270*$AA$270</f>
        <v>1075.7231599999998</v>
      </c>
    </row>
    <row r="271" spans="1:33" ht="11.25" customHeight="1" x14ac:dyDescent="0.3">
      <c r="A271" s="4" t="s">
        <v>21</v>
      </c>
      <c r="B271" s="4" t="s">
        <v>39</v>
      </c>
      <c r="C271" s="4" t="s">
        <v>41</v>
      </c>
      <c r="D271" s="4" t="s">
        <v>42</v>
      </c>
      <c r="E271" s="4" t="s">
        <v>25</v>
      </c>
      <c r="F271" s="4" t="s">
        <v>25</v>
      </c>
      <c r="G271" s="4" t="s">
        <v>25</v>
      </c>
      <c r="H271" s="4" t="s">
        <v>34</v>
      </c>
      <c r="I271" s="5">
        <v>44713</v>
      </c>
      <c r="J271" s="6">
        <v>0</v>
      </c>
      <c r="K271" s="6">
        <v>0</v>
      </c>
      <c r="L271" s="6">
        <v>85.778999999999996</v>
      </c>
      <c r="M271" s="6">
        <v>85.778999999999996</v>
      </c>
      <c r="N271" s="6">
        <v>85.778999999999996</v>
      </c>
      <c r="O271" s="6">
        <v>85.778999999999996</v>
      </c>
      <c r="P271" s="6">
        <v>0</v>
      </c>
      <c r="Q271" s="4" t="s">
        <v>26</v>
      </c>
      <c r="R271" s="4">
        <v>0</v>
      </c>
      <c r="S271" s="6">
        <v>0</v>
      </c>
      <c r="T271" s="6">
        <v>8</v>
      </c>
      <c r="U271" s="6">
        <v>38</v>
      </c>
      <c r="V271" s="6">
        <f>IF(ISERROR(VLOOKUP($S$271,'TAR FIN'!$A$1:$O$113,15,0)),0,VLOOKUP($S$271,'TAR FIN'!$A$1:$O$113,15,0))</f>
        <v>0</v>
      </c>
      <c r="W271" s="6">
        <f>IF(ISERROR(VLOOKUP($T$271,'TAR FIN'!$A$1:$O$113,15,0)),0,VLOOKUP($T$271,'TAR FIN'!$A$1:$O$113,15,0))</f>
        <v>940.43</v>
      </c>
      <c r="X271" s="6">
        <f>IF(ISERROR(VLOOKUP($U$271,'TAR FIN'!$A$1:$O$113,15,0)),0,VLOOKUP($U$271,'TAR FIN'!$A$1:$O$113,15,0))</f>
        <v>442.86</v>
      </c>
      <c r="Y271" s="6"/>
      <c r="Z271" s="6">
        <f ca="1">('TUSD BE'!$AM$20+'TUSD BF_350'!$AM$20+'TUSD CVA'!$AM$20)*1</f>
        <v>1117.8285588949407</v>
      </c>
      <c r="AA271" s="6">
        <f ca="1">('TE BE'!$AB$9+'TE BF_350'!$AB$9+'TE CVA'!$AB$9)*1</f>
        <v>379.30999999999995</v>
      </c>
      <c r="AB271" s="6">
        <f>$K$271*$V$271</f>
        <v>0</v>
      </c>
      <c r="AC271" s="6">
        <f>$M$271*$W$271</f>
        <v>80669.144969999994</v>
      </c>
      <c r="AD271" s="6">
        <f>$O$271*$X$271</f>
        <v>37988.087939999998</v>
      </c>
      <c r="AE271" s="6">
        <f>$K$271*$Y$271</f>
        <v>0</v>
      </c>
      <c r="AF271" s="6">
        <f ca="1">$M$271*$Z$271</f>
        <v>95886.215953449107</v>
      </c>
      <c r="AG271" s="6">
        <f ca="1">$O$271*$AA$271</f>
        <v>32536.832489999993</v>
      </c>
    </row>
    <row r="272" spans="1:33" ht="11.25" customHeight="1" x14ac:dyDescent="0.3">
      <c r="A272" s="4" t="s">
        <v>28</v>
      </c>
      <c r="B272" s="4" t="s">
        <v>39</v>
      </c>
      <c r="C272" s="4" t="s">
        <v>41</v>
      </c>
      <c r="D272" s="4" t="s">
        <v>42</v>
      </c>
      <c r="E272" s="4" t="s">
        <v>25</v>
      </c>
      <c r="F272" s="4" t="s">
        <v>25</v>
      </c>
      <c r="G272" s="4" t="s">
        <v>25</v>
      </c>
      <c r="H272" s="4" t="s">
        <v>34</v>
      </c>
      <c r="I272" s="5">
        <v>44713</v>
      </c>
      <c r="J272" s="6">
        <v>0</v>
      </c>
      <c r="K272" s="6">
        <v>0</v>
      </c>
      <c r="L272" s="6">
        <v>2.7690000000000001</v>
      </c>
      <c r="M272" s="6">
        <v>2.7690000000000001</v>
      </c>
      <c r="N272" s="6">
        <v>2.7690000000000001</v>
      </c>
      <c r="O272" s="6">
        <v>2.7690000000000001</v>
      </c>
      <c r="P272" s="6">
        <v>0</v>
      </c>
      <c r="Q272" s="4" t="s">
        <v>26</v>
      </c>
      <c r="R272" s="4">
        <v>0</v>
      </c>
      <c r="S272" s="6">
        <v>0</v>
      </c>
      <c r="T272" s="6">
        <v>8</v>
      </c>
      <c r="U272" s="6">
        <v>38</v>
      </c>
      <c r="V272" s="6">
        <f>IF(ISERROR(VLOOKUP($S$272,'TAR FIN'!$A$1:$O$113,15,0)),0,VLOOKUP($S$272,'TAR FIN'!$A$1:$O$113,15,0))</f>
        <v>0</v>
      </c>
      <c r="W272" s="6">
        <f>IF(ISERROR(VLOOKUP($T$272,'TAR FIN'!$A$1:$O$113,15,0)),0,VLOOKUP($T$272,'TAR FIN'!$A$1:$O$113,15,0))</f>
        <v>940.43</v>
      </c>
      <c r="X272" s="6">
        <f>IF(ISERROR(VLOOKUP($U$272,'TAR FIN'!$A$1:$O$113,15,0)),0,VLOOKUP($U$272,'TAR FIN'!$A$1:$O$113,15,0))</f>
        <v>442.86</v>
      </c>
      <c r="Y272" s="6"/>
      <c r="Z272" s="6">
        <f ca="1">('TUSD BE'!$AM$20+'TUSD BF_350'!$AM$20+'TUSD CVA'!$AM$20)*1</f>
        <v>1117.8285588949407</v>
      </c>
      <c r="AA272" s="6">
        <f ca="1">('TE BE'!$AB$9+'TE BF_350'!$AB$9+'TE CVA'!$AB$9)*1</f>
        <v>379.30999999999995</v>
      </c>
      <c r="AB272" s="6">
        <f>$K$272*$V$272</f>
        <v>0</v>
      </c>
      <c r="AC272" s="6">
        <f>$M$272*$W$272</f>
        <v>2604.0506700000001</v>
      </c>
      <c r="AD272" s="6">
        <f>$O$272*$X$272</f>
        <v>1226.27934</v>
      </c>
      <c r="AE272" s="6">
        <f>$K$272*$Y$272</f>
        <v>0</v>
      </c>
      <c r="AF272" s="6">
        <f ca="1">$M$272*$Z$272</f>
        <v>3095.2672795800909</v>
      </c>
      <c r="AG272" s="6">
        <f ca="1">$O$272*$AA$272</f>
        <v>1050.3093899999999</v>
      </c>
    </row>
    <row r="273" spans="1:33" ht="11.25" customHeight="1" x14ac:dyDescent="0.3">
      <c r="A273" s="4" t="s">
        <v>21</v>
      </c>
      <c r="B273" s="4" t="s">
        <v>39</v>
      </c>
      <c r="C273" s="4" t="s">
        <v>41</v>
      </c>
      <c r="D273" s="4" t="s">
        <v>42</v>
      </c>
      <c r="E273" s="4" t="s">
        <v>25</v>
      </c>
      <c r="F273" s="4" t="s">
        <v>25</v>
      </c>
      <c r="G273" s="4" t="s">
        <v>25</v>
      </c>
      <c r="H273" s="4" t="s">
        <v>34</v>
      </c>
      <c r="I273" s="5">
        <v>44743</v>
      </c>
      <c r="J273" s="6">
        <v>0</v>
      </c>
      <c r="K273" s="6">
        <v>0</v>
      </c>
      <c r="L273" s="6">
        <v>81.951999999999998</v>
      </c>
      <c r="M273" s="6">
        <v>81.951999999999998</v>
      </c>
      <c r="N273" s="6">
        <v>81.951999999999998</v>
      </c>
      <c r="O273" s="6">
        <v>81.951999999999998</v>
      </c>
      <c r="P273" s="6">
        <v>0</v>
      </c>
      <c r="Q273" s="4" t="s">
        <v>26</v>
      </c>
      <c r="R273" s="4">
        <v>0</v>
      </c>
      <c r="S273" s="6">
        <v>0</v>
      </c>
      <c r="T273" s="6">
        <v>8</v>
      </c>
      <c r="U273" s="6">
        <v>38</v>
      </c>
      <c r="V273" s="6">
        <f>IF(ISERROR(VLOOKUP($S$273,'TAR FIN'!$A$1:$O$113,15,0)),0,VLOOKUP($S$273,'TAR FIN'!$A$1:$O$113,15,0))</f>
        <v>0</v>
      </c>
      <c r="W273" s="6">
        <f>IF(ISERROR(VLOOKUP($T$273,'TAR FIN'!$A$1:$O$113,15,0)),0,VLOOKUP($T$273,'TAR FIN'!$A$1:$O$113,15,0))</f>
        <v>940.43</v>
      </c>
      <c r="X273" s="6">
        <f>IF(ISERROR(VLOOKUP($U$273,'TAR FIN'!$A$1:$O$113,15,0)),0,VLOOKUP($U$273,'TAR FIN'!$A$1:$O$113,15,0))</f>
        <v>442.86</v>
      </c>
      <c r="Y273" s="6"/>
      <c r="Z273" s="6">
        <f ca="1">('TUSD BE'!$AM$20+'TUSD BF_350'!$AM$20+'TUSD CVA'!$AM$20)*1</f>
        <v>1117.8285588949407</v>
      </c>
      <c r="AA273" s="6">
        <f ca="1">('TE BE'!$AB$9+'TE BF_350'!$AB$9+'TE CVA'!$AB$9)*1</f>
        <v>379.30999999999995</v>
      </c>
      <c r="AB273" s="6">
        <f>$K$273*$V$273</f>
        <v>0</v>
      </c>
      <c r="AC273" s="6">
        <f>$M$273*$W$273</f>
        <v>77070.119359999997</v>
      </c>
      <c r="AD273" s="6">
        <f>$O$273*$X$273</f>
        <v>36293.262719999999</v>
      </c>
      <c r="AE273" s="6">
        <f>$K$273*$Y$273</f>
        <v>0</v>
      </c>
      <c r="AF273" s="6">
        <f ca="1">$M$273*$Z$273</f>
        <v>91608.28605855818</v>
      </c>
      <c r="AG273" s="6">
        <f ca="1">$O$273*$AA$273</f>
        <v>31085.213119999993</v>
      </c>
    </row>
    <row r="274" spans="1:33" ht="11.25" customHeight="1" x14ac:dyDescent="0.3">
      <c r="A274" s="4" t="s">
        <v>21</v>
      </c>
      <c r="B274" s="4" t="s">
        <v>39</v>
      </c>
      <c r="C274" s="4" t="s">
        <v>41</v>
      </c>
      <c r="D274" s="4" t="s">
        <v>42</v>
      </c>
      <c r="E274" s="4" t="s">
        <v>25</v>
      </c>
      <c r="F274" s="4" t="s">
        <v>25</v>
      </c>
      <c r="G274" s="4" t="s">
        <v>25</v>
      </c>
      <c r="H274" s="4" t="s">
        <v>34</v>
      </c>
      <c r="I274" s="5">
        <v>44774</v>
      </c>
      <c r="J274" s="6">
        <v>0</v>
      </c>
      <c r="K274" s="6">
        <v>0</v>
      </c>
      <c r="L274" s="6">
        <v>84.757999999999996</v>
      </c>
      <c r="M274" s="6">
        <v>84.757999999999996</v>
      </c>
      <c r="N274" s="6">
        <v>84.757999999999996</v>
      </c>
      <c r="O274" s="6">
        <v>84.757999999999996</v>
      </c>
      <c r="P274" s="6">
        <v>0</v>
      </c>
      <c r="Q274" s="4" t="s">
        <v>26</v>
      </c>
      <c r="R274" s="4">
        <v>0</v>
      </c>
      <c r="S274" s="6">
        <v>0</v>
      </c>
      <c r="T274" s="6">
        <v>8</v>
      </c>
      <c r="U274" s="6">
        <v>38</v>
      </c>
      <c r="V274" s="6">
        <f>IF(ISERROR(VLOOKUP($S$274,'TAR FIN'!$A$1:$O$113,15,0)),0,VLOOKUP($S$274,'TAR FIN'!$A$1:$O$113,15,0))</f>
        <v>0</v>
      </c>
      <c r="W274" s="6">
        <f>IF(ISERROR(VLOOKUP($T$274,'TAR FIN'!$A$1:$O$113,15,0)),0,VLOOKUP($T$274,'TAR FIN'!$A$1:$O$113,15,0))</f>
        <v>940.43</v>
      </c>
      <c r="X274" s="6">
        <f>IF(ISERROR(VLOOKUP($U$274,'TAR FIN'!$A$1:$O$113,15,0)),0,VLOOKUP($U$274,'TAR FIN'!$A$1:$O$113,15,0))</f>
        <v>442.86</v>
      </c>
      <c r="Y274" s="6"/>
      <c r="Z274" s="6">
        <f ca="1">('TUSD BE'!$AM$20+'TUSD BF_350'!$AM$20+'TUSD CVA'!$AM$20)*1</f>
        <v>1117.8285588949407</v>
      </c>
      <c r="AA274" s="6">
        <f ca="1">('TE BE'!$AB$9+'TE BF_350'!$AB$9+'TE CVA'!$AB$9)*1</f>
        <v>379.30999999999995</v>
      </c>
      <c r="AB274" s="6">
        <f>$K$274*$V$274</f>
        <v>0</v>
      </c>
      <c r="AC274" s="6">
        <f>$M$274*$W$274</f>
        <v>79708.965939999995</v>
      </c>
      <c r="AD274" s="6">
        <f>$O$274*$X$274</f>
        <v>37535.927879999996</v>
      </c>
      <c r="AE274" s="6">
        <f>$K$274*$Y$274</f>
        <v>0</v>
      </c>
      <c r="AF274" s="6">
        <f ca="1">$M$274*$Z$274</f>
        <v>94744.91299481738</v>
      </c>
      <c r="AG274" s="6">
        <f ca="1">$O$274*$AA$274</f>
        <v>32149.556979999994</v>
      </c>
    </row>
    <row r="275" spans="1:33" ht="11.25" customHeight="1" x14ac:dyDescent="0.3">
      <c r="A275" s="4" t="s">
        <v>28</v>
      </c>
      <c r="B275" s="4" t="s">
        <v>39</v>
      </c>
      <c r="C275" s="4" t="s">
        <v>41</v>
      </c>
      <c r="D275" s="4" t="s">
        <v>42</v>
      </c>
      <c r="E275" s="4" t="s">
        <v>25</v>
      </c>
      <c r="F275" s="4" t="s">
        <v>25</v>
      </c>
      <c r="G275" s="4" t="s">
        <v>25</v>
      </c>
      <c r="H275" s="4" t="s">
        <v>34</v>
      </c>
      <c r="I275" s="5">
        <v>44774</v>
      </c>
      <c r="J275" s="6">
        <v>0</v>
      </c>
      <c r="K275" s="6">
        <v>0</v>
      </c>
      <c r="L275" s="6">
        <v>2.94</v>
      </c>
      <c r="M275" s="6">
        <v>2.94</v>
      </c>
      <c r="N275" s="6">
        <v>2.94</v>
      </c>
      <c r="O275" s="6">
        <v>2.94</v>
      </c>
      <c r="P275" s="6">
        <v>0</v>
      </c>
      <c r="Q275" s="4" t="s">
        <v>26</v>
      </c>
      <c r="R275" s="4">
        <v>0</v>
      </c>
      <c r="S275" s="6">
        <v>0</v>
      </c>
      <c r="T275" s="6">
        <v>8</v>
      </c>
      <c r="U275" s="6">
        <v>38</v>
      </c>
      <c r="V275" s="6">
        <f>IF(ISERROR(VLOOKUP($S$275,'TAR FIN'!$A$1:$O$113,15,0)),0,VLOOKUP($S$275,'TAR FIN'!$A$1:$O$113,15,0))</f>
        <v>0</v>
      </c>
      <c r="W275" s="6">
        <f>IF(ISERROR(VLOOKUP($T$275,'TAR FIN'!$A$1:$O$113,15,0)),0,VLOOKUP($T$275,'TAR FIN'!$A$1:$O$113,15,0))</f>
        <v>940.43</v>
      </c>
      <c r="X275" s="6">
        <f>IF(ISERROR(VLOOKUP($U$275,'TAR FIN'!$A$1:$O$113,15,0)),0,VLOOKUP($U$275,'TAR FIN'!$A$1:$O$113,15,0))</f>
        <v>442.86</v>
      </c>
      <c r="Y275" s="6"/>
      <c r="Z275" s="6">
        <f ca="1">('TUSD BE'!$AM$20+'TUSD BF_350'!$AM$20+'TUSD CVA'!$AM$20)*1</f>
        <v>1117.8285588949407</v>
      </c>
      <c r="AA275" s="6">
        <f ca="1">('TE BE'!$AB$9+'TE BF_350'!$AB$9+'TE CVA'!$AB$9)*1</f>
        <v>379.30999999999995</v>
      </c>
      <c r="AB275" s="6">
        <f>$K$275*$V$275</f>
        <v>0</v>
      </c>
      <c r="AC275" s="6">
        <f>$M$275*$W$275</f>
        <v>2764.8642</v>
      </c>
      <c r="AD275" s="6">
        <f>$O$275*$X$275</f>
        <v>1302.0083999999999</v>
      </c>
      <c r="AE275" s="6">
        <f>$K$275*$Y$275</f>
        <v>0</v>
      </c>
      <c r="AF275" s="6">
        <f ca="1">$M$275*$Z$275</f>
        <v>3286.4159631511257</v>
      </c>
      <c r="AG275" s="6">
        <f ca="1">$O$275*$AA$275</f>
        <v>1115.1713999999997</v>
      </c>
    </row>
    <row r="276" spans="1:33" ht="11.25" customHeight="1" x14ac:dyDescent="0.3">
      <c r="A276" s="4" t="s">
        <v>21</v>
      </c>
      <c r="B276" s="4" t="s">
        <v>39</v>
      </c>
      <c r="C276" s="4" t="s">
        <v>41</v>
      </c>
      <c r="D276" s="4" t="s">
        <v>42</v>
      </c>
      <c r="E276" s="4" t="s">
        <v>25</v>
      </c>
      <c r="F276" s="4" t="s">
        <v>25</v>
      </c>
      <c r="G276" s="4" t="s">
        <v>25</v>
      </c>
      <c r="H276" s="4" t="s">
        <v>34</v>
      </c>
      <c r="I276" s="5">
        <v>44805</v>
      </c>
      <c r="J276" s="6">
        <v>0</v>
      </c>
      <c r="K276" s="6">
        <v>0</v>
      </c>
      <c r="L276" s="6">
        <v>83.126999999999995</v>
      </c>
      <c r="M276" s="6">
        <v>83.126999999999995</v>
      </c>
      <c r="N276" s="6">
        <v>83.126999999999995</v>
      </c>
      <c r="O276" s="6">
        <v>83.126999999999995</v>
      </c>
      <c r="P276" s="6">
        <v>0</v>
      </c>
      <c r="Q276" s="4" t="s">
        <v>26</v>
      </c>
      <c r="R276" s="4">
        <v>0</v>
      </c>
      <c r="S276" s="6">
        <v>0</v>
      </c>
      <c r="T276" s="6">
        <v>8</v>
      </c>
      <c r="U276" s="6">
        <v>38</v>
      </c>
      <c r="V276" s="6">
        <f>IF(ISERROR(VLOOKUP($S$276,'TAR FIN'!$A$1:$O$113,15,0)),0,VLOOKUP($S$276,'TAR FIN'!$A$1:$O$113,15,0))</f>
        <v>0</v>
      </c>
      <c r="W276" s="6">
        <f>IF(ISERROR(VLOOKUP($T$276,'TAR FIN'!$A$1:$O$113,15,0)),0,VLOOKUP($T$276,'TAR FIN'!$A$1:$O$113,15,0))</f>
        <v>940.43</v>
      </c>
      <c r="X276" s="6">
        <f>IF(ISERROR(VLOOKUP($U$276,'TAR FIN'!$A$1:$O$113,15,0)),0,VLOOKUP($U$276,'TAR FIN'!$A$1:$O$113,15,0))</f>
        <v>442.86</v>
      </c>
      <c r="Y276" s="6"/>
      <c r="Z276" s="6">
        <f ca="1">('TUSD BE'!$AM$20+'TUSD BF_350'!$AM$20+'TUSD CVA'!$AM$20)*1</f>
        <v>1117.8285588949407</v>
      </c>
      <c r="AA276" s="6">
        <f ca="1">('TE BE'!$AB$9+'TE BF_350'!$AB$9+'TE CVA'!$AB$9)*1</f>
        <v>379.30999999999995</v>
      </c>
      <c r="AB276" s="6">
        <f>$K$276*$V$276</f>
        <v>0</v>
      </c>
      <c r="AC276" s="6">
        <f>$M$276*$W$276</f>
        <v>78175.124609999984</v>
      </c>
      <c r="AD276" s="6">
        <f>$O$276*$X$276</f>
        <v>36813.623220000001</v>
      </c>
      <c r="AE276" s="6">
        <f>$K$276*$Y$276</f>
        <v>0</v>
      </c>
      <c r="AF276" s="6">
        <f ca="1">$M$276*$Z$276</f>
        <v>92921.734615259731</v>
      </c>
      <c r="AG276" s="6">
        <f ca="1">$O$276*$AA$276</f>
        <v>31530.902369999993</v>
      </c>
    </row>
    <row r="277" spans="1:33" ht="11.25" customHeight="1" x14ac:dyDescent="0.3">
      <c r="A277" s="4" t="s">
        <v>27</v>
      </c>
      <c r="B277" s="4" t="s">
        <v>39</v>
      </c>
      <c r="C277" s="4" t="s">
        <v>41</v>
      </c>
      <c r="D277" s="4" t="s">
        <v>42</v>
      </c>
      <c r="E277" s="4" t="s">
        <v>25</v>
      </c>
      <c r="F277" s="4" t="s">
        <v>25</v>
      </c>
      <c r="G277" s="4" t="s">
        <v>25</v>
      </c>
      <c r="H277" s="4" t="s">
        <v>34</v>
      </c>
      <c r="I277" s="5">
        <v>44805</v>
      </c>
      <c r="J277" s="6">
        <v>0</v>
      </c>
      <c r="K277" s="6">
        <v>0</v>
      </c>
      <c r="L277" s="6">
        <v>-0.36899999999999999</v>
      </c>
      <c r="M277" s="6">
        <v>-0.36899999999999999</v>
      </c>
      <c r="N277" s="6">
        <v>-0.36899999999999999</v>
      </c>
      <c r="O277" s="6">
        <v>-0.36899999999999999</v>
      </c>
      <c r="P277" s="6">
        <v>0</v>
      </c>
      <c r="Q277" s="4" t="s">
        <v>26</v>
      </c>
      <c r="R277" s="4">
        <v>0</v>
      </c>
      <c r="S277" s="6">
        <v>0</v>
      </c>
      <c r="T277" s="6">
        <v>8</v>
      </c>
      <c r="U277" s="6">
        <v>38</v>
      </c>
      <c r="V277" s="6">
        <f>IF(ISERROR(VLOOKUP($S$277,'TAR FIN'!$A$1:$O$113,15,0)),0,VLOOKUP($S$277,'TAR FIN'!$A$1:$O$113,15,0))</f>
        <v>0</v>
      </c>
      <c r="W277" s="6">
        <f>IF(ISERROR(VLOOKUP($T$277,'TAR FIN'!$A$1:$O$113,15,0)),0,VLOOKUP($T$277,'TAR FIN'!$A$1:$O$113,15,0))</f>
        <v>940.43</v>
      </c>
      <c r="X277" s="6">
        <f>IF(ISERROR(VLOOKUP($U$277,'TAR FIN'!$A$1:$O$113,15,0)),0,VLOOKUP($U$277,'TAR FIN'!$A$1:$O$113,15,0))</f>
        <v>442.86</v>
      </c>
      <c r="Y277" s="6"/>
      <c r="Z277" s="6">
        <f ca="1">('TUSD BE'!$AM$20+'TUSD BF_350'!$AM$20+'TUSD CVA'!$AM$20)*1</f>
        <v>1117.8285588949407</v>
      </c>
      <c r="AA277" s="6">
        <f ca="1">('TE BE'!$AB$9+'TE BF_350'!$AB$9+'TE CVA'!$AB$9)*1</f>
        <v>379.30999999999995</v>
      </c>
      <c r="AB277" s="6">
        <f>$K$277*$V$277</f>
        <v>0</v>
      </c>
      <c r="AC277" s="6">
        <f>$M$277*$W$277</f>
        <v>-347.01866999999999</v>
      </c>
      <c r="AD277" s="6">
        <f>$O$277*$X$277</f>
        <v>-163.41534000000001</v>
      </c>
      <c r="AE277" s="6">
        <f>$K$277*$Y$277</f>
        <v>0</v>
      </c>
      <c r="AF277" s="6">
        <f ca="1">$M$277*$Z$277</f>
        <v>-412.47873823223313</v>
      </c>
      <c r="AG277" s="6">
        <f ca="1">$O$277*$AA$277</f>
        <v>-139.96538999999999</v>
      </c>
    </row>
    <row r="278" spans="1:33" ht="11.25" customHeight="1" x14ac:dyDescent="0.3">
      <c r="A278" s="4" t="s">
        <v>28</v>
      </c>
      <c r="B278" s="4" t="s">
        <v>39</v>
      </c>
      <c r="C278" s="4" t="s">
        <v>41</v>
      </c>
      <c r="D278" s="4" t="s">
        <v>42</v>
      </c>
      <c r="E278" s="4" t="s">
        <v>25</v>
      </c>
      <c r="F278" s="4" t="s">
        <v>25</v>
      </c>
      <c r="G278" s="4" t="s">
        <v>25</v>
      </c>
      <c r="H278" s="4" t="s">
        <v>34</v>
      </c>
      <c r="I278" s="5">
        <v>44805</v>
      </c>
      <c r="J278" s="6">
        <v>0</v>
      </c>
      <c r="K278" s="6">
        <v>0</v>
      </c>
      <c r="L278" s="6">
        <v>3.1859999999999999</v>
      </c>
      <c r="M278" s="6">
        <v>3.1859999999999999</v>
      </c>
      <c r="N278" s="6">
        <v>3.1859999999999999</v>
      </c>
      <c r="O278" s="6">
        <v>3.1859999999999999</v>
      </c>
      <c r="P278" s="6">
        <v>0</v>
      </c>
      <c r="Q278" s="4" t="s">
        <v>26</v>
      </c>
      <c r="R278" s="4">
        <v>0</v>
      </c>
      <c r="S278" s="6">
        <v>0</v>
      </c>
      <c r="T278" s="6">
        <v>8</v>
      </c>
      <c r="U278" s="6">
        <v>38</v>
      </c>
      <c r="V278" s="6">
        <f>IF(ISERROR(VLOOKUP($S$278,'TAR FIN'!$A$1:$O$113,15,0)),0,VLOOKUP($S$278,'TAR FIN'!$A$1:$O$113,15,0))</f>
        <v>0</v>
      </c>
      <c r="W278" s="6">
        <f>IF(ISERROR(VLOOKUP($T$278,'TAR FIN'!$A$1:$O$113,15,0)),0,VLOOKUP($T$278,'TAR FIN'!$A$1:$O$113,15,0))</f>
        <v>940.43</v>
      </c>
      <c r="X278" s="6">
        <f>IF(ISERROR(VLOOKUP($U$278,'TAR FIN'!$A$1:$O$113,15,0)),0,VLOOKUP($U$278,'TAR FIN'!$A$1:$O$113,15,0))</f>
        <v>442.86</v>
      </c>
      <c r="Y278" s="6"/>
      <c r="Z278" s="6">
        <f ca="1">('TUSD BE'!$AM$20+'TUSD BF_350'!$AM$20+'TUSD CVA'!$AM$20)*1</f>
        <v>1117.8285588949407</v>
      </c>
      <c r="AA278" s="6">
        <f ca="1">('TE BE'!$AB$9+'TE BF_350'!$AB$9+'TE CVA'!$AB$9)*1</f>
        <v>379.30999999999995</v>
      </c>
      <c r="AB278" s="6">
        <f>$K$278*$V$278</f>
        <v>0</v>
      </c>
      <c r="AC278" s="6">
        <f>$M$278*$W$278</f>
        <v>2996.2099799999996</v>
      </c>
      <c r="AD278" s="6">
        <f>$O$278*$X$278</f>
        <v>1410.9519600000001</v>
      </c>
      <c r="AE278" s="6">
        <f>$K$278*$Y$278</f>
        <v>0</v>
      </c>
      <c r="AF278" s="6">
        <f ca="1">$M$278*$Z$278</f>
        <v>3561.4017886392808</v>
      </c>
      <c r="AG278" s="6">
        <f ca="1">$O$278*$AA$278</f>
        <v>1208.4816599999997</v>
      </c>
    </row>
    <row r="279" spans="1:33" ht="11.25" customHeight="1" x14ac:dyDescent="0.3">
      <c r="A279" s="4" t="s">
        <v>53</v>
      </c>
      <c r="B279" s="4" t="s">
        <v>39</v>
      </c>
      <c r="C279" s="4" t="s">
        <v>41</v>
      </c>
      <c r="D279" s="4" t="s">
        <v>42</v>
      </c>
      <c r="E279" s="4" t="s">
        <v>25</v>
      </c>
      <c r="F279" s="4" t="s">
        <v>25</v>
      </c>
      <c r="G279" s="4" t="s">
        <v>25</v>
      </c>
      <c r="H279" s="4" t="s">
        <v>34</v>
      </c>
      <c r="I279" s="5">
        <v>44835</v>
      </c>
      <c r="J279" s="6">
        <v>0</v>
      </c>
      <c r="K279" s="6">
        <v>0</v>
      </c>
      <c r="L279" s="6">
        <v>83.126999999999995</v>
      </c>
      <c r="M279" s="6">
        <v>83.126999999999995</v>
      </c>
      <c r="N279" s="6">
        <v>83.126999999999995</v>
      </c>
      <c r="O279" s="6">
        <v>83.126999999999995</v>
      </c>
      <c r="P279" s="6">
        <v>0</v>
      </c>
      <c r="Q279" s="4" t="s">
        <v>26</v>
      </c>
      <c r="R279" s="4">
        <v>0</v>
      </c>
      <c r="S279" s="6">
        <v>0</v>
      </c>
      <c r="T279" s="6">
        <v>8</v>
      </c>
      <c r="U279" s="6">
        <v>38</v>
      </c>
      <c r="V279" s="6">
        <f>IF(ISERROR(VLOOKUP($S$279,'TAR FIN'!$A$1:$O$113,15,0)),0,VLOOKUP($S$279,'TAR FIN'!$A$1:$O$113,15,0))</f>
        <v>0</v>
      </c>
      <c r="W279" s="6">
        <f>IF(ISERROR(VLOOKUP($T$279,'TAR FIN'!$A$1:$O$113,15,0)),0,VLOOKUP($T$279,'TAR FIN'!$A$1:$O$113,15,0))</f>
        <v>940.43</v>
      </c>
      <c r="X279" s="6">
        <f>IF(ISERROR(VLOOKUP($U$279,'TAR FIN'!$A$1:$O$113,15,0)),0,VLOOKUP($U$279,'TAR FIN'!$A$1:$O$113,15,0))</f>
        <v>442.86</v>
      </c>
      <c r="Y279" s="6"/>
      <c r="Z279" s="6">
        <f ca="1">('TUSD BE'!$AM$20+'TUSD BF_350'!$AM$20+'TUSD CVA'!$AM$20)*1</f>
        <v>1117.8285588949407</v>
      </c>
      <c r="AA279" s="6">
        <f ca="1">('TE BE'!$AB$9+'TE BF_350'!$AB$9+'TE CVA'!$AB$9)*1</f>
        <v>379.30999999999995</v>
      </c>
      <c r="AB279" s="6">
        <f>$K$279*$V$279</f>
        <v>0</v>
      </c>
      <c r="AC279" s="6">
        <f>$M$279*$W$279</f>
        <v>78175.124609999984</v>
      </c>
      <c r="AD279" s="6">
        <f>$O$279*$X$279</f>
        <v>36813.623220000001</v>
      </c>
      <c r="AE279" s="6">
        <f>$K$279*$Y$279</f>
        <v>0</v>
      </c>
      <c r="AF279" s="6">
        <f ca="1">$M$279*$Z$279</f>
        <v>92921.734615259731</v>
      </c>
      <c r="AG279" s="6">
        <f ca="1">$O$279*$AA$279</f>
        <v>31530.902369999993</v>
      </c>
    </row>
    <row r="280" spans="1:33" ht="11.25" customHeight="1" x14ac:dyDescent="0.3">
      <c r="A280" s="4" t="s">
        <v>53</v>
      </c>
      <c r="B280" s="4" t="s">
        <v>39</v>
      </c>
      <c r="C280" s="4" t="s">
        <v>41</v>
      </c>
      <c r="D280" s="4" t="s">
        <v>42</v>
      </c>
      <c r="E280" s="4" t="s">
        <v>25</v>
      </c>
      <c r="F280" s="4" t="s">
        <v>25</v>
      </c>
      <c r="G280" s="4" t="s">
        <v>25</v>
      </c>
      <c r="H280" s="4" t="s">
        <v>34</v>
      </c>
      <c r="I280" s="5">
        <v>44835</v>
      </c>
      <c r="J280" s="6">
        <v>0</v>
      </c>
      <c r="K280" s="6">
        <v>0</v>
      </c>
      <c r="L280" s="6">
        <v>-0.36899999999999999</v>
      </c>
      <c r="M280" s="6">
        <v>-0.36899999999999999</v>
      </c>
      <c r="N280" s="6">
        <v>-0.36899999999999999</v>
      </c>
      <c r="O280" s="6">
        <v>-0.36899999999999999</v>
      </c>
      <c r="P280" s="6">
        <v>0</v>
      </c>
      <c r="Q280" s="4" t="s">
        <v>26</v>
      </c>
      <c r="R280" s="4">
        <v>0</v>
      </c>
      <c r="S280" s="6">
        <v>0</v>
      </c>
      <c r="T280" s="6">
        <v>8</v>
      </c>
      <c r="U280" s="6">
        <v>38</v>
      </c>
      <c r="V280" s="6">
        <f>IF(ISERROR(VLOOKUP($S$280,'TAR FIN'!$A$1:$O$113,15,0)),0,VLOOKUP($S$280,'TAR FIN'!$A$1:$O$113,15,0))</f>
        <v>0</v>
      </c>
      <c r="W280" s="6">
        <f>IF(ISERROR(VLOOKUP($T$280,'TAR FIN'!$A$1:$O$113,15,0)),0,VLOOKUP($T$280,'TAR FIN'!$A$1:$O$113,15,0))</f>
        <v>940.43</v>
      </c>
      <c r="X280" s="6">
        <f>IF(ISERROR(VLOOKUP($U$280,'TAR FIN'!$A$1:$O$113,15,0)),0,VLOOKUP($U$280,'TAR FIN'!$A$1:$O$113,15,0))</f>
        <v>442.86</v>
      </c>
      <c r="Y280" s="6"/>
      <c r="Z280" s="6">
        <f ca="1">('TUSD BE'!$AM$20+'TUSD BF_350'!$AM$20+'TUSD CVA'!$AM$20)*1</f>
        <v>1117.8285588949407</v>
      </c>
      <c r="AA280" s="6">
        <f ca="1">('TE BE'!$AB$9+'TE BF_350'!$AB$9+'TE CVA'!$AB$9)*1</f>
        <v>379.30999999999995</v>
      </c>
      <c r="AB280" s="6">
        <f>$K$280*$V$280</f>
        <v>0</v>
      </c>
      <c r="AC280" s="6">
        <f>$M$280*$W$280</f>
        <v>-347.01866999999999</v>
      </c>
      <c r="AD280" s="6">
        <f>$O$280*$X$280</f>
        <v>-163.41534000000001</v>
      </c>
      <c r="AE280" s="6">
        <f>$K$280*$Y$280</f>
        <v>0</v>
      </c>
      <c r="AF280" s="6">
        <f ca="1">$M$280*$Z$280</f>
        <v>-412.47873823223313</v>
      </c>
      <c r="AG280" s="6">
        <f ca="1">$O$280*$AA$280</f>
        <v>-139.96538999999999</v>
      </c>
    </row>
    <row r="281" spans="1:33" ht="11.25" customHeight="1" x14ac:dyDescent="0.3">
      <c r="A281" s="4" t="s">
        <v>53</v>
      </c>
      <c r="B281" s="4" t="s">
        <v>39</v>
      </c>
      <c r="C281" s="4" t="s">
        <v>41</v>
      </c>
      <c r="D281" s="4" t="s">
        <v>42</v>
      </c>
      <c r="E281" s="4" t="s">
        <v>25</v>
      </c>
      <c r="F281" s="4" t="s">
        <v>25</v>
      </c>
      <c r="G281" s="4" t="s">
        <v>25</v>
      </c>
      <c r="H281" s="4" t="s">
        <v>34</v>
      </c>
      <c r="I281" s="5">
        <v>44835</v>
      </c>
      <c r="J281" s="6">
        <v>0</v>
      </c>
      <c r="K281" s="6">
        <v>0</v>
      </c>
      <c r="L281" s="6">
        <v>3.1859999999999999</v>
      </c>
      <c r="M281" s="6">
        <v>3.1859999999999999</v>
      </c>
      <c r="N281" s="6">
        <v>3.1859999999999999</v>
      </c>
      <c r="O281" s="6">
        <v>3.1859999999999999</v>
      </c>
      <c r="P281" s="6">
        <v>0</v>
      </c>
      <c r="Q281" s="4" t="s">
        <v>26</v>
      </c>
      <c r="R281" s="4">
        <v>0</v>
      </c>
      <c r="S281" s="6">
        <v>0</v>
      </c>
      <c r="T281" s="6">
        <v>8</v>
      </c>
      <c r="U281" s="6">
        <v>38</v>
      </c>
      <c r="V281" s="6">
        <f>IF(ISERROR(VLOOKUP($S$281,'TAR FIN'!$A$1:$O$113,15,0)),0,VLOOKUP($S$281,'TAR FIN'!$A$1:$O$113,15,0))</f>
        <v>0</v>
      </c>
      <c r="W281" s="6">
        <f>IF(ISERROR(VLOOKUP($T$281,'TAR FIN'!$A$1:$O$113,15,0)),0,VLOOKUP($T$281,'TAR FIN'!$A$1:$O$113,15,0))</f>
        <v>940.43</v>
      </c>
      <c r="X281" s="6">
        <f>IF(ISERROR(VLOOKUP($U$281,'TAR FIN'!$A$1:$O$113,15,0)),0,VLOOKUP($U$281,'TAR FIN'!$A$1:$O$113,15,0))</f>
        <v>442.86</v>
      </c>
      <c r="Y281" s="6"/>
      <c r="Z281" s="6">
        <f ca="1">('TUSD BE'!$AM$20+'TUSD BF_350'!$AM$20+'TUSD CVA'!$AM$20)*1</f>
        <v>1117.8285588949407</v>
      </c>
      <c r="AA281" s="6">
        <f ca="1">('TE BE'!$AB$9+'TE BF_350'!$AB$9+'TE CVA'!$AB$9)*1</f>
        <v>379.30999999999995</v>
      </c>
      <c r="AB281" s="6">
        <f>$K$281*$V$281</f>
        <v>0</v>
      </c>
      <c r="AC281" s="6">
        <f>$M$281*$W$281</f>
        <v>2996.2099799999996</v>
      </c>
      <c r="AD281" s="6">
        <f>$O$281*$X$281</f>
        <v>1410.9519600000001</v>
      </c>
      <c r="AE281" s="6">
        <f>$K$281*$Y$281</f>
        <v>0</v>
      </c>
      <c r="AF281" s="6">
        <f ca="1">$M$281*$Z$281</f>
        <v>3561.4017886392808</v>
      </c>
      <c r="AG281" s="6">
        <f ca="1">$O$281*$AA$281</f>
        <v>1208.4816599999997</v>
      </c>
    </row>
    <row r="282" spans="1:33" ht="11.25" customHeight="1" x14ac:dyDescent="0.3">
      <c r="A282" s="4" t="s">
        <v>21</v>
      </c>
      <c r="B282" s="4" t="s">
        <v>39</v>
      </c>
      <c r="C282" s="4" t="s">
        <v>41</v>
      </c>
      <c r="D282" s="4" t="s">
        <v>52</v>
      </c>
      <c r="E282" s="4" t="s">
        <v>25</v>
      </c>
      <c r="F282" s="4" t="s">
        <v>25</v>
      </c>
      <c r="G282" s="4" t="s">
        <v>25</v>
      </c>
      <c r="H282" s="4" t="s">
        <v>35</v>
      </c>
      <c r="I282" s="5">
        <v>44501</v>
      </c>
      <c r="J282" s="6">
        <v>0</v>
      </c>
      <c r="K282" s="6">
        <v>0</v>
      </c>
      <c r="L282" s="6">
        <v>44.383000000000003</v>
      </c>
      <c r="M282" s="6">
        <v>44.383000000000003</v>
      </c>
      <c r="N282" s="6">
        <v>44.383000000000003</v>
      </c>
      <c r="O282" s="6">
        <v>44.383000000000003</v>
      </c>
      <c r="P282" s="6">
        <v>0</v>
      </c>
      <c r="Q282" s="4" t="s">
        <v>26</v>
      </c>
      <c r="R282" s="4">
        <v>0</v>
      </c>
      <c r="S282" s="6">
        <v>0</v>
      </c>
      <c r="T282" s="6">
        <v>6</v>
      </c>
      <c r="U282" s="6">
        <v>61</v>
      </c>
      <c r="V282" s="6">
        <f>IF(ISERROR(VLOOKUP($S$282,'TAR FIN'!$A$1:$O$113,15,0)),0,VLOOKUP($S$282,'TAR FIN'!$A$1:$O$113,15,0))</f>
        <v>0</v>
      </c>
      <c r="W282" s="6">
        <f>IF(ISERROR(VLOOKUP($T$282,'TAR FIN'!$A$1:$O$113,15,0)),0,VLOOKUP($T$282,'TAR FIN'!$A$1:$O$113,15,0))</f>
        <v>72.150000000000006</v>
      </c>
      <c r="X282" s="6">
        <f>IF(ISERROR(VLOOKUP($U$282,'TAR FIN'!$A$1:$O$113,15,0)),0,VLOOKUP($U$282,'TAR FIN'!$A$1:$O$113,15,0))</f>
        <v>278.67</v>
      </c>
      <c r="Y282" s="6"/>
      <c r="Z282" s="6">
        <f ca="1">('TUSD BE'!$AM$21+'TUSD BF_350'!$AM$21+'TUSD CVA'!$AM$21)*1</f>
        <v>122.14055331663396</v>
      </c>
      <c r="AA282" s="6">
        <f ca="1">('TE BE'!$AB$10+'TE BF_350'!$AB$10+'TE CVA'!$AB$10)*1</f>
        <v>231.69</v>
      </c>
      <c r="AB282" s="6">
        <f>$K$282*$V$282</f>
        <v>0</v>
      </c>
      <c r="AC282" s="6">
        <f>$M$282*$W$282</f>
        <v>3202.2334500000006</v>
      </c>
      <c r="AD282" s="6">
        <f>$O$282*$X$282</f>
        <v>12368.210610000002</v>
      </c>
      <c r="AE282" s="6">
        <f>$K$282*$Y$282</f>
        <v>0</v>
      </c>
      <c r="AF282" s="6">
        <f ca="1">$M$282*$Z$282</f>
        <v>5420.9641778521654</v>
      </c>
      <c r="AG282" s="6">
        <f ca="1">$O$282*$AA$282</f>
        <v>10283.09727</v>
      </c>
    </row>
    <row r="283" spans="1:33" ht="11.25" customHeight="1" x14ac:dyDescent="0.3">
      <c r="A283" s="4" t="s">
        <v>21</v>
      </c>
      <c r="B283" s="4" t="s">
        <v>39</v>
      </c>
      <c r="C283" s="4" t="s">
        <v>41</v>
      </c>
      <c r="D283" s="4" t="s">
        <v>52</v>
      </c>
      <c r="E283" s="4" t="s">
        <v>25</v>
      </c>
      <c r="F283" s="4" t="s">
        <v>25</v>
      </c>
      <c r="G283" s="4" t="s">
        <v>25</v>
      </c>
      <c r="H283" s="4" t="s">
        <v>35</v>
      </c>
      <c r="I283" s="5">
        <v>44531</v>
      </c>
      <c r="J283" s="6">
        <v>0</v>
      </c>
      <c r="K283" s="6">
        <v>0</v>
      </c>
      <c r="L283" s="6">
        <v>41.969000000000001</v>
      </c>
      <c r="M283" s="6">
        <v>41.969000000000001</v>
      </c>
      <c r="N283" s="6">
        <v>41.969000000000001</v>
      </c>
      <c r="O283" s="6">
        <v>41.969000000000001</v>
      </c>
      <c r="P283" s="6">
        <v>0</v>
      </c>
      <c r="Q283" s="4" t="s">
        <v>26</v>
      </c>
      <c r="R283" s="4">
        <v>0</v>
      </c>
      <c r="S283" s="6">
        <v>0</v>
      </c>
      <c r="T283" s="6">
        <v>6</v>
      </c>
      <c r="U283" s="6">
        <v>61</v>
      </c>
      <c r="V283" s="6">
        <f>IF(ISERROR(VLOOKUP($S$283,'TAR FIN'!$A$1:$O$113,15,0)),0,VLOOKUP($S$283,'TAR FIN'!$A$1:$O$113,15,0))</f>
        <v>0</v>
      </c>
      <c r="W283" s="6">
        <f>IF(ISERROR(VLOOKUP($T$283,'TAR FIN'!$A$1:$O$113,15,0)),0,VLOOKUP($T$283,'TAR FIN'!$A$1:$O$113,15,0))</f>
        <v>72.150000000000006</v>
      </c>
      <c r="X283" s="6">
        <f>IF(ISERROR(VLOOKUP($U$283,'TAR FIN'!$A$1:$O$113,15,0)),0,VLOOKUP($U$283,'TAR FIN'!$A$1:$O$113,15,0))</f>
        <v>278.67</v>
      </c>
      <c r="Y283" s="6"/>
      <c r="Z283" s="6">
        <f ca="1">('TUSD BE'!$AM$21+'TUSD BF_350'!$AM$21+'TUSD CVA'!$AM$21)*1</f>
        <v>122.14055331663396</v>
      </c>
      <c r="AA283" s="6">
        <f ca="1">('TE BE'!$AB$10+'TE BF_350'!$AB$10+'TE CVA'!$AB$10)*1</f>
        <v>231.69</v>
      </c>
      <c r="AB283" s="6">
        <f>$K$283*$V$283</f>
        <v>0</v>
      </c>
      <c r="AC283" s="6">
        <f>$M$283*$W$283</f>
        <v>3028.0633500000004</v>
      </c>
      <c r="AD283" s="6">
        <f>$O$283*$X$283</f>
        <v>11695.501230000002</v>
      </c>
      <c r="AE283" s="6">
        <f>$K$283*$Y$283</f>
        <v>0</v>
      </c>
      <c r="AF283" s="6">
        <f ca="1">$M$283*$Z$283</f>
        <v>5126.1168821458105</v>
      </c>
      <c r="AG283" s="6">
        <f ca="1">$O$283*$AA$283</f>
        <v>9723.7976099999996</v>
      </c>
    </row>
    <row r="284" spans="1:33" ht="11.25" customHeight="1" x14ac:dyDescent="0.3">
      <c r="A284" s="4" t="s">
        <v>21</v>
      </c>
      <c r="B284" s="4" t="s">
        <v>39</v>
      </c>
      <c r="C284" s="4" t="s">
        <v>41</v>
      </c>
      <c r="D284" s="4" t="s">
        <v>52</v>
      </c>
      <c r="E284" s="4" t="s">
        <v>25</v>
      </c>
      <c r="F284" s="4" t="s">
        <v>25</v>
      </c>
      <c r="G284" s="4" t="s">
        <v>25</v>
      </c>
      <c r="H284" s="4" t="s">
        <v>35</v>
      </c>
      <c r="I284" s="5">
        <v>44562</v>
      </c>
      <c r="J284" s="6">
        <v>0</v>
      </c>
      <c r="K284" s="6">
        <v>0</v>
      </c>
      <c r="L284" s="6">
        <v>46.014000000000003</v>
      </c>
      <c r="M284" s="6">
        <v>46.014000000000003</v>
      </c>
      <c r="N284" s="6">
        <v>46.014000000000003</v>
      </c>
      <c r="O284" s="6">
        <v>46.014000000000003</v>
      </c>
      <c r="P284" s="6">
        <v>0</v>
      </c>
      <c r="Q284" s="4" t="s">
        <v>26</v>
      </c>
      <c r="R284" s="4">
        <v>0</v>
      </c>
      <c r="S284" s="6">
        <v>0</v>
      </c>
      <c r="T284" s="6">
        <v>6</v>
      </c>
      <c r="U284" s="6">
        <v>61</v>
      </c>
      <c r="V284" s="6">
        <f>IF(ISERROR(VLOOKUP($S$284,'TAR FIN'!$A$1:$O$113,15,0)),0,VLOOKUP($S$284,'TAR FIN'!$A$1:$O$113,15,0))</f>
        <v>0</v>
      </c>
      <c r="W284" s="6">
        <f>IF(ISERROR(VLOOKUP($T$284,'TAR FIN'!$A$1:$O$113,15,0)),0,VLOOKUP($T$284,'TAR FIN'!$A$1:$O$113,15,0))</f>
        <v>72.150000000000006</v>
      </c>
      <c r="X284" s="6">
        <f>IF(ISERROR(VLOOKUP($U$284,'TAR FIN'!$A$1:$O$113,15,0)),0,VLOOKUP($U$284,'TAR FIN'!$A$1:$O$113,15,0))</f>
        <v>278.67</v>
      </c>
      <c r="Y284" s="6"/>
      <c r="Z284" s="6">
        <f ca="1">('TUSD BE'!$AM$21+'TUSD BF_350'!$AM$21+'TUSD CVA'!$AM$21)*1</f>
        <v>122.14055331663396</v>
      </c>
      <c r="AA284" s="6">
        <f ca="1">('TE BE'!$AB$10+'TE BF_350'!$AB$10+'TE CVA'!$AB$10)*1</f>
        <v>231.69</v>
      </c>
      <c r="AB284" s="6">
        <f>$K$284*$V$284</f>
        <v>0</v>
      </c>
      <c r="AC284" s="6">
        <f>$M$284*$W$284</f>
        <v>3319.9101000000005</v>
      </c>
      <c r="AD284" s="6">
        <f>$O$284*$X$284</f>
        <v>12822.721380000001</v>
      </c>
      <c r="AE284" s="6">
        <f>$K$284*$Y$284</f>
        <v>0</v>
      </c>
      <c r="AF284" s="6">
        <f ca="1">$M$284*$Z$284</f>
        <v>5620.1754203115952</v>
      </c>
      <c r="AG284" s="6">
        <f ca="1">$O$284*$AA$284</f>
        <v>10660.98366</v>
      </c>
    </row>
    <row r="285" spans="1:33" ht="11.25" customHeight="1" x14ac:dyDescent="0.3">
      <c r="A285" s="4" t="s">
        <v>21</v>
      </c>
      <c r="B285" s="4" t="s">
        <v>39</v>
      </c>
      <c r="C285" s="4" t="s">
        <v>41</v>
      </c>
      <c r="D285" s="4" t="s">
        <v>52</v>
      </c>
      <c r="E285" s="4" t="s">
        <v>25</v>
      </c>
      <c r="F285" s="4" t="s">
        <v>25</v>
      </c>
      <c r="G285" s="4" t="s">
        <v>25</v>
      </c>
      <c r="H285" s="4" t="s">
        <v>35</v>
      </c>
      <c r="I285" s="5">
        <v>44593</v>
      </c>
      <c r="J285" s="6">
        <v>0</v>
      </c>
      <c r="K285" s="6">
        <v>0</v>
      </c>
      <c r="L285" s="6">
        <v>46.798999999999999</v>
      </c>
      <c r="M285" s="6">
        <v>46.798999999999999</v>
      </c>
      <c r="N285" s="6">
        <v>46.798999999999999</v>
      </c>
      <c r="O285" s="6">
        <v>46.798999999999999</v>
      </c>
      <c r="P285" s="6">
        <v>0</v>
      </c>
      <c r="Q285" s="4" t="s">
        <v>26</v>
      </c>
      <c r="R285" s="4">
        <v>0</v>
      </c>
      <c r="S285" s="6">
        <v>0</v>
      </c>
      <c r="T285" s="6">
        <v>6</v>
      </c>
      <c r="U285" s="6">
        <v>61</v>
      </c>
      <c r="V285" s="6">
        <f>IF(ISERROR(VLOOKUP($S$285,'TAR FIN'!$A$1:$O$113,15,0)),0,VLOOKUP($S$285,'TAR FIN'!$A$1:$O$113,15,0))</f>
        <v>0</v>
      </c>
      <c r="W285" s="6">
        <f>IF(ISERROR(VLOOKUP($T$285,'TAR FIN'!$A$1:$O$113,15,0)),0,VLOOKUP($T$285,'TAR FIN'!$A$1:$O$113,15,0))</f>
        <v>72.150000000000006</v>
      </c>
      <c r="X285" s="6">
        <f>IF(ISERROR(VLOOKUP($U$285,'TAR FIN'!$A$1:$O$113,15,0)),0,VLOOKUP($U$285,'TAR FIN'!$A$1:$O$113,15,0))</f>
        <v>278.67</v>
      </c>
      <c r="Y285" s="6"/>
      <c r="Z285" s="6">
        <f ca="1">('TUSD BE'!$AM$21+'TUSD BF_350'!$AM$21+'TUSD CVA'!$AM$21)*1</f>
        <v>122.14055331663396</v>
      </c>
      <c r="AA285" s="6">
        <f ca="1">('TE BE'!$AB$10+'TE BF_350'!$AB$10+'TE CVA'!$AB$10)*1</f>
        <v>231.69</v>
      </c>
      <c r="AB285" s="6">
        <f>$K$285*$V$285</f>
        <v>0</v>
      </c>
      <c r="AC285" s="6">
        <f>$M$285*$W$285</f>
        <v>3376.5478500000004</v>
      </c>
      <c r="AD285" s="6">
        <f>$O$285*$X$285</f>
        <v>13041.47733</v>
      </c>
      <c r="AE285" s="6">
        <f>$K$285*$Y$285</f>
        <v>0</v>
      </c>
      <c r="AF285" s="6">
        <f ca="1">$M$285*$Z$285</f>
        <v>5716.0557546651526</v>
      </c>
      <c r="AG285" s="6">
        <f ca="1">$O$285*$AA$285</f>
        <v>10842.86031</v>
      </c>
    </row>
    <row r="286" spans="1:33" ht="11.25" customHeight="1" x14ac:dyDescent="0.3">
      <c r="A286" s="4" t="s">
        <v>21</v>
      </c>
      <c r="B286" s="4" t="s">
        <v>39</v>
      </c>
      <c r="C286" s="4" t="s">
        <v>41</v>
      </c>
      <c r="D286" s="4" t="s">
        <v>52</v>
      </c>
      <c r="E286" s="4" t="s">
        <v>25</v>
      </c>
      <c r="F286" s="4" t="s">
        <v>25</v>
      </c>
      <c r="G286" s="4" t="s">
        <v>25</v>
      </c>
      <c r="H286" s="4" t="s">
        <v>35</v>
      </c>
      <c r="I286" s="5">
        <v>44621</v>
      </c>
      <c r="J286" s="6">
        <v>0</v>
      </c>
      <c r="K286" s="6">
        <v>0</v>
      </c>
      <c r="L286" s="6">
        <v>41.585000000000001</v>
      </c>
      <c r="M286" s="6">
        <v>41.585000000000001</v>
      </c>
      <c r="N286" s="6">
        <v>41.585000000000001</v>
      </c>
      <c r="O286" s="6">
        <v>41.585000000000001</v>
      </c>
      <c r="P286" s="6">
        <v>0</v>
      </c>
      <c r="Q286" s="4" t="s">
        <v>26</v>
      </c>
      <c r="R286" s="4">
        <v>0</v>
      </c>
      <c r="S286" s="6">
        <v>0</v>
      </c>
      <c r="T286" s="6">
        <v>6</v>
      </c>
      <c r="U286" s="6">
        <v>61</v>
      </c>
      <c r="V286" s="6">
        <f>IF(ISERROR(VLOOKUP($S$286,'TAR FIN'!$A$1:$O$113,15,0)),0,VLOOKUP($S$286,'TAR FIN'!$A$1:$O$113,15,0))</f>
        <v>0</v>
      </c>
      <c r="W286" s="6">
        <f>IF(ISERROR(VLOOKUP($T$286,'TAR FIN'!$A$1:$O$113,15,0)),0,VLOOKUP($T$286,'TAR FIN'!$A$1:$O$113,15,0))</f>
        <v>72.150000000000006</v>
      </c>
      <c r="X286" s="6">
        <f>IF(ISERROR(VLOOKUP($U$286,'TAR FIN'!$A$1:$O$113,15,0)),0,VLOOKUP($U$286,'TAR FIN'!$A$1:$O$113,15,0))</f>
        <v>278.67</v>
      </c>
      <c r="Y286" s="6"/>
      <c r="Z286" s="6">
        <f ca="1">('TUSD BE'!$AM$21+'TUSD BF_350'!$AM$21+'TUSD CVA'!$AM$21)*1</f>
        <v>122.14055331663396</v>
      </c>
      <c r="AA286" s="6">
        <f ca="1">('TE BE'!$AB$10+'TE BF_350'!$AB$10+'TE CVA'!$AB$10)*1</f>
        <v>231.69</v>
      </c>
      <c r="AB286" s="6">
        <f>$K$286*$V$286</f>
        <v>0</v>
      </c>
      <c r="AC286" s="6">
        <f>$M$286*$W$286</f>
        <v>3000.3577500000001</v>
      </c>
      <c r="AD286" s="6">
        <f>$O$286*$X$286</f>
        <v>11588.491950000001</v>
      </c>
      <c r="AE286" s="6">
        <f>$K$286*$Y$286</f>
        <v>0</v>
      </c>
      <c r="AF286" s="6">
        <f ca="1">$M$286*$Z$286</f>
        <v>5079.2149096722233</v>
      </c>
      <c r="AG286" s="6">
        <f ca="1">$O$286*$AA$286</f>
        <v>9634.8286499999995</v>
      </c>
    </row>
    <row r="287" spans="1:33" ht="11.25" customHeight="1" x14ac:dyDescent="0.3">
      <c r="A287" s="4" t="s">
        <v>21</v>
      </c>
      <c r="B287" s="4" t="s">
        <v>39</v>
      </c>
      <c r="C287" s="4" t="s">
        <v>41</v>
      </c>
      <c r="D287" s="4" t="s">
        <v>52</v>
      </c>
      <c r="E287" s="4" t="s">
        <v>25</v>
      </c>
      <c r="F287" s="4" t="s">
        <v>25</v>
      </c>
      <c r="G287" s="4" t="s">
        <v>25</v>
      </c>
      <c r="H287" s="4" t="s">
        <v>35</v>
      </c>
      <c r="I287" s="5">
        <v>44652</v>
      </c>
      <c r="J287" s="6">
        <v>0</v>
      </c>
      <c r="K287" s="6">
        <v>0</v>
      </c>
      <c r="L287" s="6">
        <v>47.45</v>
      </c>
      <c r="M287" s="6">
        <v>47.45</v>
      </c>
      <c r="N287" s="6">
        <v>47.45</v>
      </c>
      <c r="O287" s="6">
        <v>47.45</v>
      </c>
      <c r="P287" s="6">
        <v>0</v>
      </c>
      <c r="Q287" s="4" t="s">
        <v>26</v>
      </c>
      <c r="R287" s="4">
        <v>0</v>
      </c>
      <c r="S287" s="6">
        <v>0</v>
      </c>
      <c r="T287" s="6">
        <v>6</v>
      </c>
      <c r="U287" s="6">
        <v>61</v>
      </c>
      <c r="V287" s="6">
        <f>IF(ISERROR(VLOOKUP($S$287,'TAR FIN'!$A$1:$O$113,15,0)),0,VLOOKUP($S$287,'TAR FIN'!$A$1:$O$113,15,0))</f>
        <v>0</v>
      </c>
      <c r="W287" s="6">
        <f>IF(ISERROR(VLOOKUP($T$287,'TAR FIN'!$A$1:$O$113,15,0)),0,VLOOKUP($T$287,'TAR FIN'!$A$1:$O$113,15,0))</f>
        <v>72.150000000000006</v>
      </c>
      <c r="X287" s="6">
        <f>IF(ISERROR(VLOOKUP($U$287,'TAR FIN'!$A$1:$O$113,15,0)),0,VLOOKUP($U$287,'TAR FIN'!$A$1:$O$113,15,0))</f>
        <v>278.67</v>
      </c>
      <c r="Y287" s="6"/>
      <c r="Z287" s="6">
        <f ca="1">('TUSD BE'!$AM$21+'TUSD BF_350'!$AM$21+'TUSD CVA'!$AM$21)*1</f>
        <v>122.14055331663396</v>
      </c>
      <c r="AA287" s="6">
        <f ca="1">('TE BE'!$AB$10+'TE BF_350'!$AB$10+'TE CVA'!$AB$10)*1</f>
        <v>231.69</v>
      </c>
      <c r="AB287" s="6">
        <f>$K$287*$V$287</f>
        <v>0</v>
      </c>
      <c r="AC287" s="6">
        <f>$M$287*$W$287</f>
        <v>3423.5175000000004</v>
      </c>
      <c r="AD287" s="6">
        <f>$O$287*$X$287</f>
        <v>13222.891500000002</v>
      </c>
      <c r="AE287" s="6">
        <f>$K$287*$Y$287</f>
        <v>0</v>
      </c>
      <c r="AF287" s="6">
        <f ca="1">$M$287*$Z$287</f>
        <v>5795.5692548742818</v>
      </c>
      <c r="AG287" s="6">
        <f ca="1">$O$287*$AA$287</f>
        <v>10993.690500000001</v>
      </c>
    </row>
    <row r="288" spans="1:33" ht="11.25" customHeight="1" x14ac:dyDescent="0.3">
      <c r="A288" s="4" t="s">
        <v>21</v>
      </c>
      <c r="B288" s="4" t="s">
        <v>39</v>
      </c>
      <c r="C288" s="4" t="s">
        <v>41</v>
      </c>
      <c r="D288" s="4" t="s">
        <v>52</v>
      </c>
      <c r="E288" s="4" t="s">
        <v>25</v>
      </c>
      <c r="F288" s="4" t="s">
        <v>25</v>
      </c>
      <c r="G288" s="4" t="s">
        <v>25</v>
      </c>
      <c r="H288" s="4" t="s">
        <v>35</v>
      </c>
      <c r="I288" s="5">
        <v>44682</v>
      </c>
      <c r="J288" s="6">
        <v>0</v>
      </c>
      <c r="K288" s="6">
        <v>0</v>
      </c>
      <c r="L288" s="6">
        <v>46.521000000000001</v>
      </c>
      <c r="M288" s="6">
        <v>46.521000000000001</v>
      </c>
      <c r="N288" s="6">
        <v>46.521000000000001</v>
      </c>
      <c r="O288" s="6">
        <v>46.521000000000001</v>
      </c>
      <c r="P288" s="6">
        <v>0</v>
      </c>
      <c r="Q288" s="4" t="s">
        <v>26</v>
      </c>
      <c r="R288" s="4">
        <v>0</v>
      </c>
      <c r="S288" s="6">
        <v>0</v>
      </c>
      <c r="T288" s="6">
        <v>6</v>
      </c>
      <c r="U288" s="6">
        <v>61</v>
      </c>
      <c r="V288" s="6">
        <f>IF(ISERROR(VLOOKUP($S$288,'TAR FIN'!$A$1:$O$113,15,0)),0,VLOOKUP($S$288,'TAR FIN'!$A$1:$O$113,15,0))</f>
        <v>0</v>
      </c>
      <c r="W288" s="6">
        <f>IF(ISERROR(VLOOKUP($T$288,'TAR FIN'!$A$1:$O$113,15,0)),0,VLOOKUP($T$288,'TAR FIN'!$A$1:$O$113,15,0))</f>
        <v>72.150000000000006</v>
      </c>
      <c r="X288" s="6">
        <f>IF(ISERROR(VLOOKUP($U$288,'TAR FIN'!$A$1:$O$113,15,0)),0,VLOOKUP($U$288,'TAR FIN'!$A$1:$O$113,15,0))</f>
        <v>278.67</v>
      </c>
      <c r="Y288" s="6"/>
      <c r="Z288" s="6">
        <f ca="1">('TUSD BE'!$AM$21+'TUSD BF_350'!$AM$21+'TUSD CVA'!$AM$21)*1</f>
        <v>122.14055331663396</v>
      </c>
      <c r="AA288" s="6">
        <f ca="1">('TE BE'!$AB$10+'TE BF_350'!$AB$10+'TE CVA'!$AB$10)*1</f>
        <v>231.69</v>
      </c>
      <c r="AB288" s="6">
        <f>$K$288*$V$288</f>
        <v>0</v>
      </c>
      <c r="AC288" s="6">
        <f>$M$288*$W$288</f>
        <v>3356.4901500000005</v>
      </c>
      <c r="AD288" s="6">
        <f>$O$288*$X$288</f>
        <v>12964.007070000001</v>
      </c>
      <c r="AE288" s="6">
        <f>$K$288*$Y$288</f>
        <v>0</v>
      </c>
      <c r="AF288" s="6">
        <f ca="1">$M$288*$Z$288</f>
        <v>5682.1006808431284</v>
      </c>
      <c r="AG288" s="6">
        <f ca="1">$O$288*$AA$288</f>
        <v>10778.450489999999</v>
      </c>
    </row>
    <row r="289" spans="1:33" ht="11.25" customHeight="1" x14ac:dyDescent="0.3">
      <c r="A289" s="4" t="s">
        <v>21</v>
      </c>
      <c r="B289" s="4" t="s">
        <v>39</v>
      </c>
      <c r="C289" s="4" t="s">
        <v>41</v>
      </c>
      <c r="D289" s="4" t="s">
        <v>52</v>
      </c>
      <c r="E289" s="4" t="s">
        <v>25</v>
      </c>
      <c r="F289" s="4" t="s">
        <v>25</v>
      </c>
      <c r="G289" s="4" t="s">
        <v>25</v>
      </c>
      <c r="H289" s="4" t="s">
        <v>35</v>
      </c>
      <c r="I289" s="5">
        <v>44713</v>
      </c>
      <c r="J289" s="6">
        <v>0</v>
      </c>
      <c r="K289" s="6">
        <v>0</v>
      </c>
      <c r="L289" s="6">
        <v>45.906999999999996</v>
      </c>
      <c r="M289" s="6">
        <v>45.906999999999996</v>
      </c>
      <c r="N289" s="6">
        <v>45.906999999999996</v>
      </c>
      <c r="O289" s="6">
        <v>45.906999999999996</v>
      </c>
      <c r="P289" s="6">
        <v>0</v>
      </c>
      <c r="Q289" s="4" t="s">
        <v>26</v>
      </c>
      <c r="R289" s="4">
        <v>0</v>
      </c>
      <c r="S289" s="6">
        <v>0</v>
      </c>
      <c r="T289" s="6">
        <v>6</v>
      </c>
      <c r="U289" s="6">
        <v>61</v>
      </c>
      <c r="V289" s="6">
        <f>IF(ISERROR(VLOOKUP($S$289,'TAR FIN'!$A$1:$O$113,15,0)),0,VLOOKUP($S$289,'TAR FIN'!$A$1:$O$113,15,0))</f>
        <v>0</v>
      </c>
      <c r="W289" s="6">
        <f>IF(ISERROR(VLOOKUP($T$289,'TAR FIN'!$A$1:$O$113,15,0)),0,VLOOKUP($T$289,'TAR FIN'!$A$1:$O$113,15,0))</f>
        <v>72.150000000000006</v>
      </c>
      <c r="X289" s="6">
        <f>IF(ISERROR(VLOOKUP($U$289,'TAR FIN'!$A$1:$O$113,15,0)),0,VLOOKUP($U$289,'TAR FIN'!$A$1:$O$113,15,0))</f>
        <v>278.67</v>
      </c>
      <c r="Y289" s="6"/>
      <c r="Z289" s="6">
        <f ca="1">('TUSD BE'!$AM$21+'TUSD BF_350'!$AM$21+'TUSD CVA'!$AM$21)*1</f>
        <v>122.14055331663396</v>
      </c>
      <c r="AA289" s="6">
        <f ca="1">('TE BE'!$AB$10+'TE BF_350'!$AB$10+'TE CVA'!$AB$10)*1</f>
        <v>231.69</v>
      </c>
      <c r="AB289" s="6">
        <f>$K$289*$V$289</f>
        <v>0</v>
      </c>
      <c r="AC289" s="6">
        <f>$M$289*$W$289</f>
        <v>3312.1900500000002</v>
      </c>
      <c r="AD289" s="6">
        <f>$O$289*$X$289</f>
        <v>12792.903689999999</v>
      </c>
      <c r="AE289" s="6">
        <f>$K$289*$Y$289</f>
        <v>0</v>
      </c>
      <c r="AF289" s="6">
        <f ca="1">$M$289*$Z$289</f>
        <v>5607.1063811067143</v>
      </c>
      <c r="AG289" s="6">
        <f ca="1">$O$289*$AA$289</f>
        <v>10636.19283</v>
      </c>
    </row>
    <row r="290" spans="1:33" ht="11.25" customHeight="1" x14ac:dyDescent="0.3">
      <c r="A290" s="4" t="s">
        <v>21</v>
      </c>
      <c r="B290" s="4" t="s">
        <v>39</v>
      </c>
      <c r="C290" s="4" t="s">
        <v>41</v>
      </c>
      <c r="D290" s="4" t="s">
        <v>52</v>
      </c>
      <c r="E290" s="4" t="s">
        <v>25</v>
      </c>
      <c r="F290" s="4" t="s">
        <v>25</v>
      </c>
      <c r="G290" s="4" t="s">
        <v>25</v>
      </c>
      <c r="H290" s="4" t="s">
        <v>35</v>
      </c>
      <c r="I290" s="5">
        <v>44743</v>
      </c>
      <c r="J290" s="6">
        <v>0</v>
      </c>
      <c r="K290" s="6">
        <v>0</v>
      </c>
      <c r="L290" s="6">
        <v>42.271999999999998</v>
      </c>
      <c r="M290" s="6">
        <v>42.271999999999998</v>
      </c>
      <c r="N290" s="6">
        <v>42.271999999999998</v>
      </c>
      <c r="O290" s="6">
        <v>42.271999999999998</v>
      </c>
      <c r="P290" s="6">
        <v>0</v>
      </c>
      <c r="Q290" s="4" t="s">
        <v>26</v>
      </c>
      <c r="R290" s="4">
        <v>0</v>
      </c>
      <c r="S290" s="6">
        <v>0</v>
      </c>
      <c r="T290" s="6">
        <v>6</v>
      </c>
      <c r="U290" s="6">
        <v>61</v>
      </c>
      <c r="V290" s="6">
        <f>IF(ISERROR(VLOOKUP($S$290,'TAR FIN'!$A$1:$O$113,15,0)),0,VLOOKUP($S$290,'TAR FIN'!$A$1:$O$113,15,0))</f>
        <v>0</v>
      </c>
      <c r="W290" s="6">
        <f>IF(ISERROR(VLOOKUP($T$290,'TAR FIN'!$A$1:$O$113,15,0)),0,VLOOKUP($T$290,'TAR FIN'!$A$1:$O$113,15,0))</f>
        <v>72.150000000000006</v>
      </c>
      <c r="X290" s="6">
        <f>IF(ISERROR(VLOOKUP($U$290,'TAR FIN'!$A$1:$O$113,15,0)),0,VLOOKUP($U$290,'TAR FIN'!$A$1:$O$113,15,0))</f>
        <v>278.67</v>
      </c>
      <c r="Y290" s="6"/>
      <c r="Z290" s="6">
        <f ca="1">('TUSD BE'!$AM$21+'TUSD BF_350'!$AM$21+'TUSD CVA'!$AM$21)*1</f>
        <v>122.14055331663396</v>
      </c>
      <c r="AA290" s="6">
        <f ca="1">('TE BE'!$AB$10+'TE BF_350'!$AB$10+'TE CVA'!$AB$10)*1</f>
        <v>231.69</v>
      </c>
      <c r="AB290" s="6">
        <f>$K$290*$V$290</f>
        <v>0</v>
      </c>
      <c r="AC290" s="6">
        <f>$M$290*$W$290</f>
        <v>3049.9248000000002</v>
      </c>
      <c r="AD290" s="6">
        <f>$O$290*$X$290</f>
        <v>11779.938239999999</v>
      </c>
      <c r="AE290" s="6">
        <f>$K$290*$Y$290</f>
        <v>0</v>
      </c>
      <c r="AF290" s="6">
        <f ca="1">$M$290*$Z$290</f>
        <v>5163.1254698007506</v>
      </c>
      <c r="AG290" s="6">
        <f ca="1">$O$290*$AA$290</f>
        <v>9793.999679999999</v>
      </c>
    </row>
    <row r="291" spans="1:33" ht="11.25" customHeight="1" x14ac:dyDescent="0.3">
      <c r="A291" s="4" t="s">
        <v>21</v>
      </c>
      <c r="B291" s="4" t="s">
        <v>39</v>
      </c>
      <c r="C291" s="4" t="s">
        <v>41</v>
      </c>
      <c r="D291" s="4" t="s">
        <v>52</v>
      </c>
      <c r="E291" s="4" t="s">
        <v>25</v>
      </c>
      <c r="F291" s="4" t="s">
        <v>25</v>
      </c>
      <c r="G291" s="4" t="s">
        <v>25</v>
      </c>
      <c r="H291" s="4" t="s">
        <v>35</v>
      </c>
      <c r="I291" s="5">
        <v>44774</v>
      </c>
      <c r="J291" s="6">
        <v>0</v>
      </c>
      <c r="K291" s="6">
        <v>0</v>
      </c>
      <c r="L291" s="6">
        <v>47.389000000000003</v>
      </c>
      <c r="M291" s="6">
        <v>47.389000000000003</v>
      </c>
      <c r="N291" s="6">
        <v>47.389000000000003</v>
      </c>
      <c r="O291" s="6">
        <v>47.389000000000003</v>
      </c>
      <c r="P291" s="6">
        <v>0</v>
      </c>
      <c r="Q291" s="4" t="s">
        <v>26</v>
      </c>
      <c r="R291" s="4">
        <v>0</v>
      </c>
      <c r="S291" s="6">
        <v>0</v>
      </c>
      <c r="T291" s="6">
        <v>6</v>
      </c>
      <c r="U291" s="6">
        <v>61</v>
      </c>
      <c r="V291" s="6">
        <f>IF(ISERROR(VLOOKUP($S$291,'TAR FIN'!$A$1:$O$113,15,0)),0,VLOOKUP($S$291,'TAR FIN'!$A$1:$O$113,15,0))</f>
        <v>0</v>
      </c>
      <c r="W291" s="6">
        <f>IF(ISERROR(VLOOKUP($T$291,'TAR FIN'!$A$1:$O$113,15,0)),0,VLOOKUP($T$291,'TAR FIN'!$A$1:$O$113,15,0))</f>
        <v>72.150000000000006</v>
      </c>
      <c r="X291" s="6">
        <f>IF(ISERROR(VLOOKUP($U$291,'TAR FIN'!$A$1:$O$113,15,0)),0,VLOOKUP($U$291,'TAR FIN'!$A$1:$O$113,15,0))</f>
        <v>278.67</v>
      </c>
      <c r="Y291" s="6"/>
      <c r="Z291" s="6">
        <f ca="1">('TUSD BE'!$AM$21+'TUSD BF_350'!$AM$21+'TUSD CVA'!$AM$21)*1</f>
        <v>122.14055331663396</v>
      </c>
      <c r="AA291" s="6">
        <f ca="1">('TE BE'!$AB$10+'TE BF_350'!$AB$10+'TE CVA'!$AB$10)*1</f>
        <v>231.69</v>
      </c>
      <c r="AB291" s="6">
        <f>$K$291*$V$291</f>
        <v>0</v>
      </c>
      <c r="AC291" s="6">
        <f>$M$291*$W$291</f>
        <v>3419.1163500000007</v>
      </c>
      <c r="AD291" s="6">
        <f>$O$291*$X$291</f>
        <v>13205.892630000002</v>
      </c>
      <c r="AE291" s="6">
        <f>$K$291*$Y$291</f>
        <v>0</v>
      </c>
      <c r="AF291" s="6">
        <f ca="1">$M$291*$Z$291</f>
        <v>5788.1186811219668</v>
      </c>
      <c r="AG291" s="6">
        <f ca="1">$O$291*$AA$291</f>
        <v>10979.557410000001</v>
      </c>
    </row>
    <row r="292" spans="1:33" ht="11.25" customHeight="1" x14ac:dyDescent="0.3">
      <c r="A292" s="4" t="s">
        <v>21</v>
      </c>
      <c r="B292" s="4" t="s">
        <v>39</v>
      </c>
      <c r="C292" s="4" t="s">
        <v>41</v>
      </c>
      <c r="D292" s="4" t="s">
        <v>52</v>
      </c>
      <c r="E292" s="4" t="s">
        <v>25</v>
      </c>
      <c r="F292" s="4" t="s">
        <v>25</v>
      </c>
      <c r="G292" s="4" t="s">
        <v>25</v>
      </c>
      <c r="H292" s="4" t="s">
        <v>35</v>
      </c>
      <c r="I292" s="5">
        <v>44805</v>
      </c>
      <c r="J292" s="6">
        <v>0</v>
      </c>
      <c r="K292" s="6">
        <v>0</v>
      </c>
      <c r="L292" s="6">
        <v>46.94</v>
      </c>
      <c r="M292" s="6">
        <v>46.94</v>
      </c>
      <c r="N292" s="6">
        <v>46.94</v>
      </c>
      <c r="O292" s="6">
        <v>46.94</v>
      </c>
      <c r="P292" s="6">
        <v>0</v>
      </c>
      <c r="Q292" s="4" t="s">
        <v>26</v>
      </c>
      <c r="R292" s="4">
        <v>0</v>
      </c>
      <c r="S292" s="6">
        <v>0</v>
      </c>
      <c r="T292" s="6">
        <v>6</v>
      </c>
      <c r="U292" s="6">
        <v>61</v>
      </c>
      <c r="V292" s="6">
        <f>IF(ISERROR(VLOOKUP($S$292,'TAR FIN'!$A$1:$O$113,15,0)),0,VLOOKUP($S$292,'TAR FIN'!$A$1:$O$113,15,0))</f>
        <v>0</v>
      </c>
      <c r="W292" s="6">
        <f>IF(ISERROR(VLOOKUP($T$292,'TAR FIN'!$A$1:$O$113,15,0)),0,VLOOKUP($T$292,'TAR FIN'!$A$1:$O$113,15,0))</f>
        <v>72.150000000000006</v>
      </c>
      <c r="X292" s="6">
        <f>IF(ISERROR(VLOOKUP($U$292,'TAR FIN'!$A$1:$O$113,15,0)),0,VLOOKUP($U$292,'TAR FIN'!$A$1:$O$113,15,0))</f>
        <v>278.67</v>
      </c>
      <c r="Y292" s="6"/>
      <c r="Z292" s="6">
        <f ca="1">('TUSD BE'!$AM$21+'TUSD BF_350'!$AM$21+'TUSD CVA'!$AM$21)*1</f>
        <v>122.14055331663396</v>
      </c>
      <c r="AA292" s="6">
        <f ca="1">('TE BE'!$AB$10+'TE BF_350'!$AB$10+'TE CVA'!$AB$10)*1</f>
        <v>231.69</v>
      </c>
      <c r="AB292" s="6">
        <f>$K$292*$V$292</f>
        <v>0</v>
      </c>
      <c r="AC292" s="6">
        <f>$M$292*$W$292</f>
        <v>3386.721</v>
      </c>
      <c r="AD292" s="6">
        <f>$O$292*$X$292</f>
        <v>13080.7698</v>
      </c>
      <c r="AE292" s="6">
        <f>$K$292*$Y$292</f>
        <v>0</v>
      </c>
      <c r="AF292" s="6">
        <f ca="1">$M$292*$Z$292</f>
        <v>5733.2775726827977</v>
      </c>
      <c r="AG292" s="6">
        <f ca="1">$O$292*$AA$292</f>
        <v>10875.5286</v>
      </c>
    </row>
    <row r="293" spans="1:33" ht="11.25" customHeight="1" x14ac:dyDescent="0.3">
      <c r="A293" s="4" t="s">
        <v>53</v>
      </c>
      <c r="B293" s="4" t="s">
        <v>39</v>
      </c>
      <c r="C293" s="4" t="s">
        <v>41</v>
      </c>
      <c r="D293" s="4" t="s">
        <v>52</v>
      </c>
      <c r="E293" s="4" t="s">
        <v>25</v>
      </c>
      <c r="F293" s="4" t="s">
        <v>25</v>
      </c>
      <c r="G293" s="4" t="s">
        <v>25</v>
      </c>
      <c r="H293" s="4" t="s">
        <v>35</v>
      </c>
      <c r="I293" s="5">
        <v>44835</v>
      </c>
      <c r="J293" s="6">
        <v>0</v>
      </c>
      <c r="K293" s="6">
        <v>0</v>
      </c>
      <c r="L293" s="6">
        <v>46.94</v>
      </c>
      <c r="M293" s="6">
        <v>46.94</v>
      </c>
      <c r="N293" s="6">
        <v>46.94</v>
      </c>
      <c r="O293" s="6">
        <v>46.94</v>
      </c>
      <c r="P293" s="6">
        <v>0</v>
      </c>
      <c r="Q293" s="4" t="s">
        <v>26</v>
      </c>
      <c r="R293" s="4">
        <v>0</v>
      </c>
      <c r="S293" s="6">
        <v>0</v>
      </c>
      <c r="T293" s="6">
        <v>6</v>
      </c>
      <c r="U293" s="6">
        <v>61</v>
      </c>
      <c r="V293" s="6">
        <f>IF(ISERROR(VLOOKUP($S$293,'TAR FIN'!$A$1:$O$113,15,0)),0,VLOOKUP($S$293,'TAR FIN'!$A$1:$O$113,15,0))</f>
        <v>0</v>
      </c>
      <c r="W293" s="6">
        <f>IF(ISERROR(VLOOKUP($T$293,'TAR FIN'!$A$1:$O$113,15,0)),0,VLOOKUP($T$293,'TAR FIN'!$A$1:$O$113,15,0))</f>
        <v>72.150000000000006</v>
      </c>
      <c r="X293" s="6">
        <f>IF(ISERROR(VLOOKUP($U$293,'TAR FIN'!$A$1:$O$113,15,0)),0,VLOOKUP($U$293,'TAR FIN'!$A$1:$O$113,15,0))</f>
        <v>278.67</v>
      </c>
      <c r="Y293" s="6"/>
      <c r="Z293" s="6">
        <f ca="1">('TUSD BE'!$AM$21+'TUSD BF_350'!$AM$21+'TUSD CVA'!$AM$21)*1</f>
        <v>122.14055331663396</v>
      </c>
      <c r="AA293" s="6">
        <f ca="1">('TE BE'!$AB$10+'TE BF_350'!$AB$10+'TE CVA'!$AB$10)*1</f>
        <v>231.69</v>
      </c>
      <c r="AB293" s="6">
        <f>$K$293*$V$293</f>
        <v>0</v>
      </c>
      <c r="AC293" s="6">
        <f>$M$293*$W$293</f>
        <v>3386.721</v>
      </c>
      <c r="AD293" s="6">
        <f>$O$293*$X$293</f>
        <v>13080.7698</v>
      </c>
      <c r="AE293" s="6">
        <f>$K$293*$Y$293</f>
        <v>0</v>
      </c>
      <c r="AF293" s="6">
        <f ca="1">$M$293*$Z$293</f>
        <v>5733.2775726827977</v>
      </c>
      <c r="AG293" s="6">
        <f ca="1">$O$293*$AA$293</f>
        <v>10875.5286</v>
      </c>
    </row>
    <row r="294" spans="1:33" ht="11.25" customHeight="1" x14ac:dyDescent="0.3">
      <c r="A294" s="4" t="s">
        <v>21</v>
      </c>
      <c r="B294" s="4" t="s">
        <v>39</v>
      </c>
      <c r="C294" s="4" t="s">
        <v>41</v>
      </c>
      <c r="D294" s="4" t="s">
        <v>52</v>
      </c>
      <c r="E294" s="4" t="s">
        <v>25</v>
      </c>
      <c r="F294" s="4" t="s">
        <v>25</v>
      </c>
      <c r="G294" s="4" t="s">
        <v>25</v>
      </c>
      <c r="H294" s="4" t="s">
        <v>25</v>
      </c>
      <c r="I294" s="5">
        <v>44501</v>
      </c>
      <c r="J294" s="6">
        <v>257</v>
      </c>
      <c r="K294" s="6">
        <v>257</v>
      </c>
      <c r="L294" s="6">
        <v>0</v>
      </c>
      <c r="M294" s="6">
        <v>0</v>
      </c>
      <c r="N294" s="6">
        <v>0</v>
      </c>
      <c r="O294" s="6">
        <v>0</v>
      </c>
      <c r="P294" s="6">
        <v>7</v>
      </c>
      <c r="Q294" s="4" t="s">
        <v>26</v>
      </c>
      <c r="R294" s="4">
        <v>0</v>
      </c>
      <c r="S294" s="6">
        <v>20</v>
      </c>
      <c r="T294" s="6">
        <v>0</v>
      </c>
      <c r="U294" s="6">
        <v>0</v>
      </c>
      <c r="V294" s="6">
        <f>IF(ISERROR(VLOOKUP($S$294,'TAR FIN'!$A$1:$O$113,15,0)),0,VLOOKUP($S$294,'TAR FIN'!$A$1:$O$113,15,0))</f>
        <v>14</v>
      </c>
      <c r="W294" s="6">
        <f>IF(ISERROR(VLOOKUP($T$294,'TAR FIN'!$A$1:$O$113,15,0)),0,VLOOKUP($T$294,'TAR FIN'!$A$1:$O$113,15,0))</f>
        <v>0</v>
      </c>
      <c r="X294" s="6">
        <f>IF(ISERROR(VLOOKUP($U$294,'TAR FIN'!$A$1:$O$113,15,0)),0,VLOOKUP($U$294,'TAR FIN'!$A$1:$O$113,15,0))</f>
        <v>0</v>
      </c>
      <c r="Y294" s="6">
        <f ca="1">('TUSD BE'!$AM$19+'TUSD BF_350'!$AM$19+'TUSD CVA'!$AM$19)*1</f>
        <v>16.035953923331604</v>
      </c>
      <c r="Z294" s="6"/>
      <c r="AA294" s="6"/>
      <c r="AB294" s="6">
        <f>$K$294*$V$294</f>
        <v>3598</v>
      </c>
      <c r="AC294" s="6">
        <f>$M$294*$W$294</f>
        <v>0</v>
      </c>
      <c r="AD294" s="6">
        <f>$O$294*$X$294</f>
        <v>0</v>
      </c>
      <c r="AE294" s="6">
        <f ca="1">$K$294*$Y$294</f>
        <v>4121.240158296222</v>
      </c>
      <c r="AF294" s="6">
        <f>$M$294*$Z$294</f>
        <v>0</v>
      </c>
      <c r="AG294" s="6">
        <f>$O$294*$AA$294</f>
        <v>0</v>
      </c>
    </row>
    <row r="295" spans="1:33" ht="11.25" customHeight="1" x14ac:dyDescent="0.3">
      <c r="A295" s="4" t="s">
        <v>21</v>
      </c>
      <c r="B295" s="4" t="s">
        <v>39</v>
      </c>
      <c r="C295" s="4" t="s">
        <v>41</v>
      </c>
      <c r="D295" s="4" t="s">
        <v>52</v>
      </c>
      <c r="E295" s="4" t="s">
        <v>25</v>
      </c>
      <c r="F295" s="4" t="s">
        <v>25</v>
      </c>
      <c r="G295" s="4" t="s">
        <v>25</v>
      </c>
      <c r="H295" s="4" t="s">
        <v>25</v>
      </c>
      <c r="I295" s="5">
        <v>44531</v>
      </c>
      <c r="J295" s="6">
        <v>263</v>
      </c>
      <c r="K295" s="6">
        <v>263</v>
      </c>
      <c r="L295" s="6">
        <v>0</v>
      </c>
      <c r="M295" s="6">
        <v>0</v>
      </c>
      <c r="N295" s="6">
        <v>0</v>
      </c>
      <c r="O295" s="6">
        <v>0</v>
      </c>
      <c r="P295" s="6">
        <v>7</v>
      </c>
      <c r="Q295" s="4" t="s">
        <v>26</v>
      </c>
      <c r="R295" s="4">
        <v>0</v>
      </c>
      <c r="S295" s="6">
        <v>20</v>
      </c>
      <c r="T295" s="6">
        <v>0</v>
      </c>
      <c r="U295" s="6">
        <v>0</v>
      </c>
      <c r="V295" s="6">
        <f>IF(ISERROR(VLOOKUP($S$295,'TAR FIN'!$A$1:$O$113,15,0)),0,VLOOKUP($S$295,'TAR FIN'!$A$1:$O$113,15,0))</f>
        <v>14</v>
      </c>
      <c r="W295" s="6">
        <f>IF(ISERROR(VLOOKUP($T$295,'TAR FIN'!$A$1:$O$113,15,0)),0,VLOOKUP($T$295,'TAR FIN'!$A$1:$O$113,15,0))</f>
        <v>0</v>
      </c>
      <c r="X295" s="6">
        <f>IF(ISERROR(VLOOKUP($U$295,'TAR FIN'!$A$1:$O$113,15,0)),0,VLOOKUP($U$295,'TAR FIN'!$A$1:$O$113,15,0))</f>
        <v>0</v>
      </c>
      <c r="Y295" s="6">
        <f ca="1">('TUSD BE'!$AM$19+'TUSD BF_350'!$AM$19+'TUSD CVA'!$AM$19)*1</f>
        <v>16.035953923331604</v>
      </c>
      <c r="Z295" s="6"/>
      <c r="AA295" s="6"/>
      <c r="AB295" s="6">
        <f>$K$295*$V$295</f>
        <v>3682</v>
      </c>
      <c r="AC295" s="6">
        <f>$M$295*$W$295</f>
        <v>0</v>
      </c>
      <c r="AD295" s="6">
        <f>$O$295*$X$295</f>
        <v>0</v>
      </c>
      <c r="AE295" s="6">
        <f ca="1">$K$295*$Y$295</f>
        <v>4217.455881836212</v>
      </c>
      <c r="AF295" s="6">
        <f>$M$295*$Z$295</f>
        <v>0</v>
      </c>
      <c r="AG295" s="6">
        <f>$O$295*$AA$295</f>
        <v>0</v>
      </c>
    </row>
    <row r="296" spans="1:33" ht="11.25" customHeight="1" x14ac:dyDescent="0.3">
      <c r="A296" s="4" t="s">
        <v>21</v>
      </c>
      <c r="B296" s="4" t="s">
        <v>39</v>
      </c>
      <c r="C296" s="4" t="s">
        <v>41</v>
      </c>
      <c r="D296" s="4" t="s">
        <v>52</v>
      </c>
      <c r="E296" s="4" t="s">
        <v>25</v>
      </c>
      <c r="F296" s="4" t="s">
        <v>25</v>
      </c>
      <c r="G296" s="4" t="s">
        <v>25</v>
      </c>
      <c r="H296" s="4" t="s">
        <v>25</v>
      </c>
      <c r="I296" s="5">
        <v>44562</v>
      </c>
      <c r="J296" s="6">
        <v>256</v>
      </c>
      <c r="K296" s="6">
        <v>256</v>
      </c>
      <c r="L296" s="6">
        <v>0</v>
      </c>
      <c r="M296" s="6">
        <v>0</v>
      </c>
      <c r="N296" s="6">
        <v>0</v>
      </c>
      <c r="O296" s="6">
        <v>0</v>
      </c>
      <c r="P296" s="6">
        <v>7</v>
      </c>
      <c r="Q296" s="4" t="s">
        <v>26</v>
      </c>
      <c r="R296" s="4">
        <v>0</v>
      </c>
      <c r="S296" s="6">
        <v>20</v>
      </c>
      <c r="T296" s="6">
        <v>0</v>
      </c>
      <c r="U296" s="6">
        <v>0</v>
      </c>
      <c r="V296" s="6">
        <f>IF(ISERROR(VLOOKUP($S$296,'TAR FIN'!$A$1:$O$113,15,0)),0,VLOOKUP($S$296,'TAR FIN'!$A$1:$O$113,15,0))</f>
        <v>14</v>
      </c>
      <c r="W296" s="6">
        <f>IF(ISERROR(VLOOKUP($T$296,'TAR FIN'!$A$1:$O$113,15,0)),0,VLOOKUP($T$296,'TAR FIN'!$A$1:$O$113,15,0))</f>
        <v>0</v>
      </c>
      <c r="X296" s="6">
        <f>IF(ISERROR(VLOOKUP($U$296,'TAR FIN'!$A$1:$O$113,15,0)),0,VLOOKUP($U$296,'TAR FIN'!$A$1:$O$113,15,0))</f>
        <v>0</v>
      </c>
      <c r="Y296" s="6">
        <f ca="1">('TUSD BE'!$AM$19+'TUSD BF_350'!$AM$19+'TUSD CVA'!$AM$19)*1</f>
        <v>16.035953923331604</v>
      </c>
      <c r="Z296" s="6"/>
      <c r="AA296" s="6"/>
      <c r="AB296" s="6">
        <f>$K$296*$V$296</f>
        <v>3584</v>
      </c>
      <c r="AC296" s="6">
        <f>$M$296*$W$296</f>
        <v>0</v>
      </c>
      <c r="AD296" s="6">
        <f>$O$296*$X$296</f>
        <v>0</v>
      </c>
      <c r="AE296" s="6">
        <f ca="1">$K$296*$Y$296</f>
        <v>4105.2042043728907</v>
      </c>
      <c r="AF296" s="6">
        <f>$M$296*$Z$296</f>
        <v>0</v>
      </c>
      <c r="AG296" s="6">
        <f>$O$296*$AA$296</f>
        <v>0</v>
      </c>
    </row>
    <row r="297" spans="1:33" ht="11.25" customHeight="1" x14ac:dyDescent="0.3">
      <c r="A297" s="4" t="s">
        <v>21</v>
      </c>
      <c r="B297" s="4" t="s">
        <v>39</v>
      </c>
      <c r="C297" s="4" t="s">
        <v>41</v>
      </c>
      <c r="D297" s="4" t="s">
        <v>52</v>
      </c>
      <c r="E297" s="4" t="s">
        <v>25</v>
      </c>
      <c r="F297" s="4" t="s">
        <v>25</v>
      </c>
      <c r="G297" s="4" t="s">
        <v>25</v>
      </c>
      <c r="H297" s="4" t="s">
        <v>25</v>
      </c>
      <c r="I297" s="5">
        <v>44593</v>
      </c>
      <c r="J297" s="6">
        <v>260</v>
      </c>
      <c r="K297" s="6">
        <v>260</v>
      </c>
      <c r="L297" s="6">
        <v>0</v>
      </c>
      <c r="M297" s="6">
        <v>0</v>
      </c>
      <c r="N297" s="6">
        <v>0</v>
      </c>
      <c r="O297" s="6">
        <v>0</v>
      </c>
      <c r="P297" s="6">
        <v>7</v>
      </c>
      <c r="Q297" s="4" t="s">
        <v>26</v>
      </c>
      <c r="R297" s="4">
        <v>0</v>
      </c>
      <c r="S297" s="6">
        <v>20</v>
      </c>
      <c r="T297" s="6">
        <v>0</v>
      </c>
      <c r="U297" s="6">
        <v>0</v>
      </c>
      <c r="V297" s="6">
        <f>IF(ISERROR(VLOOKUP($S$297,'TAR FIN'!$A$1:$O$113,15,0)),0,VLOOKUP($S$297,'TAR FIN'!$A$1:$O$113,15,0))</f>
        <v>14</v>
      </c>
      <c r="W297" s="6">
        <f>IF(ISERROR(VLOOKUP($T$297,'TAR FIN'!$A$1:$O$113,15,0)),0,VLOOKUP($T$297,'TAR FIN'!$A$1:$O$113,15,0))</f>
        <v>0</v>
      </c>
      <c r="X297" s="6">
        <f>IF(ISERROR(VLOOKUP($U$297,'TAR FIN'!$A$1:$O$113,15,0)),0,VLOOKUP($U$297,'TAR FIN'!$A$1:$O$113,15,0))</f>
        <v>0</v>
      </c>
      <c r="Y297" s="6">
        <f ca="1">('TUSD BE'!$AM$19+'TUSD BF_350'!$AM$19+'TUSD CVA'!$AM$19)*1</f>
        <v>16.035953923331604</v>
      </c>
      <c r="Z297" s="6"/>
      <c r="AA297" s="6"/>
      <c r="AB297" s="6">
        <f>$K$297*$V$297</f>
        <v>3640</v>
      </c>
      <c r="AC297" s="6">
        <f>$M$297*$W$297</f>
        <v>0</v>
      </c>
      <c r="AD297" s="6">
        <f>$O$297*$X$297</f>
        <v>0</v>
      </c>
      <c r="AE297" s="6">
        <f ca="1">$K$297*$Y$297</f>
        <v>4169.348020066217</v>
      </c>
      <c r="AF297" s="6">
        <f>$M$297*$Z$297</f>
        <v>0</v>
      </c>
      <c r="AG297" s="6">
        <f>$O$297*$AA$297</f>
        <v>0</v>
      </c>
    </row>
    <row r="298" spans="1:33" ht="11.25" customHeight="1" x14ac:dyDescent="0.3">
      <c r="A298" s="4" t="s">
        <v>21</v>
      </c>
      <c r="B298" s="4" t="s">
        <v>39</v>
      </c>
      <c r="C298" s="4" t="s">
        <v>41</v>
      </c>
      <c r="D298" s="4" t="s">
        <v>52</v>
      </c>
      <c r="E298" s="4" t="s">
        <v>25</v>
      </c>
      <c r="F298" s="4" t="s">
        <v>25</v>
      </c>
      <c r="G298" s="4" t="s">
        <v>25</v>
      </c>
      <c r="H298" s="4" t="s">
        <v>25</v>
      </c>
      <c r="I298" s="5">
        <v>44621</v>
      </c>
      <c r="J298" s="6">
        <v>258</v>
      </c>
      <c r="K298" s="6">
        <v>258</v>
      </c>
      <c r="L298" s="6">
        <v>0</v>
      </c>
      <c r="M298" s="6">
        <v>0</v>
      </c>
      <c r="N298" s="6">
        <v>0</v>
      </c>
      <c r="O298" s="6">
        <v>0</v>
      </c>
      <c r="P298" s="6">
        <v>7</v>
      </c>
      <c r="Q298" s="4" t="s">
        <v>26</v>
      </c>
      <c r="R298" s="4">
        <v>0</v>
      </c>
      <c r="S298" s="6">
        <v>20</v>
      </c>
      <c r="T298" s="6">
        <v>0</v>
      </c>
      <c r="U298" s="6">
        <v>0</v>
      </c>
      <c r="V298" s="6">
        <f>IF(ISERROR(VLOOKUP($S$298,'TAR FIN'!$A$1:$O$113,15,0)),0,VLOOKUP($S$298,'TAR FIN'!$A$1:$O$113,15,0))</f>
        <v>14</v>
      </c>
      <c r="W298" s="6">
        <f>IF(ISERROR(VLOOKUP($T$298,'TAR FIN'!$A$1:$O$113,15,0)),0,VLOOKUP($T$298,'TAR FIN'!$A$1:$O$113,15,0))</f>
        <v>0</v>
      </c>
      <c r="X298" s="6">
        <f>IF(ISERROR(VLOOKUP($U$298,'TAR FIN'!$A$1:$O$113,15,0)),0,VLOOKUP($U$298,'TAR FIN'!$A$1:$O$113,15,0))</f>
        <v>0</v>
      </c>
      <c r="Y298" s="6">
        <f ca="1">('TUSD BE'!$AM$19+'TUSD BF_350'!$AM$19+'TUSD CVA'!$AM$19)*1</f>
        <v>16.035953923331604</v>
      </c>
      <c r="Z298" s="6"/>
      <c r="AA298" s="6"/>
      <c r="AB298" s="6">
        <f>$K$298*$V$298</f>
        <v>3612</v>
      </c>
      <c r="AC298" s="6">
        <f>$M$298*$W$298</f>
        <v>0</v>
      </c>
      <c r="AD298" s="6">
        <f>$O$298*$X$298</f>
        <v>0</v>
      </c>
      <c r="AE298" s="6">
        <f ca="1">$K$298*$Y$298</f>
        <v>4137.2761122195543</v>
      </c>
      <c r="AF298" s="6">
        <f>$M$298*$Z$298</f>
        <v>0</v>
      </c>
      <c r="AG298" s="6">
        <f>$O$298*$AA$298</f>
        <v>0</v>
      </c>
    </row>
    <row r="299" spans="1:33" ht="11.25" customHeight="1" x14ac:dyDescent="0.3">
      <c r="A299" s="4" t="s">
        <v>21</v>
      </c>
      <c r="B299" s="4" t="s">
        <v>39</v>
      </c>
      <c r="C299" s="4" t="s">
        <v>41</v>
      </c>
      <c r="D299" s="4" t="s">
        <v>52</v>
      </c>
      <c r="E299" s="4" t="s">
        <v>25</v>
      </c>
      <c r="F299" s="4" t="s">
        <v>25</v>
      </c>
      <c r="G299" s="4" t="s">
        <v>25</v>
      </c>
      <c r="H299" s="4" t="s">
        <v>25</v>
      </c>
      <c r="I299" s="5">
        <v>44652</v>
      </c>
      <c r="J299" s="6">
        <v>253</v>
      </c>
      <c r="K299" s="6">
        <v>253</v>
      </c>
      <c r="L299" s="6">
        <v>0</v>
      </c>
      <c r="M299" s="6">
        <v>0</v>
      </c>
      <c r="N299" s="6">
        <v>0</v>
      </c>
      <c r="O299" s="6">
        <v>0</v>
      </c>
      <c r="P299" s="6">
        <v>7</v>
      </c>
      <c r="Q299" s="4" t="s">
        <v>26</v>
      </c>
      <c r="R299" s="4">
        <v>0</v>
      </c>
      <c r="S299" s="6">
        <v>20</v>
      </c>
      <c r="T299" s="6">
        <v>0</v>
      </c>
      <c r="U299" s="6">
        <v>0</v>
      </c>
      <c r="V299" s="6">
        <f>IF(ISERROR(VLOOKUP($S$299,'TAR FIN'!$A$1:$O$113,15,0)),0,VLOOKUP($S$299,'TAR FIN'!$A$1:$O$113,15,0))</f>
        <v>14</v>
      </c>
      <c r="W299" s="6">
        <f>IF(ISERROR(VLOOKUP($T$299,'TAR FIN'!$A$1:$O$113,15,0)),0,VLOOKUP($T$299,'TAR FIN'!$A$1:$O$113,15,0))</f>
        <v>0</v>
      </c>
      <c r="X299" s="6">
        <f>IF(ISERROR(VLOOKUP($U$299,'TAR FIN'!$A$1:$O$113,15,0)),0,VLOOKUP($U$299,'TAR FIN'!$A$1:$O$113,15,0))</f>
        <v>0</v>
      </c>
      <c r="Y299" s="6">
        <f ca="1">('TUSD BE'!$AM$19+'TUSD BF_350'!$AM$19+'TUSD CVA'!$AM$19)*1</f>
        <v>16.035953923331604</v>
      </c>
      <c r="Z299" s="6"/>
      <c r="AA299" s="6"/>
      <c r="AB299" s="6">
        <f>$K$299*$V$299</f>
        <v>3542</v>
      </c>
      <c r="AC299" s="6">
        <f>$M$299*$W$299</f>
        <v>0</v>
      </c>
      <c r="AD299" s="6">
        <f>$O$299*$X$299</f>
        <v>0</v>
      </c>
      <c r="AE299" s="6">
        <f ca="1">$K$299*$Y$299</f>
        <v>4057.0963426028957</v>
      </c>
      <c r="AF299" s="6">
        <f>$M$299*$Z$299</f>
        <v>0</v>
      </c>
      <c r="AG299" s="6">
        <f>$O$299*$AA$299</f>
        <v>0</v>
      </c>
    </row>
    <row r="300" spans="1:33" ht="11.25" customHeight="1" x14ac:dyDescent="0.3">
      <c r="A300" s="4" t="s">
        <v>21</v>
      </c>
      <c r="B300" s="4" t="s">
        <v>39</v>
      </c>
      <c r="C300" s="4" t="s">
        <v>41</v>
      </c>
      <c r="D300" s="4" t="s">
        <v>52</v>
      </c>
      <c r="E300" s="4" t="s">
        <v>25</v>
      </c>
      <c r="F300" s="4" t="s">
        <v>25</v>
      </c>
      <c r="G300" s="4" t="s">
        <v>25</v>
      </c>
      <c r="H300" s="4" t="s">
        <v>25</v>
      </c>
      <c r="I300" s="5">
        <v>44682</v>
      </c>
      <c r="J300" s="6">
        <v>249</v>
      </c>
      <c r="K300" s="6">
        <v>249</v>
      </c>
      <c r="L300" s="6">
        <v>0</v>
      </c>
      <c r="M300" s="6">
        <v>0</v>
      </c>
      <c r="N300" s="6">
        <v>0</v>
      </c>
      <c r="O300" s="6">
        <v>0</v>
      </c>
      <c r="P300" s="6">
        <v>7</v>
      </c>
      <c r="Q300" s="4" t="s">
        <v>26</v>
      </c>
      <c r="R300" s="4">
        <v>0</v>
      </c>
      <c r="S300" s="6">
        <v>20</v>
      </c>
      <c r="T300" s="6">
        <v>0</v>
      </c>
      <c r="U300" s="6">
        <v>0</v>
      </c>
      <c r="V300" s="6">
        <f>IF(ISERROR(VLOOKUP($S$300,'TAR FIN'!$A$1:$O$113,15,0)),0,VLOOKUP($S$300,'TAR FIN'!$A$1:$O$113,15,0))</f>
        <v>14</v>
      </c>
      <c r="W300" s="6">
        <f>IF(ISERROR(VLOOKUP($T$300,'TAR FIN'!$A$1:$O$113,15,0)),0,VLOOKUP($T$300,'TAR FIN'!$A$1:$O$113,15,0))</f>
        <v>0</v>
      </c>
      <c r="X300" s="6">
        <f>IF(ISERROR(VLOOKUP($U$300,'TAR FIN'!$A$1:$O$113,15,0)),0,VLOOKUP($U$300,'TAR FIN'!$A$1:$O$113,15,0))</f>
        <v>0</v>
      </c>
      <c r="Y300" s="6">
        <f ca="1">('TUSD BE'!$AM$19+'TUSD BF_350'!$AM$19+'TUSD CVA'!$AM$19)*1</f>
        <v>16.035953923331604</v>
      </c>
      <c r="Z300" s="6"/>
      <c r="AA300" s="6"/>
      <c r="AB300" s="6">
        <f>$K$300*$V$300</f>
        <v>3486</v>
      </c>
      <c r="AC300" s="6">
        <f>$M$300*$W$300</f>
        <v>0</v>
      </c>
      <c r="AD300" s="6">
        <f>$O$300*$X$300</f>
        <v>0</v>
      </c>
      <c r="AE300" s="6">
        <f ca="1">$K$300*$Y$300</f>
        <v>3992.9525269095693</v>
      </c>
      <c r="AF300" s="6">
        <f>$M$300*$Z$300</f>
        <v>0</v>
      </c>
      <c r="AG300" s="6">
        <f>$O$300*$AA$300</f>
        <v>0</v>
      </c>
    </row>
    <row r="301" spans="1:33" ht="11.25" customHeight="1" x14ac:dyDescent="0.3">
      <c r="A301" s="4" t="s">
        <v>21</v>
      </c>
      <c r="B301" s="4" t="s">
        <v>39</v>
      </c>
      <c r="C301" s="4" t="s">
        <v>41</v>
      </c>
      <c r="D301" s="4" t="s">
        <v>52</v>
      </c>
      <c r="E301" s="4" t="s">
        <v>25</v>
      </c>
      <c r="F301" s="4" t="s">
        <v>25</v>
      </c>
      <c r="G301" s="4" t="s">
        <v>25</v>
      </c>
      <c r="H301" s="4" t="s">
        <v>25</v>
      </c>
      <c r="I301" s="5">
        <v>44713</v>
      </c>
      <c r="J301" s="6">
        <v>249</v>
      </c>
      <c r="K301" s="6">
        <v>249</v>
      </c>
      <c r="L301" s="6">
        <v>0</v>
      </c>
      <c r="M301" s="6">
        <v>0</v>
      </c>
      <c r="N301" s="6">
        <v>0</v>
      </c>
      <c r="O301" s="6">
        <v>0</v>
      </c>
      <c r="P301" s="6">
        <v>7</v>
      </c>
      <c r="Q301" s="4" t="s">
        <v>26</v>
      </c>
      <c r="R301" s="4">
        <v>0</v>
      </c>
      <c r="S301" s="6">
        <v>20</v>
      </c>
      <c r="T301" s="6">
        <v>0</v>
      </c>
      <c r="U301" s="6">
        <v>0</v>
      </c>
      <c r="V301" s="6">
        <f>IF(ISERROR(VLOOKUP($S$301,'TAR FIN'!$A$1:$O$113,15,0)),0,VLOOKUP($S$301,'TAR FIN'!$A$1:$O$113,15,0))</f>
        <v>14</v>
      </c>
      <c r="W301" s="6">
        <f>IF(ISERROR(VLOOKUP($T$301,'TAR FIN'!$A$1:$O$113,15,0)),0,VLOOKUP($T$301,'TAR FIN'!$A$1:$O$113,15,0))</f>
        <v>0</v>
      </c>
      <c r="X301" s="6">
        <f>IF(ISERROR(VLOOKUP($U$301,'TAR FIN'!$A$1:$O$113,15,0)),0,VLOOKUP($U$301,'TAR FIN'!$A$1:$O$113,15,0))</f>
        <v>0</v>
      </c>
      <c r="Y301" s="6">
        <f ca="1">('TUSD BE'!$AM$19+'TUSD BF_350'!$AM$19+'TUSD CVA'!$AM$19)*1</f>
        <v>16.035953923331604</v>
      </c>
      <c r="Z301" s="6"/>
      <c r="AA301" s="6"/>
      <c r="AB301" s="6">
        <f>$K$301*$V$301</f>
        <v>3486</v>
      </c>
      <c r="AC301" s="6">
        <f>$M$301*$W$301</f>
        <v>0</v>
      </c>
      <c r="AD301" s="6">
        <f>$O$301*$X$301</f>
        <v>0</v>
      </c>
      <c r="AE301" s="6">
        <f ca="1">$K$301*$Y$301</f>
        <v>3992.9525269095693</v>
      </c>
      <c r="AF301" s="6">
        <f>$M$301*$Z$301</f>
        <v>0</v>
      </c>
      <c r="AG301" s="6">
        <f>$O$301*$AA$301</f>
        <v>0</v>
      </c>
    </row>
    <row r="302" spans="1:33" ht="11.25" customHeight="1" x14ac:dyDescent="0.3">
      <c r="A302" s="4" t="s">
        <v>21</v>
      </c>
      <c r="B302" s="4" t="s">
        <v>39</v>
      </c>
      <c r="C302" s="4" t="s">
        <v>41</v>
      </c>
      <c r="D302" s="4" t="s">
        <v>52</v>
      </c>
      <c r="E302" s="4" t="s">
        <v>25</v>
      </c>
      <c r="F302" s="4" t="s">
        <v>25</v>
      </c>
      <c r="G302" s="4" t="s">
        <v>25</v>
      </c>
      <c r="H302" s="4" t="s">
        <v>25</v>
      </c>
      <c r="I302" s="5">
        <v>44743</v>
      </c>
      <c r="J302" s="6">
        <v>254</v>
      </c>
      <c r="K302" s="6">
        <v>254</v>
      </c>
      <c r="L302" s="6">
        <v>0</v>
      </c>
      <c r="M302" s="6">
        <v>0</v>
      </c>
      <c r="N302" s="6">
        <v>0</v>
      </c>
      <c r="O302" s="6">
        <v>0</v>
      </c>
      <c r="P302" s="6">
        <v>7</v>
      </c>
      <c r="Q302" s="4" t="s">
        <v>26</v>
      </c>
      <c r="R302" s="4">
        <v>0</v>
      </c>
      <c r="S302" s="6">
        <v>20</v>
      </c>
      <c r="T302" s="6">
        <v>0</v>
      </c>
      <c r="U302" s="6">
        <v>0</v>
      </c>
      <c r="V302" s="6">
        <f>IF(ISERROR(VLOOKUP($S$302,'TAR FIN'!$A$1:$O$113,15,0)),0,VLOOKUP($S$302,'TAR FIN'!$A$1:$O$113,15,0))</f>
        <v>14</v>
      </c>
      <c r="W302" s="6">
        <f>IF(ISERROR(VLOOKUP($T$302,'TAR FIN'!$A$1:$O$113,15,0)),0,VLOOKUP($T$302,'TAR FIN'!$A$1:$O$113,15,0))</f>
        <v>0</v>
      </c>
      <c r="X302" s="6">
        <f>IF(ISERROR(VLOOKUP($U$302,'TAR FIN'!$A$1:$O$113,15,0)),0,VLOOKUP($U$302,'TAR FIN'!$A$1:$O$113,15,0))</f>
        <v>0</v>
      </c>
      <c r="Y302" s="6">
        <f ca="1">('TUSD BE'!$AM$19+'TUSD BF_350'!$AM$19+'TUSD CVA'!$AM$19)*1</f>
        <v>16.035953923331604</v>
      </c>
      <c r="Z302" s="6"/>
      <c r="AA302" s="6"/>
      <c r="AB302" s="6">
        <f>$K$302*$V$302</f>
        <v>3556</v>
      </c>
      <c r="AC302" s="6">
        <f>$M$302*$W$302</f>
        <v>0</v>
      </c>
      <c r="AD302" s="6">
        <f>$O$302*$X$302</f>
        <v>0</v>
      </c>
      <c r="AE302" s="6">
        <f ca="1">$K$302*$Y$302</f>
        <v>4073.1322965262275</v>
      </c>
      <c r="AF302" s="6">
        <f>$M$302*$Z$302</f>
        <v>0</v>
      </c>
      <c r="AG302" s="6">
        <f>$O$302*$AA$302</f>
        <v>0</v>
      </c>
    </row>
    <row r="303" spans="1:33" ht="11.25" customHeight="1" x14ac:dyDescent="0.3">
      <c r="A303" s="4" t="s">
        <v>21</v>
      </c>
      <c r="B303" s="4" t="s">
        <v>39</v>
      </c>
      <c r="C303" s="4" t="s">
        <v>41</v>
      </c>
      <c r="D303" s="4" t="s">
        <v>52</v>
      </c>
      <c r="E303" s="4" t="s">
        <v>25</v>
      </c>
      <c r="F303" s="4" t="s">
        <v>25</v>
      </c>
      <c r="G303" s="4" t="s">
        <v>25</v>
      </c>
      <c r="H303" s="4" t="s">
        <v>25</v>
      </c>
      <c r="I303" s="5">
        <v>44774</v>
      </c>
      <c r="J303" s="6">
        <v>285</v>
      </c>
      <c r="K303" s="6">
        <v>285</v>
      </c>
      <c r="L303" s="6">
        <v>0</v>
      </c>
      <c r="M303" s="6">
        <v>0</v>
      </c>
      <c r="N303" s="6">
        <v>0</v>
      </c>
      <c r="O303" s="6">
        <v>0</v>
      </c>
      <c r="P303" s="6">
        <v>7</v>
      </c>
      <c r="Q303" s="4" t="s">
        <v>26</v>
      </c>
      <c r="R303" s="4">
        <v>0</v>
      </c>
      <c r="S303" s="6">
        <v>20</v>
      </c>
      <c r="T303" s="6">
        <v>0</v>
      </c>
      <c r="U303" s="6">
        <v>0</v>
      </c>
      <c r="V303" s="6">
        <f>IF(ISERROR(VLOOKUP($S$303,'TAR FIN'!$A$1:$O$113,15,0)),0,VLOOKUP($S$303,'TAR FIN'!$A$1:$O$113,15,0))</f>
        <v>14</v>
      </c>
      <c r="W303" s="6">
        <f>IF(ISERROR(VLOOKUP($T$303,'TAR FIN'!$A$1:$O$113,15,0)),0,VLOOKUP($T$303,'TAR FIN'!$A$1:$O$113,15,0))</f>
        <v>0</v>
      </c>
      <c r="X303" s="6">
        <f>IF(ISERROR(VLOOKUP($U$303,'TAR FIN'!$A$1:$O$113,15,0)),0,VLOOKUP($U$303,'TAR FIN'!$A$1:$O$113,15,0))</f>
        <v>0</v>
      </c>
      <c r="Y303" s="6">
        <f ca="1">('TUSD BE'!$AM$19+'TUSD BF_350'!$AM$19+'TUSD CVA'!$AM$19)*1</f>
        <v>16.035953923331604</v>
      </c>
      <c r="Z303" s="6"/>
      <c r="AA303" s="6"/>
      <c r="AB303" s="6">
        <f>$K$303*$V$303</f>
        <v>3990</v>
      </c>
      <c r="AC303" s="6">
        <f>$M$303*$W$303</f>
        <v>0</v>
      </c>
      <c r="AD303" s="6">
        <f>$O$303*$X$303</f>
        <v>0</v>
      </c>
      <c r="AE303" s="6">
        <f ca="1">$K$303*$Y$303</f>
        <v>4570.2468681495075</v>
      </c>
      <c r="AF303" s="6">
        <f>$M$303*$Z$303</f>
        <v>0</v>
      </c>
      <c r="AG303" s="6">
        <f>$O$303*$AA$303</f>
        <v>0</v>
      </c>
    </row>
    <row r="304" spans="1:33" ht="11.25" customHeight="1" x14ac:dyDescent="0.3">
      <c r="A304" s="4" t="s">
        <v>21</v>
      </c>
      <c r="B304" s="4" t="s">
        <v>39</v>
      </c>
      <c r="C304" s="4" t="s">
        <v>41</v>
      </c>
      <c r="D304" s="4" t="s">
        <v>52</v>
      </c>
      <c r="E304" s="4" t="s">
        <v>25</v>
      </c>
      <c r="F304" s="4" t="s">
        <v>25</v>
      </c>
      <c r="G304" s="4" t="s">
        <v>25</v>
      </c>
      <c r="H304" s="4" t="s">
        <v>25</v>
      </c>
      <c r="I304" s="5">
        <v>44805</v>
      </c>
      <c r="J304" s="6">
        <v>253</v>
      </c>
      <c r="K304" s="6">
        <v>253</v>
      </c>
      <c r="L304" s="6">
        <v>0</v>
      </c>
      <c r="M304" s="6">
        <v>0</v>
      </c>
      <c r="N304" s="6">
        <v>0</v>
      </c>
      <c r="O304" s="6">
        <v>0</v>
      </c>
      <c r="P304" s="6">
        <v>7</v>
      </c>
      <c r="Q304" s="4" t="s">
        <v>26</v>
      </c>
      <c r="R304" s="4">
        <v>0</v>
      </c>
      <c r="S304" s="6">
        <v>20</v>
      </c>
      <c r="T304" s="6">
        <v>0</v>
      </c>
      <c r="U304" s="6">
        <v>0</v>
      </c>
      <c r="V304" s="6">
        <f>IF(ISERROR(VLOOKUP($S$304,'TAR FIN'!$A$1:$O$113,15,0)),0,VLOOKUP($S$304,'TAR FIN'!$A$1:$O$113,15,0))</f>
        <v>14</v>
      </c>
      <c r="W304" s="6">
        <f>IF(ISERROR(VLOOKUP($T$304,'TAR FIN'!$A$1:$O$113,15,0)),0,VLOOKUP($T$304,'TAR FIN'!$A$1:$O$113,15,0))</f>
        <v>0</v>
      </c>
      <c r="X304" s="6">
        <f>IF(ISERROR(VLOOKUP($U$304,'TAR FIN'!$A$1:$O$113,15,0)),0,VLOOKUP($U$304,'TAR FIN'!$A$1:$O$113,15,0))</f>
        <v>0</v>
      </c>
      <c r="Y304" s="6">
        <f ca="1">('TUSD BE'!$AM$19+'TUSD BF_350'!$AM$19+'TUSD CVA'!$AM$19)*1</f>
        <v>16.035953923331604</v>
      </c>
      <c r="Z304" s="6"/>
      <c r="AA304" s="6"/>
      <c r="AB304" s="6">
        <f>$K$304*$V$304</f>
        <v>3542</v>
      </c>
      <c r="AC304" s="6">
        <f>$M$304*$W$304</f>
        <v>0</v>
      </c>
      <c r="AD304" s="6">
        <f>$O$304*$X$304</f>
        <v>0</v>
      </c>
      <c r="AE304" s="6">
        <f ca="1">$K$304*$Y$304</f>
        <v>4057.0963426028957</v>
      </c>
      <c r="AF304" s="6">
        <f>$M$304*$Z$304</f>
        <v>0</v>
      </c>
      <c r="AG304" s="6">
        <f>$O$304*$AA$304</f>
        <v>0</v>
      </c>
    </row>
    <row r="305" spans="1:33" ht="11.25" customHeight="1" x14ac:dyDescent="0.3">
      <c r="A305" s="4" t="s">
        <v>53</v>
      </c>
      <c r="B305" s="4" t="s">
        <v>39</v>
      </c>
      <c r="C305" s="4" t="s">
        <v>41</v>
      </c>
      <c r="D305" s="4" t="s">
        <v>52</v>
      </c>
      <c r="E305" s="4" t="s">
        <v>25</v>
      </c>
      <c r="F305" s="4" t="s">
        <v>25</v>
      </c>
      <c r="G305" s="4" t="s">
        <v>25</v>
      </c>
      <c r="H305" s="4" t="s">
        <v>25</v>
      </c>
      <c r="I305" s="5">
        <v>44835</v>
      </c>
      <c r="J305" s="6">
        <v>253</v>
      </c>
      <c r="K305" s="6">
        <v>253</v>
      </c>
      <c r="L305" s="6">
        <v>0</v>
      </c>
      <c r="M305" s="6">
        <v>0</v>
      </c>
      <c r="N305" s="6">
        <v>0</v>
      </c>
      <c r="O305" s="6">
        <v>0</v>
      </c>
      <c r="P305" s="6">
        <v>7</v>
      </c>
      <c r="Q305" s="4" t="s">
        <v>26</v>
      </c>
      <c r="R305" s="4">
        <v>0</v>
      </c>
      <c r="S305" s="6">
        <v>20</v>
      </c>
      <c r="T305" s="6">
        <v>0</v>
      </c>
      <c r="U305" s="6">
        <v>0</v>
      </c>
      <c r="V305" s="6">
        <f>IF(ISERROR(VLOOKUP($S$305,'TAR FIN'!$A$1:$O$113,15,0)),0,VLOOKUP($S$305,'TAR FIN'!$A$1:$O$113,15,0))</f>
        <v>14</v>
      </c>
      <c r="W305" s="6">
        <f>IF(ISERROR(VLOOKUP($T$305,'TAR FIN'!$A$1:$O$113,15,0)),0,VLOOKUP($T$305,'TAR FIN'!$A$1:$O$113,15,0))</f>
        <v>0</v>
      </c>
      <c r="X305" s="6">
        <f>IF(ISERROR(VLOOKUP($U$305,'TAR FIN'!$A$1:$O$113,15,0)),0,VLOOKUP($U$305,'TAR FIN'!$A$1:$O$113,15,0))</f>
        <v>0</v>
      </c>
      <c r="Y305" s="6">
        <f ca="1">('TUSD BE'!$AM$19+'TUSD BF_350'!$AM$19+'TUSD CVA'!$AM$19)*1</f>
        <v>16.035953923331604</v>
      </c>
      <c r="Z305" s="6"/>
      <c r="AA305" s="6"/>
      <c r="AB305" s="6">
        <f>$K$305*$V$305</f>
        <v>3542</v>
      </c>
      <c r="AC305" s="6">
        <f>$M$305*$W$305</f>
        <v>0</v>
      </c>
      <c r="AD305" s="6">
        <f>$O$305*$X$305</f>
        <v>0</v>
      </c>
      <c r="AE305" s="6">
        <f ca="1">$K$305*$Y$305</f>
        <v>4057.0963426028957</v>
      </c>
      <c r="AF305" s="6">
        <f>$M$305*$Z$305</f>
        <v>0</v>
      </c>
      <c r="AG305" s="6">
        <f>$O$305*$AA$305</f>
        <v>0</v>
      </c>
    </row>
    <row r="306" spans="1:33" ht="11.25" customHeight="1" x14ac:dyDescent="0.3">
      <c r="A306" s="4" t="s">
        <v>21</v>
      </c>
      <c r="B306" s="4" t="s">
        <v>39</v>
      </c>
      <c r="C306" s="4" t="s">
        <v>41</v>
      </c>
      <c r="D306" s="4" t="s">
        <v>52</v>
      </c>
      <c r="E306" s="4" t="s">
        <v>25</v>
      </c>
      <c r="F306" s="4" t="s">
        <v>25</v>
      </c>
      <c r="G306" s="4" t="s">
        <v>25</v>
      </c>
      <c r="H306" s="4" t="s">
        <v>34</v>
      </c>
      <c r="I306" s="5">
        <v>44501</v>
      </c>
      <c r="J306" s="6">
        <v>0</v>
      </c>
      <c r="K306" s="6">
        <v>0</v>
      </c>
      <c r="L306" s="6">
        <v>4.4749999999999996</v>
      </c>
      <c r="M306" s="6">
        <v>4.4749999999999996</v>
      </c>
      <c r="N306" s="6">
        <v>4.4749999999999996</v>
      </c>
      <c r="O306" s="6">
        <v>4.4749999999999996</v>
      </c>
      <c r="P306" s="6">
        <v>0</v>
      </c>
      <c r="Q306" s="4" t="s">
        <v>26</v>
      </c>
      <c r="R306" s="4">
        <v>0</v>
      </c>
      <c r="S306" s="6">
        <v>0</v>
      </c>
      <c r="T306" s="6">
        <v>8</v>
      </c>
      <c r="U306" s="6">
        <v>38</v>
      </c>
      <c r="V306" s="6">
        <f>IF(ISERROR(VLOOKUP($S$306,'TAR FIN'!$A$1:$O$113,15,0)),0,VLOOKUP($S$306,'TAR FIN'!$A$1:$O$113,15,0))</f>
        <v>0</v>
      </c>
      <c r="W306" s="6">
        <f>IF(ISERROR(VLOOKUP($T$306,'TAR FIN'!$A$1:$O$113,15,0)),0,VLOOKUP($T$306,'TAR FIN'!$A$1:$O$113,15,0))</f>
        <v>940.43</v>
      </c>
      <c r="X306" s="6">
        <f>IF(ISERROR(VLOOKUP($U$306,'TAR FIN'!$A$1:$O$113,15,0)),0,VLOOKUP($U$306,'TAR FIN'!$A$1:$O$113,15,0))</f>
        <v>442.86</v>
      </c>
      <c r="Y306" s="6"/>
      <c r="Z306" s="6">
        <f ca="1">('TUSD BE'!$AM$20+'TUSD BF_350'!$AM$20+'TUSD CVA'!$AM$20)*1</f>
        <v>1117.8285588949407</v>
      </c>
      <c r="AA306" s="6">
        <f ca="1">('TE BE'!$AB$9+'TE BF_350'!$AB$9+'TE CVA'!$AB$9)*1</f>
        <v>379.30999999999995</v>
      </c>
      <c r="AB306" s="6">
        <f>$K$306*$V$306</f>
        <v>0</v>
      </c>
      <c r="AC306" s="6">
        <f>$M$306*$W$306</f>
        <v>4208.4242499999991</v>
      </c>
      <c r="AD306" s="6">
        <f>$O$306*$X$306</f>
        <v>1981.7984999999999</v>
      </c>
      <c r="AE306" s="6">
        <f>$K$306*$Y$306</f>
        <v>0</v>
      </c>
      <c r="AF306" s="6">
        <f ca="1">$M$306*$Z$306</f>
        <v>5002.2828010548592</v>
      </c>
      <c r="AG306" s="6">
        <f ca="1">$O$306*$AA$306</f>
        <v>1697.4122499999996</v>
      </c>
    </row>
    <row r="307" spans="1:33" ht="11.25" customHeight="1" x14ac:dyDescent="0.3">
      <c r="A307" s="4" t="s">
        <v>21</v>
      </c>
      <c r="B307" s="4" t="s">
        <v>39</v>
      </c>
      <c r="C307" s="4" t="s">
        <v>41</v>
      </c>
      <c r="D307" s="4" t="s">
        <v>52</v>
      </c>
      <c r="E307" s="4" t="s">
        <v>25</v>
      </c>
      <c r="F307" s="4" t="s">
        <v>25</v>
      </c>
      <c r="G307" s="4" t="s">
        <v>25</v>
      </c>
      <c r="H307" s="4" t="s">
        <v>34</v>
      </c>
      <c r="I307" s="5">
        <v>44531</v>
      </c>
      <c r="J307" s="6">
        <v>0</v>
      </c>
      <c r="K307" s="6">
        <v>0</v>
      </c>
      <c r="L307" s="6">
        <v>4.2549999999999999</v>
      </c>
      <c r="M307" s="6">
        <v>4.2549999999999999</v>
      </c>
      <c r="N307" s="6">
        <v>4.2549999999999999</v>
      </c>
      <c r="O307" s="6">
        <v>4.2549999999999999</v>
      </c>
      <c r="P307" s="6">
        <v>0</v>
      </c>
      <c r="Q307" s="4" t="s">
        <v>26</v>
      </c>
      <c r="R307" s="4">
        <v>0</v>
      </c>
      <c r="S307" s="6">
        <v>0</v>
      </c>
      <c r="T307" s="6">
        <v>8</v>
      </c>
      <c r="U307" s="6">
        <v>38</v>
      </c>
      <c r="V307" s="6">
        <f>IF(ISERROR(VLOOKUP($S$307,'TAR FIN'!$A$1:$O$113,15,0)),0,VLOOKUP($S$307,'TAR FIN'!$A$1:$O$113,15,0))</f>
        <v>0</v>
      </c>
      <c r="W307" s="6">
        <f>IF(ISERROR(VLOOKUP($T$307,'TAR FIN'!$A$1:$O$113,15,0)),0,VLOOKUP($T$307,'TAR FIN'!$A$1:$O$113,15,0))</f>
        <v>940.43</v>
      </c>
      <c r="X307" s="6">
        <f>IF(ISERROR(VLOOKUP($U$307,'TAR FIN'!$A$1:$O$113,15,0)),0,VLOOKUP($U$307,'TAR FIN'!$A$1:$O$113,15,0))</f>
        <v>442.86</v>
      </c>
      <c r="Y307" s="6"/>
      <c r="Z307" s="6">
        <f ca="1">('TUSD BE'!$AM$20+'TUSD BF_350'!$AM$20+'TUSD CVA'!$AM$20)*1</f>
        <v>1117.8285588949407</v>
      </c>
      <c r="AA307" s="6">
        <f ca="1">('TE BE'!$AB$9+'TE BF_350'!$AB$9+'TE CVA'!$AB$9)*1</f>
        <v>379.30999999999995</v>
      </c>
      <c r="AB307" s="6">
        <f>$K$307*$V$307</f>
        <v>0</v>
      </c>
      <c r="AC307" s="6">
        <f>$M$307*$W$307</f>
        <v>4001.5296499999995</v>
      </c>
      <c r="AD307" s="6">
        <f>$O$307*$X$307</f>
        <v>1884.3693000000001</v>
      </c>
      <c r="AE307" s="6">
        <f>$K$307*$Y$307</f>
        <v>0</v>
      </c>
      <c r="AF307" s="6">
        <f ca="1">$M$307*$Z$307</f>
        <v>4756.3605180979721</v>
      </c>
      <c r="AG307" s="6">
        <f ca="1">$O$307*$AA$307</f>
        <v>1613.9640499999998</v>
      </c>
    </row>
    <row r="308" spans="1:33" ht="11.25" customHeight="1" x14ac:dyDescent="0.3">
      <c r="A308" s="4" t="s">
        <v>21</v>
      </c>
      <c r="B308" s="4" t="s">
        <v>39</v>
      </c>
      <c r="C308" s="4" t="s">
        <v>41</v>
      </c>
      <c r="D308" s="4" t="s">
        <v>52</v>
      </c>
      <c r="E308" s="4" t="s">
        <v>25</v>
      </c>
      <c r="F308" s="4" t="s">
        <v>25</v>
      </c>
      <c r="G308" s="4" t="s">
        <v>25</v>
      </c>
      <c r="H308" s="4" t="s">
        <v>34</v>
      </c>
      <c r="I308" s="5">
        <v>44562</v>
      </c>
      <c r="J308" s="6">
        <v>0</v>
      </c>
      <c r="K308" s="6">
        <v>0</v>
      </c>
      <c r="L308" s="6">
        <v>5.1749999999999998</v>
      </c>
      <c r="M308" s="6">
        <v>5.1749999999999998</v>
      </c>
      <c r="N308" s="6">
        <v>5.1749999999999998</v>
      </c>
      <c r="O308" s="6">
        <v>5.1749999999999998</v>
      </c>
      <c r="P308" s="6">
        <v>0</v>
      </c>
      <c r="Q308" s="4" t="s">
        <v>26</v>
      </c>
      <c r="R308" s="4">
        <v>0</v>
      </c>
      <c r="S308" s="6">
        <v>0</v>
      </c>
      <c r="T308" s="6">
        <v>8</v>
      </c>
      <c r="U308" s="6">
        <v>38</v>
      </c>
      <c r="V308" s="6">
        <f>IF(ISERROR(VLOOKUP($S$308,'TAR FIN'!$A$1:$O$113,15,0)),0,VLOOKUP($S$308,'TAR FIN'!$A$1:$O$113,15,0))</f>
        <v>0</v>
      </c>
      <c r="W308" s="6">
        <f>IF(ISERROR(VLOOKUP($T$308,'TAR FIN'!$A$1:$O$113,15,0)),0,VLOOKUP($T$308,'TAR FIN'!$A$1:$O$113,15,0))</f>
        <v>940.43</v>
      </c>
      <c r="X308" s="6">
        <f>IF(ISERROR(VLOOKUP($U$308,'TAR FIN'!$A$1:$O$113,15,0)),0,VLOOKUP($U$308,'TAR FIN'!$A$1:$O$113,15,0))</f>
        <v>442.86</v>
      </c>
      <c r="Y308" s="6"/>
      <c r="Z308" s="6">
        <f ca="1">('TUSD BE'!$AM$20+'TUSD BF_350'!$AM$20+'TUSD CVA'!$AM$20)*1</f>
        <v>1117.8285588949407</v>
      </c>
      <c r="AA308" s="6">
        <f ca="1">('TE BE'!$AB$9+'TE BF_350'!$AB$9+'TE CVA'!$AB$9)*1</f>
        <v>379.30999999999995</v>
      </c>
      <c r="AB308" s="6">
        <f>$K$308*$V$308</f>
        <v>0</v>
      </c>
      <c r="AC308" s="6">
        <f>$M$308*$W$308</f>
        <v>4866.7252499999995</v>
      </c>
      <c r="AD308" s="6">
        <f>$O$308*$X$308</f>
        <v>2291.8004999999998</v>
      </c>
      <c r="AE308" s="6">
        <f>$K$308*$Y$308</f>
        <v>0</v>
      </c>
      <c r="AF308" s="6">
        <f ca="1">$M$308*$Z$308</f>
        <v>5784.7627922813181</v>
      </c>
      <c r="AG308" s="6">
        <f ca="1">$O$308*$AA$308</f>
        <v>1962.9292499999997</v>
      </c>
    </row>
    <row r="309" spans="1:33" ht="11.25" customHeight="1" x14ac:dyDescent="0.3">
      <c r="A309" s="4" t="s">
        <v>21</v>
      </c>
      <c r="B309" s="4" t="s">
        <v>39</v>
      </c>
      <c r="C309" s="4" t="s">
        <v>41</v>
      </c>
      <c r="D309" s="4" t="s">
        <v>52</v>
      </c>
      <c r="E309" s="4" t="s">
        <v>25</v>
      </c>
      <c r="F309" s="4" t="s">
        <v>25</v>
      </c>
      <c r="G309" s="4" t="s">
        <v>25</v>
      </c>
      <c r="H309" s="4" t="s">
        <v>34</v>
      </c>
      <c r="I309" s="5">
        <v>44593</v>
      </c>
      <c r="J309" s="6">
        <v>0</v>
      </c>
      <c r="K309" s="6">
        <v>0</v>
      </c>
      <c r="L309" s="6">
        <v>4.7939999999999996</v>
      </c>
      <c r="M309" s="6">
        <v>4.7939999999999996</v>
      </c>
      <c r="N309" s="6">
        <v>4.7939999999999996</v>
      </c>
      <c r="O309" s="6">
        <v>4.7939999999999996</v>
      </c>
      <c r="P309" s="6">
        <v>0</v>
      </c>
      <c r="Q309" s="4" t="s">
        <v>26</v>
      </c>
      <c r="R309" s="4">
        <v>0</v>
      </c>
      <c r="S309" s="6">
        <v>0</v>
      </c>
      <c r="T309" s="6">
        <v>8</v>
      </c>
      <c r="U309" s="6">
        <v>38</v>
      </c>
      <c r="V309" s="6">
        <f>IF(ISERROR(VLOOKUP($S$309,'TAR FIN'!$A$1:$O$113,15,0)),0,VLOOKUP($S$309,'TAR FIN'!$A$1:$O$113,15,0))</f>
        <v>0</v>
      </c>
      <c r="W309" s="6">
        <f>IF(ISERROR(VLOOKUP($T$309,'TAR FIN'!$A$1:$O$113,15,0)),0,VLOOKUP($T$309,'TAR FIN'!$A$1:$O$113,15,0))</f>
        <v>940.43</v>
      </c>
      <c r="X309" s="6">
        <f>IF(ISERROR(VLOOKUP($U$309,'TAR FIN'!$A$1:$O$113,15,0)),0,VLOOKUP($U$309,'TAR FIN'!$A$1:$O$113,15,0))</f>
        <v>442.86</v>
      </c>
      <c r="Y309" s="6"/>
      <c r="Z309" s="6">
        <f ca="1">('TUSD BE'!$AM$20+'TUSD BF_350'!$AM$20+'TUSD CVA'!$AM$20)*1</f>
        <v>1117.8285588949407</v>
      </c>
      <c r="AA309" s="6">
        <f ca="1">('TE BE'!$AB$9+'TE BF_350'!$AB$9+'TE CVA'!$AB$9)*1</f>
        <v>379.30999999999995</v>
      </c>
      <c r="AB309" s="6">
        <f>$K$309*$V$309</f>
        <v>0</v>
      </c>
      <c r="AC309" s="6">
        <f>$M$309*$W$309</f>
        <v>4508.4214199999997</v>
      </c>
      <c r="AD309" s="6">
        <f>$O$309*$X$309</f>
        <v>2123.0708399999999</v>
      </c>
      <c r="AE309" s="6">
        <f>$K$309*$Y$309</f>
        <v>0</v>
      </c>
      <c r="AF309" s="6">
        <f ca="1">$M$309*$Z$309</f>
        <v>5358.8701113423449</v>
      </c>
      <c r="AG309" s="6">
        <f ca="1">$O$309*$AA$309</f>
        <v>1818.4121399999997</v>
      </c>
    </row>
    <row r="310" spans="1:33" ht="11.25" customHeight="1" x14ac:dyDescent="0.3">
      <c r="A310" s="4" t="s">
        <v>21</v>
      </c>
      <c r="B310" s="4" t="s">
        <v>39</v>
      </c>
      <c r="C310" s="4" t="s">
        <v>41</v>
      </c>
      <c r="D310" s="4" t="s">
        <v>52</v>
      </c>
      <c r="E310" s="4" t="s">
        <v>25</v>
      </c>
      <c r="F310" s="4" t="s">
        <v>25</v>
      </c>
      <c r="G310" s="4" t="s">
        <v>25</v>
      </c>
      <c r="H310" s="4" t="s">
        <v>34</v>
      </c>
      <c r="I310" s="5">
        <v>44621</v>
      </c>
      <c r="J310" s="6">
        <v>0</v>
      </c>
      <c r="K310" s="6">
        <v>0</v>
      </c>
      <c r="L310" s="6">
        <v>4.569</v>
      </c>
      <c r="M310" s="6">
        <v>4.569</v>
      </c>
      <c r="N310" s="6">
        <v>4.569</v>
      </c>
      <c r="O310" s="6">
        <v>4.569</v>
      </c>
      <c r="P310" s="6">
        <v>0</v>
      </c>
      <c r="Q310" s="4" t="s">
        <v>26</v>
      </c>
      <c r="R310" s="4">
        <v>0</v>
      </c>
      <c r="S310" s="6">
        <v>0</v>
      </c>
      <c r="T310" s="6">
        <v>8</v>
      </c>
      <c r="U310" s="6">
        <v>38</v>
      </c>
      <c r="V310" s="6">
        <f>IF(ISERROR(VLOOKUP($S$310,'TAR FIN'!$A$1:$O$113,15,0)),0,VLOOKUP($S$310,'TAR FIN'!$A$1:$O$113,15,0))</f>
        <v>0</v>
      </c>
      <c r="W310" s="6">
        <f>IF(ISERROR(VLOOKUP($T$310,'TAR FIN'!$A$1:$O$113,15,0)),0,VLOOKUP($T$310,'TAR FIN'!$A$1:$O$113,15,0))</f>
        <v>940.43</v>
      </c>
      <c r="X310" s="6">
        <f>IF(ISERROR(VLOOKUP($U$310,'TAR FIN'!$A$1:$O$113,15,0)),0,VLOOKUP($U$310,'TAR FIN'!$A$1:$O$113,15,0))</f>
        <v>442.86</v>
      </c>
      <c r="Y310" s="6"/>
      <c r="Z310" s="6">
        <f ca="1">('TUSD BE'!$AM$20+'TUSD BF_350'!$AM$20+'TUSD CVA'!$AM$20)*1</f>
        <v>1117.8285588949407</v>
      </c>
      <c r="AA310" s="6">
        <f ca="1">('TE BE'!$AB$9+'TE BF_350'!$AB$9+'TE CVA'!$AB$9)*1</f>
        <v>379.30999999999995</v>
      </c>
      <c r="AB310" s="6">
        <f>$K$310*$V$310</f>
        <v>0</v>
      </c>
      <c r="AC310" s="6">
        <f>$M$310*$W$310</f>
        <v>4296.82467</v>
      </c>
      <c r="AD310" s="6">
        <f>$O$310*$X$310</f>
        <v>2023.42734</v>
      </c>
      <c r="AE310" s="6">
        <f>$K$310*$Y$310</f>
        <v>0</v>
      </c>
      <c r="AF310" s="6">
        <f ca="1">$M$310*$Z$310</f>
        <v>5107.3586855909834</v>
      </c>
      <c r="AG310" s="6">
        <f ca="1">$O$310*$AA$310</f>
        <v>1733.0673899999997</v>
      </c>
    </row>
    <row r="311" spans="1:33" ht="11.25" customHeight="1" x14ac:dyDescent="0.3">
      <c r="A311" s="4" t="s">
        <v>21</v>
      </c>
      <c r="B311" s="4" t="s">
        <v>39</v>
      </c>
      <c r="C311" s="4" t="s">
        <v>41</v>
      </c>
      <c r="D311" s="4" t="s">
        <v>52</v>
      </c>
      <c r="E311" s="4" t="s">
        <v>25</v>
      </c>
      <c r="F311" s="4" t="s">
        <v>25</v>
      </c>
      <c r="G311" s="4" t="s">
        <v>25</v>
      </c>
      <c r="H311" s="4" t="s">
        <v>34</v>
      </c>
      <c r="I311" s="5">
        <v>44652</v>
      </c>
      <c r="J311" s="6">
        <v>0</v>
      </c>
      <c r="K311" s="6">
        <v>0</v>
      </c>
      <c r="L311" s="6">
        <v>5.274</v>
      </c>
      <c r="M311" s="6">
        <v>5.274</v>
      </c>
      <c r="N311" s="6">
        <v>5.274</v>
      </c>
      <c r="O311" s="6">
        <v>5.274</v>
      </c>
      <c r="P311" s="6">
        <v>0</v>
      </c>
      <c r="Q311" s="4" t="s">
        <v>26</v>
      </c>
      <c r="R311" s="4">
        <v>0</v>
      </c>
      <c r="S311" s="6">
        <v>0</v>
      </c>
      <c r="T311" s="6">
        <v>8</v>
      </c>
      <c r="U311" s="6">
        <v>38</v>
      </c>
      <c r="V311" s="6">
        <f>IF(ISERROR(VLOOKUP($S$311,'TAR FIN'!$A$1:$O$113,15,0)),0,VLOOKUP($S$311,'TAR FIN'!$A$1:$O$113,15,0))</f>
        <v>0</v>
      </c>
      <c r="W311" s="6">
        <f>IF(ISERROR(VLOOKUP($T$311,'TAR FIN'!$A$1:$O$113,15,0)),0,VLOOKUP($T$311,'TAR FIN'!$A$1:$O$113,15,0))</f>
        <v>940.43</v>
      </c>
      <c r="X311" s="6">
        <f>IF(ISERROR(VLOOKUP($U$311,'TAR FIN'!$A$1:$O$113,15,0)),0,VLOOKUP($U$311,'TAR FIN'!$A$1:$O$113,15,0))</f>
        <v>442.86</v>
      </c>
      <c r="Y311" s="6"/>
      <c r="Z311" s="6">
        <f ca="1">('TUSD BE'!$AM$20+'TUSD BF_350'!$AM$20+'TUSD CVA'!$AM$20)*1</f>
        <v>1117.8285588949407</v>
      </c>
      <c r="AA311" s="6">
        <f ca="1">('TE BE'!$AB$9+'TE BF_350'!$AB$9+'TE CVA'!$AB$9)*1</f>
        <v>379.30999999999995</v>
      </c>
      <c r="AB311" s="6">
        <f>$K$311*$V$311</f>
        <v>0</v>
      </c>
      <c r="AC311" s="6">
        <f>$M$311*$W$311</f>
        <v>4959.8278199999995</v>
      </c>
      <c r="AD311" s="6">
        <f>$O$311*$X$311</f>
        <v>2335.6436400000002</v>
      </c>
      <c r="AE311" s="6">
        <f>$K$311*$Y$311</f>
        <v>0</v>
      </c>
      <c r="AF311" s="6">
        <f ca="1">$M$311*$Z$311</f>
        <v>5895.4278196119167</v>
      </c>
      <c r="AG311" s="6">
        <f ca="1">$O$311*$AA$311</f>
        <v>2000.4809399999997</v>
      </c>
    </row>
    <row r="312" spans="1:33" ht="11.25" customHeight="1" x14ac:dyDescent="0.3">
      <c r="A312" s="4" t="s">
        <v>21</v>
      </c>
      <c r="B312" s="4" t="s">
        <v>39</v>
      </c>
      <c r="C312" s="4" t="s">
        <v>41</v>
      </c>
      <c r="D312" s="4" t="s">
        <v>52</v>
      </c>
      <c r="E312" s="4" t="s">
        <v>25</v>
      </c>
      <c r="F312" s="4" t="s">
        <v>25</v>
      </c>
      <c r="G312" s="4" t="s">
        <v>25</v>
      </c>
      <c r="H312" s="4" t="s">
        <v>34</v>
      </c>
      <c r="I312" s="5">
        <v>44682</v>
      </c>
      <c r="J312" s="6">
        <v>0</v>
      </c>
      <c r="K312" s="6">
        <v>0</v>
      </c>
      <c r="L312" s="6">
        <v>4.6159999999999997</v>
      </c>
      <c r="M312" s="6">
        <v>4.6159999999999997</v>
      </c>
      <c r="N312" s="6">
        <v>4.6159999999999997</v>
      </c>
      <c r="O312" s="6">
        <v>4.6159999999999997</v>
      </c>
      <c r="P312" s="6">
        <v>0</v>
      </c>
      <c r="Q312" s="4" t="s">
        <v>26</v>
      </c>
      <c r="R312" s="4">
        <v>0</v>
      </c>
      <c r="S312" s="6">
        <v>0</v>
      </c>
      <c r="T312" s="6">
        <v>8</v>
      </c>
      <c r="U312" s="6">
        <v>38</v>
      </c>
      <c r="V312" s="6">
        <f>IF(ISERROR(VLOOKUP($S$312,'TAR FIN'!$A$1:$O$113,15,0)),0,VLOOKUP($S$312,'TAR FIN'!$A$1:$O$113,15,0))</f>
        <v>0</v>
      </c>
      <c r="W312" s="6">
        <f>IF(ISERROR(VLOOKUP($T$312,'TAR FIN'!$A$1:$O$113,15,0)),0,VLOOKUP($T$312,'TAR FIN'!$A$1:$O$113,15,0))</f>
        <v>940.43</v>
      </c>
      <c r="X312" s="6">
        <f>IF(ISERROR(VLOOKUP($U$312,'TAR FIN'!$A$1:$O$113,15,0)),0,VLOOKUP($U$312,'TAR FIN'!$A$1:$O$113,15,0))</f>
        <v>442.86</v>
      </c>
      <c r="Y312" s="6"/>
      <c r="Z312" s="6">
        <f ca="1">('TUSD BE'!$AM$20+'TUSD BF_350'!$AM$20+'TUSD CVA'!$AM$20)*1</f>
        <v>1117.8285588949407</v>
      </c>
      <c r="AA312" s="6">
        <f ca="1">('TE BE'!$AB$9+'TE BF_350'!$AB$9+'TE CVA'!$AB$9)*1</f>
        <v>379.30999999999995</v>
      </c>
      <c r="AB312" s="6">
        <f>$K$312*$V$312</f>
        <v>0</v>
      </c>
      <c r="AC312" s="6">
        <f>$M$312*$W$312</f>
        <v>4341.024879999999</v>
      </c>
      <c r="AD312" s="6">
        <f>$O$312*$X$312</f>
        <v>2044.2417599999999</v>
      </c>
      <c r="AE312" s="6">
        <f>$K$312*$Y$312</f>
        <v>0</v>
      </c>
      <c r="AF312" s="6">
        <f ca="1">$M$312*$Z$312</f>
        <v>5159.896627859046</v>
      </c>
      <c r="AG312" s="6">
        <f ca="1">$O$312*$AA$312</f>
        <v>1750.8949599999996</v>
      </c>
    </row>
    <row r="313" spans="1:33" ht="11.25" customHeight="1" x14ac:dyDescent="0.3">
      <c r="A313" s="4" t="s">
        <v>21</v>
      </c>
      <c r="B313" s="4" t="s">
        <v>39</v>
      </c>
      <c r="C313" s="4" t="s">
        <v>41</v>
      </c>
      <c r="D313" s="4" t="s">
        <v>52</v>
      </c>
      <c r="E313" s="4" t="s">
        <v>25</v>
      </c>
      <c r="F313" s="4" t="s">
        <v>25</v>
      </c>
      <c r="G313" s="4" t="s">
        <v>25</v>
      </c>
      <c r="H313" s="4" t="s">
        <v>34</v>
      </c>
      <c r="I313" s="5">
        <v>44713</v>
      </c>
      <c r="J313" s="6">
        <v>0</v>
      </c>
      <c r="K313" s="6">
        <v>0</v>
      </c>
      <c r="L313" s="6">
        <v>5.0890000000000004</v>
      </c>
      <c r="M313" s="6">
        <v>5.0890000000000004</v>
      </c>
      <c r="N313" s="6">
        <v>5.0890000000000004</v>
      </c>
      <c r="O313" s="6">
        <v>5.0890000000000004</v>
      </c>
      <c r="P313" s="6">
        <v>0</v>
      </c>
      <c r="Q313" s="4" t="s">
        <v>26</v>
      </c>
      <c r="R313" s="4">
        <v>0</v>
      </c>
      <c r="S313" s="6">
        <v>0</v>
      </c>
      <c r="T313" s="6">
        <v>8</v>
      </c>
      <c r="U313" s="6">
        <v>38</v>
      </c>
      <c r="V313" s="6">
        <f>IF(ISERROR(VLOOKUP($S$313,'TAR FIN'!$A$1:$O$113,15,0)),0,VLOOKUP($S$313,'TAR FIN'!$A$1:$O$113,15,0))</f>
        <v>0</v>
      </c>
      <c r="W313" s="6">
        <f>IF(ISERROR(VLOOKUP($T$313,'TAR FIN'!$A$1:$O$113,15,0)),0,VLOOKUP($T$313,'TAR FIN'!$A$1:$O$113,15,0))</f>
        <v>940.43</v>
      </c>
      <c r="X313" s="6">
        <f>IF(ISERROR(VLOOKUP($U$313,'TAR FIN'!$A$1:$O$113,15,0)),0,VLOOKUP($U$313,'TAR FIN'!$A$1:$O$113,15,0))</f>
        <v>442.86</v>
      </c>
      <c r="Y313" s="6"/>
      <c r="Z313" s="6">
        <f ca="1">('TUSD BE'!$AM$20+'TUSD BF_350'!$AM$20+'TUSD CVA'!$AM$20)*1</f>
        <v>1117.8285588949407</v>
      </c>
      <c r="AA313" s="6">
        <f ca="1">('TE BE'!$AB$9+'TE BF_350'!$AB$9+'TE CVA'!$AB$9)*1</f>
        <v>379.30999999999995</v>
      </c>
      <c r="AB313" s="6">
        <f>$K$313*$V$313</f>
        <v>0</v>
      </c>
      <c r="AC313" s="6">
        <f>$M$313*$W$313</f>
        <v>4785.8482700000004</v>
      </c>
      <c r="AD313" s="6">
        <f>$O$313*$X$313</f>
        <v>2253.7145400000004</v>
      </c>
      <c r="AE313" s="6">
        <f>$K$313*$Y$313</f>
        <v>0</v>
      </c>
      <c r="AF313" s="6">
        <f ca="1">$M$313*$Z$313</f>
        <v>5688.6295362163537</v>
      </c>
      <c r="AG313" s="6">
        <f ca="1">$O$313*$AA$313</f>
        <v>1930.3085899999999</v>
      </c>
    </row>
    <row r="314" spans="1:33" ht="11.25" customHeight="1" x14ac:dyDescent="0.3">
      <c r="A314" s="4" t="s">
        <v>21</v>
      </c>
      <c r="B314" s="4" t="s">
        <v>39</v>
      </c>
      <c r="C314" s="4" t="s">
        <v>41</v>
      </c>
      <c r="D314" s="4" t="s">
        <v>52</v>
      </c>
      <c r="E314" s="4" t="s">
        <v>25</v>
      </c>
      <c r="F314" s="4" t="s">
        <v>25</v>
      </c>
      <c r="G314" s="4" t="s">
        <v>25</v>
      </c>
      <c r="H314" s="4" t="s">
        <v>34</v>
      </c>
      <c r="I314" s="5">
        <v>44743</v>
      </c>
      <c r="J314" s="6">
        <v>0</v>
      </c>
      <c r="K314" s="6">
        <v>0</v>
      </c>
      <c r="L314" s="6">
        <v>4.7629999999999999</v>
      </c>
      <c r="M314" s="6">
        <v>4.7629999999999999</v>
      </c>
      <c r="N314" s="6">
        <v>4.7629999999999999</v>
      </c>
      <c r="O314" s="6">
        <v>4.7629999999999999</v>
      </c>
      <c r="P314" s="6">
        <v>0</v>
      </c>
      <c r="Q314" s="4" t="s">
        <v>26</v>
      </c>
      <c r="R314" s="4">
        <v>0</v>
      </c>
      <c r="S314" s="6">
        <v>0</v>
      </c>
      <c r="T314" s="6">
        <v>8</v>
      </c>
      <c r="U314" s="6">
        <v>38</v>
      </c>
      <c r="V314" s="6">
        <f>IF(ISERROR(VLOOKUP($S$314,'TAR FIN'!$A$1:$O$113,15,0)),0,VLOOKUP($S$314,'TAR FIN'!$A$1:$O$113,15,0))</f>
        <v>0</v>
      </c>
      <c r="W314" s="6">
        <f>IF(ISERROR(VLOOKUP($T$314,'TAR FIN'!$A$1:$O$113,15,0)),0,VLOOKUP($T$314,'TAR FIN'!$A$1:$O$113,15,0))</f>
        <v>940.43</v>
      </c>
      <c r="X314" s="6">
        <f>IF(ISERROR(VLOOKUP($U$314,'TAR FIN'!$A$1:$O$113,15,0)),0,VLOOKUP($U$314,'TAR FIN'!$A$1:$O$113,15,0))</f>
        <v>442.86</v>
      </c>
      <c r="Y314" s="6"/>
      <c r="Z314" s="6">
        <f ca="1">('TUSD BE'!$AM$20+'TUSD BF_350'!$AM$20+'TUSD CVA'!$AM$20)*1</f>
        <v>1117.8285588949407</v>
      </c>
      <c r="AA314" s="6">
        <f ca="1">('TE BE'!$AB$9+'TE BF_350'!$AB$9+'TE CVA'!$AB$9)*1</f>
        <v>379.30999999999995</v>
      </c>
      <c r="AB314" s="6">
        <f>$K$314*$V$314</f>
        <v>0</v>
      </c>
      <c r="AC314" s="6">
        <f>$M$314*$W$314</f>
        <v>4479.2680899999996</v>
      </c>
      <c r="AD314" s="6">
        <f>$O$314*$X$314</f>
        <v>2109.3421800000001</v>
      </c>
      <c r="AE314" s="6">
        <f>$K$314*$Y$314</f>
        <v>0</v>
      </c>
      <c r="AF314" s="6">
        <f ca="1">$M$314*$Z$314</f>
        <v>5324.2174260166021</v>
      </c>
      <c r="AG314" s="6">
        <f ca="1">$O$314*$AA$314</f>
        <v>1806.6535299999996</v>
      </c>
    </row>
    <row r="315" spans="1:33" ht="11.25" customHeight="1" x14ac:dyDescent="0.3">
      <c r="A315" s="4" t="s">
        <v>21</v>
      </c>
      <c r="B315" s="4" t="s">
        <v>39</v>
      </c>
      <c r="C315" s="4" t="s">
        <v>41</v>
      </c>
      <c r="D315" s="4" t="s">
        <v>52</v>
      </c>
      <c r="E315" s="4" t="s">
        <v>25</v>
      </c>
      <c r="F315" s="4" t="s">
        <v>25</v>
      </c>
      <c r="G315" s="4" t="s">
        <v>25</v>
      </c>
      <c r="H315" s="4" t="s">
        <v>34</v>
      </c>
      <c r="I315" s="5">
        <v>44774</v>
      </c>
      <c r="J315" s="6">
        <v>0</v>
      </c>
      <c r="K315" s="6">
        <v>0</v>
      </c>
      <c r="L315" s="6">
        <v>4.9459999999999997</v>
      </c>
      <c r="M315" s="6">
        <v>4.9459999999999997</v>
      </c>
      <c r="N315" s="6">
        <v>4.9459999999999997</v>
      </c>
      <c r="O315" s="6">
        <v>4.9459999999999997</v>
      </c>
      <c r="P315" s="6">
        <v>0</v>
      </c>
      <c r="Q315" s="4" t="s">
        <v>26</v>
      </c>
      <c r="R315" s="4">
        <v>0</v>
      </c>
      <c r="S315" s="6">
        <v>0</v>
      </c>
      <c r="T315" s="6">
        <v>8</v>
      </c>
      <c r="U315" s="6">
        <v>38</v>
      </c>
      <c r="V315" s="6">
        <f>IF(ISERROR(VLOOKUP($S$315,'TAR FIN'!$A$1:$O$113,15,0)),0,VLOOKUP($S$315,'TAR FIN'!$A$1:$O$113,15,0))</f>
        <v>0</v>
      </c>
      <c r="W315" s="6">
        <f>IF(ISERROR(VLOOKUP($T$315,'TAR FIN'!$A$1:$O$113,15,0)),0,VLOOKUP($T$315,'TAR FIN'!$A$1:$O$113,15,0))</f>
        <v>940.43</v>
      </c>
      <c r="X315" s="6">
        <f>IF(ISERROR(VLOOKUP($U$315,'TAR FIN'!$A$1:$O$113,15,0)),0,VLOOKUP($U$315,'TAR FIN'!$A$1:$O$113,15,0))</f>
        <v>442.86</v>
      </c>
      <c r="Y315" s="6"/>
      <c r="Z315" s="6">
        <f ca="1">('TUSD BE'!$AM$20+'TUSD BF_350'!$AM$20+'TUSD CVA'!$AM$20)*1</f>
        <v>1117.8285588949407</v>
      </c>
      <c r="AA315" s="6">
        <f ca="1">('TE BE'!$AB$9+'TE BF_350'!$AB$9+'TE CVA'!$AB$9)*1</f>
        <v>379.30999999999995</v>
      </c>
      <c r="AB315" s="6">
        <f>$K$315*$V$315</f>
        <v>0</v>
      </c>
      <c r="AC315" s="6">
        <f>$M$315*$W$315</f>
        <v>4651.3667799999994</v>
      </c>
      <c r="AD315" s="6">
        <f>$O$315*$X$315</f>
        <v>2190.3855600000002</v>
      </c>
      <c r="AE315" s="6">
        <f>$K$315*$Y$315</f>
        <v>0</v>
      </c>
      <c r="AF315" s="6">
        <f ca="1">$M$315*$Z$315</f>
        <v>5528.7800522943762</v>
      </c>
      <c r="AG315" s="6">
        <f ca="1">$O$315*$AA$315</f>
        <v>1876.0672599999996</v>
      </c>
    </row>
    <row r="316" spans="1:33" ht="11.25" customHeight="1" x14ac:dyDescent="0.3">
      <c r="A316" s="4" t="s">
        <v>21</v>
      </c>
      <c r="B316" s="4" t="s">
        <v>39</v>
      </c>
      <c r="C316" s="4" t="s">
        <v>41</v>
      </c>
      <c r="D316" s="4" t="s">
        <v>52</v>
      </c>
      <c r="E316" s="4" t="s">
        <v>25</v>
      </c>
      <c r="F316" s="4" t="s">
        <v>25</v>
      </c>
      <c r="G316" s="4" t="s">
        <v>25</v>
      </c>
      <c r="H316" s="4" t="s">
        <v>34</v>
      </c>
      <c r="I316" s="5">
        <v>44805</v>
      </c>
      <c r="J316" s="6">
        <v>0</v>
      </c>
      <c r="K316" s="6">
        <v>0</v>
      </c>
      <c r="L316" s="6">
        <v>5.39</v>
      </c>
      <c r="M316" s="6">
        <v>5.39</v>
      </c>
      <c r="N316" s="6">
        <v>5.39</v>
      </c>
      <c r="O316" s="6">
        <v>5.39</v>
      </c>
      <c r="P316" s="6">
        <v>0</v>
      </c>
      <c r="Q316" s="4" t="s">
        <v>26</v>
      </c>
      <c r="R316" s="4">
        <v>0</v>
      </c>
      <c r="S316" s="6">
        <v>0</v>
      </c>
      <c r="T316" s="6">
        <v>8</v>
      </c>
      <c r="U316" s="6">
        <v>38</v>
      </c>
      <c r="V316" s="6">
        <f>IF(ISERROR(VLOOKUP($S$316,'TAR FIN'!$A$1:$O$113,15,0)),0,VLOOKUP($S$316,'TAR FIN'!$A$1:$O$113,15,0))</f>
        <v>0</v>
      </c>
      <c r="W316" s="6">
        <f>IF(ISERROR(VLOOKUP($T$316,'TAR FIN'!$A$1:$O$113,15,0)),0,VLOOKUP($T$316,'TAR FIN'!$A$1:$O$113,15,0))</f>
        <v>940.43</v>
      </c>
      <c r="X316" s="6">
        <f>IF(ISERROR(VLOOKUP($U$316,'TAR FIN'!$A$1:$O$113,15,0)),0,VLOOKUP($U$316,'TAR FIN'!$A$1:$O$113,15,0))</f>
        <v>442.86</v>
      </c>
      <c r="Y316" s="6"/>
      <c r="Z316" s="6">
        <f ca="1">('TUSD BE'!$AM$20+'TUSD BF_350'!$AM$20+'TUSD CVA'!$AM$20)*1</f>
        <v>1117.8285588949407</v>
      </c>
      <c r="AA316" s="6">
        <f ca="1">('TE BE'!$AB$9+'TE BF_350'!$AB$9+'TE CVA'!$AB$9)*1</f>
        <v>379.30999999999995</v>
      </c>
      <c r="AB316" s="6">
        <f>$K$316*$V$316</f>
        <v>0</v>
      </c>
      <c r="AC316" s="6">
        <f>$M$316*$W$316</f>
        <v>5068.9176999999991</v>
      </c>
      <c r="AD316" s="6">
        <f>$O$316*$X$316</f>
        <v>2387.0153999999998</v>
      </c>
      <c r="AE316" s="6">
        <f>$K$316*$Y$316</f>
        <v>0</v>
      </c>
      <c r="AF316" s="6">
        <f ca="1">$M$316*$Z$316</f>
        <v>6025.0959324437299</v>
      </c>
      <c r="AG316" s="6">
        <f ca="1">$O$316*$AA$316</f>
        <v>2044.4808999999996</v>
      </c>
    </row>
    <row r="317" spans="1:33" ht="11.25" customHeight="1" x14ac:dyDescent="0.3">
      <c r="A317" s="4" t="s">
        <v>53</v>
      </c>
      <c r="B317" s="4" t="s">
        <v>39</v>
      </c>
      <c r="C317" s="4" t="s">
        <v>41</v>
      </c>
      <c r="D317" s="4" t="s">
        <v>52</v>
      </c>
      <c r="E317" s="4" t="s">
        <v>25</v>
      </c>
      <c r="F317" s="4" t="s">
        <v>25</v>
      </c>
      <c r="G317" s="4" t="s">
        <v>25</v>
      </c>
      <c r="H317" s="4" t="s">
        <v>34</v>
      </c>
      <c r="I317" s="5">
        <v>44835</v>
      </c>
      <c r="J317" s="6">
        <v>0</v>
      </c>
      <c r="K317" s="6">
        <v>0</v>
      </c>
      <c r="L317" s="6">
        <v>5.39</v>
      </c>
      <c r="M317" s="6">
        <v>5.39</v>
      </c>
      <c r="N317" s="6">
        <v>5.39</v>
      </c>
      <c r="O317" s="6">
        <v>5.39</v>
      </c>
      <c r="P317" s="6">
        <v>0</v>
      </c>
      <c r="Q317" s="4" t="s">
        <v>26</v>
      </c>
      <c r="R317" s="4">
        <v>0</v>
      </c>
      <c r="S317" s="6">
        <v>0</v>
      </c>
      <c r="T317" s="6">
        <v>8</v>
      </c>
      <c r="U317" s="6">
        <v>38</v>
      </c>
      <c r="V317" s="6">
        <f>IF(ISERROR(VLOOKUP($S$317,'TAR FIN'!$A$1:$O$113,15,0)),0,VLOOKUP($S$317,'TAR FIN'!$A$1:$O$113,15,0))</f>
        <v>0</v>
      </c>
      <c r="W317" s="6">
        <f>IF(ISERROR(VLOOKUP($T$317,'TAR FIN'!$A$1:$O$113,15,0)),0,VLOOKUP($T$317,'TAR FIN'!$A$1:$O$113,15,0))</f>
        <v>940.43</v>
      </c>
      <c r="X317" s="6">
        <f>IF(ISERROR(VLOOKUP($U$317,'TAR FIN'!$A$1:$O$113,15,0)),0,VLOOKUP($U$317,'TAR FIN'!$A$1:$O$113,15,0))</f>
        <v>442.86</v>
      </c>
      <c r="Y317" s="6"/>
      <c r="Z317" s="6">
        <f ca="1">('TUSD BE'!$AM$20+'TUSD BF_350'!$AM$20+'TUSD CVA'!$AM$20)*1</f>
        <v>1117.8285588949407</v>
      </c>
      <c r="AA317" s="6">
        <f ca="1">('TE BE'!$AB$9+'TE BF_350'!$AB$9+'TE CVA'!$AB$9)*1</f>
        <v>379.30999999999995</v>
      </c>
      <c r="AB317" s="6">
        <f>$K$317*$V$317</f>
        <v>0</v>
      </c>
      <c r="AC317" s="6">
        <f>$M$317*$W$317</f>
        <v>5068.9176999999991</v>
      </c>
      <c r="AD317" s="6">
        <f>$O$317*$X$317</f>
        <v>2387.0153999999998</v>
      </c>
      <c r="AE317" s="6">
        <f>$K$317*$Y$317</f>
        <v>0</v>
      </c>
      <c r="AF317" s="6">
        <f ca="1">$M$317*$Z$317</f>
        <v>6025.0959324437299</v>
      </c>
      <c r="AG317" s="6">
        <f ca="1">$O$317*$AA$317</f>
        <v>2044.4808999999996</v>
      </c>
    </row>
    <row r="318" spans="1:33" ht="11.25" customHeight="1" x14ac:dyDescent="0.3">
      <c r="A318" s="4" t="s">
        <v>21</v>
      </c>
      <c r="B318" s="4" t="s">
        <v>39</v>
      </c>
      <c r="C318" s="4" t="s">
        <v>41</v>
      </c>
      <c r="D318" s="4" t="s">
        <v>38</v>
      </c>
      <c r="E318" s="4" t="s">
        <v>25</v>
      </c>
      <c r="F318" s="4" t="s">
        <v>56</v>
      </c>
      <c r="G318" s="4" t="s">
        <v>25</v>
      </c>
      <c r="H318" s="4" t="s">
        <v>35</v>
      </c>
      <c r="I318" s="5">
        <v>44501</v>
      </c>
      <c r="J318" s="6">
        <v>0</v>
      </c>
      <c r="K318" s="6">
        <v>0</v>
      </c>
      <c r="L318" s="6">
        <v>1753.7190000000001</v>
      </c>
      <c r="M318" s="6">
        <v>1753.7190000000001</v>
      </c>
      <c r="N318" s="6">
        <v>0</v>
      </c>
      <c r="O318" s="6">
        <v>0</v>
      </c>
      <c r="P318" s="6">
        <v>0</v>
      </c>
      <c r="Q318" s="4" t="s">
        <v>55</v>
      </c>
      <c r="R318" s="4">
        <v>0</v>
      </c>
      <c r="S318" s="6">
        <v>0</v>
      </c>
      <c r="T318" s="6">
        <v>6</v>
      </c>
      <c r="U318" s="6">
        <v>0</v>
      </c>
      <c r="V318" s="6">
        <f>IF(ISERROR(VLOOKUP($S$318,'TAR FIN'!$A$1:$O$113,15,0)),0,VLOOKUP($S$318,'TAR FIN'!$A$1:$O$113,15,0))</f>
        <v>0</v>
      </c>
      <c r="W318" s="6">
        <f>IF(ISERROR(VLOOKUP($T$318,'TAR FIN'!$A$1:$O$113,15,0)),0,VLOOKUP($T$318,'TAR FIN'!$A$1:$O$113,15,0))</f>
        <v>72.150000000000006</v>
      </c>
      <c r="X318" s="6">
        <f>IF(ISERROR(VLOOKUP($U$318,'TAR FIN'!$A$1:$O$113,15,0)),0,VLOOKUP($U$318,'TAR FIN'!$A$1:$O$113,15,0))</f>
        <v>0</v>
      </c>
      <c r="Y318" s="6"/>
      <c r="Z318" s="6">
        <f ca="1">('TUSD BE'!$AM$21+'TUSD BF_350'!$AM$21+'TUSD CVA'!$AM$21)*1</f>
        <v>122.14055331663396</v>
      </c>
      <c r="AA318" s="6"/>
      <c r="AB318" s="6">
        <f>$K$318*$V$318</f>
        <v>0</v>
      </c>
      <c r="AC318" s="6">
        <f>$M$318*$W$318</f>
        <v>126530.82585000001</v>
      </c>
      <c r="AD318" s="6">
        <f>$O$318*$X$318</f>
        <v>0</v>
      </c>
      <c r="AE318" s="6">
        <f>$K$318*$Y$318</f>
        <v>0</v>
      </c>
      <c r="AF318" s="6">
        <f ca="1">$M$318*$Z$318</f>
        <v>214200.209021894</v>
      </c>
      <c r="AG318" s="6">
        <f>$O$318*$AA$318</f>
        <v>0</v>
      </c>
    </row>
    <row r="319" spans="1:33" ht="11.25" customHeight="1" x14ac:dyDescent="0.3">
      <c r="A319" s="4" t="s">
        <v>21</v>
      </c>
      <c r="B319" s="4" t="s">
        <v>39</v>
      </c>
      <c r="C319" s="4" t="s">
        <v>41</v>
      </c>
      <c r="D319" s="4" t="s">
        <v>38</v>
      </c>
      <c r="E319" s="4" t="s">
        <v>25</v>
      </c>
      <c r="F319" s="4" t="s">
        <v>56</v>
      </c>
      <c r="G319" s="4" t="s">
        <v>25</v>
      </c>
      <c r="H319" s="4" t="s">
        <v>35</v>
      </c>
      <c r="I319" s="5">
        <v>44531</v>
      </c>
      <c r="J319" s="6">
        <v>0</v>
      </c>
      <c r="K319" s="6">
        <v>0</v>
      </c>
      <c r="L319" s="6">
        <v>1678.8050000000001</v>
      </c>
      <c r="M319" s="6">
        <v>1678.8050000000001</v>
      </c>
      <c r="N319" s="6">
        <v>0</v>
      </c>
      <c r="O319" s="6">
        <v>0</v>
      </c>
      <c r="P319" s="6">
        <v>0</v>
      </c>
      <c r="Q319" s="4" t="s">
        <v>55</v>
      </c>
      <c r="R319" s="4">
        <v>0</v>
      </c>
      <c r="S319" s="6">
        <v>0</v>
      </c>
      <c r="T319" s="6">
        <v>6</v>
      </c>
      <c r="U319" s="6">
        <v>0</v>
      </c>
      <c r="V319" s="6">
        <f>IF(ISERROR(VLOOKUP($S$319,'TAR FIN'!$A$1:$O$113,15,0)),0,VLOOKUP($S$319,'TAR FIN'!$A$1:$O$113,15,0))</f>
        <v>0</v>
      </c>
      <c r="W319" s="6">
        <f>IF(ISERROR(VLOOKUP($T$319,'TAR FIN'!$A$1:$O$113,15,0)),0,VLOOKUP($T$319,'TAR FIN'!$A$1:$O$113,15,0))</f>
        <v>72.150000000000006</v>
      </c>
      <c r="X319" s="6">
        <f>IF(ISERROR(VLOOKUP($U$319,'TAR FIN'!$A$1:$O$113,15,0)),0,VLOOKUP($U$319,'TAR FIN'!$A$1:$O$113,15,0))</f>
        <v>0</v>
      </c>
      <c r="Y319" s="6"/>
      <c r="Z319" s="6">
        <f ca="1">('TUSD BE'!$AM$21+'TUSD BF_350'!$AM$21+'TUSD CVA'!$AM$21)*1</f>
        <v>122.14055331663396</v>
      </c>
      <c r="AA319" s="6"/>
      <c r="AB319" s="6">
        <f>$K$319*$V$319</f>
        <v>0</v>
      </c>
      <c r="AC319" s="6">
        <f>$M$319*$W$319</f>
        <v>121125.78075000002</v>
      </c>
      <c r="AD319" s="6">
        <f>$O$319*$X$319</f>
        <v>0</v>
      </c>
      <c r="AE319" s="6">
        <f>$K$319*$Y$319</f>
        <v>0</v>
      </c>
      <c r="AF319" s="6">
        <f ca="1">$M$319*$Z$319</f>
        <v>205050.17161073166</v>
      </c>
      <c r="AG319" s="6">
        <f>$O$319*$AA$319</f>
        <v>0</v>
      </c>
    </row>
    <row r="320" spans="1:33" ht="11.25" customHeight="1" x14ac:dyDescent="0.3">
      <c r="A320" s="4" t="s">
        <v>21</v>
      </c>
      <c r="B320" s="4" t="s">
        <v>39</v>
      </c>
      <c r="C320" s="4" t="s">
        <v>41</v>
      </c>
      <c r="D320" s="4" t="s">
        <v>38</v>
      </c>
      <c r="E320" s="4" t="s">
        <v>25</v>
      </c>
      <c r="F320" s="4" t="s">
        <v>56</v>
      </c>
      <c r="G320" s="4" t="s">
        <v>25</v>
      </c>
      <c r="H320" s="4" t="s">
        <v>35</v>
      </c>
      <c r="I320" s="5">
        <v>44562</v>
      </c>
      <c r="J320" s="6">
        <v>0</v>
      </c>
      <c r="K320" s="6">
        <v>0</v>
      </c>
      <c r="L320" s="6">
        <v>1693.835</v>
      </c>
      <c r="M320" s="6">
        <v>1693.835</v>
      </c>
      <c r="N320" s="6">
        <v>0</v>
      </c>
      <c r="O320" s="6">
        <v>0</v>
      </c>
      <c r="P320" s="6">
        <v>0</v>
      </c>
      <c r="Q320" s="4" t="s">
        <v>55</v>
      </c>
      <c r="R320" s="4">
        <v>0</v>
      </c>
      <c r="S320" s="6">
        <v>0</v>
      </c>
      <c r="T320" s="6">
        <v>6</v>
      </c>
      <c r="U320" s="6">
        <v>0</v>
      </c>
      <c r="V320" s="6">
        <f>IF(ISERROR(VLOOKUP($S$320,'TAR FIN'!$A$1:$O$113,15,0)),0,VLOOKUP($S$320,'TAR FIN'!$A$1:$O$113,15,0))</f>
        <v>0</v>
      </c>
      <c r="W320" s="6">
        <f>IF(ISERROR(VLOOKUP($T$320,'TAR FIN'!$A$1:$O$113,15,0)),0,VLOOKUP($T$320,'TAR FIN'!$A$1:$O$113,15,0))</f>
        <v>72.150000000000006</v>
      </c>
      <c r="X320" s="6">
        <f>IF(ISERROR(VLOOKUP($U$320,'TAR FIN'!$A$1:$O$113,15,0)),0,VLOOKUP($U$320,'TAR FIN'!$A$1:$O$113,15,0))</f>
        <v>0</v>
      </c>
      <c r="Y320" s="6"/>
      <c r="Z320" s="6">
        <f ca="1">('TUSD BE'!$AM$21+'TUSD BF_350'!$AM$21+'TUSD CVA'!$AM$21)*1</f>
        <v>122.14055331663396</v>
      </c>
      <c r="AA320" s="6"/>
      <c r="AB320" s="6">
        <f>$K$320*$V$320</f>
        <v>0</v>
      </c>
      <c r="AC320" s="6">
        <f>$M$320*$W$320</f>
        <v>122210.19525000002</v>
      </c>
      <c r="AD320" s="6">
        <f>$O$320*$X$320</f>
        <v>0</v>
      </c>
      <c r="AE320" s="6">
        <f>$K$320*$Y$320</f>
        <v>0</v>
      </c>
      <c r="AF320" s="6">
        <f ca="1">$M$320*$Z$320</f>
        <v>206885.94412708067</v>
      </c>
      <c r="AG320" s="6">
        <f>$O$320*$AA$320</f>
        <v>0</v>
      </c>
    </row>
    <row r="321" spans="1:33" ht="11.25" customHeight="1" x14ac:dyDescent="0.3">
      <c r="A321" s="4" t="s">
        <v>21</v>
      </c>
      <c r="B321" s="4" t="s">
        <v>39</v>
      </c>
      <c r="C321" s="4" t="s">
        <v>41</v>
      </c>
      <c r="D321" s="4" t="s">
        <v>38</v>
      </c>
      <c r="E321" s="4" t="s">
        <v>25</v>
      </c>
      <c r="F321" s="4" t="s">
        <v>56</v>
      </c>
      <c r="G321" s="4" t="s">
        <v>25</v>
      </c>
      <c r="H321" s="4" t="s">
        <v>35</v>
      </c>
      <c r="I321" s="5">
        <v>44593</v>
      </c>
      <c r="J321" s="6">
        <v>0</v>
      </c>
      <c r="K321" s="6">
        <v>0</v>
      </c>
      <c r="L321" s="6">
        <v>1820.998</v>
      </c>
      <c r="M321" s="6">
        <v>1820.998</v>
      </c>
      <c r="N321" s="6">
        <v>0</v>
      </c>
      <c r="O321" s="6">
        <v>0</v>
      </c>
      <c r="P321" s="6">
        <v>0</v>
      </c>
      <c r="Q321" s="4" t="s">
        <v>55</v>
      </c>
      <c r="R321" s="4">
        <v>0</v>
      </c>
      <c r="S321" s="6">
        <v>0</v>
      </c>
      <c r="T321" s="6">
        <v>6</v>
      </c>
      <c r="U321" s="6">
        <v>0</v>
      </c>
      <c r="V321" s="6">
        <f>IF(ISERROR(VLOOKUP($S$321,'TAR FIN'!$A$1:$O$113,15,0)),0,VLOOKUP($S$321,'TAR FIN'!$A$1:$O$113,15,0))</f>
        <v>0</v>
      </c>
      <c r="W321" s="6">
        <f>IF(ISERROR(VLOOKUP($T$321,'TAR FIN'!$A$1:$O$113,15,0)),0,VLOOKUP($T$321,'TAR FIN'!$A$1:$O$113,15,0))</f>
        <v>72.150000000000006</v>
      </c>
      <c r="X321" s="6">
        <f>IF(ISERROR(VLOOKUP($U$321,'TAR FIN'!$A$1:$O$113,15,0)),0,VLOOKUP($U$321,'TAR FIN'!$A$1:$O$113,15,0))</f>
        <v>0</v>
      </c>
      <c r="Y321" s="6"/>
      <c r="Z321" s="6">
        <f ca="1">('TUSD BE'!$AM$21+'TUSD BF_350'!$AM$21+'TUSD CVA'!$AM$21)*1</f>
        <v>122.14055331663396</v>
      </c>
      <c r="AA321" s="6"/>
      <c r="AB321" s="6">
        <f>$K$321*$V$321</f>
        <v>0</v>
      </c>
      <c r="AC321" s="6">
        <f>$M$321*$W$321</f>
        <v>131385.00570000001</v>
      </c>
      <c r="AD321" s="6">
        <f>$O$321*$X$321</f>
        <v>0</v>
      </c>
      <c r="AE321" s="6">
        <f>$K$321*$Y$321</f>
        <v>0</v>
      </c>
      <c r="AF321" s="6">
        <f ca="1">$M$321*$Z$321</f>
        <v>222417.70330848382</v>
      </c>
      <c r="AG321" s="6">
        <f>$O$321*$AA$321</f>
        <v>0</v>
      </c>
    </row>
    <row r="322" spans="1:33" ht="11.25" customHeight="1" x14ac:dyDescent="0.3">
      <c r="A322" s="4" t="s">
        <v>21</v>
      </c>
      <c r="B322" s="4" t="s">
        <v>39</v>
      </c>
      <c r="C322" s="4" t="s">
        <v>41</v>
      </c>
      <c r="D322" s="4" t="s">
        <v>38</v>
      </c>
      <c r="E322" s="4" t="s">
        <v>25</v>
      </c>
      <c r="F322" s="4" t="s">
        <v>56</v>
      </c>
      <c r="G322" s="4" t="s">
        <v>25</v>
      </c>
      <c r="H322" s="4" t="s">
        <v>35</v>
      </c>
      <c r="I322" s="5">
        <v>44621</v>
      </c>
      <c r="J322" s="6">
        <v>0</v>
      </c>
      <c r="K322" s="6">
        <v>0</v>
      </c>
      <c r="L322" s="6">
        <v>1778.502</v>
      </c>
      <c r="M322" s="6">
        <v>1778.502</v>
      </c>
      <c r="N322" s="6">
        <v>0</v>
      </c>
      <c r="O322" s="6">
        <v>0</v>
      </c>
      <c r="P322" s="6">
        <v>0</v>
      </c>
      <c r="Q322" s="4" t="s">
        <v>55</v>
      </c>
      <c r="R322" s="4">
        <v>0</v>
      </c>
      <c r="S322" s="6">
        <v>0</v>
      </c>
      <c r="T322" s="6">
        <v>6</v>
      </c>
      <c r="U322" s="6">
        <v>0</v>
      </c>
      <c r="V322" s="6">
        <f>IF(ISERROR(VLOOKUP($S$322,'TAR FIN'!$A$1:$O$113,15,0)),0,VLOOKUP($S$322,'TAR FIN'!$A$1:$O$113,15,0))</f>
        <v>0</v>
      </c>
      <c r="W322" s="6">
        <f>IF(ISERROR(VLOOKUP($T$322,'TAR FIN'!$A$1:$O$113,15,0)),0,VLOOKUP($T$322,'TAR FIN'!$A$1:$O$113,15,0))</f>
        <v>72.150000000000006</v>
      </c>
      <c r="X322" s="6">
        <f>IF(ISERROR(VLOOKUP($U$322,'TAR FIN'!$A$1:$O$113,15,0)),0,VLOOKUP($U$322,'TAR FIN'!$A$1:$O$113,15,0))</f>
        <v>0</v>
      </c>
      <c r="Y322" s="6"/>
      <c r="Z322" s="6">
        <f ca="1">('TUSD BE'!$AM$21+'TUSD BF_350'!$AM$21+'TUSD CVA'!$AM$21)*1</f>
        <v>122.14055331663396</v>
      </c>
      <c r="AA322" s="6"/>
      <c r="AB322" s="6">
        <f>$K$322*$V$322</f>
        <v>0</v>
      </c>
      <c r="AC322" s="6">
        <f>$M$322*$W$322</f>
        <v>128318.91930000001</v>
      </c>
      <c r="AD322" s="6">
        <f>$O$322*$X$322</f>
        <v>0</v>
      </c>
      <c r="AE322" s="6">
        <f>$K$322*$Y$322</f>
        <v>0</v>
      </c>
      <c r="AF322" s="6">
        <f ca="1">$M$322*$Z$322</f>
        <v>217227.21835474012</v>
      </c>
      <c r="AG322" s="6">
        <f>$O$322*$AA$322</f>
        <v>0</v>
      </c>
    </row>
    <row r="323" spans="1:33" ht="11.25" customHeight="1" x14ac:dyDescent="0.3">
      <c r="A323" s="4" t="s">
        <v>21</v>
      </c>
      <c r="B323" s="4" t="s">
        <v>39</v>
      </c>
      <c r="C323" s="4" t="s">
        <v>41</v>
      </c>
      <c r="D323" s="4" t="s">
        <v>38</v>
      </c>
      <c r="E323" s="4" t="s">
        <v>25</v>
      </c>
      <c r="F323" s="4" t="s">
        <v>56</v>
      </c>
      <c r="G323" s="4" t="s">
        <v>25</v>
      </c>
      <c r="H323" s="4" t="s">
        <v>35</v>
      </c>
      <c r="I323" s="5">
        <v>44652</v>
      </c>
      <c r="J323" s="6">
        <v>0</v>
      </c>
      <c r="K323" s="6">
        <v>0</v>
      </c>
      <c r="L323" s="6">
        <v>2134.7739999999999</v>
      </c>
      <c r="M323" s="6">
        <v>2134.7739999999999</v>
      </c>
      <c r="N323" s="6">
        <v>0</v>
      </c>
      <c r="O323" s="6">
        <v>0</v>
      </c>
      <c r="P323" s="6">
        <v>0</v>
      </c>
      <c r="Q323" s="4" t="s">
        <v>55</v>
      </c>
      <c r="R323" s="4">
        <v>0</v>
      </c>
      <c r="S323" s="6">
        <v>0</v>
      </c>
      <c r="T323" s="6">
        <v>6</v>
      </c>
      <c r="U323" s="6">
        <v>0</v>
      </c>
      <c r="V323" s="6">
        <f>IF(ISERROR(VLOOKUP($S$323,'TAR FIN'!$A$1:$O$113,15,0)),0,VLOOKUP($S$323,'TAR FIN'!$A$1:$O$113,15,0))</f>
        <v>0</v>
      </c>
      <c r="W323" s="6">
        <f>IF(ISERROR(VLOOKUP($T$323,'TAR FIN'!$A$1:$O$113,15,0)),0,VLOOKUP($T$323,'TAR FIN'!$A$1:$O$113,15,0))</f>
        <v>72.150000000000006</v>
      </c>
      <c r="X323" s="6">
        <f>IF(ISERROR(VLOOKUP($U$323,'TAR FIN'!$A$1:$O$113,15,0)),0,VLOOKUP($U$323,'TAR FIN'!$A$1:$O$113,15,0))</f>
        <v>0</v>
      </c>
      <c r="Y323" s="6"/>
      <c r="Z323" s="6">
        <f ca="1">('TUSD BE'!$AM$21+'TUSD BF_350'!$AM$21+'TUSD CVA'!$AM$21)*1</f>
        <v>122.14055331663396</v>
      </c>
      <c r="AA323" s="6"/>
      <c r="AB323" s="6">
        <f>$K$323*$V$323</f>
        <v>0</v>
      </c>
      <c r="AC323" s="6">
        <f>$M$323*$W$323</f>
        <v>154023.94409999999</v>
      </c>
      <c r="AD323" s="6">
        <f>$O$323*$X$323</f>
        <v>0</v>
      </c>
      <c r="AE323" s="6">
        <f>$K$323*$Y$323</f>
        <v>0</v>
      </c>
      <c r="AF323" s="6">
        <f ca="1">$M$323*$Z$323</f>
        <v>260742.47756596393</v>
      </c>
      <c r="AG323" s="6">
        <f>$O$323*$AA$323</f>
        <v>0</v>
      </c>
    </row>
    <row r="324" spans="1:33" ht="11.25" customHeight="1" x14ac:dyDescent="0.3">
      <c r="A324" s="4" t="s">
        <v>21</v>
      </c>
      <c r="B324" s="4" t="s">
        <v>39</v>
      </c>
      <c r="C324" s="4" t="s">
        <v>41</v>
      </c>
      <c r="D324" s="4" t="s">
        <v>38</v>
      </c>
      <c r="E324" s="4" t="s">
        <v>25</v>
      </c>
      <c r="F324" s="4" t="s">
        <v>56</v>
      </c>
      <c r="G324" s="4" t="s">
        <v>25</v>
      </c>
      <c r="H324" s="4" t="s">
        <v>35</v>
      </c>
      <c r="I324" s="5">
        <v>44682</v>
      </c>
      <c r="J324" s="6">
        <v>0</v>
      </c>
      <c r="K324" s="6">
        <v>0</v>
      </c>
      <c r="L324" s="6">
        <v>1901.9580000000001</v>
      </c>
      <c r="M324" s="6">
        <v>1901.9580000000001</v>
      </c>
      <c r="N324" s="6">
        <v>0</v>
      </c>
      <c r="O324" s="6">
        <v>0</v>
      </c>
      <c r="P324" s="6">
        <v>0</v>
      </c>
      <c r="Q324" s="4" t="s">
        <v>55</v>
      </c>
      <c r="R324" s="4">
        <v>0</v>
      </c>
      <c r="S324" s="6">
        <v>0</v>
      </c>
      <c r="T324" s="6">
        <v>6</v>
      </c>
      <c r="U324" s="6">
        <v>0</v>
      </c>
      <c r="V324" s="6">
        <f>IF(ISERROR(VLOOKUP($S$324,'TAR FIN'!$A$1:$O$113,15,0)),0,VLOOKUP($S$324,'TAR FIN'!$A$1:$O$113,15,0))</f>
        <v>0</v>
      </c>
      <c r="W324" s="6">
        <f>IF(ISERROR(VLOOKUP($T$324,'TAR FIN'!$A$1:$O$113,15,0)),0,VLOOKUP($T$324,'TAR FIN'!$A$1:$O$113,15,0))</f>
        <v>72.150000000000006</v>
      </c>
      <c r="X324" s="6">
        <f>IF(ISERROR(VLOOKUP($U$324,'TAR FIN'!$A$1:$O$113,15,0)),0,VLOOKUP($U$324,'TAR FIN'!$A$1:$O$113,15,0))</f>
        <v>0</v>
      </c>
      <c r="Y324" s="6"/>
      <c r="Z324" s="6">
        <f ca="1">('TUSD BE'!$AM$21+'TUSD BF_350'!$AM$21+'TUSD CVA'!$AM$21)*1</f>
        <v>122.14055331663396</v>
      </c>
      <c r="AA324" s="6"/>
      <c r="AB324" s="6">
        <f>$K$324*$V$324</f>
        <v>0</v>
      </c>
      <c r="AC324" s="6">
        <f>$M$324*$W$324</f>
        <v>137226.2697</v>
      </c>
      <c r="AD324" s="6">
        <f>$O$324*$X$324</f>
        <v>0</v>
      </c>
      <c r="AE324" s="6">
        <f>$K$324*$Y$324</f>
        <v>0</v>
      </c>
      <c r="AF324" s="6">
        <f ca="1">$M$324*$Z$324</f>
        <v>232306.20250499848</v>
      </c>
      <c r="AG324" s="6">
        <f>$O$324*$AA$324</f>
        <v>0</v>
      </c>
    </row>
    <row r="325" spans="1:33" ht="11.25" customHeight="1" x14ac:dyDescent="0.3">
      <c r="A325" s="4" t="s">
        <v>21</v>
      </c>
      <c r="B325" s="4" t="s">
        <v>39</v>
      </c>
      <c r="C325" s="4" t="s">
        <v>41</v>
      </c>
      <c r="D325" s="4" t="s">
        <v>38</v>
      </c>
      <c r="E325" s="4" t="s">
        <v>25</v>
      </c>
      <c r="F325" s="4" t="s">
        <v>56</v>
      </c>
      <c r="G325" s="4" t="s">
        <v>25</v>
      </c>
      <c r="H325" s="4" t="s">
        <v>35</v>
      </c>
      <c r="I325" s="5">
        <v>44713</v>
      </c>
      <c r="J325" s="6">
        <v>0</v>
      </c>
      <c r="K325" s="6">
        <v>0</v>
      </c>
      <c r="L325" s="6">
        <v>1849.085</v>
      </c>
      <c r="M325" s="6">
        <v>1849.085</v>
      </c>
      <c r="N325" s="6">
        <v>0</v>
      </c>
      <c r="O325" s="6">
        <v>0</v>
      </c>
      <c r="P325" s="6">
        <v>0</v>
      </c>
      <c r="Q325" s="4" t="s">
        <v>55</v>
      </c>
      <c r="R325" s="4">
        <v>0</v>
      </c>
      <c r="S325" s="6">
        <v>0</v>
      </c>
      <c r="T325" s="6">
        <v>6</v>
      </c>
      <c r="U325" s="6">
        <v>0</v>
      </c>
      <c r="V325" s="6">
        <f>IF(ISERROR(VLOOKUP($S$325,'TAR FIN'!$A$1:$O$113,15,0)),0,VLOOKUP($S$325,'TAR FIN'!$A$1:$O$113,15,0))</f>
        <v>0</v>
      </c>
      <c r="W325" s="6">
        <f>IF(ISERROR(VLOOKUP($T$325,'TAR FIN'!$A$1:$O$113,15,0)),0,VLOOKUP($T$325,'TAR FIN'!$A$1:$O$113,15,0))</f>
        <v>72.150000000000006</v>
      </c>
      <c r="X325" s="6">
        <f>IF(ISERROR(VLOOKUP($U$325,'TAR FIN'!$A$1:$O$113,15,0)),0,VLOOKUP($U$325,'TAR FIN'!$A$1:$O$113,15,0))</f>
        <v>0</v>
      </c>
      <c r="Y325" s="6"/>
      <c r="Z325" s="6">
        <f ca="1">('TUSD BE'!$AM$21+'TUSD BF_350'!$AM$21+'TUSD CVA'!$AM$21)*1</f>
        <v>122.14055331663396</v>
      </c>
      <c r="AA325" s="6"/>
      <c r="AB325" s="6">
        <f>$K$325*$V$325</f>
        <v>0</v>
      </c>
      <c r="AC325" s="6">
        <f>$M$325*$W$325</f>
        <v>133411.48275000002</v>
      </c>
      <c r="AD325" s="6">
        <f>$O$325*$X$325</f>
        <v>0</v>
      </c>
      <c r="AE325" s="6">
        <f>$K$325*$Y$325</f>
        <v>0</v>
      </c>
      <c r="AF325" s="6">
        <f ca="1">$M$325*$Z$325</f>
        <v>225848.2650294881</v>
      </c>
      <c r="AG325" s="6">
        <f>$O$325*$AA$325</f>
        <v>0</v>
      </c>
    </row>
    <row r="326" spans="1:33" ht="11.25" customHeight="1" x14ac:dyDescent="0.3">
      <c r="A326" s="4" t="s">
        <v>21</v>
      </c>
      <c r="B326" s="4" t="s">
        <v>39</v>
      </c>
      <c r="C326" s="4" t="s">
        <v>41</v>
      </c>
      <c r="D326" s="4" t="s">
        <v>38</v>
      </c>
      <c r="E326" s="4" t="s">
        <v>25</v>
      </c>
      <c r="F326" s="4" t="s">
        <v>56</v>
      </c>
      <c r="G326" s="4" t="s">
        <v>25</v>
      </c>
      <c r="H326" s="4" t="s">
        <v>35</v>
      </c>
      <c r="I326" s="5">
        <v>44743</v>
      </c>
      <c r="J326" s="6">
        <v>0</v>
      </c>
      <c r="K326" s="6">
        <v>0</v>
      </c>
      <c r="L326" s="6">
        <v>1817.01</v>
      </c>
      <c r="M326" s="6">
        <v>1817.01</v>
      </c>
      <c r="N326" s="6">
        <v>0</v>
      </c>
      <c r="O326" s="6">
        <v>0</v>
      </c>
      <c r="P326" s="6">
        <v>0</v>
      </c>
      <c r="Q326" s="4" t="s">
        <v>55</v>
      </c>
      <c r="R326" s="4">
        <v>0</v>
      </c>
      <c r="S326" s="6">
        <v>0</v>
      </c>
      <c r="T326" s="6">
        <v>6</v>
      </c>
      <c r="U326" s="6">
        <v>0</v>
      </c>
      <c r="V326" s="6">
        <f>IF(ISERROR(VLOOKUP($S$326,'TAR FIN'!$A$1:$O$113,15,0)),0,VLOOKUP($S$326,'TAR FIN'!$A$1:$O$113,15,0))</f>
        <v>0</v>
      </c>
      <c r="W326" s="6">
        <f>IF(ISERROR(VLOOKUP($T$326,'TAR FIN'!$A$1:$O$113,15,0)),0,VLOOKUP($T$326,'TAR FIN'!$A$1:$O$113,15,0))</f>
        <v>72.150000000000006</v>
      </c>
      <c r="X326" s="6">
        <f>IF(ISERROR(VLOOKUP($U$326,'TAR FIN'!$A$1:$O$113,15,0)),0,VLOOKUP($U$326,'TAR FIN'!$A$1:$O$113,15,0))</f>
        <v>0</v>
      </c>
      <c r="Y326" s="6"/>
      <c r="Z326" s="6">
        <f ca="1">('TUSD BE'!$AM$21+'TUSD BF_350'!$AM$21+'TUSD CVA'!$AM$21)*1</f>
        <v>122.14055331663396</v>
      </c>
      <c r="AA326" s="6"/>
      <c r="AB326" s="6">
        <f>$K$326*$V$326</f>
        <v>0</v>
      </c>
      <c r="AC326" s="6">
        <f>$M$326*$W$326</f>
        <v>131097.2715</v>
      </c>
      <c r="AD326" s="6">
        <f>$O$326*$X$326</f>
        <v>0</v>
      </c>
      <c r="AE326" s="6">
        <f>$K$326*$Y$326</f>
        <v>0</v>
      </c>
      <c r="AF326" s="6">
        <f ca="1">$M$326*$Z$326</f>
        <v>221930.60678185706</v>
      </c>
      <c r="AG326" s="6">
        <f>$O$326*$AA$326</f>
        <v>0</v>
      </c>
    </row>
    <row r="327" spans="1:33" ht="11.25" customHeight="1" x14ac:dyDescent="0.3">
      <c r="A327" s="4" t="s">
        <v>21</v>
      </c>
      <c r="B327" s="4" t="s">
        <v>39</v>
      </c>
      <c r="C327" s="4" t="s">
        <v>41</v>
      </c>
      <c r="D327" s="4" t="s">
        <v>38</v>
      </c>
      <c r="E327" s="4" t="s">
        <v>25</v>
      </c>
      <c r="F327" s="4" t="s">
        <v>56</v>
      </c>
      <c r="G327" s="4" t="s">
        <v>25</v>
      </c>
      <c r="H327" s="4" t="s">
        <v>35</v>
      </c>
      <c r="I327" s="5">
        <v>44774</v>
      </c>
      <c r="J327" s="6">
        <v>0</v>
      </c>
      <c r="K327" s="6">
        <v>0</v>
      </c>
      <c r="L327" s="6">
        <v>1863.682</v>
      </c>
      <c r="M327" s="6">
        <v>1863.682</v>
      </c>
      <c r="N327" s="6">
        <v>0</v>
      </c>
      <c r="O327" s="6">
        <v>0</v>
      </c>
      <c r="P327" s="6">
        <v>0</v>
      </c>
      <c r="Q327" s="4" t="s">
        <v>55</v>
      </c>
      <c r="R327" s="4">
        <v>0</v>
      </c>
      <c r="S327" s="6">
        <v>0</v>
      </c>
      <c r="T327" s="6">
        <v>6</v>
      </c>
      <c r="U327" s="6">
        <v>0</v>
      </c>
      <c r="V327" s="6">
        <f>IF(ISERROR(VLOOKUP($S$327,'TAR FIN'!$A$1:$O$113,15,0)),0,VLOOKUP($S$327,'TAR FIN'!$A$1:$O$113,15,0))</f>
        <v>0</v>
      </c>
      <c r="W327" s="6">
        <f>IF(ISERROR(VLOOKUP($T$327,'TAR FIN'!$A$1:$O$113,15,0)),0,VLOOKUP($T$327,'TAR FIN'!$A$1:$O$113,15,0))</f>
        <v>72.150000000000006</v>
      </c>
      <c r="X327" s="6">
        <f>IF(ISERROR(VLOOKUP($U$327,'TAR FIN'!$A$1:$O$113,15,0)),0,VLOOKUP($U$327,'TAR FIN'!$A$1:$O$113,15,0))</f>
        <v>0</v>
      </c>
      <c r="Y327" s="6"/>
      <c r="Z327" s="6">
        <f ca="1">('TUSD BE'!$AM$21+'TUSD BF_350'!$AM$21+'TUSD CVA'!$AM$21)*1</f>
        <v>122.14055331663396</v>
      </c>
      <c r="AA327" s="6"/>
      <c r="AB327" s="6">
        <f>$K$327*$V$327</f>
        <v>0</v>
      </c>
      <c r="AC327" s="6">
        <f>$M$327*$W$327</f>
        <v>134464.6563</v>
      </c>
      <c r="AD327" s="6">
        <f>$O$327*$X$327</f>
        <v>0</v>
      </c>
      <c r="AE327" s="6">
        <f>$K$327*$Y$327</f>
        <v>0</v>
      </c>
      <c r="AF327" s="6">
        <f ca="1">$M$327*$Z$327</f>
        <v>227631.150686251</v>
      </c>
      <c r="AG327" s="6">
        <f>$O$327*$AA$327</f>
        <v>0</v>
      </c>
    </row>
    <row r="328" spans="1:33" ht="11.25" customHeight="1" x14ac:dyDescent="0.3">
      <c r="A328" s="4" t="s">
        <v>21</v>
      </c>
      <c r="B328" s="4" t="s">
        <v>39</v>
      </c>
      <c r="C328" s="4" t="s">
        <v>41</v>
      </c>
      <c r="D328" s="4" t="s">
        <v>38</v>
      </c>
      <c r="E328" s="4" t="s">
        <v>25</v>
      </c>
      <c r="F328" s="4" t="s">
        <v>56</v>
      </c>
      <c r="G328" s="4" t="s">
        <v>25</v>
      </c>
      <c r="H328" s="4" t="s">
        <v>35</v>
      </c>
      <c r="I328" s="5">
        <v>44805</v>
      </c>
      <c r="J328" s="6">
        <v>0</v>
      </c>
      <c r="K328" s="6">
        <v>0</v>
      </c>
      <c r="L328" s="6">
        <v>1955.509</v>
      </c>
      <c r="M328" s="6">
        <v>1955.509</v>
      </c>
      <c r="N328" s="6">
        <v>0</v>
      </c>
      <c r="O328" s="6">
        <v>0</v>
      </c>
      <c r="P328" s="6">
        <v>0</v>
      </c>
      <c r="Q328" s="4" t="s">
        <v>55</v>
      </c>
      <c r="R328" s="4">
        <v>0</v>
      </c>
      <c r="S328" s="6">
        <v>0</v>
      </c>
      <c r="T328" s="6">
        <v>6</v>
      </c>
      <c r="U328" s="6">
        <v>0</v>
      </c>
      <c r="V328" s="6">
        <f>IF(ISERROR(VLOOKUP($S$328,'TAR FIN'!$A$1:$O$113,15,0)),0,VLOOKUP($S$328,'TAR FIN'!$A$1:$O$113,15,0))</f>
        <v>0</v>
      </c>
      <c r="W328" s="6">
        <f>IF(ISERROR(VLOOKUP($T$328,'TAR FIN'!$A$1:$O$113,15,0)),0,VLOOKUP($T$328,'TAR FIN'!$A$1:$O$113,15,0))</f>
        <v>72.150000000000006</v>
      </c>
      <c r="X328" s="6">
        <f>IF(ISERROR(VLOOKUP($U$328,'TAR FIN'!$A$1:$O$113,15,0)),0,VLOOKUP($U$328,'TAR FIN'!$A$1:$O$113,15,0))</f>
        <v>0</v>
      </c>
      <c r="Y328" s="6"/>
      <c r="Z328" s="6">
        <f ca="1">('TUSD BE'!$AM$21+'TUSD BF_350'!$AM$21+'TUSD CVA'!$AM$21)*1</f>
        <v>122.14055331663396</v>
      </c>
      <c r="AA328" s="6"/>
      <c r="AB328" s="6">
        <f>$K$328*$V$328</f>
        <v>0</v>
      </c>
      <c r="AC328" s="6">
        <f>$M$328*$W$328</f>
        <v>141089.97435</v>
      </c>
      <c r="AD328" s="6">
        <f>$O$328*$X$328</f>
        <v>0</v>
      </c>
      <c r="AE328" s="6">
        <f>$K$328*$Y$328</f>
        <v>0</v>
      </c>
      <c r="AF328" s="6">
        <f ca="1">$M$328*$Z$328</f>
        <v>238846.95127565754</v>
      </c>
      <c r="AG328" s="6">
        <f>$O$328*$AA$328</f>
        <v>0</v>
      </c>
    </row>
    <row r="329" spans="1:33" ht="11.25" customHeight="1" x14ac:dyDescent="0.3">
      <c r="A329" s="4" t="s">
        <v>53</v>
      </c>
      <c r="B329" s="4" t="s">
        <v>39</v>
      </c>
      <c r="C329" s="4" t="s">
        <v>41</v>
      </c>
      <c r="D329" s="4" t="s">
        <v>38</v>
      </c>
      <c r="E329" s="4" t="s">
        <v>25</v>
      </c>
      <c r="F329" s="4" t="s">
        <v>56</v>
      </c>
      <c r="G329" s="4" t="s">
        <v>25</v>
      </c>
      <c r="H329" s="4" t="s">
        <v>35</v>
      </c>
      <c r="I329" s="5">
        <v>44835</v>
      </c>
      <c r="J329" s="6">
        <v>0</v>
      </c>
      <c r="K329" s="6">
        <v>0</v>
      </c>
      <c r="L329" s="6">
        <v>1955.509</v>
      </c>
      <c r="M329" s="6">
        <v>1955.509</v>
      </c>
      <c r="N329" s="6">
        <v>0</v>
      </c>
      <c r="O329" s="6">
        <v>0</v>
      </c>
      <c r="P329" s="6">
        <v>0</v>
      </c>
      <c r="Q329" s="4" t="s">
        <v>55</v>
      </c>
      <c r="R329" s="4">
        <v>0</v>
      </c>
      <c r="S329" s="6">
        <v>0</v>
      </c>
      <c r="T329" s="6">
        <v>6</v>
      </c>
      <c r="U329" s="6">
        <v>0</v>
      </c>
      <c r="V329" s="6">
        <f>IF(ISERROR(VLOOKUP($S$329,'TAR FIN'!$A$1:$O$113,15,0)),0,VLOOKUP($S$329,'TAR FIN'!$A$1:$O$113,15,0))</f>
        <v>0</v>
      </c>
      <c r="W329" s="6">
        <f>IF(ISERROR(VLOOKUP($T$329,'TAR FIN'!$A$1:$O$113,15,0)),0,VLOOKUP($T$329,'TAR FIN'!$A$1:$O$113,15,0))</f>
        <v>72.150000000000006</v>
      </c>
      <c r="X329" s="6">
        <f>IF(ISERROR(VLOOKUP($U$329,'TAR FIN'!$A$1:$O$113,15,0)),0,VLOOKUP($U$329,'TAR FIN'!$A$1:$O$113,15,0))</f>
        <v>0</v>
      </c>
      <c r="Y329" s="6"/>
      <c r="Z329" s="6">
        <f ca="1">('TUSD BE'!$AM$21+'TUSD BF_350'!$AM$21+'TUSD CVA'!$AM$21)*1</f>
        <v>122.14055331663396</v>
      </c>
      <c r="AA329" s="6"/>
      <c r="AB329" s="6">
        <f>$K$329*$V$329</f>
        <v>0</v>
      </c>
      <c r="AC329" s="6">
        <f>$M$329*$W$329</f>
        <v>141089.97435</v>
      </c>
      <c r="AD329" s="6">
        <f>$O$329*$X$329</f>
        <v>0</v>
      </c>
      <c r="AE329" s="6">
        <f>$K$329*$Y$329</f>
        <v>0</v>
      </c>
      <c r="AF329" s="6">
        <f ca="1">$M$329*$Z$329</f>
        <v>238846.95127565754</v>
      </c>
      <c r="AG329" s="6">
        <f>$O$329*$AA$329</f>
        <v>0</v>
      </c>
    </row>
    <row r="330" spans="1:33" ht="11.25" customHeight="1" x14ac:dyDescent="0.3">
      <c r="A330" s="4" t="s">
        <v>21</v>
      </c>
      <c r="B330" s="4" t="s">
        <v>39</v>
      </c>
      <c r="C330" s="4" t="s">
        <v>41</v>
      </c>
      <c r="D330" s="4" t="s">
        <v>38</v>
      </c>
      <c r="E330" s="4" t="s">
        <v>25</v>
      </c>
      <c r="F330" s="4" t="s">
        <v>56</v>
      </c>
      <c r="G330" s="4" t="s">
        <v>25</v>
      </c>
      <c r="H330" s="4" t="s">
        <v>25</v>
      </c>
      <c r="I330" s="5">
        <v>44501</v>
      </c>
      <c r="J330" s="6">
        <v>5385</v>
      </c>
      <c r="K330" s="6">
        <v>4382.6265147000004</v>
      </c>
      <c r="L330" s="6">
        <v>0</v>
      </c>
      <c r="M330" s="6">
        <v>0</v>
      </c>
      <c r="N330" s="6">
        <v>0</v>
      </c>
      <c r="O330" s="6">
        <v>0</v>
      </c>
      <c r="P330" s="6">
        <v>9</v>
      </c>
      <c r="Q330" s="4" t="s">
        <v>55</v>
      </c>
      <c r="R330" s="4">
        <v>0</v>
      </c>
      <c r="S330" s="6">
        <v>20</v>
      </c>
      <c r="T330" s="6">
        <v>0</v>
      </c>
      <c r="U330" s="6">
        <v>0</v>
      </c>
      <c r="V330" s="6">
        <f>IF(ISERROR(VLOOKUP($S$330,'TAR FIN'!$A$1:$O$113,15,0)),0,VLOOKUP($S$330,'TAR FIN'!$A$1:$O$113,15,0))</f>
        <v>14</v>
      </c>
      <c r="W330" s="6">
        <f>IF(ISERROR(VLOOKUP($T$330,'TAR FIN'!$A$1:$O$113,15,0)),0,VLOOKUP($T$330,'TAR FIN'!$A$1:$O$113,15,0))</f>
        <v>0</v>
      </c>
      <c r="X330" s="6">
        <f>IF(ISERROR(VLOOKUP($U$330,'TAR FIN'!$A$1:$O$113,15,0)),0,VLOOKUP($U$330,'TAR FIN'!$A$1:$O$113,15,0))</f>
        <v>0</v>
      </c>
      <c r="Y330" s="6">
        <f ca="1">('TUSD BE'!$AM$19+'TUSD BF_350'!$AM$19+'TUSD CVA'!$AM$19)*1</f>
        <v>16.035953923331604</v>
      </c>
      <c r="Z330" s="6"/>
      <c r="AA330" s="6"/>
      <c r="AB330" s="6">
        <f>$K$330*$V$330</f>
        <v>61356.771205800003</v>
      </c>
      <c r="AC330" s="6">
        <f>$M$330*$W$330</f>
        <v>0</v>
      </c>
      <c r="AD330" s="6">
        <f>$O$330*$X$330</f>
        <v>0</v>
      </c>
      <c r="AE330" s="6">
        <f ca="1">$K$330*$Y$330</f>
        <v>70279.596852900591</v>
      </c>
      <c r="AF330" s="6">
        <f>$M$330*$Z$330</f>
        <v>0</v>
      </c>
      <c r="AG330" s="6">
        <f>$O$330*$AA$330</f>
        <v>0</v>
      </c>
    </row>
    <row r="331" spans="1:33" ht="11.25" customHeight="1" x14ac:dyDescent="0.3">
      <c r="A331" s="4" t="s">
        <v>21</v>
      </c>
      <c r="B331" s="4" t="s">
        <v>39</v>
      </c>
      <c r="C331" s="4" t="s">
        <v>41</v>
      </c>
      <c r="D331" s="4" t="s">
        <v>38</v>
      </c>
      <c r="E331" s="4" t="s">
        <v>25</v>
      </c>
      <c r="F331" s="4" t="s">
        <v>56</v>
      </c>
      <c r="G331" s="4" t="s">
        <v>25</v>
      </c>
      <c r="H331" s="4" t="s">
        <v>25</v>
      </c>
      <c r="I331" s="5">
        <v>44531</v>
      </c>
      <c r="J331" s="6">
        <v>5464</v>
      </c>
      <c r="K331" s="6">
        <v>2639.6861571200002</v>
      </c>
      <c r="L331" s="6">
        <v>0</v>
      </c>
      <c r="M331" s="6">
        <v>0</v>
      </c>
      <c r="N331" s="6">
        <v>0</v>
      </c>
      <c r="O331" s="6">
        <v>0</v>
      </c>
      <c r="P331" s="6">
        <v>9</v>
      </c>
      <c r="Q331" s="4" t="s">
        <v>55</v>
      </c>
      <c r="R331" s="4">
        <v>0</v>
      </c>
      <c r="S331" s="6">
        <v>20</v>
      </c>
      <c r="T331" s="6">
        <v>0</v>
      </c>
      <c r="U331" s="6">
        <v>0</v>
      </c>
      <c r="V331" s="6">
        <f>IF(ISERROR(VLOOKUP($S$331,'TAR FIN'!$A$1:$O$113,15,0)),0,VLOOKUP($S$331,'TAR FIN'!$A$1:$O$113,15,0))</f>
        <v>14</v>
      </c>
      <c r="W331" s="6">
        <f>IF(ISERROR(VLOOKUP($T$331,'TAR FIN'!$A$1:$O$113,15,0)),0,VLOOKUP($T$331,'TAR FIN'!$A$1:$O$113,15,0))</f>
        <v>0</v>
      </c>
      <c r="X331" s="6">
        <f>IF(ISERROR(VLOOKUP($U$331,'TAR FIN'!$A$1:$O$113,15,0)),0,VLOOKUP($U$331,'TAR FIN'!$A$1:$O$113,15,0))</f>
        <v>0</v>
      </c>
      <c r="Y331" s="6">
        <f ca="1">('TUSD BE'!$AM$19+'TUSD BF_350'!$AM$19+'TUSD CVA'!$AM$19)*1</f>
        <v>16.035953923331604</v>
      </c>
      <c r="Z331" s="6"/>
      <c r="AA331" s="6"/>
      <c r="AB331" s="6">
        <f>$K$331*$V$331</f>
        <v>36955.606199680005</v>
      </c>
      <c r="AC331" s="6">
        <f>$M$331*$W$331</f>
        <v>0</v>
      </c>
      <c r="AD331" s="6">
        <f>$O$331*$X$331</f>
        <v>0</v>
      </c>
      <c r="AE331" s="6">
        <f ca="1">$K$331*$Y$331</f>
        <v>42329.885587632591</v>
      </c>
      <c r="AF331" s="6">
        <f>$M$331*$Z$331</f>
        <v>0</v>
      </c>
      <c r="AG331" s="6">
        <f>$O$331*$AA$331</f>
        <v>0</v>
      </c>
    </row>
    <row r="332" spans="1:33" ht="11.25" customHeight="1" x14ac:dyDescent="0.3">
      <c r="A332" s="4" t="s">
        <v>21</v>
      </c>
      <c r="B332" s="4" t="s">
        <v>39</v>
      </c>
      <c r="C332" s="4" t="s">
        <v>41</v>
      </c>
      <c r="D332" s="4" t="s">
        <v>38</v>
      </c>
      <c r="E332" s="4" t="s">
        <v>25</v>
      </c>
      <c r="F332" s="4" t="s">
        <v>56</v>
      </c>
      <c r="G332" s="4" t="s">
        <v>25</v>
      </c>
      <c r="H332" s="4" t="s">
        <v>25</v>
      </c>
      <c r="I332" s="5">
        <v>44562</v>
      </c>
      <c r="J332" s="6">
        <v>5699</v>
      </c>
      <c r="K332" s="6">
        <v>1816.6392844300001</v>
      </c>
      <c r="L332" s="6">
        <v>0</v>
      </c>
      <c r="M332" s="6">
        <v>0</v>
      </c>
      <c r="N332" s="6">
        <v>0</v>
      </c>
      <c r="O332" s="6">
        <v>0</v>
      </c>
      <c r="P332" s="6">
        <v>11</v>
      </c>
      <c r="Q332" s="4" t="s">
        <v>55</v>
      </c>
      <c r="R332" s="4">
        <v>0</v>
      </c>
      <c r="S332" s="6">
        <v>20</v>
      </c>
      <c r="T332" s="6">
        <v>0</v>
      </c>
      <c r="U332" s="6">
        <v>0</v>
      </c>
      <c r="V332" s="6">
        <f>IF(ISERROR(VLOOKUP($S$332,'TAR FIN'!$A$1:$O$113,15,0)),0,VLOOKUP($S$332,'TAR FIN'!$A$1:$O$113,15,0))</f>
        <v>14</v>
      </c>
      <c r="W332" s="6">
        <f>IF(ISERROR(VLOOKUP($T$332,'TAR FIN'!$A$1:$O$113,15,0)),0,VLOOKUP($T$332,'TAR FIN'!$A$1:$O$113,15,0))</f>
        <v>0</v>
      </c>
      <c r="X332" s="6">
        <f>IF(ISERROR(VLOOKUP($U$332,'TAR FIN'!$A$1:$O$113,15,0)),0,VLOOKUP($U$332,'TAR FIN'!$A$1:$O$113,15,0))</f>
        <v>0</v>
      </c>
      <c r="Y332" s="6">
        <f ca="1">('TUSD BE'!$AM$19+'TUSD BF_350'!$AM$19+'TUSD CVA'!$AM$19)*1</f>
        <v>16.035953923331604</v>
      </c>
      <c r="Z332" s="6"/>
      <c r="AA332" s="6"/>
      <c r="AB332" s="6">
        <f>$K$332*$V$332</f>
        <v>25432.94998202</v>
      </c>
      <c r="AC332" s="6">
        <f>$M$332*$W$332</f>
        <v>0</v>
      </c>
      <c r="AD332" s="6">
        <f>$O$332*$X$332</f>
        <v>0</v>
      </c>
      <c r="AE332" s="6">
        <f ca="1">$K$332*$Y$332</f>
        <v>29131.54386043358</v>
      </c>
      <c r="AF332" s="6">
        <f>$M$332*$Z$332</f>
        <v>0</v>
      </c>
      <c r="AG332" s="6">
        <f>$O$332*$AA$332</f>
        <v>0</v>
      </c>
    </row>
    <row r="333" spans="1:33" ht="11.25" customHeight="1" x14ac:dyDescent="0.3">
      <c r="A333" s="4" t="s">
        <v>21</v>
      </c>
      <c r="B333" s="4" t="s">
        <v>39</v>
      </c>
      <c r="C333" s="4" t="s">
        <v>41</v>
      </c>
      <c r="D333" s="4" t="s">
        <v>38</v>
      </c>
      <c r="E333" s="4" t="s">
        <v>25</v>
      </c>
      <c r="F333" s="4" t="s">
        <v>56</v>
      </c>
      <c r="G333" s="4" t="s">
        <v>25</v>
      </c>
      <c r="H333" s="4" t="s">
        <v>25</v>
      </c>
      <c r="I333" s="5">
        <v>44593</v>
      </c>
      <c r="J333" s="6">
        <v>6247</v>
      </c>
      <c r="K333" s="6">
        <v>3020.874284</v>
      </c>
      <c r="L333" s="6">
        <v>0</v>
      </c>
      <c r="M333" s="6">
        <v>0</v>
      </c>
      <c r="N333" s="6">
        <v>0</v>
      </c>
      <c r="O333" s="6">
        <v>0</v>
      </c>
      <c r="P333" s="6">
        <v>12</v>
      </c>
      <c r="Q333" s="4" t="s">
        <v>55</v>
      </c>
      <c r="R333" s="4">
        <v>0</v>
      </c>
      <c r="S333" s="6">
        <v>20</v>
      </c>
      <c r="T333" s="6">
        <v>0</v>
      </c>
      <c r="U333" s="6">
        <v>0</v>
      </c>
      <c r="V333" s="6">
        <f>IF(ISERROR(VLOOKUP($S$333,'TAR FIN'!$A$1:$O$113,15,0)),0,VLOOKUP($S$333,'TAR FIN'!$A$1:$O$113,15,0))</f>
        <v>14</v>
      </c>
      <c r="W333" s="6">
        <f>IF(ISERROR(VLOOKUP($T$333,'TAR FIN'!$A$1:$O$113,15,0)),0,VLOOKUP($T$333,'TAR FIN'!$A$1:$O$113,15,0))</f>
        <v>0</v>
      </c>
      <c r="X333" s="6">
        <f>IF(ISERROR(VLOOKUP($U$333,'TAR FIN'!$A$1:$O$113,15,0)),0,VLOOKUP($U$333,'TAR FIN'!$A$1:$O$113,15,0))</f>
        <v>0</v>
      </c>
      <c r="Y333" s="6">
        <f ca="1">('TUSD BE'!$AM$19+'TUSD BF_350'!$AM$19+'TUSD CVA'!$AM$19)*1</f>
        <v>16.035953923331604</v>
      </c>
      <c r="Z333" s="6"/>
      <c r="AA333" s="6"/>
      <c r="AB333" s="6">
        <f>$K$333*$V$333</f>
        <v>42292.239975999997</v>
      </c>
      <c r="AC333" s="6">
        <f>$M$333*$W$333</f>
        <v>0</v>
      </c>
      <c r="AD333" s="6">
        <f>$O$333*$X$333</f>
        <v>0</v>
      </c>
      <c r="AE333" s="6">
        <f ca="1">$K$333*$Y$333</f>
        <v>48442.600826401351</v>
      </c>
      <c r="AF333" s="6">
        <f>$M$333*$Z$333</f>
        <v>0</v>
      </c>
      <c r="AG333" s="6">
        <f>$O$333*$AA$333</f>
        <v>0</v>
      </c>
    </row>
    <row r="334" spans="1:33" ht="11.25" customHeight="1" x14ac:dyDescent="0.3">
      <c r="A334" s="4" t="s">
        <v>21</v>
      </c>
      <c r="B334" s="4" t="s">
        <v>39</v>
      </c>
      <c r="C334" s="4" t="s">
        <v>41</v>
      </c>
      <c r="D334" s="4" t="s">
        <v>38</v>
      </c>
      <c r="E334" s="4" t="s">
        <v>25</v>
      </c>
      <c r="F334" s="4" t="s">
        <v>56</v>
      </c>
      <c r="G334" s="4" t="s">
        <v>25</v>
      </c>
      <c r="H334" s="4" t="s">
        <v>25</v>
      </c>
      <c r="I334" s="5">
        <v>44621</v>
      </c>
      <c r="J334" s="6">
        <v>6434</v>
      </c>
      <c r="K334" s="6">
        <v>3202.3385868400001</v>
      </c>
      <c r="L334" s="6">
        <v>0</v>
      </c>
      <c r="M334" s="6">
        <v>0</v>
      </c>
      <c r="N334" s="6">
        <v>0</v>
      </c>
      <c r="O334" s="6">
        <v>0</v>
      </c>
      <c r="P334" s="6">
        <v>13</v>
      </c>
      <c r="Q334" s="4" t="s">
        <v>55</v>
      </c>
      <c r="R334" s="4">
        <v>0</v>
      </c>
      <c r="S334" s="6">
        <v>20</v>
      </c>
      <c r="T334" s="6">
        <v>0</v>
      </c>
      <c r="U334" s="6">
        <v>0</v>
      </c>
      <c r="V334" s="6">
        <f>IF(ISERROR(VLOOKUP($S$334,'TAR FIN'!$A$1:$O$113,15,0)),0,VLOOKUP($S$334,'TAR FIN'!$A$1:$O$113,15,0))</f>
        <v>14</v>
      </c>
      <c r="W334" s="6">
        <f>IF(ISERROR(VLOOKUP($T$334,'TAR FIN'!$A$1:$O$113,15,0)),0,VLOOKUP($T$334,'TAR FIN'!$A$1:$O$113,15,0))</f>
        <v>0</v>
      </c>
      <c r="X334" s="6">
        <f>IF(ISERROR(VLOOKUP($U$334,'TAR FIN'!$A$1:$O$113,15,0)),0,VLOOKUP($U$334,'TAR FIN'!$A$1:$O$113,15,0))</f>
        <v>0</v>
      </c>
      <c r="Y334" s="6">
        <f ca="1">('TUSD BE'!$AM$19+'TUSD BF_350'!$AM$19+'TUSD CVA'!$AM$19)*1</f>
        <v>16.035953923331604</v>
      </c>
      <c r="Z334" s="6"/>
      <c r="AA334" s="6"/>
      <c r="AB334" s="6">
        <f>$K$334*$V$334</f>
        <v>44832.740215760001</v>
      </c>
      <c r="AC334" s="6">
        <f>$M$334*$W$334</f>
        <v>0</v>
      </c>
      <c r="AD334" s="6">
        <f>$O$334*$X$334</f>
        <v>0</v>
      </c>
      <c r="AE334" s="6">
        <f ca="1">$K$334*$Y$334</f>
        <v>51352.554025473088</v>
      </c>
      <c r="AF334" s="6">
        <f>$M$334*$Z$334</f>
        <v>0</v>
      </c>
      <c r="AG334" s="6">
        <f>$O$334*$AA$334</f>
        <v>0</v>
      </c>
    </row>
    <row r="335" spans="1:33" ht="11.25" customHeight="1" x14ac:dyDescent="0.3">
      <c r="A335" s="4" t="s">
        <v>21</v>
      </c>
      <c r="B335" s="4" t="s">
        <v>39</v>
      </c>
      <c r="C335" s="4" t="s">
        <v>41</v>
      </c>
      <c r="D335" s="4" t="s">
        <v>38</v>
      </c>
      <c r="E335" s="4" t="s">
        <v>25</v>
      </c>
      <c r="F335" s="4" t="s">
        <v>56</v>
      </c>
      <c r="G335" s="4" t="s">
        <v>25</v>
      </c>
      <c r="H335" s="4" t="s">
        <v>25</v>
      </c>
      <c r="I335" s="5">
        <v>44652</v>
      </c>
      <c r="J335" s="6">
        <v>6719</v>
      </c>
      <c r="K335" s="6">
        <v>3187.2271244600001</v>
      </c>
      <c r="L335" s="6">
        <v>0</v>
      </c>
      <c r="M335" s="6">
        <v>0</v>
      </c>
      <c r="N335" s="6">
        <v>0</v>
      </c>
      <c r="O335" s="6">
        <v>0</v>
      </c>
      <c r="P335" s="6">
        <v>15</v>
      </c>
      <c r="Q335" s="4" t="s">
        <v>55</v>
      </c>
      <c r="R335" s="4">
        <v>0</v>
      </c>
      <c r="S335" s="6">
        <v>20</v>
      </c>
      <c r="T335" s="6">
        <v>0</v>
      </c>
      <c r="U335" s="6">
        <v>0</v>
      </c>
      <c r="V335" s="6">
        <f>IF(ISERROR(VLOOKUP($S$335,'TAR FIN'!$A$1:$O$113,15,0)),0,VLOOKUP($S$335,'TAR FIN'!$A$1:$O$113,15,0))</f>
        <v>14</v>
      </c>
      <c r="W335" s="6">
        <f>IF(ISERROR(VLOOKUP($T$335,'TAR FIN'!$A$1:$O$113,15,0)),0,VLOOKUP($T$335,'TAR FIN'!$A$1:$O$113,15,0))</f>
        <v>0</v>
      </c>
      <c r="X335" s="6">
        <f>IF(ISERROR(VLOOKUP($U$335,'TAR FIN'!$A$1:$O$113,15,0)),0,VLOOKUP($U$335,'TAR FIN'!$A$1:$O$113,15,0))</f>
        <v>0</v>
      </c>
      <c r="Y335" s="6">
        <f ca="1">('TUSD BE'!$AM$19+'TUSD BF_350'!$AM$19+'TUSD CVA'!$AM$19)*1</f>
        <v>16.035953923331604</v>
      </c>
      <c r="Z335" s="6"/>
      <c r="AA335" s="6"/>
      <c r="AB335" s="6">
        <f>$K$335*$V$335</f>
        <v>44621.179742439999</v>
      </c>
      <c r="AC335" s="6">
        <f>$M$335*$W$335</f>
        <v>0</v>
      </c>
      <c r="AD335" s="6">
        <f>$O$335*$X$335</f>
        <v>0</v>
      </c>
      <c r="AE335" s="6">
        <f ca="1">$K$335*$Y$335</f>
        <v>51110.227311033246</v>
      </c>
      <c r="AF335" s="6">
        <f>$M$335*$Z$335</f>
        <v>0</v>
      </c>
      <c r="AG335" s="6">
        <f>$O$335*$AA$335</f>
        <v>0</v>
      </c>
    </row>
    <row r="336" spans="1:33" ht="11.25" customHeight="1" x14ac:dyDescent="0.3">
      <c r="A336" s="4" t="s">
        <v>21</v>
      </c>
      <c r="B336" s="4" t="s">
        <v>39</v>
      </c>
      <c r="C336" s="4" t="s">
        <v>41</v>
      </c>
      <c r="D336" s="4" t="s">
        <v>38</v>
      </c>
      <c r="E336" s="4" t="s">
        <v>25</v>
      </c>
      <c r="F336" s="4" t="s">
        <v>56</v>
      </c>
      <c r="G336" s="4" t="s">
        <v>25</v>
      </c>
      <c r="H336" s="4" t="s">
        <v>25</v>
      </c>
      <c r="I336" s="5">
        <v>44682</v>
      </c>
      <c r="J336" s="6">
        <v>6697</v>
      </c>
      <c r="K336" s="6">
        <v>3460.6249912899998</v>
      </c>
      <c r="L336" s="6">
        <v>0</v>
      </c>
      <c r="M336" s="6">
        <v>0</v>
      </c>
      <c r="N336" s="6">
        <v>0</v>
      </c>
      <c r="O336" s="6">
        <v>0</v>
      </c>
      <c r="P336" s="6">
        <v>15</v>
      </c>
      <c r="Q336" s="4" t="s">
        <v>55</v>
      </c>
      <c r="R336" s="4">
        <v>0</v>
      </c>
      <c r="S336" s="6">
        <v>20</v>
      </c>
      <c r="T336" s="6">
        <v>0</v>
      </c>
      <c r="U336" s="6">
        <v>0</v>
      </c>
      <c r="V336" s="6">
        <f>IF(ISERROR(VLOOKUP($S$336,'TAR FIN'!$A$1:$O$113,15,0)),0,VLOOKUP($S$336,'TAR FIN'!$A$1:$O$113,15,0))</f>
        <v>14</v>
      </c>
      <c r="W336" s="6">
        <f>IF(ISERROR(VLOOKUP($T$336,'TAR FIN'!$A$1:$O$113,15,0)),0,VLOOKUP($T$336,'TAR FIN'!$A$1:$O$113,15,0))</f>
        <v>0</v>
      </c>
      <c r="X336" s="6">
        <f>IF(ISERROR(VLOOKUP($U$336,'TAR FIN'!$A$1:$O$113,15,0)),0,VLOOKUP($U$336,'TAR FIN'!$A$1:$O$113,15,0))</f>
        <v>0</v>
      </c>
      <c r="Y336" s="6">
        <f ca="1">('TUSD BE'!$AM$19+'TUSD BF_350'!$AM$19+'TUSD CVA'!$AM$19)*1</f>
        <v>16.035953923331604</v>
      </c>
      <c r="Z336" s="6"/>
      <c r="AA336" s="6"/>
      <c r="AB336" s="6">
        <f>$K$336*$V$336</f>
        <v>48448.74987806</v>
      </c>
      <c r="AC336" s="6">
        <f>$M$336*$W$336</f>
        <v>0</v>
      </c>
      <c r="AD336" s="6">
        <f>$O$336*$X$336</f>
        <v>0</v>
      </c>
      <c r="AE336" s="6">
        <f ca="1">$K$336*$Y$336</f>
        <v>55494.422906256274</v>
      </c>
      <c r="AF336" s="6">
        <f>$M$336*$Z$336</f>
        <v>0</v>
      </c>
      <c r="AG336" s="6">
        <f>$O$336*$AA$336</f>
        <v>0</v>
      </c>
    </row>
    <row r="337" spans="1:33" ht="11.25" customHeight="1" x14ac:dyDescent="0.3">
      <c r="A337" s="4" t="s">
        <v>21</v>
      </c>
      <c r="B337" s="4" t="s">
        <v>39</v>
      </c>
      <c r="C337" s="4" t="s">
        <v>41</v>
      </c>
      <c r="D337" s="4" t="s">
        <v>38</v>
      </c>
      <c r="E337" s="4" t="s">
        <v>25</v>
      </c>
      <c r="F337" s="4" t="s">
        <v>56</v>
      </c>
      <c r="G337" s="4" t="s">
        <v>25</v>
      </c>
      <c r="H337" s="4" t="s">
        <v>25</v>
      </c>
      <c r="I337" s="5">
        <v>44713</v>
      </c>
      <c r="J337" s="6">
        <v>7006</v>
      </c>
      <c r="K337" s="6">
        <v>3237.26858528</v>
      </c>
      <c r="L337" s="6">
        <v>0</v>
      </c>
      <c r="M337" s="6">
        <v>0</v>
      </c>
      <c r="N337" s="6">
        <v>0</v>
      </c>
      <c r="O337" s="6">
        <v>0</v>
      </c>
      <c r="P337" s="6">
        <v>16</v>
      </c>
      <c r="Q337" s="4" t="s">
        <v>55</v>
      </c>
      <c r="R337" s="4">
        <v>0</v>
      </c>
      <c r="S337" s="6">
        <v>20</v>
      </c>
      <c r="T337" s="6">
        <v>0</v>
      </c>
      <c r="U337" s="6">
        <v>0</v>
      </c>
      <c r="V337" s="6">
        <f>IF(ISERROR(VLOOKUP($S$337,'TAR FIN'!$A$1:$O$113,15,0)),0,VLOOKUP($S$337,'TAR FIN'!$A$1:$O$113,15,0))</f>
        <v>14</v>
      </c>
      <c r="W337" s="6">
        <f>IF(ISERROR(VLOOKUP($T$337,'TAR FIN'!$A$1:$O$113,15,0)),0,VLOOKUP($T$337,'TAR FIN'!$A$1:$O$113,15,0))</f>
        <v>0</v>
      </c>
      <c r="X337" s="6">
        <f>IF(ISERROR(VLOOKUP($U$337,'TAR FIN'!$A$1:$O$113,15,0)),0,VLOOKUP($U$337,'TAR FIN'!$A$1:$O$113,15,0))</f>
        <v>0</v>
      </c>
      <c r="Y337" s="6">
        <f ca="1">('TUSD BE'!$AM$19+'TUSD BF_350'!$AM$19+'TUSD CVA'!$AM$19)*1</f>
        <v>16.035953923331604</v>
      </c>
      <c r="Z337" s="6"/>
      <c r="AA337" s="6"/>
      <c r="AB337" s="6">
        <f>$K$337*$V$337</f>
        <v>45321.760193920003</v>
      </c>
      <c r="AC337" s="6">
        <f>$M$337*$W$337</f>
        <v>0</v>
      </c>
      <c r="AD337" s="6">
        <f>$O$337*$X$337</f>
        <v>0</v>
      </c>
      <c r="AE337" s="6">
        <f ca="1">$K$337*$Y$337</f>
        <v>51912.689870998969</v>
      </c>
      <c r="AF337" s="6">
        <f>$M$337*$Z$337</f>
        <v>0</v>
      </c>
      <c r="AG337" s="6">
        <f>$O$337*$AA$337</f>
        <v>0</v>
      </c>
    </row>
    <row r="338" spans="1:33" ht="11.25" customHeight="1" x14ac:dyDescent="0.3">
      <c r="A338" s="4" t="s">
        <v>21</v>
      </c>
      <c r="B338" s="4" t="s">
        <v>39</v>
      </c>
      <c r="C338" s="4" t="s">
        <v>41</v>
      </c>
      <c r="D338" s="4" t="s">
        <v>38</v>
      </c>
      <c r="E338" s="4" t="s">
        <v>25</v>
      </c>
      <c r="F338" s="4" t="s">
        <v>56</v>
      </c>
      <c r="G338" s="4" t="s">
        <v>25</v>
      </c>
      <c r="H338" s="4" t="s">
        <v>25</v>
      </c>
      <c r="I338" s="5">
        <v>44743</v>
      </c>
      <c r="J338" s="6">
        <v>7138</v>
      </c>
      <c r="K338" s="6">
        <v>3276.37140856</v>
      </c>
      <c r="L338" s="6">
        <v>0</v>
      </c>
      <c r="M338" s="6">
        <v>0</v>
      </c>
      <c r="N338" s="6">
        <v>0</v>
      </c>
      <c r="O338" s="6">
        <v>0</v>
      </c>
      <c r="P338" s="6">
        <v>16</v>
      </c>
      <c r="Q338" s="4" t="s">
        <v>55</v>
      </c>
      <c r="R338" s="4">
        <v>0</v>
      </c>
      <c r="S338" s="6">
        <v>20</v>
      </c>
      <c r="T338" s="6">
        <v>0</v>
      </c>
      <c r="U338" s="6">
        <v>0</v>
      </c>
      <c r="V338" s="6">
        <f>IF(ISERROR(VLOOKUP($S$338,'TAR FIN'!$A$1:$O$113,15,0)),0,VLOOKUP($S$338,'TAR FIN'!$A$1:$O$113,15,0))</f>
        <v>14</v>
      </c>
      <c r="W338" s="6">
        <f>IF(ISERROR(VLOOKUP($T$338,'TAR FIN'!$A$1:$O$113,15,0)),0,VLOOKUP($T$338,'TAR FIN'!$A$1:$O$113,15,0))</f>
        <v>0</v>
      </c>
      <c r="X338" s="6">
        <f>IF(ISERROR(VLOOKUP($U$338,'TAR FIN'!$A$1:$O$113,15,0)),0,VLOOKUP($U$338,'TAR FIN'!$A$1:$O$113,15,0))</f>
        <v>0</v>
      </c>
      <c r="Y338" s="6">
        <f ca="1">('TUSD BE'!$AM$19+'TUSD BF_350'!$AM$19+'TUSD CVA'!$AM$19)*1</f>
        <v>16.035953923331604</v>
      </c>
      <c r="Z338" s="6"/>
      <c r="AA338" s="6"/>
      <c r="AB338" s="6">
        <f>$K$338*$V$338</f>
        <v>45869.199719839999</v>
      </c>
      <c r="AC338" s="6">
        <f>$M$338*$W$338</f>
        <v>0</v>
      </c>
      <c r="AD338" s="6">
        <f>$O$338*$X$338</f>
        <v>0</v>
      </c>
      <c r="AE338" s="6">
        <f ca="1">$K$338*$Y$338</f>
        <v>52539.740943389224</v>
      </c>
      <c r="AF338" s="6">
        <f>$M$338*$Z$338</f>
        <v>0</v>
      </c>
      <c r="AG338" s="6">
        <f>$O$338*$AA$338</f>
        <v>0</v>
      </c>
    </row>
    <row r="339" spans="1:33" ht="11.25" customHeight="1" x14ac:dyDescent="0.3">
      <c r="A339" s="4" t="s">
        <v>21</v>
      </c>
      <c r="B339" s="4" t="s">
        <v>39</v>
      </c>
      <c r="C339" s="4" t="s">
        <v>41</v>
      </c>
      <c r="D339" s="4" t="s">
        <v>38</v>
      </c>
      <c r="E339" s="4" t="s">
        <v>25</v>
      </c>
      <c r="F339" s="4" t="s">
        <v>56</v>
      </c>
      <c r="G339" s="4" t="s">
        <v>25</v>
      </c>
      <c r="H339" s="4" t="s">
        <v>25</v>
      </c>
      <c r="I339" s="5">
        <v>44774</v>
      </c>
      <c r="J339" s="6">
        <v>7158</v>
      </c>
      <c r="K339" s="6">
        <v>3383.4035699400001</v>
      </c>
      <c r="L339" s="6">
        <v>0</v>
      </c>
      <c r="M339" s="6">
        <v>0</v>
      </c>
      <c r="N339" s="6">
        <v>0</v>
      </c>
      <c r="O339" s="6">
        <v>0</v>
      </c>
      <c r="P339" s="6">
        <v>16</v>
      </c>
      <c r="Q339" s="4" t="s">
        <v>55</v>
      </c>
      <c r="R339" s="4">
        <v>0</v>
      </c>
      <c r="S339" s="6">
        <v>20</v>
      </c>
      <c r="T339" s="6">
        <v>0</v>
      </c>
      <c r="U339" s="6">
        <v>0</v>
      </c>
      <c r="V339" s="6">
        <f>IF(ISERROR(VLOOKUP($S$339,'TAR FIN'!$A$1:$O$113,15,0)),0,VLOOKUP($S$339,'TAR FIN'!$A$1:$O$113,15,0))</f>
        <v>14</v>
      </c>
      <c r="W339" s="6">
        <f>IF(ISERROR(VLOOKUP($T$339,'TAR FIN'!$A$1:$O$113,15,0)),0,VLOOKUP($T$339,'TAR FIN'!$A$1:$O$113,15,0))</f>
        <v>0</v>
      </c>
      <c r="X339" s="6">
        <f>IF(ISERROR(VLOOKUP($U$339,'TAR FIN'!$A$1:$O$113,15,0)),0,VLOOKUP($U$339,'TAR FIN'!$A$1:$O$113,15,0))</f>
        <v>0</v>
      </c>
      <c r="Y339" s="6">
        <f ca="1">('TUSD BE'!$AM$19+'TUSD BF_350'!$AM$19+'TUSD CVA'!$AM$19)*1</f>
        <v>16.035953923331604</v>
      </c>
      <c r="Z339" s="6"/>
      <c r="AA339" s="6"/>
      <c r="AB339" s="6">
        <f>$K$339*$V$339</f>
        <v>47367.64997916</v>
      </c>
      <c r="AC339" s="6">
        <f>$M$339*$W$339</f>
        <v>0</v>
      </c>
      <c r="AD339" s="6">
        <f>$O$339*$X$339</f>
        <v>0</v>
      </c>
      <c r="AE339" s="6">
        <f ca="1">$K$339*$Y$339</f>
        <v>54256.103751593502</v>
      </c>
      <c r="AF339" s="6">
        <f>$M$339*$Z$339</f>
        <v>0</v>
      </c>
      <c r="AG339" s="6">
        <f>$O$339*$AA$339</f>
        <v>0</v>
      </c>
    </row>
    <row r="340" spans="1:33" ht="11.25" customHeight="1" x14ac:dyDescent="0.3">
      <c r="A340" s="4" t="s">
        <v>21</v>
      </c>
      <c r="B340" s="4" t="s">
        <v>39</v>
      </c>
      <c r="C340" s="4" t="s">
        <v>41</v>
      </c>
      <c r="D340" s="4" t="s">
        <v>38</v>
      </c>
      <c r="E340" s="4" t="s">
        <v>25</v>
      </c>
      <c r="F340" s="4" t="s">
        <v>56</v>
      </c>
      <c r="G340" s="4" t="s">
        <v>25</v>
      </c>
      <c r="H340" s="4" t="s">
        <v>25</v>
      </c>
      <c r="I340" s="5">
        <v>44805</v>
      </c>
      <c r="J340" s="6">
        <v>7177</v>
      </c>
      <c r="K340" s="6">
        <v>3390.3400156600001</v>
      </c>
      <c r="L340" s="6">
        <v>0</v>
      </c>
      <c r="M340" s="6">
        <v>0</v>
      </c>
      <c r="N340" s="6">
        <v>0</v>
      </c>
      <c r="O340" s="6">
        <v>0</v>
      </c>
      <c r="P340" s="6">
        <v>16</v>
      </c>
      <c r="Q340" s="4" t="s">
        <v>55</v>
      </c>
      <c r="R340" s="4">
        <v>0</v>
      </c>
      <c r="S340" s="6">
        <v>20</v>
      </c>
      <c r="T340" s="6">
        <v>0</v>
      </c>
      <c r="U340" s="6">
        <v>0</v>
      </c>
      <c r="V340" s="6">
        <f>IF(ISERROR(VLOOKUP($S$340,'TAR FIN'!$A$1:$O$113,15,0)),0,VLOOKUP($S$340,'TAR FIN'!$A$1:$O$113,15,0))</f>
        <v>14</v>
      </c>
      <c r="W340" s="6">
        <f>IF(ISERROR(VLOOKUP($T$340,'TAR FIN'!$A$1:$O$113,15,0)),0,VLOOKUP($T$340,'TAR FIN'!$A$1:$O$113,15,0))</f>
        <v>0</v>
      </c>
      <c r="X340" s="6">
        <f>IF(ISERROR(VLOOKUP($U$340,'TAR FIN'!$A$1:$O$113,15,0)),0,VLOOKUP($U$340,'TAR FIN'!$A$1:$O$113,15,0))</f>
        <v>0</v>
      </c>
      <c r="Y340" s="6">
        <f ca="1">('TUSD BE'!$AM$19+'TUSD BF_350'!$AM$19+'TUSD CVA'!$AM$19)*1</f>
        <v>16.035953923331604</v>
      </c>
      <c r="Z340" s="6"/>
      <c r="AA340" s="6"/>
      <c r="AB340" s="6">
        <f>$K$340*$V$340</f>
        <v>47464.760219240001</v>
      </c>
      <c r="AC340" s="6">
        <f>$M$340*$W$340</f>
        <v>0</v>
      </c>
      <c r="AD340" s="6">
        <f>$O$340*$X$340</f>
        <v>0</v>
      </c>
      <c r="AE340" s="6">
        <f ca="1">$K$340*$Y$340</f>
        <v>54367.336275551112</v>
      </c>
      <c r="AF340" s="6">
        <f>$M$340*$Z$340</f>
        <v>0</v>
      </c>
      <c r="AG340" s="6">
        <f>$O$340*$AA$340</f>
        <v>0</v>
      </c>
    </row>
    <row r="341" spans="1:33" ht="11.25" customHeight="1" x14ac:dyDescent="0.3">
      <c r="A341" s="4" t="s">
        <v>53</v>
      </c>
      <c r="B341" s="4" t="s">
        <v>39</v>
      </c>
      <c r="C341" s="4" t="s">
        <v>41</v>
      </c>
      <c r="D341" s="4" t="s">
        <v>38</v>
      </c>
      <c r="E341" s="4" t="s">
        <v>25</v>
      </c>
      <c r="F341" s="4" t="s">
        <v>56</v>
      </c>
      <c r="G341" s="4" t="s">
        <v>25</v>
      </c>
      <c r="H341" s="4" t="s">
        <v>25</v>
      </c>
      <c r="I341" s="5">
        <v>44835</v>
      </c>
      <c r="J341" s="6">
        <v>7177</v>
      </c>
      <c r="K341" s="6">
        <v>3390.3400156600001</v>
      </c>
      <c r="L341" s="6">
        <v>0</v>
      </c>
      <c r="M341" s="6">
        <v>0</v>
      </c>
      <c r="N341" s="6">
        <v>0</v>
      </c>
      <c r="O341" s="6">
        <v>0</v>
      </c>
      <c r="P341" s="6">
        <v>16</v>
      </c>
      <c r="Q341" s="4" t="s">
        <v>55</v>
      </c>
      <c r="R341" s="4">
        <v>0</v>
      </c>
      <c r="S341" s="6">
        <v>20</v>
      </c>
      <c r="T341" s="6">
        <v>0</v>
      </c>
      <c r="U341" s="6">
        <v>0</v>
      </c>
      <c r="V341" s="6">
        <f>IF(ISERROR(VLOOKUP($S$341,'TAR FIN'!$A$1:$O$113,15,0)),0,VLOOKUP($S$341,'TAR FIN'!$A$1:$O$113,15,0))</f>
        <v>14</v>
      </c>
      <c r="W341" s="6">
        <f>IF(ISERROR(VLOOKUP($T$341,'TAR FIN'!$A$1:$O$113,15,0)),0,VLOOKUP($T$341,'TAR FIN'!$A$1:$O$113,15,0))</f>
        <v>0</v>
      </c>
      <c r="X341" s="6">
        <f>IF(ISERROR(VLOOKUP($U$341,'TAR FIN'!$A$1:$O$113,15,0)),0,VLOOKUP($U$341,'TAR FIN'!$A$1:$O$113,15,0))</f>
        <v>0</v>
      </c>
      <c r="Y341" s="6">
        <f ca="1">('TUSD BE'!$AM$19+'TUSD BF_350'!$AM$19+'TUSD CVA'!$AM$19)*1</f>
        <v>16.035953923331604</v>
      </c>
      <c r="Z341" s="6"/>
      <c r="AA341" s="6"/>
      <c r="AB341" s="6">
        <f>$K$341*$V$341</f>
        <v>47464.760219240001</v>
      </c>
      <c r="AC341" s="6">
        <f>$M$341*$W$341</f>
        <v>0</v>
      </c>
      <c r="AD341" s="6">
        <f>$O$341*$X$341</f>
        <v>0</v>
      </c>
      <c r="AE341" s="6">
        <f ca="1">$K$341*$Y$341</f>
        <v>54367.336275551112</v>
      </c>
      <c r="AF341" s="6">
        <f>$M$341*$Z$341</f>
        <v>0</v>
      </c>
      <c r="AG341" s="6">
        <f>$O$341*$AA$341</f>
        <v>0</v>
      </c>
    </row>
    <row r="342" spans="1:33" ht="11.25" customHeight="1" x14ac:dyDescent="0.3">
      <c r="A342" s="4" t="s">
        <v>21</v>
      </c>
      <c r="B342" s="4" t="s">
        <v>39</v>
      </c>
      <c r="C342" s="4" t="s">
        <v>41</v>
      </c>
      <c r="D342" s="4" t="s">
        <v>38</v>
      </c>
      <c r="E342" s="4" t="s">
        <v>25</v>
      </c>
      <c r="F342" s="4" t="s">
        <v>56</v>
      </c>
      <c r="G342" s="4" t="s">
        <v>25</v>
      </c>
      <c r="H342" s="4" t="s">
        <v>34</v>
      </c>
      <c r="I342" s="5">
        <v>44501</v>
      </c>
      <c r="J342" s="6">
        <v>0</v>
      </c>
      <c r="K342" s="6">
        <v>0</v>
      </c>
      <c r="L342" s="6">
        <v>121.318</v>
      </c>
      <c r="M342" s="6">
        <v>108.06427661278001</v>
      </c>
      <c r="N342" s="6">
        <v>0</v>
      </c>
      <c r="O342" s="6">
        <v>0</v>
      </c>
      <c r="P342" s="6">
        <v>0</v>
      </c>
      <c r="Q342" s="4" t="s">
        <v>55</v>
      </c>
      <c r="R342" s="4">
        <v>0</v>
      </c>
      <c r="S342" s="6">
        <v>0</v>
      </c>
      <c r="T342" s="6">
        <v>8</v>
      </c>
      <c r="U342" s="6">
        <v>0</v>
      </c>
      <c r="V342" s="6">
        <f>IF(ISERROR(VLOOKUP($S$342,'TAR FIN'!$A$1:$O$113,15,0)),0,VLOOKUP($S$342,'TAR FIN'!$A$1:$O$113,15,0))</f>
        <v>0</v>
      </c>
      <c r="W342" s="6">
        <f>IF(ISERROR(VLOOKUP($T$342,'TAR FIN'!$A$1:$O$113,15,0)),0,VLOOKUP($T$342,'TAR FIN'!$A$1:$O$113,15,0))</f>
        <v>940.43</v>
      </c>
      <c r="X342" s="6">
        <f>IF(ISERROR(VLOOKUP($U$342,'TAR FIN'!$A$1:$O$113,15,0)),0,VLOOKUP($U$342,'TAR FIN'!$A$1:$O$113,15,0))</f>
        <v>0</v>
      </c>
      <c r="Y342" s="6"/>
      <c r="Z342" s="6">
        <f ca="1">('TUSD BE'!$AM$20+'TUSD BF_350'!$AM$20+'TUSD CVA'!$AM$20)*1</f>
        <v>1117.8285588949407</v>
      </c>
      <c r="AA342" s="6"/>
      <c r="AB342" s="6">
        <f>$K$342*$V$342</f>
        <v>0</v>
      </c>
      <c r="AC342" s="6">
        <f>$M$342*$W$342</f>
        <v>101626.88765495669</v>
      </c>
      <c r="AD342" s="6">
        <f>$O$342*$X$342</f>
        <v>0</v>
      </c>
      <c r="AE342" s="6">
        <f>$K$342*$Y$342</f>
        <v>0</v>
      </c>
      <c r="AF342" s="6">
        <f ca="1">$M$342*$Z$342</f>
        <v>120797.33459408811</v>
      </c>
      <c r="AG342" s="6">
        <f>$O$342*$AA$342</f>
        <v>0</v>
      </c>
    </row>
    <row r="343" spans="1:33" ht="11.25" customHeight="1" x14ac:dyDescent="0.3">
      <c r="A343" s="4" t="s">
        <v>21</v>
      </c>
      <c r="B343" s="4" t="s">
        <v>39</v>
      </c>
      <c r="C343" s="4" t="s">
        <v>41</v>
      </c>
      <c r="D343" s="4" t="s">
        <v>38</v>
      </c>
      <c r="E343" s="4" t="s">
        <v>25</v>
      </c>
      <c r="F343" s="4" t="s">
        <v>56</v>
      </c>
      <c r="G343" s="4" t="s">
        <v>25</v>
      </c>
      <c r="H343" s="4" t="s">
        <v>34</v>
      </c>
      <c r="I343" s="5">
        <v>44531</v>
      </c>
      <c r="J343" s="6">
        <v>0</v>
      </c>
      <c r="K343" s="6">
        <v>0</v>
      </c>
      <c r="L343" s="6">
        <v>138.202</v>
      </c>
      <c r="M343" s="6">
        <v>73.546681935999999</v>
      </c>
      <c r="N343" s="6">
        <v>0</v>
      </c>
      <c r="O343" s="6">
        <v>0</v>
      </c>
      <c r="P343" s="6">
        <v>0</v>
      </c>
      <c r="Q343" s="4" t="s">
        <v>55</v>
      </c>
      <c r="R343" s="4">
        <v>0</v>
      </c>
      <c r="S343" s="6">
        <v>0</v>
      </c>
      <c r="T343" s="6">
        <v>8</v>
      </c>
      <c r="U343" s="6">
        <v>0</v>
      </c>
      <c r="V343" s="6">
        <f>IF(ISERROR(VLOOKUP($S$343,'TAR FIN'!$A$1:$O$113,15,0)),0,VLOOKUP($S$343,'TAR FIN'!$A$1:$O$113,15,0))</f>
        <v>0</v>
      </c>
      <c r="W343" s="6">
        <f>IF(ISERROR(VLOOKUP($T$343,'TAR FIN'!$A$1:$O$113,15,0)),0,VLOOKUP($T$343,'TAR FIN'!$A$1:$O$113,15,0))</f>
        <v>940.43</v>
      </c>
      <c r="X343" s="6">
        <f>IF(ISERROR(VLOOKUP($U$343,'TAR FIN'!$A$1:$O$113,15,0)),0,VLOOKUP($U$343,'TAR FIN'!$A$1:$O$113,15,0))</f>
        <v>0</v>
      </c>
      <c r="Y343" s="6"/>
      <c r="Z343" s="6">
        <f ca="1">('TUSD BE'!$AM$20+'TUSD BF_350'!$AM$20+'TUSD CVA'!$AM$20)*1</f>
        <v>1117.8285588949407</v>
      </c>
      <c r="AA343" s="6"/>
      <c r="AB343" s="6">
        <f>$K$343*$V$343</f>
        <v>0</v>
      </c>
      <c r="AC343" s="6">
        <f>$M$343*$W$343</f>
        <v>69165.506093072472</v>
      </c>
      <c r="AD343" s="6">
        <f>$O$343*$X$343</f>
        <v>0</v>
      </c>
      <c r="AE343" s="6">
        <f>$K$343*$Y$343</f>
        <v>0</v>
      </c>
      <c r="AF343" s="6">
        <f ca="1">$M$343*$Z$343</f>
        <v>82212.581480023437</v>
      </c>
      <c r="AG343" s="6">
        <f>$O$343*$AA$343</f>
        <v>0</v>
      </c>
    </row>
    <row r="344" spans="1:33" ht="11.25" customHeight="1" x14ac:dyDescent="0.3">
      <c r="A344" s="4" t="s">
        <v>21</v>
      </c>
      <c r="B344" s="4" t="s">
        <v>39</v>
      </c>
      <c r="C344" s="4" t="s">
        <v>41</v>
      </c>
      <c r="D344" s="4" t="s">
        <v>38</v>
      </c>
      <c r="E344" s="4" t="s">
        <v>25</v>
      </c>
      <c r="F344" s="4" t="s">
        <v>56</v>
      </c>
      <c r="G344" s="4" t="s">
        <v>25</v>
      </c>
      <c r="H344" s="4" t="s">
        <v>34</v>
      </c>
      <c r="I344" s="5">
        <v>44562</v>
      </c>
      <c r="J344" s="6">
        <v>0</v>
      </c>
      <c r="K344" s="6">
        <v>0</v>
      </c>
      <c r="L344" s="6">
        <v>183.863</v>
      </c>
      <c r="M344" s="6">
        <v>82.91051747457</v>
      </c>
      <c r="N344" s="6">
        <v>0</v>
      </c>
      <c r="O344" s="6">
        <v>0</v>
      </c>
      <c r="P344" s="6">
        <v>0</v>
      </c>
      <c r="Q344" s="4" t="s">
        <v>55</v>
      </c>
      <c r="R344" s="4">
        <v>0</v>
      </c>
      <c r="S344" s="6">
        <v>0</v>
      </c>
      <c r="T344" s="6">
        <v>8</v>
      </c>
      <c r="U344" s="6">
        <v>0</v>
      </c>
      <c r="V344" s="6">
        <f>IF(ISERROR(VLOOKUP($S$344,'TAR FIN'!$A$1:$O$113,15,0)),0,VLOOKUP($S$344,'TAR FIN'!$A$1:$O$113,15,0))</f>
        <v>0</v>
      </c>
      <c r="W344" s="6">
        <f>IF(ISERROR(VLOOKUP($T$344,'TAR FIN'!$A$1:$O$113,15,0)),0,VLOOKUP($T$344,'TAR FIN'!$A$1:$O$113,15,0))</f>
        <v>940.43</v>
      </c>
      <c r="X344" s="6">
        <f>IF(ISERROR(VLOOKUP($U$344,'TAR FIN'!$A$1:$O$113,15,0)),0,VLOOKUP($U$344,'TAR FIN'!$A$1:$O$113,15,0))</f>
        <v>0</v>
      </c>
      <c r="Y344" s="6"/>
      <c r="Z344" s="6">
        <f ca="1">('TUSD BE'!$AM$20+'TUSD BF_350'!$AM$20+'TUSD CVA'!$AM$20)*1</f>
        <v>1117.8285588949407</v>
      </c>
      <c r="AA344" s="6"/>
      <c r="AB344" s="6">
        <f>$K$344*$V$344</f>
        <v>0</v>
      </c>
      <c r="AC344" s="6">
        <f>$M$344*$W$344</f>
        <v>77971.537948609854</v>
      </c>
      <c r="AD344" s="6">
        <f>$O$344*$X$344</f>
        <v>0</v>
      </c>
      <c r="AE344" s="6">
        <f>$K$344*$Y$344</f>
        <v>0</v>
      </c>
      <c r="AF344" s="6">
        <f ca="1">$M$344*$Z$344</f>
        <v>92679.744265832385</v>
      </c>
      <c r="AG344" s="6">
        <f>$O$344*$AA$344</f>
        <v>0</v>
      </c>
    </row>
    <row r="345" spans="1:33" ht="11.25" customHeight="1" x14ac:dyDescent="0.3">
      <c r="A345" s="4" t="s">
        <v>21</v>
      </c>
      <c r="B345" s="4" t="s">
        <v>39</v>
      </c>
      <c r="C345" s="4" t="s">
        <v>41</v>
      </c>
      <c r="D345" s="4" t="s">
        <v>38</v>
      </c>
      <c r="E345" s="4" t="s">
        <v>25</v>
      </c>
      <c r="F345" s="4" t="s">
        <v>56</v>
      </c>
      <c r="G345" s="4" t="s">
        <v>25</v>
      </c>
      <c r="H345" s="4" t="s">
        <v>34</v>
      </c>
      <c r="I345" s="5">
        <v>44593</v>
      </c>
      <c r="J345" s="6">
        <v>0</v>
      </c>
      <c r="K345" s="6">
        <v>0</v>
      </c>
      <c r="L345" s="6">
        <v>176.209</v>
      </c>
      <c r="M345" s="6">
        <v>94.779071372480004</v>
      </c>
      <c r="N345" s="6">
        <v>0</v>
      </c>
      <c r="O345" s="6">
        <v>0</v>
      </c>
      <c r="P345" s="6">
        <v>0</v>
      </c>
      <c r="Q345" s="4" t="s">
        <v>55</v>
      </c>
      <c r="R345" s="4">
        <v>0</v>
      </c>
      <c r="S345" s="6">
        <v>0</v>
      </c>
      <c r="T345" s="6">
        <v>8</v>
      </c>
      <c r="U345" s="6">
        <v>0</v>
      </c>
      <c r="V345" s="6">
        <f>IF(ISERROR(VLOOKUP($S$345,'TAR FIN'!$A$1:$O$113,15,0)),0,VLOOKUP($S$345,'TAR FIN'!$A$1:$O$113,15,0))</f>
        <v>0</v>
      </c>
      <c r="W345" s="6">
        <f>IF(ISERROR(VLOOKUP($T$345,'TAR FIN'!$A$1:$O$113,15,0)),0,VLOOKUP($T$345,'TAR FIN'!$A$1:$O$113,15,0))</f>
        <v>940.43</v>
      </c>
      <c r="X345" s="6">
        <f>IF(ISERROR(VLOOKUP($U$345,'TAR FIN'!$A$1:$O$113,15,0)),0,VLOOKUP($U$345,'TAR FIN'!$A$1:$O$113,15,0))</f>
        <v>0</v>
      </c>
      <c r="Y345" s="6"/>
      <c r="Z345" s="6">
        <f ca="1">('TUSD BE'!$AM$20+'TUSD BF_350'!$AM$20+'TUSD CVA'!$AM$20)*1</f>
        <v>1117.8285588949407</v>
      </c>
      <c r="AA345" s="6"/>
      <c r="AB345" s="6">
        <f>$K$345*$V$345</f>
        <v>0</v>
      </c>
      <c r="AC345" s="6">
        <f>$M$345*$W$345</f>
        <v>89133.082090821365</v>
      </c>
      <c r="AD345" s="6">
        <f>$O$345*$X$345</f>
        <v>0</v>
      </c>
      <c r="AE345" s="6">
        <f>$K$345*$Y$345</f>
        <v>0</v>
      </c>
      <c r="AF345" s="6">
        <f ca="1">$M$345*$Z$345</f>
        <v>105946.75276570005</v>
      </c>
      <c r="AG345" s="6">
        <f>$O$345*$AA$345</f>
        <v>0</v>
      </c>
    </row>
    <row r="346" spans="1:33" ht="11.25" customHeight="1" x14ac:dyDescent="0.3">
      <c r="A346" s="4" t="s">
        <v>21</v>
      </c>
      <c r="B346" s="4" t="s">
        <v>39</v>
      </c>
      <c r="C346" s="4" t="s">
        <v>41</v>
      </c>
      <c r="D346" s="4" t="s">
        <v>38</v>
      </c>
      <c r="E346" s="4" t="s">
        <v>25</v>
      </c>
      <c r="F346" s="4" t="s">
        <v>56</v>
      </c>
      <c r="G346" s="4" t="s">
        <v>25</v>
      </c>
      <c r="H346" s="4" t="s">
        <v>34</v>
      </c>
      <c r="I346" s="5">
        <v>44621</v>
      </c>
      <c r="J346" s="6">
        <v>0</v>
      </c>
      <c r="K346" s="6">
        <v>0</v>
      </c>
      <c r="L346" s="6">
        <v>182.48099999999999</v>
      </c>
      <c r="M346" s="6">
        <v>98.261492971199999</v>
      </c>
      <c r="N346" s="6">
        <v>0</v>
      </c>
      <c r="O346" s="6">
        <v>0</v>
      </c>
      <c r="P346" s="6">
        <v>0</v>
      </c>
      <c r="Q346" s="4" t="s">
        <v>55</v>
      </c>
      <c r="R346" s="4">
        <v>0</v>
      </c>
      <c r="S346" s="6">
        <v>0</v>
      </c>
      <c r="T346" s="6">
        <v>8</v>
      </c>
      <c r="U346" s="6">
        <v>0</v>
      </c>
      <c r="V346" s="6">
        <f>IF(ISERROR(VLOOKUP($S$346,'TAR FIN'!$A$1:$O$113,15,0)),0,VLOOKUP($S$346,'TAR FIN'!$A$1:$O$113,15,0))</f>
        <v>0</v>
      </c>
      <c r="W346" s="6">
        <f>IF(ISERROR(VLOOKUP($T$346,'TAR FIN'!$A$1:$O$113,15,0)),0,VLOOKUP($T$346,'TAR FIN'!$A$1:$O$113,15,0))</f>
        <v>940.43</v>
      </c>
      <c r="X346" s="6">
        <f>IF(ISERROR(VLOOKUP($U$346,'TAR FIN'!$A$1:$O$113,15,0)),0,VLOOKUP($U$346,'TAR FIN'!$A$1:$O$113,15,0))</f>
        <v>0</v>
      </c>
      <c r="Y346" s="6"/>
      <c r="Z346" s="6">
        <f ca="1">('TUSD BE'!$AM$20+'TUSD BF_350'!$AM$20+'TUSD CVA'!$AM$20)*1</f>
        <v>1117.8285588949407</v>
      </c>
      <c r="AA346" s="6"/>
      <c r="AB346" s="6">
        <f>$K$346*$V$346</f>
        <v>0</v>
      </c>
      <c r="AC346" s="6">
        <f>$M$346*$W$346</f>
        <v>92408.055834905608</v>
      </c>
      <c r="AD346" s="6">
        <f>$O$346*$X$346</f>
        <v>0</v>
      </c>
      <c r="AE346" s="6">
        <f>$K$346*$Y$346</f>
        <v>0</v>
      </c>
      <c r="AF346" s="6">
        <f ca="1">$M$346*$Z$346</f>
        <v>109839.50308286183</v>
      </c>
      <c r="AG346" s="6">
        <f>$O$346*$AA$346</f>
        <v>0</v>
      </c>
    </row>
    <row r="347" spans="1:33" ht="11.25" customHeight="1" x14ac:dyDescent="0.3">
      <c r="A347" s="4" t="s">
        <v>21</v>
      </c>
      <c r="B347" s="4" t="s">
        <v>39</v>
      </c>
      <c r="C347" s="4" t="s">
        <v>41</v>
      </c>
      <c r="D347" s="4" t="s">
        <v>38</v>
      </c>
      <c r="E347" s="4" t="s">
        <v>25</v>
      </c>
      <c r="F347" s="4" t="s">
        <v>56</v>
      </c>
      <c r="G347" s="4" t="s">
        <v>25</v>
      </c>
      <c r="H347" s="4" t="s">
        <v>34</v>
      </c>
      <c r="I347" s="5">
        <v>44652</v>
      </c>
      <c r="J347" s="6">
        <v>0</v>
      </c>
      <c r="K347" s="6">
        <v>0</v>
      </c>
      <c r="L347" s="6">
        <v>216.84899999999999</v>
      </c>
      <c r="M347" s="6">
        <v>113.59783189716001</v>
      </c>
      <c r="N347" s="6">
        <v>0</v>
      </c>
      <c r="O347" s="6">
        <v>0</v>
      </c>
      <c r="P347" s="6">
        <v>0</v>
      </c>
      <c r="Q347" s="4" t="s">
        <v>55</v>
      </c>
      <c r="R347" s="4">
        <v>0</v>
      </c>
      <c r="S347" s="6">
        <v>0</v>
      </c>
      <c r="T347" s="6">
        <v>8</v>
      </c>
      <c r="U347" s="6">
        <v>0</v>
      </c>
      <c r="V347" s="6">
        <f>IF(ISERROR(VLOOKUP($S$347,'TAR FIN'!$A$1:$O$113,15,0)),0,VLOOKUP($S$347,'TAR FIN'!$A$1:$O$113,15,0))</f>
        <v>0</v>
      </c>
      <c r="W347" s="6">
        <f>IF(ISERROR(VLOOKUP($T$347,'TAR FIN'!$A$1:$O$113,15,0)),0,VLOOKUP($T$347,'TAR FIN'!$A$1:$O$113,15,0))</f>
        <v>940.43</v>
      </c>
      <c r="X347" s="6">
        <f>IF(ISERROR(VLOOKUP($U$347,'TAR FIN'!$A$1:$O$113,15,0)),0,VLOOKUP($U$347,'TAR FIN'!$A$1:$O$113,15,0))</f>
        <v>0</v>
      </c>
      <c r="Y347" s="6"/>
      <c r="Z347" s="6">
        <f ca="1">('TUSD BE'!$AM$20+'TUSD BF_350'!$AM$20+'TUSD CVA'!$AM$20)*1</f>
        <v>1117.8285588949407</v>
      </c>
      <c r="AA347" s="6"/>
      <c r="AB347" s="6">
        <f>$K$347*$V$347</f>
        <v>0</v>
      </c>
      <c r="AC347" s="6">
        <f>$M$347*$W$347</f>
        <v>106830.80905104618</v>
      </c>
      <c r="AD347" s="6">
        <f>$O$347*$X$347</f>
        <v>0</v>
      </c>
      <c r="AE347" s="6">
        <f>$K$347*$Y$347</f>
        <v>0</v>
      </c>
      <c r="AF347" s="6">
        <f ca="1">$M$347*$Z$347</f>
        <v>126982.9007231921</v>
      </c>
      <c r="AG347" s="6">
        <f>$O$347*$AA$347</f>
        <v>0</v>
      </c>
    </row>
    <row r="348" spans="1:33" ht="11.25" customHeight="1" x14ac:dyDescent="0.3">
      <c r="A348" s="4" t="s">
        <v>21</v>
      </c>
      <c r="B348" s="4" t="s">
        <v>39</v>
      </c>
      <c r="C348" s="4" t="s">
        <v>41</v>
      </c>
      <c r="D348" s="4" t="s">
        <v>38</v>
      </c>
      <c r="E348" s="4" t="s">
        <v>25</v>
      </c>
      <c r="F348" s="4" t="s">
        <v>56</v>
      </c>
      <c r="G348" s="4" t="s">
        <v>25</v>
      </c>
      <c r="H348" s="4" t="s">
        <v>34</v>
      </c>
      <c r="I348" s="5">
        <v>44682</v>
      </c>
      <c r="J348" s="6">
        <v>0</v>
      </c>
      <c r="K348" s="6">
        <v>0</v>
      </c>
      <c r="L348" s="6">
        <v>175.78700000000001</v>
      </c>
      <c r="M348" s="6">
        <v>98.715021550540001</v>
      </c>
      <c r="N348" s="6">
        <v>0</v>
      </c>
      <c r="O348" s="6">
        <v>0</v>
      </c>
      <c r="P348" s="6">
        <v>0</v>
      </c>
      <c r="Q348" s="4" t="s">
        <v>55</v>
      </c>
      <c r="R348" s="4">
        <v>0</v>
      </c>
      <c r="S348" s="6">
        <v>0</v>
      </c>
      <c r="T348" s="6">
        <v>8</v>
      </c>
      <c r="U348" s="6">
        <v>0</v>
      </c>
      <c r="V348" s="6">
        <f>IF(ISERROR(VLOOKUP($S$348,'TAR FIN'!$A$1:$O$113,15,0)),0,VLOOKUP($S$348,'TAR FIN'!$A$1:$O$113,15,0))</f>
        <v>0</v>
      </c>
      <c r="W348" s="6">
        <f>IF(ISERROR(VLOOKUP($T$348,'TAR FIN'!$A$1:$O$113,15,0)),0,VLOOKUP($T$348,'TAR FIN'!$A$1:$O$113,15,0))</f>
        <v>940.43</v>
      </c>
      <c r="X348" s="6">
        <f>IF(ISERROR(VLOOKUP($U$348,'TAR FIN'!$A$1:$O$113,15,0)),0,VLOOKUP($U$348,'TAR FIN'!$A$1:$O$113,15,0))</f>
        <v>0</v>
      </c>
      <c r="Y348" s="6"/>
      <c r="Z348" s="6">
        <f ca="1">('TUSD BE'!$AM$20+'TUSD BF_350'!$AM$20+'TUSD CVA'!$AM$20)*1</f>
        <v>1117.8285588949407</v>
      </c>
      <c r="AA348" s="6"/>
      <c r="AB348" s="6">
        <f>$K$348*$V$348</f>
        <v>0</v>
      </c>
      <c r="AC348" s="6">
        <f>$M$348*$W$348</f>
        <v>92834.567716774327</v>
      </c>
      <c r="AD348" s="6">
        <f>$O$348*$X$348</f>
        <v>0</v>
      </c>
      <c r="AE348" s="6">
        <f>$K$348*$Y$348</f>
        <v>0</v>
      </c>
      <c r="AF348" s="6">
        <f ca="1">$M$348*$Z$348</f>
        <v>110346.47028112314</v>
      </c>
      <c r="AG348" s="6">
        <f>$O$348*$AA$348</f>
        <v>0</v>
      </c>
    </row>
    <row r="349" spans="1:33" ht="11.25" customHeight="1" x14ac:dyDescent="0.3">
      <c r="A349" s="4" t="s">
        <v>21</v>
      </c>
      <c r="B349" s="4" t="s">
        <v>39</v>
      </c>
      <c r="C349" s="4" t="s">
        <v>41</v>
      </c>
      <c r="D349" s="4" t="s">
        <v>38</v>
      </c>
      <c r="E349" s="4" t="s">
        <v>25</v>
      </c>
      <c r="F349" s="4" t="s">
        <v>56</v>
      </c>
      <c r="G349" s="4" t="s">
        <v>25</v>
      </c>
      <c r="H349" s="4" t="s">
        <v>34</v>
      </c>
      <c r="I349" s="5">
        <v>44713</v>
      </c>
      <c r="J349" s="6">
        <v>0</v>
      </c>
      <c r="K349" s="6">
        <v>0</v>
      </c>
      <c r="L349" s="6">
        <v>188.727</v>
      </c>
      <c r="M349" s="6">
        <v>100.25089915764001</v>
      </c>
      <c r="N349" s="6">
        <v>0</v>
      </c>
      <c r="O349" s="6">
        <v>0</v>
      </c>
      <c r="P349" s="6">
        <v>0</v>
      </c>
      <c r="Q349" s="4" t="s">
        <v>55</v>
      </c>
      <c r="R349" s="4">
        <v>0</v>
      </c>
      <c r="S349" s="6">
        <v>0</v>
      </c>
      <c r="T349" s="6">
        <v>8</v>
      </c>
      <c r="U349" s="6">
        <v>0</v>
      </c>
      <c r="V349" s="6">
        <f>IF(ISERROR(VLOOKUP($S$349,'TAR FIN'!$A$1:$O$113,15,0)),0,VLOOKUP($S$349,'TAR FIN'!$A$1:$O$113,15,0))</f>
        <v>0</v>
      </c>
      <c r="W349" s="6">
        <f>IF(ISERROR(VLOOKUP($T$349,'TAR FIN'!$A$1:$O$113,15,0)),0,VLOOKUP($T$349,'TAR FIN'!$A$1:$O$113,15,0))</f>
        <v>940.43</v>
      </c>
      <c r="X349" s="6">
        <f>IF(ISERROR(VLOOKUP($U$349,'TAR FIN'!$A$1:$O$113,15,0)),0,VLOOKUP($U$349,'TAR FIN'!$A$1:$O$113,15,0))</f>
        <v>0</v>
      </c>
      <c r="Y349" s="6"/>
      <c r="Z349" s="6">
        <f ca="1">('TUSD BE'!$AM$20+'TUSD BF_350'!$AM$20+'TUSD CVA'!$AM$20)*1</f>
        <v>1117.8285588949407</v>
      </c>
      <c r="AA349" s="6"/>
      <c r="AB349" s="6">
        <f>$K$349*$V$349</f>
        <v>0</v>
      </c>
      <c r="AC349" s="6">
        <f>$M$349*$W$349</f>
        <v>94278.953094819386</v>
      </c>
      <c r="AD349" s="6">
        <f>$O$349*$X$349</f>
        <v>0</v>
      </c>
      <c r="AE349" s="6">
        <f>$K$349*$Y$349</f>
        <v>0</v>
      </c>
      <c r="AF349" s="6">
        <f ca="1">$M$349*$Z$349</f>
        <v>112063.31813330675</v>
      </c>
      <c r="AG349" s="6">
        <f>$O$349*$AA$349</f>
        <v>0</v>
      </c>
    </row>
    <row r="350" spans="1:33" ht="11.25" customHeight="1" x14ac:dyDescent="0.3">
      <c r="A350" s="4" t="s">
        <v>21</v>
      </c>
      <c r="B350" s="4" t="s">
        <v>39</v>
      </c>
      <c r="C350" s="4" t="s">
        <v>41</v>
      </c>
      <c r="D350" s="4" t="s">
        <v>38</v>
      </c>
      <c r="E350" s="4" t="s">
        <v>25</v>
      </c>
      <c r="F350" s="4" t="s">
        <v>56</v>
      </c>
      <c r="G350" s="4" t="s">
        <v>25</v>
      </c>
      <c r="H350" s="4" t="s">
        <v>34</v>
      </c>
      <c r="I350" s="5">
        <v>44743</v>
      </c>
      <c r="J350" s="6">
        <v>0</v>
      </c>
      <c r="K350" s="6">
        <v>0</v>
      </c>
      <c r="L350" s="6">
        <v>179.56100000000001</v>
      </c>
      <c r="M350" s="6">
        <v>92.625512965469994</v>
      </c>
      <c r="N350" s="6">
        <v>0</v>
      </c>
      <c r="O350" s="6">
        <v>0</v>
      </c>
      <c r="P350" s="6">
        <v>0</v>
      </c>
      <c r="Q350" s="4" t="s">
        <v>55</v>
      </c>
      <c r="R350" s="4">
        <v>0</v>
      </c>
      <c r="S350" s="6">
        <v>0</v>
      </c>
      <c r="T350" s="6">
        <v>8</v>
      </c>
      <c r="U350" s="6">
        <v>0</v>
      </c>
      <c r="V350" s="6">
        <f>IF(ISERROR(VLOOKUP($S$350,'TAR FIN'!$A$1:$O$113,15,0)),0,VLOOKUP($S$350,'TAR FIN'!$A$1:$O$113,15,0))</f>
        <v>0</v>
      </c>
      <c r="W350" s="6">
        <f>IF(ISERROR(VLOOKUP($T$350,'TAR FIN'!$A$1:$O$113,15,0)),0,VLOOKUP($T$350,'TAR FIN'!$A$1:$O$113,15,0))</f>
        <v>940.43</v>
      </c>
      <c r="X350" s="6">
        <f>IF(ISERROR(VLOOKUP($U$350,'TAR FIN'!$A$1:$O$113,15,0)),0,VLOOKUP($U$350,'TAR FIN'!$A$1:$O$113,15,0))</f>
        <v>0</v>
      </c>
      <c r="Y350" s="6"/>
      <c r="Z350" s="6">
        <f ca="1">('TUSD BE'!$AM$20+'TUSD BF_350'!$AM$20+'TUSD CVA'!$AM$20)*1</f>
        <v>1117.8285588949407</v>
      </c>
      <c r="AA350" s="6"/>
      <c r="AB350" s="6">
        <f>$K$350*$V$350</f>
        <v>0</v>
      </c>
      <c r="AC350" s="6">
        <f>$M$350*$W$350</f>
        <v>87107.811158116936</v>
      </c>
      <c r="AD350" s="6">
        <f>$O$350*$X$350</f>
        <v>0</v>
      </c>
      <c r="AE350" s="6">
        <f>$K$350*$Y$350</f>
        <v>0</v>
      </c>
      <c r="AF350" s="6">
        <f ca="1">$M$350*$Z$350</f>
        <v>103539.44367509597</v>
      </c>
      <c r="AG350" s="6">
        <f>$O$350*$AA$350</f>
        <v>0</v>
      </c>
    </row>
    <row r="351" spans="1:33" ht="11.25" customHeight="1" x14ac:dyDescent="0.3">
      <c r="A351" s="4" t="s">
        <v>21</v>
      </c>
      <c r="B351" s="4" t="s">
        <v>39</v>
      </c>
      <c r="C351" s="4" t="s">
        <v>41</v>
      </c>
      <c r="D351" s="4" t="s">
        <v>38</v>
      </c>
      <c r="E351" s="4" t="s">
        <v>25</v>
      </c>
      <c r="F351" s="4" t="s">
        <v>56</v>
      </c>
      <c r="G351" s="4" t="s">
        <v>25</v>
      </c>
      <c r="H351" s="4" t="s">
        <v>34</v>
      </c>
      <c r="I351" s="5">
        <v>44774</v>
      </c>
      <c r="J351" s="6">
        <v>0</v>
      </c>
      <c r="K351" s="6">
        <v>0</v>
      </c>
      <c r="L351" s="6">
        <v>167.62700000000001</v>
      </c>
      <c r="M351" s="6">
        <v>88.032715173019994</v>
      </c>
      <c r="N351" s="6">
        <v>0</v>
      </c>
      <c r="O351" s="6">
        <v>0</v>
      </c>
      <c r="P351" s="6">
        <v>0</v>
      </c>
      <c r="Q351" s="4" t="s">
        <v>55</v>
      </c>
      <c r="R351" s="4">
        <v>0</v>
      </c>
      <c r="S351" s="6">
        <v>0</v>
      </c>
      <c r="T351" s="6">
        <v>8</v>
      </c>
      <c r="U351" s="6">
        <v>0</v>
      </c>
      <c r="V351" s="6">
        <f>IF(ISERROR(VLOOKUP($S$351,'TAR FIN'!$A$1:$O$113,15,0)),0,VLOOKUP($S$351,'TAR FIN'!$A$1:$O$113,15,0))</f>
        <v>0</v>
      </c>
      <c r="W351" s="6">
        <f>IF(ISERROR(VLOOKUP($T$351,'TAR FIN'!$A$1:$O$113,15,0)),0,VLOOKUP($T$351,'TAR FIN'!$A$1:$O$113,15,0))</f>
        <v>940.43</v>
      </c>
      <c r="X351" s="6">
        <f>IF(ISERROR(VLOOKUP($U$351,'TAR FIN'!$A$1:$O$113,15,0)),0,VLOOKUP($U$351,'TAR FIN'!$A$1:$O$113,15,0))</f>
        <v>0</v>
      </c>
      <c r="Y351" s="6"/>
      <c r="Z351" s="6">
        <f ca="1">('TUSD BE'!$AM$20+'TUSD BF_350'!$AM$20+'TUSD CVA'!$AM$20)*1</f>
        <v>1117.8285588949407</v>
      </c>
      <c r="AA351" s="6"/>
      <c r="AB351" s="6">
        <f>$K$351*$V$351</f>
        <v>0</v>
      </c>
      <c r="AC351" s="6">
        <f>$M$351*$W$351</f>
        <v>82788.606330163195</v>
      </c>
      <c r="AD351" s="6">
        <f>$O$351*$X$351</f>
        <v>0</v>
      </c>
      <c r="AE351" s="6">
        <f>$K$351*$Y$351</f>
        <v>0</v>
      </c>
      <c r="AF351" s="6">
        <f ca="1">$M$351*$Z$351</f>
        <v>98405.483137465722</v>
      </c>
      <c r="AG351" s="6">
        <f>$O$351*$AA$351</f>
        <v>0</v>
      </c>
    </row>
    <row r="352" spans="1:33" ht="11.25" customHeight="1" x14ac:dyDescent="0.3">
      <c r="A352" s="4" t="s">
        <v>21</v>
      </c>
      <c r="B352" s="4" t="s">
        <v>39</v>
      </c>
      <c r="C352" s="4" t="s">
        <v>41</v>
      </c>
      <c r="D352" s="4" t="s">
        <v>38</v>
      </c>
      <c r="E352" s="4" t="s">
        <v>25</v>
      </c>
      <c r="F352" s="4" t="s">
        <v>56</v>
      </c>
      <c r="G352" s="4" t="s">
        <v>25</v>
      </c>
      <c r="H352" s="4" t="s">
        <v>34</v>
      </c>
      <c r="I352" s="5">
        <v>44805</v>
      </c>
      <c r="J352" s="6">
        <v>0</v>
      </c>
      <c r="K352" s="6">
        <v>0</v>
      </c>
      <c r="L352" s="6">
        <v>201.63499999999999</v>
      </c>
      <c r="M352" s="6">
        <v>106.0584009527</v>
      </c>
      <c r="N352" s="6">
        <v>0</v>
      </c>
      <c r="O352" s="6">
        <v>0</v>
      </c>
      <c r="P352" s="6">
        <v>0</v>
      </c>
      <c r="Q352" s="4" t="s">
        <v>55</v>
      </c>
      <c r="R352" s="4">
        <v>0</v>
      </c>
      <c r="S352" s="6">
        <v>0</v>
      </c>
      <c r="T352" s="6">
        <v>8</v>
      </c>
      <c r="U352" s="6">
        <v>0</v>
      </c>
      <c r="V352" s="6">
        <f>IF(ISERROR(VLOOKUP($S$352,'TAR FIN'!$A$1:$O$113,15,0)),0,VLOOKUP($S$352,'TAR FIN'!$A$1:$O$113,15,0))</f>
        <v>0</v>
      </c>
      <c r="W352" s="6">
        <f>IF(ISERROR(VLOOKUP($T$352,'TAR FIN'!$A$1:$O$113,15,0)),0,VLOOKUP($T$352,'TAR FIN'!$A$1:$O$113,15,0))</f>
        <v>940.43</v>
      </c>
      <c r="X352" s="6">
        <f>IF(ISERROR(VLOOKUP($U$352,'TAR FIN'!$A$1:$O$113,15,0)),0,VLOOKUP($U$352,'TAR FIN'!$A$1:$O$113,15,0))</f>
        <v>0</v>
      </c>
      <c r="Y352" s="6"/>
      <c r="Z352" s="6">
        <f ca="1">('TUSD BE'!$AM$20+'TUSD BF_350'!$AM$20+'TUSD CVA'!$AM$20)*1</f>
        <v>1117.8285588949407</v>
      </c>
      <c r="AA352" s="6"/>
      <c r="AB352" s="6">
        <f>$K$352*$V$352</f>
        <v>0</v>
      </c>
      <c r="AC352" s="6">
        <f>$M$352*$W$352</f>
        <v>99740.502007947653</v>
      </c>
      <c r="AD352" s="6">
        <f>$O$352*$X$352</f>
        <v>0</v>
      </c>
      <c r="AE352" s="6">
        <f>$K$352*$Y$352</f>
        <v>0</v>
      </c>
      <c r="AF352" s="6">
        <f ca="1">$M$352*$Z$352</f>
        <v>118555.10949565844</v>
      </c>
      <c r="AG352" s="6">
        <f>$O$352*$AA$352</f>
        <v>0</v>
      </c>
    </row>
    <row r="353" spans="1:33" ht="11.25" customHeight="1" x14ac:dyDescent="0.3">
      <c r="A353" s="4" t="s">
        <v>53</v>
      </c>
      <c r="B353" s="4" t="s">
        <v>39</v>
      </c>
      <c r="C353" s="4" t="s">
        <v>41</v>
      </c>
      <c r="D353" s="4" t="s">
        <v>38</v>
      </c>
      <c r="E353" s="4" t="s">
        <v>25</v>
      </c>
      <c r="F353" s="4" t="s">
        <v>56</v>
      </c>
      <c r="G353" s="4" t="s">
        <v>25</v>
      </c>
      <c r="H353" s="4" t="s">
        <v>34</v>
      </c>
      <c r="I353" s="5">
        <v>44835</v>
      </c>
      <c r="J353" s="6">
        <v>0</v>
      </c>
      <c r="K353" s="6">
        <v>0</v>
      </c>
      <c r="L353" s="6">
        <v>201.63499999999999</v>
      </c>
      <c r="M353" s="6">
        <v>106.0584009527</v>
      </c>
      <c r="N353" s="6">
        <v>0</v>
      </c>
      <c r="O353" s="6">
        <v>0</v>
      </c>
      <c r="P353" s="6">
        <v>0</v>
      </c>
      <c r="Q353" s="4" t="s">
        <v>55</v>
      </c>
      <c r="R353" s="4">
        <v>0</v>
      </c>
      <c r="S353" s="6">
        <v>0</v>
      </c>
      <c r="T353" s="6">
        <v>8</v>
      </c>
      <c r="U353" s="6">
        <v>0</v>
      </c>
      <c r="V353" s="6">
        <f>IF(ISERROR(VLOOKUP($S$353,'TAR FIN'!$A$1:$O$113,15,0)),0,VLOOKUP($S$353,'TAR FIN'!$A$1:$O$113,15,0))</f>
        <v>0</v>
      </c>
      <c r="W353" s="6">
        <f>IF(ISERROR(VLOOKUP($T$353,'TAR FIN'!$A$1:$O$113,15,0)),0,VLOOKUP($T$353,'TAR FIN'!$A$1:$O$113,15,0))</f>
        <v>940.43</v>
      </c>
      <c r="X353" s="6">
        <f>IF(ISERROR(VLOOKUP($U$353,'TAR FIN'!$A$1:$O$113,15,0)),0,VLOOKUP($U$353,'TAR FIN'!$A$1:$O$113,15,0))</f>
        <v>0</v>
      </c>
      <c r="Y353" s="6"/>
      <c r="Z353" s="6">
        <f ca="1">('TUSD BE'!$AM$20+'TUSD BF_350'!$AM$20+'TUSD CVA'!$AM$20)*1</f>
        <v>1117.8285588949407</v>
      </c>
      <c r="AA353" s="6"/>
      <c r="AB353" s="6">
        <f>$K$353*$V$353</f>
        <v>0</v>
      </c>
      <c r="AC353" s="6">
        <f>$M$353*$W$353</f>
        <v>99740.502007947653</v>
      </c>
      <c r="AD353" s="6">
        <f>$O$353*$X$353</f>
        <v>0</v>
      </c>
      <c r="AE353" s="6">
        <f>$K$353*$Y$353</f>
        <v>0</v>
      </c>
      <c r="AF353" s="6">
        <f ca="1">$M$353*$Z$353</f>
        <v>118555.10949565844</v>
      </c>
      <c r="AG353" s="6">
        <f>$O$353*$AA$353</f>
        <v>0</v>
      </c>
    </row>
    <row r="354" spans="1:33" ht="11.25" customHeight="1" x14ac:dyDescent="0.3">
      <c r="A354" s="4" t="s">
        <v>21</v>
      </c>
      <c r="B354" s="4" t="s">
        <v>39</v>
      </c>
      <c r="C354" s="4" t="s">
        <v>41</v>
      </c>
      <c r="D354" s="4" t="s">
        <v>38</v>
      </c>
      <c r="E354" s="4" t="s">
        <v>25</v>
      </c>
      <c r="F354" s="4" t="s">
        <v>25</v>
      </c>
      <c r="G354" s="4" t="s">
        <v>25</v>
      </c>
      <c r="H354" s="4" t="s">
        <v>35</v>
      </c>
      <c r="I354" s="5">
        <v>44501</v>
      </c>
      <c r="J354" s="6">
        <v>0</v>
      </c>
      <c r="K354" s="6">
        <v>0</v>
      </c>
      <c r="L354" s="6">
        <v>1978.3230000000001</v>
      </c>
      <c r="M354" s="6">
        <v>1978.3230000000001</v>
      </c>
      <c r="N354" s="6">
        <v>1978.3230000000001</v>
      </c>
      <c r="O354" s="6">
        <v>1978.3230000000001</v>
      </c>
      <c r="P354" s="6">
        <v>0</v>
      </c>
      <c r="Q354" s="4" t="s">
        <v>26</v>
      </c>
      <c r="R354" s="4">
        <v>0</v>
      </c>
      <c r="S354" s="6">
        <v>0</v>
      </c>
      <c r="T354" s="6">
        <v>6</v>
      </c>
      <c r="U354" s="6">
        <v>61</v>
      </c>
      <c r="V354" s="6">
        <f>IF(ISERROR(VLOOKUP($S$354,'TAR FIN'!$A$1:$O$113,15,0)),0,VLOOKUP($S$354,'TAR FIN'!$A$1:$O$113,15,0))</f>
        <v>0</v>
      </c>
      <c r="W354" s="6">
        <f>IF(ISERROR(VLOOKUP($T$354,'TAR FIN'!$A$1:$O$113,15,0)),0,VLOOKUP($T$354,'TAR FIN'!$A$1:$O$113,15,0))</f>
        <v>72.150000000000006</v>
      </c>
      <c r="X354" s="6">
        <f>IF(ISERROR(VLOOKUP($U$354,'TAR FIN'!$A$1:$O$113,15,0)),0,VLOOKUP($U$354,'TAR FIN'!$A$1:$O$113,15,0))</f>
        <v>278.67</v>
      </c>
      <c r="Y354" s="6"/>
      <c r="Z354" s="6">
        <f ca="1">('TUSD BE'!$AM$21+'TUSD BF_350'!$AM$21+'TUSD CVA'!$AM$21)*1</f>
        <v>122.14055331663396</v>
      </c>
      <c r="AA354" s="6">
        <f ca="1">('TE BE'!$AB$10+'TE BF_350'!$AB$10+'TE CVA'!$AB$10)*1</f>
        <v>231.69</v>
      </c>
      <c r="AB354" s="6">
        <f>$K$354*$V$354</f>
        <v>0</v>
      </c>
      <c r="AC354" s="6">
        <f>$M$354*$W$354</f>
        <v>142736.00445000001</v>
      </c>
      <c r="AD354" s="6">
        <f>$O$354*$X$354</f>
        <v>551299.27041000011</v>
      </c>
      <c r="AE354" s="6">
        <f>$K$354*$Y$354</f>
        <v>0</v>
      </c>
      <c r="AF354" s="6">
        <f ca="1">$M$354*$Z$354</f>
        <v>241633.46585902324</v>
      </c>
      <c r="AG354" s="6">
        <f ca="1">$O$354*$AA$354</f>
        <v>458357.65587000002</v>
      </c>
    </row>
    <row r="355" spans="1:33" ht="11.25" customHeight="1" x14ac:dyDescent="0.3">
      <c r="A355" s="4" t="s">
        <v>21</v>
      </c>
      <c r="B355" s="4" t="s">
        <v>39</v>
      </c>
      <c r="C355" s="4" t="s">
        <v>41</v>
      </c>
      <c r="D355" s="4" t="s">
        <v>38</v>
      </c>
      <c r="E355" s="4" t="s">
        <v>25</v>
      </c>
      <c r="F355" s="4" t="s">
        <v>25</v>
      </c>
      <c r="G355" s="4" t="s">
        <v>25</v>
      </c>
      <c r="H355" s="4" t="s">
        <v>35</v>
      </c>
      <c r="I355" s="5">
        <v>44501</v>
      </c>
      <c r="J355" s="6">
        <v>0</v>
      </c>
      <c r="K355" s="6">
        <v>0</v>
      </c>
      <c r="L355" s="6">
        <v>685.279</v>
      </c>
      <c r="M355" s="6">
        <v>685.279</v>
      </c>
      <c r="N355" s="6">
        <v>0</v>
      </c>
      <c r="O355" s="6">
        <v>0</v>
      </c>
      <c r="P355" s="6">
        <v>0</v>
      </c>
      <c r="Q355" s="4" t="s">
        <v>55</v>
      </c>
      <c r="R355" s="4">
        <v>0</v>
      </c>
      <c r="S355" s="6">
        <v>0</v>
      </c>
      <c r="T355" s="6">
        <v>6</v>
      </c>
      <c r="U355" s="6">
        <v>0</v>
      </c>
      <c r="V355" s="6">
        <f>IF(ISERROR(VLOOKUP($S$355,'TAR FIN'!$A$1:$O$113,15,0)),0,VLOOKUP($S$355,'TAR FIN'!$A$1:$O$113,15,0))</f>
        <v>0</v>
      </c>
      <c r="W355" s="6">
        <f>IF(ISERROR(VLOOKUP($T$355,'TAR FIN'!$A$1:$O$113,15,0)),0,VLOOKUP($T$355,'TAR FIN'!$A$1:$O$113,15,0))</f>
        <v>72.150000000000006</v>
      </c>
      <c r="X355" s="6">
        <f>IF(ISERROR(VLOOKUP($U$355,'TAR FIN'!$A$1:$O$113,15,0)),0,VLOOKUP($U$355,'TAR FIN'!$A$1:$O$113,15,0))</f>
        <v>0</v>
      </c>
      <c r="Y355" s="6"/>
      <c r="Z355" s="6">
        <f ca="1">('TUSD BE'!$AM$21+'TUSD BF_350'!$AM$21+'TUSD CVA'!$AM$21)*1</f>
        <v>122.14055331663396</v>
      </c>
      <c r="AA355" s="6"/>
      <c r="AB355" s="6">
        <f>$K$355*$V$355</f>
        <v>0</v>
      </c>
      <c r="AC355" s="6">
        <f>$M$355*$W$355</f>
        <v>49442.879850000005</v>
      </c>
      <c r="AD355" s="6">
        <f>$O$355*$X$355</f>
        <v>0</v>
      </c>
      <c r="AE355" s="6">
        <f>$K$355*$Y$355</f>
        <v>0</v>
      </c>
      <c r="AF355" s="6">
        <f ca="1">$M$355*$Z$355</f>
        <v>83700.356236269596</v>
      </c>
      <c r="AG355" s="6">
        <f>$O$355*$AA$355</f>
        <v>0</v>
      </c>
    </row>
    <row r="356" spans="1:33" ht="11.25" customHeight="1" x14ac:dyDescent="0.3">
      <c r="A356" s="4" t="s">
        <v>21</v>
      </c>
      <c r="B356" s="4" t="s">
        <v>39</v>
      </c>
      <c r="C356" s="4" t="s">
        <v>41</v>
      </c>
      <c r="D356" s="4" t="s">
        <v>38</v>
      </c>
      <c r="E356" s="4" t="s">
        <v>25</v>
      </c>
      <c r="F356" s="4" t="s">
        <v>25</v>
      </c>
      <c r="G356" s="4" t="s">
        <v>25</v>
      </c>
      <c r="H356" s="4" t="s">
        <v>35</v>
      </c>
      <c r="I356" s="5">
        <v>44531</v>
      </c>
      <c r="J356" s="6">
        <v>0</v>
      </c>
      <c r="K356" s="6">
        <v>0</v>
      </c>
      <c r="L356" s="6">
        <v>1941.5260000000001</v>
      </c>
      <c r="M356" s="6">
        <v>1941.5260000000001</v>
      </c>
      <c r="N356" s="6">
        <v>1941.5260000000001</v>
      </c>
      <c r="O356" s="6">
        <v>1941.5260000000001</v>
      </c>
      <c r="P356" s="6">
        <v>0</v>
      </c>
      <c r="Q356" s="4" t="s">
        <v>26</v>
      </c>
      <c r="R356" s="4">
        <v>0</v>
      </c>
      <c r="S356" s="6">
        <v>0</v>
      </c>
      <c r="T356" s="6">
        <v>6</v>
      </c>
      <c r="U356" s="6">
        <v>61</v>
      </c>
      <c r="V356" s="6">
        <f>IF(ISERROR(VLOOKUP($S$356,'TAR FIN'!$A$1:$O$113,15,0)),0,VLOOKUP($S$356,'TAR FIN'!$A$1:$O$113,15,0))</f>
        <v>0</v>
      </c>
      <c r="W356" s="6">
        <f>IF(ISERROR(VLOOKUP($T$356,'TAR FIN'!$A$1:$O$113,15,0)),0,VLOOKUP($T$356,'TAR FIN'!$A$1:$O$113,15,0))</f>
        <v>72.150000000000006</v>
      </c>
      <c r="X356" s="6">
        <f>IF(ISERROR(VLOOKUP($U$356,'TAR FIN'!$A$1:$O$113,15,0)),0,VLOOKUP($U$356,'TAR FIN'!$A$1:$O$113,15,0))</f>
        <v>278.67</v>
      </c>
      <c r="Y356" s="6"/>
      <c r="Z356" s="6">
        <f ca="1">('TUSD BE'!$AM$21+'TUSD BF_350'!$AM$21+'TUSD CVA'!$AM$21)*1</f>
        <v>122.14055331663396</v>
      </c>
      <c r="AA356" s="6">
        <f ca="1">('TE BE'!$AB$10+'TE BF_350'!$AB$10+'TE CVA'!$AB$10)*1</f>
        <v>231.69</v>
      </c>
      <c r="AB356" s="6">
        <f>$K$356*$V$356</f>
        <v>0</v>
      </c>
      <c r="AC356" s="6">
        <f>$M$356*$W$356</f>
        <v>140081.10090000002</v>
      </c>
      <c r="AD356" s="6">
        <f>$O$356*$X$356</f>
        <v>541045.0504200001</v>
      </c>
      <c r="AE356" s="6">
        <f>$K$356*$Y$356</f>
        <v>0</v>
      </c>
      <c r="AF356" s="6">
        <f ca="1">$M$356*$Z$356</f>
        <v>237139.05991863107</v>
      </c>
      <c r="AG356" s="6">
        <f ca="1">$O$356*$AA$356</f>
        <v>449832.15893999999</v>
      </c>
    </row>
    <row r="357" spans="1:33" ht="11.25" customHeight="1" x14ac:dyDescent="0.3">
      <c r="A357" s="4" t="s">
        <v>21</v>
      </c>
      <c r="B357" s="4" t="s">
        <v>39</v>
      </c>
      <c r="C357" s="4" t="s">
        <v>41</v>
      </c>
      <c r="D357" s="4" t="s">
        <v>38</v>
      </c>
      <c r="E357" s="4" t="s">
        <v>25</v>
      </c>
      <c r="F357" s="4" t="s">
        <v>25</v>
      </c>
      <c r="G357" s="4" t="s">
        <v>25</v>
      </c>
      <c r="H357" s="4" t="s">
        <v>35</v>
      </c>
      <c r="I357" s="5">
        <v>44531</v>
      </c>
      <c r="J357" s="6">
        <v>0</v>
      </c>
      <c r="K357" s="6">
        <v>0</v>
      </c>
      <c r="L357" s="6">
        <v>693.53800000000001</v>
      </c>
      <c r="M357" s="6">
        <v>693.53800000000001</v>
      </c>
      <c r="N357" s="6">
        <v>0</v>
      </c>
      <c r="O357" s="6">
        <v>0</v>
      </c>
      <c r="P357" s="6">
        <v>0</v>
      </c>
      <c r="Q357" s="4" t="s">
        <v>55</v>
      </c>
      <c r="R357" s="4">
        <v>0</v>
      </c>
      <c r="S357" s="6">
        <v>0</v>
      </c>
      <c r="T357" s="6">
        <v>6</v>
      </c>
      <c r="U357" s="6">
        <v>0</v>
      </c>
      <c r="V357" s="6">
        <f>IF(ISERROR(VLOOKUP($S$357,'TAR FIN'!$A$1:$O$113,15,0)),0,VLOOKUP($S$357,'TAR FIN'!$A$1:$O$113,15,0))</f>
        <v>0</v>
      </c>
      <c r="W357" s="6">
        <f>IF(ISERROR(VLOOKUP($T$357,'TAR FIN'!$A$1:$O$113,15,0)),0,VLOOKUP($T$357,'TAR FIN'!$A$1:$O$113,15,0))</f>
        <v>72.150000000000006</v>
      </c>
      <c r="X357" s="6">
        <f>IF(ISERROR(VLOOKUP($U$357,'TAR FIN'!$A$1:$O$113,15,0)),0,VLOOKUP($U$357,'TAR FIN'!$A$1:$O$113,15,0))</f>
        <v>0</v>
      </c>
      <c r="Y357" s="6"/>
      <c r="Z357" s="6">
        <f ca="1">('TUSD BE'!$AM$21+'TUSD BF_350'!$AM$21+'TUSD CVA'!$AM$21)*1</f>
        <v>122.14055331663396</v>
      </c>
      <c r="AA357" s="6"/>
      <c r="AB357" s="6">
        <f>$K$357*$V$357</f>
        <v>0</v>
      </c>
      <c r="AC357" s="6">
        <f>$M$357*$W$357</f>
        <v>50038.766700000007</v>
      </c>
      <c r="AD357" s="6">
        <f>$O$357*$X$357</f>
        <v>0</v>
      </c>
      <c r="AE357" s="6">
        <f>$K$357*$Y$357</f>
        <v>0</v>
      </c>
      <c r="AF357" s="6">
        <f ca="1">$M$357*$Z$357</f>
        <v>84709.115066111684</v>
      </c>
      <c r="AG357" s="6">
        <f>$O$357*$AA$357</f>
        <v>0</v>
      </c>
    </row>
    <row r="358" spans="1:33" ht="11.25" customHeight="1" x14ac:dyDescent="0.3">
      <c r="A358" s="4" t="s">
        <v>21</v>
      </c>
      <c r="B358" s="4" t="s">
        <v>39</v>
      </c>
      <c r="C358" s="4" t="s">
        <v>41</v>
      </c>
      <c r="D358" s="4" t="s">
        <v>38</v>
      </c>
      <c r="E358" s="4" t="s">
        <v>25</v>
      </c>
      <c r="F358" s="4" t="s">
        <v>25</v>
      </c>
      <c r="G358" s="4" t="s">
        <v>25</v>
      </c>
      <c r="H358" s="4" t="s">
        <v>35</v>
      </c>
      <c r="I358" s="5">
        <v>44562</v>
      </c>
      <c r="J358" s="6">
        <v>0</v>
      </c>
      <c r="K358" s="6">
        <v>0</v>
      </c>
      <c r="L358" s="6">
        <v>1775.636</v>
      </c>
      <c r="M358" s="6">
        <v>1775.636</v>
      </c>
      <c r="N358" s="6">
        <v>1775.636</v>
      </c>
      <c r="O358" s="6">
        <v>1775.636</v>
      </c>
      <c r="P358" s="6">
        <v>0</v>
      </c>
      <c r="Q358" s="4" t="s">
        <v>26</v>
      </c>
      <c r="R358" s="4">
        <v>0</v>
      </c>
      <c r="S358" s="6">
        <v>0</v>
      </c>
      <c r="T358" s="6">
        <v>6</v>
      </c>
      <c r="U358" s="6">
        <v>61</v>
      </c>
      <c r="V358" s="6">
        <f>IF(ISERROR(VLOOKUP($S$358,'TAR FIN'!$A$1:$O$113,15,0)),0,VLOOKUP($S$358,'TAR FIN'!$A$1:$O$113,15,0))</f>
        <v>0</v>
      </c>
      <c r="W358" s="6">
        <f>IF(ISERROR(VLOOKUP($T$358,'TAR FIN'!$A$1:$O$113,15,0)),0,VLOOKUP($T$358,'TAR FIN'!$A$1:$O$113,15,0))</f>
        <v>72.150000000000006</v>
      </c>
      <c r="X358" s="6">
        <f>IF(ISERROR(VLOOKUP($U$358,'TAR FIN'!$A$1:$O$113,15,0)),0,VLOOKUP($U$358,'TAR FIN'!$A$1:$O$113,15,0))</f>
        <v>278.67</v>
      </c>
      <c r="Y358" s="6"/>
      <c r="Z358" s="6">
        <f ca="1">('TUSD BE'!$AM$21+'TUSD BF_350'!$AM$21+'TUSD CVA'!$AM$21)*1</f>
        <v>122.14055331663396</v>
      </c>
      <c r="AA358" s="6">
        <f ca="1">('TE BE'!$AB$10+'TE BF_350'!$AB$10+'TE CVA'!$AB$10)*1</f>
        <v>231.69</v>
      </c>
      <c r="AB358" s="6">
        <f>$K$358*$V$358</f>
        <v>0</v>
      </c>
      <c r="AC358" s="6">
        <f>$M$358*$W$358</f>
        <v>128112.13740000001</v>
      </c>
      <c r="AD358" s="6">
        <f>$O$358*$X$358</f>
        <v>494816.48412000004</v>
      </c>
      <c r="AE358" s="6">
        <f>$K$358*$Y$358</f>
        <v>0</v>
      </c>
      <c r="AF358" s="6">
        <f ca="1">$M$358*$Z$358</f>
        <v>216877.16352893465</v>
      </c>
      <c r="AG358" s="6">
        <f ca="1">$O$358*$AA$358</f>
        <v>411397.10483999999</v>
      </c>
    </row>
    <row r="359" spans="1:33" ht="11.25" customHeight="1" x14ac:dyDescent="0.3">
      <c r="A359" s="4" t="s">
        <v>21</v>
      </c>
      <c r="B359" s="4" t="s">
        <v>39</v>
      </c>
      <c r="C359" s="4" t="s">
        <v>41</v>
      </c>
      <c r="D359" s="4" t="s">
        <v>38</v>
      </c>
      <c r="E359" s="4" t="s">
        <v>25</v>
      </c>
      <c r="F359" s="4" t="s">
        <v>25</v>
      </c>
      <c r="G359" s="4" t="s">
        <v>25</v>
      </c>
      <c r="H359" s="4" t="s">
        <v>35</v>
      </c>
      <c r="I359" s="5">
        <v>44562</v>
      </c>
      <c r="J359" s="6">
        <v>0</v>
      </c>
      <c r="K359" s="6">
        <v>0</v>
      </c>
      <c r="L359" s="6">
        <v>545.86</v>
      </c>
      <c r="M359" s="6">
        <v>545.86</v>
      </c>
      <c r="N359" s="6">
        <v>0</v>
      </c>
      <c r="O359" s="6">
        <v>0</v>
      </c>
      <c r="P359" s="6">
        <v>0</v>
      </c>
      <c r="Q359" s="4" t="s">
        <v>55</v>
      </c>
      <c r="R359" s="4">
        <v>0</v>
      </c>
      <c r="S359" s="6">
        <v>0</v>
      </c>
      <c r="T359" s="6">
        <v>6</v>
      </c>
      <c r="U359" s="6">
        <v>0</v>
      </c>
      <c r="V359" s="6">
        <f>IF(ISERROR(VLOOKUP($S$359,'TAR FIN'!$A$1:$O$113,15,0)),0,VLOOKUP($S$359,'TAR FIN'!$A$1:$O$113,15,0))</f>
        <v>0</v>
      </c>
      <c r="W359" s="6">
        <f>IF(ISERROR(VLOOKUP($T$359,'TAR FIN'!$A$1:$O$113,15,0)),0,VLOOKUP($T$359,'TAR FIN'!$A$1:$O$113,15,0))</f>
        <v>72.150000000000006</v>
      </c>
      <c r="X359" s="6">
        <f>IF(ISERROR(VLOOKUP($U$359,'TAR FIN'!$A$1:$O$113,15,0)),0,VLOOKUP($U$359,'TAR FIN'!$A$1:$O$113,15,0))</f>
        <v>0</v>
      </c>
      <c r="Y359" s="6"/>
      <c r="Z359" s="6">
        <f ca="1">('TUSD BE'!$AM$21+'TUSD BF_350'!$AM$21+'TUSD CVA'!$AM$21)*1</f>
        <v>122.14055331663396</v>
      </c>
      <c r="AA359" s="6"/>
      <c r="AB359" s="6">
        <f>$K$359*$V$359</f>
        <v>0</v>
      </c>
      <c r="AC359" s="6">
        <f>$M$359*$W$359</f>
        <v>39383.799000000006</v>
      </c>
      <c r="AD359" s="6">
        <f>$O$359*$X$359</f>
        <v>0</v>
      </c>
      <c r="AE359" s="6">
        <f>$K$359*$Y$359</f>
        <v>0</v>
      </c>
      <c r="AF359" s="6">
        <f ca="1">$M$359*$Z$359</f>
        <v>66671.642433417815</v>
      </c>
      <c r="AG359" s="6">
        <f>$O$359*$AA$359</f>
        <v>0</v>
      </c>
    </row>
    <row r="360" spans="1:33" ht="11.25" customHeight="1" x14ac:dyDescent="0.3">
      <c r="A360" s="4" t="s">
        <v>21</v>
      </c>
      <c r="B360" s="4" t="s">
        <v>39</v>
      </c>
      <c r="C360" s="4" t="s">
        <v>41</v>
      </c>
      <c r="D360" s="4" t="s">
        <v>38</v>
      </c>
      <c r="E360" s="4" t="s">
        <v>25</v>
      </c>
      <c r="F360" s="4" t="s">
        <v>25</v>
      </c>
      <c r="G360" s="4" t="s">
        <v>25</v>
      </c>
      <c r="H360" s="4" t="s">
        <v>35</v>
      </c>
      <c r="I360" s="5">
        <v>44593</v>
      </c>
      <c r="J360" s="6">
        <v>0</v>
      </c>
      <c r="K360" s="6">
        <v>0</v>
      </c>
      <c r="L360" s="6">
        <v>1727.298</v>
      </c>
      <c r="M360" s="6">
        <v>1727.298</v>
      </c>
      <c r="N360" s="6">
        <v>1727.298</v>
      </c>
      <c r="O360" s="6">
        <v>1727.298</v>
      </c>
      <c r="P360" s="6">
        <v>0</v>
      </c>
      <c r="Q360" s="4" t="s">
        <v>26</v>
      </c>
      <c r="R360" s="4">
        <v>0</v>
      </c>
      <c r="S360" s="6">
        <v>0</v>
      </c>
      <c r="T360" s="6">
        <v>6</v>
      </c>
      <c r="U360" s="6">
        <v>61</v>
      </c>
      <c r="V360" s="6">
        <f>IF(ISERROR(VLOOKUP($S$360,'TAR FIN'!$A$1:$O$113,15,0)),0,VLOOKUP($S$360,'TAR FIN'!$A$1:$O$113,15,0))</f>
        <v>0</v>
      </c>
      <c r="W360" s="6">
        <f>IF(ISERROR(VLOOKUP($T$360,'TAR FIN'!$A$1:$O$113,15,0)),0,VLOOKUP($T$360,'TAR FIN'!$A$1:$O$113,15,0))</f>
        <v>72.150000000000006</v>
      </c>
      <c r="X360" s="6">
        <f>IF(ISERROR(VLOOKUP($U$360,'TAR FIN'!$A$1:$O$113,15,0)),0,VLOOKUP($U$360,'TAR FIN'!$A$1:$O$113,15,0))</f>
        <v>278.67</v>
      </c>
      <c r="Y360" s="6"/>
      <c r="Z360" s="6">
        <f ca="1">('TUSD BE'!$AM$21+'TUSD BF_350'!$AM$21+'TUSD CVA'!$AM$21)*1</f>
        <v>122.14055331663396</v>
      </c>
      <c r="AA360" s="6">
        <f ca="1">('TE BE'!$AB$10+'TE BF_350'!$AB$10+'TE CVA'!$AB$10)*1</f>
        <v>231.69</v>
      </c>
      <c r="AB360" s="6">
        <f>$K$360*$V$360</f>
        <v>0</v>
      </c>
      <c r="AC360" s="6">
        <f>$M$360*$W$360</f>
        <v>124624.55070000001</v>
      </c>
      <c r="AD360" s="6">
        <f>$O$360*$X$360</f>
        <v>481346.13366000005</v>
      </c>
      <c r="AE360" s="6">
        <f>$K$360*$Y$360</f>
        <v>0</v>
      </c>
      <c r="AF360" s="6">
        <f ca="1">$M$360*$Z$360</f>
        <v>210973.1334627152</v>
      </c>
      <c r="AG360" s="6">
        <f ca="1">$O$360*$AA$360</f>
        <v>400197.67362000002</v>
      </c>
    </row>
    <row r="361" spans="1:33" ht="11.25" customHeight="1" x14ac:dyDescent="0.3">
      <c r="A361" s="4" t="s">
        <v>28</v>
      </c>
      <c r="B361" s="4" t="s">
        <v>39</v>
      </c>
      <c r="C361" s="4" t="s">
        <v>41</v>
      </c>
      <c r="D361" s="4" t="s">
        <v>38</v>
      </c>
      <c r="E361" s="4" t="s">
        <v>25</v>
      </c>
      <c r="F361" s="4" t="s">
        <v>25</v>
      </c>
      <c r="G361" s="4" t="s">
        <v>25</v>
      </c>
      <c r="H361" s="4" t="s">
        <v>35</v>
      </c>
      <c r="I361" s="5">
        <v>44593</v>
      </c>
      <c r="J361" s="6">
        <v>0</v>
      </c>
      <c r="K361" s="6">
        <v>0</v>
      </c>
      <c r="L361" s="6">
        <v>20.742999999999999</v>
      </c>
      <c r="M361" s="6">
        <v>20.742999999999999</v>
      </c>
      <c r="N361" s="6">
        <v>20.742999999999999</v>
      </c>
      <c r="O361" s="6">
        <v>20.742999999999999</v>
      </c>
      <c r="P361" s="6">
        <v>0</v>
      </c>
      <c r="Q361" s="4" t="s">
        <v>26</v>
      </c>
      <c r="R361" s="4">
        <v>0</v>
      </c>
      <c r="S361" s="6">
        <v>0</v>
      </c>
      <c r="T361" s="6">
        <v>6</v>
      </c>
      <c r="U361" s="6">
        <v>61</v>
      </c>
      <c r="V361" s="6">
        <f>IF(ISERROR(VLOOKUP($S$361,'TAR FIN'!$A$1:$O$113,15,0)),0,VLOOKUP($S$361,'TAR FIN'!$A$1:$O$113,15,0))</f>
        <v>0</v>
      </c>
      <c r="W361" s="6">
        <f>IF(ISERROR(VLOOKUP($T$361,'TAR FIN'!$A$1:$O$113,15,0)),0,VLOOKUP($T$361,'TAR FIN'!$A$1:$O$113,15,0))</f>
        <v>72.150000000000006</v>
      </c>
      <c r="X361" s="6">
        <f>IF(ISERROR(VLOOKUP($U$361,'TAR FIN'!$A$1:$O$113,15,0)),0,VLOOKUP($U$361,'TAR FIN'!$A$1:$O$113,15,0))</f>
        <v>278.67</v>
      </c>
      <c r="Y361" s="6"/>
      <c r="Z361" s="6">
        <f ca="1">('TUSD BE'!$AM$21+'TUSD BF_350'!$AM$21+'TUSD CVA'!$AM$21)*1</f>
        <v>122.14055331663396</v>
      </c>
      <c r="AA361" s="6">
        <f ca="1">('TE BE'!$AB$10+'TE BF_350'!$AB$10+'TE CVA'!$AB$10)*1</f>
        <v>231.69</v>
      </c>
      <c r="AB361" s="6">
        <f>$K$361*$V$361</f>
        <v>0</v>
      </c>
      <c r="AC361" s="6">
        <f>$M$361*$W$361</f>
        <v>1496.60745</v>
      </c>
      <c r="AD361" s="6">
        <f>$O$361*$X$361</f>
        <v>5780.4518099999996</v>
      </c>
      <c r="AE361" s="6">
        <f>$K$361*$Y$361</f>
        <v>0</v>
      </c>
      <c r="AF361" s="6">
        <f ca="1">$M$361*$Z$361</f>
        <v>2533.5614974469381</v>
      </c>
      <c r="AG361" s="6">
        <f ca="1">$O$361*$AA$361</f>
        <v>4805.9456700000001</v>
      </c>
    </row>
    <row r="362" spans="1:33" ht="11.25" customHeight="1" x14ac:dyDescent="0.3">
      <c r="A362" s="4" t="s">
        <v>21</v>
      </c>
      <c r="B362" s="4" t="s">
        <v>39</v>
      </c>
      <c r="C362" s="4" t="s">
        <v>41</v>
      </c>
      <c r="D362" s="4" t="s">
        <v>38</v>
      </c>
      <c r="E362" s="4" t="s">
        <v>25</v>
      </c>
      <c r="F362" s="4" t="s">
        <v>25</v>
      </c>
      <c r="G362" s="4" t="s">
        <v>25</v>
      </c>
      <c r="H362" s="4" t="s">
        <v>35</v>
      </c>
      <c r="I362" s="5">
        <v>44593</v>
      </c>
      <c r="J362" s="6">
        <v>0</v>
      </c>
      <c r="K362" s="6">
        <v>0</v>
      </c>
      <c r="L362" s="6">
        <v>651.76800000000003</v>
      </c>
      <c r="M362" s="6">
        <v>651.76800000000003</v>
      </c>
      <c r="N362" s="6">
        <v>0</v>
      </c>
      <c r="O362" s="6">
        <v>0</v>
      </c>
      <c r="P362" s="6">
        <v>0</v>
      </c>
      <c r="Q362" s="4" t="s">
        <v>55</v>
      </c>
      <c r="R362" s="4">
        <v>0</v>
      </c>
      <c r="S362" s="6">
        <v>0</v>
      </c>
      <c r="T362" s="6">
        <v>6</v>
      </c>
      <c r="U362" s="6">
        <v>0</v>
      </c>
      <c r="V362" s="6">
        <f>IF(ISERROR(VLOOKUP($S$362,'TAR FIN'!$A$1:$O$113,15,0)),0,VLOOKUP($S$362,'TAR FIN'!$A$1:$O$113,15,0))</f>
        <v>0</v>
      </c>
      <c r="W362" s="6">
        <f>IF(ISERROR(VLOOKUP($T$362,'TAR FIN'!$A$1:$O$113,15,0)),0,VLOOKUP($T$362,'TAR FIN'!$A$1:$O$113,15,0))</f>
        <v>72.150000000000006</v>
      </c>
      <c r="X362" s="6">
        <f>IF(ISERROR(VLOOKUP($U$362,'TAR FIN'!$A$1:$O$113,15,0)),0,VLOOKUP($U$362,'TAR FIN'!$A$1:$O$113,15,0))</f>
        <v>0</v>
      </c>
      <c r="Y362" s="6"/>
      <c r="Z362" s="6">
        <f ca="1">('TUSD BE'!$AM$21+'TUSD BF_350'!$AM$21+'TUSD CVA'!$AM$21)*1</f>
        <v>122.14055331663396</v>
      </c>
      <c r="AA362" s="6"/>
      <c r="AB362" s="6">
        <f>$K$362*$V$362</f>
        <v>0</v>
      </c>
      <c r="AC362" s="6">
        <f>$M$362*$W$362</f>
        <v>47025.061200000004</v>
      </c>
      <c r="AD362" s="6">
        <f>$O$362*$X$362</f>
        <v>0</v>
      </c>
      <c r="AE362" s="6">
        <f>$K$362*$Y$362</f>
        <v>0</v>
      </c>
      <c r="AF362" s="6">
        <f ca="1">$M$362*$Z$362</f>
        <v>79607.304154075886</v>
      </c>
      <c r="AG362" s="6">
        <f>$O$362*$AA$362</f>
        <v>0</v>
      </c>
    </row>
    <row r="363" spans="1:33" ht="11.25" customHeight="1" x14ac:dyDescent="0.3">
      <c r="A363" s="4" t="s">
        <v>21</v>
      </c>
      <c r="B363" s="4" t="s">
        <v>39</v>
      </c>
      <c r="C363" s="4" t="s">
        <v>41</v>
      </c>
      <c r="D363" s="4" t="s">
        <v>38</v>
      </c>
      <c r="E363" s="4" t="s">
        <v>25</v>
      </c>
      <c r="F363" s="4" t="s">
        <v>25</v>
      </c>
      <c r="G363" s="4" t="s">
        <v>25</v>
      </c>
      <c r="H363" s="4" t="s">
        <v>35</v>
      </c>
      <c r="I363" s="5">
        <v>44621</v>
      </c>
      <c r="J363" s="6">
        <v>0</v>
      </c>
      <c r="K363" s="6">
        <v>0</v>
      </c>
      <c r="L363" s="6">
        <v>1756.01</v>
      </c>
      <c r="M363" s="6">
        <v>1756.01</v>
      </c>
      <c r="N363" s="6">
        <v>1756.01</v>
      </c>
      <c r="O363" s="6">
        <v>1756.01</v>
      </c>
      <c r="P363" s="6">
        <v>0</v>
      </c>
      <c r="Q363" s="4" t="s">
        <v>26</v>
      </c>
      <c r="R363" s="4">
        <v>0</v>
      </c>
      <c r="S363" s="6">
        <v>0</v>
      </c>
      <c r="T363" s="6">
        <v>6</v>
      </c>
      <c r="U363" s="6">
        <v>61</v>
      </c>
      <c r="V363" s="6">
        <f>IF(ISERROR(VLOOKUP($S$363,'TAR FIN'!$A$1:$O$113,15,0)),0,VLOOKUP($S$363,'TAR FIN'!$A$1:$O$113,15,0))</f>
        <v>0</v>
      </c>
      <c r="W363" s="6">
        <f>IF(ISERROR(VLOOKUP($T$363,'TAR FIN'!$A$1:$O$113,15,0)),0,VLOOKUP($T$363,'TAR FIN'!$A$1:$O$113,15,0))</f>
        <v>72.150000000000006</v>
      </c>
      <c r="X363" s="6">
        <f>IF(ISERROR(VLOOKUP($U$363,'TAR FIN'!$A$1:$O$113,15,0)),0,VLOOKUP($U$363,'TAR FIN'!$A$1:$O$113,15,0))</f>
        <v>278.67</v>
      </c>
      <c r="Y363" s="6"/>
      <c r="Z363" s="6">
        <f ca="1">('TUSD BE'!$AM$21+'TUSD BF_350'!$AM$21+'TUSD CVA'!$AM$21)*1</f>
        <v>122.14055331663396</v>
      </c>
      <c r="AA363" s="6">
        <f ca="1">('TE BE'!$AB$10+'TE BF_350'!$AB$10+'TE CVA'!$AB$10)*1</f>
        <v>231.69</v>
      </c>
      <c r="AB363" s="6">
        <f>$K$363*$V$363</f>
        <v>0</v>
      </c>
      <c r="AC363" s="6">
        <f>$M$363*$W$363</f>
        <v>126696.12150000001</v>
      </c>
      <c r="AD363" s="6">
        <f>$O$363*$X$363</f>
        <v>489347.30670000002</v>
      </c>
      <c r="AE363" s="6">
        <f>$K$363*$Y$363</f>
        <v>0</v>
      </c>
      <c r="AF363" s="6">
        <f ca="1">$M$363*$Z$363</f>
        <v>214480.03302954239</v>
      </c>
      <c r="AG363" s="6">
        <f ca="1">$O$363*$AA$363</f>
        <v>406849.95689999999</v>
      </c>
    </row>
    <row r="364" spans="1:33" ht="11.25" customHeight="1" x14ac:dyDescent="0.3">
      <c r="A364" s="4" t="s">
        <v>28</v>
      </c>
      <c r="B364" s="4" t="s">
        <v>39</v>
      </c>
      <c r="C364" s="4" t="s">
        <v>41</v>
      </c>
      <c r="D364" s="4" t="s">
        <v>38</v>
      </c>
      <c r="E364" s="4" t="s">
        <v>25</v>
      </c>
      <c r="F364" s="4" t="s">
        <v>25</v>
      </c>
      <c r="G364" s="4" t="s">
        <v>25</v>
      </c>
      <c r="H364" s="4" t="s">
        <v>35</v>
      </c>
      <c r="I364" s="5">
        <v>44621</v>
      </c>
      <c r="J364" s="6">
        <v>0</v>
      </c>
      <c r="K364" s="6">
        <v>0</v>
      </c>
      <c r="L364" s="6">
        <v>10.256</v>
      </c>
      <c r="M364" s="6">
        <v>10.256</v>
      </c>
      <c r="N364" s="6">
        <v>10.256</v>
      </c>
      <c r="O364" s="6">
        <v>10.256</v>
      </c>
      <c r="P364" s="6">
        <v>0</v>
      </c>
      <c r="Q364" s="4" t="s">
        <v>26</v>
      </c>
      <c r="R364" s="4">
        <v>0</v>
      </c>
      <c r="S364" s="6">
        <v>0</v>
      </c>
      <c r="T364" s="6">
        <v>6</v>
      </c>
      <c r="U364" s="6">
        <v>61</v>
      </c>
      <c r="V364" s="6">
        <f>IF(ISERROR(VLOOKUP($S$364,'TAR FIN'!$A$1:$O$113,15,0)),0,VLOOKUP($S$364,'TAR FIN'!$A$1:$O$113,15,0))</f>
        <v>0</v>
      </c>
      <c r="W364" s="6">
        <f>IF(ISERROR(VLOOKUP($T$364,'TAR FIN'!$A$1:$O$113,15,0)),0,VLOOKUP($T$364,'TAR FIN'!$A$1:$O$113,15,0))</f>
        <v>72.150000000000006</v>
      </c>
      <c r="X364" s="6">
        <f>IF(ISERROR(VLOOKUP($U$364,'TAR FIN'!$A$1:$O$113,15,0)),0,VLOOKUP($U$364,'TAR FIN'!$A$1:$O$113,15,0))</f>
        <v>278.67</v>
      </c>
      <c r="Y364" s="6"/>
      <c r="Z364" s="6">
        <f ca="1">('TUSD BE'!$AM$21+'TUSD BF_350'!$AM$21+'TUSD CVA'!$AM$21)*1</f>
        <v>122.14055331663396</v>
      </c>
      <c r="AA364" s="6">
        <f ca="1">('TE BE'!$AB$10+'TE BF_350'!$AB$10+'TE CVA'!$AB$10)*1</f>
        <v>231.69</v>
      </c>
      <c r="AB364" s="6">
        <f>$K$364*$V$364</f>
        <v>0</v>
      </c>
      <c r="AC364" s="6">
        <f>$M$364*$W$364</f>
        <v>739.97040000000004</v>
      </c>
      <c r="AD364" s="6">
        <f>$O$364*$X$364</f>
        <v>2858.0395200000003</v>
      </c>
      <c r="AE364" s="6">
        <f>$K$364*$Y$364</f>
        <v>0</v>
      </c>
      <c r="AF364" s="6">
        <f ca="1">$M$364*$Z$364</f>
        <v>1252.6735148153978</v>
      </c>
      <c r="AG364" s="6">
        <f ca="1">$O$364*$AA$364</f>
        <v>2376.2126400000002</v>
      </c>
    </row>
    <row r="365" spans="1:33" ht="11.25" customHeight="1" x14ac:dyDescent="0.3">
      <c r="A365" s="4" t="s">
        <v>21</v>
      </c>
      <c r="B365" s="4" t="s">
        <v>39</v>
      </c>
      <c r="C365" s="4" t="s">
        <v>41</v>
      </c>
      <c r="D365" s="4" t="s">
        <v>38</v>
      </c>
      <c r="E365" s="4" t="s">
        <v>25</v>
      </c>
      <c r="F365" s="4" t="s">
        <v>25</v>
      </c>
      <c r="G365" s="4" t="s">
        <v>25</v>
      </c>
      <c r="H365" s="4" t="s">
        <v>35</v>
      </c>
      <c r="I365" s="5">
        <v>44621</v>
      </c>
      <c r="J365" s="6">
        <v>0</v>
      </c>
      <c r="K365" s="6">
        <v>0</v>
      </c>
      <c r="L365" s="6">
        <v>652.69399999999996</v>
      </c>
      <c r="M365" s="6">
        <v>652.69399999999996</v>
      </c>
      <c r="N365" s="6">
        <v>0</v>
      </c>
      <c r="O365" s="6">
        <v>0</v>
      </c>
      <c r="P365" s="6">
        <v>0</v>
      </c>
      <c r="Q365" s="4" t="s">
        <v>55</v>
      </c>
      <c r="R365" s="4">
        <v>0</v>
      </c>
      <c r="S365" s="6">
        <v>0</v>
      </c>
      <c r="T365" s="6">
        <v>6</v>
      </c>
      <c r="U365" s="6">
        <v>0</v>
      </c>
      <c r="V365" s="6">
        <f>IF(ISERROR(VLOOKUP($S$365,'TAR FIN'!$A$1:$O$113,15,0)),0,VLOOKUP($S$365,'TAR FIN'!$A$1:$O$113,15,0))</f>
        <v>0</v>
      </c>
      <c r="W365" s="6">
        <f>IF(ISERROR(VLOOKUP($T$365,'TAR FIN'!$A$1:$O$113,15,0)),0,VLOOKUP($T$365,'TAR FIN'!$A$1:$O$113,15,0))</f>
        <v>72.150000000000006</v>
      </c>
      <c r="X365" s="6">
        <f>IF(ISERROR(VLOOKUP($U$365,'TAR FIN'!$A$1:$O$113,15,0)),0,VLOOKUP($U$365,'TAR FIN'!$A$1:$O$113,15,0))</f>
        <v>0</v>
      </c>
      <c r="Y365" s="6"/>
      <c r="Z365" s="6">
        <f ca="1">('TUSD BE'!$AM$21+'TUSD BF_350'!$AM$21+'TUSD CVA'!$AM$21)*1</f>
        <v>122.14055331663396</v>
      </c>
      <c r="AA365" s="6"/>
      <c r="AB365" s="6">
        <f>$K$365*$V$365</f>
        <v>0</v>
      </c>
      <c r="AC365" s="6">
        <f>$M$365*$W$365</f>
        <v>47091.872100000001</v>
      </c>
      <c r="AD365" s="6">
        <f>$O$365*$X$365</f>
        <v>0</v>
      </c>
      <c r="AE365" s="6">
        <f>$K$365*$Y$365</f>
        <v>0</v>
      </c>
      <c r="AF365" s="6">
        <f ca="1">$M$365*$Z$365</f>
        <v>79720.406306447083</v>
      </c>
      <c r="AG365" s="6">
        <f>$O$365*$AA$365</f>
        <v>0</v>
      </c>
    </row>
    <row r="366" spans="1:33" ht="11.25" customHeight="1" x14ac:dyDescent="0.3">
      <c r="A366" s="4" t="s">
        <v>21</v>
      </c>
      <c r="B366" s="4" t="s">
        <v>39</v>
      </c>
      <c r="C366" s="4" t="s">
        <v>41</v>
      </c>
      <c r="D366" s="4" t="s">
        <v>38</v>
      </c>
      <c r="E366" s="4" t="s">
        <v>25</v>
      </c>
      <c r="F366" s="4" t="s">
        <v>25</v>
      </c>
      <c r="G366" s="4" t="s">
        <v>25</v>
      </c>
      <c r="H366" s="4" t="s">
        <v>35</v>
      </c>
      <c r="I366" s="5">
        <v>44652</v>
      </c>
      <c r="J366" s="6">
        <v>0</v>
      </c>
      <c r="K366" s="6">
        <v>0</v>
      </c>
      <c r="L366" s="6">
        <v>1979.059</v>
      </c>
      <c r="M366" s="6">
        <v>1979.059</v>
      </c>
      <c r="N366" s="6">
        <v>1979.059</v>
      </c>
      <c r="O366" s="6">
        <v>1979.059</v>
      </c>
      <c r="P366" s="6">
        <v>0</v>
      </c>
      <c r="Q366" s="4" t="s">
        <v>26</v>
      </c>
      <c r="R366" s="4">
        <v>0</v>
      </c>
      <c r="S366" s="6">
        <v>0</v>
      </c>
      <c r="T366" s="6">
        <v>6</v>
      </c>
      <c r="U366" s="6">
        <v>61</v>
      </c>
      <c r="V366" s="6">
        <f>IF(ISERROR(VLOOKUP($S$366,'TAR FIN'!$A$1:$O$113,15,0)),0,VLOOKUP($S$366,'TAR FIN'!$A$1:$O$113,15,0))</f>
        <v>0</v>
      </c>
      <c r="W366" s="6">
        <f>IF(ISERROR(VLOOKUP($T$366,'TAR FIN'!$A$1:$O$113,15,0)),0,VLOOKUP($T$366,'TAR FIN'!$A$1:$O$113,15,0))</f>
        <v>72.150000000000006</v>
      </c>
      <c r="X366" s="6">
        <f>IF(ISERROR(VLOOKUP($U$366,'TAR FIN'!$A$1:$O$113,15,0)),0,VLOOKUP($U$366,'TAR FIN'!$A$1:$O$113,15,0))</f>
        <v>278.67</v>
      </c>
      <c r="Y366" s="6"/>
      <c r="Z366" s="6">
        <f ca="1">('TUSD BE'!$AM$21+'TUSD BF_350'!$AM$21+'TUSD CVA'!$AM$21)*1</f>
        <v>122.14055331663396</v>
      </c>
      <c r="AA366" s="6">
        <f ca="1">('TE BE'!$AB$10+'TE BF_350'!$AB$10+'TE CVA'!$AB$10)*1</f>
        <v>231.69</v>
      </c>
      <c r="AB366" s="6">
        <f>$K$366*$V$366</f>
        <v>0</v>
      </c>
      <c r="AC366" s="6">
        <f>$M$366*$W$366</f>
        <v>142789.10685000001</v>
      </c>
      <c r="AD366" s="6">
        <f>$O$366*$X$366</f>
        <v>551504.37153</v>
      </c>
      <c r="AE366" s="6">
        <f>$K$366*$Y$366</f>
        <v>0</v>
      </c>
      <c r="AF366" s="6">
        <f ca="1">$M$366*$Z$366</f>
        <v>241723.36130626427</v>
      </c>
      <c r="AG366" s="6">
        <f ca="1">$O$366*$AA$366</f>
        <v>458528.17971</v>
      </c>
    </row>
    <row r="367" spans="1:33" ht="11.25" customHeight="1" x14ac:dyDescent="0.3">
      <c r="A367" s="4" t="s">
        <v>28</v>
      </c>
      <c r="B367" s="4" t="s">
        <v>39</v>
      </c>
      <c r="C367" s="4" t="s">
        <v>41</v>
      </c>
      <c r="D367" s="4" t="s">
        <v>38</v>
      </c>
      <c r="E367" s="4" t="s">
        <v>25</v>
      </c>
      <c r="F367" s="4" t="s">
        <v>25</v>
      </c>
      <c r="G367" s="4" t="s">
        <v>25</v>
      </c>
      <c r="H367" s="4" t="s">
        <v>35</v>
      </c>
      <c r="I367" s="5">
        <v>44652</v>
      </c>
      <c r="J367" s="6">
        <v>0</v>
      </c>
      <c r="K367" s="6">
        <v>0</v>
      </c>
      <c r="L367" s="6">
        <v>9.3640000000000008</v>
      </c>
      <c r="M367" s="6">
        <v>9.3640000000000008</v>
      </c>
      <c r="N367" s="6">
        <v>9.3640000000000008</v>
      </c>
      <c r="O367" s="6">
        <v>9.3640000000000008</v>
      </c>
      <c r="P367" s="6">
        <v>0</v>
      </c>
      <c r="Q367" s="4" t="s">
        <v>26</v>
      </c>
      <c r="R367" s="4">
        <v>0</v>
      </c>
      <c r="S367" s="6">
        <v>0</v>
      </c>
      <c r="T367" s="6">
        <v>6</v>
      </c>
      <c r="U367" s="6">
        <v>61</v>
      </c>
      <c r="V367" s="6">
        <f>IF(ISERROR(VLOOKUP($S$367,'TAR FIN'!$A$1:$O$113,15,0)),0,VLOOKUP($S$367,'TAR FIN'!$A$1:$O$113,15,0))</f>
        <v>0</v>
      </c>
      <c r="W367" s="6">
        <f>IF(ISERROR(VLOOKUP($T$367,'TAR FIN'!$A$1:$O$113,15,0)),0,VLOOKUP($T$367,'TAR FIN'!$A$1:$O$113,15,0))</f>
        <v>72.150000000000006</v>
      </c>
      <c r="X367" s="6">
        <f>IF(ISERROR(VLOOKUP($U$367,'TAR FIN'!$A$1:$O$113,15,0)),0,VLOOKUP($U$367,'TAR FIN'!$A$1:$O$113,15,0))</f>
        <v>278.67</v>
      </c>
      <c r="Y367" s="6"/>
      <c r="Z367" s="6">
        <f ca="1">('TUSD BE'!$AM$21+'TUSD BF_350'!$AM$21+'TUSD CVA'!$AM$21)*1</f>
        <v>122.14055331663396</v>
      </c>
      <c r="AA367" s="6">
        <f ca="1">('TE BE'!$AB$10+'TE BF_350'!$AB$10+'TE CVA'!$AB$10)*1</f>
        <v>231.69</v>
      </c>
      <c r="AB367" s="6">
        <f>$K$367*$V$367</f>
        <v>0</v>
      </c>
      <c r="AC367" s="6">
        <f>$M$367*$W$367</f>
        <v>675.61260000000016</v>
      </c>
      <c r="AD367" s="6">
        <f>$O$367*$X$367</f>
        <v>2609.4658800000002</v>
      </c>
      <c r="AE367" s="6">
        <f>$K$367*$Y$367</f>
        <v>0</v>
      </c>
      <c r="AF367" s="6">
        <f ca="1">$M$367*$Z$367</f>
        <v>1143.7241412569604</v>
      </c>
      <c r="AG367" s="6">
        <f ca="1">$O$367*$AA$367</f>
        <v>2169.5451600000001</v>
      </c>
    </row>
    <row r="368" spans="1:33" ht="11.25" customHeight="1" x14ac:dyDescent="0.3">
      <c r="A368" s="4" t="s">
        <v>21</v>
      </c>
      <c r="B368" s="4" t="s">
        <v>39</v>
      </c>
      <c r="C368" s="4" t="s">
        <v>41</v>
      </c>
      <c r="D368" s="4" t="s">
        <v>38</v>
      </c>
      <c r="E368" s="4" t="s">
        <v>25</v>
      </c>
      <c r="F368" s="4" t="s">
        <v>25</v>
      </c>
      <c r="G368" s="4" t="s">
        <v>25</v>
      </c>
      <c r="H368" s="4" t="s">
        <v>35</v>
      </c>
      <c r="I368" s="5">
        <v>44652</v>
      </c>
      <c r="J368" s="6">
        <v>0</v>
      </c>
      <c r="K368" s="6">
        <v>0</v>
      </c>
      <c r="L368" s="6">
        <v>755.45600000000002</v>
      </c>
      <c r="M368" s="6">
        <v>755.45600000000002</v>
      </c>
      <c r="N368" s="6">
        <v>0</v>
      </c>
      <c r="O368" s="6">
        <v>0</v>
      </c>
      <c r="P368" s="6">
        <v>0</v>
      </c>
      <c r="Q368" s="4" t="s">
        <v>55</v>
      </c>
      <c r="R368" s="4">
        <v>0</v>
      </c>
      <c r="S368" s="6">
        <v>0</v>
      </c>
      <c r="T368" s="6">
        <v>6</v>
      </c>
      <c r="U368" s="6">
        <v>0</v>
      </c>
      <c r="V368" s="6">
        <f>IF(ISERROR(VLOOKUP($S$368,'TAR FIN'!$A$1:$O$113,15,0)),0,VLOOKUP($S$368,'TAR FIN'!$A$1:$O$113,15,0))</f>
        <v>0</v>
      </c>
      <c r="W368" s="6">
        <f>IF(ISERROR(VLOOKUP($T$368,'TAR FIN'!$A$1:$O$113,15,0)),0,VLOOKUP($T$368,'TAR FIN'!$A$1:$O$113,15,0))</f>
        <v>72.150000000000006</v>
      </c>
      <c r="X368" s="6">
        <f>IF(ISERROR(VLOOKUP($U$368,'TAR FIN'!$A$1:$O$113,15,0)),0,VLOOKUP($U$368,'TAR FIN'!$A$1:$O$113,15,0))</f>
        <v>0</v>
      </c>
      <c r="Y368" s="6"/>
      <c r="Z368" s="6">
        <f ca="1">('TUSD BE'!$AM$21+'TUSD BF_350'!$AM$21+'TUSD CVA'!$AM$21)*1</f>
        <v>122.14055331663396</v>
      </c>
      <c r="AA368" s="6"/>
      <c r="AB368" s="6">
        <f>$K$368*$V$368</f>
        <v>0</v>
      </c>
      <c r="AC368" s="6">
        <f>$M$368*$W$368</f>
        <v>54506.150400000006</v>
      </c>
      <c r="AD368" s="6">
        <f>$O$368*$X$368</f>
        <v>0</v>
      </c>
      <c r="AE368" s="6">
        <f>$K$368*$Y$368</f>
        <v>0</v>
      </c>
      <c r="AF368" s="6">
        <f ca="1">$M$368*$Z$368</f>
        <v>92271.81384637102</v>
      </c>
      <c r="AG368" s="6">
        <f>$O$368*$AA$368</f>
        <v>0</v>
      </c>
    </row>
    <row r="369" spans="1:33" ht="11.25" customHeight="1" x14ac:dyDescent="0.3">
      <c r="A369" s="4" t="s">
        <v>21</v>
      </c>
      <c r="B369" s="4" t="s">
        <v>39</v>
      </c>
      <c r="C369" s="4" t="s">
        <v>41</v>
      </c>
      <c r="D369" s="4" t="s">
        <v>38</v>
      </c>
      <c r="E369" s="4" t="s">
        <v>25</v>
      </c>
      <c r="F369" s="4" t="s">
        <v>25</v>
      </c>
      <c r="G369" s="4" t="s">
        <v>25</v>
      </c>
      <c r="H369" s="4" t="s">
        <v>35</v>
      </c>
      <c r="I369" s="5">
        <v>44682</v>
      </c>
      <c r="J369" s="6">
        <v>0</v>
      </c>
      <c r="K369" s="6">
        <v>0</v>
      </c>
      <c r="L369" s="6">
        <v>1812.2260000000001</v>
      </c>
      <c r="M369" s="6">
        <v>1812.2260000000001</v>
      </c>
      <c r="N369" s="6">
        <v>1812.2260000000001</v>
      </c>
      <c r="O369" s="6">
        <v>1812.2260000000001</v>
      </c>
      <c r="P369" s="6">
        <v>0</v>
      </c>
      <c r="Q369" s="4" t="s">
        <v>26</v>
      </c>
      <c r="R369" s="4">
        <v>0</v>
      </c>
      <c r="S369" s="6">
        <v>0</v>
      </c>
      <c r="T369" s="6">
        <v>6</v>
      </c>
      <c r="U369" s="6">
        <v>61</v>
      </c>
      <c r="V369" s="6">
        <f>IF(ISERROR(VLOOKUP($S$369,'TAR FIN'!$A$1:$O$113,15,0)),0,VLOOKUP($S$369,'TAR FIN'!$A$1:$O$113,15,0))</f>
        <v>0</v>
      </c>
      <c r="W369" s="6">
        <f>IF(ISERROR(VLOOKUP($T$369,'TAR FIN'!$A$1:$O$113,15,0)),0,VLOOKUP($T$369,'TAR FIN'!$A$1:$O$113,15,0))</f>
        <v>72.150000000000006</v>
      </c>
      <c r="X369" s="6">
        <f>IF(ISERROR(VLOOKUP($U$369,'TAR FIN'!$A$1:$O$113,15,0)),0,VLOOKUP($U$369,'TAR FIN'!$A$1:$O$113,15,0))</f>
        <v>278.67</v>
      </c>
      <c r="Y369" s="6"/>
      <c r="Z369" s="6">
        <f ca="1">('TUSD BE'!$AM$21+'TUSD BF_350'!$AM$21+'TUSD CVA'!$AM$21)*1</f>
        <v>122.14055331663396</v>
      </c>
      <c r="AA369" s="6">
        <f ca="1">('TE BE'!$AB$10+'TE BF_350'!$AB$10+'TE CVA'!$AB$10)*1</f>
        <v>231.69</v>
      </c>
      <c r="AB369" s="6">
        <f>$K$369*$V$369</f>
        <v>0</v>
      </c>
      <c r="AC369" s="6">
        <f>$M$369*$W$369</f>
        <v>130752.10590000002</v>
      </c>
      <c r="AD369" s="6">
        <f>$O$369*$X$369</f>
        <v>505013.01942000008</v>
      </c>
      <c r="AE369" s="6">
        <f>$K$369*$Y$369</f>
        <v>0</v>
      </c>
      <c r="AF369" s="6">
        <f ca="1">$M$369*$Z$369</f>
        <v>221346.2863747903</v>
      </c>
      <c r="AG369" s="6">
        <f ca="1">$O$369*$AA$369</f>
        <v>419874.64194</v>
      </c>
    </row>
    <row r="370" spans="1:33" ht="11.25" customHeight="1" x14ac:dyDescent="0.3">
      <c r="A370" s="4" t="s">
        <v>28</v>
      </c>
      <c r="B370" s="4" t="s">
        <v>39</v>
      </c>
      <c r="C370" s="4" t="s">
        <v>41</v>
      </c>
      <c r="D370" s="4" t="s">
        <v>38</v>
      </c>
      <c r="E370" s="4" t="s">
        <v>25</v>
      </c>
      <c r="F370" s="4" t="s">
        <v>25</v>
      </c>
      <c r="G370" s="4" t="s">
        <v>25</v>
      </c>
      <c r="H370" s="4" t="s">
        <v>35</v>
      </c>
      <c r="I370" s="5">
        <v>44682</v>
      </c>
      <c r="J370" s="6">
        <v>0</v>
      </c>
      <c r="K370" s="6">
        <v>0</v>
      </c>
      <c r="L370" s="6">
        <v>4.0359999999999996</v>
      </c>
      <c r="M370" s="6">
        <v>4.0359999999999996</v>
      </c>
      <c r="N370" s="6">
        <v>4.0359999999999996</v>
      </c>
      <c r="O370" s="6">
        <v>4.0359999999999996</v>
      </c>
      <c r="P370" s="6">
        <v>0</v>
      </c>
      <c r="Q370" s="4" t="s">
        <v>26</v>
      </c>
      <c r="R370" s="4">
        <v>0</v>
      </c>
      <c r="S370" s="6">
        <v>0</v>
      </c>
      <c r="T370" s="6">
        <v>6</v>
      </c>
      <c r="U370" s="6">
        <v>61</v>
      </c>
      <c r="V370" s="6">
        <f>IF(ISERROR(VLOOKUP($S$370,'TAR FIN'!$A$1:$O$113,15,0)),0,VLOOKUP($S$370,'TAR FIN'!$A$1:$O$113,15,0))</f>
        <v>0</v>
      </c>
      <c r="W370" s="6">
        <f>IF(ISERROR(VLOOKUP($T$370,'TAR FIN'!$A$1:$O$113,15,0)),0,VLOOKUP($T$370,'TAR FIN'!$A$1:$O$113,15,0))</f>
        <v>72.150000000000006</v>
      </c>
      <c r="X370" s="6">
        <f>IF(ISERROR(VLOOKUP($U$370,'TAR FIN'!$A$1:$O$113,15,0)),0,VLOOKUP($U$370,'TAR FIN'!$A$1:$O$113,15,0))</f>
        <v>278.67</v>
      </c>
      <c r="Y370" s="6"/>
      <c r="Z370" s="6">
        <f ca="1">('TUSD BE'!$AM$21+'TUSD BF_350'!$AM$21+'TUSD CVA'!$AM$21)*1</f>
        <v>122.14055331663396</v>
      </c>
      <c r="AA370" s="6">
        <f ca="1">('TE BE'!$AB$10+'TE BF_350'!$AB$10+'TE CVA'!$AB$10)*1</f>
        <v>231.69</v>
      </c>
      <c r="AB370" s="6">
        <f>$K$370*$V$370</f>
        <v>0</v>
      </c>
      <c r="AC370" s="6">
        <f>$M$370*$W$370</f>
        <v>291.19740000000002</v>
      </c>
      <c r="AD370" s="6">
        <f>$O$370*$X$370</f>
        <v>1124.7121199999999</v>
      </c>
      <c r="AE370" s="6">
        <f>$K$370*$Y$370</f>
        <v>0</v>
      </c>
      <c r="AF370" s="6">
        <f ca="1">$M$370*$Z$370</f>
        <v>492.95927318593459</v>
      </c>
      <c r="AG370" s="6">
        <f ca="1">$O$370*$AA$370</f>
        <v>935.10083999999995</v>
      </c>
    </row>
    <row r="371" spans="1:33" ht="11.25" customHeight="1" x14ac:dyDescent="0.3">
      <c r="A371" s="4" t="s">
        <v>21</v>
      </c>
      <c r="B371" s="4" t="s">
        <v>39</v>
      </c>
      <c r="C371" s="4" t="s">
        <v>41</v>
      </c>
      <c r="D371" s="4" t="s">
        <v>38</v>
      </c>
      <c r="E371" s="4" t="s">
        <v>25</v>
      </c>
      <c r="F371" s="4" t="s">
        <v>25</v>
      </c>
      <c r="G371" s="4" t="s">
        <v>25</v>
      </c>
      <c r="H371" s="4" t="s">
        <v>35</v>
      </c>
      <c r="I371" s="5">
        <v>44682</v>
      </c>
      <c r="J371" s="6">
        <v>0</v>
      </c>
      <c r="K371" s="6">
        <v>0</v>
      </c>
      <c r="L371" s="6">
        <v>676.995</v>
      </c>
      <c r="M371" s="6">
        <v>676.995</v>
      </c>
      <c r="N371" s="6">
        <v>0</v>
      </c>
      <c r="O371" s="6">
        <v>0</v>
      </c>
      <c r="P371" s="6">
        <v>0</v>
      </c>
      <c r="Q371" s="4" t="s">
        <v>55</v>
      </c>
      <c r="R371" s="4">
        <v>0</v>
      </c>
      <c r="S371" s="6">
        <v>0</v>
      </c>
      <c r="T371" s="6">
        <v>6</v>
      </c>
      <c r="U371" s="6">
        <v>0</v>
      </c>
      <c r="V371" s="6">
        <f>IF(ISERROR(VLOOKUP($S$371,'TAR FIN'!$A$1:$O$113,15,0)),0,VLOOKUP($S$371,'TAR FIN'!$A$1:$O$113,15,0))</f>
        <v>0</v>
      </c>
      <c r="W371" s="6">
        <f>IF(ISERROR(VLOOKUP($T$371,'TAR FIN'!$A$1:$O$113,15,0)),0,VLOOKUP($T$371,'TAR FIN'!$A$1:$O$113,15,0))</f>
        <v>72.150000000000006</v>
      </c>
      <c r="X371" s="6">
        <f>IF(ISERROR(VLOOKUP($U$371,'TAR FIN'!$A$1:$O$113,15,0)),0,VLOOKUP($U$371,'TAR FIN'!$A$1:$O$113,15,0))</f>
        <v>0</v>
      </c>
      <c r="Y371" s="6"/>
      <c r="Z371" s="6">
        <f ca="1">('TUSD BE'!$AM$21+'TUSD BF_350'!$AM$21+'TUSD CVA'!$AM$21)*1</f>
        <v>122.14055331663396</v>
      </c>
      <c r="AA371" s="6"/>
      <c r="AB371" s="6">
        <f>$K$371*$V$371</f>
        <v>0</v>
      </c>
      <c r="AC371" s="6">
        <f>$M$371*$W$371</f>
        <v>48845.189250000003</v>
      </c>
      <c r="AD371" s="6">
        <f>$O$371*$X$371</f>
        <v>0</v>
      </c>
      <c r="AE371" s="6">
        <f>$K$371*$Y$371</f>
        <v>0</v>
      </c>
      <c r="AF371" s="6">
        <f ca="1">$M$371*$Z$371</f>
        <v>82688.543892594607</v>
      </c>
      <c r="AG371" s="6">
        <f>$O$371*$AA$371</f>
        <v>0</v>
      </c>
    </row>
    <row r="372" spans="1:33" ht="11.25" customHeight="1" x14ac:dyDescent="0.3">
      <c r="A372" s="4" t="s">
        <v>21</v>
      </c>
      <c r="B372" s="4" t="s">
        <v>39</v>
      </c>
      <c r="C372" s="4" t="s">
        <v>41</v>
      </c>
      <c r="D372" s="4" t="s">
        <v>38</v>
      </c>
      <c r="E372" s="4" t="s">
        <v>25</v>
      </c>
      <c r="F372" s="4" t="s">
        <v>25</v>
      </c>
      <c r="G372" s="4" t="s">
        <v>25</v>
      </c>
      <c r="H372" s="4" t="s">
        <v>35</v>
      </c>
      <c r="I372" s="5">
        <v>44713</v>
      </c>
      <c r="J372" s="6">
        <v>0</v>
      </c>
      <c r="K372" s="6">
        <v>0</v>
      </c>
      <c r="L372" s="6">
        <v>1918.991</v>
      </c>
      <c r="M372" s="6">
        <v>1918.991</v>
      </c>
      <c r="N372" s="6">
        <v>1918.991</v>
      </c>
      <c r="O372" s="6">
        <v>1918.991</v>
      </c>
      <c r="P372" s="6">
        <v>0</v>
      </c>
      <c r="Q372" s="4" t="s">
        <v>26</v>
      </c>
      <c r="R372" s="4">
        <v>0</v>
      </c>
      <c r="S372" s="6">
        <v>0</v>
      </c>
      <c r="T372" s="6">
        <v>6</v>
      </c>
      <c r="U372" s="6">
        <v>61</v>
      </c>
      <c r="V372" s="6">
        <f>IF(ISERROR(VLOOKUP($S$372,'TAR FIN'!$A$1:$O$113,15,0)),0,VLOOKUP($S$372,'TAR FIN'!$A$1:$O$113,15,0))</f>
        <v>0</v>
      </c>
      <c r="W372" s="6">
        <f>IF(ISERROR(VLOOKUP($T$372,'TAR FIN'!$A$1:$O$113,15,0)),0,VLOOKUP($T$372,'TAR FIN'!$A$1:$O$113,15,0))</f>
        <v>72.150000000000006</v>
      </c>
      <c r="X372" s="6">
        <f>IF(ISERROR(VLOOKUP($U$372,'TAR FIN'!$A$1:$O$113,15,0)),0,VLOOKUP($U$372,'TAR FIN'!$A$1:$O$113,15,0))</f>
        <v>278.67</v>
      </c>
      <c r="Y372" s="6"/>
      <c r="Z372" s="6">
        <f ca="1">('TUSD BE'!$AM$21+'TUSD BF_350'!$AM$21+'TUSD CVA'!$AM$21)*1</f>
        <v>122.14055331663396</v>
      </c>
      <c r="AA372" s="6">
        <f ca="1">('TE BE'!$AB$10+'TE BF_350'!$AB$10+'TE CVA'!$AB$10)*1</f>
        <v>231.69</v>
      </c>
      <c r="AB372" s="6">
        <f>$K$372*$V$372</f>
        <v>0</v>
      </c>
      <c r="AC372" s="6">
        <f>$M$372*$W$372</f>
        <v>138455.20065000001</v>
      </c>
      <c r="AD372" s="6">
        <f>$O$372*$X$372</f>
        <v>534765.22197000007</v>
      </c>
      <c r="AE372" s="6">
        <f>$K$372*$Y$372</f>
        <v>0</v>
      </c>
      <c r="AF372" s="6">
        <f ca="1">$M$372*$Z$372</f>
        <v>234386.62254964071</v>
      </c>
      <c r="AG372" s="6">
        <f ca="1">$O$372*$AA$372</f>
        <v>444611.02479</v>
      </c>
    </row>
    <row r="373" spans="1:33" ht="11.25" customHeight="1" x14ac:dyDescent="0.3">
      <c r="A373" s="4" t="s">
        <v>28</v>
      </c>
      <c r="B373" s="4" t="s">
        <v>39</v>
      </c>
      <c r="C373" s="4" t="s">
        <v>41</v>
      </c>
      <c r="D373" s="4" t="s">
        <v>38</v>
      </c>
      <c r="E373" s="4" t="s">
        <v>25</v>
      </c>
      <c r="F373" s="4" t="s">
        <v>25</v>
      </c>
      <c r="G373" s="4" t="s">
        <v>25</v>
      </c>
      <c r="H373" s="4" t="s">
        <v>35</v>
      </c>
      <c r="I373" s="5">
        <v>44713</v>
      </c>
      <c r="J373" s="6">
        <v>0</v>
      </c>
      <c r="K373" s="6">
        <v>0</v>
      </c>
      <c r="L373" s="6">
        <v>11.496</v>
      </c>
      <c r="M373" s="6">
        <v>11.496</v>
      </c>
      <c r="N373" s="6">
        <v>11.496</v>
      </c>
      <c r="O373" s="6">
        <v>11.496</v>
      </c>
      <c r="P373" s="6">
        <v>0</v>
      </c>
      <c r="Q373" s="4" t="s">
        <v>26</v>
      </c>
      <c r="R373" s="4">
        <v>0</v>
      </c>
      <c r="S373" s="6">
        <v>0</v>
      </c>
      <c r="T373" s="6">
        <v>6</v>
      </c>
      <c r="U373" s="6">
        <v>61</v>
      </c>
      <c r="V373" s="6">
        <f>IF(ISERROR(VLOOKUP($S$373,'TAR FIN'!$A$1:$O$113,15,0)),0,VLOOKUP($S$373,'TAR FIN'!$A$1:$O$113,15,0))</f>
        <v>0</v>
      </c>
      <c r="W373" s="6">
        <f>IF(ISERROR(VLOOKUP($T$373,'TAR FIN'!$A$1:$O$113,15,0)),0,VLOOKUP($T$373,'TAR FIN'!$A$1:$O$113,15,0))</f>
        <v>72.150000000000006</v>
      </c>
      <c r="X373" s="6">
        <f>IF(ISERROR(VLOOKUP($U$373,'TAR FIN'!$A$1:$O$113,15,0)),0,VLOOKUP($U$373,'TAR FIN'!$A$1:$O$113,15,0))</f>
        <v>278.67</v>
      </c>
      <c r="Y373" s="6"/>
      <c r="Z373" s="6">
        <f ca="1">('TUSD BE'!$AM$21+'TUSD BF_350'!$AM$21+'TUSD CVA'!$AM$21)*1</f>
        <v>122.14055331663396</v>
      </c>
      <c r="AA373" s="6">
        <f ca="1">('TE BE'!$AB$10+'TE BF_350'!$AB$10+'TE CVA'!$AB$10)*1</f>
        <v>231.69</v>
      </c>
      <c r="AB373" s="6">
        <f>$K$373*$V$373</f>
        <v>0</v>
      </c>
      <c r="AC373" s="6">
        <f>$M$373*$W$373</f>
        <v>829.43640000000005</v>
      </c>
      <c r="AD373" s="6">
        <f>$O$373*$X$373</f>
        <v>3203.5903200000002</v>
      </c>
      <c r="AE373" s="6">
        <f>$K$373*$Y$373</f>
        <v>0</v>
      </c>
      <c r="AF373" s="6">
        <f ca="1">$M$373*$Z$373</f>
        <v>1404.127800928024</v>
      </c>
      <c r="AG373" s="6">
        <f ca="1">$O$373*$AA$373</f>
        <v>2663.5082400000001</v>
      </c>
    </row>
    <row r="374" spans="1:33" ht="11.25" customHeight="1" x14ac:dyDescent="0.3">
      <c r="A374" s="4" t="s">
        <v>21</v>
      </c>
      <c r="B374" s="4" t="s">
        <v>39</v>
      </c>
      <c r="C374" s="4" t="s">
        <v>41</v>
      </c>
      <c r="D374" s="4" t="s">
        <v>38</v>
      </c>
      <c r="E374" s="4" t="s">
        <v>25</v>
      </c>
      <c r="F374" s="4" t="s">
        <v>25</v>
      </c>
      <c r="G374" s="4" t="s">
        <v>25</v>
      </c>
      <c r="H374" s="4" t="s">
        <v>35</v>
      </c>
      <c r="I374" s="5">
        <v>44713</v>
      </c>
      <c r="J374" s="6">
        <v>0</v>
      </c>
      <c r="K374" s="6">
        <v>0</v>
      </c>
      <c r="L374" s="6">
        <v>693.12900000000002</v>
      </c>
      <c r="M374" s="6">
        <v>693.12900000000002</v>
      </c>
      <c r="N374" s="6">
        <v>0</v>
      </c>
      <c r="O374" s="6">
        <v>0</v>
      </c>
      <c r="P374" s="6">
        <v>0</v>
      </c>
      <c r="Q374" s="4" t="s">
        <v>55</v>
      </c>
      <c r="R374" s="4">
        <v>0</v>
      </c>
      <c r="S374" s="6">
        <v>0</v>
      </c>
      <c r="T374" s="6">
        <v>6</v>
      </c>
      <c r="U374" s="6">
        <v>0</v>
      </c>
      <c r="V374" s="6">
        <f>IF(ISERROR(VLOOKUP($S$374,'TAR FIN'!$A$1:$O$113,15,0)),0,VLOOKUP($S$374,'TAR FIN'!$A$1:$O$113,15,0))</f>
        <v>0</v>
      </c>
      <c r="W374" s="6">
        <f>IF(ISERROR(VLOOKUP($T$374,'TAR FIN'!$A$1:$O$113,15,0)),0,VLOOKUP($T$374,'TAR FIN'!$A$1:$O$113,15,0))</f>
        <v>72.150000000000006</v>
      </c>
      <c r="X374" s="6">
        <f>IF(ISERROR(VLOOKUP($U$374,'TAR FIN'!$A$1:$O$113,15,0)),0,VLOOKUP($U$374,'TAR FIN'!$A$1:$O$113,15,0))</f>
        <v>0</v>
      </c>
      <c r="Y374" s="6"/>
      <c r="Z374" s="6">
        <f ca="1">('TUSD BE'!$AM$21+'TUSD BF_350'!$AM$21+'TUSD CVA'!$AM$21)*1</f>
        <v>122.14055331663396</v>
      </c>
      <c r="AA374" s="6"/>
      <c r="AB374" s="6">
        <f>$K$374*$V$374</f>
        <v>0</v>
      </c>
      <c r="AC374" s="6">
        <f>$M$374*$W$374</f>
        <v>50009.257350000007</v>
      </c>
      <c r="AD374" s="6">
        <f>$O$374*$X$374</f>
        <v>0</v>
      </c>
      <c r="AE374" s="6">
        <f>$K$374*$Y$374</f>
        <v>0</v>
      </c>
      <c r="AF374" s="6">
        <f ca="1">$M$374*$Z$374</f>
        <v>84659.159579805186</v>
      </c>
      <c r="AG374" s="6">
        <f>$O$374*$AA$374</f>
        <v>0</v>
      </c>
    </row>
    <row r="375" spans="1:33" ht="11.25" customHeight="1" x14ac:dyDescent="0.3">
      <c r="A375" s="4" t="s">
        <v>21</v>
      </c>
      <c r="B375" s="4" t="s">
        <v>39</v>
      </c>
      <c r="C375" s="4" t="s">
        <v>41</v>
      </c>
      <c r="D375" s="4" t="s">
        <v>38</v>
      </c>
      <c r="E375" s="4" t="s">
        <v>25</v>
      </c>
      <c r="F375" s="4" t="s">
        <v>25</v>
      </c>
      <c r="G375" s="4" t="s">
        <v>25</v>
      </c>
      <c r="H375" s="4" t="s">
        <v>35</v>
      </c>
      <c r="I375" s="5">
        <v>44743</v>
      </c>
      <c r="J375" s="6">
        <v>0</v>
      </c>
      <c r="K375" s="6">
        <v>0</v>
      </c>
      <c r="L375" s="6">
        <v>1802.39</v>
      </c>
      <c r="M375" s="6">
        <v>1802.39</v>
      </c>
      <c r="N375" s="6">
        <v>1802.39</v>
      </c>
      <c r="O375" s="6">
        <v>1802.39</v>
      </c>
      <c r="P375" s="6">
        <v>0</v>
      </c>
      <c r="Q375" s="4" t="s">
        <v>26</v>
      </c>
      <c r="R375" s="4">
        <v>0</v>
      </c>
      <c r="S375" s="6">
        <v>0</v>
      </c>
      <c r="T375" s="6">
        <v>6</v>
      </c>
      <c r="U375" s="6">
        <v>61</v>
      </c>
      <c r="V375" s="6">
        <f>IF(ISERROR(VLOOKUP($S$375,'TAR FIN'!$A$1:$O$113,15,0)),0,VLOOKUP($S$375,'TAR FIN'!$A$1:$O$113,15,0))</f>
        <v>0</v>
      </c>
      <c r="W375" s="6">
        <f>IF(ISERROR(VLOOKUP($T$375,'TAR FIN'!$A$1:$O$113,15,0)),0,VLOOKUP($T$375,'TAR FIN'!$A$1:$O$113,15,0))</f>
        <v>72.150000000000006</v>
      </c>
      <c r="X375" s="6">
        <f>IF(ISERROR(VLOOKUP($U$375,'TAR FIN'!$A$1:$O$113,15,0)),0,VLOOKUP($U$375,'TAR FIN'!$A$1:$O$113,15,0))</f>
        <v>278.67</v>
      </c>
      <c r="Y375" s="6"/>
      <c r="Z375" s="6">
        <f ca="1">('TUSD BE'!$AM$21+'TUSD BF_350'!$AM$21+'TUSD CVA'!$AM$21)*1</f>
        <v>122.14055331663396</v>
      </c>
      <c r="AA375" s="6">
        <f ca="1">('TE BE'!$AB$10+'TE BF_350'!$AB$10+'TE CVA'!$AB$10)*1</f>
        <v>231.69</v>
      </c>
      <c r="AB375" s="6">
        <f>$K$375*$V$375</f>
        <v>0</v>
      </c>
      <c r="AC375" s="6">
        <f>$M$375*$W$375</f>
        <v>130042.43850000002</v>
      </c>
      <c r="AD375" s="6">
        <f>$O$375*$X$375</f>
        <v>502272.02130000008</v>
      </c>
      <c r="AE375" s="6">
        <f>$K$375*$Y$375</f>
        <v>0</v>
      </c>
      <c r="AF375" s="6">
        <f ca="1">$M$375*$Z$375</f>
        <v>220144.91189236788</v>
      </c>
      <c r="AG375" s="6">
        <f ca="1">$O$375*$AA$375</f>
        <v>417595.73910000001</v>
      </c>
    </row>
    <row r="376" spans="1:33" ht="11.25" customHeight="1" x14ac:dyDescent="0.3">
      <c r="A376" s="4" t="s">
        <v>21</v>
      </c>
      <c r="B376" s="4" t="s">
        <v>39</v>
      </c>
      <c r="C376" s="4" t="s">
        <v>41</v>
      </c>
      <c r="D376" s="4" t="s">
        <v>38</v>
      </c>
      <c r="E376" s="4" t="s">
        <v>25</v>
      </c>
      <c r="F376" s="4" t="s">
        <v>25</v>
      </c>
      <c r="G376" s="4" t="s">
        <v>25</v>
      </c>
      <c r="H376" s="4" t="s">
        <v>35</v>
      </c>
      <c r="I376" s="5">
        <v>44743</v>
      </c>
      <c r="J376" s="6">
        <v>0</v>
      </c>
      <c r="K376" s="6">
        <v>0</v>
      </c>
      <c r="L376" s="6">
        <v>454.67399999999998</v>
      </c>
      <c r="M376" s="6">
        <v>454.67399999999998</v>
      </c>
      <c r="N376" s="6">
        <v>0</v>
      </c>
      <c r="O376" s="6">
        <v>0</v>
      </c>
      <c r="P376" s="6">
        <v>0</v>
      </c>
      <c r="Q376" s="4" t="s">
        <v>55</v>
      </c>
      <c r="R376" s="4">
        <v>0</v>
      </c>
      <c r="S376" s="6">
        <v>0</v>
      </c>
      <c r="T376" s="6">
        <v>6</v>
      </c>
      <c r="U376" s="6">
        <v>0</v>
      </c>
      <c r="V376" s="6">
        <f>IF(ISERROR(VLOOKUP($S$376,'TAR FIN'!$A$1:$O$113,15,0)),0,VLOOKUP($S$376,'TAR FIN'!$A$1:$O$113,15,0))</f>
        <v>0</v>
      </c>
      <c r="W376" s="6">
        <f>IF(ISERROR(VLOOKUP($T$376,'TAR FIN'!$A$1:$O$113,15,0)),0,VLOOKUP($T$376,'TAR FIN'!$A$1:$O$113,15,0))</f>
        <v>72.150000000000006</v>
      </c>
      <c r="X376" s="6">
        <f>IF(ISERROR(VLOOKUP($U$376,'TAR FIN'!$A$1:$O$113,15,0)),0,VLOOKUP($U$376,'TAR FIN'!$A$1:$O$113,15,0))</f>
        <v>0</v>
      </c>
      <c r="Y376" s="6"/>
      <c r="Z376" s="6">
        <f ca="1">('TUSD BE'!$AM$21+'TUSD BF_350'!$AM$21+'TUSD CVA'!$AM$21)*1</f>
        <v>122.14055331663396</v>
      </c>
      <c r="AA376" s="6"/>
      <c r="AB376" s="6">
        <f>$K$376*$V$376</f>
        <v>0</v>
      </c>
      <c r="AC376" s="6">
        <f>$M$376*$W$376</f>
        <v>32804.729100000004</v>
      </c>
      <c r="AD376" s="6">
        <f>$O$376*$X$376</f>
        <v>0</v>
      </c>
      <c r="AE376" s="6">
        <f>$K$376*$Y$376</f>
        <v>0</v>
      </c>
      <c r="AF376" s="6">
        <f ca="1">$M$376*$Z$376</f>
        <v>55534.133938687228</v>
      </c>
      <c r="AG376" s="6">
        <f>$O$376*$AA$376</f>
        <v>0</v>
      </c>
    </row>
    <row r="377" spans="1:33" ht="11.25" customHeight="1" x14ac:dyDescent="0.3">
      <c r="A377" s="4" t="s">
        <v>21</v>
      </c>
      <c r="B377" s="4" t="s">
        <v>39</v>
      </c>
      <c r="C377" s="4" t="s">
        <v>41</v>
      </c>
      <c r="D377" s="4" t="s">
        <v>38</v>
      </c>
      <c r="E377" s="4" t="s">
        <v>25</v>
      </c>
      <c r="F377" s="4" t="s">
        <v>25</v>
      </c>
      <c r="G377" s="4" t="s">
        <v>25</v>
      </c>
      <c r="H377" s="4" t="s">
        <v>35</v>
      </c>
      <c r="I377" s="5">
        <v>44774</v>
      </c>
      <c r="J377" s="6">
        <v>0</v>
      </c>
      <c r="K377" s="6">
        <v>0</v>
      </c>
      <c r="L377" s="6">
        <v>1938.971</v>
      </c>
      <c r="M377" s="6">
        <v>1938.971</v>
      </c>
      <c r="N377" s="6">
        <v>1938.971</v>
      </c>
      <c r="O377" s="6">
        <v>1938.971</v>
      </c>
      <c r="P377" s="6">
        <v>0</v>
      </c>
      <c r="Q377" s="4" t="s">
        <v>26</v>
      </c>
      <c r="R377" s="4">
        <v>0</v>
      </c>
      <c r="S377" s="6">
        <v>0</v>
      </c>
      <c r="T377" s="6">
        <v>6</v>
      </c>
      <c r="U377" s="6">
        <v>61</v>
      </c>
      <c r="V377" s="6">
        <f>IF(ISERROR(VLOOKUP($S$377,'TAR FIN'!$A$1:$O$113,15,0)),0,VLOOKUP($S$377,'TAR FIN'!$A$1:$O$113,15,0))</f>
        <v>0</v>
      </c>
      <c r="W377" s="6">
        <f>IF(ISERROR(VLOOKUP($T$377,'TAR FIN'!$A$1:$O$113,15,0)),0,VLOOKUP($T$377,'TAR FIN'!$A$1:$O$113,15,0))</f>
        <v>72.150000000000006</v>
      </c>
      <c r="X377" s="6">
        <f>IF(ISERROR(VLOOKUP($U$377,'TAR FIN'!$A$1:$O$113,15,0)),0,VLOOKUP($U$377,'TAR FIN'!$A$1:$O$113,15,0))</f>
        <v>278.67</v>
      </c>
      <c r="Y377" s="6"/>
      <c r="Z377" s="6">
        <f ca="1">('TUSD BE'!$AM$21+'TUSD BF_350'!$AM$21+'TUSD CVA'!$AM$21)*1</f>
        <v>122.14055331663396</v>
      </c>
      <c r="AA377" s="6">
        <f ca="1">('TE BE'!$AB$10+'TE BF_350'!$AB$10+'TE CVA'!$AB$10)*1</f>
        <v>231.69</v>
      </c>
      <c r="AB377" s="6">
        <f>$K$377*$V$377</f>
        <v>0</v>
      </c>
      <c r="AC377" s="6">
        <f>$M$377*$W$377</f>
        <v>139896.75765000001</v>
      </c>
      <c r="AD377" s="6">
        <f>$O$377*$X$377</f>
        <v>540333.04856999998</v>
      </c>
      <c r="AE377" s="6">
        <f>$K$377*$Y$377</f>
        <v>0</v>
      </c>
      <c r="AF377" s="6">
        <f ca="1">$M$377*$Z$377</f>
        <v>236826.99080490705</v>
      </c>
      <c r="AG377" s="6">
        <f ca="1">$O$377*$AA$377</f>
        <v>449240.19098999997</v>
      </c>
    </row>
    <row r="378" spans="1:33" ht="11.25" customHeight="1" x14ac:dyDescent="0.3">
      <c r="A378" s="4" t="s">
        <v>27</v>
      </c>
      <c r="B378" s="4" t="s">
        <v>39</v>
      </c>
      <c r="C378" s="4" t="s">
        <v>41</v>
      </c>
      <c r="D378" s="4" t="s">
        <v>38</v>
      </c>
      <c r="E378" s="4" t="s">
        <v>25</v>
      </c>
      <c r="F378" s="4" t="s">
        <v>25</v>
      </c>
      <c r="G378" s="4" t="s">
        <v>25</v>
      </c>
      <c r="H378" s="4" t="s">
        <v>35</v>
      </c>
      <c r="I378" s="5">
        <v>44774</v>
      </c>
      <c r="J378" s="6">
        <v>0</v>
      </c>
      <c r="K378" s="6">
        <v>0</v>
      </c>
      <c r="L378" s="6">
        <v>9.6170000000000009</v>
      </c>
      <c r="M378" s="6">
        <v>9.6170000000000009</v>
      </c>
      <c r="N378" s="6">
        <v>9.6170000000000009</v>
      </c>
      <c r="O378" s="6">
        <v>9.6170000000000009</v>
      </c>
      <c r="P378" s="6">
        <v>0</v>
      </c>
      <c r="Q378" s="4" t="s">
        <v>26</v>
      </c>
      <c r="R378" s="4">
        <v>0</v>
      </c>
      <c r="S378" s="6">
        <v>0</v>
      </c>
      <c r="T378" s="6">
        <v>6</v>
      </c>
      <c r="U378" s="6">
        <v>61</v>
      </c>
      <c r="V378" s="6">
        <f>IF(ISERROR(VLOOKUP($S$378,'TAR FIN'!$A$1:$O$113,15,0)),0,VLOOKUP($S$378,'TAR FIN'!$A$1:$O$113,15,0))</f>
        <v>0</v>
      </c>
      <c r="W378" s="6">
        <f>IF(ISERROR(VLOOKUP($T$378,'TAR FIN'!$A$1:$O$113,15,0)),0,VLOOKUP($T$378,'TAR FIN'!$A$1:$O$113,15,0))</f>
        <v>72.150000000000006</v>
      </c>
      <c r="X378" s="6">
        <f>IF(ISERROR(VLOOKUP($U$378,'TAR FIN'!$A$1:$O$113,15,0)),0,VLOOKUP($U$378,'TAR FIN'!$A$1:$O$113,15,0))</f>
        <v>278.67</v>
      </c>
      <c r="Y378" s="6"/>
      <c r="Z378" s="6">
        <f ca="1">('TUSD BE'!$AM$21+'TUSD BF_350'!$AM$21+'TUSD CVA'!$AM$21)*1</f>
        <v>122.14055331663396</v>
      </c>
      <c r="AA378" s="6">
        <f ca="1">('TE BE'!$AB$10+'TE BF_350'!$AB$10+'TE CVA'!$AB$10)*1</f>
        <v>231.69</v>
      </c>
      <c r="AB378" s="6">
        <f>$K$378*$V$378</f>
        <v>0</v>
      </c>
      <c r="AC378" s="6">
        <f>$M$378*$W$378</f>
        <v>693.86655000000007</v>
      </c>
      <c r="AD378" s="6">
        <f>$O$378*$X$378</f>
        <v>2679.9693900000002</v>
      </c>
      <c r="AE378" s="6">
        <f>$K$378*$Y$378</f>
        <v>0</v>
      </c>
      <c r="AF378" s="6">
        <f ca="1">$M$378*$Z$378</f>
        <v>1174.625701246069</v>
      </c>
      <c r="AG378" s="6">
        <f ca="1">$O$378*$AA$378</f>
        <v>2228.16273</v>
      </c>
    </row>
    <row r="379" spans="1:33" ht="11.25" customHeight="1" x14ac:dyDescent="0.3">
      <c r="A379" s="4" t="s">
        <v>28</v>
      </c>
      <c r="B379" s="4" t="s">
        <v>39</v>
      </c>
      <c r="C379" s="4" t="s">
        <v>41</v>
      </c>
      <c r="D379" s="4" t="s">
        <v>38</v>
      </c>
      <c r="E379" s="4" t="s">
        <v>25</v>
      </c>
      <c r="F379" s="4" t="s">
        <v>25</v>
      </c>
      <c r="G379" s="4" t="s">
        <v>25</v>
      </c>
      <c r="H379" s="4" t="s">
        <v>35</v>
      </c>
      <c r="I379" s="5">
        <v>44774</v>
      </c>
      <c r="J379" s="6">
        <v>0</v>
      </c>
      <c r="K379" s="6">
        <v>0</v>
      </c>
      <c r="L379" s="6">
        <v>16.373999999999999</v>
      </c>
      <c r="M379" s="6">
        <v>16.373999999999999</v>
      </c>
      <c r="N379" s="6">
        <v>16.373999999999999</v>
      </c>
      <c r="O379" s="6">
        <v>16.373999999999999</v>
      </c>
      <c r="P379" s="6">
        <v>0</v>
      </c>
      <c r="Q379" s="4" t="s">
        <v>26</v>
      </c>
      <c r="R379" s="4">
        <v>0</v>
      </c>
      <c r="S379" s="6">
        <v>0</v>
      </c>
      <c r="T379" s="6">
        <v>6</v>
      </c>
      <c r="U379" s="6">
        <v>61</v>
      </c>
      <c r="V379" s="6">
        <f>IF(ISERROR(VLOOKUP($S$379,'TAR FIN'!$A$1:$O$113,15,0)),0,VLOOKUP($S$379,'TAR FIN'!$A$1:$O$113,15,0))</f>
        <v>0</v>
      </c>
      <c r="W379" s="6">
        <f>IF(ISERROR(VLOOKUP($T$379,'TAR FIN'!$A$1:$O$113,15,0)),0,VLOOKUP($T$379,'TAR FIN'!$A$1:$O$113,15,0))</f>
        <v>72.150000000000006</v>
      </c>
      <c r="X379" s="6">
        <f>IF(ISERROR(VLOOKUP($U$379,'TAR FIN'!$A$1:$O$113,15,0)),0,VLOOKUP($U$379,'TAR FIN'!$A$1:$O$113,15,0))</f>
        <v>278.67</v>
      </c>
      <c r="Y379" s="6"/>
      <c r="Z379" s="6">
        <f ca="1">('TUSD BE'!$AM$21+'TUSD BF_350'!$AM$21+'TUSD CVA'!$AM$21)*1</f>
        <v>122.14055331663396</v>
      </c>
      <c r="AA379" s="6">
        <f ca="1">('TE BE'!$AB$10+'TE BF_350'!$AB$10+'TE CVA'!$AB$10)*1</f>
        <v>231.69</v>
      </c>
      <c r="AB379" s="6">
        <f>$K$379*$V$379</f>
        <v>0</v>
      </c>
      <c r="AC379" s="6">
        <f>$M$379*$W$379</f>
        <v>1181.3841</v>
      </c>
      <c r="AD379" s="6">
        <f>$O$379*$X$379</f>
        <v>4562.9425799999999</v>
      </c>
      <c r="AE379" s="6">
        <f>$K$379*$Y$379</f>
        <v>0</v>
      </c>
      <c r="AF379" s="6">
        <f ca="1">$M$379*$Z$379</f>
        <v>1999.9294200065642</v>
      </c>
      <c r="AG379" s="6">
        <f ca="1">$O$379*$AA$379</f>
        <v>3793.6920599999999</v>
      </c>
    </row>
    <row r="380" spans="1:33" ht="11.25" customHeight="1" x14ac:dyDescent="0.3">
      <c r="A380" s="4" t="s">
        <v>21</v>
      </c>
      <c r="B380" s="4" t="s">
        <v>39</v>
      </c>
      <c r="C380" s="4" t="s">
        <v>41</v>
      </c>
      <c r="D380" s="4" t="s">
        <v>38</v>
      </c>
      <c r="E380" s="4" t="s">
        <v>25</v>
      </c>
      <c r="F380" s="4" t="s">
        <v>25</v>
      </c>
      <c r="G380" s="4" t="s">
        <v>25</v>
      </c>
      <c r="H380" s="4" t="s">
        <v>35</v>
      </c>
      <c r="I380" s="5">
        <v>44774</v>
      </c>
      <c r="J380" s="6">
        <v>0</v>
      </c>
      <c r="K380" s="6">
        <v>0</v>
      </c>
      <c r="L380" s="6">
        <v>660.92499999999995</v>
      </c>
      <c r="M380" s="6">
        <v>660.92499999999995</v>
      </c>
      <c r="N380" s="6">
        <v>0</v>
      </c>
      <c r="O380" s="6">
        <v>0</v>
      </c>
      <c r="P380" s="6">
        <v>0</v>
      </c>
      <c r="Q380" s="4" t="s">
        <v>55</v>
      </c>
      <c r="R380" s="4">
        <v>0</v>
      </c>
      <c r="S380" s="6">
        <v>0</v>
      </c>
      <c r="T380" s="6">
        <v>6</v>
      </c>
      <c r="U380" s="6">
        <v>0</v>
      </c>
      <c r="V380" s="6">
        <f>IF(ISERROR(VLOOKUP($S$380,'TAR FIN'!$A$1:$O$113,15,0)),0,VLOOKUP($S$380,'TAR FIN'!$A$1:$O$113,15,0))</f>
        <v>0</v>
      </c>
      <c r="W380" s="6">
        <f>IF(ISERROR(VLOOKUP($T$380,'TAR FIN'!$A$1:$O$113,15,0)),0,VLOOKUP($T$380,'TAR FIN'!$A$1:$O$113,15,0))</f>
        <v>72.150000000000006</v>
      </c>
      <c r="X380" s="6">
        <f>IF(ISERROR(VLOOKUP($U$380,'TAR FIN'!$A$1:$O$113,15,0)),0,VLOOKUP($U$380,'TAR FIN'!$A$1:$O$113,15,0))</f>
        <v>0</v>
      </c>
      <c r="Y380" s="6"/>
      <c r="Z380" s="6">
        <f ca="1">('TUSD BE'!$AM$21+'TUSD BF_350'!$AM$21+'TUSD CVA'!$AM$21)*1</f>
        <v>122.14055331663396</v>
      </c>
      <c r="AA380" s="6"/>
      <c r="AB380" s="6">
        <f>$K$380*$V$380</f>
        <v>0</v>
      </c>
      <c r="AC380" s="6">
        <f>$M$380*$W$380</f>
        <v>47685.738750000004</v>
      </c>
      <c r="AD380" s="6">
        <f>$O$380*$X$380</f>
        <v>0</v>
      </c>
      <c r="AE380" s="6">
        <f>$K$380*$Y$380</f>
        <v>0</v>
      </c>
      <c r="AF380" s="6">
        <f ca="1">$M$380*$Z$380</f>
        <v>80725.745200796286</v>
      </c>
      <c r="AG380" s="6">
        <f>$O$380*$AA$380</f>
        <v>0</v>
      </c>
    </row>
    <row r="381" spans="1:33" ht="11.25" customHeight="1" x14ac:dyDescent="0.3">
      <c r="A381" s="4" t="s">
        <v>21</v>
      </c>
      <c r="B381" s="4" t="s">
        <v>39</v>
      </c>
      <c r="C381" s="4" t="s">
        <v>41</v>
      </c>
      <c r="D381" s="4" t="s">
        <v>38</v>
      </c>
      <c r="E381" s="4" t="s">
        <v>25</v>
      </c>
      <c r="F381" s="4" t="s">
        <v>25</v>
      </c>
      <c r="G381" s="4" t="s">
        <v>25</v>
      </c>
      <c r="H381" s="4" t="s">
        <v>35</v>
      </c>
      <c r="I381" s="5">
        <v>44805</v>
      </c>
      <c r="J381" s="6">
        <v>0</v>
      </c>
      <c r="K381" s="6">
        <v>0</v>
      </c>
      <c r="L381" s="6">
        <v>2059.8589999999999</v>
      </c>
      <c r="M381" s="6">
        <v>2059.8589999999999</v>
      </c>
      <c r="N381" s="6">
        <v>2059.8589999999999</v>
      </c>
      <c r="O381" s="6">
        <v>2059.8589999999999</v>
      </c>
      <c r="P381" s="6">
        <v>0</v>
      </c>
      <c r="Q381" s="4" t="s">
        <v>26</v>
      </c>
      <c r="R381" s="4">
        <v>0</v>
      </c>
      <c r="S381" s="6">
        <v>0</v>
      </c>
      <c r="T381" s="6">
        <v>6</v>
      </c>
      <c r="U381" s="6">
        <v>61</v>
      </c>
      <c r="V381" s="6">
        <f>IF(ISERROR(VLOOKUP($S$381,'TAR FIN'!$A$1:$O$113,15,0)),0,VLOOKUP($S$381,'TAR FIN'!$A$1:$O$113,15,0))</f>
        <v>0</v>
      </c>
      <c r="W381" s="6">
        <f>IF(ISERROR(VLOOKUP($T$381,'TAR FIN'!$A$1:$O$113,15,0)),0,VLOOKUP($T$381,'TAR FIN'!$A$1:$O$113,15,0))</f>
        <v>72.150000000000006</v>
      </c>
      <c r="X381" s="6">
        <f>IF(ISERROR(VLOOKUP($U$381,'TAR FIN'!$A$1:$O$113,15,0)),0,VLOOKUP($U$381,'TAR FIN'!$A$1:$O$113,15,0))</f>
        <v>278.67</v>
      </c>
      <c r="Y381" s="6"/>
      <c r="Z381" s="6">
        <f ca="1">('TUSD BE'!$AM$21+'TUSD BF_350'!$AM$21+'TUSD CVA'!$AM$21)*1</f>
        <v>122.14055331663396</v>
      </c>
      <c r="AA381" s="6">
        <f ca="1">('TE BE'!$AB$10+'TE BF_350'!$AB$10+'TE CVA'!$AB$10)*1</f>
        <v>231.69</v>
      </c>
      <c r="AB381" s="6">
        <f>$K$381*$V$381</f>
        <v>0</v>
      </c>
      <c r="AC381" s="6">
        <f>$M$381*$W$381</f>
        <v>148618.82685000001</v>
      </c>
      <c r="AD381" s="6">
        <f>$O$381*$X$381</f>
        <v>574020.90752999997</v>
      </c>
      <c r="AE381" s="6">
        <f>$K$381*$Y$381</f>
        <v>0</v>
      </c>
      <c r="AF381" s="6">
        <f ca="1">$M$381*$Z$381</f>
        <v>251592.3180142483</v>
      </c>
      <c r="AG381" s="6">
        <f ca="1">$O$381*$AA$381</f>
        <v>477248.73170999996</v>
      </c>
    </row>
    <row r="382" spans="1:33" ht="11.25" customHeight="1" x14ac:dyDescent="0.3">
      <c r="A382" s="4" t="s">
        <v>28</v>
      </c>
      <c r="B382" s="4" t="s">
        <v>39</v>
      </c>
      <c r="C382" s="4" t="s">
        <v>41</v>
      </c>
      <c r="D382" s="4" t="s">
        <v>38</v>
      </c>
      <c r="E382" s="4" t="s">
        <v>25</v>
      </c>
      <c r="F382" s="4" t="s">
        <v>25</v>
      </c>
      <c r="G382" s="4" t="s">
        <v>25</v>
      </c>
      <c r="H382" s="4" t="s">
        <v>35</v>
      </c>
      <c r="I382" s="5">
        <v>44805</v>
      </c>
      <c r="J382" s="6">
        <v>0</v>
      </c>
      <c r="K382" s="6">
        <v>0</v>
      </c>
      <c r="L382" s="6">
        <v>15.010999999999999</v>
      </c>
      <c r="M382" s="6">
        <v>15.010999999999999</v>
      </c>
      <c r="N382" s="6">
        <v>15.010999999999999</v>
      </c>
      <c r="O382" s="6">
        <v>15.010999999999999</v>
      </c>
      <c r="P382" s="6">
        <v>0</v>
      </c>
      <c r="Q382" s="4" t="s">
        <v>26</v>
      </c>
      <c r="R382" s="4">
        <v>0</v>
      </c>
      <c r="S382" s="6">
        <v>0</v>
      </c>
      <c r="T382" s="6">
        <v>6</v>
      </c>
      <c r="U382" s="6">
        <v>61</v>
      </c>
      <c r="V382" s="6">
        <f>IF(ISERROR(VLOOKUP($S$382,'TAR FIN'!$A$1:$O$113,15,0)),0,VLOOKUP($S$382,'TAR FIN'!$A$1:$O$113,15,0))</f>
        <v>0</v>
      </c>
      <c r="W382" s="6">
        <f>IF(ISERROR(VLOOKUP($T$382,'TAR FIN'!$A$1:$O$113,15,0)),0,VLOOKUP($T$382,'TAR FIN'!$A$1:$O$113,15,0))</f>
        <v>72.150000000000006</v>
      </c>
      <c r="X382" s="6">
        <f>IF(ISERROR(VLOOKUP($U$382,'TAR FIN'!$A$1:$O$113,15,0)),0,VLOOKUP($U$382,'TAR FIN'!$A$1:$O$113,15,0))</f>
        <v>278.67</v>
      </c>
      <c r="Y382" s="6"/>
      <c r="Z382" s="6">
        <f ca="1">('TUSD BE'!$AM$21+'TUSD BF_350'!$AM$21+'TUSD CVA'!$AM$21)*1</f>
        <v>122.14055331663396</v>
      </c>
      <c r="AA382" s="6">
        <f ca="1">('TE BE'!$AB$10+'TE BF_350'!$AB$10+'TE CVA'!$AB$10)*1</f>
        <v>231.69</v>
      </c>
      <c r="AB382" s="6">
        <f>$K$382*$V$382</f>
        <v>0</v>
      </c>
      <c r="AC382" s="6">
        <f>$M$382*$W$382</f>
        <v>1083.0436500000001</v>
      </c>
      <c r="AD382" s="6">
        <f>$O$382*$X$382</f>
        <v>4183.1153700000004</v>
      </c>
      <c r="AE382" s="6">
        <f>$K$382*$Y$382</f>
        <v>0</v>
      </c>
      <c r="AF382" s="6">
        <f ca="1">$M$382*$Z$382</f>
        <v>1833.4518458359921</v>
      </c>
      <c r="AG382" s="6">
        <f ca="1">$O$382*$AA$382</f>
        <v>3477.8985899999998</v>
      </c>
    </row>
    <row r="383" spans="1:33" ht="11.25" customHeight="1" x14ac:dyDescent="0.3">
      <c r="A383" s="4" t="s">
        <v>21</v>
      </c>
      <c r="B383" s="4" t="s">
        <v>39</v>
      </c>
      <c r="C383" s="4" t="s">
        <v>41</v>
      </c>
      <c r="D383" s="4" t="s">
        <v>38</v>
      </c>
      <c r="E383" s="4" t="s">
        <v>25</v>
      </c>
      <c r="F383" s="4" t="s">
        <v>25</v>
      </c>
      <c r="G383" s="4" t="s">
        <v>25</v>
      </c>
      <c r="H383" s="4" t="s">
        <v>35</v>
      </c>
      <c r="I383" s="5">
        <v>44805</v>
      </c>
      <c r="J383" s="6">
        <v>0</v>
      </c>
      <c r="K383" s="6">
        <v>0</v>
      </c>
      <c r="L383" s="6">
        <v>669.56600000000003</v>
      </c>
      <c r="M383" s="6">
        <v>669.56600000000003</v>
      </c>
      <c r="N383" s="6">
        <v>0</v>
      </c>
      <c r="O383" s="6">
        <v>0</v>
      </c>
      <c r="P383" s="6">
        <v>0</v>
      </c>
      <c r="Q383" s="4" t="s">
        <v>55</v>
      </c>
      <c r="R383" s="4">
        <v>0</v>
      </c>
      <c r="S383" s="6">
        <v>0</v>
      </c>
      <c r="T383" s="6">
        <v>6</v>
      </c>
      <c r="U383" s="6">
        <v>0</v>
      </c>
      <c r="V383" s="6">
        <f>IF(ISERROR(VLOOKUP($S$383,'TAR FIN'!$A$1:$O$113,15,0)),0,VLOOKUP($S$383,'TAR FIN'!$A$1:$O$113,15,0))</f>
        <v>0</v>
      </c>
      <c r="W383" s="6">
        <f>IF(ISERROR(VLOOKUP($T$383,'TAR FIN'!$A$1:$O$113,15,0)),0,VLOOKUP($T$383,'TAR FIN'!$A$1:$O$113,15,0))</f>
        <v>72.150000000000006</v>
      </c>
      <c r="X383" s="6">
        <f>IF(ISERROR(VLOOKUP($U$383,'TAR FIN'!$A$1:$O$113,15,0)),0,VLOOKUP($U$383,'TAR FIN'!$A$1:$O$113,15,0))</f>
        <v>0</v>
      </c>
      <c r="Y383" s="6"/>
      <c r="Z383" s="6">
        <f ca="1">('TUSD BE'!$AM$21+'TUSD BF_350'!$AM$21+'TUSD CVA'!$AM$21)*1</f>
        <v>122.14055331663396</v>
      </c>
      <c r="AA383" s="6"/>
      <c r="AB383" s="6">
        <f>$K$383*$V$383</f>
        <v>0</v>
      </c>
      <c r="AC383" s="6">
        <f>$M$383*$W$383</f>
        <v>48309.186900000008</v>
      </c>
      <c r="AD383" s="6">
        <f>$O$383*$X$383</f>
        <v>0</v>
      </c>
      <c r="AE383" s="6">
        <f>$K$383*$Y$383</f>
        <v>0</v>
      </c>
      <c r="AF383" s="6">
        <f ca="1">$M$383*$Z$383</f>
        <v>81781.16172200533</v>
      </c>
      <c r="AG383" s="6">
        <f>$O$383*$AA$383</f>
        <v>0</v>
      </c>
    </row>
    <row r="384" spans="1:33" ht="11.25" customHeight="1" x14ac:dyDescent="0.3">
      <c r="A384" s="4" t="s">
        <v>53</v>
      </c>
      <c r="B384" s="4" t="s">
        <v>39</v>
      </c>
      <c r="C384" s="4" t="s">
        <v>41</v>
      </c>
      <c r="D384" s="4" t="s">
        <v>38</v>
      </c>
      <c r="E384" s="4" t="s">
        <v>25</v>
      </c>
      <c r="F384" s="4" t="s">
        <v>25</v>
      </c>
      <c r="G384" s="4" t="s">
        <v>25</v>
      </c>
      <c r="H384" s="4" t="s">
        <v>35</v>
      </c>
      <c r="I384" s="5">
        <v>44835</v>
      </c>
      <c r="J384" s="6">
        <v>0</v>
      </c>
      <c r="K384" s="6">
        <v>0</v>
      </c>
      <c r="L384" s="6">
        <v>2059.8589999999999</v>
      </c>
      <c r="M384" s="6">
        <v>2059.8589999999999</v>
      </c>
      <c r="N384" s="6">
        <v>2059.8589999999999</v>
      </c>
      <c r="O384" s="6">
        <v>2059.8589999999999</v>
      </c>
      <c r="P384" s="6">
        <v>0</v>
      </c>
      <c r="Q384" s="4" t="s">
        <v>26</v>
      </c>
      <c r="R384" s="4">
        <v>0</v>
      </c>
      <c r="S384" s="6">
        <v>0</v>
      </c>
      <c r="T384" s="6">
        <v>6</v>
      </c>
      <c r="U384" s="6">
        <v>61</v>
      </c>
      <c r="V384" s="6">
        <f>IF(ISERROR(VLOOKUP($S$384,'TAR FIN'!$A$1:$O$113,15,0)),0,VLOOKUP($S$384,'TAR FIN'!$A$1:$O$113,15,0))</f>
        <v>0</v>
      </c>
      <c r="W384" s="6">
        <f>IF(ISERROR(VLOOKUP($T$384,'TAR FIN'!$A$1:$O$113,15,0)),0,VLOOKUP($T$384,'TAR FIN'!$A$1:$O$113,15,0))</f>
        <v>72.150000000000006</v>
      </c>
      <c r="X384" s="6">
        <f>IF(ISERROR(VLOOKUP($U$384,'TAR FIN'!$A$1:$O$113,15,0)),0,VLOOKUP($U$384,'TAR FIN'!$A$1:$O$113,15,0))</f>
        <v>278.67</v>
      </c>
      <c r="Y384" s="6"/>
      <c r="Z384" s="6">
        <f ca="1">('TUSD BE'!$AM$21+'TUSD BF_350'!$AM$21+'TUSD CVA'!$AM$21)*1</f>
        <v>122.14055331663396</v>
      </c>
      <c r="AA384" s="6">
        <f ca="1">('TE BE'!$AB$10+'TE BF_350'!$AB$10+'TE CVA'!$AB$10)*1</f>
        <v>231.69</v>
      </c>
      <c r="AB384" s="6">
        <f>$K$384*$V$384</f>
        <v>0</v>
      </c>
      <c r="AC384" s="6">
        <f>$M$384*$W$384</f>
        <v>148618.82685000001</v>
      </c>
      <c r="AD384" s="6">
        <f>$O$384*$X$384</f>
        <v>574020.90752999997</v>
      </c>
      <c r="AE384" s="6">
        <f>$K$384*$Y$384</f>
        <v>0</v>
      </c>
      <c r="AF384" s="6">
        <f ca="1">$M$384*$Z$384</f>
        <v>251592.3180142483</v>
      </c>
      <c r="AG384" s="6">
        <f ca="1">$O$384*$AA$384</f>
        <v>477248.73170999996</v>
      </c>
    </row>
    <row r="385" spans="1:33" ht="11.25" customHeight="1" x14ac:dyDescent="0.3">
      <c r="A385" s="4" t="s">
        <v>53</v>
      </c>
      <c r="B385" s="4" t="s">
        <v>39</v>
      </c>
      <c r="C385" s="4" t="s">
        <v>41</v>
      </c>
      <c r="D385" s="4" t="s">
        <v>38</v>
      </c>
      <c r="E385" s="4" t="s">
        <v>25</v>
      </c>
      <c r="F385" s="4" t="s">
        <v>25</v>
      </c>
      <c r="G385" s="4" t="s">
        <v>25</v>
      </c>
      <c r="H385" s="4" t="s">
        <v>35</v>
      </c>
      <c r="I385" s="5">
        <v>44835</v>
      </c>
      <c r="J385" s="6">
        <v>0</v>
      </c>
      <c r="K385" s="6">
        <v>0</v>
      </c>
      <c r="L385" s="6">
        <v>15.010999999999999</v>
      </c>
      <c r="M385" s="6">
        <v>15.010999999999999</v>
      </c>
      <c r="N385" s="6">
        <v>15.010999999999999</v>
      </c>
      <c r="O385" s="6">
        <v>15.010999999999999</v>
      </c>
      <c r="P385" s="6">
        <v>0</v>
      </c>
      <c r="Q385" s="4" t="s">
        <v>26</v>
      </c>
      <c r="R385" s="4">
        <v>0</v>
      </c>
      <c r="S385" s="6">
        <v>0</v>
      </c>
      <c r="T385" s="6">
        <v>6</v>
      </c>
      <c r="U385" s="6">
        <v>61</v>
      </c>
      <c r="V385" s="6">
        <f>IF(ISERROR(VLOOKUP($S$385,'TAR FIN'!$A$1:$O$113,15,0)),0,VLOOKUP($S$385,'TAR FIN'!$A$1:$O$113,15,0))</f>
        <v>0</v>
      </c>
      <c r="W385" s="6">
        <f>IF(ISERROR(VLOOKUP($T$385,'TAR FIN'!$A$1:$O$113,15,0)),0,VLOOKUP($T$385,'TAR FIN'!$A$1:$O$113,15,0))</f>
        <v>72.150000000000006</v>
      </c>
      <c r="X385" s="6">
        <f>IF(ISERROR(VLOOKUP($U$385,'TAR FIN'!$A$1:$O$113,15,0)),0,VLOOKUP($U$385,'TAR FIN'!$A$1:$O$113,15,0))</f>
        <v>278.67</v>
      </c>
      <c r="Y385" s="6"/>
      <c r="Z385" s="6">
        <f ca="1">('TUSD BE'!$AM$21+'TUSD BF_350'!$AM$21+'TUSD CVA'!$AM$21)*1</f>
        <v>122.14055331663396</v>
      </c>
      <c r="AA385" s="6">
        <f ca="1">('TE BE'!$AB$10+'TE BF_350'!$AB$10+'TE CVA'!$AB$10)*1</f>
        <v>231.69</v>
      </c>
      <c r="AB385" s="6">
        <f>$K$385*$V$385</f>
        <v>0</v>
      </c>
      <c r="AC385" s="6">
        <f>$M$385*$W$385</f>
        <v>1083.0436500000001</v>
      </c>
      <c r="AD385" s="6">
        <f>$O$385*$X$385</f>
        <v>4183.1153700000004</v>
      </c>
      <c r="AE385" s="6">
        <f>$K$385*$Y$385</f>
        <v>0</v>
      </c>
      <c r="AF385" s="6">
        <f ca="1">$M$385*$Z$385</f>
        <v>1833.4518458359921</v>
      </c>
      <c r="AG385" s="6">
        <f ca="1">$O$385*$AA$385</f>
        <v>3477.8985899999998</v>
      </c>
    </row>
    <row r="386" spans="1:33" ht="11.25" customHeight="1" x14ac:dyDescent="0.3">
      <c r="A386" s="4" t="s">
        <v>53</v>
      </c>
      <c r="B386" s="4" t="s">
        <v>39</v>
      </c>
      <c r="C386" s="4" t="s">
        <v>41</v>
      </c>
      <c r="D386" s="4" t="s">
        <v>38</v>
      </c>
      <c r="E386" s="4" t="s">
        <v>25</v>
      </c>
      <c r="F386" s="4" t="s">
        <v>25</v>
      </c>
      <c r="G386" s="4" t="s">
        <v>25</v>
      </c>
      <c r="H386" s="4" t="s">
        <v>35</v>
      </c>
      <c r="I386" s="5">
        <v>44835</v>
      </c>
      <c r="J386" s="6">
        <v>0</v>
      </c>
      <c r="K386" s="6">
        <v>0</v>
      </c>
      <c r="L386" s="6">
        <v>669.56600000000003</v>
      </c>
      <c r="M386" s="6">
        <v>669.56600000000003</v>
      </c>
      <c r="N386" s="6">
        <v>0</v>
      </c>
      <c r="O386" s="6">
        <v>0</v>
      </c>
      <c r="P386" s="6">
        <v>0</v>
      </c>
      <c r="Q386" s="4" t="s">
        <v>55</v>
      </c>
      <c r="R386" s="4">
        <v>0</v>
      </c>
      <c r="S386" s="6">
        <v>0</v>
      </c>
      <c r="T386" s="6">
        <v>6</v>
      </c>
      <c r="U386" s="6">
        <v>0</v>
      </c>
      <c r="V386" s="6">
        <f>IF(ISERROR(VLOOKUP($S$386,'TAR FIN'!$A$1:$O$113,15,0)),0,VLOOKUP($S$386,'TAR FIN'!$A$1:$O$113,15,0))</f>
        <v>0</v>
      </c>
      <c r="W386" s="6">
        <f>IF(ISERROR(VLOOKUP($T$386,'TAR FIN'!$A$1:$O$113,15,0)),0,VLOOKUP($T$386,'TAR FIN'!$A$1:$O$113,15,0))</f>
        <v>72.150000000000006</v>
      </c>
      <c r="X386" s="6">
        <f>IF(ISERROR(VLOOKUP($U$386,'TAR FIN'!$A$1:$O$113,15,0)),0,VLOOKUP($U$386,'TAR FIN'!$A$1:$O$113,15,0))</f>
        <v>0</v>
      </c>
      <c r="Y386" s="6"/>
      <c r="Z386" s="6">
        <f ca="1">('TUSD BE'!$AM$21+'TUSD BF_350'!$AM$21+'TUSD CVA'!$AM$21)*1</f>
        <v>122.14055331663396</v>
      </c>
      <c r="AA386" s="6"/>
      <c r="AB386" s="6">
        <f>$K$386*$V$386</f>
        <v>0</v>
      </c>
      <c r="AC386" s="6">
        <f>$M$386*$W$386</f>
        <v>48309.186900000008</v>
      </c>
      <c r="AD386" s="6">
        <f>$O$386*$X$386</f>
        <v>0</v>
      </c>
      <c r="AE386" s="6">
        <f>$K$386*$Y$386</f>
        <v>0</v>
      </c>
      <c r="AF386" s="6">
        <f ca="1">$M$386*$Z$386</f>
        <v>81781.16172200533</v>
      </c>
      <c r="AG386" s="6">
        <f>$O$386*$AA$386</f>
        <v>0</v>
      </c>
    </row>
    <row r="387" spans="1:33" ht="11.25" customHeight="1" x14ac:dyDescent="0.3">
      <c r="A387" s="4" t="s">
        <v>21</v>
      </c>
      <c r="B387" s="4" t="s">
        <v>39</v>
      </c>
      <c r="C387" s="4" t="s">
        <v>41</v>
      </c>
      <c r="D387" s="4" t="s">
        <v>38</v>
      </c>
      <c r="E387" s="4" t="s">
        <v>25</v>
      </c>
      <c r="F387" s="4" t="s">
        <v>25</v>
      </c>
      <c r="G387" s="4" t="s">
        <v>25</v>
      </c>
      <c r="H387" s="4" t="s">
        <v>25</v>
      </c>
      <c r="I387" s="5">
        <v>44501</v>
      </c>
      <c r="J387" s="6">
        <v>9109</v>
      </c>
      <c r="K387" s="6">
        <v>9109</v>
      </c>
      <c r="L387" s="6">
        <v>0</v>
      </c>
      <c r="M387" s="6">
        <v>0</v>
      </c>
      <c r="N387" s="6">
        <v>0</v>
      </c>
      <c r="O387" s="6">
        <v>0</v>
      </c>
      <c r="P387" s="6">
        <v>39</v>
      </c>
      <c r="Q387" s="4" t="s">
        <v>26</v>
      </c>
      <c r="R387" s="4">
        <v>0</v>
      </c>
      <c r="S387" s="6">
        <v>20</v>
      </c>
      <c r="T387" s="6">
        <v>0</v>
      </c>
      <c r="U387" s="6">
        <v>0</v>
      </c>
      <c r="V387" s="6">
        <f>IF(ISERROR(VLOOKUP($S$387,'TAR FIN'!$A$1:$O$113,15,0)),0,VLOOKUP($S$387,'TAR FIN'!$A$1:$O$113,15,0))</f>
        <v>14</v>
      </c>
      <c r="W387" s="6">
        <f>IF(ISERROR(VLOOKUP($T$387,'TAR FIN'!$A$1:$O$113,15,0)),0,VLOOKUP($T$387,'TAR FIN'!$A$1:$O$113,15,0))</f>
        <v>0</v>
      </c>
      <c r="X387" s="6">
        <f>IF(ISERROR(VLOOKUP($U$387,'TAR FIN'!$A$1:$O$113,15,0)),0,VLOOKUP($U$387,'TAR FIN'!$A$1:$O$113,15,0))</f>
        <v>0</v>
      </c>
      <c r="Y387" s="6">
        <f ca="1">('TUSD BE'!$AM$19+'TUSD BF_350'!$AM$19+'TUSD CVA'!$AM$19)*1</f>
        <v>16.035953923331604</v>
      </c>
      <c r="Z387" s="6"/>
      <c r="AA387" s="6"/>
      <c r="AB387" s="6">
        <f>$K$387*$V$387</f>
        <v>127526</v>
      </c>
      <c r="AC387" s="6">
        <f>$M$387*$W$387</f>
        <v>0</v>
      </c>
      <c r="AD387" s="6">
        <f>$O$387*$X$387</f>
        <v>0</v>
      </c>
      <c r="AE387" s="6">
        <f ca="1">$K$387*$Y$387</f>
        <v>146071.50428762758</v>
      </c>
      <c r="AF387" s="6">
        <f>$M$387*$Z$387</f>
        <v>0</v>
      </c>
      <c r="AG387" s="6">
        <f>$O$387*$AA$387</f>
        <v>0</v>
      </c>
    </row>
    <row r="388" spans="1:33" ht="11.25" customHeight="1" x14ac:dyDescent="0.3">
      <c r="A388" s="4" t="s">
        <v>21</v>
      </c>
      <c r="B388" s="4" t="s">
        <v>39</v>
      </c>
      <c r="C388" s="4" t="s">
        <v>41</v>
      </c>
      <c r="D388" s="4" t="s">
        <v>38</v>
      </c>
      <c r="E388" s="4" t="s">
        <v>25</v>
      </c>
      <c r="F388" s="4" t="s">
        <v>25</v>
      </c>
      <c r="G388" s="4" t="s">
        <v>25</v>
      </c>
      <c r="H388" s="4" t="s">
        <v>25</v>
      </c>
      <c r="I388" s="5">
        <v>44501</v>
      </c>
      <c r="J388" s="6">
        <v>2000</v>
      </c>
      <c r="K388" s="6">
        <v>2000</v>
      </c>
      <c r="L388" s="6">
        <v>0</v>
      </c>
      <c r="M388" s="6">
        <v>0</v>
      </c>
      <c r="N388" s="6">
        <v>0</v>
      </c>
      <c r="O388" s="6">
        <v>0</v>
      </c>
      <c r="P388" s="6">
        <v>1</v>
      </c>
      <c r="Q388" s="4" t="s">
        <v>55</v>
      </c>
      <c r="R388" s="4">
        <v>0</v>
      </c>
      <c r="S388" s="6">
        <v>20</v>
      </c>
      <c r="T388" s="6">
        <v>0</v>
      </c>
      <c r="U388" s="6">
        <v>0</v>
      </c>
      <c r="V388" s="6">
        <f>IF(ISERROR(VLOOKUP($S$388,'TAR FIN'!$A$1:$O$113,15,0)),0,VLOOKUP($S$388,'TAR FIN'!$A$1:$O$113,15,0))</f>
        <v>14</v>
      </c>
      <c r="W388" s="6">
        <f>IF(ISERROR(VLOOKUP($T$388,'TAR FIN'!$A$1:$O$113,15,0)),0,VLOOKUP($T$388,'TAR FIN'!$A$1:$O$113,15,0))</f>
        <v>0</v>
      </c>
      <c r="X388" s="6">
        <f>IF(ISERROR(VLOOKUP($U$388,'TAR FIN'!$A$1:$O$113,15,0)),0,VLOOKUP($U$388,'TAR FIN'!$A$1:$O$113,15,0))</f>
        <v>0</v>
      </c>
      <c r="Y388" s="6">
        <f ca="1">('TUSD BE'!$AM$19+'TUSD BF_350'!$AM$19+'TUSD CVA'!$AM$19)*1</f>
        <v>16.035953923331604</v>
      </c>
      <c r="Z388" s="6"/>
      <c r="AA388" s="6"/>
      <c r="AB388" s="6">
        <f>$K$388*$V$388</f>
        <v>28000</v>
      </c>
      <c r="AC388" s="6">
        <f>$M$388*$W$388</f>
        <v>0</v>
      </c>
      <c r="AD388" s="6">
        <f>$O$388*$X$388</f>
        <v>0</v>
      </c>
      <c r="AE388" s="6">
        <f ca="1">$K$388*$Y$388</f>
        <v>32071.907846663209</v>
      </c>
      <c r="AF388" s="6">
        <f>$M$388*$Z$388</f>
        <v>0</v>
      </c>
      <c r="AG388" s="6">
        <f>$O$388*$AA$388</f>
        <v>0</v>
      </c>
    </row>
    <row r="389" spans="1:33" ht="11.25" customHeight="1" x14ac:dyDescent="0.3">
      <c r="A389" s="4" t="s">
        <v>21</v>
      </c>
      <c r="B389" s="4" t="s">
        <v>39</v>
      </c>
      <c r="C389" s="4" t="s">
        <v>41</v>
      </c>
      <c r="D389" s="4" t="s">
        <v>38</v>
      </c>
      <c r="E389" s="4" t="s">
        <v>25</v>
      </c>
      <c r="F389" s="4" t="s">
        <v>25</v>
      </c>
      <c r="G389" s="4" t="s">
        <v>25</v>
      </c>
      <c r="H389" s="4" t="s">
        <v>25</v>
      </c>
      <c r="I389" s="5">
        <v>44531</v>
      </c>
      <c r="J389" s="6">
        <v>9064</v>
      </c>
      <c r="K389" s="6">
        <v>9064</v>
      </c>
      <c r="L389" s="6">
        <v>0</v>
      </c>
      <c r="M389" s="6">
        <v>0</v>
      </c>
      <c r="N389" s="6">
        <v>0</v>
      </c>
      <c r="O389" s="6">
        <v>0</v>
      </c>
      <c r="P389" s="6">
        <v>39</v>
      </c>
      <c r="Q389" s="4" t="s">
        <v>26</v>
      </c>
      <c r="R389" s="4">
        <v>0</v>
      </c>
      <c r="S389" s="6">
        <v>20</v>
      </c>
      <c r="T389" s="6">
        <v>0</v>
      </c>
      <c r="U389" s="6">
        <v>0</v>
      </c>
      <c r="V389" s="6">
        <f>IF(ISERROR(VLOOKUP($S$389,'TAR FIN'!$A$1:$O$113,15,0)),0,VLOOKUP($S$389,'TAR FIN'!$A$1:$O$113,15,0))</f>
        <v>14</v>
      </c>
      <c r="W389" s="6">
        <f>IF(ISERROR(VLOOKUP($T$389,'TAR FIN'!$A$1:$O$113,15,0)),0,VLOOKUP($T$389,'TAR FIN'!$A$1:$O$113,15,0))</f>
        <v>0</v>
      </c>
      <c r="X389" s="6">
        <f>IF(ISERROR(VLOOKUP($U$389,'TAR FIN'!$A$1:$O$113,15,0)),0,VLOOKUP($U$389,'TAR FIN'!$A$1:$O$113,15,0))</f>
        <v>0</v>
      </c>
      <c r="Y389" s="6">
        <f ca="1">('TUSD BE'!$AM$19+'TUSD BF_350'!$AM$19+'TUSD CVA'!$AM$19)*1</f>
        <v>16.035953923331604</v>
      </c>
      <c r="Z389" s="6"/>
      <c r="AA389" s="6"/>
      <c r="AB389" s="6">
        <f>$K$389*$V$389</f>
        <v>126896</v>
      </c>
      <c r="AC389" s="6">
        <f>$M$389*$W$389</f>
        <v>0</v>
      </c>
      <c r="AD389" s="6">
        <f>$O$389*$X$389</f>
        <v>0</v>
      </c>
      <c r="AE389" s="6">
        <f ca="1">$K$389*$Y$389</f>
        <v>145349.88636107766</v>
      </c>
      <c r="AF389" s="6">
        <f>$M$389*$Z$389</f>
        <v>0</v>
      </c>
      <c r="AG389" s="6">
        <f>$O$389*$AA$389</f>
        <v>0</v>
      </c>
    </row>
    <row r="390" spans="1:33" ht="11.25" customHeight="1" x14ac:dyDescent="0.3">
      <c r="A390" s="4" t="s">
        <v>21</v>
      </c>
      <c r="B390" s="4" t="s">
        <v>39</v>
      </c>
      <c r="C390" s="4" t="s">
        <v>41</v>
      </c>
      <c r="D390" s="4" t="s">
        <v>38</v>
      </c>
      <c r="E390" s="4" t="s">
        <v>25</v>
      </c>
      <c r="F390" s="4" t="s">
        <v>25</v>
      </c>
      <c r="G390" s="4" t="s">
        <v>25</v>
      </c>
      <c r="H390" s="4" t="s">
        <v>25</v>
      </c>
      <c r="I390" s="5">
        <v>44531</v>
      </c>
      <c r="J390" s="6">
        <v>2000</v>
      </c>
      <c r="K390" s="6">
        <v>2000</v>
      </c>
      <c r="L390" s="6">
        <v>0</v>
      </c>
      <c r="M390" s="6">
        <v>0</v>
      </c>
      <c r="N390" s="6">
        <v>0</v>
      </c>
      <c r="O390" s="6">
        <v>0</v>
      </c>
      <c r="P390" s="6">
        <v>1</v>
      </c>
      <c r="Q390" s="4" t="s">
        <v>55</v>
      </c>
      <c r="R390" s="4">
        <v>0</v>
      </c>
      <c r="S390" s="6">
        <v>20</v>
      </c>
      <c r="T390" s="6">
        <v>0</v>
      </c>
      <c r="U390" s="6">
        <v>0</v>
      </c>
      <c r="V390" s="6">
        <f>IF(ISERROR(VLOOKUP($S$390,'TAR FIN'!$A$1:$O$113,15,0)),0,VLOOKUP($S$390,'TAR FIN'!$A$1:$O$113,15,0))</f>
        <v>14</v>
      </c>
      <c r="W390" s="6">
        <f>IF(ISERROR(VLOOKUP($T$390,'TAR FIN'!$A$1:$O$113,15,0)),0,VLOOKUP($T$390,'TAR FIN'!$A$1:$O$113,15,0))</f>
        <v>0</v>
      </c>
      <c r="X390" s="6">
        <f>IF(ISERROR(VLOOKUP($U$390,'TAR FIN'!$A$1:$O$113,15,0)),0,VLOOKUP($U$390,'TAR FIN'!$A$1:$O$113,15,0))</f>
        <v>0</v>
      </c>
      <c r="Y390" s="6">
        <f ca="1">('TUSD BE'!$AM$19+'TUSD BF_350'!$AM$19+'TUSD CVA'!$AM$19)*1</f>
        <v>16.035953923331604</v>
      </c>
      <c r="Z390" s="6"/>
      <c r="AA390" s="6"/>
      <c r="AB390" s="6">
        <f>$K$390*$V$390</f>
        <v>28000</v>
      </c>
      <c r="AC390" s="6">
        <f>$M$390*$W$390</f>
        <v>0</v>
      </c>
      <c r="AD390" s="6">
        <f>$O$390*$X$390</f>
        <v>0</v>
      </c>
      <c r="AE390" s="6">
        <f ca="1">$K$390*$Y$390</f>
        <v>32071.907846663209</v>
      </c>
      <c r="AF390" s="6">
        <f>$M$390*$Z$390</f>
        <v>0</v>
      </c>
      <c r="AG390" s="6">
        <f>$O$390*$AA$390</f>
        <v>0</v>
      </c>
    </row>
    <row r="391" spans="1:33" ht="11.25" customHeight="1" x14ac:dyDescent="0.3">
      <c r="A391" s="4" t="s">
        <v>21</v>
      </c>
      <c r="B391" s="4" t="s">
        <v>39</v>
      </c>
      <c r="C391" s="4" t="s">
        <v>41</v>
      </c>
      <c r="D391" s="4" t="s">
        <v>38</v>
      </c>
      <c r="E391" s="4" t="s">
        <v>25</v>
      </c>
      <c r="F391" s="4" t="s">
        <v>25</v>
      </c>
      <c r="G391" s="4" t="s">
        <v>25</v>
      </c>
      <c r="H391" s="4" t="s">
        <v>25</v>
      </c>
      <c r="I391" s="5">
        <v>44562</v>
      </c>
      <c r="J391" s="6">
        <v>8998</v>
      </c>
      <c r="K391" s="6">
        <v>8998</v>
      </c>
      <c r="L391" s="6">
        <v>0</v>
      </c>
      <c r="M391" s="6">
        <v>0</v>
      </c>
      <c r="N391" s="6">
        <v>0</v>
      </c>
      <c r="O391" s="6">
        <v>0</v>
      </c>
      <c r="P391" s="6">
        <v>39</v>
      </c>
      <c r="Q391" s="4" t="s">
        <v>26</v>
      </c>
      <c r="R391" s="4">
        <v>0</v>
      </c>
      <c r="S391" s="6">
        <v>20</v>
      </c>
      <c r="T391" s="6">
        <v>0</v>
      </c>
      <c r="U391" s="6">
        <v>0</v>
      </c>
      <c r="V391" s="6">
        <f>IF(ISERROR(VLOOKUP($S$391,'TAR FIN'!$A$1:$O$113,15,0)),0,VLOOKUP($S$391,'TAR FIN'!$A$1:$O$113,15,0))</f>
        <v>14</v>
      </c>
      <c r="W391" s="6">
        <f>IF(ISERROR(VLOOKUP($T$391,'TAR FIN'!$A$1:$O$113,15,0)),0,VLOOKUP($T$391,'TAR FIN'!$A$1:$O$113,15,0))</f>
        <v>0</v>
      </c>
      <c r="X391" s="6">
        <f>IF(ISERROR(VLOOKUP($U$391,'TAR FIN'!$A$1:$O$113,15,0)),0,VLOOKUP($U$391,'TAR FIN'!$A$1:$O$113,15,0))</f>
        <v>0</v>
      </c>
      <c r="Y391" s="6">
        <f ca="1">('TUSD BE'!$AM$19+'TUSD BF_350'!$AM$19+'TUSD CVA'!$AM$19)*1</f>
        <v>16.035953923331604</v>
      </c>
      <c r="Z391" s="6"/>
      <c r="AA391" s="6"/>
      <c r="AB391" s="6">
        <f>$K$391*$V$391</f>
        <v>125972</v>
      </c>
      <c r="AC391" s="6">
        <f>$M$391*$W$391</f>
        <v>0</v>
      </c>
      <c r="AD391" s="6">
        <f>$O$391*$X$391</f>
        <v>0</v>
      </c>
      <c r="AE391" s="6">
        <f ca="1">$K$391*$Y$391</f>
        <v>144291.51340213779</v>
      </c>
      <c r="AF391" s="6">
        <f>$M$391*$Z$391</f>
        <v>0</v>
      </c>
      <c r="AG391" s="6">
        <f>$O$391*$AA$391</f>
        <v>0</v>
      </c>
    </row>
    <row r="392" spans="1:33" ht="11.25" customHeight="1" x14ac:dyDescent="0.3">
      <c r="A392" s="4" t="s">
        <v>21</v>
      </c>
      <c r="B392" s="4" t="s">
        <v>39</v>
      </c>
      <c r="C392" s="4" t="s">
        <v>41</v>
      </c>
      <c r="D392" s="4" t="s">
        <v>38</v>
      </c>
      <c r="E392" s="4" t="s">
        <v>25</v>
      </c>
      <c r="F392" s="4" t="s">
        <v>25</v>
      </c>
      <c r="G392" s="4" t="s">
        <v>25</v>
      </c>
      <c r="H392" s="4" t="s">
        <v>25</v>
      </c>
      <c r="I392" s="5">
        <v>44562</v>
      </c>
      <c r="J392" s="6">
        <v>2000</v>
      </c>
      <c r="K392" s="6">
        <v>2000</v>
      </c>
      <c r="L392" s="6">
        <v>0</v>
      </c>
      <c r="M392" s="6">
        <v>0</v>
      </c>
      <c r="N392" s="6">
        <v>0</v>
      </c>
      <c r="O392" s="6">
        <v>0</v>
      </c>
      <c r="P392" s="6">
        <v>1</v>
      </c>
      <c r="Q392" s="4" t="s">
        <v>55</v>
      </c>
      <c r="R392" s="4">
        <v>0</v>
      </c>
      <c r="S392" s="6">
        <v>20</v>
      </c>
      <c r="T392" s="6">
        <v>0</v>
      </c>
      <c r="U392" s="6">
        <v>0</v>
      </c>
      <c r="V392" s="6">
        <f>IF(ISERROR(VLOOKUP($S$392,'TAR FIN'!$A$1:$O$113,15,0)),0,VLOOKUP($S$392,'TAR FIN'!$A$1:$O$113,15,0))</f>
        <v>14</v>
      </c>
      <c r="W392" s="6">
        <f>IF(ISERROR(VLOOKUP($T$392,'TAR FIN'!$A$1:$O$113,15,0)),0,VLOOKUP($T$392,'TAR FIN'!$A$1:$O$113,15,0))</f>
        <v>0</v>
      </c>
      <c r="X392" s="6">
        <f>IF(ISERROR(VLOOKUP($U$392,'TAR FIN'!$A$1:$O$113,15,0)),0,VLOOKUP($U$392,'TAR FIN'!$A$1:$O$113,15,0))</f>
        <v>0</v>
      </c>
      <c r="Y392" s="6">
        <f ca="1">('TUSD BE'!$AM$19+'TUSD BF_350'!$AM$19+'TUSD CVA'!$AM$19)*1</f>
        <v>16.035953923331604</v>
      </c>
      <c r="Z392" s="6"/>
      <c r="AA392" s="6"/>
      <c r="AB392" s="6">
        <f>$K$392*$V$392</f>
        <v>28000</v>
      </c>
      <c r="AC392" s="6">
        <f>$M$392*$W$392</f>
        <v>0</v>
      </c>
      <c r="AD392" s="6">
        <f>$O$392*$X$392</f>
        <v>0</v>
      </c>
      <c r="AE392" s="6">
        <f ca="1">$K$392*$Y$392</f>
        <v>32071.907846663209</v>
      </c>
      <c r="AF392" s="6">
        <f>$M$392*$Z$392</f>
        <v>0</v>
      </c>
      <c r="AG392" s="6">
        <f>$O$392*$AA$392</f>
        <v>0</v>
      </c>
    </row>
    <row r="393" spans="1:33" ht="11.25" customHeight="1" x14ac:dyDescent="0.3">
      <c r="A393" s="4" t="s">
        <v>21</v>
      </c>
      <c r="B393" s="4" t="s">
        <v>39</v>
      </c>
      <c r="C393" s="4" t="s">
        <v>41</v>
      </c>
      <c r="D393" s="4" t="s">
        <v>38</v>
      </c>
      <c r="E393" s="4" t="s">
        <v>25</v>
      </c>
      <c r="F393" s="4" t="s">
        <v>25</v>
      </c>
      <c r="G393" s="4" t="s">
        <v>25</v>
      </c>
      <c r="H393" s="4" t="s">
        <v>25</v>
      </c>
      <c r="I393" s="5">
        <v>44593</v>
      </c>
      <c r="J393" s="6">
        <v>8411</v>
      </c>
      <c r="K393" s="6">
        <v>8411</v>
      </c>
      <c r="L393" s="6">
        <v>0</v>
      </c>
      <c r="M393" s="6">
        <v>0</v>
      </c>
      <c r="N393" s="6">
        <v>0</v>
      </c>
      <c r="O393" s="6">
        <v>0</v>
      </c>
      <c r="P393" s="6">
        <v>37</v>
      </c>
      <c r="Q393" s="4" t="s">
        <v>26</v>
      </c>
      <c r="R393" s="4">
        <v>0</v>
      </c>
      <c r="S393" s="6">
        <v>20</v>
      </c>
      <c r="T393" s="6">
        <v>0</v>
      </c>
      <c r="U393" s="6">
        <v>0</v>
      </c>
      <c r="V393" s="6">
        <f>IF(ISERROR(VLOOKUP($S$393,'TAR FIN'!$A$1:$O$113,15,0)),0,VLOOKUP($S$393,'TAR FIN'!$A$1:$O$113,15,0))</f>
        <v>14</v>
      </c>
      <c r="W393" s="6">
        <f>IF(ISERROR(VLOOKUP($T$393,'TAR FIN'!$A$1:$O$113,15,0)),0,VLOOKUP($T$393,'TAR FIN'!$A$1:$O$113,15,0))</f>
        <v>0</v>
      </c>
      <c r="X393" s="6">
        <f>IF(ISERROR(VLOOKUP($U$393,'TAR FIN'!$A$1:$O$113,15,0)),0,VLOOKUP($U$393,'TAR FIN'!$A$1:$O$113,15,0))</f>
        <v>0</v>
      </c>
      <c r="Y393" s="6">
        <f ca="1">('TUSD BE'!$AM$19+'TUSD BF_350'!$AM$19+'TUSD CVA'!$AM$19)*1</f>
        <v>16.035953923331604</v>
      </c>
      <c r="Z393" s="6"/>
      <c r="AA393" s="6"/>
      <c r="AB393" s="6">
        <f>$K$393*$V$393</f>
        <v>117754</v>
      </c>
      <c r="AC393" s="6">
        <f>$M$393*$W$393</f>
        <v>0</v>
      </c>
      <c r="AD393" s="6">
        <f>$O$393*$X$393</f>
        <v>0</v>
      </c>
      <c r="AE393" s="6">
        <f ca="1">$K$393*$Y$393</f>
        <v>134878.40844914212</v>
      </c>
      <c r="AF393" s="6">
        <f>$M$393*$Z$393</f>
        <v>0</v>
      </c>
      <c r="AG393" s="6">
        <f>$O$393*$AA$393</f>
        <v>0</v>
      </c>
    </row>
    <row r="394" spans="1:33" ht="11.25" customHeight="1" x14ac:dyDescent="0.3">
      <c r="A394" s="4" t="s">
        <v>28</v>
      </c>
      <c r="B394" s="4" t="s">
        <v>39</v>
      </c>
      <c r="C394" s="4" t="s">
        <v>41</v>
      </c>
      <c r="D394" s="4" t="s">
        <v>38</v>
      </c>
      <c r="E394" s="4" t="s">
        <v>25</v>
      </c>
      <c r="F394" s="4" t="s">
        <v>25</v>
      </c>
      <c r="G394" s="4" t="s">
        <v>25</v>
      </c>
      <c r="H394" s="4" t="s">
        <v>25</v>
      </c>
      <c r="I394" s="5">
        <v>44593</v>
      </c>
      <c r="J394" s="6">
        <v>162</v>
      </c>
      <c r="K394" s="6">
        <v>162</v>
      </c>
      <c r="L394" s="6">
        <v>0</v>
      </c>
      <c r="M394" s="6">
        <v>0</v>
      </c>
      <c r="N394" s="6">
        <v>0</v>
      </c>
      <c r="O394" s="6">
        <v>0</v>
      </c>
      <c r="P394" s="6">
        <v>1</v>
      </c>
      <c r="Q394" s="4" t="s">
        <v>26</v>
      </c>
      <c r="R394" s="4">
        <v>0</v>
      </c>
      <c r="S394" s="6">
        <v>20</v>
      </c>
      <c r="T394" s="6">
        <v>0</v>
      </c>
      <c r="U394" s="6">
        <v>0</v>
      </c>
      <c r="V394" s="6">
        <f>IF(ISERROR(VLOOKUP($S$394,'TAR FIN'!$A$1:$O$113,15,0)),0,VLOOKUP($S$394,'TAR FIN'!$A$1:$O$113,15,0))</f>
        <v>14</v>
      </c>
      <c r="W394" s="6">
        <f>IF(ISERROR(VLOOKUP($T$394,'TAR FIN'!$A$1:$O$113,15,0)),0,VLOOKUP($T$394,'TAR FIN'!$A$1:$O$113,15,0))</f>
        <v>0</v>
      </c>
      <c r="X394" s="6">
        <f>IF(ISERROR(VLOOKUP($U$394,'TAR FIN'!$A$1:$O$113,15,0)),0,VLOOKUP($U$394,'TAR FIN'!$A$1:$O$113,15,0))</f>
        <v>0</v>
      </c>
      <c r="Y394" s="6">
        <f ca="1">('TUSD BE'!$AM$19+'TUSD BF_350'!$AM$19+'TUSD CVA'!$AM$19)*1</f>
        <v>16.035953923331604</v>
      </c>
      <c r="Z394" s="6"/>
      <c r="AA394" s="6"/>
      <c r="AB394" s="6">
        <f>$K$394*$V$394</f>
        <v>2268</v>
      </c>
      <c r="AC394" s="6">
        <f>$M$394*$W$394</f>
        <v>0</v>
      </c>
      <c r="AD394" s="6">
        <f>$O$394*$X$394</f>
        <v>0</v>
      </c>
      <c r="AE394" s="6">
        <f ca="1">$K$394*$Y$394</f>
        <v>2597.8245355797198</v>
      </c>
      <c r="AF394" s="6">
        <f>$M$394*$Z$394</f>
        <v>0</v>
      </c>
      <c r="AG394" s="6">
        <f>$O$394*$AA$394</f>
        <v>0</v>
      </c>
    </row>
    <row r="395" spans="1:33" ht="11.25" customHeight="1" x14ac:dyDescent="0.3">
      <c r="A395" s="4" t="s">
        <v>21</v>
      </c>
      <c r="B395" s="4" t="s">
        <v>39</v>
      </c>
      <c r="C395" s="4" t="s">
        <v>41</v>
      </c>
      <c r="D395" s="4" t="s">
        <v>38</v>
      </c>
      <c r="E395" s="4" t="s">
        <v>25</v>
      </c>
      <c r="F395" s="4" t="s">
        <v>25</v>
      </c>
      <c r="G395" s="4" t="s">
        <v>25</v>
      </c>
      <c r="H395" s="4" t="s">
        <v>25</v>
      </c>
      <c r="I395" s="5">
        <v>44593</v>
      </c>
      <c r="J395" s="6">
        <v>2000</v>
      </c>
      <c r="K395" s="6">
        <v>2000</v>
      </c>
      <c r="L395" s="6">
        <v>0</v>
      </c>
      <c r="M395" s="6">
        <v>0</v>
      </c>
      <c r="N395" s="6">
        <v>0</v>
      </c>
      <c r="O395" s="6">
        <v>0</v>
      </c>
      <c r="P395" s="6">
        <v>1</v>
      </c>
      <c r="Q395" s="4" t="s">
        <v>55</v>
      </c>
      <c r="R395" s="4">
        <v>0</v>
      </c>
      <c r="S395" s="6">
        <v>20</v>
      </c>
      <c r="T395" s="6">
        <v>0</v>
      </c>
      <c r="U395" s="6">
        <v>0</v>
      </c>
      <c r="V395" s="6">
        <f>IF(ISERROR(VLOOKUP($S$395,'TAR FIN'!$A$1:$O$113,15,0)),0,VLOOKUP($S$395,'TAR FIN'!$A$1:$O$113,15,0))</f>
        <v>14</v>
      </c>
      <c r="W395" s="6">
        <f>IF(ISERROR(VLOOKUP($T$395,'TAR FIN'!$A$1:$O$113,15,0)),0,VLOOKUP($T$395,'TAR FIN'!$A$1:$O$113,15,0))</f>
        <v>0</v>
      </c>
      <c r="X395" s="6">
        <f>IF(ISERROR(VLOOKUP($U$395,'TAR FIN'!$A$1:$O$113,15,0)),0,VLOOKUP($U$395,'TAR FIN'!$A$1:$O$113,15,0))</f>
        <v>0</v>
      </c>
      <c r="Y395" s="6">
        <f ca="1">('TUSD BE'!$AM$19+'TUSD BF_350'!$AM$19+'TUSD CVA'!$AM$19)*1</f>
        <v>16.035953923331604</v>
      </c>
      <c r="Z395" s="6"/>
      <c r="AA395" s="6"/>
      <c r="AB395" s="6">
        <f>$K$395*$V$395</f>
        <v>28000</v>
      </c>
      <c r="AC395" s="6">
        <f>$M$395*$W$395</f>
        <v>0</v>
      </c>
      <c r="AD395" s="6">
        <f>$O$395*$X$395</f>
        <v>0</v>
      </c>
      <c r="AE395" s="6">
        <f ca="1">$K$395*$Y$395</f>
        <v>32071.907846663209</v>
      </c>
      <c r="AF395" s="6">
        <f>$M$395*$Z$395</f>
        <v>0</v>
      </c>
      <c r="AG395" s="6">
        <f>$O$395*$AA$395</f>
        <v>0</v>
      </c>
    </row>
    <row r="396" spans="1:33" ht="11.25" customHeight="1" x14ac:dyDescent="0.3">
      <c r="A396" s="4" t="s">
        <v>21</v>
      </c>
      <c r="B396" s="4" t="s">
        <v>39</v>
      </c>
      <c r="C396" s="4" t="s">
        <v>41</v>
      </c>
      <c r="D396" s="4" t="s">
        <v>38</v>
      </c>
      <c r="E396" s="4" t="s">
        <v>25</v>
      </c>
      <c r="F396" s="4" t="s">
        <v>25</v>
      </c>
      <c r="G396" s="4" t="s">
        <v>25</v>
      </c>
      <c r="H396" s="4" t="s">
        <v>25</v>
      </c>
      <c r="I396" s="5">
        <v>44621</v>
      </c>
      <c r="J396" s="6">
        <v>8139</v>
      </c>
      <c r="K396" s="6">
        <v>8139</v>
      </c>
      <c r="L396" s="6">
        <v>0</v>
      </c>
      <c r="M396" s="6">
        <v>0</v>
      </c>
      <c r="N396" s="6">
        <v>0</v>
      </c>
      <c r="O396" s="6">
        <v>0</v>
      </c>
      <c r="P396" s="6">
        <v>35</v>
      </c>
      <c r="Q396" s="4" t="s">
        <v>26</v>
      </c>
      <c r="R396" s="4">
        <v>0</v>
      </c>
      <c r="S396" s="6">
        <v>20</v>
      </c>
      <c r="T396" s="6">
        <v>0</v>
      </c>
      <c r="U396" s="6">
        <v>0</v>
      </c>
      <c r="V396" s="6">
        <f>IF(ISERROR(VLOOKUP($S$396,'TAR FIN'!$A$1:$O$113,15,0)),0,VLOOKUP($S$396,'TAR FIN'!$A$1:$O$113,15,0))</f>
        <v>14</v>
      </c>
      <c r="W396" s="6">
        <f>IF(ISERROR(VLOOKUP($T$396,'TAR FIN'!$A$1:$O$113,15,0)),0,VLOOKUP($T$396,'TAR FIN'!$A$1:$O$113,15,0))</f>
        <v>0</v>
      </c>
      <c r="X396" s="6">
        <f>IF(ISERROR(VLOOKUP($U$396,'TAR FIN'!$A$1:$O$113,15,0)),0,VLOOKUP($U$396,'TAR FIN'!$A$1:$O$113,15,0))</f>
        <v>0</v>
      </c>
      <c r="Y396" s="6">
        <f ca="1">('TUSD BE'!$AM$19+'TUSD BF_350'!$AM$19+'TUSD CVA'!$AM$19)*1</f>
        <v>16.035953923331604</v>
      </c>
      <c r="Z396" s="6"/>
      <c r="AA396" s="6"/>
      <c r="AB396" s="6">
        <f>$K$396*$V$396</f>
        <v>113946</v>
      </c>
      <c r="AC396" s="6">
        <f>$M$396*$W$396</f>
        <v>0</v>
      </c>
      <c r="AD396" s="6">
        <f>$O$396*$X$396</f>
        <v>0</v>
      </c>
      <c r="AE396" s="6">
        <f ca="1">$K$396*$Y$396</f>
        <v>130516.62898199592</v>
      </c>
      <c r="AF396" s="6">
        <f>$M$396*$Z$396</f>
        <v>0</v>
      </c>
      <c r="AG396" s="6">
        <f>$O$396*$AA$396</f>
        <v>0</v>
      </c>
    </row>
    <row r="397" spans="1:33" ht="11.25" customHeight="1" x14ac:dyDescent="0.3">
      <c r="A397" s="4" t="s">
        <v>28</v>
      </c>
      <c r="B397" s="4" t="s">
        <v>39</v>
      </c>
      <c r="C397" s="4" t="s">
        <v>41</v>
      </c>
      <c r="D397" s="4" t="s">
        <v>38</v>
      </c>
      <c r="E397" s="4" t="s">
        <v>25</v>
      </c>
      <c r="F397" s="4" t="s">
        <v>25</v>
      </c>
      <c r="G397" s="4" t="s">
        <v>25</v>
      </c>
      <c r="H397" s="4" t="s">
        <v>25</v>
      </c>
      <c r="I397" s="5">
        <v>44621</v>
      </c>
      <c r="J397" s="6">
        <v>328</v>
      </c>
      <c r="K397" s="6">
        <v>328</v>
      </c>
      <c r="L397" s="6">
        <v>0</v>
      </c>
      <c r="M397" s="6">
        <v>0</v>
      </c>
      <c r="N397" s="6">
        <v>0</v>
      </c>
      <c r="O397" s="6">
        <v>0</v>
      </c>
      <c r="P397" s="6">
        <v>2</v>
      </c>
      <c r="Q397" s="4" t="s">
        <v>26</v>
      </c>
      <c r="R397" s="4">
        <v>0</v>
      </c>
      <c r="S397" s="6">
        <v>20</v>
      </c>
      <c r="T397" s="6">
        <v>0</v>
      </c>
      <c r="U397" s="6">
        <v>0</v>
      </c>
      <c r="V397" s="6">
        <f>IF(ISERROR(VLOOKUP($S$397,'TAR FIN'!$A$1:$O$113,15,0)),0,VLOOKUP($S$397,'TAR FIN'!$A$1:$O$113,15,0))</f>
        <v>14</v>
      </c>
      <c r="W397" s="6">
        <f>IF(ISERROR(VLOOKUP($T$397,'TAR FIN'!$A$1:$O$113,15,0)),0,VLOOKUP($T$397,'TAR FIN'!$A$1:$O$113,15,0))</f>
        <v>0</v>
      </c>
      <c r="X397" s="6">
        <f>IF(ISERROR(VLOOKUP($U$397,'TAR FIN'!$A$1:$O$113,15,0)),0,VLOOKUP($U$397,'TAR FIN'!$A$1:$O$113,15,0))</f>
        <v>0</v>
      </c>
      <c r="Y397" s="6">
        <f ca="1">('TUSD BE'!$AM$19+'TUSD BF_350'!$AM$19+'TUSD CVA'!$AM$19)*1</f>
        <v>16.035953923331604</v>
      </c>
      <c r="Z397" s="6"/>
      <c r="AA397" s="6"/>
      <c r="AB397" s="6">
        <f>$K$397*$V$397</f>
        <v>4592</v>
      </c>
      <c r="AC397" s="6">
        <f>$M$397*$W$397</f>
        <v>0</v>
      </c>
      <c r="AD397" s="6">
        <f>$O$397*$X$397</f>
        <v>0</v>
      </c>
      <c r="AE397" s="6">
        <f ca="1">$K$397*$Y$397</f>
        <v>5259.7928868527661</v>
      </c>
      <c r="AF397" s="6">
        <f>$M$397*$Z$397</f>
        <v>0</v>
      </c>
      <c r="AG397" s="6">
        <f>$O$397*$AA$397</f>
        <v>0</v>
      </c>
    </row>
    <row r="398" spans="1:33" ht="11.25" customHeight="1" x14ac:dyDescent="0.3">
      <c r="A398" s="4" t="s">
        <v>21</v>
      </c>
      <c r="B398" s="4" t="s">
        <v>39</v>
      </c>
      <c r="C398" s="4" t="s">
        <v>41</v>
      </c>
      <c r="D398" s="4" t="s">
        <v>38</v>
      </c>
      <c r="E398" s="4" t="s">
        <v>25</v>
      </c>
      <c r="F398" s="4" t="s">
        <v>25</v>
      </c>
      <c r="G398" s="4" t="s">
        <v>25</v>
      </c>
      <c r="H398" s="4" t="s">
        <v>25</v>
      </c>
      <c r="I398" s="5">
        <v>44621</v>
      </c>
      <c r="J398" s="6">
        <v>2000</v>
      </c>
      <c r="K398" s="6">
        <v>2000</v>
      </c>
      <c r="L398" s="6">
        <v>0</v>
      </c>
      <c r="M398" s="6">
        <v>0</v>
      </c>
      <c r="N398" s="6">
        <v>0</v>
      </c>
      <c r="O398" s="6">
        <v>0</v>
      </c>
      <c r="P398" s="6">
        <v>1</v>
      </c>
      <c r="Q398" s="4" t="s">
        <v>55</v>
      </c>
      <c r="R398" s="4">
        <v>0</v>
      </c>
      <c r="S398" s="6">
        <v>20</v>
      </c>
      <c r="T398" s="6">
        <v>0</v>
      </c>
      <c r="U398" s="6">
        <v>0</v>
      </c>
      <c r="V398" s="6">
        <f>IF(ISERROR(VLOOKUP($S$398,'TAR FIN'!$A$1:$O$113,15,0)),0,VLOOKUP($S$398,'TAR FIN'!$A$1:$O$113,15,0))</f>
        <v>14</v>
      </c>
      <c r="W398" s="6">
        <f>IF(ISERROR(VLOOKUP($T$398,'TAR FIN'!$A$1:$O$113,15,0)),0,VLOOKUP($T$398,'TAR FIN'!$A$1:$O$113,15,0))</f>
        <v>0</v>
      </c>
      <c r="X398" s="6">
        <f>IF(ISERROR(VLOOKUP($U$398,'TAR FIN'!$A$1:$O$113,15,0)),0,VLOOKUP($U$398,'TAR FIN'!$A$1:$O$113,15,0))</f>
        <v>0</v>
      </c>
      <c r="Y398" s="6">
        <f ca="1">('TUSD BE'!$AM$19+'TUSD BF_350'!$AM$19+'TUSD CVA'!$AM$19)*1</f>
        <v>16.035953923331604</v>
      </c>
      <c r="Z398" s="6"/>
      <c r="AA398" s="6"/>
      <c r="AB398" s="6">
        <f>$K$398*$V$398</f>
        <v>28000</v>
      </c>
      <c r="AC398" s="6">
        <f>$M$398*$W$398</f>
        <v>0</v>
      </c>
      <c r="AD398" s="6">
        <f>$O$398*$X$398</f>
        <v>0</v>
      </c>
      <c r="AE398" s="6">
        <f ca="1">$K$398*$Y$398</f>
        <v>32071.907846663209</v>
      </c>
      <c r="AF398" s="6">
        <f>$M$398*$Z$398</f>
        <v>0</v>
      </c>
      <c r="AG398" s="6">
        <f>$O$398*$AA$398</f>
        <v>0</v>
      </c>
    </row>
    <row r="399" spans="1:33" ht="11.25" customHeight="1" x14ac:dyDescent="0.3">
      <c r="A399" s="4" t="s">
        <v>21</v>
      </c>
      <c r="B399" s="4" t="s">
        <v>39</v>
      </c>
      <c r="C399" s="4" t="s">
        <v>41</v>
      </c>
      <c r="D399" s="4" t="s">
        <v>38</v>
      </c>
      <c r="E399" s="4" t="s">
        <v>25</v>
      </c>
      <c r="F399" s="4" t="s">
        <v>25</v>
      </c>
      <c r="G399" s="4" t="s">
        <v>25</v>
      </c>
      <c r="H399" s="4" t="s">
        <v>25</v>
      </c>
      <c r="I399" s="5">
        <v>44652</v>
      </c>
      <c r="J399" s="6">
        <v>8033</v>
      </c>
      <c r="K399" s="6">
        <v>8033</v>
      </c>
      <c r="L399" s="6">
        <v>0</v>
      </c>
      <c r="M399" s="6">
        <v>0</v>
      </c>
      <c r="N399" s="6">
        <v>0</v>
      </c>
      <c r="O399" s="6">
        <v>0</v>
      </c>
      <c r="P399" s="6">
        <v>34</v>
      </c>
      <c r="Q399" s="4" t="s">
        <v>26</v>
      </c>
      <c r="R399" s="4">
        <v>0</v>
      </c>
      <c r="S399" s="6">
        <v>20</v>
      </c>
      <c r="T399" s="6">
        <v>0</v>
      </c>
      <c r="U399" s="6">
        <v>0</v>
      </c>
      <c r="V399" s="6">
        <f>IF(ISERROR(VLOOKUP($S$399,'TAR FIN'!$A$1:$O$113,15,0)),0,VLOOKUP($S$399,'TAR FIN'!$A$1:$O$113,15,0))</f>
        <v>14</v>
      </c>
      <c r="W399" s="6">
        <f>IF(ISERROR(VLOOKUP($T$399,'TAR FIN'!$A$1:$O$113,15,0)),0,VLOOKUP($T$399,'TAR FIN'!$A$1:$O$113,15,0))</f>
        <v>0</v>
      </c>
      <c r="X399" s="6">
        <f>IF(ISERROR(VLOOKUP($U$399,'TAR FIN'!$A$1:$O$113,15,0)),0,VLOOKUP($U$399,'TAR FIN'!$A$1:$O$113,15,0))</f>
        <v>0</v>
      </c>
      <c r="Y399" s="6">
        <f ca="1">('TUSD BE'!$AM$19+'TUSD BF_350'!$AM$19+'TUSD CVA'!$AM$19)*1</f>
        <v>16.035953923331604</v>
      </c>
      <c r="Z399" s="6"/>
      <c r="AA399" s="6"/>
      <c r="AB399" s="6">
        <f>$K$399*$V$399</f>
        <v>112462</v>
      </c>
      <c r="AC399" s="6">
        <f>$M$399*$W$399</f>
        <v>0</v>
      </c>
      <c r="AD399" s="6">
        <f>$O$399*$X$399</f>
        <v>0</v>
      </c>
      <c r="AE399" s="6">
        <f ca="1">$K$399*$Y$399</f>
        <v>128816.81786612277</v>
      </c>
      <c r="AF399" s="6">
        <f>$M$399*$Z$399</f>
        <v>0</v>
      </c>
      <c r="AG399" s="6">
        <f>$O$399*$AA$399</f>
        <v>0</v>
      </c>
    </row>
    <row r="400" spans="1:33" ht="11.25" customHeight="1" x14ac:dyDescent="0.3">
      <c r="A400" s="4" t="s">
        <v>28</v>
      </c>
      <c r="B400" s="4" t="s">
        <v>39</v>
      </c>
      <c r="C400" s="4" t="s">
        <v>41</v>
      </c>
      <c r="D400" s="4" t="s">
        <v>38</v>
      </c>
      <c r="E400" s="4" t="s">
        <v>25</v>
      </c>
      <c r="F400" s="4" t="s">
        <v>25</v>
      </c>
      <c r="G400" s="4" t="s">
        <v>25</v>
      </c>
      <c r="H400" s="4" t="s">
        <v>25</v>
      </c>
      <c r="I400" s="5">
        <v>44652</v>
      </c>
      <c r="J400" s="6">
        <v>460</v>
      </c>
      <c r="K400" s="6">
        <v>460</v>
      </c>
      <c r="L400" s="6">
        <v>0</v>
      </c>
      <c r="M400" s="6">
        <v>0</v>
      </c>
      <c r="N400" s="6">
        <v>0</v>
      </c>
      <c r="O400" s="6">
        <v>0</v>
      </c>
      <c r="P400" s="6">
        <v>3</v>
      </c>
      <c r="Q400" s="4" t="s">
        <v>26</v>
      </c>
      <c r="R400" s="4">
        <v>0</v>
      </c>
      <c r="S400" s="6">
        <v>20</v>
      </c>
      <c r="T400" s="6">
        <v>0</v>
      </c>
      <c r="U400" s="6">
        <v>0</v>
      </c>
      <c r="V400" s="6">
        <f>IF(ISERROR(VLOOKUP($S$400,'TAR FIN'!$A$1:$O$113,15,0)),0,VLOOKUP($S$400,'TAR FIN'!$A$1:$O$113,15,0))</f>
        <v>14</v>
      </c>
      <c r="W400" s="6">
        <f>IF(ISERROR(VLOOKUP($T$400,'TAR FIN'!$A$1:$O$113,15,0)),0,VLOOKUP($T$400,'TAR FIN'!$A$1:$O$113,15,0))</f>
        <v>0</v>
      </c>
      <c r="X400" s="6">
        <f>IF(ISERROR(VLOOKUP($U$400,'TAR FIN'!$A$1:$O$113,15,0)),0,VLOOKUP($U$400,'TAR FIN'!$A$1:$O$113,15,0))</f>
        <v>0</v>
      </c>
      <c r="Y400" s="6">
        <f ca="1">('TUSD BE'!$AM$19+'TUSD BF_350'!$AM$19+'TUSD CVA'!$AM$19)*1</f>
        <v>16.035953923331604</v>
      </c>
      <c r="Z400" s="6"/>
      <c r="AA400" s="6"/>
      <c r="AB400" s="6">
        <f>$K$400*$V$400</f>
        <v>6440</v>
      </c>
      <c r="AC400" s="6">
        <f>$M$400*$W$400</f>
        <v>0</v>
      </c>
      <c r="AD400" s="6">
        <f>$O$400*$X$400</f>
        <v>0</v>
      </c>
      <c r="AE400" s="6">
        <f ca="1">$K$400*$Y$400</f>
        <v>7376.5388047325378</v>
      </c>
      <c r="AF400" s="6">
        <f>$M$400*$Z$400</f>
        <v>0</v>
      </c>
      <c r="AG400" s="6">
        <f>$O$400*$AA$400</f>
        <v>0</v>
      </c>
    </row>
    <row r="401" spans="1:33" ht="11.25" customHeight="1" x14ac:dyDescent="0.3">
      <c r="A401" s="4" t="s">
        <v>21</v>
      </c>
      <c r="B401" s="4" t="s">
        <v>39</v>
      </c>
      <c r="C401" s="4" t="s">
        <v>41</v>
      </c>
      <c r="D401" s="4" t="s">
        <v>38</v>
      </c>
      <c r="E401" s="4" t="s">
        <v>25</v>
      </c>
      <c r="F401" s="4" t="s">
        <v>25</v>
      </c>
      <c r="G401" s="4" t="s">
        <v>25</v>
      </c>
      <c r="H401" s="4" t="s">
        <v>25</v>
      </c>
      <c r="I401" s="5">
        <v>44652</v>
      </c>
      <c r="J401" s="6">
        <v>2230</v>
      </c>
      <c r="K401" s="6">
        <v>2230</v>
      </c>
      <c r="L401" s="6">
        <v>0</v>
      </c>
      <c r="M401" s="6">
        <v>0</v>
      </c>
      <c r="N401" s="6">
        <v>0</v>
      </c>
      <c r="O401" s="6">
        <v>0</v>
      </c>
      <c r="P401" s="6">
        <v>2</v>
      </c>
      <c r="Q401" s="4" t="s">
        <v>55</v>
      </c>
      <c r="R401" s="4">
        <v>0</v>
      </c>
      <c r="S401" s="6">
        <v>20</v>
      </c>
      <c r="T401" s="6">
        <v>0</v>
      </c>
      <c r="U401" s="6">
        <v>0</v>
      </c>
      <c r="V401" s="6">
        <f>IF(ISERROR(VLOOKUP($S$401,'TAR FIN'!$A$1:$O$113,15,0)),0,VLOOKUP($S$401,'TAR FIN'!$A$1:$O$113,15,0))</f>
        <v>14</v>
      </c>
      <c r="W401" s="6">
        <f>IF(ISERROR(VLOOKUP($T$401,'TAR FIN'!$A$1:$O$113,15,0)),0,VLOOKUP($T$401,'TAR FIN'!$A$1:$O$113,15,0))</f>
        <v>0</v>
      </c>
      <c r="X401" s="6">
        <f>IF(ISERROR(VLOOKUP($U$401,'TAR FIN'!$A$1:$O$113,15,0)),0,VLOOKUP($U$401,'TAR FIN'!$A$1:$O$113,15,0))</f>
        <v>0</v>
      </c>
      <c r="Y401" s="6">
        <f ca="1">('TUSD BE'!$AM$19+'TUSD BF_350'!$AM$19+'TUSD CVA'!$AM$19)*1</f>
        <v>16.035953923331604</v>
      </c>
      <c r="Z401" s="6"/>
      <c r="AA401" s="6"/>
      <c r="AB401" s="6">
        <f>$K$401*$V$401</f>
        <v>31220</v>
      </c>
      <c r="AC401" s="6">
        <f>$M$401*$W$401</f>
        <v>0</v>
      </c>
      <c r="AD401" s="6">
        <f>$O$401*$X$401</f>
        <v>0</v>
      </c>
      <c r="AE401" s="6">
        <f ca="1">$K$401*$Y$401</f>
        <v>35760.177249029475</v>
      </c>
      <c r="AF401" s="6">
        <f>$M$401*$Z$401</f>
        <v>0</v>
      </c>
      <c r="AG401" s="6">
        <f>$O$401*$AA$401</f>
        <v>0</v>
      </c>
    </row>
    <row r="402" spans="1:33" ht="11.25" customHeight="1" x14ac:dyDescent="0.3">
      <c r="A402" s="4" t="s">
        <v>21</v>
      </c>
      <c r="B402" s="4" t="s">
        <v>39</v>
      </c>
      <c r="C402" s="4" t="s">
        <v>41</v>
      </c>
      <c r="D402" s="4" t="s">
        <v>38</v>
      </c>
      <c r="E402" s="4" t="s">
        <v>25</v>
      </c>
      <c r="F402" s="4" t="s">
        <v>25</v>
      </c>
      <c r="G402" s="4" t="s">
        <v>25</v>
      </c>
      <c r="H402" s="4" t="s">
        <v>25</v>
      </c>
      <c r="I402" s="5">
        <v>44682</v>
      </c>
      <c r="J402" s="6">
        <v>8014</v>
      </c>
      <c r="K402" s="6">
        <v>8014</v>
      </c>
      <c r="L402" s="6">
        <v>0</v>
      </c>
      <c r="M402" s="6">
        <v>0</v>
      </c>
      <c r="N402" s="6">
        <v>0</v>
      </c>
      <c r="O402" s="6">
        <v>0</v>
      </c>
      <c r="P402" s="6">
        <v>33</v>
      </c>
      <c r="Q402" s="4" t="s">
        <v>26</v>
      </c>
      <c r="R402" s="4">
        <v>0</v>
      </c>
      <c r="S402" s="6">
        <v>20</v>
      </c>
      <c r="T402" s="6">
        <v>0</v>
      </c>
      <c r="U402" s="6">
        <v>0</v>
      </c>
      <c r="V402" s="6">
        <f>IF(ISERROR(VLOOKUP($S$402,'TAR FIN'!$A$1:$O$113,15,0)),0,VLOOKUP($S$402,'TAR FIN'!$A$1:$O$113,15,0))</f>
        <v>14</v>
      </c>
      <c r="W402" s="6">
        <f>IF(ISERROR(VLOOKUP($T$402,'TAR FIN'!$A$1:$O$113,15,0)),0,VLOOKUP($T$402,'TAR FIN'!$A$1:$O$113,15,0))</f>
        <v>0</v>
      </c>
      <c r="X402" s="6">
        <f>IF(ISERROR(VLOOKUP($U$402,'TAR FIN'!$A$1:$O$113,15,0)),0,VLOOKUP($U$402,'TAR FIN'!$A$1:$O$113,15,0))</f>
        <v>0</v>
      </c>
      <c r="Y402" s="6">
        <f ca="1">('TUSD BE'!$AM$19+'TUSD BF_350'!$AM$19+'TUSD CVA'!$AM$19)*1</f>
        <v>16.035953923331604</v>
      </c>
      <c r="Z402" s="6"/>
      <c r="AA402" s="6"/>
      <c r="AB402" s="6">
        <f>$K$402*$V$402</f>
        <v>112196</v>
      </c>
      <c r="AC402" s="6">
        <f>$M$402*$W$402</f>
        <v>0</v>
      </c>
      <c r="AD402" s="6">
        <f>$O$402*$X$402</f>
        <v>0</v>
      </c>
      <c r="AE402" s="6">
        <f ca="1">$K$402*$Y$402</f>
        <v>128512.13474157947</v>
      </c>
      <c r="AF402" s="6">
        <f>$M$402*$Z$402</f>
        <v>0</v>
      </c>
      <c r="AG402" s="6">
        <f>$O$402*$AA$402</f>
        <v>0</v>
      </c>
    </row>
    <row r="403" spans="1:33" ht="11.25" customHeight="1" x14ac:dyDescent="0.3">
      <c r="A403" s="4" t="s">
        <v>28</v>
      </c>
      <c r="B403" s="4" t="s">
        <v>39</v>
      </c>
      <c r="C403" s="4" t="s">
        <v>41</v>
      </c>
      <c r="D403" s="4" t="s">
        <v>38</v>
      </c>
      <c r="E403" s="4" t="s">
        <v>25</v>
      </c>
      <c r="F403" s="4" t="s">
        <v>25</v>
      </c>
      <c r="G403" s="4" t="s">
        <v>25</v>
      </c>
      <c r="H403" s="4" t="s">
        <v>25</v>
      </c>
      <c r="I403" s="5">
        <v>44682</v>
      </c>
      <c r="J403" s="6">
        <v>460</v>
      </c>
      <c r="K403" s="6">
        <v>460</v>
      </c>
      <c r="L403" s="6">
        <v>0</v>
      </c>
      <c r="M403" s="6">
        <v>0</v>
      </c>
      <c r="N403" s="6">
        <v>0</v>
      </c>
      <c r="O403" s="6">
        <v>0</v>
      </c>
      <c r="P403" s="6">
        <v>3</v>
      </c>
      <c r="Q403" s="4" t="s">
        <v>26</v>
      </c>
      <c r="R403" s="4">
        <v>0</v>
      </c>
      <c r="S403" s="6">
        <v>20</v>
      </c>
      <c r="T403" s="6">
        <v>0</v>
      </c>
      <c r="U403" s="6">
        <v>0</v>
      </c>
      <c r="V403" s="6">
        <f>IF(ISERROR(VLOOKUP($S$403,'TAR FIN'!$A$1:$O$113,15,0)),0,VLOOKUP($S$403,'TAR FIN'!$A$1:$O$113,15,0))</f>
        <v>14</v>
      </c>
      <c r="W403" s="6">
        <f>IF(ISERROR(VLOOKUP($T$403,'TAR FIN'!$A$1:$O$113,15,0)),0,VLOOKUP($T$403,'TAR FIN'!$A$1:$O$113,15,0))</f>
        <v>0</v>
      </c>
      <c r="X403" s="6">
        <f>IF(ISERROR(VLOOKUP($U$403,'TAR FIN'!$A$1:$O$113,15,0)),0,VLOOKUP($U$403,'TAR FIN'!$A$1:$O$113,15,0))</f>
        <v>0</v>
      </c>
      <c r="Y403" s="6">
        <f ca="1">('TUSD BE'!$AM$19+'TUSD BF_350'!$AM$19+'TUSD CVA'!$AM$19)*1</f>
        <v>16.035953923331604</v>
      </c>
      <c r="Z403" s="6"/>
      <c r="AA403" s="6"/>
      <c r="AB403" s="6">
        <f>$K$403*$V$403</f>
        <v>6440</v>
      </c>
      <c r="AC403" s="6">
        <f>$M$403*$W$403</f>
        <v>0</v>
      </c>
      <c r="AD403" s="6">
        <f>$O$403*$X$403</f>
        <v>0</v>
      </c>
      <c r="AE403" s="6">
        <f ca="1">$K$403*$Y$403</f>
        <v>7376.5388047325378</v>
      </c>
      <c r="AF403" s="6">
        <f>$M$403*$Z$403</f>
        <v>0</v>
      </c>
      <c r="AG403" s="6">
        <f>$O$403*$AA$403</f>
        <v>0</v>
      </c>
    </row>
    <row r="404" spans="1:33" ht="11.25" customHeight="1" x14ac:dyDescent="0.3">
      <c r="A404" s="4" t="s">
        <v>21</v>
      </c>
      <c r="B404" s="4" t="s">
        <v>39</v>
      </c>
      <c r="C404" s="4" t="s">
        <v>41</v>
      </c>
      <c r="D404" s="4" t="s">
        <v>38</v>
      </c>
      <c r="E404" s="4" t="s">
        <v>25</v>
      </c>
      <c r="F404" s="4" t="s">
        <v>25</v>
      </c>
      <c r="G404" s="4" t="s">
        <v>25</v>
      </c>
      <c r="H404" s="4" t="s">
        <v>25</v>
      </c>
      <c r="I404" s="5">
        <v>44682</v>
      </c>
      <c r="J404" s="6">
        <v>2230</v>
      </c>
      <c r="K404" s="6">
        <v>2230</v>
      </c>
      <c r="L404" s="6">
        <v>0</v>
      </c>
      <c r="M404" s="6">
        <v>0</v>
      </c>
      <c r="N404" s="6">
        <v>0</v>
      </c>
      <c r="O404" s="6">
        <v>0</v>
      </c>
      <c r="P404" s="6">
        <v>2</v>
      </c>
      <c r="Q404" s="4" t="s">
        <v>55</v>
      </c>
      <c r="R404" s="4">
        <v>0</v>
      </c>
      <c r="S404" s="6">
        <v>20</v>
      </c>
      <c r="T404" s="6">
        <v>0</v>
      </c>
      <c r="U404" s="6">
        <v>0</v>
      </c>
      <c r="V404" s="6">
        <f>IF(ISERROR(VLOOKUP($S$404,'TAR FIN'!$A$1:$O$113,15,0)),0,VLOOKUP($S$404,'TAR FIN'!$A$1:$O$113,15,0))</f>
        <v>14</v>
      </c>
      <c r="W404" s="6">
        <f>IF(ISERROR(VLOOKUP($T$404,'TAR FIN'!$A$1:$O$113,15,0)),0,VLOOKUP($T$404,'TAR FIN'!$A$1:$O$113,15,0))</f>
        <v>0</v>
      </c>
      <c r="X404" s="6">
        <f>IF(ISERROR(VLOOKUP($U$404,'TAR FIN'!$A$1:$O$113,15,0)),0,VLOOKUP($U$404,'TAR FIN'!$A$1:$O$113,15,0))</f>
        <v>0</v>
      </c>
      <c r="Y404" s="6">
        <f ca="1">('TUSD BE'!$AM$19+'TUSD BF_350'!$AM$19+'TUSD CVA'!$AM$19)*1</f>
        <v>16.035953923331604</v>
      </c>
      <c r="Z404" s="6"/>
      <c r="AA404" s="6"/>
      <c r="AB404" s="6">
        <f>$K$404*$V$404</f>
        <v>31220</v>
      </c>
      <c r="AC404" s="6">
        <f>$M$404*$W$404</f>
        <v>0</v>
      </c>
      <c r="AD404" s="6">
        <f>$O$404*$X$404</f>
        <v>0</v>
      </c>
      <c r="AE404" s="6">
        <f ca="1">$K$404*$Y$404</f>
        <v>35760.177249029475</v>
      </c>
      <c r="AF404" s="6">
        <f>$M$404*$Z$404</f>
        <v>0</v>
      </c>
      <c r="AG404" s="6">
        <f>$O$404*$AA$404</f>
        <v>0</v>
      </c>
    </row>
    <row r="405" spans="1:33" ht="11.25" customHeight="1" x14ac:dyDescent="0.3">
      <c r="A405" s="4" t="s">
        <v>21</v>
      </c>
      <c r="B405" s="4" t="s">
        <v>39</v>
      </c>
      <c r="C405" s="4" t="s">
        <v>41</v>
      </c>
      <c r="D405" s="4" t="s">
        <v>38</v>
      </c>
      <c r="E405" s="4" t="s">
        <v>25</v>
      </c>
      <c r="F405" s="4" t="s">
        <v>25</v>
      </c>
      <c r="G405" s="4" t="s">
        <v>25</v>
      </c>
      <c r="H405" s="4" t="s">
        <v>25</v>
      </c>
      <c r="I405" s="5">
        <v>44713</v>
      </c>
      <c r="J405" s="6">
        <v>7994</v>
      </c>
      <c r="K405" s="6">
        <v>7994</v>
      </c>
      <c r="L405" s="6">
        <v>0</v>
      </c>
      <c r="M405" s="6">
        <v>0</v>
      </c>
      <c r="N405" s="6">
        <v>0</v>
      </c>
      <c r="O405" s="6">
        <v>0</v>
      </c>
      <c r="P405" s="6">
        <v>33</v>
      </c>
      <c r="Q405" s="4" t="s">
        <v>26</v>
      </c>
      <c r="R405" s="4">
        <v>0</v>
      </c>
      <c r="S405" s="6">
        <v>20</v>
      </c>
      <c r="T405" s="6">
        <v>0</v>
      </c>
      <c r="U405" s="6">
        <v>0</v>
      </c>
      <c r="V405" s="6">
        <f>IF(ISERROR(VLOOKUP($S$405,'TAR FIN'!$A$1:$O$113,15,0)),0,VLOOKUP($S$405,'TAR FIN'!$A$1:$O$113,15,0))</f>
        <v>14</v>
      </c>
      <c r="W405" s="6">
        <f>IF(ISERROR(VLOOKUP($T$405,'TAR FIN'!$A$1:$O$113,15,0)),0,VLOOKUP($T$405,'TAR FIN'!$A$1:$O$113,15,0))</f>
        <v>0</v>
      </c>
      <c r="X405" s="6">
        <f>IF(ISERROR(VLOOKUP($U$405,'TAR FIN'!$A$1:$O$113,15,0)),0,VLOOKUP($U$405,'TAR FIN'!$A$1:$O$113,15,0))</f>
        <v>0</v>
      </c>
      <c r="Y405" s="6">
        <f ca="1">('TUSD BE'!$AM$19+'TUSD BF_350'!$AM$19+'TUSD CVA'!$AM$19)*1</f>
        <v>16.035953923331604</v>
      </c>
      <c r="Z405" s="6"/>
      <c r="AA405" s="6"/>
      <c r="AB405" s="6">
        <f>$K$405*$V$405</f>
        <v>111916</v>
      </c>
      <c r="AC405" s="6">
        <f>$M$405*$W$405</f>
        <v>0</v>
      </c>
      <c r="AD405" s="6">
        <f>$O$405*$X$405</f>
        <v>0</v>
      </c>
      <c r="AE405" s="6">
        <f ca="1">$K$405*$Y$405</f>
        <v>128191.41566311284</v>
      </c>
      <c r="AF405" s="6">
        <f>$M$405*$Z$405</f>
        <v>0</v>
      </c>
      <c r="AG405" s="6">
        <f>$O$405*$AA$405</f>
        <v>0</v>
      </c>
    </row>
    <row r="406" spans="1:33" ht="11.25" customHeight="1" x14ac:dyDescent="0.3">
      <c r="A406" s="4" t="s">
        <v>28</v>
      </c>
      <c r="B406" s="4" t="s">
        <v>39</v>
      </c>
      <c r="C406" s="4" t="s">
        <v>41</v>
      </c>
      <c r="D406" s="4" t="s">
        <v>38</v>
      </c>
      <c r="E406" s="4" t="s">
        <v>25</v>
      </c>
      <c r="F406" s="4" t="s">
        <v>25</v>
      </c>
      <c r="G406" s="4" t="s">
        <v>25</v>
      </c>
      <c r="H406" s="4" t="s">
        <v>25</v>
      </c>
      <c r="I406" s="5">
        <v>44713</v>
      </c>
      <c r="J406" s="6">
        <v>460</v>
      </c>
      <c r="K406" s="6">
        <v>460</v>
      </c>
      <c r="L406" s="6">
        <v>0</v>
      </c>
      <c r="M406" s="6">
        <v>0</v>
      </c>
      <c r="N406" s="6">
        <v>0</v>
      </c>
      <c r="O406" s="6">
        <v>0</v>
      </c>
      <c r="P406" s="6">
        <v>3</v>
      </c>
      <c r="Q406" s="4" t="s">
        <v>26</v>
      </c>
      <c r="R406" s="4">
        <v>0</v>
      </c>
      <c r="S406" s="6">
        <v>20</v>
      </c>
      <c r="T406" s="6">
        <v>0</v>
      </c>
      <c r="U406" s="6">
        <v>0</v>
      </c>
      <c r="V406" s="6">
        <f>IF(ISERROR(VLOOKUP($S$406,'TAR FIN'!$A$1:$O$113,15,0)),0,VLOOKUP($S$406,'TAR FIN'!$A$1:$O$113,15,0))</f>
        <v>14</v>
      </c>
      <c r="W406" s="6">
        <f>IF(ISERROR(VLOOKUP($T$406,'TAR FIN'!$A$1:$O$113,15,0)),0,VLOOKUP($T$406,'TAR FIN'!$A$1:$O$113,15,0))</f>
        <v>0</v>
      </c>
      <c r="X406" s="6">
        <f>IF(ISERROR(VLOOKUP($U$406,'TAR FIN'!$A$1:$O$113,15,0)),0,VLOOKUP($U$406,'TAR FIN'!$A$1:$O$113,15,0))</f>
        <v>0</v>
      </c>
      <c r="Y406" s="6">
        <f ca="1">('TUSD BE'!$AM$19+'TUSD BF_350'!$AM$19+'TUSD CVA'!$AM$19)*1</f>
        <v>16.035953923331604</v>
      </c>
      <c r="Z406" s="6"/>
      <c r="AA406" s="6"/>
      <c r="AB406" s="6">
        <f>$K$406*$V$406</f>
        <v>6440</v>
      </c>
      <c r="AC406" s="6">
        <f>$M$406*$W$406</f>
        <v>0</v>
      </c>
      <c r="AD406" s="6">
        <f>$O$406*$X$406</f>
        <v>0</v>
      </c>
      <c r="AE406" s="6">
        <f ca="1">$K$406*$Y$406</f>
        <v>7376.5388047325378</v>
      </c>
      <c r="AF406" s="6">
        <f>$M$406*$Z$406</f>
        <v>0</v>
      </c>
      <c r="AG406" s="6">
        <f>$O$406*$AA$406</f>
        <v>0</v>
      </c>
    </row>
    <row r="407" spans="1:33" ht="11.25" customHeight="1" x14ac:dyDescent="0.3">
      <c r="A407" s="4" t="s">
        <v>21</v>
      </c>
      <c r="B407" s="4" t="s">
        <v>39</v>
      </c>
      <c r="C407" s="4" t="s">
        <v>41</v>
      </c>
      <c r="D407" s="4" t="s">
        <v>38</v>
      </c>
      <c r="E407" s="4" t="s">
        <v>25</v>
      </c>
      <c r="F407" s="4" t="s">
        <v>25</v>
      </c>
      <c r="G407" s="4" t="s">
        <v>25</v>
      </c>
      <c r="H407" s="4" t="s">
        <v>25</v>
      </c>
      <c r="I407" s="5">
        <v>44713</v>
      </c>
      <c r="J407" s="6">
        <v>2000</v>
      </c>
      <c r="K407" s="6">
        <v>2000</v>
      </c>
      <c r="L407" s="6">
        <v>0</v>
      </c>
      <c r="M407" s="6">
        <v>0</v>
      </c>
      <c r="N407" s="6">
        <v>0</v>
      </c>
      <c r="O407" s="6">
        <v>0</v>
      </c>
      <c r="P407" s="6">
        <v>1</v>
      </c>
      <c r="Q407" s="4" t="s">
        <v>55</v>
      </c>
      <c r="R407" s="4">
        <v>0</v>
      </c>
      <c r="S407" s="6">
        <v>20</v>
      </c>
      <c r="T407" s="6">
        <v>0</v>
      </c>
      <c r="U407" s="6">
        <v>0</v>
      </c>
      <c r="V407" s="6">
        <f>IF(ISERROR(VLOOKUP($S$407,'TAR FIN'!$A$1:$O$113,15,0)),0,VLOOKUP($S$407,'TAR FIN'!$A$1:$O$113,15,0))</f>
        <v>14</v>
      </c>
      <c r="W407" s="6">
        <f>IF(ISERROR(VLOOKUP($T$407,'TAR FIN'!$A$1:$O$113,15,0)),0,VLOOKUP($T$407,'TAR FIN'!$A$1:$O$113,15,0))</f>
        <v>0</v>
      </c>
      <c r="X407" s="6">
        <f>IF(ISERROR(VLOOKUP($U$407,'TAR FIN'!$A$1:$O$113,15,0)),0,VLOOKUP($U$407,'TAR FIN'!$A$1:$O$113,15,0))</f>
        <v>0</v>
      </c>
      <c r="Y407" s="6">
        <f ca="1">('TUSD BE'!$AM$19+'TUSD BF_350'!$AM$19+'TUSD CVA'!$AM$19)*1</f>
        <v>16.035953923331604</v>
      </c>
      <c r="Z407" s="6"/>
      <c r="AA407" s="6"/>
      <c r="AB407" s="6">
        <f>$K$407*$V$407</f>
        <v>28000</v>
      </c>
      <c r="AC407" s="6">
        <f>$M$407*$W$407</f>
        <v>0</v>
      </c>
      <c r="AD407" s="6">
        <f>$O$407*$X$407</f>
        <v>0</v>
      </c>
      <c r="AE407" s="6">
        <f ca="1">$K$407*$Y$407</f>
        <v>32071.907846663209</v>
      </c>
      <c r="AF407" s="6">
        <f>$M$407*$Z$407</f>
        <v>0</v>
      </c>
      <c r="AG407" s="6">
        <f>$O$407*$AA$407</f>
        <v>0</v>
      </c>
    </row>
    <row r="408" spans="1:33" ht="11.25" customHeight="1" x14ac:dyDescent="0.3">
      <c r="A408" s="4" t="s">
        <v>21</v>
      </c>
      <c r="B408" s="4" t="s">
        <v>39</v>
      </c>
      <c r="C408" s="4" t="s">
        <v>41</v>
      </c>
      <c r="D408" s="4" t="s">
        <v>38</v>
      </c>
      <c r="E408" s="4" t="s">
        <v>25</v>
      </c>
      <c r="F408" s="4" t="s">
        <v>25</v>
      </c>
      <c r="G408" s="4" t="s">
        <v>25</v>
      </c>
      <c r="H408" s="4" t="s">
        <v>25</v>
      </c>
      <c r="I408" s="5">
        <v>44743</v>
      </c>
      <c r="J408" s="6">
        <v>8102</v>
      </c>
      <c r="K408" s="6">
        <v>8102</v>
      </c>
      <c r="L408" s="6">
        <v>0</v>
      </c>
      <c r="M408" s="6">
        <v>0</v>
      </c>
      <c r="N408" s="6">
        <v>0</v>
      </c>
      <c r="O408" s="6">
        <v>0</v>
      </c>
      <c r="P408" s="6">
        <v>34</v>
      </c>
      <c r="Q408" s="4" t="s">
        <v>26</v>
      </c>
      <c r="R408" s="4">
        <v>0</v>
      </c>
      <c r="S408" s="6">
        <v>20</v>
      </c>
      <c r="T408" s="6">
        <v>0</v>
      </c>
      <c r="U408" s="6">
        <v>0</v>
      </c>
      <c r="V408" s="6">
        <f>IF(ISERROR(VLOOKUP($S$408,'TAR FIN'!$A$1:$O$113,15,0)),0,VLOOKUP($S$408,'TAR FIN'!$A$1:$O$113,15,0))</f>
        <v>14</v>
      </c>
      <c r="W408" s="6">
        <f>IF(ISERROR(VLOOKUP($T$408,'TAR FIN'!$A$1:$O$113,15,0)),0,VLOOKUP($T$408,'TAR FIN'!$A$1:$O$113,15,0))</f>
        <v>0</v>
      </c>
      <c r="X408" s="6">
        <f>IF(ISERROR(VLOOKUP($U$408,'TAR FIN'!$A$1:$O$113,15,0)),0,VLOOKUP($U$408,'TAR FIN'!$A$1:$O$113,15,0))</f>
        <v>0</v>
      </c>
      <c r="Y408" s="6">
        <f ca="1">('TUSD BE'!$AM$19+'TUSD BF_350'!$AM$19+'TUSD CVA'!$AM$19)*1</f>
        <v>16.035953923331604</v>
      </c>
      <c r="Z408" s="6"/>
      <c r="AA408" s="6"/>
      <c r="AB408" s="6">
        <f>$K$408*$V$408</f>
        <v>113428</v>
      </c>
      <c r="AC408" s="6">
        <f>$M$408*$W$408</f>
        <v>0</v>
      </c>
      <c r="AD408" s="6">
        <f>$O$408*$X$408</f>
        <v>0</v>
      </c>
      <c r="AE408" s="6">
        <f ca="1">$K$408*$Y$408</f>
        <v>129923.29868683266</v>
      </c>
      <c r="AF408" s="6">
        <f>$M$408*$Z$408</f>
        <v>0</v>
      </c>
      <c r="AG408" s="6">
        <f>$O$408*$AA$408</f>
        <v>0</v>
      </c>
    </row>
    <row r="409" spans="1:33" ht="11.25" customHeight="1" x14ac:dyDescent="0.3">
      <c r="A409" s="4" t="s">
        <v>21</v>
      </c>
      <c r="B409" s="4" t="s">
        <v>39</v>
      </c>
      <c r="C409" s="4" t="s">
        <v>41</v>
      </c>
      <c r="D409" s="4" t="s">
        <v>38</v>
      </c>
      <c r="E409" s="4" t="s">
        <v>25</v>
      </c>
      <c r="F409" s="4" t="s">
        <v>25</v>
      </c>
      <c r="G409" s="4" t="s">
        <v>25</v>
      </c>
      <c r="H409" s="4" t="s">
        <v>25</v>
      </c>
      <c r="I409" s="5">
        <v>44743</v>
      </c>
      <c r="J409" s="6">
        <v>2000</v>
      </c>
      <c r="K409" s="6">
        <v>2000</v>
      </c>
      <c r="L409" s="6">
        <v>0</v>
      </c>
      <c r="M409" s="6">
        <v>0</v>
      </c>
      <c r="N409" s="6">
        <v>0</v>
      </c>
      <c r="O409" s="6">
        <v>0</v>
      </c>
      <c r="P409" s="6">
        <v>1</v>
      </c>
      <c r="Q409" s="4" t="s">
        <v>55</v>
      </c>
      <c r="R409" s="4">
        <v>0</v>
      </c>
      <c r="S409" s="6">
        <v>20</v>
      </c>
      <c r="T409" s="6">
        <v>0</v>
      </c>
      <c r="U409" s="6">
        <v>0</v>
      </c>
      <c r="V409" s="6">
        <f>IF(ISERROR(VLOOKUP($S$409,'TAR FIN'!$A$1:$O$113,15,0)),0,VLOOKUP($S$409,'TAR FIN'!$A$1:$O$113,15,0))</f>
        <v>14</v>
      </c>
      <c r="W409" s="6">
        <f>IF(ISERROR(VLOOKUP($T$409,'TAR FIN'!$A$1:$O$113,15,0)),0,VLOOKUP($T$409,'TAR FIN'!$A$1:$O$113,15,0))</f>
        <v>0</v>
      </c>
      <c r="X409" s="6">
        <f>IF(ISERROR(VLOOKUP($U$409,'TAR FIN'!$A$1:$O$113,15,0)),0,VLOOKUP($U$409,'TAR FIN'!$A$1:$O$113,15,0))</f>
        <v>0</v>
      </c>
      <c r="Y409" s="6">
        <f ca="1">('TUSD BE'!$AM$19+'TUSD BF_350'!$AM$19+'TUSD CVA'!$AM$19)*1</f>
        <v>16.035953923331604</v>
      </c>
      <c r="Z409" s="6"/>
      <c r="AA409" s="6"/>
      <c r="AB409" s="6">
        <f>$K$409*$V$409</f>
        <v>28000</v>
      </c>
      <c r="AC409" s="6">
        <f>$M$409*$W$409</f>
        <v>0</v>
      </c>
      <c r="AD409" s="6">
        <f>$O$409*$X$409</f>
        <v>0</v>
      </c>
      <c r="AE409" s="6">
        <f ca="1">$K$409*$Y$409</f>
        <v>32071.907846663209</v>
      </c>
      <c r="AF409" s="6">
        <f>$M$409*$Z$409</f>
        <v>0</v>
      </c>
      <c r="AG409" s="6">
        <f>$O$409*$AA$409</f>
        <v>0</v>
      </c>
    </row>
    <row r="410" spans="1:33" ht="11.25" customHeight="1" x14ac:dyDescent="0.3">
      <c r="A410" s="4" t="s">
        <v>21</v>
      </c>
      <c r="B410" s="4" t="s">
        <v>39</v>
      </c>
      <c r="C410" s="4" t="s">
        <v>41</v>
      </c>
      <c r="D410" s="4" t="s">
        <v>38</v>
      </c>
      <c r="E410" s="4" t="s">
        <v>25</v>
      </c>
      <c r="F410" s="4" t="s">
        <v>25</v>
      </c>
      <c r="G410" s="4" t="s">
        <v>25</v>
      </c>
      <c r="H410" s="4" t="s">
        <v>25</v>
      </c>
      <c r="I410" s="5">
        <v>44774</v>
      </c>
      <c r="J410" s="6">
        <v>8075</v>
      </c>
      <c r="K410" s="6">
        <v>8075</v>
      </c>
      <c r="L410" s="6">
        <v>0</v>
      </c>
      <c r="M410" s="6">
        <v>0</v>
      </c>
      <c r="N410" s="6">
        <v>0</v>
      </c>
      <c r="O410" s="6">
        <v>0</v>
      </c>
      <c r="P410" s="6">
        <v>33</v>
      </c>
      <c r="Q410" s="4" t="s">
        <v>26</v>
      </c>
      <c r="R410" s="4">
        <v>0</v>
      </c>
      <c r="S410" s="6">
        <v>20</v>
      </c>
      <c r="T410" s="6">
        <v>0</v>
      </c>
      <c r="U410" s="6">
        <v>0</v>
      </c>
      <c r="V410" s="6">
        <f>IF(ISERROR(VLOOKUP($S$410,'TAR FIN'!$A$1:$O$113,15,0)),0,VLOOKUP($S$410,'TAR FIN'!$A$1:$O$113,15,0))</f>
        <v>14</v>
      </c>
      <c r="W410" s="6">
        <f>IF(ISERROR(VLOOKUP($T$410,'TAR FIN'!$A$1:$O$113,15,0)),0,VLOOKUP($T$410,'TAR FIN'!$A$1:$O$113,15,0))</f>
        <v>0</v>
      </c>
      <c r="X410" s="6">
        <f>IF(ISERROR(VLOOKUP($U$410,'TAR FIN'!$A$1:$O$113,15,0)),0,VLOOKUP($U$410,'TAR FIN'!$A$1:$O$113,15,0))</f>
        <v>0</v>
      </c>
      <c r="Y410" s="6">
        <f ca="1">('TUSD BE'!$AM$19+'TUSD BF_350'!$AM$19+'TUSD CVA'!$AM$19)*1</f>
        <v>16.035953923331604</v>
      </c>
      <c r="Z410" s="6"/>
      <c r="AA410" s="6"/>
      <c r="AB410" s="6">
        <f>$K$410*$V$410</f>
        <v>113050</v>
      </c>
      <c r="AC410" s="6">
        <f>$M$410*$W$410</f>
        <v>0</v>
      </c>
      <c r="AD410" s="6">
        <f>$O$410*$X$410</f>
        <v>0</v>
      </c>
      <c r="AE410" s="6">
        <f ca="1">$K$410*$Y$410</f>
        <v>129490.3279309027</v>
      </c>
      <c r="AF410" s="6">
        <f>$M$410*$Z$410</f>
        <v>0</v>
      </c>
      <c r="AG410" s="6">
        <f>$O$410*$AA$410</f>
        <v>0</v>
      </c>
    </row>
    <row r="411" spans="1:33" ht="11.25" customHeight="1" x14ac:dyDescent="0.3">
      <c r="A411" s="4" t="s">
        <v>28</v>
      </c>
      <c r="B411" s="4" t="s">
        <v>39</v>
      </c>
      <c r="C411" s="4" t="s">
        <v>41</v>
      </c>
      <c r="D411" s="4" t="s">
        <v>38</v>
      </c>
      <c r="E411" s="4" t="s">
        <v>25</v>
      </c>
      <c r="F411" s="4" t="s">
        <v>25</v>
      </c>
      <c r="G411" s="4" t="s">
        <v>25</v>
      </c>
      <c r="H411" s="4" t="s">
        <v>25</v>
      </c>
      <c r="I411" s="5">
        <v>44774</v>
      </c>
      <c r="J411" s="6">
        <v>483</v>
      </c>
      <c r="K411" s="6">
        <v>483</v>
      </c>
      <c r="L411" s="6">
        <v>0</v>
      </c>
      <c r="M411" s="6">
        <v>0</v>
      </c>
      <c r="N411" s="6">
        <v>0</v>
      </c>
      <c r="O411" s="6">
        <v>0</v>
      </c>
      <c r="P411" s="6">
        <v>3</v>
      </c>
      <c r="Q411" s="4" t="s">
        <v>26</v>
      </c>
      <c r="R411" s="4">
        <v>0</v>
      </c>
      <c r="S411" s="6">
        <v>20</v>
      </c>
      <c r="T411" s="6">
        <v>0</v>
      </c>
      <c r="U411" s="6">
        <v>0</v>
      </c>
      <c r="V411" s="6">
        <f>IF(ISERROR(VLOOKUP($S$411,'TAR FIN'!$A$1:$O$113,15,0)),0,VLOOKUP($S$411,'TAR FIN'!$A$1:$O$113,15,0))</f>
        <v>14</v>
      </c>
      <c r="W411" s="6">
        <f>IF(ISERROR(VLOOKUP($T$411,'TAR FIN'!$A$1:$O$113,15,0)),0,VLOOKUP($T$411,'TAR FIN'!$A$1:$O$113,15,0))</f>
        <v>0</v>
      </c>
      <c r="X411" s="6">
        <f>IF(ISERROR(VLOOKUP($U$411,'TAR FIN'!$A$1:$O$113,15,0)),0,VLOOKUP($U$411,'TAR FIN'!$A$1:$O$113,15,0))</f>
        <v>0</v>
      </c>
      <c r="Y411" s="6">
        <f ca="1">('TUSD BE'!$AM$19+'TUSD BF_350'!$AM$19+'TUSD CVA'!$AM$19)*1</f>
        <v>16.035953923331604</v>
      </c>
      <c r="Z411" s="6"/>
      <c r="AA411" s="6"/>
      <c r="AB411" s="6">
        <f>$K$411*$V$411</f>
        <v>6762</v>
      </c>
      <c r="AC411" s="6">
        <f>$M$411*$W$411</f>
        <v>0</v>
      </c>
      <c r="AD411" s="6">
        <f>$O$411*$X$411</f>
        <v>0</v>
      </c>
      <c r="AE411" s="6">
        <f ca="1">$K$411*$Y$411</f>
        <v>7745.3657449691646</v>
      </c>
      <c r="AF411" s="6">
        <f>$M$411*$Z$411</f>
        <v>0</v>
      </c>
      <c r="AG411" s="6">
        <f>$O$411*$AA$411</f>
        <v>0</v>
      </c>
    </row>
    <row r="412" spans="1:33" ht="11.25" customHeight="1" x14ac:dyDescent="0.3">
      <c r="A412" s="4" t="s">
        <v>21</v>
      </c>
      <c r="B412" s="4" t="s">
        <v>39</v>
      </c>
      <c r="C412" s="4" t="s">
        <v>41</v>
      </c>
      <c r="D412" s="4" t="s">
        <v>38</v>
      </c>
      <c r="E412" s="4" t="s">
        <v>25</v>
      </c>
      <c r="F412" s="4" t="s">
        <v>25</v>
      </c>
      <c r="G412" s="4" t="s">
        <v>25</v>
      </c>
      <c r="H412" s="4" t="s">
        <v>25</v>
      </c>
      <c r="I412" s="5">
        <v>44774</v>
      </c>
      <c r="J412" s="6">
        <v>2000</v>
      </c>
      <c r="K412" s="6">
        <v>2000</v>
      </c>
      <c r="L412" s="6">
        <v>0</v>
      </c>
      <c r="M412" s="6">
        <v>0</v>
      </c>
      <c r="N412" s="6">
        <v>0</v>
      </c>
      <c r="O412" s="6">
        <v>0</v>
      </c>
      <c r="P412" s="6">
        <v>1</v>
      </c>
      <c r="Q412" s="4" t="s">
        <v>55</v>
      </c>
      <c r="R412" s="4">
        <v>0</v>
      </c>
      <c r="S412" s="6">
        <v>20</v>
      </c>
      <c r="T412" s="6">
        <v>0</v>
      </c>
      <c r="U412" s="6">
        <v>0</v>
      </c>
      <c r="V412" s="6">
        <f>IF(ISERROR(VLOOKUP($S$412,'TAR FIN'!$A$1:$O$113,15,0)),0,VLOOKUP($S$412,'TAR FIN'!$A$1:$O$113,15,0))</f>
        <v>14</v>
      </c>
      <c r="W412" s="6">
        <f>IF(ISERROR(VLOOKUP($T$412,'TAR FIN'!$A$1:$O$113,15,0)),0,VLOOKUP($T$412,'TAR FIN'!$A$1:$O$113,15,0))</f>
        <v>0</v>
      </c>
      <c r="X412" s="6">
        <f>IF(ISERROR(VLOOKUP($U$412,'TAR FIN'!$A$1:$O$113,15,0)),0,VLOOKUP($U$412,'TAR FIN'!$A$1:$O$113,15,0))</f>
        <v>0</v>
      </c>
      <c r="Y412" s="6">
        <f ca="1">('TUSD BE'!$AM$19+'TUSD BF_350'!$AM$19+'TUSD CVA'!$AM$19)*1</f>
        <v>16.035953923331604</v>
      </c>
      <c r="Z412" s="6"/>
      <c r="AA412" s="6"/>
      <c r="AB412" s="6">
        <f>$K$412*$V$412</f>
        <v>28000</v>
      </c>
      <c r="AC412" s="6">
        <f>$M$412*$W$412</f>
        <v>0</v>
      </c>
      <c r="AD412" s="6">
        <f>$O$412*$X$412</f>
        <v>0</v>
      </c>
      <c r="AE412" s="6">
        <f ca="1">$K$412*$Y$412</f>
        <v>32071.907846663209</v>
      </c>
      <c r="AF412" s="6">
        <f>$M$412*$Z$412</f>
        <v>0</v>
      </c>
      <c r="AG412" s="6">
        <f>$O$412*$AA$412</f>
        <v>0</v>
      </c>
    </row>
    <row r="413" spans="1:33" ht="11.25" customHeight="1" x14ac:dyDescent="0.3">
      <c r="A413" s="4" t="s">
        <v>21</v>
      </c>
      <c r="B413" s="4" t="s">
        <v>39</v>
      </c>
      <c r="C413" s="4" t="s">
        <v>41</v>
      </c>
      <c r="D413" s="4" t="s">
        <v>38</v>
      </c>
      <c r="E413" s="4" t="s">
        <v>25</v>
      </c>
      <c r="F413" s="4" t="s">
        <v>25</v>
      </c>
      <c r="G413" s="4" t="s">
        <v>25</v>
      </c>
      <c r="H413" s="4" t="s">
        <v>25</v>
      </c>
      <c r="I413" s="5">
        <v>44805</v>
      </c>
      <c r="J413" s="6">
        <v>8140</v>
      </c>
      <c r="K413" s="6">
        <v>8140</v>
      </c>
      <c r="L413" s="6">
        <v>0</v>
      </c>
      <c r="M413" s="6">
        <v>0</v>
      </c>
      <c r="N413" s="6">
        <v>0</v>
      </c>
      <c r="O413" s="6">
        <v>0</v>
      </c>
      <c r="P413" s="6">
        <v>33</v>
      </c>
      <c r="Q413" s="4" t="s">
        <v>26</v>
      </c>
      <c r="R413" s="4">
        <v>0</v>
      </c>
      <c r="S413" s="6">
        <v>20</v>
      </c>
      <c r="T413" s="6">
        <v>0</v>
      </c>
      <c r="U413" s="6">
        <v>0</v>
      </c>
      <c r="V413" s="6">
        <f>IF(ISERROR(VLOOKUP($S$413,'TAR FIN'!$A$1:$O$113,15,0)),0,VLOOKUP($S$413,'TAR FIN'!$A$1:$O$113,15,0))</f>
        <v>14</v>
      </c>
      <c r="W413" s="6">
        <f>IF(ISERROR(VLOOKUP($T$413,'TAR FIN'!$A$1:$O$113,15,0)),0,VLOOKUP($T$413,'TAR FIN'!$A$1:$O$113,15,0))</f>
        <v>0</v>
      </c>
      <c r="X413" s="6">
        <f>IF(ISERROR(VLOOKUP($U$413,'TAR FIN'!$A$1:$O$113,15,0)),0,VLOOKUP($U$413,'TAR FIN'!$A$1:$O$113,15,0))</f>
        <v>0</v>
      </c>
      <c r="Y413" s="6">
        <f ca="1">('TUSD BE'!$AM$19+'TUSD BF_350'!$AM$19+'TUSD CVA'!$AM$19)*1</f>
        <v>16.035953923331604</v>
      </c>
      <c r="Z413" s="6"/>
      <c r="AA413" s="6"/>
      <c r="AB413" s="6">
        <f>$K$413*$V$413</f>
        <v>113960</v>
      </c>
      <c r="AC413" s="6">
        <f>$M$413*$W$413</f>
        <v>0</v>
      </c>
      <c r="AD413" s="6">
        <f>$O$413*$X$413</f>
        <v>0</v>
      </c>
      <c r="AE413" s="6">
        <f ca="1">$K$413*$Y$413</f>
        <v>130532.66493591925</v>
      </c>
      <c r="AF413" s="6">
        <f>$M$413*$Z$413</f>
        <v>0</v>
      </c>
      <c r="AG413" s="6">
        <f>$O$413*$AA$413</f>
        <v>0</v>
      </c>
    </row>
    <row r="414" spans="1:33" ht="11.25" customHeight="1" x14ac:dyDescent="0.3">
      <c r="A414" s="4" t="s">
        <v>28</v>
      </c>
      <c r="B414" s="4" t="s">
        <v>39</v>
      </c>
      <c r="C414" s="4" t="s">
        <v>41</v>
      </c>
      <c r="D414" s="4" t="s">
        <v>38</v>
      </c>
      <c r="E414" s="4" t="s">
        <v>25</v>
      </c>
      <c r="F414" s="4" t="s">
        <v>25</v>
      </c>
      <c r="G414" s="4" t="s">
        <v>25</v>
      </c>
      <c r="H414" s="4" t="s">
        <v>25</v>
      </c>
      <c r="I414" s="5">
        <v>44805</v>
      </c>
      <c r="J414" s="6">
        <v>420</v>
      </c>
      <c r="K414" s="6">
        <v>420</v>
      </c>
      <c r="L414" s="6">
        <v>0</v>
      </c>
      <c r="M414" s="6">
        <v>0</v>
      </c>
      <c r="N414" s="6">
        <v>0</v>
      </c>
      <c r="O414" s="6">
        <v>0</v>
      </c>
      <c r="P414" s="6">
        <v>2</v>
      </c>
      <c r="Q414" s="4" t="s">
        <v>26</v>
      </c>
      <c r="R414" s="4">
        <v>0</v>
      </c>
      <c r="S414" s="6">
        <v>20</v>
      </c>
      <c r="T414" s="6">
        <v>0</v>
      </c>
      <c r="U414" s="6">
        <v>0</v>
      </c>
      <c r="V414" s="6">
        <f>IF(ISERROR(VLOOKUP($S$414,'TAR FIN'!$A$1:$O$113,15,0)),0,VLOOKUP($S$414,'TAR FIN'!$A$1:$O$113,15,0))</f>
        <v>14</v>
      </c>
      <c r="W414" s="6">
        <f>IF(ISERROR(VLOOKUP($T$414,'TAR FIN'!$A$1:$O$113,15,0)),0,VLOOKUP($T$414,'TAR FIN'!$A$1:$O$113,15,0))</f>
        <v>0</v>
      </c>
      <c r="X414" s="6">
        <f>IF(ISERROR(VLOOKUP($U$414,'TAR FIN'!$A$1:$O$113,15,0)),0,VLOOKUP($U$414,'TAR FIN'!$A$1:$O$113,15,0))</f>
        <v>0</v>
      </c>
      <c r="Y414" s="6">
        <f ca="1">('TUSD BE'!$AM$19+'TUSD BF_350'!$AM$19+'TUSD CVA'!$AM$19)*1</f>
        <v>16.035953923331604</v>
      </c>
      <c r="Z414" s="6"/>
      <c r="AA414" s="6"/>
      <c r="AB414" s="6">
        <f>$K$414*$V$414</f>
        <v>5880</v>
      </c>
      <c r="AC414" s="6">
        <f>$M$414*$W$414</f>
        <v>0</v>
      </c>
      <c r="AD414" s="6">
        <f>$O$414*$X$414</f>
        <v>0</v>
      </c>
      <c r="AE414" s="6">
        <f ca="1">$K$414*$Y$414</f>
        <v>6735.1006477992742</v>
      </c>
      <c r="AF414" s="6">
        <f>$M$414*$Z$414</f>
        <v>0</v>
      </c>
      <c r="AG414" s="6">
        <f>$O$414*$AA$414</f>
        <v>0</v>
      </c>
    </row>
    <row r="415" spans="1:33" ht="11.25" customHeight="1" x14ac:dyDescent="0.3">
      <c r="A415" s="4" t="s">
        <v>21</v>
      </c>
      <c r="B415" s="4" t="s">
        <v>39</v>
      </c>
      <c r="C415" s="4" t="s">
        <v>41</v>
      </c>
      <c r="D415" s="4" t="s">
        <v>38</v>
      </c>
      <c r="E415" s="4" t="s">
        <v>25</v>
      </c>
      <c r="F415" s="4" t="s">
        <v>25</v>
      </c>
      <c r="G415" s="4" t="s">
        <v>25</v>
      </c>
      <c r="H415" s="4" t="s">
        <v>25</v>
      </c>
      <c r="I415" s="5">
        <v>44805</v>
      </c>
      <c r="J415" s="6">
        <v>2000</v>
      </c>
      <c r="K415" s="6">
        <v>2000</v>
      </c>
      <c r="L415" s="6">
        <v>0</v>
      </c>
      <c r="M415" s="6">
        <v>0</v>
      </c>
      <c r="N415" s="6">
        <v>0</v>
      </c>
      <c r="O415" s="6">
        <v>0</v>
      </c>
      <c r="P415" s="6">
        <v>1</v>
      </c>
      <c r="Q415" s="4" t="s">
        <v>55</v>
      </c>
      <c r="R415" s="4">
        <v>0</v>
      </c>
      <c r="S415" s="6">
        <v>20</v>
      </c>
      <c r="T415" s="6">
        <v>0</v>
      </c>
      <c r="U415" s="6">
        <v>0</v>
      </c>
      <c r="V415" s="6">
        <f>IF(ISERROR(VLOOKUP($S$415,'TAR FIN'!$A$1:$O$113,15,0)),0,VLOOKUP($S$415,'TAR FIN'!$A$1:$O$113,15,0))</f>
        <v>14</v>
      </c>
      <c r="W415" s="6">
        <f>IF(ISERROR(VLOOKUP($T$415,'TAR FIN'!$A$1:$O$113,15,0)),0,VLOOKUP($T$415,'TAR FIN'!$A$1:$O$113,15,0))</f>
        <v>0</v>
      </c>
      <c r="X415" s="6">
        <f>IF(ISERROR(VLOOKUP($U$415,'TAR FIN'!$A$1:$O$113,15,0)),0,VLOOKUP($U$415,'TAR FIN'!$A$1:$O$113,15,0))</f>
        <v>0</v>
      </c>
      <c r="Y415" s="6">
        <f ca="1">('TUSD BE'!$AM$19+'TUSD BF_350'!$AM$19+'TUSD CVA'!$AM$19)*1</f>
        <v>16.035953923331604</v>
      </c>
      <c r="Z415" s="6"/>
      <c r="AA415" s="6"/>
      <c r="AB415" s="6">
        <f>$K$415*$V$415</f>
        <v>28000</v>
      </c>
      <c r="AC415" s="6">
        <f>$M$415*$W$415</f>
        <v>0</v>
      </c>
      <c r="AD415" s="6">
        <f>$O$415*$X$415</f>
        <v>0</v>
      </c>
      <c r="AE415" s="6">
        <f ca="1">$K$415*$Y$415</f>
        <v>32071.907846663209</v>
      </c>
      <c r="AF415" s="6">
        <f>$M$415*$Z$415</f>
        <v>0</v>
      </c>
      <c r="AG415" s="6">
        <f>$O$415*$AA$415</f>
        <v>0</v>
      </c>
    </row>
    <row r="416" spans="1:33" ht="11.25" customHeight="1" x14ac:dyDescent="0.3">
      <c r="A416" s="4" t="s">
        <v>53</v>
      </c>
      <c r="B416" s="4" t="s">
        <v>39</v>
      </c>
      <c r="C416" s="4" t="s">
        <v>41</v>
      </c>
      <c r="D416" s="4" t="s">
        <v>38</v>
      </c>
      <c r="E416" s="4" t="s">
        <v>25</v>
      </c>
      <c r="F416" s="4" t="s">
        <v>25</v>
      </c>
      <c r="G416" s="4" t="s">
        <v>25</v>
      </c>
      <c r="H416" s="4" t="s">
        <v>25</v>
      </c>
      <c r="I416" s="5">
        <v>44835</v>
      </c>
      <c r="J416" s="6">
        <v>8140</v>
      </c>
      <c r="K416" s="6">
        <v>8140</v>
      </c>
      <c r="L416" s="6">
        <v>0</v>
      </c>
      <c r="M416" s="6">
        <v>0</v>
      </c>
      <c r="N416" s="6">
        <v>0</v>
      </c>
      <c r="O416" s="6">
        <v>0</v>
      </c>
      <c r="P416" s="6">
        <v>33</v>
      </c>
      <c r="Q416" s="4" t="s">
        <v>26</v>
      </c>
      <c r="R416" s="4">
        <v>0</v>
      </c>
      <c r="S416" s="6">
        <v>20</v>
      </c>
      <c r="T416" s="6">
        <v>0</v>
      </c>
      <c r="U416" s="6">
        <v>0</v>
      </c>
      <c r="V416" s="6">
        <f>IF(ISERROR(VLOOKUP($S$416,'TAR FIN'!$A$1:$O$113,15,0)),0,VLOOKUP($S$416,'TAR FIN'!$A$1:$O$113,15,0))</f>
        <v>14</v>
      </c>
      <c r="W416" s="6">
        <f>IF(ISERROR(VLOOKUP($T$416,'TAR FIN'!$A$1:$O$113,15,0)),0,VLOOKUP($T$416,'TAR FIN'!$A$1:$O$113,15,0))</f>
        <v>0</v>
      </c>
      <c r="X416" s="6">
        <f>IF(ISERROR(VLOOKUP($U$416,'TAR FIN'!$A$1:$O$113,15,0)),0,VLOOKUP($U$416,'TAR FIN'!$A$1:$O$113,15,0))</f>
        <v>0</v>
      </c>
      <c r="Y416" s="6">
        <f ca="1">('TUSD BE'!$AM$19+'TUSD BF_350'!$AM$19+'TUSD CVA'!$AM$19)*1</f>
        <v>16.035953923331604</v>
      </c>
      <c r="Z416" s="6"/>
      <c r="AA416" s="6"/>
      <c r="AB416" s="6">
        <f>$K$416*$V$416</f>
        <v>113960</v>
      </c>
      <c r="AC416" s="6">
        <f>$M$416*$W$416</f>
        <v>0</v>
      </c>
      <c r="AD416" s="6">
        <f>$O$416*$X$416</f>
        <v>0</v>
      </c>
      <c r="AE416" s="6">
        <f ca="1">$K$416*$Y$416</f>
        <v>130532.66493591925</v>
      </c>
      <c r="AF416" s="6">
        <f>$M$416*$Z$416</f>
        <v>0</v>
      </c>
      <c r="AG416" s="6">
        <f>$O$416*$AA$416</f>
        <v>0</v>
      </c>
    </row>
    <row r="417" spans="1:33" ht="11.25" customHeight="1" x14ac:dyDescent="0.3">
      <c r="A417" s="4" t="s">
        <v>53</v>
      </c>
      <c r="B417" s="4" t="s">
        <v>39</v>
      </c>
      <c r="C417" s="4" t="s">
        <v>41</v>
      </c>
      <c r="D417" s="4" t="s">
        <v>38</v>
      </c>
      <c r="E417" s="4" t="s">
        <v>25</v>
      </c>
      <c r="F417" s="4" t="s">
        <v>25</v>
      </c>
      <c r="G417" s="4" t="s">
        <v>25</v>
      </c>
      <c r="H417" s="4" t="s">
        <v>25</v>
      </c>
      <c r="I417" s="5">
        <v>44835</v>
      </c>
      <c r="J417" s="6">
        <v>420</v>
      </c>
      <c r="K417" s="6">
        <v>420</v>
      </c>
      <c r="L417" s="6">
        <v>0</v>
      </c>
      <c r="M417" s="6">
        <v>0</v>
      </c>
      <c r="N417" s="6">
        <v>0</v>
      </c>
      <c r="O417" s="6">
        <v>0</v>
      </c>
      <c r="P417" s="6">
        <v>2</v>
      </c>
      <c r="Q417" s="4" t="s">
        <v>26</v>
      </c>
      <c r="R417" s="4">
        <v>0</v>
      </c>
      <c r="S417" s="6">
        <v>20</v>
      </c>
      <c r="T417" s="6">
        <v>0</v>
      </c>
      <c r="U417" s="6">
        <v>0</v>
      </c>
      <c r="V417" s="6">
        <f>IF(ISERROR(VLOOKUP($S$417,'TAR FIN'!$A$1:$O$113,15,0)),0,VLOOKUP($S$417,'TAR FIN'!$A$1:$O$113,15,0))</f>
        <v>14</v>
      </c>
      <c r="W417" s="6">
        <f>IF(ISERROR(VLOOKUP($T$417,'TAR FIN'!$A$1:$O$113,15,0)),0,VLOOKUP($T$417,'TAR FIN'!$A$1:$O$113,15,0))</f>
        <v>0</v>
      </c>
      <c r="X417" s="6">
        <f>IF(ISERROR(VLOOKUP($U$417,'TAR FIN'!$A$1:$O$113,15,0)),0,VLOOKUP($U$417,'TAR FIN'!$A$1:$O$113,15,0))</f>
        <v>0</v>
      </c>
      <c r="Y417" s="6">
        <f ca="1">('TUSD BE'!$AM$19+'TUSD BF_350'!$AM$19+'TUSD CVA'!$AM$19)*1</f>
        <v>16.035953923331604</v>
      </c>
      <c r="Z417" s="6"/>
      <c r="AA417" s="6"/>
      <c r="AB417" s="6">
        <f>$K$417*$V$417</f>
        <v>5880</v>
      </c>
      <c r="AC417" s="6">
        <f>$M$417*$W$417</f>
        <v>0</v>
      </c>
      <c r="AD417" s="6">
        <f>$O$417*$X$417</f>
        <v>0</v>
      </c>
      <c r="AE417" s="6">
        <f ca="1">$K$417*$Y$417</f>
        <v>6735.1006477992742</v>
      </c>
      <c r="AF417" s="6">
        <f>$M$417*$Z$417</f>
        <v>0</v>
      </c>
      <c r="AG417" s="6">
        <f>$O$417*$AA$417</f>
        <v>0</v>
      </c>
    </row>
    <row r="418" spans="1:33" ht="11.25" customHeight="1" x14ac:dyDescent="0.3">
      <c r="A418" s="4" t="s">
        <v>53</v>
      </c>
      <c r="B418" s="4" t="s">
        <v>39</v>
      </c>
      <c r="C418" s="4" t="s">
        <v>41</v>
      </c>
      <c r="D418" s="4" t="s">
        <v>38</v>
      </c>
      <c r="E418" s="4" t="s">
        <v>25</v>
      </c>
      <c r="F418" s="4" t="s">
        <v>25</v>
      </c>
      <c r="G418" s="4" t="s">
        <v>25</v>
      </c>
      <c r="H418" s="4" t="s">
        <v>25</v>
      </c>
      <c r="I418" s="5">
        <v>44835</v>
      </c>
      <c r="J418" s="6">
        <v>2000</v>
      </c>
      <c r="K418" s="6">
        <v>2000</v>
      </c>
      <c r="L418" s="6">
        <v>0</v>
      </c>
      <c r="M418" s="6">
        <v>0</v>
      </c>
      <c r="N418" s="6">
        <v>0</v>
      </c>
      <c r="O418" s="6">
        <v>0</v>
      </c>
      <c r="P418" s="6">
        <v>1</v>
      </c>
      <c r="Q418" s="4" t="s">
        <v>55</v>
      </c>
      <c r="R418" s="4">
        <v>0</v>
      </c>
      <c r="S418" s="6">
        <v>20</v>
      </c>
      <c r="T418" s="6">
        <v>0</v>
      </c>
      <c r="U418" s="6">
        <v>0</v>
      </c>
      <c r="V418" s="6">
        <f>IF(ISERROR(VLOOKUP($S$418,'TAR FIN'!$A$1:$O$113,15,0)),0,VLOOKUP($S$418,'TAR FIN'!$A$1:$O$113,15,0))</f>
        <v>14</v>
      </c>
      <c r="W418" s="6">
        <f>IF(ISERROR(VLOOKUP($T$418,'TAR FIN'!$A$1:$O$113,15,0)),0,VLOOKUP($T$418,'TAR FIN'!$A$1:$O$113,15,0))</f>
        <v>0</v>
      </c>
      <c r="X418" s="6">
        <f>IF(ISERROR(VLOOKUP($U$418,'TAR FIN'!$A$1:$O$113,15,0)),0,VLOOKUP($U$418,'TAR FIN'!$A$1:$O$113,15,0))</f>
        <v>0</v>
      </c>
      <c r="Y418" s="6">
        <f ca="1">('TUSD BE'!$AM$19+'TUSD BF_350'!$AM$19+'TUSD CVA'!$AM$19)*1</f>
        <v>16.035953923331604</v>
      </c>
      <c r="Z418" s="6"/>
      <c r="AA418" s="6"/>
      <c r="AB418" s="6">
        <f>$K$418*$V$418</f>
        <v>28000</v>
      </c>
      <c r="AC418" s="6">
        <f>$M$418*$W$418</f>
        <v>0</v>
      </c>
      <c r="AD418" s="6">
        <f>$O$418*$X$418</f>
        <v>0</v>
      </c>
      <c r="AE418" s="6">
        <f ca="1">$K$418*$Y$418</f>
        <v>32071.907846663209</v>
      </c>
      <c r="AF418" s="6">
        <f>$M$418*$Z$418</f>
        <v>0</v>
      </c>
      <c r="AG418" s="6">
        <f>$O$418*$AA$418</f>
        <v>0</v>
      </c>
    </row>
    <row r="419" spans="1:33" ht="11.25" customHeight="1" x14ac:dyDescent="0.3">
      <c r="A419" s="4" t="s">
        <v>21</v>
      </c>
      <c r="B419" s="4" t="s">
        <v>39</v>
      </c>
      <c r="C419" s="4" t="s">
        <v>41</v>
      </c>
      <c r="D419" s="4" t="s">
        <v>38</v>
      </c>
      <c r="E419" s="4" t="s">
        <v>25</v>
      </c>
      <c r="F419" s="4" t="s">
        <v>25</v>
      </c>
      <c r="G419" s="4" t="s">
        <v>25</v>
      </c>
      <c r="H419" s="4" t="s">
        <v>34</v>
      </c>
      <c r="I419" s="5">
        <v>44501</v>
      </c>
      <c r="J419" s="6">
        <v>0</v>
      </c>
      <c r="K419" s="6">
        <v>0</v>
      </c>
      <c r="L419" s="6">
        <v>155.779</v>
      </c>
      <c r="M419" s="6">
        <v>155.779</v>
      </c>
      <c r="N419" s="6">
        <v>155.779</v>
      </c>
      <c r="O419" s="6">
        <v>155.779</v>
      </c>
      <c r="P419" s="6">
        <v>0</v>
      </c>
      <c r="Q419" s="4" t="s">
        <v>26</v>
      </c>
      <c r="R419" s="4">
        <v>0</v>
      </c>
      <c r="S419" s="6">
        <v>0</v>
      </c>
      <c r="T419" s="6">
        <v>8</v>
      </c>
      <c r="U419" s="6">
        <v>38</v>
      </c>
      <c r="V419" s="6">
        <f>IF(ISERROR(VLOOKUP($S$419,'TAR FIN'!$A$1:$O$113,15,0)),0,VLOOKUP($S$419,'TAR FIN'!$A$1:$O$113,15,0))</f>
        <v>0</v>
      </c>
      <c r="W419" s="6">
        <f>IF(ISERROR(VLOOKUP($T$419,'TAR FIN'!$A$1:$O$113,15,0)),0,VLOOKUP($T$419,'TAR FIN'!$A$1:$O$113,15,0))</f>
        <v>940.43</v>
      </c>
      <c r="X419" s="6">
        <f>IF(ISERROR(VLOOKUP($U$419,'TAR FIN'!$A$1:$O$113,15,0)),0,VLOOKUP($U$419,'TAR FIN'!$A$1:$O$113,15,0))</f>
        <v>442.86</v>
      </c>
      <c r="Y419" s="6"/>
      <c r="Z419" s="6">
        <f ca="1">('TUSD BE'!$AM$20+'TUSD BF_350'!$AM$20+'TUSD CVA'!$AM$20)*1</f>
        <v>1117.8285588949407</v>
      </c>
      <c r="AA419" s="6">
        <f ca="1">('TE BE'!$AB$9+'TE BF_350'!$AB$9+'TE CVA'!$AB$9)*1</f>
        <v>379.30999999999995</v>
      </c>
      <c r="AB419" s="6">
        <f>$K$419*$V$419</f>
        <v>0</v>
      </c>
      <c r="AC419" s="6">
        <f>$M$419*$W$419</f>
        <v>146499.24497</v>
      </c>
      <c r="AD419" s="6">
        <f>$O$419*$X$419</f>
        <v>68988.287939999995</v>
      </c>
      <c r="AE419" s="6">
        <f>$K$419*$Y$419</f>
        <v>0</v>
      </c>
      <c r="AF419" s="6">
        <f ca="1">$M$419*$Z$419</f>
        <v>174134.21507609496</v>
      </c>
      <c r="AG419" s="6">
        <f ca="1">$O$419*$AA$419</f>
        <v>59088.532489999991</v>
      </c>
    </row>
    <row r="420" spans="1:33" ht="11.25" customHeight="1" x14ac:dyDescent="0.3">
      <c r="A420" s="4" t="s">
        <v>21</v>
      </c>
      <c r="B420" s="4" t="s">
        <v>39</v>
      </c>
      <c r="C420" s="4" t="s">
        <v>41</v>
      </c>
      <c r="D420" s="4" t="s">
        <v>38</v>
      </c>
      <c r="E420" s="4" t="s">
        <v>25</v>
      </c>
      <c r="F420" s="4" t="s">
        <v>25</v>
      </c>
      <c r="G420" s="4" t="s">
        <v>25</v>
      </c>
      <c r="H420" s="4" t="s">
        <v>34</v>
      </c>
      <c r="I420" s="5">
        <v>44501</v>
      </c>
      <c r="J420" s="6">
        <v>0</v>
      </c>
      <c r="K420" s="6">
        <v>0</v>
      </c>
      <c r="L420" s="6">
        <v>87.932000000000002</v>
      </c>
      <c r="M420" s="6">
        <v>87.932000000000002</v>
      </c>
      <c r="N420" s="6">
        <v>0</v>
      </c>
      <c r="O420" s="6">
        <v>0</v>
      </c>
      <c r="P420" s="6">
        <v>0</v>
      </c>
      <c r="Q420" s="4" t="s">
        <v>55</v>
      </c>
      <c r="R420" s="4">
        <v>0</v>
      </c>
      <c r="S420" s="6">
        <v>0</v>
      </c>
      <c r="T420" s="6">
        <v>8</v>
      </c>
      <c r="U420" s="6">
        <v>0</v>
      </c>
      <c r="V420" s="6">
        <f>IF(ISERROR(VLOOKUP($S$420,'TAR FIN'!$A$1:$O$113,15,0)),0,VLOOKUP($S$420,'TAR FIN'!$A$1:$O$113,15,0))</f>
        <v>0</v>
      </c>
      <c r="W420" s="6">
        <f>IF(ISERROR(VLOOKUP($T$420,'TAR FIN'!$A$1:$O$113,15,0)),0,VLOOKUP($T$420,'TAR FIN'!$A$1:$O$113,15,0))</f>
        <v>940.43</v>
      </c>
      <c r="X420" s="6">
        <f>IF(ISERROR(VLOOKUP($U$420,'TAR FIN'!$A$1:$O$113,15,0)),0,VLOOKUP($U$420,'TAR FIN'!$A$1:$O$113,15,0))</f>
        <v>0</v>
      </c>
      <c r="Y420" s="6"/>
      <c r="Z420" s="6">
        <f ca="1">('TUSD BE'!$AM$20+'TUSD BF_350'!$AM$20+'TUSD CVA'!$AM$20)*1</f>
        <v>1117.8285588949407</v>
      </c>
      <c r="AA420" s="6"/>
      <c r="AB420" s="6">
        <f>$K$420*$V$420</f>
        <v>0</v>
      </c>
      <c r="AC420" s="6">
        <f>$M$420*$W$420</f>
        <v>82693.890759999995</v>
      </c>
      <c r="AD420" s="6">
        <f>$O$420*$X$420</f>
        <v>0</v>
      </c>
      <c r="AE420" s="6">
        <f>$K$420*$Y$420</f>
        <v>0</v>
      </c>
      <c r="AF420" s="6">
        <f ca="1">$M$420*$Z$420</f>
        <v>98292.90084074992</v>
      </c>
      <c r="AG420" s="6">
        <f>$O$420*$AA$420</f>
        <v>0</v>
      </c>
    </row>
    <row r="421" spans="1:33" ht="11.25" customHeight="1" x14ac:dyDescent="0.3">
      <c r="A421" s="4" t="s">
        <v>21</v>
      </c>
      <c r="B421" s="4" t="s">
        <v>39</v>
      </c>
      <c r="C421" s="4" t="s">
        <v>41</v>
      </c>
      <c r="D421" s="4" t="s">
        <v>38</v>
      </c>
      <c r="E421" s="4" t="s">
        <v>25</v>
      </c>
      <c r="F421" s="4" t="s">
        <v>25</v>
      </c>
      <c r="G421" s="4" t="s">
        <v>25</v>
      </c>
      <c r="H421" s="4" t="s">
        <v>34</v>
      </c>
      <c r="I421" s="5">
        <v>44531</v>
      </c>
      <c r="J421" s="6">
        <v>0</v>
      </c>
      <c r="K421" s="6">
        <v>0</v>
      </c>
      <c r="L421" s="6">
        <v>164.52199999999999</v>
      </c>
      <c r="M421" s="6">
        <v>164.52199999999999</v>
      </c>
      <c r="N421" s="6">
        <v>164.52199999999999</v>
      </c>
      <c r="O421" s="6">
        <v>164.52199999999999</v>
      </c>
      <c r="P421" s="6">
        <v>0</v>
      </c>
      <c r="Q421" s="4" t="s">
        <v>26</v>
      </c>
      <c r="R421" s="4">
        <v>0</v>
      </c>
      <c r="S421" s="6">
        <v>0</v>
      </c>
      <c r="T421" s="6">
        <v>8</v>
      </c>
      <c r="U421" s="6">
        <v>38</v>
      </c>
      <c r="V421" s="6">
        <f>IF(ISERROR(VLOOKUP($S$421,'TAR FIN'!$A$1:$O$113,15,0)),0,VLOOKUP($S$421,'TAR FIN'!$A$1:$O$113,15,0))</f>
        <v>0</v>
      </c>
      <c r="W421" s="6">
        <f>IF(ISERROR(VLOOKUP($T$421,'TAR FIN'!$A$1:$O$113,15,0)),0,VLOOKUP($T$421,'TAR FIN'!$A$1:$O$113,15,0))</f>
        <v>940.43</v>
      </c>
      <c r="X421" s="6">
        <f>IF(ISERROR(VLOOKUP($U$421,'TAR FIN'!$A$1:$O$113,15,0)),0,VLOOKUP($U$421,'TAR FIN'!$A$1:$O$113,15,0))</f>
        <v>442.86</v>
      </c>
      <c r="Y421" s="6"/>
      <c r="Z421" s="6">
        <f ca="1">('TUSD BE'!$AM$20+'TUSD BF_350'!$AM$20+'TUSD CVA'!$AM$20)*1</f>
        <v>1117.8285588949407</v>
      </c>
      <c r="AA421" s="6">
        <f ca="1">('TE BE'!$AB$9+'TE BF_350'!$AB$9+'TE CVA'!$AB$9)*1</f>
        <v>379.30999999999995</v>
      </c>
      <c r="AB421" s="6">
        <f>$K$421*$V$421</f>
        <v>0</v>
      </c>
      <c r="AC421" s="6">
        <f>$M$421*$W$421</f>
        <v>154721.42445999998</v>
      </c>
      <c r="AD421" s="6">
        <f>$O$421*$X$421</f>
        <v>72860.212920000005</v>
      </c>
      <c r="AE421" s="6">
        <f>$K$421*$Y$421</f>
        <v>0</v>
      </c>
      <c r="AF421" s="6">
        <f ca="1">$M$421*$Z$421</f>
        <v>183907.39016651342</v>
      </c>
      <c r="AG421" s="6">
        <f ca="1">$O$421*$AA$421</f>
        <v>62404.839819999987</v>
      </c>
    </row>
    <row r="422" spans="1:33" ht="11.25" customHeight="1" x14ac:dyDescent="0.3">
      <c r="A422" s="4" t="s">
        <v>21</v>
      </c>
      <c r="B422" s="4" t="s">
        <v>39</v>
      </c>
      <c r="C422" s="4" t="s">
        <v>41</v>
      </c>
      <c r="D422" s="4" t="s">
        <v>38</v>
      </c>
      <c r="E422" s="4" t="s">
        <v>25</v>
      </c>
      <c r="F422" s="4" t="s">
        <v>25</v>
      </c>
      <c r="G422" s="4" t="s">
        <v>25</v>
      </c>
      <c r="H422" s="4" t="s">
        <v>34</v>
      </c>
      <c r="I422" s="5">
        <v>44531</v>
      </c>
      <c r="J422" s="6">
        <v>0</v>
      </c>
      <c r="K422" s="6">
        <v>0</v>
      </c>
      <c r="L422" s="6">
        <v>78.861000000000004</v>
      </c>
      <c r="M422" s="6">
        <v>78.861000000000004</v>
      </c>
      <c r="N422" s="6">
        <v>0</v>
      </c>
      <c r="O422" s="6">
        <v>0</v>
      </c>
      <c r="P422" s="6">
        <v>0</v>
      </c>
      <c r="Q422" s="4" t="s">
        <v>55</v>
      </c>
      <c r="R422" s="4">
        <v>0</v>
      </c>
      <c r="S422" s="6">
        <v>0</v>
      </c>
      <c r="T422" s="6">
        <v>8</v>
      </c>
      <c r="U422" s="6">
        <v>0</v>
      </c>
      <c r="V422" s="6">
        <f>IF(ISERROR(VLOOKUP($S$422,'TAR FIN'!$A$1:$O$113,15,0)),0,VLOOKUP($S$422,'TAR FIN'!$A$1:$O$113,15,0))</f>
        <v>0</v>
      </c>
      <c r="W422" s="6">
        <f>IF(ISERROR(VLOOKUP($T$422,'TAR FIN'!$A$1:$O$113,15,0)),0,VLOOKUP($T$422,'TAR FIN'!$A$1:$O$113,15,0))</f>
        <v>940.43</v>
      </c>
      <c r="X422" s="6">
        <f>IF(ISERROR(VLOOKUP($U$422,'TAR FIN'!$A$1:$O$113,15,0)),0,VLOOKUP($U$422,'TAR FIN'!$A$1:$O$113,15,0))</f>
        <v>0</v>
      </c>
      <c r="Y422" s="6"/>
      <c r="Z422" s="6">
        <f ca="1">('TUSD BE'!$AM$20+'TUSD BF_350'!$AM$20+'TUSD CVA'!$AM$20)*1</f>
        <v>1117.8285588949407</v>
      </c>
      <c r="AA422" s="6"/>
      <c r="AB422" s="6">
        <f>$K$422*$V$422</f>
        <v>0</v>
      </c>
      <c r="AC422" s="6">
        <f>$M$422*$W$422</f>
        <v>74163.250230000005</v>
      </c>
      <c r="AD422" s="6">
        <f>$O$422*$X$422</f>
        <v>0</v>
      </c>
      <c r="AE422" s="6">
        <f>$K$422*$Y$422</f>
        <v>0</v>
      </c>
      <c r="AF422" s="6">
        <f ca="1">$M$422*$Z$422</f>
        <v>88153.077983013922</v>
      </c>
      <c r="AG422" s="6">
        <f>$O$422*$AA$422</f>
        <v>0</v>
      </c>
    </row>
    <row r="423" spans="1:33" ht="11.25" customHeight="1" x14ac:dyDescent="0.3">
      <c r="A423" s="4" t="s">
        <v>21</v>
      </c>
      <c r="B423" s="4" t="s">
        <v>39</v>
      </c>
      <c r="C423" s="4" t="s">
        <v>41</v>
      </c>
      <c r="D423" s="4" t="s">
        <v>38</v>
      </c>
      <c r="E423" s="4" t="s">
        <v>25</v>
      </c>
      <c r="F423" s="4" t="s">
        <v>25</v>
      </c>
      <c r="G423" s="4" t="s">
        <v>25</v>
      </c>
      <c r="H423" s="4" t="s">
        <v>34</v>
      </c>
      <c r="I423" s="5">
        <v>44562</v>
      </c>
      <c r="J423" s="6">
        <v>0</v>
      </c>
      <c r="K423" s="6">
        <v>0</v>
      </c>
      <c r="L423" s="6">
        <v>155.499</v>
      </c>
      <c r="M423" s="6">
        <v>155.499</v>
      </c>
      <c r="N423" s="6">
        <v>155.499</v>
      </c>
      <c r="O423" s="6">
        <v>155.499</v>
      </c>
      <c r="P423" s="6">
        <v>0</v>
      </c>
      <c r="Q423" s="4" t="s">
        <v>26</v>
      </c>
      <c r="R423" s="4">
        <v>0</v>
      </c>
      <c r="S423" s="6">
        <v>0</v>
      </c>
      <c r="T423" s="6">
        <v>8</v>
      </c>
      <c r="U423" s="6">
        <v>38</v>
      </c>
      <c r="V423" s="6">
        <f>IF(ISERROR(VLOOKUP($S$423,'TAR FIN'!$A$1:$O$113,15,0)),0,VLOOKUP($S$423,'TAR FIN'!$A$1:$O$113,15,0))</f>
        <v>0</v>
      </c>
      <c r="W423" s="6">
        <f>IF(ISERROR(VLOOKUP($T$423,'TAR FIN'!$A$1:$O$113,15,0)),0,VLOOKUP($T$423,'TAR FIN'!$A$1:$O$113,15,0))</f>
        <v>940.43</v>
      </c>
      <c r="X423" s="6">
        <f>IF(ISERROR(VLOOKUP($U$423,'TAR FIN'!$A$1:$O$113,15,0)),0,VLOOKUP($U$423,'TAR FIN'!$A$1:$O$113,15,0))</f>
        <v>442.86</v>
      </c>
      <c r="Y423" s="6"/>
      <c r="Z423" s="6">
        <f ca="1">('TUSD BE'!$AM$20+'TUSD BF_350'!$AM$20+'TUSD CVA'!$AM$20)*1</f>
        <v>1117.8285588949407</v>
      </c>
      <c r="AA423" s="6">
        <f ca="1">('TE BE'!$AB$9+'TE BF_350'!$AB$9+'TE CVA'!$AB$9)*1</f>
        <v>379.30999999999995</v>
      </c>
      <c r="AB423" s="6">
        <f>$K$423*$V$423</f>
        <v>0</v>
      </c>
      <c r="AC423" s="6">
        <f>$M$423*$W$423</f>
        <v>146235.92456999997</v>
      </c>
      <c r="AD423" s="6">
        <f>$O$423*$X$423</f>
        <v>68864.28714</v>
      </c>
      <c r="AE423" s="6">
        <f>$K$423*$Y$423</f>
        <v>0</v>
      </c>
      <c r="AF423" s="6">
        <f ca="1">$M$423*$Z$423</f>
        <v>173821.22307960439</v>
      </c>
      <c r="AG423" s="6">
        <f ca="1">$O$423*$AA$423</f>
        <v>58982.325689999991</v>
      </c>
    </row>
    <row r="424" spans="1:33" ht="11.25" customHeight="1" x14ac:dyDescent="0.3">
      <c r="A424" s="4" t="s">
        <v>21</v>
      </c>
      <c r="B424" s="4" t="s">
        <v>39</v>
      </c>
      <c r="C424" s="4" t="s">
        <v>41</v>
      </c>
      <c r="D424" s="4" t="s">
        <v>38</v>
      </c>
      <c r="E424" s="4" t="s">
        <v>25</v>
      </c>
      <c r="F424" s="4" t="s">
        <v>25</v>
      </c>
      <c r="G424" s="4" t="s">
        <v>25</v>
      </c>
      <c r="H424" s="4" t="s">
        <v>34</v>
      </c>
      <c r="I424" s="5">
        <v>44562</v>
      </c>
      <c r="J424" s="6">
        <v>0</v>
      </c>
      <c r="K424" s="6">
        <v>0</v>
      </c>
      <c r="L424" s="6">
        <v>67.552999999999997</v>
      </c>
      <c r="M424" s="6">
        <v>67.552999999999997</v>
      </c>
      <c r="N424" s="6">
        <v>0</v>
      </c>
      <c r="O424" s="6">
        <v>0</v>
      </c>
      <c r="P424" s="6">
        <v>0</v>
      </c>
      <c r="Q424" s="4" t="s">
        <v>55</v>
      </c>
      <c r="R424" s="4">
        <v>0</v>
      </c>
      <c r="S424" s="6">
        <v>0</v>
      </c>
      <c r="T424" s="6">
        <v>8</v>
      </c>
      <c r="U424" s="6">
        <v>0</v>
      </c>
      <c r="V424" s="6">
        <f>IF(ISERROR(VLOOKUP($S$424,'TAR FIN'!$A$1:$O$113,15,0)),0,VLOOKUP($S$424,'TAR FIN'!$A$1:$O$113,15,0))</f>
        <v>0</v>
      </c>
      <c r="W424" s="6">
        <f>IF(ISERROR(VLOOKUP($T$424,'TAR FIN'!$A$1:$O$113,15,0)),0,VLOOKUP($T$424,'TAR FIN'!$A$1:$O$113,15,0))</f>
        <v>940.43</v>
      </c>
      <c r="X424" s="6">
        <f>IF(ISERROR(VLOOKUP($U$424,'TAR FIN'!$A$1:$O$113,15,0)),0,VLOOKUP($U$424,'TAR FIN'!$A$1:$O$113,15,0))</f>
        <v>0</v>
      </c>
      <c r="Y424" s="6"/>
      <c r="Z424" s="6">
        <f ca="1">('TUSD BE'!$AM$20+'TUSD BF_350'!$AM$20+'TUSD CVA'!$AM$20)*1</f>
        <v>1117.8285588949407</v>
      </c>
      <c r="AA424" s="6"/>
      <c r="AB424" s="6">
        <f>$K$424*$V$424</f>
        <v>0</v>
      </c>
      <c r="AC424" s="6">
        <f>$M$424*$W$424</f>
        <v>63528.867789999997</v>
      </c>
      <c r="AD424" s="6">
        <f>$O$424*$X$424</f>
        <v>0</v>
      </c>
      <c r="AE424" s="6">
        <f>$K$424*$Y$424</f>
        <v>0</v>
      </c>
      <c r="AF424" s="6">
        <f ca="1">$M$424*$Z$424</f>
        <v>75512.67263902993</v>
      </c>
      <c r="AG424" s="6">
        <f>$O$424*$AA$424</f>
        <v>0</v>
      </c>
    </row>
    <row r="425" spans="1:33" ht="11.25" customHeight="1" x14ac:dyDescent="0.3">
      <c r="A425" s="4" t="s">
        <v>21</v>
      </c>
      <c r="B425" s="4" t="s">
        <v>39</v>
      </c>
      <c r="C425" s="4" t="s">
        <v>41</v>
      </c>
      <c r="D425" s="4" t="s">
        <v>38</v>
      </c>
      <c r="E425" s="4" t="s">
        <v>25</v>
      </c>
      <c r="F425" s="4" t="s">
        <v>25</v>
      </c>
      <c r="G425" s="4" t="s">
        <v>25</v>
      </c>
      <c r="H425" s="4" t="s">
        <v>34</v>
      </c>
      <c r="I425" s="5">
        <v>44593</v>
      </c>
      <c r="J425" s="6">
        <v>0</v>
      </c>
      <c r="K425" s="6">
        <v>0</v>
      </c>
      <c r="L425" s="6">
        <v>148.649</v>
      </c>
      <c r="M425" s="6">
        <v>148.649</v>
      </c>
      <c r="N425" s="6">
        <v>148.649</v>
      </c>
      <c r="O425" s="6">
        <v>148.649</v>
      </c>
      <c r="P425" s="6">
        <v>0</v>
      </c>
      <c r="Q425" s="4" t="s">
        <v>26</v>
      </c>
      <c r="R425" s="4">
        <v>0</v>
      </c>
      <c r="S425" s="6">
        <v>0</v>
      </c>
      <c r="T425" s="6">
        <v>8</v>
      </c>
      <c r="U425" s="6">
        <v>38</v>
      </c>
      <c r="V425" s="6">
        <f>IF(ISERROR(VLOOKUP($S$425,'TAR FIN'!$A$1:$O$113,15,0)),0,VLOOKUP($S$425,'TAR FIN'!$A$1:$O$113,15,0))</f>
        <v>0</v>
      </c>
      <c r="W425" s="6">
        <f>IF(ISERROR(VLOOKUP($T$425,'TAR FIN'!$A$1:$O$113,15,0)),0,VLOOKUP($T$425,'TAR FIN'!$A$1:$O$113,15,0))</f>
        <v>940.43</v>
      </c>
      <c r="X425" s="6">
        <f>IF(ISERROR(VLOOKUP($U$425,'TAR FIN'!$A$1:$O$113,15,0)),0,VLOOKUP($U$425,'TAR FIN'!$A$1:$O$113,15,0))</f>
        <v>442.86</v>
      </c>
      <c r="Y425" s="6"/>
      <c r="Z425" s="6">
        <f ca="1">('TUSD BE'!$AM$20+'TUSD BF_350'!$AM$20+'TUSD CVA'!$AM$20)*1</f>
        <v>1117.8285588949407</v>
      </c>
      <c r="AA425" s="6">
        <f ca="1">('TE BE'!$AB$9+'TE BF_350'!$AB$9+'TE CVA'!$AB$9)*1</f>
        <v>379.30999999999995</v>
      </c>
      <c r="AB425" s="6">
        <f>$K$425*$V$425</f>
        <v>0</v>
      </c>
      <c r="AC425" s="6">
        <f>$M$425*$W$425</f>
        <v>139793.97907</v>
      </c>
      <c r="AD425" s="6">
        <f>$O$425*$X$425</f>
        <v>65830.69614</v>
      </c>
      <c r="AE425" s="6">
        <f>$K$425*$Y$425</f>
        <v>0</v>
      </c>
      <c r="AF425" s="6">
        <f ca="1">$M$425*$Z$425</f>
        <v>166164.09745117405</v>
      </c>
      <c r="AG425" s="6">
        <f ca="1">$O$425*$AA$425</f>
        <v>56384.052189999995</v>
      </c>
    </row>
    <row r="426" spans="1:33" ht="11.25" customHeight="1" x14ac:dyDescent="0.3">
      <c r="A426" s="4" t="s">
        <v>28</v>
      </c>
      <c r="B426" s="4" t="s">
        <v>39</v>
      </c>
      <c r="C426" s="4" t="s">
        <v>41</v>
      </c>
      <c r="D426" s="4" t="s">
        <v>38</v>
      </c>
      <c r="E426" s="4" t="s">
        <v>25</v>
      </c>
      <c r="F426" s="4" t="s">
        <v>25</v>
      </c>
      <c r="G426" s="4" t="s">
        <v>25</v>
      </c>
      <c r="H426" s="4" t="s">
        <v>34</v>
      </c>
      <c r="I426" s="5">
        <v>44593</v>
      </c>
      <c r="J426" s="6">
        <v>0</v>
      </c>
      <c r="K426" s="6">
        <v>0</v>
      </c>
      <c r="L426" s="6">
        <v>3.7490000000000001</v>
      </c>
      <c r="M426" s="6">
        <v>3.7490000000000001</v>
      </c>
      <c r="N426" s="6">
        <v>3.7490000000000001</v>
      </c>
      <c r="O426" s="6">
        <v>3.7490000000000001</v>
      </c>
      <c r="P426" s="6">
        <v>0</v>
      </c>
      <c r="Q426" s="4" t="s">
        <v>26</v>
      </c>
      <c r="R426" s="4">
        <v>0</v>
      </c>
      <c r="S426" s="6">
        <v>0</v>
      </c>
      <c r="T426" s="6">
        <v>8</v>
      </c>
      <c r="U426" s="6">
        <v>38</v>
      </c>
      <c r="V426" s="6">
        <f>IF(ISERROR(VLOOKUP($S$426,'TAR FIN'!$A$1:$O$113,15,0)),0,VLOOKUP($S$426,'TAR FIN'!$A$1:$O$113,15,0))</f>
        <v>0</v>
      </c>
      <c r="W426" s="6">
        <f>IF(ISERROR(VLOOKUP($T$426,'TAR FIN'!$A$1:$O$113,15,0)),0,VLOOKUP($T$426,'TAR FIN'!$A$1:$O$113,15,0))</f>
        <v>940.43</v>
      </c>
      <c r="X426" s="6">
        <f>IF(ISERROR(VLOOKUP($U$426,'TAR FIN'!$A$1:$O$113,15,0)),0,VLOOKUP($U$426,'TAR FIN'!$A$1:$O$113,15,0))</f>
        <v>442.86</v>
      </c>
      <c r="Y426" s="6"/>
      <c r="Z426" s="6">
        <f ca="1">('TUSD BE'!$AM$20+'TUSD BF_350'!$AM$20+'TUSD CVA'!$AM$20)*1</f>
        <v>1117.8285588949407</v>
      </c>
      <c r="AA426" s="6">
        <f ca="1">('TE BE'!$AB$9+'TE BF_350'!$AB$9+'TE CVA'!$AB$9)*1</f>
        <v>379.30999999999995</v>
      </c>
      <c r="AB426" s="6">
        <f>$K$426*$V$426</f>
        <v>0</v>
      </c>
      <c r="AC426" s="6">
        <f>$M$426*$W$426</f>
        <v>3525.6720700000001</v>
      </c>
      <c r="AD426" s="6">
        <f>$O$426*$X$426</f>
        <v>1660.28214</v>
      </c>
      <c r="AE426" s="6">
        <f>$K$426*$Y$426</f>
        <v>0</v>
      </c>
      <c r="AF426" s="6">
        <f ca="1">$M$426*$Z$426</f>
        <v>4190.7392672971328</v>
      </c>
      <c r="AG426" s="6">
        <f ca="1">$O$426*$AA$426</f>
        <v>1422.0331899999999</v>
      </c>
    </row>
    <row r="427" spans="1:33" ht="11.25" customHeight="1" x14ac:dyDescent="0.3">
      <c r="A427" s="4" t="s">
        <v>21</v>
      </c>
      <c r="B427" s="4" t="s">
        <v>39</v>
      </c>
      <c r="C427" s="4" t="s">
        <v>41</v>
      </c>
      <c r="D427" s="4" t="s">
        <v>38</v>
      </c>
      <c r="E427" s="4" t="s">
        <v>25</v>
      </c>
      <c r="F427" s="4" t="s">
        <v>25</v>
      </c>
      <c r="G427" s="4" t="s">
        <v>25</v>
      </c>
      <c r="H427" s="4" t="s">
        <v>34</v>
      </c>
      <c r="I427" s="5">
        <v>44593</v>
      </c>
      <c r="J427" s="6">
        <v>0</v>
      </c>
      <c r="K427" s="6">
        <v>0</v>
      </c>
      <c r="L427" s="6">
        <v>84.46</v>
      </c>
      <c r="M427" s="6">
        <v>84.46</v>
      </c>
      <c r="N427" s="6">
        <v>0</v>
      </c>
      <c r="O427" s="6">
        <v>0</v>
      </c>
      <c r="P427" s="6">
        <v>0</v>
      </c>
      <c r="Q427" s="4" t="s">
        <v>55</v>
      </c>
      <c r="R427" s="4">
        <v>0</v>
      </c>
      <c r="S427" s="6">
        <v>0</v>
      </c>
      <c r="T427" s="6">
        <v>8</v>
      </c>
      <c r="U427" s="6">
        <v>0</v>
      </c>
      <c r="V427" s="6">
        <f>IF(ISERROR(VLOOKUP($S$427,'TAR FIN'!$A$1:$O$113,15,0)),0,VLOOKUP($S$427,'TAR FIN'!$A$1:$O$113,15,0))</f>
        <v>0</v>
      </c>
      <c r="W427" s="6">
        <f>IF(ISERROR(VLOOKUP($T$427,'TAR FIN'!$A$1:$O$113,15,0)),0,VLOOKUP($T$427,'TAR FIN'!$A$1:$O$113,15,0))</f>
        <v>940.43</v>
      </c>
      <c r="X427" s="6">
        <f>IF(ISERROR(VLOOKUP($U$427,'TAR FIN'!$A$1:$O$113,15,0)),0,VLOOKUP($U$427,'TAR FIN'!$A$1:$O$113,15,0))</f>
        <v>0</v>
      </c>
      <c r="Y427" s="6"/>
      <c r="Z427" s="6">
        <f ca="1">('TUSD BE'!$AM$20+'TUSD BF_350'!$AM$20+'TUSD CVA'!$AM$20)*1</f>
        <v>1117.8285588949407</v>
      </c>
      <c r="AA427" s="6"/>
      <c r="AB427" s="6">
        <f>$K$427*$V$427</f>
        <v>0</v>
      </c>
      <c r="AC427" s="6">
        <f>$M$427*$W$427</f>
        <v>79428.717799999984</v>
      </c>
      <c r="AD427" s="6">
        <f>$O$427*$X$427</f>
        <v>0</v>
      </c>
      <c r="AE427" s="6">
        <f>$K$427*$Y$427</f>
        <v>0</v>
      </c>
      <c r="AF427" s="6">
        <f ca="1">$M$427*$Z$427</f>
        <v>94411.800084266681</v>
      </c>
      <c r="AG427" s="6">
        <f>$O$427*$AA$427</f>
        <v>0</v>
      </c>
    </row>
    <row r="428" spans="1:33" ht="11.25" customHeight="1" x14ac:dyDescent="0.3">
      <c r="A428" s="4" t="s">
        <v>21</v>
      </c>
      <c r="B428" s="4" t="s">
        <v>39</v>
      </c>
      <c r="C428" s="4" t="s">
        <v>41</v>
      </c>
      <c r="D428" s="4" t="s">
        <v>38</v>
      </c>
      <c r="E428" s="4" t="s">
        <v>25</v>
      </c>
      <c r="F428" s="4" t="s">
        <v>25</v>
      </c>
      <c r="G428" s="4" t="s">
        <v>25</v>
      </c>
      <c r="H428" s="4" t="s">
        <v>34</v>
      </c>
      <c r="I428" s="5">
        <v>44621</v>
      </c>
      <c r="J428" s="6">
        <v>0</v>
      </c>
      <c r="K428" s="6">
        <v>0</v>
      </c>
      <c r="L428" s="6">
        <v>162.43</v>
      </c>
      <c r="M428" s="6">
        <v>162.43</v>
      </c>
      <c r="N428" s="6">
        <v>162.43</v>
      </c>
      <c r="O428" s="6">
        <v>162.43</v>
      </c>
      <c r="P428" s="6">
        <v>0</v>
      </c>
      <c r="Q428" s="4" t="s">
        <v>26</v>
      </c>
      <c r="R428" s="4">
        <v>0</v>
      </c>
      <c r="S428" s="6">
        <v>0</v>
      </c>
      <c r="T428" s="6">
        <v>8</v>
      </c>
      <c r="U428" s="6">
        <v>38</v>
      </c>
      <c r="V428" s="6">
        <f>IF(ISERROR(VLOOKUP($S$428,'TAR FIN'!$A$1:$O$113,15,0)),0,VLOOKUP($S$428,'TAR FIN'!$A$1:$O$113,15,0))</f>
        <v>0</v>
      </c>
      <c r="W428" s="6">
        <f>IF(ISERROR(VLOOKUP($T$428,'TAR FIN'!$A$1:$O$113,15,0)),0,VLOOKUP($T$428,'TAR FIN'!$A$1:$O$113,15,0))</f>
        <v>940.43</v>
      </c>
      <c r="X428" s="6">
        <f>IF(ISERROR(VLOOKUP($U$428,'TAR FIN'!$A$1:$O$113,15,0)),0,VLOOKUP($U$428,'TAR FIN'!$A$1:$O$113,15,0))</f>
        <v>442.86</v>
      </c>
      <c r="Y428" s="6"/>
      <c r="Z428" s="6">
        <f ca="1">('TUSD BE'!$AM$20+'TUSD BF_350'!$AM$20+'TUSD CVA'!$AM$20)*1</f>
        <v>1117.8285588949407</v>
      </c>
      <c r="AA428" s="6">
        <f ca="1">('TE BE'!$AB$9+'TE BF_350'!$AB$9+'TE CVA'!$AB$9)*1</f>
        <v>379.30999999999995</v>
      </c>
      <c r="AB428" s="6">
        <f>$K$428*$V$428</f>
        <v>0</v>
      </c>
      <c r="AC428" s="6">
        <f>$M$428*$W$428</f>
        <v>152754.04490000001</v>
      </c>
      <c r="AD428" s="6">
        <f>$O$428*$X$428</f>
        <v>71933.749800000005</v>
      </c>
      <c r="AE428" s="6">
        <f>$K$428*$Y$428</f>
        <v>0</v>
      </c>
      <c r="AF428" s="6">
        <f ca="1">$M$428*$Z$428</f>
        <v>181568.89282130523</v>
      </c>
      <c r="AG428" s="6">
        <f ca="1">$O$428*$AA$428</f>
        <v>61611.323299999996</v>
      </c>
    </row>
    <row r="429" spans="1:33" ht="11.25" customHeight="1" x14ac:dyDescent="0.3">
      <c r="A429" s="4" t="s">
        <v>28</v>
      </c>
      <c r="B429" s="4" t="s">
        <v>39</v>
      </c>
      <c r="C429" s="4" t="s">
        <v>41</v>
      </c>
      <c r="D429" s="4" t="s">
        <v>38</v>
      </c>
      <c r="E429" s="4" t="s">
        <v>25</v>
      </c>
      <c r="F429" s="4" t="s">
        <v>25</v>
      </c>
      <c r="G429" s="4" t="s">
        <v>25</v>
      </c>
      <c r="H429" s="4" t="s">
        <v>34</v>
      </c>
      <c r="I429" s="5">
        <v>44621</v>
      </c>
      <c r="J429" s="6">
        <v>0</v>
      </c>
      <c r="K429" s="6">
        <v>0</v>
      </c>
      <c r="L429" s="6">
        <v>3.5339999999999998</v>
      </c>
      <c r="M429" s="6">
        <v>3.5339999999999998</v>
      </c>
      <c r="N429" s="6">
        <v>3.5339999999999998</v>
      </c>
      <c r="O429" s="6">
        <v>3.5339999999999998</v>
      </c>
      <c r="P429" s="6">
        <v>0</v>
      </c>
      <c r="Q429" s="4" t="s">
        <v>26</v>
      </c>
      <c r="R429" s="4">
        <v>0</v>
      </c>
      <c r="S429" s="6">
        <v>0</v>
      </c>
      <c r="T429" s="6">
        <v>8</v>
      </c>
      <c r="U429" s="6">
        <v>38</v>
      </c>
      <c r="V429" s="6">
        <f>IF(ISERROR(VLOOKUP($S$429,'TAR FIN'!$A$1:$O$113,15,0)),0,VLOOKUP($S$429,'TAR FIN'!$A$1:$O$113,15,0))</f>
        <v>0</v>
      </c>
      <c r="W429" s="6">
        <f>IF(ISERROR(VLOOKUP($T$429,'TAR FIN'!$A$1:$O$113,15,0)),0,VLOOKUP($T$429,'TAR FIN'!$A$1:$O$113,15,0))</f>
        <v>940.43</v>
      </c>
      <c r="X429" s="6">
        <f>IF(ISERROR(VLOOKUP($U$429,'TAR FIN'!$A$1:$O$113,15,0)),0,VLOOKUP($U$429,'TAR FIN'!$A$1:$O$113,15,0))</f>
        <v>442.86</v>
      </c>
      <c r="Y429" s="6"/>
      <c r="Z429" s="6">
        <f ca="1">('TUSD BE'!$AM$20+'TUSD BF_350'!$AM$20+'TUSD CVA'!$AM$20)*1</f>
        <v>1117.8285588949407</v>
      </c>
      <c r="AA429" s="6">
        <f ca="1">('TE BE'!$AB$9+'TE BF_350'!$AB$9+'TE CVA'!$AB$9)*1</f>
        <v>379.30999999999995</v>
      </c>
      <c r="AB429" s="6">
        <f>$K$429*$V$429</f>
        <v>0</v>
      </c>
      <c r="AC429" s="6">
        <f>$M$429*$W$429</f>
        <v>3323.4796199999996</v>
      </c>
      <c r="AD429" s="6">
        <f>$O$429*$X$429</f>
        <v>1565.0672399999999</v>
      </c>
      <c r="AE429" s="6">
        <f>$K$429*$Y$429</f>
        <v>0</v>
      </c>
      <c r="AF429" s="6">
        <f ca="1">$M$429*$Z$429</f>
        <v>3950.40612713472</v>
      </c>
      <c r="AG429" s="6">
        <f ca="1">$O$429*$AA$429</f>
        <v>1340.4815399999998</v>
      </c>
    </row>
    <row r="430" spans="1:33" ht="11.25" customHeight="1" x14ac:dyDescent="0.3">
      <c r="A430" s="4" t="s">
        <v>21</v>
      </c>
      <c r="B430" s="4" t="s">
        <v>39</v>
      </c>
      <c r="C430" s="4" t="s">
        <v>41</v>
      </c>
      <c r="D430" s="4" t="s">
        <v>38</v>
      </c>
      <c r="E430" s="4" t="s">
        <v>25</v>
      </c>
      <c r="F430" s="4" t="s">
        <v>25</v>
      </c>
      <c r="G430" s="4" t="s">
        <v>25</v>
      </c>
      <c r="H430" s="4" t="s">
        <v>34</v>
      </c>
      <c r="I430" s="5">
        <v>44621</v>
      </c>
      <c r="J430" s="6">
        <v>0</v>
      </c>
      <c r="K430" s="6">
        <v>0</v>
      </c>
      <c r="L430" s="6">
        <v>83.861000000000004</v>
      </c>
      <c r="M430" s="6">
        <v>83.861000000000004</v>
      </c>
      <c r="N430" s="6">
        <v>0</v>
      </c>
      <c r="O430" s="6">
        <v>0</v>
      </c>
      <c r="P430" s="6">
        <v>0</v>
      </c>
      <c r="Q430" s="4" t="s">
        <v>55</v>
      </c>
      <c r="R430" s="4">
        <v>0</v>
      </c>
      <c r="S430" s="6">
        <v>0</v>
      </c>
      <c r="T430" s="6">
        <v>8</v>
      </c>
      <c r="U430" s="6">
        <v>0</v>
      </c>
      <c r="V430" s="6">
        <f>IF(ISERROR(VLOOKUP($S$430,'TAR FIN'!$A$1:$O$113,15,0)),0,VLOOKUP($S$430,'TAR FIN'!$A$1:$O$113,15,0))</f>
        <v>0</v>
      </c>
      <c r="W430" s="6">
        <f>IF(ISERROR(VLOOKUP($T$430,'TAR FIN'!$A$1:$O$113,15,0)),0,VLOOKUP($T$430,'TAR FIN'!$A$1:$O$113,15,0))</f>
        <v>940.43</v>
      </c>
      <c r="X430" s="6">
        <f>IF(ISERROR(VLOOKUP($U$430,'TAR FIN'!$A$1:$O$113,15,0)),0,VLOOKUP($U$430,'TAR FIN'!$A$1:$O$113,15,0))</f>
        <v>0</v>
      </c>
      <c r="Y430" s="6"/>
      <c r="Z430" s="6">
        <f ca="1">('TUSD BE'!$AM$20+'TUSD BF_350'!$AM$20+'TUSD CVA'!$AM$20)*1</f>
        <v>1117.8285588949407</v>
      </c>
      <c r="AA430" s="6"/>
      <c r="AB430" s="6">
        <f>$K$430*$V$430</f>
        <v>0</v>
      </c>
      <c r="AC430" s="6">
        <f>$M$430*$W$430</f>
        <v>78865.400229999999</v>
      </c>
      <c r="AD430" s="6">
        <f>$O$430*$X$430</f>
        <v>0</v>
      </c>
      <c r="AE430" s="6">
        <f>$K$430*$Y$430</f>
        <v>0</v>
      </c>
      <c r="AF430" s="6">
        <f ca="1">$M$430*$Z$430</f>
        <v>93742.220777488619</v>
      </c>
      <c r="AG430" s="6">
        <f>$O$430*$AA$430</f>
        <v>0</v>
      </c>
    </row>
    <row r="431" spans="1:33" ht="11.25" customHeight="1" x14ac:dyDescent="0.3">
      <c r="A431" s="4" t="s">
        <v>21</v>
      </c>
      <c r="B431" s="4" t="s">
        <v>39</v>
      </c>
      <c r="C431" s="4" t="s">
        <v>41</v>
      </c>
      <c r="D431" s="4" t="s">
        <v>38</v>
      </c>
      <c r="E431" s="4" t="s">
        <v>25</v>
      </c>
      <c r="F431" s="4" t="s">
        <v>25</v>
      </c>
      <c r="G431" s="4" t="s">
        <v>25</v>
      </c>
      <c r="H431" s="4" t="s">
        <v>34</v>
      </c>
      <c r="I431" s="5">
        <v>44652</v>
      </c>
      <c r="J431" s="6">
        <v>0</v>
      </c>
      <c r="K431" s="6">
        <v>0</v>
      </c>
      <c r="L431" s="6">
        <v>183.04300000000001</v>
      </c>
      <c r="M431" s="6">
        <v>183.04300000000001</v>
      </c>
      <c r="N431" s="6">
        <v>183.04300000000001</v>
      </c>
      <c r="O431" s="6">
        <v>183.04300000000001</v>
      </c>
      <c r="P431" s="6">
        <v>0</v>
      </c>
      <c r="Q431" s="4" t="s">
        <v>26</v>
      </c>
      <c r="R431" s="4">
        <v>0</v>
      </c>
      <c r="S431" s="6">
        <v>0</v>
      </c>
      <c r="T431" s="6">
        <v>8</v>
      </c>
      <c r="U431" s="6">
        <v>38</v>
      </c>
      <c r="V431" s="6">
        <f>IF(ISERROR(VLOOKUP($S$431,'TAR FIN'!$A$1:$O$113,15,0)),0,VLOOKUP($S$431,'TAR FIN'!$A$1:$O$113,15,0))</f>
        <v>0</v>
      </c>
      <c r="W431" s="6">
        <f>IF(ISERROR(VLOOKUP($T$431,'TAR FIN'!$A$1:$O$113,15,0)),0,VLOOKUP($T$431,'TAR FIN'!$A$1:$O$113,15,0))</f>
        <v>940.43</v>
      </c>
      <c r="X431" s="6">
        <f>IF(ISERROR(VLOOKUP($U$431,'TAR FIN'!$A$1:$O$113,15,0)),0,VLOOKUP($U$431,'TAR FIN'!$A$1:$O$113,15,0))</f>
        <v>442.86</v>
      </c>
      <c r="Y431" s="6"/>
      <c r="Z431" s="6">
        <f ca="1">('TUSD BE'!$AM$20+'TUSD BF_350'!$AM$20+'TUSD CVA'!$AM$20)*1</f>
        <v>1117.8285588949407</v>
      </c>
      <c r="AA431" s="6">
        <f ca="1">('TE BE'!$AB$9+'TE BF_350'!$AB$9+'TE CVA'!$AB$9)*1</f>
        <v>379.30999999999995</v>
      </c>
      <c r="AB431" s="6">
        <f>$K$431*$V$431</f>
        <v>0</v>
      </c>
      <c r="AC431" s="6">
        <f>$M$431*$W$431</f>
        <v>172139.12849</v>
      </c>
      <c r="AD431" s="6">
        <f>$O$431*$X$431</f>
        <v>81062.422980000003</v>
      </c>
      <c r="AE431" s="6">
        <f>$K$431*$Y$431</f>
        <v>0</v>
      </c>
      <c r="AF431" s="6">
        <f ca="1">$M$431*$Z$431</f>
        <v>204610.69290580665</v>
      </c>
      <c r="AG431" s="6">
        <f ca="1">$O$431*$AA$431</f>
        <v>69430.040329999989</v>
      </c>
    </row>
    <row r="432" spans="1:33" ht="11.25" customHeight="1" x14ac:dyDescent="0.3">
      <c r="A432" s="4" t="s">
        <v>28</v>
      </c>
      <c r="B432" s="4" t="s">
        <v>39</v>
      </c>
      <c r="C432" s="4" t="s">
        <v>41</v>
      </c>
      <c r="D432" s="4" t="s">
        <v>38</v>
      </c>
      <c r="E432" s="4" t="s">
        <v>25</v>
      </c>
      <c r="F432" s="4" t="s">
        <v>25</v>
      </c>
      <c r="G432" s="4" t="s">
        <v>25</v>
      </c>
      <c r="H432" s="4" t="s">
        <v>34</v>
      </c>
      <c r="I432" s="5">
        <v>44652</v>
      </c>
      <c r="J432" s="6">
        <v>0</v>
      </c>
      <c r="K432" s="6">
        <v>0</v>
      </c>
      <c r="L432" s="6">
        <v>4.609</v>
      </c>
      <c r="M432" s="6">
        <v>4.609</v>
      </c>
      <c r="N432" s="6">
        <v>4.609</v>
      </c>
      <c r="O432" s="6">
        <v>4.609</v>
      </c>
      <c r="P432" s="6">
        <v>0</v>
      </c>
      <c r="Q432" s="4" t="s">
        <v>26</v>
      </c>
      <c r="R432" s="4">
        <v>0</v>
      </c>
      <c r="S432" s="6">
        <v>0</v>
      </c>
      <c r="T432" s="6">
        <v>8</v>
      </c>
      <c r="U432" s="6">
        <v>38</v>
      </c>
      <c r="V432" s="6">
        <f>IF(ISERROR(VLOOKUP($S$432,'TAR FIN'!$A$1:$O$113,15,0)),0,VLOOKUP($S$432,'TAR FIN'!$A$1:$O$113,15,0))</f>
        <v>0</v>
      </c>
      <c r="W432" s="6">
        <f>IF(ISERROR(VLOOKUP($T$432,'TAR FIN'!$A$1:$O$113,15,0)),0,VLOOKUP($T$432,'TAR FIN'!$A$1:$O$113,15,0))</f>
        <v>940.43</v>
      </c>
      <c r="X432" s="6">
        <f>IF(ISERROR(VLOOKUP($U$432,'TAR FIN'!$A$1:$O$113,15,0)),0,VLOOKUP($U$432,'TAR FIN'!$A$1:$O$113,15,0))</f>
        <v>442.86</v>
      </c>
      <c r="Y432" s="6"/>
      <c r="Z432" s="6">
        <f ca="1">('TUSD BE'!$AM$20+'TUSD BF_350'!$AM$20+'TUSD CVA'!$AM$20)*1</f>
        <v>1117.8285588949407</v>
      </c>
      <c r="AA432" s="6">
        <f ca="1">('TE BE'!$AB$9+'TE BF_350'!$AB$9+'TE CVA'!$AB$9)*1</f>
        <v>379.30999999999995</v>
      </c>
      <c r="AB432" s="6">
        <f>$K$432*$V$432</f>
        <v>0</v>
      </c>
      <c r="AC432" s="6">
        <f>$M$432*$W$432</f>
        <v>4334.4418699999997</v>
      </c>
      <c r="AD432" s="6">
        <f>$O$432*$X$432</f>
        <v>2041.14174</v>
      </c>
      <c r="AE432" s="6">
        <f>$K$432*$Y$432</f>
        <v>0</v>
      </c>
      <c r="AF432" s="6">
        <f ca="1">$M$432*$Z$432</f>
        <v>5152.0718279467819</v>
      </c>
      <c r="AG432" s="6">
        <f ca="1">$O$432*$AA$432</f>
        <v>1748.2397899999996</v>
      </c>
    </row>
    <row r="433" spans="1:33" ht="11.25" customHeight="1" x14ac:dyDescent="0.3">
      <c r="A433" s="4" t="s">
        <v>21</v>
      </c>
      <c r="B433" s="4" t="s">
        <v>39</v>
      </c>
      <c r="C433" s="4" t="s">
        <v>41</v>
      </c>
      <c r="D433" s="4" t="s">
        <v>38</v>
      </c>
      <c r="E433" s="4" t="s">
        <v>25</v>
      </c>
      <c r="F433" s="4" t="s">
        <v>25</v>
      </c>
      <c r="G433" s="4" t="s">
        <v>25</v>
      </c>
      <c r="H433" s="4" t="s">
        <v>34</v>
      </c>
      <c r="I433" s="5">
        <v>44652</v>
      </c>
      <c r="J433" s="6">
        <v>0</v>
      </c>
      <c r="K433" s="6">
        <v>0</v>
      </c>
      <c r="L433" s="6">
        <v>90.254999999999995</v>
      </c>
      <c r="M433" s="6">
        <v>90.254999999999995</v>
      </c>
      <c r="N433" s="6">
        <v>0</v>
      </c>
      <c r="O433" s="6">
        <v>0</v>
      </c>
      <c r="P433" s="6">
        <v>0</v>
      </c>
      <c r="Q433" s="4" t="s">
        <v>55</v>
      </c>
      <c r="R433" s="4">
        <v>0</v>
      </c>
      <c r="S433" s="6">
        <v>0</v>
      </c>
      <c r="T433" s="6">
        <v>8</v>
      </c>
      <c r="U433" s="6">
        <v>0</v>
      </c>
      <c r="V433" s="6">
        <f>IF(ISERROR(VLOOKUP($S$433,'TAR FIN'!$A$1:$O$113,15,0)),0,VLOOKUP($S$433,'TAR FIN'!$A$1:$O$113,15,0))</f>
        <v>0</v>
      </c>
      <c r="W433" s="6">
        <f>IF(ISERROR(VLOOKUP($T$433,'TAR FIN'!$A$1:$O$113,15,0)),0,VLOOKUP($T$433,'TAR FIN'!$A$1:$O$113,15,0))</f>
        <v>940.43</v>
      </c>
      <c r="X433" s="6">
        <f>IF(ISERROR(VLOOKUP($U$433,'TAR FIN'!$A$1:$O$113,15,0)),0,VLOOKUP($U$433,'TAR FIN'!$A$1:$O$113,15,0))</f>
        <v>0</v>
      </c>
      <c r="Y433" s="6"/>
      <c r="Z433" s="6">
        <f ca="1">('TUSD BE'!$AM$20+'TUSD BF_350'!$AM$20+'TUSD CVA'!$AM$20)*1</f>
        <v>1117.8285588949407</v>
      </c>
      <c r="AA433" s="6"/>
      <c r="AB433" s="6">
        <f>$K$433*$V$433</f>
        <v>0</v>
      </c>
      <c r="AC433" s="6">
        <f>$M$433*$W$433</f>
        <v>84878.509649999993</v>
      </c>
      <c r="AD433" s="6">
        <f>$O$433*$X$433</f>
        <v>0</v>
      </c>
      <c r="AE433" s="6">
        <f>$K$433*$Y$433</f>
        <v>0</v>
      </c>
      <c r="AF433" s="6">
        <f ca="1">$M$433*$Z$433</f>
        <v>100889.61658306286</v>
      </c>
      <c r="AG433" s="6">
        <f>$O$433*$AA$433</f>
        <v>0</v>
      </c>
    </row>
    <row r="434" spans="1:33" ht="11.25" customHeight="1" x14ac:dyDescent="0.3">
      <c r="A434" s="4" t="s">
        <v>21</v>
      </c>
      <c r="B434" s="4" t="s">
        <v>39</v>
      </c>
      <c r="C434" s="4" t="s">
        <v>41</v>
      </c>
      <c r="D434" s="4" t="s">
        <v>38</v>
      </c>
      <c r="E434" s="4" t="s">
        <v>25</v>
      </c>
      <c r="F434" s="4" t="s">
        <v>25</v>
      </c>
      <c r="G434" s="4" t="s">
        <v>25</v>
      </c>
      <c r="H434" s="4" t="s">
        <v>34</v>
      </c>
      <c r="I434" s="5">
        <v>44682</v>
      </c>
      <c r="J434" s="6">
        <v>0</v>
      </c>
      <c r="K434" s="6">
        <v>0</v>
      </c>
      <c r="L434" s="6">
        <v>153.35499999999999</v>
      </c>
      <c r="M434" s="6">
        <v>153.35499999999999</v>
      </c>
      <c r="N434" s="6">
        <v>153.35499999999999</v>
      </c>
      <c r="O434" s="6">
        <v>153.35499999999999</v>
      </c>
      <c r="P434" s="6">
        <v>0</v>
      </c>
      <c r="Q434" s="4" t="s">
        <v>26</v>
      </c>
      <c r="R434" s="4">
        <v>0</v>
      </c>
      <c r="S434" s="6">
        <v>0</v>
      </c>
      <c r="T434" s="6">
        <v>8</v>
      </c>
      <c r="U434" s="6">
        <v>38</v>
      </c>
      <c r="V434" s="6">
        <f>IF(ISERROR(VLOOKUP($S$434,'TAR FIN'!$A$1:$O$113,15,0)),0,VLOOKUP($S$434,'TAR FIN'!$A$1:$O$113,15,0))</f>
        <v>0</v>
      </c>
      <c r="W434" s="6">
        <f>IF(ISERROR(VLOOKUP($T$434,'TAR FIN'!$A$1:$O$113,15,0)),0,VLOOKUP($T$434,'TAR FIN'!$A$1:$O$113,15,0))</f>
        <v>940.43</v>
      </c>
      <c r="X434" s="6">
        <f>IF(ISERROR(VLOOKUP($U$434,'TAR FIN'!$A$1:$O$113,15,0)),0,VLOOKUP($U$434,'TAR FIN'!$A$1:$O$113,15,0))</f>
        <v>442.86</v>
      </c>
      <c r="Y434" s="6"/>
      <c r="Z434" s="6">
        <f ca="1">('TUSD BE'!$AM$20+'TUSD BF_350'!$AM$20+'TUSD CVA'!$AM$20)*1</f>
        <v>1117.8285588949407</v>
      </c>
      <c r="AA434" s="6">
        <f ca="1">('TE BE'!$AB$9+'TE BF_350'!$AB$9+'TE CVA'!$AB$9)*1</f>
        <v>379.30999999999995</v>
      </c>
      <c r="AB434" s="6">
        <f>$K$434*$V$434</f>
        <v>0</v>
      </c>
      <c r="AC434" s="6">
        <f>$M$434*$W$434</f>
        <v>144219.64264999999</v>
      </c>
      <c r="AD434" s="6">
        <f>$O$434*$X$434</f>
        <v>67914.795299999998</v>
      </c>
      <c r="AE434" s="6">
        <f>$K$434*$Y$434</f>
        <v>0</v>
      </c>
      <c r="AF434" s="6">
        <f ca="1">$M$434*$Z$434</f>
        <v>171424.59864933361</v>
      </c>
      <c r="AG434" s="6">
        <f ca="1">$O$434*$AA$434</f>
        <v>58169.085049999987</v>
      </c>
    </row>
    <row r="435" spans="1:33" ht="11.25" customHeight="1" x14ac:dyDescent="0.3">
      <c r="A435" s="4" t="s">
        <v>28</v>
      </c>
      <c r="B435" s="4" t="s">
        <v>39</v>
      </c>
      <c r="C435" s="4" t="s">
        <v>41</v>
      </c>
      <c r="D435" s="4" t="s">
        <v>38</v>
      </c>
      <c r="E435" s="4" t="s">
        <v>25</v>
      </c>
      <c r="F435" s="4" t="s">
        <v>25</v>
      </c>
      <c r="G435" s="4" t="s">
        <v>25</v>
      </c>
      <c r="H435" s="4" t="s">
        <v>34</v>
      </c>
      <c r="I435" s="5">
        <v>44682</v>
      </c>
      <c r="J435" s="6">
        <v>0</v>
      </c>
      <c r="K435" s="6">
        <v>0</v>
      </c>
      <c r="L435" s="6">
        <v>4.7350000000000003</v>
      </c>
      <c r="M435" s="6">
        <v>4.7350000000000003</v>
      </c>
      <c r="N435" s="6">
        <v>4.7350000000000003</v>
      </c>
      <c r="O435" s="6">
        <v>4.7350000000000003</v>
      </c>
      <c r="P435" s="6">
        <v>0</v>
      </c>
      <c r="Q435" s="4" t="s">
        <v>26</v>
      </c>
      <c r="R435" s="4">
        <v>0</v>
      </c>
      <c r="S435" s="6">
        <v>0</v>
      </c>
      <c r="T435" s="6">
        <v>8</v>
      </c>
      <c r="U435" s="6">
        <v>38</v>
      </c>
      <c r="V435" s="6">
        <f>IF(ISERROR(VLOOKUP($S$435,'TAR FIN'!$A$1:$O$113,15,0)),0,VLOOKUP($S$435,'TAR FIN'!$A$1:$O$113,15,0))</f>
        <v>0</v>
      </c>
      <c r="W435" s="6">
        <f>IF(ISERROR(VLOOKUP($T$435,'TAR FIN'!$A$1:$O$113,15,0)),0,VLOOKUP($T$435,'TAR FIN'!$A$1:$O$113,15,0))</f>
        <v>940.43</v>
      </c>
      <c r="X435" s="6">
        <f>IF(ISERROR(VLOOKUP($U$435,'TAR FIN'!$A$1:$O$113,15,0)),0,VLOOKUP($U$435,'TAR FIN'!$A$1:$O$113,15,0))</f>
        <v>442.86</v>
      </c>
      <c r="Y435" s="6"/>
      <c r="Z435" s="6">
        <f ca="1">('TUSD BE'!$AM$20+'TUSD BF_350'!$AM$20+'TUSD CVA'!$AM$20)*1</f>
        <v>1117.8285588949407</v>
      </c>
      <c r="AA435" s="6">
        <f ca="1">('TE BE'!$AB$9+'TE BF_350'!$AB$9+'TE CVA'!$AB$9)*1</f>
        <v>379.30999999999995</v>
      </c>
      <c r="AB435" s="6">
        <f>$K$435*$V$435</f>
        <v>0</v>
      </c>
      <c r="AC435" s="6">
        <f>$M$435*$W$435</f>
        <v>4452.9360500000003</v>
      </c>
      <c r="AD435" s="6">
        <f>$O$435*$X$435</f>
        <v>2096.9421000000002</v>
      </c>
      <c r="AE435" s="6">
        <f>$K$435*$Y$435</f>
        <v>0</v>
      </c>
      <c r="AF435" s="6">
        <f ca="1">$M$435*$Z$435</f>
        <v>5292.9182263675448</v>
      </c>
      <c r="AG435" s="6">
        <f ca="1">$O$435*$AA$435</f>
        <v>1796.0328499999998</v>
      </c>
    </row>
    <row r="436" spans="1:33" ht="11.25" customHeight="1" x14ac:dyDescent="0.3">
      <c r="A436" s="4" t="s">
        <v>21</v>
      </c>
      <c r="B436" s="4" t="s">
        <v>39</v>
      </c>
      <c r="C436" s="4" t="s">
        <v>41</v>
      </c>
      <c r="D436" s="4" t="s">
        <v>38</v>
      </c>
      <c r="E436" s="4" t="s">
        <v>25</v>
      </c>
      <c r="F436" s="4" t="s">
        <v>25</v>
      </c>
      <c r="G436" s="4" t="s">
        <v>25</v>
      </c>
      <c r="H436" s="4" t="s">
        <v>34</v>
      </c>
      <c r="I436" s="5">
        <v>44682</v>
      </c>
      <c r="J436" s="6">
        <v>0</v>
      </c>
      <c r="K436" s="6">
        <v>0</v>
      </c>
      <c r="L436" s="6">
        <v>80.528000000000006</v>
      </c>
      <c r="M436" s="6">
        <v>80.528000000000006</v>
      </c>
      <c r="N436" s="6">
        <v>0</v>
      </c>
      <c r="O436" s="6">
        <v>0</v>
      </c>
      <c r="P436" s="6">
        <v>0</v>
      </c>
      <c r="Q436" s="4" t="s">
        <v>55</v>
      </c>
      <c r="R436" s="4">
        <v>0</v>
      </c>
      <c r="S436" s="6">
        <v>0</v>
      </c>
      <c r="T436" s="6">
        <v>8</v>
      </c>
      <c r="U436" s="6">
        <v>0</v>
      </c>
      <c r="V436" s="6">
        <f>IF(ISERROR(VLOOKUP($S$436,'TAR FIN'!$A$1:$O$113,15,0)),0,VLOOKUP($S$436,'TAR FIN'!$A$1:$O$113,15,0))</f>
        <v>0</v>
      </c>
      <c r="W436" s="6">
        <f>IF(ISERROR(VLOOKUP($T$436,'TAR FIN'!$A$1:$O$113,15,0)),0,VLOOKUP($T$436,'TAR FIN'!$A$1:$O$113,15,0))</f>
        <v>940.43</v>
      </c>
      <c r="X436" s="6">
        <f>IF(ISERROR(VLOOKUP($U$436,'TAR FIN'!$A$1:$O$113,15,0)),0,VLOOKUP($U$436,'TAR FIN'!$A$1:$O$113,15,0))</f>
        <v>0</v>
      </c>
      <c r="Y436" s="6"/>
      <c r="Z436" s="6">
        <f ca="1">('TUSD BE'!$AM$20+'TUSD BF_350'!$AM$20+'TUSD CVA'!$AM$20)*1</f>
        <v>1117.8285588949407</v>
      </c>
      <c r="AA436" s="6"/>
      <c r="AB436" s="6">
        <f>$K$436*$V$436</f>
        <v>0</v>
      </c>
      <c r="AC436" s="6">
        <f>$M$436*$W$436</f>
        <v>75730.947039999999</v>
      </c>
      <c r="AD436" s="6">
        <f>$O$436*$X$436</f>
        <v>0</v>
      </c>
      <c r="AE436" s="6">
        <f>$K$436*$Y$436</f>
        <v>0</v>
      </c>
      <c r="AF436" s="6">
        <f ca="1">$M$436*$Z$436</f>
        <v>90016.498190691782</v>
      </c>
      <c r="AG436" s="6">
        <f>$O$436*$AA$436</f>
        <v>0</v>
      </c>
    </row>
    <row r="437" spans="1:33" ht="11.25" customHeight="1" x14ac:dyDescent="0.3">
      <c r="A437" s="4" t="s">
        <v>21</v>
      </c>
      <c r="B437" s="4" t="s">
        <v>39</v>
      </c>
      <c r="C437" s="4" t="s">
        <v>41</v>
      </c>
      <c r="D437" s="4" t="s">
        <v>38</v>
      </c>
      <c r="E437" s="4" t="s">
        <v>25</v>
      </c>
      <c r="F437" s="4" t="s">
        <v>25</v>
      </c>
      <c r="G437" s="4" t="s">
        <v>25</v>
      </c>
      <c r="H437" s="4" t="s">
        <v>34</v>
      </c>
      <c r="I437" s="5">
        <v>44713</v>
      </c>
      <c r="J437" s="6">
        <v>0</v>
      </c>
      <c r="K437" s="6">
        <v>0</v>
      </c>
      <c r="L437" s="6">
        <v>176.46600000000001</v>
      </c>
      <c r="M437" s="6">
        <v>176.46600000000001</v>
      </c>
      <c r="N437" s="6">
        <v>176.46600000000001</v>
      </c>
      <c r="O437" s="6">
        <v>176.46600000000001</v>
      </c>
      <c r="P437" s="6">
        <v>0</v>
      </c>
      <c r="Q437" s="4" t="s">
        <v>26</v>
      </c>
      <c r="R437" s="4">
        <v>0</v>
      </c>
      <c r="S437" s="6">
        <v>0</v>
      </c>
      <c r="T437" s="6">
        <v>8</v>
      </c>
      <c r="U437" s="6">
        <v>38</v>
      </c>
      <c r="V437" s="6">
        <f>IF(ISERROR(VLOOKUP($S$437,'TAR FIN'!$A$1:$O$113,15,0)),0,VLOOKUP($S$437,'TAR FIN'!$A$1:$O$113,15,0))</f>
        <v>0</v>
      </c>
      <c r="W437" s="6">
        <f>IF(ISERROR(VLOOKUP($T$437,'TAR FIN'!$A$1:$O$113,15,0)),0,VLOOKUP($T$437,'TAR FIN'!$A$1:$O$113,15,0))</f>
        <v>940.43</v>
      </c>
      <c r="X437" s="6">
        <f>IF(ISERROR(VLOOKUP($U$437,'TAR FIN'!$A$1:$O$113,15,0)),0,VLOOKUP($U$437,'TAR FIN'!$A$1:$O$113,15,0))</f>
        <v>442.86</v>
      </c>
      <c r="Y437" s="6"/>
      <c r="Z437" s="6">
        <f ca="1">('TUSD BE'!$AM$20+'TUSD BF_350'!$AM$20+'TUSD CVA'!$AM$20)*1</f>
        <v>1117.8285588949407</v>
      </c>
      <c r="AA437" s="6">
        <f ca="1">('TE BE'!$AB$9+'TE BF_350'!$AB$9+'TE CVA'!$AB$9)*1</f>
        <v>379.30999999999995</v>
      </c>
      <c r="AB437" s="6">
        <f>$K$437*$V$437</f>
        <v>0</v>
      </c>
      <c r="AC437" s="6">
        <f>$M$437*$W$437</f>
        <v>165953.92038</v>
      </c>
      <c r="AD437" s="6">
        <f>$O$437*$X$437</f>
        <v>78149.732759999999</v>
      </c>
      <c r="AE437" s="6">
        <f>$K$437*$Y$437</f>
        <v>0</v>
      </c>
      <c r="AF437" s="6">
        <f ca="1">$M$437*$Z$437</f>
        <v>197258.7344739546</v>
      </c>
      <c r="AG437" s="6">
        <f ca="1">$O$437*$AA$437</f>
        <v>66935.318459999995</v>
      </c>
    </row>
    <row r="438" spans="1:33" ht="11.25" customHeight="1" x14ac:dyDescent="0.3">
      <c r="A438" s="4" t="s">
        <v>28</v>
      </c>
      <c r="B438" s="4" t="s">
        <v>39</v>
      </c>
      <c r="C438" s="4" t="s">
        <v>41</v>
      </c>
      <c r="D438" s="4" t="s">
        <v>38</v>
      </c>
      <c r="E438" s="4" t="s">
        <v>25</v>
      </c>
      <c r="F438" s="4" t="s">
        <v>25</v>
      </c>
      <c r="G438" s="4" t="s">
        <v>25</v>
      </c>
      <c r="H438" s="4" t="s">
        <v>34</v>
      </c>
      <c r="I438" s="5">
        <v>44713</v>
      </c>
      <c r="J438" s="6">
        <v>0</v>
      </c>
      <c r="K438" s="6">
        <v>0</v>
      </c>
      <c r="L438" s="6">
        <v>5.508</v>
      </c>
      <c r="M438" s="6">
        <v>5.508</v>
      </c>
      <c r="N438" s="6">
        <v>5.508</v>
      </c>
      <c r="O438" s="6">
        <v>5.508</v>
      </c>
      <c r="P438" s="6">
        <v>0</v>
      </c>
      <c r="Q438" s="4" t="s">
        <v>26</v>
      </c>
      <c r="R438" s="4">
        <v>0</v>
      </c>
      <c r="S438" s="6">
        <v>0</v>
      </c>
      <c r="T438" s="6">
        <v>8</v>
      </c>
      <c r="U438" s="6">
        <v>38</v>
      </c>
      <c r="V438" s="6">
        <f>IF(ISERROR(VLOOKUP($S$438,'TAR FIN'!$A$1:$O$113,15,0)),0,VLOOKUP($S$438,'TAR FIN'!$A$1:$O$113,15,0))</f>
        <v>0</v>
      </c>
      <c r="W438" s="6">
        <f>IF(ISERROR(VLOOKUP($T$438,'TAR FIN'!$A$1:$O$113,15,0)),0,VLOOKUP($T$438,'TAR FIN'!$A$1:$O$113,15,0))</f>
        <v>940.43</v>
      </c>
      <c r="X438" s="6">
        <f>IF(ISERROR(VLOOKUP($U$438,'TAR FIN'!$A$1:$O$113,15,0)),0,VLOOKUP($U$438,'TAR FIN'!$A$1:$O$113,15,0))</f>
        <v>442.86</v>
      </c>
      <c r="Y438" s="6"/>
      <c r="Z438" s="6">
        <f ca="1">('TUSD BE'!$AM$20+'TUSD BF_350'!$AM$20+'TUSD CVA'!$AM$20)*1</f>
        <v>1117.8285588949407</v>
      </c>
      <c r="AA438" s="6">
        <f ca="1">('TE BE'!$AB$9+'TE BF_350'!$AB$9+'TE CVA'!$AB$9)*1</f>
        <v>379.30999999999995</v>
      </c>
      <c r="AB438" s="6">
        <f>$K$438*$V$438</f>
        <v>0</v>
      </c>
      <c r="AC438" s="6">
        <f>$M$438*$W$438</f>
        <v>5179.8884399999997</v>
      </c>
      <c r="AD438" s="6">
        <f>$O$438*$X$438</f>
        <v>2439.27288</v>
      </c>
      <c r="AE438" s="6">
        <f>$K$438*$Y$438</f>
        <v>0</v>
      </c>
      <c r="AF438" s="6">
        <f ca="1">$M$438*$Z$438</f>
        <v>6156.9997023933329</v>
      </c>
      <c r="AG438" s="6">
        <f ca="1">$O$438*$AA$438</f>
        <v>2089.2394799999997</v>
      </c>
    </row>
    <row r="439" spans="1:33" ht="11.25" customHeight="1" x14ac:dyDescent="0.3">
      <c r="A439" s="4" t="s">
        <v>21</v>
      </c>
      <c r="B439" s="4" t="s">
        <v>39</v>
      </c>
      <c r="C439" s="4" t="s">
        <v>41</v>
      </c>
      <c r="D439" s="4" t="s">
        <v>38</v>
      </c>
      <c r="E439" s="4" t="s">
        <v>25</v>
      </c>
      <c r="F439" s="4" t="s">
        <v>25</v>
      </c>
      <c r="G439" s="4" t="s">
        <v>25</v>
      </c>
      <c r="H439" s="4" t="s">
        <v>34</v>
      </c>
      <c r="I439" s="5">
        <v>44713</v>
      </c>
      <c r="J439" s="6">
        <v>0</v>
      </c>
      <c r="K439" s="6">
        <v>0</v>
      </c>
      <c r="L439" s="6">
        <v>89.091999999999999</v>
      </c>
      <c r="M439" s="6">
        <v>89.091999999999999</v>
      </c>
      <c r="N439" s="6">
        <v>0</v>
      </c>
      <c r="O439" s="6">
        <v>0</v>
      </c>
      <c r="P439" s="6">
        <v>0</v>
      </c>
      <c r="Q439" s="4" t="s">
        <v>55</v>
      </c>
      <c r="R439" s="4">
        <v>0</v>
      </c>
      <c r="S439" s="6">
        <v>0</v>
      </c>
      <c r="T439" s="6">
        <v>8</v>
      </c>
      <c r="U439" s="6">
        <v>0</v>
      </c>
      <c r="V439" s="6">
        <f>IF(ISERROR(VLOOKUP($S$439,'TAR FIN'!$A$1:$O$113,15,0)),0,VLOOKUP($S$439,'TAR FIN'!$A$1:$O$113,15,0))</f>
        <v>0</v>
      </c>
      <c r="W439" s="6">
        <f>IF(ISERROR(VLOOKUP($T$439,'TAR FIN'!$A$1:$O$113,15,0)),0,VLOOKUP($T$439,'TAR FIN'!$A$1:$O$113,15,0))</f>
        <v>940.43</v>
      </c>
      <c r="X439" s="6">
        <f>IF(ISERROR(VLOOKUP($U$439,'TAR FIN'!$A$1:$O$113,15,0)),0,VLOOKUP($U$439,'TAR FIN'!$A$1:$O$113,15,0))</f>
        <v>0</v>
      </c>
      <c r="Y439" s="6"/>
      <c r="Z439" s="6">
        <f ca="1">('TUSD BE'!$AM$20+'TUSD BF_350'!$AM$20+'TUSD CVA'!$AM$20)*1</f>
        <v>1117.8285588949407</v>
      </c>
      <c r="AA439" s="6"/>
      <c r="AB439" s="6">
        <f>$K$439*$V$439</f>
        <v>0</v>
      </c>
      <c r="AC439" s="6">
        <f>$M$439*$W$439</f>
        <v>83784.78955999999</v>
      </c>
      <c r="AD439" s="6">
        <f>$O$439*$X$439</f>
        <v>0</v>
      </c>
      <c r="AE439" s="6">
        <f>$K$439*$Y$439</f>
        <v>0</v>
      </c>
      <c r="AF439" s="6">
        <f ca="1">$M$439*$Z$439</f>
        <v>99589.581969068051</v>
      </c>
      <c r="AG439" s="6">
        <f>$O$439*$AA$439</f>
        <v>0</v>
      </c>
    </row>
    <row r="440" spans="1:33" ht="11.25" customHeight="1" x14ac:dyDescent="0.3">
      <c r="A440" s="4" t="s">
        <v>21</v>
      </c>
      <c r="B440" s="4" t="s">
        <v>39</v>
      </c>
      <c r="C440" s="4" t="s">
        <v>41</v>
      </c>
      <c r="D440" s="4" t="s">
        <v>38</v>
      </c>
      <c r="E440" s="4" t="s">
        <v>25</v>
      </c>
      <c r="F440" s="4" t="s">
        <v>25</v>
      </c>
      <c r="G440" s="4" t="s">
        <v>25</v>
      </c>
      <c r="H440" s="4" t="s">
        <v>34</v>
      </c>
      <c r="I440" s="5">
        <v>44743</v>
      </c>
      <c r="J440" s="6">
        <v>0</v>
      </c>
      <c r="K440" s="6">
        <v>0</v>
      </c>
      <c r="L440" s="6">
        <v>181.10499999999999</v>
      </c>
      <c r="M440" s="6">
        <v>181.10499999999999</v>
      </c>
      <c r="N440" s="6">
        <v>181.10499999999999</v>
      </c>
      <c r="O440" s="6">
        <v>181.10499999999999</v>
      </c>
      <c r="P440" s="6">
        <v>0</v>
      </c>
      <c r="Q440" s="4" t="s">
        <v>26</v>
      </c>
      <c r="R440" s="4">
        <v>0</v>
      </c>
      <c r="S440" s="6">
        <v>0</v>
      </c>
      <c r="T440" s="6">
        <v>8</v>
      </c>
      <c r="U440" s="6">
        <v>38</v>
      </c>
      <c r="V440" s="6">
        <f>IF(ISERROR(VLOOKUP($S$440,'TAR FIN'!$A$1:$O$113,15,0)),0,VLOOKUP($S$440,'TAR FIN'!$A$1:$O$113,15,0))</f>
        <v>0</v>
      </c>
      <c r="W440" s="6">
        <f>IF(ISERROR(VLOOKUP($T$440,'TAR FIN'!$A$1:$O$113,15,0)),0,VLOOKUP($T$440,'TAR FIN'!$A$1:$O$113,15,0))</f>
        <v>940.43</v>
      </c>
      <c r="X440" s="6">
        <f>IF(ISERROR(VLOOKUP($U$440,'TAR FIN'!$A$1:$O$113,15,0)),0,VLOOKUP($U$440,'TAR FIN'!$A$1:$O$113,15,0))</f>
        <v>442.86</v>
      </c>
      <c r="Y440" s="6"/>
      <c r="Z440" s="6">
        <f ca="1">('TUSD BE'!$AM$20+'TUSD BF_350'!$AM$20+'TUSD CVA'!$AM$20)*1</f>
        <v>1117.8285588949407</v>
      </c>
      <c r="AA440" s="6">
        <f ca="1">('TE BE'!$AB$9+'TE BF_350'!$AB$9+'TE CVA'!$AB$9)*1</f>
        <v>379.30999999999995</v>
      </c>
      <c r="AB440" s="6">
        <f>$K$440*$V$440</f>
        <v>0</v>
      </c>
      <c r="AC440" s="6">
        <f>$M$440*$W$440</f>
        <v>170316.57514999999</v>
      </c>
      <c r="AD440" s="6">
        <f>$O$440*$X$440</f>
        <v>80204.160300000003</v>
      </c>
      <c r="AE440" s="6">
        <f>$K$440*$Y$440</f>
        <v>0</v>
      </c>
      <c r="AF440" s="6">
        <f ca="1">$M$440*$Z$440</f>
        <v>202444.34115866822</v>
      </c>
      <c r="AG440" s="6">
        <f ca="1">$O$440*$AA$440</f>
        <v>68694.937549999988</v>
      </c>
    </row>
    <row r="441" spans="1:33" ht="11.25" customHeight="1" x14ac:dyDescent="0.3">
      <c r="A441" s="4" t="s">
        <v>21</v>
      </c>
      <c r="B441" s="4" t="s">
        <v>39</v>
      </c>
      <c r="C441" s="4" t="s">
        <v>41</v>
      </c>
      <c r="D441" s="4" t="s">
        <v>38</v>
      </c>
      <c r="E441" s="4" t="s">
        <v>25</v>
      </c>
      <c r="F441" s="4" t="s">
        <v>25</v>
      </c>
      <c r="G441" s="4" t="s">
        <v>25</v>
      </c>
      <c r="H441" s="4" t="s">
        <v>34</v>
      </c>
      <c r="I441" s="5">
        <v>44743</v>
      </c>
      <c r="J441" s="6">
        <v>0</v>
      </c>
      <c r="K441" s="6">
        <v>0</v>
      </c>
      <c r="L441" s="6">
        <v>54.564</v>
      </c>
      <c r="M441" s="6">
        <v>54.564</v>
      </c>
      <c r="N441" s="6">
        <v>0</v>
      </c>
      <c r="O441" s="6">
        <v>0</v>
      </c>
      <c r="P441" s="6">
        <v>0</v>
      </c>
      <c r="Q441" s="4" t="s">
        <v>55</v>
      </c>
      <c r="R441" s="4">
        <v>0</v>
      </c>
      <c r="S441" s="6">
        <v>0</v>
      </c>
      <c r="T441" s="6">
        <v>8</v>
      </c>
      <c r="U441" s="6">
        <v>0</v>
      </c>
      <c r="V441" s="6">
        <f>IF(ISERROR(VLOOKUP($S$441,'TAR FIN'!$A$1:$O$113,15,0)),0,VLOOKUP($S$441,'TAR FIN'!$A$1:$O$113,15,0))</f>
        <v>0</v>
      </c>
      <c r="W441" s="6">
        <f>IF(ISERROR(VLOOKUP($T$441,'TAR FIN'!$A$1:$O$113,15,0)),0,VLOOKUP($T$441,'TAR FIN'!$A$1:$O$113,15,0))</f>
        <v>940.43</v>
      </c>
      <c r="X441" s="6">
        <f>IF(ISERROR(VLOOKUP($U$441,'TAR FIN'!$A$1:$O$113,15,0)),0,VLOOKUP($U$441,'TAR FIN'!$A$1:$O$113,15,0))</f>
        <v>0</v>
      </c>
      <c r="Y441" s="6"/>
      <c r="Z441" s="6">
        <f ca="1">('TUSD BE'!$AM$20+'TUSD BF_350'!$AM$20+'TUSD CVA'!$AM$20)*1</f>
        <v>1117.8285588949407</v>
      </c>
      <c r="AA441" s="6"/>
      <c r="AB441" s="6">
        <f>$K$441*$V$441</f>
        <v>0</v>
      </c>
      <c r="AC441" s="6">
        <f>$M$441*$W$441</f>
        <v>51313.622519999997</v>
      </c>
      <c r="AD441" s="6">
        <f>$O$441*$X$441</f>
        <v>0</v>
      </c>
      <c r="AE441" s="6">
        <f>$K$441*$Y$441</f>
        <v>0</v>
      </c>
      <c r="AF441" s="6">
        <f ca="1">$M$441*$Z$441</f>
        <v>60993.197487543541</v>
      </c>
      <c r="AG441" s="6">
        <f>$O$441*$AA$441</f>
        <v>0</v>
      </c>
    </row>
    <row r="442" spans="1:33" ht="11.25" customHeight="1" x14ac:dyDescent="0.3">
      <c r="A442" s="4" t="s">
        <v>21</v>
      </c>
      <c r="B442" s="4" t="s">
        <v>39</v>
      </c>
      <c r="C442" s="4" t="s">
        <v>41</v>
      </c>
      <c r="D442" s="4" t="s">
        <v>38</v>
      </c>
      <c r="E442" s="4" t="s">
        <v>25</v>
      </c>
      <c r="F442" s="4" t="s">
        <v>25</v>
      </c>
      <c r="G442" s="4" t="s">
        <v>25</v>
      </c>
      <c r="H442" s="4" t="s">
        <v>34</v>
      </c>
      <c r="I442" s="5">
        <v>44774</v>
      </c>
      <c r="J442" s="6">
        <v>0</v>
      </c>
      <c r="K442" s="6">
        <v>0</v>
      </c>
      <c r="L442" s="6">
        <v>178.84399999999999</v>
      </c>
      <c r="M442" s="6">
        <v>178.84399999999999</v>
      </c>
      <c r="N442" s="6">
        <v>178.84399999999999</v>
      </c>
      <c r="O442" s="6">
        <v>178.84399999999999</v>
      </c>
      <c r="P442" s="6">
        <v>0</v>
      </c>
      <c r="Q442" s="4" t="s">
        <v>26</v>
      </c>
      <c r="R442" s="4">
        <v>0</v>
      </c>
      <c r="S442" s="6">
        <v>0</v>
      </c>
      <c r="T442" s="6">
        <v>8</v>
      </c>
      <c r="U442" s="6">
        <v>38</v>
      </c>
      <c r="V442" s="6">
        <f>IF(ISERROR(VLOOKUP($S$442,'TAR FIN'!$A$1:$O$113,15,0)),0,VLOOKUP($S$442,'TAR FIN'!$A$1:$O$113,15,0))</f>
        <v>0</v>
      </c>
      <c r="W442" s="6">
        <f>IF(ISERROR(VLOOKUP($T$442,'TAR FIN'!$A$1:$O$113,15,0)),0,VLOOKUP($T$442,'TAR FIN'!$A$1:$O$113,15,0))</f>
        <v>940.43</v>
      </c>
      <c r="X442" s="6">
        <f>IF(ISERROR(VLOOKUP($U$442,'TAR FIN'!$A$1:$O$113,15,0)),0,VLOOKUP($U$442,'TAR FIN'!$A$1:$O$113,15,0))</f>
        <v>442.86</v>
      </c>
      <c r="Y442" s="6"/>
      <c r="Z442" s="6">
        <f ca="1">('TUSD BE'!$AM$20+'TUSD BF_350'!$AM$20+'TUSD CVA'!$AM$20)*1</f>
        <v>1117.8285588949407</v>
      </c>
      <c r="AA442" s="6">
        <f ca="1">('TE BE'!$AB$9+'TE BF_350'!$AB$9+'TE CVA'!$AB$9)*1</f>
        <v>379.30999999999995</v>
      </c>
      <c r="AB442" s="6">
        <f>$K$442*$V$442</f>
        <v>0</v>
      </c>
      <c r="AC442" s="6">
        <f>$M$442*$W$442</f>
        <v>168190.26291999998</v>
      </c>
      <c r="AD442" s="6">
        <f>$O$442*$X$442</f>
        <v>79202.853839999996</v>
      </c>
      <c r="AE442" s="6">
        <f>$K$442*$Y$442</f>
        <v>0</v>
      </c>
      <c r="AF442" s="6">
        <f ca="1">$M$442*$Z$442</f>
        <v>199916.93078700677</v>
      </c>
      <c r="AG442" s="6">
        <f ca="1">$O$442*$AA$442</f>
        <v>67837.317639999994</v>
      </c>
    </row>
    <row r="443" spans="1:33" ht="11.25" customHeight="1" x14ac:dyDescent="0.3">
      <c r="A443" s="4" t="s">
        <v>27</v>
      </c>
      <c r="B443" s="4" t="s">
        <v>39</v>
      </c>
      <c r="C443" s="4" t="s">
        <v>41</v>
      </c>
      <c r="D443" s="4" t="s">
        <v>38</v>
      </c>
      <c r="E443" s="4" t="s">
        <v>25</v>
      </c>
      <c r="F443" s="4" t="s">
        <v>25</v>
      </c>
      <c r="G443" s="4" t="s">
        <v>25</v>
      </c>
      <c r="H443" s="4" t="s">
        <v>34</v>
      </c>
      <c r="I443" s="5">
        <v>44774</v>
      </c>
      <c r="J443" s="6">
        <v>0</v>
      </c>
      <c r="K443" s="6">
        <v>0</v>
      </c>
      <c r="L443" s="6">
        <v>-9.6170000000000009</v>
      </c>
      <c r="M443" s="6">
        <v>-9.6170000000000009</v>
      </c>
      <c r="N443" s="6">
        <v>-9.6170000000000009</v>
      </c>
      <c r="O443" s="6">
        <v>-9.6170000000000009</v>
      </c>
      <c r="P443" s="6">
        <v>0</v>
      </c>
      <c r="Q443" s="4" t="s">
        <v>26</v>
      </c>
      <c r="R443" s="4">
        <v>0</v>
      </c>
      <c r="S443" s="6">
        <v>0</v>
      </c>
      <c r="T443" s="6">
        <v>8</v>
      </c>
      <c r="U443" s="6">
        <v>38</v>
      </c>
      <c r="V443" s="6">
        <f>IF(ISERROR(VLOOKUP($S$443,'TAR FIN'!$A$1:$O$113,15,0)),0,VLOOKUP($S$443,'TAR FIN'!$A$1:$O$113,15,0))</f>
        <v>0</v>
      </c>
      <c r="W443" s="6">
        <f>IF(ISERROR(VLOOKUP($T$443,'TAR FIN'!$A$1:$O$113,15,0)),0,VLOOKUP($T$443,'TAR FIN'!$A$1:$O$113,15,0))</f>
        <v>940.43</v>
      </c>
      <c r="X443" s="6">
        <f>IF(ISERROR(VLOOKUP($U$443,'TAR FIN'!$A$1:$O$113,15,0)),0,VLOOKUP($U$443,'TAR FIN'!$A$1:$O$113,15,0))</f>
        <v>442.86</v>
      </c>
      <c r="Y443" s="6"/>
      <c r="Z443" s="6">
        <f ca="1">('TUSD BE'!$AM$20+'TUSD BF_350'!$AM$20+'TUSD CVA'!$AM$20)*1</f>
        <v>1117.8285588949407</v>
      </c>
      <c r="AA443" s="6">
        <f ca="1">('TE BE'!$AB$9+'TE BF_350'!$AB$9+'TE CVA'!$AB$9)*1</f>
        <v>379.30999999999995</v>
      </c>
      <c r="AB443" s="6">
        <f>$K$443*$V$443</f>
        <v>0</v>
      </c>
      <c r="AC443" s="6">
        <f>$M$443*$W$443</f>
        <v>-9044.115310000001</v>
      </c>
      <c r="AD443" s="6">
        <f>$O$443*$X$443</f>
        <v>-4258.9846200000002</v>
      </c>
      <c r="AE443" s="6">
        <f>$K$443*$Y$443</f>
        <v>0</v>
      </c>
      <c r="AF443" s="6">
        <f ca="1">$M$443*$Z$443</f>
        <v>-10750.157250892646</v>
      </c>
      <c r="AG443" s="6">
        <f ca="1">$O$443*$AA$443</f>
        <v>-3647.8242699999996</v>
      </c>
    </row>
    <row r="444" spans="1:33" ht="11.25" customHeight="1" x14ac:dyDescent="0.3">
      <c r="A444" s="4" t="s">
        <v>28</v>
      </c>
      <c r="B444" s="4" t="s">
        <v>39</v>
      </c>
      <c r="C444" s="4" t="s">
        <v>41</v>
      </c>
      <c r="D444" s="4" t="s">
        <v>38</v>
      </c>
      <c r="E444" s="4" t="s">
        <v>25</v>
      </c>
      <c r="F444" s="4" t="s">
        <v>25</v>
      </c>
      <c r="G444" s="4" t="s">
        <v>25</v>
      </c>
      <c r="H444" s="4" t="s">
        <v>34</v>
      </c>
      <c r="I444" s="5">
        <v>44774</v>
      </c>
      <c r="J444" s="6">
        <v>0</v>
      </c>
      <c r="K444" s="6">
        <v>0</v>
      </c>
      <c r="L444" s="6">
        <v>5.7839999999999998</v>
      </c>
      <c r="M444" s="6">
        <v>5.7839999999999998</v>
      </c>
      <c r="N444" s="6">
        <v>5.7839999999999998</v>
      </c>
      <c r="O444" s="6">
        <v>5.7839999999999998</v>
      </c>
      <c r="P444" s="6">
        <v>0</v>
      </c>
      <c r="Q444" s="4" t="s">
        <v>26</v>
      </c>
      <c r="R444" s="4">
        <v>0</v>
      </c>
      <c r="S444" s="6">
        <v>0</v>
      </c>
      <c r="T444" s="6">
        <v>8</v>
      </c>
      <c r="U444" s="6">
        <v>38</v>
      </c>
      <c r="V444" s="6">
        <f>IF(ISERROR(VLOOKUP($S$444,'TAR FIN'!$A$1:$O$113,15,0)),0,VLOOKUP($S$444,'TAR FIN'!$A$1:$O$113,15,0))</f>
        <v>0</v>
      </c>
      <c r="W444" s="6">
        <f>IF(ISERROR(VLOOKUP($T$444,'TAR FIN'!$A$1:$O$113,15,0)),0,VLOOKUP($T$444,'TAR FIN'!$A$1:$O$113,15,0))</f>
        <v>940.43</v>
      </c>
      <c r="X444" s="6">
        <f>IF(ISERROR(VLOOKUP($U$444,'TAR FIN'!$A$1:$O$113,15,0)),0,VLOOKUP($U$444,'TAR FIN'!$A$1:$O$113,15,0))</f>
        <v>442.86</v>
      </c>
      <c r="Y444" s="6"/>
      <c r="Z444" s="6">
        <f ca="1">('TUSD BE'!$AM$20+'TUSD BF_350'!$AM$20+'TUSD CVA'!$AM$20)*1</f>
        <v>1117.8285588949407</v>
      </c>
      <c r="AA444" s="6">
        <f ca="1">('TE BE'!$AB$9+'TE BF_350'!$AB$9+'TE CVA'!$AB$9)*1</f>
        <v>379.30999999999995</v>
      </c>
      <c r="AB444" s="6">
        <f>$K$444*$V$444</f>
        <v>0</v>
      </c>
      <c r="AC444" s="6">
        <f>$M$444*$W$444</f>
        <v>5439.4471199999998</v>
      </c>
      <c r="AD444" s="6">
        <f>$O$444*$X$444</f>
        <v>2561.5022399999998</v>
      </c>
      <c r="AE444" s="6">
        <f>$K$444*$Y$444</f>
        <v>0</v>
      </c>
      <c r="AF444" s="6">
        <f ca="1">$M$444*$Z$444</f>
        <v>6465.5203846483364</v>
      </c>
      <c r="AG444" s="6">
        <f ca="1">$O$444*$AA$444</f>
        <v>2193.9290399999995</v>
      </c>
    </row>
    <row r="445" spans="1:33" ht="11.25" customHeight="1" x14ac:dyDescent="0.3">
      <c r="A445" s="4" t="s">
        <v>21</v>
      </c>
      <c r="B445" s="4" t="s">
        <v>39</v>
      </c>
      <c r="C445" s="4" t="s">
        <v>41</v>
      </c>
      <c r="D445" s="4" t="s">
        <v>38</v>
      </c>
      <c r="E445" s="4" t="s">
        <v>25</v>
      </c>
      <c r="F445" s="4" t="s">
        <v>25</v>
      </c>
      <c r="G445" s="4" t="s">
        <v>25</v>
      </c>
      <c r="H445" s="4" t="s">
        <v>34</v>
      </c>
      <c r="I445" s="5">
        <v>44774</v>
      </c>
      <c r="J445" s="6">
        <v>0</v>
      </c>
      <c r="K445" s="6">
        <v>0</v>
      </c>
      <c r="L445" s="6">
        <v>80.736999999999995</v>
      </c>
      <c r="M445" s="6">
        <v>80.736999999999995</v>
      </c>
      <c r="N445" s="6">
        <v>0</v>
      </c>
      <c r="O445" s="6">
        <v>0</v>
      </c>
      <c r="P445" s="6">
        <v>0</v>
      </c>
      <c r="Q445" s="4" t="s">
        <v>55</v>
      </c>
      <c r="R445" s="4">
        <v>0</v>
      </c>
      <c r="S445" s="6">
        <v>0</v>
      </c>
      <c r="T445" s="6">
        <v>8</v>
      </c>
      <c r="U445" s="6">
        <v>0</v>
      </c>
      <c r="V445" s="6">
        <f>IF(ISERROR(VLOOKUP($S$445,'TAR FIN'!$A$1:$O$113,15,0)),0,VLOOKUP($S$445,'TAR FIN'!$A$1:$O$113,15,0))</f>
        <v>0</v>
      </c>
      <c r="W445" s="6">
        <f>IF(ISERROR(VLOOKUP($T$445,'TAR FIN'!$A$1:$O$113,15,0)),0,VLOOKUP($T$445,'TAR FIN'!$A$1:$O$113,15,0))</f>
        <v>940.43</v>
      </c>
      <c r="X445" s="6">
        <f>IF(ISERROR(VLOOKUP($U$445,'TAR FIN'!$A$1:$O$113,15,0)),0,VLOOKUP($U$445,'TAR FIN'!$A$1:$O$113,15,0))</f>
        <v>0</v>
      </c>
      <c r="Y445" s="6"/>
      <c r="Z445" s="6">
        <f ca="1">('TUSD BE'!$AM$20+'TUSD BF_350'!$AM$20+'TUSD CVA'!$AM$20)*1</f>
        <v>1117.8285588949407</v>
      </c>
      <c r="AA445" s="6"/>
      <c r="AB445" s="6">
        <f>$K$445*$V$445</f>
        <v>0</v>
      </c>
      <c r="AC445" s="6">
        <f>$M$445*$W$445</f>
        <v>75927.496909999987</v>
      </c>
      <c r="AD445" s="6">
        <f>$O$445*$X$445</f>
        <v>0</v>
      </c>
      <c r="AE445" s="6">
        <f>$K$445*$Y$445</f>
        <v>0</v>
      </c>
      <c r="AF445" s="6">
        <f ca="1">$M$445*$Z$445</f>
        <v>90250.124359500813</v>
      </c>
      <c r="AG445" s="6">
        <f>$O$445*$AA$445</f>
        <v>0</v>
      </c>
    </row>
    <row r="446" spans="1:33" ht="11.25" customHeight="1" x14ac:dyDescent="0.3">
      <c r="A446" s="4" t="s">
        <v>21</v>
      </c>
      <c r="B446" s="4" t="s">
        <v>39</v>
      </c>
      <c r="C446" s="4" t="s">
        <v>41</v>
      </c>
      <c r="D446" s="4" t="s">
        <v>38</v>
      </c>
      <c r="E446" s="4" t="s">
        <v>25</v>
      </c>
      <c r="F446" s="4" t="s">
        <v>25</v>
      </c>
      <c r="G446" s="4" t="s">
        <v>25</v>
      </c>
      <c r="H446" s="4" t="s">
        <v>34</v>
      </c>
      <c r="I446" s="5">
        <v>44805</v>
      </c>
      <c r="J446" s="6">
        <v>0</v>
      </c>
      <c r="K446" s="6">
        <v>0</v>
      </c>
      <c r="L446" s="6">
        <v>196.90899999999999</v>
      </c>
      <c r="M446" s="6">
        <v>196.90899999999999</v>
      </c>
      <c r="N446" s="6">
        <v>196.90899999999999</v>
      </c>
      <c r="O446" s="6">
        <v>196.90899999999999</v>
      </c>
      <c r="P446" s="6">
        <v>0</v>
      </c>
      <c r="Q446" s="4" t="s">
        <v>26</v>
      </c>
      <c r="R446" s="4">
        <v>0</v>
      </c>
      <c r="S446" s="6">
        <v>0</v>
      </c>
      <c r="T446" s="6">
        <v>8</v>
      </c>
      <c r="U446" s="6">
        <v>38</v>
      </c>
      <c r="V446" s="6">
        <f>IF(ISERROR(VLOOKUP($S$446,'TAR FIN'!$A$1:$O$113,15,0)),0,VLOOKUP($S$446,'TAR FIN'!$A$1:$O$113,15,0))</f>
        <v>0</v>
      </c>
      <c r="W446" s="6">
        <f>IF(ISERROR(VLOOKUP($T$446,'TAR FIN'!$A$1:$O$113,15,0)),0,VLOOKUP($T$446,'TAR FIN'!$A$1:$O$113,15,0))</f>
        <v>940.43</v>
      </c>
      <c r="X446" s="6">
        <f>IF(ISERROR(VLOOKUP($U$446,'TAR FIN'!$A$1:$O$113,15,0)),0,VLOOKUP($U$446,'TAR FIN'!$A$1:$O$113,15,0))</f>
        <v>442.86</v>
      </c>
      <c r="Y446" s="6"/>
      <c r="Z446" s="6">
        <f ca="1">('TUSD BE'!$AM$20+'TUSD BF_350'!$AM$20+'TUSD CVA'!$AM$20)*1</f>
        <v>1117.8285588949407</v>
      </c>
      <c r="AA446" s="6">
        <f ca="1">('TE BE'!$AB$9+'TE BF_350'!$AB$9+'TE CVA'!$AB$9)*1</f>
        <v>379.30999999999995</v>
      </c>
      <c r="AB446" s="6">
        <f>$K$446*$V$446</f>
        <v>0</v>
      </c>
      <c r="AC446" s="6">
        <f>$M$446*$W$446</f>
        <v>185179.13086999999</v>
      </c>
      <c r="AD446" s="6">
        <f>$O$446*$X$446</f>
        <v>87203.119739999995</v>
      </c>
      <c r="AE446" s="6">
        <f>$K$446*$Y$446</f>
        <v>0</v>
      </c>
      <c r="AF446" s="6">
        <f ca="1">$M$446*$Z$446</f>
        <v>220110.50370344386</v>
      </c>
      <c r="AG446" s="6">
        <f ca="1">$O$446*$AA$446</f>
        <v>74689.552789999987</v>
      </c>
    </row>
    <row r="447" spans="1:33" ht="11.25" customHeight="1" x14ac:dyDescent="0.3">
      <c r="A447" s="4" t="s">
        <v>28</v>
      </c>
      <c r="B447" s="4" t="s">
        <v>39</v>
      </c>
      <c r="C447" s="4" t="s">
        <v>41</v>
      </c>
      <c r="D447" s="4" t="s">
        <v>38</v>
      </c>
      <c r="E447" s="4" t="s">
        <v>25</v>
      </c>
      <c r="F447" s="4" t="s">
        <v>25</v>
      </c>
      <c r="G447" s="4" t="s">
        <v>25</v>
      </c>
      <c r="H447" s="4" t="s">
        <v>34</v>
      </c>
      <c r="I447" s="5">
        <v>44805</v>
      </c>
      <c r="J447" s="6">
        <v>0</v>
      </c>
      <c r="K447" s="6">
        <v>0</v>
      </c>
      <c r="L447" s="6">
        <v>4.5129999999999999</v>
      </c>
      <c r="M447" s="6">
        <v>4.5129999999999999</v>
      </c>
      <c r="N447" s="6">
        <v>4.5129999999999999</v>
      </c>
      <c r="O447" s="6">
        <v>4.5129999999999999</v>
      </c>
      <c r="P447" s="6">
        <v>0</v>
      </c>
      <c r="Q447" s="4" t="s">
        <v>26</v>
      </c>
      <c r="R447" s="4">
        <v>0</v>
      </c>
      <c r="S447" s="6">
        <v>0</v>
      </c>
      <c r="T447" s="6">
        <v>8</v>
      </c>
      <c r="U447" s="6">
        <v>38</v>
      </c>
      <c r="V447" s="6">
        <f>IF(ISERROR(VLOOKUP($S$447,'TAR FIN'!$A$1:$O$113,15,0)),0,VLOOKUP($S$447,'TAR FIN'!$A$1:$O$113,15,0))</f>
        <v>0</v>
      </c>
      <c r="W447" s="6">
        <f>IF(ISERROR(VLOOKUP($T$447,'TAR FIN'!$A$1:$O$113,15,0)),0,VLOOKUP($T$447,'TAR FIN'!$A$1:$O$113,15,0))</f>
        <v>940.43</v>
      </c>
      <c r="X447" s="6">
        <f>IF(ISERROR(VLOOKUP($U$447,'TAR FIN'!$A$1:$O$113,15,0)),0,VLOOKUP($U$447,'TAR FIN'!$A$1:$O$113,15,0))</f>
        <v>442.86</v>
      </c>
      <c r="Y447" s="6"/>
      <c r="Z447" s="6">
        <f ca="1">('TUSD BE'!$AM$20+'TUSD BF_350'!$AM$20+'TUSD CVA'!$AM$20)*1</f>
        <v>1117.8285588949407</v>
      </c>
      <c r="AA447" s="6">
        <f ca="1">('TE BE'!$AB$9+'TE BF_350'!$AB$9+'TE CVA'!$AB$9)*1</f>
        <v>379.30999999999995</v>
      </c>
      <c r="AB447" s="6">
        <f>$K$447*$V$447</f>
        <v>0</v>
      </c>
      <c r="AC447" s="6">
        <f>$M$447*$W$447</f>
        <v>4244.1605899999995</v>
      </c>
      <c r="AD447" s="6">
        <f>$O$447*$X$447</f>
        <v>1998.62718</v>
      </c>
      <c r="AE447" s="6">
        <f>$K$447*$Y$447</f>
        <v>0</v>
      </c>
      <c r="AF447" s="6">
        <f ca="1">$M$447*$Z$447</f>
        <v>5044.760286292867</v>
      </c>
      <c r="AG447" s="6">
        <f ca="1">$O$447*$AA$447</f>
        <v>1711.8260299999997</v>
      </c>
    </row>
    <row r="448" spans="1:33" ht="11.25" customHeight="1" x14ac:dyDescent="0.3">
      <c r="A448" s="4" t="s">
        <v>21</v>
      </c>
      <c r="B448" s="4" t="s">
        <v>39</v>
      </c>
      <c r="C448" s="4" t="s">
        <v>41</v>
      </c>
      <c r="D448" s="4" t="s">
        <v>38</v>
      </c>
      <c r="E448" s="4" t="s">
        <v>25</v>
      </c>
      <c r="F448" s="4" t="s">
        <v>25</v>
      </c>
      <c r="G448" s="4" t="s">
        <v>25</v>
      </c>
      <c r="H448" s="4" t="s">
        <v>34</v>
      </c>
      <c r="I448" s="5">
        <v>44805</v>
      </c>
      <c r="J448" s="6">
        <v>0</v>
      </c>
      <c r="K448" s="6">
        <v>0</v>
      </c>
      <c r="L448" s="6">
        <v>88.828000000000003</v>
      </c>
      <c r="M448" s="6">
        <v>88.828000000000003</v>
      </c>
      <c r="N448" s="6">
        <v>0</v>
      </c>
      <c r="O448" s="6">
        <v>0</v>
      </c>
      <c r="P448" s="6">
        <v>0</v>
      </c>
      <c r="Q448" s="4" t="s">
        <v>55</v>
      </c>
      <c r="R448" s="4">
        <v>0</v>
      </c>
      <c r="S448" s="6">
        <v>0</v>
      </c>
      <c r="T448" s="6">
        <v>8</v>
      </c>
      <c r="U448" s="6">
        <v>0</v>
      </c>
      <c r="V448" s="6">
        <f>IF(ISERROR(VLOOKUP($S$448,'TAR FIN'!$A$1:$O$113,15,0)),0,VLOOKUP($S$448,'TAR FIN'!$A$1:$O$113,15,0))</f>
        <v>0</v>
      </c>
      <c r="W448" s="6">
        <f>IF(ISERROR(VLOOKUP($T$448,'TAR FIN'!$A$1:$O$113,15,0)),0,VLOOKUP($T$448,'TAR FIN'!$A$1:$O$113,15,0))</f>
        <v>940.43</v>
      </c>
      <c r="X448" s="6">
        <f>IF(ISERROR(VLOOKUP($U$448,'TAR FIN'!$A$1:$O$113,15,0)),0,VLOOKUP($U$448,'TAR FIN'!$A$1:$O$113,15,0))</f>
        <v>0</v>
      </c>
      <c r="Y448" s="6"/>
      <c r="Z448" s="6">
        <f ca="1">('TUSD BE'!$AM$20+'TUSD BF_350'!$AM$20+'TUSD CVA'!$AM$20)*1</f>
        <v>1117.8285588949407</v>
      </c>
      <c r="AA448" s="6"/>
      <c r="AB448" s="6">
        <f>$K$448*$V$448</f>
        <v>0</v>
      </c>
      <c r="AC448" s="6">
        <f>$M$448*$W$448</f>
        <v>83536.516040000002</v>
      </c>
      <c r="AD448" s="6">
        <f>$O$448*$X$448</f>
        <v>0</v>
      </c>
      <c r="AE448" s="6">
        <f>$K$448*$Y$448</f>
        <v>0</v>
      </c>
      <c r="AF448" s="6">
        <f ca="1">$M$448*$Z$448</f>
        <v>99294.475229519798</v>
      </c>
      <c r="AG448" s="6">
        <f>$O$448*$AA$448</f>
        <v>0</v>
      </c>
    </row>
    <row r="449" spans="1:33" ht="11.25" customHeight="1" x14ac:dyDescent="0.3">
      <c r="A449" s="4" t="s">
        <v>53</v>
      </c>
      <c r="B449" s="4" t="s">
        <v>39</v>
      </c>
      <c r="C449" s="4" t="s">
        <v>41</v>
      </c>
      <c r="D449" s="4" t="s">
        <v>38</v>
      </c>
      <c r="E449" s="4" t="s">
        <v>25</v>
      </c>
      <c r="F449" s="4" t="s">
        <v>25</v>
      </c>
      <c r="G449" s="4" t="s">
        <v>25</v>
      </c>
      <c r="H449" s="4" t="s">
        <v>34</v>
      </c>
      <c r="I449" s="5">
        <v>44835</v>
      </c>
      <c r="J449" s="6">
        <v>0</v>
      </c>
      <c r="K449" s="6">
        <v>0</v>
      </c>
      <c r="L449" s="6">
        <v>196.90899999999999</v>
      </c>
      <c r="M449" s="6">
        <v>196.90899999999999</v>
      </c>
      <c r="N449" s="6">
        <v>196.90899999999999</v>
      </c>
      <c r="O449" s="6">
        <v>196.90899999999999</v>
      </c>
      <c r="P449" s="6">
        <v>0</v>
      </c>
      <c r="Q449" s="4" t="s">
        <v>26</v>
      </c>
      <c r="R449" s="4">
        <v>0</v>
      </c>
      <c r="S449" s="6">
        <v>0</v>
      </c>
      <c r="T449" s="6">
        <v>8</v>
      </c>
      <c r="U449" s="6">
        <v>38</v>
      </c>
      <c r="V449" s="6">
        <f>IF(ISERROR(VLOOKUP($S$449,'TAR FIN'!$A$1:$O$113,15,0)),0,VLOOKUP($S$449,'TAR FIN'!$A$1:$O$113,15,0))</f>
        <v>0</v>
      </c>
      <c r="W449" s="6">
        <f>IF(ISERROR(VLOOKUP($T$449,'TAR FIN'!$A$1:$O$113,15,0)),0,VLOOKUP($T$449,'TAR FIN'!$A$1:$O$113,15,0))</f>
        <v>940.43</v>
      </c>
      <c r="X449" s="6">
        <f>IF(ISERROR(VLOOKUP($U$449,'TAR FIN'!$A$1:$O$113,15,0)),0,VLOOKUP($U$449,'TAR FIN'!$A$1:$O$113,15,0))</f>
        <v>442.86</v>
      </c>
      <c r="Y449" s="6"/>
      <c r="Z449" s="6">
        <f ca="1">('TUSD BE'!$AM$20+'TUSD BF_350'!$AM$20+'TUSD CVA'!$AM$20)*1</f>
        <v>1117.8285588949407</v>
      </c>
      <c r="AA449" s="6">
        <f ca="1">('TE BE'!$AB$9+'TE BF_350'!$AB$9+'TE CVA'!$AB$9)*1</f>
        <v>379.30999999999995</v>
      </c>
      <c r="AB449" s="6">
        <f>$K$449*$V$449</f>
        <v>0</v>
      </c>
      <c r="AC449" s="6">
        <f>$M$449*$W$449</f>
        <v>185179.13086999999</v>
      </c>
      <c r="AD449" s="6">
        <f>$O$449*$X$449</f>
        <v>87203.119739999995</v>
      </c>
      <c r="AE449" s="6">
        <f>$K$449*$Y$449</f>
        <v>0</v>
      </c>
      <c r="AF449" s="6">
        <f ca="1">$M$449*$Z$449</f>
        <v>220110.50370344386</v>
      </c>
      <c r="AG449" s="6">
        <f ca="1">$O$449*$AA$449</f>
        <v>74689.552789999987</v>
      </c>
    </row>
    <row r="450" spans="1:33" ht="11.25" customHeight="1" x14ac:dyDescent="0.3">
      <c r="A450" s="4" t="s">
        <v>53</v>
      </c>
      <c r="B450" s="4" t="s">
        <v>39</v>
      </c>
      <c r="C450" s="4" t="s">
        <v>41</v>
      </c>
      <c r="D450" s="4" t="s">
        <v>38</v>
      </c>
      <c r="E450" s="4" t="s">
        <v>25</v>
      </c>
      <c r="F450" s="4" t="s">
        <v>25</v>
      </c>
      <c r="G450" s="4" t="s">
        <v>25</v>
      </c>
      <c r="H450" s="4" t="s">
        <v>34</v>
      </c>
      <c r="I450" s="5">
        <v>44835</v>
      </c>
      <c r="J450" s="6">
        <v>0</v>
      </c>
      <c r="K450" s="6">
        <v>0</v>
      </c>
      <c r="L450" s="6">
        <v>4.5129999999999999</v>
      </c>
      <c r="M450" s="6">
        <v>4.5129999999999999</v>
      </c>
      <c r="N450" s="6">
        <v>4.5129999999999999</v>
      </c>
      <c r="O450" s="6">
        <v>4.5129999999999999</v>
      </c>
      <c r="P450" s="6">
        <v>0</v>
      </c>
      <c r="Q450" s="4" t="s">
        <v>26</v>
      </c>
      <c r="R450" s="4">
        <v>0</v>
      </c>
      <c r="S450" s="6">
        <v>0</v>
      </c>
      <c r="T450" s="6">
        <v>8</v>
      </c>
      <c r="U450" s="6">
        <v>38</v>
      </c>
      <c r="V450" s="6">
        <f>IF(ISERROR(VLOOKUP($S$450,'TAR FIN'!$A$1:$O$113,15,0)),0,VLOOKUP($S$450,'TAR FIN'!$A$1:$O$113,15,0))</f>
        <v>0</v>
      </c>
      <c r="W450" s="6">
        <f>IF(ISERROR(VLOOKUP($T$450,'TAR FIN'!$A$1:$O$113,15,0)),0,VLOOKUP($T$450,'TAR FIN'!$A$1:$O$113,15,0))</f>
        <v>940.43</v>
      </c>
      <c r="X450" s="6">
        <f>IF(ISERROR(VLOOKUP($U$450,'TAR FIN'!$A$1:$O$113,15,0)),0,VLOOKUP($U$450,'TAR FIN'!$A$1:$O$113,15,0))</f>
        <v>442.86</v>
      </c>
      <c r="Y450" s="6"/>
      <c r="Z450" s="6">
        <f ca="1">('TUSD BE'!$AM$20+'TUSD BF_350'!$AM$20+'TUSD CVA'!$AM$20)*1</f>
        <v>1117.8285588949407</v>
      </c>
      <c r="AA450" s="6">
        <f ca="1">('TE BE'!$AB$9+'TE BF_350'!$AB$9+'TE CVA'!$AB$9)*1</f>
        <v>379.30999999999995</v>
      </c>
      <c r="AB450" s="6">
        <f>$K$450*$V$450</f>
        <v>0</v>
      </c>
      <c r="AC450" s="6">
        <f>$M$450*$W$450</f>
        <v>4244.1605899999995</v>
      </c>
      <c r="AD450" s="6">
        <f>$O$450*$X$450</f>
        <v>1998.62718</v>
      </c>
      <c r="AE450" s="6">
        <f>$K$450*$Y$450</f>
        <v>0</v>
      </c>
      <c r="AF450" s="6">
        <f ca="1">$M$450*$Z$450</f>
        <v>5044.760286292867</v>
      </c>
      <c r="AG450" s="6">
        <f ca="1">$O$450*$AA$450</f>
        <v>1711.8260299999997</v>
      </c>
    </row>
    <row r="451" spans="1:33" ht="11.25" customHeight="1" x14ac:dyDescent="0.3">
      <c r="A451" s="4" t="s">
        <v>53</v>
      </c>
      <c r="B451" s="4" t="s">
        <v>39</v>
      </c>
      <c r="C451" s="4" t="s">
        <v>41</v>
      </c>
      <c r="D451" s="4" t="s">
        <v>38</v>
      </c>
      <c r="E451" s="4" t="s">
        <v>25</v>
      </c>
      <c r="F451" s="4" t="s">
        <v>25</v>
      </c>
      <c r="G451" s="4" t="s">
        <v>25</v>
      </c>
      <c r="H451" s="4" t="s">
        <v>34</v>
      </c>
      <c r="I451" s="5">
        <v>44835</v>
      </c>
      <c r="J451" s="6">
        <v>0</v>
      </c>
      <c r="K451" s="6">
        <v>0</v>
      </c>
      <c r="L451" s="6">
        <v>88.828000000000003</v>
      </c>
      <c r="M451" s="6">
        <v>88.828000000000003</v>
      </c>
      <c r="N451" s="6">
        <v>0</v>
      </c>
      <c r="O451" s="6">
        <v>0</v>
      </c>
      <c r="P451" s="6">
        <v>0</v>
      </c>
      <c r="Q451" s="4" t="s">
        <v>55</v>
      </c>
      <c r="R451" s="4">
        <v>0</v>
      </c>
      <c r="S451" s="6">
        <v>0</v>
      </c>
      <c r="T451" s="6">
        <v>8</v>
      </c>
      <c r="U451" s="6">
        <v>0</v>
      </c>
      <c r="V451" s="6">
        <f>IF(ISERROR(VLOOKUP($S$451,'TAR FIN'!$A$1:$O$113,15,0)),0,VLOOKUP($S$451,'TAR FIN'!$A$1:$O$113,15,0))</f>
        <v>0</v>
      </c>
      <c r="W451" s="6">
        <f>IF(ISERROR(VLOOKUP($T$451,'TAR FIN'!$A$1:$O$113,15,0)),0,VLOOKUP($T$451,'TAR FIN'!$A$1:$O$113,15,0))</f>
        <v>940.43</v>
      </c>
      <c r="X451" s="6">
        <f>IF(ISERROR(VLOOKUP($U$451,'TAR FIN'!$A$1:$O$113,15,0)),0,VLOOKUP($U$451,'TAR FIN'!$A$1:$O$113,15,0))</f>
        <v>0</v>
      </c>
      <c r="Y451" s="6"/>
      <c r="Z451" s="6">
        <f ca="1">('TUSD BE'!$AM$20+'TUSD BF_350'!$AM$20+'TUSD CVA'!$AM$20)*1</f>
        <v>1117.8285588949407</v>
      </c>
      <c r="AA451" s="6"/>
      <c r="AB451" s="6">
        <f>$K$451*$V$451</f>
        <v>0</v>
      </c>
      <c r="AC451" s="6">
        <f>$M$451*$W$451</f>
        <v>83536.516040000002</v>
      </c>
      <c r="AD451" s="6">
        <f>$O$451*$X$451</f>
        <v>0</v>
      </c>
      <c r="AE451" s="6">
        <f>$K$451*$Y$451</f>
        <v>0</v>
      </c>
      <c r="AF451" s="6">
        <f ca="1">$M$451*$Z$451</f>
        <v>99294.475229519798</v>
      </c>
      <c r="AG451" s="6">
        <f>$O$451*$AA$451</f>
        <v>0</v>
      </c>
    </row>
    <row r="452" spans="1:33" ht="11.25" customHeight="1" x14ac:dyDescent="0.3">
      <c r="A452" s="4" t="s">
        <v>21</v>
      </c>
      <c r="B452" s="4" t="s">
        <v>39</v>
      </c>
      <c r="C452" s="4" t="s">
        <v>41</v>
      </c>
      <c r="D452" s="4" t="s">
        <v>46</v>
      </c>
      <c r="E452" s="4" t="s">
        <v>25</v>
      </c>
      <c r="F452" s="4" t="s">
        <v>25</v>
      </c>
      <c r="G452" s="4" t="s">
        <v>25</v>
      </c>
      <c r="H452" s="4" t="s">
        <v>35</v>
      </c>
      <c r="I452" s="5">
        <v>44501</v>
      </c>
      <c r="J452" s="6">
        <v>0</v>
      </c>
      <c r="K452" s="6">
        <v>0</v>
      </c>
      <c r="L452" s="6">
        <v>42.69</v>
      </c>
      <c r="M452" s="6">
        <v>42.69</v>
      </c>
      <c r="N452" s="6">
        <v>42.69</v>
      </c>
      <c r="O452" s="6">
        <v>42.69</v>
      </c>
      <c r="P452" s="6">
        <v>0</v>
      </c>
      <c r="Q452" s="4" t="s">
        <v>26</v>
      </c>
      <c r="R452" s="4">
        <v>0</v>
      </c>
      <c r="S452" s="6">
        <v>0</v>
      </c>
      <c r="T452" s="6">
        <v>6</v>
      </c>
      <c r="U452" s="6">
        <v>61</v>
      </c>
      <c r="V452" s="6">
        <f>IF(ISERROR(VLOOKUP($S$452,'TAR FIN'!$A$1:$O$113,15,0)),0,VLOOKUP($S$452,'TAR FIN'!$A$1:$O$113,15,0))</f>
        <v>0</v>
      </c>
      <c r="W452" s="6">
        <f>IF(ISERROR(VLOOKUP($T$452,'TAR FIN'!$A$1:$O$113,15,0)),0,VLOOKUP($T$452,'TAR FIN'!$A$1:$O$113,15,0))</f>
        <v>72.150000000000006</v>
      </c>
      <c r="X452" s="6">
        <f>IF(ISERROR(VLOOKUP($U$452,'TAR FIN'!$A$1:$O$113,15,0)),0,VLOOKUP($U$452,'TAR FIN'!$A$1:$O$113,15,0))</f>
        <v>278.67</v>
      </c>
      <c r="Y452" s="6"/>
      <c r="Z452" s="6">
        <f ca="1">('TUSD BE'!$AM$21+'TUSD BF_350'!$AM$21+'TUSD CVA'!$AM$21)*1</f>
        <v>122.14055331663396</v>
      </c>
      <c r="AA452" s="6">
        <f ca="1">('TE BE'!$AB$10+'TE BF_350'!$AB$10+'TE CVA'!$AB$10)*1</f>
        <v>231.69</v>
      </c>
      <c r="AB452" s="6">
        <f>$K$452*$V$452</f>
        <v>0</v>
      </c>
      <c r="AC452" s="6">
        <f>$M$452*$W$452</f>
        <v>3080.0835000000002</v>
      </c>
      <c r="AD452" s="6">
        <f>$O$452*$X$452</f>
        <v>11896.4223</v>
      </c>
      <c r="AE452" s="6">
        <f>$K$452*$Y$452</f>
        <v>0</v>
      </c>
      <c r="AF452" s="6">
        <f ca="1">$M$452*$Z$452</f>
        <v>5214.1802210871028</v>
      </c>
      <c r="AG452" s="6">
        <f ca="1">$O$452*$AA$452</f>
        <v>9890.8460999999988</v>
      </c>
    </row>
    <row r="453" spans="1:33" ht="11.25" customHeight="1" x14ac:dyDescent="0.3">
      <c r="A453" s="4" t="s">
        <v>28</v>
      </c>
      <c r="B453" s="4" t="s">
        <v>39</v>
      </c>
      <c r="C453" s="4" t="s">
        <v>41</v>
      </c>
      <c r="D453" s="4" t="s">
        <v>46</v>
      </c>
      <c r="E453" s="4" t="s">
        <v>25</v>
      </c>
      <c r="F453" s="4" t="s">
        <v>25</v>
      </c>
      <c r="G453" s="4" t="s">
        <v>25</v>
      </c>
      <c r="H453" s="4" t="s">
        <v>35</v>
      </c>
      <c r="I453" s="5">
        <v>44501</v>
      </c>
      <c r="J453" s="6">
        <v>0</v>
      </c>
      <c r="K453" s="6">
        <v>0</v>
      </c>
      <c r="L453" s="6">
        <v>6.8730000000000002</v>
      </c>
      <c r="M453" s="6">
        <v>6.8730000000000002</v>
      </c>
      <c r="N453" s="6">
        <v>6.8730000000000002</v>
      </c>
      <c r="O453" s="6">
        <v>6.8730000000000002</v>
      </c>
      <c r="P453" s="6">
        <v>0</v>
      </c>
      <c r="Q453" s="4" t="s">
        <v>26</v>
      </c>
      <c r="R453" s="4">
        <v>0</v>
      </c>
      <c r="S453" s="6">
        <v>0</v>
      </c>
      <c r="T453" s="6">
        <v>6</v>
      </c>
      <c r="U453" s="6">
        <v>61</v>
      </c>
      <c r="V453" s="6">
        <f>IF(ISERROR(VLOOKUP($S$453,'TAR FIN'!$A$1:$O$113,15,0)),0,VLOOKUP($S$453,'TAR FIN'!$A$1:$O$113,15,0))</f>
        <v>0</v>
      </c>
      <c r="W453" s="6">
        <f>IF(ISERROR(VLOOKUP($T$453,'TAR FIN'!$A$1:$O$113,15,0)),0,VLOOKUP($T$453,'TAR FIN'!$A$1:$O$113,15,0))</f>
        <v>72.150000000000006</v>
      </c>
      <c r="X453" s="6">
        <f>IF(ISERROR(VLOOKUP($U$453,'TAR FIN'!$A$1:$O$113,15,0)),0,VLOOKUP($U$453,'TAR FIN'!$A$1:$O$113,15,0))</f>
        <v>278.67</v>
      </c>
      <c r="Y453" s="6"/>
      <c r="Z453" s="6">
        <f ca="1">('TUSD BE'!$AM$21+'TUSD BF_350'!$AM$21+'TUSD CVA'!$AM$21)*1</f>
        <v>122.14055331663396</v>
      </c>
      <c r="AA453" s="6">
        <f ca="1">('TE BE'!$AB$10+'TE BF_350'!$AB$10+'TE CVA'!$AB$10)*1</f>
        <v>231.69</v>
      </c>
      <c r="AB453" s="6">
        <f>$K$453*$V$453</f>
        <v>0</v>
      </c>
      <c r="AC453" s="6">
        <f>$M$453*$W$453</f>
        <v>495.88695000000007</v>
      </c>
      <c r="AD453" s="6">
        <f>$O$453*$X$453</f>
        <v>1915.2989100000002</v>
      </c>
      <c r="AE453" s="6">
        <f>$K$453*$Y$453</f>
        <v>0</v>
      </c>
      <c r="AF453" s="6">
        <f ca="1">$M$453*$Z$453</f>
        <v>839.47202294522515</v>
      </c>
      <c r="AG453" s="6">
        <f ca="1">$O$453*$AA$453</f>
        <v>1592.4053699999999</v>
      </c>
    </row>
    <row r="454" spans="1:33" ht="11.25" customHeight="1" x14ac:dyDescent="0.3">
      <c r="A454" s="4" t="s">
        <v>21</v>
      </c>
      <c r="B454" s="4" t="s">
        <v>39</v>
      </c>
      <c r="C454" s="4" t="s">
        <v>41</v>
      </c>
      <c r="D454" s="4" t="s">
        <v>46</v>
      </c>
      <c r="E454" s="4" t="s">
        <v>25</v>
      </c>
      <c r="F454" s="4" t="s">
        <v>25</v>
      </c>
      <c r="G454" s="4" t="s">
        <v>25</v>
      </c>
      <c r="H454" s="4" t="s">
        <v>35</v>
      </c>
      <c r="I454" s="5">
        <v>44531</v>
      </c>
      <c r="J454" s="6">
        <v>0</v>
      </c>
      <c r="K454" s="6">
        <v>0</v>
      </c>
      <c r="L454" s="6">
        <v>43.225999999999999</v>
      </c>
      <c r="M454" s="6">
        <v>43.225999999999999</v>
      </c>
      <c r="N454" s="6">
        <v>43.225999999999999</v>
      </c>
      <c r="O454" s="6">
        <v>43.225999999999999</v>
      </c>
      <c r="P454" s="6">
        <v>0</v>
      </c>
      <c r="Q454" s="4" t="s">
        <v>26</v>
      </c>
      <c r="R454" s="4">
        <v>0</v>
      </c>
      <c r="S454" s="6">
        <v>0</v>
      </c>
      <c r="T454" s="6">
        <v>6</v>
      </c>
      <c r="U454" s="6">
        <v>61</v>
      </c>
      <c r="V454" s="6">
        <f>IF(ISERROR(VLOOKUP($S$454,'TAR FIN'!$A$1:$O$113,15,0)),0,VLOOKUP($S$454,'TAR FIN'!$A$1:$O$113,15,0))</f>
        <v>0</v>
      </c>
      <c r="W454" s="6">
        <f>IF(ISERROR(VLOOKUP($T$454,'TAR FIN'!$A$1:$O$113,15,0)),0,VLOOKUP($T$454,'TAR FIN'!$A$1:$O$113,15,0))</f>
        <v>72.150000000000006</v>
      </c>
      <c r="X454" s="6">
        <f>IF(ISERROR(VLOOKUP($U$454,'TAR FIN'!$A$1:$O$113,15,0)),0,VLOOKUP($U$454,'TAR FIN'!$A$1:$O$113,15,0))</f>
        <v>278.67</v>
      </c>
      <c r="Y454" s="6"/>
      <c r="Z454" s="6">
        <f ca="1">('TUSD BE'!$AM$21+'TUSD BF_350'!$AM$21+'TUSD CVA'!$AM$21)*1</f>
        <v>122.14055331663396</v>
      </c>
      <c r="AA454" s="6">
        <f ca="1">('TE BE'!$AB$10+'TE BF_350'!$AB$10+'TE CVA'!$AB$10)*1</f>
        <v>231.69</v>
      </c>
      <c r="AB454" s="6">
        <f>$K$454*$V$454</f>
        <v>0</v>
      </c>
      <c r="AC454" s="6">
        <f>$M$454*$W$454</f>
        <v>3118.7559000000001</v>
      </c>
      <c r="AD454" s="6">
        <f>$O$454*$X$454</f>
        <v>12045.789420000001</v>
      </c>
      <c r="AE454" s="6">
        <f>$K$454*$Y$454</f>
        <v>0</v>
      </c>
      <c r="AF454" s="6">
        <f ca="1">$M$454*$Z$454</f>
        <v>5279.647557664819</v>
      </c>
      <c r="AG454" s="6">
        <f ca="1">$O$454*$AA$454</f>
        <v>10015.031939999999</v>
      </c>
    </row>
    <row r="455" spans="1:33" ht="11.25" customHeight="1" x14ac:dyDescent="0.3">
      <c r="A455" s="4" t="s">
        <v>28</v>
      </c>
      <c r="B455" s="4" t="s">
        <v>39</v>
      </c>
      <c r="C455" s="4" t="s">
        <v>41</v>
      </c>
      <c r="D455" s="4" t="s">
        <v>46</v>
      </c>
      <c r="E455" s="4" t="s">
        <v>25</v>
      </c>
      <c r="F455" s="4" t="s">
        <v>25</v>
      </c>
      <c r="G455" s="4" t="s">
        <v>25</v>
      </c>
      <c r="H455" s="4" t="s">
        <v>35</v>
      </c>
      <c r="I455" s="5">
        <v>44531</v>
      </c>
      <c r="J455" s="6">
        <v>0</v>
      </c>
      <c r="K455" s="6">
        <v>0</v>
      </c>
      <c r="L455" s="6">
        <v>5.0629999999999997</v>
      </c>
      <c r="M455" s="6">
        <v>5.0629999999999997</v>
      </c>
      <c r="N455" s="6">
        <v>5.0629999999999997</v>
      </c>
      <c r="O455" s="6">
        <v>5.0629999999999997</v>
      </c>
      <c r="P455" s="6">
        <v>0</v>
      </c>
      <c r="Q455" s="4" t="s">
        <v>26</v>
      </c>
      <c r="R455" s="4">
        <v>0</v>
      </c>
      <c r="S455" s="6">
        <v>0</v>
      </c>
      <c r="T455" s="6">
        <v>6</v>
      </c>
      <c r="U455" s="6">
        <v>61</v>
      </c>
      <c r="V455" s="6">
        <f>IF(ISERROR(VLOOKUP($S$455,'TAR FIN'!$A$1:$O$113,15,0)),0,VLOOKUP($S$455,'TAR FIN'!$A$1:$O$113,15,0))</f>
        <v>0</v>
      </c>
      <c r="W455" s="6">
        <f>IF(ISERROR(VLOOKUP($T$455,'TAR FIN'!$A$1:$O$113,15,0)),0,VLOOKUP($T$455,'TAR FIN'!$A$1:$O$113,15,0))</f>
        <v>72.150000000000006</v>
      </c>
      <c r="X455" s="6">
        <f>IF(ISERROR(VLOOKUP($U$455,'TAR FIN'!$A$1:$O$113,15,0)),0,VLOOKUP($U$455,'TAR FIN'!$A$1:$O$113,15,0))</f>
        <v>278.67</v>
      </c>
      <c r="Y455" s="6"/>
      <c r="Z455" s="6">
        <f ca="1">('TUSD BE'!$AM$21+'TUSD BF_350'!$AM$21+'TUSD CVA'!$AM$21)*1</f>
        <v>122.14055331663396</v>
      </c>
      <c r="AA455" s="6">
        <f ca="1">('TE BE'!$AB$10+'TE BF_350'!$AB$10+'TE CVA'!$AB$10)*1</f>
        <v>231.69</v>
      </c>
      <c r="AB455" s="6">
        <f>$K$455*$V$455</f>
        <v>0</v>
      </c>
      <c r="AC455" s="6">
        <f>$M$455*$W$455</f>
        <v>365.29545000000002</v>
      </c>
      <c r="AD455" s="6">
        <f>$O$455*$X$455</f>
        <v>1410.9062100000001</v>
      </c>
      <c r="AE455" s="6">
        <f>$K$455*$Y$455</f>
        <v>0</v>
      </c>
      <c r="AF455" s="6">
        <f ca="1">$M$455*$Z$455</f>
        <v>618.39762144211772</v>
      </c>
      <c r="AG455" s="6">
        <f ca="1">$O$455*$AA$455</f>
        <v>1173.04647</v>
      </c>
    </row>
    <row r="456" spans="1:33" ht="11.25" customHeight="1" x14ac:dyDescent="0.3">
      <c r="A456" s="4" t="s">
        <v>21</v>
      </c>
      <c r="B456" s="4" t="s">
        <v>39</v>
      </c>
      <c r="C456" s="4" t="s">
        <v>41</v>
      </c>
      <c r="D456" s="4" t="s">
        <v>46</v>
      </c>
      <c r="E456" s="4" t="s">
        <v>25</v>
      </c>
      <c r="F456" s="4" t="s">
        <v>25</v>
      </c>
      <c r="G456" s="4" t="s">
        <v>25</v>
      </c>
      <c r="H456" s="4" t="s">
        <v>35</v>
      </c>
      <c r="I456" s="5">
        <v>44562</v>
      </c>
      <c r="J456" s="6">
        <v>0</v>
      </c>
      <c r="K456" s="6">
        <v>0</v>
      </c>
      <c r="L456" s="6">
        <v>41.533000000000001</v>
      </c>
      <c r="M456" s="6">
        <v>41.533000000000001</v>
      </c>
      <c r="N456" s="6">
        <v>41.533000000000001</v>
      </c>
      <c r="O456" s="6">
        <v>41.533000000000001</v>
      </c>
      <c r="P456" s="6">
        <v>0</v>
      </c>
      <c r="Q456" s="4" t="s">
        <v>26</v>
      </c>
      <c r="R456" s="4">
        <v>0</v>
      </c>
      <c r="S456" s="6">
        <v>0</v>
      </c>
      <c r="T456" s="6">
        <v>6</v>
      </c>
      <c r="U456" s="6">
        <v>61</v>
      </c>
      <c r="V456" s="6">
        <f>IF(ISERROR(VLOOKUP($S$456,'TAR FIN'!$A$1:$O$113,15,0)),0,VLOOKUP($S$456,'TAR FIN'!$A$1:$O$113,15,0))</f>
        <v>0</v>
      </c>
      <c r="W456" s="6">
        <f>IF(ISERROR(VLOOKUP($T$456,'TAR FIN'!$A$1:$O$113,15,0)),0,VLOOKUP($T$456,'TAR FIN'!$A$1:$O$113,15,0))</f>
        <v>72.150000000000006</v>
      </c>
      <c r="X456" s="6">
        <f>IF(ISERROR(VLOOKUP($U$456,'TAR FIN'!$A$1:$O$113,15,0)),0,VLOOKUP($U$456,'TAR FIN'!$A$1:$O$113,15,0))</f>
        <v>278.67</v>
      </c>
      <c r="Y456" s="6"/>
      <c r="Z456" s="6">
        <f ca="1">('TUSD BE'!$AM$21+'TUSD BF_350'!$AM$21+'TUSD CVA'!$AM$21)*1</f>
        <v>122.14055331663396</v>
      </c>
      <c r="AA456" s="6">
        <f ca="1">('TE BE'!$AB$10+'TE BF_350'!$AB$10+'TE CVA'!$AB$10)*1</f>
        <v>231.69</v>
      </c>
      <c r="AB456" s="6">
        <f>$K$456*$V$456</f>
        <v>0</v>
      </c>
      <c r="AC456" s="6">
        <f>$M$456*$W$456</f>
        <v>2996.6059500000001</v>
      </c>
      <c r="AD456" s="6">
        <f>$O$456*$X$456</f>
        <v>11574.001110000001</v>
      </c>
      <c r="AE456" s="6">
        <f>$K$456*$Y$456</f>
        <v>0</v>
      </c>
      <c r="AF456" s="6">
        <f ca="1">$M$456*$Z$456</f>
        <v>5072.8636008997582</v>
      </c>
      <c r="AG456" s="6">
        <f ca="1">$O$456*$AA$456</f>
        <v>9622.7807699999994</v>
      </c>
    </row>
    <row r="457" spans="1:33" ht="11.25" customHeight="1" x14ac:dyDescent="0.3">
      <c r="A457" s="4" t="s">
        <v>28</v>
      </c>
      <c r="B457" s="4" t="s">
        <v>39</v>
      </c>
      <c r="C457" s="4" t="s">
        <v>41</v>
      </c>
      <c r="D457" s="4" t="s">
        <v>46</v>
      </c>
      <c r="E457" s="4" t="s">
        <v>25</v>
      </c>
      <c r="F457" s="4" t="s">
        <v>25</v>
      </c>
      <c r="G457" s="4" t="s">
        <v>25</v>
      </c>
      <c r="H457" s="4" t="s">
        <v>35</v>
      </c>
      <c r="I457" s="5">
        <v>44562</v>
      </c>
      <c r="J457" s="6">
        <v>0</v>
      </c>
      <c r="K457" s="6">
        <v>0</v>
      </c>
      <c r="L457" s="6">
        <v>5.0999999999999996</v>
      </c>
      <c r="M457" s="6">
        <v>5.0999999999999996</v>
      </c>
      <c r="N457" s="6">
        <v>5.0999999999999996</v>
      </c>
      <c r="O457" s="6">
        <v>5.0999999999999996</v>
      </c>
      <c r="P457" s="6">
        <v>0</v>
      </c>
      <c r="Q457" s="4" t="s">
        <v>26</v>
      </c>
      <c r="R457" s="4">
        <v>0</v>
      </c>
      <c r="S457" s="6">
        <v>0</v>
      </c>
      <c r="T457" s="6">
        <v>6</v>
      </c>
      <c r="U457" s="6">
        <v>61</v>
      </c>
      <c r="V457" s="6">
        <f>IF(ISERROR(VLOOKUP($S$457,'TAR FIN'!$A$1:$O$113,15,0)),0,VLOOKUP($S$457,'TAR FIN'!$A$1:$O$113,15,0))</f>
        <v>0</v>
      </c>
      <c r="W457" s="6">
        <f>IF(ISERROR(VLOOKUP($T$457,'TAR FIN'!$A$1:$O$113,15,0)),0,VLOOKUP($T$457,'TAR FIN'!$A$1:$O$113,15,0))</f>
        <v>72.150000000000006</v>
      </c>
      <c r="X457" s="6">
        <f>IF(ISERROR(VLOOKUP($U$457,'TAR FIN'!$A$1:$O$113,15,0)),0,VLOOKUP($U$457,'TAR FIN'!$A$1:$O$113,15,0))</f>
        <v>278.67</v>
      </c>
      <c r="Y457" s="6"/>
      <c r="Z457" s="6">
        <f ca="1">('TUSD BE'!$AM$21+'TUSD BF_350'!$AM$21+'TUSD CVA'!$AM$21)*1</f>
        <v>122.14055331663396</v>
      </c>
      <c r="AA457" s="6">
        <f ca="1">('TE BE'!$AB$10+'TE BF_350'!$AB$10+'TE CVA'!$AB$10)*1</f>
        <v>231.69</v>
      </c>
      <c r="AB457" s="6">
        <f>$K$457*$V$457</f>
        <v>0</v>
      </c>
      <c r="AC457" s="6">
        <f>$M$457*$W$457</f>
        <v>367.96499999999997</v>
      </c>
      <c r="AD457" s="6">
        <f>$O$457*$X$457</f>
        <v>1421.2169999999999</v>
      </c>
      <c r="AE457" s="6">
        <f>$K$457*$Y$457</f>
        <v>0</v>
      </c>
      <c r="AF457" s="6">
        <f ca="1">$M$457*$Z$457</f>
        <v>622.91682191483312</v>
      </c>
      <c r="AG457" s="6">
        <f ca="1">$O$457*$AA$457</f>
        <v>1181.6189999999999</v>
      </c>
    </row>
    <row r="458" spans="1:33" ht="11.25" customHeight="1" x14ac:dyDescent="0.3">
      <c r="A458" s="4" t="s">
        <v>21</v>
      </c>
      <c r="B458" s="4" t="s">
        <v>39</v>
      </c>
      <c r="C458" s="4" t="s">
        <v>41</v>
      </c>
      <c r="D458" s="4" t="s">
        <v>46</v>
      </c>
      <c r="E458" s="4" t="s">
        <v>25</v>
      </c>
      <c r="F458" s="4" t="s">
        <v>25</v>
      </c>
      <c r="G458" s="4" t="s">
        <v>25</v>
      </c>
      <c r="H458" s="4" t="s">
        <v>35</v>
      </c>
      <c r="I458" s="5">
        <v>44593</v>
      </c>
      <c r="J458" s="6">
        <v>0</v>
      </c>
      <c r="K458" s="6">
        <v>0</v>
      </c>
      <c r="L458" s="6">
        <v>40.228999999999999</v>
      </c>
      <c r="M458" s="6">
        <v>40.228999999999999</v>
      </c>
      <c r="N458" s="6">
        <v>40.228999999999999</v>
      </c>
      <c r="O458" s="6">
        <v>40.228999999999999</v>
      </c>
      <c r="P458" s="6">
        <v>0</v>
      </c>
      <c r="Q458" s="4" t="s">
        <v>26</v>
      </c>
      <c r="R458" s="4">
        <v>0</v>
      </c>
      <c r="S458" s="6">
        <v>0</v>
      </c>
      <c r="T458" s="6">
        <v>6</v>
      </c>
      <c r="U458" s="6">
        <v>61</v>
      </c>
      <c r="V458" s="6">
        <f>IF(ISERROR(VLOOKUP($S$458,'TAR FIN'!$A$1:$O$113,15,0)),0,VLOOKUP($S$458,'TAR FIN'!$A$1:$O$113,15,0))</f>
        <v>0</v>
      </c>
      <c r="W458" s="6">
        <f>IF(ISERROR(VLOOKUP($T$458,'TAR FIN'!$A$1:$O$113,15,0)),0,VLOOKUP($T$458,'TAR FIN'!$A$1:$O$113,15,0))</f>
        <v>72.150000000000006</v>
      </c>
      <c r="X458" s="6">
        <f>IF(ISERROR(VLOOKUP($U$458,'TAR FIN'!$A$1:$O$113,15,0)),0,VLOOKUP($U$458,'TAR FIN'!$A$1:$O$113,15,0))</f>
        <v>278.67</v>
      </c>
      <c r="Y458" s="6"/>
      <c r="Z458" s="6">
        <f ca="1">('TUSD BE'!$AM$21+'TUSD BF_350'!$AM$21+'TUSD CVA'!$AM$21)*1</f>
        <v>122.14055331663396</v>
      </c>
      <c r="AA458" s="6">
        <f ca="1">('TE BE'!$AB$10+'TE BF_350'!$AB$10+'TE CVA'!$AB$10)*1</f>
        <v>231.69</v>
      </c>
      <c r="AB458" s="6">
        <f>$K$458*$V$458</f>
        <v>0</v>
      </c>
      <c r="AC458" s="6">
        <f>$M$458*$W$458</f>
        <v>2902.5223500000002</v>
      </c>
      <c r="AD458" s="6">
        <f>$O$458*$X$458</f>
        <v>11210.61543</v>
      </c>
      <c r="AE458" s="6">
        <f>$K$458*$Y$458</f>
        <v>0</v>
      </c>
      <c r="AF458" s="6">
        <f ca="1">$M$458*$Z$458</f>
        <v>4913.5923193748677</v>
      </c>
      <c r="AG458" s="6">
        <f ca="1">$O$458*$AA$458</f>
        <v>9320.657009999999</v>
      </c>
    </row>
    <row r="459" spans="1:33" ht="11.25" customHeight="1" x14ac:dyDescent="0.3">
      <c r="A459" s="4" t="s">
        <v>28</v>
      </c>
      <c r="B459" s="4" t="s">
        <v>39</v>
      </c>
      <c r="C459" s="4" t="s">
        <v>41</v>
      </c>
      <c r="D459" s="4" t="s">
        <v>46</v>
      </c>
      <c r="E459" s="4" t="s">
        <v>25</v>
      </c>
      <c r="F459" s="4" t="s">
        <v>25</v>
      </c>
      <c r="G459" s="4" t="s">
        <v>25</v>
      </c>
      <c r="H459" s="4" t="s">
        <v>35</v>
      </c>
      <c r="I459" s="5">
        <v>44593</v>
      </c>
      <c r="J459" s="6">
        <v>0</v>
      </c>
      <c r="K459" s="6">
        <v>0</v>
      </c>
      <c r="L459" s="6">
        <v>5.3650000000000002</v>
      </c>
      <c r="M459" s="6">
        <v>5.3650000000000002</v>
      </c>
      <c r="N459" s="6">
        <v>5.3650000000000002</v>
      </c>
      <c r="O459" s="6">
        <v>5.3650000000000002</v>
      </c>
      <c r="P459" s="6">
        <v>0</v>
      </c>
      <c r="Q459" s="4" t="s">
        <v>26</v>
      </c>
      <c r="R459" s="4">
        <v>0</v>
      </c>
      <c r="S459" s="6">
        <v>0</v>
      </c>
      <c r="T459" s="6">
        <v>6</v>
      </c>
      <c r="U459" s="6">
        <v>61</v>
      </c>
      <c r="V459" s="6">
        <f>IF(ISERROR(VLOOKUP($S$459,'TAR FIN'!$A$1:$O$113,15,0)),0,VLOOKUP($S$459,'TAR FIN'!$A$1:$O$113,15,0))</f>
        <v>0</v>
      </c>
      <c r="W459" s="6">
        <f>IF(ISERROR(VLOOKUP($T$459,'TAR FIN'!$A$1:$O$113,15,0)),0,VLOOKUP($T$459,'TAR FIN'!$A$1:$O$113,15,0))</f>
        <v>72.150000000000006</v>
      </c>
      <c r="X459" s="6">
        <f>IF(ISERROR(VLOOKUP($U$459,'TAR FIN'!$A$1:$O$113,15,0)),0,VLOOKUP($U$459,'TAR FIN'!$A$1:$O$113,15,0))</f>
        <v>278.67</v>
      </c>
      <c r="Y459" s="6"/>
      <c r="Z459" s="6">
        <f ca="1">('TUSD BE'!$AM$21+'TUSD BF_350'!$AM$21+'TUSD CVA'!$AM$21)*1</f>
        <v>122.14055331663396</v>
      </c>
      <c r="AA459" s="6">
        <f ca="1">('TE BE'!$AB$10+'TE BF_350'!$AB$10+'TE CVA'!$AB$10)*1</f>
        <v>231.69</v>
      </c>
      <c r="AB459" s="6">
        <f>$K$459*$V$459</f>
        <v>0</v>
      </c>
      <c r="AC459" s="6">
        <f>$M$459*$W$459</f>
        <v>387.08475000000004</v>
      </c>
      <c r="AD459" s="6">
        <f>$O$459*$X$459</f>
        <v>1495.0645500000001</v>
      </c>
      <c r="AE459" s="6">
        <f>$K$459*$Y$459</f>
        <v>0</v>
      </c>
      <c r="AF459" s="6">
        <f ca="1">$M$459*$Z$459</f>
        <v>655.28406854374123</v>
      </c>
      <c r="AG459" s="6">
        <f ca="1">$O$459*$AA$459</f>
        <v>1243.01685</v>
      </c>
    </row>
    <row r="460" spans="1:33" ht="11.25" customHeight="1" x14ac:dyDescent="0.3">
      <c r="A460" s="4" t="s">
        <v>21</v>
      </c>
      <c r="B460" s="4" t="s">
        <v>39</v>
      </c>
      <c r="C460" s="4" t="s">
        <v>41</v>
      </c>
      <c r="D460" s="4" t="s">
        <v>46</v>
      </c>
      <c r="E460" s="4" t="s">
        <v>25</v>
      </c>
      <c r="F460" s="4" t="s">
        <v>25</v>
      </c>
      <c r="G460" s="4" t="s">
        <v>25</v>
      </c>
      <c r="H460" s="4" t="s">
        <v>35</v>
      </c>
      <c r="I460" s="5">
        <v>44621</v>
      </c>
      <c r="J460" s="6">
        <v>0</v>
      </c>
      <c r="K460" s="6">
        <v>0</v>
      </c>
      <c r="L460" s="6">
        <v>41.337000000000003</v>
      </c>
      <c r="M460" s="6">
        <v>41.337000000000003</v>
      </c>
      <c r="N460" s="6">
        <v>41.337000000000003</v>
      </c>
      <c r="O460" s="6">
        <v>41.337000000000003</v>
      </c>
      <c r="P460" s="6">
        <v>0</v>
      </c>
      <c r="Q460" s="4" t="s">
        <v>26</v>
      </c>
      <c r="R460" s="4">
        <v>0</v>
      </c>
      <c r="S460" s="6">
        <v>0</v>
      </c>
      <c r="T460" s="6">
        <v>6</v>
      </c>
      <c r="U460" s="6">
        <v>61</v>
      </c>
      <c r="V460" s="6">
        <f>IF(ISERROR(VLOOKUP($S$460,'TAR FIN'!$A$1:$O$113,15,0)),0,VLOOKUP($S$460,'TAR FIN'!$A$1:$O$113,15,0))</f>
        <v>0</v>
      </c>
      <c r="W460" s="6">
        <f>IF(ISERROR(VLOOKUP($T$460,'TAR FIN'!$A$1:$O$113,15,0)),0,VLOOKUP($T$460,'TAR FIN'!$A$1:$O$113,15,0))</f>
        <v>72.150000000000006</v>
      </c>
      <c r="X460" s="6">
        <f>IF(ISERROR(VLOOKUP($U$460,'TAR FIN'!$A$1:$O$113,15,0)),0,VLOOKUP($U$460,'TAR FIN'!$A$1:$O$113,15,0))</f>
        <v>278.67</v>
      </c>
      <c r="Y460" s="6"/>
      <c r="Z460" s="6">
        <f ca="1">('TUSD BE'!$AM$21+'TUSD BF_350'!$AM$21+'TUSD CVA'!$AM$21)*1</f>
        <v>122.14055331663396</v>
      </c>
      <c r="AA460" s="6">
        <f ca="1">('TE BE'!$AB$10+'TE BF_350'!$AB$10+'TE CVA'!$AB$10)*1</f>
        <v>231.69</v>
      </c>
      <c r="AB460" s="6">
        <f>$K$460*$V$460</f>
        <v>0</v>
      </c>
      <c r="AC460" s="6">
        <f>$M$460*$W$460</f>
        <v>2982.4645500000006</v>
      </c>
      <c r="AD460" s="6">
        <f>$O$460*$X$460</f>
        <v>11519.381790000001</v>
      </c>
      <c r="AE460" s="6">
        <f>$K$460*$Y$460</f>
        <v>0</v>
      </c>
      <c r="AF460" s="6">
        <f ca="1">$M$460*$Z$460</f>
        <v>5048.9240524496981</v>
      </c>
      <c r="AG460" s="6">
        <f ca="1">$O$460*$AA$460</f>
        <v>9577.3695299999999</v>
      </c>
    </row>
    <row r="461" spans="1:33" ht="11.25" customHeight="1" x14ac:dyDescent="0.3">
      <c r="A461" s="4" t="s">
        <v>28</v>
      </c>
      <c r="B461" s="4" t="s">
        <v>39</v>
      </c>
      <c r="C461" s="4" t="s">
        <v>41</v>
      </c>
      <c r="D461" s="4" t="s">
        <v>46</v>
      </c>
      <c r="E461" s="4" t="s">
        <v>25</v>
      </c>
      <c r="F461" s="4" t="s">
        <v>25</v>
      </c>
      <c r="G461" s="4" t="s">
        <v>25</v>
      </c>
      <c r="H461" s="4" t="s">
        <v>35</v>
      </c>
      <c r="I461" s="5">
        <v>44621</v>
      </c>
      <c r="J461" s="6">
        <v>0</v>
      </c>
      <c r="K461" s="6">
        <v>0</v>
      </c>
      <c r="L461" s="6">
        <v>4.3250000000000002</v>
      </c>
      <c r="M461" s="6">
        <v>4.3250000000000002</v>
      </c>
      <c r="N461" s="6">
        <v>4.3250000000000002</v>
      </c>
      <c r="O461" s="6">
        <v>4.3250000000000002</v>
      </c>
      <c r="P461" s="6">
        <v>0</v>
      </c>
      <c r="Q461" s="4" t="s">
        <v>26</v>
      </c>
      <c r="R461" s="4">
        <v>0</v>
      </c>
      <c r="S461" s="6">
        <v>0</v>
      </c>
      <c r="T461" s="6">
        <v>6</v>
      </c>
      <c r="U461" s="6">
        <v>61</v>
      </c>
      <c r="V461" s="6">
        <f>IF(ISERROR(VLOOKUP($S$461,'TAR FIN'!$A$1:$O$113,15,0)),0,VLOOKUP($S$461,'TAR FIN'!$A$1:$O$113,15,0))</f>
        <v>0</v>
      </c>
      <c r="W461" s="6">
        <f>IF(ISERROR(VLOOKUP($T$461,'TAR FIN'!$A$1:$O$113,15,0)),0,VLOOKUP($T$461,'TAR FIN'!$A$1:$O$113,15,0))</f>
        <v>72.150000000000006</v>
      </c>
      <c r="X461" s="6">
        <f>IF(ISERROR(VLOOKUP($U$461,'TAR FIN'!$A$1:$O$113,15,0)),0,VLOOKUP($U$461,'TAR FIN'!$A$1:$O$113,15,0))</f>
        <v>278.67</v>
      </c>
      <c r="Y461" s="6"/>
      <c r="Z461" s="6">
        <f ca="1">('TUSD BE'!$AM$21+'TUSD BF_350'!$AM$21+'TUSD CVA'!$AM$21)*1</f>
        <v>122.14055331663396</v>
      </c>
      <c r="AA461" s="6">
        <f ca="1">('TE BE'!$AB$10+'TE BF_350'!$AB$10+'TE CVA'!$AB$10)*1</f>
        <v>231.69</v>
      </c>
      <c r="AB461" s="6">
        <f>$K$461*$V$461</f>
        <v>0</v>
      </c>
      <c r="AC461" s="6">
        <f>$M$461*$W$461</f>
        <v>312.04875000000004</v>
      </c>
      <c r="AD461" s="6">
        <f>$O$461*$X$461</f>
        <v>1205.2477500000002</v>
      </c>
      <c r="AE461" s="6">
        <f>$K$461*$Y$461</f>
        <v>0</v>
      </c>
      <c r="AF461" s="6">
        <f ca="1">$M$461*$Z$461</f>
        <v>528.2578930944419</v>
      </c>
      <c r="AG461" s="6">
        <f ca="1">$O$461*$AA$461</f>
        <v>1002.05925</v>
      </c>
    </row>
    <row r="462" spans="1:33" ht="11.25" customHeight="1" x14ac:dyDescent="0.3">
      <c r="A462" s="4" t="s">
        <v>21</v>
      </c>
      <c r="B462" s="4" t="s">
        <v>39</v>
      </c>
      <c r="C462" s="4" t="s">
        <v>41</v>
      </c>
      <c r="D462" s="4" t="s">
        <v>46</v>
      </c>
      <c r="E462" s="4" t="s">
        <v>25</v>
      </c>
      <c r="F462" s="4" t="s">
        <v>25</v>
      </c>
      <c r="G462" s="4" t="s">
        <v>25</v>
      </c>
      <c r="H462" s="4" t="s">
        <v>35</v>
      </c>
      <c r="I462" s="5">
        <v>44652</v>
      </c>
      <c r="J462" s="6">
        <v>0</v>
      </c>
      <c r="K462" s="6">
        <v>0</v>
      </c>
      <c r="L462" s="6">
        <v>50.235999999999997</v>
      </c>
      <c r="M462" s="6">
        <v>50.235999999999997</v>
      </c>
      <c r="N462" s="6">
        <v>50.235999999999997</v>
      </c>
      <c r="O462" s="6">
        <v>50.235999999999997</v>
      </c>
      <c r="P462" s="6">
        <v>0</v>
      </c>
      <c r="Q462" s="4" t="s">
        <v>26</v>
      </c>
      <c r="R462" s="4">
        <v>0</v>
      </c>
      <c r="S462" s="6">
        <v>0</v>
      </c>
      <c r="T462" s="6">
        <v>6</v>
      </c>
      <c r="U462" s="6">
        <v>61</v>
      </c>
      <c r="V462" s="6">
        <f>IF(ISERROR(VLOOKUP($S$462,'TAR FIN'!$A$1:$O$113,15,0)),0,VLOOKUP($S$462,'TAR FIN'!$A$1:$O$113,15,0))</f>
        <v>0</v>
      </c>
      <c r="W462" s="6">
        <f>IF(ISERROR(VLOOKUP($T$462,'TAR FIN'!$A$1:$O$113,15,0)),0,VLOOKUP($T$462,'TAR FIN'!$A$1:$O$113,15,0))</f>
        <v>72.150000000000006</v>
      </c>
      <c r="X462" s="6">
        <f>IF(ISERROR(VLOOKUP($U$462,'TAR FIN'!$A$1:$O$113,15,0)),0,VLOOKUP($U$462,'TAR FIN'!$A$1:$O$113,15,0))</f>
        <v>278.67</v>
      </c>
      <c r="Y462" s="6"/>
      <c r="Z462" s="6">
        <f ca="1">('TUSD BE'!$AM$21+'TUSD BF_350'!$AM$21+'TUSD CVA'!$AM$21)*1</f>
        <v>122.14055331663396</v>
      </c>
      <c r="AA462" s="6">
        <f ca="1">('TE BE'!$AB$10+'TE BF_350'!$AB$10+'TE CVA'!$AB$10)*1</f>
        <v>231.69</v>
      </c>
      <c r="AB462" s="6">
        <f>$K$462*$V$462</f>
        <v>0</v>
      </c>
      <c r="AC462" s="6">
        <f>$M$462*$W$462</f>
        <v>3624.5273999999999</v>
      </c>
      <c r="AD462" s="6">
        <f>$O$462*$X$462</f>
        <v>13999.26612</v>
      </c>
      <c r="AE462" s="6">
        <f>$K$462*$Y$462</f>
        <v>0</v>
      </c>
      <c r="AF462" s="6">
        <f ca="1">$M$462*$Z$462</f>
        <v>6135.8528364144231</v>
      </c>
      <c r="AG462" s="6">
        <f ca="1">$O$462*$AA$462</f>
        <v>11639.178839999999</v>
      </c>
    </row>
    <row r="463" spans="1:33" ht="11.25" customHeight="1" x14ac:dyDescent="0.3">
      <c r="A463" s="4" t="s">
        <v>28</v>
      </c>
      <c r="B463" s="4" t="s">
        <v>39</v>
      </c>
      <c r="C463" s="4" t="s">
        <v>41</v>
      </c>
      <c r="D463" s="4" t="s">
        <v>46</v>
      </c>
      <c r="E463" s="4" t="s">
        <v>25</v>
      </c>
      <c r="F463" s="4" t="s">
        <v>25</v>
      </c>
      <c r="G463" s="4" t="s">
        <v>25</v>
      </c>
      <c r="H463" s="4" t="s">
        <v>35</v>
      </c>
      <c r="I463" s="5">
        <v>44652</v>
      </c>
      <c r="J463" s="6">
        <v>0</v>
      </c>
      <c r="K463" s="6">
        <v>0</v>
      </c>
      <c r="L463" s="6">
        <v>6.0019999999999998</v>
      </c>
      <c r="M463" s="6">
        <v>6.0019999999999998</v>
      </c>
      <c r="N463" s="6">
        <v>6.0019999999999998</v>
      </c>
      <c r="O463" s="6">
        <v>6.0019999999999998</v>
      </c>
      <c r="P463" s="6">
        <v>0</v>
      </c>
      <c r="Q463" s="4" t="s">
        <v>26</v>
      </c>
      <c r="R463" s="4">
        <v>0</v>
      </c>
      <c r="S463" s="6">
        <v>0</v>
      </c>
      <c r="T463" s="6">
        <v>6</v>
      </c>
      <c r="U463" s="6">
        <v>61</v>
      </c>
      <c r="V463" s="6">
        <f>IF(ISERROR(VLOOKUP($S$463,'TAR FIN'!$A$1:$O$113,15,0)),0,VLOOKUP($S$463,'TAR FIN'!$A$1:$O$113,15,0))</f>
        <v>0</v>
      </c>
      <c r="W463" s="6">
        <f>IF(ISERROR(VLOOKUP($T$463,'TAR FIN'!$A$1:$O$113,15,0)),0,VLOOKUP($T$463,'TAR FIN'!$A$1:$O$113,15,0))</f>
        <v>72.150000000000006</v>
      </c>
      <c r="X463" s="6">
        <f>IF(ISERROR(VLOOKUP($U$463,'TAR FIN'!$A$1:$O$113,15,0)),0,VLOOKUP($U$463,'TAR FIN'!$A$1:$O$113,15,0))</f>
        <v>278.67</v>
      </c>
      <c r="Y463" s="6"/>
      <c r="Z463" s="6">
        <f ca="1">('TUSD BE'!$AM$21+'TUSD BF_350'!$AM$21+'TUSD CVA'!$AM$21)*1</f>
        <v>122.14055331663396</v>
      </c>
      <c r="AA463" s="6">
        <f ca="1">('TE BE'!$AB$10+'TE BF_350'!$AB$10+'TE CVA'!$AB$10)*1</f>
        <v>231.69</v>
      </c>
      <c r="AB463" s="6">
        <f>$K$463*$V$463</f>
        <v>0</v>
      </c>
      <c r="AC463" s="6">
        <f>$M$463*$W$463</f>
        <v>433.04430000000002</v>
      </c>
      <c r="AD463" s="6">
        <f>$O$463*$X$463</f>
        <v>1672.57734</v>
      </c>
      <c r="AE463" s="6">
        <f>$K$463*$Y$463</f>
        <v>0</v>
      </c>
      <c r="AF463" s="6">
        <f ca="1">$M$463*$Z$463</f>
        <v>733.08760100643701</v>
      </c>
      <c r="AG463" s="6">
        <f ca="1">$O$463*$AA$463</f>
        <v>1390.60338</v>
      </c>
    </row>
    <row r="464" spans="1:33" ht="11.25" customHeight="1" x14ac:dyDescent="0.3">
      <c r="A464" s="4" t="s">
        <v>21</v>
      </c>
      <c r="B464" s="4" t="s">
        <v>39</v>
      </c>
      <c r="C464" s="4" t="s">
        <v>41</v>
      </c>
      <c r="D464" s="4" t="s">
        <v>46</v>
      </c>
      <c r="E464" s="4" t="s">
        <v>25</v>
      </c>
      <c r="F464" s="4" t="s">
        <v>25</v>
      </c>
      <c r="G464" s="4" t="s">
        <v>25</v>
      </c>
      <c r="H464" s="4" t="s">
        <v>35</v>
      </c>
      <c r="I464" s="5">
        <v>44682</v>
      </c>
      <c r="J464" s="6">
        <v>0</v>
      </c>
      <c r="K464" s="6">
        <v>0</v>
      </c>
      <c r="L464" s="6">
        <v>45.79</v>
      </c>
      <c r="M464" s="6">
        <v>45.79</v>
      </c>
      <c r="N464" s="6">
        <v>45.79</v>
      </c>
      <c r="O464" s="6">
        <v>45.79</v>
      </c>
      <c r="P464" s="6">
        <v>0</v>
      </c>
      <c r="Q464" s="4" t="s">
        <v>26</v>
      </c>
      <c r="R464" s="4">
        <v>0</v>
      </c>
      <c r="S464" s="6">
        <v>0</v>
      </c>
      <c r="T464" s="6">
        <v>6</v>
      </c>
      <c r="U464" s="6">
        <v>61</v>
      </c>
      <c r="V464" s="6">
        <f>IF(ISERROR(VLOOKUP($S$464,'TAR FIN'!$A$1:$O$113,15,0)),0,VLOOKUP($S$464,'TAR FIN'!$A$1:$O$113,15,0))</f>
        <v>0</v>
      </c>
      <c r="W464" s="6">
        <f>IF(ISERROR(VLOOKUP($T$464,'TAR FIN'!$A$1:$O$113,15,0)),0,VLOOKUP($T$464,'TAR FIN'!$A$1:$O$113,15,0))</f>
        <v>72.150000000000006</v>
      </c>
      <c r="X464" s="6">
        <f>IF(ISERROR(VLOOKUP($U$464,'TAR FIN'!$A$1:$O$113,15,0)),0,VLOOKUP($U$464,'TAR FIN'!$A$1:$O$113,15,0))</f>
        <v>278.67</v>
      </c>
      <c r="Y464" s="6"/>
      <c r="Z464" s="6">
        <f ca="1">('TUSD BE'!$AM$21+'TUSD BF_350'!$AM$21+'TUSD CVA'!$AM$21)*1</f>
        <v>122.14055331663396</v>
      </c>
      <c r="AA464" s="6">
        <f ca="1">('TE BE'!$AB$10+'TE BF_350'!$AB$10+'TE CVA'!$AB$10)*1</f>
        <v>231.69</v>
      </c>
      <c r="AB464" s="6">
        <f>$K$464*$V$464</f>
        <v>0</v>
      </c>
      <c r="AC464" s="6">
        <f>$M$464*$W$464</f>
        <v>3303.7485000000001</v>
      </c>
      <c r="AD464" s="6">
        <f>$O$464*$X$464</f>
        <v>12760.299300000001</v>
      </c>
      <c r="AE464" s="6">
        <f>$K$464*$Y$464</f>
        <v>0</v>
      </c>
      <c r="AF464" s="6">
        <f ca="1">$M$464*$Z$464</f>
        <v>5592.8159363686691</v>
      </c>
      <c r="AG464" s="6">
        <f ca="1">$O$464*$AA$464</f>
        <v>10609.0851</v>
      </c>
    </row>
    <row r="465" spans="1:33" ht="11.25" customHeight="1" x14ac:dyDescent="0.3">
      <c r="A465" s="4" t="s">
        <v>28</v>
      </c>
      <c r="B465" s="4" t="s">
        <v>39</v>
      </c>
      <c r="C465" s="4" t="s">
        <v>41</v>
      </c>
      <c r="D465" s="4" t="s">
        <v>46</v>
      </c>
      <c r="E465" s="4" t="s">
        <v>25</v>
      </c>
      <c r="F465" s="4" t="s">
        <v>25</v>
      </c>
      <c r="G465" s="4" t="s">
        <v>25</v>
      </c>
      <c r="H465" s="4" t="s">
        <v>35</v>
      </c>
      <c r="I465" s="5">
        <v>44682</v>
      </c>
      <c r="J465" s="6">
        <v>0</v>
      </c>
      <c r="K465" s="6">
        <v>0</v>
      </c>
      <c r="L465" s="6">
        <v>5.968</v>
      </c>
      <c r="M465" s="6">
        <v>5.968</v>
      </c>
      <c r="N465" s="6">
        <v>5.968</v>
      </c>
      <c r="O465" s="6">
        <v>5.968</v>
      </c>
      <c r="P465" s="6">
        <v>0</v>
      </c>
      <c r="Q465" s="4" t="s">
        <v>26</v>
      </c>
      <c r="R465" s="4">
        <v>0</v>
      </c>
      <c r="S465" s="6">
        <v>0</v>
      </c>
      <c r="T465" s="6">
        <v>6</v>
      </c>
      <c r="U465" s="6">
        <v>61</v>
      </c>
      <c r="V465" s="6">
        <f>IF(ISERROR(VLOOKUP($S$465,'TAR FIN'!$A$1:$O$113,15,0)),0,VLOOKUP($S$465,'TAR FIN'!$A$1:$O$113,15,0))</f>
        <v>0</v>
      </c>
      <c r="W465" s="6">
        <f>IF(ISERROR(VLOOKUP($T$465,'TAR FIN'!$A$1:$O$113,15,0)),0,VLOOKUP($T$465,'TAR FIN'!$A$1:$O$113,15,0))</f>
        <v>72.150000000000006</v>
      </c>
      <c r="X465" s="6">
        <f>IF(ISERROR(VLOOKUP($U$465,'TAR FIN'!$A$1:$O$113,15,0)),0,VLOOKUP($U$465,'TAR FIN'!$A$1:$O$113,15,0))</f>
        <v>278.67</v>
      </c>
      <c r="Y465" s="6"/>
      <c r="Z465" s="6">
        <f ca="1">('TUSD BE'!$AM$21+'TUSD BF_350'!$AM$21+'TUSD CVA'!$AM$21)*1</f>
        <v>122.14055331663396</v>
      </c>
      <c r="AA465" s="6">
        <f ca="1">('TE BE'!$AB$10+'TE BF_350'!$AB$10+'TE CVA'!$AB$10)*1</f>
        <v>231.69</v>
      </c>
      <c r="AB465" s="6">
        <f>$K$465*$V$465</f>
        <v>0</v>
      </c>
      <c r="AC465" s="6">
        <f>$M$465*$W$465</f>
        <v>430.59120000000001</v>
      </c>
      <c r="AD465" s="6">
        <f>$O$465*$X$465</f>
        <v>1663.10256</v>
      </c>
      <c r="AE465" s="6">
        <f>$K$465*$Y$465</f>
        <v>0</v>
      </c>
      <c r="AF465" s="6">
        <f ca="1">$M$465*$Z$465</f>
        <v>728.93482219367149</v>
      </c>
      <c r="AG465" s="6">
        <f ca="1">$O$465*$AA$465</f>
        <v>1382.7259200000001</v>
      </c>
    </row>
    <row r="466" spans="1:33" ht="11.25" customHeight="1" x14ac:dyDescent="0.3">
      <c r="A466" s="4" t="s">
        <v>21</v>
      </c>
      <c r="B466" s="4" t="s">
        <v>39</v>
      </c>
      <c r="C466" s="4" t="s">
        <v>41</v>
      </c>
      <c r="D466" s="4" t="s">
        <v>46</v>
      </c>
      <c r="E466" s="4" t="s">
        <v>25</v>
      </c>
      <c r="F466" s="4" t="s">
        <v>25</v>
      </c>
      <c r="G466" s="4" t="s">
        <v>25</v>
      </c>
      <c r="H466" s="4" t="s">
        <v>35</v>
      </c>
      <c r="I466" s="5">
        <v>44713</v>
      </c>
      <c r="J466" s="6">
        <v>0</v>
      </c>
      <c r="K466" s="6">
        <v>0</v>
      </c>
      <c r="L466" s="6">
        <v>47.131999999999998</v>
      </c>
      <c r="M466" s="6">
        <v>47.131999999999998</v>
      </c>
      <c r="N466" s="6">
        <v>47.131999999999998</v>
      </c>
      <c r="O466" s="6">
        <v>47.131999999999998</v>
      </c>
      <c r="P466" s="6">
        <v>0</v>
      </c>
      <c r="Q466" s="4" t="s">
        <v>26</v>
      </c>
      <c r="R466" s="4">
        <v>0</v>
      </c>
      <c r="S466" s="6">
        <v>0</v>
      </c>
      <c r="T466" s="6">
        <v>6</v>
      </c>
      <c r="U466" s="6">
        <v>61</v>
      </c>
      <c r="V466" s="6">
        <f>IF(ISERROR(VLOOKUP($S$466,'TAR FIN'!$A$1:$O$113,15,0)),0,VLOOKUP($S$466,'TAR FIN'!$A$1:$O$113,15,0))</f>
        <v>0</v>
      </c>
      <c r="W466" s="6">
        <f>IF(ISERROR(VLOOKUP($T$466,'TAR FIN'!$A$1:$O$113,15,0)),0,VLOOKUP($T$466,'TAR FIN'!$A$1:$O$113,15,0))</f>
        <v>72.150000000000006</v>
      </c>
      <c r="X466" s="6">
        <f>IF(ISERROR(VLOOKUP($U$466,'TAR FIN'!$A$1:$O$113,15,0)),0,VLOOKUP($U$466,'TAR FIN'!$A$1:$O$113,15,0))</f>
        <v>278.67</v>
      </c>
      <c r="Y466" s="6"/>
      <c r="Z466" s="6">
        <f ca="1">('TUSD BE'!$AM$21+'TUSD BF_350'!$AM$21+'TUSD CVA'!$AM$21)*1</f>
        <v>122.14055331663396</v>
      </c>
      <c r="AA466" s="6">
        <f ca="1">('TE BE'!$AB$10+'TE BF_350'!$AB$10+'TE CVA'!$AB$10)*1</f>
        <v>231.69</v>
      </c>
      <c r="AB466" s="6">
        <f>$K$466*$V$466</f>
        <v>0</v>
      </c>
      <c r="AC466" s="6">
        <f>$M$466*$W$466</f>
        <v>3400.5738000000001</v>
      </c>
      <c r="AD466" s="6">
        <f>$O$466*$X$466</f>
        <v>13134.274440000001</v>
      </c>
      <c r="AE466" s="6">
        <f>$K$466*$Y$466</f>
        <v>0</v>
      </c>
      <c r="AF466" s="6">
        <f ca="1">$M$466*$Z$466</f>
        <v>5756.7285589195917</v>
      </c>
      <c r="AG466" s="6">
        <f ca="1">$O$466*$AA$466</f>
        <v>10920.013079999999</v>
      </c>
    </row>
    <row r="467" spans="1:33" ht="11.25" customHeight="1" x14ac:dyDescent="0.3">
      <c r="A467" s="4" t="s">
        <v>28</v>
      </c>
      <c r="B467" s="4" t="s">
        <v>39</v>
      </c>
      <c r="C467" s="4" t="s">
        <v>41</v>
      </c>
      <c r="D467" s="4" t="s">
        <v>46</v>
      </c>
      <c r="E467" s="4" t="s">
        <v>25</v>
      </c>
      <c r="F467" s="4" t="s">
        <v>25</v>
      </c>
      <c r="G467" s="4" t="s">
        <v>25</v>
      </c>
      <c r="H467" s="4" t="s">
        <v>35</v>
      </c>
      <c r="I467" s="5">
        <v>44713</v>
      </c>
      <c r="J467" s="6">
        <v>0</v>
      </c>
      <c r="K467" s="6">
        <v>0</v>
      </c>
      <c r="L467" s="6">
        <v>7.9249999999999998</v>
      </c>
      <c r="M467" s="6">
        <v>7.9249999999999998</v>
      </c>
      <c r="N467" s="6">
        <v>7.9249999999999998</v>
      </c>
      <c r="O467" s="6">
        <v>7.9249999999999998</v>
      </c>
      <c r="P467" s="6">
        <v>0</v>
      </c>
      <c r="Q467" s="4" t="s">
        <v>26</v>
      </c>
      <c r="R467" s="4">
        <v>0</v>
      </c>
      <c r="S467" s="6">
        <v>0</v>
      </c>
      <c r="T467" s="6">
        <v>6</v>
      </c>
      <c r="U467" s="6">
        <v>61</v>
      </c>
      <c r="V467" s="6">
        <f>IF(ISERROR(VLOOKUP($S$467,'TAR FIN'!$A$1:$O$113,15,0)),0,VLOOKUP($S$467,'TAR FIN'!$A$1:$O$113,15,0))</f>
        <v>0</v>
      </c>
      <c r="W467" s="6">
        <f>IF(ISERROR(VLOOKUP($T$467,'TAR FIN'!$A$1:$O$113,15,0)),0,VLOOKUP($T$467,'TAR FIN'!$A$1:$O$113,15,0))</f>
        <v>72.150000000000006</v>
      </c>
      <c r="X467" s="6">
        <f>IF(ISERROR(VLOOKUP($U$467,'TAR FIN'!$A$1:$O$113,15,0)),0,VLOOKUP($U$467,'TAR FIN'!$A$1:$O$113,15,0))</f>
        <v>278.67</v>
      </c>
      <c r="Y467" s="6"/>
      <c r="Z467" s="6">
        <f ca="1">('TUSD BE'!$AM$21+'TUSD BF_350'!$AM$21+'TUSD CVA'!$AM$21)*1</f>
        <v>122.14055331663396</v>
      </c>
      <c r="AA467" s="6">
        <f ca="1">('TE BE'!$AB$10+'TE BF_350'!$AB$10+'TE CVA'!$AB$10)*1</f>
        <v>231.69</v>
      </c>
      <c r="AB467" s="6">
        <f>$K$467*$V$467</f>
        <v>0</v>
      </c>
      <c r="AC467" s="6">
        <f>$M$467*$W$467</f>
        <v>571.78875000000005</v>
      </c>
      <c r="AD467" s="6">
        <f>$O$467*$X$467</f>
        <v>2208.45975</v>
      </c>
      <c r="AE467" s="6">
        <f>$K$467*$Y$467</f>
        <v>0</v>
      </c>
      <c r="AF467" s="6">
        <f ca="1">$M$467*$Z$467</f>
        <v>967.96388503432411</v>
      </c>
      <c r="AG467" s="6">
        <f ca="1">$O$467*$AA$467</f>
        <v>1836.1432499999999</v>
      </c>
    </row>
    <row r="468" spans="1:33" ht="11.25" customHeight="1" x14ac:dyDescent="0.3">
      <c r="A468" s="4" t="s">
        <v>21</v>
      </c>
      <c r="B468" s="4" t="s">
        <v>39</v>
      </c>
      <c r="C468" s="4" t="s">
        <v>41</v>
      </c>
      <c r="D468" s="4" t="s">
        <v>46</v>
      </c>
      <c r="E468" s="4" t="s">
        <v>25</v>
      </c>
      <c r="F468" s="4" t="s">
        <v>25</v>
      </c>
      <c r="G468" s="4" t="s">
        <v>25</v>
      </c>
      <c r="H468" s="4" t="s">
        <v>35</v>
      </c>
      <c r="I468" s="5">
        <v>44743</v>
      </c>
      <c r="J468" s="6">
        <v>0</v>
      </c>
      <c r="K468" s="6">
        <v>0</v>
      </c>
      <c r="L468" s="6">
        <v>46.232999999999997</v>
      </c>
      <c r="M468" s="6">
        <v>46.232999999999997</v>
      </c>
      <c r="N468" s="6">
        <v>46.232999999999997</v>
      </c>
      <c r="O468" s="6">
        <v>46.232999999999997</v>
      </c>
      <c r="P468" s="6">
        <v>0</v>
      </c>
      <c r="Q468" s="4" t="s">
        <v>26</v>
      </c>
      <c r="R468" s="4">
        <v>0</v>
      </c>
      <c r="S468" s="6">
        <v>0</v>
      </c>
      <c r="T468" s="6">
        <v>6</v>
      </c>
      <c r="U468" s="6">
        <v>61</v>
      </c>
      <c r="V468" s="6">
        <f>IF(ISERROR(VLOOKUP($S$468,'TAR FIN'!$A$1:$O$113,15,0)),0,VLOOKUP($S$468,'TAR FIN'!$A$1:$O$113,15,0))</f>
        <v>0</v>
      </c>
      <c r="W468" s="6">
        <f>IF(ISERROR(VLOOKUP($T$468,'TAR FIN'!$A$1:$O$113,15,0)),0,VLOOKUP($T$468,'TAR FIN'!$A$1:$O$113,15,0))</f>
        <v>72.150000000000006</v>
      </c>
      <c r="X468" s="6">
        <f>IF(ISERROR(VLOOKUP($U$468,'TAR FIN'!$A$1:$O$113,15,0)),0,VLOOKUP($U$468,'TAR FIN'!$A$1:$O$113,15,0))</f>
        <v>278.67</v>
      </c>
      <c r="Y468" s="6"/>
      <c r="Z468" s="6">
        <f ca="1">('TUSD BE'!$AM$21+'TUSD BF_350'!$AM$21+'TUSD CVA'!$AM$21)*1</f>
        <v>122.14055331663396</v>
      </c>
      <c r="AA468" s="6">
        <f ca="1">('TE BE'!$AB$10+'TE BF_350'!$AB$10+'TE CVA'!$AB$10)*1</f>
        <v>231.69</v>
      </c>
      <c r="AB468" s="6">
        <f>$K$468*$V$468</f>
        <v>0</v>
      </c>
      <c r="AC468" s="6">
        <f>$M$468*$W$468</f>
        <v>3335.7109500000001</v>
      </c>
      <c r="AD468" s="6">
        <f>$O$468*$X$468</f>
        <v>12883.750109999999</v>
      </c>
      <c r="AE468" s="6">
        <f>$K$468*$Y$468</f>
        <v>0</v>
      </c>
      <c r="AF468" s="6">
        <f ca="1">$M$468*$Z$468</f>
        <v>5646.9242014879374</v>
      </c>
      <c r="AG468" s="6">
        <f ca="1">$O$468*$AA$468</f>
        <v>10711.723769999999</v>
      </c>
    </row>
    <row r="469" spans="1:33" ht="11.25" customHeight="1" x14ac:dyDescent="0.3">
      <c r="A469" s="4" t="s">
        <v>21</v>
      </c>
      <c r="B469" s="4" t="s">
        <v>39</v>
      </c>
      <c r="C469" s="4" t="s">
        <v>41</v>
      </c>
      <c r="D469" s="4" t="s">
        <v>46</v>
      </c>
      <c r="E469" s="4" t="s">
        <v>25</v>
      </c>
      <c r="F469" s="4" t="s">
        <v>25</v>
      </c>
      <c r="G469" s="4" t="s">
        <v>25</v>
      </c>
      <c r="H469" s="4" t="s">
        <v>35</v>
      </c>
      <c r="I469" s="5">
        <v>44774</v>
      </c>
      <c r="J469" s="6">
        <v>0</v>
      </c>
      <c r="K469" s="6">
        <v>0</v>
      </c>
      <c r="L469" s="6">
        <v>46.384</v>
      </c>
      <c r="M469" s="6">
        <v>46.384</v>
      </c>
      <c r="N469" s="6">
        <v>46.384</v>
      </c>
      <c r="O469" s="6">
        <v>46.384</v>
      </c>
      <c r="P469" s="6">
        <v>0</v>
      </c>
      <c r="Q469" s="4" t="s">
        <v>26</v>
      </c>
      <c r="R469" s="4">
        <v>0</v>
      </c>
      <c r="S469" s="6">
        <v>0</v>
      </c>
      <c r="T469" s="6">
        <v>6</v>
      </c>
      <c r="U469" s="6">
        <v>61</v>
      </c>
      <c r="V469" s="6">
        <f>IF(ISERROR(VLOOKUP($S$469,'TAR FIN'!$A$1:$O$113,15,0)),0,VLOOKUP($S$469,'TAR FIN'!$A$1:$O$113,15,0))</f>
        <v>0</v>
      </c>
      <c r="W469" s="6">
        <f>IF(ISERROR(VLOOKUP($T$469,'TAR FIN'!$A$1:$O$113,15,0)),0,VLOOKUP($T$469,'TAR FIN'!$A$1:$O$113,15,0))</f>
        <v>72.150000000000006</v>
      </c>
      <c r="X469" s="6">
        <f>IF(ISERROR(VLOOKUP($U$469,'TAR FIN'!$A$1:$O$113,15,0)),0,VLOOKUP($U$469,'TAR FIN'!$A$1:$O$113,15,0))</f>
        <v>278.67</v>
      </c>
      <c r="Y469" s="6"/>
      <c r="Z469" s="6">
        <f ca="1">('TUSD BE'!$AM$21+'TUSD BF_350'!$AM$21+'TUSD CVA'!$AM$21)*1</f>
        <v>122.14055331663396</v>
      </c>
      <c r="AA469" s="6">
        <f ca="1">('TE BE'!$AB$10+'TE BF_350'!$AB$10+'TE CVA'!$AB$10)*1</f>
        <v>231.69</v>
      </c>
      <c r="AB469" s="6">
        <f>$K$469*$V$469</f>
        <v>0</v>
      </c>
      <c r="AC469" s="6">
        <f>$M$469*$W$469</f>
        <v>3346.6056000000003</v>
      </c>
      <c r="AD469" s="6">
        <f>$O$469*$X$469</f>
        <v>12925.82928</v>
      </c>
      <c r="AE469" s="6">
        <f>$K$469*$Y$469</f>
        <v>0</v>
      </c>
      <c r="AF469" s="6">
        <f ca="1">$M$469*$Z$469</f>
        <v>5665.3674250387494</v>
      </c>
      <c r="AG469" s="6">
        <f ca="1">$O$469*$AA$469</f>
        <v>10746.70896</v>
      </c>
    </row>
    <row r="470" spans="1:33" ht="11.25" customHeight="1" x14ac:dyDescent="0.3">
      <c r="A470" s="4" t="s">
        <v>28</v>
      </c>
      <c r="B470" s="4" t="s">
        <v>39</v>
      </c>
      <c r="C470" s="4" t="s">
        <v>41</v>
      </c>
      <c r="D470" s="4" t="s">
        <v>46</v>
      </c>
      <c r="E470" s="4" t="s">
        <v>25</v>
      </c>
      <c r="F470" s="4" t="s">
        <v>25</v>
      </c>
      <c r="G470" s="4" t="s">
        <v>25</v>
      </c>
      <c r="H470" s="4" t="s">
        <v>35</v>
      </c>
      <c r="I470" s="5">
        <v>44774</v>
      </c>
      <c r="J470" s="6">
        <v>0</v>
      </c>
      <c r="K470" s="6">
        <v>0</v>
      </c>
      <c r="L470" s="6">
        <v>12.36</v>
      </c>
      <c r="M470" s="6">
        <v>12.36</v>
      </c>
      <c r="N470" s="6">
        <v>12.36</v>
      </c>
      <c r="O470" s="6">
        <v>12.36</v>
      </c>
      <c r="P470" s="6">
        <v>0</v>
      </c>
      <c r="Q470" s="4" t="s">
        <v>26</v>
      </c>
      <c r="R470" s="4">
        <v>0</v>
      </c>
      <c r="S470" s="6">
        <v>0</v>
      </c>
      <c r="T470" s="6">
        <v>6</v>
      </c>
      <c r="U470" s="6">
        <v>61</v>
      </c>
      <c r="V470" s="6">
        <f>IF(ISERROR(VLOOKUP($S$470,'TAR FIN'!$A$1:$O$113,15,0)),0,VLOOKUP($S$470,'TAR FIN'!$A$1:$O$113,15,0))</f>
        <v>0</v>
      </c>
      <c r="W470" s="6">
        <f>IF(ISERROR(VLOOKUP($T$470,'TAR FIN'!$A$1:$O$113,15,0)),0,VLOOKUP($T$470,'TAR FIN'!$A$1:$O$113,15,0))</f>
        <v>72.150000000000006</v>
      </c>
      <c r="X470" s="6">
        <f>IF(ISERROR(VLOOKUP($U$470,'TAR FIN'!$A$1:$O$113,15,0)),0,VLOOKUP($U$470,'TAR FIN'!$A$1:$O$113,15,0))</f>
        <v>278.67</v>
      </c>
      <c r="Y470" s="6"/>
      <c r="Z470" s="6">
        <f ca="1">('TUSD BE'!$AM$21+'TUSD BF_350'!$AM$21+'TUSD CVA'!$AM$21)*1</f>
        <v>122.14055331663396</v>
      </c>
      <c r="AA470" s="6">
        <f ca="1">('TE BE'!$AB$10+'TE BF_350'!$AB$10+'TE CVA'!$AB$10)*1</f>
        <v>231.69</v>
      </c>
      <c r="AB470" s="6">
        <f>$K$470*$V$470</f>
        <v>0</v>
      </c>
      <c r="AC470" s="6">
        <f>$M$470*$W$470</f>
        <v>891.774</v>
      </c>
      <c r="AD470" s="6">
        <f>$O$470*$X$470</f>
        <v>3444.3611999999998</v>
      </c>
      <c r="AE470" s="6">
        <f>$K$470*$Y$470</f>
        <v>0</v>
      </c>
      <c r="AF470" s="6">
        <f ca="1">$M$470*$Z$470</f>
        <v>1509.6572389935957</v>
      </c>
      <c r="AG470" s="6">
        <f ca="1">$O$470*$AA$470</f>
        <v>2863.6884</v>
      </c>
    </row>
    <row r="471" spans="1:33" ht="11.25" customHeight="1" x14ac:dyDescent="0.3">
      <c r="A471" s="4" t="s">
        <v>21</v>
      </c>
      <c r="B471" s="4" t="s">
        <v>39</v>
      </c>
      <c r="C471" s="4" t="s">
        <v>41</v>
      </c>
      <c r="D471" s="4" t="s">
        <v>46</v>
      </c>
      <c r="E471" s="4" t="s">
        <v>25</v>
      </c>
      <c r="F471" s="4" t="s">
        <v>25</v>
      </c>
      <c r="G471" s="4" t="s">
        <v>25</v>
      </c>
      <c r="H471" s="4" t="s">
        <v>35</v>
      </c>
      <c r="I471" s="5">
        <v>44805</v>
      </c>
      <c r="J471" s="6">
        <v>0</v>
      </c>
      <c r="K471" s="6">
        <v>0</v>
      </c>
      <c r="L471" s="6">
        <v>47.414000000000001</v>
      </c>
      <c r="M471" s="6">
        <v>47.414000000000001</v>
      </c>
      <c r="N471" s="6">
        <v>47.414000000000001</v>
      </c>
      <c r="O471" s="6">
        <v>47.414000000000001</v>
      </c>
      <c r="P471" s="6">
        <v>0</v>
      </c>
      <c r="Q471" s="4" t="s">
        <v>26</v>
      </c>
      <c r="R471" s="4">
        <v>0</v>
      </c>
      <c r="S471" s="6">
        <v>0</v>
      </c>
      <c r="T471" s="6">
        <v>6</v>
      </c>
      <c r="U471" s="6">
        <v>61</v>
      </c>
      <c r="V471" s="6">
        <f>IF(ISERROR(VLOOKUP($S$471,'TAR FIN'!$A$1:$O$113,15,0)),0,VLOOKUP($S$471,'TAR FIN'!$A$1:$O$113,15,0))</f>
        <v>0</v>
      </c>
      <c r="W471" s="6">
        <f>IF(ISERROR(VLOOKUP($T$471,'TAR FIN'!$A$1:$O$113,15,0)),0,VLOOKUP($T$471,'TAR FIN'!$A$1:$O$113,15,0))</f>
        <v>72.150000000000006</v>
      </c>
      <c r="X471" s="6">
        <f>IF(ISERROR(VLOOKUP($U$471,'TAR FIN'!$A$1:$O$113,15,0)),0,VLOOKUP($U$471,'TAR FIN'!$A$1:$O$113,15,0))</f>
        <v>278.67</v>
      </c>
      <c r="Y471" s="6"/>
      <c r="Z471" s="6">
        <f ca="1">('TUSD BE'!$AM$21+'TUSD BF_350'!$AM$21+'TUSD CVA'!$AM$21)*1</f>
        <v>122.14055331663396</v>
      </c>
      <c r="AA471" s="6">
        <f ca="1">('TE BE'!$AB$10+'TE BF_350'!$AB$10+'TE CVA'!$AB$10)*1</f>
        <v>231.69</v>
      </c>
      <c r="AB471" s="6">
        <f>$K$471*$V$471</f>
        <v>0</v>
      </c>
      <c r="AC471" s="6">
        <f>$M$471*$W$471</f>
        <v>3420.9201000000003</v>
      </c>
      <c r="AD471" s="6">
        <f>$O$471*$X$471</f>
        <v>13212.859380000002</v>
      </c>
      <c r="AE471" s="6">
        <f>$K$471*$Y$471</f>
        <v>0</v>
      </c>
      <c r="AF471" s="6">
        <f ca="1">$M$471*$Z$471</f>
        <v>5791.1721949548828</v>
      </c>
      <c r="AG471" s="6">
        <f ca="1">$O$471*$AA$471</f>
        <v>10985.34966</v>
      </c>
    </row>
    <row r="472" spans="1:33" ht="11.25" customHeight="1" x14ac:dyDescent="0.3">
      <c r="A472" s="4" t="s">
        <v>28</v>
      </c>
      <c r="B472" s="4" t="s">
        <v>39</v>
      </c>
      <c r="C472" s="4" t="s">
        <v>41</v>
      </c>
      <c r="D472" s="4" t="s">
        <v>46</v>
      </c>
      <c r="E472" s="4" t="s">
        <v>25</v>
      </c>
      <c r="F472" s="4" t="s">
        <v>25</v>
      </c>
      <c r="G472" s="4" t="s">
        <v>25</v>
      </c>
      <c r="H472" s="4" t="s">
        <v>35</v>
      </c>
      <c r="I472" s="5">
        <v>44805</v>
      </c>
      <c r="J472" s="6">
        <v>0</v>
      </c>
      <c r="K472" s="6">
        <v>0</v>
      </c>
      <c r="L472" s="6">
        <v>13.048999999999999</v>
      </c>
      <c r="M472" s="6">
        <v>13.048999999999999</v>
      </c>
      <c r="N472" s="6">
        <v>13.048999999999999</v>
      </c>
      <c r="O472" s="6">
        <v>13.048999999999999</v>
      </c>
      <c r="P472" s="6">
        <v>0</v>
      </c>
      <c r="Q472" s="4" t="s">
        <v>26</v>
      </c>
      <c r="R472" s="4">
        <v>0</v>
      </c>
      <c r="S472" s="6">
        <v>0</v>
      </c>
      <c r="T472" s="6">
        <v>6</v>
      </c>
      <c r="U472" s="6">
        <v>61</v>
      </c>
      <c r="V472" s="6">
        <f>IF(ISERROR(VLOOKUP($S$472,'TAR FIN'!$A$1:$O$113,15,0)),0,VLOOKUP($S$472,'TAR FIN'!$A$1:$O$113,15,0))</f>
        <v>0</v>
      </c>
      <c r="W472" s="6">
        <f>IF(ISERROR(VLOOKUP($T$472,'TAR FIN'!$A$1:$O$113,15,0)),0,VLOOKUP($T$472,'TAR FIN'!$A$1:$O$113,15,0))</f>
        <v>72.150000000000006</v>
      </c>
      <c r="X472" s="6">
        <f>IF(ISERROR(VLOOKUP($U$472,'TAR FIN'!$A$1:$O$113,15,0)),0,VLOOKUP($U$472,'TAR FIN'!$A$1:$O$113,15,0))</f>
        <v>278.67</v>
      </c>
      <c r="Y472" s="6"/>
      <c r="Z472" s="6">
        <f ca="1">('TUSD BE'!$AM$21+'TUSD BF_350'!$AM$21+'TUSD CVA'!$AM$21)*1</f>
        <v>122.14055331663396</v>
      </c>
      <c r="AA472" s="6">
        <f ca="1">('TE BE'!$AB$10+'TE BF_350'!$AB$10+'TE CVA'!$AB$10)*1</f>
        <v>231.69</v>
      </c>
      <c r="AB472" s="6">
        <f>$K$472*$V$472</f>
        <v>0</v>
      </c>
      <c r="AC472" s="6">
        <f>$M$472*$W$472</f>
        <v>941.48535000000004</v>
      </c>
      <c r="AD472" s="6">
        <f>$O$472*$X$472</f>
        <v>3636.36483</v>
      </c>
      <c r="AE472" s="6">
        <f>$K$472*$Y$472</f>
        <v>0</v>
      </c>
      <c r="AF472" s="6">
        <f ca="1">$M$472*$Z$472</f>
        <v>1593.8120802287565</v>
      </c>
      <c r="AG472" s="6">
        <f ca="1">$O$472*$AA$472</f>
        <v>3023.3228099999997</v>
      </c>
    </row>
    <row r="473" spans="1:33" ht="11.25" customHeight="1" x14ac:dyDescent="0.3">
      <c r="A473" s="4" t="s">
        <v>53</v>
      </c>
      <c r="B473" s="4" t="s">
        <v>39</v>
      </c>
      <c r="C473" s="4" t="s">
        <v>41</v>
      </c>
      <c r="D473" s="4" t="s">
        <v>46</v>
      </c>
      <c r="E473" s="4" t="s">
        <v>25</v>
      </c>
      <c r="F473" s="4" t="s">
        <v>25</v>
      </c>
      <c r="G473" s="4" t="s">
        <v>25</v>
      </c>
      <c r="H473" s="4" t="s">
        <v>35</v>
      </c>
      <c r="I473" s="5">
        <v>44835</v>
      </c>
      <c r="J473" s="6">
        <v>0</v>
      </c>
      <c r="K473" s="6">
        <v>0</v>
      </c>
      <c r="L473" s="6">
        <v>47.414000000000001</v>
      </c>
      <c r="M473" s="6">
        <v>47.414000000000001</v>
      </c>
      <c r="N473" s="6">
        <v>47.414000000000001</v>
      </c>
      <c r="O473" s="6">
        <v>47.414000000000001</v>
      </c>
      <c r="P473" s="6">
        <v>0</v>
      </c>
      <c r="Q473" s="4" t="s">
        <v>26</v>
      </c>
      <c r="R473" s="4">
        <v>0</v>
      </c>
      <c r="S473" s="6">
        <v>0</v>
      </c>
      <c r="T473" s="6">
        <v>6</v>
      </c>
      <c r="U473" s="6">
        <v>61</v>
      </c>
      <c r="V473" s="6">
        <f>IF(ISERROR(VLOOKUP($S$473,'TAR FIN'!$A$1:$O$113,15,0)),0,VLOOKUP($S$473,'TAR FIN'!$A$1:$O$113,15,0))</f>
        <v>0</v>
      </c>
      <c r="W473" s="6">
        <f>IF(ISERROR(VLOOKUP($T$473,'TAR FIN'!$A$1:$O$113,15,0)),0,VLOOKUP($T$473,'TAR FIN'!$A$1:$O$113,15,0))</f>
        <v>72.150000000000006</v>
      </c>
      <c r="X473" s="6">
        <f>IF(ISERROR(VLOOKUP($U$473,'TAR FIN'!$A$1:$O$113,15,0)),0,VLOOKUP($U$473,'TAR FIN'!$A$1:$O$113,15,0))</f>
        <v>278.67</v>
      </c>
      <c r="Y473" s="6"/>
      <c r="Z473" s="6">
        <f ca="1">('TUSD BE'!$AM$21+'TUSD BF_350'!$AM$21+'TUSD CVA'!$AM$21)*1</f>
        <v>122.14055331663396</v>
      </c>
      <c r="AA473" s="6">
        <f ca="1">('TE BE'!$AB$10+'TE BF_350'!$AB$10+'TE CVA'!$AB$10)*1</f>
        <v>231.69</v>
      </c>
      <c r="AB473" s="6">
        <f>$K$473*$V$473</f>
        <v>0</v>
      </c>
      <c r="AC473" s="6">
        <f>$M$473*$W$473</f>
        <v>3420.9201000000003</v>
      </c>
      <c r="AD473" s="6">
        <f>$O$473*$X$473</f>
        <v>13212.859380000002</v>
      </c>
      <c r="AE473" s="6">
        <f>$K$473*$Y$473</f>
        <v>0</v>
      </c>
      <c r="AF473" s="6">
        <f ca="1">$M$473*$Z$473</f>
        <v>5791.1721949548828</v>
      </c>
      <c r="AG473" s="6">
        <f ca="1">$O$473*$AA$473</f>
        <v>10985.34966</v>
      </c>
    </row>
    <row r="474" spans="1:33" ht="11.25" customHeight="1" x14ac:dyDescent="0.3">
      <c r="A474" s="4" t="s">
        <v>53</v>
      </c>
      <c r="B474" s="4" t="s">
        <v>39</v>
      </c>
      <c r="C474" s="4" t="s">
        <v>41</v>
      </c>
      <c r="D474" s="4" t="s">
        <v>46</v>
      </c>
      <c r="E474" s="4" t="s">
        <v>25</v>
      </c>
      <c r="F474" s="4" t="s">
        <v>25</v>
      </c>
      <c r="G474" s="4" t="s">
        <v>25</v>
      </c>
      <c r="H474" s="4" t="s">
        <v>35</v>
      </c>
      <c r="I474" s="5">
        <v>44835</v>
      </c>
      <c r="J474" s="6">
        <v>0</v>
      </c>
      <c r="K474" s="6">
        <v>0</v>
      </c>
      <c r="L474" s="6">
        <v>13.048999999999999</v>
      </c>
      <c r="M474" s="6">
        <v>13.048999999999999</v>
      </c>
      <c r="N474" s="6">
        <v>13.048999999999999</v>
      </c>
      <c r="O474" s="6">
        <v>13.048999999999999</v>
      </c>
      <c r="P474" s="6">
        <v>0</v>
      </c>
      <c r="Q474" s="4" t="s">
        <v>26</v>
      </c>
      <c r="R474" s="4">
        <v>0</v>
      </c>
      <c r="S474" s="6">
        <v>0</v>
      </c>
      <c r="T474" s="6">
        <v>6</v>
      </c>
      <c r="U474" s="6">
        <v>61</v>
      </c>
      <c r="V474" s="6">
        <f>IF(ISERROR(VLOOKUP($S$474,'TAR FIN'!$A$1:$O$113,15,0)),0,VLOOKUP($S$474,'TAR FIN'!$A$1:$O$113,15,0))</f>
        <v>0</v>
      </c>
      <c r="W474" s="6">
        <f>IF(ISERROR(VLOOKUP($T$474,'TAR FIN'!$A$1:$O$113,15,0)),0,VLOOKUP($T$474,'TAR FIN'!$A$1:$O$113,15,0))</f>
        <v>72.150000000000006</v>
      </c>
      <c r="X474" s="6">
        <f>IF(ISERROR(VLOOKUP($U$474,'TAR FIN'!$A$1:$O$113,15,0)),0,VLOOKUP($U$474,'TAR FIN'!$A$1:$O$113,15,0))</f>
        <v>278.67</v>
      </c>
      <c r="Y474" s="6"/>
      <c r="Z474" s="6">
        <f ca="1">('TUSD BE'!$AM$21+'TUSD BF_350'!$AM$21+'TUSD CVA'!$AM$21)*1</f>
        <v>122.14055331663396</v>
      </c>
      <c r="AA474" s="6">
        <f ca="1">('TE BE'!$AB$10+'TE BF_350'!$AB$10+'TE CVA'!$AB$10)*1</f>
        <v>231.69</v>
      </c>
      <c r="AB474" s="6">
        <f>$K$474*$V$474</f>
        <v>0</v>
      </c>
      <c r="AC474" s="6">
        <f>$M$474*$W$474</f>
        <v>941.48535000000004</v>
      </c>
      <c r="AD474" s="6">
        <f>$O$474*$X$474</f>
        <v>3636.36483</v>
      </c>
      <c r="AE474" s="6">
        <f>$K$474*$Y$474</f>
        <v>0</v>
      </c>
      <c r="AF474" s="6">
        <f ca="1">$M$474*$Z$474</f>
        <v>1593.8120802287565</v>
      </c>
      <c r="AG474" s="6">
        <f ca="1">$O$474*$AA$474</f>
        <v>3023.3228099999997</v>
      </c>
    </row>
    <row r="475" spans="1:33" ht="11.25" customHeight="1" x14ac:dyDescent="0.3">
      <c r="A475" s="4" t="s">
        <v>21</v>
      </c>
      <c r="B475" s="4" t="s">
        <v>39</v>
      </c>
      <c r="C475" s="4" t="s">
        <v>41</v>
      </c>
      <c r="D475" s="4" t="s">
        <v>46</v>
      </c>
      <c r="E475" s="4" t="s">
        <v>25</v>
      </c>
      <c r="F475" s="4" t="s">
        <v>25</v>
      </c>
      <c r="G475" s="4" t="s">
        <v>25</v>
      </c>
      <c r="H475" s="4" t="s">
        <v>25</v>
      </c>
      <c r="I475" s="5">
        <v>44501</v>
      </c>
      <c r="J475" s="6">
        <v>559</v>
      </c>
      <c r="K475" s="6">
        <v>559</v>
      </c>
      <c r="L475" s="6">
        <v>0</v>
      </c>
      <c r="M475" s="6">
        <v>0</v>
      </c>
      <c r="N475" s="6">
        <v>0</v>
      </c>
      <c r="O475" s="6">
        <v>0</v>
      </c>
      <c r="P475" s="6">
        <v>12</v>
      </c>
      <c r="Q475" s="4" t="s">
        <v>26</v>
      </c>
      <c r="R475" s="4">
        <v>0</v>
      </c>
      <c r="S475" s="6">
        <v>20</v>
      </c>
      <c r="T475" s="6">
        <v>0</v>
      </c>
      <c r="U475" s="6">
        <v>0</v>
      </c>
      <c r="V475" s="6">
        <f>IF(ISERROR(VLOOKUP($S$475,'TAR FIN'!$A$1:$O$113,15,0)),0,VLOOKUP($S$475,'TAR FIN'!$A$1:$O$113,15,0))</f>
        <v>14</v>
      </c>
      <c r="W475" s="6">
        <f>IF(ISERROR(VLOOKUP($T$475,'TAR FIN'!$A$1:$O$113,15,0)),0,VLOOKUP($T$475,'TAR FIN'!$A$1:$O$113,15,0))</f>
        <v>0</v>
      </c>
      <c r="X475" s="6">
        <f>IF(ISERROR(VLOOKUP($U$475,'TAR FIN'!$A$1:$O$113,15,0)),0,VLOOKUP($U$475,'TAR FIN'!$A$1:$O$113,15,0))</f>
        <v>0</v>
      </c>
      <c r="Y475" s="6">
        <f ca="1">('TUSD BE'!$AM$19+'TUSD BF_350'!$AM$19+'TUSD CVA'!$AM$19)*1</f>
        <v>16.035953923331604</v>
      </c>
      <c r="Z475" s="6"/>
      <c r="AA475" s="6"/>
      <c r="AB475" s="6">
        <f>$K$475*$V$475</f>
        <v>7826</v>
      </c>
      <c r="AC475" s="6">
        <f>$M$475*$W$475</f>
        <v>0</v>
      </c>
      <c r="AD475" s="6">
        <f>$O$475*$X$475</f>
        <v>0</v>
      </c>
      <c r="AE475" s="6">
        <f ca="1">$K$475*$Y$475</f>
        <v>8964.0982431423672</v>
      </c>
      <c r="AF475" s="6">
        <f>$M$475*$Z$475</f>
        <v>0</v>
      </c>
      <c r="AG475" s="6">
        <f>$O$475*$AA$475</f>
        <v>0</v>
      </c>
    </row>
    <row r="476" spans="1:33" ht="11.25" customHeight="1" x14ac:dyDescent="0.3">
      <c r="A476" s="4" t="s">
        <v>28</v>
      </c>
      <c r="B476" s="4" t="s">
        <v>39</v>
      </c>
      <c r="C476" s="4" t="s">
        <v>41</v>
      </c>
      <c r="D476" s="4" t="s">
        <v>46</v>
      </c>
      <c r="E476" s="4" t="s">
        <v>25</v>
      </c>
      <c r="F476" s="4" t="s">
        <v>25</v>
      </c>
      <c r="G476" s="4" t="s">
        <v>25</v>
      </c>
      <c r="H476" s="4" t="s">
        <v>25</v>
      </c>
      <c r="I476" s="5">
        <v>44501</v>
      </c>
      <c r="J476" s="6">
        <v>240</v>
      </c>
      <c r="K476" s="6">
        <v>240</v>
      </c>
      <c r="L476" s="6">
        <v>0</v>
      </c>
      <c r="M476" s="6">
        <v>0</v>
      </c>
      <c r="N476" s="6">
        <v>0</v>
      </c>
      <c r="O476" s="6">
        <v>0</v>
      </c>
      <c r="P476" s="6">
        <v>2</v>
      </c>
      <c r="Q476" s="4" t="s">
        <v>26</v>
      </c>
      <c r="R476" s="4">
        <v>0</v>
      </c>
      <c r="S476" s="6">
        <v>20</v>
      </c>
      <c r="T476" s="6">
        <v>0</v>
      </c>
      <c r="U476" s="6">
        <v>0</v>
      </c>
      <c r="V476" s="6">
        <f>IF(ISERROR(VLOOKUP($S$476,'TAR FIN'!$A$1:$O$113,15,0)),0,VLOOKUP($S$476,'TAR FIN'!$A$1:$O$113,15,0))</f>
        <v>14</v>
      </c>
      <c r="W476" s="6">
        <f>IF(ISERROR(VLOOKUP($T$476,'TAR FIN'!$A$1:$O$113,15,0)),0,VLOOKUP($T$476,'TAR FIN'!$A$1:$O$113,15,0))</f>
        <v>0</v>
      </c>
      <c r="X476" s="6">
        <f>IF(ISERROR(VLOOKUP($U$476,'TAR FIN'!$A$1:$O$113,15,0)),0,VLOOKUP($U$476,'TAR FIN'!$A$1:$O$113,15,0))</f>
        <v>0</v>
      </c>
      <c r="Y476" s="6">
        <f ca="1">('TUSD BE'!$AM$19+'TUSD BF_350'!$AM$19+'TUSD CVA'!$AM$19)*1</f>
        <v>16.035953923331604</v>
      </c>
      <c r="Z476" s="6"/>
      <c r="AA476" s="6"/>
      <c r="AB476" s="6">
        <f>$K$476*$V$476</f>
        <v>3360</v>
      </c>
      <c r="AC476" s="6">
        <f>$M$476*$W$476</f>
        <v>0</v>
      </c>
      <c r="AD476" s="6">
        <f>$O$476*$X$476</f>
        <v>0</v>
      </c>
      <c r="AE476" s="6">
        <f ca="1">$K$476*$Y$476</f>
        <v>3848.6289415995852</v>
      </c>
      <c r="AF476" s="6">
        <f>$M$476*$Z$476</f>
        <v>0</v>
      </c>
      <c r="AG476" s="6">
        <f>$O$476*$AA$476</f>
        <v>0</v>
      </c>
    </row>
    <row r="477" spans="1:33" ht="11.25" customHeight="1" x14ac:dyDescent="0.3">
      <c r="A477" s="4" t="s">
        <v>21</v>
      </c>
      <c r="B477" s="4" t="s">
        <v>39</v>
      </c>
      <c r="C477" s="4" t="s">
        <v>41</v>
      </c>
      <c r="D477" s="4" t="s">
        <v>46</v>
      </c>
      <c r="E477" s="4" t="s">
        <v>25</v>
      </c>
      <c r="F477" s="4" t="s">
        <v>25</v>
      </c>
      <c r="G477" s="4" t="s">
        <v>25</v>
      </c>
      <c r="H477" s="4" t="s">
        <v>25</v>
      </c>
      <c r="I477" s="5">
        <v>44531</v>
      </c>
      <c r="J477" s="6">
        <v>559</v>
      </c>
      <c r="K477" s="6">
        <v>559</v>
      </c>
      <c r="L477" s="6">
        <v>0</v>
      </c>
      <c r="M477" s="6">
        <v>0</v>
      </c>
      <c r="N477" s="6">
        <v>0</v>
      </c>
      <c r="O477" s="6">
        <v>0</v>
      </c>
      <c r="P477" s="6">
        <v>12</v>
      </c>
      <c r="Q477" s="4" t="s">
        <v>26</v>
      </c>
      <c r="R477" s="4">
        <v>0</v>
      </c>
      <c r="S477" s="6">
        <v>20</v>
      </c>
      <c r="T477" s="6">
        <v>0</v>
      </c>
      <c r="U477" s="6">
        <v>0</v>
      </c>
      <c r="V477" s="6">
        <f>IF(ISERROR(VLOOKUP($S$477,'TAR FIN'!$A$1:$O$113,15,0)),0,VLOOKUP($S$477,'TAR FIN'!$A$1:$O$113,15,0))</f>
        <v>14</v>
      </c>
      <c r="W477" s="6">
        <f>IF(ISERROR(VLOOKUP($T$477,'TAR FIN'!$A$1:$O$113,15,0)),0,VLOOKUP($T$477,'TAR FIN'!$A$1:$O$113,15,0))</f>
        <v>0</v>
      </c>
      <c r="X477" s="6">
        <f>IF(ISERROR(VLOOKUP($U$477,'TAR FIN'!$A$1:$O$113,15,0)),0,VLOOKUP($U$477,'TAR FIN'!$A$1:$O$113,15,0))</f>
        <v>0</v>
      </c>
      <c r="Y477" s="6">
        <f ca="1">('TUSD BE'!$AM$19+'TUSD BF_350'!$AM$19+'TUSD CVA'!$AM$19)*1</f>
        <v>16.035953923331604</v>
      </c>
      <c r="Z477" s="6"/>
      <c r="AA477" s="6"/>
      <c r="AB477" s="6">
        <f>$K$477*$V$477</f>
        <v>7826</v>
      </c>
      <c r="AC477" s="6">
        <f>$M$477*$W$477</f>
        <v>0</v>
      </c>
      <c r="AD477" s="6">
        <f>$O$477*$X$477</f>
        <v>0</v>
      </c>
      <c r="AE477" s="6">
        <f ca="1">$K$477*$Y$477</f>
        <v>8964.0982431423672</v>
      </c>
      <c r="AF477" s="6">
        <f>$M$477*$Z$477</f>
        <v>0</v>
      </c>
      <c r="AG477" s="6">
        <f>$O$477*$AA$477</f>
        <v>0</v>
      </c>
    </row>
    <row r="478" spans="1:33" ht="11.25" customHeight="1" x14ac:dyDescent="0.3">
      <c r="A478" s="4" t="s">
        <v>28</v>
      </c>
      <c r="B478" s="4" t="s">
        <v>39</v>
      </c>
      <c r="C478" s="4" t="s">
        <v>41</v>
      </c>
      <c r="D478" s="4" t="s">
        <v>46</v>
      </c>
      <c r="E478" s="4" t="s">
        <v>25</v>
      </c>
      <c r="F478" s="4" t="s">
        <v>25</v>
      </c>
      <c r="G478" s="4" t="s">
        <v>25</v>
      </c>
      <c r="H478" s="4" t="s">
        <v>25</v>
      </c>
      <c r="I478" s="5">
        <v>44531</v>
      </c>
      <c r="J478" s="6">
        <v>240</v>
      </c>
      <c r="K478" s="6">
        <v>240</v>
      </c>
      <c r="L478" s="6">
        <v>0</v>
      </c>
      <c r="M478" s="6">
        <v>0</v>
      </c>
      <c r="N478" s="6">
        <v>0</v>
      </c>
      <c r="O478" s="6">
        <v>0</v>
      </c>
      <c r="P478" s="6">
        <v>2</v>
      </c>
      <c r="Q478" s="4" t="s">
        <v>26</v>
      </c>
      <c r="R478" s="4">
        <v>0</v>
      </c>
      <c r="S478" s="6">
        <v>20</v>
      </c>
      <c r="T478" s="6">
        <v>0</v>
      </c>
      <c r="U478" s="6">
        <v>0</v>
      </c>
      <c r="V478" s="6">
        <f>IF(ISERROR(VLOOKUP($S$478,'TAR FIN'!$A$1:$O$113,15,0)),0,VLOOKUP($S$478,'TAR FIN'!$A$1:$O$113,15,0))</f>
        <v>14</v>
      </c>
      <c r="W478" s="6">
        <f>IF(ISERROR(VLOOKUP($T$478,'TAR FIN'!$A$1:$O$113,15,0)),0,VLOOKUP($T$478,'TAR FIN'!$A$1:$O$113,15,0))</f>
        <v>0</v>
      </c>
      <c r="X478" s="6">
        <f>IF(ISERROR(VLOOKUP($U$478,'TAR FIN'!$A$1:$O$113,15,0)),0,VLOOKUP($U$478,'TAR FIN'!$A$1:$O$113,15,0))</f>
        <v>0</v>
      </c>
      <c r="Y478" s="6">
        <f ca="1">('TUSD BE'!$AM$19+'TUSD BF_350'!$AM$19+'TUSD CVA'!$AM$19)*1</f>
        <v>16.035953923331604</v>
      </c>
      <c r="Z478" s="6"/>
      <c r="AA478" s="6"/>
      <c r="AB478" s="6">
        <f>$K$478*$V$478</f>
        <v>3360</v>
      </c>
      <c r="AC478" s="6">
        <f>$M$478*$W$478</f>
        <v>0</v>
      </c>
      <c r="AD478" s="6">
        <f>$O$478*$X$478</f>
        <v>0</v>
      </c>
      <c r="AE478" s="6">
        <f ca="1">$K$478*$Y$478</f>
        <v>3848.6289415995852</v>
      </c>
      <c r="AF478" s="6">
        <f>$M$478*$Z$478</f>
        <v>0</v>
      </c>
      <c r="AG478" s="6">
        <f>$O$478*$AA$478</f>
        <v>0</v>
      </c>
    </row>
    <row r="479" spans="1:33" ht="11.25" customHeight="1" x14ac:dyDescent="0.3">
      <c r="A479" s="4" t="s">
        <v>21</v>
      </c>
      <c r="B479" s="4" t="s">
        <v>39</v>
      </c>
      <c r="C479" s="4" t="s">
        <v>41</v>
      </c>
      <c r="D479" s="4" t="s">
        <v>46</v>
      </c>
      <c r="E479" s="4" t="s">
        <v>25</v>
      </c>
      <c r="F479" s="4" t="s">
        <v>25</v>
      </c>
      <c r="G479" s="4" t="s">
        <v>25</v>
      </c>
      <c r="H479" s="4" t="s">
        <v>25</v>
      </c>
      <c r="I479" s="5">
        <v>44562</v>
      </c>
      <c r="J479" s="6">
        <v>559</v>
      </c>
      <c r="K479" s="6">
        <v>559</v>
      </c>
      <c r="L479" s="6">
        <v>0</v>
      </c>
      <c r="M479" s="6">
        <v>0</v>
      </c>
      <c r="N479" s="6">
        <v>0</v>
      </c>
      <c r="O479" s="6">
        <v>0</v>
      </c>
      <c r="P479" s="6">
        <v>12</v>
      </c>
      <c r="Q479" s="4" t="s">
        <v>26</v>
      </c>
      <c r="R479" s="4">
        <v>0</v>
      </c>
      <c r="S479" s="6">
        <v>20</v>
      </c>
      <c r="T479" s="6">
        <v>0</v>
      </c>
      <c r="U479" s="6">
        <v>0</v>
      </c>
      <c r="V479" s="6">
        <f>IF(ISERROR(VLOOKUP($S$479,'TAR FIN'!$A$1:$O$113,15,0)),0,VLOOKUP($S$479,'TAR FIN'!$A$1:$O$113,15,0))</f>
        <v>14</v>
      </c>
      <c r="W479" s="6">
        <f>IF(ISERROR(VLOOKUP($T$479,'TAR FIN'!$A$1:$O$113,15,0)),0,VLOOKUP($T$479,'TAR FIN'!$A$1:$O$113,15,0))</f>
        <v>0</v>
      </c>
      <c r="X479" s="6">
        <f>IF(ISERROR(VLOOKUP($U$479,'TAR FIN'!$A$1:$O$113,15,0)),0,VLOOKUP($U$479,'TAR FIN'!$A$1:$O$113,15,0))</f>
        <v>0</v>
      </c>
      <c r="Y479" s="6">
        <f ca="1">('TUSD BE'!$AM$19+'TUSD BF_350'!$AM$19+'TUSD CVA'!$AM$19)*1</f>
        <v>16.035953923331604</v>
      </c>
      <c r="Z479" s="6"/>
      <c r="AA479" s="6"/>
      <c r="AB479" s="6">
        <f>$K$479*$V$479</f>
        <v>7826</v>
      </c>
      <c r="AC479" s="6">
        <f>$M$479*$W$479</f>
        <v>0</v>
      </c>
      <c r="AD479" s="6">
        <f>$O$479*$X$479</f>
        <v>0</v>
      </c>
      <c r="AE479" s="6">
        <f ca="1">$K$479*$Y$479</f>
        <v>8964.0982431423672</v>
      </c>
      <c r="AF479" s="6">
        <f>$M$479*$Z$479</f>
        <v>0</v>
      </c>
      <c r="AG479" s="6">
        <f>$O$479*$AA$479</f>
        <v>0</v>
      </c>
    </row>
    <row r="480" spans="1:33" ht="11.25" customHeight="1" x14ac:dyDescent="0.3">
      <c r="A480" s="4" t="s">
        <v>28</v>
      </c>
      <c r="B480" s="4" t="s">
        <v>39</v>
      </c>
      <c r="C480" s="4" t="s">
        <v>41</v>
      </c>
      <c r="D480" s="4" t="s">
        <v>46</v>
      </c>
      <c r="E480" s="4" t="s">
        <v>25</v>
      </c>
      <c r="F480" s="4" t="s">
        <v>25</v>
      </c>
      <c r="G480" s="4" t="s">
        <v>25</v>
      </c>
      <c r="H480" s="4" t="s">
        <v>25</v>
      </c>
      <c r="I480" s="5">
        <v>44562</v>
      </c>
      <c r="J480" s="6">
        <v>240</v>
      </c>
      <c r="K480" s="6">
        <v>240</v>
      </c>
      <c r="L480" s="6">
        <v>0</v>
      </c>
      <c r="M480" s="6">
        <v>0</v>
      </c>
      <c r="N480" s="6">
        <v>0</v>
      </c>
      <c r="O480" s="6">
        <v>0</v>
      </c>
      <c r="P480" s="6">
        <v>2</v>
      </c>
      <c r="Q480" s="4" t="s">
        <v>26</v>
      </c>
      <c r="R480" s="4">
        <v>0</v>
      </c>
      <c r="S480" s="6">
        <v>20</v>
      </c>
      <c r="T480" s="6">
        <v>0</v>
      </c>
      <c r="U480" s="6">
        <v>0</v>
      </c>
      <c r="V480" s="6">
        <f>IF(ISERROR(VLOOKUP($S$480,'TAR FIN'!$A$1:$O$113,15,0)),0,VLOOKUP($S$480,'TAR FIN'!$A$1:$O$113,15,0))</f>
        <v>14</v>
      </c>
      <c r="W480" s="6">
        <f>IF(ISERROR(VLOOKUP($T$480,'TAR FIN'!$A$1:$O$113,15,0)),0,VLOOKUP($T$480,'TAR FIN'!$A$1:$O$113,15,0))</f>
        <v>0</v>
      </c>
      <c r="X480" s="6">
        <f>IF(ISERROR(VLOOKUP($U$480,'TAR FIN'!$A$1:$O$113,15,0)),0,VLOOKUP($U$480,'TAR FIN'!$A$1:$O$113,15,0))</f>
        <v>0</v>
      </c>
      <c r="Y480" s="6">
        <f ca="1">('TUSD BE'!$AM$19+'TUSD BF_350'!$AM$19+'TUSD CVA'!$AM$19)*1</f>
        <v>16.035953923331604</v>
      </c>
      <c r="Z480" s="6"/>
      <c r="AA480" s="6"/>
      <c r="AB480" s="6">
        <f>$K$480*$V$480</f>
        <v>3360</v>
      </c>
      <c r="AC480" s="6">
        <f>$M$480*$W$480</f>
        <v>0</v>
      </c>
      <c r="AD480" s="6">
        <f>$O$480*$X$480</f>
        <v>0</v>
      </c>
      <c r="AE480" s="6">
        <f ca="1">$K$480*$Y$480</f>
        <v>3848.6289415995852</v>
      </c>
      <c r="AF480" s="6">
        <f>$M$480*$Z$480</f>
        <v>0</v>
      </c>
      <c r="AG480" s="6">
        <f>$O$480*$AA$480</f>
        <v>0</v>
      </c>
    </row>
    <row r="481" spans="1:33" ht="11.25" customHeight="1" x14ac:dyDescent="0.3">
      <c r="A481" s="4" t="s">
        <v>21</v>
      </c>
      <c r="B481" s="4" t="s">
        <v>39</v>
      </c>
      <c r="C481" s="4" t="s">
        <v>41</v>
      </c>
      <c r="D481" s="4" t="s">
        <v>46</v>
      </c>
      <c r="E481" s="4" t="s">
        <v>25</v>
      </c>
      <c r="F481" s="4" t="s">
        <v>25</v>
      </c>
      <c r="G481" s="4" t="s">
        <v>25</v>
      </c>
      <c r="H481" s="4" t="s">
        <v>25</v>
      </c>
      <c r="I481" s="5">
        <v>44593</v>
      </c>
      <c r="J481" s="6">
        <v>562</v>
      </c>
      <c r="K481" s="6">
        <v>562</v>
      </c>
      <c r="L481" s="6">
        <v>0</v>
      </c>
      <c r="M481" s="6">
        <v>0</v>
      </c>
      <c r="N481" s="6">
        <v>0</v>
      </c>
      <c r="O481" s="6">
        <v>0</v>
      </c>
      <c r="P481" s="6">
        <v>12</v>
      </c>
      <c r="Q481" s="4" t="s">
        <v>26</v>
      </c>
      <c r="R481" s="4">
        <v>0</v>
      </c>
      <c r="S481" s="6">
        <v>20</v>
      </c>
      <c r="T481" s="6">
        <v>0</v>
      </c>
      <c r="U481" s="6">
        <v>0</v>
      </c>
      <c r="V481" s="6">
        <f>IF(ISERROR(VLOOKUP($S$481,'TAR FIN'!$A$1:$O$113,15,0)),0,VLOOKUP($S$481,'TAR FIN'!$A$1:$O$113,15,0))</f>
        <v>14</v>
      </c>
      <c r="W481" s="6">
        <f>IF(ISERROR(VLOOKUP($T$481,'TAR FIN'!$A$1:$O$113,15,0)),0,VLOOKUP($T$481,'TAR FIN'!$A$1:$O$113,15,0))</f>
        <v>0</v>
      </c>
      <c r="X481" s="6">
        <f>IF(ISERROR(VLOOKUP($U$481,'TAR FIN'!$A$1:$O$113,15,0)),0,VLOOKUP($U$481,'TAR FIN'!$A$1:$O$113,15,0))</f>
        <v>0</v>
      </c>
      <c r="Y481" s="6">
        <f ca="1">('TUSD BE'!$AM$19+'TUSD BF_350'!$AM$19+'TUSD CVA'!$AM$19)*1</f>
        <v>16.035953923331604</v>
      </c>
      <c r="Z481" s="6"/>
      <c r="AA481" s="6"/>
      <c r="AB481" s="6">
        <f>$K$481*$V$481</f>
        <v>7868</v>
      </c>
      <c r="AC481" s="6">
        <f>$M$481*$W$481</f>
        <v>0</v>
      </c>
      <c r="AD481" s="6">
        <f>$O$481*$X$481</f>
        <v>0</v>
      </c>
      <c r="AE481" s="6">
        <f ca="1">$K$481*$Y$481</f>
        <v>9012.2061049123622</v>
      </c>
      <c r="AF481" s="6">
        <f>$M$481*$Z$481</f>
        <v>0</v>
      </c>
      <c r="AG481" s="6">
        <f>$O$481*$AA$481</f>
        <v>0</v>
      </c>
    </row>
    <row r="482" spans="1:33" ht="11.25" customHeight="1" x14ac:dyDescent="0.3">
      <c r="A482" s="4" t="s">
        <v>28</v>
      </c>
      <c r="B482" s="4" t="s">
        <v>39</v>
      </c>
      <c r="C482" s="4" t="s">
        <v>41</v>
      </c>
      <c r="D482" s="4" t="s">
        <v>46</v>
      </c>
      <c r="E482" s="4" t="s">
        <v>25</v>
      </c>
      <c r="F482" s="4" t="s">
        <v>25</v>
      </c>
      <c r="G482" s="4" t="s">
        <v>25</v>
      </c>
      <c r="H482" s="4" t="s">
        <v>25</v>
      </c>
      <c r="I482" s="5">
        <v>44593</v>
      </c>
      <c r="J482" s="6">
        <v>290</v>
      </c>
      <c r="K482" s="6">
        <v>290</v>
      </c>
      <c r="L482" s="6">
        <v>0</v>
      </c>
      <c r="M482" s="6">
        <v>0</v>
      </c>
      <c r="N482" s="6">
        <v>0</v>
      </c>
      <c r="O482" s="6">
        <v>0</v>
      </c>
      <c r="P482" s="6">
        <v>2</v>
      </c>
      <c r="Q482" s="4" t="s">
        <v>26</v>
      </c>
      <c r="R482" s="4">
        <v>0</v>
      </c>
      <c r="S482" s="6">
        <v>20</v>
      </c>
      <c r="T482" s="6">
        <v>0</v>
      </c>
      <c r="U482" s="6">
        <v>0</v>
      </c>
      <c r="V482" s="6">
        <f>IF(ISERROR(VLOOKUP($S$482,'TAR FIN'!$A$1:$O$113,15,0)),0,VLOOKUP($S$482,'TAR FIN'!$A$1:$O$113,15,0))</f>
        <v>14</v>
      </c>
      <c r="W482" s="6">
        <f>IF(ISERROR(VLOOKUP($T$482,'TAR FIN'!$A$1:$O$113,15,0)),0,VLOOKUP($T$482,'TAR FIN'!$A$1:$O$113,15,0))</f>
        <v>0</v>
      </c>
      <c r="X482" s="6">
        <f>IF(ISERROR(VLOOKUP($U$482,'TAR FIN'!$A$1:$O$113,15,0)),0,VLOOKUP($U$482,'TAR FIN'!$A$1:$O$113,15,0))</f>
        <v>0</v>
      </c>
      <c r="Y482" s="6">
        <f ca="1">('TUSD BE'!$AM$19+'TUSD BF_350'!$AM$19+'TUSD CVA'!$AM$19)*1</f>
        <v>16.035953923331604</v>
      </c>
      <c r="Z482" s="6"/>
      <c r="AA482" s="6"/>
      <c r="AB482" s="6">
        <f>$K$482*$V$482</f>
        <v>4060</v>
      </c>
      <c r="AC482" s="6">
        <f>$M$482*$W$482</f>
        <v>0</v>
      </c>
      <c r="AD482" s="6">
        <f>$O$482*$X$482</f>
        <v>0</v>
      </c>
      <c r="AE482" s="6">
        <f ca="1">$K$482*$Y$482</f>
        <v>4650.4266377661652</v>
      </c>
      <c r="AF482" s="6">
        <f>$M$482*$Z$482</f>
        <v>0</v>
      </c>
      <c r="AG482" s="6">
        <f>$O$482*$AA$482</f>
        <v>0</v>
      </c>
    </row>
    <row r="483" spans="1:33" ht="11.25" customHeight="1" x14ac:dyDescent="0.3">
      <c r="A483" s="4" t="s">
        <v>21</v>
      </c>
      <c r="B483" s="4" t="s">
        <v>39</v>
      </c>
      <c r="C483" s="4" t="s">
        <v>41</v>
      </c>
      <c r="D483" s="4" t="s">
        <v>46</v>
      </c>
      <c r="E483" s="4" t="s">
        <v>25</v>
      </c>
      <c r="F483" s="4" t="s">
        <v>25</v>
      </c>
      <c r="G483" s="4" t="s">
        <v>25</v>
      </c>
      <c r="H483" s="4" t="s">
        <v>25</v>
      </c>
      <c r="I483" s="5">
        <v>44621</v>
      </c>
      <c r="J483" s="6">
        <v>561</v>
      </c>
      <c r="K483" s="6">
        <v>561</v>
      </c>
      <c r="L483" s="6">
        <v>0</v>
      </c>
      <c r="M483" s="6">
        <v>0</v>
      </c>
      <c r="N483" s="6">
        <v>0</v>
      </c>
      <c r="O483" s="6">
        <v>0</v>
      </c>
      <c r="P483" s="6">
        <v>12</v>
      </c>
      <c r="Q483" s="4" t="s">
        <v>26</v>
      </c>
      <c r="R483" s="4">
        <v>0</v>
      </c>
      <c r="S483" s="6">
        <v>20</v>
      </c>
      <c r="T483" s="6">
        <v>0</v>
      </c>
      <c r="U483" s="6">
        <v>0</v>
      </c>
      <c r="V483" s="6">
        <f>IF(ISERROR(VLOOKUP($S$483,'TAR FIN'!$A$1:$O$113,15,0)),0,VLOOKUP($S$483,'TAR FIN'!$A$1:$O$113,15,0))</f>
        <v>14</v>
      </c>
      <c r="W483" s="6">
        <f>IF(ISERROR(VLOOKUP($T$483,'TAR FIN'!$A$1:$O$113,15,0)),0,VLOOKUP($T$483,'TAR FIN'!$A$1:$O$113,15,0))</f>
        <v>0</v>
      </c>
      <c r="X483" s="6">
        <f>IF(ISERROR(VLOOKUP($U$483,'TAR FIN'!$A$1:$O$113,15,0)),0,VLOOKUP($U$483,'TAR FIN'!$A$1:$O$113,15,0))</f>
        <v>0</v>
      </c>
      <c r="Y483" s="6">
        <f ca="1">('TUSD BE'!$AM$19+'TUSD BF_350'!$AM$19+'TUSD CVA'!$AM$19)*1</f>
        <v>16.035953923331604</v>
      </c>
      <c r="Z483" s="6"/>
      <c r="AA483" s="6"/>
      <c r="AB483" s="6">
        <f>$K$483*$V$483</f>
        <v>7854</v>
      </c>
      <c r="AC483" s="6">
        <f>$M$483*$W$483</f>
        <v>0</v>
      </c>
      <c r="AD483" s="6">
        <f>$O$483*$X$483</f>
        <v>0</v>
      </c>
      <c r="AE483" s="6">
        <f ca="1">$K$483*$Y$483</f>
        <v>8996.1701509890299</v>
      </c>
      <c r="AF483" s="6">
        <f>$M$483*$Z$483</f>
        <v>0</v>
      </c>
      <c r="AG483" s="6">
        <f>$O$483*$AA$483</f>
        <v>0</v>
      </c>
    </row>
    <row r="484" spans="1:33" ht="11.25" customHeight="1" x14ac:dyDescent="0.3">
      <c r="A484" s="4" t="s">
        <v>28</v>
      </c>
      <c r="B484" s="4" t="s">
        <v>39</v>
      </c>
      <c r="C484" s="4" t="s">
        <v>41</v>
      </c>
      <c r="D484" s="4" t="s">
        <v>46</v>
      </c>
      <c r="E484" s="4" t="s">
        <v>25</v>
      </c>
      <c r="F484" s="4" t="s">
        <v>25</v>
      </c>
      <c r="G484" s="4" t="s">
        <v>25</v>
      </c>
      <c r="H484" s="4" t="s">
        <v>25</v>
      </c>
      <c r="I484" s="5">
        <v>44621</v>
      </c>
      <c r="J484" s="6">
        <v>290</v>
      </c>
      <c r="K484" s="6">
        <v>290</v>
      </c>
      <c r="L484" s="6">
        <v>0</v>
      </c>
      <c r="M484" s="6">
        <v>0</v>
      </c>
      <c r="N484" s="6">
        <v>0</v>
      </c>
      <c r="O484" s="6">
        <v>0</v>
      </c>
      <c r="P484" s="6">
        <v>2</v>
      </c>
      <c r="Q484" s="4" t="s">
        <v>26</v>
      </c>
      <c r="R484" s="4">
        <v>0</v>
      </c>
      <c r="S484" s="6">
        <v>20</v>
      </c>
      <c r="T484" s="6">
        <v>0</v>
      </c>
      <c r="U484" s="6">
        <v>0</v>
      </c>
      <c r="V484" s="6">
        <f>IF(ISERROR(VLOOKUP($S$484,'TAR FIN'!$A$1:$O$113,15,0)),0,VLOOKUP($S$484,'TAR FIN'!$A$1:$O$113,15,0))</f>
        <v>14</v>
      </c>
      <c r="W484" s="6">
        <f>IF(ISERROR(VLOOKUP($T$484,'TAR FIN'!$A$1:$O$113,15,0)),0,VLOOKUP($T$484,'TAR FIN'!$A$1:$O$113,15,0))</f>
        <v>0</v>
      </c>
      <c r="X484" s="6">
        <f>IF(ISERROR(VLOOKUP($U$484,'TAR FIN'!$A$1:$O$113,15,0)),0,VLOOKUP($U$484,'TAR FIN'!$A$1:$O$113,15,0))</f>
        <v>0</v>
      </c>
      <c r="Y484" s="6">
        <f ca="1">('TUSD BE'!$AM$19+'TUSD BF_350'!$AM$19+'TUSD CVA'!$AM$19)*1</f>
        <v>16.035953923331604</v>
      </c>
      <c r="Z484" s="6"/>
      <c r="AA484" s="6"/>
      <c r="AB484" s="6">
        <f>$K$484*$V$484</f>
        <v>4060</v>
      </c>
      <c r="AC484" s="6">
        <f>$M$484*$W$484</f>
        <v>0</v>
      </c>
      <c r="AD484" s="6">
        <f>$O$484*$X$484</f>
        <v>0</v>
      </c>
      <c r="AE484" s="6">
        <f ca="1">$K$484*$Y$484</f>
        <v>4650.4266377661652</v>
      </c>
      <c r="AF484" s="6">
        <f>$M$484*$Z$484</f>
        <v>0</v>
      </c>
      <c r="AG484" s="6">
        <f>$O$484*$AA$484</f>
        <v>0</v>
      </c>
    </row>
    <row r="485" spans="1:33" ht="11.25" customHeight="1" x14ac:dyDescent="0.3">
      <c r="A485" s="4" t="s">
        <v>21</v>
      </c>
      <c r="B485" s="4" t="s">
        <v>39</v>
      </c>
      <c r="C485" s="4" t="s">
        <v>41</v>
      </c>
      <c r="D485" s="4" t="s">
        <v>46</v>
      </c>
      <c r="E485" s="4" t="s">
        <v>25</v>
      </c>
      <c r="F485" s="4" t="s">
        <v>25</v>
      </c>
      <c r="G485" s="4" t="s">
        <v>25</v>
      </c>
      <c r="H485" s="4" t="s">
        <v>25</v>
      </c>
      <c r="I485" s="5">
        <v>44652</v>
      </c>
      <c r="J485" s="6">
        <v>568</v>
      </c>
      <c r="K485" s="6">
        <v>568</v>
      </c>
      <c r="L485" s="6">
        <v>0</v>
      </c>
      <c r="M485" s="6">
        <v>0</v>
      </c>
      <c r="N485" s="6">
        <v>0</v>
      </c>
      <c r="O485" s="6">
        <v>0</v>
      </c>
      <c r="P485" s="6">
        <v>12</v>
      </c>
      <c r="Q485" s="4" t="s">
        <v>26</v>
      </c>
      <c r="R485" s="4">
        <v>0</v>
      </c>
      <c r="S485" s="6">
        <v>20</v>
      </c>
      <c r="T485" s="6">
        <v>0</v>
      </c>
      <c r="U485" s="6">
        <v>0</v>
      </c>
      <c r="V485" s="6">
        <f>IF(ISERROR(VLOOKUP($S$485,'TAR FIN'!$A$1:$O$113,15,0)),0,VLOOKUP($S$485,'TAR FIN'!$A$1:$O$113,15,0))</f>
        <v>14</v>
      </c>
      <c r="W485" s="6">
        <f>IF(ISERROR(VLOOKUP($T$485,'TAR FIN'!$A$1:$O$113,15,0)),0,VLOOKUP($T$485,'TAR FIN'!$A$1:$O$113,15,0))</f>
        <v>0</v>
      </c>
      <c r="X485" s="6">
        <f>IF(ISERROR(VLOOKUP($U$485,'TAR FIN'!$A$1:$O$113,15,0)),0,VLOOKUP($U$485,'TAR FIN'!$A$1:$O$113,15,0))</f>
        <v>0</v>
      </c>
      <c r="Y485" s="6">
        <f ca="1">('TUSD BE'!$AM$19+'TUSD BF_350'!$AM$19+'TUSD CVA'!$AM$19)*1</f>
        <v>16.035953923331604</v>
      </c>
      <c r="Z485" s="6"/>
      <c r="AA485" s="6"/>
      <c r="AB485" s="6">
        <f>$K$485*$V$485</f>
        <v>7952</v>
      </c>
      <c r="AC485" s="6">
        <f>$M$485*$W$485</f>
        <v>0</v>
      </c>
      <c r="AD485" s="6">
        <f>$O$485*$X$485</f>
        <v>0</v>
      </c>
      <c r="AE485" s="6">
        <f ca="1">$K$485*$Y$485</f>
        <v>9108.4218284523504</v>
      </c>
      <c r="AF485" s="6">
        <f>$M$485*$Z$485</f>
        <v>0</v>
      </c>
      <c r="AG485" s="6">
        <f>$O$485*$AA$485</f>
        <v>0</v>
      </c>
    </row>
    <row r="486" spans="1:33" ht="11.25" customHeight="1" x14ac:dyDescent="0.3">
      <c r="A486" s="4" t="s">
        <v>28</v>
      </c>
      <c r="B486" s="4" t="s">
        <v>39</v>
      </c>
      <c r="C486" s="4" t="s">
        <v>41</v>
      </c>
      <c r="D486" s="4" t="s">
        <v>46</v>
      </c>
      <c r="E486" s="4" t="s">
        <v>25</v>
      </c>
      <c r="F486" s="4" t="s">
        <v>25</v>
      </c>
      <c r="G486" s="4" t="s">
        <v>25</v>
      </c>
      <c r="H486" s="4" t="s">
        <v>25</v>
      </c>
      <c r="I486" s="5">
        <v>44652</v>
      </c>
      <c r="J486" s="6">
        <v>290</v>
      </c>
      <c r="K486" s="6">
        <v>290</v>
      </c>
      <c r="L486" s="6">
        <v>0</v>
      </c>
      <c r="M486" s="6">
        <v>0</v>
      </c>
      <c r="N486" s="6">
        <v>0</v>
      </c>
      <c r="O486" s="6">
        <v>0</v>
      </c>
      <c r="P486" s="6">
        <v>2</v>
      </c>
      <c r="Q486" s="4" t="s">
        <v>26</v>
      </c>
      <c r="R486" s="4">
        <v>0</v>
      </c>
      <c r="S486" s="6">
        <v>20</v>
      </c>
      <c r="T486" s="6">
        <v>0</v>
      </c>
      <c r="U486" s="6">
        <v>0</v>
      </c>
      <c r="V486" s="6">
        <f>IF(ISERROR(VLOOKUP($S$486,'TAR FIN'!$A$1:$O$113,15,0)),0,VLOOKUP($S$486,'TAR FIN'!$A$1:$O$113,15,0))</f>
        <v>14</v>
      </c>
      <c r="W486" s="6">
        <f>IF(ISERROR(VLOOKUP($T$486,'TAR FIN'!$A$1:$O$113,15,0)),0,VLOOKUP($T$486,'TAR FIN'!$A$1:$O$113,15,0))</f>
        <v>0</v>
      </c>
      <c r="X486" s="6">
        <f>IF(ISERROR(VLOOKUP($U$486,'TAR FIN'!$A$1:$O$113,15,0)),0,VLOOKUP($U$486,'TAR FIN'!$A$1:$O$113,15,0))</f>
        <v>0</v>
      </c>
      <c r="Y486" s="6">
        <f ca="1">('TUSD BE'!$AM$19+'TUSD BF_350'!$AM$19+'TUSD CVA'!$AM$19)*1</f>
        <v>16.035953923331604</v>
      </c>
      <c r="Z486" s="6"/>
      <c r="AA486" s="6"/>
      <c r="AB486" s="6">
        <f>$K$486*$V$486</f>
        <v>4060</v>
      </c>
      <c r="AC486" s="6">
        <f>$M$486*$W$486</f>
        <v>0</v>
      </c>
      <c r="AD486" s="6">
        <f>$O$486*$X$486</f>
        <v>0</v>
      </c>
      <c r="AE486" s="6">
        <f ca="1">$K$486*$Y$486</f>
        <v>4650.4266377661652</v>
      </c>
      <c r="AF486" s="6">
        <f>$M$486*$Z$486</f>
        <v>0</v>
      </c>
      <c r="AG486" s="6">
        <f>$O$486*$AA$486</f>
        <v>0</v>
      </c>
    </row>
    <row r="487" spans="1:33" ht="11.25" customHeight="1" x14ac:dyDescent="0.3">
      <c r="A487" s="4" t="s">
        <v>21</v>
      </c>
      <c r="B487" s="4" t="s">
        <v>39</v>
      </c>
      <c r="C487" s="4" t="s">
        <v>41</v>
      </c>
      <c r="D487" s="4" t="s">
        <v>46</v>
      </c>
      <c r="E487" s="4" t="s">
        <v>25</v>
      </c>
      <c r="F487" s="4" t="s">
        <v>25</v>
      </c>
      <c r="G487" s="4" t="s">
        <v>25</v>
      </c>
      <c r="H487" s="4" t="s">
        <v>25</v>
      </c>
      <c r="I487" s="5">
        <v>44682</v>
      </c>
      <c r="J487" s="6">
        <v>565</v>
      </c>
      <c r="K487" s="6">
        <v>565</v>
      </c>
      <c r="L487" s="6">
        <v>0</v>
      </c>
      <c r="M487" s="6">
        <v>0</v>
      </c>
      <c r="N487" s="6">
        <v>0</v>
      </c>
      <c r="O487" s="6">
        <v>0</v>
      </c>
      <c r="P487" s="6">
        <v>12</v>
      </c>
      <c r="Q487" s="4" t="s">
        <v>26</v>
      </c>
      <c r="R487" s="4">
        <v>0</v>
      </c>
      <c r="S487" s="6">
        <v>20</v>
      </c>
      <c r="T487" s="6">
        <v>0</v>
      </c>
      <c r="U487" s="6">
        <v>0</v>
      </c>
      <c r="V487" s="6">
        <f>IF(ISERROR(VLOOKUP($S$487,'TAR FIN'!$A$1:$O$113,15,0)),0,VLOOKUP($S$487,'TAR FIN'!$A$1:$O$113,15,0))</f>
        <v>14</v>
      </c>
      <c r="W487" s="6">
        <f>IF(ISERROR(VLOOKUP($T$487,'TAR FIN'!$A$1:$O$113,15,0)),0,VLOOKUP($T$487,'TAR FIN'!$A$1:$O$113,15,0))</f>
        <v>0</v>
      </c>
      <c r="X487" s="6">
        <f>IF(ISERROR(VLOOKUP($U$487,'TAR FIN'!$A$1:$O$113,15,0)),0,VLOOKUP($U$487,'TAR FIN'!$A$1:$O$113,15,0))</f>
        <v>0</v>
      </c>
      <c r="Y487" s="6">
        <f ca="1">('TUSD BE'!$AM$19+'TUSD BF_350'!$AM$19+'TUSD CVA'!$AM$19)*1</f>
        <v>16.035953923331604</v>
      </c>
      <c r="Z487" s="6"/>
      <c r="AA487" s="6"/>
      <c r="AB487" s="6">
        <f>$K$487*$V$487</f>
        <v>7910</v>
      </c>
      <c r="AC487" s="6">
        <f>$M$487*$W$487</f>
        <v>0</v>
      </c>
      <c r="AD487" s="6">
        <f>$O$487*$X$487</f>
        <v>0</v>
      </c>
      <c r="AE487" s="6">
        <f ca="1">$K$487*$Y$487</f>
        <v>9060.3139666823572</v>
      </c>
      <c r="AF487" s="6">
        <f>$M$487*$Z$487</f>
        <v>0</v>
      </c>
      <c r="AG487" s="6">
        <f>$O$487*$AA$487</f>
        <v>0</v>
      </c>
    </row>
    <row r="488" spans="1:33" ht="11.25" customHeight="1" x14ac:dyDescent="0.3">
      <c r="A488" s="4" t="s">
        <v>28</v>
      </c>
      <c r="B488" s="4" t="s">
        <v>39</v>
      </c>
      <c r="C488" s="4" t="s">
        <v>41</v>
      </c>
      <c r="D488" s="4" t="s">
        <v>46</v>
      </c>
      <c r="E488" s="4" t="s">
        <v>25</v>
      </c>
      <c r="F488" s="4" t="s">
        <v>25</v>
      </c>
      <c r="G488" s="4" t="s">
        <v>25</v>
      </c>
      <c r="H488" s="4" t="s">
        <v>25</v>
      </c>
      <c r="I488" s="5">
        <v>44682</v>
      </c>
      <c r="J488" s="6">
        <v>290</v>
      </c>
      <c r="K488" s="6">
        <v>290</v>
      </c>
      <c r="L488" s="6">
        <v>0</v>
      </c>
      <c r="M488" s="6">
        <v>0</v>
      </c>
      <c r="N488" s="6">
        <v>0</v>
      </c>
      <c r="O488" s="6">
        <v>0</v>
      </c>
      <c r="P488" s="6">
        <v>2</v>
      </c>
      <c r="Q488" s="4" t="s">
        <v>26</v>
      </c>
      <c r="R488" s="4">
        <v>0</v>
      </c>
      <c r="S488" s="6">
        <v>20</v>
      </c>
      <c r="T488" s="6">
        <v>0</v>
      </c>
      <c r="U488" s="6">
        <v>0</v>
      </c>
      <c r="V488" s="6">
        <f>IF(ISERROR(VLOOKUP($S$488,'TAR FIN'!$A$1:$O$113,15,0)),0,VLOOKUP($S$488,'TAR FIN'!$A$1:$O$113,15,0))</f>
        <v>14</v>
      </c>
      <c r="W488" s="6">
        <f>IF(ISERROR(VLOOKUP($T$488,'TAR FIN'!$A$1:$O$113,15,0)),0,VLOOKUP($T$488,'TAR FIN'!$A$1:$O$113,15,0))</f>
        <v>0</v>
      </c>
      <c r="X488" s="6">
        <f>IF(ISERROR(VLOOKUP($U$488,'TAR FIN'!$A$1:$O$113,15,0)),0,VLOOKUP($U$488,'TAR FIN'!$A$1:$O$113,15,0))</f>
        <v>0</v>
      </c>
      <c r="Y488" s="6">
        <f ca="1">('TUSD BE'!$AM$19+'TUSD BF_350'!$AM$19+'TUSD CVA'!$AM$19)*1</f>
        <v>16.035953923331604</v>
      </c>
      <c r="Z488" s="6"/>
      <c r="AA488" s="6"/>
      <c r="AB488" s="6">
        <f>$K$488*$V$488</f>
        <v>4060</v>
      </c>
      <c r="AC488" s="6">
        <f>$M$488*$W$488</f>
        <v>0</v>
      </c>
      <c r="AD488" s="6">
        <f>$O$488*$X$488</f>
        <v>0</v>
      </c>
      <c r="AE488" s="6">
        <f ca="1">$K$488*$Y$488</f>
        <v>4650.4266377661652</v>
      </c>
      <c r="AF488" s="6">
        <f>$M$488*$Z$488</f>
        <v>0</v>
      </c>
      <c r="AG488" s="6">
        <f>$O$488*$AA$488</f>
        <v>0</v>
      </c>
    </row>
    <row r="489" spans="1:33" ht="11.25" customHeight="1" x14ac:dyDescent="0.3">
      <c r="A489" s="4" t="s">
        <v>21</v>
      </c>
      <c r="B489" s="4" t="s">
        <v>39</v>
      </c>
      <c r="C489" s="4" t="s">
        <v>41</v>
      </c>
      <c r="D489" s="4" t="s">
        <v>46</v>
      </c>
      <c r="E489" s="4" t="s">
        <v>25</v>
      </c>
      <c r="F489" s="4" t="s">
        <v>25</v>
      </c>
      <c r="G489" s="4" t="s">
        <v>25</v>
      </c>
      <c r="H489" s="4" t="s">
        <v>25</v>
      </c>
      <c r="I489" s="5">
        <v>44713</v>
      </c>
      <c r="J489" s="6">
        <v>564</v>
      </c>
      <c r="K489" s="6">
        <v>564</v>
      </c>
      <c r="L489" s="6">
        <v>0</v>
      </c>
      <c r="M489" s="6">
        <v>0</v>
      </c>
      <c r="N489" s="6">
        <v>0</v>
      </c>
      <c r="O489" s="6">
        <v>0</v>
      </c>
      <c r="P489" s="6">
        <v>12</v>
      </c>
      <c r="Q489" s="4" t="s">
        <v>26</v>
      </c>
      <c r="R489" s="4">
        <v>0</v>
      </c>
      <c r="S489" s="6">
        <v>20</v>
      </c>
      <c r="T489" s="6">
        <v>0</v>
      </c>
      <c r="U489" s="6">
        <v>0</v>
      </c>
      <c r="V489" s="6">
        <f>IF(ISERROR(VLOOKUP($S$489,'TAR FIN'!$A$1:$O$113,15,0)),0,VLOOKUP($S$489,'TAR FIN'!$A$1:$O$113,15,0))</f>
        <v>14</v>
      </c>
      <c r="W489" s="6">
        <f>IF(ISERROR(VLOOKUP($T$489,'TAR FIN'!$A$1:$O$113,15,0)),0,VLOOKUP($T$489,'TAR FIN'!$A$1:$O$113,15,0))</f>
        <v>0</v>
      </c>
      <c r="X489" s="6">
        <f>IF(ISERROR(VLOOKUP($U$489,'TAR FIN'!$A$1:$O$113,15,0)),0,VLOOKUP($U$489,'TAR FIN'!$A$1:$O$113,15,0))</f>
        <v>0</v>
      </c>
      <c r="Y489" s="6">
        <f ca="1">('TUSD BE'!$AM$19+'TUSD BF_350'!$AM$19+'TUSD CVA'!$AM$19)*1</f>
        <v>16.035953923331604</v>
      </c>
      <c r="Z489" s="6"/>
      <c r="AA489" s="6"/>
      <c r="AB489" s="6">
        <f>$K$489*$V$489</f>
        <v>7896</v>
      </c>
      <c r="AC489" s="6">
        <f>$M$489*$W$489</f>
        <v>0</v>
      </c>
      <c r="AD489" s="6">
        <f>$O$489*$X$489</f>
        <v>0</v>
      </c>
      <c r="AE489" s="6">
        <f ca="1">$K$489*$Y$489</f>
        <v>9044.2780127590249</v>
      </c>
      <c r="AF489" s="6">
        <f>$M$489*$Z$489</f>
        <v>0</v>
      </c>
      <c r="AG489" s="6">
        <f>$O$489*$AA$489</f>
        <v>0</v>
      </c>
    </row>
    <row r="490" spans="1:33" ht="11.25" customHeight="1" x14ac:dyDescent="0.3">
      <c r="A490" s="4" t="s">
        <v>28</v>
      </c>
      <c r="B490" s="4" t="s">
        <v>39</v>
      </c>
      <c r="C490" s="4" t="s">
        <v>41</v>
      </c>
      <c r="D490" s="4" t="s">
        <v>46</v>
      </c>
      <c r="E490" s="4" t="s">
        <v>25</v>
      </c>
      <c r="F490" s="4" t="s">
        <v>25</v>
      </c>
      <c r="G490" s="4" t="s">
        <v>25</v>
      </c>
      <c r="H490" s="4" t="s">
        <v>25</v>
      </c>
      <c r="I490" s="5">
        <v>44713</v>
      </c>
      <c r="J490" s="6">
        <v>290</v>
      </c>
      <c r="K490" s="6">
        <v>290</v>
      </c>
      <c r="L490" s="6">
        <v>0</v>
      </c>
      <c r="M490" s="6">
        <v>0</v>
      </c>
      <c r="N490" s="6">
        <v>0</v>
      </c>
      <c r="O490" s="6">
        <v>0</v>
      </c>
      <c r="P490" s="6">
        <v>2</v>
      </c>
      <c r="Q490" s="4" t="s">
        <v>26</v>
      </c>
      <c r="R490" s="4">
        <v>0</v>
      </c>
      <c r="S490" s="6">
        <v>20</v>
      </c>
      <c r="T490" s="6">
        <v>0</v>
      </c>
      <c r="U490" s="6">
        <v>0</v>
      </c>
      <c r="V490" s="6">
        <f>IF(ISERROR(VLOOKUP($S$490,'TAR FIN'!$A$1:$O$113,15,0)),0,VLOOKUP($S$490,'TAR FIN'!$A$1:$O$113,15,0))</f>
        <v>14</v>
      </c>
      <c r="W490" s="6">
        <f>IF(ISERROR(VLOOKUP($T$490,'TAR FIN'!$A$1:$O$113,15,0)),0,VLOOKUP($T$490,'TAR FIN'!$A$1:$O$113,15,0))</f>
        <v>0</v>
      </c>
      <c r="X490" s="6">
        <f>IF(ISERROR(VLOOKUP($U$490,'TAR FIN'!$A$1:$O$113,15,0)),0,VLOOKUP($U$490,'TAR FIN'!$A$1:$O$113,15,0))</f>
        <v>0</v>
      </c>
      <c r="Y490" s="6">
        <f ca="1">('TUSD BE'!$AM$19+'TUSD BF_350'!$AM$19+'TUSD CVA'!$AM$19)*1</f>
        <v>16.035953923331604</v>
      </c>
      <c r="Z490" s="6"/>
      <c r="AA490" s="6"/>
      <c r="AB490" s="6">
        <f>$K$490*$V$490</f>
        <v>4060</v>
      </c>
      <c r="AC490" s="6">
        <f>$M$490*$W$490</f>
        <v>0</v>
      </c>
      <c r="AD490" s="6">
        <f>$O$490*$X$490</f>
        <v>0</v>
      </c>
      <c r="AE490" s="6">
        <f ca="1">$K$490*$Y$490</f>
        <v>4650.4266377661652</v>
      </c>
      <c r="AF490" s="6">
        <f>$M$490*$Z$490</f>
        <v>0</v>
      </c>
      <c r="AG490" s="6">
        <f>$O$490*$AA$490</f>
        <v>0</v>
      </c>
    </row>
    <row r="491" spans="1:33" ht="11.25" customHeight="1" x14ac:dyDescent="0.3">
      <c r="A491" s="4" t="s">
        <v>21</v>
      </c>
      <c r="B491" s="4" t="s">
        <v>39</v>
      </c>
      <c r="C491" s="4" t="s">
        <v>41</v>
      </c>
      <c r="D491" s="4" t="s">
        <v>46</v>
      </c>
      <c r="E491" s="4" t="s">
        <v>25</v>
      </c>
      <c r="F491" s="4" t="s">
        <v>25</v>
      </c>
      <c r="G491" s="4" t="s">
        <v>25</v>
      </c>
      <c r="H491" s="4" t="s">
        <v>25</v>
      </c>
      <c r="I491" s="5">
        <v>44743</v>
      </c>
      <c r="J491" s="6">
        <v>559</v>
      </c>
      <c r="K491" s="6">
        <v>559</v>
      </c>
      <c r="L491" s="6">
        <v>0</v>
      </c>
      <c r="M491" s="6">
        <v>0</v>
      </c>
      <c r="N491" s="6">
        <v>0</v>
      </c>
      <c r="O491" s="6">
        <v>0</v>
      </c>
      <c r="P491" s="6">
        <v>12</v>
      </c>
      <c r="Q491" s="4" t="s">
        <v>26</v>
      </c>
      <c r="R491" s="4">
        <v>0</v>
      </c>
      <c r="S491" s="6">
        <v>20</v>
      </c>
      <c r="T491" s="6">
        <v>0</v>
      </c>
      <c r="U491" s="6">
        <v>0</v>
      </c>
      <c r="V491" s="6">
        <f>IF(ISERROR(VLOOKUP($S$491,'TAR FIN'!$A$1:$O$113,15,0)),0,VLOOKUP($S$491,'TAR FIN'!$A$1:$O$113,15,0))</f>
        <v>14</v>
      </c>
      <c r="W491" s="6">
        <f>IF(ISERROR(VLOOKUP($T$491,'TAR FIN'!$A$1:$O$113,15,0)),0,VLOOKUP($T$491,'TAR FIN'!$A$1:$O$113,15,0))</f>
        <v>0</v>
      </c>
      <c r="X491" s="6">
        <f>IF(ISERROR(VLOOKUP($U$491,'TAR FIN'!$A$1:$O$113,15,0)),0,VLOOKUP($U$491,'TAR FIN'!$A$1:$O$113,15,0))</f>
        <v>0</v>
      </c>
      <c r="Y491" s="6">
        <f ca="1">('TUSD BE'!$AM$19+'TUSD BF_350'!$AM$19+'TUSD CVA'!$AM$19)*1</f>
        <v>16.035953923331604</v>
      </c>
      <c r="Z491" s="6"/>
      <c r="AA491" s="6"/>
      <c r="AB491" s="6">
        <f>$K$491*$V$491</f>
        <v>7826</v>
      </c>
      <c r="AC491" s="6">
        <f>$M$491*$W$491</f>
        <v>0</v>
      </c>
      <c r="AD491" s="6">
        <f>$O$491*$X$491</f>
        <v>0</v>
      </c>
      <c r="AE491" s="6">
        <f ca="1">$K$491*$Y$491</f>
        <v>8964.0982431423672</v>
      </c>
      <c r="AF491" s="6">
        <f>$M$491*$Z$491</f>
        <v>0</v>
      </c>
      <c r="AG491" s="6">
        <f>$O$491*$AA$491</f>
        <v>0</v>
      </c>
    </row>
    <row r="492" spans="1:33" ht="11.25" customHeight="1" x14ac:dyDescent="0.3">
      <c r="A492" s="4" t="s">
        <v>21</v>
      </c>
      <c r="B492" s="4" t="s">
        <v>39</v>
      </c>
      <c r="C492" s="4" t="s">
        <v>41</v>
      </c>
      <c r="D492" s="4" t="s">
        <v>46</v>
      </c>
      <c r="E492" s="4" t="s">
        <v>25</v>
      </c>
      <c r="F492" s="4" t="s">
        <v>25</v>
      </c>
      <c r="G492" s="4" t="s">
        <v>25</v>
      </c>
      <c r="H492" s="4" t="s">
        <v>25</v>
      </c>
      <c r="I492" s="5">
        <v>44774</v>
      </c>
      <c r="J492" s="6">
        <v>559</v>
      </c>
      <c r="K492" s="6">
        <v>559</v>
      </c>
      <c r="L492" s="6">
        <v>0</v>
      </c>
      <c r="M492" s="6">
        <v>0</v>
      </c>
      <c r="N492" s="6">
        <v>0</v>
      </c>
      <c r="O492" s="6">
        <v>0</v>
      </c>
      <c r="P492" s="6">
        <v>12</v>
      </c>
      <c r="Q492" s="4" t="s">
        <v>26</v>
      </c>
      <c r="R492" s="4">
        <v>0</v>
      </c>
      <c r="S492" s="6">
        <v>20</v>
      </c>
      <c r="T492" s="6">
        <v>0</v>
      </c>
      <c r="U492" s="6">
        <v>0</v>
      </c>
      <c r="V492" s="6">
        <f>IF(ISERROR(VLOOKUP($S$492,'TAR FIN'!$A$1:$O$113,15,0)),0,VLOOKUP($S$492,'TAR FIN'!$A$1:$O$113,15,0))</f>
        <v>14</v>
      </c>
      <c r="W492" s="6">
        <f>IF(ISERROR(VLOOKUP($T$492,'TAR FIN'!$A$1:$O$113,15,0)),0,VLOOKUP($T$492,'TAR FIN'!$A$1:$O$113,15,0))</f>
        <v>0</v>
      </c>
      <c r="X492" s="6">
        <f>IF(ISERROR(VLOOKUP($U$492,'TAR FIN'!$A$1:$O$113,15,0)),0,VLOOKUP($U$492,'TAR FIN'!$A$1:$O$113,15,0))</f>
        <v>0</v>
      </c>
      <c r="Y492" s="6">
        <f ca="1">('TUSD BE'!$AM$19+'TUSD BF_350'!$AM$19+'TUSD CVA'!$AM$19)*1</f>
        <v>16.035953923331604</v>
      </c>
      <c r="Z492" s="6"/>
      <c r="AA492" s="6"/>
      <c r="AB492" s="6">
        <f>$K$492*$V$492</f>
        <v>7826</v>
      </c>
      <c r="AC492" s="6">
        <f>$M$492*$W$492</f>
        <v>0</v>
      </c>
      <c r="AD492" s="6">
        <f>$O$492*$X$492</f>
        <v>0</v>
      </c>
      <c r="AE492" s="6">
        <f ca="1">$K$492*$Y$492</f>
        <v>8964.0982431423672</v>
      </c>
      <c r="AF492" s="6">
        <f>$M$492*$Z$492</f>
        <v>0</v>
      </c>
      <c r="AG492" s="6">
        <f>$O$492*$AA$492</f>
        <v>0</v>
      </c>
    </row>
    <row r="493" spans="1:33" ht="11.25" customHeight="1" x14ac:dyDescent="0.3">
      <c r="A493" s="4" t="s">
        <v>28</v>
      </c>
      <c r="B493" s="4" t="s">
        <v>39</v>
      </c>
      <c r="C493" s="4" t="s">
        <v>41</v>
      </c>
      <c r="D493" s="4" t="s">
        <v>46</v>
      </c>
      <c r="E493" s="4" t="s">
        <v>25</v>
      </c>
      <c r="F493" s="4" t="s">
        <v>25</v>
      </c>
      <c r="G493" s="4" t="s">
        <v>25</v>
      </c>
      <c r="H493" s="4" t="s">
        <v>25</v>
      </c>
      <c r="I493" s="5">
        <v>44774</v>
      </c>
      <c r="J493" s="6">
        <v>290</v>
      </c>
      <c r="K493" s="6">
        <v>290</v>
      </c>
      <c r="L493" s="6">
        <v>0</v>
      </c>
      <c r="M493" s="6">
        <v>0</v>
      </c>
      <c r="N493" s="6">
        <v>0</v>
      </c>
      <c r="O493" s="6">
        <v>0</v>
      </c>
      <c r="P493" s="6">
        <v>2</v>
      </c>
      <c r="Q493" s="4" t="s">
        <v>26</v>
      </c>
      <c r="R493" s="4">
        <v>0</v>
      </c>
      <c r="S493" s="6">
        <v>20</v>
      </c>
      <c r="T493" s="6">
        <v>0</v>
      </c>
      <c r="U493" s="6">
        <v>0</v>
      </c>
      <c r="V493" s="6">
        <f>IF(ISERROR(VLOOKUP($S$493,'TAR FIN'!$A$1:$O$113,15,0)),0,VLOOKUP($S$493,'TAR FIN'!$A$1:$O$113,15,0))</f>
        <v>14</v>
      </c>
      <c r="W493" s="6">
        <f>IF(ISERROR(VLOOKUP($T$493,'TAR FIN'!$A$1:$O$113,15,0)),0,VLOOKUP($T$493,'TAR FIN'!$A$1:$O$113,15,0))</f>
        <v>0</v>
      </c>
      <c r="X493" s="6">
        <f>IF(ISERROR(VLOOKUP($U$493,'TAR FIN'!$A$1:$O$113,15,0)),0,VLOOKUP($U$493,'TAR FIN'!$A$1:$O$113,15,0))</f>
        <v>0</v>
      </c>
      <c r="Y493" s="6">
        <f ca="1">('TUSD BE'!$AM$19+'TUSD BF_350'!$AM$19+'TUSD CVA'!$AM$19)*1</f>
        <v>16.035953923331604</v>
      </c>
      <c r="Z493" s="6"/>
      <c r="AA493" s="6"/>
      <c r="AB493" s="6">
        <f>$K$493*$V$493</f>
        <v>4060</v>
      </c>
      <c r="AC493" s="6">
        <f>$M$493*$W$493</f>
        <v>0</v>
      </c>
      <c r="AD493" s="6">
        <f>$O$493*$X$493</f>
        <v>0</v>
      </c>
      <c r="AE493" s="6">
        <f ca="1">$K$493*$Y$493</f>
        <v>4650.4266377661652</v>
      </c>
      <c r="AF493" s="6">
        <f>$M$493*$Z$493</f>
        <v>0</v>
      </c>
      <c r="AG493" s="6">
        <f>$O$493*$AA$493</f>
        <v>0</v>
      </c>
    </row>
    <row r="494" spans="1:33" ht="11.25" customHeight="1" x14ac:dyDescent="0.3">
      <c r="A494" s="4" t="s">
        <v>21</v>
      </c>
      <c r="B494" s="4" t="s">
        <v>39</v>
      </c>
      <c r="C494" s="4" t="s">
        <v>41</v>
      </c>
      <c r="D494" s="4" t="s">
        <v>46</v>
      </c>
      <c r="E494" s="4" t="s">
        <v>25</v>
      </c>
      <c r="F494" s="4" t="s">
        <v>25</v>
      </c>
      <c r="G494" s="4" t="s">
        <v>25</v>
      </c>
      <c r="H494" s="4" t="s">
        <v>25</v>
      </c>
      <c r="I494" s="5">
        <v>44805</v>
      </c>
      <c r="J494" s="6">
        <v>559</v>
      </c>
      <c r="K494" s="6">
        <v>559</v>
      </c>
      <c r="L494" s="6">
        <v>0</v>
      </c>
      <c r="M494" s="6">
        <v>0</v>
      </c>
      <c r="N494" s="6">
        <v>0</v>
      </c>
      <c r="O494" s="6">
        <v>0</v>
      </c>
      <c r="P494" s="6">
        <v>12</v>
      </c>
      <c r="Q494" s="4" t="s">
        <v>26</v>
      </c>
      <c r="R494" s="4">
        <v>0</v>
      </c>
      <c r="S494" s="6">
        <v>20</v>
      </c>
      <c r="T494" s="6">
        <v>0</v>
      </c>
      <c r="U494" s="6">
        <v>0</v>
      </c>
      <c r="V494" s="6">
        <f>IF(ISERROR(VLOOKUP($S$494,'TAR FIN'!$A$1:$O$113,15,0)),0,VLOOKUP($S$494,'TAR FIN'!$A$1:$O$113,15,0))</f>
        <v>14</v>
      </c>
      <c r="W494" s="6">
        <f>IF(ISERROR(VLOOKUP($T$494,'TAR FIN'!$A$1:$O$113,15,0)),0,VLOOKUP($T$494,'TAR FIN'!$A$1:$O$113,15,0))</f>
        <v>0</v>
      </c>
      <c r="X494" s="6">
        <f>IF(ISERROR(VLOOKUP($U$494,'TAR FIN'!$A$1:$O$113,15,0)),0,VLOOKUP($U$494,'TAR FIN'!$A$1:$O$113,15,0))</f>
        <v>0</v>
      </c>
      <c r="Y494" s="6">
        <f ca="1">('TUSD BE'!$AM$19+'TUSD BF_350'!$AM$19+'TUSD CVA'!$AM$19)*1</f>
        <v>16.035953923331604</v>
      </c>
      <c r="Z494" s="6"/>
      <c r="AA494" s="6"/>
      <c r="AB494" s="6">
        <f>$K$494*$V$494</f>
        <v>7826</v>
      </c>
      <c r="AC494" s="6">
        <f>$M$494*$W$494</f>
        <v>0</v>
      </c>
      <c r="AD494" s="6">
        <f>$O$494*$X$494</f>
        <v>0</v>
      </c>
      <c r="AE494" s="6">
        <f ca="1">$K$494*$Y$494</f>
        <v>8964.0982431423672</v>
      </c>
      <c r="AF494" s="6">
        <f>$M$494*$Z$494</f>
        <v>0</v>
      </c>
      <c r="AG494" s="6">
        <f>$O$494*$AA$494</f>
        <v>0</v>
      </c>
    </row>
    <row r="495" spans="1:33" ht="11.25" customHeight="1" x14ac:dyDescent="0.3">
      <c r="A495" s="4" t="s">
        <v>28</v>
      </c>
      <c r="B495" s="4" t="s">
        <v>39</v>
      </c>
      <c r="C495" s="4" t="s">
        <v>41</v>
      </c>
      <c r="D495" s="4" t="s">
        <v>46</v>
      </c>
      <c r="E495" s="4" t="s">
        <v>25</v>
      </c>
      <c r="F495" s="4" t="s">
        <v>25</v>
      </c>
      <c r="G495" s="4" t="s">
        <v>25</v>
      </c>
      <c r="H495" s="4" t="s">
        <v>25</v>
      </c>
      <c r="I495" s="5">
        <v>44805</v>
      </c>
      <c r="J495" s="6">
        <v>290</v>
      </c>
      <c r="K495" s="6">
        <v>290</v>
      </c>
      <c r="L495" s="6">
        <v>0</v>
      </c>
      <c r="M495" s="6">
        <v>0</v>
      </c>
      <c r="N495" s="6">
        <v>0</v>
      </c>
      <c r="O495" s="6">
        <v>0</v>
      </c>
      <c r="P495" s="6">
        <v>2</v>
      </c>
      <c r="Q495" s="4" t="s">
        <v>26</v>
      </c>
      <c r="R495" s="4">
        <v>0</v>
      </c>
      <c r="S495" s="6">
        <v>20</v>
      </c>
      <c r="T495" s="6">
        <v>0</v>
      </c>
      <c r="U495" s="6">
        <v>0</v>
      </c>
      <c r="V495" s="6">
        <f>IF(ISERROR(VLOOKUP($S$495,'TAR FIN'!$A$1:$O$113,15,0)),0,VLOOKUP($S$495,'TAR FIN'!$A$1:$O$113,15,0))</f>
        <v>14</v>
      </c>
      <c r="W495" s="6">
        <f>IF(ISERROR(VLOOKUP($T$495,'TAR FIN'!$A$1:$O$113,15,0)),0,VLOOKUP($T$495,'TAR FIN'!$A$1:$O$113,15,0))</f>
        <v>0</v>
      </c>
      <c r="X495" s="6">
        <f>IF(ISERROR(VLOOKUP($U$495,'TAR FIN'!$A$1:$O$113,15,0)),0,VLOOKUP($U$495,'TAR FIN'!$A$1:$O$113,15,0))</f>
        <v>0</v>
      </c>
      <c r="Y495" s="6">
        <f ca="1">('TUSD BE'!$AM$19+'TUSD BF_350'!$AM$19+'TUSD CVA'!$AM$19)*1</f>
        <v>16.035953923331604</v>
      </c>
      <c r="Z495" s="6"/>
      <c r="AA495" s="6"/>
      <c r="AB495" s="6">
        <f>$K$495*$V$495</f>
        <v>4060</v>
      </c>
      <c r="AC495" s="6">
        <f>$M$495*$W$495</f>
        <v>0</v>
      </c>
      <c r="AD495" s="6">
        <f>$O$495*$X$495</f>
        <v>0</v>
      </c>
      <c r="AE495" s="6">
        <f ca="1">$K$495*$Y$495</f>
        <v>4650.4266377661652</v>
      </c>
      <c r="AF495" s="6">
        <f>$M$495*$Z$495</f>
        <v>0</v>
      </c>
      <c r="AG495" s="6">
        <f>$O$495*$AA$495</f>
        <v>0</v>
      </c>
    </row>
    <row r="496" spans="1:33" ht="11.25" customHeight="1" x14ac:dyDescent="0.3">
      <c r="A496" s="4" t="s">
        <v>53</v>
      </c>
      <c r="B496" s="4" t="s">
        <v>39</v>
      </c>
      <c r="C496" s="4" t="s">
        <v>41</v>
      </c>
      <c r="D496" s="4" t="s">
        <v>46</v>
      </c>
      <c r="E496" s="4" t="s">
        <v>25</v>
      </c>
      <c r="F496" s="4" t="s">
        <v>25</v>
      </c>
      <c r="G496" s="4" t="s">
        <v>25</v>
      </c>
      <c r="H496" s="4" t="s">
        <v>25</v>
      </c>
      <c r="I496" s="5">
        <v>44835</v>
      </c>
      <c r="J496" s="6">
        <v>559</v>
      </c>
      <c r="K496" s="6">
        <v>559</v>
      </c>
      <c r="L496" s="6">
        <v>0</v>
      </c>
      <c r="M496" s="6">
        <v>0</v>
      </c>
      <c r="N496" s="6">
        <v>0</v>
      </c>
      <c r="O496" s="6">
        <v>0</v>
      </c>
      <c r="P496" s="6">
        <v>12</v>
      </c>
      <c r="Q496" s="4" t="s">
        <v>26</v>
      </c>
      <c r="R496" s="4">
        <v>0</v>
      </c>
      <c r="S496" s="6">
        <v>20</v>
      </c>
      <c r="T496" s="6">
        <v>0</v>
      </c>
      <c r="U496" s="6">
        <v>0</v>
      </c>
      <c r="V496" s="6">
        <f>IF(ISERROR(VLOOKUP($S$496,'TAR FIN'!$A$1:$O$113,15,0)),0,VLOOKUP($S$496,'TAR FIN'!$A$1:$O$113,15,0))</f>
        <v>14</v>
      </c>
      <c r="W496" s="6">
        <f>IF(ISERROR(VLOOKUP($T$496,'TAR FIN'!$A$1:$O$113,15,0)),0,VLOOKUP($T$496,'TAR FIN'!$A$1:$O$113,15,0))</f>
        <v>0</v>
      </c>
      <c r="X496" s="6">
        <f>IF(ISERROR(VLOOKUP($U$496,'TAR FIN'!$A$1:$O$113,15,0)),0,VLOOKUP($U$496,'TAR FIN'!$A$1:$O$113,15,0))</f>
        <v>0</v>
      </c>
      <c r="Y496" s="6">
        <f ca="1">('TUSD BE'!$AM$19+'TUSD BF_350'!$AM$19+'TUSD CVA'!$AM$19)*1</f>
        <v>16.035953923331604</v>
      </c>
      <c r="Z496" s="6"/>
      <c r="AA496" s="6"/>
      <c r="AB496" s="6">
        <f>$K$496*$V$496</f>
        <v>7826</v>
      </c>
      <c r="AC496" s="6">
        <f>$M$496*$W$496</f>
        <v>0</v>
      </c>
      <c r="AD496" s="6">
        <f>$O$496*$X$496</f>
        <v>0</v>
      </c>
      <c r="AE496" s="6">
        <f ca="1">$K$496*$Y$496</f>
        <v>8964.0982431423672</v>
      </c>
      <c r="AF496" s="6">
        <f>$M$496*$Z$496</f>
        <v>0</v>
      </c>
      <c r="AG496" s="6">
        <f>$O$496*$AA$496</f>
        <v>0</v>
      </c>
    </row>
    <row r="497" spans="1:33" ht="11.25" customHeight="1" x14ac:dyDescent="0.3">
      <c r="A497" s="4" t="s">
        <v>53</v>
      </c>
      <c r="B497" s="4" t="s">
        <v>39</v>
      </c>
      <c r="C497" s="4" t="s">
        <v>41</v>
      </c>
      <c r="D497" s="4" t="s">
        <v>46</v>
      </c>
      <c r="E497" s="4" t="s">
        <v>25</v>
      </c>
      <c r="F497" s="4" t="s">
        <v>25</v>
      </c>
      <c r="G497" s="4" t="s">
        <v>25</v>
      </c>
      <c r="H497" s="4" t="s">
        <v>25</v>
      </c>
      <c r="I497" s="5">
        <v>44835</v>
      </c>
      <c r="J497" s="6">
        <v>290</v>
      </c>
      <c r="K497" s="6">
        <v>290</v>
      </c>
      <c r="L497" s="6">
        <v>0</v>
      </c>
      <c r="M497" s="6">
        <v>0</v>
      </c>
      <c r="N497" s="6">
        <v>0</v>
      </c>
      <c r="O497" s="6">
        <v>0</v>
      </c>
      <c r="P497" s="6">
        <v>2</v>
      </c>
      <c r="Q497" s="4" t="s">
        <v>26</v>
      </c>
      <c r="R497" s="4">
        <v>0</v>
      </c>
      <c r="S497" s="6">
        <v>20</v>
      </c>
      <c r="T497" s="6">
        <v>0</v>
      </c>
      <c r="U497" s="6">
        <v>0</v>
      </c>
      <c r="V497" s="6">
        <f>IF(ISERROR(VLOOKUP($S$497,'TAR FIN'!$A$1:$O$113,15,0)),0,VLOOKUP($S$497,'TAR FIN'!$A$1:$O$113,15,0))</f>
        <v>14</v>
      </c>
      <c r="W497" s="6">
        <f>IF(ISERROR(VLOOKUP($T$497,'TAR FIN'!$A$1:$O$113,15,0)),0,VLOOKUP($T$497,'TAR FIN'!$A$1:$O$113,15,0))</f>
        <v>0</v>
      </c>
      <c r="X497" s="6">
        <f>IF(ISERROR(VLOOKUP($U$497,'TAR FIN'!$A$1:$O$113,15,0)),0,VLOOKUP($U$497,'TAR FIN'!$A$1:$O$113,15,0))</f>
        <v>0</v>
      </c>
      <c r="Y497" s="6">
        <f ca="1">('TUSD BE'!$AM$19+'TUSD BF_350'!$AM$19+'TUSD CVA'!$AM$19)*1</f>
        <v>16.035953923331604</v>
      </c>
      <c r="Z497" s="6"/>
      <c r="AA497" s="6"/>
      <c r="AB497" s="6">
        <f>$K$497*$V$497</f>
        <v>4060</v>
      </c>
      <c r="AC497" s="6">
        <f>$M$497*$W$497</f>
        <v>0</v>
      </c>
      <c r="AD497" s="6">
        <f>$O$497*$X$497</f>
        <v>0</v>
      </c>
      <c r="AE497" s="6">
        <f ca="1">$K$497*$Y$497</f>
        <v>4650.4266377661652</v>
      </c>
      <c r="AF497" s="6">
        <f>$M$497*$Z$497</f>
        <v>0</v>
      </c>
      <c r="AG497" s="6">
        <f>$O$497*$AA$497</f>
        <v>0</v>
      </c>
    </row>
    <row r="498" spans="1:33" ht="11.25" customHeight="1" x14ac:dyDescent="0.3">
      <c r="A498" s="4" t="s">
        <v>21</v>
      </c>
      <c r="B498" s="4" t="s">
        <v>39</v>
      </c>
      <c r="C498" s="4" t="s">
        <v>41</v>
      </c>
      <c r="D498" s="4" t="s">
        <v>46</v>
      </c>
      <c r="E498" s="4" t="s">
        <v>25</v>
      </c>
      <c r="F498" s="4" t="s">
        <v>25</v>
      </c>
      <c r="G498" s="4" t="s">
        <v>25</v>
      </c>
      <c r="H498" s="4" t="s">
        <v>34</v>
      </c>
      <c r="I498" s="5">
        <v>44501</v>
      </c>
      <c r="J498" s="6">
        <v>0</v>
      </c>
      <c r="K498" s="6">
        <v>0</v>
      </c>
      <c r="L498" s="6">
        <v>4.0469999999999997</v>
      </c>
      <c r="M498" s="6">
        <v>4.0469999999999997</v>
      </c>
      <c r="N498" s="6">
        <v>4.0469999999999997</v>
      </c>
      <c r="O498" s="6">
        <v>4.0469999999999997</v>
      </c>
      <c r="P498" s="6">
        <v>0</v>
      </c>
      <c r="Q498" s="4" t="s">
        <v>26</v>
      </c>
      <c r="R498" s="4">
        <v>0</v>
      </c>
      <c r="S498" s="6">
        <v>0</v>
      </c>
      <c r="T498" s="6">
        <v>8</v>
      </c>
      <c r="U498" s="6">
        <v>38</v>
      </c>
      <c r="V498" s="6">
        <f>IF(ISERROR(VLOOKUP($S$498,'TAR FIN'!$A$1:$O$113,15,0)),0,VLOOKUP($S$498,'TAR FIN'!$A$1:$O$113,15,0))</f>
        <v>0</v>
      </c>
      <c r="W498" s="6">
        <f>IF(ISERROR(VLOOKUP($T$498,'TAR FIN'!$A$1:$O$113,15,0)),0,VLOOKUP($T$498,'TAR FIN'!$A$1:$O$113,15,0))</f>
        <v>940.43</v>
      </c>
      <c r="X498" s="6">
        <f>IF(ISERROR(VLOOKUP($U$498,'TAR FIN'!$A$1:$O$113,15,0)),0,VLOOKUP($U$498,'TAR FIN'!$A$1:$O$113,15,0))</f>
        <v>442.86</v>
      </c>
      <c r="Y498" s="6"/>
      <c r="Z498" s="6">
        <f ca="1">('TUSD BE'!$AM$20+'TUSD BF_350'!$AM$20+'TUSD CVA'!$AM$20)*1</f>
        <v>1117.8285588949407</v>
      </c>
      <c r="AA498" s="6">
        <f ca="1">('TE BE'!$AB$9+'TE BF_350'!$AB$9+'TE CVA'!$AB$9)*1</f>
        <v>379.30999999999995</v>
      </c>
      <c r="AB498" s="6">
        <f>$K$498*$V$498</f>
        <v>0</v>
      </c>
      <c r="AC498" s="6">
        <f>$M$498*$W$498</f>
        <v>3805.9202099999993</v>
      </c>
      <c r="AD498" s="6">
        <f>$O$498*$X$498</f>
        <v>1792.25442</v>
      </c>
      <c r="AE498" s="6">
        <f>$K$498*$Y$498</f>
        <v>0</v>
      </c>
      <c r="AF498" s="6">
        <f ca="1">$M$498*$Z$498</f>
        <v>4523.8521778478244</v>
      </c>
      <c r="AG498" s="6">
        <f ca="1">$O$498*$AA$498</f>
        <v>1535.0675699999997</v>
      </c>
    </row>
    <row r="499" spans="1:33" ht="11.25" customHeight="1" x14ac:dyDescent="0.3">
      <c r="A499" s="4" t="s">
        <v>28</v>
      </c>
      <c r="B499" s="4" t="s">
        <v>39</v>
      </c>
      <c r="C499" s="4" t="s">
        <v>41</v>
      </c>
      <c r="D499" s="4" t="s">
        <v>46</v>
      </c>
      <c r="E499" s="4" t="s">
        <v>25</v>
      </c>
      <c r="F499" s="4" t="s">
        <v>25</v>
      </c>
      <c r="G499" s="4" t="s">
        <v>25</v>
      </c>
      <c r="H499" s="4" t="s">
        <v>34</v>
      </c>
      <c r="I499" s="5">
        <v>44501</v>
      </c>
      <c r="J499" s="6">
        <v>0</v>
      </c>
      <c r="K499" s="6">
        <v>0</v>
      </c>
      <c r="L499" s="6">
        <v>1.3049999999999999</v>
      </c>
      <c r="M499" s="6">
        <v>1.3049999999999999</v>
      </c>
      <c r="N499" s="6">
        <v>1.3049999999999999</v>
      </c>
      <c r="O499" s="6">
        <v>1.3049999999999999</v>
      </c>
      <c r="P499" s="6">
        <v>0</v>
      </c>
      <c r="Q499" s="4" t="s">
        <v>26</v>
      </c>
      <c r="R499" s="4">
        <v>0</v>
      </c>
      <c r="S499" s="6">
        <v>0</v>
      </c>
      <c r="T499" s="6">
        <v>8</v>
      </c>
      <c r="U499" s="6">
        <v>38</v>
      </c>
      <c r="V499" s="6">
        <f>IF(ISERROR(VLOOKUP($S$499,'TAR FIN'!$A$1:$O$113,15,0)),0,VLOOKUP($S$499,'TAR FIN'!$A$1:$O$113,15,0))</f>
        <v>0</v>
      </c>
      <c r="W499" s="6">
        <f>IF(ISERROR(VLOOKUP($T$499,'TAR FIN'!$A$1:$O$113,15,0)),0,VLOOKUP($T$499,'TAR FIN'!$A$1:$O$113,15,0))</f>
        <v>940.43</v>
      </c>
      <c r="X499" s="6">
        <f>IF(ISERROR(VLOOKUP($U$499,'TAR FIN'!$A$1:$O$113,15,0)),0,VLOOKUP($U$499,'TAR FIN'!$A$1:$O$113,15,0))</f>
        <v>442.86</v>
      </c>
      <c r="Y499" s="6"/>
      <c r="Z499" s="6">
        <f ca="1">('TUSD BE'!$AM$20+'TUSD BF_350'!$AM$20+'TUSD CVA'!$AM$20)*1</f>
        <v>1117.8285588949407</v>
      </c>
      <c r="AA499" s="6">
        <f ca="1">('TE BE'!$AB$9+'TE BF_350'!$AB$9+'TE CVA'!$AB$9)*1</f>
        <v>379.30999999999995</v>
      </c>
      <c r="AB499" s="6">
        <f>$K$499*$V$499</f>
        <v>0</v>
      </c>
      <c r="AC499" s="6">
        <f>$M$499*$W$499</f>
        <v>1227.2611499999998</v>
      </c>
      <c r="AD499" s="6">
        <f>$O$499*$X$499</f>
        <v>577.93229999999994</v>
      </c>
      <c r="AE499" s="6">
        <f>$K$499*$Y$499</f>
        <v>0</v>
      </c>
      <c r="AF499" s="6">
        <f ca="1">$M$499*$Z$499</f>
        <v>1458.7662693578975</v>
      </c>
      <c r="AG499" s="6">
        <f ca="1">$O$499*$AA$499</f>
        <v>494.99954999999989</v>
      </c>
    </row>
    <row r="500" spans="1:33" ht="11.25" customHeight="1" x14ac:dyDescent="0.3">
      <c r="A500" s="4" t="s">
        <v>21</v>
      </c>
      <c r="B500" s="4" t="s">
        <v>39</v>
      </c>
      <c r="C500" s="4" t="s">
        <v>41</v>
      </c>
      <c r="D500" s="4" t="s">
        <v>46</v>
      </c>
      <c r="E500" s="4" t="s">
        <v>25</v>
      </c>
      <c r="F500" s="4" t="s">
        <v>25</v>
      </c>
      <c r="G500" s="4" t="s">
        <v>25</v>
      </c>
      <c r="H500" s="4" t="s">
        <v>34</v>
      </c>
      <c r="I500" s="5">
        <v>44531</v>
      </c>
      <c r="J500" s="6">
        <v>0</v>
      </c>
      <c r="K500" s="6">
        <v>0</v>
      </c>
      <c r="L500" s="6">
        <v>3.786</v>
      </c>
      <c r="M500" s="6">
        <v>3.786</v>
      </c>
      <c r="N500" s="6">
        <v>3.786</v>
      </c>
      <c r="O500" s="6">
        <v>3.786</v>
      </c>
      <c r="P500" s="6">
        <v>0</v>
      </c>
      <c r="Q500" s="4" t="s">
        <v>26</v>
      </c>
      <c r="R500" s="4">
        <v>0</v>
      </c>
      <c r="S500" s="6">
        <v>0</v>
      </c>
      <c r="T500" s="6">
        <v>8</v>
      </c>
      <c r="U500" s="6">
        <v>38</v>
      </c>
      <c r="V500" s="6">
        <f>IF(ISERROR(VLOOKUP($S$500,'TAR FIN'!$A$1:$O$113,15,0)),0,VLOOKUP($S$500,'TAR FIN'!$A$1:$O$113,15,0))</f>
        <v>0</v>
      </c>
      <c r="W500" s="6">
        <f>IF(ISERROR(VLOOKUP($T$500,'TAR FIN'!$A$1:$O$113,15,0)),0,VLOOKUP($T$500,'TAR FIN'!$A$1:$O$113,15,0))</f>
        <v>940.43</v>
      </c>
      <c r="X500" s="6">
        <f>IF(ISERROR(VLOOKUP($U$500,'TAR FIN'!$A$1:$O$113,15,0)),0,VLOOKUP($U$500,'TAR FIN'!$A$1:$O$113,15,0))</f>
        <v>442.86</v>
      </c>
      <c r="Y500" s="6"/>
      <c r="Z500" s="6">
        <f ca="1">('TUSD BE'!$AM$20+'TUSD BF_350'!$AM$20+'TUSD CVA'!$AM$20)*1</f>
        <v>1117.8285588949407</v>
      </c>
      <c r="AA500" s="6">
        <f ca="1">('TE BE'!$AB$9+'TE BF_350'!$AB$9+'TE CVA'!$AB$9)*1</f>
        <v>379.30999999999995</v>
      </c>
      <c r="AB500" s="6">
        <f>$K$500*$V$500</f>
        <v>0</v>
      </c>
      <c r="AC500" s="6">
        <f>$M$500*$W$500</f>
        <v>3560.4679799999999</v>
      </c>
      <c r="AD500" s="6">
        <f>$O$500*$X$500</f>
        <v>1676.66796</v>
      </c>
      <c r="AE500" s="6">
        <f>$K$500*$Y$500</f>
        <v>0</v>
      </c>
      <c r="AF500" s="6">
        <f ca="1">$M$500*$Z$500</f>
        <v>4232.0989239762457</v>
      </c>
      <c r="AG500" s="6">
        <f ca="1">$O$500*$AA$500</f>
        <v>1436.0676599999997</v>
      </c>
    </row>
    <row r="501" spans="1:33" ht="11.25" customHeight="1" x14ac:dyDescent="0.3">
      <c r="A501" s="4" t="s">
        <v>28</v>
      </c>
      <c r="B501" s="4" t="s">
        <v>39</v>
      </c>
      <c r="C501" s="4" t="s">
        <v>41</v>
      </c>
      <c r="D501" s="4" t="s">
        <v>46</v>
      </c>
      <c r="E501" s="4" t="s">
        <v>25</v>
      </c>
      <c r="F501" s="4" t="s">
        <v>25</v>
      </c>
      <c r="G501" s="4" t="s">
        <v>25</v>
      </c>
      <c r="H501" s="4" t="s">
        <v>34</v>
      </c>
      <c r="I501" s="5">
        <v>44531</v>
      </c>
      <c r="J501" s="6">
        <v>0</v>
      </c>
      <c r="K501" s="6">
        <v>0</v>
      </c>
      <c r="L501" s="6">
        <v>1.1319999999999999</v>
      </c>
      <c r="M501" s="6">
        <v>1.1319999999999999</v>
      </c>
      <c r="N501" s="6">
        <v>1.1319999999999999</v>
      </c>
      <c r="O501" s="6">
        <v>1.1319999999999999</v>
      </c>
      <c r="P501" s="6">
        <v>0</v>
      </c>
      <c r="Q501" s="4" t="s">
        <v>26</v>
      </c>
      <c r="R501" s="4">
        <v>0</v>
      </c>
      <c r="S501" s="6">
        <v>0</v>
      </c>
      <c r="T501" s="6">
        <v>8</v>
      </c>
      <c r="U501" s="6">
        <v>38</v>
      </c>
      <c r="V501" s="6">
        <f>IF(ISERROR(VLOOKUP($S$501,'TAR FIN'!$A$1:$O$113,15,0)),0,VLOOKUP($S$501,'TAR FIN'!$A$1:$O$113,15,0))</f>
        <v>0</v>
      </c>
      <c r="W501" s="6">
        <f>IF(ISERROR(VLOOKUP($T$501,'TAR FIN'!$A$1:$O$113,15,0)),0,VLOOKUP($T$501,'TAR FIN'!$A$1:$O$113,15,0))</f>
        <v>940.43</v>
      </c>
      <c r="X501" s="6">
        <f>IF(ISERROR(VLOOKUP($U$501,'TAR FIN'!$A$1:$O$113,15,0)),0,VLOOKUP($U$501,'TAR FIN'!$A$1:$O$113,15,0))</f>
        <v>442.86</v>
      </c>
      <c r="Y501" s="6"/>
      <c r="Z501" s="6">
        <f ca="1">('TUSD BE'!$AM$20+'TUSD BF_350'!$AM$20+'TUSD CVA'!$AM$20)*1</f>
        <v>1117.8285588949407</v>
      </c>
      <c r="AA501" s="6">
        <f ca="1">('TE BE'!$AB$9+'TE BF_350'!$AB$9+'TE CVA'!$AB$9)*1</f>
        <v>379.30999999999995</v>
      </c>
      <c r="AB501" s="6">
        <f>$K$501*$V$501</f>
        <v>0</v>
      </c>
      <c r="AC501" s="6">
        <f>$M$501*$W$501</f>
        <v>1064.5667599999999</v>
      </c>
      <c r="AD501" s="6">
        <f>$O$501*$X$501</f>
        <v>501.31751999999994</v>
      </c>
      <c r="AE501" s="6">
        <f>$K$501*$Y$501</f>
        <v>0</v>
      </c>
      <c r="AF501" s="6">
        <f ca="1">$M$501*$Z$501</f>
        <v>1265.3819286690727</v>
      </c>
      <c r="AG501" s="6">
        <f ca="1">$O$501*$AA$501</f>
        <v>429.37891999999988</v>
      </c>
    </row>
    <row r="502" spans="1:33" ht="11.25" customHeight="1" x14ac:dyDescent="0.3">
      <c r="A502" s="4" t="s">
        <v>21</v>
      </c>
      <c r="B502" s="4" t="s">
        <v>39</v>
      </c>
      <c r="C502" s="4" t="s">
        <v>41</v>
      </c>
      <c r="D502" s="4" t="s">
        <v>46</v>
      </c>
      <c r="E502" s="4" t="s">
        <v>25</v>
      </c>
      <c r="F502" s="4" t="s">
        <v>25</v>
      </c>
      <c r="G502" s="4" t="s">
        <v>25</v>
      </c>
      <c r="H502" s="4" t="s">
        <v>34</v>
      </c>
      <c r="I502" s="5">
        <v>44562</v>
      </c>
      <c r="J502" s="6">
        <v>0</v>
      </c>
      <c r="K502" s="6">
        <v>0</v>
      </c>
      <c r="L502" s="6">
        <v>3.9630000000000001</v>
      </c>
      <c r="M502" s="6">
        <v>3.9630000000000001</v>
      </c>
      <c r="N502" s="6">
        <v>3.9630000000000001</v>
      </c>
      <c r="O502" s="6">
        <v>3.9630000000000001</v>
      </c>
      <c r="P502" s="6">
        <v>0</v>
      </c>
      <c r="Q502" s="4" t="s">
        <v>26</v>
      </c>
      <c r="R502" s="4">
        <v>0</v>
      </c>
      <c r="S502" s="6">
        <v>0</v>
      </c>
      <c r="T502" s="6">
        <v>8</v>
      </c>
      <c r="U502" s="6">
        <v>38</v>
      </c>
      <c r="V502" s="6">
        <f>IF(ISERROR(VLOOKUP($S$502,'TAR FIN'!$A$1:$O$113,15,0)),0,VLOOKUP($S$502,'TAR FIN'!$A$1:$O$113,15,0))</f>
        <v>0</v>
      </c>
      <c r="W502" s="6">
        <f>IF(ISERROR(VLOOKUP($T$502,'TAR FIN'!$A$1:$O$113,15,0)),0,VLOOKUP($T$502,'TAR FIN'!$A$1:$O$113,15,0))</f>
        <v>940.43</v>
      </c>
      <c r="X502" s="6">
        <f>IF(ISERROR(VLOOKUP($U$502,'TAR FIN'!$A$1:$O$113,15,0)),0,VLOOKUP($U$502,'TAR FIN'!$A$1:$O$113,15,0))</f>
        <v>442.86</v>
      </c>
      <c r="Y502" s="6"/>
      <c r="Z502" s="6">
        <f ca="1">('TUSD BE'!$AM$20+'TUSD BF_350'!$AM$20+'TUSD CVA'!$AM$20)*1</f>
        <v>1117.8285588949407</v>
      </c>
      <c r="AA502" s="6">
        <f ca="1">('TE BE'!$AB$9+'TE BF_350'!$AB$9+'TE CVA'!$AB$9)*1</f>
        <v>379.30999999999995</v>
      </c>
      <c r="AB502" s="6">
        <f>$K$502*$V$502</f>
        <v>0</v>
      </c>
      <c r="AC502" s="6">
        <f>$M$502*$W$502</f>
        <v>3726.92409</v>
      </c>
      <c r="AD502" s="6">
        <f>$O$502*$X$502</f>
        <v>1755.0541800000001</v>
      </c>
      <c r="AE502" s="6">
        <f>$K$502*$Y$502</f>
        <v>0</v>
      </c>
      <c r="AF502" s="6">
        <f ca="1">$M$502*$Z$502</f>
        <v>4429.9545789006497</v>
      </c>
      <c r="AG502" s="6">
        <f ca="1">$O$502*$AA$502</f>
        <v>1503.2055299999997</v>
      </c>
    </row>
    <row r="503" spans="1:33" ht="11.25" customHeight="1" x14ac:dyDescent="0.3">
      <c r="A503" s="4" t="s">
        <v>28</v>
      </c>
      <c r="B503" s="4" t="s">
        <v>39</v>
      </c>
      <c r="C503" s="4" t="s">
        <v>41</v>
      </c>
      <c r="D503" s="4" t="s">
        <v>46</v>
      </c>
      <c r="E503" s="4" t="s">
        <v>25</v>
      </c>
      <c r="F503" s="4" t="s">
        <v>25</v>
      </c>
      <c r="G503" s="4" t="s">
        <v>25</v>
      </c>
      <c r="H503" s="4" t="s">
        <v>34</v>
      </c>
      <c r="I503" s="5">
        <v>44562</v>
      </c>
      <c r="J503" s="6">
        <v>0</v>
      </c>
      <c r="K503" s="6">
        <v>0</v>
      </c>
      <c r="L503" s="6">
        <v>0.89100000000000001</v>
      </c>
      <c r="M503" s="6">
        <v>0.89100000000000001</v>
      </c>
      <c r="N503" s="6">
        <v>0.89100000000000001</v>
      </c>
      <c r="O503" s="6">
        <v>0.89100000000000001</v>
      </c>
      <c r="P503" s="6">
        <v>0</v>
      </c>
      <c r="Q503" s="4" t="s">
        <v>26</v>
      </c>
      <c r="R503" s="4">
        <v>0</v>
      </c>
      <c r="S503" s="6">
        <v>0</v>
      </c>
      <c r="T503" s="6">
        <v>8</v>
      </c>
      <c r="U503" s="6">
        <v>38</v>
      </c>
      <c r="V503" s="6">
        <f>IF(ISERROR(VLOOKUP($S$503,'TAR FIN'!$A$1:$O$113,15,0)),0,VLOOKUP($S$503,'TAR FIN'!$A$1:$O$113,15,0))</f>
        <v>0</v>
      </c>
      <c r="W503" s="6">
        <f>IF(ISERROR(VLOOKUP($T$503,'TAR FIN'!$A$1:$O$113,15,0)),0,VLOOKUP($T$503,'TAR FIN'!$A$1:$O$113,15,0))</f>
        <v>940.43</v>
      </c>
      <c r="X503" s="6">
        <f>IF(ISERROR(VLOOKUP($U$503,'TAR FIN'!$A$1:$O$113,15,0)),0,VLOOKUP($U$503,'TAR FIN'!$A$1:$O$113,15,0))</f>
        <v>442.86</v>
      </c>
      <c r="Y503" s="6"/>
      <c r="Z503" s="6">
        <f ca="1">('TUSD BE'!$AM$20+'TUSD BF_350'!$AM$20+'TUSD CVA'!$AM$20)*1</f>
        <v>1117.8285588949407</v>
      </c>
      <c r="AA503" s="6">
        <f ca="1">('TE BE'!$AB$9+'TE BF_350'!$AB$9+'TE CVA'!$AB$9)*1</f>
        <v>379.30999999999995</v>
      </c>
      <c r="AB503" s="6">
        <f>$K$503*$V$503</f>
        <v>0</v>
      </c>
      <c r="AC503" s="6">
        <f>$M$503*$W$503</f>
        <v>837.92313000000001</v>
      </c>
      <c r="AD503" s="6">
        <f>$O$503*$X$503</f>
        <v>394.58825999999999</v>
      </c>
      <c r="AE503" s="6">
        <f>$K$503*$Y$503</f>
        <v>0</v>
      </c>
      <c r="AF503" s="6">
        <f ca="1">$M$503*$Z$503</f>
        <v>995.9852459753921</v>
      </c>
      <c r="AG503" s="6">
        <f ca="1">$O$503*$AA$503</f>
        <v>337.96520999999996</v>
      </c>
    </row>
    <row r="504" spans="1:33" ht="11.25" customHeight="1" x14ac:dyDescent="0.3">
      <c r="A504" s="4" t="s">
        <v>21</v>
      </c>
      <c r="B504" s="4" t="s">
        <v>39</v>
      </c>
      <c r="C504" s="4" t="s">
        <v>41</v>
      </c>
      <c r="D504" s="4" t="s">
        <v>46</v>
      </c>
      <c r="E504" s="4" t="s">
        <v>25</v>
      </c>
      <c r="F504" s="4" t="s">
        <v>25</v>
      </c>
      <c r="G504" s="4" t="s">
        <v>25</v>
      </c>
      <c r="H504" s="4" t="s">
        <v>34</v>
      </c>
      <c r="I504" s="5">
        <v>44593</v>
      </c>
      <c r="J504" s="6">
        <v>0</v>
      </c>
      <c r="K504" s="6">
        <v>0</v>
      </c>
      <c r="L504" s="6">
        <v>3.8090000000000002</v>
      </c>
      <c r="M504" s="6">
        <v>3.8090000000000002</v>
      </c>
      <c r="N504" s="6">
        <v>3.8090000000000002</v>
      </c>
      <c r="O504" s="6">
        <v>3.8090000000000002</v>
      </c>
      <c r="P504" s="6">
        <v>0</v>
      </c>
      <c r="Q504" s="4" t="s">
        <v>26</v>
      </c>
      <c r="R504" s="4">
        <v>0</v>
      </c>
      <c r="S504" s="6">
        <v>0</v>
      </c>
      <c r="T504" s="6">
        <v>8</v>
      </c>
      <c r="U504" s="6">
        <v>38</v>
      </c>
      <c r="V504" s="6">
        <f>IF(ISERROR(VLOOKUP($S$504,'TAR FIN'!$A$1:$O$113,15,0)),0,VLOOKUP($S$504,'TAR FIN'!$A$1:$O$113,15,0))</f>
        <v>0</v>
      </c>
      <c r="W504" s="6">
        <f>IF(ISERROR(VLOOKUP($T$504,'TAR FIN'!$A$1:$O$113,15,0)),0,VLOOKUP($T$504,'TAR FIN'!$A$1:$O$113,15,0))</f>
        <v>940.43</v>
      </c>
      <c r="X504" s="6">
        <f>IF(ISERROR(VLOOKUP($U$504,'TAR FIN'!$A$1:$O$113,15,0)),0,VLOOKUP($U$504,'TAR FIN'!$A$1:$O$113,15,0))</f>
        <v>442.86</v>
      </c>
      <c r="Y504" s="6"/>
      <c r="Z504" s="6">
        <f ca="1">('TUSD BE'!$AM$20+'TUSD BF_350'!$AM$20+'TUSD CVA'!$AM$20)*1</f>
        <v>1117.8285588949407</v>
      </c>
      <c r="AA504" s="6">
        <f ca="1">('TE BE'!$AB$9+'TE BF_350'!$AB$9+'TE CVA'!$AB$9)*1</f>
        <v>379.30999999999995</v>
      </c>
      <c r="AB504" s="6">
        <f>$K$504*$V$504</f>
        <v>0</v>
      </c>
      <c r="AC504" s="6">
        <f>$M$504*$W$504</f>
        <v>3582.0978700000001</v>
      </c>
      <c r="AD504" s="6">
        <f>$O$504*$X$504</f>
        <v>1686.85374</v>
      </c>
      <c r="AE504" s="6">
        <f>$K$504*$Y$504</f>
        <v>0</v>
      </c>
      <c r="AF504" s="6">
        <f ca="1">$M$504*$Z$504</f>
        <v>4257.8089808308296</v>
      </c>
      <c r="AG504" s="6">
        <f ca="1">$O$504*$AA$504</f>
        <v>1444.7917899999998</v>
      </c>
    </row>
    <row r="505" spans="1:33" ht="11.25" customHeight="1" x14ac:dyDescent="0.3">
      <c r="A505" s="4" t="s">
        <v>28</v>
      </c>
      <c r="B505" s="4" t="s">
        <v>39</v>
      </c>
      <c r="C505" s="4" t="s">
        <v>41</v>
      </c>
      <c r="D505" s="4" t="s">
        <v>46</v>
      </c>
      <c r="E505" s="4" t="s">
        <v>25</v>
      </c>
      <c r="F505" s="4" t="s">
        <v>25</v>
      </c>
      <c r="G505" s="4" t="s">
        <v>25</v>
      </c>
      <c r="H505" s="4" t="s">
        <v>34</v>
      </c>
      <c r="I505" s="5">
        <v>44593</v>
      </c>
      <c r="J505" s="6">
        <v>0</v>
      </c>
      <c r="K505" s="6">
        <v>0</v>
      </c>
      <c r="L505" s="6">
        <v>0.66700000000000004</v>
      </c>
      <c r="M505" s="6">
        <v>0.66700000000000004</v>
      </c>
      <c r="N505" s="6">
        <v>0.66700000000000004</v>
      </c>
      <c r="O505" s="6">
        <v>0.66700000000000004</v>
      </c>
      <c r="P505" s="6">
        <v>0</v>
      </c>
      <c r="Q505" s="4" t="s">
        <v>26</v>
      </c>
      <c r="R505" s="4">
        <v>0</v>
      </c>
      <c r="S505" s="6">
        <v>0</v>
      </c>
      <c r="T505" s="6">
        <v>8</v>
      </c>
      <c r="U505" s="6">
        <v>38</v>
      </c>
      <c r="V505" s="6">
        <f>IF(ISERROR(VLOOKUP($S$505,'TAR FIN'!$A$1:$O$113,15,0)),0,VLOOKUP($S$505,'TAR FIN'!$A$1:$O$113,15,0))</f>
        <v>0</v>
      </c>
      <c r="W505" s="6">
        <f>IF(ISERROR(VLOOKUP($T$505,'TAR FIN'!$A$1:$O$113,15,0)),0,VLOOKUP($T$505,'TAR FIN'!$A$1:$O$113,15,0))</f>
        <v>940.43</v>
      </c>
      <c r="X505" s="6">
        <f>IF(ISERROR(VLOOKUP($U$505,'TAR FIN'!$A$1:$O$113,15,0)),0,VLOOKUP($U$505,'TAR FIN'!$A$1:$O$113,15,0))</f>
        <v>442.86</v>
      </c>
      <c r="Y505" s="6"/>
      <c r="Z505" s="6">
        <f ca="1">('TUSD BE'!$AM$20+'TUSD BF_350'!$AM$20+'TUSD CVA'!$AM$20)*1</f>
        <v>1117.8285588949407</v>
      </c>
      <c r="AA505" s="6">
        <f ca="1">('TE BE'!$AB$9+'TE BF_350'!$AB$9+'TE CVA'!$AB$9)*1</f>
        <v>379.30999999999995</v>
      </c>
      <c r="AB505" s="6">
        <f>$K$505*$V$505</f>
        <v>0</v>
      </c>
      <c r="AC505" s="6">
        <f>$M$505*$W$505</f>
        <v>627.26680999999996</v>
      </c>
      <c r="AD505" s="6">
        <f>$O$505*$X$505</f>
        <v>295.38762000000003</v>
      </c>
      <c r="AE505" s="6">
        <f>$K$505*$Y$505</f>
        <v>0</v>
      </c>
      <c r="AF505" s="6">
        <f ca="1">$M$505*$Z$505</f>
        <v>745.59164878292552</v>
      </c>
      <c r="AG505" s="6">
        <f ca="1">$O$505*$AA$505</f>
        <v>252.99976999999998</v>
      </c>
    </row>
    <row r="506" spans="1:33" ht="11.25" customHeight="1" x14ac:dyDescent="0.3">
      <c r="A506" s="4" t="s">
        <v>21</v>
      </c>
      <c r="B506" s="4" t="s">
        <v>39</v>
      </c>
      <c r="C506" s="4" t="s">
        <v>41</v>
      </c>
      <c r="D506" s="4" t="s">
        <v>46</v>
      </c>
      <c r="E506" s="4" t="s">
        <v>25</v>
      </c>
      <c r="F506" s="4" t="s">
        <v>25</v>
      </c>
      <c r="G506" s="4" t="s">
        <v>25</v>
      </c>
      <c r="H506" s="4" t="s">
        <v>34</v>
      </c>
      <c r="I506" s="5">
        <v>44621</v>
      </c>
      <c r="J506" s="6">
        <v>0</v>
      </c>
      <c r="K506" s="6">
        <v>0</v>
      </c>
      <c r="L506" s="6">
        <v>4.0229999999999997</v>
      </c>
      <c r="M506" s="6">
        <v>4.0229999999999997</v>
      </c>
      <c r="N506" s="6">
        <v>4.0229999999999997</v>
      </c>
      <c r="O506" s="6">
        <v>4.0229999999999997</v>
      </c>
      <c r="P506" s="6">
        <v>0</v>
      </c>
      <c r="Q506" s="4" t="s">
        <v>26</v>
      </c>
      <c r="R506" s="4">
        <v>0</v>
      </c>
      <c r="S506" s="6">
        <v>0</v>
      </c>
      <c r="T506" s="6">
        <v>8</v>
      </c>
      <c r="U506" s="6">
        <v>38</v>
      </c>
      <c r="V506" s="6">
        <f>IF(ISERROR(VLOOKUP($S$506,'TAR FIN'!$A$1:$O$113,15,0)),0,VLOOKUP($S$506,'TAR FIN'!$A$1:$O$113,15,0))</f>
        <v>0</v>
      </c>
      <c r="W506" s="6">
        <f>IF(ISERROR(VLOOKUP($T$506,'TAR FIN'!$A$1:$O$113,15,0)),0,VLOOKUP($T$506,'TAR FIN'!$A$1:$O$113,15,0))</f>
        <v>940.43</v>
      </c>
      <c r="X506" s="6">
        <f>IF(ISERROR(VLOOKUP($U$506,'TAR FIN'!$A$1:$O$113,15,0)),0,VLOOKUP($U$506,'TAR FIN'!$A$1:$O$113,15,0))</f>
        <v>442.86</v>
      </c>
      <c r="Y506" s="6"/>
      <c r="Z506" s="6">
        <f ca="1">('TUSD BE'!$AM$20+'TUSD BF_350'!$AM$20+'TUSD CVA'!$AM$20)*1</f>
        <v>1117.8285588949407</v>
      </c>
      <c r="AA506" s="6">
        <f ca="1">('TE BE'!$AB$9+'TE BF_350'!$AB$9+'TE CVA'!$AB$9)*1</f>
        <v>379.30999999999995</v>
      </c>
      <c r="AB506" s="6">
        <f>$K$506*$V$506</f>
        <v>0</v>
      </c>
      <c r="AC506" s="6">
        <f>$M$506*$W$506</f>
        <v>3783.3498899999995</v>
      </c>
      <c r="AD506" s="6">
        <f>$O$506*$X$506</f>
        <v>1781.6257799999998</v>
      </c>
      <c r="AE506" s="6">
        <f>$K$506*$Y$506</f>
        <v>0</v>
      </c>
      <c r="AF506" s="6">
        <f ca="1">$M$506*$Z$506</f>
        <v>4497.0242924343456</v>
      </c>
      <c r="AG506" s="6">
        <f ca="1">$O$506*$AA$506</f>
        <v>1525.9641299999996</v>
      </c>
    </row>
    <row r="507" spans="1:33" ht="11.25" customHeight="1" x14ac:dyDescent="0.3">
      <c r="A507" s="4" t="s">
        <v>28</v>
      </c>
      <c r="B507" s="4" t="s">
        <v>39</v>
      </c>
      <c r="C507" s="4" t="s">
        <v>41</v>
      </c>
      <c r="D507" s="4" t="s">
        <v>46</v>
      </c>
      <c r="E507" s="4" t="s">
        <v>25</v>
      </c>
      <c r="F507" s="4" t="s">
        <v>25</v>
      </c>
      <c r="G507" s="4" t="s">
        <v>25</v>
      </c>
      <c r="H507" s="4" t="s">
        <v>34</v>
      </c>
      <c r="I507" s="5">
        <v>44621</v>
      </c>
      <c r="J507" s="6">
        <v>0</v>
      </c>
      <c r="K507" s="6">
        <v>0</v>
      </c>
      <c r="L507" s="6">
        <v>1.0129999999999999</v>
      </c>
      <c r="M507" s="6">
        <v>1.0129999999999999</v>
      </c>
      <c r="N507" s="6">
        <v>1.0129999999999999</v>
      </c>
      <c r="O507" s="6">
        <v>1.0129999999999999</v>
      </c>
      <c r="P507" s="6">
        <v>0</v>
      </c>
      <c r="Q507" s="4" t="s">
        <v>26</v>
      </c>
      <c r="R507" s="4">
        <v>0</v>
      </c>
      <c r="S507" s="6">
        <v>0</v>
      </c>
      <c r="T507" s="6">
        <v>8</v>
      </c>
      <c r="U507" s="6">
        <v>38</v>
      </c>
      <c r="V507" s="6">
        <f>IF(ISERROR(VLOOKUP($S$507,'TAR FIN'!$A$1:$O$113,15,0)),0,VLOOKUP($S$507,'TAR FIN'!$A$1:$O$113,15,0))</f>
        <v>0</v>
      </c>
      <c r="W507" s="6">
        <f>IF(ISERROR(VLOOKUP($T$507,'TAR FIN'!$A$1:$O$113,15,0)),0,VLOOKUP($T$507,'TAR FIN'!$A$1:$O$113,15,0))</f>
        <v>940.43</v>
      </c>
      <c r="X507" s="6">
        <f>IF(ISERROR(VLOOKUP($U$507,'TAR FIN'!$A$1:$O$113,15,0)),0,VLOOKUP($U$507,'TAR FIN'!$A$1:$O$113,15,0))</f>
        <v>442.86</v>
      </c>
      <c r="Y507" s="6"/>
      <c r="Z507" s="6">
        <f ca="1">('TUSD BE'!$AM$20+'TUSD BF_350'!$AM$20+'TUSD CVA'!$AM$20)*1</f>
        <v>1117.8285588949407</v>
      </c>
      <c r="AA507" s="6">
        <f ca="1">('TE BE'!$AB$9+'TE BF_350'!$AB$9+'TE CVA'!$AB$9)*1</f>
        <v>379.30999999999995</v>
      </c>
      <c r="AB507" s="6">
        <f>$K$507*$V$507</f>
        <v>0</v>
      </c>
      <c r="AC507" s="6">
        <f>$M$507*$W$507</f>
        <v>952.65558999999985</v>
      </c>
      <c r="AD507" s="6">
        <f>$O$507*$X$507</f>
        <v>448.61717999999996</v>
      </c>
      <c r="AE507" s="6">
        <f>$K$507*$Y$507</f>
        <v>0</v>
      </c>
      <c r="AF507" s="6">
        <f ca="1">$M$507*$Z$507</f>
        <v>1132.3603301605747</v>
      </c>
      <c r="AG507" s="6">
        <f ca="1">$O$507*$AA$507</f>
        <v>384.24102999999991</v>
      </c>
    </row>
    <row r="508" spans="1:33" ht="11.25" customHeight="1" x14ac:dyDescent="0.3">
      <c r="A508" s="4" t="s">
        <v>21</v>
      </c>
      <c r="B508" s="4" t="s">
        <v>39</v>
      </c>
      <c r="C508" s="4" t="s">
        <v>41</v>
      </c>
      <c r="D508" s="4" t="s">
        <v>46</v>
      </c>
      <c r="E508" s="4" t="s">
        <v>25</v>
      </c>
      <c r="F508" s="4" t="s">
        <v>25</v>
      </c>
      <c r="G508" s="4" t="s">
        <v>25</v>
      </c>
      <c r="H508" s="4" t="s">
        <v>34</v>
      </c>
      <c r="I508" s="5">
        <v>44652</v>
      </c>
      <c r="J508" s="6">
        <v>0</v>
      </c>
      <c r="K508" s="6">
        <v>0</v>
      </c>
      <c r="L508" s="6">
        <v>4.7590000000000003</v>
      </c>
      <c r="M508" s="6">
        <v>4.7590000000000003</v>
      </c>
      <c r="N508" s="6">
        <v>4.7590000000000003</v>
      </c>
      <c r="O508" s="6">
        <v>4.7590000000000003</v>
      </c>
      <c r="P508" s="6">
        <v>0</v>
      </c>
      <c r="Q508" s="4" t="s">
        <v>26</v>
      </c>
      <c r="R508" s="4">
        <v>0</v>
      </c>
      <c r="S508" s="6">
        <v>0</v>
      </c>
      <c r="T508" s="6">
        <v>8</v>
      </c>
      <c r="U508" s="6">
        <v>38</v>
      </c>
      <c r="V508" s="6">
        <f>IF(ISERROR(VLOOKUP($S$508,'TAR FIN'!$A$1:$O$113,15,0)),0,VLOOKUP($S$508,'TAR FIN'!$A$1:$O$113,15,0))</f>
        <v>0</v>
      </c>
      <c r="W508" s="6">
        <f>IF(ISERROR(VLOOKUP($T$508,'TAR FIN'!$A$1:$O$113,15,0)),0,VLOOKUP($T$508,'TAR FIN'!$A$1:$O$113,15,0))</f>
        <v>940.43</v>
      </c>
      <c r="X508" s="6">
        <f>IF(ISERROR(VLOOKUP($U$508,'TAR FIN'!$A$1:$O$113,15,0)),0,VLOOKUP($U$508,'TAR FIN'!$A$1:$O$113,15,0))</f>
        <v>442.86</v>
      </c>
      <c r="Y508" s="6"/>
      <c r="Z508" s="6">
        <f ca="1">('TUSD BE'!$AM$20+'TUSD BF_350'!$AM$20+'TUSD CVA'!$AM$20)*1</f>
        <v>1117.8285588949407</v>
      </c>
      <c r="AA508" s="6">
        <f ca="1">('TE BE'!$AB$9+'TE BF_350'!$AB$9+'TE CVA'!$AB$9)*1</f>
        <v>379.30999999999995</v>
      </c>
      <c r="AB508" s="6">
        <f>$K$508*$V$508</f>
        <v>0</v>
      </c>
      <c r="AC508" s="6">
        <f>$M$508*$W$508</f>
        <v>4475.5063700000001</v>
      </c>
      <c r="AD508" s="6">
        <f>$O$508*$X$508</f>
        <v>2107.5707400000001</v>
      </c>
      <c r="AE508" s="6">
        <f>$K$508*$Y$508</f>
        <v>0</v>
      </c>
      <c r="AF508" s="6">
        <f ca="1">$M$508*$Z$508</f>
        <v>5319.7461117810226</v>
      </c>
      <c r="AG508" s="6">
        <f ca="1">$O$508*$AA$508</f>
        <v>1805.1362899999999</v>
      </c>
    </row>
    <row r="509" spans="1:33" ht="11.25" customHeight="1" x14ac:dyDescent="0.3">
      <c r="A509" s="4" t="s">
        <v>28</v>
      </c>
      <c r="B509" s="4" t="s">
        <v>39</v>
      </c>
      <c r="C509" s="4" t="s">
        <v>41</v>
      </c>
      <c r="D509" s="4" t="s">
        <v>46</v>
      </c>
      <c r="E509" s="4" t="s">
        <v>25</v>
      </c>
      <c r="F509" s="4" t="s">
        <v>25</v>
      </c>
      <c r="G509" s="4" t="s">
        <v>25</v>
      </c>
      <c r="H509" s="4" t="s">
        <v>34</v>
      </c>
      <c r="I509" s="5">
        <v>44652</v>
      </c>
      <c r="J509" s="6">
        <v>0</v>
      </c>
      <c r="K509" s="6">
        <v>0</v>
      </c>
      <c r="L509" s="6">
        <v>1.726</v>
      </c>
      <c r="M509" s="6">
        <v>1.726</v>
      </c>
      <c r="N509" s="6">
        <v>1.726</v>
      </c>
      <c r="O509" s="6">
        <v>1.726</v>
      </c>
      <c r="P509" s="6">
        <v>0</v>
      </c>
      <c r="Q509" s="4" t="s">
        <v>26</v>
      </c>
      <c r="R509" s="4">
        <v>0</v>
      </c>
      <c r="S509" s="6">
        <v>0</v>
      </c>
      <c r="T509" s="6">
        <v>8</v>
      </c>
      <c r="U509" s="6">
        <v>38</v>
      </c>
      <c r="V509" s="6">
        <f>IF(ISERROR(VLOOKUP($S$509,'TAR FIN'!$A$1:$O$113,15,0)),0,VLOOKUP($S$509,'TAR FIN'!$A$1:$O$113,15,0))</f>
        <v>0</v>
      </c>
      <c r="W509" s="6">
        <f>IF(ISERROR(VLOOKUP($T$509,'TAR FIN'!$A$1:$O$113,15,0)),0,VLOOKUP($T$509,'TAR FIN'!$A$1:$O$113,15,0))</f>
        <v>940.43</v>
      </c>
      <c r="X509" s="6">
        <f>IF(ISERROR(VLOOKUP($U$509,'TAR FIN'!$A$1:$O$113,15,0)),0,VLOOKUP($U$509,'TAR FIN'!$A$1:$O$113,15,0))</f>
        <v>442.86</v>
      </c>
      <c r="Y509" s="6"/>
      <c r="Z509" s="6">
        <f ca="1">('TUSD BE'!$AM$20+'TUSD BF_350'!$AM$20+'TUSD CVA'!$AM$20)*1</f>
        <v>1117.8285588949407</v>
      </c>
      <c r="AA509" s="6">
        <f ca="1">('TE BE'!$AB$9+'TE BF_350'!$AB$9+'TE CVA'!$AB$9)*1</f>
        <v>379.30999999999995</v>
      </c>
      <c r="AB509" s="6">
        <f>$K$509*$V$509</f>
        <v>0</v>
      </c>
      <c r="AC509" s="6">
        <f>$M$509*$W$509</f>
        <v>1623.1821799999998</v>
      </c>
      <c r="AD509" s="6">
        <f>$O$509*$X$509</f>
        <v>764.37635999999998</v>
      </c>
      <c r="AE509" s="6">
        <f>$K$509*$Y$509</f>
        <v>0</v>
      </c>
      <c r="AF509" s="6">
        <f ca="1">$M$509*$Z$509</f>
        <v>1929.3720926526676</v>
      </c>
      <c r="AG509" s="6">
        <f ca="1">$O$509*$AA$509</f>
        <v>654.68905999999993</v>
      </c>
    </row>
    <row r="510" spans="1:33" ht="11.25" customHeight="1" x14ac:dyDescent="0.3">
      <c r="A510" s="4" t="s">
        <v>21</v>
      </c>
      <c r="B510" s="4" t="s">
        <v>39</v>
      </c>
      <c r="C510" s="4" t="s">
        <v>41</v>
      </c>
      <c r="D510" s="4" t="s">
        <v>46</v>
      </c>
      <c r="E510" s="4" t="s">
        <v>25</v>
      </c>
      <c r="F510" s="4" t="s">
        <v>25</v>
      </c>
      <c r="G510" s="4" t="s">
        <v>25</v>
      </c>
      <c r="H510" s="4" t="s">
        <v>34</v>
      </c>
      <c r="I510" s="5">
        <v>44682</v>
      </c>
      <c r="J510" s="6">
        <v>0</v>
      </c>
      <c r="K510" s="6">
        <v>0</v>
      </c>
      <c r="L510" s="6">
        <v>4.3949999999999996</v>
      </c>
      <c r="M510" s="6">
        <v>4.3949999999999996</v>
      </c>
      <c r="N510" s="6">
        <v>4.3949999999999996</v>
      </c>
      <c r="O510" s="6">
        <v>4.3949999999999996</v>
      </c>
      <c r="P510" s="6">
        <v>0</v>
      </c>
      <c r="Q510" s="4" t="s">
        <v>26</v>
      </c>
      <c r="R510" s="4">
        <v>0</v>
      </c>
      <c r="S510" s="6">
        <v>0</v>
      </c>
      <c r="T510" s="6">
        <v>8</v>
      </c>
      <c r="U510" s="6">
        <v>38</v>
      </c>
      <c r="V510" s="6">
        <f>IF(ISERROR(VLOOKUP($S$510,'TAR FIN'!$A$1:$O$113,15,0)),0,VLOOKUP($S$510,'TAR FIN'!$A$1:$O$113,15,0))</f>
        <v>0</v>
      </c>
      <c r="W510" s="6">
        <f>IF(ISERROR(VLOOKUP($T$510,'TAR FIN'!$A$1:$O$113,15,0)),0,VLOOKUP($T$510,'TAR FIN'!$A$1:$O$113,15,0))</f>
        <v>940.43</v>
      </c>
      <c r="X510" s="6">
        <f>IF(ISERROR(VLOOKUP($U$510,'TAR FIN'!$A$1:$O$113,15,0)),0,VLOOKUP($U$510,'TAR FIN'!$A$1:$O$113,15,0))</f>
        <v>442.86</v>
      </c>
      <c r="Y510" s="6"/>
      <c r="Z510" s="6">
        <f ca="1">('TUSD BE'!$AM$20+'TUSD BF_350'!$AM$20+'TUSD CVA'!$AM$20)*1</f>
        <v>1117.8285588949407</v>
      </c>
      <c r="AA510" s="6">
        <f ca="1">('TE BE'!$AB$9+'TE BF_350'!$AB$9+'TE CVA'!$AB$9)*1</f>
        <v>379.30999999999995</v>
      </c>
      <c r="AB510" s="6">
        <f>$K$510*$V$510</f>
        <v>0</v>
      </c>
      <c r="AC510" s="6">
        <f>$M$510*$W$510</f>
        <v>4133.1898499999998</v>
      </c>
      <c r="AD510" s="6">
        <f>$O$510*$X$510</f>
        <v>1946.3697</v>
      </c>
      <c r="AE510" s="6">
        <f>$K$510*$Y$510</f>
        <v>0</v>
      </c>
      <c r="AF510" s="6">
        <f ca="1">$M$510*$Z$510</f>
        <v>4912.856516343264</v>
      </c>
      <c r="AG510" s="6">
        <f ca="1">$O$510*$AA$510</f>
        <v>1667.0674499999996</v>
      </c>
    </row>
    <row r="511" spans="1:33" ht="11.25" customHeight="1" x14ac:dyDescent="0.3">
      <c r="A511" s="4" t="s">
        <v>28</v>
      </c>
      <c r="B511" s="4" t="s">
        <v>39</v>
      </c>
      <c r="C511" s="4" t="s">
        <v>41</v>
      </c>
      <c r="D511" s="4" t="s">
        <v>46</v>
      </c>
      <c r="E511" s="4" t="s">
        <v>25</v>
      </c>
      <c r="F511" s="4" t="s">
        <v>25</v>
      </c>
      <c r="G511" s="4" t="s">
        <v>25</v>
      </c>
      <c r="H511" s="4" t="s">
        <v>34</v>
      </c>
      <c r="I511" s="5">
        <v>44682</v>
      </c>
      <c r="J511" s="6">
        <v>0</v>
      </c>
      <c r="K511" s="6">
        <v>0</v>
      </c>
      <c r="L511" s="6">
        <v>1.68</v>
      </c>
      <c r="M511" s="6">
        <v>1.68</v>
      </c>
      <c r="N511" s="6">
        <v>1.68</v>
      </c>
      <c r="O511" s="6">
        <v>1.68</v>
      </c>
      <c r="P511" s="6">
        <v>0</v>
      </c>
      <c r="Q511" s="4" t="s">
        <v>26</v>
      </c>
      <c r="R511" s="4">
        <v>0</v>
      </c>
      <c r="S511" s="6">
        <v>0</v>
      </c>
      <c r="T511" s="6">
        <v>8</v>
      </c>
      <c r="U511" s="6">
        <v>38</v>
      </c>
      <c r="V511" s="6">
        <f>IF(ISERROR(VLOOKUP($S$511,'TAR FIN'!$A$1:$O$113,15,0)),0,VLOOKUP($S$511,'TAR FIN'!$A$1:$O$113,15,0))</f>
        <v>0</v>
      </c>
      <c r="W511" s="6">
        <f>IF(ISERROR(VLOOKUP($T$511,'TAR FIN'!$A$1:$O$113,15,0)),0,VLOOKUP($T$511,'TAR FIN'!$A$1:$O$113,15,0))</f>
        <v>940.43</v>
      </c>
      <c r="X511" s="6">
        <f>IF(ISERROR(VLOOKUP($U$511,'TAR FIN'!$A$1:$O$113,15,0)),0,VLOOKUP($U$511,'TAR FIN'!$A$1:$O$113,15,0))</f>
        <v>442.86</v>
      </c>
      <c r="Y511" s="6"/>
      <c r="Z511" s="6">
        <f ca="1">('TUSD BE'!$AM$20+'TUSD BF_350'!$AM$20+'TUSD CVA'!$AM$20)*1</f>
        <v>1117.8285588949407</v>
      </c>
      <c r="AA511" s="6">
        <f ca="1">('TE BE'!$AB$9+'TE BF_350'!$AB$9+'TE CVA'!$AB$9)*1</f>
        <v>379.30999999999995</v>
      </c>
      <c r="AB511" s="6">
        <f>$K$511*$V$511</f>
        <v>0</v>
      </c>
      <c r="AC511" s="6">
        <f>$M$511*$W$511</f>
        <v>1579.9223999999999</v>
      </c>
      <c r="AD511" s="6">
        <f>$O$511*$X$511</f>
        <v>744.00480000000005</v>
      </c>
      <c r="AE511" s="6">
        <f>$K$511*$Y$511</f>
        <v>0</v>
      </c>
      <c r="AF511" s="6">
        <f ca="1">$M$511*$Z$511</f>
        <v>1877.9519789435003</v>
      </c>
      <c r="AG511" s="6">
        <f ca="1">$O$511*$AA$511</f>
        <v>637.24079999999992</v>
      </c>
    </row>
    <row r="512" spans="1:33" ht="11.25" customHeight="1" x14ac:dyDescent="0.3">
      <c r="A512" s="4" t="s">
        <v>21</v>
      </c>
      <c r="B512" s="4" t="s">
        <v>39</v>
      </c>
      <c r="C512" s="4" t="s">
        <v>41</v>
      </c>
      <c r="D512" s="4" t="s">
        <v>46</v>
      </c>
      <c r="E512" s="4" t="s">
        <v>25</v>
      </c>
      <c r="F512" s="4" t="s">
        <v>25</v>
      </c>
      <c r="G512" s="4" t="s">
        <v>25</v>
      </c>
      <c r="H512" s="4" t="s">
        <v>34</v>
      </c>
      <c r="I512" s="5">
        <v>44713</v>
      </c>
      <c r="J512" s="6">
        <v>0</v>
      </c>
      <c r="K512" s="6">
        <v>0</v>
      </c>
      <c r="L512" s="6">
        <v>4.6749999999999998</v>
      </c>
      <c r="M512" s="6">
        <v>4.6749999999999998</v>
      </c>
      <c r="N512" s="6">
        <v>4.6749999999999998</v>
      </c>
      <c r="O512" s="6">
        <v>4.6749999999999998</v>
      </c>
      <c r="P512" s="6">
        <v>0</v>
      </c>
      <c r="Q512" s="4" t="s">
        <v>26</v>
      </c>
      <c r="R512" s="4">
        <v>0</v>
      </c>
      <c r="S512" s="6">
        <v>0</v>
      </c>
      <c r="T512" s="6">
        <v>8</v>
      </c>
      <c r="U512" s="6">
        <v>38</v>
      </c>
      <c r="V512" s="6">
        <f>IF(ISERROR(VLOOKUP($S$512,'TAR FIN'!$A$1:$O$113,15,0)),0,VLOOKUP($S$512,'TAR FIN'!$A$1:$O$113,15,0))</f>
        <v>0</v>
      </c>
      <c r="W512" s="6">
        <f>IF(ISERROR(VLOOKUP($T$512,'TAR FIN'!$A$1:$O$113,15,0)),0,VLOOKUP($T$512,'TAR FIN'!$A$1:$O$113,15,0))</f>
        <v>940.43</v>
      </c>
      <c r="X512" s="6">
        <f>IF(ISERROR(VLOOKUP($U$512,'TAR FIN'!$A$1:$O$113,15,0)),0,VLOOKUP($U$512,'TAR FIN'!$A$1:$O$113,15,0))</f>
        <v>442.86</v>
      </c>
      <c r="Y512" s="6"/>
      <c r="Z512" s="6">
        <f ca="1">('TUSD BE'!$AM$20+'TUSD BF_350'!$AM$20+'TUSD CVA'!$AM$20)*1</f>
        <v>1117.8285588949407</v>
      </c>
      <c r="AA512" s="6">
        <f ca="1">('TE BE'!$AB$9+'TE BF_350'!$AB$9+'TE CVA'!$AB$9)*1</f>
        <v>379.30999999999995</v>
      </c>
      <c r="AB512" s="6">
        <f>$K$512*$V$512</f>
        <v>0</v>
      </c>
      <c r="AC512" s="6">
        <f>$M$512*$W$512</f>
        <v>4396.5102499999994</v>
      </c>
      <c r="AD512" s="6">
        <f>$O$512*$X$512</f>
        <v>2070.3705</v>
      </c>
      <c r="AE512" s="6">
        <f>$K$512*$Y$512</f>
        <v>0</v>
      </c>
      <c r="AF512" s="6">
        <f ca="1">$M$512*$Z$512</f>
        <v>5225.8485128338471</v>
      </c>
      <c r="AG512" s="6">
        <f ca="1">$O$512*$AA$512</f>
        <v>1773.2742499999997</v>
      </c>
    </row>
    <row r="513" spans="1:33" ht="11.25" customHeight="1" x14ac:dyDescent="0.3">
      <c r="A513" s="4" t="s">
        <v>28</v>
      </c>
      <c r="B513" s="4" t="s">
        <v>39</v>
      </c>
      <c r="C513" s="4" t="s">
        <v>41</v>
      </c>
      <c r="D513" s="4" t="s">
        <v>46</v>
      </c>
      <c r="E513" s="4" t="s">
        <v>25</v>
      </c>
      <c r="F513" s="4" t="s">
        <v>25</v>
      </c>
      <c r="G513" s="4" t="s">
        <v>25</v>
      </c>
      <c r="H513" s="4" t="s">
        <v>34</v>
      </c>
      <c r="I513" s="5">
        <v>44713</v>
      </c>
      <c r="J513" s="6">
        <v>0</v>
      </c>
      <c r="K513" s="6">
        <v>0</v>
      </c>
      <c r="L513" s="6">
        <v>2.4609999999999999</v>
      </c>
      <c r="M513" s="6">
        <v>2.4609999999999999</v>
      </c>
      <c r="N513" s="6">
        <v>2.4609999999999999</v>
      </c>
      <c r="O513" s="6">
        <v>2.4609999999999999</v>
      </c>
      <c r="P513" s="6">
        <v>0</v>
      </c>
      <c r="Q513" s="4" t="s">
        <v>26</v>
      </c>
      <c r="R513" s="4">
        <v>0</v>
      </c>
      <c r="S513" s="6">
        <v>0</v>
      </c>
      <c r="T513" s="6">
        <v>8</v>
      </c>
      <c r="U513" s="6">
        <v>38</v>
      </c>
      <c r="V513" s="6">
        <f>IF(ISERROR(VLOOKUP($S$513,'TAR FIN'!$A$1:$O$113,15,0)),0,VLOOKUP($S$513,'TAR FIN'!$A$1:$O$113,15,0))</f>
        <v>0</v>
      </c>
      <c r="W513" s="6">
        <f>IF(ISERROR(VLOOKUP($T$513,'TAR FIN'!$A$1:$O$113,15,0)),0,VLOOKUP($T$513,'TAR FIN'!$A$1:$O$113,15,0))</f>
        <v>940.43</v>
      </c>
      <c r="X513" s="6">
        <f>IF(ISERROR(VLOOKUP($U$513,'TAR FIN'!$A$1:$O$113,15,0)),0,VLOOKUP($U$513,'TAR FIN'!$A$1:$O$113,15,0))</f>
        <v>442.86</v>
      </c>
      <c r="Y513" s="6"/>
      <c r="Z513" s="6">
        <f ca="1">('TUSD BE'!$AM$20+'TUSD BF_350'!$AM$20+'TUSD CVA'!$AM$20)*1</f>
        <v>1117.8285588949407</v>
      </c>
      <c r="AA513" s="6">
        <f ca="1">('TE BE'!$AB$9+'TE BF_350'!$AB$9+'TE CVA'!$AB$9)*1</f>
        <v>379.30999999999995</v>
      </c>
      <c r="AB513" s="6">
        <f>$K$513*$V$513</f>
        <v>0</v>
      </c>
      <c r="AC513" s="6">
        <f>$M$513*$W$513</f>
        <v>2314.3982299999998</v>
      </c>
      <c r="AD513" s="6">
        <f>$O$513*$X$513</f>
        <v>1089.8784599999999</v>
      </c>
      <c r="AE513" s="6">
        <f>$K$513*$Y$513</f>
        <v>0</v>
      </c>
      <c r="AF513" s="6">
        <f ca="1">$M$513*$Z$513</f>
        <v>2750.9760834404487</v>
      </c>
      <c r="AG513" s="6">
        <f ca="1">$O$513*$AA$513</f>
        <v>933.48190999999986</v>
      </c>
    </row>
    <row r="514" spans="1:33" ht="11.25" customHeight="1" x14ac:dyDescent="0.3">
      <c r="A514" s="4" t="s">
        <v>21</v>
      </c>
      <c r="B514" s="4" t="s">
        <v>39</v>
      </c>
      <c r="C514" s="4" t="s">
        <v>41</v>
      </c>
      <c r="D514" s="4" t="s">
        <v>46</v>
      </c>
      <c r="E514" s="4" t="s">
        <v>25</v>
      </c>
      <c r="F514" s="4" t="s">
        <v>25</v>
      </c>
      <c r="G514" s="4" t="s">
        <v>25</v>
      </c>
      <c r="H514" s="4" t="s">
        <v>34</v>
      </c>
      <c r="I514" s="5">
        <v>44743</v>
      </c>
      <c r="J514" s="6">
        <v>0</v>
      </c>
      <c r="K514" s="6">
        <v>0</v>
      </c>
      <c r="L514" s="6">
        <v>4.4320000000000004</v>
      </c>
      <c r="M514" s="6">
        <v>4.4320000000000004</v>
      </c>
      <c r="N514" s="6">
        <v>4.4320000000000004</v>
      </c>
      <c r="O514" s="6">
        <v>4.4320000000000004</v>
      </c>
      <c r="P514" s="6">
        <v>0</v>
      </c>
      <c r="Q514" s="4" t="s">
        <v>26</v>
      </c>
      <c r="R514" s="4">
        <v>0</v>
      </c>
      <c r="S514" s="6">
        <v>0</v>
      </c>
      <c r="T514" s="6">
        <v>8</v>
      </c>
      <c r="U514" s="6">
        <v>38</v>
      </c>
      <c r="V514" s="6">
        <f>IF(ISERROR(VLOOKUP($S$514,'TAR FIN'!$A$1:$O$113,15,0)),0,VLOOKUP($S$514,'TAR FIN'!$A$1:$O$113,15,0))</f>
        <v>0</v>
      </c>
      <c r="W514" s="6">
        <f>IF(ISERROR(VLOOKUP($T$514,'TAR FIN'!$A$1:$O$113,15,0)),0,VLOOKUP($T$514,'TAR FIN'!$A$1:$O$113,15,0))</f>
        <v>940.43</v>
      </c>
      <c r="X514" s="6">
        <f>IF(ISERROR(VLOOKUP($U$514,'TAR FIN'!$A$1:$O$113,15,0)),0,VLOOKUP($U$514,'TAR FIN'!$A$1:$O$113,15,0))</f>
        <v>442.86</v>
      </c>
      <c r="Y514" s="6"/>
      <c r="Z514" s="6">
        <f ca="1">('TUSD BE'!$AM$20+'TUSD BF_350'!$AM$20+'TUSD CVA'!$AM$20)*1</f>
        <v>1117.8285588949407</v>
      </c>
      <c r="AA514" s="6">
        <f ca="1">('TE BE'!$AB$9+'TE BF_350'!$AB$9+'TE CVA'!$AB$9)*1</f>
        <v>379.30999999999995</v>
      </c>
      <c r="AB514" s="6">
        <f>$K$514*$V$514</f>
        <v>0</v>
      </c>
      <c r="AC514" s="6">
        <f>$M$514*$W$514</f>
        <v>4167.9857600000005</v>
      </c>
      <c r="AD514" s="6">
        <f>$O$514*$X$514</f>
        <v>1962.7555200000002</v>
      </c>
      <c r="AE514" s="6">
        <f>$K$514*$Y$514</f>
        <v>0</v>
      </c>
      <c r="AF514" s="6">
        <f ca="1">$M$514*$Z$514</f>
        <v>4954.2161730223779</v>
      </c>
      <c r="AG514" s="6">
        <f ca="1">$O$514*$AA$514</f>
        <v>1681.1019199999998</v>
      </c>
    </row>
    <row r="515" spans="1:33" ht="11.25" customHeight="1" x14ac:dyDescent="0.3">
      <c r="A515" s="4" t="s">
        <v>21</v>
      </c>
      <c r="B515" s="4" t="s">
        <v>39</v>
      </c>
      <c r="C515" s="4" t="s">
        <v>41</v>
      </c>
      <c r="D515" s="4" t="s">
        <v>46</v>
      </c>
      <c r="E515" s="4" t="s">
        <v>25</v>
      </c>
      <c r="F515" s="4" t="s">
        <v>25</v>
      </c>
      <c r="G515" s="4" t="s">
        <v>25</v>
      </c>
      <c r="H515" s="4" t="s">
        <v>34</v>
      </c>
      <c r="I515" s="5">
        <v>44774</v>
      </c>
      <c r="J515" s="6">
        <v>0</v>
      </c>
      <c r="K515" s="6">
        <v>0</v>
      </c>
      <c r="L515" s="6">
        <v>4.1310000000000002</v>
      </c>
      <c r="M515" s="6">
        <v>4.1310000000000002</v>
      </c>
      <c r="N515" s="6">
        <v>4.1310000000000002</v>
      </c>
      <c r="O515" s="6">
        <v>4.1310000000000002</v>
      </c>
      <c r="P515" s="6">
        <v>0</v>
      </c>
      <c r="Q515" s="4" t="s">
        <v>26</v>
      </c>
      <c r="R515" s="4">
        <v>0</v>
      </c>
      <c r="S515" s="6">
        <v>0</v>
      </c>
      <c r="T515" s="6">
        <v>8</v>
      </c>
      <c r="U515" s="6">
        <v>38</v>
      </c>
      <c r="V515" s="6">
        <f>IF(ISERROR(VLOOKUP($S$515,'TAR FIN'!$A$1:$O$113,15,0)),0,VLOOKUP($S$515,'TAR FIN'!$A$1:$O$113,15,0))</f>
        <v>0</v>
      </c>
      <c r="W515" s="6">
        <f>IF(ISERROR(VLOOKUP($T$515,'TAR FIN'!$A$1:$O$113,15,0)),0,VLOOKUP($T$515,'TAR FIN'!$A$1:$O$113,15,0))</f>
        <v>940.43</v>
      </c>
      <c r="X515" s="6">
        <f>IF(ISERROR(VLOOKUP($U$515,'TAR FIN'!$A$1:$O$113,15,0)),0,VLOOKUP($U$515,'TAR FIN'!$A$1:$O$113,15,0))</f>
        <v>442.86</v>
      </c>
      <c r="Y515" s="6"/>
      <c r="Z515" s="6">
        <f ca="1">('TUSD BE'!$AM$20+'TUSD BF_350'!$AM$20+'TUSD CVA'!$AM$20)*1</f>
        <v>1117.8285588949407</v>
      </c>
      <c r="AA515" s="6">
        <f ca="1">('TE BE'!$AB$9+'TE BF_350'!$AB$9+'TE CVA'!$AB$9)*1</f>
        <v>379.30999999999995</v>
      </c>
      <c r="AB515" s="6">
        <f>$K$515*$V$515</f>
        <v>0</v>
      </c>
      <c r="AC515" s="6">
        <f>$M$515*$W$515</f>
        <v>3884.91633</v>
      </c>
      <c r="AD515" s="6">
        <f>$O$515*$X$515</f>
        <v>1829.4546600000001</v>
      </c>
      <c r="AE515" s="6">
        <f>$K$515*$Y$515</f>
        <v>0</v>
      </c>
      <c r="AF515" s="6">
        <f ca="1">$M$515*$Z$515</f>
        <v>4617.7497767949999</v>
      </c>
      <c r="AG515" s="6">
        <f ca="1">$O$515*$AA$515</f>
        <v>1566.9296099999999</v>
      </c>
    </row>
    <row r="516" spans="1:33" ht="11.25" customHeight="1" x14ac:dyDescent="0.3">
      <c r="A516" s="4" t="s">
        <v>28</v>
      </c>
      <c r="B516" s="4" t="s">
        <v>39</v>
      </c>
      <c r="C516" s="4" t="s">
        <v>41</v>
      </c>
      <c r="D516" s="4" t="s">
        <v>46</v>
      </c>
      <c r="E516" s="4" t="s">
        <v>25</v>
      </c>
      <c r="F516" s="4" t="s">
        <v>25</v>
      </c>
      <c r="G516" s="4" t="s">
        <v>25</v>
      </c>
      <c r="H516" s="4" t="s">
        <v>34</v>
      </c>
      <c r="I516" s="5">
        <v>44774</v>
      </c>
      <c r="J516" s="6">
        <v>0</v>
      </c>
      <c r="K516" s="6">
        <v>0</v>
      </c>
      <c r="L516" s="6">
        <v>3.6379999999999999</v>
      </c>
      <c r="M516" s="6">
        <v>3.6379999999999999</v>
      </c>
      <c r="N516" s="6">
        <v>3.6379999999999999</v>
      </c>
      <c r="O516" s="6">
        <v>3.6379999999999999</v>
      </c>
      <c r="P516" s="6">
        <v>0</v>
      </c>
      <c r="Q516" s="4" t="s">
        <v>26</v>
      </c>
      <c r="R516" s="4">
        <v>0</v>
      </c>
      <c r="S516" s="6">
        <v>0</v>
      </c>
      <c r="T516" s="6">
        <v>8</v>
      </c>
      <c r="U516" s="6">
        <v>38</v>
      </c>
      <c r="V516" s="6">
        <f>IF(ISERROR(VLOOKUP($S$516,'TAR FIN'!$A$1:$O$113,15,0)),0,VLOOKUP($S$516,'TAR FIN'!$A$1:$O$113,15,0))</f>
        <v>0</v>
      </c>
      <c r="W516" s="6">
        <f>IF(ISERROR(VLOOKUP($T$516,'TAR FIN'!$A$1:$O$113,15,0)),0,VLOOKUP($T$516,'TAR FIN'!$A$1:$O$113,15,0))</f>
        <v>940.43</v>
      </c>
      <c r="X516" s="6">
        <f>IF(ISERROR(VLOOKUP($U$516,'TAR FIN'!$A$1:$O$113,15,0)),0,VLOOKUP($U$516,'TAR FIN'!$A$1:$O$113,15,0))</f>
        <v>442.86</v>
      </c>
      <c r="Y516" s="6"/>
      <c r="Z516" s="6">
        <f ca="1">('TUSD BE'!$AM$20+'TUSD BF_350'!$AM$20+'TUSD CVA'!$AM$20)*1</f>
        <v>1117.8285588949407</v>
      </c>
      <c r="AA516" s="6">
        <f ca="1">('TE BE'!$AB$9+'TE BF_350'!$AB$9+'TE CVA'!$AB$9)*1</f>
        <v>379.30999999999995</v>
      </c>
      <c r="AB516" s="6">
        <f>$K$516*$V$516</f>
        <v>0</v>
      </c>
      <c r="AC516" s="6">
        <f>$M$516*$W$516</f>
        <v>3421.2843399999997</v>
      </c>
      <c r="AD516" s="6">
        <f>$O$516*$X$516</f>
        <v>1611.1246799999999</v>
      </c>
      <c r="AE516" s="6">
        <f>$K$516*$Y$516</f>
        <v>0</v>
      </c>
      <c r="AF516" s="6">
        <f ca="1">$M$516*$Z$516</f>
        <v>4066.6602972597939</v>
      </c>
      <c r="AG516" s="6">
        <f ca="1">$O$516*$AA$516</f>
        <v>1379.9297799999997</v>
      </c>
    </row>
    <row r="517" spans="1:33" ht="11.25" customHeight="1" x14ac:dyDescent="0.3">
      <c r="A517" s="4" t="s">
        <v>21</v>
      </c>
      <c r="B517" s="4" t="s">
        <v>39</v>
      </c>
      <c r="C517" s="4" t="s">
        <v>41</v>
      </c>
      <c r="D517" s="4" t="s">
        <v>46</v>
      </c>
      <c r="E517" s="4" t="s">
        <v>25</v>
      </c>
      <c r="F517" s="4" t="s">
        <v>25</v>
      </c>
      <c r="G517" s="4" t="s">
        <v>25</v>
      </c>
      <c r="H517" s="4" t="s">
        <v>34</v>
      </c>
      <c r="I517" s="5">
        <v>44805</v>
      </c>
      <c r="J517" s="6">
        <v>0</v>
      </c>
      <c r="K517" s="6">
        <v>0</v>
      </c>
      <c r="L517" s="6">
        <v>4.6980000000000004</v>
      </c>
      <c r="M517" s="6">
        <v>4.6980000000000004</v>
      </c>
      <c r="N517" s="6">
        <v>4.6980000000000004</v>
      </c>
      <c r="O517" s="6">
        <v>4.6980000000000004</v>
      </c>
      <c r="P517" s="6">
        <v>0</v>
      </c>
      <c r="Q517" s="4" t="s">
        <v>26</v>
      </c>
      <c r="R517" s="4">
        <v>0</v>
      </c>
      <c r="S517" s="6">
        <v>0</v>
      </c>
      <c r="T517" s="6">
        <v>8</v>
      </c>
      <c r="U517" s="6">
        <v>38</v>
      </c>
      <c r="V517" s="6">
        <f>IF(ISERROR(VLOOKUP($S$517,'TAR FIN'!$A$1:$O$113,15,0)),0,VLOOKUP($S$517,'TAR FIN'!$A$1:$O$113,15,0))</f>
        <v>0</v>
      </c>
      <c r="W517" s="6">
        <f>IF(ISERROR(VLOOKUP($T$517,'TAR FIN'!$A$1:$O$113,15,0)),0,VLOOKUP($T$517,'TAR FIN'!$A$1:$O$113,15,0))</f>
        <v>940.43</v>
      </c>
      <c r="X517" s="6">
        <f>IF(ISERROR(VLOOKUP($U$517,'TAR FIN'!$A$1:$O$113,15,0)),0,VLOOKUP($U$517,'TAR FIN'!$A$1:$O$113,15,0))</f>
        <v>442.86</v>
      </c>
      <c r="Y517" s="6"/>
      <c r="Z517" s="6">
        <f ca="1">('TUSD BE'!$AM$20+'TUSD BF_350'!$AM$20+'TUSD CVA'!$AM$20)*1</f>
        <v>1117.8285588949407</v>
      </c>
      <c r="AA517" s="6">
        <f ca="1">('TE BE'!$AB$9+'TE BF_350'!$AB$9+'TE CVA'!$AB$9)*1</f>
        <v>379.30999999999995</v>
      </c>
      <c r="AB517" s="6">
        <f>$K$517*$V$517</f>
        <v>0</v>
      </c>
      <c r="AC517" s="6">
        <f>$M$517*$W$517</f>
        <v>4418.1401400000004</v>
      </c>
      <c r="AD517" s="6">
        <f>$O$517*$X$517</f>
        <v>2080.5562800000002</v>
      </c>
      <c r="AE517" s="6">
        <f>$K$517*$Y$517</f>
        <v>0</v>
      </c>
      <c r="AF517" s="6">
        <f ca="1">$M$517*$Z$517</f>
        <v>5251.5585696884318</v>
      </c>
      <c r="AG517" s="6">
        <f ca="1">$O$517*$AA$517</f>
        <v>1781.99838</v>
      </c>
    </row>
    <row r="518" spans="1:33" ht="11.25" customHeight="1" x14ac:dyDescent="0.3">
      <c r="A518" s="4" t="s">
        <v>28</v>
      </c>
      <c r="B518" s="4" t="s">
        <v>39</v>
      </c>
      <c r="C518" s="4" t="s">
        <v>41</v>
      </c>
      <c r="D518" s="4" t="s">
        <v>46</v>
      </c>
      <c r="E518" s="4" t="s">
        <v>25</v>
      </c>
      <c r="F518" s="4" t="s">
        <v>25</v>
      </c>
      <c r="G518" s="4" t="s">
        <v>25</v>
      </c>
      <c r="H518" s="4" t="s">
        <v>34</v>
      </c>
      <c r="I518" s="5">
        <v>44805</v>
      </c>
      <c r="J518" s="6">
        <v>0</v>
      </c>
      <c r="K518" s="6">
        <v>0</v>
      </c>
      <c r="L518" s="6">
        <v>3.6280000000000001</v>
      </c>
      <c r="M518" s="6">
        <v>3.6280000000000001</v>
      </c>
      <c r="N518" s="6">
        <v>3.6280000000000001</v>
      </c>
      <c r="O518" s="6">
        <v>3.6280000000000001</v>
      </c>
      <c r="P518" s="6">
        <v>0</v>
      </c>
      <c r="Q518" s="4" t="s">
        <v>26</v>
      </c>
      <c r="R518" s="4">
        <v>0</v>
      </c>
      <c r="S518" s="6">
        <v>0</v>
      </c>
      <c r="T518" s="6">
        <v>8</v>
      </c>
      <c r="U518" s="6">
        <v>38</v>
      </c>
      <c r="V518" s="6">
        <f>IF(ISERROR(VLOOKUP($S$518,'TAR FIN'!$A$1:$O$113,15,0)),0,VLOOKUP($S$518,'TAR FIN'!$A$1:$O$113,15,0))</f>
        <v>0</v>
      </c>
      <c r="W518" s="6">
        <f>IF(ISERROR(VLOOKUP($T$518,'TAR FIN'!$A$1:$O$113,15,0)),0,VLOOKUP($T$518,'TAR FIN'!$A$1:$O$113,15,0))</f>
        <v>940.43</v>
      </c>
      <c r="X518" s="6">
        <f>IF(ISERROR(VLOOKUP($U$518,'TAR FIN'!$A$1:$O$113,15,0)),0,VLOOKUP($U$518,'TAR FIN'!$A$1:$O$113,15,0))</f>
        <v>442.86</v>
      </c>
      <c r="Y518" s="6"/>
      <c r="Z518" s="6">
        <f ca="1">('TUSD BE'!$AM$20+'TUSD BF_350'!$AM$20+'TUSD CVA'!$AM$20)*1</f>
        <v>1117.8285588949407</v>
      </c>
      <c r="AA518" s="6">
        <f ca="1">('TE BE'!$AB$9+'TE BF_350'!$AB$9+'TE CVA'!$AB$9)*1</f>
        <v>379.30999999999995</v>
      </c>
      <c r="AB518" s="6">
        <f>$K$518*$V$518</f>
        <v>0</v>
      </c>
      <c r="AC518" s="6">
        <f>$M$518*$W$518</f>
        <v>3411.88004</v>
      </c>
      <c r="AD518" s="6">
        <f>$O$518*$X$518</f>
        <v>1606.6960800000002</v>
      </c>
      <c r="AE518" s="6">
        <f>$K$518*$Y$518</f>
        <v>0</v>
      </c>
      <c r="AF518" s="6">
        <f ca="1">$M$518*$Z$518</f>
        <v>4055.4820116708447</v>
      </c>
      <c r="AG518" s="6">
        <f ca="1">$O$518*$AA$518</f>
        <v>1376.1366799999998</v>
      </c>
    </row>
    <row r="519" spans="1:33" ht="11.25" customHeight="1" x14ac:dyDescent="0.3">
      <c r="A519" s="4" t="s">
        <v>53</v>
      </c>
      <c r="B519" s="4" t="s">
        <v>39</v>
      </c>
      <c r="C519" s="4" t="s">
        <v>41</v>
      </c>
      <c r="D519" s="4" t="s">
        <v>46</v>
      </c>
      <c r="E519" s="4" t="s">
        <v>25</v>
      </c>
      <c r="F519" s="4" t="s">
        <v>25</v>
      </c>
      <c r="G519" s="4" t="s">
        <v>25</v>
      </c>
      <c r="H519" s="4" t="s">
        <v>34</v>
      </c>
      <c r="I519" s="5">
        <v>44835</v>
      </c>
      <c r="J519" s="6">
        <v>0</v>
      </c>
      <c r="K519" s="6">
        <v>0</v>
      </c>
      <c r="L519" s="6">
        <v>4.6980000000000004</v>
      </c>
      <c r="M519" s="6">
        <v>4.6980000000000004</v>
      </c>
      <c r="N519" s="6">
        <v>4.6980000000000004</v>
      </c>
      <c r="O519" s="6">
        <v>4.6980000000000004</v>
      </c>
      <c r="P519" s="6">
        <v>0</v>
      </c>
      <c r="Q519" s="4" t="s">
        <v>26</v>
      </c>
      <c r="R519" s="4">
        <v>0</v>
      </c>
      <c r="S519" s="6">
        <v>0</v>
      </c>
      <c r="T519" s="6">
        <v>8</v>
      </c>
      <c r="U519" s="6">
        <v>38</v>
      </c>
      <c r="V519" s="6">
        <f>IF(ISERROR(VLOOKUP($S$519,'TAR FIN'!$A$1:$O$113,15,0)),0,VLOOKUP($S$519,'TAR FIN'!$A$1:$O$113,15,0))</f>
        <v>0</v>
      </c>
      <c r="W519" s="6">
        <f>IF(ISERROR(VLOOKUP($T$519,'TAR FIN'!$A$1:$O$113,15,0)),0,VLOOKUP($T$519,'TAR FIN'!$A$1:$O$113,15,0))</f>
        <v>940.43</v>
      </c>
      <c r="X519" s="6">
        <f>IF(ISERROR(VLOOKUP($U$519,'TAR FIN'!$A$1:$O$113,15,0)),0,VLOOKUP($U$519,'TAR FIN'!$A$1:$O$113,15,0))</f>
        <v>442.86</v>
      </c>
      <c r="Y519" s="6"/>
      <c r="Z519" s="6">
        <f ca="1">('TUSD BE'!$AM$20+'TUSD BF_350'!$AM$20+'TUSD CVA'!$AM$20)*1</f>
        <v>1117.8285588949407</v>
      </c>
      <c r="AA519" s="6">
        <f ca="1">('TE BE'!$AB$9+'TE BF_350'!$AB$9+'TE CVA'!$AB$9)*1</f>
        <v>379.30999999999995</v>
      </c>
      <c r="AB519" s="6">
        <f>$K$519*$V$519</f>
        <v>0</v>
      </c>
      <c r="AC519" s="6">
        <f>$M$519*$W$519</f>
        <v>4418.1401400000004</v>
      </c>
      <c r="AD519" s="6">
        <f>$O$519*$X$519</f>
        <v>2080.5562800000002</v>
      </c>
      <c r="AE519" s="6">
        <f>$K$519*$Y$519</f>
        <v>0</v>
      </c>
      <c r="AF519" s="6">
        <f ca="1">$M$519*$Z$519</f>
        <v>5251.5585696884318</v>
      </c>
      <c r="AG519" s="6">
        <f ca="1">$O$519*$AA$519</f>
        <v>1781.99838</v>
      </c>
    </row>
    <row r="520" spans="1:33" ht="11.25" customHeight="1" x14ac:dyDescent="0.3">
      <c r="A520" s="4" t="s">
        <v>53</v>
      </c>
      <c r="B520" s="4" t="s">
        <v>39</v>
      </c>
      <c r="C520" s="4" t="s">
        <v>41</v>
      </c>
      <c r="D520" s="4" t="s">
        <v>46</v>
      </c>
      <c r="E520" s="4" t="s">
        <v>25</v>
      </c>
      <c r="F520" s="4" t="s">
        <v>25</v>
      </c>
      <c r="G520" s="4" t="s">
        <v>25</v>
      </c>
      <c r="H520" s="4" t="s">
        <v>34</v>
      </c>
      <c r="I520" s="5">
        <v>44835</v>
      </c>
      <c r="J520" s="6">
        <v>0</v>
      </c>
      <c r="K520" s="6">
        <v>0</v>
      </c>
      <c r="L520" s="6">
        <v>3.6280000000000001</v>
      </c>
      <c r="M520" s="6">
        <v>3.6280000000000001</v>
      </c>
      <c r="N520" s="6">
        <v>3.6280000000000001</v>
      </c>
      <c r="O520" s="6">
        <v>3.6280000000000001</v>
      </c>
      <c r="P520" s="6">
        <v>0</v>
      </c>
      <c r="Q520" s="4" t="s">
        <v>26</v>
      </c>
      <c r="R520" s="4">
        <v>0</v>
      </c>
      <c r="S520" s="6">
        <v>0</v>
      </c>
      <c r="T520" s="6">
        <v>8</v>
      </c>
      <c r="U520" s="6">
        <v>38</v>
      </c>
      <c r="V520" s="6">
        <f>IF(ISERROR(VLOOKUP($S$520,'TAR FIN'!$A$1:$O$113,15,0)),0,VLOOKUP($S$520,'TAR FIN'!$A$1:$O$113,15,0))</f>
        <v>0</v>
      </c>
      <c r="W520" s="6">
        <f>IF(ISERROR(VLOOKUP($T$520,'TAR FIN'!$A$1:$O$113,15,0)),0,VLOOKUP($T$520,'TAR FIN'!$A$1:$O$113,15,0))</f>
        <v>940.43</v>
      </c>
      <c r="X520" s="6">
        <f>IF(ISERROR(VLOOKUP($U$520,'TAR FIN'!$A$1:$O$113,15,0)),0,VLOOKUP($U$520,'TAR FIN'!$A$1:$O$113,15,0))</f>
        <v>442.86</v>
      </c>
      <c r="Y520" s="6"/>
      <c r="Z520" s="6">
        <f ca="1">('TUSD BE'!$AM$20+'TUSD BF_350'!$AM$20+'TUSD CVA'!$AM$20)*1</f>
        <v>1117.8285588949407</v>
      </c>
      <c r="AA520" s="6">
        <f ca="1">('TE BE'!$AB$9+'TE BF_350'!$AB$9+'TE CVA'!$AB$9)*1</f>
        <v>379.30999999999995</v>
      </c>
      <c r="AB520" s="6">
        <f>$K$520*$V$520</f>
        <v>0</v>
      </c>
      <c r="AC520" s="6">
        <f>$M$520*$W$520</f>
        <v>3411.88004</v>
      </c>
      <c r="AD520" s="6">
        <f>$O$520*$X$520</f>
        <v>1606.6960800000002</v>
      </c>
      <c r="AE520" s="6">
        <f>$K$520*$Y$520</f>
        <v>0</v>
      </c>
      <c r="AF520" s="6">
        <f ca="1">$M$520*$Z$520</f>
        <v>4055.4820116708447</v>
      </c>
      <c r="AG520" s="6">
        <f ca="1">$O$520*$AA$520</f>
        <v>1376.1366799999998</v>
      </c>
    </row>
    <row r="521" spans="1:33" ht="11.25" customHeight="1" x14ac:dyDescent="0.3">
      <c r="A521" s="4" t="s">
        <v>21</v>
      </c>
      <c r="B521" s="4" t="s">
        <v>39</v>
      </c>
      <c r="C521" s="4" t="s">
        <v>41</v>
      </c>
      <c r="D521" s="4" t="s">
        <v>45</v>
      </c>
      <c r="E521" s="4" t="s">
        <v>25</v>
      </c>
      <c r="F521" s="4" t="s">
        <v>25</v>
      </c>
      <c r="G521" s="4" t="s">
        <v>25</v>
      </c>
      <c r="H521" s="4" t="s">
        <v>35</v>
      </c>
      <c r="I521" s="5">
        <v>44501</v>
      </c>
      <c r="J521" s="6">
        <v>0</v>
      </c>
      <c r="K521" s="53">
        <v>0</v>
      </c>
      <c r="L521" s="6">
        <v>113.935</v>
      </c>
      <c r="M521" s="53">
        <v>113.935</v>
      </c>
      <c r="N521" s="6">
        <v>113.935</v>
      </c>
      <c r="O521" s="53">
        <v>113.935</v>
      </c>
      <c r="P521" s="6">
        <v>0</v>
      </c>
      <c r="Q521" s="4" t="s">
        <v>26</v>
      </c>
      <c r="R521" s="4">
        <v>0</v>
      </c>
      <c r="S521" s="6">
        <v>0</v>
      </c>
      <c r="T521" s="6">
        <v>6</v>
      </c>
      <c r="U521" s="6">
        <v>61</v>
      </c>
      <c r="V521" s="53">
        <f>IF(ISERROR(VLOOKUP($S$521,'TAR FIN'!$A$1:$O$113,15,0)),0,VLOOKUP($S$521,'TAR FIN'!$A$1:$O$113,15,0))</f>
        <v>0</v>
      </c>
      <c r="W521" s="53">
        <f>IF(ISERROR(VLOOKUP($T$521,'TAR FIN'!$A$1:$O$113,15,0)),0,VLOOKUP($T$521,'TAR FIN'!$A$1:$O$113,15,0))*(1-0.04)</f>
        <v>69.263999999999996</v>
      </c>
      <c r="X521" s="53">
        <f>IF(ISERROR(VLOOKUP($U$521,'TAR FIN'!$A$1:$O$113,15,0)),0,VLOOKUP($U$521,'TAR FIN'!$A$1:$O$113,15,0))*(1-0.04)</f>
        <v>267.52320000000003</v>
      </c>
      <c r="Y521" s="53"/>
      <c r="Z521" s="53">
        <f ca="1">('TUSD BE'!$AM$21+'TUSD BF_350'!$AM$21+'TUSD CVA'!$AM$21)*1*(1-0.02)</f>
        <v>119.69774225030127</v>
      </c>
      <c r="AA521" s="53">
        <f ca="1">('TE BE'!$AB$10+'TE BF_350'!$AB$10+'TE CVA'!$AB$10)*1*(1-0.02)</f>
        <v>227.05619999999999</v>
      </c>
      <c r="AB521" s="6">
        <f>$K$521*$V$521</f>
        <v>0</v>
      </c>
      <c r="AC521" s="6">
        <f>$M$521*$W$521</f>
        <v>7891.5938399999995</v>
      </c>
      <c r="AD521" s="6">
        <f>$O$521*$X$521</f>
        <v>30480.255792000004</v>
      </c>
      <c r="AE521" s="6">
        <f>$K$521*$Y$521</f>
        <v>0</v>
      </c>
      <c r="AF521" s="6">
        <f ca="1">$M$521*$Z$521</f>
        <v>13637.762263288076</v>
      </c>
      <c r="AG521" s="6">
        <f ca="1">$O$521*$AA$521</f>
        <v>25869.648147</v>
      </c>
    </row>
    <row r="522" spans="1:33" ht="11.25" customHeight="1" x14ac:dyDescent="0.3">
      <c r="A522" s="4" t="s">
        <v>21</v>
      </c>
      <c r="B522" s="4" t="s">
        <v>39</v>
      </c>
      <c r="C522" s="4" t="s">
        <v>41</v>
      </c>
      <c r="D522" s="4" t="s">
        <v>45</v>
      </c>
      <c r="E522" s="4" t="s">
        <v>25</v>
      </c>
      <c r="F522" s="4" t="s">
        <v>25</v>
      </c>
      <c r="G522" s="4" t="s">
        <v>25</v>
      </c>
      <c r="H522" s="4" t="s">
        <v>35</v>
      </c>
      <c r="I522" s="5">
        <v>44531</v>
      </c>
      <c r="J522" s="6">
        <v>0</v>
      </c>
      <c r="K522" s="53">
        <v>0</v>
      </c>
      <c r="L522" s="6">
        <v>110.267</v>
      </c>
      <c r="M522" s="53">
        <v>110.267</v>
      </c>
      <c r="N522" s="6">
        <v>110.267</v>
      </c>
      <c r="O522" s="53">
        <v>110.267</v>
      </c>
      <c r="P522" s="6">
        <v>0</v>
      </c>
      <c r="Q522" s="4" t="s">
        <v>26</v>
      </c>
      <c r="R522" s="4">
        <v>0</v>
      </c>
      <c r="S522" s="6">
        <v>0</v>
      </c>
      <c r="T522" s="6">
        <v>6</v>
      </c>
      <c r="U522" s="6">
        <v>61</v>
      </c>
      <c r="V522" s="53">
        <f>IF(ISERROR(VLOOKUP($S$522,'TAR FIN'!$A$1:$O$113,15,0)),0,VLOOKUP($S$522,'TAR FIN'!$A$1:$O$113,15,0))</f>
        <v>0</v>
      </c>
      <c r="W522" s="53">
        <f>IF(ISERROR(VLOOKUP($T$522,'TAR FIN'!$A$1:$O$113,15,0)),0,VLOOKUP($T$522,'TAR FIN'!$A$1:$O$113,15,0))*(1-0.04)</f>
        <v>69.263999999999996</v>
      </c>
      <c r="X522" s="53">
        <f>IF(ISERROR(VLOOKUP($U$522,'TAR FIN'!$A$1:$O$113,15,0)),0,VLOOKUP($U$522,'TAR FIN'!$A$1:$O$113,15,0))*(1-0.04)</f>
        <v>267.52320000000003</v>
      </c>
      <c r="Y522" s="53"/>
      <c r="Z522" s="53">
        <f ca="1">('TUSD BE'!$AM$21+'TUSD BF_350'!$AM$21+'TUSD CVA'!$AM$21)*1*(1-0.02)</f>
        <v>119.69774225030127</v>
      </c>
      <c r="AA522" s="53">
        <f ca="1">('TE BE'!$AB$10+'TE BF_350'!$AB$10+'TE CVA'!$AB$10)*1*(1-0.02)</f>
        <v>227.05619999999999</v>
      </c>
      <c r="AB522" s="6">
        <f>$K$522*$V$522</f>
        <v>0</v>
      </c>
      <c r="AC522" s="6">
        <f>$M$522*$W$522</f>
        <v>7637.5334879999991</v>
      </c>
      <c r="AD522" s="6">
        <f>$O$522*$X$522</f>
        <v>29498.980694400001</v>
      </c>
      <c r="AE522" s="6">
        <f>$K$522*$Y$522</f>
        <v>0</v>
      </c>
      <c r="AF522" s="6">
        <f ca="1">$M$522*$Z$522</f>
        <v>13198.71094471397</v>
      </c>
      <c r="AG522" s="6">
        <f ca="1">$O$522*$AA$522</f>
        <v>25036.806005399998</v>
      </c>
    </row>
    <row r="523" spans="1:33" ht="11.25" customHeight="1" x14ac:dyDescent="0.3">
      <c r="A523" s="4" t="s">
        <v>21</v>
      </c>
      <c r="B523" s="4" t="s">
        <v>39</v>
      </c>
      <c r="C523" s="4" t="s">
        <v>41</v>
      </c>
      <c r="D523" s="4" t="s">
        <v>45</v>
      </c>
      <c r="E523" s="4" t="s">
        <v>25</v>
      </c>
      <c r="F523" s="4" t="s">
        <v>25</v>
      </c>
      <c r="G523" s="4" t="s">
        <v>25</v>
      </c>
      <c r="H523" s="4" t="s">
        <v>35</v>
      </c>
      <c r="I523" s="5">
        <v>44562</v>
      </c>
      <c r="J523" s="6">
        <v>0</v>
      </c>
      <c r="K523" s="53">
        <v>0</v>
      </c>
      <c r="L523" s="6">
        <v>111.45</v>
      </c>
      <c r="M523" s="53">
        <v>111.45</v>
      </c>
      <c r="N523" s="6">
        <v>111.45</v>
      </c>
      <c r="O523" s="53">
        <v>111.45</v>
      </c>
      <c r="P523" s="6">
        <v>0</v>
      </c>
      <c r="Q523" s="4" t="s">
        <v>26</v>
      </c>
      <c r="R523" s="4">
        <v>0</v>
      </c>
      <c r="S523" s="6">
        <v>0</v>
      </c>
      <c r="T523" s="6">
        <v>6</v>
      </c>
      <c r="U523" s="6">
        <v>61</v>
      </c>
      <c r="V523" s="53">
        <f>IF(ISERROR(VLOOKUP($S$523,'TAR FIN'!$A$1:$O$113,15,0)),0,VLOOKUP($S$523,'TAR FIN'!$A$1:$O$113,15,0))</f>
        <v>0</v>
      </c>
      <c r="W523" s="53">
        <f>IF(ISERROR(VLOOKUP($T$523,'TAR FIN'!$A$1:$O$113,15,0)),0,VLOOKUP($T$523,'TAR FIN'!$A$1:$O$113,15,0))*(1-0.04)</f>
        <v>69.263999999999996</v>
      </c>
      <c r="X523" s="53">
        <f>IF(ISERROR(VLOOKUP($U$523,'TAR FIN'!$A$1:$O$113,15,0)),0,VLOOKUP($U$523,'TAR FIN'!$A$1:$O$113,15,0))*(1-0.04)</f>
        <v>267.52320000000003</v>
      </c>
      <c r="Y523" s="53"/>
      <c r="Z523" s="53">
        <f ca="1">('TUSD BE'!$AM$21+'TUSD BF_350'!$AM$21+'TUSD CVA'!$AM$21)*1*(1-0.02)</f>
        <v>119.69774225030127</v>
      </c>
      <c r="AA523" s="53">
        <f ca="1">('TE BE'!$AB$10+'TE BF_350'!$AB$10+'TE CVA'!$AB$10)*1*(1-0.02)</f>
        <v>227.05619999999999</v>
      </c>
      <c r="AB523" s="6">
        <f>$K$523*$V$523</f>
        <v>0</v>
      </c>
      <c r="AC523" s="6">
        <f>$M$523*$W$523</f>
        <v>7719.4727999999996</v>
      </c>
      <c r="AD523" s="6">
        <f>$O$523*$X$523</f>
        <v>29815.460640000005</v>
      </c>
      <c r="AE523" s="6">
        <f>$K$523*$Y$523</f>
        <v>0</v>
      </c>
      <c r="AF523" s="6">
        <f ca="1">$M$523*$Z$523</f>
        <v>13340.313373796078</v>
      </c>
      <c r="AG523" s="6">
        <f ca="1">$O$523*$AA$523</f>
        <v>25305.413489999999</v>
      </c>
    </row>
    <row r="524" spans="1:33" ht="11.25" customHeight="1" x14ac:dyDescent="0.3">
      <c r="A524" s="4" t="s">
        <v>21</v>
      </c>
      <c r="B524" s="4" t="s">
        <v>39</v>
      </c>
      <c r="C524" s="4" t="s">
        <v>41</v>
      </c>
      <c r="D524" s="4" t="s">
        <v>45</v>
      </c>
      <c r="E524" s="4" t="s">
        <v>25</v>
      </c>
      <c r="F524" s="4" t="s">
        <v>25</v>
      </c>
      <c r="G524" s="4" t="s">
        <v>25</v>
      </c>
      <c r="H524" s="4" t="s">
        <v>35</v>
      </c>
      <c r="I524" s="5">
        <v>44593</v>
      </c>
      <c r="J524" s="6">
        <v>0</v>
      </c>
      <c r="K524" s="53">
        <v>0</v>
      </c>
      <c r="L524" s="6">
        <v>107.66800000000001</v>
      </c>
      <c r="M524" s="53">
        <v>107.66800000000001</v>
      </c>
      <c r="N524" s="6">
        <v>107.66800000000001</v>
      </c>
      <c r="O524" s="53">
        <v>107.66800000000001</v>
      </c>
      <c r="P524" s="6">
        <v>0</v>
      </c>
      <c r="Q524" s="4" t="s">
        <v>26</v>
      </c>
      <c r="R524" s="4">
        <v>0</v>
      </c>
      <c r="S524" s="6">
        <v>0</v>
      </c>
      <c r="T524" s="6">
        <v>6</v>
      </c>
      <c r="U524" s="6">
        <v>61</v>
      </c>
      <c r="V524" s="53">
        <f>IF(ISERROR(VLOOKUP($S$524,'TAR FIN'!$A$1:$O$113,15,0)),0,VLOOKUP($S$524,'TAR FIN'!$A$1:$O$113,15,0))</f>
        <v>0</v>
      </c>
      <c r="W524" s="53">
        <f>IF(ISERROR(VLOOKUP($T$524,'TAR FIN'!$A$1:$O$113,15,0)),0,VLOOKUP($T$524,'TAR FIN'!$A$1:$O$113,15,0))*(1-0.04)</f>
        <v>69.263999999999996</v>
      </c>
      <c r="X524" s="53">
        <f>IF(ISERROR(VLOOKUP($U$524,'TAR FIN'!$A$1:$O$113,15,0)),0,VLOOKUP($U$524,'TAR FIN'!$A$1:$O$113,15,0))*(1-0.04)</f>
        <v>267.52320000000003</v>
      </c>
      <c r="Y524" s="53"/>
      <c r="Z524" s="53">
        <f ca="1">('TUSD BE'!$AM$21+'TUSD BF_350'!$AM$21+'TUSD CVA'!$AM$21)*1*(1-0.02)</f>
        <v>119.69774225030127</v>
      </c>
      <c r="AA524" s="53">
        <f ca="1">('TE BE'!$AB$10+'TE BF_350'!$AB$10+'TE CVA'!$AB$10)*1*(1-0.02)</f>
        <v>227.05619999999999</v>
      </c>
      <c r="AB524" s="6">
        <f>$K$524*$V$524</f>
        <v>0</v>
      </c>
      <c r="AC524" s="6">
        <f>$M$524*$W$524</f>
        <v>7457.5163519999996</v>
      </c>
      <c r="AD524" s="6">
        <f>$O$524*$X$524</f>
        <v>28803.687897600004</v>
      </c>
      <c r="AE524" s="6">
        <f>$K$524*$Y$524</f>
        <v>0</v>
      </c>
      <c r="AF524" s="6">
        <f ca="1">$M$524*$Z$524</f>
        <v>12887.616512605438</v>
      </c>
      <c r="AG524" s="6">
        <f ca="1">$O$524*$AA$524</f>
        <v>24446.686941600001</v>
      </c>
    </row>
    <row r="525" spans="1:33" ht="11.25" customHeight="1" x14ac:dyDescent="0.3">
      <c r="A525" s="4" t="s">
        <v>21</v>
      </c>
      <c r="B525" s="4" t="s">
        <v>39</v>
      </c>
      <c r="C525" s="4" t="s">
        <v>41</v>
      </c>
      <c r="D525" s="4" t="s">
        <v>45</v>
      </c>
      <c r="E525" s="4" t="s">
        <v>25</v>
      </c>
      <c r="F525" s="4" t="s">
        <v>25</v>
      </c>
      <c r="G525" s="4" t="s">
        <v>25</v>
      </c>
      <c r="H525" s="4" t="s">
        <v>35</v>
      </c>
      <c r="I525" s="5">
        <v>44621</v>
      </c>
      <c r="J525" s="6">
        <v>0</v>
      </c>
      <c r="K525" s="53">
        <v>0</v>
      </c>
      <c r="L525" s="6">
        <v>93.82</v>
      </c>
      <c r="M525" s="53">
        <v>93.82</v>
      </c>
      <c r="N525" s="6">
        <v>93.82</v>
      </c>
      <c r="O525" s="53">
        <v>93.82</v>
      </c>
      <c r="P525" s="6">
        <v>0</v>
      </c>
      <c r="Q525" s="4" t="s">
        <v>26</v>
      </c>
      <c r="R525" s="4">
        <v>0</v>
      </c>
      <c r="S525" s="6">
        <v>0</v>
      </c>
      <c r="T525" s="6">
        <v>6</v>
      </c>
      <c r="U525" s="6">
        <v>61</v>
      </c>
      <c r="V525" s="53">
        <f>IF(ISERROR(VLOOKUP($S$525,'TAR FIN'!$A$1:$O$113,15,0)),0,VLOOKUP($S$525,'TAR FIN'!$A$1:$O$113,15,0))</f>
        <v>0</v>
      </c>
      <c r="W525" s="53">
        <f>IF(ISERROR(VLOOKUP($T$525,'TAR FIN'!$A$1:$O$113,15,0)),0,VLOOKUP($T$525,'TAR FIN'!$A$1:$O$113,15,0))*(1-0.04)</f>
        <v>69.263999999999996</v>
      </c>
      <c r="X525" s="53">
        <f>IF(ISERROR(VLOOKUP($U$525,'TAR FIN'!$A$1:$O$113,15,0)),0,VLOOKUP($U$525,'TAR FIN'!$A$1:$O$113,15,0))*(1-0.04)</f>
        <v>267.52320000000003</v>
      </c>
      <c r="Y525" s="53"/>
      <c r="Z525" s="53">
        <f ca="1">('TUSD BE'!$AM$21+'TUSD BF_350'!$AM$21+'TUSD CVA'!$AM$21)*1*(1-0.02)</f>
        <v>119.69774225030127</v>
      </c>
      <c r="AA525" s="53">
        <f ca="1">('TE BE'!$AB$10+'TE BF_350'!$AB$10+'TE CVA'!$AB$10)*1*(1-0.02)</f>
        <v>227.05619999999999</v>
      </c>
      <c r="AB525" s="6">
        <f>$K$525*$V$525</f>
        <v>0</v>
      </c>
      <c r="AC525" s="6">
        <f>$M$525*$W$525</f>
        <v>6498.3484799999987</v>
      </c>
      <c r="AD525" s="6">
        <f>$O$525*$X$525</f>
        <v>25099.026624000002</v>
      </c>
      <c r="AE525" s="6">
        <f>$K$525*$Y$525</f>
        <v>0</v>
      </c>
      <c r="AF525" s="6">
        <f ca="1">$M$525*$Z$525</f>
        <v>11230.042177923266</v>
      </c>
      <c r="AG525" s="6">
        <f ca="1">$O$525*$AA$525</f>
        <v>21302.412683999999</v>
      </c>
    </row>
    <row r="526" spans="1:33" ht="11.25" customHeight="1" x14ac:dyDescent="0.3">
      <c r="A526" s="4" t="s">
        <v>21</v>
      </c>
      <c r="B526" s="4" t="s">
        <v>39</v>
      </c>
      <c r="C526" s="4" t="s">
        <v>41</v>
      </c>
      <c r="D526" s="4" t="s">
        <v>45</v>
      </c>
      <c r="E526" s="4" t="s">
        <v>25</v>
      </c>
      <c r="F526" s="4" t="s">
        <v>25</v>
      </c>
      <c r="G526" s="4" t="s">
        <v>25</v>
      </c>
      <c r="H526" s="4" t="s">
        <v>35</v>
      </c>
      <c r="I526" s="5">
        <v>44652</v>
      </c>
      <c r="J526" s="6">
        <v>0</v>
      </c>
      <c r="K526" s="53">
        <v>0</v>
      </c>
      <c r="L526" s="6">
        <v>106.645</v>
      </c>
      <c r="M526" s="53">
        <v>106.645</v>
      </c>
      <c r="N526" s="6">
        <v>106.645</v>
      </c>
      <c r="O526" s="53">
        <v>106.645</v>
      </c>
      <c r="P526" s="6">
        <v>0</v>
      </c>
      <c r="Q526" s="4" t="s">
        <v>26</v>
      </c>
      <c r="R526" s="4">
        <v>0</v>
      </c>
      <c r="S526" s="6">
        <v>0</v>
      </c>
      <c r="T526" s="6">
        <v>6</v>
      </c>
      <c r="U526" s="6">
        <v>61</v>
      </c>
      <c r="V526" s="53">
        <f>IF(ISERROR(VLOOKUP($S$526,'TAR FIN'!$A$1:$O$113,15,0)),0,VLOOKUP($S$526,'TAR FIN'!$A$1:$O$113,15,0))</f>
        <v>0</v>
      </c>
      <c r="W526" s="53">
        <f>IF(ISERROR(VLOOKUP($T$526,'TAR FIN'!$A$1:$O$113,15,0)),0,VLOOKUP($T$526,'TAR FIN'!$A$1:$O$113,15,0))*(1-0.04)</f>
        <v>69.263999999999996</v>
      </c>
      <c r="X526" s="53">
        <f>IF(ISERROR(VLOOKUP($U$526,'TAR FIN'!$A$1:$O$113,15,0)),0,VLOOKUP($U$526,'TAR FIN'!$A$1:$O$113,15,0))*(1-0.04)</f>
        <v>267.52320000000003</v>
      </c>
      <c r="Y526" s="53"/>
      <c r="Z526" s="53">
        <f ca="1">('TUSD BE'!$AM$21+'TUSD BF_350'!$AM$21+'TUSD CVA'!$AM$21)*1*(1-0.02)</f>
        <v>119.69774225030127</v>
      </c>
      <c r="AA526" s="53">
        <f ca="1">('TE BE'!$AB$10+'TE BF_350'!$AB$10+'TE CVA'!$AB$10)*1*(1-0.02)</f>
        <v>227.05619999999999</v>
      </c>
      <c r="AB526" s="6">
        <f>$K$526*$V$526</f>
        <v>0</v>
      </c>
      <c r="AC526" s="6">
        <f>$M$526*$W$526</f>
        <v>7386.6592799999989</v>
      </c>
      <c r="AD526" s="6">
        <f>$O$526*$X$526</f>
        <v>28530.011664000001</v>
      </c>
      <c r="AE526" s="6">
        <f>$K$526*$Y$526</f>
        <v>0</v>
      </c>
      <c r="AF526" s="6">
        <f ca="1">$M$526*$Z$526</f>
        <v>12765.165722283378</v>
      </c>
      <c r="AG526" s="6">
        <f ca="1">$O$526*$AA$526</f>
        <v>24214.408448999999</v>
      </c>
    </row>
    <row r="527" spans="1:33" ht="11.25" customHeight="1" x14ac:dyDescent="0.3">
      <c r="A527" s="4" t="s">
        <v>21</v>
      </c>
      <c r="B527" s="4" t="s">
        <v>39</v>
      </c>
      <c r="C527" s="4" t="s">
        <v>41</v>
      </c>
      <c r="D527" s="4" t="s">
        <v>45</v>
      </c>
      <c r="E527" s="4" t="s">
        <v>25</v>
      </c>
      <c r="F527" s="4" t="s">
        <v>25</v>
      </c>
      <c r="G527" s="4" t="s">
        <v>25</v>
      </c>
      <c r="H527" s="4" t="s">
        <v>35</v>
      </c>
      <c r="I527" s="5">
        <v>44682</v>
      </c>
      <c r="J527" s="6">
        <v>0</v>
      </c>
      <c r="K527" s="53">
        <v>0</v>
      </c>
      <c r="L527" s="6">
        <v>103.27500000000001</v>
      </c>
      <c r="M527" s="53">
        <v>103.27500000000001</v>
      </c>
      <c r="N527" s="6">
        <v>103.27500000000001</v>
      </c>
      <c r="O527" s="53">
        <v>103.27500000000001</v>
      </c>
      <c r="P527" s="6">
        <v>0</v>
      </c>
      <c r="Q527" s="4" t="s">
        <v>26</v>
      </c>
      <c r="R527" s="4">
        <v>0</v>
      </c>
      <c r="S527" s="6">
        <v>0</v>
      </c>
      <c r="T527" s="6">
        <v>6</v>
      </c>
      <c r="U527" s="6">
        <v>61</v>
      </c>
      <c r="V527" s="53">
        <f>IF(ISERROR(VLOOKUP($S$527,'TAR FIN'!$A$1:$O$113,15,0)),0,VLOOKUP($S$527,'TAR FIN'!$A$1:$O$113,15,0))</f>
        <v>0</v>
      </c>
      <c r="W527" s="53">
        <f>IF(ISERROR(VLOOKUP($T$527,'TAR FIN'!$A$1:$O$113,15,0)),0,VLOOKUP($T$527,'TAR FIN'!$A$1:$O$113,15,0))*(1-0.04)</f>
        <v>69.263999999999996</v>
      </c>
      <c r="X527" s="53">
        <f>IF(ISERROR(VLOOKUP($U$527,'TAR FIN'!$A$1:$O$113,15,0)),0,VLOOKUP($U$527,'TAR FIN'!$A$1:$O$113,15,0))*(1-0.04)</f>
        <v>267.52320000000003</v>
      </c>
      <c r="Y527" s="53"/>
      <c r="Z527" s="53">
        <f ca="1">('TUSD BE'!$AM$21+'TUSD BF_350'!$AM$21+'TUSD CVA'!$AM$21)*1*(1-0.02)</f>
        <v>119.69774225030127</v>
      </c>
      <c r="AA527" s="53">
        <f ca="1">('TE BE'!$AB$10+'TE BF_350'!$AB$10+'TE CVA'!$AB$10)*1*(1-0.02)</f>
        <v>227.05619999999999</v>
      </c>
      <c r="AB527" s="6">
        <f>$K$527*$V$527</f>
        <v>0</v>
      </c>
      <c r="AC527" s="6">
        <f>$M$527*$W$527</f>
        <v>7153.2395999999999</v>
      </c>
      <c r="AD527" s="6">
        <f>$O$527*$X$527</f>
        <v>27628.458480000005</v>
      </c>
      <c r="AE527" s="6">
        <f>$K$527*$Y$527</f>
        <v>0</v>
      </c>
      <c r="AF527" s="6">
        <f ca="1">$M$527*$Z$527</f>
        <v>12361.784330899865</v>
      </c>
      <c r="AG527" s="6">
        <f ca="1">$O$527*$AA$527</f>
        <v>23449.229055</v>
      </c>
    </row>
    <row r="528" spans="1:33" ht="11.25" customHeight="1" x14ac:dyDescent="0.3">
      <c r="A528" s="4" t="s">
        <v>21</v>
      </c>
      <c r="B528" s="4" t="s">
        <v>39</v>
      </c>
      <c r="C528" s="4" t="s">
        <v>41</v>
      </c>
      <c r="D528" s="4" t="s">
        <v>45</v>
      </c>
      <c r="E528" s="4" t="s">
        <v>25</v>
      </c>
      <c r="F528" s="4" t="s">
        <v>25</v>
      </c>
      <c r="G528" s="4" t="s">
        <v>25</v>
      </c>
      <c r="H528" s="4" t="s">
        <v>35</v>
      </c>
      <c r="I528" s="5">
        <v>44713</v>
      </c>
      <c r="J528" s="6">
        <v>0</v>
      </c>
      <c r="K528" s="53">
        <v>0</v>
      </c>
      <c r="L528" s="6">
        <v>100.271</v>
      </c>
      <c r="M528" s="53">
        <v>100.271</v>
      </c>
      <c r="N528" s="6">
        <v>100.271</v>
      </c>
      <c r="O528" s="53">
        <v>100.271</v>
      </c>
      <c r="P528" s="6">
        <v>0</v>
      </c>
      <c r="Q528" s="4" t="s">
        <v>26</v>
      </c>
      <c r="R528" s="4">
        <v>0</v>
      </c>
      <c r="S528" s="6">
        <v>0</v>
      </c>
      <c r="T528" s="6">
        <v>6</v>
      </c>
      <c r="U528" s="6">
        <v>61</v>
      </c>
      <c r="V528" s="53">
        <f>IF(ISERROR(VLOOKUP($S$528,'TAR FIN'!$A$1:$O$113,15,0)),0,VLOOKUP($S$528,'TAR FIN'!$A$1:$O$113,15,0))</f>
        <v>0</v>
      </c>
      <c r="W528" s="53">
        <f>IF(ISERROR(VLOOKUP($T$528,'TAR FIN'!$A$1:$O$113,15,0)),0,VLOOKUP($T$528,'TAR FIN'!$A$1:$O$113,15,0))*(1-0.04)</f>
        <v>69.263999999999996</v>
      </c>
      <c r="X528" s="53">
        <f>IF(ISERROR(VLOOKUP($U$528,'TAR FIN'!$A$1:$O$113,15,0)),0,VLOOKUP($U$528,'TAR FIN'!$A$1:$O$113,15,0))*(1-0.04)</f>
        <v>267.52320000000003</v>
      </c>
      <c r="Y528" s="53"/>
      <c r="Z528" s="53">
        <f ca="1">('TUSD BE'!$AM$21+'TUSD BF_350'!$AM$21+'TUSD CVA'!$AM$21)*1*(1-0.02)</f>
        <v>119.69774225030127</v>
      </c>
      <c r="AA528" s="53">
        <f ca="1">('TE BE'!$AB$10+'TE BF_350'!$AB$10+'TE CVA'!$AB$10)*1*(1-0.02)</f>
        <v>227.05619999999999</v>
      </c>
      <c r="AB528" s="6">
        <f>$K$528*$V$528</f>
        <v>0</v>
      </c>
      <c r="AC528" s="6">
        <f>$M$528*$W$528</f>
        <v>6945.1705439999996</v>
      </c>
      <c r="AD528" s="6">
        <f>$O$528*$X$528</f>
        <v>26824.818787200002</v>
      </c>
      <c r="AE528" s="6">
        <f>$K$528*$Y$528</f>
        <v>0</v>
      </c>
      <c r="AF528" s="6">
        <f ca="1">$M$528*$Z$528</f>
        <v>12002.21231317996</v>
      </c>
      <c r="AG528" s="6">
        <f ca="1">$O$528*$AA$528</f>
        <v>22767.152230199998</v>
      </c>
    </row>
    <row r="529" spans="1:33" ht="11.25" customHeight="1" x14ac:dyDescent="0.3">
      <c r="A529" s="4" t="s">
        <v>21</v>
      </c>
      <c r="B529" s="4" t="s">
        <v>39</v>
      </c>
      <c r="C529" s="4" t="s">
        <v>41</v>
      </c>
      <c r="D529" s="4" t="s">
        <v>45</v>
      </c>
      <c r="E529" s="4" t="s">
        <v>25</v>
      </c>
      <c r="F529" s="4" t="s">
        <v>25</v>
      </c>
      <c r="G529" s="4" t="s">
        <v>25</v>
      </c>
      <c r="H529" s="4" t="s">
        <v>35</v>
      </c>
      <c r="I529" s="5">
        <v>44743</v>
      </c>
      <c r="J529" s="6">
        <v>0</v>
      </c>
      <c r="K529" s="53">
        <v>0</v>
      </c>
      <c r="L529" s="6">
        <v>107.95699999999999</v>
      </c>
      <c r="M529" s="53">
        <v>107.95699999999999</v>
      </c>
      <c r="N529" s="6">
        <v>107.95699999999999</v>
      </c>
      <c r="O529" s="53">
        <v>107.95699999999999</v>
      </c>
      <c r="P529" s="6">
        <v>0</v>
      </c>
      <c r="Q529" s="4" t="s">
        <v>26</v>
      </c>
      <c r="R529" s="4">
        <v>0</v>
      </c>
      <c r="S529" s="6">
        <v>0</v>
      </c>
      <c r="T529" s="6">
        <v>6</v>
      </c>
      <c r="U529" s="6">
        <v>61</v>
      </c>
      <c r="V529" s="53">
        <f>IF(ISERROR(VLOOKUP($S$529,'TAR FIN'!$A$1:$O$113,15,0)),0,VLOOKUP($S$529,'TAR FIN'!$A$1:$O$113,15,0))</f>
        <v>0</v>
      </c>
      <c r="W529" s="53">
        <f>IF(ISERROR(VLOOKUP($T$529,'TAR FIN'!$A$1:$O$113,15,0)),0,VLOOKUP($T$529,'TAR FIN'!$A$1:$O$113,15,0))*(1-0.04)</f>
        <v>69.263999999999996</v>
      </c>
      <c r="X529" s="53">
        <f>IF(ISERROR(VLOOKUP($U$529,'TAR FIN'!$A$1:$O$113,15,0)),0,VLOOKUP($U$529,'TAR FIN'!$A$1:$O$113,15,0))*(1-0.04)</f>
        <v>267.52320000000003</v>
      </c>
      <c r="Y529" s="53"/>
      <c r="Z529" s="53">
        <f ca="1">('TUSD BE'!$AM$21+'TUSD BF_350'!$AM$21+'TUSD CVA'!$AM$21)*1*(1-0.02)</f>
        <v>119.69774225030127</v>
      </c>
      <c r="AA529" s="53">
        <f ca="1">('TE BE'!$AB$10+'TE BF_350'!$AB$10+'TE CVA'!$AB$10)*1*(1-0.02)</f>
        <v>227.05619999999999</v>
      </c>
      <c r="AB529" s="6">
        <f>$K$529*$V$529</f>
        <v>0</v>
      </c>
      <c r="AC529" s="6">
        <f>$M$529*$W$529</f>
        <v>7477.5336479999987</v>
      </c>
      <c r="AD529" s="6">
        <f>$O$529*$X$529</f>
        <v>28881.002102400002</v>
      </c>
      <c r="AE529" s="6">
        <f>$K$529*$Y$529</f>
        <v>0</v>
      </c>
      <c r="AF529" s="6">
        <f ca="1">$M$529*$Z$529</f>
        <v>12922.209160115774</v>
      </c>
      <c r="AG529" s="6">
        <f ca="1">$O$529*$AA$529</f>
        <v>24512.306183399996</v>
      </c>
    </row>
    <row r="530" spans="1:33" ht="11.25" customHeight="1" x14ac:dyDescent="0.3">
      <c r="A530" s="4" t="s">
        <v>21</v>
      </c>
      <c r="B530" s="4" t="s">
        <v>39</v>
      </c>
      <c r="C530" s="4" t="s">
        <v>41</v>
      </c>
      <c r="D530" s="4" t="s">
        <v>45</v>
      </c>
      <c r="E530" s="4" t="s">
        <v>25</v>
      </c>
      <c r="F530" s="4" t="s">
        <v>25</v>
      </c>
      <c r="G530" s="4" t="s">
        <v>25</v>
      </c>
      <c r="H530" s="4" t="s">
        <v>35</v>
      </c>
      <c r="I530" s="5">
        <v>44774</v>
      </c>
      <c r="J530" s="6">
        <v>0</v>
      </c>
      <c r="K530" s="53">
        <v>0</v>
      </c>
      <c r="L530" s="6">
        <v>102.619</v>
      </c>
      <c r="M530" s="53">
        <v>102.619</v>
      </c>
      <c r="N530" s="6">
        <v>102.619</v>
      </c>
      <c r="O530" s="53">
        <v>102.619</v>
      </c>
      <c r="P530" s="6">
        <v>0</v>
      </c>
      <c r="Q530" s="4" t="s">
        <v>26</v>
      </c>
      <c r="R530" s="4">
        <v>0</v>
      </c>
      <c r="S530" s="6">
        <v>0</v>
      </c>
      <c r="T530" s="6">
        <v>6</v>
      </c>
      <c r="U530" s="6">
        <v>61</v>
      </c>
      <c r="V530" s="53">
        <f>IF(ISERROR(VLOOKUP($S$530,'TAR FIN'!$A$1:$O$113,15,0)),0,VLOOKUP($S$530,'TAR FIN'!$A$1:$O$113,15,0))</f>
        <v>0</v>
      </c>
      <c r="W530" s="53">
        <f>IF(ISERROR(VLOOKUP($T$530,'TAR FIN'!$A$1:$O$113,15,0)),0,VLOOKUP($T$530,'TAR FIN'!$A$1:$O$113,15,0))*(1-0.04)</f>
        <v>69.263999999999996</v>
      </c>
      <c r="X530" s="53">
        <f>IF(ISERROR(VLOOKUP($U$530,'TAR FIN'!$A$1:$O$113,15,0)),0,VLOOKUP($U$530,'TAR FIN'!$A$1:$O$113,15,0))*(1-0.04)</f>
        <v>267.52320000000003</v>
      </c>
      <c r="Y530" s="53"/>
      <c r="Z530" s="53">
        <f ca="1">('TUSD BE'!$AM$21+'TUSD BF_350'!$AM$21+'TUSD CVA'!$AM$21)*1*(1-0.02)</f>
        <v>119.69774225030127</v>
      </c>
      <c r="AA530" s="53">
        <f ca="1">('TE BE'!$AB$10+'TE BF_350'!$AB$10+'TE CVA'!$AB$10)*1*(1-0.02)</f>
        <v>227.05619999999999</v>
      </c>
      <c r="AB530" s="6">
        <f>$K$530*$V$530</f>
        <v>0</v>
      </c>
      <c r="AC530" s="6">
        <f>$M$530*$W$530</f>
        <v>7107.8024159999995</v>
      </c>
      <c r="AD530" s="6">
        <f>$O$530*$X$530</f>
        <v>27452.963260800003</v>
      </c>
      <c r="AE530" s="6">
        <f>$K$530*$Y$530</f>
        <v>0</v>
      </c>
      <c r="AF530" s="6">
        <f ca="1">$M$530*$Z$530</f>
        <v>12283.262611983666</v>
      </c>
      <c r="AG530" s="6">
        <f ca="1">$O$530*$AA$530</f>
        <v>23300.280187799999</v>
      </c>
    </row>
    <row r="531" spans="1:33" ht="11.25" customHeight="1" x14ac:dyDescent="0.3">
      <c r="A531" s="4" t="s">
        <v>21</v>
      </c>
      <c r="B531" s="4" t="s">
        <v>39</v>
      </c>
      <c r="C531" s="4" t="s">
        <v>41</v>
      </c>
      <c r="D531" s="4" t="s">
        <v>45</v>
      </c>
      <c r="E531" s="4" t="s">
        <v>25</v>
      </c>
      <c r="F531" s="4" t="s">
        <v>25</v>
      </c>
      <c r="G531" s="4" t="s">
        <v>25</v>
      </c>
      <c r="H531" s="4" t="s">
        <v>35</v>
      </c>
      <c r="I531" s="5">
        <v>44805</v>
      </c>
      <c r="J531" s="6">
        <v>0</v>
      </c>
      <c r="K531" s="53">
        <v>0</v>
      </c>
      <c r="L531" s="6">
        <v>160.94</v>
      </c>
      <c r="M531" s="53">
        <v>160.94</v>
      </c>
      <c r="N531" s="6">
        <v>160.94</v>
      </c>
      <c r="O531" s="53">
        <v>160.94</v>
      </c>
      <c r="P531" s="6">
        <v>0</v>
      </c>
      <c r="Q531" s="4" t="s">
        <v>26</v>
      </c>
      <c r="R531" s="4">
        <v>0</v>
      </c>
      <c r="S531" s="6">
        <v>0</v>
      </c>
      <c r="T531" s="6">
        <v>6</v>
      </c>
      <c r="U531" s="6">
        <v>61</v>
      </c>
      <c r="V531" s="53">
        <f>IF(ISERROR(VLOOKUP($S$531,'TAR FIN'!$A$1:$O$113,15,0)),0,VLOOKUP($S$531,'TAR FIN'!$A$1:$O$113,15,0))</f>
        <v>0</v>
      </c>
      <c r="W531" s="53">
        <f>IF(ISERROR(VLOOKUP($T$531,'TAR FIN'!$A$1:$O$113,15,0)),0,VLOOKUP($T$531,'TAR FIN'!$A$1:$O$113,15,0))*(1-0.04)</f>
        <v>69.263999999999996</v>
      </c>
      <c r="X531" s="53">
        <f>IF(ISERROR(VLOOKUP($U$531,'TAR FIN'!$A$1:$O$113,15,0)),0,VLOOKUP($U$531,'TAR FIN'!$A$1:$O$113,15,0))*(1-0.04)</f>
        <v>267.52320000000003</v>
      </c>
      <c r="Y531" s="53"/>
      <c r="Z531" s="53">
        <f ca="1">('TUSD BE'!$AM$21+'TUSD BF_350'!$AM$21+'TUSD CVA'!$AM$21)*1*(1-0.02)</f>
        <v>119.69774225030127</v>
      </c>
      <c r="AA531" s="53">
        <f ca="1">('TE BE'!$AB$10+'TE BF_350'!$AB$10+'TE CVA'!$AB$10)*1*(1-0.02)</f>
        <v>227.05619999999999</v>
      </c>
      <c r="AB531" s="6">
        <f>$K$531*$V$531</f>
        <v>0</v>
      </c>
      <c r="AC531" s="6">
        <f>$M$531*$W$531</f>
        <v>11147.34816</v>
      </c>
      <c r="AD531" s="6">
        <f>$O$531*$X$531</f>
        <v>43055.183808000002</v>
      </c>
      <c r="AE531" s="6">
        <f>$K$531*$Y$531</f>
        <v>0</v>
      </c>
      <c r="AF531" s="6">
        <f ca="1">$M$531*$Z$531</f>
        <v>19264.154637763488</v>
      </c>
      <c r="AG531" s="6">
        <f ca="1">$O$531*$AA$531</f>
        <v>36542.424827999996</v>
      </c>
    </row>
    <row r="532" spans="1:33" ht="11.25" customHeight="1" x14ac:dyDescent="0.3">
      <c r="A532" s="4" t="s">
        <v>53</v>
      </c>
      <c r="B532" s="4" t="s">
        <v>39</v>
      </c>
      <c r="C532" s="4" t="s">
        <v>41</v>
      </c>
      <c r="D532" s="4" t="s">
        <v>45</v>
      </c>
      <c r="E532" s="4" t="s">
        <v>25</v>
      </c>
      <c r="F532" s="4" t="s">
        <v>25</v>
      </c>
      <c r="G532" s="4" t="s">
        <v>25</v>
      </c>
      <c r="H532" s="4" t="s">
        <v>35</v>
      </c>
      <c r="I532" s="5">
        <v>44835</v>
      </c>
      <c r="J532" s="6">
        <v>0</v>
      </c>
      <c r="K532" s="53">
        <v>0</v>
      </c>
      <c r="L532" s="6">
        <v>160.94</v>
      </c>
      <c r="M532" s="53">
        <v>160.94</v>
      </c>
      <c r="N532" s="6">
        <v>160.94</v>
      </c>
      <c r="O532" s="53">
        <v>160.94</v>
      </c>
      <c r="P532" s="6">
        <v>0</v>
      </c>
      <c r="Q532" s="4" t="s">
        <v>26</v>
      </c>
      <c r="R532" s="4">
        <v>0</v>
      </c>
      <c r="S532" s="6">
        <v>0</v>
      </c>
      <c r="T532" s="6">
        <v>6</v>
      </c>
      <c r="U532" s="6">
        <v>61</v>
      </c>
      <c r="V532" s="53">
        <f>IF(ISERROR(VLOOKUP($S$532,'TAR FIN'!$A$1:$O$113,15,0)),0,VLOOKUP($S$532,'TAR FIN'!$A$1:$O$113,15,0))</f>
        <v>0</v>
      </c>
      <c r="W532" s="53">
        <f>IF(ISERROR(VLOOKUP($T$532,'TAR FIN'!$A$1:$O$113,15,0)),0,VLOOKUP($T$532,'TAR FIN'!$A$1:$O$113,15,0))*(1-0.04)</f>
        <v>69.263999999999996</v>
      </c>
      <c r="X532" s="53">
        <f>IF(ISERROR(VLOOKUP($U$532,'TAR FIN'!$A$1:$O$113,15,0)),0,VLOOKUP($U$532,'TAR FIN'!$A$1:$O$113,15,0))*(1-0.04)</f>
        <v>267.52320000000003</v>
      </c>
      <c r="Y532" s="53"/>
      <c r="Z532" s="53">
        <f ca="1">('TUSD BE'!$AM$21+'TUSD BF_350'!$AM$21+'TUSD CVA'!$AM$21)*1*(1-0.02)</f>
        <v>119.69774225030127</v>
      </c>
      <c r="AA532" s="53">
        <f ca="1">('TE BE'!$AB$10+'TE BF_350'!$AB$10+'TE CVA'!$AB$10)*1*(1-0.02)</f>
        <v>227.05619999999999</v>
      </c>
      <c r="AB532" s="6">
        <f>$K$532*$V$532</f>
        <v>0</v>
      </c>
      <c r="AC532" s="6">
        <f>$M$532*$W$532</f>
        <v>11147.34816</v>
      </c>
      <c r="AD532" s="6">
        <f>$O$532*$X$532</f>
        <v>43055.183808000002</v>
      </c>
      <c r="AE532" s="6">
        <f>$K$532*$Y$532</f>
        <v>0</v>
      </c>
      <c r="AF532" s="6">
        <f ca="1">$M$532*$Z$532</f>
        <v>19264.154637763488</v>
      </c>
      <c r="AG532" s="6">
        <f ca="1">$O$532*$AA$532</f>
        <v>36542.424827999996</v>
      </c>
    </row>
    <row r="533" spans="1:33" ht="11.25" customHeight="1" x14ac:dyDescent="0.3">
      <c r="A533" s="4" t="s">
        <v>21</v>
      </c>
      <c r="B533" s="4" t="s">
        <v>39</v>
      </c>
      <c r="C533" s="4" t="s">
        <v>41</v>
      </c>
      <c r="D533" s="4" t="s">
        <v>45</v>
      </c>
      <c r="E533" s="4" t="s">
        <v>25</v>
      </c>
      <c r="F533" s="4" t="s">
        <v>25</v>
      </c>
      <c r="G533" s="4" t="s">
        <v>25</v>
      </c>
      <c r="H533" s="4" t="s">
        <v>25</v>
      </c>
      <c r="I533" s="5">
        <v>44501</v>
      </c>
      <c r="J533" s="6">
        <v>517</v>
      </c>
      <c r="K533" s="53">
        <v>517</v>
      </c>
      <c r="L533" s="6">
        <v>0</v>
      </c>
      <c r="M533" s="53">
        <v>0</v>
      </c>
      <c r="N533" s="6">
        <v>0</v>
      </c>
      <c r="O533" s="53">
        <v>0</v>
      </c>
      <c r="P533" s="6">
        <v>5</v>
      </c>
      <c r="Q533" s="4" t="s">
        <v>26</v>
      </c>
      <c r="R533" s="4">
        <v>0</v>
      </c>
      <c r="S533" s="6">
        <v>20</v>
      </c>
      <c r="T533" s="6">
        <v>0</v>
      </c>
      <c r="U533" s="6">
        <v>0</v>
      </c>
      <c r="V533" s="53">
        <f>IF(ISERROR(VLOOKUP($S$533,'TAR FIN'!$A$1:$O$113,15,0)),0,VLOOKUP($S$533,'TAR FIN'!$A$1:$O$113,15,0))*(1-0.04)</f>
        <v>13.44</v>
      </c>
      <c r="W533" s="53">
        <f>IF(ISERROR(VLOOKUP($T$533,'TAR FIN'!$A$1:$O$113,15,0)),0,VLOOKUP($T$533,'TAR FIN'!$A$1:$O$113,15,0))</f>
        <v>0</v>
      </c>
      <c r="X533" s="53">
        <f>IF(ISERROR(VLOOKUP($U$533,'TAR FIN'!$A$1:$O$113,15,0)),0,VLOOKUP($U$533,'TAR FIN'!$A$1:$O$113,15,0))</f>
        <v>0</v>
      </c>
      <c r="Y533" s="53">
        <f ca="1">('TUSD BE'!$AM$19+'TUSD BF_350'!$AM$19+'TUSD CVA'!$AM$19)*1*(1-0.02)</f>
        <v>15.715234844864971</v>
      </c>
      <c r="Z533" s="53"/>
      <c r="AA533" s="53"/>
      <c r="AB533" s="6">
        <f>$K$533*$V$533</f>
        <v>6948.48</v>
      </c>
      <c r="AC533" s="6">
        <f>$M$533*$W$533</f>
        <v>0</v>
      </c>
      <c r="AD533" s="6">
        <f>$O$533*$X$533</f>
        <v>0</v>
      </c>
      <c r="AE533" s="6">
        <f ca="1">$K$533*$Y$533</f>
        <v>8124.7764147951902</v>
      </c>
      <c r="AF533" s="6">
        <f>$M$533*$Z$533</f>
        <v>0</v>
      </c>
      <c r="AG533" s="6">
        <f>$O$533*$AA$533</f>
        <v>0</v>
      </c>
    </row>
    <row r="534" spans="1:33" ht="11.25" customHeight="1" x14ac:dyDescent="0.3">
      <c r="A534" s="4" t="s">
        <v>21</v>
      </c>
      <c r="B534" s="4" t="s">
        <v>39</v>
      </c>
      <c r="C534" s="4" t="s">
        <v>41</v>
      </c>
      <c r="D534" s="4" t="s">
        <v>45</v>
      </c>
      <c r="E534" s="4" t="s">
        <v>25</v>
      </c>
      <c r="F534" s="4" t="s">
        <v>25</v>
      </c>
      <c r="G534" s="4" t="s">
        <v>25</v>
      </c>
      <c r="H534" s="4" t="s">
        <v>25</v>
      </c>
      <c r="I534" s="5">
        <v>44531</v>
      </c>
      <c r="J534" s="6">
        <v>376</v>
      </c>
      <c r="K534" s="53">
        <v>376</v>
      </c>
      <c r="L534" s="6">
        <v>0</v>
      </c>
      <c r="M534" s="53">
        <v>0</v>
      </c>
      <c r="N534" s="6">
        <v>0</v>
      </c>
      <c r="O534" s="53">
        <v>0</v>
      </c>
      <c r="P534" s="6">
        <v>5</v>
      </c>
      <c r="Q534" s="4" t="s">
        <v>26</v>
      </c>
      <c r="R534" s="4">
        <v>0</v>
      </c>
      <c r="S534" s="6">
        <v>20</v>
      </c>
      <c r="T534" s="6">
        <v>0</v>
      </c>
      <c r="U534" s="6">
        <v>0</v>
      </c>
      <c r="V534" s="53">
        <f>IF(ISERROR(VLOOKUP($S$534,'TAR FIN'!$A$1:$O$113,15,0)),0,VLOOKUP($S$534,'TAR FIN'!$A$1:$O$113,15,0))*(1-0.04)</f>
        <v>13.44</v>
      </c>
      <c r="W534" s="53">
        <f>IF(ISERROR(VLOOKUP($T$534,'TAR FIN'!$A$1:$O$113,15,0)),0,VLOOKUP($T$534,'TAR FIN'!$A$1:$O$113,15,0))</f>
        <v>0</v>
      </c>
      <c r="X534" s="53">
        <f>IF(ISERROR(VLOOKUP($U$534,'TAR FIN'!$A$1:$O$113,15,0)),0,VLOOKUP($U$534,'TAR FIN'!$A$1:$O$113,15,0))</f>
        <v>0</v>
      </c>
      <c r="Y534" s="53">
        <f ca="1">('TUSD BE'!$AM$19+'TUSD BF_350'!$AM$19+'TUSD CVA'!$AM$19)*1*(1-0.02)</f>
        <v>15.715234844864971</v>
      </c>
      <c r="Z534" s="53"/>
      <c r="AA534" s="53"/>
      <c r="AB534" s="6">
        <f>$K$534*$V$534</f>
        <v>5053.4399999999996</v>
      </c>
      <c r="AC534" s="6">
        <f>$M$534*$W$534</f>
        <v>0</v>
      </c>
      <c r="AD534" s="6">
        <f>$O$534*$X$534</f>
        <v>0</v>
      </c>
      <c r="AE534" s="6">
        <f ca="1">$K$534*$Y$534</f>
        <v>5908.9283016692289</v>
      </c>
      <c r="AF534" s="6">
        <f>$M$534*$Z$534</f>
        <v>0</v>
      </c>
      <c r="AG534" s="6">
        <f>$O$534*$AA$534</f>
        <v>0</v>
      </c>
    </row>
    <row r="535" spans="1:33" ht="11.25" customHeight="1" x14ac:dyDescent="0.3">
      <c r="A535" s="4" t="s">
        <v>21</v>
      </c>
      <c r="B535" s="4" t="s">
        <v>39</v>
      </c>
      <c r="C535" s="4" t="s">
        <v>41</v>
      </c>
      <c r="D535" s="4" t="s">
        <v>45</v>
      </c>
      <c r="E535" s="4" t="s">
        <v>25</v>
      </c>
      <c r="F535" s="4" t="s">
        <v>25</v>
      </c>
      <c r="G535" s="4" t="s">
        <v>25</v>
      </c>
      <c r="H535" s="4" t="s">
        <v>25</v>
      </c>
      <c r="I535" s="5">
        <v>44562</v>
      </c>
      <c r="J535" s="6">
        <v>401</v>
      </c>
      <c r="K535" s="53">
        <v>401</v>
      </c>
      <c r="L535" s="6">
        <v>0</v>
      </c>
      <c r="M535" s="53">
        <v>0</v>
      </c>
      <c r="N535" s="6">
        <v>0</v>
      </c>
      <c r="O535" s="53">
        <v>0</v>
      </c>
      <c r="P535" s="6">
        <v>5</v>
      </c>
      <c r="Q535" s="4" t="s">
        <v>26</v>
      </c>
      <c r="R535" s="4">
        <v>0</v>
      </c>
      <c r="S535" s="6">
        <v>20</v>
      </c>
      <c r="T535" s="6">
        <v>0</v>
      </c>
      <c r="U535" s="6">
        <v>0</v>
      </c>
      <c r="V535" s="53">
        <f>IF(ISERROR(VLOOKUP($S$535,'TAR FIN'!$A$1:$O$113,15,0)),0,VLOOKUP($S$535,'TAR FIN'!$A$1:$O$113,15,0))*(1-0.04)</f>
        <v>13.44</v>
      </c>
      <c r="W535" s="53">
        <f>IF(ISERROR(VLOOKUP($T$535,'TAR FIN'!$A$1:$O$113,15,0)),0,VLOOKUP($T$535,'TAR FIN'!$A$1:$O$113,15,0))</f>
        <v>0</v>
      </c>
      <c r="X535" s="53">
        <f>IF(ISERROR(VLOOKUP($U$535,'TAR FIN'!$A$1:$O$113,15,0)),0,VLOOKUP($U$535,'TAR FIN'!$A$1:$O$113,15,0))</f>
        <v>0</v>
      </c>
      <c r="Y535" s="53">
        <f ca="1">('TUSD BE'!$AM$19+'TUSD BF_350'!$AM$19+'TUSD CVA'!$AM$19)*1*(1-0.02)</f>
        <v>15.715234844864971</v>
      </c>
      <c r="Z535" s="53"/>
      <c r="AA535" s="53"/>
      <c r="AB535" s="6">
        <f>$K$535*$V$535</f>
        <v>5389.44</v>
      </c>
      <c r="AC535" s="6">
        <f>$M$535*$W$535</f>
        <v>0</v>
      </c>
      <c r="AD535" s="6">
        <f>$O$535*$X$535</f>
        <v>0</v>
      </c>
      <c r="AE535" s="6">
        <f ca="1">$K$535*$Y$535</f>
        <v>6301.8091727908532</v>
      </c>
      <c r="AF535" s="6">
        <f>$M$535*$Z$535</f>
        <v>0</v>
      </c>
      <c r="AG535" s="6">
        <f>$O$535*$AA$535</f>
        <v>0</v>
      </c>
    </row>
    <row r="536" spans="1:33" ht="11.25" customHeight="1" x14ac:dyDescent="0.3">
      <c r="A536" s="4" t="s">
        <v>21</v>
      </c>
      <c r="B536" s="4" t="s">
        <v>39</v>
      </c>
      <c r="C536" s="4" t="s">
        <v>41</v>
      </c>
      <c r="D536" s="4" t="s">
        <v>45</v>
      </c>
      <c r="E536" s="4" t="s">
        <v>25</v>
      </c>
      <c r="F536" s="4" t="s">
        <v>25</v>
      </c>
      <c r="G536" s="4" t="s">
        <v>25</v>
      </c>
      <c r="H536" s="4" t="s">
        <v>25</v>
      </c>
      <c r="I536" s="5">
        <v>44593</v>
      </c>
      <c r="J536" s="6">
        <v>395</v>
      </c>
      <c r="K536" s="53">
        <v>395</v>
      </c>
      <c r="L536" s="6">
        <v>0</v>
      </c>
      <c r="M536" s="53">
        <v>0</v>
      </c>
      <c r="N536" s="6">
        <v>0</v>
      </c>
      <c r="O536" s="53">
        <v>0</v>
      </c>
      <c r="P536" s="6">
        <v>5</v>
      </c>
      <c r="Q536" s="4" t="s">
        <v>26</v>
      </c>
      <c r="R536" s="4">
        <v>0</v>
      </c>
      <c r="S536" s="6">
        <v>20</v>
      </c>
      <c r="T536" s="6">
        <v>0</v>
      </c>
      <c r="U536" s="6">
        <v>0</v>
      </c>
      <c r="V536" s="53">
        <f>IF(ISERROR(VLOOKUP($S$536,'TAR FIN'!$A$1:$O$113,15,0)),0,VLOOKUP($S$536,'TAR FIN'!$A$1:$O$113,15,0))*(1-0.04)</f>
        <v>13.44</v>
      </c>
      <c r="W536" s="53">
        <f>IF(ISERROR(VLOOKUP($T$536,'TAR FIN'!$A$1:$O$113,15,0)),0,VLOOKUP($T$536,'TAR FIN'!$A$1:$O$113,15,0))</f>
        <v>0</v>
      </c>
      <c r="X536" s="53">
        <f>IF(ISERROR(VLOOKUP($U$536,'TAR FIN'!$A$1:$O$113,15,0)),0,VLOOKUP($U$536,'TAR FIN'!$A$1:$O$113,15,0))</f>
        <v>0</v>
      </c>
      <c r="Y536" s="53">
        <f ca="1">('TUSD BE'!$AM$19+'TUSD BF_350'!$AM$19+'TUSD CVA'!$AM$19)*1*(1-0.02)</f>
        <v>15.715234844864971</v>
      </c>
      <c r="Z536" s="53"/>
      <c r="AA536" s="53"/>
      <c r="AB536" s="6">
        <f>$K$536*$V$536</f>
        <v>5308.8</v>
      </c>
      <c r="AC536" s="6">
        <f>$M$536*$W$536</f>
        <v>0</v>
      </c>
      <c r="AD536" s="6">
        <f>$O$536*$X$536</f>
        <v>0</v>
      </c>
      <c r="AE536" s="6">
        <f ca="1">$K$536*$Y$536</f>
        <v>6207.5177637216639</v>
      </c>
      <c r="AF536" s="6">
        <f>$M$536*$Z$536</f>
        <v>0</v>
      </c>
      <c r="AG536" s="6">
        <f>$O$536*$AA$536</f>
        <v>0</v>
      </c>
    </row>
    <row r="537" spans="1:33" ht="11.25" customHeight="1" x14ac:dyDescent="0.3">
      <c r="A537" s="4" t="s">
        <v>21</v>
      </c>
      <c r="B537" s="4" t="s">
        <v>39</v>
      </c>
      <c r="C537" s="4" t="s">
        <v>41</v>
      </c>
      <c r="D537" s="4" t="s">
        <v>45</v>
      </c>
      <c r="E537" s="4" t="s">
        <v>25</v>
      </c>
      <c r="F537" s="4" t="s">
        <v>25</v>
      </c>
      <c r="G537" s="4" t="s">
        <v>25</v>
      </c>
      <c r="H537" s="4" t="s">
        <v>25</v>
      </c>
      <c r="I537" s="5">
        <v>44621</v>
      </c>
      <c r="J537" s="6">
        <v>365</v>
      </c>
      <c r="K537" s="53">
        <v>365</v>
      </c>
      <c r="L537" s="6">
        <v>0</v>
      </c>
      <c r="M537" s="53">
        <v>0</v>
      </c>
      <c r="N537" s="6">
        <v>0</v>
      </c>
      <c r="O537" s="53">
        <v>0</v>
      </c>
      <c r="P537" s="6">
        <v>5</v>
      </c>
      <c r="Q537" s="4" t="s">
        <v>26</v>
      </c>
      <c r="R537" s="4">
        <v>0</v>
      </c>
      <c r="S537" s="6">
        <v>20</v>
      </c>
      <c r="T537" s="6">
        <v>0</v>
      </c>
      <c r="U537" s="6">
        <v>0</v>
      </c>
      <c r="V537" s="53">
        <f>IF(ISERROR(VLOOKUP($S$537,'TAR FIN'!$A$1:$O$113,15,0)),0,VLOOKUP($S$537,'TAR FIN'!$A$1:$O$113,15,0))*(1-0.04)</f>
        <v>13.44</v>
      </c>
      <c r="W537" s="53">
        <f>IF(ISERROR(VLOOKUP($T$537,'TAR FIN'!$A$1:$O$113,15,0)),0,VLOOKUP($T$537,'TAR FIN'!$A$1:$O$113,15,0))</f>
        <v>0</v>
      </c>
      <c r="X537" s="53">
        <f>IF(ISERROR(VLOOKUP($U$537,'TAR FIN'!$A$1:$O$113,15,0)),0,VLOOKUP($U$537,'TAR FIN'!$A$1:$O$113,15,0))</f>
        <v>0</v>
      </c>
      <c r="Y537" s="53">
        <f ca="1">('TUSD BE'!$AM$19+'TUSD BF_350'!$AM$19+'TUSD CVA'!$AM$19)*1*(1-0.02)</f>
        <v>15.715234844864971</v>
      </c>
      <c r="Z537" s="53"/>
      <c r="AA537" s="53"/>
      <c r="AB537" s="6">
        <f>$K$537*$V$537</f>
        <v>4905.5999999999995</v>
      </c>
      <c r="AC537" s="6">
        <f>$M$537*$W$537</f>
        <v>0</v>
      </c>
      <c r="AD537" s="6">
        <f>$O$537*$X$537</f>
        <v>0</v>
      </c>
      <c r="AE537" s="6">
        <f ca="1">$K$537*$Y$537</f>
        <v>5736.0607183757147</v>
      </c>
      <c r="AF537" s="6">
        <f>$M$537*$Z$537</f>
        <v>0</v>
      </c>
      <c r="AG537" s="6">
        <f>$O$537*$AA$537</f>
        <v>0</v>
      </c>
    </row>
    <row r="538" spans="1:33" ht="11.25" customHeight="1" x14ac:dyDescent="0.3">
      <c r="A538" s="4" t="s">
        <v>21</v>
      </c>
      <c r="B538" s="4" t="s">
        <v>39</v>
      </c>
      <c r="C538" s="4" t="s">
        <v>41</v>
      </c>
      <c r="D538" s="4" t="s">
        <v>45</v>
      </c>
      <c r="E538" s="4" t="s">
        <v>25</v>
      </c>
      <c r="F538" s="4" t="s">
        <v>25</v>
      </c>
      <c r="G538" s="4" t="s">
        <v>25</v>
      </c>
      <c r="H538" s="4" t="s">
        <v>25</v>
      </c>
      <c r="I538" s="5">
        <v>44652</v>
      </c>
      <c r="J538" s="6">
        <v>422</v>
      </c>
      <c r="K538" s="53">
        <v>422</v>
      </c>
      <c r="L538" s="6">
        <v>0</v>
      </c>
      <c r="M538" s="53">
        <v>0</v>
      </c>
      <c r="N538" s="6">
        <v>0</v>
      </c>
      <c r="O538" s="53">
        <v>0</v>
      </c>
      <c r="P538" s="6">
        <v>5</v>
      </c>
      <c r="Q538" s="4" t="s">
        <v>26</v>
      </c>
      <c r="R538" s="4">
        <v>0</v>
      </c>
      <c r="S538" s="6">
        <v>20</v>
      </c>
      <c r="T538" s="6">
        <v>0</v>
      </c>
      <c r="U538" s="6">
        <v>0</v>
      </c>
      <c r="V538" s="53">
        <f>IF(ISERROR(VLOOKUP($S$538,'TAR FIN'!$A$1:$O$113,15,0)),0,VLOOKUP($S$538,'TAR FIN'!$A$1:$O$113,15,0))*(1-0.04)</f>
        <v>13.44</v>
      </c>
      <c r="W538" s="53">
        <f>IF(ISERROR(VLOOKUP($T$538,'TAR FIN'!$A$1:$O$113,15,0)),0,VLOOKUP($T$538,'TAR FIN'!$A$1:$O$113,15,0))</f>
        <v>0</v>
      </c>
      <c r="X538" s="53">
        <f>IF(ISERROR(VLOOKUP($U$538,'TAR FIN'!$A$1:$O$113,15,0)),0,VLOOKUP($U$538,'TAR FIN'!$A$1:$O$113,15,0))</f>
        <v>0</v>
      </c>
      <c r="Y538" s="53">
        <f ca="1">('TUSD BE'!$AM$19+'TUSD BF_350'!$AM$19+'TUSD CVA'!$AM$19)*1*(1-0.02)</f>
        <v>15.715234844864971</v>
      </c>
      <c r="Z538" s="53"/>
      <c r="AA538" s="53"/>
      <c r="AB538" s="6">
        <f>$K$538*$V$538</f>
        <v>5671.6799999999994</v>
      </c>
      <c r="AC538" s="6">
        <f>$M$538*$W$538</f>
        <v>0</v>
      </c>
      <c r="AD538" s="6">
        <f>$O$538*$X$538</f>
        <v>0</v>
      </c>
      <c r="AE538" s="6">
        <f ca="1">$K$538*$Y$538</f>
        <v>6631.8291045330179</v>
      </c>
      <c r="AF538" s="6">
        <f>$M$538*$Z$538</f>
        <v>0</v>
      </c>
      <c r="AG538" s="6">
        <f>$O$538*$AA$538</f>
        <v>0</v>
      </c>
    </row>
    <row r="539" spans="1:33" ht="11.25" customHeight="1" x14ac:dyDescent="0.3">
      <c r="A539" s="4" t="s">
        <v>21</v>
      </c>
      <c r="B539" s="4" t="s">
        <v>39</v>
      </c>
      <c r="C539" s="4" t="s">
        <v>41</v>
      </c>
      <c r="D539" s="4" t="s">
        <v>45</v>
      </c>
      <c r="E539" s="4" t="s">
        <v>25</v>
      </c>
      <c r="F539" s="4" t="s">
        <v>25</v>
      </c>
      <c r="G539" s="4" t="s">
        <v>25</v>
      </c>
      <c r="H539" s="4" t="s">
        <v>25</v>
      </c>
      <c r="I539" s="5">
        <v>44682</v>
      </c>
      <c r="J539" s="6">
        <v>403</v>
      </c>
      <c r="K539" s="53">
        <v>403</v>
      </c>
      <c r="L539" s="6">
        <v>0</v>
      </c>
      <c r="M539" s="53">
        <v>0</v>
      </c>
      <c r="N539" s="6">
        <v>0</v>
      </c>
      <c r="O539" s="53">
        <v>0</v>
      </c>
      <c r="P539" s="6">
        <v>5</v>
      </c>
      <c r="Q539" s="4" t="s">
        <v>26</v>
      </c>
      <c r="R539" s="4">
        <v>0</v>
      </c>
      <c r="S539" s="6">
        <v>20</v>
      </c>
      <c r="T539" s="6">
        <v>0</v>
      </c>
      <c r="U539" s="6">
        <v>0</v>
      </c>
      <c r="V539" s="53">
        <f>IF(ISERROR(VLOOKUP($S$539,'TAR FIN'!$A$1:$O$113,15,0)),0,VLOOKUP($S$539,'TAR FIN'!$A$1:$O$113,15,0))*(1-0.04)</f>
        <v>13.44</v>
      </c>
      <c r="W539" s="53">
        <f>IF(ISERROR(VLOOKUP($T$539,'TAR FIN'!$A$1:$O$113,15,0)),0,VLOOKUP($T$539,'TAR FIN'!$A$1:$O$113,15,0))</f>
        <v>0</v>
      </c>
      <c r="X539" s="53">
        <f>IF(ISERROR(VLOOKUP($U$539,'TAR FIN'!$A$1:$O$113,15,0)),0,VLOOKUP($U$539,'TAR FIN'!$A$1:$O$113,15,0))</f>
        <v>0</v>
      </c>
      <c r="Y539" s="53">
        <f ca="1">('TUSD BE'!$AM$19+'TUSD BF_350'!$AM$19+'TUSD CVA'!$AM$19)*1*(1-0.02)</f>
        <v>15.715234844864971</v>
      </c>
      <c r="Z539" s="53"/>
      <c r="AA539" s="53"/>
      <c r="AB539" s="6">
        <f>$K$539*$V$539</f>
        <v>5416.32</v>
      </c>
      <c r="AC539" s="6">
        <f>$M$539*$W$539</f>
        <v>0</v>
      </c>
      <c r="AD539" s="6">
        <f>$O$539*$X$539</f>
        <v>0</v>
      </c>
      <c r="AE539" s="6">
        <f ca="1">$K$539*$Y$539</f>
        <v>6333.2396424805838</v>
      </c>
      <c r="AF539" s="6">
        <f>$M$539*$Z$539</f>
        <v>0</v>
      </c>
      <c r="AG539" s="6">
        <f>$O$539*$AA$539</f>
        <v>0</v>
      </c>
    </row>
    <row r="540" spans="1:33" ht="11.25" customHeight="1" x14ac:dyDescent="0.3">
      <c r="A540" s="4" t="s">
        <v>21</v>
      </c>
      <c r="B540" s="4" t="s">
        <v>39</v>
      </c>
      <c r="C540" s="4" t="s">
        <v>41</v>
      </c>
      <c r="D540" s="4" t="s">
        <v>45</v>
      </c>
      <c r="E540" s="4" t="s">
        <v>25</v>
      </c>
      <c r="F540" s="4" t="s">
        <v>25</v>
      </c>
      <c r="G540" s="4" t="s">
        <v>25</v>
      </c>
      <c r="H540" s="4" t="s">
        <v>25</v>
      </c>
      <c r="I540" s="5">
        <v>44713</v>
      </c>
      <c r="J540" s="6">
        <v>365</v>
      </c>
      <c r="K540" s="53">
        <v>365</v>
      </c>
      <c r="L540" s="6">
        <v>0</v>
      </c>
      <c r="M540" s="53">
        <v>0</v>
      </c>
      <c r="N540" s="6">
        <v>0</v>
      </c>
      <c r="O540" s="53">
        <v>0</v>
      </c>
      <c r="P540" s="6">
        <v>5</v>
      </c>
      <c r="Q540" s="4" t="s">
        <v>26</v>
      </c>
      <c r="R540" s="4">
        <v>0</v>
      </c>
      <c r="S540" s="6">
        <v>20</v>
      </c>
      <c r="T540" s="6">
        <v>0</v>
      </c>
      <c r="U540" s="6">
        <v>0</v>
      </c>
      <c r="V540" s="53">
        <f>IF(ISERROR(VLOOKUP($S$540,'TAR FIN'!$A$1:$O$113,15,0)),0,VLOOKUP($S$540,'TAR FIN'!$A$1:$O$113,15,0))*(1-0.04)</f>
        <v>13.44</v>
      </c>
      <c r="W540" s="53">
        <f>IF(ISERROR(VLOOKUP($T$540,'TAR FIN'!$A$1:$O$113,15,0)),0,VLOOKUP($T$540,'TAR FIN'!$A$1:$O$113,15,0))</f>
        <v>0</v>
      </c>
      <c r="X540" s="53">
        <f>IF(ISERROR(VLOOKUP($U$540,'TAR FIN'!$A$1:$O$113,15,0)),0,VLOOKUP($U$540,'TAR FIN'!$A$1:$O$113,15,0))</f>
        <v>0</v>
      </c>
      <c r="Y540" s="53">
        <f ca="1">('TUSD BE'!$AM$19+'TUSD BF_350'!$AM$19+'TUSD CVA'!$AM$19)*1*(1-0.02)</f>
        <v>15.715234844864971</v>
      </c>
      <c r="Z540" s="53"/>
      <c r="AA540" s="53"/>
      <c r="AB540" s="6">
        <f>$K$540*$V$540</f>
        <v>4905.5999999999995</v>
      </c>
      <c r="AC540" s="6">
        <f>$M$540*$W$540</f>
        <v>0</v>
      </c>
      <c r="AD540" s="6">
        <f>$O$540*$X$540</f>
        <v>0</v>
      </c>
      <c r="AE540" s="6">
        <f ca="1">$K$540*$Y$540</f>
        <v>5736.0607183757147</v>
      </c>
      <c r="AF540" s="6">
        <f>$M$540*$Z$540</f>
        <v>0</v>
      </c>
      <c r="AG540" s="6">
        <f>$O$540*$AA$540</f>
        <v>0</v>
      </c>
    </row>
    <row r="541" spans="1:33" ht="11.25" customHeight="1" x14ac:dyDescent="0.3">
      <c r="A541" s="4" t="s">
        <v>21</v>
      </c>
      <c r="B541" s="4" t="s">
        <v>39</v>
      </c>
      <c r="C541" s="4" t="s">
        <v>41</v>
      </c>
      <c r="D541" s="4" t="s">
        <v>45</v>
      </c>
      <c r="E541" s="4" t="s">
        <v>25</v>
      </c>
      <c r="F541" s="4" t="s">
        <v>25</v>
      </c>
      <c r="G541" s="4" t="s">
        <v>25</v>
      </c>
      <c r="H541" s="4" t="s">
        <v>25</v>
      </c>
      <c r="I541" s="5">
        <v>44743</v>
      </c>
      <c r="J541" s="6">
        <v>416</v>
      </c>
      <c r="K541" s="53">
        <v>416</v>
      </c>
      <c r="L541" s="6">
        <v>0</v>
      </c>
      <c r="M541" s="53">
        <v>0</v>
      </c>
      <c r="N541" s="6">
        <v>0</v>
      </c>
      <c r="O541" s="53">
        <v>0</v>
      </c>
      <c r="P541" s="6">
        <v>4</v>
      </c>
      <c r="Q541" s="4" t="s">
        <v>26</v>
      </c>
      <c r="R541" s="4">
        <v>0</v>
      </c>
      <c r="S541" s="6">
        <v>20</v>
      </c>
      <c r="T541" s="6">
        <v>0</v>
      </c>
      <c r="U541" s="6">
        <v>0</v>
      </c>
      <c r="V541" s="53">
        <f>IF(ISERROR(VLOOKUP($S$541,'TAR FIN'!$A$1:$O$113,15,0)),0,VLOOKUP($S$541,'TAR FIN'!$A$1:$O$113,15,0))*(1-0.04)</f>
        <v>13.44</v>
      </c>
      <c r="W541" s="53">
        <f>IF(ISERROR(VLOOKUP($T$541,'TAR FIN'!$A$1:$O$113,15,0)),0,VLOOKUP($T$541,'TAR FIN'!$A$1:$O$113,15,0))</f>
        <v>0</v>
      </c>
      <c r="X541" s="53">
        <f>IF(ISERROR(VLOOKUP($U$541,'TAR FIN'!$A$1:$O$113,15,0)),0,VLOOKUP($U$541,'TAR FIN'!$A$1:$O$113,15,0))</f>
        <v>0</v>
      </c>
      <c r="Y541" s="53">
        <f ca="1">('TUSD BE'!$AM$19+'TUSD BF_350'!$AM$19+'TUSD CVA'!$AM$19)*1*(1-0.02)</f>
        <v>15.715234844864971</v>
      </c>
      <c r="Z541" s="53"/>
      <c r="AA541" s="53"/>
      <c r="AB541" s="6">
        <f>$K$541*$V$541</f>
        <v>5591.04</v>
      </c>
      <c r="AC541" s="6">
        <f>$M$541*$W$541</f>
        <v>0</v>
      </c>
      <c r="AD541" s="6">
        <f>$O$541*$X$541</f>
        <v>0</v>
      </c>
      <c r="AE541" s="6">
        <f ca="1">$K$541*$Y$541</f>
        <v>6537.5376954638277</v>
      </c>
      <c r="AF541" s="6">
        <f>$M$541*$Z$541</f>
        <v>0</v>
      </c>
      <c r="AG541" s="6">
        <f>$O$541*$AA$541</f>
        <v>0</v>
      </c>
    </row>
    <row r="542" spans="1:33" ht="11.25" customHeight="1" x14ac:dyDescent="0.3">
      <c r="A542" s="4" t="s">
        <v>21</v>
      </c>
      <c r="B542" s="4" t="s">
        <v>39</v>
      </c>
      <c r="C542" s="4" t="s">
        <v>41</v>
      </c>
      <c r="D542" s="4" t="s">
        <v>45</v>
      </c>
      <c r="E542" s="4" t="s">
        <v>25</v>
      </c>
      <c r="F542" s="4" t="s">
        <v>25</v>
      </c>
      <c r="G542" s="4" t="s">
        <v>25</v>
      </c>
      <c r="H542" s="4" t="s">
        <v>25</v>
      </c>
      <c r="I542" s="5">
        <v>44774</v>
      </c>
      <c r="J542" s="6">
        <v>366</v>
      </c>
      <c r="K542" s="53">
        <v>366</v>
      </c>
      <c r="L542" s="6">
        <v>0</v>
      </c>
      <c r="M542" s="53">
        <v>0</v>
      </c>
      <c r="N542" s="6">
        <v>0</v>
      </c>
      <c r="O542" s="53">
        <v>0</v>
      </c>
      <c r="P542" s="6">
        <v>5</v>
      </c>
      <c r="Q542" s="4" t="s">
        <v>26</v>
      </c>
      <c r="R542" s="4">
        <v>0</v>
      </c>
      <c r="S542" s="6">
        <v>20</v>
      </c>
      <c r="T542" s="6">
        <v>0</v>
      </c>
      <c r="U542" s="6">
        <v>0</v>
      </c>
      <c r="V542" s="53">
        <f>IF(ISERROR(VLOOKUP($S$542,'TAR FIN'!$A$1:$O$113,15,0)),0,VLOOKUP($S$542,'TAR FIN'!$A$1:$O$113,15,0))*(1-0.04)</f>
        <v>13.44</v>
      </c>
      <c r="W542" s="53">
        <f>IF(ISERROR(VLOOKUP($T$542,'TAR FIN'!$A$1:$O$113,15,0)),0,VLOOKUP($T$542,'TAR FIN'!$A$1:$O$113,15,0))</f>
        <v>0</v>
      </c>
      <c r="X542" s="53">
        <f>IF(ISERROR(VLOOKUP($U$542,'TAR FIN'!$A$1:$O$113,15,0)),0,VLOOKUP($U$542,'TAR FIN'!$A$1:$O$113,15,0))</f>
        <v>0</v>
      </c>
      <c r="Y542" s="53">
        <f ca="1">('TUSD BE'!$AM$19+'TUSD BF_350'!$AM$19+'TUSD CVA'!$AM$19)*1*(1-0.02)</f>
        <v>15.715234844864971</v>
      </c>
      <c r="Z542" s="53"/>
      <c r="AA542" s="53"/>
      <c r="AB542" s="6">
        <f>$K$542*$V$542</f>
        <v>4919.04</v>
      </c>
      <c r="AC542" s="6">
        <f>$M$542*$W$542</f>
        <v>0</v>
      </c>
      <c r="AD542" s="6">
        <f>$O$542*$X$542</f>
        <v>0</v>
      </c>
      <c r="AE542" s="6">
        <f ca="1">$K$542*$Y$542</f>
        <v>5751.7759532205791</v>
      </c>
      <c r="AF542" s="6">
        <f>$M$542*$Z$542</f>
        <v>0</v>
      </c>
      <c r="AG542" s="6">
        <f>$O$542*$AA$542</f>
        <v>0</v>
      </c>
    </row>
    <row r="543" spans="1:33" ht="11.25" customHeight="1" x14ac:dyDescent="0.3">
      <c r="A543" s="4" t="s">
        <v>21</v>
      </c>
      <c r="B543" s="4" t="s">
        <v>39</v>
      </c>
      <c r="C543" s="4" t="s">
        <v>41</v>
      </c>
      <c r="D543" s="4" t="s">
        <v>45</v>
      </c>
      <c r="E543" s="4" t="s">
        <v>25</v>
      </c>
      <c r="F543" s="4" t="s">
        <v>25</v>
      </c>
      <c r="G543" s="4" t="s">
        <v>25</v>
      </c>
      <c r="H543" s="4" t="s">
        <v>25</v>
      </c>
      <c r="I543" s="5">
        <v>44805</v>
      </c>
      <c r="J543" s="6">
        <v>838</v>
      </c>
      <c r="K543" s="53">
        <v>838</v>
      </c>
      <c r="L543" s="6">
        <v>0</v>
      </c>
      <c r="M543" s="53">
        <v>0</v>
      </c>
      <c r="N543" s="6">
        <v>0</v>
      </c>
      <c r="O543" s="53">
        <v>0</v>
      </c>
      <c r="P543" s="6">
        <v>6</v>
      </c>
      <c r="Q543" s="4" t="s">
        <v>26</v>
      </c>
      <c r="R543" s="4">
        <v>0</v>
      </c>
      <c r="S543" s="6">
        <v>20</v>
      </c>
      <c r="T543" s="6">
        <v>0</v>
      </c>
      <c r="U543" s="6">
        <v>0</v>
      </c>
      <c r="V543" s="53">
        <f>IF(ISERROR(VLOOKUP($S$543,'TAR FIN'!$A$1:$O$113,15,0)),0,VLOOKUP($S$543,'TAR FIN'!$A$1:$O$113,15,0))*(1-0.04)</f>
        <v>13.44</v>
      </c>
      <c r="W543" s="53">
        <f>IF(ISERROR(VLOOKUP($T$543,'TAR FIN'!$A$1:$O$113,15,0)),0,VLOOKUP($T$543,'TAR FIN'!$A$1:$O$113,15,0))</f>
        <v>0</v>
      </c>
      <c r="X543" s="53">
        <f>IF(ISERROR(VLOOKUP($U$543,'TAR FIN'!$A$1:$O$113,15,0)),0,VLOOKUP($U$543,'TAR FIN'!$A$1:$O$113,15,0))</f>
        <v>0</v>
      </c>
      <c r="Y543" s="53">
        <f ca="1">('TUSD BE'!$AM$19+'TUSD BF_350'!$AM$19+'TUSD CVA'!$AM$19)*1*(1-0.02)</f>
        <v>15.715234844864971</v>
      </c>
      <c r="Z543" s="53"/>
      <c r="AA543" s="53"/>
      <c r="AB543" s="6">
        <f>$K$543*$V$543</f>
        <v>11262.72</v>
      </c>
      <c r="AC543" s="6">
        <f>$M$543*$W$543</f>
        <v>0</v>
      </c>
      <c r="AD543" s="6">
        <f>$O$543*$X$543</f>
        <v>0</v>
      </c>
      <c r="AE543" s="6">
        <f ca="1">$K$543*$Y$543</f>
        <v>13169.366799996846</v>
      </c>
      <c r="AF543" s="6">
        <f>$M$543*$Z$543</f>
        <v>0</v>
      </c>
      <c r="AG543" s="6">
        <f>$O$543*$AA$543</f>
        <v>0</v>
      </c>
    </row>
    <row r="544" spans="1:33" ht="11.25" customHeight="1" x14ac:dyDescent="0.3">
      <c r="A544" s="4" t="s">
        <v>53</v>
      </c>
      <c r="B544" s="4" t="s">
        <v>39</v>
      </c>
      <c r="C544" s="4" t="s">
        <v>41</v>
      </c>
      <c r="D544" s="4" t="s">
        <v>45</v>
      </c>
      <c r="E544" s="4" t="s">
        <v>25</v>
      </c>
      <c r="F544" s="4" t="s">
        <v>25</v>
      </c>
      <c r="G544" s="4" t="s">
        <v>25</v>
      </c>
      <c r="H544" s="4" t="s">
        <v>25</v>
      </c>
      <c r="I544" s="5">
        <v>44835</v>
      </c>
      <c r="J544" s="6">
        <v>838</v>
      </c>
      <c r="K544" s="53">
        <v>838</v>
      </c>
      <c r="L544" s="6">
        <v>0</v>
      </c>
      <c r="M544" s="53">
        <v>0</v>
      </c>
      <c r="N544" s="6">
        <v>0</v>
      </c>
      <c r="O544" s="53">
        <v>0</v>
      </c>
      <c r="P544" s="6">
        <v>6</v>
      </c>
      <c r="Q544" s="4" t="s">
        <v>26</v>
      </c>
      <c r="R544" s="4">
        <v>0</v>
      </c>
      <c r="S544" s="6">
        <v>20</v>
      </c>
      <c r="T544" s="6">
        <v>0</v>
      </c>
      <c r="U544" s="6">
        <v>0</v>
      </c>
      <c r="V544" s="53">
        <f>IF(ISERROR(VLOOKUP($S$544,'TAR FIN'!$A$1:$O$113,15,0)),0,VLOOKUP($S$544,'TAR FIN'!$A$1:$O$113,15,0))*(1-0.04)</f>
        <v>13.44</v>
      </c>
      <c r="W544" s="53">
        <f>IF(ISERROR(VLOOKUP($T$544,'TAR FIN'!$A$1:$O$113,15,0)),0,VLOOKUP($T$544,'TAR FIN'!$A$1:$O$113,15,0))</f>
        <v>0</v>
      </c>
      <c r="X544" s="53">
        <f>IF(ISERROR(VLOOKUP($U$544,'TAR FIN'!$A$1:$O$113,15,0)),0,VLOOKUP($U$544,'TAR FIN'!$A$1:$O$113,15,0))</f>
        <v>0</v>
      </c>
      <c r="Y544" s="53">
        <f ca="1">('TUSD BE'!$AM$19+'TUSD BF_350'!$AM$19+'TUSD CVA'!$AM$19)*1*(1-0.02)</f>
        <v>15.715234844864971</v>
      </c>
      <c r="Z544" s="53"/>
      <c r="AA544" s="53"/>
      <c r="AB544" s="6">
        <f>$K$544*$V$544</f>
        <v>11262.72</v>
      </c>
      <c r="AC544" s="6">
        <f>$M$544*$W$544</f>
        <v>0</v>
      </c>
      <c r="AD544" s="6">
        <f>$O$544*$X$544</f>
        <v>0</v>
      </c>
      <c r="AE544" s="6">
        <f ca="1">$K$544*$Y$544</f>
        <v>13169.366799996846</v>
      </c>
      <c r="AF544" s="6">
        <f>$M$544*$Z$544</f>
        <v>0</v>
      </c>
      <c r="AG544" s="6">
        <f>$O$544*$AA$544</f>
        <v>0</v>
      </c>
    </row>
    <row r="545" spans="1:33" ht="11.25" customHeight="1" x14ac:dyDescent="0.3">
      <c r="A545" s="4" t="s">
        <v>21</v>
      </c>
      <c r="B545" s="4" t="s">
        <v>39</v>
      </c>
      <c r="C545" s="4" t="s">
        <v>41</v>
      </c>
      <c r="D545" s="4" t="s">
        <v>45</v>
      </c>
      <c r="E545" s="4" t="s">
        <v>25</v>
      </c>
      <c r="F545" s="4" t="s">
        <v>25</v>
      </c>
      <c r="G545" s="4" t="s">
        <v>25</v>
      </c>
      <c r="H545" s="4" t="s">
        <v>34</v>
      </c>
      <c r="I545" s="5">
        <v>44501</v>
      </c>
      <c r="J545" s="6">
        <v>0</v>
      </c>
      <c r="K545" s="53">
        <v>0</v>
      </c>
      <c r="L545" s="6">
        <v>9.2420000000000009</v>
      </c>
      <c r="M545" s="53">
        <v>9.2420000000000009</v>
      </c>
      <c r="N545" s="6">
        <v>9.2420000000000009</v>
      </c>
      <c r="O545" s="53">
        <v>9.2420000000000009</v>
      </c>
      <c r="P545" s="6">
        <v>0</v>
      </c>
      <c r="Q545" s="4" t="s">
        <v>26</v>
      </c>
      <c r="R545" s="4">
        <v>0</v>
      </c>
      <c r="S545" s="6">
        <v>0</v>
      </c>
      <c r="T545" s="6">
        <v>8</v>
      </c>
      <c r="U545" s="6">
        <v>38</v>
      </c>
      <c r="V545" s="53">
        <f>IF(ISERROR(VLOOKUP($S$545,'TAR FIN'!$A$1:$O$113,15,0)),0,VLOOKUP($S$545,'TAR FIN'!$A$1:$O$113,15,0))</f>
        <v>0</v>
      </c>
      <c r="W545" s="53">
        <f>IF(ISERROR(VLOOKUP($T$545,'TAR FIN'!$A$1:$O$113,15,0)),0,VLOOKUP($T$545,'TAR FIN'!$A$1:$O$113,15,0))*(1-0.04)</f>
        <v>902.81279999999992</v>
      </c>
      <c r="X545" s="53">
        <f>IF(ISERROR(VLOOKUP($U$545,'TAR FIN'!$A$1:$O$113,15,0)),0,VLOOKUP($U$545,'TAR FIN'!$A$1:$O$113,15,0))*(1-0.04)</f>
        <v>425.1456</v>
      </c>
      <c r="Y545" s="53"/>
      <c r="Z545" s="53">
        <f ca="1">('TUSD BE'!$AM$20+'TUSD BF_350'!$AM$20+'TUSD CVA'!$AM$20)*1*(1-0.02)</f>
        <v>1095.4719877170419</v>
      </c>
      <c r="AA545" s="53">
        <f ca="1">('TE BE'!$AB$9+'TE BF_350'!$AB$9+'TE CVA'!$AB$9)*1*(1-0.02)</f>
        <v>371.72379999999993</v>
      </c>
      <c r="AB545" s="6">
        <f>$K$545*$V$545</f>
        <v>0</v>
      </c>
      <c r="AC545" s="6">
        <f>$M$545*$W$545</f>
        <v>8343.7958976000009</v>
      </c>
      <c r="AD545" s="6">
        <f>$O$545*$X$545</f>
        <v>3929.1956352000002</v>
      </c>
      <c r="AE545" s="6">
        <f>$K$545*$Y$545</f>
        <v>0</v>
      </c>
      <c r="AF545" s="6">
        <f ca="1">$M$545*$Z$545</f>
        <v>10124.352110480902</v>
      </c>
      <c r="AG545" s="6">
        <f ca="1">$O$545*$AA$545</f>
        <v>3435.4713595999997</v>
      </c>
    </row>
    <row r="546" spans="1:33" ht="11.25" customHeight="1" x14ac:dyDescent="0.3">
      <c r="A546" s="4" t="s">
        <v>21</v>
      </c>
      <c r="B546" s="4" t="s">
        <v>39</v>
      </c>
      <c r="C546" s="4" t="s">
        <v>41</v>
      </c>
      <c r="D546" s="4" t="s">
        <v>45</v>
      </c>
      <c r="E546" s="4" t="s">
        <v>25</v>
      </c>
      <c r="F546" s="4" t="s">
        <v>25</v>
      </c>
      <c r="G546" s="4" t="s">
        <v>25</v>
      </c>
      <c r="H546" s="4" t="s">
        <v>34</v>
      </c>
      <c r="I546" s="5">
        <v>44531</v>
      </c>
      <c r="J546" s="6">
        <v>0</v>
      </c>
      <c r="K546" s="53">
        <v>0</v>
      </c>
      <c r="L546" s="6">
        <v>9.8689999999999998</v>
      </c>
      <c r="M546" s="53">
        <v>9.8689999999999998</v>
      </c>
      <c r="N546" s="6">
        <v>9.8689999999999998</v>
      </c>
      <c r="O546" s="53">
        <v>9.8689999999999998</v>
      </c>
      <c r="P546" s="6">
        <v>0</v>
      </c>
      <c r="Q546" s="4" t="s">
        <v>26</v>
      </c>
      <c r="R546" s="4">
        <v>0</v>
      </c>
      <c r="S546" s="6">
        <v>0</v>
      </c>
      <c r="T546" s="6">
        <v>8</v>
      </c>
      <c r="U546" s="6">
        <v>38</v>
      </c>
      <c r="V546" s="53">
        <f>IF(ISERROR(VLOOKUP($S$546,'TAR FIN'!$A$1:$O$113,15,0)),0,VLOOKUP($S$546,'TAR FIN'!$A$1:$O$113,15,0))</f>
        <v>0</v>
      </c>
      <c r="W546" s="53">
        <f>IF(ISERROR(VLOOKUP($T$546,'TAR FIN'!$A$1:$O$113,15,0)),0,VLOOKUP($T$546,'TAR FIN'!$A$1:$O$113,15,0))*(1-0.04)</f>
        <v>902.81279999999992</v>
      </c>
      <c r="X546" s="53">
        <f>IF(ISERROR(VLOOKUP($U$546,'TAR FIN'!$A$1:$O$113,15,0)),0,VLOOKUP($U$546,'TAR FIN'!$A$1:$O$113,15,0))*(1-0.04)</f>
        <v>425.1456</v>
      </c>
      <c r="Y546" s="53"/>
      <c r="Z546" s="53">
        <f ca="1">('TUSD BE'!$AM$20+'TUSD BF_350'!$AM$20+'TUSD CVA'!$AM$20)*1*(1-0.02)</f>
        <v>1095.4719877170419</v>
      </c>
      <c r="AA546" s="53">
        <f ca="1">('TE BE'!$AB$9+'TE BF_350'!$AB$9+'TE CVA'!$AB$9)*1*(1-0.02)</f>
        <v>371.72379999999993</v>
      </c>
      <c r="AB546" s="6">
        <f>$K$546*$V$546</f>
        <v>0</v>
      </c>
      <c r="AC546" s="6">
        <f>$M$546*$W$546</f>
        <v>8909.8595231999989</v>
      </c>
      <c r="AD546" s="6">
        <f>$O$546*$X$546</f>
        <v>4195.7619263999995</v>
      </c>
      <c r="AE546" s="6">
        <f>$K$546*$Y$546</f>
        <v>0</v>
      </c>
      <c r="AF546" s="6">
        <f ca="1">$M$546*$Z$546</f>
        <v>10811.213046779487</v>
      </c>
      <c r="AG546" s="6">
        <f ca="1">$O$546*$AA$546</f>
        <v>3668.5421821999994</v>
      </c>
    </row>
    <row r="547" spans="1:33" ht="11.25" customHeight="1" x14ac:dyDescent="0.3">
      <c r="A547" s="4" t="s">
        <v>21</v>
      </c>
      <c r="B547" s="4" t="s">
        <v>39</v>
      </c>
      <c r="C547" s="4" t="s">
        <v>41</v>
      </c>
      <c r="D547" s="4" t="s">
        <v>45</v>
      </c>
      <c r="E547" s="4" t="s">
        <v>25</v>
      </c>
      <c r="F547" s="4" t="s">
        <v>25</v>
      </c>
      <c r="G547" s="4" t="s">
        <v>25</v>
      </c>
      <c r="H547" s="4" t="s">
        <v>34</v>
      </c>
      <c r="I547" s="5">
        <v>44562</v>
      </c>
      <c r="J547" s="6">
        <v>0</v>
      </c>
      <c r="K547" s="53">
        <v>0</v>
      </c>
      <c r="L547" s="6">
        <v>11.326000000000001</v>
      </c>
      <c r="M547" s="53">
        <v>11.326000000000001</v>
      </c>
      <c r="N547" s="6">
        <v>11.326000000000001</v>
      </c>
      <c r="O547" s="53">
        <v>11.326000000000001</v>
      </c>
      <c r="P547" s="6">
        <v>0</v>
      </c>
      <c r="Q547" s="4" t="s">
        <v>26</v>
      </c>
      <c r="R547" s="4">
        <v>0</v>
      </c>
      <c r="S547" s="6">
        <v>0</v>
      </c>
      <c r="T547" s="6">
        <v>8</v>
      </c>
      <c r="U547" s="6">
        <v>38</v>
      </c>
      <c r="V547" s="53">
        <f>IF(ISERROR(VLOOKUP($S$547,'TAR FIN'!$A$1:$O$113,15,0)),0,VLOOKUP($S$547,'TAR FIN'!$A$1:$O$113,15,0))</f>
        <v>0</v>
      </c>
      <c r="W547" s="53">
        <f>IF(ISERROR(VLOOKUP($T$547,'TAR FIN'!$A$1:$O$113,15,0)),0,VLOOKUP($T$547,'TAR FIN'!$A$1:$O$113,15,0))*(1-0.04)</f>
        <v>902.81279999999992</v>
      </c>
      <c r="X547" s="53">
        <f>IF(ISERROR(VLOOKUP($U$547,'TAR FIN'!$A$1:$O$113,15,0)),0,VLOOKUP($U$547,'TAR FIN'!$A$1:$O$113,15,0))*(1-0.04)</f>
        <v>425.1456</v>
      </c>
      <c r="Y547" s="53"/>
      <c r="Z547" s="53">
        <f ca="1">('TUSD BE'!$AM$20+'TUSD BF_350'!$AM$20+'TUSD CVA'!$AM$20)*1*(1-0.02)</f>
        <v>1095.4719877170419</v>
      </c>
      <c r="AA547" s="53">
        <f ca="1">('TE BE'!$AB$9+'TE BF_350'!$AB$9+'TE CVA'!$AB$9)*1*(1-0.02)</f>
        <v>371.72379999999993</v>
      </c>
      <c r="AB547" s="6">
        <f>$K$547*$V$547</f>
        <v>0</v>
      </c>
      <c r="AC547" s="6">
        <f>$M$547*$W$547</f>
        <v>10225.2577728</v>
      </c>
      <c r="AD547" s="6">
        <f>$O$547*$X$547</f>
        <v>4815.1990655999998</v>
      </c>
      <c r="AE547" s="6">
        <f>$K$547*$Y$547</f>
        <v>0</v>
      </c>
      <c r="AF547" s="6">
        <f ca="1">$M$547*$Z$547</f>
        <v>12407.315732883217</v>
      </c>
      <c r="AG547" s="6">
        <f ca="1">$O$547*$AA$547</f>
        <v>4210.143758799999</v>
      </c>
    </row>
    <row r="548" spans="1:33" ht="11.25" customHeight="1" x14ac:dyDescent="0.3">
      <c r="A548" s="4" t="s">
        <v>21</v>
      </c>
      <c r="B548" s="4" t="s">
        <v>39</v>
      </c>
      <c r="C548" s="4" t="s">
        <v>41</v>
      </c>
      <c r="D548" s="4" t="s">
        <v>45</v>
      </c>
      <c r="E548" s="4" t="s">
        <v>25</v>
      </c>
      <c r="F548" s="4" t="s">
        <v>25</v>
      </c>
      <c r="G548" s="4" t="s">
        <v>25</v>
      </c>
      <c r="H548" s="4" t="s">
        <v>34</v>
      </c>
      <c r="I548" s="5">
        <v>44593</v>
      </c>
      <c r="J548" s="6">
        <v>0</v>
      </c>
      <c r="K548" s="53">
        <v>0</v>
      </c>
      <c r="L548" s="6">
        <v>10.323</v>
      </c>
      <c r="M548" s="53">
        <v>10.323</v>
      </c>
      <c r="N548" s="6">
        <v>10.323</v>
      </c>
      <c r="O548" s="53">
        <v>10.323</v>
      </c>
      <c r="P548" s="6">
        <v>0</v>
      </c>
      <c r="Q548" s="4" t="s">
        <v>26</v>
      </c>
      <c r="R548" s="4">
        <v>0</v>
      </c>
      <c r="S548" s="6">
        <v>0</v>
      </c>
      <c r="T548" s="6">
        <v>8</v>
      </c>
      <c r="U548" s="6">
        <v>38</v>
      </c>
      <c r="V548" s="53">
        <f>IF(ISERROR(VLOOKUP($S$548,'TAR FIN'!$A$1:$O$113,15,0)),0,VLOOKUP($S$548,'TAR FIN'!$A$1:$O$113,15,0))</f>
        <v>0</v>
      </c>
      <c r="W548" s="53">
        <f>IF(ISERROR(VLOOKUP($T$548,'TAR FIN'!$A$1:$O$113,15,0)),0,VLOOKUP($T$548,'TAR FIN'!$A$1:$O$113,15,0))*(1-0.04)</f>
        <v>902.81279999999992</v>
      </c>
      <c r="X548" s="53">
        <f>IF(ISERROR(VLOOKUP($U$548,'TAR FIN'!$A$1:$O$113,15,0)),0,VLOOKUP($U$548,'TAR FIN'!$A$1:$O$113,15,0))*(1-0.04)</f>
        <v>425.1456</v>
      </c>
      <c r="Y548" s="53"/>
      <c r="Z548" s="53">
        <f ca="1">('TUSD BE'!$AM$20+'TUSD BF_350'!$AM$20+'TUSD CVA'!$AM$20)*1*(1-0.02)</f>
        <v>1095.4719877170419</v>
      </c>
      <c r="AA548" s="53">
        <f ca="1">('TE BE'!$AB$9+'TE BF_350'!$AB$9+'TE CVA'!$AB$9)*1*(1-0.02)</f>
        <v>371.72379999999993</v>
      </c>
      <c r="AB548" s="6">
        <f>$K$548*$V$548</f>
        <v>0</v>
      </c>
      <c r="AC548" s="6">
        <f>$M$548*$W$548</f>
        <v>9319.7365343999991</v>
      </c>
      <c r="AD548" s="6">
        <f>$O$548*$X$548</f>
        <v>4388.7780288000004</v>
      </c>
      <c r="AE548" s="6">
        <f>$K$548*$Y$548</f>
        <v>0</v>
      </c>
      <c r="AF548" s="6">
        <f ca="1">$M$548*$Z$548</f>
        <v>11308.557329203024</v>
      </c>
      <c r="AG548" s="6">
        <f ca="1">$O$548*$AA$548</f>
        <v>3837.3047873999994</v>
      </c>
    </row>
    <row r="549" spans="1:33" ht="11.25" customHeight="1" x14ac:dyDescent="0.3">
      <c r="A549" s="4" t="s">
        <v>21</v>
      </c>
      <c r="B549" s="4" t="s">
        <v>39</v>
      </c>
      <c r="C549" s="4" t="s">
        <v>41</v>
      </c>
      <c r="D549" s="4" t="s">
        <v>45</v>
      </c>
      <c r="E549" s="4" t="s">
        <v>25</v>
      </c>
      <c r="F549" s="4" t="s">
        <v>25</v>
      </c>
      <c r="G549" s="4" t="s">
        <v>25</v>
      </c>
      <c r="H549" s="4" t="s">
        <v>34</v>
      </c>
      <c r="I549" s="5">
        <v>44621</v>
      </c>
      <c r="J549" s="6">
        <v>0</v>
      </c>
      <c r="K549" s="53">
        <v>0</v>
      </c>
      <c r="L549" s="6">
        <v>9.7509999999999994</v>
      </c>
      <c r="M549" s="53">
        <v>9.7509999999999994</v>
      </c>
      <c r="N549" s="6">
        <v>9.7509999999999994</v>
      </c>
      <c r="O549" s="53">
        <v>9.7509999999999994</v>
      </c>
      <c r="P549" s="6">
        <v>0</v>
      </c>
      <c r="Q549" s="4" t="s">
        <v>26</v>
      </c>
      <c r="R549" s="4">
        <v>0</v>
      </c>
      <c r="S549" s="6">
        <v>0</v>
      </c>
      <c r="T549" s="6">
        <v>8</v>
      </c>
      <c r="U549" s="6">
        <v>38</v>
      </c>
      <c r="V549" s="53">
        <f>IF(ISERROR(VLOOKUP($S$549,'TAR FIN'!$A$1:$O$113,15,0)),0,VLOOKUP($S$549,'TAR FIN'!$A$1:$O$113,15,0))</f>
        <v>0</v>
      </c>
      <c r="W549" s="53">
        <f>IF(ISERROR(VLOOKUP($T$549,'TAR FIN'!$A$1:$O$113,15,0)),0,VLOOKUP($T$549,'TAR FIN'!$A$1:$O$113,15,0))*(1-0.04)</f>
        <v>902.81279999999992</v>
      </c>
      <c r="X549" s="53">
        <f>IF(ISERROR(VLOOKUP($U$549,'TAR FIN'!$A$1:$O$113,15,0)),0,VLOOKUP($U$549,'TAR FIN'!$A$1:$O$113,15,0))*(1-0.04)</f>
        <v>425.1456</v>
      </c>
      <c r="Y549" s="53"/>
      <c r="Z549" s="53">
        <f ca="1">('TUSD BE'!$AM$20+'TUSD BF_350'!$AM$20+'TUSD CVA'!$AM$20)*1*(1-0.02)</f>
        <v>1095.4719877170419</v>
      </c>
      <c r="AA549" s="53">
        <f ca="1">('TE BE'!$AB$9+'TE BF_350'!$AB$9+'TE CVA'!$AB$9)*1*(1-0.02)</f>
        <v>371.72379999999993</v>
      </c>
      <c r="AB549" s="6">
        <f>$K$549*$V$549</f>
        <v>0</v>
      </c>
      <c r="AC549" s="6">
        <f>$M$549*$W$549</f>
        <v>8803.327612799998</v>
      </c>
      <c r="AD549" s="6">
        <f>$O$549*$X$549</f>
        <v>4145.5947455999994</v>
      </c>
      <c r="AE549" s="6">
        <f>$K$549*$Y$549</f>
        <v>0</v>
      </c>
      <c r="AF549" s="6">
        <f ca="1">$M$549*$Z$549</f>
        <v>10681.947352228875</v>
      </c>
      <c r="AG549" s="6">
        <f ca="1">$O$549*$AA$549</f>
        <v>3624.6787737999989</v>
      </c>
    </row>
    <row r="550" spans="1:33" ht="11.25" customHeight="1" x14ac:dyDescent="0.3">
      <c r="A550" s="4" t="s">
        <v>21</v>
      </c>
      <c r="B550" s="4" t="s">
        <v>39</v>
      </c>
      <c r="C550" s="4" t="s">
        <v>41</v>
      </c>
      <c r="D550" s="4" t="s">
        <v>45</v>
      </c>
      <c r="E550" s="4" t="s">
        <v>25</v>
      </c>
      <c r="F550" s="4" t="s">
        <v>25</v>
      </c>
      <c r="G550" s="4" t="s">
        <v>25</v>
      </c>
      <c r="H550" s="4" t="s">
        <v>34</v>
      </c>
      <c r="I550" s="5">
        <v>44652</v>
      </c>
      <c r="J550" s="6">
        <v>0</v>
      </c>
      <c r="K550" s="53">
        <v>0</v>
      </c>
      <c r="L550" s="6">
        <v>10.827999999999999</v>
      </c>
      <c r="M550" s="53">
        <v>10.827999999999999</v>
      </c>
      <c r="N550" s="6">
        <v>10.827999999999999</v>
      </c>
      <c r="O550" s="53">
        <v>10.827999999999999</v>
      </c>
      <c r="P550" s="6">
        <v>0</v>
      </c>
      <c r="Q550" s="4" t="s">
        <v>26</v>
      </c>
      <c r="R550" s="4">
        <v>0</v>
      </c>
      <c r="S550" s="6">
        <v>0</v>
      </c>
      <c r="T550" s="6">
        <v>8</v>
      </c>
      <c r="U550" s="6">
        <v>38</v>
      </c>
      <c r="V550" s="53">
        <f>IF(ISERROR(VLOOKUP($S$550,'TAR FIN'!$A$1:$O$113,15,0)),0,VLOOKUP($S$550,'TAR FIN'!$A$1:$O$113,15,0))</f>
        <v>0</v>
      </c>
      <c r="W550" s="53">
        <f>IF(ISERROR(VLOOKUP($T$550,'TAR FIN'!$A$1:$O$113,15,0)),0,VLOOKUP($T$550,'TAR FIN'!$A$1:$O$113,15,0))*(1-0.04)</f>
        <v>902.81279999999992</v>
      </c>
      <c r="X550" s="53">
        <f>IF(ISERROR(VLOOKUP($U$550,'TAR FIN'!$A$1:$O$113,15,0)),0,VLOOKUP($U$550,'TAR FIN'!$A$1:$O$113,15,0))*(1-0.04)</f>
        <v>425.1456</v>
      </c>
      <c r="Y550" s="53"/>
      <c r="Z550" s="53">
        <f ca="1">('TUSD BE'!$AM$20+'TUSD BF_350'!$AM$20+'TUSD CVA'!$AM$20)*1*(1-0.02)</f>
        <v>1095.4719877170419</v>
      </c>
      <c r="AA550" s="53">
        <f ca="1">('TE BE'!$AB$9+'TE BF_350'!$AB$9+'TE CVA'!$AB$9)*1*(1-0.02)</f>
        <v>371.72379999999993</v>
      </c>
      <c r="AB550" s="6">
        <f>$K$550*$V$550</f>
        <v>0</v>
      </c>
      <c r="AC550" s="6">
        <f>$M$550*$W$550</f>
        <v>9775.656998399998</v>
      </c>
      <c r="AD550" s="6">
        <f>$O$550*$X$550</f>
        <v>4603.4765567999993</v>
      </c>
      <c r="AE550" s="6">
        <f>$K$550*$Y$550</f>
        <v>0</v>
      </c>
      <c r="AF550" s="6">
        <f ca="1">$M$550*$Z$550</f>
        <v>11861.770683000128</v>
      </c>
      <c r="AG550" s="6">
        <f ca="1">$O$550*$AA$550</f>
        <v>4025.025306399999</v>
      </c>
    </row>
    <row r="551" spans="1:33" ht="11.25" customHeight="1" x14ac:dyDescent="0.3">
      <c r="A551" s="4" t="s">
        <v>21</v>
      </c>
      <c r="B551" s="4" t="s">
        <v>39</v>
      </c>
      <c r="C551" s="4" t="s">
        <v>41</v>
      </c>
      <c r="D551" s="4" t="s">
        <v>45</v>
      </c>
      <c r="E551" s="4" t="s">
        <v>25</v>
      </c>
      <c r="F551" s="4" t="s">
        <v>25</v>
      </c>
      <c r="G551" s="4" t="s">
        <v>25</v>
      </c>
      <c r="H551" s="4" t="s">
        <v>34</v>
      </c>
      <c r="I551" s="5">
        <v>44682</v>
      </c>
      <c r="J551" s="6">
        <v>0</v>
      </c>
      <c r="K551" s="53">
        <v>0</v>
      </c>
      <c r="L551" s="6">
        <v>9.1790000000000003</v>
      </c>
      <c r="M551" s="53">
        <v>9.1790000000000003</v>
      </c>
      <c r="N551" s="6">
        <v>9.1790000000000003</v>
      </c>
      <c r="O551" s="53">
        <v>9.1790000000000003</v>
      </c>
      <c r="P551" s="6">
        <v>0</v>
      </c>
      <c r="Q551" s="4" t="s">
        <v>26</v>
      </c>
      <c r="R551" s="4">
        <v>0</v>
      </c>
      <c r="S551" s="6">
        <v>0</v>
      </c>
      <c r="T551" s="6">
        <v>8</v>
      </c>
      <c r="U551" s="6">
        <v>38</v>
      </c>
      <c r="V551" s="53">
        <f>IF(ISERROR(VLOOKUP($S$551,'TAR FIN'!$A$1:$O$113,15,0)),0,VLOOKUP($S$551,'TAR FIN'!$A$1:$O$113,15,0))</f>
        <v>0</v>
      </c>
      <c r="W551" s="53">
        <f>IF(ISERROR(VLOOKUP($T$551,'TAR FIN'!$A$1:$O$113,15,0)),0,VLOOKUP($T$551,'TAR FIN'!$A$1:$O$113,15,0))*(1-0.04)</f>
        <v>902.81279999999992</v>
      </c>
      <c r="X551" s="53">
        <f>IF(ISERROR(VLOOKUP($U$551,'TAR FIN'!$A$1:$O$113,15,0)),0,VLOOKUP($U$551,'TAR FIN'!$A$1:$O$113,15,0))*(1-0.04)</f>
        <v>425.1456</v>
      </c>
      <c r="Y551" s="53"/>
      <c r="Z551" s="53">
        <f ca="1">('TUSD BE'!$AM$20+'TUSD BF_350'!$AM$20+'TUSD CVA'!$AM$20)*1*(1-0.02)</f>
        <v>1095.4719877170419</v>
      </c>
      <c r="AA551" s="53">
        <f ca="1">('TE BE'!$AB$9+'TE BF_350'!$AB$9+'TE CVA'!$AB$9)*1*(1-0.02)</f>
        <v>371.72379999999993</v>
      </c>
      <c r="AB551" s="6">
        <f>$K$551*$V$551</f>
        <v>0</v>
      </c>
      <c r="AC551" s="6">
        <f>$M$551*$W$551</f>
        <v>8286.9186911999986</v>
      </c>
      <c r="AD551" s="6">
        <f>$O$551*$X$551</f>
        <v>3902.4114624000003</v>
      </c>
      <c r="AE551" s="6">
        <f>$K$551*$Y$551</f>
        <v>0</v>
      </c>
      <c r="AF551" s="6">
        <f ca="1">$M$551*$Z$551</f>
        <v>10055.337375254729</v>
      </c>
      <c r="AG551" s="6">
        <f ca="1">$O$551*$AA$551</f>
        <v>3412.0527601999993</v>
      </c>
    </row>
    <row r="552" spans="1:33" ht="11.25" customHeight="1" x14ac:dyDescent="0.3">
      <c r="A552" s="4" t="s">
        <v>21</v>
      </c>
      <c r="B552" s="4" t="s">
        <v>39</v>
      </c>
      <c r="C552" s="4" t="s">
        <v>41</v>
      </c>
      <c r="D552" s="4" t="s">
        <v>45</v>
      </c>
      <c r="E552" s="4" t="s">
        <v>25</v>
      </c>
      <c r="F552" s="4" t="s">
        <v>25</v>
      </c>
      <c r="G552" s="4" t="s">
        <v>25</v>
      </c>
      <c r="H552" s="4" t="s">
        <v>34</v>
      </c>
      <c r="I552" s="5">
        <v>44713</v>
      </c>
      <c r="J552" s="6">
        <v>0</v>
      </c>
      <c r="K552" s="53">
        <v>0</v>
      </c>
      <c r="L552" s="6">
        <v>10.166</v>
      </c>
      <c r="M552" s="53">
        <v>10.166</v>
      </c>
      <c r="N552" s="6">
        <v>10.166</v>
      </c>
      <c r="O552" s="53">
        <v>10.166</v>
      </c>
      <c r="P552" s="6">
        <v>0</v>
      </c>
      <c r="Q552" s="4" t="s">
        <v>26</v>
      </c>
      <c r="R552" s="4">
        <v>0</v>
      </c>
      <c r="S552" s="6">
        <v>0</v>
      </c>
      <c r="T552" s="6">
        <v>8</v>
      </c>
      <c r="U552" s="6">
        <v>38</v>
      </c>
      <c r="V552" s="53">
        <f>IF(ISERROR(VLOOKUP($S$552,'TAR FIN'!$A$1:$O$113,15,0)),0,VLOOKUP($S$552,'TAR FIN'!$A$1:$O$113,15,0))</f>
        <v>0</v>
      </c>
      <c r="W552" s="53">
        <f>IF(ISERROR(VLOOKUP($T$552,'TAR FIN'!$A$1:$O$113,15,0)),0,VLOOKUP($T$552,'TAR FIN'!$A$1:$O$113,15,0))*(1-0.04)</f>
        <v>902.81279999999992</v>
      </c>
      <c r="X552" s="53">
        <f>IF(ISERROR(VLOOKUP($U$552,'TAR FIN'!$A$1:$O$113,15,0)),0,VLOOKUP($U$552,'TAR FIN'!$A$1:$O$113,15,0))*(1-0.04)</f>
        <v>425.1456</v>
      </c>
      <c r="Y552" s="53"/>
      <c r="Z552" s="53">
        <f ca="1">('TUSD BE'!$AM$20+'TUSD BF_350'!$AM$20+'TUSD CVA'!$AM$20)*1*(1-0.02)</f>
        <v>1095.4719877170419</v>
      </c>
      <c r="AA552" s="53">
        <f ca="1">('TE BE'!$AB$9+'TE BF_350'!$AB$9+'TE CVA'!$AB$9)*1*(1-0.02)</f>
        <v>371.72379999999993</v>
      </c>
      <c r="AB552" s="6">
        <f>$K$552*$V$552</f>
        <v>0</v>
      </c>
      <c r="AC552" s="6">
        <f>$M$552*$W$552</f>
        <v>9177.9949247999994</v>
      </c>
      <c r="AD552" s="6">
        <f>$O$552*$X$552</f>
        <v>4322.0301696000006</v>
      </c>
      <c r="AE552" s="6">
        <f>$K$552*$Y$552</f>
        <v>0</v>
      </c>
      <c r="AF552" s="6">
        <f ca="1">$M$552*$Z$552</f>
        <v>11136.568227131449</v>
      </c>
      <c r="AG552" s="6">
        <f ca="1">$O$552*$AA$552</f>
        <v>3778.9441507999995</v>
      </c>
    </row>
    <row r="553" spans="1:33" ht="11.25" customHeight="1" x14ac:dyDescent="0.3">
      <c r="A553" s="4" t="s">
        <v>21</v>
      </c>
      <c r="B553" s="4" t="s">
        <v>39</v>
      </c>
      <c r="C553" s="4" t="s">
        <v>41</v>
      </c>
      <c r="D553" s="4" t="s">
        <v>45</v>
      </c>
      <c r="E553" s="4" t="s">
        <v>25</v>
      </c>
      <c r="F553" s="4" t="s">
        <v>25</v>
      </c>
      <c r="G553" s="4" t="s">
        <v>25</v>
      </c>
      <c r="H553" s="4" t="s">
        <v>34</v>
      </c>
      <c r="I553" s="5">
        <v>44743</v>
      </c>
      <c r="J553" s="6">
        <v>0</v>
      </c>
      <c r="K553" s="53">
        <v>0</v>
      </c>
      <c r="L553" s="6">
        <v>11.698</v>
      </c>
      <c r="M553" s="53">
        <v>11.698</v>
      </c>
      <c r="N553" s="6">
        <v>11.698</v>
      </c>
      <c r="O553" s="53">
        <v>11.698</v>
      </c>
      <c r="P553" s="6">
        <v>0</v>
      </c>
      <c r="Q553" s="4" t="s">
        <v>26</v>
      </c>
      <c r="R553" s="4">
        <v>0</v>
      </c>
      <c r="S553" s="6">
        <v>0</v>
      </c>
      <c r="T553" s="6">
        <v>8</v>
      </c>
      <c r="U553" s="6">
        <v>38</v>
      </c>
      <c r="V553" s="53">
        <f>IF(ISERROR(VLOOKUP($S$553,'TAR FIN'!$A$1:$O$113,15,0)),0,VLOOKUP($S$553,'TAR FIN'!$A$1:$O$113,15,0))</f>
        <v>0</v>
      </c>
      <c r="W553" s="53">
        <f>IF(ISERROR(VLOOKUP($T$553,'TAR FIN'!$A$1:$O$113,15,0)),0,VLOOKUP($T$553,'TAR FIN'!$A$1:$O$113,15,0))*(1-0.04)</f>
        <v>902.81279999999992</v>
      </c>
      <c r="X553" s="53">
        <f>IF(ISERROR(VLOOKUP($U$553,'TAR FIN'!$A$1:$O$113,15,0)),0,VLOOKUP($U$553,'TAR FIN'!$A$1:$O$113,15,0))*(1-0.04)</f>
        <v>425.1456</v>
      </c>
      <c r="Y553" s="53"/>
      <c r="Z553" s="53">
        <f ca="1">('TUSD BE'!$AM$20+'TUSD BF_350'!$AM$20+'TUSD CVA'!$AM$20)*1*(1-0.02)</f>
        <v>1095.4719877170419</v>
      </c>
      <c r="AA553" s="53">
        <f ca="1">('TE BE'!$AB$9+'TE BF_350'!$AB$9+'TE CVA'!$AB$9)*1*(1-0.02)</f>
        <v>371.72379999999993</v>
      </c>
      <c r="AB553" s="6">
        <f>$K$553*$V$553</f>
        <v>0</v>
      </c>
      <c r="AC553" s="6">
        <f>$M$553*$W$553</f>
        <v>10561.104134399999</v>
      </c>
      <c r="AD553" s="6">
        <f>$O$553*$X$553</f>
        <v>4973.3532288000006</v>
      </c>
      <c r="AE553" s="6">
        <f>$K$553*$Y$553</f>
        <v>0</v>
      </c>
      <c r="AF553" s="6">
        <f ca="1">$M$553*$Z$553</f>
        <v>12814.831312313956</v>
      </c>
      <c r="AG553" s="6">
        <f ca="1">$O$553*$AA$553</f>
        <v>4348.4250123999991</v>
      </c>
    </row>
    <row r="554" spans="1:33" ht="11.25" customHeight="1" x14ac:dyDescent="0.3">
      <c r="A554" s="4" t="s">
        <v>21</v>
      </c>
      <c r="B554" s="4" t="s">
        <v>39</v>
      </c>
      <c r="C554" s="4" t="s">
        <v>41</v>
      </c>
      <c r="D554" s="4" t="s">
        <v>45</v>
      </c>
      <c r="E554" s="4" t="s">
        <v>25</v>
      </c>
      <c r="F554" s="4" t="s">
        <v>25</v>
      </c>
      <c r="G554" s="4" t="s">
        <v>25</v>
      </c>
      <c r="H554" s="4" t="s">
        <v>34</v>
      </c>
      <c r="I554" s="5">
        <v>44774</v>
      </c>
      <c r="J554" s="6">
        <v>0</v>
      </c>
      <c r="K554" s="53">
        <v>0</v>
      </c>
      <c r="L554" s="6">
        <v>11.590999999999999</v>
      </c>
      <c r="M554" s="53">
        <v>11.590999999999999</v>
      </c>
      <c r="N554" s="6">
        <v>11.590999999999999</v>
      </c>
      <c r="O554" s="53">
        <v>11.590999999999999</v>
      </c>
      <c r="P554" s="6">
        <v>0</v>
      </c>
      <c r="Q554" s="4" t="s">
        <v>26</v>
      </c>
      <c r="R554" s="4">
        <v>0</v>
      </c>
      <c r="S554" s="6">
        <v>0</v>
      </c>
      <c r="T554" s="6">
        <v>8</v>
      </c>
      <c r="U554" s="6">
        <v>38</v>
      </c>
      <c r="V554" s="53">
        <f>IF(ISERROR(VLOOKUP($S$554,'TAR FIN'!$A$1:$O$113,15,0)),0,VLOOKUP($S$554,'TAR FIN'!$A$1:$O$113,15,0))</f>
        <v>0</v>
      </c>
      <c r="W554" s="53">
        <f>IF(ISERROR(VLOOKUP($T$554,'TAR FIN'!$A$1:$O$113,15,0)),0,VLOOKUP($T$554,'TAR FIN'!$A$1:$O$113,15,0))*(1-0.04)</f>
        <v>902.81279999999992</v>
      </c>
      <c r="X554" s="53">
        <f>IF(ISERROR(VLOOKUP($U$554,'TAR FIN'!$A$1:$O$113,15,0)),0,VLOOKUP($U$554,'TAR FIN'!$A$1:$O$113,15,0))*(1-0.04)</f>
        <v>425.1456</v>
      </c>
      <c r="Y554" s="53"/>
      <c r="Z554" s="53">
        <f ca="1">('TUSD BE'!$AM$20+'TUSD BF_350'!$AM$20+'TUSD CVA'!$AM$20)*1*(1-0.02)</f>
        <v>1095.4719877170419</v>
      </c>
      <c r="AA554" s="53">
        <f ca="1">('TE BE'!$AB$9+'TE BF_350'!$AB$9+'TE CVA'!$AB$9)*1*(1-0.02)</f>
        <v>371.72379999999993</v>
      </c>
      <c r="AB554" s="6">
        <f>$K$554*$V$554</f>
        <v>0</v>
      </c>
      <c r="AC554" s="6">
        <f>$M$554*$W$554</f>
        <v>10464.503164799999</v>
      </c>
      <c r="AD554" s="6">
        <f>$O$554*$X$554</f>
        <v>4927.8626495999997</v>
      </c>
      <c r="AE554" s="6">
        <f>$K$554*$Y$554</f>
        <v>0</v>
      </c>
      <c r="AF554" s="6">
        <f ca="1">$M$554*$Z$554</f>
        <v>12697.615809628232</v>
      </c>
      <c r="AG554" s="6">
        <f ca="1">$O$554*$AA$554</f>
        <v>4308.6505657999987</v>
      </c>
    </row>
    <row r="555" spans="1:33" ht="11.25" customHeight="1" x14ac:dyDescent="0.3">
      <c r="A555" s="4" t="s">
        <v>21</v>
      </c>
      <c r="B555" s="4" t="s">
        <v>39</v>
      </c>
      <c r="C555" s="4" t="s">
        <v>41</v>
      </c>
      <c r="D555" s="4" t="s">
        <v>45</v>
      </c>
      <c r="E555" s="4" t="s">
        <v>25</v>
      </c>
      <c r="F555" s="4" t="s">
        <v>25</v>
      </c>
      <c r="G555" s="4" t="s">
        <v>25</v>
      </c>
      <c r="H555" s="4" t="s">
        <v>34</v>
      </c>
      <c r="I555" s="5">
        <v>44805</v>
      </c>
      <c r="J555" s="6">
        <v>0</v>
      </c>
      <c r="K555" s="53">
        <v>0</v>
      </c>
      <c r="L555" s="6">
        <v>13.89</v>
      </c>
      <c r="M555" s="53">
        <v>13.89</v>
      </c>
      <c r="N555" s="6">
        <v>13.89</v>
      </c>
      <c r="O555" s="53">
        <v>13.89</v>
      </c>
      <c r="P555" s="6">
        <v>0</v>
      </c>
      <c r="Q555" s="4" t="s">
        <v>26</v>
      </c>
      <c r="R555" s="4">
        <v>0</v>
      </c>
      <c r="S555" s="6">
        <v>0</v>
      </c>
      <c r="T555" s="6">
        <v>8</v>
      </c>
      <c r="U555" s="6">
        <v>38</v>
      </c>
      <c r="V555" s="53">
        <f>IF(ISERROR(VLOOKUP($S$555,'TAR FIN'!$A$1:$O$113,15,0)),0,VLOOKUP($S$555,'TAR FIN'!$A$1:$O$113,15,0))</f>
        <v>0</v>
      </c>
      <c r="W555" s="53">
        <f>IF(ISERROR(VLOOKUP($T$555,'TAR FIN'!$A$1:$O$113,15,0)),0,VLOOKUP($T$555,'TAR FIN'!$A$1:$O$113,15,0))*(1-0.04)</f>
        <v>902.81279999999992</v>
      </c>
      <c r="X555" s="53">
        <f>IF(ISERROR(VLOOKUP($U$555,'TAR FIN'!$A$1:$O$113,15,0)),0,VLOOKUP($U$555,'TAR FIN'!$A$1:$O$113,15,0))*(1-0.04)</f>
        <v>425.1456</v>
      </c>
      <c r="Y555" s="53"/>
      <c r="Z555" s="53">
        <f ca="1">('TUSD BE'!$AM$20+'TUSD BF_350'!$AM$20+'TUSD CVA'!$AM$20)*1*(1-0.02)</f>
        <v>1095.4719877170419</v>
      </c>
      <c r="AA555" s="53">
        <f ca="1">('TE BE'!$AB$9+'TE BF_350'!$AB$9+'TE CVA'!$AB$9)*1*(1-0.02)</f>
        <v>371.72379999999993</v>
      </c>
      <c r="AB555" s="6">
        <f>$K$555*$V$555</f>
        <v>0</v>
      </c>
      <c r="AC555" s="6">
        <f>$M$555*$W$555</f>
        <v>12540.069792</v>
      </c>
      <c r="AD555" s="6">
        <f>$O$555*$X$555</f>
        <v>5905.2723839999999</v>
      </c>
      <c r="AE555" s="6">
        <f>$K$555*$Y$555</f>
        <v>0</v>
      </c>
      <c r="AF555" s="6">
        <f ca="1">$M$555*$Z$555</f>
        <v>15216.105909389713</v>
      </c>
      <c r="AG555" s="6">
        <f ca="1">$O$555*$AA$555</f>
        <v>5163.2435819999992</v>
      </c>
    </row>
    <row r="556" spans="1:33" ht="11.25" customHeight="1" x14ac:dyDescent="0.3">
      <c r="A556" s="4" t="s">
        <v>53</v>
      </c>
      <c r="B556" s="4" t="s">
        <v>39</v>
      </c>
      <c r="C556" s="4" t="s">
        <v>41</v>
      </c>
      <c r="D556" s="4" t="s">
        <v>45</v>
      </c>
      <c r="E556" s="4" t="s">
        <v>25</v>
      </c>
      <c r="F556" s="4" t="s">
        <v>25</v>
      </c>
      <c r="G556" s="4" t="s">
        <v>25</v>
      </c>
      <c r="H556" s="4" t="s">
        <v>34</v>
      </c>
      <c r="I556" s="5">
        <v>44835</v>
      </c>
      <c r="J556" s="6">
        <v>0</v>
      </c>
      <c r="K556" s="53">
        <v>0</v>
      </c>
      <c r="L556" s="6">
        <v>13.89</v>
      </c>
      <c r="M556" s="53">
        <v>13.89</v>
      </c>
      <c r="N556" s="6">
        <v>13.89</v>
      </c>
      <c r="O556" s="53">
        <v>13.89</v>
      </c>
      <c r="P556" s="6">
        <v>0</v>
      </c>
      <c r="Q556" s="4" t="s">
        <v>26</v>
      </c>
      <c r="R556" s="4">
        <v>0</v>
      </c>
      <c r="S556" s="6">
        <v>0</v>
      </c>
      <c r="T556" s="6">
        <v>8</v>
      </c>
      <c r="U556" s="6">
        <v>38</v>
      </c>
      <c r="V556" s="53">
        <f>IF(ISERROR(VLOOKUP($S$556,'TAR FIN'!$A$1:$O$113,15,0)),0,VLOOKUP($S$556,'TAR FIN'!$A$1:$O$113,15,0))</f>
        <v>0</v>
      </c>
      <c r="W556" s="53">
        <f>IF(ISERROR(VLOOKUP($T$556,'TAR FIN'!$A$1:$O$113,15,0)),0,VLOOKUP($T$556,'TAR FIN'!$A$1:$O$113,15,0))*(1-0.04)</f>
        <v>902.81279999999992</v>
      </c>
      <c r="X556" s="53">
        <f>IF(ISERROR(VLOOKUP($U$556,'TAR FIN'!$A$1:$O$113,15,0)),0,VLOOKUP($U$556,'TAR FIN'!$A$1:$O$113,15,0))*(1-0.04)</f>
        <v>425.1456</v>
      </c>
      <c r="Y556" s="53"/>
      <c r="Z556" s="53">
        <f ca="1">('TUSD BE'!$AM$20+'TUSD BF_350'!$AM$20+'TUSD CVA'!$AM$20)*1*(1-0.02)</f>
        <v>1095.4719877170419</v>
      </c>
      <c r="AA556" s="53">
        <f ca="1">('TE BE'!$AB$9+'TE BF_350'!$AB$9+'TE CVA'!$AB$9)*1*(1-0.02)</f>
        <v>371.72379999999993</v>
      </c>
      <c r="AB556" s="6">
        <f>$K$556*$V$556</f>
        <v>0</v>
      </c>
      <c r="AC556" s="6">
        <f>$M$556*$W$556</f>
        <v>12540.069792</v>
      </c>
      <c r="AD556" s="6">
        <f>$O$556*$X$556</f>
        <v>5905.2723839999999</v>
      </c>
      <c r="AE556" s="6">
        <f>$K$556*$Y$556</f>
        <v>0</v>
      </c>
      <c r="AF556" s="6">
        <f ca="1">$M$556*$Z$556</f>
        <v>15216.105909389713</v>
      </c>
      <c r="AG556" s="6">
        <f ca="1">$O$556*$AA$556</f>
        <v>5163.2435819999992</v>
      </c>
    </row>
    <row r="557" spans="1:33" ht="11.25" customHeight="1" x14ac:dyDescent="0.3">
      <c r="A557" s="4" t="s">
        <v>21</v>
      </c>
      <c r="B557" s="4" t="s">
        <v>39</v>
      </c>
      <c r="C557" s="4" t="s">
        <v>41</v>
      </c>
      <c r="D557" s="4" t="s">
        <v>50</v>
      </c>
      <c r="E557" s="4" t="s">
        <v>51</v>
      </c>
      <c r="F557" s="4" t="s">
        <v>25</v>
      </c>
      <c r="G557" s="4" t="s">
        <v>25</v>
      </c>
      <c r="H557" s="4" t="s">
        <v>35</v>
      </c>
      <c r="I557" s="5">
        <v>44501</v>
      </c>
      <c r="J557" s="6">
        <v>0</v>
      </c>
      <c r="K557" s="53">
        <v>0</v>
      </c>
      <c r="L557" s="6">
        <v>938.82899999999995</v>
      </c>
      <c r="M557" s="53">
        <v>938.82899999999995</v>
      </c>
      <c r="N557" s="6">
        <v>938.82899999999995</v>
      </c>
      <c r="O557" s="53">
        <v>938.82899999999995</v>
      </c>
      <c r="P557" s="6">
        <v>0</v>
      </c>
      <c r="Q557" s="4" t="s">
        <v>26</v>
      </c>
      <c r="R557" s="4">
        <v>0</v>
      </c>
      <c r="S557" s="6">
        <v>0</v>
      </c>
      <c r="T557" s="6">
        <v>6</v>
      </c>
      <c r="U557" s="6">
        <v>61</v>
      </c>
      <c r="V557" s="53">
        <f>IF(ISERROR(VLOOKUP($S$557,'TAR FIN'!$A$1:$O$113,15,0)),0,VLOOKUP($S$557,'TAR FIN'!$A$1:$O$113,15,0))</f>
        <v>0</v>
      </c>
      <c r="W557" s="53">
        <f>IF(ISERROR(VLOOKUP($T$557,'TAR FIN'!$A$1:$O$113,15,0)),0,VLOOKUP($T$557,'TAR FIN'!$A$1:$O$113,15,0))*(1-0.06)</f>
        <v>67.820999999999998</v>
      </c>
      <c r="X557" s="53">
        <f>IF(ISERROR(VLOOKUP($U$557,'TAR FIN'!$A$1:$O$113,15,0)),0,VLOOKUP($U$557,'TAR FIN'!$A$1:$O$113,15,0))*(1-0.06)</f>
        <v>261.94979999999998</v>
      </c>
      <c r="Y557" s="53"/>
      <c r="Z557" s="53">
        <f ca="1">('TUSD BE'!$AM$21+'TUSD BF_350'!$AM$21+'TUSD CVA'!$AM$21)*1*(1-0.03)</f>
        <v>118.47633671713493</v>
      </c>
      <c r="AA557" s="53">
        <f ca="1">('TE BE'!$AB$10+'TE BF_350'!$AB$10+'TE CVA'!$AB$10)*1*(1-0.03)</f>
        <v>224.73929999999999</v>
      </c>
      <c r="AB557" s="6">
        <f>$K$557*$V$557</f>
        <v>0</v>
      </c>
      <c r="AC557" s="6">
        <f>$M$557*$W$557</f>
        <v>63672.321608999991</v>
      </c>
      <c r="AD557" s="6">
        <f>$O$557*$X$557</f>
        <v>245926.06878419998</v>
      </c>
      <c r="AE557" s="6">
        <f>$K$557*$Y$557</f>
        <v>0</v>
      </c>
      <c r="AF557" s="6">
        <f ca="1">$M$557*$Z$557</f>
        <v>111229.02072381106</v>
      </c>
      <c r="AG557" s="6">
        <f ca="1">$O$557*$AA$557</f>
        <v>210991.77227969997</v>
      </c>
    </row>
    <row r="558" spans="1:33" ht="11.25" customHeight="1" x14ac:dyDescent="0.3">
      <c r="A558" s="4" t="s">
        <v>21</v>
      </c>
      <c r="B558" s="4" t="s">
        <v>39</v>
      </c>
      <c r="C558" s="4" t="s">
        <v>41</v>
      </c>
      <c r="D558" s="4" t="s">
        <v>50</v>
      </c>
      <c r="E558" s="4" t="s">
        <v>51</v>
      </c>
      <c r="F558" s="4" t="s">
        <v>25</v>
      </c>
      <c r="G558" s="4" t="s">
        <v>25</v>
      </c>
      <c r="H558" s="4" t="s">
        <v>35</v>
      </c>
      <c r="I558" s="5">
        <v>44531</v>
      </c>
      <c r="J558" s="6">
        <v>0</v>
      </c>
      <c r="K558" s="53">
        <v>0</v>
      </c>
      <c r="L558" s="6">
        <v>892.47500000000002</v>
      </c>
      <c r="M558" s="53">
        <v>892.47500000000002</v>
      </c>
      <c r="N558" s="6">
        <v>892.47500000000002</v>
      </c>
      <c r="O558" s="53">
        <v>892.47500000000002</v>
      </c>
      <c r="P558" s="6">
        <v>0</v>
      </c>
      <c r="Q558" s="4" t="s">
        <v>26</v>
      </c>
      <c r="R558" s="4">
        <v>0</v>
      </c>
      <c r="S558" s="6">
        <v>0</v>
      </c>
      <c r="T558" s="6">
        <v>6</v>
      </c>
      <c r="U558" s="6">
        <v>61</v>
      </c>
      <c r="V558" s="53">
        <f>IF(ISERROR(VLOOKUP($S$558,'TAR FIN'!$A$1:$O$113,15,0)),0,VLOOKUP($S$558,'TAR FIN'!$A$1:$O$113,15,0))</f>
        <v>0</v>
      </c>
      <c r="W558" s="53">
        <f>IF(ISERROR(VLOOKUP($T$558,'TAR FIN'!$A$1:$O$113,15,0)),0,VLOOKUP($T$558,'TAR FIN'!$A$1:$O$113,15,0))*(1-0.06)</f>
        <v>67.820999999999998</v>
      </c>
      <c r="X558" s="53">
        <f>IF(ISERROR(VLOOKUP($U$558,'TAR FIN'!$A$1:$O$113,15,0)),0,VLOOKUP($U$558,'TAR FIN'!$A$1:$O$113,15,0))*(1-0.06)</f>
        <v>261.94979999999998</v>
      </c>
      <c r="Y558" s="53"/>
      <c r="Z558" s="53">
        <f ca="1">('TUSD BE'!$AM$21+'TUSD BF_350'!$AM$21+'TUSD CVA'!$AM$21)*1*(1-0.03)</f>
        <v>118.47633671713493</v>
      </c>
      <c r="AA558" s="53">
        <f ca="1">('TE BE'!$AB$10+'TE BF_350'!$AB$10+'TE CVA'!$AB$10)*1*(1-0.03)</f>
        <v>224.73929999999999</v>
      </c>
      <c r="AB558" s="6">
        <f>$K$558*$V$558</f>
        <v>0</v>
      </c>
      <c r="AC558" s="6">
        <f>$M$558*$W$558</f>
        <v>60528.546974999997</v>
      </c>
      <c r="AD558" s="6">
        <f>$O$558*$X$558</f>
        <v>233783.64775499998</v>
      </c>
      <c r="AE558" s="6">
        <f>$K$558*$Y$558</f>
        <v>0</v>
      </c>
      <c r="AF558" s="6">
        <f ca="1">$M$558*$Z$558</f>
        <v>105737.16861162499</v>
      </c>
      <c r="AG558" s="6">
        <f ca="1">$O$558*$AA$558</f>
        <v>200574.2067675</v>
      </c>
    </row>
    <row r="559" spans="1:33" ht="11.25" customHeight="1" x14ac:dyDescent="0.3">
      <c r="A559" s="4" t="s">
        <v>21</v>
      </c>
      <c r="B559" s="4" t="s">
        <v>39</v>
      </c>
      <c r="C559" s="4" t="s">
        <v>41</v>
      </c>
      <c r="D559" s="4" t="s">
        <v>50</v>
      </c>
      <c r="E559" s="4" t="s">
        <v>51</v>
      </c>
      <c r="F559" s="4" t="s">
        <v>25</v>
      </c>
      <c r="G559" s="4" t="s">
        <v>25</v>
      </c>
      <c r="H559" s="4" t="s">
        <v>35</v>
      </c>
      <c r="I559" s="5">
        <v>44562</v>
      </c>
      <c r="J559" s="6">
        <v>0</v>
      </c>
      <c r="K559" s="53">
        <v>0</v>
      </c>
      <c r="L559" s="6">
        <v>895.87800000000004</v>
      </c>
      <c r="M559" s="53">
        <v>895.87800000000004</v>
      </c>
      <c r="N559" s="6">
        <v>895.87800000000004</v>
      </c>
      <c r="O559" s="53">
        <v>895.87800000000004</v>
      </c>
      <c r="P559" s="6">
        <v>0</v>
      </c>
      <c r="Q559" s="4" t="s">
        <v>26</v>
      </c>
      <c r="R559" s="4">
        <v>0</v>
      </c>
      <c r="S559" s="6">
        <v>0</v>
      </c>
      <c r="T559" s="6">
        <v>6</v>
      </c>
      <c r="U559" s="6">
        <v>61</v>
      </c>
      <c r="V559" s="53">
        <f>IF(ISERROR(VLOOKUP($S$559,'TAR FIN'!$A$1:$O$113,15,0)),0,VLOOKUP($S$559,'TAR FIN'!$A$1:$O$113,15,0))</f>
        <v>0</v>
      </c>
      <c r="W559" s="53">
        <f>IF(ISERROR(VLOOKUP($T$559,'TAR FIN'!$A$1:$O$113,15,0)),0,VLOOKUP($T$559,'TAR FIN'!$A$1:$O$113,15,0))*(1-0.06)</f>
        <v>67.820999999999998</v>
      </c>
      <c r="X559" s="53">
        <f>IF(ISERROR(VLOOKUP($U$559,'TAR FIN'!$A$1:$O$113,15,0)),0,VLOOKUP($U$559,'TAR FIN'!$A$1:$O$113,15,0))*(1-0.06)</f>
        <v>261.94979999999998</v>
      </c>
      <c r="Y559" s="53"/>
      <c r="Z559" s="53">
        <f ca="1">('TUSD BE'!$AM$21+'TUSD BF_350'!$AM$21+'TUSD CVA'!$AM$21)*1*(1-0.03)</f>
        <v>118.47633671713493</v>
      </c>
      <c r="AA559" s="53">
        <f ca="1">('TE BE'!$AB$10+'TE BF_350'!$AB$10+'TE CVA'!$AB$10)*1*(1-0.03)</f>
        <v>224.73929999999999</v>
      </c>
      <c r="AB559" s="6">
        <f>$K$559*$V$559</f>
        <v>0</v>
      </c>
      <c r="AC559" s="6">
        <f>$M$559*$W$559</f>
        <v>60759.341838</v>
      </c>
      <c r="AD559" s="6">
        <f>$O$559*$X$559</f>
        <v>234675.0629244</v>
      </c>
      <c r="AE559" s="6">
        <f>$K$559*$Y$559</f>
        <v>0</v>
      </c>
      <c r="AF559" s="6">
        <f ca="1">$M$559*$Z$559</f>
        <v>106140.34358547341</v>
      </c>
      <c r="AG559" s="6">
        <f ca="1">$O$559*$AA$559</f>
        <v>201338.99460539999</v>
      </c>
    </row>
    <row r="560" spans="1:33" ht="11.25" customHeight="1" x14ac:dyDescent="0.3">
      <c r="A560" s="4" t="s">
        <v>21</v>
      </c>
      <c r="B560" s="4" t="s">
        <v>39</v>
      </c>
      <c r="C560" s="4" t="s">
        <v>41</v>
      </c>
      <c r="D560" s="4" t="s">
        <v>50</v>
      </c>
      <c r="E560" s="4" t="s">
        <v>51</v>
      </c>
      <c r="F560" s="4" t="s">
        <v>25</v>
      </c>
      <c r="G560" s="4" t="s">
        <v>25</v>
      </c>
      <c r="H560" s="4" t="s">
        <v>35</v>
      </c>
      <c r="I560" s="5">
        <v>44593</v>
      </c>
      <c r="J560" s="6">
        <v>0</v>
      </c>
      <c r="K560" s="53">
        <v>0</v>
      </c>
      <c r="L560" s="6">
        <v>890.16</v>
      </c>
      <c r="M560" s="53">
        <v>890.16</v>
      </c>
      <c r="N560" s="6">
        <v>890.16</v>
      </c>
      <c r="O560" s="53">
        <v>890.16</v>
      </c>
      <c r="P560" s="6">
        <v>0</v>
      </c>
      <c r="Q560" s="4" t="s">
        <v>26</v>
      </c>
      <c r="R560" s="4">
        <v>0</v>
      </c>
      <c r="S560" s="6">
        <v>0</v>
      </c>
      <c r="T560" s="6">
        <v>6</v>
      </c>
      <c r="U560" s="6">
        <v>61</v>
      </c>
      <c r="V560" s="53">
        <f>IF(ISERROR(VLOOKUP($S$560,'TAR FIN'!$A$1:$O$113,15,0)),0,VLOOKUP($S$560,'TAR FIN'!$A$1:$O$113,15,0))</f>
        <v>0</v>
      </c>
      <c r="W560" s="53">
        <f>IF(ISERROR(VLOOKUP($T$560,'TAR FIN'!$A$1:$O$113,15,0)),0,VLOOKUP($T$560,'TAR FIN'!$A$1:$O$113,15,0))*(1-0.06)</f>
        <v>67.820999999999998</v>
      </c>
      <c r="X560" s="53">
        <f>IF(ISERROR(VLOOKUP($U$560,'TAR FIN'!$A$1:$O$113,15,0)),0,VLOOKUP($U$560,'TAR FIN'!$A$1:$O$113,15,0))*(1-0.06)</f>
        <v>261.94979999999998</v>
      </c>
      <c r="Y560" s="53"/>
      <c r="Z560" s="53">
        <f ca="1">('TUSD BE'!$AM$21+'TUSD BF_350'!$AM$21+'TUSD CVA'!$AM$21)*1*(1-0.03)</f>
        <v>118.47633671713493</v>
      </c>
      <c r="AA560" s="53">
        <f ca="1">('TE BE'!$AB$10+'TE BF_350'!$AB$10+'TE CVA'!$AB$10)*1*(1-0.03)</f>
        <v>224.73929999999999</v>
      </c>
      <c r="AB560" s="6">
        <f>$K$560*$V$560</f>
        <v>0</v>
      </c>
      <c r="AC560" s="6">
        <f>$M$560*$W$560</f>
        <v>60371.541359999996</v>
      </c>
      <c r="AD560" s="6">
        <f>$O$560*$X$560</f>
        <v>233177.23396799999</v>
      </c>
      <c r="AE560" s="6">
        <f>$K$560*$Y$560</f>
        <v>0</v>
      </c>
      <c r="AF560" s="6">
        <f ca="1">$M$560*$Z$560</f>
        <v>105462.89589212483</v>
      </c>
      <c r="AG560" s="6">
        <f ca="1">$O$560*$AA$560</f>
        <v>200053.93528799998</v>
      </c>
    </row>
    <row r="561" spans="1:33" ht="11.25" customHeight="1" x14ac:dyDescent="0.3">
      <c r="A561" s="4" t="s">
        <v>21</v>
      </c>
      <c r="B561" s="4" t="s">
        <v>39</v>
      </c>
      <c r="C561" s="4" t="s">
        <v>41</v>
      </c>
      <c r="D561" s="4" t="s">
        <v>50</v>
      </c>
      <c r="E561" s="4" t="s">
        <v>51</v>
      </c>
      <c r="F561" s="4" t="s">
        <v>25</v>
      </c>
      <c r="G561" s="4" t="s">
        <v>25</v>
      </c>
      <c r="H561" s="4" t="s">
        <v>35</v>
      </c>
      <c r="I561" s="5">
        <v>44621</v>
      </c>
      <c r="J561" s="6">
        <v>0</v>
      </c>
      <c r="K561" s="53">
        <v>0</v>
      </c>
      <c r="L561" s="6">
        <v>841.64800000000002</v>
      </c>
      <c r="M561" s="53">
        <v>841.64800000000002</v>
      </c>
      <c r="N561" s="6">
        <v>841.64800000000002</v>
      </c>
      <c r="O561" s="53">
        <v>841.64800000000002</v>
      </c>
      <c r="P561" s="6">
        <v>0</v>
      </c>
      <c r="Q561" s="4" t="s">
        <v>26</v>
      </c>
      <c r="R561" s="4">
        <v>0</v>
      </c>
      <c r="S561" s="6">
        <v>0</v>
      </c>
      <c r="T561" s="6">
        <v>6</v>
      </c>
      <c r="U561" s="6">
        <v>61</v>
      </c>
      <c r="V561" s="53">
        <f>IF(ISERROR(VLOOKUP($S$561,'TAR FIN'!$A$1:$O$113,15,0)),0,VLOOKUP($S$561,'TAR FIN'!$A$1:$O$113,15,0))</f>
        <v>0</v>
      </c>
      <c r="W561" s="53">
        <f>IF(ISERROR(VLOOKUP($T$561,'TAR FIN'!$A$1:$O$113,15,0)),0,VLOOKUP($T$561,'TAR FIN'!$A$1:$O$113,15,0))*(1-0.06)</f>
        <v>67.820999999999998</v>
      </c>
      <c r="X561" s="53">
        <f>IF(ISERROR(VLOOKUP($U$561,'TAR FIN'!$A$1:$O$113,15,0)),0,VLOOKUP($U$561,'TAR FIN'!$A$1:$O$113,15,0))*(1-0.06)</f>
        <v>261.94979999999998</v>
      </c>
      <c r="Y561" s="53"/>
      <c r="Z561" s="53">
        <f ca="1">('TUSD BE'!$AM$21+'TUSD BF_350'!$AM$21+'TUSD CVA'!$AM$21)*1*(1-0.03)</f>
        <v>118.47633671713493</v>
      </c>
      <c r="AA561" s="53">
        <f ca="1">('TE BE'!$AB$10+'TE BF_350'!$AB$10+'TE CVA'!$AB$10)*1*(1-0.03)</f>
        <v>224.73929999999999</v>
      </c>
      <c r="AB561" s="6">
        <f>$K$561*$V$561</f>
        <v>0</v>
      </c>
      <c r="AC561" s="6">
        <f>$M$561*$W$561</f>
        <v>57081.409008000002</v>
      </c>
      <c r="AD561" s="6">
        <f>$O$561*$X$561</f>
        <v>220469.52527039999</v>
      </c>
      <c r="AE561" s="6">
        <f>$K$561*$Y$561</f>
        <v>0</v>
      </c>
      <c r="AF561" s="6">
        <f ca="1">$M$561*$Z$561</f>
        <v>99715.371845303176</v>
      </c>
      <c r="AG561" s="6">
        <f ca="1">$O$561*$AA$561</f>
        <v>189151.38236639998</v>
      </c>
    </row>
    <row r="562" spans="1:33" ht="11.25" customHeight="1" x14ac:dyDescent="0.3">
      <c r="A562" s="4" t="s">
        <v>21</v>
      </c>
      <c r="B562" s="4" t="s">
        <v>39</v>
      </c>
      <c r="C562" s="4" t="s">
        <v>41</v>
      </c>
      <c r="D562" s="4" t="s">
        <v>50</v>
      </c>
      <c r="E562" s="4" t="s">
        <v>51</v>
      </c>
      <c r="F562" s="4" t="s">
        <v>25</v>
      </c>
      <c r="G562" s="4" t="s">
        <v>25</v>
      </c>
      <c r="H562" s="4" t="s">
        <v>35</v>
      </c>
      <c r="I562" s="5">
        <v>44652</v>
      </c>
      <c r="J562" s="6">
        <v>0</v>
      </c>
      <c r="K562" s="53">
        <v>0</v>
      </c>
      <c r="L562" s="6">
        <v>936.846</v>
      </c>
      <c r="M562" s="53">
        <v>936.846</v>
      </c>
      <c r="N562" s="6">
        <v>936.846</v>
      </c>
      <c r="O562" s="53">
        <v>936.846</v>
      </c>
      <c r="P562" s="6">
        <v>0</v>
      </c>
      <c r="Q562" s="4" t="s">
        <v>26</v>
      </c>
      <c r="R562" s="4">
        <v>0</v>
      </c>
      <c r="S562" s="6">
        <v>0</v>
      </c>
      <c r="T562" s="6">
        <v>6</v>
      </c>
      <c r="U562" s="6">
        <v>61</v>
      </c>
      <c r="V562" s="53">
        <f>IF(ISERROR(VLOOKUP($S$562,'TAR FIN'!$A$1:$O$113,15,0)),0,VLOOKUP($S$562,'TAR FIN'!$A$1:$O$113,15,0))</f>
        <v>0</v>
      </c>
      <c r="W562" s="53">
        <f>IF(ISERROR(VLOOKUP($T$562,'TAR FIN'!$A$1:$O$113,15,0)),0,VLOOKUP($T$562,'TAR FIN'!$A$1:$O$113,15,0))*(1-0.06)</f>
        <v>67.820999999999998</v>
      </c>
      <c r="X562" s="53">
        <f>IF(ISERROR(VLOOKUP($U$562,'TAR FIN'!$A$1:$O$113,15,0)),0,VLOOKUP($U$562,'TAR FIN'!$A$1:$O$113,15,0))*(1-0.06)</f>
        <v>261.94979999999998</v>
      </c>
      <c r="Y562" s="53"/>
      <c r="Z562" s="53">
        <f ca="1">('TUSD BE'!$AM$21+'TUSD BF_350'!$AM$21+'TUSD CVA'!$AM$21)*1*(1-0.03)</f>
        <v>118.47633671713493</v>
      </c>
      <c r="AA562" s="53">
        <f ca="1">('TE BE'!$AB$10+'TE BF_350'!$AB$10+'TE CVA'!$AB$10)*1*(1-0.03)</f>
        <v>224.73929999999999</v>
      </c>
      <c r="AB562" s="6">
        <f>$K$562*$V$562</f>
        <v>0</v>
      </c>
      <c r="AC562" s="6">
        <f>$M$562*$W$562</f>
        <v>63537.832565999997</v>
      </c>
      <c r="AD562" s="6">
        <f>$O$562*$X$562</f>
        <v>245406.62233079999</v>
      </c>
      <c r="AE562" s="6">
        <f>$K$562*$Y$562</f>
        <v>0</v>
      </c>
      <c r="AF562" s="6">
        <f ca="1">$M$562*$Z$562</f>
        <v>110994.08214810099</v>
      </c>
      <c r="AG562" s="6">
        <f ca="1">$O$562*$AA$562</f>
        <v>210546.1142478</v>
      </c>
    </row>
    <row r="563" spans="1:33" ht="11.25" customHeight="1" x14ac:dyDescent="0.3">
      <c r="A563" s="4" t="s">
        <v>21</v>
      </c>
      <c r="B563" s="4" t="s">
        <v>39</v>
      </c>
      <c r="C563" s="4" t="s">
        <v>41</v>
      </c>
      <c r="D563" s="4" t="s">
        <v>50</v>
      </c>
      <c r="E563" s="4" t="s">
        <v>51</v>
      </c>
      <c r="F563" s="4" t="s">
        <v>25</v>
      </c>
      <c r="G563" s="4" t="s">
        <v>25</v>
      </c>
      <c r="H563" s="4" t="s">
        <v>35</v>
      </c>
      <c r="I563" s="5">
        <v>44682</v>
      </c>
      <c r="J563" s="6">
        <v>0</v>
      </c>
      <c r="K563" s="53">
        <v>0</v>
      </c>
      <c r="L563" s="6">
        <v>896.63499999999999</v>
      </c>
      <c r="M563" s="53">
        <v>896.63499999999999</v>
      </c>
      <c r="N563" s="6">
        <v>896.63499999999999</v>
      </c>
      <c r="O563" s="53">
        <v>896.63499999999999</v>
      </c>
      <c r="P563" s="6">
        <v>0</v>
      </c>
      <c r="Q563" s="4" t="s">
        <v>26</v>
      </c>
      <c r="R563" s="4">
        <v>0</v>
      </c>
      <c r="S563" s="6">
        <v>0</v>
      </c>
      <c r="T563" s="6">
        <v>6</v>
      </c>
      <c r="U563" s="6">
        <v>61</v>
      </c>
      <c r="V563" s="53">
        <f>IF(ISERROR(VLOOKUP($S$563,'TAR FIN'!$A$1:$O$113,15,0)),0,VLOOKUP($S$563,'TAR FIN'!$A$1:$O$113,15,0))</f>
        <v>0</v>
      </c>
      <c r="W563" s="53">
        <f>IF(ISERROR(VLOOKUP($T$563,'TAR FIN'!$A$1:$O$113,15,0)),0,VLOOKUP($T$563,'TAR FIN'!$A$1:$O$113,15,0))*(1-0.06)</f>
        <v>67.820999999999998</v>
      </c>
      <c r="X563" s="53">
        <f>IF(ISERROR(VLOOKUP($U$563,'TAR FIN'!$A$1:$O$113,15,0)),0,VLOOKUP($U$563,'TAR FIN'!$A$1:$O$113,15,0))*(1-0.06)</f>
        <v>261.94979999999998</v>
      </c>
      <c r="Y563" s="53"/>
      <c r="Z563" s="53">
        <f ca="1">('TUSD BE'!$AM$21+'TUSD BF_350'!$AM$21+'TUSD CVA'!$AM$21)*1*(1-0.03)</f>
        <v>118.47633671713493</v>
      </c>
      <c r="AA563" s="53">
        <f ca="1">('TE BE'!$AB$10+'TE BF_350'!$AB$10+'TE CVA'!$AB$10)*1*(1-0.03)</f>
        <v>224.73929999999999</v>
      </c>
      <c r="AB563" s="6">
        <f>$K$563*$V$563</f>
        <v>0</v>
      </c>
      <c r="AC563" s="6">
        <f>$M$563*$W$563</f>
        <v>60810.682334999998</v>
      </c>
      <c r="AD563" s="6">
        <f>$O$563*$X$563</f>
        <v>234873.35892299999</v>
      </c>
      <c r="AE563" s="6">
        <f>$K$563*$Y$563</f>
        <v>0</v>
      </c>
      <c r="AF563" s="6">
        <f ca="1">$M$563*$Z$563</f>
        <v>106230.03017236828</v>
      </c>
      <c r="AG563" s="6">
        <f ca="1">$O$563*$AA$563</f>
        <v>201509.1222555</v>
      </c>
    </row>
    <row r="564" spans="1:33" ht="11.25" customHeight="1" x14ac:dyDescent="0.3">
      <c r="A564" s="4" t="s">
        <v>21</v>
      </c>
      <c r="B564" s="4" t="s">
        <v>39</v>
      </c>
      <c r="C564" s="4" t="s">
        <v>41</v>
      </c>
      <c r="D564" s="4" t="s">
        <v>50</v>
      </c>
      <c r="E564" s="4" t="s">
        <v>51</v>
      </c>
      <c r="F564" s="4" t="s">
        <v>25</v>
      </c>
      <c r="G564" s="4" t="s">
        <v>25</v>
      </c>
      <c r="H564" s="4" t="s">
        <v>35</v>
      </c>
      <c r="I564" s="5">
        <v>44713</v>
      </c>
      <c r="J564" s="6">
        <v>0</v>
      </c>
      <c r="K564" s="53">
        <v>0</v>
      </c>
      <c r="L564" s="6">
        <v>902.27800000000002</v>
      </c>
      <c r="M564" s="53">
        <v>902.27800000000002</v>
      </c>
      <c r="N564" s="6">
        <v>902.27800000000002</v>
      </c>
      <c r="O564" s="53">
        <v>902.27800000000002</v>
      </c>
      <c r="P564" s="6">
        <v>0</v>
      </c>
      <c r="Q564" s="4" t="s">
        <v>26</v>
      </c>
      <c r="R564" s="4">
        <v>0</v>
      </c>
      <c r="S564" s="6">
        <v>0</v>
      </c>
      <c r="T564" s="6">
        <v>6</v>
      </c>
      <c r="U564" s="6">
        <v>61</v>
      </c>
      <c r="V564" s="53">
        <f>IF(ISERROR(VLOOKUP($S$564,'TAR FIN'!$A$1:$O$113,15,0)),0,VLOOKUP($S$564,'TAR FIN'!$A$1:$O$113,15,0))</f>
        <v>0</v>
      </c>
      <c r="W564" s="53">
        <f>IF(ISERROR(VLOOKUP($T$564,'TAR FIN'!$A$1:$O$113,15,0)),0,VLOOKUP($T$564,'TAR FIN'!$A$1:$O$113,15,0))*(1-0.06)</f>
        <v>67.820999999999998</v>
      </c>
      <c r="X564" s="53">
        <f>IF(ISERROR(VLOOKUP($U$564,'TAR FIN'!$A$1:$O$113,15,0)),0,VLOOKUP($U$564,'TAR FIN'!$A$1:$O$113,15,0))*(1-0.06)</f>
        <v>261.94979999999998</v>
      </c>
      <c r="Y564" s="53"/>
      <c r="Z564" s="53">
        <f ca="1">('TUSD BE'!$AM$21+'TUSD BF_350'!$AM$21+'TUSD CVA'!$AM$21)*1*(1-0.03)</f>
        <v>118.47633671713493</v>
      </c>
      <c r="AA564" s="53">
        <f ca="1">('TE BE'!$AB$10+'TE BF_350'!$AB$10+'TE CVA'!$AB$10)*1*(1-0.03)</f>
        <v>224.73929999999999</v>
      </c>
      <c r="AB564" s="6">
        <f>$K$564*$V$564</f>
        <v>0</v>
      </c>
      <c r="AC564" s="6">
        <f>$M$564*$W$564</f>
        <v>61193.396238000001</v>
      </c>
      <c r="AD564" s="6">
        <f>$O$564*$X$564</f>
        <v>236351.54164439999</v>
      </c>
      <c r="AE564" s="6">
        <f>$K$564*$Y$564</f>
        <v>0</v>
      </c>
      <c r="AF564" s="6">
        <f ca="1">$M$564*$Z$564</f>
        <v>106898.59214046306</v>
      </c>
      <c r="AG564" s="6">
        <f ca="1">$O$564*$AA$564</f>
        <v>202777.3261254</v>
      </c>
    </row>
    <row r="565" spans="1:33" ht="11.25" customHeight="1" x14ac:dyDescent="0.3">
      <c r="A565" s="4" t="s">
        <v>21</v>
      </c>
      <c r="B565" s="4" t="s">
        <v>39</v>
      </c>
      <c r="C565" s="4" t="s">
        <v>41</v>
      </c>
      <c r="D565" s="4" t="s">
        <v>50</v>
      </c>
      <c r="E565" s="4" t="s">
        <v>51</v>
      </c>
      <c r="F565" s="4" t="s">
        <v>25</v>
      </c>
      <c r="G565" s="4" t="s">
        <v>25</v>
      </c>
      <c r="H565" s="4" t="s">
        <v>35</v>
      </c>
      <c r="I565" s="5">
        <v>44743</v>
      </c>
      <c r="J565" s="6">
        <v>0</v>
      </c>
      <c r="K565" s="53">
        <v>0</v>
      </c>
      <c r="L565" s="6">
        <v>879.01599999999996</v>
      </c>
      <c r="M565" s="53">
        <v>879.01599999999996</v>
      </c>
      <c r="N565" s="6">
        <v>879.01599999999996</v>
      </c>
      <c r="O565" s="53">
        <v>879.01599999999996</v>
      </c>
      <c r="P565" s="6">
        <v>0</v>
      </c>
      <c r="Q565" s="4" t="s">
        <v>26</v>
      </c>
      <c r="R565" s="4">
        <v>0</v>
      </c>
      <c r="S565" s="6">
        <v>0</v>
      </c>
      <c r="T565" s="6">
        <v>6</v>
      </c>
      <c r="U565" s="6">
        <v>61</v>
      </c>
      <c r="V565" s="53">
        <f>IF(ISERROR(VLOOKUP($S$565,'TAR FIN'!$A$1:$O$113,15,0)),0,VLOOKUP($S$565,'TAR FIN'!$A$1:$O$113,15,0))</f>
        <v>0</v>
      </c>
      <c r="W565" s="53">
        <f>IF(ISERROR(VLOOKUP($T$565,'TAR FIN'!$A$1:$O$113,15,0)),0,VLOOKUP($T$565,'TAR FIN'!$A$1:$O$113,15,0))*(1-0.06)</f>
        <v>67.820999999999998</v>
      </c>
      <c r="X565" s="53">
        <f>IF(ISERROR(VLOOKUP($U$565,'TAR FIN'!$A$1:$O$113,15,0)),0,VLOOKUP($U$565,'TAR FIN'!$A$1:$O$113,15,0))*(1-0.06)</f>
        <v>261.94979999999998</v>
      </c>
      <c r="Y565" s="53"/>
      <c r="Z565" s="53">
        <f ca="1">('TUSD BE'!$AM$21+'TUSD BF_350'!$AM$21+'TUSD CVA'!$AM$21)*1*(1-0.03)</f>
        <v>118.47633671713493</v>
      </c>
      <c r="AA565" s="53">
        <f ca="1">('TE BE'!$AB$10+'TE BF_350'!$AB$10+'TE CVA'!$AB$10)*1*(1-0.03)</f>
        <v>224.73929999999999</v>
      </c>
      <c r="AB565" s="6">
        <f>$K$565*$V$565</f>
        <v>0</v>
      </c>
      <c r="AC565" s="6">
        <f>$M$565*$W$565</f>
        <v>59615.744135999994</v>
      </c>
      <c r="AD565" s="6">
        <f>$O$565*$X$565</f>
        <v>230258.06539679997</v>
      </c>
      <c r="AE565" s="6">
        <f>$K$565*$Y$565</f>
        <v>0</v>
      </c>
      <c r="AF565" s="6">
        <f ca="1">$M$565*$Z$565</f>
        <v>104142.59559574907</v>
      </c>
      <c r="AG565" s="6">
        <f ca="1">$O$565*$AA$565</f>
        <v>197549.44052879998</v>
      </c>
    </row>
    <row r="566" spans="1:33" ht="11.25" customHeight="1" x14ac:dyDescent="0.3">
      <c r="A566" s="4" t="s">
        <v>21</v>
      </c>
      <c r="B566" s="4" t="s">
        <v>39</v>
      </c>
      <c r="C566" s="4" t="s">
        <v>41</v>
      </c>
      <c r="D566" s="4" t="s">
        <v>50</v>
      </c>
      <c r="E566" s="4" t="s">
        <v>51</v>
      </c>
      <c r="F566" s="4" t="s">
        <v>25</v>
      </c>
      <c r="G566" s="4" t="s">
        <v>25</v>
      </c>
      <c r="H566" s="4" t="s">
        <v>35</v>
      </c>
      <c r="I566" s="5">
        <v>44774</v>
      </c>
      <c r="J566" s="6">
        <v>0</v>
      </c>
      <c r="K566" s="53">
        <v>0</v>
      </c>
      <c r="L566" s="6">
        <v>926.07299999999998</v>
      </c>
      <c r="M566" s="53">
        <v>926.07299999999998</v>
      </c>
      <c r="N566" s="6">
        <v>926.07299999999998</v>
      </c>
      <c r="O566" s="53">
        <v>926.07299999999998</v>
      </c>
      <c r="P566" s="6">
        <v>0</v>
      </c>
      <c r="Q566" s="4" t="s">
        <v>26</v>
      </c>
      <c r="R566" s="4">
        <v>0</v>
      </c>
      <c r="S566" s="6">
        <v>0</v>
      </c>
      <c r="T566" s="6">
        <v>6</v>
      </c>
      <c r="U566" s="6">
        <v>61</v>
      </c>
      <c r="V566" s="53">
        <f>IF(ISERROR(VLOOKUP($S$566,'TAR FIN'!$A$1:$O$113,15,0)),0,VLOOKUP($S$566,'TAR FIN'!$A$1:$O$113,15,0))</f>
        <v>0</v>
      </c>
      <c r="W566" s="53">
        <f>IF(ISERROR(VLOOKUP($T$566,'TAR FIN'!$A$1:$O$113,15,0)),0,VLOOKUP($T$566,'TAR FIN'!$A$1:$O$113,15,0))*(1-0.06)</f>
        <v>67.820999999999998</v>
      </c>
      <c r="X566" s="53">
        <f>IF(ISERROR(VLOOKUP($U$566,'TAR FIN'!$A$1:$O$113,15,0)),0,VLOOKUP($U$566,'TAR FIN'!$A$1:$O$113,15,0))*(1-0.06)</f>
        <v>261.94979999999998</v>
      </c>
      <c r="Y566" s="53"/>
      <c r="Z566" s="53">
        <f ca="1">('TUSD BE'!$AM$21+'TUSD BF_350'!$AM$21+'TUSD CVA'!$AM$21)*1*(1-0.03)</f>
        <v>118.47633671713493</v>
      </c>
      <c r="AA566" s="53">
        <f ca="1">('TE BE'!$AB$10+'TE BF_350'!$AB$10+'TE CVA'!$AB$10)*1*(1-0.03)</f>
        <v>224.73929999999999</v>
      </c>
      <c r="AB566" s="6">
        <f>$K$566*$V$566</f>
        <v>0</v>
      </c>
      <c r="AC566" s="6">
        <f>$M$566*$W$566</f>
        <v>62807.196932999999</v>
      </c>
      <c r="AD566" s="6">
        <f>$O$566*$X$566</f>
        <v>242584.63713539997</v>
      </c>
      <c r="AE566" s="6">
        <f>$K$566*$Y$566</f>
        <v>0</v>
      </c>
      <c r="AF566" s="6">
        <f ca="1">$M$566*$Z$566</f>
        <v>109717.73657264729</v>
      </c>
      <c r="AG566" s="6">
        <f ca="1">$O$566*$AA$566</f>
        <v>208124.99776889998</v>
      </c>
    </row>
    <row r="567" spans="1:33" ht="11.25" customHeight="1" x14ac:dyDescent="0.3">
      <c r="A567" s="4" t="s">
        <v>21</v>
      </c>
      <c r="B567" s="4" t="s">
        <v>39</v>
      </c>
      <c r="C567" s="4" t="s">
        <v>41</v>
      </c>
      <c r="D567" s="4" t="s">
        <v>50</v>
      </c>
      <c r="E567" s="4" t="s">
        <v>51</v>
      </c>
      <c r="F567" s="4" t="s">
        <v>25</v>
      </c>
      <c r="G567" s="4" t="s">
        <v>25</v>
      </c>
      <c r="H567" s="4" t="s">
        <v>35</v>
      </c>
      <c r="I567" s="5">
        <v>44805</v>
      </c>
      <c r="J567" s="6">
        <v>0</v>
      </c>
      <c r="K567" s="53">
        <v>0</v>
      </c>
      <c r="L567" s="6">
        <v>928.22900000000004</v>
      </c>
      <c r="M567" s="53">
        <v>928.22900000000004</v>
      </c>
      <c r="N567" s="6">
        <v>928.22900000000004</v>
      </c>
      <c r="O567" s="53">
        <v>928.22900000000004</v>
      </c>
      <c r="P567" s="6">
        <v>0</v>
      </c>
      <c r="Q567" s="4" t="s">
        <v>26</v>
      </c>
      <c r="R567" s="4">
        <v>0</v>
      </c>
      <c r="S567" s="6">
        <v>0</v>
      </c>
      <c r="T567" s="6">
        <v>6</v>
      </c>
      <c r="U567" s="6">
        <v>61</v>
      </c>
      <c r="V567" s="53">
        <f>IF(ISERROR(VLOOKUP($S$567,'TAR FIN'!$A$1:$O$113,15,0)),0,VLOOKUP($S$567,'TAR FIN'!$A$1:$O$113,15,0))</f>
        <v>0</v>
      </c>
      <c r="W567" s="53">
        <f>IF(ISERROR(VLOOKUP($T$567,'TAR FIN'!$A$1:$O$113,15,0)),0,VLOOKUP($T$567,'TAR FIN'!$A$1:$O$113,15,0))*(1-0.06)</f>
        <v>67.820999999999998</v>
      </c>
      <c r="X567" s="53">
        <f>IF(ISERROR(VLOOKUP($U$567,'TAR FIN'!$A$1:$O$113,15,0)),0,VLOOKUP($U$567,'TAR FIN'!$A$1:$O$113,15,0))*(1-0.06)</f>
        <v>261.94979999999998</v>
      </c>
      <c r="Y567" s="53"/>
      <c r="Z567" s="53">
        <f ca="1">('TUSD BE'!$AM$21+'TUSD BF_350'!$AM$21+'TUSD CVA'!$AM$21)*1*(1-0.03)</f>
        <v>118.47633671713493</v>
      </c>
      <c r="AA567" s="53">
        <f ca="1">('TE BE'!$AB$10+'TE BF_350'!$AB$10+'TE CVA'!$AB$10)*1*(1-0.03)</f>
        <v>224.73929999999999</v>
      </c>
      <c r="AB567" s="6">
        <f>$K$567*$V$567</f>
        <v>0</v>
      </c>
      <c r="AC567" s="6">
        <f>$M$567*$W$567</f>
        <v>62953.419008999997</v>
      </c>
      <c r="AD567" s="6">
        <f>$O$567*$X$567</f>
        <v>243149.40090419998</v>
      </c>
      <c r="AE567" s="6">
        <f>$K$567*$Y$567</f>
        <v>0</v>
      </c>
      <c r="AF567" s="6">
        <f ca="1">$M$567*$Z$567</f>
        <v>109973.17155460943</v>
      </c>
      <c r="AG567" s="6">
        <f ca="1">$O$567*$AA$567</f>
        <v>208609.53569970001</v>
      </c>
    </row>
    <row r="568" spans="1:33" ht="11.25" customHeight="1" x14ac:dyDescent="0.3">
      <c r="A568" s="4" t="s">
        <v>53</v>
      </c>
      <c r="B568" s="4" t="s">
        <v>39</v>
      </c>
      <c r="C568" s="4" t="s">
        <v>41</v>
      </c>
      <c r="D568" s="4" t="s">
        <v>50</v>
      </c>
      <c r="E568" s="4" t="s">
        <v>51</v>
      </c>
      <c r="F568" s="4" t="s">
        <v>25</v>
      </c>
      <c r="G568" s="4" t="s">
        <v>25</v>
      </c>
      <c r="H568" s="4" t="s">
        <v>35</v>
      </c>
      <c r="I568" s="5">
        <v>44835</v>
      </c>
      <c r="J568" s="6">
        <v>0</v>
      </c>
      <c r="K568" s="53">
        <v>0</v>
      </c>
      <c r="L568" s="6">
        <v>928.22900000000004</v>
      </c>
      <c r="M568" s="53">
        <v>928.22900000000004</v>
      </c>
      <c r="N568" s="6">
        <v>928.22900000000004</v>
      </c>
      <c r="O568" s="53">
        <v>928.22900000000004</v>
      </c>
      <c r="P568" s="6">
        <v>0</v>
      </c>
      <c r="Q568" s="4" t="s">
        <v>26</v>
      </c>
      <c r="R568" s="4">
        <v>0</v>
      </c>
      <c r="S568" s="6">
        <v>0</v>
      </c>
      <c r="T568" s="6">
        <v>6</v>
      </c>
      <c r="U568" s="6">
        <v>61</v>
      </c>
      <c r="V568" s="53">
        <f>IF(ISERROR(VLOOKUP($S$568,'TAR FIN'!$A$1:$O$113,15,0)),0,VLOOKUP($S$568,'TAR FIN'!$A$1:$O$113,15,0))</f>
        <v>0</v>
      </c>
      <c r="W568" s="53">
        <f>IF(ISERROR(VLOOKUP($T$568,'TAR FIN'!$A$1:$O$113,15,0)),0,VLOOKUP($T$568,'TAR FIN'!$A$1:$O$113,15,0))*(1-0.06)</f>
        <v>67.820999999999998</v>
      </c>
      <c r="X568" s="53">
        <f>IF(ISERROR(VLOOKUP($U$568,'TAR FIN'!$A$1:$O$113,15,0)),0,VLOOKUP($U$568,'TAR FIN'!$A$1:$O$113,15,0))*(1-0.06)</f>
        <v>261.94979999999998</v>
      </c>
      <c r="Y568" s="53"/>
      <c r="Z568" s="53">
        <f ca="1">('TUSD BE'!$AM$21+'TUSD BF_350'!$AM$21+'TUSD CVA'!$AM$21)*1*(1-0.03)</f>
        <v>118.47633671713493</v>
      </c>
      <c r="AA568" s="53">
        <f ca="1">('TE BE'!$AB$10+'TE BF_350'!$AB$10+'TE CVA'!$AB$10)*1*(1-0.03)</f>
        <v>224.73929999999999</v>
      </c>
      <c r="AB568" s="6">
        <f>$K$568*$V$568</f>
        <v>0</v>
      </c>
      <c r="AC568" s="6">
        <f>$M$568*$W$568</f>
        <v>62953.419008999997</v>
      </c>
      <c r="AD568" s="6">
        <f>$O$568*$X$568</f>
        <v>243149.40090419998</v>
      </c>
      <c r="AE568" s="6">
        <f>$K$568*$Y$568</f>
        <v>0</v>
      </c>
      <c r="AF568" s="6">
        <f ca="1">$M$568*$Z$568</f>
        <v>109973.17155460943</v>
      </c>
      <c r="AG568" s="6">
        <f ca="1">$O$568*$AA$568</f>
        <v>208609.53569970001</v>
      </c>
    </row>
    <row r="569" spans="1:33" ht="11.25" customHeight="1" x14ac:dyDescent="0.3">
      <c r="A569" s="4" t="s">
        <v>21</v>
      </c>
      <c r="B569" s="4" t="s">
        <v>39</v>
      </c>
      <c r="C569" s="4" t="s">
        <v>41</v>
      </c>
      <c r="D569" s="4" t="s">
        <v>50</v>
      </c>
      <c r="E569" s="4" t="s">
        <v>51</v>
      </c>
      <c r="F569" s="4" t="s">
        <v>25</v>
      </c>
      <c r="G569" s="4" t="s">
        <v>25</v>
      </c>
      <c r="H569" s="4" t="s">
        <v>25</v>
      </c>
      <c r="I569" s="5">
        <v>44501</v>
      </c>
      <c r="J569" s="6">
        <v>2053</v>
      </c>
      <c r="K569" s="52">
        <v>2053</v>
      </c>
      <c r="L569" s="6">
        <v>0</v>
      </c>
      <c r="M569" s="53">
        <v>0</v>
      </c>
      <c r="N569" s="6">
        <v>0</v>
      </c>
      <c r="O569" s="53">
        <v>0</v>
      </c>
      <c r="P569" s="6">
        <v>15</v>
      </c>
      <c r="Q569" s="4" t="s">
        <v>26</v>
      </c>
      <c r="R569" s="4">
        <v>0</v>
      </c>
      <c r="S569" s="6">
        <v>20</v>
      </c>
      <c r="T569" s="6">
        <v>0</v>
      </c>
      <c r="U569" s="6">
        <v>0</v>
      </c>
      <c r="V569" s="53">
        <f>IF(ISERROR(VLOOKUP($S$569,'TAR FIN'!$A$1:$O$113,15,0)),0,VLOOKUP($S$569,'TAR FIN'!$A$1:$O$113,15,0))*(1-0.06)</f>
        <v>13.16</v>
      </c>
      <c r="W569" s="53">
        <f>IF(ISERROR(VLOOKUP($T$569,'TAR FIN'!$A$1:$O$113,15,0)),0,VLOOKUP($T$569,'TAR FIN'!$A$1:$O$113,15,0))</f>
        <v>0</v>
      </c>
      <c r="X569" s="53">
        <f>IF(ISERROR(VLOOKUP($U$569,'TAR FIN'!$A$1:$O$113,15,0)),0,VLOOKUP($U$569,'TAR FIN'!$A$1:$O$113,15,0))</f>
        <v>0</v>
      </c>
      <c r="Y569" s="53">
        <f ca="1">('TUSD BE'!$AM$19+'TUSD BF_350'!$AM$19+'TUSD CVA'!$AM$19)*1*(1-0.03)</f>
        <v>15.554875305631656</v>
      </c>
      <c r="Z569" s="53"/>
      <c r="AA569" s="53"/>
      <c r="AB569" s="6">
        <f>$K$569*$V$569</f>
        <v>27017.48</v>
      </c>
      <c r="AC569" s="6">
        <f>$M$569*$W$569</f>
        <v>0</v>
      </c>
      <c r="AD569" s="6">
        <f>$O$569*$X$569</f>
        <v>0</v>
      </c>
      <c r="AE569" s="6">
        <f ca="1">$K$569*$Y$569</f>
        <v>31934.159002461791</v>
      </c>
      <c r="AF569" s="6">
        <f>$M$569*$Z$569</f>
        <v>0</v>
      </c>
      <c r="AG569" s="6">
        <f>$O$569*$AA$569</f>
        <v>0</v>
      </c>
    </row>
    <row r="570" spans="1:33" ht="11.25" customHeight="1" x14ac:dyDescent="0.3">
      <c r="A570" s="4" t="s">
        <v>21</v>
      </c>
      <c r="B570" s="4" t="s">
        <v>39</v>
      </c>
      <c r="C570" s="4" t="s">
        <v>41</v>
      </c>
      <c r="D570" s="4" t="s">
        <v>50</v>
      </c>
      <c r="E570" s="4" t="s">
        <v>51</v>
      </c>
      <c r="F570" s="4" t="s">
        <v>25</v>
      </c>
      <c r="G570" s="4" t="s">
        <v>25</v>
      </c>
      <c r="H570" s="4" t="s">
        <v>25</v>
      </c>
      <c r="I570" s="5">
        <v>44531</v>
      </c>
      <c r="J570" s="6">
        <v>2047</v>
      </c>
      <c r="K570" s="52">
        <v>2047</v>
      </c>
      <c r="L570" s="6">
        <v>0</v>
      </c>
      <c r="M570" s="53">
        <v>0</v>
      </c>
      <c r="N570" s="6">
        <v>0</v>
      </c>
      <c r="O570" s="53">
        <v>0</v>
      </c>
      <c r="P570" s="6">
        <v>15</v>
      </c>
      <c r="Q570" s="4" t="s">
        <v>26</v>
      </c>
      <c r="R570" s="4">
        <v>0</v>
      </c>
      <c r="S570" s="6">
        <v>20</v>
      </c>
      <c r="T570" s="6">
        <v>0</v>
      </c>
      <c r="U570" s="6">
        <v>0</v>
      </c>
      <c r="V570" s="53">
        <f>IF(ISERROR(VLOOKUP($S$570,'TAR FIN'!$A$1:$O$113,15,0)),0,VLOOKUP($S$570,'TAR FIN'!$A$1:$O$113,15,0))*(1-0.06)</f>
        <v>13.16</v>
      </c>
      <c r="W570" s="53">
        <f>IF(ISERROR(VLOOKUP($T$570,'TAR FIN'!$A$1:$O$113,15,0)),0,VLOOKUP($T$570,'TAR FIN'!$A$1:$O$113,15,0))</f>
        <v>0</v>
      </c>
      <c r="X570" s="53">
        <f>IF(ISERROR(VLOOKUP($U$570,'TAR FIN'!$A$1:$O$113,15,0)),0,VLOOKUP($U$570,'TAR FIN'!$A$1:$O$113,15,0))</f>
        <v>0</v>
      </c>
      <c r="Y570" s="53">
        <f ca="1">('TUSD BE'!$AM$19+'TUSD BF_350'!$AM$19+'TUSD CVA'!$AM$19)*1*(1-0.03)</f>
        <v>15.554875305631656</v>
      </c>
      <c r="Z570" s="53"/>
      <c r="AA570" s="53"/>
      <c r="AB570" s="6">
        <f>$K$570*$V$570</f>
        <v>26938.52</v>
      </c>
      <c r="AC570" s="6">
        <f>$M$570*$W$570</f>
        <v>0</v>
      </c>
      <c r="AD570" s="6">
        <f>$O$570*$X$570</f>
        <v>0</v>
      </c>
      <c r="AE570" s="6">
        <f ca="1">$K$570*$Y$570</f>
        <v>31840.829750628</v>
      </c>
      <c r="AF570" s="6">
        <f>$M$570*$Z$570</f>
        <v>0</v>
      </c>
      <c r="AG570" s="6">
        <f>$O$570*$AA$570</f>
        <v>0</v>
      </c>
    </row>
    <row r="571" spans="1:33" ht="11.25" customHeight="1" x14ac:dyDescent="0.3">
      <c r="A571" s="4" t="s">
        <v>21</v>
      </c>
      <c r="B571" s="4" t="s">
        <v>39</v>
      </c>
      <c r="C571" s="4" t="s">
        <v>41</v>
      </c>
      <c r="D571" s="4" t="s">
        <v>50</v>
      </c>
      <c r="E571" s="4" t="s">
        <v>51</v>
      </c>
      <c r="F571" s="4" t="s">
        <v>25</v>
      </c>
      <c r="G571" s="4" t="s">
        <v>25</v>
      </c>
      <c r="H571" s="4" t="s">
        <v>25</v>
      </c>
      <c r="I571" s="5">
        <v>44562</v>
      </c>
      <c r="J571" s="6">
        <v>2026</v>
      </c>
      <c r="K571" s="52">
        <v>2026</v>
      </c>
      <c r="L571" s="6">
        <v>0</v>
      </c>
      <c r="M571" s="53">
        <v>0</v>
      </c>
      <c r="N571" s="6">
        <v>0</v>
      </c>
      <c r="O571" s="53">
        <v>0</v>
      </c>
      <c r="P571" s="6">
        <v>14</v>
      </c>
      <c r="Q571" s="4" t="s">
        <v>26</v>
      </c>
      <c r="R571" s="4">
        <v>0</v>
      </c>
      <c r="S571" s="6">
        <v>20</v>
      </c>
      <c r="T571" s="6">
        <v>0</v>
      </c>
      <c r="U571" s="6">
        <v>0</v>
      </c>
      <c r="V571" s="53">
        <f>IF(ISERROR(VLOOKUP($S$571,'TAR FIN'!$A$1:$O$113,15,0)),0,VLOOKUP($S$571,'TAR FIN'!$A$1:$O$113,15,0))*(1-0.06)</f>
        <v>13.16</v>
      </c>
      <c r="W571" s="53">
        <f>IF(ISERROR(VLOOKUP($T$571,'TAR FIN'!$A$1:$O$113,15,0)),0,VLOOKUP($T$571,'TAR FIN'!$A$1:$O$113,15,0))</f>
        <v>0</v>
      </c>
      <c r="X571" s="53">
        <f>IF(ISERROR(VLOOKUP($U$571,'TAR FIN'!$A$1:$O$113,15,0)),0,VLOOKUP($U$571,'TAR FIN'!$A$1:$O$113,15,0))</f>
        <v>0</v>
      </c>
      <c r="Y571" s="53">
        <f ca="1">('TUSD BE'!$AM$19+'TUSD BF_350'!$AM$19+'TUSD CVA'!$AM$19)*1*(1-0.03)</f>
        <v>15.554875305631656</v>
      </c>
      <c r="Z571" s="53"/>
      <c r="AA571" s="53"/>
      <c r="AB571" s="6">
        <f>$K$571*$V$571</f>
        <v>26662.16</v>
      </c>
      <c r="AC571" s="6">
        <f>$M$571*$W$571</f>
        <v>0</v>
      </c>
      <c r="AD571" s="6">
        <f>$O$571*$X$571</f>
        <v>0</v>
      </c>
      <c r="AE571" s="6">
        <f ca="1">$K$571*$Y$571</f>
        <v>31514.177369209734</v>
      </c>
      <c r="AF571" s="6">
        <f>$M$571*$Z$571</f>
        <v>0</v>
      </c>
      <c r="AG571" s="6">
        <f>$O$571*$AA$571</f>
        <v>0</v>
      </c>
    </row>
    <row r="572" spans="1:33" ht="11.25" customHeight="1" x14ac:dyDescent="0.3">
      <c r="A572" s="4" t="s">
        <v>21</v>
      </c>
      <c r="B572" s="4" t="s">
        <v>39</v>
      </c>
      <c r="C572" s="4" t="s">
        <v>41</v>
      </c>
      <c r="D572" s="4" t="s">
        <v>50</v>
      </c>
      <c r="E572" s="4" t="s">
        <v>51</v>
      </c>
      <c r="F572" s="4" t="s">
        <v>25</v>
      </c>
      <c r="G572" s="4" t="s">
        <v>25</v>
      </c>
      <c r="H572" s="4" t="s">
        <v>25</v>
      </c>
      <c r="I572" s="5">
        <v>44593</v>
      </c>
      <c r="J572" s="6">
        <v>2048</v>
      </c>
      <c r="K572" s="52">
        <v>2048</v>
      </c>
      <c r="L572" s="6">
        <v>0</v>
      </c>
      <c r="M572" s="53">
        <v>0</v>
      </c>
      <c r="N572" s="6">
        <v>0</v>
      </c>
      <c r="O572" s="53">
        <v>0</v>
      </c>
      <c r="P572" s="6">
        <v>14</v>
      </c>
      <c r="Q572" s="4" t="s">
        <v>26</v>
      </c>
      <c r="R572" s="4">
        <v>0</v>
      </c>
      <c r="S572" s="6">
        <v>20</v>
      </c>
      <c r="T572" s="6">
        <v>0</v>
      </c>
      <c r="U572" s="6">
        <v>0</v>
      </c>
      <c r="V572" s="53">
        <f>IF(ISERROR(VLOOKUP($S$572,'TAR FIN'!$A$1:$O$113,15,0)),0,VLOOKUP($S$572,'TAR FIN'!$A$1:$O$113,15,0))*(1-0.06)</f>
        <v>13.16</v>
      </c>
      <c r="W572" s="53">
        <f>IF(ISERROR(VLOOKUP($T$572,'TAR FIN'!$A$1:$O$113,15,0)),0,VLOOKUP($T$572,'TAR FIN'!$A$1:$O$113,15,0))</f>
        <v>0</v>
      </c>
      <c r="X572" s="53">
        <f>IF(ISERROR(VLOOKUP($U$572,'TAR FIN'!$A$1:$O$113,15,0)),0,VLOOKUP($U$572,'TAR FIN'!$A$1:$O$113,15,0))</f>
        <v>0</v>
      </c>
      <c r="Y572" s="53">
        <f ca="1">('TUSD BE'!$AM$19+'TUSD BF_350'!$AM$19+'TUSD CVA'!$AM$19)*1*(1-0.03)</f>
        <v>15.554875305631656</v>
      </c>
      <c r="Z572" s="53"/>
      <c r="AA572" s="53"/>
      <c r="AB572" s="6">
        <f>$K$572*$V$572</f>
        <v>26951.68</v>
      </c>
      <c r="AC572" s="6">
        <f>$M$572*$W$572</f>
        <v>0</v>
      </c>
      <c r="AD572" s="6">
        <f>$O$572*$X$572</f>
        <v>0</v>
      </c>
      <c r="AE572" s="6">
        <f ca="1">$K$572*$Y$572</f>
        <v>31856.384625933631</v>
      </c>
      <c r="AF572" s="6">
        <f>$M$572*$Z$572</f>
        <v>0</v>
      </c>
      <c r="AG572" s="6">
        <f>$O$572*$AA$572</f>
        <v>0</v>
      </c>
    </row>
    <row r="573" spans="1:33" ht="11.25" customHeight="1" x14ac:dyDescent="0.3">
      <c r="A573" s="4" t="s">
        <v>21</v>
      </c>
      <c r="B573" s="4" t="s">
        <v>39</v>
      </c>
      <c r="C573" s="4" t="s">
        <v>41</v>
      </c>
      <c r="D573" s="4" t="s">
        <v>50</v>
      </c>
      <c r="E573" s="4" t="s">
        <v>51</v>
      </c>
      <c r="F573" s="4" t="s">
        <v>25</v>
      </c>
      <c r="G573" s="4" t="s">
        <v>25</v>
      </c>
      <c r="H573" s="4" t="s">
        <v>25</v>
      </c>
      <c r="I573" s="5">
        <v>44621</v>
      </c>
      <c r="J573" s="6">
        <v>2056</v>
      </c>
      <c r="K573" s="52">
        <v>2056</v>
      </c>
      <c r="L573" s="6">
        <v>0</v>
      </c>
      <c r="M573" s="53">
        <v>0</v>
      </c>
      <c r="N573" s="6">
        <v>0</v>
      </c>
      <c r="O573" s="53">
        <v>0</v>
      </c>
      <c r="P573" s="6">
        <v>14</v>
      </c>
      <c r="Q573" s="4" t="s">
        <v>26</v>
      </c>
      <c r="R573" s="4">
        <v>0</v>
      </c>
      <c r="S573" s="6">
        <v>20</v>
      </c>
      <c r="T573" s="6">
        <v>0</v>
      </c>
      <c r="U573" s="6">
        <v>0</v>
      </c>
      <c r="V573" s="53">
        <f>IF(ISERROR(VLOOKUP($S$573,'TAR FIN'!$A$1:$O$113,15,0)),0,VLOOKUP($S$573,'TAR FIN'!$A$1:$O$113,15,0))*(1-0.06)</f>
        <v>13.16</v>
      </c>
      <c r="W573" s="53">
        <f>IF(ISERROR(VLOOKUP($T$573,'TAR FIN'!$A$1:$O$113,15,0)),0,VLOOKUP($T$573,'TAR FIN'!$A$1:$O$113,15,0))</f>
        <v>0</v>
      </c>
      <c r="X573" s="53">
        <f>IF(ISERROR(VLOOKUP($U$573,'TAR FIN'!$A$1:$O$113,15,0)),0,VLOOKUP($U$573,'TAR FIN'!$A$1:$O$113,15,0))</f>
        <v>0</v>
      </c>
      <c r="Y573" s="53">
        <f ca="1">('TUSD BE'!$AM$19+'TUSD BF_350'!$AM$19+'TUSD CVA'!$AM$19)*1*(1-0.03)</f>
        <v>15.554875305631656</v>
      </c>
      <c r="Z573" s="53"/>
      <c r="AA573" s="53"/>
      <c r="AB573" s="6">
        <f>$K$573*$V$573</f>
        <v>27056.959999999999</v>
      </c>
      <c r="AC573" s="6">
        <f>$M$573*$W$573</f>
        <v>0</v>
      </c>
      <c r="AD573" s="6">
        <f>$O$573*$X$573</f>
        <v>0</v>
      </c>
      <c r="AE573" s="6">
        <f ca="1">$K$573*$Y$573</f>
        <v>31980.823628378686</v>
      </c>
      <c r="AF573" s="6">
        <f>$M$573*$Z$573</f>
        <v>0</v>
      </c>
      <c r="AG573" s="6">
        <f>$O$573*$AA$573</f>
        <v>0</v>
      </c>
    </row>
    <row r="574" spans="1:33" ht="11.25" customHeight="1" x14ac:dyDescent="0.3">
      <c r="A574" s="4" t="s">
        <v>21</v>
      </c>
      <c r="B574" s="4" t="s">
        <v>39</v>
      </c>
      <c r="C574" s="4" t="s">
        <v>41</v>
      </c>
      <c r="D574" s="4" t="s">
        <v>50</v>
      </c>
      <c r="E574" s="4" t="s">
        <v>51</v>
      </c>
      <c r="F574" s="4" t="s">
        <v>25</v>
      </c>
      <c r="G574" s="4" t="s">
        <v>25</v>
      </c>
      <c r="H574" s="4" t="s">
        <v>25</v>
      </c>
      <c r="I574" s="5">
        <v>44652</v>
      </c>
      <c r="J574" s="6">
        <v>2050</v>
      </c>
      <c r="K574" s="52">
        <v>2050</v>
      </c>
      <c r="L574" s="6">
        <v>0</v>
      </c>
      <c r="M574" s="53">
        <v>0</v>
      </c>
      <c r="N574" s="6">
        <v>0</v>
      </c>
      <c r="O574" s="53">
        <v>0</v>
      </c>
      <c r="P574" s="6">
        <v>14</v>
      </c>
      <c r="Q574" s="4" t="s">
        <v>26</v>
      </c>
      <c r="R574" s="4">
        <v>0</v>
      </c>
      <c r="S574" s="6">
        <v>20</v>
      </c>
      <c r="T574" s="6">
        <v>0</v>
      </c>
      <c r="U574" s="6">
        <v>0</v>
      </c>
      <c r="V574" s="53">
        <f>IF(ISERROR(VLOOKUP($S$574,'TAR FIN'!$A$1:$O$113,15,0)),0,VLOOKUP($S$574,'TAR FIN'!$A$1:$O$113,15,0))*(1-0.06)</f>
        <v>13.16</v>
      </c>
      <c r="W574" s="53">
        <f>IF(ISERROR(VLOOKUP($T$574,'TAR FIN'!$A$1:$O$113,15,0)),0,VLOOKUP($T$574,'TAR FIN'!$A$1:$O$113,15,0))</f>
        <v>0</v>
      </c>
      <c r="X574" s="53">
        <f>IF(ISERROR(VLOOKUP($U$574,'TAR FIN'!$A$1:$O$113,15,0)),0,VLOOKUP($U$574,'TAR FIN'!$A$1:$O$113,15,0))</f>
        <v>0</v>
      </c>
      <c r="Y574" s="53">
        <f ca="1">('TUSD BE'!$AM$19+'TUSD BF_350'!$AM$19+'TUSD CVA'!$AM$19)*1*(1-0.03)</f>
        <v>15.554875305631656</v>
      </c>
      <c r="Z574" s="53"/>
      <c r="AA574" s="53"/>
      <c r="AB574" s="6">
        <f>$K$574*$V$574</f>
        <v>26978</v>
      </c>
      <c r="AC574" s="6">
        <f>$M$574*$W$574</f>
        <v>0</v>
      </c>
      <c r="AD574" s="6">
        <f>$O$574*$X$574</f>
        <v>0</v>
      </c>
      <c r="AE574" s="6">
        <f ca="1">$K$574*$Y$574</f>
        <v>31887.494376544895</v>
      </c>
      <c r="AF574" s="6">
        <f>$M$574*$Z$574</f>
        <v>0</v>
      </c>
      <c r="AG574" s="6">
        <f>$O$574*$AA$574</f>
        <v>0</v>
      </c>
    </row>
    <row r="575" spans="1:33" ht="11.25" customHeight="1" x14ac:dyDescent="0.3">
      <c r="A575" s="4" t="s">
        <v>21</v>
      </c>
      <c r="B575" s="4" t="s">
        <v>39</v>
      </c>
      <c r="C575" s="4" t="s">
        <v>41</v>
      </c>
      <c r="D575" s="4" t="s">
        <v>50</v>
      </c>
      <c r="E575" s="4" t="s">
        <v>51</v>
      </c>
      <c r="F575" s="4" t="s">
        <v>25</v>
      </c>
      <c r="G575" s="4" t="s">
        <v>25</v>
      </c>
      <c r="H575" s="4" t="s">
        <v>25</v>
      </c>
      <c r="I575" s="5">
        <v>44682</v>
      </c>
      <c r="J575" s="6">
        <v>2072</v>
      </c>
      <c r="K575" s="52">
        <v>2072</v>
      </c>
      <c r="L575" s="6">
        <v>0</v>
      </c>
      <c r="M575" s="53">
        <v>0</v>
      </c>
      <c r="N575" s="6">
        <v>0</v>
      </c>
      <c r="O575" s="53">
        <v>0</v>
      </c>
      <c r="P575" s="6">
        <v>14</v>
      </c>
      <c r="Q575" s="4" t="s">
        <v>26</v>
      </c>
      <c r="R575" s="4">
        <v>0</v>
      </c>
      <c r="S575" s="6">
        <v>20</v>
      </c>
      <c r="T575" s="6">
        <v>0</v>
      </c>
      <c r="U575" s="6">
        <v>0</v>
      </c>
      <c r="V575" s="53">
        <f>IF(ISERROR(VLOOKUP($S$575,'TAR FIN'!$A$1:$O$113,15,0)),0,VLOOKUP($S$575,'TAR FIN'!$A$1:$O$113,15,0))*(1-0.06)</f>
        <v>13.16</v>
      </c>
      <c r="W575" s="53">
        <f>IF(ISERROR(VLOOKUP($T$575,'TAR FIN'!$A$1:$O$113,15,0)),0,VLOOKUP($T$575,'TAR FIN'!$A$1:$O$113,15,0))</f>
        <v>0</v>
      </c>
      <c r="X575" s="53">
        <f>IF(ISERROR(VLOOKUP($U$575,'TAR FIN'!$A$1:$O$113,15,0)),0,VLOOKUP($U$575,'TAR FIN'!$A$1:$O$113,15,0))</f>
        <v>0</v>
      </c>
      <c r="Y575" s="53">
        <f ca="1">('TUSD BE'!$AM$19+'TUSD BF_350'!$AM$19+'TUSD CVA'!$AM$19)*1*(1-0.03)</f>
        <v>15.554875305631656</v>
      </c>
      <c r="Z575" s="53"/>
      <c r="AA575" s="53"/>
      <c r="AB575" s="6">
        <f>$K$575*$V$575</f>
        <v>27267.52</v>
      </c>
      <c r="AC575" s="6">
        <f>$M$575*$W$575</f>
        <v>0</v>
      </c>
      <c r="AD575" s="6">
        <f>$O$575*$X$575</f>
        <v>0</v>
      </c>
      <c r="AE575" s="6">
        <f ca="1">$K$575*$Y$575</f>
        <v>32229.701633268793</v>
      </c>
      <c r="AF575" s="6">
        <f>$M$575*$Z$575</f>
        <v>0</v>
      </c>
      <c r="AG575" s="6">
        <f>$O$575*$AA$575</f>
        <v>0</v>
      </c>
    </row>
    <row r="576" spans="1:33" ht="11.25" customHeight="1" x14ac:dyDescent="0.3">
      <c r="A576" s="4" t="s">
        <v>21</v>
      </c>
      <c r="B576" s="4" t="s">
        <v>39</v>
      </c>
      <c r="C576" s="4" t="s">
        <v>41</v>
      </c>
      <c r="D576" s="4" t="s">
        <v>50</v>
      </c>
      <c r="E576" s="4" t="s">
        <v>51</v>
      </c>
      <c r="F576" s="4" t="s">
        <v>25</v>
      </c>
      <c r="G576" s="4" t="s">
        <v>25</v>
      </c>
      <c r="H576" s="4" t="s">
        <v>25</v>
      </c>
      <c r="I576" s="5">
        <v>44713</v>
      </c>
      <c r="J576" s="6">
        <v>2061</v>
      </c>
      <c r="K576" s="52">
        <v>2061</v>
      </c>
      <c r="L576" s="6">
        <v>0</v>
      </c>
      <c r="M576" s="53">
        <v>0</v>
      </c>
      <c r="N576" s="6">
        <v>0</v>
      </c>
      <c r="O576" s="53">
        <v>0</v>
      </c>
      <c r="P576" s="6">
        <v>14</v>
      </c>
      <c r="Q576" s="4" t="s">
        <v>26</v>
      </c>
      <c r="R576" s="4">
        <v>0</v>
      </c>
      <c r="S576" s="6">
        <v>20</v>
      </c>
      <c r="T576" s="6">
        <v>0</v>
      </c>
      <c r="U576" s="6">
        <v>0</v>
      </c>
      <c r="V576" s="53">
        <f>IF(ISERROR(VLOOKUP($S$576,'TAR FIN'!$A$1:$O$113,15,0)),0,VLOOKUP($S$576,'TAR FIN'!$A$1:$O$113,15,0))*(1-0.06)</f>
        <v>13.16</v>
      </c>
      <c r="W576" s="53">
        <f>IF(ISERROR(VLOOKUP($T$576,'TAR FIN'!$A$1:$O$113,15,0)),0,VLOOKUP($T$576,'TAR FIN'!$A$1:$O$113,15,0))</f>
        <v>0</v>
      </c>
      <c r="X576" s="53">
        <f>IF(ISERROR(VLOOKUP($U$576,'TAR FIN'!$A$1:$O$113,15,0)),0,VLOOKUP($U$576,'TAR FIN'!$A$1:$O$113,15,0))</f>
        <v>0</v>
      </c>
      <c r="Y576" s="53">
        <f ca="1">('TUSD BE'!$AM$19+'TUSD BF_350'!$AM$19+'TUSD CVA'!$AM$19)*1*(1-0.03)</f>
        <v>15.554875305631656</v>
      </c>
      <c r="Z576" s="53"/>
      <c r="AA576" s="53"/>
      <c r="AB576" s="6">
        <f>$K$576*$V$576</f>
        <v>27122.760000000002</v>
      </c>
      <c r="AC576" s="6">
        <f>$M$576*$W$576</f>
        <v>0</v>
      </c>
      <c r="AD576" s="6">
        <f>$O$576*$X$576</f>
        <v>0</v>
      </c>
      <c r="AE576" s="6">
        <f ca="1">$K$576*$Y$576</f>
        <v>32058.598004906842</v>
      </c>
      <c r="AF576" s="6">
        <f>$M$576*$Z$576</f>
        <v>0</v>
      </c>
      <c r="AG576" s="6">
        <f>$O$576*$AA$576</f>
        <v>0</v>
      </c>
    </row>
    <row r="577" spans="1:33" ht="11.25" customHeight="1" x14ac:dyDescent="0.3">
      <c r="A577" s="4" t="s">
        <v>21</v>
      </c>
      <c r="B577" s="4" t="s">
        <v>39</v>
      </c>
      <c r="C577" s="4" t="s">
        <v>41</v>
      </c>
      <c r="D577" s="4" t="s">
        <v>50</v>
      </c>
      <c r="E577" s="4" t="s">
        <v>51</v>
      </c>
      <c r="F577" s="4" t="s">
        <v>25</v>
      </c>
      <c r="G577" s="4" t="s">
        <v>25</v>
      </c>
      <c r="H577" s="4" t="s">
        <v>25</v>
      </c>
      <c r="I577" s="5">
        <v>44743</v>
      </c>
      <c r="J577" s="6">
        <v>2081</v>
      </c>
      <c r="K577" s="52">
        <v>2081</v>
      </c>
      <c r="L577" s="6">
        <v>0</v>
      </c>
      <c r="M577" s="53">
        <v>0</v>
      </c>
      <c r="N577" s="6">
        <v>0</v>
      </c>
      <c r="O577" s="53">
        <v>0</v>
      </c>
      <c r="P577" s="6">
        <v>14</v>
      </c>
      <c r="Q577" s="4" t="s">
        <v>26</v>
      </c>
      <c r="R577" s="4">
        <v>0</v>
      </c>
      <c r="S577" s="6">
        <v>20</v>
      </c>
      <c r="T577" s="6">
        <v>0</v>
      </c>
      <c r="U577" s="6">
        <v>0</v>
      </c>
      <c r="V577" s="53">
        <f>IF(ISERROR(VLOOKUP($S$577,'TAR FIN'!$A$1:$O$113,15,0)),0,VLOOKUP($S$577,'TAR FIN'!$A$1:$O$113,15,0))*(1-0.06)</f>
        <v>13.16</v>
      </c>
      <c r="W577" s="53">
        <f>IF(ISERROR(VLOOKUP($T$577,'TAR FIN'!$A$1:$O$113,15,0)),0,VLOOKUP($T$577,'TAR FIN'!$A$1:$O$113,15,0))</f>
        <v>0</v>
      </c>
      <c r="X577" s="53">
        <f>IF(ISERROR(VLOOKUP($U$577,'TAR FIN'!$A$1:$O$113,15,0)),0,VLOOKUP($U$577,'TAR FIN'!$A$1:$O$113,15,0))</f>
        <v>0</v>
      </c>
      <c r="Y577" s="53">
        <f ca="1">('TUSD BE'!$AM$19+'TUSD BF_350'!$AM$19+'TUSD CVA'!$AM$19)*1*(1-0.03)</f>
        <v>15.554875305631656</v>
      </c>
      <c r="Z577" s="53"/>
      <c r="AA577" s="53"/>
      <c r="AB577" s="6">
        <f>$K$577*$V$577</f>
        <v>27385.96</v>
      </c>
      <c r="AC577" s="6">
        <f>$M$577*$W$577</f>
        <v>0</v>
      </c>
      <c r="AD577" s="6">
        <f>$O$577*$X$577</f>
        <v>0</v>
      </c>
      <c r="AE577" s="6">
        <f ca="1">$K$577*$Y$577</f>
        <v>32369.695511019476</v>
      </c>
      <c r="AF577" s="6">
        <f>$M$577*$Z$577</f>
        <v>0</v>
      </c>
      <c r="AG577" s="6">
        <f>$O$577*$AA$577</f>
        <v>0</v>
      </c>
    </row>
    <row r="578" spans="1:33" ht="11.25" customHeight="1" x14ac:dyDescent="0.3">
      <c r="A578" s="4" t="s">
        <v>21</v>
      </c>
      <c r="B578" s="4" t="s">
        <v>39</v>
      </c>
      <c r="C578" s="4" t="s">
        <v>41</v>
      </c>
      <c r="D578" s="4" t="s">
        <v>50</v>
      </c>
      <c r="E578" s="4" t="s">
        <v>51</v>
      </c>
      <c r="F578" s="4" t="s">
        <v>25</v>
      </c>
      <c r="G578" s="4" t="s">
        <v>25</v>
      </c>
      <c r="H578" s="4" t="s">
        <v>25</v>
      </c>
      <c r="I578" s="5">
        <v>44774</v>
      </c>
      <c r="J578" s="6">
        <v>2090</v>
      </c>
      <c r="K578" s="52">
        <v>2090</v>
      </c>
      <c r="L578" s="6">
        <v>0</v>
      </c>
      <c r="M578" s="53">
        <v>0</v>
      </c>
      <c r="N578" s="6">
        <v>0</v>
      </c>
      <c r="O578" s="53">
        <v>0</v>
      </c>
      <c r="P578" s="6">
        <v>14</v>
      </c>
      <c r="Q578" s="4" t="s">
        <v>26</v>
      </c>
      <c r="R578" s="4">
        <v>0</v>
      </c>
      <c r="S578" s="6">
        <v>20</v>
      </c>
      <c r="T578" s="6">
        <v>0</v>
      </c>
      <c r="U578" s="6">
        <v>0</v>
      </c>
      <c r="V578" s="53">
        <f>IF(ISERROR(VLOOKUP($S$578,'TAR FIN'!$A$1:$O$113,15,0)),0,VLOOKUP($S$578,'TAR FIN'!$A$1:$O$113,15,0))*(1-0.06)</f>
        <v>13.16</v>
      </c>
      <c r="W578" s="53">
        <f>IF(ISERROR(VLOOKUP($T$578,'TAR FIN'!$A$1:$O$113,15,0)),0,VLOOKUP($T$578,'TAR FIN'!$A$1:$O$113,15,0))</f>
        <v>0</v>
      </c>
      <c r="X578" s="53">
        <f>IF(ISERROR(VLOOKUP($U$578,'TAR FIN'!$A$1:$O$113,15,0)),0,VLOOKUP($U$578,'TAR FIN'!$A$1:$O$113,15,0))</f>
        <v>0</v>
      </c>
      <c r="Y578" s="53">
        <f ca="1">('TUSD BE'!$AM$19+'TUSD BF_350'!$AM$19+'TUSD CVA'!$AM$19)*1*(1-0.03)</f>
        <v>15.554875305631656</v>
      </c>
      <c r="Z578" s="53"/>
      <c r="AA578" s="53"/>
      <c r="AB578" s="6">
        <f>$K$578*$V$578</f>
        <v>27504.400000000001</v>
      </c>
      <c r="AC578" s="6">
        <f>$M$578*$W$578</f>
        <v>0</v>
      </c>
      <c r="AD578" s="6">
        <f>$O$578*$X$578</f>
        <v>0</v>
      </c>
      <c r="AE578" s="6">
        <f ca="1">$K$578*$Y$578</f>
        <v>32509.689388770163</v>
      </c>
      <c r="AF578" s="6">
        <f>$M$578*$Z$578</f>
        <v>0</v>
      </c>
      <c r="AG578" s="6">
        <f>$O$578*$AA$578</f>
        <v>0</v>
      </c>
    </row>
    <row r="579" spans="1:33" ht="11.25" customHeight="1" x14ac:dyDescent="0.3">
      <c r="A579" s="4" t="s">
        <v>21</v>
      </c>
      <c r="B579" s="4" t="s">
        <v>39</v>
      </c>
      <c r="C579" s="4" t="s">
        <v>41</v>
      </c>
      <c r="D579" s="4" t="s">
        <v>50</v>
      </c>
      <c r="E579" s="4" t="s">
        <v>51</v>
      </c>
      <c r="F579" s="4" t="s">
        <v>25</v>
      </c>
      <c r="G579" s="4" t="s">
        <v>25</v>
      </c>
      <c r="H579" s="4" t="s">
        <v>25</v>
      </c>
      <c r="I579" s="5">
        <v>44805</v>
      </c>
      <c r="J579" s="6">
        <v>2091</v>
      </c>
      <c r="K579" s="52">
        <v>2091</v>
      </c>
      <c r="L579" s="6">
        <v>0</v>
      </c>
      <c r="M579" s="53">
        <v>0</v>
      </c>
      <c r="N579" s="6">
        <v>0</v>
      </c>
      <c r="O579" s="53">
        <v>0</v>
      </c>
      <c r="P579" s="6">
        <v>14</v>
      </c>
      <c r="Q579" s="4" t="s">
        <v>26</v>
      </c>
      <c r="R579" s="4">
        <v>0</v>
      </c>
      <c r="S579" s="6">
        <v>20</v>
      </c>
      <c r="T579" s="6">
        <v>0</v>
      </c>
      <c r="U579" s="6">
        <v>0</v>
      </c>
      <c r="V579" s="53">
        <f>IF(ISERROR(VLOOKUP($S$579,'TAR FIN'!$A$1:$O$113,15,0)),0,VLOOKUP($S$579,'TAR FIN'!$A$1:$O$113,15,0))*(1-0.06)</f>
        <v>13.16</v>
      </c>
      <c r="W579" s="53">
        <f>IF(ISERROR(VLOOKUP($T$579,'TAR FIN'!$A$1:$O$113,15,0)),0,VLOOKUP($T$579,'TAR FIN'!$A$1:$O$113,15,0))</f>
        <v>0</v>
      </c>
      <c r="X579" s="53">
        <f>IF(ISERROR(VLOOKUP($U$579,'TAR FIN'!$A$1:$O$113,15,0)),0,VLOOKUP($U$579,'TAR FIN'!$A$1:$O$113,15,0))</f>
        <v>0</v>
      </c>
      <c r="Y579" s="53">
        <f ca="1">('TUSD BE'!$AM$19+'TUSD BF_350'!$AM$19+'TUSD CVA'!$AM$19)*1*(1-0.03)</f>
        <v>15.554875305631656</v>
      </c>
      <c r="Z579" s="53"/>
      <c r="AA579" s="53"/>
      <c r="AB579" s="6">
        <f>$K$579*$V$579</f>
        <v>27517.56</v>
      </c>
      <c r="AC579" s="6">
        <f>$M$579*$W$579</f>
        <v>0</v>
      </c>
      <c r="AD579" s="6">
        <f>$O$579*$X$579</f>
        <v>0</v>
      </c>
      <c r="AE579" s="6">
        <f ca="1">$K$579*$Y$579</f>
        <v>32525.244264075794</v>
      </c>
      <c r="AF579" s="6">
        <f>$M$579*$Z$579</f>
        <v>0</v>
      </c>
      <c r="AG579" s="6">
        <f>$O$579*$AA$579</f>
        <v>0</v>
      </c>
    </row>
    <row r="580" spans="1:33" ht="11.25" customHeight="1" x14ac:dyDescent="0.3">
      <c r="A580" s="4" t="s">
        <v>53</v>
      </c>
      <c r="B580" s="4" t="s">
        <v>39</v>
      </c>
      <c r="C580" s="4" t="s">
        <v>41</v>
      </c>
      <c r="D580" s="4" t="s">
        <v>50</v>
      </c>
      <c r="E580" s="4" t="s">
        <v>51</v>
      </c>
      <c r="F580" s="4" t="s">
        <v>25</v>
      </c>
      <c r="G580" s="4" t="s">
        <v>25</v>
      </c>
      <c r="H580" s="4" t="s">
        <v>25</v>
      </c>
      <c r="I580" s="5">
        <v>44835</v>
      </c>
      <c r="J580" s="6">
        <v>2091</v>
      </c>
      <c r="K580" s="52">
        <v>2091</v>
      </c>
      <c r="L580" s="6">
        <v>0</v>
      </c>
      <c r="M580" s="53">
        <v>0</v>
      </c>
      <c r="N580" s="6">
        <v>0</v>
      </c>
      <c r="O580" s="53">
        <v>0</v>
      </c>
      <c r="P580" s="6">
        <v>14</v>
      </c>
      <c r="Q580" s="4" t="s">
        <v>26</v>
      </c>
      <c r="R580" s="4">
        <v>0</v>
      </c>
      <c r="S580" s="6">
        <v>20</v>
      </c>
      <c r="T580" s="6">
        <v>0</v>
      </c>
      <c r="U580" s="6">
        <v>0</v>
      </c>
      <c r="V580" s="53">
        <f>IF(ISERROR(VLOOKUP($S$580,'TAR FIN'!$A$1:$O$113,15,0)),0,VLOOKUP($S$580,'TAR FIN'!$A$1:$O$113,15,0))*(1-0.06)</f>
        <v>13.16</v>
      </c>
      <c r="W580" s="53">
        <f>IF(ISERROR(VLOOKUP($T$580,'TAR FIN'!$A$1:$O$113,15,0)),0,VLOOKUP($T$580,'TAR FIN'!$A$1:$O$113,15,0))</f>
        <v>0</v>
      </c>
      <c r="X580" s="53">
        <f>IF(ISERROR(VLOOKUP($U$580,'TAR FIN'!$A$1:$O$113,15,0)),0,VLOOKUP($U$580,'TAR FIN'!$A$1:$O$113,15,0))</f>
        <v>0</v>
      </c>
      <c r="Y580" s="53">
        <f ca="1">('TUSD BE'!$AM$19+'TUSD BF_350'!$AM$19+'TUSD CVA'!$AM$19)*1*(1-0.03)</f>
        <v>15.554875305631656</v>
      </c>
      <c r="Z580" s="53"/>
      <c r="AA580" s="53"/>
      <c r="AB580" s="6">
        <f>$K$580*$V$580</f>
        <v>27517.56</v>
      </c>
      <c r="AC580" s="6">
        <f>$M$580*$W$580</f>
        <v>0</v>
      </c>
      <c r="AD580" s="6">
        <f>$O$580*$X$580</f>
        <v>0</v>
      </c>
      <c r="AE580" s="6">
        <f ca="1">$K$580*$Y$580</f>
        <v>32525.244264075794</v>
      </c>
      <c r="AF580" s="6">
        <f>$M$580*$Z$580</f>
        <v>0</v>
      </c>
      <c r="AG580" s="6">
        <f>$O$580*$AA$580</f>
        <v>0</v>
      </c>
    </row>
    <row r="581" spans="1:33" ht="11.25" customHeight="1" x14ac:dyDescent="0.3">
      <c r="A581" s="4" t="s">
        <v>21</v>
      </c>
      <c r="B581" s="4" t="s">
        <v>39</v>
      </c>
      <c r="C581" s="4" t="s">
        <v>41</v>
      </c>
      <c r="D581" s="4" t="s">
        <v>50</v>
      </c>
      <c r="E581" s="4" t="s">
        <v>51</v>
      </c>
      <c r="F581" s="4" t="s">
        <v>25</v>
      </c>
      <c r="G581" s="4" t="s">
        <v>25</v>
      </c>
      <c r="H581" s="4" t="s">
        <v>34</v>
      </c>
      <c r="I581" s="5">
        <v>44501</v>
      </c>
      <c r="J581" s="6">
        <v>0</v>
      </c>
      <c r="K581" s="53">
        <v>0</v>
      </c>
      <c r="L581" s="6">
        <v>49.845999999999997</v>
      </c>
      <c r="M581" s="53">
        <v>49.845999999999997</v>
      </c>
      <c r="N581" s="6">
        <v>49.845999999999997</v>
      </c>
      <c r="O581" s="53">
        <v>49.845999999999997</v>
      </c>
      <c r="P581" s="6">
        <v>0</v>
      </c>
      <c r="Q581" s="4" t="s">
        <v>26</v>
      </c>
      <c r="R581" s="4">
        <v>0</v>
      </c>
      <c r="S581" s="6">
        <v>0</v>
      </c>
      <c r="T581" s="6">
        <v>8</v>
      </c>
      <c r="U581" s="6">
        <v>38</v>
      </c>
      <c r="V581" s="53">
        <f>IF(ISERROR(VLOOKUP($S$581,'TAR FIN'!$A$1:$O$113,15,0)),0,VLOOKUP($S$581,'TAR FIN'!$A$1:$O$113,15,0))</f>
        <v>0</v>
      </c>
      <c r="W581" s="53">
        <f>IF(ISERROR(VLOOKUP($T$581,'TAR FIN'!$A$1:$O$113,15,0)),0,VLOOKUP($T$581,'TAR FIN'!$A$1:$O$113,15,0))*(1-0.06)</f>
        <v>884.00419999999986</v>
      </c>
      <c r="X581" s="53">
        <f>IF(ISERROR(VLOOKUP($U$581,'TAR FIN'!$A$1:$O$113,15,0)),0,VLOOKUP($U$581,'TAR FIN'!$A$1:$O$113,15,0))*(1-0.06)</f>
        <v>416.28839999999997</v>
      </c>
      <c r="Y581" s="53"/>
      <c r="Z581" s="53">
        <f ca="1">('TUSD BE'!$AM$20+'TUSD BF_350'!$AM$20+'TUSD CVA'!$AM$20)*1*(1-0.03)</f>
        <v>1084.2937021280925</v>
      </c>
      <c r="AA581" s="53">
        <f ca="1">('TE BE'!$AB$9+'TE BF_350'!$AB$9+'TE CVA'!$AB$9)*1*(1-0.03)</f>
        <v>367.93069999999994</v>
      </c>
      <c r="AB581" s="6">
        <f>$K$581*$V$581</f>
        <v>0</v>
      </c>
      <c r="AC581" s="6">
        <f>$M$581*$W$581</f>
        <v>44064.073353199987</v>
      </c>
      <c r="AD581" s="6">
        <f>$O$581*$X$581</f>
        <v>20750.311586399996</v>
      </c>
      <c r="AE581" s="6">
        <f>$K$581*$Y$581</f>
        <v>0</v>
      </c>
      <c r="AF581" s="6">
        <f ca="1">$M$581*$Z$581</f>
        <v>54047.703876276893</v>
      </c>
      <c r="AG581" s="6">
        <f ca="1">$O$581*$AA$581</f>
        <v>18339.873672199996</v>
      </c>
    </row>
    <row r="582" spans="1:33" ht="11.25" customHeight="1" x14ac:dyDescent="0.3">
      <c r="A582" s="4" t="s">
        <v>21</v>
      </c>
      <c r="B582" s="4" t="s">
        <v>39</v>
      </c>
      <c r="C582" s="4" t="s">
        <v>41</v>
      </c>
      <c r="D582" s="4" t="s">
        <v>50</v>
      </c>
      <c r="E582" s="4" t="s">
        <v>51</v>
      </c>
      <c r="F582" s="4" t="s">
        <v>25</v>
      </c>
      <c r="G582" s="4" t="s">
        <v>25</v>
      </c>
      <c r="H582" s="4" t="s">
        <v>34</v>
      </c>
      <c r="I582" s="5">
        <v>44531</v>
      </c>
      <c r="J582" s="6">
        <v>0</v>
      </c>
      <c r="K582" s="53">
        <v>0</v>
      </c>
      <c r="L582" s="6">
        <v>41.014000000000003</v>
      </c>
      <c r="M582" s="53">
        <v>41.014000000000003</v>
      </c>
      <c r="N582" s="6">
        <v>41.014000000000003</v>
      </c>
      <c r="O582" s="53">
        <v>41.014000000000003</v>
      </c>
      <c r="P582" s="6">
        <v>0</v>
      </c>
      <c r="Q582" s="4" t="s">
        <v>26</v>
      </c>
      <c r="R582" s="4">
        <v>0</v>
      </c>
      <c r="S582" s="6">
        <v>0</v>
      </c>
      <c r="T582" s="6">
        <v>8</v>
      </c>
      <c r="U582" s="6">
        <v>38</v>
      </c>
      <c r="V582" s="53">
        <f>IF(ISERROR(VLOOKUP($S$582,'TAR FIN'!$A$1:$O$113,15,0)),0,VLOOKUP($S$582,'TAR FIN'!$A$1:$O$113,15,0))</f>
        <v>0</v>
      </c>
      <c r="W582" s="53">
        <f>IF(ISERROR(VLOOKUP($T$582,'TAR FIN'!$A$1:$O$113,15,0)),0,VLOOKUP($T$582,'TAR FIN'!$A$1:$O$113,15,0))*(1-0.06)</f>
        <v>884.00419999999986</v>
      </c>
      <c r="X582" s="53">
        <f>IF(ISERROR(VLOOKUP($U$582,'TAR FIN'!$A$1:$O$113,15,0)),0,VLOOKUP($U$582,'TAR FIN'!$A$1:$O$113,15,0))*(1-0.06)</f>
        <v>416.28839999999997</v>
      </c>
      <c r="Y582" s="53"/>
      <c r="Z582" s="53">
        <f ca="1">('TUSD BE'!$AM$20+'TUSD BF_350'!$AM$20+'TUSD CVA'!$AM$20)*1*(1-0.03)</f>
        <v>1084.2937021280925</v>
      </c>
      <c r="AA582" s="53">
        <f ca="1">('TE BE'!$AB$9+'TE BF_350'!$AB$9+'TE CVA'!$AB$9)*1*(1-0.03)</f>
        <v>367.93069999999994</v>
      </c>
      <c r="AB582" s="6">
        <f>$K$582*$V$582</f>
        <v>0</v>
      </c>
      <c r="AC582" s="6">
        <f>$M$582*$W$582</f>
        <v>36256.548258799994</v>
      </c>
      <c r="AD582" s="6">
        <f>$O$582*$X$582</f>
        <v>17073.652437600002</v>
      </c>
      <c r="AE582" s="6">
        <f>$K$582*$Y$582</f>
        <v>0</v>
      </c>
      <c r="AF582" s="6">
        <f ca="1">$M$582*$Z$582</f>
        <v>44471.221899081589</v>
      </c>
      <c r="AG582" s="6">
        <f ca="1">$O$582*$AA$582</f>
        <v>15090.309729799999</v>
      </c>
    </row>
    <row r="583" spans="1:33" ht="11.25" customHeight="1" x14ac:dyDescent="0.3">
      <c r="A583" s="4" t="s">
        <v>21</v>
      </c>
      <c r="B583" s="4" t="s">
        <v>39</v>
      </c>
      <c r="C583" s="4" t="s">
        <v>41</v>
      </c>
      <c r="D583" s="4" t="s">
        <v>50</v>
      </c>
      <c r="E583" s="4" t="s">
        <v>51</v>
      </c>
      <c r="F583" s="4" t="s">
        <v>25</v>
      </c>
      <c r="G583" s="4" t="s">
        <v>25</v>
      </c>
      <c r="H583" s="4" t="s">
        <v>34</v>
      </c>
      <c r="I583" s="5">
        <v>44562</v>
      </c>
      <c r="J583" s="6">
        <v>0</v>
      </c>
      <c r="K583" s="53">
        <v>0</v>
      </c>
      <c r="L583" s="6">
        <v>50.685000000000002</v>
      </c>
      <c r="M583" s="53">
        <v>50.685000000000002</v>
      </c>
      <c r="N583" s="6">
        <v>50.685000000000002</v>
      </c>
      <c r="O583" s="53">
        <v>50.685000000000002</v>
      </c>
      <c r="P583" s="6">
        <v>0</v>
      </c>
      <c r="Q583" s="4" t="s">
        <v>26</v>
      </c>
      <c r="R583" s="4">
        <v>0</v>
      </c>
      <c r="S583" s="6">
        <v>0</v>
      </c>
      <c r="T583" s="6">
        <v>8</v>
      </c>
      <c r="U583" s="6">
        <v>38</v>
      </c>
      <c r="V583" s="53">
        <f>IF(ISERROR(VLOOKUP($S$583,'TAR FIN'!$A$1:$O$113,15,0)),0,VLOOKUP($S$583,'TAR FIN'!$A$1:$O$113,15,0))</f>
        <v>0</v>
      </c>
      <c r="W583" s="53">
        <f>IF(ISERROR(VLOOKUP($T$583,'TAR FIN'!$A$1:$O$113,15,0)),0,VLOOKUP($T$583,'TAR FIN'!$A$1:$O$113,15,0))*(1-0.06)</f>
        <v>884.00419999999986</v>
      </c>
      <c r="X583" s="53">
        <f>IF(ISERROR(VLOOKUP($U$583,'TAR FIN'!$A$1:$O$113,15,0)),0,VLOOKUP($U$583,'TAR FIN'!$A$1:$O$113,15,0))*(1-0.06)</f>
        <v>416.28839999999997</v>
      </c>
      <c r="Y583" s="53"/>
      <c r="Z583" s="53">
        <f ca="1">('TUSD BE'!$AM$20+'TUSD BF_350'!$AM$20+'TUSD CVA'!$AM$20)*1*(1-0.03)</f>
        <v>1084.2937021280925</v>
      </c>
      <c r="AA583" s="53">
        <f ca="1">('TE BE'!$AB$9+'TE BF_350'!$AB$9+'TE CVA'!$AB$9)*1*(1-0.03)</f>
        <v>367.93069999999994</v>
      </c>
      <c r="AB583" s="6">
        <f>$K$583*$V$583</f>
        <v>0</v>
      </c>
      <c r="AC583" s="6">
        <f>$M$583*$W$583</f>
        <v>44805.752876999992</v>
      </c>
      <c r="AD583" s="6">
        <f>$O$583*$X$583</f>
        <v>21099.577554</v>
      </c>
      <c r="AE583" s="6">
        <f>$K$583*$Y$583</f>
        <v>0</v>
      </c>
      <c r="AF583" s="6">
        <f ca="1">$M$583*$Z$583</f>
        <v>54957.426292362368</v>
      </c>
      <c r="AG583" s="6">
        <f ca="1">$O$583*$AA$583</f>
        <v>18648.567529499996</v>
      </c>
    </row>
    <row r="584" spans="1:33" ht="11.25" customHeight="1" x14ac:dyDescent="0.3">
      <c r="A584" s="4" t="s">
        <v>21</v>
      </c>
      <c r="B584" s="4" t="s">
        <v>39</v>
      </c>
      <c r="C584" s="4" t="s">
        <v>41</v>
      </c>
      <c r="D584" s="4" t="s">
        <v>50</v>
      </c>
      <c r="E584" s="4" t="s">
        <v>51</v>
      </c>
      <c r="F584" s="4" t="s">
        <v>25</v>
      </c>
      <c r="G584" s="4" t="s">
        <v>25</v>
      </c>
      <c r="H584" s="4" t="s">
        <v>34</v>
      </c>
      <c r="I584" s="5">
        <v>44593</v>
      </c>
      <c r="J584" s="6">
        <v>0</v>
      </c>
      <c r="K584" s="53">
        <v>0</v>
      </c>
      <c r="L584" s="6">
        <v>43.015000000000001</v>
      </c>
      <c r="M584" s="53">
        <v>43.015000000000001</v>
      </c>
      <c r="N584" s="6">
        <v>43.015000000000001</v>
      </c>
      <c r="O584" s="53">
        <v>43.015000000000001</v>
      </c>
      <c r="P584" s="6">
        <v>0</v>
      </c>
      <c r="Q584" s="4" t="s">
        <v>26</v>
      </c>
      <c r="R584" s="4">
        <v>0</v>
      </c>
      <c r="S584" s="6">
        <v>0</v>
      </c>
      <c r="T584" s="6">
        <v>8</v>
      </c>
      <c r="U584" s="6">
        <v>38</v>
      </c>
      <c r="V584" s="53">
        <f>IF(ISERROR(VLOOKUP($S$584,'TAR FIN'!$A$1:$O$113,15,0)),0,VLOOKUP($S$584,'TAR FIN'!$A$1:$O$113,15,0))</f>
        <v>0</v>
      </c>
      <c r="W584" s="53">
        <f>IF(ISERROR(VLOOKUP($T$584,'TAR FIN'!$A$1:$O$113,15,0)),0,VLOOKUP($T$584,'TAR FIN'!$A$1:$O$113,15,0))*(1-0.06)</f>
        <v>884.00419999999986</v>
      </c>
      <c r="X584" s="53">
        <f>IF(ISERROR(VLOOKUP($U$584,'TAR FIN'!$A$1:$O$113,15,0)),0,VLOOKUP($U$584,'TAR FIN'!$A$1:$O$113,15,0))*(1-0.06)</f>
        <v>416.28839999999997</v>
      </c>
      <c r="Y584" s="53"/>
      <c r="Z584" s="53">
        <f ca="1">('TUSD BE'!$AM$20+'TUSD BF_350'!$AM$20+'TUSD CVA'!$AM$20)*1*(1-0.03)</f>
        <v>1084.2937021280925</v>
      </c>
      <c r="AA584" s="53">
        <f ca="1">('TE BE'!$AB$9+'TE BF_350'!$AB$9+'TE CVA'!$AB$9)*1*(1-0.03)</f>
        <v>367.93069999999994</v>
      </c>
      <c r="AB584" s="6">
        <f>$K$584*$V$584</f>
        <v>0</v>
      </c>
      <c r="AC584" s="6">
        <f>$M$584*$W$584</f>
        <v>38025.440662999994</v>
      </c>
      <c r="AD584" s="6">
        <f>$O$584*$X$584</f>
        <v>17906.645526</v>
      </c>
      <c r="AE584" s="6">
        <f>$K$584*$Y$584</f>
        <v>0</v>
      </c>
      <c r="AF584" s="6">
        <f ca="1">$M$584*$Z$584</f>
        <v>46640.893597039896</v>
      </c>
      <c r="AG584" s="6">
        <f ca="1">$O$584*$AA$584</f>
        <v>15826.539060499998</v>
      </c>
    </row>
    <row r="585" spans="1:33" ht="11.25" customHeight="1" x14ac:dyDescent="0.3">
      <c r="A585" s="4" t="s">
        <v>21</v>
      </c>
      <c r="B585" s="4" t="s">
        <v>39</v>
      </c>
      <c r="C585" s="4" t="s">
        <v>41</v>
      </c>
      <c r="D585" s="4" t="s">
        <v>50</v>
      </c>
      <c r="E585" s="4" t="s">
        <v>51</v>
      </c>
      <c r="F585" s="4" t="s">
        <v>25</v>
      </c>
      <c r="G585" s="4" t="s">
        <v>25</v>
      </c>
      <c r="H585" s="4" t="s">
        <v>34</v>
      </c>
      <c r="I585" s="5">
        <v>44621</v>
      </c>
      <c r="J585" s="6">
        <v>0</v>
      </c>
      <c r="K585" s="53">
        <v>0</v>
      </c>
      <c r="L585" s="6">
        <v>38.561</v>
      </c>
      <c r="M585" s="53">
        <v>38.561</v>
      </c>
      <c r="N585" s="6">
        <v>38.561</v>
      </c>
      <c r="O585" s="53">
        <v>38.561</v>
      </c>
      <c r="P585" s="6">
        <v>0</v>
      </c>
      <c r="Q585" s="4" t="s">
        <v>26</v>
      </c>
      <c r="R585" s="4">
        <v>0</v>
      </c>
      <c r="S585" s="6">
        <v>0</v>
      </c>
      <c r="T585" s="6">
        <v>8</v>
      </c>
      <c r="U585" s="6">
        <v>38</v>
      </c>
      <c r="V585" s="53">
        <f>IF(ISERROR(VLOOKUP($S$585,'TAR FIN'!$A$1:$O$113,15,0)),0,VLOOKUP($S$585,'TAR FIN'!$A$1:$O$113,15,0))</f>
        <v>0</v>
      </c>
      <c r="W585" s="53">
        <f>IF(ISERROR(VLOOKUP($T$585,'TAR FIN'!$A$1:$O$113,15,0)),0,VLOOKUP($T$585,'TAR FIN'!$A$1:$O$113,15,0))*(1-0.06)</f>
        <v>884.00419999999986</v>
      </c>
      <c r="X585" s="53">
        <f>IF(ISERROR(VLOOKUP($U$585,'TAR FIN'!$A$1:$O$113,15,0)),0,VLOOKUP($U$585,'TAR FIN'!$A$1:$O$113,15,0))*(1-0.06)</f>
        <v>416.28839999999997</v>
      </c>
      <c r="Y585" s="53"/>
      <c r="Z585" s="53">
        <f ca="1">('TUSD BE'!$AM$20+'TUSD BF_350'!$AM$20+'TUSD CVA'!$AM$20)*1*(1-0.03)</f>
        <v>1084.2937021280925</v>
      </c>
      <c r="AA585" s="53">
        <f ca="1">('TE BE'!$AB$9+'TE BF_350'!$AB$9+'TE CVA'!$AB$9)*1*(1-0.03)</f>
        <v>367.93069999999994</v>
      </c>
      <c r="AB585" s="6">
        <f>$K$585*$V$585</f>
        <v>0</v>
      </c>
      <c r="AC585" s="6">
        <f>$M$585*$W$585</f>
        <v>34088.085956199997</v>
      </c>
      <c r="AD585" s="6">
        <f>$O$585*$X$585</f>
        <v>16052.496992399998</v>
      </c>
      <c r="AE585" s="6">
        <f>$K$585*$Y$585</f>
        <v>0</v>
      </c>
      <c r="AF585" s="6">
        <f ca="1">$M$585*$Z$585</f>
        <v>41811.449447761377</v>
      </c>
      <c r="AG585" s="6">
        <f ca="1">$O$585*$AA$585</f>
        <v>14187.775722699998</v>
      </c>
    </row>
    <row r="586" spans="1:33" ht="11.25" customHeight="1" x14ac:dyDescent="0.3">
      <c r="A586" s="4" t="s">
        <v>21</v>
      </c>
      <c r="B586" s="4" t="s">
        <v>39</v>
      </c>
      <c r="C586" s="4" t="s">
        <v>41</v>
      </c>
      <c r="D586" s="4" t="s">
        <v>50</v>
      </c>
      <c r="E586" s="4" t="s">
        <v>51</v>
      </c>
      <c r="F586" s="4" t="s">
        <v>25</v>
      </c>
      <c r="G586" s="4" t="s">
        <v>25</v>
      </c>
      <c r="H586" s="4" t="s">
        <v>34</v>
      </c>
      <c r="I586" s="5">
        <v>44652</v>
      </c>
      <c r="J586" s="6">
        <v>0</v>
      </c>
      <c r="K586" s="53">
        <v>0</v>
      </c>
      <c r="L586" s="6">
        <v>44.167000000000002</v>
      </c>
      <c r="M586" s="53">
        <v>44.167000000000002</v>
      </c>
      <c r="N586" s="6">
        <v>44.167000000000002</v>
      </c>
      <c r="O586" s="53">
        <v>44.167000000000002</v>
      </c>
      <c r="P586" s="6">
        <v>0</v>
      </c>
      <c r="Q586" s="4" t="s">
        <v>26</v>
      </c>
      <c r="R586" s="4">
        <v>0</v>
      </c>
      <c r="S586" s="6">
        <v>0</v>
      </c>
      <c r="T586" s="6">
        <v>8</v>
      </c>
      <c r="U586" s="6">
        <v>38</v>
      </c>
      <c r="V586" s="53">
        <f>IF(ISERROR(VLOOKUP($S$586,'TAR FIN'!$A$1:$O$113,15,0)),0,VLOOKUP($S$586,'TAR FIN'!$A$1:$O$113,15,0))</f>
        <v>0</v>
      </c>
      <c r="W586" s="53">
        <f>IF(ISERROR(VLOOKUP($T$586,'TAR FIN'!$A$1:$O$113,15,0)),0,VLOOKUP($T$586,'TAR FIN'!$A$1:$O$113,15,0))*(1-0.06)</f>
        <v>884.00419999999986</v>
      </c>
      <c r="X586" s="53">
        <f>IF(ISERROR(VLOOKUP($U$586,'TAR FIN'!$A$1:$O$113,15,0)),0,VLOOKUP($U$586,'TAR FIN'!$A$1:$O$113,15,0))*(1-0.06)</f>
        <v>416.28839999999997</v>
      </c>
      <c r="Y586" s="53"/>
      <c r="Z586" s="53">
        <f ca="1">('TUSD BE'!$AM$20+'TUSD BF_350'!$AM$20+'TUSD CVA'!$AM$20)*1*(1-0.03)</f>
        <v>1084.2937021280925</v>
      </c>
      <c r="AA586" s="53">
        <f ca="1">('TE BE'!$AB$9+'TE BF_350'!$AB$9+'TE CVA'!$AB$9)*1*(1-0.03)</f>
        <v>367.93069999999994</v>
      </c>
      <c r="AB586" s="6">
        <f>$K$586*$V$586</f>
        <v>0</v>
      </c>
      <c r="AC586" s="6">
        <f>$M$586*$W$586</f>
        <v>39043.813501399993</v>
      </c>
      <c r="AD586" s="6">
        <f>$O$586*$X$586</f>
        <v>18386.209762799997</v>
      </c>
      <c r="AE586" s="6">
        <f>$K$586*$Y$586</f>
        <v>0</v>
      </c>
      <c r="AF586" s="6">
        <f ca="1">$M$586*$Z$586</f>
        <v>47889.999941891459</v>
      </c>
      <c r="AG586" s="6">
        <f ca="1">$O$586*$AA$586</f>
        <v>16250.395226899998</v>
      </c>
    </row>
    <row r="587" spans="1:33" ht="11.25" customHeight="1" x14ac:dyDescent="0.3">
      <c r="A587" s="4" t="s">
        <v>21</v>
      </c>
      <c r="B587" s="4" t="s">
        <v>39</v>
      </c>
      <c r="C587" s="4" t="s">
        <v>41</v>
      </c>
      <c r="D587" s="4" t="s">
        <v>50</v>
      </c>
      <c r="E587" s="4" t="s">
        <v>51</v>
      </c>
      <c r="F587" s="4" t="s">
        <v>25</v>
      </c>
      <c r="G587" s="4" t="s">
        <v>25</v>
      </c>
      <c r="H587" s="4" t="s">
        <v>34</v>
      </c>
      <c r="I587" s="5">
        <v>44682</v>
      </c>
      <c r="J587" s="6">
        <v>0</v>
      </c>
      <c r="K587" s="53">
        <v>0</v>
      </c>
      <c r="L587" s="6">
        <v>38.438000000000002</v>
      </c>
      <c r="M587" s="53">
        <v>38.438000000000002</v>
      </c>
      <c r="N587" s="6">
        <v>38.438000000000002</v>
      </c>
      <c r="O587" s="53">
        <v>38.438000000000002</v>
      </c>
      <c r="P587" s="6">
        <v>0</v>
      </c>
      <c r="Q587" s="4" t="s">
        <v>26</v>
      </c>
      <c r="R587" s="4">
        <v>0</v>
      </c>
      <c r="S587" s="6">
        <v>0</v>
      </c>
      <c r="T587" s="6">
        <v>8</v>
      </c>
      <c r="U587" s="6">
        <v>38</v>
      </c>
      <c r="V587" s="53">
        <f>IF(ISERROR(VLOOKUP($S$587,'TAR FIN'!$A$1:$O$113,15,0)),0,VLOOKUP($S$587,'TAR FIN'!$A$1:$O$113,15,0))</f>
        <v>0</v>
      </c>
      <c r="W587" s="53">
        <f>IF(ISERROR(VLOOKUP($T$587,'TAR FIN'!$A$1:$O$113,15,0)),0,VLOOKUP($T$587,'TAR FIN'!$A$1:$O$113,15,0))*(1-0.06)</f>
        <v>884.00419999999986</v>
      </c>
      <c r="X587" s="53">
        <f>IF(ISERROR(VLOOKUP($U$587,'TAR FIN'!$A$1:$O$113,15,0)),0,VLOOKUP($U$587,'TAR FIN'!$A$1:$O$113,15,0))*(1-0.06)</f>
        <v>416.28839999999997</v>
      </c>
      <c r="Y587" s="53"/>
      <c r="Z587" s="53">
        <f ca="1">('TUSD BE'!$AM$20+'TUSD BF_350'!$AM$20+'TUSD CVA'!$AM$20)*1*(1-0.03)</f>
        <v>1084.2937021280925</v>
      </c>
      <c r="AA587" s="53">
        <f ca="1">('TE BE'!$AB$9+'TE BF_350'!$AB$9+'TE CVA'!$AB$9)*1*(1-0.03)</f>
        <v>367.93069999999994</v>
      </c>
      <c r="AB587" s="6">
        <f>$K$587*$V$587</f>
        <v>0</v>
      </c>
      <c r="AC587" s="6">
        <f>$M$587*$W$587</f>
        <v>33979.353439599996</v>
      </c>
      <c r="AD587" s="6">
        <f>$O$587*$X$587</f>
        <v>16001.2935192</v>
      </c>
      <c r="AE587" s="6">
        <f>$K$587*$Y$587</f>
        <v>0</v>
      </c>
      <c r="AF587" s="6">
        <f ca="1">$M$587*$Z$587</f>
        <v>41678.081322399623</v>
      </c>
      <c r="AG587" s="6">
        <f ca="1">$O$587*$AA$587</f>
        <v>14142.520246599999</v>
      </c>
    </row>
    <row r="588" spans="1:33" ht="11.25" customHeight="1" x14ac:dyDescent="0.3">
      <c r="A588" s="4" t="s">
        <v>21</v>
      </c>
      <c r="B588" s="4" t="s">
        <v>39</v>
      </c>
      <c r="C588" s="4" t="s">
        <v>41</v>
      </c>
      <c r="D588" s="4" t="s">
        <v>50</v>
      </c>
      <c r="E588" s="4" t="s">
        <v>51</v>
      </c>
      <c r="F588" s="4" t="s">
        <v>25</v>
      </c>
      <c r="G588" s="4" t="s">
        <v>25</v>
      </c>
      <c r="H588" s="4" t="s">
        <v>34</v>
      </c>
      <c r="I588" s="5">
        <v>44713</v>
      </c>
      <c r="J588" s="6">
        <v>0</v>
      </c>
      <c r="K588" s="53">
        <v>0</v>
      </c>
      <c r="L588" s="6">
        <v>42.649000000000001</v>
      </c>
      <c r="M588" s="53">
        <v>42.649000000000001</v>
      </c>
      <c r="N588" s="6">
        <v>42.649000000000001</v>
      </c>
      <c r="O588" s="53">
        <v>42.649000000000001</v>
      </c>
      <c r="P588" s="6">
        <v>0</v>
      </c>
      <c r="Q588" s="4" t="s">
        <v>26</v>
      </c>
      <c r="R588" s="4">
        <v>0</v>
      </c>
      <c r="S588" s="6">
        <v>0</v>
      </c>
      <c r="T588" s="6">
        <v>8</v>
      </c>
      <c r="U588" s="6">
        <v>38</v>
      </c>
      <c r="V588" s="53">
        <f>IF(ISERROR(VLOOKUP($S$588,'TAR FIN'!$A$1:$O$113,15,0)),0,VLOOKUP($S$588,'TAR FIN'!$A$1:$O$113,15,0))</f>
        <v>0</v>
      </c>
      <c r="W588" s="53">
        <f>IF(ISERROR(VLOOKUP($T$588,'TAR FIN'!$A$1:$O$113,15,0)),0,VLOOKUP($T$588,'TAR FIN'!$A$1:$O$113,15,0))*(1-0.06)</f>
        <v>884.00419999999986</v>
      </c>
      <c r="X588" s="53">
        <f>IF(ISERROR(VLOOKUP($U$588,'TAR FIN'!$A$1:$O$113,15,0)),0,VLOOKUP($U$588,'TAR FIN'!$A$1:$O$113,15,0))*(1-0.06)</f>
        <v>416.28839999999997</v>
      </c>
      <c r="Y588" s="53"/>
      <c r="Z588" s="53">
        <f ca="1">('TUSD BE'!$AM$20+'TUSD BF_350'!$AM$20+'TUSD CVA'!$AM$20)*1*(1-0.03)</f>
        <v>1084.2937021280925</v>
      </c>
      <c r="AA588" s="53">
        <f ca="1">('TE BE'!$AB$9+'TE BF_350'!$AB$9+'TE CVA'!$AB$9)*1*(1-0.03)</f>
        <v>367.93069999999994</v>
      </c>
      <c r="AB588" s="6">
        <f>$K$588*$V$588</f>
        <v>0</v>
      </c>
      <c r="AC588" s="6">
        <f>$M$588*$W$588</f>
        <v>37701.895125799994</v>
      </c>
      <c r="AD588" s="6">
        <f>$O$588*$X$588</f>
        <v>17754.283971599998</v>
      </c>
      <c r="AE588" s="6">
        <f>$K$588*$Y$588</f>
        <v>0</v>
      </c>
      <c r="AF588" s="6">
        <f ca="1">$M$588*$Z$588</f>
        <v>46244.042102061016</v>
      </c>
      <c r="AG588" s="6">
        <f ca="1">$O$588*$AA$588</f>
        <v>15691.876424299999</v>
      </c>
    </row>
    <row r="589" spans="1:33" ht="11.25" customHeight="1" x14ac:dyDescent="0.3">
      <c r="A589" s="4" t="s">
        <v>21</v>
      </c>
      <c r="B589" s="4" t="s">
        <v>39</v>
      </c>
      <c r="C589" s="4" t="s">
        <v>41</v>
      </c>
      <c r="D589" s="4" t="s">
        <v>50</v>
      </c>
      <c r="E589" s="4" t="s">
        <v>51</v>
      </c>
      <c r="F589" s="4" t="s">
        <v>25</v>
      </c>
      <c r="G589" s="4" t="s">
        <v>25</v>
      </c>
      <c r="H589" s="4" t="s">
        <v>34</v>
      </c>
      <c r="I589" s="5">
        <v>44743</v>
      </c>
      <c r="J589" s="6">
        <v>0</v>
      </c>
      <c r="K589" s="53">
        <v>0</v>
      </c>
      <c r="L589" s="6">
        <v>38.14</v>
      </c>
      <c r="M589" s="53">
        <v>38.14</v>
      </c>
      <c r="N589" s="6">
        <v>38.14</v>
      </c>
      <c r="O589" s="53">
        <v>38.14</v>
      </c>
      <c r="P589" s="6">
        <v>0</v>
      </c>
      <c r="Q589" s="4" t="s">
        <v>26</v>
      </c>
      <c r="R589" s="4">
        <v>0</v>
      </c>
      <c r="S589" s="6">
        <v>0</v>
      </c>
      <c r="T589" s="6">
        <v>8</v>
      </c>
      <c r="U589" s="6">
        <v>38</v>
      </c>
      <c r="V589" s="53">
        <f>IF(ISERROR(VLOOKUP($S$589,'TAR FIN'!$A$1:$O$113,15,0)),0,VLOOKUP($S$589,'TAR FIN'!$A$1:$O$113,15,0))</f>
        <v>0</v>
      </c>
      <c r="W589" s="53">
        <f>IF(ISERROR(VLOOKUP($T$589,'TAR FIN'!$A$1:$O$113,15,0)),0,VLOOKUP($T$589,'TAR FIN'!$A$1:$O$113,15,0))*(1-0.06)</f>
        <v>884.00419999999986</v>
      </c>
      <c r="X589" s="53">
        <f>IF(ISERROR(VLOOKUP($U$589,'TAR FIN'!$A$1:$O$113,15,0)),0,VLOOKUP($U$589,'TAR FIN'!$A$1:$O$113,15,0))*(1-0.06)</f>
        <v>416.28839999999997</v>
      </c>
      <c r="Y589" s="53"/>
      <c r="Z589" s="53">
        <f ca="1">('TUSD BE'!$AM$20+'TUSD BF_350'!$AM$20+'TUSD CVA'!$AM$20)*1*(1-0.03)</f>
        <v>1084.2937021280925</v>
      </c>
      <c r="AA589" s="53">
        <f ca="1">('TE BE'!$AB$9+'TE BF_350'!$AB$9+'TE CVA'!$AB$9)*1*(1-0.03)</f>
        <v>367.93069999999994</v>
      </c>
      <c r="AB589" s="6">
        <f>$K$589*$V$589</f>
        <v>0</v>
      </c>
      <c r="AC589" s="6">
        <f>$M$589*$W$589</f>
        <v>33715.920187999996</v>
      </c>
      <c r="AD589" s="6">
        <f>$O$589*$X$589</f>
        <v>15877.239575999998</v>
      </c>
      <c r="AE589" s="6">
        <f>$K$589*$Y$589</f>
        <v>0</v>
      </c>
      <c r="AF589" s="6">
        <f ca="1">$M$589*$Z$589</f>
        <v>41354.961799165445</v>
      </c>
      <c r="AG589" s="6">
        <f ca="1">$O$589*$AA$589</f>
        <v>14032.876897999999</v>
      </c>
    </row>
    <row r="590" spans="1:33" ht="11.25" customHeight="1" x14ac:dyDescent="0.3">
      <c r="A590" s="4" t="s">
        <v>21</v>
      </c>
      <c r="B590" s="4" t="s">
        <v>39</v>
      </c>
      <c r="C590" s="4" t="s">
        <v>41</v>
      </c>
      <c r="D590" s="4" t="s">
        <v>50</v>
      </c>
      <c r="E590" s="4" t="s">
        <v>51</v>
      </c>
      <c r="F590" s="4" t="s">
        <v>25</v>
      </c>
      <c r="G590" s="4" t="s">
        <v>25</v>
      </c>
      <c r="H590" s="4" t="s">
        <v>34</v>
      </c>
      <c r="I590" s="5">
        <v>44774</v>
      </c>
      <c r="J590" s="6">
        <v>0</v>
      </c>
      <c r="K590" s="53">
        <v>0</v>
      </c>
      <c r="L590" s="6">
        <v>42.067</v>
      </c>
      <c r="M590" s="53">
        <v>42.067</v>
      </c>
      <c r="N590" s="6">
        <v>42.067</v>
      </c>
      <c r="O590" s="53">
        <v>42.067</v>
      </c>
      <c r="P590" s="6">
        <v>0</v>
      </c>
      <c r="Q590" s="4" t="s">
        <v>26</v>
      </c>
      <c r="R590" s="4">
        <v>0</v>
      </c>
      <c r="S590" s="6">
        <v>0</v>
      </c>
      <c r="T590" s="6">
        <v>8</v>
      </c>
      <c r="U590" s="6">
        <v>38</v>
      </c>
      <c r="V590" s="53">
        <f>IF(ISERROR(VLOOKUP($S$590,'TAR FIN'!$A$1:$O$113,15,0)),0,VLOOKUP($S$590,'TAR FIN'!$A$1:$O$113,15,0))</f>
        <v>0</v>
      </c>
      <c r="W590" s="53">
        <f>IF(ISERROR(VLOOKUP($T$590,'TAR FIN'!$A$1:$O$113,15,0)),0,VLOOKUP($T$590,'TAR FIN'!$A$1:$O$113,15,0))*(1-0.06)</f>
        <v>884.00419999999986</v>
      </c>
      <c r="X590" s="53">
        <f>IF(ISERROR(VLOOKUP($U$590,'TAR FIN'!$A$1:$O$113,15,0)),0,VLOOKUP($U$590,'TAR FIN'!$A$1:$O$113,15,0))*(1-0.06)</f>
        <v>416.28839999999997</v>
      </c>
      <c r="Y590" s="53"/>
      <c r="Z590" s="53">
        <f ca="1">('TUSD BE'!$AM$20+'TUSD BF_350'!$AM$20+'TUSD CVA'!$AM$20)*1*(1-0.03)</f>
        <v>1084.2937021280925</v>
      </c>
      <c r="AA590" s="53">
        <f ca="1">('TE BE'!$AB$9+'TE BF_350'!$AB$9+'TE CVA'!$AB$9)*1*(1-0.03)</f>
        <v>367.93069999999994</v>
      </c>
      <c r="AB590" s="6">
        <f>$K$590*$V$590</f>
        <v>0</v>
      </c>
      <c r="AC590" s="6">
        <f>$M$590*$W$590</f>
        <v>37187.404681399996</v>
      </c>
      <c r="AD590" s="6">
        <f>$O$590*$X$590</f>
        <v>17512.004122799997</v>
      </c>
      <c r="AE590" s="6">
        <f>$K$590*$Y$590</f>
        <v>0</v>
      </c>
      <c r="AF590" s="6">
        <f ca="1">$M$590*$Z$590</f>
        <v>45612.98316742247</v>
      </c>
      <c r="AG590" s="6">
        <f ca="1">$O$590*$AA$590</f>
        <v>15477.740756899997</v>
      </c>
    </row>
    <row r="591" spans="1:33" ht="11.25" customHeight="1" x14ac:dyDescent="0.3">
      <c r="A591" s="4" t="s">
        <v>21</v>
      </c>
      <c r="B591" s="4" t="s">
        <v>39</v>
      </c>
      <c r="C591" s="4" t="s">
        <v>41</v>
      </c>
      <c r="D591" s="4" t="s">
        <v>50</v>
      </c>
      <c r="E591" s="4" t="s">
        <v>51</v>
      </c>
      <c r="F591" s="4" t="s">
        <v>25</v>
      </c>
      <c r="G591" s="4" t="s">
        <v>25</v>
      </c>
      <c r="H591" s="4" t="s">
        <v>34</v>
      </c>
      <c r="I591" s="5">
        <v>44805</v>
      </c>
      <c r="J591" s="6">
        <v>0</v>
      </c>
      <c r="K591" s="53">
        <v>0</v>
      </c>
      <c r="L591" s="6">
        <v>40.218000000000004</v>
      </c>
      <c r="M591" s="53">
        <v>40.218000000000004</v>
      </c>
      <c r="N591" s="6">
        <v>40.218000000000004</v>
      </c>
      <c r="O591" s="53">
        <v>40.218000000000004</v>
      </c>
      <c r="P591" s="6">
        <v>0</v>
      </c>
      <c r="Q591" s="4" t="s">
        <v>26</v>
      </c>
      <c r="R591" s="4">
        <v>0</v>
      </c>
      <c r="S591" s="6">
        <v>0</v>
      </c>
      <c r="T591" s="6">
        <v>8</v>
      </c>
      <c r="U591" s="6">
        <v>38</v>
      </c>
      <c r="V591" s="53">
        <f>IF(ISERROR(VLOOKUP($S$591,'TAR FIN'!$A$1:$O$113,15,0)),0,VLOOKUP($S$591,'TAR FIN'!$A$1:$O$113,15,0))</f>
        <v>0</v>
      </c>
      <c r="W591" s="53">
        <f>IF(ISERROR(VLOOKUP($T$591,'TAR FIN'!$A$1:$O$113,15,0)),0,VLOOKUP($T$591,'TAR FIN'!$A$1:$O$113,15,0))*(1-0.06)</f>
        <v>884.00419999999986</v>
      </c>
      <c r="X591" s="53">
        <f>IF(ISERROR(VLOOKUP($U$591,'TAR FIN'!$A$1:$O$113,15,0)),0,VLOOKUP($U$591,'TAR FIN'!$A$1:$O$113,15,0))*(1-0.06)</f>
        <v>416.28839999999997</v>
      </c>
      <c r="Y591" s="53"/>
      <c r="Z591" s="53">
        <f ca="1">('TUSD BE'!$AM$20+'TUSD BF_350'!$AM$20+'TUSD CVA'!$AM$20)*1*(1-0.03)</f>
        <v>1084.2937021280925</v>
      </c>
      <c r="AA591" s="53">
        <f ca="1">('TE BE'!$AB$9+'TE BF_350'!$AB$9+'TE CVA'!$AB$9)*1*(1-0.03)</f>
        <v>367.93069999999994</v>
      </c>
      <c r="AB591" s="6">
        <f>$K$591*$V$591</f>
        <v>0</v>
      </c>
      <c r="AC591" s="6">
        <f>$M$591*$W$591</f>
        <v>35552.880915599999</v>
      </c>
      <c r="AD591" s="6">
        <f>$O$591*$X$591</f>
        <v>16742.286871200002</v>
      </c>
      <c r="AE591" s="6">
        <f>$K$591*$Y$591</f>
        <v>0</v>
      </c>
      <c r="AF591" s="6">
        <f ca="1">$M$591*$Z$591</f>
        <v>43608.12411218763</v>
      </c>
      <c r="AG591" s="6">
        <f ca="1">$O$591*$AA$591</f>
        <v>14797.436892599999</v>
      </c>
    </row>
    <row r="592" spans="1:33" ht="11.25" customHeight="1" x14ac:dyDescent="0.3">
      <c r="A592" s="4" t="s">
        <v>53</v>
      </c>
      <c r="B592" s="4" t="s">
        <v>39</v>
      </c>
      <c r="C592" s="4" t="s">
        <v>41</v>
      </c>
      <c r="D592" s="4" t="s">
        <v>50</v>
      </c>
      <c r="E592" s="4" t="s">
        <v>51</v>
      </c>
      <c r="F592" s="4" t="s">
        <v>25</v>
      </c>
      <c r="G592" s="4" t="s">
        <v>25</v>
      </c>
      <c r="H592" s="4" t="s">
        <v>34</v>
      </c>
      <c r="I592" s="5">
        <v>44835</v>
      </c>
      <c r="J592" s="6">
        <v>0</v>
      </c>
      <c r="K592" s="53">
        <v>0</v>
      </c>
      <c r="L592" s="6">
        <v>40.218000000000004</v>
      </c>
      <c r="M592" s="53">
        <v>40.218000000000004</v>
      </c>
      <c r="N592" s="6">
        <v>40.218000000000004</v>
      </c>
      <c r="O592" s="53">
        <v>40.218000000000004</v>
      </c>
      <c r="P592" s="6">
        <v>0</v>
      </c>
      <c r="Q592" s="4" t="s">
        <v>26</v>
      </c>
      <c r="R592" s="4">
        <v>0</v>
      </c>
      <c r="S592" s="6">
        <v>0</v>
      </c>
      <c r="T592" s="6">
        <v>8</v>
      </c>
      <c r="U592" s="6">
        <v>38</v>
      </c>
      <c r="V592" s="53">
        <f>IF(ISERROR(VLOOKUP($S$592,'TAR FIN'!$A$1:$O$113,15,0)),0,VLOOKUP($S$592,'TAR FIN'!$A$1:$O$113,15,0))</f>
        <v>0</v>
      </c>
      <c r="W592" s="53">
        <f>IF(ISERROR(VLOOKUP($T$592,'TAR FIN'!$A$1:$O$113,15,0)),0,VLOOKUP($T$592,'TAR FIN'!$A$1:$O$113,15,0))*(1-0.06)</f>
        <v>884.00419999999986</v>
      </c>
      <c r="X592" s="53">
        <f>IF(ISERROR(VLOOKUP($U$592,'TAR FIN'!$A$1:$O$113,15,0)),0,VLOOKUP($U$592,'TAR FIN'!$A$1:$O$113,15,0))*(1-0.06)</f>
        <v>416.28839999999997</v>
      </c>
      <c r="Y592" s="53"/>
      <c r="Z592" s="53">
        <f ca="1">('TUSD BE'!$AM$20+'TUSD BF_350'!$AM$20+'TUSD CVA'!$AM$20)*1*(1-0.03)</f>
        <v>1084.2937021280925</v>
      </c>
      <c r="AA592" s="53">
        <f ca="1">('TE BE'!$AB$9+'TE BF_350'!$AB$9+'TE CVA'!$AB$9)*1*(1-0.03)</f>
        <v>367.93069999999994</v>
      </c>
      <c r="AB592" s="6">
        <f>$K$592*$V$592</f>
        <v>0</v>
      </c>
      <c r="AC592" s="6">
        <f>$M$592*$W$592</f>
        <v>35552.880915599999</v>
      </c>
      <c r="AD592" s="6">
        <f>$O$592*$X$592</f>
        <v>16742.286871200002</v>
      </c>
      <c r="AE592" s="6">
        <f>$K$592*$Y$592</f>
        <v>0</v>
      </c>
      <c r="AF592" s="6">
        <f ca="1">$M$592*$Z$592</f>
        <v>43608.12411218763</v>
      </c>
      <c r="AG592" s="6">
        <f ca="1">$O$592*$AA$592</f>
        <v>14797.436892599999</v>
      </c>
    </row>
    <row r="593" spans="1:33" ht="11.25" customHeight="1" x14ac:dyDescent="0.3">
      <c r="A593" s="4" t="s">
        <v>21</v>
      </c>
      <c r="B593" s="4" t="s">
        <v>43</v>
      </c>
      <c r="C593" s="4" t="s">
        <v>41</v>
      </c>
      <c r="D593" s="4" t="s">
        <v>42</v>
      </c>
      <c r="E593" s="4" t="s">
        <v>25</v>
      </c>
      <c r="F593" s="4" t="s">
        <v>25</v>
      </c>
      <c r="G593" s="4" t="s">
        <v>25</v>
      </c>
      <c r="H593" s="4" t="s">
        <v>35</v>
      </c>
      <c r="I593" s="5">
        <v>44501</v>
      </c>
      <c r="J593" s="6">
        <v>0</v>
      </c>
      <c r="K593" s="6">
        <v>0</v>
      </c>
      <c r="L593" s="6">
        <v>48.823999999999998</v>
      </c>
      <c r="M593" s="6">
        <v>48.823999999999998</v>
      </c>
      <c r="N593" s="6">
        <v>48.823999999999998</v>
      </c>
      <c r="O593" s="6">
        <v>48.823999999999998</v>
      </c>
      <c r="P593" s="6">
        <v>0</v>
      </c>
      <c r="Q593" s="4" t="s">
        <v>26</v>
      </c>
      <c r="R593" s="4">
        <v>0</v>
      </c>
      <c r="S593" s="6">
        <v>0</v>
      </c>
      <c r="T593" s="6">
        <v>45</v>
      </c>
      <c r="U593" s="6">
        <v>70</v>
      </c>
      <c r="V593" s="6">
        <f>IF(ISERROR(VLOOKUP($S$593,'TAR FIN'!$A$1:$O$113,15,0)),0,VLOOKUP($S$593,'TAR FIN'!$A$1:$O$113,15,0))</f>
        <v>0</v>
      </c>
      <c r="W593" s="6">
        <f>IF(ISERROR(VLOOKUP($T$593,'TAR FIN'!$A$1:$O$113,15,0)),0,VLOOKUP($T$593,'TAR FIN'!$A$1:$O$113,15,0))</f>
        <v>105.73</v>
      </c>
      <c r="X593" s="6">
        <f>IF(ISERROR(VLOOKUP($U$593,'TAR FIN'!$A$1:$O$113,15,0)),0,VLOOKUP($U$593,'TAR FIN'!$A$1:$O$113,15,0))</f>
        <v>278.67</v>
      </c>
      <c r="Y593" s="6"/>
      <c r="Z593" s="6">
        <f ca="1">('TUSD BE'!$AM$30+'TUSD BF_350'!$AM$30+'TUSD CVA'!$AM$30)*1</f>
        <v>170.19945224700672</v>
      </c>
      <c r="AA593" s="6">
        <f ca="1">('TE BE'!$AB$13+'TE BF_350'!$AB$13+'TE CVA'!$AB$13)*1</f>
        <v>231.69</v>
      </c>
      <c r="AB593" s="6">
        <f>$K$593*$V$593</f>
        <v>0</v>
      </c>
      <c r="AC593" s="6">
        <f>$M$593*$W$593</f>
        <v>5162.1615199999997</v>
      </c>
      <c r="AD593" s="6">
        <f>$O$593*$X$593</f>
        <v>13605.784079999999</v>
      </c>
      <c r="AE593" s="6">
        <f>$K$593*$Y$593</f>
        <v>0</v>
      </c>
      <c r="AF593" s="6">
        <f ca="1">$M$593*$Z$593</f>
        <v>8309.8180565078565</v>
      </c>
      <c r="AG593" s="6">
        <f ca="1">$O$593*$AA$593</f>
        <v>11312.03256</v>
      </c>
    </row>
    <row r="594" spans="1:33" ht="11.25" customHeight="1" x14ac:dyDescent="0.3">
      <c r="A594" s="4" t="s">
        <v>21</v>
      </c>
      <c r="B594" s="4" t="s">
        <v>43</v>
      </c>
      <c r="C594" s="4" t="s">
        <v>41</v>
      </c>
      <c r="D594" s="4" t="s">
        <v>42</v>
      </c>
      <c r="E594" s="4" t="s">
        <v>25</v>
      </c>
      <c r="F594" s="4" t="s">
        <v>25</v>
      </c>
      <c r="G594" s="4" t="s">
        <v>25</v>
      </c>
      <c r="H594" s="4" t="s">
        <v>35</v>
      </c>
      <c r="I594" s="5">
        <v>44531</v>
      </c>
      <c r="J594" s="6">
        <v>0</v>
      </c>
      <c r="K594" s="6">
        <v>0</v>
      </c>
      <c r="L594" s="6">
        <v>21.030999999999999</v>
      </c>
      <c r="M594" s="6">
        <v>21.030999999999999</v>
      </c>
      <c r="N594" s="6">
        <v>21.030999999999999</v>
      </c>
      <c r="O594" s="6">
        <v>21.030999999999999</v>
      </c>
      <c r="P594" s="6">
        <v>0</v>
      </c>
      <c r="Q594" s="4" t="s">
        <v>26</v>
      </c>
      <c r="R594" s="4">
        <v>0</v>
      </c>
      <c r="S594" s="6">
        <v>0</v>
      </c>
      <c r="T594" s="6">
        <v>45</v>
      </c>
      <c r="U594" s="6">
        <v>70</v>
      </c>
      <c r="V594" s="6">
        <f>IF(ISERROR(VLOOKUP($S$594,'TAR FIN'!$A$1:$O$113,15,0)),0,VLOOKUP($S$594,'TAR FIN'!$A$1:$O$113,15,0))</f>
        <v>0</v>
      </c>
      <c r="W594" s="6">
        <f>IF(ISERROR(VLOOKUP($T$594,'TAR FIN'!$A$1:$O$113,15,0)),0,VLOOKUP($T$594,'TAR FIN'!$A$1:$O$113,15,0))</f>
        <v>105.73</v>
      </c>
      <c r="X594" s="6">
        <f>IF(ISERROR(VLOOKUP($U$594,'TAR FIN'!$A$1:$O$113,15,0)),0,VLOOKUP($U$594,'TAR FIN'!$A$1:$O$113,15,0))</f>
        <v>278.67</v>
      </c>
      <c r="Y594" s="6"/>
      <c r="Z594" s="6">
        <f ca="1">('TUSD BE'!$AM$30+'TUSD BF_350'!$AM$30+'TUSD CVA'!$AM$30)*1</f>
        <v>170.19945224700672</v>
      </c>
      <c r="AA594" s="6">
        <f ca="1">('TE BE'!$AB$13+'TE BF_350'!$AB$13+'TE CVA'!$AB$13)*1</f>
        <v>231.69</v>
      </c>
      <c r="AB594" s="6">
        <f>$K$594*$V$594</f>
        <v>0</v>
      </c>
      <c r="AC594" s="6">
        <f>$M$594*$W$594</f>
        <v>2223.60763</v>
      </c>
      <c r="AD594" s="6">
        <f>$O$594*$X$594</f>
        <v>5860.7087700000002</v>
      </c>
      <c r="AE594" s="6">
        <f>$K$594*$Y$594</f>
        <v>0</v>
      </c>
      <c r="AF594" s="6">
        <f ca="1">$M$594*$Z$594</f>
        <v>3579.4646802067982</v>
      </c>
      <c r="AG594" s="6">
        <f ca="1">$O$594*$AA$594</f>
        <v>4872.6723899999997</v>
      </c>
    </row>
    <row r="595" spans="1:33" ht="11.25" customHeight="1" x14ac:dyDescent="0.3">
      <c r="A595" s="4" t="s">
        <v>21</v>
      </c>
      <c r="B595" s="4" t="s">
        <v>43</v>
      </c>
      <c r="C595" s="4" t="s">
        <v>41</v>
      </c>
      <c r="D595" s="4" t="s">
        <v>42</v>
      </c>
      <c r="E595" s="4" t="s">
        <v>25</v>
      </c>
      <c r="F595" s="4" t="s">
        <v>25</v>
      </c>
      <c r="G595" s="4" t="s">
        <v>25</v>
      </c>
      <c r="H595" s="4" t="s">
        <v>35</v>
      </c>
      <c r="I595" s="5">
        <v>44562</v>
      </c>
      <c r="J595" s="6">
        <v>0</v>
      </c>
      <c r="K595" s="6">
        <v>0</v>
      </c>
      <c r="L595" s="6">
        <v>21.280999999999999</v>
      </c>
      <c r="M595" s="6">
        <v>21.280999999999999</v>
      </c>
      <c r="N595" s="6">
        <v>21.280999999999999</v>
      </c>
      <c r="O595" s="6">
        <v>21.280999999999999</v>
      </c>
      <c r="P595" s="6">
        <v>0</v>
      </c>
      <c r="Q595" s="4" t="s">
        <v>26</v>
      </c>
      <c r="R595" s="4">
        <v>0</v>
      </c>
      <c r="S595" s="6">
        <v>0</v>
      </c>
      <c r="T595" s="6">
        <v>45</v>
      </c>
      <c r="U595" s="6">
        <v>70</v>
      </c>
      <c r="V595" s="6">
        <f>IF(ISERROR(VLOOKUP($S$595,'TAR FIN'!$A$1:$O$113,15,0)),0,VLOOKUP($S$595,'TAR FIN'!$A$1:$O$113,15,0))</f>
        <v>0</v>
      </c>
      <c r="W595" s="6">
        <f>IF(ISERROR(VLOOKUP($T$595,'TAR FIN'!$A$1:$O$113,15,0)),0,VLOOKUP($T$595,'TAR FIN'!$A$1:$O$113,15,0))</f>
        <v>105.73</v>
      </c>
      <c r="X595" s="6">
        <f>IF(ISERROR(VLOOKUP($U$595,'TAR FIN'!$A$1:$O$113,15,0)),0,VLOOKUP($U$595,'TAR FIN'!$A$1:$O$113,15,0))</f>
        <v>278.67</v>
      </c>
      <c r="Y595" s="6"/>
      <c r="Z595" s="6">
        <f ca="1">('TUSD BE'!$AM$30+'TUSD BF_350'!$AM$30+'TUSD CVA'!$AM$30)*1</f>
        <v>170.19945224700672</v>
      </c>
      <c r="AA595" s="6">
        <f ca="1">('TE BE'!$AB$13+'TE BF_350'!$AB$13+'TE CVA'!$AB$13)*1</f>
        <v>231.69</v>
      </c>
      <c r="AB595" s="6">
        <f>$K$595*$V$595</f>
        <v>0</v>
      </c>
      <c r="AC595" s="6">
        <f>$M$595*$W$595</f>
        <v>2250.0401299999999</v>
      </c>
      <c r="AD595" s="6">
        <f>$O$595*$X$595</f>
        <v>5930.3762699999997</v>
      </c>
      <c r="AE595" s="6">
        <f>$K$595*$Y$595</f>
        <v>0</v>
      </c>
      <c r="AF595" s="6">
        <f ca="1">$M$595*$Z$595</f>
        <v>3622.0145432685499</v>
      </c>
      <c r="AG595" s="6">
        <f ca="1">$O$595*$AA$595</f>
        <v>4930.5948899999994</v>
      </c>
    </row>
    <row r="596" spans="1:33" ht="11.25" customHeight="1" x14ac:dyDescent="0.3">
      <c r="A596" s="4" t="s">
        <v>21</v>
      </c>
      <c r="B596" s="4" t="s">
        <v>43</v>
      </c>
      <c r="C596" s="4" t="s">
        <v>41</v>
      </c>
      <c r="D596" s="4" t="s">
        <v>42</v>
      </c>
      <c r="E596" s="4" t="s">
        <v>25</v>
      </c>
      <c r="F596" s="4" t="s">
        <v>25</v>
      </c>
      <c r="G596" s="4" t="s">
        <v>25</v>
      </c>
      <c r="H596" s="4" t="s">
        <v>35</v>
      </c>
      <c r="I596" s="5">
        <v>44593</v>
      </c>
      <c r="J596" s="6">
        <v>0</v>
      </c>
      <c r="K596" s="6">
        <v>0</v>
      </c>
      <c r="L596" s="6">
        <v>21.846</v>
      </c>
      <c r="M596" s="6">
        <v>21.846</v>
      </c>
      <c r="N596" s="6">
        <v>21.846</v>
      </c>
      <c r="O596" s="6">
        <v>21.846</v>
      </c>
      <c r="P596" s="6">
        <v>0</v>
      </c>
      <c r="Q596" s="4" t="s">
        <v>26</v>
      </c>
      <c r="R596" s="4">
        <v>0</v>
      </c>
      <c r="S596" s="6">
        <v>0</v>
      </c>
      <c r="T596" s="6">
        <v>45</v>
      </c>
      <c r="U596" s="6">
        <v>70</v>
      </c>
      <c r="V596" s="6">
        <f>IF(ISERROR(VLOOKUP($S$596,'TAR FIN'!$A$1:$O$113,15,0)),0,VLOOKUP($S$596,'TAR FIN'!$A$1:$O$113,15,0))</f>
        <v>0</v>
      </c>
      <c r="W596" s="6">
        <f>IF(ISERROR(VLOOKUP($T$596,'TAR FIN'!$A$1:$O$113,15,0)),0,VLOOKUP($T$596,'TAR FIN'!$A$1:$O$113,15,0))</f>
        <v>105.73</v>
      </c>
      <c r="X596" s="6">
        <f>IF(ISERROR(VLOOKUP($U$596,'TAR FIN'!$A$1:$O$113,15,0)),0,VLOOKUP($U$596,'TAR FIN'!$A$1:$O$113,15,0))</f>
        <v>278.67</v>
      </c>
      <c r="Y596" s="6"/>
      <c r="Z596" s="6">
        <f ca="1">('TUSD BE'!$AM$30+'TUSD BF_350'!$AM$30+'TUSD CVA'!$AM$30)*1</f>
        <v>170.19945224700672</v>
      </c>
      <c r="AA596" s="6">
        <f ca="1">('TE BE'!$AB$13+'TE BF_350'!$AB$13+'TE CVA'!$AB$13)*1</f>
        <v>231.69</v>
      </c>
      <c r="AB596" s="6">
        <f>$K$596*$V$596</f>
        <v>0</v>
      </c>
      <c r="AC596" s="6">
        <f>$M$596*$W$596</f>
        <v>2309.7775799999999</v>
      </c>
      <c r="AD596" s="6">
        <f>$O$596*$X$596</f>
        <v>6087.8248200000007</v>
      </c>
      <c r="AE596" s="6">
        <f>$K$596*$Y$596</f>
        <v>0</v>
      </c>
      <c r="AF596" s="6">
        <f ca="1">$M$596*$Z$596</f>
        <v>3718.1772337881089</v>
      </c>
      <c r="AG596" s="6">
        <f ca="1">$O$596*$AA$596</f>
        <v>5061.4997400000002</v>
      </c>
    </row>
    <row r="597" spans="1:33" ht="11.25" customHeight="1" x14ac:dyDescent="0.3">
      <c r="A597" s="4" t="s">
        <v>21</v>
      </c>
      <c r="B597" s="4" t="s">
        <v>43</v>
      </c>
      <c r="C597" s="4" t="s">
        <v>41</v>
      </c>
      <c r="D597" s="4" t="s">
        <v>42</v>
      </c>
      <c r="E597" s="4" t="s">
        <v>25</v>
      </c>
      <c r="F597" s="4" t="s">
        <v>25</v>
      </c>
      <c r="G597" s="4" t="s">
        <v>25</v>
      </c>
      <c r="H597" s="4" t="s">
        <v>35</v>
      </c>
      <c r="I597" s="5">
        <v>44621</v>
      </c>
      <c r="J597" s="6">
        <v>0</v>
      </c>
      <c r="K597" s="6">
        <v>0</v>
      </c>
      <c r="L597" s="6">
        <v>18.599</v>
      </c>
      <c r="M597" s="6">
        <v>18.599</v>
      </c>
      <c r="N597" s="6">
        <v>18.599</v>
      </c>
      <c r="O597" s="6">
        <v>18.599</v>
      </c>
      <c r="P597" s="6">
        <v>0</v>
      </c>
      <c r="Q597" s="4" t="s">
        <v>26</v>
      </c>
      <c r="R597" s="4">
        <v>0</v>
      </c>
      <c r="S597" s="6">
        <v>0</v>
      </c>
      <c r="T597" s="6">
        <v>45</v>
      </c>
      <c r="U597" s="6">
        <v>70</v>
      </c>
      <c r="V597" s="6">
        <f>IF(ISERROR(VLOOKUP($S$597,'TAR FIN'!$A$1:$O$113,15,0)),0,VLOOKUP($S$597,'TAR FIN'!$A$1:$O$113,15,0))</f>
        <v>0</v>
      </c>
      <c r="W597" s="6">
        <f>IF(ISERROR(VLOOKUP($T$597,'TAR FIN'!$A$1:$O$113,15,0)),0,VLOOKUP($T$597,'TAR FIN'!$A$1:$O$113,15,0))</f>
        <v>105.73</v>
      </c>
      <c r="X597" s="6">
        <f>IF(ISERROR(VLOOKUP($U$597,'TAR FIN'!$A$1:$O$113,15,0)),0,VLOOKUP($U$597,'TAR FIN'!$A$1:$O$113,15,0))</f>
        <v>278.67</v>
      </c>
      <c r="Y597" s="6"/>
      <c r="Z597" s="6">
        <f ca="1">('TUSD BE'!$AM$30+'TUSD BF_350'!$AM$30+'TUSD CVA'!$AM$30)*1</f>
        <v>170.19945224700672</v>
      </c>
      <c r="AA597" s="6">
        <f ca="1">('TE BE'!$AB$13+'TE BF_350'!$AB$13+'TE CVA'!$AB$13)*1</f>
        <v>231.69</v>
      </c>
      <c r="AB597" s="6">
        <f>$K$597*$V$597</f>
        <v>0</v>
      </c>
      <c r="AC597" s="6">
        <f>$M$597*$W$597</f>
        <v>1966.4722700000002</v>
      </c>
      <c r="AD597" s="6">
        <f>$O$597*$X$597</f>
        <v>5182.98333</v>
      </c>
      <c r="AE597" s="6">
        <f>$K$597*$Y$597</f>
        <v>0</v>
      </c>
      <c r="AF597" s="6">
        <f ca="1">$M$597*$Z$597</f>
        <v>3165.5396123420778</v>
      </c>
      <c r="AG597" s="6">
        <f ca="1">$O$597*$AA$597</f>
        <v>4309.2023099999997</v>
      </c>
    </row>
    <row r="598" spans="1:33" ht="11.25" customHeight="1" x14ac:dyDescent="0.3">
      <c r="A598" s="4" t="s">
        <v>21</v>
      </c>
      <c r="B598" s="4" t="s">
        <v>43</v>
      </c>
      <c r="C598" s="4" t="s">
        <v>41</v>
      </c>
      <c r="D598" s="4" t="s">
        <v>42</v>
      </c>
      <c r="E598" s="4" t="s">
        <v>25</v>
      </c>
      <c r="F598" s="4" t="s">
        <v>25</v>
      </c>
      <c r="G598" s="4" t="s">
        <v>25</v>
      </c>
      <c r="H598" s="4" t="s">
        <v>35</v>
      </c>
      <c r="I598" s="5">
        <v>44652</v>
      </c>
      <c r="J598" s="6">
        <v>0</v>
      </c>
      <c r="K598" s="6">
        <v>0</v>
      </c>
      <c r="L598" s="6">
        <v>23.963999999999999</v>
      </c>
      <c r="M598" s="6">
        <v>23.963999999999999</v>
      </c>
      <c r="N598" s="6">
        <v>23.963999999999999</v>
      </c>
      <c r="O598" s="6">
        <v>23.963999999999999</v>
      </c>
      <c r="P598" s="6">
        <v>0</v>
      </c>
      <c r="Q598" s="4" t="s">
        <v>26</v>
      </c>
      <c r="R598" s="4">
        <v>0</v>
      </c>
      <c r="S598" s="6">
        <v>0</v>
      </c>
      <c r="T598" s="6">
        <v>45</v>
      </c>
      <c r="U598" s="6">
        <v>70</v>
      </c>
      <c r="V598" s="6">
        <f>IF(ISERROR(VLOOKUP($S$598,'TAR FIN'!$A$1:$O$113,15,0)),0,VLOOKUP($S$598,'TAR FIN'!$A$1:$O$113,15,0))</f>
        <v>0</v>
      </c>
      <c r="W598" s="6">
        <f>IF(ISERROR(VLOOKUP($T$598,'TAR FIN'!$A$1:$O$113,15,0)),0,VLOOKUP($T$598,'TAR FIN'!$A$1:$O$113,15,0))</f>
        <v>105.73</v>
      </c>
      <c r="X598" s="6">
        <f>IF(ISERROR(VLOOKUP($U$598,'TAR FIN'!$A$1:$O$113,15,0)),0,VLOOKUP($U$598,'TAR FIN'!$A$1:$O$113,15,0))</f>
        <v>278.67</v>
      </c>
      <c r="Y598" s="6"/>
      <c r="Z598" s="6">
        <f ca="1">('TUSD BE'!$AM$30+'TUSD BF_350'!$AM$30+'TUSD CVA'!$AM$30)*1</f>
        <v>170.19945224700672</v>
      </c>
      <c r="AA598" s="6">
        <f ca="1">('TE BE'!$AB$13+'TE BF_350'!$AB$13+'TE CVA'!$AB$13)*1</f>
        <v>231.69</v>
      </c>
      <c r="AB598" s="6">
        <f>$K$598*$V$598</f>
        <v>0</v>
      </c>
      <c r="AC598" s="6">
        <f>$M$598*$W$598</f>
        <v>2533.7137199999997</v>
      </c>
      <c r="AD598" s="6">
        <f>$O$598*$X$598</f>
        <v>6678.0478800000001</v>
      </c>
      <c r="AE598" s="6">
        <f>$K$598*$Y$598</f>
        <v>0</v>
      </c>
      <c r="AF598" s="6">
        <f ca="1">$M$598*$Z$598</f>
        <v>4078.6596736472688</v>
      </c>
      <c r="AG598" s="6">
        <f ca="1">$O$598*$AA$598</f>
        <v>5552.2191599999996</v>
      </c>
    </row>
    <row r="599" spans="1:33" ht="11.25" customHeight="1" x14ac:dyDescent="0.3">
      <c r="A599" s="4" t="s">
        <v>21</v>
      </c>
      <c r="B599" s="4" t="s">
        <v>43</v>
      </c>
      <c r="C599" s="4" t="s">
        <v>41</v>
      </c>
      <c r="D599" s="4" t="s">
        <v>42</v>
      </c>
      <c r="E599" s="4" t="s">
        <v>25</v>
      </c>
      <c r="F599" s="4" t="s">
        <v>25</v>
      </c>
      <c r="G599" s="4" t="s">
        <v>25</v>
      </c>
      <c r="H599" s="4" t="s">
        <v>35</v>
      </c>
      <c r="I599" s="5">
        <v>44682</v>
      </c>
      <c r="J599" s="6">
        <v>0</v>
      </c>
      <c r="K599" s="6">
        <v>0</v>
      </c>
      <c r="L599" s="6">
        <v>20.87</v>
      </c>
      <c r="M599" s="6">
        <v>20.87</v>
      </c>
      <c r="N599" s="6">
        <v>20.87</v>
      </c>
      <c r="O599" s="6">
        <v>20.87</v>
      </c>
      <c r="P599" s="6">
        <v>0</v>
      </c>
      <c r="Q599" s="4" t="s">
        <v>26</v>
      </c>
      <c r="R599" s="4">
        <v>0</v>
      </c>
      <c r="S599" s="6">
        <v>0</v>
      </c>
      <c r="T599" s="6">
        <v>45</v>
      </c>
      <c r="U599" s="6">
        <v>70</v>
      </c>
      <c r="V599" s="6">
        <f>IF(ISERROR(VLOOKUP($S$599,'TAR FIN'!$A$1:$O$113,15,0)),0,VLOOKUP($S$599,'TAR FIN'!$A$1:$O$113,15,0))</f>
        <v>0</v>
      </c>
      <c r="W599" s="6">
        <f>IF(ISERROR(VLOOKUP($T$599,'TAR FIN'!$A$1:$O$113,15,0)),0,VLOOKUP($T$599,'TAR FIN'!$A$1:$O$113,15,0))</f>
        <v>105.73</v>
      </c>
      <c r="X599" s="6">
        <f>IF(ISERROR(VLOOKUP($U$599,'TAR FIN'!$A$1:$O$113,15,0)),0,VLOOKUP($U$599,'TAR FIN'!$A$1:$O$113,15,0))</f>
        <v>278.67</v>
      </c>
      <c r="Y599" s="6"/>
      <c r="Z599" s="6">
        <f ca="1">('TUSD BE'!$AM$30+'TUSD BF_350'!$AM$30+'TUSD CVA'!$AM$30)*1</f>
        <v>170.19945224700672</v>
      </c>
      <c r="AA599" s="6">
        <f ca="1">('TE BE'!$AB$13+'TE BF_350'!$AB$13+'TE CVA'!$AB$13)*1</f>
        <v>231.69</v>
      </c>
      <c r="AB599" s="6">
        <f>$K$599*$V$599</f>
        <v>0</v>
      </c>
      <c r="AC599" s="6">
        <f>$M$599*$W$599</f>
        <v>2206.5851000000002</v>
      </c>
      <c r="AD599" s="6">
        <f>$O$599*$X$599</f>
        <v>5815.8429000000006</v>
      </c>
      <c r="AE599" s="6">
        <f>$K$599*$Y$599</f>
        <v>0</v>
      </c>
      <c r="AF599" s="6">
        <f ca="1">$M$599*$Z$599</f>
        <v>3552.0625683950302</v>
      </c>
      <c r="AG599" s="6">
        <f ca="1">$O$599*$AA$599</f>
        <v>4835.3703000000005</v>
      </c>
    </row>
    <row r="600" spans="1:33" ht="11.25" customHeight="1" x14ac:dyDescent="0.3">
      <c r="A600" s="4" t="s">
        <v>21</v>
      </c>
      <c r="B600" s="4" t="s">
        <v>43</v>
      </c>
      <c r="C600" s="4" t="s">
        <v>41</v>
      </c>
      <c r="D600" s="4" t="s">
        <v>42</v>
      </c>
      <c r="E600" s="4" t="s">
        <v>25</v>
      </c>
      <c r="F600" s="4" t="s">
        <v>25</v>
      </c>
      <c r="G600" s="4" t="s">
        <v>25</v>
      </c>
      <c r="H600" s="4" t="s">
        <v>35</v>
      </c>
      <c r="I600" s="5">
        <v>44713</v>
      </c>
      <c r="J600" s="6">
        <v>0</v>
      </c>
      <c r="K600" s="6">
        <v>0</v>
      </c>
      <c r="L600" s="6">
        <v>14.413</v>
      </c>
      <c r="M600" s="6">
        <v>14.413</v>
      </c>
      <c r="N600" s="6">
        <v>14.413</v>
      </c>
      <c r="O600" s="6">
        <v>14.413</v>
      </c>
      <c r="P600" s="6">
        <v>0</v>
      </c>
      <c r="Q600" s="4" t="s">
        <v>26</v>
      </c>
      <c r="R600" s="4">
        <v>0</v>
      </c>
      <c r="S600" s="6">
        <v>0</v>
      </c>
      <c r="T600" s="6">
        <v>45</v>
      </c>
      <c r="U600" s="6">
        <v>70</v>
      </c>
      <c r="V600" s="6">
        <f>IF(ISERROR(VLOOKUP($S$600,'TAR FIN'!$A$1:$O$113,15,0)),0,VLOOKUP($S$600,'TAR FIN'!$A$1:$O$113,15,0))</f>
        <v>0</v>
      </c>
      <c r="W600" s="6">
        <f>IF(ISERROR(VLOOKUP($T$600,'TAR FIN'!$A$1:$O$113,15,0)),0,VLOOKUP($T$600,'TAR FIN'!$A$1:$O$113,15,0))</f>
        <v>105.73</v>
      </c>
      <c r="X600" s="6">
        <f>IF(ISERROR(VLOOKUP($U$600,'TAR FIN'!$A$1:$O$113,15,0)),0,VLOOKUP($U$600,'TAR FIN'!$A$1:$O$113,15,0))</f>
        <v>278.67</v>
      </c>
      <c r="Y600" s="6"/>
      <c r="Z600" s="6">
        <f ca="1">('TUSD BE'!$AM$30+'TUSD BF_350'!$AM$30+'TUSD CVA'!$AM$30)*1</f>
        <v>170.19945224700672</v>
      </c>
      <c r="AA600" s="6">
        <f ca="1">('TE BE'!$AB$13+'TE BF_350'!$AB$13+'TE CVA'!$AB$13)*1</f>
        <v>231.69</v>
      </c>
      <c r="AB600" s="6">
        <f>$K$600*$V$600</f>
        <v>0</v>
      </c>
      <c r="AC600" s="6">
        <f>$M$600*$W$600</f>
        <v>1523.8864900000001</v>
      </c>
      <c r="AD600" s="6">
        <f>$O$600*$X$600</f>
        <v>4016.4707100000005</v>
      </c>
      <c r="AE600" s="6">
        <f>$K$600*$Y$600</f>
        <v>0</v>
      </c>
      <c r="AF600" s="6">
        <f ca="1">$M$600*$Z$600</f>
        <v>2453.0847052361078</v>
      </c>
      <c r="AG600" s="6">
        <f ca="1">$O$600*$AA$600</f>
        <v>3339.3479699999998</v>
      </c>
    </row>
    <row r="601" spans="1:33" ht="11.25" customHeight="1" x14ac:dyDescent="0.3">
      <c r="A601" s="4" t="s">
        <v>21</v>
      </c>
      <c r="B601" s="4" t="s">
        <v>43</v>
      </c>
      <c r="C601" s="4" t="s">
        <v>41</v>
      </c>
      <c r="D601" s="4" t="s">
        <v>42</v>
      </c>
      <c r="E601" s="4" t="s">
        <v>25</v>
      </c>
      <c r="F601" s="4" t="s">
        <v>25</v>
      </c>
      <c r="G601" s="4" t="s">
        <v>25</v>
      </c>
      <c r="H601" s="4" t="s">
        <v>35</v>
      </c>
      <c r="I601" s="5">
        <v>44743</v>
      </c>
      <c r="J601" s="6">
        <v>0</v>
      </c>
      <c r="K601" s="6">
        <v>0</v>
      </c>
      <c r="L601" s="6">
        <v>13.066000000000001</v>
      </c>
      <c r="M601" s="6">
        <v>13.066000000000001</v>
      </c>
      <c r="N601" s="6">
        <v>13.066000000000001</v>
      </c>
      <c r="O601" s="6">
        <v>13.066000000000001</v>
      </c>
      <c r="P601" s="6">
        <v>0</v>
      </c>
      <c r="Q601" s="4" t="s">
        <v>26</v>
      </c>
      <c r="R601" s="4">
        <v>0</v>
      </c>
      <c r="S601" s="6">
        <v>0</v>
      </c>
      <c r="T601" s="6">
        <v>45</v>
      </c>
      <c r="U601" s="6">
        <v>70</v>
      </c>
      <c r="V601" s="6">
        <f>IF(ISERROR(VLOOKUP($S$601,'TAR FIN'!$A$1:$O$113,15,0)),0,VLOOKUP($S$601,'TAR FIN'!$A$1:$O$113,15,0))</f>
        <v>0</v>
      </c>
      <c r="W601" s="6">
        <f>IF(ISERROR(VLOOKUP($T$601,'TAR FIN'!$A$1:$O$113,15,0)),0,VLOOKUP($T$601,'TAR FIN'!$A$1:$O$113,15,0))</f>
        <v>105.73</v>
      </c>
      <c r="X601" s="6">
        <f>IF(ISERROR(VLOOKUP($U$601,'TAR FIN'!$A$1:$O$113,15,0)),0,VLOOKUP($U$601,'TAR FIN'!$A$1:$O$113,15,0))</f>
        <v>278.67</v>
      </c>
      <c r="Y601" s="6"/>
      <c r="Z601" s="6">
        <f ca="1">('TUSD BE'!$AM$30+'TUSD BF_350'!$AM$30+'TUSD CVA'!$AM$30)*1</f>
        <v>170.19945224700672</v>
      </c>
      <c r="AA601" s="6">
        <f ca="1">('TE BE'!$AB$13+'TE BF_350'!$AB$13+'TE CVA'!$AB$13)*1</f>
        <v>231.69</v>
      </c>
      <c r="AB601" s="6">
        <f>$K$601*$V$601</f>
        <v>0</v>
      </c>
      <c r="AC601" s="6">
        <f>$M$601*$W$601</f>
        <v>1381.4681800000001</v>
      </c>
      <c r="AD601" s="6">
        <f>$O$601*$X$601</f>
        <v>3641.1022200000002</v>
      </c>
      <c r="AE601" s="6">
        <f>$K$601*$Y$601</f>
        <v>0</v>
      </c>
      <c r="AF601" s="6">
        <f ca="1">$M$601*$Z$601</f>
        <v>2223.82604305939</v>
      </c>
      <c r="AG601" s="6">
        <f ca="1">$O$601*$AA$601</f>
        <v>3027.26154</v>
      </c>
    </row>
    <row r="602" spans="1:33" ht="11.25" customHeight="1" x14ac:dyDescent="0.3">
      <c r="A602" s="4" t="s">
        <v>21</v>
      </c>
      <c r="B602" s="4" t="s">
        <v>43</v>
      </c>
      <c r="C602" s="4" t="s">
        <v>41</v>
      </c>
      <c r="D602" s="4" t="s">
        <v>42</v>
      </c>
      <c r="E602" s="4" t="s">
        <v>25</v>
      </c>
      <c r="F602" s="4" t="s">
        <v>25</v>
      </c>
      <c r="G602" s="4" t="s">
        <v>25</v>
      </c>
      <c r="H602" s="4" t="s">
        <v>35</v>
      </c>
      <c r="I602" s="5">
        <v>44774</v>
      </c>
      <c r="J602" s="6">
        <v>0</v>
      </c>
      <c r="K602" s="6">
        <v>0</v>
      </c>
      <c r="L602" s="6">
        <v>13.843</v>
      </c>
      <c r="M602" s="6">
        <v>13.843</v>
      </c>
      <c r="N602" s="6">
        <v>13.843</v>
      </c>
      <c r="O602" s="6">
        <v>13.843</v>
      </c>
      <c r="P602" s="6">
        <v>0</v>
      </c>
      <c r="Q602" s="4" t="s">
        <v>26</v>
      </c>
      <c r="R602" s="4">
        <v>0</v>
      </c>
      <c r="S602" s="6">
        <v>0</v>
      </c>
      <c r="T602" s="6">
        <v>45</v>
      </c>
      <c r="U602" s="6">
        <v>70</v>
      </c>
      <c r="V602" s="6">
        <f>IF(ISERROR(VLOOKUP($S$602,'TAR FIN'!$A$1:$O$113,15,0)),0,VLOOKUP($S$602,'TAR FIN'!$A$1:$O$113,15,0))</f>
        <v>0</v>
      </c>
      <c r="W602" s="6">
        <f>IF(ISERROR(VLOOKUP($T$602,'TAR FIN'!$A$1:$O$113,15,0)),0,VLOOKUP($T$602,'TAR FIN'!$A$1:$O$113,15,0))</f>
        <v>105.73</v>
      </c>
      <c r="X602" s="6">
        <f>IF(ISERROR(VLOOKUP($U$602,'TAR FIN'!$A$1:$O$113,15,0)),0,VLOOKUP($U$602,'TAR FIN'!$A$1:$O$113,15,0))</f>
        <v>278.67</v>
      </c>
      <c r="Y602" s="6"/>
      <c r="Z602" s="6">
        <f ca="1">('TUSD BE'!$AM$30+'TUSD BF_350'!$AM$30+'TUSD CVA'!$AM$30)*1</f>
        <v>170.19945224700672</v>
      </c>
      <c r="AA602" s="6">
        <f ca="1">('TE BE'!$AB$13+'TE BF_350'!$AB$13+'TE CVA'!$AB$13)*1</f>
        <v>231.69</v>
      </c>
      <c r="AB602" s="6">
        <f>$K$602*$V$602</f>
        <v>0</v>
      </c>
      <c r="AC602" s="6">
        <f>$M$602*$W$602</f>
        <v>1463.62039</v>
      </c>
      <c r="AD602" s="6">
        <f>$O$602*$X$602</f>
        <v>3857.6288100000002</v>
      </c>
      <c r="AE602" s="6">
        <f>$K$602*$Y$602</f>
        <v>0</v>
      </c>
      <c r="AF602" s="6">
        <f ca="1">$M$602*$Z$602</f>
        <v>2356.0710174553142</v>
      </c>
      <c r="AG602" s="6">
        <f ca="1">$O$602*$AA$602</f>
        <v>3207.28467</v>
      </c>
    </row>
    <row r="603" spans="1:33" ht="11.25" customHeight="1" x14ac:dyDescent="0.3">
      <c r="A603" s="4" t="s">
        <v>21</v>
      </c>
      <c r="B603" s="4" t="s">
        <v>43</v>
      </c>
      <c r="C603" s="4" t="s">
        <v>41</v>
      </c>
      <c r="D603" s="4" t="s">
        <v>42</v>
      </c>
      <c r="E603" s="4" t="s">
        <v>25</v>
      </c>
      <c r="F603" s="4" t="s">
        <v>25</v>
      </c>
      <c r="G603" s="4" t="s">
        <v>25</v>
      </c>
      <c r="H603" s="4" t="s">
        <v>35</v>
      </c>
      <c r="I603" s="5">
        <v>44805</v>
      </c>
      <c r="J603" s="6">
        <v>0</v>
      </c>
      <c r="K603" s="6">
        <v>0</v>
      </c>
      <c r="L603" s="6">
        <v>14.516</v>
      </c>
      <c r="M603" s="6">
        <v>14.516</v>
      </c>
      <c r="N603" s="6">
        <v>14.516</v>
      </c>
      <c r="O603" s="6">
        <v>14.516</v>
      </c>
      <c r="P603" s="6">
        <v>0</v>
      </c>
      <c r="Q603" s="4" t="s">
        <v>26</v>
      </c>
      <c r="R603" s="4">
        <v>0</v>
      </c>
      <c r="S603" s="6">
        <v>0</v>
      </c>
      <c r="T603" s="6">
        <v>45</v>
      </c>
      <c r="U603" s="6">
        <v>70</v>
      </c>
      <c r="V603" s="6">
        <f>IF(ISERROR(VLOOKUP($S$603,'TAR FIN'!$A$1:$O$113,15,0)),0,VLOOKUP($S$603,'TAR FIN'!$A$1:$O$113,15,0))</f>
        <v>0</v>
      </c>
      <c r="W603" s="6">
        <f>IF(ISERROR(VLOOKUP($T$603,'TAR FIN'!$A$1:$O$113,15,0)),0,VLOOKUP($T$603,'TAR FIN'!$A$1:$O$113,15,0))</f>
        <v>105.73</v>
      </c>
      <c r="X603" s="6">
        <f>IF(ISERROR(VLOOKUP($U$603,'TAR FIN'!$A$1:$O$113,15,0)),0,VLOOKUP($U$603,'TAR FIN'!$A$1:$O$113,15,0))</f>
        <v>278.67</v>
      </c>
      <c r="Y603" s="6"/>
      <c r="Z603" s="6">
        <f ca="1">('TUSD BE'!$AM$30+'TUSD BF_350'!$AM$30+'TUSD CVA'!$AM$30)*1</f>
        <v>170.19945224700672</v>
      </c>
      <c r="AA603" s="6">
        <f ca="1">('TE BE'!$AB$13+'TE BF_350'!$AB$13+'TE CVA'!$AB$13)*1</f>
        <v>231.69</v>
      </c>
      <c r="AB603" s="6">
        <f>$K$603*$V$603</f>
        <v>0</v>
      </c>
      <c r="AC603" s="6">
        <f>$M$603*$W$603</f>
        <v>1534.7766800000002</v>
      </c>
      <c r="AD603" s="6">
        <f>$O$603*$X$603</f>
        <v>4045.1737200000002</v>
      </c>
      <c r="AE603" s="6">
        <f>$K$603*$Y$603</f>
        <v>0</v>
      </c>
      <c r="AF603" s="6">
        <f ca="1">$M$603*$Z$603</f>
        <v>2470.6152488175494</v>
      </c>
      <c r="AG603" s="6">
        <f ca="1">$O$603*$AA$603</f>
        <v>3363.2120399999999</v>
      </c>
    </row>
    <row r="604" spans="1:33" ht="11.25" customHeight="1" x14ac:dyDescent="0.3">
      <c r="A604" s="4" t="s">
        <v>53</v>
      </c>
      <c r="B604" s="4" t="s">
        <v>43</v>
      </c>
      <c r="C604" s="4" t="s">
        <v>41</v>
      </c>
      <c r="D604" s="4" t="s">
        <v>42</v>
      </c>
      <c r="E604" s="4" t="s">
        <v>25</v>
      </c>
      <c r="F604" s="4" t="s">
        <v>25</v>
      </c>
      <c r="G604" s="4" t="s">
        <v>25</v>
      </c>
      <c r="H604" s="4" t="s">
        <v>35</v>
      </c>
      <c r="I604" s="5">
        <v>44835</v>
      </c>
      <c r="J604" s="6">
        <v>0</v>
      </c>
      <c r="K604" s="6">
        <v>0</v>
      </c>
      <c r="L604" s="6">
        <v>14.516</v>
      </c>
      <c r="M604" s="6">
        <v>14.516</v>
      </c>
      <c r="N604" s="6">
        <v>14.516</v>
      </c>
      <c r="O604" s="6">
        <v>14.516</v>
      </c>
      <c r="P604" s="6">
        <v>0</v>
      </c>
      <c r="Q604" s="4" t="s">
        <v>26</v>
      </c>
      <c r="R604" s="4">
        <v>0</v>
      </c>
      <c r="S604" s="6">
        <v>0</v>
      </c>
      <c r="T604" s="6">
        <v>45</v>
      </c>
      <c r="U604" s="6">
        <v>70</v>
      </c>
      <c r="V604" s="6">
        <f>IF(ISERROR(VLOOKUP($S$604,'TAR FIN'!$A$1:$O$113,15,0)),0,VLOOKUP($S$604,'TAR FIN'!$A$1:$O$113,15,0))</f>
        <v>0</v>
      </c>
      <c r="W604" s="6">
        <f>IF(ISERROR(VLOOKUP($T$604,'TAR FIN'!$A$1:$O$113,15,0)),0,VLOOKUP($T$604,'TAR FIN'!$A$1:$O$113,15,0))</f>
        <v>105.73</v>
      </c>
      <c r="X604" s="6">
        <f>IF(ISERROR(VLOOKUP($U$604,'TAR FIN'!$A$1:$O$113,15,0)),0,VLOOKUP($U$604,'TAR FIN'!$A$1:$O$113,15,0))</f>
        <v>278.67</v>
      </c>
      <c r="Y604" s="6"/>
      <c r="Z604" s="6">
        <f ca="1">('TUSD BE'!$AM$30+'TUSD BF_350'!$AM$30+'TUSD CVA'!$AM$30)*1</f>
        <v>170.19945224700672</v>
      </c>
      <c r="AA604" s="6">
        <f ca="1">('TE BE'!$AB$13+'TE BF_350'!$AB$13+'TE CVA'!$AB$13)*1</f>
        <v>231.69</v>
      </c>
      <c r="AB604" s="6">
        <f>$K$604*$V$604</f>
        <v>0</v>
      </c>
      <c r="AC604" s="6">
        <f>$M$604*$W$604</f>
        <v>1534.7766800000002</v>
      </c>
      <c r="AD604" s="6">
        <f>$O$604*$X$604</f>
        <v>4045.1737200000002</v>
      </c>
      <c r="AE604" s="6">
        <f>$K$604*$Y$604</f>
        <v>0</v>
      </c>
      <c r="AF604" s="6">
        <f ca="1">$M$604*$Z$604</f>
        <v>2470.6152488175494</v>
      </c>
      <c r="AG604" s="6">
        <f ca="1">$O$604*$AA$604</f>
        <v>3363.2120399999999</v>
      </c>
    </row>
    <row r="605" spans="1:33" ht="11.25" customHeight="1" x14ac:dyDescent="0.3">
      <c r="A605" s="4" t="s">
        <v>21</v>
      </c>
      <c r="B605" s="4" t="s">
        <v>43</v>
      </c>
      <c r="C605" s="4" t="s">
        <v>41</v>
      </c>
      <c r="D605" s="4" t="s">
        <v>42</v>
      </c>
      <c r="E605" s="4" t="s">
        <v>25</v>
      </c>
      <c r="F605" s="4" t="s">
        <v>25</v>
      </c>
      <c r="G605" s="4" t="s">
        <v>25</v>
      </c>
      <c r="H605" s="4" t="s">
        <v>25</v>
      </c>
      <c r="I605" s="5">
        <v>44501</v>
      </c>
      <c r="J605" s="6">
        <v>241</v>
      </c>
      <c r="K605" s="6">
        <v>241</v>
      </c>
      <c r="L605" s="6">
        <v>0</v>
      </c>
      <c r="M605" s="6">
        <v>0</v>
      </c>
      <c r="N605" s="6">
        <v>0</v>
      </c>
      <c r="O605" s="6">
        <v>0</v>
      </c>
      <c r="P605" s="6">
        <v>3</v>
      </c>
      <c r="Q605" s="4" t="s">
        <v>26</v>
      </c>
      <c r="R605" s="4">
        <v>0</v>
      </c>
      <c r="S605" s="6">
        <v>13</v>
      </c>
      <c r="T605" s="6">
        <v>0</v>
      </c>
      <c r="U605" s="6">
        <v>0</v>
      </c>
      <c r="V605" s="6">
        <f>IF(ISERROR(VLOOKUP($S$605,'TAR FIN'!$A$1:$O$113,15,0)),0,VLOOKUP($S$605,'TAR FIN'!$A$1:$O$113,15,0))</f>
        <v>11.74</v>
      </c>
      <c r="W605" s="6">
        <f>IF(ISERROR(VLOOKUP($T$605,'TAR FIN'!$A$1:$O$113,15,0)),0,VLOOKUP($T$605,'TAR FIN'!$A$1:$O$113,15,0))</f>
        <v>0</v>
      </c>
      <c r="X605" s="6">
        <f>IF(ISERROR(VLOOKUP($U$605,'TAR FIN'!$A$1:$O$113,15,0)),0,VLOOKUP($U$605,'TAR FIN'!$A$1:$O$113,15,0))</f>
        <v>0</v>
      </c>
      <c r="Y605" s="6">
        <f ca="1">('TUSD BE'!$AM$28+'TUSD BF_350'!$AM$28+'TUSD CVA'!$AM$28)*1</f>
        <v>13.458223506903105</v>
      </c>
      <c r="Z605" s="6"/>
      <c r="AA605" s="6"/>
      <c r="AB605" s="6">
        <f>$K$605*$V$605</f>
        <v>2829.34</v>
      </c>
      <c r="AC605" s="6">
        <f>$M$605*$W$605</f>
        <v>0</v>
      </c>
      <c r="AD605" s="6">
        <f>$O$605*$X$605</f>
        <v>0</v>
      </c>
      <c r="AE605" s="6">
        <f ca="1">$K$605*$Y$605</f>
        <v>3243.4318651636481</v>
      </c>
      <c r="AF605" s="6">
        <f>$M$605*$Z$605</f>
        <v>0</v>
      </c>
      <c r="AG605" s="6">
        <f>$O$605*$AA$605</f>
        <v>0</v>
      </c>
    </row>
    <row r="606" spans="1:33" ht="11.25" customHeight="1" x14ac:dyDescent="0.3">
      <c r="A606" s="4" t="s">
        <v>21</v>
      </c>
      <c r="B606" s="4" t="s">
        <v>43</v>
      </c>
      <c r="C606" s="4" t="s">
        <v>41</v>
      </c>
      <c r="D606" s="4" t="s">
        <v>42</v>
      </c>
      <c r="E606" s="4" t="s">
        <v>25</v>
      </c>
      <c r="F606" s="4" t="s">
        <v>25</v>
      </c>
      <c r="G606" s="4" t="s">
        <v>25</v>
      </c>
      <c r="H606" s="4" t="s">
        <v>25</v>
      </c>
      <c r="I606" s="5">
        <v>44531</v>
      </c>
      <c r="J606" s="6">
        <v>140</v>
      </c>
      <c r="K606" s="6">
        <v>140</v>
      </c>
      <c r="L606" s="6">
        <v>0</v>
      </c>
      <c r="M606" s="6">
        <v>0</v>
      </c>
      <c r="N606" s="6">
        <v>0</v>
      </c>
      <c r="O606" s="6">
        <v>0</v>
      </c>
      <c r="P606" s="6">
        <v>2</v>
      </c>
      <c r="Q606" s="4" t="s">
        <v>26</v>
      </c>
      <c r="R606" s="4">
        <v>0</v>
      </c>
      <c r="S606" s="6">
        <v>13</v>
      </c>
      <c r="T606" s="6">
        <v>0</v>
      </c>
      <c r="U606" s="6">
        <v>0</v>
      </c>
      <c r="V606" s="6">
        <f>IF(ISERROR(VLOOKUP($S$606,'TAR FIN'!$A$1:$O$113,15,0)),0,VLOOKUP($S$606,'TAR FIN'!$A$1:$O$113,15,0))</f>
        <v>11.74</v>
      </c>
      <c r="W606" s="6">
        <f>IF(ISERROR(VLOOKUP($T$606,'TAR FIN'!$A$1:$O$113,15,0)),0,VLOOKUP($T$606,'TAR FIN'!$A$1:$O$113,15,0))</f>
        <v>0</v>
      </c>
      <c r="X606" s="6">
        <f>IF(ISERROR(VLOOKUP($U$606,'TAR FIN'!$A$1:$O$113,15,0)),0,VLOOKUP($U$606,'TAR FIN'!$A$1:$O$113,15,0))</f>
        <v>0</v>
      </c>
      <c r="Y606" s="6">
        <f ca="1">('TUSD BE'!$AM$28+'TUSD BF_350'!$AM$28+'TUSD CVA'!$AM$28)*1</f>
        <v>13.458223506903105</v>
      </c>
      <c r="Z606" s="6"/>
      <c r="AA606" s="6"/>
      <c r="AB606" s="6">
        <f>$K$606*$V$606</f>
        <v>1643.6000000000001</v>
      </c>
      <c r="AC606" s="6">
        <f>$M$606*$W$606</f>
        <v>0</v>
      </c>
      <c r="AD606" s="6">
        <f>$O$606*$X$606</f>
        <v>0</v>
      </c>
      <c r="AE606" s="6">
        <f ca="1">$K$606*$Y$606</f>
        <v>1884.1512909664345</v>
      </c>
      <c r="AF606" s="6">
        <f>$M$606*$Z$606</f>
        <v>0</v>
      </c>
      <c r="AG606" s="6">
        <f>$O$606*$AA$606</f>
        <v>0</v>
      </c>
    </row>
    <row r="607" spans="1:33" ht="11.25" customHeight="1" x14ac:dyDescent="0.3">
      <c r="A607" s="4" t="s">
        <v>21</v>
      </c>
      <c r="B607" s="4" t="s">
        <v>43</v>
      </c>
      <c r="C607" s="4" t="s">
        <v>41</v>
      </c>
      <c r="D607" s="4" t="s">
        <v>42</v>
      </c>
      <c r="E607" s="4" t="s">
        <v>25</v>
      </c>
      <c r="F607" s="4" t="s">
        <v>25</v>
      </c>
      <c r="G607" s="4" t="s">
        <v>25</v>
      </c>
      <c r="H607" s="4" t="s">
        <v>25</v>
      </c>
      <c r="I607" s="5">
        <v>44562</v>
      </c>
      <c r="J607" s="6">
        <v>140</v>
      </c>
      <c r="K607" s="6">
        <v>140</v>
      </c>
      <c r="L607" s="6">
        <v>0</v>
      </c>
      <c r="M607" s="6">
        <v>0</v>
      </c>
      <c r="N607" s="6">
        <v>0</v>
      </c>
      <c r="O607" s="6">
        <v>0</v>
      </c>
      <c r="P607" s="6">
        <v>2</v>
      </c>
      <c r="Q607" s="4" t="s">
        <v>26</v>
      </c>
      <c r="R607" s="4">
        <v>0</v>
      </c>
      <c r="S607" s="6">
        <v>13</v>
      </c>
      <c r="T607" s="6">
        <v>0</v>
      </c>
      <c r="U607" s="6">
        <v>0</v>
      </c>
      <c r="V607" s="6">
        <f>IF(ISERROR(VLOOKUP($S$607,'TAR FIN'!$A$1:$O$113,15,0)),0,VLOOKUP($S$607,'TAR FIN'!$A$1:$O$113,15,0))</f>
        <v>11.74</v>
      </c>
      <c r="W607" s="6">
        <f>IF(ISERROR(VLOOKUP($T$607,'TAR FIN'!$A$1:$O$113,15,0)),0,VLOOKUP($T$607,'TAR FIN'!$A$1:$O$113,15,0))</f>
        <v>0</v>
      </c>
      <c r="X607" s="6">
        <f>IF(ISERROR(VLOOKUP($U$607,'TAR FIN'!$A$1:$O$113,15,0)),0,VLOOKUP($U$607,'TAR FIN'!$A$1:$O$113,15,0))</f>
        <v>0</v>
      </c>
      <c r="Y607" s="6">
        <f ca="1">('TUSD BE'!$AM$28+'TUSD BF_350'!$AM$28+'TUSD CVA'!$AM$28)*1</f>
        <v>13.458223506903105</v>
      </c>
      <c r="Z607" s="6"/>
      <c r="AA607" s="6"/>
      <c r="AB607" s="6">
        <f>$K$607*$V$607</f>
        <v>1643.6000000000001</v>
      </c>
      <c r="AC607" s="6">
        <f>$M$607*$W$607</f>
        <v>0</v>
      </c>
      <c r="AD607" s="6">
        <f>$O$607*$X$607</f>
        <v>0</v>
      </c>
      <c r="AE607" s="6">
        <f ca="1">$K$607*$Y$607</f>
        <v>1884.1512909664345</v>
      </c>
      <c r="AF607" s="6">
        <f>$M$607*$Z$607</f>
        <v>0</v>
      </c>
      <c r="AG607" s="6">
        <f>$O$607*$AA$607</f>
        <v>0</v>
      </c>
    </row>
    <row r="608" spans="1:33" ht="11.25" customHeight="1" x14ac:dyDescent="0.3">
      <c r="A608" s="4" t="s">
        <v>21</v>
      </c>
      <c r="B608" s="4" t="s">
        <v>43</v>
      </c>
      <c r="C608" s="4" t="s">
        <v>41</v>
      </c>
      <c r="D608" s="4" t="s">
        <v>42</v>
      </c>
      <c r="E608" s="4" t="s">
        <v>25</v>
      </c>
      <c r="F608" s="4" t="s">
        <v>25</v>
      </c>
      <c r="G608" s="4" t="s">
        <v>25</v>
      </c>
      <c r="H608" s="4" t="s">
        <v>25</v>
      </c>
      <c r="I608" s="5">
        <v>44593</v>
      </c>
      <c r="J608" s="6">
        <v>140</v>
      </c>
      <c r="K608" s="6">
        <v>140</v>
      </c>
      <c r="L608" s="6">
        <v>0</v>
      </c>
      <c r="M608" s="6">
        <v>0</v>
      </c>
      <c r="N608" s="6">
        <v>0</v>
      </c>
      <c r="O608" s="6">
        <v>0</v>
      </c>
      <c r="P608" s="6">
        <v>2</v>
      </c>
      <c r="Q608" s="4" t="s">
        <v>26</v>
      </c>
      <c r="R608" s="4">
        <v>0</v>
      </c>
      <c r="S608" s="6">
        <v>13</v>
      </c>
      <c r="T608" s="6">
        <v>0</v>
      </c>
      <c r="U608" s="6">
        <v>0</v>
      </c>
      <c r="V608" s="6">
        <f>IF(ISERROR(VLOOKUP($S$608,'TAR FIN'!$A$1:$O$113,15,0)),0,VLOOKUP($S$608,'TAR FIN'!$A$1:$O$113,15,0))</f>
        <v>11.74</v>
      </c>
      <c r="W608" s="6">
        <f>IF(ISERROR(VLOOKUP($T$608,'TAR FIN'!$A$1:$O$113,15,0)),0,VLOOKUP($T$608,'TAR FIN'!$A$1:$O$113,15,0))</f>
        <v>0</v>
      </c>
      <c r="X608" s="6">
        <f>IF(ISERROR(VLOOKUP($U$608,'TAR FIN'!$A$1:$O$113,15,0)),0,VLOOKUP($U$608,'TAR FIN'!$A$1:$O$113,15,0))</f>
        <v>0</v>
      </c>
      <c r="Y608" s="6">
        <f ca="1">('TUSD BE'!$AM$28+'TUSD BF_350'!$AM$28+'TUSD CVA'!$AM$28)*1</f>
        <v>13.458223506903105</v>
      </c>
      <c r="Z608" s="6"/>
      <c r="AA608" s="6"/>
      <c r="AB608" s="6">
        <f>$K$608*$V$608</f>
        <v>1643.6000000000001</v>
      </c>
      <c r="AC608" s="6">
        <f>$M$608*$W$608</f>
        <v>0</v>
      </c>
      <c r="AD608" s="6">
        <f>$O$608*$X$608</f>
        <v>0</v>
      </c>
      <c r="AE608" s="6">
        <f ca="1">$K$608*$Y$608</f>
        <v>1884.1512909664345</v>
      </c>
      <c r="AF608" s="6">
        <f>$M$608*$Z$608</f>
        <v>0</v>
      </c>
      <c r="AG608" s="6">
        <f>$O$608*$AA$608</f>
        <v>0</v>
      </c>
    </row>
    <row r="609" spans="1:33" ht="11.25" customHeight="1" x14ac:dyDescent="0.3">
      <c r="A609" s="4" t="s">
        <v>21</v>
      </c>
      <c r="B609" s="4" t="s">
        <v>43</v>
      </c>
      <c r="C609" s="4" t="s">
        <v>41</v>
      </c>
      <c r="D609" s="4" t="s">
        <v>42</v>
      </c>
      <c r="E609" s="4" t="s">
        <v>25</v>
      </c>
      <c r="F609" s="4" t="s">
        <v>25</v>
      </c>
      <c r="G609" s="4" t="s">
        <v>25</v>
      </c>
      <c r="H609" s="4" t="s">
        <v>25</v>
      </c>
      <c r="I609" s="5">
        <v>44621</v>
      </c>
      <c r="J609" s="6">
        <v>140</v>
      </c>
      <c r="K609" s="6">
        <v>140</v>
      </c>
      <c r="L609" s="6">
        <v>0</v>
      </c>
      <c r="M609" s="6">
        <v>0</v>
      </c>
      <c r="N609" s="6">
        <v>0</v>
      </c>
      <c r="O609" s="6">
        <v>0</v>
      </c>
      <c r="P609" s="6">
        <v>2</v>
      </c>
      <c r="Q609" s="4" t="s">
        <v>26</v>
      </c>
      <c r="R609" s="4">
        <v>0</v>
      </c>
      <c r="S609" s="6">
        <v>13</v>
      </c>
      <c r="T609" s="6">
        <v>0</v>
      </c>
      <c r="U609" s="6">
        <v>0</v>
      </c>
      <c r="V609" s="6">
        <f>IF(ISERROR(VLOOKUP($S$609,'TAR FIN'!$A$1:$O$113,15,0)),0,VLOOKUP($S$609,'TAR FIN'!$A$1:$O$113,15,0))</f>
        <v>11.74</v>
      </c>
      <c r="W609" s="6">
        <f>IF(ISERROR(VLOOKUP($T$609,'TAR FIN'!$A$1:$O$113,15,0)),0,VLOOKUP($T$609,'TAR FIN'!$A$1:$O$113,15,0))</f>
        <v>0</v>
      </c>
      <c r="X609" s="6">
        <f>IF(ISERROR(VLOOKUP($U$609,'TAR FIN'!$A$1:$O$113,15,0)),0,VLOOKUP($U$609,'TAR FIN'!$A$1:$O$113,15,0))</f>
        <v>0</v>
      </c>
      <c r="Y609" s="6">
        <f ca="1">('TUSD BE'!$AM$28+'TUSD BF_350'!$AM$28+'TUSD CVA'!$AM$28)*1</f>
        <v>13.458223506903105</v>
      </c>
      <c r="Z609" s="6"/>
      <c r="AA609" s="6"/>
      <c r="AB609" s="6">
        <f>$K$609*$V$609</f>
        <v>1643.6000000000001</v>
      </c>
      <c r="AC609" s="6">
        <f>$M$609*$W$609</f>
        <v>0</v>
      </c>
      <c r="AD609" s="6">
        <f>$O$609*$X$609</f>
        <v>0</v>
      </c>
      <c r="AE609" s="6">
        <f ca="1">$K$609*$Y$609</f>
        <v>1884.1512909664345</v>
      </c>
      <c r="AF609" s="6">
        <f>$M$609*$Z$609</f>
        <v>0</v>
      </c>
      <c r="AG609" s="6">
        <f>$O$609*$AA$609</f>
        <v>0</v>
      </c>
    </row>
    <row r="610" spans="1:33" ht="11.25" customHeight="1" x14ac:dyDescent="0.3">
      <c r="A610" s="4" t="s">
        <v>21</v>
      </c>
      <c r="B610" s="4" t="s">
        <v>43</v>
      </c>
      <c r="C610" s="4" t="s">
        <v>41</v>
      </c>
      <c r="D610" s="4" t="s">
        <v>42</v>
      </c>
      <c r="E610" s="4" t="s">
        <v>25</v>
      </c>
      <c r="F610" s="4" t="s">
        <v>25</v>
      </c>
      <c r="G610" s="4" t="s">
        <v>25</v>
      </c>
      <c r="H610" s="4" t="s">
        <v>25</v>
      </c>
      <c r="I610" s="5">
        <v>44652</v>
      </c>
      <c r="J610" s="6">
        <v>140</v>
      </c>
      <c r="K610" s="6">
        <v>140</v>
      </c>
      <c r="L610" s="6">
        <v>0</v>
      </c>
      <c r="M610" s="6">
        <v>0</v>
      </c>
      <c r="N610" s="6">
        <v>0</v>
      </c>
      <c r="O610" s="6">
        <v>0</v>
      </c>
      <c r="P610" s="6">
        <v>2</v>
      </c>
      <c r="Q610" s="4" t="s">
        <v>26</v>
      </c>
      <c r="R610" s="4">
        <v>0</v>
      </c>
      <c r="S610" s="6">
        <v>13</v>
      </c>
      <c r="T610" s="6">
        <v>0</v>
      </c>
      <c r="U610" s="6">
        <v>0</v>
      </c>
      <c r="V610" s="6">
        <f>IF(ISERROR(VLOOKUP($S$610,'TAR FIN'!$A$1:$O$113,15,0)),0,VLOOKUP($S$610,'TAR FIN'!$A$1:$O$113,15,0))</f>
        <v>11.74</v>
      </c>
      <c r="W610" s="6">
        <f>IF(ISERROR(VLOOKUP($T$610,'TAR FIN'!$A$1:$O$113,15,0)),0,VLOOKUP($T$610,'TAR FIN'!$A$1:$O$113,15,0))</f>
        <v>0</v>
      </c>
      <c r="X610" s="6">
        <f>IF(ISERROR(VLOOKUP($U$610,'TAR FIN'!$A$1:$O$113,15,0)),0,VLOOKUP($U$610,'TAR FIN'!$A$1:$O$113,15,0))</f>
        <v>0</v>
      </c>
      <c r="Y610" s="6">
        <f ca="1">('TUSD BE'!$AM$28+'TUSD BF_350'!$AM$28+'TUSD CVA'!$AM$28)*1</f>
        <v>13.458223506903105</v>
      </c>
      <c r="Z610" s="6"/>
      <c r="AA610" s="6"/>
      <c r="AB610" s="6">
        <f>$K$610*$V$610</f>
        <v>1643.6000000000001</v>
      </c>
      <c r="AC610" s="6">
        <f>$M$610*$W$610</f>
        <v>0</v>
      </c>
      <c r="AD610" s="6">
        <f>$O$610*$X$610</f>
        <v>0</v>
      </c>
      <c r="AE610" s="6">
        <f ca="1">$K$610*$Y$610</f>
        <v>1884.1512909664345</v>
      </c>
      <c r="AF610" s="6">
        <f>$M$610*$Z$610</f>
        <v>0</v>
      </c>
      <c r="AG610" s="6">
        <f>$O$610*$AA$610</f>
        <v>0</v>
      </c>
    </row>
    <row r="611" spans="1:33" ht="11.25" customHeight="1" x14ac:dyDescent="0.3">
      <c r="A611" s="4" t="s">
        <v>21</v>
      </c>
      <c r="B611" s="4" t="s">
        <v>43</v>
      </c>
      <c r="C611" s="4" t="s">
        <v>41</v>
      </c>
      <c r="D611" s="4" t="s">
        <v>42</v>
      </c>
      <c r="E611" s="4" t="s">
        <v>25</v>
      </c>
      <c r="F611" s="4" t="s">
        <v>25</v>
      </c>
      <c r="G611" s="4" t="s">
        <v>25</v>
      </c>
      <c r="H611" s="4" t="s">
        <v>25</v>
      </c>
      <c r="I611" s="5">
        <v>44682</v>
      </c>
      <c r="J611" s="6">
        <v>140</v>
      </c>
      <c r="K611" s="6">
        <v>140</v>
      </c>
      <c r="L611" s="6">
        <v>0</v>
      </c>
      <c r="M611" s="6">
        <v>0</v>
      </c>
      <c r="N611" s="6">
        <v>0</v>
      </c>
      <c r="O611" s="6">
        <v>0</v>
      </c>
      <c r="P611" s="6">
        <v>2</v>
      </c>
      <c r="Q611" s="4" t="s">
        <v>26</v>
      </c>
      <c r="R611" s="4">
        <v>0</v>
      </c>
      <c r="S611" s="6">
        <v>13</v>
      </c>
      <c r="T611" s="6">
        <v>0</v>
      </c>
      <c r="U611" s="6">
        <v>0</v>
      </c>
      <c r="V611" s="6">
        <f>IF(ISERROR(VLOOKUP($S$611,'TAR FIN'!$A$1:$O$113,15,0)),0,VLOOKUP($S$611,'TAR FIN'!$A$1:$O$113,15,0))</f>
        <v>11.74</v>
      </c>
      <c r="W611" s="6">
        <f>IF(ISERROR(VLOOKUP($T$611,'TAR FIN'!$A$1:$O$113,15,0)),0,VLOOKUP($T$611,'TAR FIN'!$A$1:$O$113,15,0))</f>
        <v>0</v>
      </c>
      <c r="X611" s="6">
        <f>IF(ISERROR(VLOOKUP($U$611,'TAR FIN'!$A$1:$O$113,15,0)),0,VLOOKUP($U$611,'TAR FIN'!$A$1:$O$113,15,0))</f>
        <v>0</v>
      </c>
      <c r="Y611" s="6">
        <f ca="1">('TUSD BE'!$AM$28+'TUSD BF_350'!$AM$28+'TUSD CVA'!$AM$28)*1</f>
        <v>13.458223506903105</v>
      </c>
      <c r="Z611" s="6"/>
      <c r="AA611" s="6"/>
      <c r="AB611" s="6">
        <f>$K$611*$V$611</f>
        <v>1643.6000000000001</v>
      </c>
      <c r="AC611" s="6">
        <f>$M$611*$W$611</f>
        <v>0</v>
      </c>
      <c r="AD611" s="6">
        <f>$O$611*$X$611</f>
        <v>0</v>
      </c>
      <c r="AE611" s="6">
        <f ca="1">$K$611*$Y$611</f>
        <v>1884.1512909664345</v>
      </c>
      <c r="AF611" s="6">
        <f>$M$611*$Z$611</f>
        <v>0</v>
      </c>
      <c r="AG611" s="6">
        <f>$O$611*$AA$611</f>
        <v>0</v>
      </c>
    </row>
    <row r="612" spans="1:33" ht="11.25" customHeight="1" x14ac:dyDescent="0.3">
      <c r="A612" s="4" t="s">
        <v>21</v>
      </c>
      <c r="B612" s="4" t="s">
        <v>43</v>
      </c>
      <c r="C612" s="4" t="s">
        <v>41</v>
      </c>
      <c r="D612" s="4" t="s">
        <v>42</v>
      </c>
      <c r="E612" s="4" t="s">
        <v>25</v>
      </c>
      <c r="F612" s="4" t="s">
        <v>25</v>
      </c>
      <c r="G612" s="4" t="s">
        <v>25</v>
      </c>
      <c r="H612" s="4" t="s">
        <v>25</v>
      </c>
      <c r="I612" s="5">
        <v>44713</v>
      </c>
      <c r="J612" s="6">
        <v>140</v>
      </c>
      <c r="K612" s="6">
        <v>140</v>
      </c>
      <c r="L612" s="6">
        <v>0</v>
      </c>
      <c r="M612" s="6">
        <v>0</v>
      </c>
      <c r="N612" s="6">
        <v>0</v>
      </c>
      <c r="O612" s="6">
        <v>0</v>
      </c>
      <c r="P612" s="6">
        <v>2</v>
      </c>
      <c r="Q612" s="4" t="s">
        <v>26</v>
      </c>
      <c r="R612" s="4">
        <v>0</v>
      </c>
      <c r="S612" s="6">
        <v>13</v>
      </c>
      <c r="T612" s="6">
        <v>0</v>
      </c>
      <c r="U612" s="6">
        <v>0</v>
      </c>
      <c r="V612" s="6">
        <f>IF(ISERROR(VLOOKUP($S$612,'TAR FIN'!$A$1:$O$113,15,0)),0,VLOOKUP($S$612,'TAR FIN'!$A$1:$O$113,15,0))</f>
        <v>11.74</v>
      </c>
      <c r="W612" s="6">
        <f>IF(ISERROR(VLOOKUP($T$612,'TAR FIN'!$A$1:$O$113,15,0)),0,VLOOKUP($T$612,'TAR FIN'!$A$1:$O$113,15,0))</f>
        <v>0</v>
      </c>
      <c r="X612" s="6">
        <f>IF(ISERROR(VLOOKUP($U$612,'TAR FIN'!$A$1:$O$113,15,0)),0,VLOOKUP($U$612,'TAR FIN'!$A$1:$O$113,15,0))</f>
        <v>0</v>
      </c>
      <c r="Y612" s="6">
        <f ca="1">('TUSD BE'!$AM$28+'TUSD BF_350'!$AM$28+'TUSD CVA'!$AM$28)*1</f>
        <v>13.458223506903105</v>
      </c>
      <c r="Z612" s="6"/>
      <c r="AA612" s="6"/>
      <c r="AB612" s="6">
        <f>$K$612*$V$612</f>
        <v>1643.6000000000001</v>
      </c>
      <c r="AC612" s="6">
        <f>$M$612*$W$612</f>
        <v>0</v>
      </c>
      <c r="AD612" s="6">
        <f>$O$612*$X$612</f>
        <v>0</v>
      </c>
      <c r="AE612" s="6">
        <f ca="1">$K$612*$Y$612</f>
        <v>1884.1512909664345</v>
      </c>
      <c r="AF612" s="6">
        <f>$M$612*$Z$612</f>
        <v>0</v>
      </c>
      <c r="AG612" s="6">
        <f>$O$612*$AA$612</f>
        <v>0</v>
      </c>
    </row>
    <row r="613" spans="1:33" ht="11.25" customHeight="1" x14ac:dyDescent="0.3">
      <c r="A613" s="4" t="s">
        <v>21</v>
      </c>
      <c r="B613" s="4" t="s">
        <v>43</v>
      </c>
      <c r="C613" s="4" t="s">
        <v>41</v>
      </c>
      <c r="D613" s="4" t="s">
        <v>42</v>
      </c>
      <c r="E613" s="4" t="s">
        <v>25</v>
      </c>
      <c r="F613" s="4" t="s">
        <v>25</v>
      </c>
      <c r="G613" s="4" t="s">
        <v>25</v>
      </c>
      <c r="H613" s="4" t="s">
        <v>25</v>
      </c>
      <c r="I613" s="5">
        <v>44743</v>
      </c>
      <c r="J613" s="6">
        <v>140</v>
      </c>
      <c r="K613" s="6">
        <v>140</v>
      </c>
      <c r="L613" s="6">
        <v>0</v>
      </c>
      <c r="M613" s="6">
        <v>0</v>
      </c>
      <c r="N613" s="6">
        <v>0</v>
      </c>
      <c r="O613" s="6">
        <v>0</v>
      </c>
      <c r="P613" s="6">
        <v>2</v>
      </c>
      <c r="Q613" s="4" t="s">
        <v>26</v>
      </c>
      <c r="R613" s="4">
        <v>0</v>
      </c>
      <c r="S613" s="6">
        <v>13</v>
      </c>
      <c r="T613" s="6">
        <v>0</v>
      </c>
      <c r="U613" s="6">
        <v>0</v>
      </c>
      <c r="V613" s="6">
        <f>IF(ISERROR(VLOOKUP($S$613,'TAR FIN'!$A$1:$O$113,15,0)),0,VLOOKUP($S$613,'TAR FIN'!$A$1:$O$113,15,0))</f>
        <v>11.74</v>
      </c>
      <c r="W613" s="6">
        <f>IF(ISERROR(VLOOKUP($T$613,'TAR FIN'!$A$1:$O$113,15,0)),0,VLOOKUP($T$613,'TAR FIN'!$A$1:$O$113,15,0))</f>
        <v>0</v>
      </c>
      <c r="X613" s="6">
        <f>IF(ISERROR(VLOOKUP($U$613,'TAR FIN'!$A$1:$O$113,15,0)),0,VLOOKUP($U$613,'TAR FIN'!$A$1:$O$113,15,0))</f>
        <v>0</v>
      </c>
      <c r="Y613" s="6">
        <f ca="1">('TUSD BE'!$AM$28+'TUSD BF_350'!$AM$28+'TUSD CVA'!$AM$28)*1</f>
        <v>13.458223506903105</v>
      </c>
      <c r="Z613" s="6"/>
      <c r="AA613" s="6"/>
      <c r="AB613" s="6">
        <f>$K$613*$V$613</f>
        <v>1643.6000000000001</v>
      </c>
      <c r="AC613" s="6">
        <f>$M$613*$W$613</f>
        <v>0</v>
      </c>
      <c r="AD613" s="6">
        <f>$O$613*$X$613</f>
        <v>0</v>
      </c>
      <c r="AE613" s="6">
        <f ca="1">$K$613*$Y$613</f>
        <v>1884.1512909664345</v>
      </c>
      <c r="AF613" s="6">
        <f>$M$613*$Z$613</f>
        <v>0</v>
      </c>
      <c r="AG613" s="6">
        <f>$O$613*$AA$613</f>
        <v>0</v>
      </c>
    </row>
    <row r="614" spans="1:33" ht="11.25" customHeight="1" x14ac:dyDescent="0.3">
      <c r="A614" s="4" t="s">
        <v>21</v>
      </c>
      <c r="B614" s="4" t="s">
        <v>43</v>
      </c>
      <c r="C614" s="4" t="s">
        <v>41</v>
      </c>
      <c r="D614" s="4" t="s">
        <v>42</v>
      </c>
      <c r="E614" s="4" t="s">
        <v>25</v>
      </c>
      <c r="F614" s="4" t="s">
        <v>25</v>
      </c>
      <c r="G614" s="4" t="s">
        <v>25</v>
      </c>
      <c r="H614" s="4" t="s">
        <v>25</v>
      </c>
      <c r="I614" s="5">
        <v>44774</v>
      </c>
      <c r="J614" s="6">
        <v>140</v>
      </c>
      <c r="K614" s="6">
        <v>140</v>
      </c>
      <c r="L614" s="6">
        <v>0</v>
      </c>
      <c r="M614" s="6">
        <v>0</v>
      </c>
      <c r="N614" s="6">
        <v>0</v>
      </c>
      <c r="O614" s="6">
        <v>0</v>
      </c>
      <c r="P614" s="6">
        <v>2</v>
      </c>
      <c r="Q614" s="4" t="s">
        <v>26</v>
      </c>
      <c r="R614" s="4">
        <v>0</v>
      </c>
      <c r="S614" s="6">
        <v>13</v>
      </c>
      <c r="T614" s="6">
        <v>0</v>
      </c>
      <c r="U614" s="6">
        <v>0</v>
      </c>
      <c r="V614" s="6">
        <f>IF(ISERROR(VLOOKUP($S$614,'TAR FIN'!$A$1:$O$113,15,0)),0,VLOOKUP($S$614,'TAR FIN'!$A$1:$O$113,15,0))</f>
        <v>11.74</v>
      </c>
      <c r="W614" s="6">
        <f>IF(ISERROR(VLOOKUP($T$614,'TAR FIN'!$A$1:$O$113,15,0)),0,VLOOKUP($T$614,'TAR FIN'!$A$1:$O$113,15,0))</f>
        <v>0</v>
      </c>
      <c r="X614" s="6">
        <f>IF(ISERROR(VLOOKUP($U$614,'TAR FIN'!$A$1:$O$113,15,0)),0,VLOOKUP($U$614,'TAR FIN'!$A$1:$O$113,15,0))</f>
        <v>0</v>
      </c>
      <c r="Y614" s="6">
        <f ca="1">('TUSD BE'!$AM$28+'TUSD BF_350'!$AM$28+'TUSD CVA'!$AM$28)*1</f>
        <v>13.458223506903105</v>
      </c>
      <c r="Z614" s="6"/>
      <c r="AA614" s="6"/>
      <c r="AB614" s="6">
        <f>$K$614*$V$614</f>
        <v>1643.6000000000001</v>
      </c>
      <c r="AC614" s="6">
        <f>$M$614*$W$614</f>
        <v>0</v>
      </c>
      <c r="AD614" s="6">
        <f>$O$614*$X$614</f>
        <v>0</v>
      </c>
      <c r="AE614" s="6">
        <f ca="1">$K$614*$Y$614</f>
        <v>1884.1512909664345</v>
      </c>
      <c r="AF614" s="6">
        <f>$M$614*$Z$614</f>
        <v>0</v>
      </c>
      <c r="AG614" s="6">
        <f>$O$614*$AA$614</f>
        <v>0</v>
      </c>
    </row>
    <row r="615" spans="1:33" ht="11.25" customHeight="1" x14ac:dyDescent="0.3">
      <c r="A615" s="4" t="s">
        <v>21</v>
      </c>
      <c r="B615" s="4" t="s">
        <v>43</v>
      </c>
      <c r="C615" s="4" t="s">
        <v>41</v>
      </c>
      <c r="D615" s="4" t="s">
        <v>42</v>
      </c>
      <c r="E615" s="4" t="s">
        <v>25</v>
      </c>
      <c r="F615" s="4" t="s">
        <v>25</v>
      </c>
      <c r="G615" s="4" t="s">
        <v>25</v>
      </c>
      <c r="H615" s="4" t="s">
        <v>25</v>
      </c>
      <c r="I615" s="5">
        <v>44805</v>
      </c>
      <c r="J615" s="6">
        <v>140</v>
      </c>
      <c r="K615" s="6">
        <v>140</v>
      </c>
      <c r="L615" s="6">
        <v>0</v>
      </c>
      <c r="M615" s="6">
        <v>0</v>
      </c>
      <c r="N615" s="6">
        <v>0</v>
      </c>
      <c r="O615" s="6">
        <v>0</v>
      </c>
      <c r="P615" s="6">
        <v>2</v>
      </c>
      <c r="Q615" s="4" t="s">
        <v>26</v>
      </c>
      <c r="R615" s="4">
        <v>0</v>
      </c>
      <c r="S615" s="6">
        <v>13</v>
      </c>
      <c r="T615" s="6">
        <v>0</v>
      </c>
      <c r="U615" s="6">
        <v>0</v>
      </c>
      <c r="V615" s="6">
        <f>IF(ISERROR(VLOOKUP($S$615,'TAR FIN'!$A$1:$O$113,15,0)),0,VLOOKUP($S$615,'TAR FIN'!$A$1:$O$113,15,0))</f>
        <v>11.74</v>
      </c>
      <c r="W615" s="6">
        <f>IF(ISERROR(VLOOKUP($T$615,'TAR FIN'!$A$1:$O$113,15,0)),0,VLOOKUP($T$615,'TAR FIN'!$A$1:$O$113,15,0))</f>
        <v>0</v>
      </c>
      <c r="X615" s="6">
        <f>IF(ISERROR(VLOOKUP($U$615,'TAR FIN'!$A$1:$O$113,15,0)),0,VLOOKUP($U$615,'TAR FIN'!$A$1:$O$113,15,0))</f>
        <v>0</v>
      </c>
      <c r="Y615" s="6">
        <f ca="1">('TUSD BE'!$AM$28+'TUSD BF_350'!$AM$28+'TUSD CVA'!$AM$28)*1</f>
        <v>13.458223506903105</v>
      </c>
      <c r="Z615" s="6"/>
      <c r="AA615" s="6"/>
      <c r="AB615" s="6">
        <f>$K$615*$V$615</f>
        <v>1643.6000000000001</v>
      </c>
      <c r="AC615" s="6">
        <f>$M$615*$W$615</f>
        <v>0</v>
      </c>
      <c r="AD615" s="6">
        <f>$O$615*$X$615</f>
        <v>0</v>
      </c>
      <c r="AE615" s="6">
        <f ca="1">$K$615*$Y$615</f>
        <v>1884.1512909664345</v>
      </c>
      <c r="AF615" s="6">
        <f>$M$615*$Z$615</f>
        <v>0</v>
      </c>
      <c r="AG615" s="6">
        <f>$O$615*$AA$615</f>
        <v>0</v>
      </c>
    </row>
    <row r="616" spans="1:33" ht="11.25" customHeight="1" x14ac:dyDescent="0.3">
      <c r="A616" s="4" t="s">
        <v>53</v>
      </c>
      <c r="B616" s="4" t="s">
        <v>43</v>
      </c>
      <c r="C616" s="4" t="s">
        <v>41</v>
      </c>
      <c r="D616" s="4" t="s">
        <v>42</v>
      </c>
      <c r="E616" s="4" t="s">
        <v>25</v>
      </c>
      <c r="F616" s="4" t="s">
        <v>25</v>
      </c>
      <c r="G616" s="4" t="s">
        <v>25</v>
      </c>
      <c r="H616" s="4" t="s">
        <v>25</v>
      </c>
      <c r="I616" s="5">
        <v>44835</v>
      </c>
      <c r="J616" s="6">
        <v>140</v>
      </c>
      <c r="K616" s="6">
        <v>140</v>
      </c>
      <c r="L616" s="6">
        <v>0</v>
      </c>
      <c r="M616" s="6">
        <v>0</v>
      </c>
      <c r="N616" s="6">
        <v>0</v>
      </c>
      <c r="O616" s="6">
        <v>0</v>
      </c>
      <c r="P616" s="6">
        <v>2</v>
      </c>
      <c r="Q616" s="4" t="s">
        <v>26</v>
      </c>
      <c r="R616" s="4">
        <v>0</v>
      </c>
      <c r="S616" s="6">
        <v>13</v>
      </c>
      <c r="T616" s="6">
        <v>0</v>
      </c>
      <c r="U616" s="6">
        <v>0</v>
      </c>
      <c r="V616" s="6">
        <f>IF(ISERROR(VLOOKUP($S$616,'TAR FIN'!$A$1:$O$113,15,0)),0,VLOOKUP($S$616,'TAR FIN'!$A$1:$O$113,15,0))</f>
        <v>11.74</v>
      </c>
      <c r="W616" s="6">
        <f>IF(ISERROR(VLOOKUP($T$616,'TAR FIN'!$A$1:$O$113,15,0)),0,VLOOKUP($T$616,'TAR FIN'!$A$1:$O$113,15,0))</f>
        <v>0</v>
      </c>
      <c r="X616" s="6">
        <f>IF(ISERROR(VLOOKUP($U$616,'TAR FIN'!$A$1:$O$113,15,0)),0,VLOOKUP($U$616,'TAR FIN'!$A$1:$O$113,15,0))</f>
        <v>0</v>
      </c>
      <c r="Y616" s="6">
        <f ca="1">('TUSD BE'!$AM$28+'TUSD BF_350'!$AM$28+'TUSD CVA'!$AM$28)*1</f>
        <v>13.458223506903105</v>
      </c>
      <c r="Z616" s="6"/>
      <c r="AA616" s="6"/>
      <c r="AB616" s="6">
        <f>$K$616*$V$616</f>
        <v>1643.6000000000001</v>
      </c>
      <c r="AC616" s="6">
        <f>$M$616*$W$616</f>
        <v>0</v>
      </c>
      <c r="AD616" s="6">
        <f>$O$616*$X$616</f>
        <v>0</v>
      </c>
      <c r="AE616" s="6">
        <f ca="1">$K$616*$Y$616</f>
        <v>1884.1512909664345</v>
      </c>
      <c r="AF616" s="6">
        <f>$M$616*$Z$616</f>
        <v>0</v>
      </c>
      <c r="AG616" s="6">
        <f>$O$616*$AA$616</f>
        <v>0</v>
      </c>
    </row>
    <row r="617" spans="1:33" ht="11.25" customHeight="1" x14ac:dyDescent="0.3">
      <c r="A617" s="4" t="s">
        <v>21</v>
      </c>
      <c r="B617" s="4" t="s">
        <v>43</v>
      </c>
      <c r="C617" s="4" t="s">
        <v>41</v>
      </c>
      <c r="D617" s="4" t="s">
        <v>42</v>
      </c>
      <c r="E617" s="4" t="s">
        <v>25</v>
      </c>
      <c r="F617" s="4" t="s">
        <v>25</v>
      </c>
      <c r="G617" s="4" t="s">
        <v>25</v>
      </c>
      <c r="H617" s="4" t="s">
        <v>34</v>
      </c>
      <c r="I617" s="5">
        <v>44501</v>
      </c>
      <c r="J617" s="6">
        <v>0</v>
      </c>
      <c r="K617" s="6">
        <v>0</v>
      </c>
      <c r="L617" s="6">
        <v>4.8680000000000003</v>
      </c>
      <c r="M617" s="6">
        <v>4.8680000000000003</v>
      </c>
      <c r="N617" s="6">
        <v>4.8680000000000003</v>
      </c>
      <c r="O617" s="6">
        <v>4.8680000000000003</v>
      </c>
      <c r="P617" s="6">
        <v>0</v>
      </c>
      <c r="Q617" s="4" t="s">
        <v>26</v>
      </c>
      <c r="R617" s="4">
        <v>0</v>
      </c>
      <c r="S617" s="6">
        <v>0</v>
      </c>
      <c r="T617" s="6">
        <v>32</v>
      </c>
      <c r="U617" s="6">
        <v>92</v>
      </c>
      <c r="V617" s="6">
        <f>IF(ISERROR(VLOOKUP($S$617,'TAR FIN'!$A$1:$O$113,15,0)),0,VLOOKUP($S$617,'TAR FIN'!$A$1:$O$113,15,0))</f>
        <v>0</v>
      </c>
      <c r="W617" s="6">
        <f>IF(ISERROR(VLOOKUP($T$617,'TAR FIN'!$A$1:$O$113,15,0)),0,VLOOKUP($T$617,'TAR FIN'!$A$1:$O$113,15,0))</f>
        <v>1604.46</v>
      </c>
      <c r="X617" s="6">
        <f>IF(ISERROR(VLOOKUP($U$617,'TAR FIN'!$A$1:$O$113,15,0)),0,VLOOKUP($U$617,'TAR FIN'!$A$1:$O$113,15,0))</f>
        <v>442.86</v>
      </c>
      <c r="Y617" s="6"/>
      <c r="Z617" s="6">
        <f ca="1">('TUSD BE'!$AM$29+'TUSD BF_350'!$AM$29+'TUSD CVA'!$AM$29)*1</f>
        <v>1888.1712570698433</v>
      </c>
      <c r="AA617" s="6">
        <f ca="1">('TE BE'!$AB$12+'TE BF_350'!$AB$12+'TE CVA'!$AB$12)*1</f>
        <v>379.30999999999995</v>
      </c>
      <c r="AB617" s="6">
        <f>$K$617*$V$617</f>
        <v>0</v>
      </c>
      <c r="AC617" s="6">
        <f>$M$617*$W$617</f>
        <v>7810.5112800000006</v>
      </c>
      <c r="AD617" s="6">
        <f>$O$617*$X$617</f>
        <v>2155.8424800000003</v>
      </c>
      <c r="AE617" s="6">
        <f>$K$617*$Y$617</f>
        <v>0</v>
      </c>
      <c r="AF617" s="6">
        <f ca="1">$M$617*$Z$617</f>
        <v>9191.6176794159983</v>
      </c>
      <c r="AG617" s="6">
        <f ca="1">$O$617*$AA$617</f>
        <v>1846.4810799999998</v>
      </c>
    </row>
    <row r="618" spans="1:33" ht="11.25" customHeight="1" x14ac:dyDescent="0.3">
      <c r="A618" s="4" t="s">
        <v>21</v>
      </c>
      <c r="B618" s="4" t="s">
        <v>43</v>
      </c>
      <c r="C618" s="4" t="s">
        <v>41</v>
      </c>
      <c r="D618" s="4" t="s">
        <v>42</v>
      </c>
      <c r="E618" s="4" t="s">
        <v>25</v>
      </c>
      <c r="F618" s="4" t="s">
        <v>25</v>
      </c>
      <c r="G618" s="4" t="s">
        <v>25</v>
      </c>
      <c r="H618" s="4" t="s">
        <v>34</v>
      </c>
      <c r="I618" s="5">
        <v>44531</v>
      </c>
      <c r="J618" s="6">
        <v>0</v>
      </c>
      <c r="K618" s="6">
        <v>0</v>
      </c>
      <c r="L618" s="6">
        <v>1.2549999999999999</v>
      </c>
      <c r="M618" s="6">
        <v>1.2549999999999999</v>
      </c>
      <c r="N618" s="6">
        <v>1.2549999999999999</v>
      </c>
      <c r="O618" s="6">
        <v>1.2549999999999999</v>
      </c>
      <c r="P618" s="6">
        <v>0</v>
      </c>
      <c r="Q618" s="4" t="s">
        <v>26</v>
      </c>
      <c r="R618" s="4">
        <v>0</v>
      </c>
      <c r="S618" s="6">
        <v>0</v>
      </c>
      <c r="T618" s="6">
        <v>32</v>
      </c>
      <c r="U618" s="6">
        <v>92</v>
      </c>
      <c r="V618" s="6">
        <f>IF(ISERROR(VLOOKUP($S$618,'TAR FIN'!$A$1:$O$113,15,0)),0,VLOOKUP($S$618,'TAR FIN'!$A$1:$O$113,15,0))</f>
        <v>0</v>
      </c>
      <c r="W618" s="6">
        <f>IF(ISERROR(VLOOKUP($T$618,'TAR FIN'!$A$1:$O$113,15,0)),0,VLOOKUP($T$618,'TAR FIN'!$A$1:$O$113,15,0))</f>
        <v>1604.46</v>
      </c>
      <c r="X618" s="6">
        <f>IF(ISERROR(VLOOKUP($U$618,'TAR FIN'!$A$1:$O$113,15,0)),0,VLOOKUP($U$618,'TAR FIN'!$A$1:$O$113,15,0))</f>
        <v>442.86</v>
      </c>
      <c r="Y618" s="6"/>
      <c r="Z618" s="6">
        <f ca="1">('TUSD BE'!$AM$29+'TUSD BF_350'!$AM$29+'TUSD CVA'!$AM$29)*1</f>
        <v>1888.1712570698433</v>
      </c>
      <c r="AA618" s="6">
        <f ca="1">('TE BE'!$AB$12+'TE BF_350'!$AB$12+'TE CVA'!$AB$12)*1</f>
        <v>379.30999999999995</v>
      </c>
      <c r="AB618" s="6">
        <f>$K$618*$V$618</f>
        <v>0</v>
      </c>
      <c r="AC618" s="6">
        <f>$M$618*$W$618</f>
        <v>2013.5972999999999</v>
      </c>
      <c r="AD618" s="6">
        <f>$O$618*$X$618</f>
        <v>555.78930000000003</v>
      </c>
      <c r="AE618" s="6">
        <f>$K$618*$Y$618</f>
        <v>0</v>
      </c>
      <c r="AF618" s="6">
        <f ca="1">$M$618*$Z$618</f>
        <v>2369.6549276226533</v>
      </c>
      <c r="AG618" s="6">
        <f ca="1">$O$618*$AA$618</f>
        <v>476.03404999999987</v>
      </c>
    </row>
    <row r="619" spans="1:33" ht="11.25" customHeight="1" x14ac:dyDescent="0.3">
      <c r="A619" s="4" t="s">
        <v>21</v>
      </c>
      <c r="B619" s="4" t="s">
        <v>43</v>
      </c>
      <c r="C619" s="4" t="s">
        <v>41</v>
      </c>
      <c r="D619" s="4" t="s">
        <v>42</v>
      </c>
      <c r="E619" s="4" t="s">
        <v>25</v>
      </c>
      <c r="F619" s="4" t="s">
        <v>25</v>
      </c>
      <c r="G619" s="4" t="s">
        <v>25</v>
      </c>
      <c r="H619" s="4" t="s">
        <v>34</v>
      </c>
      <c r="I619" s="5">
        <v>44562</v>
      </c>
      <c r="J619" s="6">
        <v>0</v>
      </c>
      <c r="K619" s="6">
        <v>0</v>
      </c>
      <c r="L619" s="6">
        <v>1.3480000000000001</v>
      </c>
      <c r="M619" s="6">
        <v>1.3480000000000001</v>
      </c>
      <c r="N619" s="6">
        <v>1.3480000000000001</v>
      </c>
      <c r="O619" s="6">
        <v>1.3480000000000001</v>
      </c>
      <c r="P619" s="6">
        <v>0</v>
      </c>
      <c r="Q619" s="4" t="s">
        <v>26</v>
      </c>
      <c r="R619" s="4">
        <v>0</v>
      </c>
      <c r="S619" s="6">
        <v>0</v>
      </c>
      <c r="T619" s="6">
        <v>32</v>
      </c>
      <c r="U619" s="6">
        <v>92</v>
      </c>
      <c r="V619" s="6">
        <f>IF(ISERROR(VLOOKUP($S$619,'TAR FIN'!$A$1:$O$113,15,0)),0,VLOOKUP($S$619,'TAR FIN'!$A$1:$O$113,15,0))</f>
        <v>0</v>
      </c>
      <c r="W619" s="6">
        <f>IF(ISERROR(VLOOKUP($T$619,'TAR FIN'!$A$1:$O$113,15,0)),0,VLOOKUP($T$619,'TAR FIN'!$A$1:$O$113,15,0))</f>
        <v>1604.46</v>
      </c>
      <c r="X619" s="6">
        <f>IF(ISERROR(VLOOKUP($U$619,'TAR FIN'!$A$1:$O$113,15,0)),0,VLOOKUP($U$619,'TAR FIN'!$A$1:$O$113,15,0))</f>
        <v>442.86</v>
      </c>
      <c r="Y619" s="6"/>
      <c r="Z619" s="6">
        <f ca="1">('TUSD BE'!$AM$29+'TUSD BF_350'!$AM$29+'TUSD CVA'!$AM$29)*1</f>
        <v>1888.1712570698433</v>
      </c>
      <c r="AA619" s="6">
        <f ca="1">('TE BE'!$AB$12+'TE BF_350'!$AB$12+'TE CVA'!$AB$12)*1</f>
        <v>379.30999999999995</v>
      </c>
      <c r="AB619" s="6">
        <f>$K$619*$V$619</f>
        <v>0</v>
      </c>
      <c r="AC619" s="6">
        <f>$M$619*$W$619</f>
        <v>2162.8120800000002</v>
      </c>
      <c r="AD619" s="6">
        <f>$O$619*$X$619</f>
        <v>596.97528000000011</v>
      </c>
      <c r="AE619" s="6">
        <f>$K$619*$Y$619</f>
        <v>0</v>
      </c>
      <c r="AF619" s="6">
        <f ca="1">$M$619*$Z$619</f>
        <v>2545.2548545301488</v>
      </c>
      <c r="AG619" s="6">
        <f ca="1">$O$619*$AA$619</f>
        <v>511.30987999999996</v>
      </c>
    </row>
    <row r="620" spans="1:33" ht="11.25" customHeight="1" x14ac:dyDescent="0.3">
      <c r="A620" s="4" t="s">
        <v>21</v>
      </c>
      <c r="B620" s="4" t="s">
        <v>43</v>
      </c>
      <c r="C620" s="4" t="s">
        <v>41</v>
      </c>
      <c r="D620" s="4" t="s">
        <v>42</v>
      </c>
      <c r="E620" s="4" t="s">
        <v>25</v>
      </c>
      <c r="F620" s="4" t="s">
        <v>25</v>
      </c>
      <c r="G620" s="4" t="s">
        <v>25</v>
      </c>
      <c r="H620" s="4" t="s">
        <v>34</v>
      </c>
      <c r="I620" s="5">
        <v>44593</v>
      </c>
      <c r="J620" s="6">
        <v>0</v>
      </c>
      <c r="K620" s="6">
        <v>0</v>
      </c>
      <c r="L620" s="6">
        <v>1.35</v>
      </c>
      <c r="M620" s="6">
        <v>1.35</v>
      </c>
      <c r="N620" s="6">
        <v>1.35</v>
      </c>
      <c r="O620" s="6">
        <v>1.35</v>
      </c>
      <c r="P620" s="6">
        <v>0</v>
      </c>
      <c r="Q620" s="4" t="s">
        <v>26</v>
      </c>
      <c r="R620" s="4">
        <v>0</v>
      </c>
      <c r="S620" s="6">
        <v>0</v>
      </c>
      <c r="T620" s="6">
        <v>32</v>
      </c>
      <c r="U620" s="6">
        <v>92</v>
      </c>
      <c r="V620" s="6">
        <f>IF(ISERROR(VLOOKUP($S$620,'TAR FIN'!$A$1:$O$113,15,0)),0,VLOOKUP($S$620,'TAR FIN'!$A$1:$O$113,15,0))</f>
        <v>0</v>
      </c>
      <c r="W620" s="6">
        <f>IF(ISERROR(VLOOKUP($T$620,'TAR FIN'!$A$1:$O$113,15,0)),0,VLOOKUP($T$620,'TAR FIN'!$A$1:$O$113,15,0))</f>
        <v>1604.46</v>
      </c>
      <c r="X620" s="6">
        <f>IF(ISERROR(VLOOKUP($U$620,'TAR FIN'!$A$1:$O$113,15,0)),0,VLOOKUP($U$620,'TAR FIN'!$A$1:$O$113,15,0))</f>
        <v>442.86</v>
      </c>
      <c r="Y620" s="6"/>
      <c r="Z620" s="6">
        <f ca="1">('TUSD BE'!$AM$29+'TUSD BF_350'!$AM$29+'TUSD CVA'!$AM$29)*1</f>
        <v>1888.1712570698433</v>
      </c>
      <c r="AA620" s="6">
        <f ca="1">('TE BE'!$AB$12+'TE BF_350'!$AB$12+'TE CVA'!$AB$12)*1</f>
        <v>379.30999999999995</v>
      </c>
      <c r="AB620" s="6">
        <f>$K$620*$V$620</f>
        <v>0</v>
      </c>
      <c r="AC620" s="6">
        <f>$M$620*$W$620</f>
        <v>2166.0210000000002</v>
      </c>
      <c r="AD620" s="6">
        <f>$O$620*$X$620</f>
        <v>597.8610000000001</v>
      </c>
      <c r="AE620" s="6">
        <f>$K$620*$Y$620</f>
        <v>0</v>
      </c>
      <c r="AF620" s="6">
        <f ca="1">$M$620*$Z$620</f>
        <v>2549.0311970442885</v>
      </c>
      <c r="AG620" s="6">
        <f ca="1">$O$620*$AA$620</f>
        <v>512.06849999999997</v>
      </c>
    </row>
    <row r="621" spans="1:33" ht="11.25" customHeight="1" x14ac:dyDescent="0.3">
      <c r="A621" s="4" t="s">
        <v>21</v>
      </c>
      <c r="B621" s="4" t="s">
        <v>43</v>
      </c>
      <c r="C621" s="4" t="s">
        <v>41</v>
      </c>
      <c r="D621" s="4" t="s">
        <v>42</v>
      </c>
      <c r="E621" s="4" t="s">
        <v>25</v>
      </c>
      <c r="F621" s="4" t="s">
        <v>25</v>
      </c>
      <c r="G621" s="4" t="s">
        <v>25</v>
      </c>
      <c r="H621" s="4" t="s">
        <v>34</v>
      </c>
      <c r="I621" s="5">
        <v>44621</v>
      </c>
      <c r="J621" s="6">
        <v>0</v>
      </c>
      <c r="K621" s="6">
        <v>0</v>
      </c>
      <c r="L621" s="6">
        <v>1.1910000000000001</v>
      </c>
      <c r="M621" s="6">
        <v>1.1910000000000001</v>
      </c>
      <c r="N621" s="6">
        <v>1.1910000000000001</v>
      </c>
      <c r="O621" s="6">
        <v>1.1910000000000001</v>
      </c>
      <c r="P621" s="6">
        <v>0</v>
      </c>
      <c r="Q621" s="4" t="s">
        <v>26</v>
      </c>
      <c r="R621" s="4">
        <v>0</v>
      </c>
      <c r="S621" s="6">
        <v>0</v>
      </c>
      <c r="T621" s="6">
        <v>32</v>
      </c>
      <c r="U621" s="6">
        <v>92</v>
      </c>
      <c r="V621" s="6">
        <f>IF(ISERROR(VLOOKUP($S$621,'TAR FIN'!$A$1:$O$113,15,0)),0,VLOOKUP($S$621,'TAR FIN'!$A$1:$O$113,15,0))</f>
        <v>0</v>
      </c>
      <c r="W621" s="6">
        <f>IF(ISERROR(VLOOKUP($T$621,'TAR FIN'!$A$1:$O$113,15,0)),0,VLOOKUP($T$621,'TAR FIN'!$A$1:$O$113,15,0))</f>
        <v>1604.46</v>
      </c>
      <c r="X621" s="6">
        <f>IF(ISERROR(VLOOKUP($U$621,'TAR FIN'!$A$1:$O$113,15,0)),0,VLOOKUP($U$621,'TAR FIN'!$A$1:$O$113,15,0))</f>
        <v>442.86</v>
      </c>
      <c r="Y621" s="6"/>
      <c r="Z621" s="6">
        <f ca="1">('TUSD BE'!$AM$29+'TUSD BF_350'!$AM$29+'TUSD CVA'!$AM$29)*1</f>
        <v>1888.1712570698433</v>
      </c>
      <c r="AA621" s="6">
        <f ca="1">('TE BE'!$AB$12+'TE BF_350'!$AB$12+'TE CVA'!$AB$12)*1</f>
        <v>379.30999999999995</v>
      </c>
      <c r="AB621" s="6">
        <f>$K$621*$V$621</f>
        <v>0</v>
      </c>
      <c r="AC621" s="6">
        <f>$M$621*$W$621</f>
        <v>1910.9118600000002</v>
      </c>
      <c r="AD621" s="6">
        <f>$O$621*$X$621</f>
        <v>527.44626000000005</v>
      </c>
      <c r="AE621" s="6">
        <f>$K$621*$Y$621</f>
        <v>0</v>
      </c>
      <c r="AF621" s="6">
        <f ca="1">$M$621*$Z$621</f>
        <v>2248.8119671701834</v>
      </c>
      <c r="AG621" s="6">
        <f ca="1">$O$621*$AA$621</f>
        <v>451.75820999999996</v>
      </c>
    </row>
    <row r="622" spans="1:33" ht="11.25" customHeight="1" x14ac:dyDescent="0.3">
      <c r="A622" s="4" t="s">
        <v>21</v>
      </c>
      <c r="B622" s="4" t="s">
        <v>43</v>
      </c>
      <c r="C622" s="4" t="s">
        <v>41</v>
      </c>
      <c r="D622" s="4" t="s">
        <v>42</v>
      </c>
      <c r="E622" s="4" t="s">
        <v>25</v>
      </c>
      <c r="F622" s="4" t="s">
        <v>25</v>
      </c>
      <c r="G622" s="4" t="s">
        <v>25</v>
      </c>
      <c r="H622" s="4" t="s">
        <v>34</v>
      </c>
      <c r="I622" s="5">
        <v>44652</v>
      </c>
      <c r="J622" s="6">
        <v>0</v>
      </c>
      <c r="K622" s="6">
        <v>0</v>
      </c>
      <c r="L622" s="6">
        <v>1.3779999999999999</v>
      </c>
      <c r="M622" s="6">
        <v>1.3779999999999999</v>
      </c>
      <c r="N622" s="6">
        <v>1.3779999999999999</v>
      </c>
      <c r="O622" s="6">
        <v>1.3779999999999999</v>
      </c>
      <c r="P622" s="6">
        <v>0</v>
      </c>
      <c r="Q622" s="4" t="s">
        <v>26</v>
      </c>
      <c r="R622" s="4">
        <v>0</v>
      </c>
      <c r="S622" s="6">
        <v>0</v>
      </c>
      <c r="T622" s="6">
        <v>32</v>
      </c>
      <c r="U622" s="6">
        <v>92</v>
      </c>
      <c r="V622" s="6">
        <f>IF(ISERROR(VLOOKUP($S$622,'TAR FIN'!$A$1:$O$113,15,0)),0,VLOOKUP($S$622,'TAR FIN'!$A$1:$O$113,15,0))</f>
        <v>0</v>
      </c>
      <c r="W622" s="6">
        <f>IF(ISERROR(VLOOKUP($T$622,'TAR FIN'!$A$1:$O$113,15,0)),0,VLOOKUP($T$622,'TAR FIN'!$A$1:$O$113,15,0))</f>
        <v>1604.46</v>
      </c>
      <c r="X622" s="6">
        <f>IF(ISERROR(VLOOKUP($U$622,'TAR FIN'!$A$1:$O$113,15,0)),0,VLOOKUP($U$622,'TAR FIN'!$A$1:$O$113,15,0))</f>
        <v>442.86</v>
      </c>
      <c r="Y622" s="6"/>
      <c r="Z622" s="6">
        <f ca="1">('TUSD BE'!$AM$29+'TUSD BF_350'!$AM$29+'TUSD CVA'!$AM$29)*1</f>
        <v>1888.1712570698433</v>
      </c>
      <c r="AA622" s="6">
        <f ca="1">('TE BE'!$AB$12+'TE BF_350'!$AB$12+'TE CVA'!$AB$12)*1</f>
        <v>379.30999999999995</v>
      </c>
      <c r="AB622" s="6">
        <f>$K$622*$V$622</f>
        <v>0</v>
      </c>
      <c r="AC622" s="6">
        <f>$M$622*$W$622</f>
        <v>2210.9458799999998</v>
      </c>
      <c r="AD622" s="6">
        <f>$O$622*$X$622</f>
        <v>610.26107999999999</v>
      </c>
      <c r="AE622" s="6">
        <f>$K$622*$Y$622</f>
        <v>0</v>
      </c>
      <c r="AF622" s="6">
        <f ca="1">$M$622*$Z$622</f>
        <v>2601.8999922422436</v>
      </c>
      <c r="AG622" s="6">
        <f ca="1">$O$622*$AA$622</f>
        <v>522.68917999999985</v>
      </c>
    </row>
    <row r="623" spans="1:33" ht="11.25" customHeight="1" x14ac:dyDescent="0.3">
      <c r="A623" s="4" t="s">
        <v>21</v>
      </c>
      <c r="B623" s="4" t="s">
        <v>43</v>
      </c>
      <c r="C623" s="4" t="s">
        <v>41</v>
      </c>
      <c r="D623" s="4" t="s">
        <v>42</v>
      </c>
      <c r="E623" s="4" t="s">
        <v>25</v>
      </c>
      <c r="F623" s="4" t="s">
        <v>25</v>
      </c>
      <c r="G623" s="4" t="s">
        <v>25</v>
      </c>
      <c r="H623" s="4" t="s">
        <v>34</v>
      </c>
      <c r="I623" s="5">
        <v>44682</v>
      </c>
      <c r="J623" s="6">
        <v>0</v>
      </c>
      <c r="K623" s="6">
        <v>0</v>
      </c>
      <c r="L623" s="6">
        <v>1.228</v>
      </c>
      <c r="M623" s="6">
        <v>1.228</v>
      </c>
      <c r="N623" s="6">
        <v>1.228</v>
      </c>
      <c r="O623" s="6">
        <v>1.228</v>
      </c>
      <c r="P623" s="6">
        <v>0</v>
      </c>
      <c r="Q623" s="4" t="s">
        <v>26</v>
      </c>
      <c r="R623" s="4">
        <v>0</v>
      </c>
      <c r="S623" s="6">
        <v>0</v>
      </c>
      <c r="T623" s="6">
        <v>32</v>
      </c>
      <c r="U623" s="6">
        <v>92</v>
      </c>
      <c r="V623" s="6">
        <f>IF(ISERROR(VLOOKUP($S$623,'TAR FIN'!$A$1:$O$113,15,0)),0,VLOOKUP($S$623,'TAR FIN'!$A$1:$O$113,15,0))</f>
        <v>0</v>
      </c>
      <c r="W623" s="6">
        <f>IF(ISERROR(VLOOKUP($T$623,'TAR FIN'!$A$1:$O$113,15,0)),0,VLOOKUP($T$623,'TAR FIN'!$A$1:$O$113,15,0))</f>
        <v>1604.46</v>
      </c>
      <c r="X623" s="6">
        <f>IF(ISERROR(VLOOKUP($U$623,'TAR FIN'!$A$1:$O$113,15,0)),0,VLOOKUP($U$623,'TAR FIN'!$A$1:$O$113,15,0))</f>
        <v>442.86</v>
      </c>
      <c r="Y623" s="6"/>
      <c r="Z623" s="6">
        <f ca="1">('TUSD BE'!$AM$29+'TUSD BF_350'!$AM$29+'TUSD CVA'!$AM$29)*1</f>
        <v>1888.1712570698433</v>
      </c>
      <c r="AA623" s="6">
        <f ca="1">('TE BE'!$AB$12+'TE BF_350'!$AB$12+'TE CVA'!$AB$12)*1</f>
        <v>379.30999999999995</v>
      </c>
      <c r="AB623" s="6">
        <f>$K$623*$V$623</f>
        <v>0</v>
      </c>
      <c r="AC623" s="6">
        <f>$M$623*$W$623</f>
        <v>1970.2768800000001</v>
      </c>
      <c r="AD623" s="6">
        <f>$O$623*$X$623</f>
        <v>543.83208000000002</v>
      </c>
      <c r="AE623" s="6">
        <f>$K$623*$Y$623</f>
        <v>0</v>
      </c>
      <c r="AF623" s="6">
        <f ca="1">$M$623*$Z$623</f>
        <v>2318.6743036817675</v>
      </c>
      <c r="AG623" s="6">
        <f ca="1">$O$623*$AA$623</f>
        <v>465.7926799999999</v>
      </c>
    </row>
    <row r="624" spans="1:33" ht="11.25" customHeight="1" x14ac:dyDescent="0.3">
      <c r="A624" s="4" t="s">
        <v>21</v>
      </c>
      <c r="B624" s="4" t="s">
        <v>43</v>
      </c>
      <c r="C624" s="4" t="s">
        <v>41</v>
      </c>
      <c r="D624" s="4" t="s">
        <v>42</v>
      </c>
      <c r="E624" s="4" t="s">
        <v>25</v>
      </c>
      <c r="F624" s="4" t="s">
        <v>25</v>
      </c>
      <c r="G624" s="4" t="s">
        <v>25</v>
      </c>
      <c r="H624" s="4" t="s">
        <v>34</v>
      </c>
      <c r="I624" s="5">
        <v>44713</v>
      </c>
      <c r="J624" s="6">
        <v>0</v>
      </c>
      <c r="K624" s="6">
        <v>0</v>
      </c>
      <c r="L624" s="6">
        <v>1.1259999999999999</v>
      </c>
      <c r="M624" s="6">
        <v>1.1259999999999999</v>
      </c>
      <c r="N624" s="6">
        <v>1.1259999999999999</v>
      </c>
      <c r="O624" s="6">
        <v>1.1259999999999999</v>
      </c>
      <c r="P624" s="6">
        <v>0</v>
      </c>
      <c r="Q624" s="4" t="s">
        <v>26</v>
      </c>
      <c r="R624" s="4">
        <v>0</v>
      </c>
      <c r="S624" s="6">
        <v>0</v>
      </c>
      <c r="T624" s="6">
        <v>32</v>
      </c>
      <c r="U624" s="6">
        <v>92</v>
      </c>
      <c r="V624" s="6">
        <f>IF(ISERROR(VLOOKUP($S$624,'TAR FIN'!$A$1:$O$113,15,0)),0,VLOOKUP($S$624,'TAR FIN'!$A$1:$O$113,15,0))</f>
        <v>0</v>
      </c>
      <c r="W624" s="6">
        <f>IF(ISERROR(VLOOKUP($T$624,'TAR FIN'!$A$1:$O$113,15,0)),0,VLOOKUP($T$624,'TAR FIN'!$A$1:$O$113,15,0))</f>
        <v>1604.46</v>
      </c>
      <c r="X624" s="6">
        <f>IF(ISERROR(VLOOKUP($U$624,'TAR FIN'!$A$1:$O$113,15,0)),0,VLOOKUP($U$624,'TAR FIN'!$A$1:$O$113,15,0))</f>
        <v>442.86</v>
      </c>
      <c r="Y624" s="6"/>
      <c r="Z624" s="6">
        <f ca="1">('TUSD BE'!$AM$29+'TUSD BF_350'!$AM$29+'TUSD CVA'!$AM$29)*1</f>
        <v>1888.1712570698433</v>
      </c>
      <c r="AA624" s="6">
        <f ca="1">('TE BE'!$AB$12+'TE BF_350'!$AB$12+'TE CVA'!$AB$12)*1</f>
        <v>379.30999999999995</v>
      </c>
      <c r="AB624" s="6">
        <f>$K$624*$V$624</f>
        <v>0</v>
      </c>
      <c r="AC624" s="6">
        <f>$M$624*$W$624</f>
        <v>1806.6219599999999</v>
      </c>
      <c r="AD624" s="6">
        <f>$O$624*$X$624</f>
        <v>498.66035999999997</v>
      </c>
      <c r="AE624" s="6">
        <f>$K$624*$Y$624</f>
        <v>0</v>
      </c>
      <c r="AF624" s="6">
        <f ca="1">$M$624*$Z$624</f>
        <v>2126.0808354606434</v>
      </c>
      <c r="AG624" s="6">
        <f ca="1">$O$624*$AA$624</f>
        <v>427.10305999999991</v>
      </c>
    </row>
    <row r="625" spans="1:33" ht="11.25" customHeight="1" x14ac:dyDescent="0.3">
      <c r="A625" s="4" t="s">
        <v>21</v>
      </c>
      <c r="B625" s="4" t="s">
        <v>43</v>
      </c>
      <c r="C625" s="4" t="s">
        <v>41</v>
      </c>
      <c r="D625" s="4" t="s">
        <v>42</v>
      </c>
      <c r="E625" s="4" t="s">
        <v>25</v>
      </c>
      <c r="F625" s="4" t="s">
        <v>25</v>
      </c>
      <c r="G625" s="4" t="s">
        <v>25</v>
      </c>
      <c r="H625" s="4" t="s">
        <v>34</v>
      </c>
      <c r="I625" s="5">
        <v>44743</v>
      </c>
      <c r="J625" s="6">
        <v>0</v>
      </c>
      <c r="K625" s="6">
        <v>0</v>
      </c>
      <c r="L625" s="6">
        <v>0.96099999999999997</v>
      </c>
      <c r="M625" s="6">
        <v>0.96099999999999997</v>
      </c>
      <c r="N625" s="6">
        <v>0.96099999999999997</v>
      </c>
      <c r="O625" s="6">
        <v>0.96099999999999997</v>
      </c>
      <c r="P625" s="6">
        <v>0</v>
      </c>
      <c r="Q625" s="4" t="s">
        <v>26</v>
      </c>
      <c r="R625" s="4">
        <v>0</v>
      </c>
      <c r="S625" s="6">
        <v>0</v>
      </c>
      <c r="T625" s="6">
        <v>32</v>
      </c>
      <c r="U625" s="6">
        <v>92</v>
      </c>
      <c r="V625" s="6">
        <f>IF(ISERROR(VLOOKUP($S$625,'TAR FIN'!$A$1:$O$113,15,0)),0,VLOOKUP($S$625,'TAR FIN'!$A$1:$O$113,15,0))</f>
        <v>0</v>
      </c>
      <c r="W625" s="6">
        <f>IF(ISERROR(VLOOKUP($T$625,'TAR FIN'!$A$1:$O$113,15,0)),0,VLOOKUP($T$625,'TAR FIN'!$A$1:$O$113,15,0))</f>
        <v>1604.46</v>
      </c>
      <c r="X625" s="6">
        <f>IF(ISERROR(VLOOKUP($U$625,'TAR FIN'!$A$1:$O$113,15,0)),0,VLOOKUP($U$625,'TAR FIN'!$A$1:$O$113,15,0))</f>
        <v>442.86</v>
      </c>
      <c r="Y625" s="6"/>
      <c r="Z625" s="6">
        <f ca="1">('TUSD BE'!$AM$29+'TUSD BF_350'!$AM$29+'TUSD CVA'!$AM$29)*1</f>
        <v>1888.1712570698433</v>
      </c>
      <c r="AA625" s="6">
        <f ca="1">('TE BE'!$AB$12+'TE BF_350'!$AB$12+'TE CVA'!$AB$12)*1</f>
        <v>379.30999999999995</v>
      </c>
      <c r="AB625" s="6">
        <f>$K$625*$V$625</f>
        <v>0</v>
      </c>
      <c r="AC625" s="6">
        <f>$M$625*$W$625</f>
        <v>1541.88606</v>
      </c>
      <c r="AD625" s="6">
        <f>$O$625*$X$625</f>
        <v>425.58846</v>
      </c>
      <c r="AE625" s="6">
        <f>$K$625*$Y$625</f>
        <v>0</v>
      </c>
      <c r="AF625" s="6">
        <f ca="1">$M$625*$Z$625</f>
        <v>1814.5325780441192</v>
      </c>
      <c r="AG625" s="6">
        <f ca="1">$O$625*$AA$625</f>
        <v>364.51690999999994</v>
      </c>
    </row>
    <row r="626" spans="1:33" ht="11.25" customHeight="1" x14ac:dyDescent="0.3">
      <c r="A626" s="4" t="s">
        <v>21</v>
      </c>
      <c r="B626" s="4" t="s">
        <v>43</v>
      </c>
      <c r="C626" s="4" t="s">
        <v>41</v>
      </c>
      <c r="D626" s="4" t="s">
        <v>42</v>
      </c>
      <c r="E626" s="4" t="s">
        <v>25</v>
      </c>
      <c r="F626" s="4" t="s">
        <v>25</v>
      </c>
      <c r="G626" s="4" t="s">
        <v>25</v>
      </c>
      <c r="H626" s="4" t="s">
        <v>34</v>
      </c>
      <c r="I626" s="5">
        <v>44774</v>
      </c>
      <c r="J626" s="6">
        <v>0</v>
      </c>
      <c r="K626" s="6">
        <v>0</v>
      </c>
      <c r="L626" s="6">
        <v>1.034</v>
      </c>
      <c r="M626" s="6">
        <v>1.034</v>
      </c>
      <c r="N626" s="6">
        <v>1.034</v>
      </c>
      <c r="O626" s="6">
        <v>1.034</v>
      </c>
      <c r="P626" s="6">
        <v>0</v>
      </c>
      <c r="Q626" s="4" t="s">
        <v>26</v>
      </c>
      <c r="R626" s="4">
        <v>0</v>
      </c>
      <c r="S626" s="6">
        <v>0</v>
      </c>
      <c r="T626" s="6">
        <v>32</v>
      </c>
      <c r="U626" s="6">
        <v>92</v>
      </c>
      <c r="V626" s="6">
        <f>IF(ISERROR(VLOOKUP($S$626,'TAR FIN'!$A$1:$O$113,15,0)),0,VLOOKUP($S$626,'TAR FIN'!$A$1:$O$113,15,0))</f>
        <v>0</v>
      </c>
      <c r="W626" s="6">
        <f>IF(ISERROR(VLOOKUP($T$626,'TAR FIN'!$A$1:$O$113,15,0)),0,VLOOKUP($T$626,'TAR FIN'!$A$1:$O$113,15,0))</f>
        <v>1604.46</v>
      </c>
      <c r="X626" s="6">
        <f>IF(ISERROR(VLOOKUP($U$626,'TAR FIN'!$A$1:$O$113,15,0)),0,VLOOKUP($U$626,'TAR FIN'!$A$1:$O$113,15,0))</f>
        <v>442.86</v>
      </c>
      <c r="Y626" s="6"/>
      <c r="Z626" s="6">
        <f ca="1">('TUSD BE'!$AM$29+'TUSD BF_350'!$AM$29+'TUSD CVA'!$AM$29)*1</f>
        <v>1888.1712570698433</v>
      </c>
      <c r="AA626" s="6">
        <f ca="1">('TE BE'!$AB$12+'TE BF_350'!$AB$12+'TE CVA'!$AB$12)*1</f>
        <v>379.30999999999995</v>
      </c>
      <c r="AB626" s="6">
        <f>$K$626*$V$626</f>
        <v>0</v>
      </c>
      <c r="AC626" s="6">
        <f>$M$626*$W$626</f>
        <v>1659.0116400000002</v>
      </c>
      <c r="AD626" s="6">
        <f>$O$626*$X$626</f>
        <v>457.91724000000005</v>
      </c>
      <c r="AE626" s="6">
        <f>$K$626*$Y$626</f>
        <v>0</v>
      </c>
      <c r="AF626" s="6">
        <f ca="1">$M$626*$Z$626</f>
        <v>1952.369079810218</v>
      </c>
      <c r="AG626" s="6">
        <f ca="1">$O$626*$AA$626</f>
        <v>392.20653999999996</v>
      </c>
    </row>
    <row r="627" spans="1:33" ht="11.25" customHeight="1" x14ac:dyDescent="0.3">
      <c r="A627" s="4" t="s">
        <v>21</v>
      </c>
      <c r="B627" s="4" t="s">
        <v>43</v>
      </c>
      <c r="C627" s="4" t="s">
        <v>41</v>
      </c>
      <c r="D627" s="4" t="s">
        <v>42</v>
      </c>
      <c r="E627" s="4" t="s">
        <v>25</v>
      </c>
      <c r="F627" s="4" t="s">
        <v>25</v>
      </c>
      <c r="G627" s="4" t="s">
        <v>25</v>
      </c>
      <c r="H627" s="4" t="s">
        <v>34</v>
      </c>
      <c r="I627" s="5">
        <v>44805</v>
      </c>
      <c r="J627" s="6">
        <v>0</v>
      </c>
      <c r="K627" s="6">
        <v>0</v>
      </c>
      <c r="L627" s="6">
        <v>1.216</v>
      </c>
      <c r="M627" s="6">
        <v>1.216</v>
      </c>
      <c r="N627" s="6">
        <v>1.216</v>
      </c>
      <c r="O627" s="6">
        <v>1.216</v>
      </c>
      <c r="P627" s="6">
        <v>0</v>
      </c>
      <c r="Q627" s="4" t="s">
        <v>26</v>
      </c>
      <c r="R627" s="4">
        <v>0</v>
      </c>
      <c r="S627" s="6">
        <v>0</v>
      </c>
      <c r="T627" s="6">
        <v>32</v>
      </c>
      <c r="U627" s="6">
        <v>92</v>
      </c>
      <c r="V627" s="6">
        <f>IF(ISERROR(VLOOKUP($S$627,'TAR FIN'!$A$1:$O$113,15,0)),0,VLOOKUP($S$627,'TAR FIN'!$A$1:$O$113,15,0))</f>
        <v>0</v>
      </c>
      <c r="W627" s="6">
        <f>IF(ISERROR(VLOOKUP($T$627,'TAR FIN'!$A$1:$O$113,15,0)),0,VLOOKUP($T$627,'TAR FIN'!$A$1:$O$113,15,0))</f>
        <v>1604.46</v>
      </c>
      <c r="X627" s="6">
        <f>IF(ISERROR(VLOOKUP($U$627,'TAR FIN'!$A$1:$O$113,15,0)),0,VLOOKUP($U$627,'TAR FIN'!$A$1:$O$113,15,0))</f>
        <v>442.86</v>
      </c>
      <c r="Y627" s="6"/>
      <c r="Z627" s="6">
        <f ca="1">('TUSD BE'!$AM$29+'TUSD BF_350'!$AM$29+'TUSD CVA'!$AM$29)*1</f>
        <v>1888.1712570698433</v>
      </c>
      <c r="AA627" s="6">
        <f ca="1">('TE BE'!$AB$12+'TE BF_350'!$AB$12+'TE CVA'!$AB$12)*1</f>
        <v>379.30999999999995</v>
      </c>
      <c r="AB627" s="6">
        <f>$K$627*$V$627</f>
        <v>0</v>
      </c>
      <c r="AC627" s="6">
        <f>$M$627*$W$627</f>
        <v>1951.0233599999999</v>
      </c>
      <c r="AD627" s="6">
        <f>$O$627*$X$627</f>
        <v>538.51775999999995</v>
      </c>
      <c r="AE627" s="6">
        <f>$K$627*$Y$627</f>
        <v>0</v>
      </c>
      <c r="AF627" s="6">
        <f ca="1">$M$627*$Z$627</f>
        <v>2296.0162485969295</v>
      </c>
      <c r="AG627" s="6">
        <f ca="1">$O$627*$AA$627</f>
        <v>461.24095999999992</v>
      </c>
    </row>
    <row r="628" spans="1:33" ht="11.25" customHeight="1" x14ac:dyDescent="0.3">
      <c r="A628" s="4" t="s">
        <v>53</v>
      </c>
      <c r="B628" s="4" t="s">
        <v>43</v>
      </c>
      <c r="C628" s="4" t="s">
        <v>41</v>
      </c>
      <c r="D628" s="4" t="s">
        <v>42</v>
      </c>
      <c r="E628" s="4" t="s">
        <v>25</v>
      </c>
      <c r="F628" s="4" t="s">
        <v>25</v>
      </c>
      <c r="G628" s="4" t="s">
        <v>25</v>
      </c>
      <c r="H628" s="4" t="s">
        <v>34</v>
      </c>
      <c r="I628" s="5">
        <v>44835</v>
      </c>
      <c r="J628" s="6">
        <v>0</v>
      </c>
      <c r="K628" s="6">
        <v>0</v>
      </c>
      <c r="L628" s="6">
        <v>1.216</v>
      </c>
      <c r="M628" s="6">
        <v>1.216</v>
      </c>
      <c r="N628" s="6">
        <v>1.216</v>
      </c>
      <c r="O628" s="6">
        <v>1.216</v>
      </c>
      <c r="P628" s="6">
        <v>0</v>
      </c>
      <c r="Q628" s="4" t="s">
        <v>26</v>
      </c>
      <c r="R628" s="4">
        <v>0</v>
      </c>
      <c r="S628" s="6">
        <v>0</v>
      </c>
      <c r="T628" s="6">
        <v>32</v>
      </c>
      <c r="U628" s="6">
        <v>92</v>
      </c>
      <c r="V628" s="6">
        <f>IF(ISERROR(VLOOKUP($S$628,'TAR FIN'!$A$1:$O$113,15,0)),0,VLOOKUP($S$628,'TAR FIN'!$A$1:$O$113,15,0))</f>
        <v>0</v>
      </c>
      <c r="W628" s="6">
        <f>IF(ISERROR(VLOOKUP($T$628,'TAR FIN'!$A$1:$O$113,15,0)),0,VLOOKUP($T$628,'TAR FIN'!$A$1:$O$113,15,0))</f>
        <v>1604.46</v>
      </c>
      <c r="X628" s="6">
        <f>IF(ISERROR(VLOOKUP($U$628,'TAR FIN'!$A$1:$O$113,15,0)),0,VLOOKUP($U$628,'TAR FIN'!$A$1:$O$113,15,0))</f>
        <v>442.86</v>
      </c>
      <c r="Y628" s="6"/>
      <c r="Z628" s="6">
        <f ca="1">('TUSD BE'!$AM$29+'TUSD BF_350'!$AM$29+'TUSD CVA'!$AM$29)*1</f>
        <v>1888.1712570698433</v>
      </c>
      <c r="AA628" s="6">
        <f ca="1">('TE BE'!$AB$12+'TE BF_350'!$AB$12+'TE CVA'!$AB$12)*1</f>
        <v>379.30999999999995</v>
      </c>
      <c r="AB628" s="6">
        <f>$K$628*$V$628</f>
        <v>0</v>
      </c>
      <c r="AC628" s="6">
        <f>$M$628*$W$628</f>
        <v>1951.0233599999999</v>
      </c>
      <c r="AD628" s="6">
        <f>$O$628*$X$628</f>
        <v>538.51775999999995</v>
      </c>
      <c r="AE628" s="6">
        <f>$K$628*$Y$628</f>
        <v>0</v>
      </c>
      <c r="AF628" s="6">
        <f ca="1">$M$628*$Z$628</f>
        <v>2296.0162485969295</v>
      </c>
      <c r="AG628" s="6">
        <f ca="1">$O$628*$AA$628</f>
        <v>461.24095999999992</v>
      </c>
    </row>
    <row r="629" spans="1:33" ht="11.25" customHeight="1" x14ac:dyDescent="0.3">
      <c r="A629" s="4" t="s">
        <v>21</v>
      </c>
      <c r="B629" s="4" t="s">
        <v>43</v>
      </c>
      <c r="C629" s="4" t="s">
        <v>41</v>
      </c>
      <c r="D629" s="4" t="s">
        <v>38</v>
      </c>
      <c r="E629" s="4" t="s">
        <v>25</v>
      </c>
      <c r="F629" s="4" t="s">
        <v>56</v>
      </c>
      <c r="G629" s="4" t="s">
        <v>25</v>
      </c>
      <c r="H629" s="4" t="s">
        <v>35</v>
      </c>
      <c r="I629" s="5">
        <v>44531</v>
      </c>
      <c r="J629" s="6">
        <v>0</v>
      </c>
      <c r="K629" s="6">
        <v>0</v>
      </c>
      <c r="L629" s="6">
        <v>27.018000000000001</v>
      </c>
      <c r="M629" s="6">
        <v>27.018000000000001</v>
      </c>
      <c r="N629" s="6">
        <v>0</v>
      </c>
      <c r="O629" s="6">
        <v>0</v>
      </c>
      <c r="P629" s="6">
        <v>0</v>
      </c>
      <c r="Q629" s="4" t="s">
        <v>55</v>
      </c>
      <c r="R629" s="4">
        <v>0</v>
      </c>
      <c r="S629" s="6">
        <v>0</v>
      </c>
      <c r="T629" s="6">
        <v>45</v>
      </c>
      <c r="U629" s="6">
        <v>0</v>
      </c>
      <c r="V629" s="6">
        <f>IF(ISERROR(VLOOKUP($S$629,'TAR FIN'!$A$1:$O$113,15,0)),0,VLOOKUP($S$629,'TAR FIN'!$A$1:$O$113,15,0))</f>
        <v>0</v>
      </c>
      <c r="W629" s="6">
        <f>IF(ISERROR(VLOOKUP($T$629,'TAR FIN'!$A$1:$O$113,15,0)),0,VLOOKUP($T$629,'TAR FIN'!$A$1:$O$113,15,0))</f>
        <v>105.73</v>
      </c>
      <c r="X629" s="6">
        <f>IF(ISERROR(VLOOKUP($U$629,'TAR FIN'!$A$1:$O$113,15,0)),0,VLOOKUP($U$629,'TAR FIN'!$A$1:$O$113,15,0))</f>
        <v>0</v>
      </c>
      <c r="Y629" s="6"/>
      <c r="Z629" s="6">
        <f ca="1">('TUSD BE'!$AM$30+'TUSD BF_350'!$AM$30+'TUSD CVA'!$AM$30)*1</f>
        <v>170.19945224700672</v>
      </c>
      <c r="AA629" s="6"/>
      <c r="AB629" s="6">
        <f>$K$629*$V$629</f>
        <v>0</v>
      </c>
      <c r="AC629" s="6">
        <f>$M$629*$W$629</f>
        <v>2856.6131400000004</v>
      </c>
      <c r="AD629" s="6">
        <f>$O$629*$X$629</f>
        <v>0</v>
      </c>
      <c r="AE629" s="6">
        <f>$K$629*$Y$629</f>
        <v>0</v>
      </c>
      <c r="AF629" s="6">
        <f ca="1">$M$629*$Z$629</f>
        <v>4598.4488008096278</v>
      </c>
      <c r="AG629" s="6">
        <f>$O$629*$AA$629</f>
        <v>0</v>
      </c>
    </row>
    <row r="630" spans="1:33" ht="11.25" customHeight="1" x14ac:dyDescent="0.3">
      <c r="A630" s="4" t="s">
        <v>21</v>
      </c>
      <c r="B630" s="4" t="s">
        <v>43</v>
      </c>
      <c r="C630" s="4" t="s">
        <v>41</v>
      </c>
      <c r="D630" s="4" t="s">
        <v>38</v>
      </c>
      <c r="E630" s="4" t="s">
        <v>25</v>
      </c>
      <c r="F630" s="4" t="s">
        <v>56</v>
      </c>
      <c r="G630" s="4" t="s">
        <v>25</v>
      </c>
      <c r="H630" s="4" t="s">
        <v>35</v>
      </c>
      <c r="I630" s="5">
        <v>44562</v>
      </c>
      <c r="J630" s="6">
        <v>0</v>
      </c>
      <c r="K630" s="6">
        <v>0</v>
      </c>
      <c r="L630" s="6">
        <v>27.103999999999999</v>
      </c>
      <c r="M630" s="6">
        <v>27.103999999999999</v>
      </c>
      <c r="N630" s="6">
        <v>0</v>
      </c>
      <c r="O630" s="6">
        <v>0</v>
      </c>
      <c r="P630" s="6">
        <v>0</v>
      </c>
      <c r="Q630" s="4" t="s">
        <v>55</v>
      </c>
      <c r="R630" s="4">
        <v>0</v>
      </c>
      <c r="S630" s="6">
        <v>0</v>
      </c>
      <c r="T630" s="6">
        <v>45</v>
      </c>
      <c r="U630" s="6">
        <v>0</v>
      </c>
      <c r="V630" s="6">
        <f>IF(ISERROR(VLOOKUP($S$630,'TAR FIN'!$A$1:$O$113,15,0)),0,VLOOKUP($S$630,'TAR FIN'!$A$1:$O$113,15,0))</f>
        <v>0</v>
      </c>
      <c r="W630" s="6">
        <f>IF(ISERROR(VLOOKUP($T$630,'TAR FIN'!$A$1:$O$113,15,0)),0,VLOOKUP($T$630,'TAR FIN'!$A$1:$O$113,15,0))</f>
        <v>105.73</v>
      </c>
      <c r="X630" s="6">
        <f>IF(ISERROR(VLOOKUP($U$630,'TAR FIN'!$A$1:$O$113,15,0)),0,VLOOKUP($U$630,'TAR FIN'!$A$1:$O$113,15,0))</f>
        <v>0</v>
      </c>
      <c r="Y630" s="6"/>
      <c r="Z630" s="6">
        <f ca="1">('TUSD BE'!$AM$30+'TUSD BF_350'!$AM$30+'TUSD CVA'!$AM$30)*1</f>
        <v>170.19945224700672</v>
      </c>
      <c r="AA630" s="6"/>
      <c r="AB630" s="6">
        <f>$K$630*$V$630</f>
        <v>0</v>
      </c>
      <c r="AC630" s="6">
        <f>$M$630*$W$630</f>
        <v>2865.7059199999999</v>
      </c>
      <c r="AD630" s="6">
        <f>$O$630*$X$630</f>
        <v>0</v>
      </c>
      <c r="AE630" s="6">
        <f>$K$630*$Y$630</f>
        <v>0</v>
      </c>
      <c r="AF630" s="6">
        <f ca="1">$M$630*$Z$630</f>
        <v>4613.08595370287</v>
      </c>
      <c r="AG630" s="6">
        <f>$O$630*$AA$630</f>
        <v>0</v>
      </c>
    </row>
    <row r="631" spans="1:33" ht="11.25" customHeight="1" x14ac:dyDescent="0.3">
      <c r="A631" s="4" t="s">
        <v>21</v>
      </c>
      <c r="B631" s="4" t="s">
        <v>43</v>
      </c>
      <c r="C631" s="4" t="s">
        <v>41</v>
      </c>
      <c r="D631" s="4" t="s">
        <v>38</v>
      </c>
      <c r="E631" s="4" t="s">
        <v>25</v>
      </c>
      <c r="F631" s="4" t="s">
        <v>56</v>
      </c>
      <c r="G631" s="4" t="s">
        <v>25</v>
      </c>
      <c r="H631" s="4" t="s">
        <v>35</v>
      </c>
      <c r="I631" s="5">
        <v>44593</v>
      </c>
      <c r="J631" s="6">
        <v>0</v>
      </c>
      <c r="K631" s="6">
        <v>0</v>
      </c>
      <c r="L631" s="6">
        <v>26.242000000000001</v>
      </c>
      <c r="M631" s="6">
        <v>26.242000000000001</v>
      </c>
      <c r="N631" s="6">
        <v>0</v>
      </c>
      <c r="O631" s="6">
        <v>0</v>
      </c>
      <c r="P631" s="6">
        <v>0</v>
      </c>
      <c r="Q631" s="4" t="s">
        <v>55</v>
      </c>
      <c r="R631" s="4">
        <v>0</v>
      </c>
      <c r="S631" s="6">
        <v>0</v>
      </c>
      <c r="T631" s="6">
        <v>45</v>
      </c>
      <c r="U631" s="6">
        <v>0</v>
      </c>
      <c r="V631" s="6">
        <f>IF(ISERROR(VLOOKUP($S$631,'TAR FIN'!$A$1:$O$113,15,0)),0,VLOOKUP($S$631,'TAR FIN'!$A$1:$O$113,15,0))</f>
        <v>0</v>
      </c>
      <c r="W631" s="6">
        <f>IF(ISERROR(VLOOKUP($T$631,'TAR FIN'!$A$1:$O$113,15,0)),0,VLOOKUP($T$631,'TAR FIN'!$A$1:$O$113,15,0))</f>
        <v>105.73</v>
      </c>
      <c r="X631" s="6">
        <f>IF(ISERROR(VLOOKUP($U$631,'TAR FIN'!$A$1:$O$113,15,0)),0,VLOOKUP($U$631,'TAR FIN'!$A$1:$O$113,15,0))</f>
        <v>0</v>
      </c>
      <c r="Y631" s="6"/>
      <c r="Z631" s="6">
        <f ca="1">('TUSD BE'!$AM$30+'TUSD BF_350'!$AM$30+'TUSD CVA'!$AM$30)*1</f>
        <v>170.19945224700672</v>
      </c>
      <c r="AA631" s="6"/>
      <c r="AB631" s="6">
        <f>$K$631*$V$631</f>
        <v>0</v>
      </c>
      <c r="AC631" s="6">
        <f>$M$631*$W$631</f>
        <v>2774.5666600000004</v>
      </c>
      <c r="AD631" s="6">
        <f>$O$631*$X$631</f>
        <v>0</v>
      </c>
      <c r="AE631" s="6">
        <f>$K$631*$Y$631</f>
        <v>0</v>
      </c>
      <c r="AF631" s="6">
        <f ca="1">$M$631*$Z$631</f>
        <v>4466.3740258659509</v>
      </c>
      <c r="AG631" s="6">
        <f>$O$631*$AA$631</f>
        <v>0</v>
      </c>
    </row>
    <row r="632" spans="1:33" ht="11.25" customHeight="1" x14ac:dyDescent="0.3">
      <c r="A632" s="4" t="s">
        <v>21</v>
      </c>
      <c r="B632" s="4" t="s">
        <v>43</v>
      </c>
      <c r="C632" s="4" t="s">
        <v>41</v>
      </c>
      <c r="D632" s="4" t="s">
        <v>38</v>
      </c>
      <c r="E632" s="4" t="s">
        <v>25</v>
      </c>
      <c r="F632" s="4" t="s">
        <v>56</v>
      </c>
      <c r="G632" s="4" t="s">
        <v>25</v>
      </c>
      <c r="H632" s="4" t="s">
        <v>35</v>
      </c>
      <c r="I632" s="5">
        <v>44621</v>
      </c>
      <c r="J632" s="6">
        <v>0</v>
      </c>
      <c r="K632" s="6">
        <v>0</v>
      </c>
      <c r="L632" s="6">
        <v>24.724</v>
      </c>
      <c r="M632" s="6">
        <v>24.724</v>
      </c>
      <c r="N632" s="6">
        <v>0</v>
      </c>
      <c r="O632" s="6">
        <v>0</v>
      </c>
      <c r="P632" s="6">
        <v>0</v>
      </c>
      <c r="Q632" s="4" t="s">
        <v>55</v>
      </c>
      <c r="R632" s="4">
        <v>0</v>
      </c>
      <c r="S632" s="6">
        <v>0</v>
      </c>
      <c r="T632" s="6">
        <v>45</v>
      </c>
      <c r="U632" s="6">
        <v>0</v>
      </c>
      <c r="V632" s="6">
        <f>IF(ISERROR(VLOOKUP($S$632,'TAR FIN'!$A$1:$O$113,15,0)),0,VLOOKUP($S$632,'TAR FIN'!$A$1:$O$113,15,0))</f>
        <v>0</v>
      </c>
      <c r="W632" s="6">
        <f>IF(ISERROR(VLOOKUP($T$632,'TAR FIN'!$A$1:$O$113,15,0)),0,VLOOKUP($T$632,'TAR FIN'!$A$1:$O$113,15,0))</f>
        <v>105.73</v>
      </c>
      <c r="X632" s="6">
        <f>IF(ISERROR(VLOOKUP($U$632,'TAR FIN'!$A$1:$O$113,15,0)),0,VLOOKUP($U$632,'TAR FIN'!$A$1:$O$113,15,0))</f>
        <v>0</v>
      </c>
      <c r="Y632" s="6"/>
      <c r="Z632" s="6">
        <f ca="1">('TUSD BE'!$AM$30+'TUSD BF_350'!$AM$30+'TUSD CVA'!$AM$30)*1</f>
        <v>170.19945224700672</v>
      </c>
      <c r="AA632" s="6"/>
      <c r="AB632" s="6">
        <f>$K$632*$V$632</f>
        <v>0</v>
      </c>
      <c r="AC632" s="6">
        <f>$M$632*$W$632</f>
        <v>2614.0685200000003</v>
      </c>
      <c r="AD632" s="6">
        <f>$O$632*$X$632</f>
        <v>0</v>
      </c>
      <c r="AE632" s="6">
        <f>$K$632*$Y$632</f>
        <v>0</v>
      </c>
      <c r="AF632" s="6">
        <f ca="1">$M$632*$Z$632</f>
        <v>4208.0112573549941</v>
      </c>
      <c r="AG632" s="6">
        <f>$O$632*$AA$632</f>
        <v>0</v>
      </c>
    </row>
    <row r="633" spans="1:33" ht="11.25" customHeight="1" x14ac:dyDescent="0.3">
      <c r="A633" s="4" t="s">
        <v>21</v>
      </c>
      <c r="B633" s="4" t="s">
        <v>43</v>
      </c>
      <c r="C633" s="4" t="s">
        <v>41</v>
      </c>
      <c r="D633" s="4" t="s">
        <v>38</v>
      </c>
      <c r="E633" s="4" t="s">
        <v>25</v>
      </c>
      <c r="F633" s="4" t="s">
        <v>56</v>
      </c>
      <c r="G633" s="4" t="s">
        <v>25</v>
      </c>
      <c r="H633" s="4" t="s">
        <v>35</v>
      </c>
      <c r="I633" s="5">
        <v>44652</v>
      </c>
      <c r="J633" s="6">
        <v>0</v>
      </c>
      <c r="K633" s="6">
        <v>0</v>
      </c>
      <c r="L633" s="6">
        <v>28.736000000000001</v>
      </c>
      <c r="M633" s="6">
        <v>28.736000000000001</v>
      </c>
      <c r="N633" s="6">
        <v>0</v>
      </c>
      <c r="O633" s="6">
        <v>0</v>
      </c>
      <c r="P633" s="6">
        <v>0</v>
      </c>
      <c r="Q633" s="4" t="s">
        <v>55</v>
      </c>
      <c r="R633" s="4">
        <v>0</v>
      </c>
      <c r="S633" s="6">
        <v>0</v>
      </c>
      <c r="T633" s="6">
        <v>45</v>
      </c>
      <c r="U633" s="6">
        <v>0</v>
      </c>
      <c r="V633" s="6">
        <f>IF(ISERROR(VLOOKUP($S$633,'TAR FIN'!$A$1:$O$113,15,0)),0,VLOOKUP($S$633,'TAR FIN'!$A$1:$O$113,15,0))</f>
        <v>0</v>
      </c>
      <c r="W633" s="6">
        <f>IF(ISERROR(VLOOKUP($T$633,'TAR FIN'!$A$1:$O$113,15,0)),0,VLOOKUP($T$633,'TAR FIN'!$A$1:$O$113,15,0))</f>
        <v>105.73</v>
      </c>
      <c r="X633" s="6">
        <f>IF(ISERROR(VLOOKUP($U$633,'TAR FIN'!$A$1:$O$113,15,0)),0,VLOOKUP($U$633,'TAR FIN'!$A$1:$O$113,15,0))</f>
        <v>0</v>
      </c>
      <c r="Y633" s="6"/>
      <c r="Z633" s="6">
        <f ca="1">('TUSD BE'!$AM$30+'TUSD BF_350'!$AM$30+'TUSD CVA'!$AM$30)*1</f>
        <v>170.19945224700672</v>
      </c>
      <c r="AA633" s="6"/>
      <c r="AB633" s="6">
        <f>$K$633*$V$633</f>
        <v>0</v>
      </c>
      <c r="AC633" s="6">
        <f>$M$633*$W$633</f>
        <v>3038.2572800000003</v>
      </c>
      <c r="AD633" s="6">
        <f>$O$633*$X$633</f>
        <v>0</v>
      </c>
      <c r="AE633" s="6">
        <f>$K$633*$Y$633</f>
        <v>0</v>
      </c>
      <c r="AF633" s="6">
        <f ca="1">$M$633*$Z$633</f>
        <v>4890.851459769985</v>
      </c>
      <c r="AG633" s="6">
        <f>$O$633*$AA$633</f>
        <v>0</v>
      </c>
    </row>
    <row r="634" spans="1:33" ht="11.25" customHeight="1" x14ac:dyDescent="0.3">
      <c r="A634" s="4" t="s">
        <v>21</v>
      </c>
      <c r="B634" s="4" t="s">
        <v>43</v>
      </c>
      <c r="C634" s="4" t="s">
        <v>41</v>
      </c>
      <c r="D634" s="4" t="s">
        <v>38</v>
      </c>
      <c r="E634" s="4" t="s">
        <v>25</v>
      </c>
      <c r="F634" s="4" t="s">
        <v>56</v>
      </c>
      <c r="G634" s="4" t="s">
        <v>25</v>
      </c>
      <c r="H634" s="4" t="s">
        <v>35</v>
      </c>
      <c r="I634" s="5">
        <v>44682</v>
      </c>
      <c r="J634" s="6">
        <v>0</v>
      </c>
      <c r="K634" s="6">
        <v>0</v>
      </c>
      <c r="L634" s="6">
        <v>25.777999999999999</v>
      </c>
      <c r="M634" s="6">
        <v>25.777999999999999</v>
      </c>
      <c r="N634" s="6">
        <v>0</v>
      </c>
      <c r="O634" s="6">
        <v>0</v>
      </c>
      <c r="P634" s="6">
        <v>0</v>
      </c>
      <c r="Q634" s="4" t="s">
        <v>55</v>
      </c>
      <c r="R634" s="4">
        <v>0</v>
      </c>
      <c r="S634" s="6">
        <v>0</v>
      </c>
      <c r="T634" s="6">
        <v>45</v>
      </c>
      <c r="U634" s="6">
        <v>0</v>
      </c>
      <c r="V634" s="6">
        <f>IF(ISERROR(VLOOKUP($S$634,'TAR FIN'!$A$1:$O$113,15,0)),0,VLOOKUP($S$634,'TAR FIN'!$A$1:$O$113,15,0))</f>
        <v>0</v>
      </c>
      <c r="W634" s="6">
        <f>IF(ISERROR(VLOOKUP($T$634,'TAR FIN'!$A$1:$O$113,15,0)),0,VLOOKUP($T$634,'TAR FIN'!$A$1:$O$113,15,0))</f>
        <v>105.73</v>
      </c>
      <c r="X634" s="6">
        <f>IF(ISERROR(VLOOKUP($U$634,'TAR FIN'!$A$1:$O$113,15,0)),0,VLOOKUP($U$634,'TAR FIN'!$A$1:$O$113,15,0))</f>
        <v>0</v>
      </c>
      <c r="Y634" s="6"/>
      <c r="Z634" s="6">
        <f ca="1">('TUSD BE'!$AM$30+'TUSD BF_350'!$AM$30+'TUSD CVA'!$AM$30)*1</f>
        <v>170.19945224700672</v>
      </c>
      <c r="AA634" s="6"/>
      <c r="AB634" s="6">
        <f>$K$634*$V$634</f>
        <v>0</v>
      </c>
      <c r="AC634" s="6">
        <f>$M$634*$W$634</f>
        <v>2725.50794</v>
      </c>
      <c r="AD634" s="6">
        <f>$O$634*$X$634</f>
        <v>0</v>
      </c>
      <c r="AE634" s="6">
        <f>$K$634*$Y$634</f>
        <v>0</v>
      </c>
      <c r="AF634" s="6">
        <f ca="1">$M$634*$Z$634</f>
        <v>4387.401480023339</v>
      </c>
      <c r="AG634" s="6">
        <f>$O$634*$AA$634</f>
        <v>0</v>
      </c>
    </row>
    <row r="635" spans="1:33" ht="11.25" customHeight="1" x14ac:dyDescent="0.3">
      <c r="A635" s="4" t="s">
        <v>21</v>
      </c>
      <c r="B635" s="4" t="s">
        <v>43</v>
      </c>
      <c r="C635" s="4" t="s">
        <v>41</v>
      </c>
      <c r="D635" s="4" t="s">
        <v>38</v>
      </c>
      <c r="E635" s="4" t="s">
        <v>25</v>
      </c>
      <c r="F635" s="4" t="s">
        <v>56</v>
      </c>
      <c r="G635" s="4" t="s">
        <v>25</v>
      </c>
      <c r="H635" s="4" t="s">
        <v>35</v>
      </c>
      <c r="I635" s="5">
        <v>44713</v>
      </c>
      <c r="J635" s="6">
        <v>0</v>
      </c>
      <c r="K635" s="6">
        <v>0</v>
      </c>
      <c r="L635" s="6">
        <v>18.988</v>
      </c>
      <c r="M635" s="6">
        <v>18.988</v>
      </c>
      <c r="N635" s="6">
        <v>0</v>
      </c>
      <c r="O635" s="6">
        <v>0</v>
      </c>
      <c r="P635" s="6">
        <v>0</v>
      </c>
      <c r="Q635" s="4" t="s">
        <v>55</v>
      </c>
      <c r="R635" s="4">
        <v>0</v>
      </c>
      <c r="S635" s="6">
        <v>0</v>
      </c>
      <c r="T635" s="6">
        <v>45</v>
      </c>
      <c r="U635" s="6">
        <v>0</v>
      </c>
      <c r="V635" s="6">
        <f>IF(ISERROR(VLOOKUP($S$635,'TAR FIN'!$A$1:$O$113,15,0)),0,VLOOKUP($S$635,'TAR FIN'!$A$1:$O$113,15,0))</f>
        <v>0</v>
      </c>
      <c r="W635" s="6">
        <f>IF(ISERROR(VLOOKUP($T$635,'TAR FIN'!$A$1:$O$113,15,0)),0,VLOOKUP($T$635,'TAR FIN'!$A$1:$O$113,15,0))</f>
        <v>105.73</v>
      </c>
      <c r="X635" s="6">
        <f>IF(ISERROR(VLOOKUP($U$635,'TAR FIN'!$A$1:$O$113,15,0)),0,VLOOKUP($U$635,'TAR FIN'!$A$1:$O$113,15,0))</f>
        <v>0</v>
      </c>
      <c r="Y635" s="6"/>
      <c r="Z635" s="6">
        <f ca="1">('TUSD BE'!$AM$30+'TUSD BF_350'!$AM$30+'TUSD CVA'!$AM$30)*1</f>
        <v>170.19945224700672</v>
      </c>
      <c r="AA635" s="6"/>
      <c r="AB635" s="6">
        <f>$K$635*$V$635</f>
        <v>0</v>
      </c>
      <c r="AC635" s="6">
        <f>$M$635*$W$635</f>
        <v>2007.60124</v>
      </c>
      <c r="AD635" s="6">
        <f>$O$635*$X$635</f>
        <v>0</v>
      </c>
      <c r="AE635" s="6">
        <f>$K$635*$Y$635</f>
        <v>0</v>
      </c>
      <c r="AF635" s="6">
        <f ca="1">$M$635*$Z$635</f>
        <v>3231.7471992661635</v>
      </c>
      <c r="AG635" s="6">
        <f>$O$635*$AA$635</f>
        <v>0</v>
      </c>
    </row>
    <row r="636" spans="1:33" ht="11.25" customHeight="1" x14ac:dyDescent="0.3">
      <c r="A636" s="4" t="s">
        <v>21</v>
      </c>
      <c r="B636" s="4" t="s">
        <v>43</v>
      </c>
      <c r="C636" s="4" t="s">
        <v>41</v>
      </c>
      <c r="D636" s="4" t="s">
        <v>38</v>
      </c>
      <c r="E636" s="4" t="s">
        <v>25</v>
      </c>
      <c r="F636" s="4" t="s">
        <v>56</v>
      </c>
      <c r="G636" s="4" t="s">
        <v>25</v>
      </c>
      <c r="H636" s="4" t="s">
        <v>35</v>
      </c>
      <c r="I636" s="5">
        <v>44743</v>
      </c>
      <c r="J636" s="6">
        <v>0</v>
      </c>
      <c r="K636" s="6">
        <v>0</v>
      </c>
      <c r="L636" s="6">
        <v>17.864999999999998</v>
      </c>
      <c r="M636" s="6">
        <v>17.864999999999998</v>
      </c>
      <c r="N636" s="6">
        <v>0</v>
      </c>
      <c r="O636" s="6">
        <v>0</v>
      </c>
      <c r="P636" s="6">
        <v>0</v>
      </c>
      <c r="Q636" s="4" t="s">
        <v>55</v>
      </c>
      <c r="R636" s="4">
        <v>0</v>
      </c>
      <c r="S636" s="6">
        <v>0</v>
      </c>
      <c r="T636" s="6">
        <v>45</v>
      </c>
      <c r="U636" s="6">
        <v>0</v>
      </c>
      <c r="V636" s="6">
        <f>IF(ISERROR(VLOOKUP($S$636,'TAR FIN'!$A$1:$O$113,15,0)),0,VLOOKUP($S$636,'TAR FIN'!$A$1:$O$113,15,0))</f>
        <v>0</v>
      </c>
      <c r="W636" s="6">
        <f>IF(ISERROR(VLOOKUP($T$636,'TAR FIN'!$A$1:$O$113,15,0)),0,VLOOKUP($T$636,'TAR FIN'!$A$1:$O$113,15,0))</f>
        <v>105.73</v>
      </c>
      <c r="X636" s="6">
        <f>IF(ISERROR(VLOOKUP($U$636,'TAR FIN'!$A$1:$O$113,15,0)),0,VLOOKUP($U$636,'TAR FIN'!$A$1:$O$113,15,0))</f>
        <v>0</v>
      </c>
      <c r="Y636" s="6"/>
      <c r="Z636" s="6">
        <f ca="1">('TUSD BE'!$AM$30+'TUSD BF_350'!$AM$30+'TUSD CVA'!$AM$30)*1</f>
        <v>170.19945224700672</v>
      </c>
      <c r="AA636" s="6"/>
      <c r="AB636" s="6">
        <f>$K$636*$V$636</f>
        <v>0</v>
      </c>
      <c r="AC636" s="6">
        <f>$M$636*$W$636</f>
        <v>1888.86645</v>
      </c>
      <c r="AD636" s="6">
        <f>$O$636*$X$636</f>
        <v>0</v>
      </c>
      <c r="AE636" s="6">
        <f>$K$636*$Y$636</f>
        <v>0</v>
      </c>
      <c r="AF636" s="6">
        <f ca="1">$M$636*$Z$636</f>
        <v>3040.6132143927748</v>
      </c>
      <c r="AG636" s="6">
        <f>$O$636*$AA$636</f>
        <v>0</v>
      </c>
    </row>
    <row r="637" spans="1:33" ht="11.25" customHeight="1" x14ac:dyDescent="0.3">
      <c r="A637" s="4" t="s">
        <v>21</v>
      </c>
      <c r="B637" s="4" t="s">
        <v>43</v>
      </c>
      <c r="C637" s="4" t="s">
        <v>41</v>
      </c>
      <c r="D637" s="4" t="s">
        <v>38</v>
      </c>
      <c r="E637" s="4" t="s">
        <v>25</v>
      </c>
      <c r="F637" s="4" t="s">
        <v>56</v>
      </c>
      <c r="G637" s="4" t="s">
        <v>25</v>
      </c>
      <c r="H637" s="4" t="s">
        <v>35</v>
      </c>
      <c r="I637" s="5">
        <v>44774</v>
      </c>
      <c r="J637" s="6">
        <v>0</v>
      </c>
      <c r="K637" s="6">
        <v>0</v>
      </c>
      <c r="L637" s="6">
        <v>20.734000000000002</v>
      </c>
      <c r="M637" s="6">
        <v>20.734000000000002</v>
      </c>
      <c r="N637" s="6">
        <v>0</v>
      </c>
      <c r="O637" s="6">
        <v>0</v>
      </c>
      <c r="P637" s="6">
        <v>0</v>
      </c>
      <c r="Q637" s="4" t="s">
        <v>55</v>
      </c>
      <c r="R637" s="4">
        <v>0</v>
      </c>
      <c r="S637" s="6">
        <v>0</v>
      </c>
      <c r="T637" s="6">
        <v>45</v>
      </c>
      <c r="U637" s="6">
        <v>0</v>
      </c>
      <c r="V637" s="6">
        <f>IF(ISERROR(VLOOKUP($S$637,'TAR FIN'!$A$1:$O$113,15,0)),0,VLOOKUP($S$637,'TAR FIN'!$A$1:$O$113,15,0))</f>
        <v>0</v>
      </c>
      <c r="W637" s="6">
        <f>IF(ISERROR(VLOOKUP($T$637,'TAR FIN'!$A$1:$O$113,15,0)),0,VLOOKUP($T$637,'TAR FIN'!$A$1:$O$113,15,0))</f>
        <v>105.73</v>
      </c>
      <c r="X637" s="6">
        <f>IF(ISERROR(VLOOKUP($U$637,'TAR FIN'!$A$1:$O$113,15,0)),0,VLOOKUP($U$637,'TAR FIN'!$A$1:$O$113,15,0))</f>
        <v>0</v>
      </c>
      <c r="Y637" s="6"/>
      <c r="Z637" s="6">
        <f ca="1">('TUSD BE'!$AM$30+'TUSD BF_350'!$AM$30+'TUSD CVA'!$AM$30)*1</f>
        <v>170.19945224700672</v>
      </c>
      <c r="AA637" s="6"/>
      <c r="AB637" s="6">
        <f>$K$637*$V$637</f>
        <v>0</v>
      </c>
      <c r="AC637" s="6">
        <f>$M$637*$W$637</f>
        <v>2192.2058200000001</v>
      </c>
      <c r="AD637" s="6">
        <f>$O$637*$X$637</f>
        <v>0</v>
      </c>
      <c r="AE637" s="6">
        <f>$K$637*$Y$637</f>
        <v>0</v>
      </c>
      <c r="AF637" s="6">
        <f ca="1">$M$637*$Z$637</f>
        <v>3528.9154428894376</v>
      </c>
      <c r="AG637" s="6">
        <f>$O$637*$AA$637</f>
        <v>0</v>
      </c>
    </row>
    <row r="638" spans="1:33" ht="11.25" customHeight="1" x14ac:dyDescent="0.3">
      <c r="A638" s="4" t="s">
        <v>21</v>
      </c>
      <c r="B638" s="4" t="s">
        <v>43</v>
      </c>
      <c r="C638" s="4" t="s">
        <v>41</v>
      </c>
      <c r="D638" s="4" t="s">
        <v>38</v>
      </c>
      <c r="E638" s="4" t="s">
        <v>25</v>
      </c>
      <c r="F638" s="4" t="s">
        <v>56</v>
      </c>
      <c r="G638" s="4" t="s">
        <v>25</v>
      </c>
      <c r="H638" s="4" t="s">
        <v>35</v>
      </c>
      <c r="I638" s="5">
        <v>44805</v>
      </c>
      <c r="J638" s="6">
        <v>0</v>
      </c>
      <c r="K638" s="6">
        <v>0</v>
      </c>
      <c r="L638" s="6">
        <v>22.969000000000001</v>
      </c>
      <c r="M638" s="6">
        <v>22.969000000000001</v>
      </c>
      <c r="N638" s="6">
        <v>0</v>
      </c>
      <c r="O638" s="6">
        <v>0</v>
      </c>
      <c r="P638" s="6">
        <v>0</v>
      </c>
      <c r="Q638" s="4" t="s">
        <v>55</v>
      </c>
      <c r="R638" s="4">
        <v>0</v>
      </c>
      <c r="S638" s="6">
        <v>0</v>
      </c>
      <c r="T638" s="6">
        <v>45</v>
      </c>
      <c r="U638" s="6">
        <v>0</v>
      </c>
      <c r="V638" s="6">
        <f>IF(ISERROR(VLOOKUP($S$638,'TAR FIN'!$A$1:$O$113,15,0)),0,VLOOKUP($S$638,'TAR FIN'!$A$1:$O$113,15,0))</f>
        <v>0</v>
      </c>
      <c r="W638" s="6">
        <f>IF(ISERROR(VLOOKUP($T$638,'TAR FIN'!$A$1:$O$113,15,0)),0,VLOOKUP($T$638,'TAR FIN'!$A$1:$O$113,15,0))</f>
        <v>105.73</v>
      </c>
      <c r="X638" s="6">
        <f>IF(ISERROR(VLOOKUP($U$638,'TAR FIN'!$A$1:$O$113,15,0)),0,VLOOKUP($U$638,'TAR FIN'!$A$1:$O$113,15,0))</f>
        <v>0</v>
      </c>
      <c r="Y638" s="6"/>
      <c r="Z638" s="6">
        <f ca="1">('TUSD BE'!$AM$30+'TUSD BF_350'!$AM$30+'TUSD CVA'!$AM$30)*1</f>
        <v>170.19945224700672</v>
      </c>
      <c r="AA638" s="6"/>
      <c r="AB638" s="6">
        <f>$K$638*$V$638</f>
        <v>0</v>
      </c>
      <c r="AC638" s="6">
        <f>$M$638*$W$638</f>
        <v>2428.5123700000004</v>
      </c>
      <c r="AD638" s="6">
        <f>$O$638*$X$638</f>
        <v>0</v>
      </c>
      <c r="AE638" s="6">
        <f>$K$638*$Y$638</f>
        <v>0</v>
      </c>
      <c r="AF638" s="6">
        <f ca="1">$M$638*$Z$638</f>
        <v>3909.3112186614976</v>
      </c>
      <c r="AG638" s="6">
        <f>$O$638*$AA$638</f>
        <v>0</v>
      </c>
    </row>
    <row r="639" spans="1:33" ht="11.25" customHeight="1" x14ac:dyDescent="0.3">
      <c r="A639" s="4" t="s">
        <v>53</v>
      </c>
      <c r="B639" s="4" t="s">
        <v>43</v>
      </c>
      <c r="C639" s="4" t="s">
        <v>41</v>
      </c>
      <c r="D639" s="4" t="s">
        <v>38</v>
      </c>
      <c r="E639" s="4" t="s">
        <v>25</v>
      </c>
      <c r="F639" s="4" t="s">
        <v>56</v>
      </c>
      <c r="G639" s="4" t="s">
        <v>25</v>
      </c>
      <c r="H639" s="4" t="s">
        <v>35</v>
      </c>
      <c r="I639" s="5">
        <v>44835</v>
      </c>
      <c r="J639" s="6">
        <v>0</v>
      </c>
      <c r="K639" s="6">
        <v>0</v>
      </c>
      <c r="L639" s="6">
        <v>22.969000000000001</v>
      </c>
      <c r="M639" s="6">
        <v>22.969000000000001</v>
      </c>
      <c r="N639" s="6">
        <v>0</v>
      </c>
      <c r="O639" s="6">
        <v>0</v>
      </c>
      <c r="P639" s="6">
        <v>0</v>
      </c>
      <c r="Q639" s="4" t="s">
        <v>55</v>
      </c>
      <c r="R639" s="4">
        <v>0</v>
      </c>
      <c r="S639" s="6">
        <v>0</v>
      </c>
      <c r="T639" s="6">
        <v>45</v>
      </c>
      <c r="U639" s="6">
        <v>0</v>
      </c>
      <c r="V639" s="6">
        <f>IF(ISERROR(VLOOKUP($S$639,'TAR FIN'!$A$1:$O$113,15,0)),0,VLOOKUP($S$639,'TAR FIN'!$A$1:$O$113,15,0))</f>
        <v>0</v>
      </c>
      <c r="W639" s="6">
        <f>IF(ISERROR(VLOOKUP($T$639,'TAR FIN'!$A$1:$O$113,15,0)),0,VLOOKUP($T$639,'TAR FIN'!$A$1:$O$113,15,0))</f>
        <v>105.73</v>
      </c>
      <c r="X639" s="6">
        <f>IF(ISERROR(VLOOKUP($U$639,'TAR FIN'!$A$1:$O$113,15,0)),0,VLOOKUP($U$639,'TAR FIN'!$A$1:$O$113,15,0))</f>
        <v>0</v>
      </c>
      <c r="Y639" s="6"/>
      <c r="Z639" s="6">
        <f ca="1">('TUSD BE'!$AM$30+'TUSD BF_350'!$AM$30+'TUSD CVA'!$AM$30)*1</f>
        <v>170.19945224700672</v>
      </c>
      <c r="AA639" s="6"/>
      <c r="AB639" s="6">
        <f>$K$639*$V$639</f>
        <v>0</v>
      </c>
      <c r="AC639" s="6">
        <f>$M$639*$W$639</f>
        <v>2428.5123700000004</v>
      </c>
      <c r="AD639" s="6">
        <f>$O$639*$X$639</f>
        <v>0</v>
      </c>
      <c r="AE639" s="6">
        <f>$K$639*$Y$639</f>
        <v>0</v>
      </c>
      <c r="AF639" s="6">
        <f ca="1">$M$639*$Z$639</f>
        <v>3909.3112186614976</v>
      </c>
      <c r="AG639" s="6">
        <f>$O$639*$AA$639</f>
        <v>0</v>
      </c>
    </row>
    <row r="640" spans="1:33" ht="11.25" customHeight="1" x14ac:dyDescent="0.3">
      <c r="A640" s="4" t="s">
        <v>21</v>
      </c>
      <c r="B640" s="4" t="s">
        <v>43</v>
      </c>
      <c r="C640" s="4" t="s">
        <v>41</v>
      </c>
      <c r="D640" s="4" t="s">
        <v>38</v>
      </c>
      <c r="E640" s="4" t="s">
        <v>25</v>
      </c>
      <c r="F640" s="4" t="s">
        <v>56</v>
      </c>
      <c r="G640" s="4" t="s">
        <v>25</v>
      </c>
      <c r="H640" s="4" t="s">
        <v>25</v>
      </c>
      <c r="I640" s="5">
        <v>44531</v>
      </c>
      <c r="J640" s="6">
        <v>101</v>
      </c>
      <c r="K640" s="6">
        <v>50.5</v>
      </c>
      <c r="L640" s="6">
        <v>0</v>
      </c>
      <c r="M640" s="6">
        <v>0</v>
      </c>
      <c r="N640" s="6">
        <v>0</v>
      </c>
      <c r="O640" s="6">
        <v>0</v>
      </c>
      <c r="P640" s="6">
        <v>1</v>
      </c>
      <c r="Q640" s="4" t="s">
        <v>55</v>
      </c>
      <c r="R640" s="4">
        <v>0</v>
      </c>
      <c r="S640" s="6">
        <v>13</v>
      </c>
      <c r="T640" s="6">
        <v>0</v>
      </c>
      <c r="U640" s="6">
        <v>0</v>
      </c>
      <c r="V640" s="6">
        <f>IF(ISERROR(VLOOKUP($S$640,'TAR FIN'!$A$1:$O$113,15,0)),0,VLOOKUP($S$640,'TAR FIN'!$A$1:$O$113,15,0))</f>
        <v>11.74</v>
      </c>
      <c r="W640" s="6">
        <f>IF(ISERROR(VLOOKUP($T$640,'TAR FIN'!$A$1:$O$113,15,0)),0,VLOOKUP($T$640,'TAR FIN'!$A$1:$O$113,15,0))</f>
        <v>0</v>
      </c>
      <c r="X640" s="6">
        <f>IF(ISERROR(VLOOKUP($U$640,'TAR FIN'!$A$1:$O$113,15,0)),0,VLOOKUP($U$640,'TAR FIN'!$A$1:$O$113,15,0))</f>
        <v>0</v>
      </c>
      <c r="Y640" s="6">
        <f ca="1">('TUSD BE'!$AM$28+'TUSD BF_350'!$AM$28+'TUSD CVA'!$AM$28)*1</f>
        <v>13.458223506903105</v>
      </c>
      <c r="Z640" s="6"/>
      <c r="AA640" s="6"/>
      <c r="AB640" s="6">
        <f>$K$640*$V$640</f>
        <v>592.87</v>
      </c>
      <c r="AC640" s="6">
        <f>$M$640*$W$640</f>
        <v>0</v>
      </c>
      <c r="AD640" s="6">
        <f>$O$640*$X$640</f>
        <v>0</v>
      </c>
      <c r="AE640" s="6">
        <f ca="1">$K$640*$Y$640</f>
        <v>679.64028709860679</v>
      </c>
      <c r="AF640" s="6">
        <f>$M$640*$Z$640</f>
        <v>0</v>
      </c>
      <c r="AG640" s="6">
        <f>$O$640*$AA$640</f>
        <v>0</v>
      </c>
    </row>
    <row r="641" spans="1:33" ht="11.25" customHeight="1" x14ac:dyDescent="0.3">
      <c r="A641" s="4" t="s">
        <v>21</v>
      </c>
      <c r="B641" s="4" t="s">
        <v>43</v>
      </c>
      <c r="C641" s="4" t="s">
        <v>41</v>
      </c>
      <c r="D641" s="4" t="s">
        <v>38</v>
      </c>
      <c r="E641" s="4" t="s">
        <v>25</v>
      </c>
      <c r="F641" s="4" t="s">
        <v>56</v>
      </c>
      <c r="G641" s="4" t="s">
        <v>25</v>
      </c>
      <c r="H641" s="4" t="s">
        <v>25</v>
      </c>
      <c r="I641" s="5">
        <v>44562</v>
      </c>
      <c r="J641" s="6">
        <v>101</v>
      </c>
      <c r="K641" s="6">
        <v>50.5</v>
      </c>
      <c r="L641" s="6">
        <v>0</v>
      </c>
      <c r="M641" s="6">
        <v>0</v>
      </c>
      <c r="N641" s="6">
        <v>0</v>
      </c>
      <c r="O641" s="6">
        <v>0</v>
      </c>
      <c r="P641" s="6">
        <v>1</v>
      </c>
      <c r="Q641" s="4" t="s">
        <v>55</v>
      </c>
      <c r="R641" s="4">
        <v>0</v>
      </c>
      <c r="S641" s="6">
        <v>13</v>
      </c>
      <c r="T641" s="6">
        <v>0</v>
      </c>
      <c r="U641" s="6">
        <v>0</v>
      </c>
      <c r="V641" s="6">
        <f>IF(ISERROR(VLOOKUP($S$641,'TAR FIN'!$A$1:$O$113,15,0)),0,VLOOKUP($S$641,'TAR FIN'!$A$1:$O$113,15,0))</f>
        <v>11.74</v>
      </c>
      <c r="W641" s="6">
        <f>IF(ISERROR(VLOOKUP($T$641,'TAR FIN'!$A$1:$O$113,15,0)),0,VLOOKUP($T$641,'TAR FIN'!$A$1:$O$113,15,0))</f>
        <v>0</v>
      </c>
      <c r="X641" s="6">
        <f>IF(ISERROR(VLOOKUP($U$641,'TAR FIN'!$A$1:$O$113,15,0)),0,VLOOKUP($U$641,'TAR FIN'!$A$1:$O$113,15,0))</f>
        <v>0</v>
      </c>
      <c r="Y641" s="6">
        <f ca="1">('TUSD BE'!$AM$28+'TUSD BF_350'!$AM$28+'TUSD CVA'!$AM$28)*1</f>
        <v>13.458223506903105</v>
      </c>
      <c r="Z641" s="6"/>
      <c r="AA641" s="6"/>
      <c r="AB641" s="6">
        <f>$K$641*$V$641</f>
        <v>592.87</v>
      </c>
      <c r="AC641" s="6">
        <f>$M$641*$W$641</f>
        <v>0</v>
      </c>
      <c r="AD641" s="6">
        <f>$O$641*$X$641</f>
        <v>0</v>
      </c>
      <c r="AE641" s="6">
        <f ca="1">$K$641*$Y$641</f>
        <v>679.64028709860679</v>
      </c>
      <c r="AF641" s="6">
        <f>$M$641*$Z$641</f>
        <v>0</v>
      </c>
      <c r="AG641" s="6">
        <f>$O$641*$AA$641</f>
        <v>0</v>
      </c>
    </row>
    <row r="642" spans="1:33" ht="11.25" customHeight="1" x14ac:dyDescent="0.3">
      <c r="A642" s="4" t="s">
        <v>21</v>
      </c>
      <c r="B642" s="4" t="s">
        <v>43</v>
      </c>
      <c r="C642" s="4" t="s">
        <v>41</v>
      </c>
      <c r="D642" s="4" t="s">
        <v>38</v>
      </c>
      <c r="E642" s="4" t="s">
        <v>25</v>
      </c>
      <c r="F642" s="4" t="s">
        <v>56</v>
      </c>
      <c r="G642" s="4" t="s">
        <v>25</v>
      </c>
      <c r="H642" s="4" t="s">
        <v>25</v>
      </c>
      <c r="I642" s="5">
        <v>44593</v>
      </c>
      <c r="J642" s="6">
        <v>101</v>
      </c>
      <c r="K642" s="6">
        <v>50.614991529999998</v>
      </c>
      <c r="L642" s="6">
        <v>0</v>
      </c>
      <c r="M642" s="6">
        <v>0</v>
      </c>
      <c r="N642" s="6">
        <v>0</v>
      </c>
      <c r="O642" s="6">
        <v>0</v>
      </c>
      <c r="P642" s="6">
        <v>1</v>
      </c>
      <c r="Q642" s="4" t="s">
        <v>55</v>
      </c>
      <c r="R642" s="4">
        <v>0</v>
      </c>
      <c r="S642" s="6">
        <v>13</v>
      </c>
      <c r="T642" s="6">
        <v>0</v>
      </c>
      <c r="U642" s="6">
        <v>0</v>
      </c>
      <c r="V642" s="6">
        <f>IF(ISERROR(VLOOKUP($S$642,'TAR FIN'!$A$1:$O$113,15,0)),0,VLOOKUP($S$642,'TAR FIN'!$A$1:$O$113,15,0))</f>
        <v>11.74</v>
      </c>
      <c r="W642" s="6">
        <f>IF(ISERROR(VLOOKUP($T$642,'TAR FIN'!$A$1:$O$113,15,0)),0,VLOOKUP($T$642,'TAR FIN'!$A$1:$O$113,15,0))</f>
        <v>0</v>
      </c>
      <c r="X642" s="6">
        <f>IF(ISERROR(VLOOKUP($U$642,'TAR FIN'!$A$1:$O$113,15,0)),0,VLOOKUP($U$642,'TAR FIN'!$A$1:$O$113,15,0))</f>
        <v>0</v>
      </c>
      <c r="Y642" s="6">
        <f ca="1">('TUSD BE'!$AM$28+'TUSD BF_350'!$AM$28+'TUSD CVA'!$AM$28)*1</f>
        <v>13.458223506903105</v>
      </c>
      <c r="Z642" s="6"/>
      <c r="AA642" s="6"/>
      <c r="AB642" s="6">
        <f>$K$642*$V$642</f>
        <v>594.22000056219997</v>
      </c>
      <c r="AC642" s="6">
        <f>$M$642*$W$642</f>
        <v>0</v>
      </c>
      <c r="AD642" s="6">
        <f>$O$642*$X$642</f>
        <v>0</v>
      </c>
      <c r="AE642" s="6">
        <f ca="1">$K$642*$Y$642</f>
        <v>681.18786881074755</v>
      </c>
      <c r="AF642" s="6">
        <f>$M$642*$Z$642</f>
        <v>0</v>
      </c>
      <c r="AG642" s="6">
        <f>$O$642*$AA$642</f>
        <v>0</v>
      </c>
    </row>
    <row r="643" spans="1:33" ht="11.25" customHeight="1" x14ac:dyDescent="0.3">
      <c r="A643" s="4" t="s">
        <v>21</v>
      </c>
      <c r="B643" s="4" t="s">
        <v>43</v>
      </c>
      <c r="C643" s="4" t="s">
        <v>41</v>
      </c>
      <c r="D643" s="4" t="s">
        <v>38</v>
      </c>
      <c r="E643" s="4" t="s">
        <v>25</v>
      </c>
      <c r="F643" s="4" t="s">
        <v>56</v>
      </c>
      <c r="G643" s="4" t="s">
        <v>25</v>
      </c>
      <c r="H643" s="4" t="s">
        <v>25</v>
      </c>
      <c r="I643" s="5">
        <v>44621</v>
      </c>
      <c r="J643" s="6">
        <v>101</v>
      </c>
      <c r="K643" s="6">
        <v>50.574105719999999</v>
      </c>
      <c r="L643" s="6">
        <v>0</v>
      </c>
      <c r="M643" s="6">
        <v>0</v>
      </c>
      <c r="N643" s="6">
        <v>0</v>
      </c>
      <c r="O643" s="6">
        <v>0</v>
      </c>
      <c r="P643" s="6">
        <v>1</v>
      </c>
      <c r="Q643" s="4" t="s">
        <v>55</v>
      </c>
      <c r="R643" s="4">
        <v>0</v>
      </c>
      <c r="S643" s="6">
        <v>13</v>
      </c>
      <c r="T643" s="6">
        <v>0</v>
      </c>
      <c r="U643" s="6">
        <v>0</v>
      </c>
      <c r="V643" s="6">
        <f>IF(ISERROR(VLOOKUP($S$643,'TAR FIN'!$A$1:$O$113,15,0)),0,VLOOKUP($S$643,'TAR FIN'!$A$1:$O$113,15,0))</f>
        <v>11.74</v>
      </c>
      <c r="W643" s="6">
        <f>IF(ISERROR(VLOOKUP($T$643,'TAR FIN'!$A$1:$O$113,15,0)),0,VLOOKUP($T$643,'TAR FIN'!$A$1:$O$113,15,0))</f>
        <v>0</v>
      </c>
      <c r="X643" s="6">
        <f>IF(ISERROR(VLOOKUP($U$643,'TAR FIN'!$A$1:$O$113,15,0)),0,VLOOKUP($U$643,'TAR FIN'!$A$1:$O$113,15,0))</f>
        <v>0</v>
      </c>
      <c r="Y643" s="6">
        <f ca="1">('TUSD BE'!$AM$28+'TUSD BF_350'!$AM$28+'TUSD CVA'!$AM$28)*1</f>
        <v>13.458223506903105</v>
      </c>
      <c r="Z643" s="6"/>
      <c r="AA643" s="6"/>
      <c r="AB643" s="6">
        <f>$K$643*$V$643</f>
        <v>593.74000115280001</v>
      </c>
      <c r="AC643" s="6">
        <f>$M$643*$W$643</f>
        <v>0</v>
      </c>
      <c r="AD643" s="6">
        <f>$O$643*$X$643</f>
        <v>0</v>
      </c>
      <c r="AE643" s="6">
        <f ca="1">$K$643*$Y$643</f>
        <v>680.63761844150679</v>
      </c>
      <c r="AF643" s="6">
        <f>$M$643*$Z$643</f>
        <v>0</v>
      </c>
      <c r="AG643" s="6">
        <f>$O$643*$AA$643</f>
        <v>0</v>
      </c>
    </row>
    <row r="644" spans="1:33" ht="11.25" customHeight="1" x14ac:dyDescent="0.3">
      <c r="A644" s="4" t="s">
        <v>21</v>
      </c>
      <c r="B644" s="4" t="s">
        <v>43</v>
      </c>
      <c r="C644" s="4" t="s">
        <v>41</v>
      </c>
      <c r="D644" s="4" t="s">
        <v>38</v>
      </c>
      <c r="E644" s="4" t="s">
        <v>25</v>
      </c>
      <c r="F644" s="4" t="s">
        <v>56</v>
      </c>
      <c r="G644" s="4" t="s">
        <v>25</v>
      </c>
      <c r="H644" s="4" t="s">
        <v>25</v>
      </c>
      <c r="I644" s="5">
        <v>44652</v>
      </c>
      <c r="J644" s="6">
        <v>101</v>
      </c>
      <c r="K644" s="6">
        <v>50.563032079999999</v>
      </c>
      <c r="L644" s="6">
        <v>0</v>
      </c>
      <c r="M644" s="6">
        <v>0</v>
      </c>
      <c r="N644" s="6">
        <v>0</v>
      </c>
      <c r="O644" s="6">
        <v>0</v>
      </c>
      <c r="P644" s="6">
        <v>1</v>
      </c>
      <c r="Q644" s="4" t="s">
        <v>55</v>
      </c>
      <c r="R644" s="4">
        <v>0</v>
      </c>
      <c r="S644" s="6">
        <v>13</v>
      </c>
      <c r="T644" s="6">
        <v>0</v>
      </c>
      <c r="U644" s="6">
        <v>0</v>
      </c>
      <c r="V644" s="6">
        <f>IF(ISERROR(VLOOKUP($S$644,'TAR FIN'!$A$1:$O$113,15,0)),0,VLOOKUP($S$644,'TAR FIN'!$A$1:$O$113,15,0))</f>
        <v>11.74</v>
      </c>
      <c r="W644" s="6">
        <f>IF(ISERROR(VLOOKUP($T$644,'TAR FIN'!$A$1:$O$113,15,0)),0,VLOOKUP($T$644,'TAR FIN'!$A$1:$O$113,15,0))</f>
        <v>0</v>
      </c>
      <c r="X644" s="6">
        <f>IF(ISERROR(VLOOKUP($U$644,'TAR FIN'!$A$1:$O$113,15,0)),0,VLOOKUP($U$644,'TAR FIN'!$A$1:$O$113,15,0))</f>
        <v>0</v>
      </c>
      <c r="Y644" s="6">
        <f ca="1">('TUSD BE'!$AM$28+'TUSD BF_350'!$AM$28+'TUSD CVA'!$AM$28)*1</f>
        <v>13.458223506903105</v>
      </c>
      <c r="Z644" s="6"/>
      <c r="AA644" s="6"/>
      <c r="AB644" s="6">
        <f>$K$644*$V$644</f>
        <v>593.60999661920005</v>
      </c>
      <c r="AC644" s="6">
        <f>$M$644*$W$644</f>
        <v>0</v>
      </c>
      <c r="AD644" s="6">
        <f>$O$644*$X$644</f>
        <v>0</v>
      </c>
      <c r="AE644" s="6">
        <f ca="1">$K$644*$Y$644</f>
        <v>680.48858691935175</v>
      </c>
      <c r="AF644" s="6">
        <f>$M$644*$Z$644</f>
        <v>0</v>
      </c>
      <c r="AG644" s="6">
        <f>$O$644*$AA$644</f>
        <v>0</v>
      </c>
    </row>
    <row r="645" spans="1:33" ht="11.25" customHeight="1" x14ac:dyDescent="0.3">
      <c r="A645" s="4" t="s">
        <v>21</v>
      </c>
      <c r="B645" s="4" t="s">
        <v>43</v>
      </c>
      <c r="C645" s="4" t="s">
        <v>41</v>
      </c>
      <c r="D645" s="4" t="s">
        <v>38</v>
      </c>
      <c r="E645" s="4" t="s">
        <v>25</v>
      </c>
      <c r="F645" s="4" t="s">
        <v>56</v>
      </c>
      <c r="G645" s="4" t="s">
        <v>25</v>
      </c>
      <c r="H645" s="4" t="s">
        <v>25</v>
      </c>
      <c r="I645" s="5">
        <v>44682</v>
      </c>
      <c r="J645" s="6">
        <v>101</v>
      </c>
      <c r="K645" s="6">
        <v>50.617546830000002</v>
      </c>
      <c r="L645" s="6">
        <v>0</v>
      </c>
      <c r="M645" s="6">
        <v>0</v>
      </c>
      <c r="N645" s="6">
        <v>0</v>
      </c>
      <c r="O645" s="6">
        <v>0</v>
      </c>
      <c r="P645" s="6">
        <v>1</v>
      </c>
      <c r="Q645" s="4" t="s">
        <v>55</v>
      </c>
      <c r="R645" s="4">
        <v>0</v>
      </c>
      <c r="S645" s="6">
        <v>13</v>
      </c>
      <c r="T645" s="6">
        <v>0</v>
      </c>
      <c r="U645" s="6">
        <v>0</v>
      </c>
      <c r="V645" s="6">
        <f>IF(ISERROR(VLOOKUP($S$645,'TAR FIN'!$A$1:$O$113,15,0)),0,VLOOKUP($S$645,'TAR FIN'!$A$1:$O$113,15,0))</f>
        <v>11.74</v>
      </c>
      <c r="W645" s="6">
        <f>IF(ISERROR(VLOOKUP($T$645,'TAR FIN'!$A$1:$O$113,15,0)),0,VLOOKUP($T$645,'TAR FIN'!$A$1:$O$113,15,0))</f>
        <v>0</v>
      </c>
      <c r="X645" s="6">
        <f>IF(ISERROR(VLOOKUP($U$645,'TAR FIN'!$A$1:$O$113,15,0)),0,VLOOKUP($U$645,'TAR FIN'!$A$1:$O$113,15,0))</f>
        <v>0</v>
      </c>
      <c r="Y645" s="6">
        <f ca="1">('TUSD BE'!$AM$28+'TUSD BF_350'!$AM$28+'TUSD CVA'!$AM$28)*1</f>
        <v>13.458223506903105</v>
      </c>
      <c r="Z645" s="6"/>
      <c r="AA645" s="6"/>
      <c r="AB645" s="6">
        <f>$K$645*$V$645</f>
        <v>594.24999978419999</v>
      </c>
      <c r="AC645" s="6">
        <f>$M$645*$W$645</f>
        <v>0</v>
      </c>
      <c r="AD645" s="6">
        <f>$O$645*$X$645</f>
        <v>0</v>
      </c>
      <c r="AE645" s="6">
        <f ca="1">$K$645*$Y$645</f>
        <v>681.22225860927472</v>
      </c>
      <c r="AF645" s="6">
        <f>$M$645*$Z$645</f>
        <v>0</v>
      </c>
      <c r="AG645" s="6">
        <f>$O$645*$AA$645</f>
        <v>0</v>
      </c>
    </row>
    <row r="646" spans="1:33" ht="11.25" customHeight="1" x14ac:dyDescent="0.3">
      <c r="A646" s="4" t="s">
        <v>21</v>
      </c>
      <c r="B646" s="4" t="s">
        <v>43</v>
      </c>
      <c r="C646" s="4" t="s">
        <v>41</v>
      </c>
      <c r="D646" s="4" t="s">
        <v>38</v>
      </c>
      <c r="E646" s="4" t="s">
        <v>25</v>
      </c>
      <c r="F646" s="4" t="s">
        <v>56</v>
      </c>
      <c r="G646" s="4" t="s">
        <v>25</v>
      </c>
      <c r="H646" s="4" t="s">
        <v>25</v>
      </c>
      <c r="I646" s="5">
        <v>44713</v>
      </c>
      <c r="J646" s="6">
        <v>101</v>
      </c>
      <c r="K646" s="6">
        <v>56.66269175</v>
      </c>
      <c r="L646" s="6">
        <v>0</v>
      </c>
      <c r="M646" s="6">
        <v>0</v>
      </c>
      <c r="N646" s="6">
        <v>0</v>
      </c>
      <c r="O646" s="6">
        <v>0</v>
      </c>
      <c r="P646" s="6">
        <v>1</v>
      </c>
      <c r="Q646" s="4" t="s">
        <v>55</v>
      </c>
      <c r="R646" s="4">
        <v>0</v>
      </c>
      <c r="S646" s="6">
        <v>13</v>
      </c>
      <c r="T646" s="6">
        <v>0</v>
      </c>
      <c r="U646" s="6">
        <v>0</v>
      </c>
      <c r="V646" s="6">
        <f>IF(ISERROR(VLOOKUP($S$646,'TAR FIN'!$A$1:$O$113,15,0)),0,VLOOKUP($S$646,'TAR FIN'!$A$1:$O$113,15,0))</f>
        <v>11.74</v>
      </c>
      <c r="W646" s="6">
        <f>IF(ISERROR(VLOOKUP($T$646,'TAR FIN'!$A$1:$O$113,15,0)),0,VLOOKUP($T$646,'TAR FIN'!$A$1:$O$113,15,0))</f>
        <v>0</v>
      </c>
      <c r="X646" s="6">
        <f>IF(ISERROR(VLOOKUP($U$646,'TAR FIN'!$A$1:$O$113,15,0)),0,VLOOKUP($U$646,'TAR FIN'!$A$1:$O$113,15,0))</f>
        <v>0</v>
      </c>
      <c r="Y646" s="6">
        <f ca="1">('TUSD BE'!$AM$28+'TUSD BF_350'!$AM$28+'TUSD CVA'!$AM$28)*1</f>
        <v>13.458223506903105</v>
      </c>
      <c r="Z646" s="6"/>
      <c r="AA646" s="6"/>
      <c r="AB646" s="6">
        <f>$K$646*$V$646</f>
        <v>665.22000114499997</v>
      </c>
      <c r="AC646" s="6">
        <f>$M$646*$W$646</f>
        <v>0</v>
      </c>
      <c r="AD646" s="6">
        <f>$O$646*$X$646</f>
        <v>0</v>
      </c>
      <c r="AE646" s="6">
        <f ca="1">$K$646*$Y$646</f>
        <v>762.57917007425465</v>
      </c>
      <c r="AF646" s="6">
        <f>$M$646*$Z$646</f>
        <v>0</v>
      </c>
      <c r="AG646" s="6">
        <f>$O$646*$AA$646</f>
        <v>0</v>
      </c>
    </row>
    <row r="647" spans="1:33" ht="11.25" customHeight="1" x14ac:dyDescent="0.3">
      <c r="A647" s="4" t="s">
        <v>21</v>
      </c>
      <c r="B647" s="4" t="s">
        <v>43</v>
      </c>
      <c r="C647" s="4" t="s">
        <v>41</v>
      </c>
      <c r="D647" s="4" t="s">
        <v>38</v>
      </c>
      <c r="E647" s="4" t="s">
        <v>25</v>
      </c>
      <c r="F647" s="4" t="s">
        <v>56</v>
      </c>
      <c r="G647" s="4" t="s">
        <v>25</v>
      </c>
      <c r="H647" s="4" t="s">
        <v>25</v>
      </c>
      <c r="I647" s="5">
        <v>44743</v>
      </c>
      <c r="J647" s="6">
        <v>101</v>
      </c>
      <c r="K647" s="6">
        <v>50.520443409999999</v>
      </c>
      <c r="L647" s="6">
        <v>0</v>
      </c>
      <c r="M647" s="6">
        <v>0</v>
      </c>
      <c r="N647" s="6">
        <v>0</v>
      </c>
      <c r="O647" s="6">
        <v>0</v>
      </c>
      <c r="P647" s="6">
        <v>1</v>
      </c>
      <c r="Q647" s="4" t="s">
        <v>55</v>
      </c>
      <c r="R647" s="4">
        <v>0</v>
      </c>
      <c r="S647" s="6">
        <v>13</v>
      </c>
      <c r="T647" s="6">
        <v>0</v>
      </c>
      <c r="U647" s="6">
        <v>0</v>
      </c>
      <c r="V647" s="6">
        <f>IF(ISERROR(VLOOKUP($S$647,'TAR FIN'!$A$1:$O$113,15,0)),0,VLOOKUP($S$647,'TAR FIN'!$A$1:$O$113,15,0))</f>
        <v>11.74</v>
      </c>
      <c r="W647" s="6">
        <f>IF(ISERROR(VLOOKUP($T$647,'TAR FIN'!$A$1:$O$113,15,0)),0,VLOOKUP($T$647,'TAR FIN'!$A$1:$O$113,15,0))</f>
        <v>0</v>
      </c>
      <c r="X647" s="6">
        <f>IF(ISERROR(VLOOKUP($U$647,'TAR FIN'!$A$1:$O$113,15,0)),0,VLOOKUP($U$647,'TAR FIN'!$A$1:$O$113,15,0))</f>
        <v>0</v>
      </c>
      <c r="Y647" s="6">
        <f ca="1">('TUSD BE'!$AM$28+'TUSD BF_350'!$AM$28+'TUSD CVA'!$AM$28)*1</f>
        <v>13.458223506903105</v>
      </c>
      <c r="Z647" s="6"/>
      <c r="AA647" s="6"/>
      <c r="AB647" s="6">
        <f>$K$647*$V$647</f>
        <v>593.11000563339996</v>
      </c>
      <c r="AC647" s="6">
        <f>$M$647*$W$647</f>
        <v>0</v>
      </c>
      <c r="AD647" s="6">
        <f>$O$647*$X$647</f>
        <v>0</v>
      </c>
      <c r="AE647" s="6">
        <f ca="1">$K$647*$Y$647</f>
        <v>679.91541907963006</v>
      </c>
      <c r="AF647" s="6">
        <f>$M$647*$Z$647</f>
        <v>0</v>
      </c>
      <c r="AG647" s="6">
        <f>$O$647*$AA$647</f>
        <v>0</v>
      </c>
    </row>
    <row r="648" spans="1:33" ht="11.25" customHeight="1" x14ac:dyDescent="0.3">
      <c r="A648" s="4" t="s">
        <v>21</v>
      </c>
      <c r="B648" s="4" t="s">
        <v>43</v>
      </c>
      <c r="C648" s="4" t="s">
        <v>41</v>
      </c>
      <c r="D648" s="4" t="s">
        <v>38</v>
      </c>
      <c r="E648" s="4" t="s">
        <v>25</v>
      </c>
      <c r="F648" s="4" t="s">
        <v>56</v>
      </c>
      <c r="G648" s="4" t="s">
        <v>25</v>
      </c>
      <c r="H648" s="4" t="s">
        <v>25</v>
      </c>
      <c r="I648" s="5">
        <v>44774</v>
      </c>
      <c r="J648" s="6">
        <v>101</v>
      </c>
      <c r="K648" s="6">
        <v>47.413117810000003</v>
      </c>
      <c r="L648" s="6">
        <v>0</v>
      </c>
      <c r="M648" s="6">
        <v>0</v>
      </c>
      <c r="N648" s="6">
        <v>0</v>
      </c>
      <c r="O648" s="6">
        <v>0</v>
      </c>
      <c r="P648" s="6">
        <v>1</v>
      </c>
      <c r="Q648" s="4" t="s">
        <v>55</v>
      </c>
      <c r="R648" s="4">
        <v>0</v>
      </c>
      <c r="S648" s="6">
        <v>13</v>
      </c>
      <c r="T648" s="6">
        <v>0</v>
      </c>
      <c r="U648" s="6">
        <v>0</v>
      </c>
      <c r="V648" s="6">
        <f>IF(ISERROR(VLOOKUP($S$648,'TAR FIN'!$A$1:$O$113,15,0)),0,VLOOKUP($S$648,'TAR FIN'!$A$1:$O$113,15,0))</f>
        <v>11.74</v>
      </c>
      <c r="W648" s="6">
        <f>IF(ISERROR(VLOOKUP($T$648,'TAR FIN'!$A$1:$O$113,15,0)),0,VLOOKUP($T$648,'TAR FIN'!$A$1:$O$113,15,0))</f>
        <v>0</v>
      </c>
      <c r="X648" s="6">
        <f>IF(ISERROR(VLOOKUP($U$648,'TAR FIN'!$A$1:$O$113,15,0)),0,VLOOKUP($U$648,'TAR FIN'!$A$1:$O$113,15,0))</f>
        <v>0</v>
      </c>
      <c r="Y648" s="6">
        <f ca="1">('TUSD BE'!$AM$28+'TUSD BF_350'!$AM$28+'TUSD CVA'!$AM$28)*1</f>
        <v>13.458223506903105</v>
      </c>
      <c r="Z648" s="6"/>
      <c r="AA648" s="6"/>
      <c r="AB648" s="6">
        <f>$K$648*$V$648</f>
        <v>556.63000308940002</v>
      </c>
      <c r="AC648" s="6">
        <f>$M$648*$W$648</f>
        <v>0</v>
      </c>
      <c r="AD648" s="6">
        <f>$O$648*$X$648</f>
        <v>0</v>
      </c>
      <c r="AE648" s="6">
        <f ca="1">$K$648*$Y$648</f>
        <v>638.09633664610828</v>
      </c>
      <c r="AF648" s="6">
        <f>$M$648*$Z$648</f>
        <v>0</v>
      </c>
      <c r="AG648" s="6">
        <f>$O$648*$AA$648</f>
        <v>0</v>
      </c>
    </row>
    <row r="649" spans="1:33" ht="11.25" customHeight="1" x14ac:dyDescent="0.3">
      <c r="A649" s="4" t="s">
        <v>21</v>
      </c>
      <c r="B649" s="4" t="s">
        <v>43</v>
      </c>
      <c r="C649" s="4" t="s">
        <v>41</v>
      </c>
      <c r="D649" s="4" t="s">
        <v>38</v>
      </c>
      <c r="E649" s="4" t="s">
        <v>25</v>
      </c>
      <c r="F649" s="4" t="s">
        <v>56</v>
      </c>
      <c r="G649" s="4" t="s">
        <v>25</v>
      </c>
      <c r="H649" s="4" t="s">
        <v>25</v>
      </c>
      <c r="I649" s="5">
        <v>44805</v>
      </c>
      <c r="J649" s="6">
        <v>101</v>
      </c>
      <c r="K649" s="6">
        <v>50.495740830000003</v>
      </c>
      <c r="L649" s="6">
        <v>0</v>
      </c>
      <c r="M649" s="6">
        <v>0</v>
      </c>
      <c r="N649" s="6">
        <v>0</v>
      </c>
      <c r="O649" s="6">
        <v>0</v>
      </c>
      <c r="P649" s="6">
        <v>1</v>
      </c>
      <c r="Q649" s="4" t="s">
        <v>55</v>
      </c>
      <c r="R649" s="4">
        <v>0</v>
      </c>
      <c r="S649" s="6">
        <v>13</v>
      </c>
      <c r="T649" s="6">
        <v>0</v>
      </c>
      <c r="U649" s="6">
        <v>0</v>
      </c>
      <c r="V649" s="6">
        <f>IF(ISERROR(VLOOKUP($S$649,'TAR FIN'!$A$1:$O$113,15,0)),0,VLOOKUP($S$649,'TAR FIN'!$A$1:$O$113,15,0))</f>
        <v>11.74</v>
      </c>
      <c r="W649" s="6">
        <f>IF(ISERROR(VLOOKUP($T$649,'TAR FIN'!$A$1:$O$113,15,0)),0,VLOOKUP($T$649,'TAR FIN'!$A$1:$O$113,15,0))</f>
        <v>0</v>
      </c>
      <c r="X649" s="6">
        <f>IF(ISERROR(VLOOKUP($U$649,'TAR FIN'!$A$1:$O$113,15,0)),0,VLOOKUP($U$649,'TAR FIN'!$A$1:$O$113,15,0))</f>
        <v>0</v>
      </c>
      <c r="Y649" s="6">
        <f ca="1">('TUSD BE'!$AM$28+'TUSD BF_350'!$AM$28+'TUSD CVA'!$AM$28)*1</f>
        <v>13.458223506903105</v>
      </c>
      <c r="Z649" s="6"/>
      <c r="AA649" s="6"/>
      <c r="AB649" s="6">
        <f>$K$649*$V$649</f>
        <v>592.81999734420003</v>
      </c>
      <c r="AC649" s="6">
        <f>$M$649*$W$649</f>
        <v>0</v>
      </c>
      <c r="AD649" s="6">
        <f>$O$649*$X$649</f>
        <v>0</v>
      </c>
      <c r="AE649" s="6">
        <f ca="1">$K$649*$Y$649</f>
        <v>679.58296623679291</v>
      </c>
      <c r="AF649" s="6">
        <f>$M$649*$Z$649</f>
        <v>0</v>
      </c>
      <c r="AG649" s="6">
        <f>$O$649*$AA$649</f>
        <v>0</v>
      </c>
    </row>
    <row r="650" spans="1:33" ht="11.25" customHeight="1" x14ac:dyDescent="0.3">
      <c r="A650" s="4" t="s">
        <v>53</v>
      </c>
      <c r="B650" s="4" t="s">
        <v>43</v>
      </c>
      <c r="C650" s="4" t="s">
        <v>41</v>
      </c>
      <c r="D650" s="4" t="s">
        <v>38</v>
      </c>
      <c r="E650" s="4" t="s">
        <v>25</v>
      </c>
      <c r="F650" s="4" t="s">
        <v>56</v>
      </c>
      <c r="G650" s="4" t="s">
        <v>25</v>
      </c>
      <c r="H650" s="4" t="s">
        <v>25</v>
      </c>
      <c r="I650" s="5">
        <v>44835</v>
      </c>
      <c r="J650" s="6">
        <v>101</v>
      </c>
      <c r="K650" s="6">
        <v>50.495740830000003</v>
      </c>
      <c r="L650" s="6">
        <v>0</v>
      </c>
      <c r="M650" s="6">
        <v>0</v>
      </c>
      <c r="N650" s="6">
        <v>0</v>
      </c>
      <c r="O650" s="6">
        <v>0</v>
      </c>
      <c r="P650" s="6">
        <v>1</v>
      </c>
      <c r="Q650" s="4" t="s">
        <v>55</v>
      </c>
      <c r="R650" s="4">
        <v>0</v>
      </c>
      <c r="S650" s="6">
        <v>13</v>
      </c>
      <c r="T650" s="6">
        <v>0</v>
      </c>
      <c r="U650" s="6">
        <v>0</v>
      </c>
      <c r="V650" s="6">
        <f>IF(ISERROR(VLOOKUP($S$650,'TAR FIN'!$A$1:$O$113,15,0)),0,VLOOKUP($S$650,'TAR FIN'!$A$1:$O$113,15,0))</f>
        <v>11.74</v>
      </c>
      <c r="W650" s="6">
        <f>IF(ISERROR(VLOOKUP($T$650,'TAR FIN'!$A$1:$O$113,15,0)),0,VLOOKUP($T$650,'TAR FIN'!$A$1:$O$113,15,0))</f>
        <v>0</v>
      </c>
      <c r="X650" s="6">
        <f>IF(ISERROR(VLOOKUP($U$650,'TAR FIN'!$A$1:$O$113,15,0)),0,VLOOKUP($U$650,'TAR FIN'!$A$1:$O$113,15,0))</f>
        <v>0</v>
      </c>
      <c r="Y650" s="6">
        <f ca="1">('TUSD BE'!$AM$28+'TUSD BF_350'!$AM$28+'TUSD CVA'!$AM$28)*1</f>
        <v>13.458223506903105</v>
      </c>
      <c r="Z650" s="6"/>
      <c r="AA650" s="6"/>
      <c r="AB650" s="6">
        <f>$K$650*$V$650</f>
        <v>592.81999734420003</v>
      </c>
      <c r="AC650" s="6">
        <f>$M$650*$W$650</f>
        <v>0</v>
      </c>
      <c r="AD650" s="6">
        <f>$O$650*$X$650</f>
        <v>0</v>
      </c>
      <c r="AE650" s="6">
        <f ca="1">$K$650*$Y$650</f>
        <v>679.58296623679291</v>
      </c>
      <c r="AF650" s="6">
        <f>$M$650*$Z$650</f>
        <v>0</v>
      </c>
      <c r="AG650" s="6">
        <f>$O$650*$AA$650</f>
        <v>0</v>
      </c>
    </row>
    <row r="651" spans="1:33" ht="11.25" customHeight="1" x14ac:dyDescent="0.3">
      <c r="A651" s="4" t="s">
        <v>21</v>
      </c>
      <c r="B651" s="4" t="s">
        <v>43</v>
      </c>
      <c r="C651" s="4" t="s">
        <v>41</v>
      </c>
      <c r="D651" s="4" t="s">
        <v>38</v>
      </c>
      <c r="E651" s="4" t="s">
        <v>25</v>
      </c>
      <c r="F651" s="4" t="s">
        <v>56</v>
      </c>
      <c r="G651" s="4" t="s">
        <v>25</v>
      </c>
      <c r="H651" s="4" t="s">
        <v>34</v>
      </c>
      <c r="I651" s="5">
        <v>44531</v>
      </c>
      <c r="J651" s="6">
        <v>0</v>
      </c>
      <c r="K651" s="6">
        <v>0</v>
      </c>
      <c r="L651" s="6">
        <v>3.5529999999999999</v>
      </c>
      <c r="M651" s="6">
        <v>1.8846817795299999</v>
      </c>
      <c r="N651" s="6">
        <v>0</v>
      </c>
      <c r="O651" s="6">
        <v>0</v>
      </c>
      <c r="P651" s="6">
        <v>0</v>
      </c>
      <c r="Q651" s="4" t="s">
        <v>55</v>
      </c>
      <c r="R651" s="4">
        <v>0</v>
      </c>
      <c r="S651" s="6">
        <v>0</v>
      </c>
      <c r="T651" s="6">
        <v>32</v>
      </c>
      <c r="U651" s="6">
        <v>0</v>
      </c>
      <c r="V651" s="6">
        <f>IF(ISERROR(VLOOKUP($S$651,'TAR FIN'!$A$1:$O$113,15,0)),0,VLOOKUP($S$651,'TAR FIN'!$A$1:$O$113,15,0))</f>
        <v>0</v>
      </c>
      <c r="W651" s="6">
        <f>IF(ISERROR(VLOOKUP($T$651,'TAR FIN'!$A$1:$O$113,15,0)),0,VLOOKUP($T$651,'TAR FIN'!$A$1:$O$113,15,0))</f>
        <v>1604.46</v>
      </c>
      <c r="X651" s="6">
        <f>IF(ISERROR(VLOOKUP($U$651,'TAR FIN'!$A$1:$O$113,15,0)),0,VLOOKUP($U$651,'TAR FIN'!$A$1:$O$113,15,0))</f>
        <v>0</v>
      </c>
      <c r="Y651" s="6"/>
      <c r="Z651" s="6">
        <f ca="1">('TUSD BE'!$AM$29+'TUSD BF_350'!$AM$29+'TUSD CVA'!$AM$29)*1</f>
        <v>1888.1712570698433</v>
      </c>
      <c r="AA651" s="6"/>
      <c r="AB651" s="6">
        <f>$K$651*$V$651</f>
        <v>0</v>
      </c>
      <c r="AC651" s="6">
        <f>$M$651*$W$651</f>
        <v>3023.8965279847039</v>
      </c>
      <c r="AD651" s="6">
        <f>$O$651*$X$651</f>
        <v>0</v>
      </c>
      <c r="AE651" s="6">
        <f>$K$651*$Y$651</f>
        <v>0</v>
      </c>
      <c r="AF651" s="6">
        <f ca="1">$M$651*$Z$651</f>
        <v>3558.6019648317892</v>
      </c>
      <c r="AG651" s="6">
        <f>$O$651*$AA$651</f>
        <v>0</v>
      </c>
    </row>
    <row r="652" spans="1:33" ht="11.25" customHeight="1" x14ac:dyDescent="0.3">
      <c r="A652" s="4" t="s">
        <v>21</v>
      </c>
      <c r="B652" s="4" t="s">
        <v>43</v>
      </c>
      <c r="C652" s="4" t="s">
        <v>41</v>
      </c>
      <c r="D652" s="4" t="s">
        <v>38</v>
      </c>
      <c r="E652" s="4" t="s">
        <v>25</v>
      </c>
      <c r="F652" s="4" t="s">
        <v>56</v>
      </c>
      <c r="G652" s="4" t="s">
        <v>25</v>
      </c>
      <c r="H652" s="4" t="s">
        <v>34</v>
      </c>
      <c r="I652" s="5">
        <v>44562</v>
      </c>
      <c r="J652" s="6">
        <v>0</v>
      </c>
      <c r="K652" s="6">
        <v>0</v>
      </c>
      <c r="L652" s="6">
        <v>4.0090000000000003</v>
      </c>
      <c r="M652" s="6">
        <v>2.13658183697</v>
      </c>
      <c r="N652" s="6">
        <v>0</v>
      </c>
      <c r="O652" s="6">
        <v>0</v>
      </c>
      <c r="P652" s="6">
        <v>0</v>
      </c>
      <c r="Q652" s="4" t="s">
        <v>55</v>
      </c>
      <c r="R652" s="4">
        <v>0</v>
      </c>
      <c r="S652" s="6">
        <v>0</v>
      </c>
      <c r="T652" s="6">
        <v>32</v>
      </c>
      <c r="U652" s="6">
        <v>0</v>
      </c>
      <c r="V652" s="6">
        <f>IF(ISERROR(VLOOKUP($S$652,'TAR FIN'!$A$1:$O$113,15,0)),0,VLOOKUP($S$652,'TAR FIN'!$A$1:$O$113,15,0))</f>
        <v>0</v>
      </c>
      <c r="W652" s="6">
        <f>IF(ISERROR(VLOOKUP($T$652,'TAR FIN'!$A$1:$O$113,15,0)),0,VLOOKUP($T$652,'TAR FIN'!$A$1:$O$113,15,0))</f>
        <v>1604.46</v>
      </c>
      <c r="X652" s="6">
        <f>IF(ISERROR(VLOOKUP($U$652,'TAR FIN'!$A$1:$O$113,15,0)),0,VLOOKUP($U$652,'TAR FIN'!$A$1:$O$113,15,0))</f>
        <v>0</v>
      </c>
      <c r="Y652" s="6"/>
      <c r="Z652" s="6">
        <f ca="1">('TUSD BE'!$AM$29+'TUSD BF_350'!$AM$29+'TUSD CVA'!$AM$29)*1</f>
        <v>1888.1712570698433</v>
      </c>
      <c r="AA652" s="6"/>
      <c r="AB652" s="6">
        <f>$K$652*$V$652</f>
        <v>0</v>
      </c>
      <c r="AC652" s="6">
        <f>$M$652*$W$652</f>
        <v>3428.0600941448865</v>
      </c>
      <c r="AD652" s="6">
        <f>$O$652*$X$652</f>
        <v>0</v>
      </c>
      <c r="AE652" s="6">
        <f>$K$652*$Y$652</f>
        <v>0</v>
      </c>
      <c r="AF652" s="6">
        <f ca="1">$M$652*$Z$652</f>
        <v>4034.23241294424</v>
      </c>
      <c r="AG652" s="6">
        <f>$O$652*$AA$652</f>
        <v>0</v>
      </c>
    </row>
    <row r="653" spans="1:33" ht="11.25" customHeight="1" x14ac:dyDescent="0.3">
      <c r="A653" s="4" t="s">
        <v>21</v>
      </c>
      <c r="B653" s="4" t="s">
        <v>43</v>
      </c>
      <c r="C653" s="4" t="s">
        <v>41</v>
      </c>
      <c r="D653" s="4" t="s">
        <v>38</v>
      </c>
      <c r="E653" s="4" t="s">
        <v>25</v>
      </c>
      <c r="F653" s="4" t="s">
        <v>56</v>
      </c>
      <c r="G653" s="4" t="s">
        <v>25</v>
      </c>
      <c r="H653" s="4" t="s">
        <v>34</v>
      </c>
      <c r="I653" s="5">
        <v>44593</v>
      </c>
      <c r="J653" s="6">
        <v>0</v>
      </c>
      <c r="K653" s="6">
        <v>0</v>
      </c>
      <c r="L653" s="6">
        <v>3.74</v>
      </c>
      <c r="M653" s="6">
        <v>1.997052101</v>
      </c>
      <c r="N653" s="6">
        <v>0</v>
      </c>
      <c r="O653" s="6">
        <v>0</v>
      </c>
      <c r="P653" s="6">
        <v>0</v>
      </c>
      <c r="Q653" s="4" t="s">
        <v>55</v>
      </c>
      <c r="R653" s="4">
        <v>0</v>
      </c>
      <c r="S653" s="6">
        <v>0</v>
      </c>
      <c r="T653" s="6">
        <v>32</v>
      </c>
      <c r="U653" s="6">
        <v>0</v>
      </c>
      <c r="V653" s="6">
        <f>IF(ISERROR(VLOOKUP($S$653,'TAR FIN'!$A$1:$O$113,15,0)),0,VLOOKUP($S$653,'TAR FIN'!$A$1:$O$113,15,0))</f>
        <v>0</v>
      </c>
      <c r="W653" s="6">
        <f>IF(ISERROR(VLOOKUP($T$653,'TAR FIN'!$A$1:$O$113,15,0)),0,VLOOKUP($T$653,'TAR FIN'!$A$1:$O$113,15,0))</f>
        <v>1604.46</v>
      </c>
      <c r="X653" s="6">
        <f>IF(ISERROR(VLOOKUP($U$653,'TAR FIN'!$A$1:$O$113,15,0)),0,VLOOKUP($U$653,'TAR FIN'!$A$1:$O$113,15,0))</f>
        <v>0</v>
      </c>
      <c r="Y653" s="6"/>
      <c r="Z653" s="6">
        <f ca="1">('TUSD BE'!$AM$29+'TUSD BF_350'!$AM$29+'TUSD CVA'!$AM$29)*1</f>
        <v>1888.1712570698433</v>
      </c>
      <c r="AA653" s="6"/>
      <c r="AB653" s="6">
        <f>$K$653*$V$653</f>
        <v>0</v>
      </c>
      <c r="AC653" s="6">
        <f>$M$653*$W$653</f>
        <v>3204.1902139704598</v>
      </c>
      <c r="AD653" s="6">
        <f>$O$653*$X$653</f>
        <v>0</v>
      </c>
      <c r="AE653" s="6">
        <f>$K$653*$Y$653</f>
        <v>0</v>
      </c>
      <c r="AF653" s="6">
        <f ca="1">$M$653*$Z$653</f>
        <v>3770.7763759791414</v>
      </c>
      <c r="AG653" s="6">
        <f>$O$653*$AA$653</f>
        <v>0</v>
      </c>
    </row>
    <row r="654" spans="1:33" ht="11.25" customHeight="1" x14ac:dyDescent="0.3">
      <c r="A654" s="4" t="s">
        <v>21</v>
      </c>
      <c r="B654" s="4" t="s">
        <v>43</v>
      </c>
      <c r="C654" s="4" t="s">
        <v>41</v>
      </c>
      <c r="D654" s="4" t="s">
        <v>38</v>
      </c>
      <c r="E654" s="4" t="s">
        <v>25</v>
      </c>
      <c r="F654" s="4" t="s">
        <v>56</v>
      </c>
      <c r="G654" s="4" t="s">
        <v>25</v>
      </c>
      <c r="H654" s="4" t="s">
        <v>34</v>
      </c>
      <c r="I654" s="5">
        <v>44621</v>
      </c>
      <c r="J654" s="6">
        <v>0</v>
      </c>
      <c r="K654" s="6">
        <v>0</v>
      </c>
      <c r="L654" s="6">
        <v>3.448</v>
      </c>
      <c r="M654" s="6">
        <v>1.84013581184</v>
      </c>
      <c r="N654" s="6">
        <v>0</v>
      </c>
      <c r="O654" s="6">
        <v>0</v>
      </c>
      <c r="P654" s="6">
        <v>0</v>
      </c>
      <c r="Q654" s="4" t="s">
        <v>55</v>
      </c>
      <c r="R654" s="4">
        <v>0</v>
      </c>
      <c r="S654" s="6">
        <v>0</v>
      </c>
      <c r="T654" s="6">
        <v>32</v>
      </c>
      <c r="U654" s="6">
        <v>0</v>
      </c>
      <c r="V654" s="6">
        <f>IF(ISERROR(VLOOKUP($S$654,'TAR FIN'!$A$1:$O$113,15,0)),0,VLOOKUP($S$654,'TAR FIN'!$A$1:$O$113,15,0))</f>
        <v>0</v>
      </c>
      <c r="W654" s="6">
        <f>IF(ISERROR(VLOOKUP($T$654,'TAR FIN'!$A$1:$O$113,15,0)),0,VLOOKUP($T$654,'TAR FIN'!$A$1:$O$113,15,0))</f>
        <v>1604.46</v>
      </c>
      <c r="X654" s="6">
        <f>IF(ISERROR(VLOOKUP($U$654,'TAR FIN'!$A$1:$O$113,15,0)),0,VLOOKUP($U$654,'TAR FIN'!$A$1:$O$113,15,0))</f>
        <v>0</v>
      </c>
      <c r="Y654" s="6"/>
      <c r="Z654" s="6">
        <f ca="1">('TUSD BE'!$AM$29+'TUSD BF_350'!$AM$29+'TUSD CVA'!$AM$29)*1</f>
        <v>1888.1712570698433</v>
      </c>
      <c r="AA654" s="6"/>
      <c r="AB654" s="6">
        <f>$K$654*$V$654</f>
        <v>0</v>
      </c>
      <c r="AC654" s="6">
        <f>$M$654*$W$654</f>
        <v>2952.4243046648066</v>
      </c>
      <c r="AD654" s="6">
        <f>$O$654*$X$654</f>
        <v>0</v>
      </c>
      <c r="AE654" s="6">
        <f>$K$654*$Y$654</f>
        <v>0</v>
      </c>
      <c r="AF654" s="6">
        <f ca="1">$M$654*$Z$654</f>
        <v>3474.4915490211692</v>
      </c>
      <c r="AG654" s="6">
        <f>$O$654*$AA$654</f>
        <v>0</v>
      </c>
    </row>
    <row r="655" spans="1:33" ht="11.25" customHeight="1" x14ac:dyDescent="0.3">
      <c r="A655" s="4" t="s">
        <v>21</v>
      </c>
      <c r="B655" s="4" t="s">
        <v>43</v>
      </c>
      <c r="C655" s="4" t="s">
        <v>41</v>
      </c>
      <c r="D655" s="4" t="s">
        <v>38</v>
      </c>
      <c r="E655" s="4" t="s">
        <v>25</v>
      </c>
      <c r="F655" s="4" t="s">
        <v>56</v>
      </c>
      <c r="G655" s="4" t="s">
        <v>25</v>
      </c>
      <c r="H655" s="4" t="s">
        <v>34</v>
      </c>
      <c r="I655" s="5">
        <v>44652</v>
      </c>
      <c r="J655" s="6">
        <v>0</v>
      </c>
      <c r="K655" s="6">
        <v>0</v>
      </c>
      <c r="L655" s="6">
        <v>4.17</v>
      </c>
      <c r="M655" s="6">
        <v>2.2247637216</v>
      </c>
      <c r="N655" s="6">
        <v>0</v>
      </c>
      <c r="O655" s="6">
        <v>0</v>
      </c>
      <c r="P655" s="6">
        <v>0</v>
      </c>
      <c r="Q655" s="4" t="s">
        <v>55</v>
      </c>
      <c r="R655" s="4">
        <v>0</v>
      </c>
      <c r="S655" s="6">
        <v>0</v>
      </c>
      <c r="T655" s="6">
        <v>32</v>
      </c>
      <c r="U655" s="6">
        <v>0</v>
      </c>
      <c r="V655" s="6">
        <f>IF(ISERROR(VLOOKUP($S$655,'TAR FIN'!$A$1:$O$113,15,0)),0,VLOOKUP($S$655,'TAR FIN'!$A$1:$O$113,15,0))</f>
        <v>0</v>
      </c>
      <c r="W655" s="6">
        <f>IF(ISERROR(VLOOKUP($T$655,'TAR FIN'!$A$1:$O$113,15,0)),0,VLOOKUP($T$655,'TAR FIN'!$A$1:$O$113,15,0))</f>
        <v>1604.46</v>
      </c>
      <c r="X655" s="6">
        <f>IF(ISERROR(VLOOKUP($U$655,'TAR FIN'!$A$1:$O$113,15,0)),0,VLOOKUP($U$655,'TAR FIN'!$A$1:$O$113,15,0))</f>
        <v>0</v>
      </c>
      <c r="Y655" s="6"/>
      <c r="Z655" s="6">
        <f ca="1">('TUSD BE'!$AM$29+'TUSD BF_350'!$AM$29+'TUSD CVA'!$AM$29)*1</f>
        <v>1888.1712570698433</v>
      </c>
      <c r="AA655" s="6"/>
      <c r="AB655" s="6">
        <f>$K$655*$V$655</f>
        <v>0</v>
      </c>
      <c r="AC655" s="6">
        <f>$M$655*$W$655</f>
        <v>3569.544400758336</v>
      </c>
      <c r="AD655" s="6">
        <f>$O$655*$X$655</f>
        <v>0</v>
      </c>
      <c r="AE655" s="6">
        <f>$K$655*$Y$655</f>
        <v>0</v>
      </c>
      <c r="AF655" s="6">
        <f ca="1">$M$655*$Z$655</f>
        <v>4200.7349128968544</v>
      </c>
      <c r="AG655" s="6">
        <f>$O$655*$AA$655</f>
        <v>0</v>
      </c>
    </row>
    <row r="656" spans="1:33" ht="11.25" customHeight="1" x14ac:dyDescent="0.3">
      <c r="A656" s="4" t="s">
        <v>21</v>
      </c>
      <c r="B656" s="4" t="s">
        <v>43</v>
      </c>
      <c r="C656" s="4" t="s">
        <v>41</v>
      </c>
      <c r="D656" s="4" t="s">
        <v>38</v>
      </c>
      <c r="E656" s="4" t="s">
        <v>25</v>
      </c>
      <c r="F656" s="4" t="s">
        <v>56</v>
      </c>
      <c r="G656" s="4" t="s">
        <v>25</v>
      </c>
      <c r="H656" s="4" t="s">
        <v>34</v>
      </c>
      <c r="I656" s="5">
        <v>44682</v>
      </c>
      <c r="J656" s="6">
        <v>0</v>
      </c>
      <c r="K656" s="6">
        <v>0</v>
      </c>
      <c r="L656" s="6">
        <v>3.2719999999999998</v>
      </c>
      <c r="M656" s="6">
        <v>1.74741762048</v>
      </c>
      <c r="N656" s="6">
        <v>0</v>
      </c>
      <c r="O656" s="6">
        <v>0</v>
      </c>
      <c r="P656" s="6">
        <v>0</v>
      </c>
      <c r="Q656" s="4" t="s">
        <v>55</v>
      </c>
      <c r="R656" s="4">
        <v>0</v>
      </c>
      <c r="S656" s="6">
        <v>0</v>
      </c>
      <c r="T656" s="6">
        <v>32</v>
      </c>
      <c r="U656" s="6">
        <v>0</v>
      </c>
      <c r="V656" s="6">
        <f>IF(ISERROR(VLOOKUP($S$656,'TAR FIN'!$A$1:$O$113,15,0)),0,VLOOKUP($S$656,'TAR FIN'!$A$1:$O$113,15,0))</f>
        <v>0</v>
      </c>
      <c r="W656" s="6">
        <f>IF(ISERROR(VLOOKUP($T$656,'TAR FIN'!$A$1:$O$113,15,0)),0,VLOOKUP($T$656,'TAR FIN'!$A$1:$O$113,15,0))</f>
        <v>1604.46</v>
      </c>
      <c r="X656" s="6">
        <f>IF(ISERROR(VLOOKUP($U$656,'TAR FIN'!$A$1:$O$113,15,0)),0,VLOOKUP($U$656,'TAR FIN'!$A$1:$O$113,15,0))</f>
        <v>0</v>
      </c>
      <c r="Y656" s="6"/>
      <c r="Z656" s="6">
        <f ca="1">('TUSD BE'!$AM$29+'TUSD BF_350'!$AM$29+'TUSD CVA'!$AM$29)*1</f>
        <v>1888.1712570698433</v>
      </c>
      <c r="AA656" s="6"/>
      <c r="AB656" s="6">
        <f>$K$656*$V$656</f>
        <v>0</v>
      </c>
      <c r="AC656" s="6">
        <f>$M$656*$W$656</f>
        <v>2803.6616753553408</v>
      </c>
      <c r="AD656" s="6">
        <f>$O$656*$X$656</f>
        <v>0</v>
      </c>
      <c r="AE656" s="6">
        <f>$K$656*$Y$656</f>
        <v>0</v>
      </c>
      <c r="AF656" s="6">
        <f ca="1">$M$656*$Z$656</f>
        <v>3299.4237250877159</v>
      </c>
      <c r="AG656" s="6">
        <f>$O$656*$AA$656</f>
        <v>0</v>
      </c>
    </row>
    <row r="657" spans="1:33" ht="11.25" customHeight="1" x14ac:dyDescent="0.3">
      <c r="A657" s="4" t="s">
        <v>21</v>
      </c>
      <c r="B657" s="4" t="s">
        <v>43</v>
      </c>
      <c r="C657" s="4" t="s">
        <v>41</v>
      </c>
      <c r="D657" s="4" t="s">
        <v>38</v>
      </c>
      <c r="E657" s="4" t="s">
        <v>25</v>
      </c>
      <c r="F657" s="4" t="s">
        <v>56</v>
      </c>
      <c r="G657" s="4" t="s">
        <v>25</v>
      </c>
      <c r="H657" s="4" t="s">
        <v>34</v>
      </c>
      <c r="I657" s="5">
        <v>44713</v>
      </c>
      <c r="J657" s="6">
        <v>0</v>
      </c>
      <c r="K657" s="6">
        <v>0</v>
      </c>
      <c r="L657" s="6">
        <v>2.6539999999999999</v>
      </c>
      <c r="M657" s="6">
        <v>1.6084939090799999</v>
      </c>
      <c r="N657" s="6">
        <v>0</v>
      </c>
      <c r="O657" s="6">
        <v>0</v>
      </c>
      <c r="P657" s="6">
        <v>0</v>
      </c>
      <c r="Q657" s="4" t="s">
        <v>55</v>
      </c>
      <c r="R657" s="4">
        <v>0</v>
      </c>
      <c r="S657" s="6">
        <v>0</v>
      </c>
      <c r="T657" s="6">
        <v>32</v>
      </c>
      <c r="U657" s="6">
        <v>0</v>
      </c>
      <c r="V657" s="6">
        <f>IF(ISERROR(VLOOKUP($S$657,'TAR FIN'!$A$1:$O$113,15,0)),0,VLOOKUP($S$657,'TAR FIN'!$A$1:$O$113,15,0))</f>
        <v>0</v>
      </c>
      <c r="W657" s="6">
        <f>IF(ISERROR(VLOOKUP($T$657,'TAR FIN'!$A$1:$O$113,15,0)),0,VLOOKUP($T$657,'TAR FIN'!$A$1:$O$113,15,0))</f>
        <v>1604.46</v>
      </c>
      <c r="X657" s="6">
        <f>IF(ISERROR(VLOOKUP($U$657,'TAR FIN'!$A$1:$O$113,15,0)),0,VLOOKUP($U$657,'TAR FIN'!$A$1:$O$113,15,0))</f>
        <v>0</v>
      </c>
      <c r="Y657" s="6"/>
      <c r="Z657" s="6">
        <f ca="1">('TUSD BE'!$AM$29+'TUSD BF_350'!$AM$29+'TUSD CVA'!$AM$29)*1</f>
        <v>1888.1712570698433</v>
      </c>
      <c r="AA657" s="6"/>
      <c r="AB657" s="6">
        <f>$K$657*$V$657</f>
        <v>0</v>
      </c>
      <c r="AC657" s="6">
        <f>$M$657*$W$657</f>
        <v>2580.7641373624965</v>
      </c>
      <c r="AD657" s="6">
        <f>$O$657*$X$657</f>
        <v>0</v>
      </c>
      <c r="AE657" s="6">
        <f>$K$657*$Y$657</f>
        <v>0</v>
      </c>
      <c r="AF657" s="6">
        <f ca="1">$M$657*$Z$657</f>
        <v>3037.1119662967694</v>
      </c>
      <c r="AG657" s="6">
        <f>$O$657*$AA$657</f>
        <v>0</v>
      </c>
    </row>
    <row r="658" spans="1:33" ht="11.25" customHeight="1" x14ac:dyDescent="0.3">
      <c r="A658" s="4" t="s">
        <v>21</v>
      </c>
      <c r="B658" s="4" t="s">
        <v>43</v>
      </c>
      <c r="C658" s="4" t="s">
        <v>41</v>
      </c>
      <c r="D658" s="4" t="s">
        <v>38</v>
      </c>
      <c r="E658" s="4" t="s">
        <v>25</v>
      </c>
      <c r="F658" s="4" t="s">
        <v>56</v>
      </c>
      <c r="G658" s="4" t="s">
        <v>25</v>
      </c>
      <c r="H658" s="4" t="s">
        <v>34</v>
      </c>
      <c r="I658" s="5">
        <v>44743</v>
      </c>
      <c r="J658" s="6">
        <v>0</v>
      </c>
      <c r="K658" s="6">
        <v>0</v>
      </c>
      <c r="L658" s="6">
        <v>2.7570000000000001</v>
      </c>
      <c r="M658" s="6">
        <v>1.4697052819500001</v>
      </c>
      <c r="N658" s="6">
        <v>0</v>
      </c>
      <c r="O658" s="6">
        <v>0</v>
      </c>
      <c r="P658" s="6">
        <v>0</v>
      </c>
      <c r="Q658" s="4" t="s">
        <v>55</v>
      </c>
      <c r="R658" s="4">
        <v>0</v>
      </c>
      <c r="S658" s="6">
        <v>0</v>
      </c>
      <c r="T658" s="6">
        <v>32</v>
      </c>
      <c r="U658" s="6">
        <v>0</v>
      </c>
      <c r="V658" s="6">
        <f>IF(ISERROR(VLOOKUP($S$658,'TAR FIN'!$A$1:$O$113,15,0)),0,VLOOKUP($S$658,'TAR FIN'!$A$1:$O$113,15,0))</f>
        <v>0</v>
      </c>
      <c r="W658" s="6">
        <f>IF(ISERROR(VLOOKUP($T$658,'TAR FIN'!$A$1:$O$113,15,0)),0,VLOOKUP($T$658,'TAR FIN'!$A$1:$O$113,15,0))</f>
        <v>1604.46</v>
      </c>
      <c r="X658" s="6">
        <f>IF(ISERROR(VLOOKUP($U$658,'TAR FIN'!$A$1:$O$113,15,0)),0,VLOOKUP($U$658,'TAR FIN'!$A$1:$O$113,15,0))</f>
        <v>0</v>
      </c>
      <c r="Y658" s="6"/>
      <c r="Z658" s="6">
        <f ca="1">('TUSD BE'!$AM$29+'TUSD BF_350'!$AM$29+'TUSD CVA'!$AM$29)*1</f>
        <v>1888.1712570698433</v>
      </c>
      <c r="AA658" s="6"/>
      <c r="AB658" s="6">
        <f>$K$658*$V$658</f>
        <v>0</v>
      </c>
      <c r="AC658" s="6">
        <f>$M$658*$W$658</f>
        <v>2358.0833366774973</v>
      </c>
      <c r="AD658" s="6">
        <f>$O$658*$X$658</f>
        <v>0</v>
      </c>
      <c r="AE658" s="6">
        <f>$K$658*$Y$658</f>
        <v>0</v>
      </c>
      <c r="AF658" s="6">
        <f ca="1">$M$658*$Z$658</f>
        <v>2775.0552697417202</v>
      </c>
      <c r="AG658" s="6">
        <f>$O$658*$AA$658</f>
        <v>0</v>
      </c>
    </row>
    <row r="659" spans="1:33" ht="11.25" customHeight="1" x14ac:dyDescent="0.3">
      <c r="A659" s="4" t="s">
        <v>21</v>
      </c>
      <c r="B659" s="4" t="s">
        <v>43</v>
      </c>
      <c r="C659" s="4" t="s">
        <v>41</v>
      </c>
      <c r="D659" s="4" t="s">
        <v>38</v>
      </c>
      <c r="E659" s="4" t="s">
        <v>25</v>
      </c>
      <c r="F659" s="4" t="s">
        <v>56</v>
      </c>
      <c r="G659" s="4" t="s">
        <v>25</v>
      </c>
      <c r="H659" s="4" t="s">
        <v>34</v>
      </c>
      <c r="I659" s="5">
        <v>44774</v>
      </c>
      <c r="J659" s="6">
        <v>0</v>
      </c>
      <c r="K659" s="6">
        <v>0</v>
      </c>
      <c r="L659" s="6">
        <v>2.895</v>
      </c>
      <c r="M659" s="6">
        <v>1.4671483649999999</v>
      </c>
      <c r="N659" s="6">
        <v>0</v>
      </c>
      <c r="O659" s="6">
        <v>0</v>
      </c>
      <c r="P659" s="6">
        <v>0</v>
      </c>
      <c r="Q659" s="4" t="s">
        <v>55</v>
      </c>
      <c r="R659" s="4">
        <v>0</v>
      </c>
      <c r="S659" s="6">
        <v>0</v>
      </c>
      <c r="T659" s="6">
        <v>32</v>
      </c>
      <c r="U659" s="6">
        <v>0</v>
      </c>
      <c r="V659" s="6">
        <f>IF(ISERROR(VLOOKUP($S$659,'TAR FIN'!$A$1:$O$113,15,0)),0,VLOOKUP($S$659,'TAR FIN'!$A$1:$O$113,15,0))</f>
        <v>0</v>
      </c>
      <c r="W659" s="6">
        <f>IF(ISERROR(VLOOKUP($T$659,'TAR FIN'!$A$1:$O$113,15,0)),0,VLOOKUP($T$659,'TAR FIN'!$A$1:$O$113,15,0))</f>
        <v>1604.46</v>
      </c>
      <c r="X659" s="6">
        <f>IF(ISERROR(VLOOKUP($U$659,'TAR FIN'!$A$1:$O$113,15,0)),0,VLOOKUP($U$659,'TAR FIN'!$A$1:$O$113,15,0))</f>
        <v>0</v>
      </c>
      <c r="Y659" s="6"/>
      <c r="Z659" s="6">
        <f ca="1">('TUSD BE'!$AM$29+'TUSD BF_350'!$AM$29+'TUSD CVA'!$AM$29)*1</f>
        <v>1888.1712570698433</v>
      </c>
      <c r="AA659" s="6"/>
      <c r="AB659" s="6">
        <f>$K$659*$V$659</f>
        <v>0</v>
      </c>
      <c r="AC659" s="6">
        <f>$M$659*$W$659</f>
        <v>2353.9808657078997</v>
      </c>
      <c r="AD659" s="6">
        <f>$O$659*$X$659</f>
        <v>0</v>
      </c>
      <c r="AE659" s="6">
        <f>$K$659*$Y$659</f>
        <v>0</v>
      </c>
      <c r="AF659" s="6">
        <f ca="1">$M$659*$Z$659</f>
        <v>2770.2273726500152</v>
      </c>
      <c r="AG659" s="6">
        <f>$O$659*$AA$659</f>
        <v>0</v>
      </c>
    </row>
    <row r="660" spans="1:33" ht="11.25" customHeight="1" x14ac:dyDescent="0.3">
      <c r="A660" s="4" t="s">
        <v>21</v>
      </c>
      <c r="B660" s="4" t="s">
        <v>43</v>
      </c>
      <c r="C660" s="4" t="s">
        <v>41</v>
      </c>
      <c r="D660" s="4" t="s">
        <v>38</v>
      </c>
      <c r="E660" s="4" t="s">
        <v>25</v>
      </c>
      <c r="F660" s="4" t="s">
        <v>56</v>
      </c>
      <c r="G660" s="4" t="s">
        <v>25</v>
      </c>
      <c r="H660" s="4" t="s">
        <v>34</v>
      </c>
      <c r="I660" s="5">
        <v>44805</v>
      </c>
      <c r="J660" s="6">
        <v>0</v>
      </c>
      <c r="K660" s="6">
        <v>0</v>
      </c>
      <c r="L660" s="6">
        <v>3.3159999999999998</v>
      </c>
      <c r="M660" s="6">
        <v>1.7672610393999999</v>
      </c>
      <c r="N660" s="6">
        <v>0</v>
      </c>
      <c r="O660" s="6">
        <v>0</v>
      </c>
      <c r="P660" s="6">
        <v>0</v>
      </c>
      <c r="Q660" s="4" t="s">
        <v>55</v>
      </c>
      <c r="R660" s="4">
        <v>0</v>
      </c>
      <c r="S660" s="6">
        <v>0</v>
      </c>
      <c r="T660" s="6">
        <v>32</v>
      </c>
      <c r="U660" s="6">
        <v>0</v>
      </c>
      <c r="V660" s="6">
        <f>IF(ISERROR(VLOOKUP($S$660,'TAR FIN'!$A$1:$O$113,15,0)),0,VLOOKUP($S$660,'TAR FIN'!$A$1:$O$113,15,0))</f>
        <v>0</v>
      </c>
      <c r="W660" s="6">
        <f>IF(ISERROR(VLOOKUP($T$660,'TAR FIN'!$A$1:$O$113,15,0)),0,VLOOKUP($T$660,'TAR FIN'!$A$1:$O$113,15,0))</f>
        <v>1604.46</v>
      </c>
      <c r="X660" s="6">
        <f>IF(ISERROR(VLOOKUP($U$660,'TAR FIN'!$A$1:$O$113,15,0)),0,VLOOKUP($U$660,'TAR FIN'!$A$1:$O$113,15,0))</f>
        <v>0</v>
      </c>
      <c r="Y660" s="6"/>
      <c r="Z660" s="6">
        <f ca="1">('TUSD BE'!$AM$29+'TUSD BF_350'!$AM$29+'TUSD CVA'!$AM$29)*1</f>
        <v>1888.1712570698433</v>
      </c>
      <c r="AA660" s="6"/>
      <c r="AB660" s="6">
        <f>$K$660*$V$660</f>
        <v>0</v>
      </c>
      <c r="AC660" s="6">
        <f>$M$660*$W$660</f>
        <v>2835.4996472757239</v>
      </c>
      <c r="AD660" s="6">
        <f>$O$660*$X$660</f>
        <v>0</v>
      </c>
      <c r="AE660" s="6">
        <f>$K$660*$Y$660</f>
        <v>0</v>
      </c>
      <c r="AF660" s="6">
        <f ca="1">$M$660*$Z$660</f>
        <v>3336.8914983344557</v>
      </c>
      <c r="AG660" s="6">
        <f>$O$660*$AA$660</f>
        <v>0</v>
      </c>
    </row>
    <row r="661" spans="1:33" ht="11.25" customHeight="1" x14ac:dyDescent="0.3">
      <c r="A661" s="4" t="s">
        <v>53</v>
      </c>
      <c r="B661" s="4" t="s">
        <v>43</v>
      </c>
      <c r="C661" s="4" t="s">
        <v>41</v>
      </c>
      <c r="D661" s="4" t="s">
        <v>38</v>
      </c>
      <c r="E661" s="4" t="s">
        <v>25</v>
      </c>
      <c r="F661" s="4" t="s">
        <v>56</v>
      </c>
      <c r="G661" s="4" t="s">
        <v>25</v>
      </c>
      <c r="H661" s="4" t="s">
        <v>34</v>
      </c>
      <c r="I661" s="5">
        <v>44835</v>
      </c>
      <c r="J661" s="6">
        <v>0</v>
      </c>
      <c r="K661" s="6">
        <v>0</v>
      </c>
      <c r="L661" s="6">
        <v>3.3159999999999998</v>
      </c>
      <c r="M661" s="6">
        <v>1.7672610393999999</v>
      </c>
      <c r="N661" s="6">
        <v>0</v>
      </c>
      <c r="O661" s="6">
        <v>0</v>
      </c>
      <c r="P661" s="6">
        <v>0</v>
      </c>
      <c r="Q661" s="4" t="s">
        <v>55</v>
      </c>
      <c r="R661" s="4">
        <v>0</v>
      </c>
      <c r="S661" s="6">
        <v>0</v>
      </c>
      <c r="T661" s="6">
        <v>32</v>
      </c>
      <c r="U661" s="6">
        <v>0</v>
      </c>
      <c r="V661" s="6">
        <f>IF(ISERROR(VLOOKUP($S$661,'TAR FIN'!$A$1:$O$113,15,0)),0,VLOOKUP($S$661,'TAR FIN'!$A$1:$O$113,15,0))</f>
        <v>0</v>
      </c>
      <c r="W661" s="6">
        <f>IF(ISERROR(VLOOKUP($T$661,'TAR FIN'!$A$1:$O$113,15,0)),0,VLOOKUP($T$661,'TAR FIN'!$A$1:$O$113,15,0))</f>
        <v>1604.46</v>
      </c>
      <c r="X661" s="6">
        <f>IF(ISERROR(VLOOKUP($U$661,'TAR FIN'!$A$1:$O$113,15,0)),0,VLOOKUP($U$661,'TAR FIN'!$A$1:$O$113,15,0))</f>
        <v>0</v>
      </c>
      <c r="Y661" s="6"/>
      <c r="Z661" s="6">
        <f ca="1">('TUSD BE'!$AM$29+'TUSD BF_350'!$AM$29+'TUSD CVA'!$AM$29)*1</f>
        <v>1888.1712570698433</v>
      </c>
      <c r="AA661" s="6"/>
      <c r="AB661" s="6">
        <f>$K$661*$V$661</f>
        <v>0</v>
      </c>
      <c r="AC661" s="6">
        <f>$M$661*$W$661</f>
        <v>2835.4996472757239</v>
      </c>
      <c r="AD661" s="6">
        <f>$O$661*$X$661</f>
        <v>0</v>
      </c>
      <c r="AE661" s="6">
        <f>$K$661*$Y$661</f>
        <v>0</v>
      </c>
      <c r="AF661" s="6">
        <f ca="1">$M$661*$Z$661</f>
        <v>3336.8914983344557</v>
      </c>
      <c r="AG661" s="6">
        <f>$O$661*$AA$661</f>
        <v>0</v>
      </c>
    </row>
    <row r="662" spans="1:33" ht="11.25" customHeight="1" x14ac:dyDescent="0.3">
      <c r="A662" s="4" t="s">
        <v>21</v>
      </c>
      <c r="B662" s="4" t="s">
        <v>22</v>
      </c>
      <c r="C662" s="4" t="s">
        <v>33</v>
      </c>
      <c r="D662" s="4" t="s">
        <v>24</v>
      </c>
      <c r="E662" s="4" t="s">
        <v>24</v>
      </c>
      <c r="F662" s="4" t="s">
        <v>25</v>
      </c>
      <c r="G662" s="4" t="s">
        <v>25</v>
      </c>
      <c r="H662" s="4" t="s">
        <v>35</v>
      </c>
      <c r="I662" s="5">
        <v>44501</v>
      </c>
      <c r="J662" s="6">
        <v>0</v>
      </c>
      <c r="K662" s="6">
        <v>0</v>
      </c>
      <c r="L662" s="6">
        <v>12.271000000000001</v>
      </c>
      <c r="M662" s="6">
        <v>12.271000000000001</v>
      </c>
      <c r="N662" s="6">
        <v>12.271000000000001</v>
      </c>
      <c r="O662" s="6">
        <v>12.271000000000001</v>
      </c>
      <c r="P662" s="6">
        <v>0</v>
      </c>
      <c r="Q662" s="4" t="s">
        <v>26</v>
      </c>
      <c r="R662" s="4">
        <v>0</v>
      </c>
      <c r="S662" s="6">
        <v>0</v>
      </c>
      <c r="T662" s="6">
        <v>57</v>
      </c>
      <c r="U662" s="6">
        <v>90</v>
      </c>
      <c r="V662" s="6">
        <f>IF(ISERROR(VLOOKUP($S$662,'TAR FIN'!$A$1:$O$113,15,0)),0,VLOOKUP($S$662,'TAR FIN'!$A$1:$O$113,15,0))</f>
        <v>0</v>
      </c>
      <c r="W662" s="6">
        <f>IF(ISERROR(VLOOKUP($T$662,'TAR FIN'!$A$1:$O$113,15,0)),0,VLOOKUP($T$662,'TAR FIN'!$A$1:$O$113,15,0))</f>
        <v>208.75</v>
      </c>
      <c r="X662" s="6">
        <f>IF(ISERROR(VLOOKUP($U$662,'TAR FIN'!$A$1:$O$113,15,0)),0,VLOOKUP($U$662,'TAR FIN'!$A$1:$O$113,15,0))</f>
        <v>278.67</v>
      </c>
      <c r="Y662" s="6"/>
      <c r="Z662" s="6">
        <f ca="1">('TUSD BE'!$AM$39+'TUSD BF_350'!$AM$39+'TUSD CVA'!$AM$39)*1</f>
        <v>301.74</v>
      </c>
      <c r="AA662" s="6">
        <f ca="1">('TE BE'!$AB$17+'TE BF_350'!$AB$17+'TE CVA'!$AB$17)*1</f>
        <v>231.69</v>
      </c>
      <c r="AB662" s="6">
        <f>$K$662*$V$662</f>
        <v>0</v>
      </c>
      <c r="AC662" s="6">
        <f>$M$662*$W$662</f>
        <v>2561.57125</v>
      </c>
      <c r="AD662" s="6">
        <f>$O$662*$X$662</f>
        <v>3419.5595700000003</v>
      </c>
      <c r="AE662" s="6">
        <f>$K$662*$Y$662</f>
        <v>0</v>
      </c>
      <c r="AF662" s="6">
        <f ca="1">$M$662*$Z$662</f>
        <v>3702.6515400000003</v>
      </c>
      <c r="AG662" s="6">
        <f ca="1">$O$662*$AA$662</f>
        <v>2843.06799</v>
      </c>
    </row>
    <row r="663" spans="1:33" ht="11.25" customHeight="1" x14ac:dyDescent="0.3">
      <c r="A663" s="4" t="s">
        <v>21</v>
      </c>
      <c r="B663" s="4" t="s">
        <v>22</v>
      </c>
      <c r="C663" s="4" t="s">
        <v>33</v>
      </c>
      <c r="D663" s="4" t="s">
        <v>24</v>
      </c>
      <c r="E663" s="4" t="s">
        <v>24</v>
      </c>
      <c r="F663" s="4" t="s">
        <v>25</v>
      </c>
      <c r="G663" s="4" t="s">
        <v>25</v>
      </c>
      <c r="H663" s="4" t="s">
        <v>35</v>
      </c>
      <c r="I663" s="5">
        <v>44531</v>
      </c>
      <c r="J663" s="6">
        <v>0</v>
      </c>
      <c r="K663" s="6">
        <v>0</v>
      </c>
      <c r="L663" s="6">
        <v>12.132999999999999</v>
      </c>
      <c r="M663" s="6">
        <v>12.132999999999999</v>
      </c>
      <c r="N663" s="6">
        <v>12.132999999999999</v>
      </c>
      <c r="O663" s="6">
        <v>12.132999999999999</v>
      </c>
      <c r="P663" s="6">
        <v>0</v>
      </c>
      <c r="Q663" s="4" t="s">
        <v>26</v>
      </c>
      <c r="R663" s="4">
        <v>0</v>
      </c>
      <c r="S663" s="6">
        <v>0</v>
      </c>
      <c r="T663" s="6">
        <v>57</v>
      </c>
      <c r="U663" s="6">
        <v>90</v>
      </c>
      <c r="V663" s="6">
        <f>IF(ISERROR(VLOOKUP($S$663,'TAR FIN'!$A$1:$O$113,15,0)),0,VLOOKUP($S$663,'TAR FIN'!$A$1:$O$113,15,0))</f>
        <v>0</v>
      </c>
      <c r="W663" s="6">
        <f>IF(ISERROR(VLOOKUP($T$663,'TAR FIN'!$A$1:$O$113,15,0)),0,VLOOKUP($T$663,'TAR FIN'!$A$1:$O$113,15,0))</f>
        <v>208.75</v>
      </c>
      <c r="X663" s="6">
        <f>IF(ISERROR(VLOOKUP($U$663,'TAR FIN'!$A$1:$O$113,15,0)),0,VLOOKUP($U$663,'TAR FIN'!$A$1:$O$113,15,0))</f>
        <v>278.67</v>
      </c>
      <c r="Y663" s="6"/>
      <c r="Z663" s="6">
        <f ca="1">('TUSD BE'!$AM$39+'TUSD BF_350'!$AM$39+'TUSD CVA'!$AM$39)*1</f>
        <v>301.74</v>
      </c>
      <c r="AA663" s="6">
        <f ca="1">('TE BE'!$AB$17+'TE BF_350'!$AB$17+'TE CVA'!$AB$17)*1</f>
        <v>231.69</v>
      </c>
      <c r="AB663" s="6">
        <f>$K$663*$V$663</f>
        <v>0</v>
      </c>
      <c r="AC663" s="6">
        <f>$M$663*$W$663</f>
        <v>2532.7637499999996</v>
      </c>
      <c r="AD663" s="6">
        <f>$O$663*$X$663</f>
        <v>3381.10311</v>
      </c>
      <c r="AE663" s="6">
        <f>$K$663*$Y$663</f>
        <v>0</v>
      </c>
      <c r="AF663" s="6">
        <f ca="1">$M$663*$Z$663</f>
        <v>3661.0114199999998</v>
      </c>
      <c r="AG663" s="6">
        <f ca="1">$O$663*$AA$663</f>
        <v>2811.0947699999997</v>
      </c>
    </row>
    <row r="664" spans="1:33" ht="11.25" customHeight="1" x14ac:dyDescent="0.3">
      <c r="A664" s="4" t="s">
        <v>28</v>
      </c>
      <c r="B664" s="4" t="s">
        <v>22</v>
      </c>
      <c r="C664" s="4" t="s">
        <v>33</v>
      </c>
      <c r="D664" s="4" t="s">
        <v>24</v>
      </c>
      <c r="E664" s="4" t="s">
        <v>24</v>
      </c>
      <c r="F664" s="4" t="s">
        <v>25</v>
      </c>
      <c r="G664" s="4" t="s">
        <v>25</v>
      </c>
      <c r="H664" s="4" t="s">
        <v>35</v>
      </c>
      <c r="I664" s="5">
        <v>44531</v>
      </c>
      <c r="J664" s="6">
        <v>0</v>
      </c>
      <c r="K664" s="6">
        <v>0</v>
      </c>
      <c r="L664" s="6">
        <v>6.0999999999999999E-2</v>
      </c>
      <c r="M664" s="6">
        <v>6.0999999999999999E-2</v>
      </c>
      <c r="N664" s="6">
        <v>6.0999999999999999E-2</v>
      </c>
      <c r="O664" s="6">
        <v>6.0999999999999999E-2</v>
      </c>
      <c r="P664" s="6">
        <v>0</v>
      </c>
      <c r="Q664" s="4" t="s">
        <v>26</v>
      </c>
      <c r="R664" s="4">
        <v>0</v>
      </c>
      <c r="S664" s="6">
        <v>0</v>
      </c>
      <c r="T664" s="6">
        <v>57</v>
      </c>
      <c r="U664" s="6">
        <v>90</v>
      </c>
      <c r="V664" s="6">
        <f>IF(ISERROR(VLOOKUP($S$664,'TAR FIN'!$A$1:$O$113,15,0)),0,VLOOKUP($S$664,'TAR FIN'!$A$1:$O$113,15,0))</f>
        <v>0</v>
      </c>
      <c r="W664" s="6">
        <f>IF(ISERROR(VLOOKUP($T$664,'TAR FIN'!$A$1:$O$113,15,0)),0,VLOOKUP($T$664,'TAR FIN'!$A$1:$O$113,15,0))</f>
        <v>208.75</v>
      </c>
      <c r="X664" s="6">
        <f>IF(ISERROR(VLOOKUP($U$664,'TAR FIN'!$A$1:$O$113,15,0)),0,VLOOKUP($U$664,'TAR FIN'!$A$1:$O$113,15,0))</f>
        <v>278.67</v>
      </c>
      <c r="Y664" s="6"/>
      <c r="Z664" s="6">
        <f ca="1">('TUSD BE'!$AM$39+'TUSD BF_350'!$AM$39+'TUSD CVA'!$AM$39)*1</f>
        <v>301.74</v>
      </c>
      <c r="AA664" s="6">
        <f ca="1">('TE BE'!$AB$17+'TE BF_350'!$AB$17+'TE CVA'!$AB$17)*1</f>
        <v>231.69</v>
      </c>
      <c r="AB664" s="6">
        <f>$K$664*$V$664</f>
        <v>0</v>
      </c>
      <c r="AC664" s="6">
        <f>$M$664*$W$664</f>
        <v>12.733750000000001</v>
      </c>
      <c r="AD664" s="6">
        <f>$O$664*$X$664</f>
        <v>16.99887</v>
      </c>
      <c r="AE664" s="6">
        <f>$K$664*$Y$664</f>
        <v>0</v>
      </c>
      <c r="AF664" s="6">
        <f ca="1">$M$664*$Z$664</f>
        <v>18.406140000000001</v>
      </c>
      <c r="AG664" s="6">
        <f ca="1">$O$664*$AA$664</f>
        <v>14.133089999999999</v>
      </c>
    </row>
    <row r="665" spans="1:33" ht="11.25" customHeight="1" x14ac:dyDescent="0.3">
      <c r="A665" s="4" t="s">
        <v>21</v>
      </c>
      <c r="B665" s="4" t="s">
        <v>22</v>
      </c>
      <c r="C665" s="4" t="s">
        <v>33</v>
      </c>
      <c r="D665" s="4" t="s">
        <v>24</v>
      </c>
      <c r="E665" s="4" t="s">
        <v>24</v>
      </c>
      <c r="F665" s="4" t="s">
        <v>25</v>
      </c>
      <c r="G665" s="4" t="s">
        <v>25</v>
      </c>
      <c r="H665" s="4" t="s">
        <v>35</v>
      </c>
      <c r="I665" s="5">
        <v>44562</v>
      </c>
      <c r="J665" s="6">
        <v>0</v>
      </c>
      <c r="K665" s="6">
        <v>0</v>
      </c>
      <c r="L665" s="6">
        <v>13.625999999999999</v>
      </c>
      <c r="M665" s="6">
        <v>13.625999999999999</v>
      </c>
      <c r="N665" s="6">
        <v>13.625999999999999</v>
      </c>
      <c r="O665" s="6">
        <v>13.625999999999999</v>
      </c>
      <c r="P665" s="6">
        <v>0</v>
      </c>
      <c r="Q665" s="4" t="s">
        <v>26</v>
      </c>
      <c r="R665" s="4">
        <v>0</v>
      </c>
      <c r="S665" s="6">
        <v>0</v>
      </c>
      <c r="T665" s="6">
        <v>57</v>
      </c>
      <c r="U665" s="6">
        <v>90</v>
      </c>
      <c r="V665" s="6">
        <f>IF(ISERROR(VLOOKUP($S$665,'TAR FIN'!$A$1:$O$113,15,0)),0,VLOOKUP($S$665,'TAR FIN'!$A$1:$O$113,15,0))</f>
        <v>0</v>
      </c>
      <c r="W665" s="6">
        <f>IF(ISERROR(VLOOKUP($T$665,'TAR FIN'!$A$1:$O$113,15,0)),0,VLOOKUP($T$665,'TAR FIN'!$A$1:$O$113,15,0))</f>
        <v>208.75</v>
      </c>
      <c r="X665" s="6">
        <f>IF(ISERROR(VLOOKUP($U$665,'TAR FIN'!$A$1:$O$113,15,0)),0,VLOOKUP($U$665,'TAR FIN'!$A$1:$O$113,15,0))</f>
        <v>278.67</v>
      </c>
      <c r="Y665" s="6"/>
      <c r="Z665" s="6">
        <f ca="1">('TUSD BE'!$AM$39+'TUSD BF_350'!$AM$39+'TUSD CVA'!$AM$39)*1</f>
        <v>301.74</v>
      </c>
      <c r="AA665" s="6">
        <f ca="1">('TE BE'!$AB$17+'TE BF_350'!$AB$17+'TE CVA'!$AB$17)*1</f>
        <v>231.69</v>
      </c>
      <c r="AB665" s="6">
        <f>$K$665*$V$665</f>
        <v>0</v>
      </c>
      <c r="AC665" s="6">
        <f>$M$665*$W$665</f>
        <v>2844.4274999999998</v>
      </c>
      <c r="AD665" s="6">
        <f>$O$665*$X$665</f>
        <v>3797.15742</v>
      </c>
      <c r="AE665" s="6">
        <f>$K$665*$Y$665</f>
        <v>0</v>
      </c>
      <c r="AF665" s="6">
        <f ca="1">$M$665*$Z$665</f>
        <v>4111.5092400000003</v>
      </c>
      <c r="AG665" s="6">
        <f ca="1">$O$665*$AA$665</f>
        <v>3157.00794</v>
      </c>
    </row>
    <row r="666" spans="1:33" ht="11.25" customHeight="1" x14ac:dyDescent="0.3">
      <c r="A666" s="4" t="s">
        <v>21</v>
      </c>
      <c r="B666" s="4" t="s">
        <v>22</v>
      </c>
      <c r="C666" s="4" t="s">
        <v>33</v>
      </c>
      <c r="D666" s="4" t="s">
        <v>24</v>
      </c>
      <c r="E666" s="4" t="s">
        <v>24</v>
      </c>
      <c r="F666" s="4" t="s">
        <v>25</v>
      </c>
      <c r="G666" s="4" t="s">
        <v>25</v>
      </c>
      <c r="H666" s="4" t="s">
        <v>35</v>
      </c>
      <c r="I666" s="5">
        <v>44593</v>
      </c>
      <c r="J666" s="6">
        <v>0</v>
      </c>
      <c r="K666" s="6">
        <v>0</v>
      </c>
      <c r="L666" s="6">
        <v>12.567</v>
      </c>
      <c r="M666" s="6">
        <v>12.567</v>
      </c>
      <c r="N666" s="6">
        <v>12.567</v>
      </c>
      <c r="O666" s="6">
        <v>12.567</v>
      </c>
      <c r="P666" s="6">
        <v>0</v>
      </c>
      <c r="Q666" s="4" t="s">
        <v>26</v>
      </c>
      <c r="R666" s="4">
        <v>0</v>
      </c>
      <c r="S666" s="6">
        <v>0</v>
      </c>
      <c r="T666" s="6">
        <v>57</v>
      </c>
      <c r="U666" s="6">
        <v>90</v>
      </c>
      <c r="V666" s="6">
        <f>IF(ISERROR(VLOOKUP($S$666,'TAR FIN'!$A$1:$O$113,15,0)),0,VLOOKUP($S$666,'TAR FIN'!$A$1:$O$113,15,0))</f>
        <v>0</v>
      </c>
      <c r="W666" s="6">
        <f>IF(ISERROR(VLOOKUP($T$666,'TAR FIN'!$A$1:$O$113,15,0)),0,VLOOKUP($T$666,'TAR FIN'!$A$1:$O$113,15,0))</f>
        <v>208.75</v>
      </c>
      <c r="X666" s="6">
        <f>IF(ISERROR(VLOOKUP($U$666,'TAR FIN'!$A$1:$O$113,15,0)),0,VLOOKUP($U$666,'TAR FIN'!$A$1:$O$113,15,0))</f>
        <v>278.67</v>
      </c>
      <c r="Y666" s="6"/>
      <c r="Z666" s="6">
        <f ca="1">('TUSD BE'!$AM$39+'TUSD BF_350'!$AM$39+'TUSD CVA'!$AM$39)*1</f>
        <v>301.74</v>
      </c>
      <c r="AA666" s="6">
        <f ca="1">('TE BE'!$AB$17+'TE BF_350'!$AB$17+'TE CVA'!$AB$17)*1</f>
        <v>231.69</v>
      </c>
      <c r="AB666" s="6">
        <f>$K$666*$V$666</f>
        <v>0</v>
      </c>
      <c r="AC666" s="6">
        <f>$M$666*$W$666</f>
        <v>2623.3612499999999</v>
      </c>
      <c r="AD666" s="6">
        <f>$O$666*$X$666</f>
        <v>3502.0458900000003</v>
      </c>
      <c r="AE666" s="6">
        <f>$K$666*$Y$666</f>
        <v>0</v>
      </c>
      <c r="AF666" s="6">
        <f ca="1">$M$666*$Z$666</f>
        <v>3791.9665800000002</v>
      </c>
      <c r="AG666" s="6">
        <f ca="1">$O$666*$AA$666</f>
        <v>2911.6482299999998</v>
      </c>
    </row>
    <row r="667" spans="1:33" ht="11.25" customHeight="1" x14ac:dyDescent="0.3">
      <c r="A667" s="4" t="s">
        <v>28</v>
      </c>
      <c r="B667" s="4" t="s">
        <v>22</v>
      </c>
      <c r="C667" s="4" t="s">
        <v>33</v>
      </c>
      <c r="D667" s="4" t="s">
        <v>24</v>
      </c>
      <c r="E667" s="4" t="s">
        <v>24</v>
      </c>
      <c r="F667" s="4" t="s">
        <v>25</v>
      </c>
      <c r="G667" s="4" t="s">
        <v>25</v>
      </c>
      <c r="H667" s="4" t="s">
        <v>35</v>
      </c>
      <c r="I667" s="5">
        <v>44593</v>
      </c>
      <c r="J667" s="6">
        <v>0</v>
      </c>
      <c r="K667" s="6">
        <v>0</v>
      </c>
      <c r="L667" s="6">
        <v>1.2999999999999999E-2</v>
      </c>
      <c r="M667" s="6">
        <v>1.2999999999999999E-2</v>
      </c>
      <c r="N667" s="6">
        <v>1.2999999999999999E-2</v>
      </c>
      <c r="O667" s="6">
        <v>1.2999999999999999E-2</v>
      </c>
      <c r="P667" s="6">
        <v>0</v>
      </c>
      <c r="Q667" s="4" t="s">
        <v>26</v>
      </c>
      <c r="R667" s="4">
        <v>0</v>
      </c>
      <c r="S667" s="6">
        <v>0</v>
      </c>
      <c r="T667" s="6">
        <v>57</v>
      </c>
      <c r="U667" s="6">
        <v>90</v>
      </c>
      <c r="V667" s="6">
        <f>IF(ISERROR(VLOOKUP($S$667,'TAR FIN'!$A$1:$O$113,15,0)),0,VLOOKUP($S$667,'TAR FIN'!$A$1:$O$113,15,0))</f>
        <v>0</v>
      </c>
      <c r="W667" s="6">
        <f>IF(ISERROR(VLOOKUP($T$667,'TAR FIN'!$A$1:$O$113,15,0)),0,VLOOKUP($T$667,'TAR FIN'!$A$1:$O$113,15,0))</f>
        <v>208.75</v>
      </c>
      <c r="X667" s="6">
        <f>IF(ISERROR(VLOOKUP($U$667,'TAR FIN'!$A$1:$O$113,15,0)),0,VLOOKUP($U$667,'TAR FIN'!$A$1:$O$113,15,0))</f>
        <v>278.67</v>
      </c>
      <c r="Y667" s="6"/>
      <c r="Z667" s="6">
        <f ca="1">('TUSD BE'!$AM$39+'TUSD BF_350'!$AM$39+'TUSD CVA'!$AM$39)*1</f>
        <v>301.74</v>
      </c>
      <c r="AA667" s="6">
        <f ca="1">('TE BE'!$AB$17+'TE BF_350'!$AB$17+'TE CVA'!$AB$17)*1</f>
        <v>231.69</v>
      </c>
      <c r="AB667" s="6">
        <f>$K$667*$V$667</f>
        <v>0</v>
      </c>
      <c r="AC667" s="6">
        <f>$M$667*$W$667</f>
        <v>2.7137499999999997</v>
      </c>
      <c r="AD667" s="6">
        <f>$O$667*$X$667</f>
        <v>3.6227100000000001</v>
      </c>
      <c r="AE667" s="6">
        <f>$K$667*$Y$667</f>
        <v>0</v>
      </c>
      <c r="AF667" s="6">
        <f ca="1">$M$667*$Z$667</f>
        <v>3.9226199999999998</v>
      </c>
      <c r="AG667" s="6">
        <f ca="1">$O$667*$AA$667</f>
        <v>3.0119699999999998</v>
      </c>
    </row>
    <row r="668" spans="1:33" ht="11.25" customHeight="1" x14ac:dyDescent="0.3">
      <c r="A668" s="4" t="s">
        <v>21</v>
      </c>
      <c r="B668" s="4" t="s">
        <v>22</v>
      </c>
      <c r="C668" s="4" t="s">
        <v>33</v>
      </c>
      <c r="D668" s="4" t="s">
        <v>24</v>
      </c>
      <c r="E668" s="4" t="s">
        <v>24</v>
      </c>
      <c r="F668" s="4" t="s">
        <v>25</v>
      </c>
      <c r="G668" s="4" t="s">
        <v>25</v>
      </c>
      <c r="H668" s="4" t="s">
        <v>35</v>
      </c>
      <c r="I668" s="5">
        <v>44621</v>
      </c>
      <c r="J668" s="6">
        <v>0</v>
      </c>
      <c r="K668" s="6">
        <v>0</v>
      </c>
      <c r="L668" s="6">
        <v>13.433999999999999</v>
      </c>
      <c r="M668" s="6">
        <v>13.433999999999999</v>
      </c>
      <c r="N668" s="6">
        <v>13.433999999999999</v>
      </c>
      <c r="O668" s="6">
        <v>13.433999999999999</v>
      </c>
      <c r="P668" s="6">
        <v>0</v>
      </c>
      <c r="Q668" s="4" t="s">
        <v>26</v>
      </c>
      <c r="R668" s="4">
        <v>0</v>
      </c>
      <c r="S668" s="6">
        <v>0</v>
      </c>
      <c r="T668" s="6">
        <v>57</v>
      </c>
      <c r="U668" s="6">
        <v>90</v>
      </c>
      <c r="V668" s="6">
        <f>IF(ISERROR(VLOOKUP($S$668,'TAR FIN'!$A$1:$O$113,15,0)),0,VLOOKUP($S$668,'TAR FIN'!$A$1:$O$113,15,0))</f>
        <v>0</v>
      </c>
      <c r="W668" s="6">
        <f>IF(ISERROR(VLOOKUP($T$668,'TAR FIN'!$A$1:$O$113,15,0)),0,VLOOKUP($T$668,'TAR FIN'!$A$1:$O$113,15,0))</f>
        <v>208.75</v>
      </c>
      <c r="X668" s="6">
        <f>IF(ISERROR(VLOOKUP($U$668,'TAR FIN'!$A$1:$O$113,15,0)),0,VLOOKUP($U$668,'TAR FIN'!$A$1:$O$113,15,0))</f>
        <v>278.67</v>
      </c>
      <c r="Y668" s="6"/>
      <c r="Z668" s="6">
        <f ca="1">('TUSD BE'!$AM$39+'TUSD BF_350'!$AM$39+'TUSD CVA'!$AM$39)*1</f>
        <v>301.74</v>
      </c>
      <c r="AA668" s="6">
        <f ca="1">('TE BE'!$AB$17+'TE BF_350'!$AB$17+'TE CVA'!$AB$17)*1</f>
        <v>231.69</v>
      </c>
      <c r="AB668" s="6">
        <f>$K$668*$V$668</f>
        <v>0</v>
      </c>
      <c r="AC668" s="6">
        <f>$M$668*$W$668</f>
        <v>2804.3474999999999</v>
      </c>
      <c r="AD668" s="6">
        <f>$O$668*$X$668</f>
        <v>3743.6527799999999</v>
      </c>
      <c r="AE668" s="6">
        <f>$K$668*$Y$668</f>
        <v>0</v>
      </c>
      <c r="AF668" s="6">
        <f ca="1">$M$668*$Z$668</f>
        <v>4053.5751599999999</v>
      </c>
      <c r="AG668" s="6">
        <f ca="1">$O$668*$AA$668</f>
        <v>3112.5234599999999</v>
      </c>
    </row>
    <row r="669" spans="1:33" ht="11.25" customHeight="1" x14ac:dyDescent="0.3">
      <c r="A669" s="4" t="s">
        <v>21</v>
      </c>
      <c r="B669" s="4" t="s">
        <v>22</v>
      </c>
      <c r="C669" s="4" t="s">
        <v>33</v>
      </c>
      <c r="D669" s="4" t="s">
        <v>24</v>
      </c>
      <c r="E669" s="4" t="s">
        <v>24</v>
      </c>
      <c r="F669" s="4" t="s">
        <v>25</v>
      </c>
      <c r="G669" s="4" t="s">
        <v>25</v>
      </c>
      <c r="H669" s="4" t="s">
        <v>35</v>
      </c>
      <c r="I669" s="5">
        <v>44652</v>
      </c>
      <c r="J669" s="6">
        <v>0</v>
      </c>
      <c r="K669" s="6">
        <v>0</v>
      </c>
      <c r="L669" s="6">
        <v>10.221</v>
      </c>
      <c r="M669" s="6">
        <v>10.221</v>
      </c>
      <c r="N669" s="6">
        <v>10.221</v>
      </c>
      <c r="O669" s="6">
        <v>10.221</v>
      </c>
      <c r="P669" s="6">
        <v>0</v>
      </c>
      <c r="Q669" s="4" t="s">
        <v>26</v>
      </c>
      <c r="R669" s="4">
        <v>0</v>
      </c>
      <c r="S669" s="6">
        <v>0</v>
      </c>
      <c r="T669" s="6">
        <v>57</v>
      </c>
      <c r="U669" s="6">
        <v>90</v>
      </c>
      <c r="V669" s="6">
        <f>IF(ISERROR(VLOOKUP($S$669,'TAR FIN'!$A$1:$O$113,15,0)),0,VLOOKUP($S$669,'TAR FIN'!$A$1:$O$113,15,0))</f>
        <v>0</v>
      </c>
      <c r="W669" s="6">
        <f>IF(ISERROR(VLOOKUP($T$669,'TAR FIN'!$A$1:$O$113,15,0)),0,VLOOKUP($T$669,'TAR FIN'!$A$1:$O$113,15,0))</f>
        <v>208.75</v>
      </c>
      <c r="X669" s="6">
        <f>IF(ISERROR(VLOOKUP($U$669,'TAR FIN'!$A$1:$O$113,15,0)),0,VLOOKUP($U$669,'TAR FIN'!$A$1:$O$113,15,0))</f>
        <v>278.67</v>
      </c>
      <c r="Y669" s="6"/>
      <c r="Z669" s="6">
        <f ca="1">('TUSD BE'!$AM$39+'TUSD BF_350'!$AM$39+'TUSD CVA'!$AM$39)*1</f>
        <v>301.74</v>
      </c>
      <c r="AA669" s="6">
        <f ca="1">('TE BE'!$AB$17+'TE BF_350'!$AB$17+'TE CVA'!$AB$17)*1</f>
        <v>231.69</v>
      </c>
      <c r="AB669" s="6">
        <f>$K$669*$V$669</f>
        <v>0</v>
      </c>
      <c r="AC669" s="6">
        <f>$M$669*$W$669</f>
        <v>2133.63375</v>
      </c>
      <c r="AD669" s="6">
        <f>$O$669*$X$669</f>
        <v>2848.2860700000001</v>
      </c>
      <c r="AE669" s="6">
        <f>$K$669*$Y$669</f>
        <v>0</v>
      </c>
      <c r="AF669" s="6">
        <f ca="1">$M$669*$Z$669</f>
        <v>3084.0845400000003</v>
      </c>
      <c r="AG669" s="6">
        <f ca="1">$O$669*$AA$669</f>
        <v>2368.10349</v>
      </c>
    </row>
    <row r="670" spans="1:33" ht="11.25" customHeight="1" x14ac:dyDescent="0.3">
      <c r="A670" s="4" t="s">
        <v>28</v>
      </c>
      <c r="B670" s="4" t="s">
        <v>22</v>
      </c>
      <c r="C670" s="4" t="s">
        <v>33</v>
      </c>
      <c r="D670" s="4" t="s">
        <v>24</v>
      </c>
      <c r="E670" s="4" t="s">
        <v>24</v>
      </c>
      <c r="F670" s="4" t="s">
        <v>25</v>
      </c>
      <c r="G670" s="4" t="s">
        <v>25</v>
      </c>
      <c r="H670" s="4" t="s">
        <v>35</v>
      </c>
      <c r="I670" s="5">
        <v>44652</v>
      </c>
      <c r="J670" s="6">
        <v>0</v>
      </c>
      <c r="K670" s="6">
        <v>0</v>
      </c>
      <c r="L670" s="6">
        <v>1.2999999999999999E-2</v>
      </c>
      <c r="M670" s="6">
        <v>1.2999999999999999E-2</v>
      </c>
      <c r="N670" s="6">
        <v>1.2999999999999999E-2</v>
      </c>
      <c r="O670" s="6">
        <v>1.2999999999999999E-2</v>
      </c>
      <c r="P670" s="6">
        <v>0</v>
      </c>
      <c r="Q670" s="4" t="s">
        <v>26</v>
      </c>
      <c r="R670" s="4">
        <v>0</v>
      </c>
      <c r="S670" s="6">
        <v>0</v>
      </c>
      <c r="T670" s="6">
        <v>57</v>
      </c>
      <c r="U670" s="6">
        <v>90</v>
      </c>
      <c r="V670" s="6">
        <f>IF(ISERROR(VLOOKUP($S$670,'TAR FIN'!$A$1:$O$113,15,0)),0,VLOOKUP($S$670,'TAR FIN'!$A$1:$O$113,15,0))</f>
        <v>0</v>
      </c>
      <c r="W670" s="6">
        <f>IF(ISERROR(VLOOKUP($T$670,'TAR FIN'!$A$1:$O$113,15,0)),0,VLOOKUP($T$670,'TAR FIN'!$A$1:$O$113,15,0))</f>
        <v>208.75</v>
      </c>
      <c r="X670" s="6">
        <f>IF(ISERROR(VLOOKUP($U$670,'TAR FIN'!$A$1:$O$113,15,0)),0,VLOOKUP($U$670,'TAR FIN'!$A$1:$O$113,15,0))</f>
        <v>278.67</v>
      </c>
      <c r="Y670" s="6"/>
      <c r="Z670" s="6">
        <f ca="1">('TUSD BE'!$AM$39+'TUSD BF_350'!$AM$39+'TUSD CVA'!$AM$39)*1</f>
        <v>301.74</v>
      </c>
      <c r="AA670" s="6">
        <f ca="1">('TE BE'!$AB$17+'TE BF_350'!$AB$17+'TE CVA'!$AB$17)*1</f>
        <v>231.69</v>
      </c>
      <c r="AB670" s="6">
        <f>$K$670*$V$670</f>
        <v>0</v>
      </c>
      <c r="AC670" s="6">
        <f>$M$670*$W$670</f>
        <v>2.7137499999999997</v>
      </c>
      <c r="AD670" s="6">
        <f>$O$670*$X$670</f>
        <v>3.6227100000000001</v>
      </c>
      <c r="AE670" s="6">
        <f>$K$670*$Y$670</f>
        <v>0</v>
      </c>
      <c r="AF670" s="6">
        <f ca="1">$M$670*$Z$670</f>
        <v>3.9226199999999998</v>
      </c>
      <c r="AG670" s="6">
        <f ca="1">$O$670*$AA$670</f>
        <v>3.0119699999999998</v>
      </c>
    </row>
    <row r="671" spans="1:33" ht="11.25" customHeight="1" x14ac:dyDescent="0.3">
      <c r="A671" s="4" t="s">
        <v>21</v>
      </c>
      <c r="B671" s="4" t="s">
        <v>22</v>
      </c>
      <c r="C671" s="4" t="s">
        <v>33</v>
      </c>
      <c r="D671" s="4" t="s">
        <v>24</v>
      </c>
      <c r="E671" s="4" t="s">
        <v>24</v>
      </c>
      <c r="F671" s="4" t="s">
        <v>25</v>
      </c>
      <c r="G671" s="4" t="s">
        <v>25</v>
      </c>
      <c r="H671" s="4" t="s">
        <v>35</v>
      </c>
      <c r="I671" s="5">
        <v>44682</v>
      </c>
      <c r="J671" s="6">
        <v>0</v>
      </c>
      <c r="K671" s="6">
        <v>0</v>
      </c>
      <c r="L671" s="6">
        <v>9.9890000000000008</v>
      </c>
      <c r="M671" s="6">
        <v>9.9890000000000008</v>
      </c>
      <c r="N671" s="6">
        <v>9.9890000000000008</v>
      </c>
      <c r="O671" s="6">
        <v>9.9890000000000008</v>
      </c>
      <c r="P671" s="6">
        <v>0</v>
      </c>
      <c r="Q671" s="4" t="s">
        <v>26</v>
      </c>
      <c r="R671" s="4">
        <v>0</v>
      </c>
      <c r="S671" s="6">
        <v>0</v>
      </c>
      <c r="T671" s="6">
        <v>57</v>
      </c>
      <c r="U671" s="6">
        <v>90</v>
      </c>
      <c r="V671" s="6">
        <f>IF(ISERROR(VLOOKUP($S$671,'TAR FIN'!$A$1:$O$113,15,0)),0,VLOOKUP($S$671,'TAR FIN'!$A$1:$O$113,15,0))</f>
        <v>0</v>
      </c>
      <c r="W671" s="6">
        <f>IF(ISERROR(VLOOKUP($T$671,'TAR FIN'!$A$1:$O$113,15,0)),0,VLOOKUP($T$671,'TAR FIN'!$A$1:$O$113,15,0))</f>
        <v>208.75</v>
      </c>
      <c r="X671" s="6">
        <f>IF(ISERROR(VLOOKUP($U$671,'TAR FIN'!$A$1:$O$113,15,0)),0,VLOOKUP($U$671,'TAR FIN'!$A$1:$O$113,15,0))</f>
        <v>278.67</v>
      </c>
      <c r="Y671" s="6"/>
      <c r="Z671" s="6">
        <f ca="1">('TUSD BE'!$AM$39+'TUSD BF_350'!$AM$39+'TUSD CVA'!$AM$39)*1</f>
        <v>301.74</v>
      </c>
      <c r="AA671" s="6">
        <f ca="1">('TE BE'!$AB$17+'TE BF_350'!$AB$17+'TE CVA'!$AB$17)*1</f>
        <v>231.69</v>
      </c>
      <c r="AB671" s="6">
        <f>$K$671*$V$671</f>
        <v>0</v>
      </c>
      <c r="AC671" s="6">
        <f>$M$671*$W$671</f>
        <v>2085.2037500000001</v>
      </c>
      <c r="AD671" s="6">
        <f>$O$671*$X$671</f>
        <v>2783.6346300000005</v>
      </c>
      <c r="AE671" s="6">
        <f>$K$671*$Y$671</f>
        <v>0</v>
      </c>
      <c r="AF671" s="6">
        <f ca="1">$M$671*$Z$671</f>
        <v>3014.0808600000005</v>
      </c>
      <c r="AG671" s="6">
        <f ca="1">$O$671*$AA$671</f>
        <v>2314.3514100000002</v>
      </c>
    </row>
    <row r="672" spans="1:33" ht="11.25" customHeight="1" x14ac:dyDescent="0.3">
      <c r="A672" s="4" t="s">
        <v>28</v>
      </c>
      <c r="B672" s="4" t="s">
        <v>22</v>
      </c>
      <c r="C672" s="4" t="s">
        <v>33</v>
      </c>
      <c r="D672" s="4" t="s">
        <v>24</v>
      </c>
      <c r="E672" s="4" t="s">
        <v>24</v>
      </c>
      <c r="F672" s="4" t="s">
        <v>25</v>
      </c>
      <c r="G672" s="4" t="s">
        <v>25</v>
      </c>
      <c r="H672" s="4" t="s">
        <v>35</v>
      </c>
      <c r="I672" s="5">
        <v>44682</v>
      </c>
      <c r="J672" s="6">
        <v>0</v>
      </c>
      <c r="K672" s="6">
        <v>0</v>
      </c>
      <c r="L672" s="6">
        <v>4.5999999999999999E-2</v>
      </c>
      <c r="M672" s="6">
        <v>4.5999999999999999E-2</v>
      </c>
      <c r="N672" s="6">
        <v>4.5999999999999999E-2</v>
      </c>
      <c r="O672" s="6">
        <v>4.5999999999999999E-2</v>
      </c>
      <c r="P672" s="6">
        <v>0</v>
      </c>
      <c r="Q672" s="4" t="s">
        <v>26</v>
      </c>
      <c r="R672" s="4">
        <v>0</v>
      </c>
      <c r="S672" s="6">
        <v>0</v>
      </c>
      <c r="T672" s="6">
        <v>57</v>
      </c>
      <c r="U672" s="6">
        <v>90</v>
      </c>
      <c r="V672" s="6">
        <f>IF(ISERROR(VLOOKUP($S$672,'TAR FIN'!$A$1:$O$113,15,0)),0,VLOOKUP($S$672,'TAR FIN'!$A$1:$O$113,15,0))</f>
        <v>0</v>
      </c>
      <c r="W672" s="6">
        <f>IF(ISERROR(VLOOKUP($T$672,'TAR FIN'!$A$1:$O$113,15,0)),0,VLOOKUP($T$672,'TAR FIN'!$A$1:$O$113,15,0))</f>
        <v>208.75</v>
      </c>
      <c r="X672" s="6">
        <f>IF(ISERROR(VLOOKUP($U$672,'TAR FIN'!$A$1:$O$113,15,0)),0,VLOOKUP($U$672,'TAR FIN'!$A$1:$O$113,15,0))</f>
        <v>278.67</v>
      </c>
      <c r="Y672" s="6"/>
      <c r="Z672" s="6">
        <f ca="1">('TUSD BE'!$AM$39+'TUSD BF_350'!$AM$39+'TUSD CVA'!$AM$39)*1</f>
        <v>301.74</v>
      </c>
      <c r="AA672" s="6">
        <f ca="1">('TE BE'!$AB$17+'TE BF_350'!$AB$17+'TE CVA'!$AB$17)*1</f>
        <v>231.69</v>
      </c>
      <c r="AB672" s="6">
        <f>$K$672*$V$672</f>
        <v>0</v>
      </c>
      <c r="AC672" s="6">
        <f>$M$672*$W$672</f>
        <v>9.6024999999999991</v>
      </c>
      <c r="AD672" s="6">
        <f>$O$672*$X$672</f>
        <v>12.818820000000001</v>
      </c>
      <c r="AE672" s="6">
        <f>$K$672*$Y$672</f>
        <v>0</v>
      </c>
      <c r="AF672" s="6">
        <f ca="1">$M$672*$Z$672</f>
        <v>13.880040000000001</v>
      </c>
      <c r="AG672" s="6">
        <f ca="1">$O$672*$AA$672</f>
        <v>10.65774</v>
      </c>
    </row>
    <row r="673" spans="1:33" ht="11.25" customHeight="1" x14ac:dyDescent="0.3">
      <c r="A673" s="4" t="s">
        <v>21</v>
      </c>
      <c r="B673" s="4" t="s">
        <v>22</v>
      </c>
      <c r="C673" s="4" t="s">
        <v>33</v>
      </c>
      <c r="D673" s="4" t="s">
        <v>24</v>
      </c>
      <c r="E673" s="4" t="s">
        <v>24</v>
      </c>
      <c r="F673" s="4" t="s">
        <v>25</v>
      </c>
      <c r="G673" s="4" t="s">
        <v>25</v>
      </c>
      <c r="H673" s="4" t="s">
        <v>35</v>
      </c>
      <c r="I673" s="5">
        <v>44713</v>
      </c>
      <c r="J673" s="6">
        <v>0</v>
      </c>
      <c r="K673" s="6">
        <v>0</v>
      </c>
      <c r="L673" s="6">
        <v>8.548</v>
      </c>
      <c r="M673" s="6">
        <v>8.548</v>
      </c>
      <c r="N673" s="6">
        <v>8.548</v>
      </c>
      <c r="O673" s="6">
        <v>8.548</v>
      </c>
      <c r="P673" s="6">
        <v>0</v>
      </c>
      <c r="Q673" s="4" t="s">
        <v>26</v>
      </c>
      <c r="R673" s="4">
        <v>0</v>
      </c>
      <c r="S673" s="6">
        <v>0</v>
      </c>
      <c r="T673" s="6">
        <v>57</v>
      </c>
      <c r="U673" s="6">
        <v>90</v>
      </c>
      <c r="V673" s="6">
        <f>IF(ISERROR(VLOOKUP($S$673,'TAR FIN'!$A$1:$O$113,15,0)),0,VLOOKUP($S$673,'TAR FIN'!$A$1:$O$113,15,0))</f>
        <v>0</v>
      </c>
      <c r="W673" s="6">
        <f>IF(ISERROR(VLOOKUP($T$673,'TAR FIN'!$A$1:$O$113,15,0)),0,VLOOKUP($T$673,'TAR FIN'!$A$1:$O$113,15,0))</f>
        <v>208.75</v>
      </c>
      <c r="X673" s="6">
        <f>IF(ISERROR(VLOOKUP($U$673,'TAR FIN'!$A$1:$O$113,15,0)),0,VLOOKUP($U$673,'TAR FIN'!$A$1:$O$113,15,0))</f>
        <v>278.67</v>
      </c>
      <c r="Y673" s="6"/>
      <c r="Z673" s="6">
        <f ca="1">('TUSD BE'!$AM$39+'TUSD BF_350'!$AM$39+'TUSD CVA'!$AM$39)*1</f>
        <v>301.74</v>
      </c>
      <c r="AA673" s="6">
        <f ca="1">('TE BE'!$AB$17+'TE BF_350'!$AB$17+'TE CVA'!$AB$17)*1</f>
        <v>231.69</v>
      </c>
      <c r="AB673" s="6">
        <f>$K$673*$V$673</f>
        <v>0</v>
      </c>
      <c r="AC673" s="6">
        <f>$M$673*$W$673</f>
        <v>1784.395</v>
      </c>
      <c r="AD673" s="6">
        <f>$O$673*$X$673</f>
        <v>2382.07116</v>
      </c>
      <c r="AE673" s="6">
        <f>$K$673*$Y$673</f>
        <v>0</v>
      </c>
      <c r="AF673" s="6">
        <f ca="1">$M$673*$Z$673</f>
        <v>2579.2735200000002</v>
      </c>
      <c r="AG673" s="6">
        <f ca="1">$O$673*$AA$673</f>
        <v>1980.48612</v>
      </c>
    </row>
    <row r="674" spans="1:33" ht="11.25" customHeight="1" x14ac:dyDescent="0.3">
      <c r="A674" s="4" t="s">
        <v>28</v>
      </c>
      <c r="B674" s="4" t="s">
        <v>22</v>
      </c>
      <c r="C674" s="4" t="s">
        <v>33</v>
      </c>
      <c r="D674" s="4" t="s">
        <v>24</v>
      </c>
      <c r="E674" s="4" t="s">
        <v>24</v>
      </c>
      <c r="F674" s="4" t="s">
        <v>25</v>
      </c>
      <c r="G674" s="4" t="s">
        <v>25</v>
      </c>
      <c r="H674" s="4" t="s">
        <v>35</v>
      </c>
      <c r="I674" s="5">
        <v>44713</v>
      </c>
      <c r="J674" s="6">
        <v>0</v>
      </c>
      <c r="K674" s="6">
        <v>0</v>
      </c>
      <c r="L674" s="6">
        <v>6.8000000000000005E-2</v>
      </c>
      <c r="M674" s="6">
        <v>6.8000000000000005E-2</v>
      </c>
      <c r="N674" s="6">
        <v>6.8000000000000005E-2</v>
      </c>
      <c r="O674" s="6">
        <v>6.8000000000000005E-2</v>
      </c>
      <c r="P674" s="6">
        <v>0</v>
      </c>
      <c r="Q674" s="4" t="s">
        <v>26</v>
      </c>
      <c r="R674" s="4">
        <v>0</v>
      </c>
      <c r="S674" s="6">
        <v>0</v>
      </c>
      <c r="T674" s="6">
        <v>57</v>
      </c>
      <c r="U674" s="6">
        <v>90</v>
      </c>
      <c r="V674" s="6">
        <f>IF(ISERROR(VLOOKUP($S$674,'TAR FIN'!$A$1:$O$113,15,0)),0,VLOOKUP($S$674,'TAR FIN'!$A$1:$O$113,15,0))</f>
        <v>0</v>
      </c>
      <c r="W674" s="6">
        <f>IF(ISERROR(VLOOKUP($T$674,'TAR FIN'!$A$1:$O$113,15,0)),0,VLOOKUP($T$674,'TAR FIN'!$A$1:$O$113,15,0))</f>
        <v>208.75</v>
      </c>
      <c r="X674" s="6">
        <f>IF(ISERROR(VLOOKUP($U$674,'TAR FIN'!$A$1:$O$113,15,0)),0,VLOOKUP($U$674,'TAR FIN'!$A$1:$O$113,15,0))</f>
        <v>278.67</v>
      </c>
      <c r="Y674" s="6"/>
      <c r="Z674" s="6">
        <f ca="1">('TUSD BE'!$AM$39+'TUSD BF_350'!$AM$39+'TUSD CVA'!$AM$39)*1</f>
        <v>301.74</v>
      </c>
      <c r="AA674" s="6">
        <f ca="1">('TE BE'!$AB$17+'TE BF_350'!$AB$17+'TE CVA'!$AB$17)*1</f>
        <v>231.69</v>
      </c>
      <c r="AB674" s="6">
        <f>$K$674*$V$674</f>
        <v>0</v>
      </c>
      <c r="AC674" s="6">
        <f>$M$674*$W$674</f>
        <v>14.195</v>
      </c>
      <c r="AD674" s="6">
        <f>$O$674*$X$674</f>
        <v>18.949560000000002</v>
      </c>
      <c r="AE674" s="6">
        <f>$K$674*$Y$674</f>
        <v>0</v>
      </c>
      <c r="AF674" s="6">
        <f ca="1">$M$674*$Z$674</f>
        <v>20.518320000000003</v>
      </c>
      <c r="AG674" s="6">
        <f ca="1">$O$674*$AA$674</f>
        <v>15.75492</v>
      </c>
    </row>
    <row r="675" spans="1:33" ht="11.25" customHeight="1" x14ac:dyDescent="0.3">
      <c r="A675" s="4" t="s">
        <v>21</v>
      </c>
      <c r="B675" s="4" t="s">
        <v>22</v>
      </c>
      <c r="C675" s="4" t="s">
        <v>33</v>
      </c>
      <c r="D675" s="4" t="s">
        <v>24</v>
      </c>
      <c r="E675" s="4" t="s">
        <v>24</v>
      </c>
      <c r="F675" s="4" t="s">
        <v>25</v>
      </c>
      <c r="G675" s="4" t="s">
        <v>25</v>
      </c>
      <c r="H675" s="4" t="s">
        <v>35</v>
      </c>
      <c r="I675" s="5">
        <v>44743</v>
      </c>
      <c r="J675" s="6">
        <v>0</v>
      </c>
      <c r="K675" s="6">
        <v>0</v>
      </c>
      <c r="L675" s="6">
        <v>9.0470000000000006</v>
      </c>
      <c r="M675" s="6">
        <v>9.0470000000000006</v>
      </c>
      <c r="N675" s="6">
        <v>9.0470000000000006</v>
      </c>
      <c r="O675" s="6">
        <v>9.0470000000000006</v>
      </c>
      <c r="P675" s="6">
        <v>0</v>
      </c>
      <c r="Q675" s="4" t="s">
        <v>26</v>
      </c>
      <c r="R675" s="4">
        <v>0</v>
      </c>
      <c r="S675" s="6">
        <v>0</v>
      </c>
      <c r="T675" s="6">
        <v>57</v>
      </c>
      <c r="U675" s="6">
        <v>90</v>
      </c>
      <c r="V675" s="6">
        <f>IF(ISERROR(VLOOKUP($S$675,'TAR FIN'!$A$1:$O$113,15,0)),0,VLOOKUP($S$675,'TAR FIN'!$A$1:$O$113,15,0))</f>
        <v>0</v>
      </c>
      <c r="W675" s="6">
        <f>IF(ISERROR(VLOOKUP($T$675,'TAR FIN'!$A$1:$O$113,15,0)),0,VLOOKUP($T$675,'TAR FIN'!$A$1:$O$113,15,0))</f>
        <v>208.75</v>
      </c>
      <c r="X675" s="6">
        <f>IF(ISERROR(VLOOKUP($U$675,'TAR FIN'!$A$1:$O$113,15,0)),0,VLOOKUP($U$675,'TAR FIN'!$A$1:$O$113,15,0))</f>
        <v>278.67</v>
      </c>
      <c r="Y675" s="6"/>
      <c r="Z675" s="6">
        <f ca="1">('TUSD BE'!$AM$39+'TUSD BF_350'!$AM$39+'TUSD CVA'!$AM$39)*1</f>
        <v>301.74</v>
      </c>
      <c r="AA675" s="6">
        <f ca="1">('TE BE'!$AB$17+'TE BF_350'!$AB$17+'TE CVA'!$AB$17)*1</f>
        <v>231.69</v>
      </c>
      <c r="AB675" s="6">
        <f>$K$675*$V$675</f>
        <v>0</v>
      </c>
      <c r="AC675" s="6">
        <f>$M$675*$W$675</f>
        <v>1888.5612500000002</v>
      </c>
      <c r="AD675" s="6">
        <f>$O$675*$X$675</f>
        <v>2521.1274900000003</v>
      </c>
      <c r="AE675" s="6">
        <f>$K$675*$Y$675</f>
        <v>0</v>
      </c>
      <c r="AF675" s="6">
        <f ca="1">$M$675*$Z$675</f>
        <v>2729.8417800000002</v>
      </c>
      <c r="AG675" s="6">
        <f ca="1">$O$675*$AA$675</f>
        <v>2096.0994300000002</v>
      </c>
    </row>
    <row r="676" spans="1:33" ht="11.25" customHeight="1" x14ac:dyDescent="0.3">
      <c r="A676" s="4" t="s">
        <v>21</v>
      </c>
      <c r="B676" s="4" t="s">
        <v>22</v>
      </c>
      <c r="C676" s="4" t="s">
        <v>33</v>
      </c>
      <c r="D676" s="4" t="s">
        <v>24</v>
      </c>
      <c r="E676" s="4" t="s">
        <v>24</v>
      </c>
      <c r="F676" s="4" t="s">
        <v>25</v>
      </c>
      <c r="G676" s="4" t="s">
        <v>25</v>
      </c>
      <c r="H676" s="4" t="s">
        <v>35</v>
      </c>
      <c r="I676" s="5">
        <v>44774</v>
      </c>
      <c r="J676" s="6">
        <v>0</v>
      </c>
      <c r="K676" s="6">
        <v>0</v>
      </c>
      <c r="L676" s="6">
        <v>8.2789999999999999</v>
      </c>
      <c r="M676" s="6">
        <v>8.2789999999999999</v>
      </c>
      <c r="N676" s="6">
        <v>8.2789999999999999</v>
      </c>
      <c r="O676" s="6">
        <v>8.2789999999999999</v>
      </c>
      <c r="P676" s="6">
        <v>0</v>
      </c>
      <c r="Q676" s="4" t="s">
        <v>26</v>
      </c>
      <c r="R676" s="4">
        <v>0</v>
      </c>
      <c r="S676" s="6">
        <v>0</v>
      </c>
      <c r="T676" s="6">
        <v>57</v>
      </c>
      <c r="U676" s="6">
        <v>90</v>
      </c>
      <c r="V676" s="6">
        <f>IF(ISERROR(VLOOKUP($S$676,'TAR FIN'!$A$1:$O$113,15,0)),0,VLOOKUP($S$676,'TAR FIN'!$A$1:$O$113,15,0))</f>
        <v>0</v>
      </c>
      <c r="W676" s="6">
        <f>IF(ISERROR(VLOOKUP($T$676,'TAR FIN'!$A$1:$O$113,15,0)),0,VLOOKUP($T$676,'TAR FIN'!$A$1:$O$113,15,0))</f>
        <v>208.75</v>
      </c>
      <c r="X676" s="6">
        <f>IF(ISERROR(VLOOKUP($U$676,'TAR FIN'!$A$1:$O$113,15,0)),0,VLOOKUP($U$676,'TAR FIN'!$A$1:$O$113,15,0))</f>
        <v>278.67</v>
      </c>
      <c r="Y676" s="6"/>
      <c r="Z676" s="6">
        <f ca="1">('TUSD BE'!$AM$39+'TUSD BF_350'!$AM$39+'TUSD CVA'!$AM$39)*1</f>
        <v>301.74</v>
      </c>
      <c r="AA676" s="6">
        <f ca="1">('TE BE'!$AB$17+'TE BF_350'!$AB$17+'TE CVA'!$AB$17)*1</f>
        <v>231.69</v>
      </c>
      <c r="AB676" s="6">
        <f>$K$676*$V$676</f>
        <v>0</v>
      </c>
      <c r="AC676" s="6">
        <f>$M$676*$W$676</f>
        <v>1728.24125</v>
      </c>
      <c r="AD676" s="6">
        <f>$O$676*$X$676</f>
        <v>2307.1089300000003</v>
      </c>
      <c r="AE676" s="6">
        <f>$K$676*$Y$676</f>
        <v>0</v>
      </c>
      <c r="AF676" s="6">
        <f ca="1">$M$676*$Z$676</f>
        <v>2498.1054600000002</v>
      </c>
      <c r="AG676" s="6">
        <f ca="1">$O$676*$AA$676</f>
        <v>1918.1615099999999</v>
      </c>
    </row>
    <row r="677" spans="1:33" ht="11.25" customHeight="1" x14ac:dyDescent="0.3">
      <c r="A677" s="4" t="s">
        <v>28</v>
      </c>
      <c r="B677" s="4" t="s">
        <v>22</v>
      </c>
      <c r="C677" s="4" t="s">
        <v>33</v>
      </c>
      <c r="D677" s="4" t="s">
        <v>24</v>
      </c>
      <c r="E677" s="4" t="s">
        <v>24</v>
      </c>
      <c r="F677" s="4" t="s">
        <v>25</v>
      </c>
      <c r="G677" s="4" t="s">
        <v>25</v>
      </c>
      <c r="H677" s="4" t="s">
        <v>35</v>
      </c>
      <c r="I677" s="5">
        <v>44774</v>
      </c>
      <c r="J677" s="6">
        <v>0</v>
      </c>
      <c r="K677" s="6">
        <v>0</v>
      </c>
      <c r="L677" s="6">
        <v>7.5999999999999998E-2</v>
      </c>
      <c r="M677" s="6">
        <v>7.5999999999999998E-2</v>
      </c>
      <c r="N677" s="6">
        <v>7.5999999999999998E-2</v>
      </c>
      <c r="O677" s="6">
        <v>7.5999999999999998E-2</v>
      </c>
      <c r="P677" s="6">
        <v>0</v>
      </c>
      <c r="Q677" s="4" t="s">
        <v>26</v>
      </c>
      <c r="R677" s="4">
        <v>0</v>
      </c>
      <c r="S677" s="6">
        <v>0</v>
      </c>
      <c r="T677" s="6">
        <v>57</v>
      </c>
      <c r="U677" s="6">
        <v>90</v>
      </c>
      <c r="V677" s="6">
        <f>IF(ISERROR(VLOOKUP($S$677,'TAR FIN'!$A$1:$O$113,15,0)),0,VLOOKUP($S$677,'TAR FIN'!$A$1:$O$113,15,0))</f>
        <v>0</v>
      </c>
      <c r="W677" s="6">
        <f>IF(ISERROR(VLOOKUP($T$677,'TAR FIN'!$A$1:$O$113,15,0)),0,VLOOKUP($T$677,'TAR FIN'!$A$1:$O$113,15,0))</f>
        <v>208.75</v>
      </c>
      <c r="X677" s="6">
        <f>IF(ISERROR(VLOOKUP($U$677,'TAR FIN'!$A$1:$O$113,15,0)),0,VLOOKUP($U$677,'TAR FIN'!$A$1:$O$113,15,0))</f>
        <v>278.67</v>
      </c>
      <c r="Y677" s="6"/>
      <c r="Z677" s="6">
        <f ca="1">('TUSD BE'!$AM$39+'TUSD BF_350'!$AM$39+'TUSD CVA'!$AM$39)*1</f>
        <v>301.74</v>
      </c>
      <c r="AA677" s="6">
        <f ca="1">('TE BE'!$AB$17+'TE BF_350'!$AB$17+'TE CVA'!$AB$17)*1</f>
        <v>231.69</v>
      </c>
      <c r="AB677" s="6">
        <f>$K$677*$V$677</f>
        <v>0</v>
      </c>
      <c r="AC677" s="6">
        <f>$M$677*$W$677</f>
        <v>15.865</v>
      </c>
      <c r="AD677" s="6">
        <f>$O$677*$X$677</f>
        <v>21.178920000000002</v>
      </c>
      <c r="AE677" s="6">
        <f>$K$677*$Y$677</f>
        <v>0</v>
      </c>
      <c r="AF677" s="6">
        <f ca="1">$M$677*$Z$677</f>
        <v>22.93224</v>
      </c>
      <c r="AG677" s="6">
        <f ca="1">$O$677*$AA$677</f>
        <v>17.608439999999998</v>
      </c>
    </row>
    <row r="678" spans="1:33" ht="11.25" customHeight="1" x14ac:dyDescent="0.3">
      <c r="A678" s="4" t="s">
        <v>21</v>
      </c>
      <c r="B678" s="4" t="s">
        <v>22</v>
      </c>
      <c r="C678" s="4" t="s">
        <v>33</v>
      </c>
      <c r="D678" s="4" t="s">
        <v>24</v>
      </c>
      <c r="E678" s="4" t="s">
        <v>24</v>
      </c>
      <c r="F678" s="4" t="s">
        <v>25</v>
      </c>
      <c r="G678" s="4" t="s">
        <v>25</v>
      </c>
      <c r="H678" s="4" t="s">
        <v>35</v>
      </c>
      <c r="I678" s="5">
        <v>44805</v>
      </c>
      <c r="J678" s="6">
        <v>0</v>
      </c>
      <c r="K678" s="6">
        <v>0</v>
      </c>
      <c r="L678" s="6">
        <v>8.6419999999999995</v>
      </c>
      <c r="M678" s="6">
        <v>8.6419999999999995</v>
      </c>
      <c r="N678" s="6">
        <v>8.6419999999999995</v>
      </c>
      <c r="O678" s="6">
        <v>8.6419999999999995</v>
      </c>
      <c r="P678" s="6">
        <v>0</v>
      </c>
      <c r="Q678" s="4" t="s">
        <v>26</v>
      </c>
      <c r="R678" s="4">
        <v>0</v>
      </c>
      <c r="S678" s="6">
        <v>0</v>
      </c>
      <c r="T678" s="6">
        <v>57</v>
      </c>
      <c r="U678" s="6">
        <v>90</v>
      </c>
      <c r="V678" s="6">
        <f>IF(ISERROR(VLOOKUP($S$678,'TAR FIN'!$A$1:$O$113,15,0)),0,VLOOKUP($S$678,'TAR FIN'!$A$1:$O$113,15,0))</f>
        <v>0</v>
      </c>
      <c r="W678" s="6">
        <f>IF(ISERROR(VLOOKUP($T$678,'TAR FIN'!$A$1:$O$113,15,0)),0,VLOOKUP($T$678,'TAR FIN'!$A$1:$O$113,15,0))</f>
        <v>208.75</v>
      </c>
      <c r="X678" s="6">
        <f>IF(ISERROR(VLOOKUP($U$678,'TAR FIN'!$A$1:$O$113,15,0)),0,VLOOKUP($U$678,'TAR FIN'!$A$1:$O$113,15,0))</f>
        <v>278.67</v>
      </c>
      <c r="Y678" s="6"/>
      <c r="Z678" s="6">
        <f ca="1">('TUSD BE'!$AM$39+'TUSD BF_350'!$AM$39+'TUSD CVA'!$AM$39)*1</f>
        <v>301.74</v>
      </c>
      <c r="AA678" s="6">
        <f ca="1">('TE BE'!$AB$17+'TE BF_350'!$AB$17+'TE CVA'!$AB$17)*1</f>
        <v>231.69</v>
      </c>
      <c r="AB678" s="6">
        <f>$K$678*$V$678</f>
        <v>0</v>
      </c>
      <c r="AC678" s="6">
        <f>$M$678*$W$678</f>
        <v>1804.0174999999999</v>
      </c>
      <c r="AD678" s="6">
        <f>$O$678*$X$678</f>
        <v>2408.2661400000002</v>
      </c>
      <c r="AE678" s="6">
        <f>$K$678*$Y$678</f>
        <v>0</v>
      </c>
      <c r="AF678" s="6">
        <f ca="1">$M$678*$Z$678</f>
        <v>2607.63708</v>
      </c>
      <c r="AG678" s="6">
        <f ca="1">$O$678*$AA$678</f>
        <v>2002.2649799999999</v>
      </c>
    </row>
    <row r="679" spans="1:33" ht="11.25" customHeight="1" x14ac:dyDescent="0.3">
      <c r="A679" s="4" t="s">
        <v>28</v>
      </c>
      <c r="B679" s="4" t="s">
        <v>22</v>
      </c>
      <c r="C679" s="4" t="s">
        <v>33</v>
      </c>
      <c r="D679" s="4" t="s">
        <v>24</v>
      </c>
      <c r="E679" s="4" t="s">
        <v>24</v>
      </c>
      <c r="F679" s="4" t="s">
        <v>25</v>
      </c>
      <c r="G679" s="4" t="s">
        <v>25</v>
      </c>
      <c r="H679" s="4" t="s">
        <v>35</v>
      </c>
      <c r="I679" s="5">
        <v>44805</v>
      </c>
      <c r="J679" s="6">
        <v>0</v>
      </c>
      <c r="K679" s="6">
        <v>0</v>
      </c>
      <c r="L679" s="6">
        <v>4.4999999999999998E-2</v>
      </c>
      <c r="M679" s="6">
        <v>4.4999999999999998E-2</v>
      </c>
      <c r="N679" s="6">
        <v>4.4999999999999998E-2</v>
      </c>
      <c r="O679" s="6">
        <v>4.4999999999999998E-2</v>
      </c>
      <c r="P679" s="6">
        <v>0</v>
      </c>
      <c r="Q679" s="4" t="s">
        <v>26</v>
      </c>
      <c r="R679" s="4">
        <v>0</v>
      </c>
      <c r="S679" s="6">
        <v>0</v>
      </c>
      <c r="T679" s="6">
        <v>57</v>
      </c>
      <c r="U679" s="6">
        <v>90</v>
      </c>
      <c r="V679" s="6">
        <f>IF(ISERROR(VLOOKUP($S$679,'TAR FIN'!$A$1:$O$113,15,0)),0,VLOOKUP($S$679,'TAR FIN'!$A$1:$O$113,15,0))</f>
        <v>0</v>
      </c>
      <c r="W679" s="6">
        <f>IF(ISERROR(VLOOKUP($T$679,'TAR FIN'!$A$1:$O$113,15,0)),0,VLOOKUP($T$679,'TAR FIN'!$A$1:$O$113,15,0))</f>
        <v>208.75</v>
      </c>
      <c r="X679" s="6">
        <f>IF(ISERROR(VLOOKUP($U$679,'TAR FIN'!$A$1:$O$113,15,0)),0,VLOOKUP($U$679,'TAR FIN'!$A$1:$O$113,15,0))</f>
        <v>278.67</v>
      </c>
      <c r="Y679" s="6"/>
      <c r="Z679" s="6">
        <f ca="1">('TUSD BE'!$AM$39+'TUSD BF_350'!$AM$39+'TUSD CVA'!$AM$39)*1</f>
        <v>301.74</v>
      </c>
      <c r="AA679" s="6">
        <f ca="1">('TE BE'!$AB$17+'TE BF_350'!$AB$17+'TE CVA'!$AB$17)*1</f>
        <v>231.69</v>
      </c>
      <c r="AB679" s="6">
        <f>$K$679*$V$679</f>
        <v>0</v>
      </c>
      <c r="AC679" s="6">
        <f>$M$679*$W$679</f>
        <v>9.3937499999999989</v>
      </c>
      <c r="AD679" s="6">
        <f>$O$679*$X$679</f>
        <v>12.540150000000001</v>
      </c>
      <c r="AE679" s="6">
        <f>$K$679*$Y$679</f>
        <v>0</v>
      </c>
      <c r="AF679" s="6">
        <f ca="1">$M$679*$Z$679</f>
        <v>13.5783</v>
      </c>
      <c r="AG679" s="6">
        <f ca="1">$O$679*$AA$679</f>
        <v>10.42605</v>
      </c>
    </row>
    <row r="680" spans="1:33" ht="11.25" customHeight="1" x14ac:dyDescent="0.3">
      <c r="A680" s="4" t="s">
        <v>53</v>
      </c>
      <c r="B680" s="4" t="s">
        <v>22</v>
      </c>
      <c r="C680" s="4" t="s">
        <v>33</v>
      </c>
      <c r="D680" s="4" t="s">
        <v>24</v>
      </c>
      <c r="E680" s="4" t="s">
        <v>24</v>
      </c>
      <c r="F680" s="4" t="s">
        <v>25</v>
      </c>
      <c r="G680" s="4" t="s">
        <v>25</v>
      </c>
      <c r="H680" s="4" t="s">
        <v>35</v>
      </c>
      <c r="I680" s="5">
        <v>44835</v>
      </c>
      <c r="J680" s="6">
        <v>0</v>
      </c>
      <c r="K680" s="6">
        <v>0</v>
      </c>
      <c r="L680" s="6">
        <v>8.6419999999999995</v>
      </c>
      <c r="M680" s="6">
        <v>8.6419999999999995</v>
      </c>
      <c r="N680" s="6">
        <v>8.6419999999999995</v>
      </c>
      <c r="O680" s="6">
        <v>8.6419999999999995</v>
      </c>
      <c r="P680" s="6">
        <v>0</v>
      </c>
      <c r="Q680" s="4" t="s">
        <v>26</v>
      </c>
      <c r="R680" s="4">
        <v>0</v>
      </c>
      <c r="S680" s="6">
        <v>0</v>
      </c>
      <c r="T680" s="6">
        <v>57</v>
      </c>
      <c r="U680" s="6">
        <v>90</v>
      </c>
      <c r="V680" s="6">
        <f>IF(ISERROR(VLOOKUP($S$680,'TAR FIN'!$A$1:$O$113,15,0)),0,VLOOKUP($S$680,'TAR FIN'!$A$1:$O$113,15,0))</f>
        <v>0</v>
      </c>
      <c r="W680" s="6">
        <f>IF(ISERROR(VLOOKUP($T$680,'TAR FIN'!$A$1:$O$113,15,0)),0,VLOOKUP($T$680,'TAR FIN'!$A$1:$O$113,15,0))</f>
        <v>208.75</v>
      </c>
      <c r="X680" s="6">
        <f>IF(ISERROR(VLOOKUP($U$680,'TAR FIN'!$A$1:$O$113,15,0)),0,VLOOKUP($U$680,'TAR FIN'!$A$1:$O$113,15,0))</f>
        <v>278.67</v>
      </c>
      <c r="Y680" s="6"/>
      <c r="Z680" s="6">
        <f ca="1">('TUSD BE'!$AM$39+'TUSD BF_350'!$AM$39+'TUSD CVA'!$AM$39)*1</f>
        <v>301.74</v>
      </c>
      <c r="AA680" s="6">
        <f ca="1">('TE BE'!$AB$17+'TE BF_350'!$AB$17+'TE CVA'!$AB$17)*1</f>
        <v>231.69</v>
      </c>
      <c r="AB680" s="6">
        <f>$K$680*$V$680</f>
        <v>0</v>
      </c>
      <c r="AC680" s="6">
        <f>$M$680*$W$680</f>
        <v>1804.0174999999999</v>
      </c>
      <c r="AD680" s="6">
        <f>$O$680*$X$680</f>
        <v>2408.2661400000002</v>
      </c>
      <c r="AE680" s="6">
        <f>$K$680*$Y$680</f>
        <v>0</v>
      </c>
      <c r="AF680" s="6">
        <f ca="1">$M$680*$Z$680</f>
        <v>2607.63708</v>
      </c>
      <c r="AG680" s="6">
        <f ca="1">$O$680*$AA$680</f>
        <v>2002.2649799999999</v>
      </c>
    </row>
    <row r="681" spans="1:33" ht="11.25" customHeight="1" x14ac:dyDescent="0.3">
      <c r="A681" s="4" t="s">
        <v>53</v>
      </c>
      <c r="B681" s="4" t="s">
        <v>22</v>
      </c>
      <c r="C681" s="4" t="s">
        <v>33</v>
      </c>
      <c r="D681" s="4" t="s">
        <v>24</v>
      </c>
      <c r="E681" s="4" t="s">
        <v>24</v>
      </c>
      <c r="F681" s="4" t="s">
        <v>25</v>
      </c>
      <c r="G681" s="4" t="s">
        <v>25</v>
      </c>
      <c r="H681" s="4" t="s">
        <v>35</v>
      </c>
      <c r="I681" s="5">
        <v>44835</v>
      </c>
      <c r="J681" s="6">
        <v>0</v>
      </c>
      <c r="K681" s="6">
        <v>0</v>
      </c>
      <c r="L681" s="6">
        <v>4.4999999999999998E-2</v>
      </c>
      <c r="M681" s="6">
        <v>4.4999999999999998E-2</v>
      </c>
      <c r="N681" s="6">
        <v>4.4999999999999998E-2</v>
      </c>
      <c r="O681" s="6">
        <v>4.4999999999999998E-2</v>
      </c>
      <c r="P681" s="6">
        <v>0</v>
      </c>
      <c r="Q681" s="4" t="s">
        <v>26</v>
      </c>
      <c r="R681" s="4">
        <v>0</v>
      </c>
      <c r="S681" s="6">
        <v>0</v>
      </c>
      <c r="T681" s="6">
        <v>57</v>
      </c>
      <c r="U681" s="6">
        <v>90</v>
      </c>
      <c r="V681" s="6">
        <f>IF(ISERROR(VLOOKUP($S$681,'TAR FIN'!$A$1:$O$113,15,0)),0,VLOOKUP($S$681,'TAR FIN'!$A$1:$O$113,15,0))</f>
        <v>0</v>
      </c>
      <c r="W681" s="6">
        <f>IF(ISERROR(VLOOKUP($T$681,'TAR FIN'!$A$1:$O$113,15,0)),0,VLOOKUP($T$681,'TAR FIN'!$A$1:$O$113,15,0))</f>
        <v>208.75</v>
      </c>
      <c r="X681" s="6">
        <f>IF(ISERROR(VLOOKUP($U$681,'TAR FIN'!$A$1:$O$113,15,0)),0,VLOOKUP($U$681,'TAR FIN'!$A$1:$O$113,15,0))</f>
        <v>278.67</v>
      </c>
      <c r="Y681" s="6"/>
      <c r="Z681" s="6">
        <f ca="1">('TUSD BE'!$AM$39+'TUSD BF_350'!$AM$39+'TUSD CVA'!$AM$39)*1</f>
        <v>301.74</v>
      </c>
      <c r="AA681" s="6">
        <f ca="1">('TE BE'!$AB$17+'TE BF_350'!$AB$17+'TE CVA'!$AB$17)*1</f>
        <v>231.69</v>
      </c>
      <c r="AB681" s="6">
        <f>$K$681*$V$681</f>
        <v>0</v>
      </c>
      <c r="AC681" s="6">
        <f>$M$681*$W$681</f>
        <v>9.3937499999999989</v>
      </c>
      <c r="AD681" s="6">
        <f>$O$681*$X$681</f>
        <v>12.540150000000001</v>
      </c>
      <c r="AE681" s="6">
        <f>$K$681*$Y$681</f>
        <v>0</v>
      </c>
      <c r="AF681" s="6">
        <f ca="1">$M$681*$Z$681</f>
        <v>13.5783</v>
      </c>
      <c r="AG681" s="6">
        <f ca="1">$O$681*$AA$681</f>
        <v>10.42605</v>
      </c>
    </row>
    <row r="682" spans="1:33" ht="11.25" customHeight="1" x14ac:dyDescent="0.3">
      <c r="A682" s="4" t="s">
        <v>21</v>
      </c>
      <c r="B682" s="4" t="s">
        <v>22</v>
      </c>
      <c r="C682" s="4" t="s">
        <v>33</v>
      </c>
      <c r="D682" s="4" t="s">
        <v>24</v>
      </c>
      <c r="E682" s="4" t="s">
        <v>24</v>
      </c>
      <c r="F682" s="4" t="s">
        <v>25</v>
      </c>
      <c r="G682" s="4" t="s">
        <v>25</v>
      </c>
      <c r="H682" s="4" t="s">
        <v>36</v>
      </c>
      <c r="I682" s="5">
        <v>44501</v>
      </c>
      <c r="J682" s="6">
        <v>0</v>
      </c>
      <c r="K682" s="6">
        <v>0</v>
      </c>
      <c r="L682" s="6">
        <v>0.72499999999999998</v>
      </c>
      <c r="M682" s="6">
        <v>0.72499999999999998</v>
      </c>
      <c r="N682" s="6">
        <v>0.72499999999999998</v>
      </c>
      <c r="O682" s="6">
        <v>0.72499999999999998</v>
      </c>
      <c r="P682" s="6">
        <v>0</v>
      </c>
      <c r="Q682" s="4" t="s">
        <v>26</v>
      </c>
      <c r="R682" s="4">
        <v>0</v>
      </c>
      <c r="S682" s="6">
        <v>0</v>
      </c>
      <c r="T682" s="6">
        <v>65</v>
      </c>
      <c r="U682" s="6">
        <v>86</v>
      </c>
      <c r="V682" s="6">
        <f>IF(ISERROR(VLOOKUP($S$682,'TAR FIN'!$A$1:$O$113,15,0)),0,VLOOKUP($S$682,'TAR FIN'!$A$1:$O$113,15,0))</f>
        <v>0</v>
      </c>
      <c r="W682" s="6">
        <f>IF(ISERROR(VLOOKUP($T$682,'TAR FIN'!$A$1:$O$113,15,0)),0,VLOOKUP($T$682,'TAR FIN'!$A$1:$O$113,15,0))</f>
        <v>415.22</v>
      </c>
      <c r="X682" s="6">
        <f>IF(ISERROR(VLOOKUP($U$682,'TAR FIN'!$A$1:$O$113,15,0)),0,VLOOKUP($U$682,'TAR FIN'!$A$1:$O$113,15,0))</f>
        <v>278.67</v>
      </c>
      <c r="Y682" s="6"/>
      <c r="Z682" s="6">
        <f ca="1">('TUSD BE'!$AM$38+'TUSD BF_350'!$AM$38+'TUSD CVA'!$AM$38)*1</f>
        <v>586.44999999999993</v>
      </c>
      <c r="AA682" s="6">
        <f ca="1">('TE BE'!$AB$16+'TE BF_350'!$AB$16+'TE CVA'!$AB$16)*1</f>
        <v>231.69</v>
      </c>
      <c r="AB682" s="6">
        <f>$K$682*$V$682</f>
        <v>0</v>
      </c>
      <c r="AC682" s="6">
        <f>$M$682*$W$682</f>
        <v>301.03450000000004</v>
      </c>
      <c r="AD682" s="6">
        <f>$O$682*$X$682</f>
        <v>202.03575000000001</v>
      </c>
      <c r="AE682" s="6">
        <f>$K$682*$Y$682</f>
        <v>0</v>
      </c>
      <c r="AF682" s="6">
        <f ca="1">$M$682*$Z$682</f>
        <v>425.17624999999992</v>
      </c>
      <c r="AG682" s="6">
        <f ca="1">$O$682*$AA$682</f>
        <v>167.97524999999999</v>
      </c>
    </row>
    <row r="683" spans="1:33" ht="11.25" customHeight="1" x14ac:dyDescent="0.3">
      <c r="A683" s="4" t="s">
        <v>21</v>
      </c>
      <c r="B683" s="4" t="s">
        <v>22</v>
      </c>
      <c r="C683" s="4" t="s">
        <v>33</v>
      </c>
      <c r="D683" s="4" t="s">
        <v>24</v>
      </c>
      <c r="E683" s="4" t="s">
        <v>24</v>
      </c>
      <c r="F683" s="4" t="s">
        <v>25</v>
      </c>
      <c r="G683" s="4" t="s">
        <v>25</v>
      </c>
      <c r="H683" s="4" t="s">
        <v>36</v>
      </c>
      <c r="I683" s="5">
        <v>44531</v>
      </c>
      <c r="J683" s="6">
        <v>0</v>
      </c>
      <c r="K683" s="6">
        <v>0</v>
      </c>
      <c r="L683" s="6">
        <v>0.78200000000000003</v>
      </c>
      <c r="M683" s="6">
        <v>0.78200000000000003</v>
      </c>
      <c r="N683" s="6">
        <v>0.78200000000000003</v>
      </c>
      <c r="O683" s="6">
        <v>0.78200000000000003</v>
      </c>
      <c r="P683" s="6">
        <v>0</v>
      </c>
      <c r="Q683" s="4" t="s">
        <v>26</v>
      </c>
      <c r="R683" s="4">
        <v>0</v>
      </c>
      <c r="S683" s="6">
        <v>0</v>
      </c>
      <c r="T683" s="6">
        <v>65</v>
      </c>
      <c r="U683" s="6">
        <v>86</v>
      </c>
      <c r="V683" s="6">
        <f>IF(ISERROR(VLOOKUP($S$683,'TAR FIN'!$A$1:$O$113,15,0)),0,VLOOKUP($S$683,'TAR FIN'!$A$1:$O$113,15,0))</f>
        <v>0</v>
      </c>
      <c r="W683" s="6">
        <f>IF(ISERROR(VLOOKUP($T$683,'TAR FIN'!$A$1:$O$113,15,0)),0,VLOOKUP($T$683,'TAR FIN'!$A$1:$O$113,15,0))</f>
        <v>415.22</v>
      </c>
      <c r="X683" s="6">
        <f>IF(ISERROR(VLOOKUP($U$683,'TAR FIN'!$A$1:$O$113,15,0)),0,VLOOKUP($U$683,'TAR FIN'!$A$1:$O$113,15,0))</f>
        <v>278.67</v>
      </c>
      <c r="Y683" s="6"/>
      <c r="Z683" s="6">
        <f ca="1">('TUSD BE'!$AM$38+'TUSD BF_350'!$AM$38+'TUSD CVA'!$AM$38)*1</f>
        <v>586.44999999999993</v>
      </c>
      <c r="AA683" s="6">
        <f ca="1">('TE BE'!$AB$16+'TE BF_350'!$AB$16+'TE CVA'!$AB$16)*1</f>
        <v>231.69</v>
      </c>
      <c r="AB683" s="6">
        <f>$K$683*$V$683</f>
        <v>0</v>
      </c>
      <c r="AC683" s="6">
        <f>$M$683*$W$683</f>
        <v>324.70204000000001</v>
      </c>
      <c r="AD683" s="6">
        <f>$O$683*$X$683</f>
        <v>217.91994000000003</v>
      </c>
      <c r="AE683" s="6">
        <f>$K$683*$Y$683</f>
        <v>0</v>
      </c>
      <c r="AF683" s="6">
        <f ca="1">$M$683*$Z$683</f>
        <v>458.60389999999995</v>
      </c>
      <c r="AG683" s="6">
        <f ca="1">$O$683*$AA$683</f>
        <v>181.18158</v>
      </c>
    </row>
    <row r="684" spans="1:33" ht="11.25" customHeight="1" x14ac:dyDescent="0.3">
      <c r="A684" s="4" t="s">
        <v>21</v>
      </c>
      <c r="B684" s="4" t="s">
        <v>22</v>
      </c>
      <c r="C684" s="4" t="s">
        <v>33</v>
      </c>
      <c r="D684" s="4" t="s">
        <v>24</v>
      </c>
      <c r="E684" s="4" t="s">
        <v>24</v>
      </c>
      <c r="F684" s="4" t="s">
        <v>25</v>
      </c>
      <c r="G684" s="4" t="s">
        <v>25</v>
      </c>
      <c r="H684" s="4" t="s">
        <v>36</v>
      </c>
      <c r="I684" s="5">
        <v>44562</v>
      </c>
      <c r="J684" s="6">
        <v>0</v>
      </c>
      <c r="K684" s="6">
        <v>0</v>
      </c>
      <c r="L684" s="6">
        <v>0.89500000000000002</v>
      </c>
      <c r="M684" s="6">
        <v>0.89500000000000002</v>
      </c>
      <c r="N684" s="6">
        <v>0.89500000000000002</v>
      </c>
      <c r="O684" s="6">
        <v>0.89500000000000002</v>
      </c>
      <c r="P684" s="6">
        <v>0</v>
      </c>
      <c r="Q684" s="4" t="s">
        <v>26</v>
      </c>
      <c r="R684" s="4">
        <v>0</v>
      </c>
      <c r="S684" s="6">
        <v>0</v>
      </c>
      <c r="T684" s="6">
        <v>65</v>
      </c>
      <c r="U684" s="6">
        <v>86</v>
      </c>
      <c r="V684" s="6">
        <f>IF(ISERROR(VLOOKUP($S$684,'TAR FIN'!$A$1:$O$113,15,0)),0,VLOOKUP($S$684,'TAR FIN'!$A$1:$O$113,15,0))</f>
        <v>0</v>
      </c>
      <c r="W684" s="6">
        <f>IF(ISERROR(VLOOKUP($T$684,'TAR FIN'!$A$1:$O$113,15,0)),0,VLOOKUP($T$684,'TAR FIN'!$A$1:$O$113,15,0))</f>
        <v>415.22</v>
      </c>
      <c r="X684" s="6">
        <f>IF(ISERROR(VLOOKUP($U$684,'TAR FIN'!$A$1:$O$113,15,0)),0,VLOOKUP($U$684,'TAR FIN'!$A$1:$O$113,15,0))</f>
        <v>278.67</v>
      </c>
      <c r="Y684" s="6"/>
      <c r="Z684" s="6">
        <f ca="1">('TUSD BE'!$AM$38+'TUSD BF_350'!$AM$38+'TUSD CVA'!$AM$38)*1</f>
        <v>586.44999999999993</v>
      </c>
      <c r="AA684" s="6">
        <f ca="1">('TE BE'!$AB$16+'TE BF_350'!$AB$16+'TE CVA'!$AB$16)*1</f>
        <v>231.69</v>
      </c>
      <c r="AB684" s="6">
        <f>$K$684*$V$684</f>
        <v>0</v>
      </c>
      <c r="AC684" s="6">
        <f>$M$684*$W$684</f>
        <v>371.62190000000004</v>
      </c>
      <c r="AD684" s="6">
        <f>$O$684*$X$684</f>
        <v>249.40965000000003</v>
      </c>
      <c r="AE684" s="6">
        <f>$K$684*$Y$684</f>
        <v>0</v>
      </c>
      <c r="AF684" s="6">
        <f ca="1">$M$684*$Z$684</f>
        <v>524.87275</v>
      </c>
      <c r="AG684" s="6">
        <f ca="1">$O$684*$AA$684</f>
        <v>207.36255</v>
      </c>
    </row>
    <row r="685" spans="1:33" ht="11.25" customHeight="1" x14ac:dyDescent="0.3">
      <c r="A685" s="4" t="s">
        <v>28</v>
      </c>
      <c r="B685" s="4" t="s">
        <v>22</v>
      </c>
      <c r="C685" s="4" t="s">
        <v>33</v>
      </c>
      <c r="D685" s="4" t="s">
        <v>24</v>
      </c>
      <c r="E685" s="4" t="s">
        <v>24</v>
      </c>
      <c r="F685" s="4" t="s">
        <v>25</v>
      </c>
      <c r="G685" s="4" t="s">
        <v>25</v>
      </c>
      <c r="H685" s="4" t="s">
        <v>36</v>
      </c>
      <c r="I685" s="5">
        <v>44562</v>
      </c>
      <c r="J685" s="6">
        <v>0</v>
      </c>
      <c r="K685" s="6">
        <v>0</v>
      </c>
      <c r="L685" s="6">
        <v>9.1999999999999998E-2</v>
      </c>
      <c r="M685" s="6">
        <v>9.1999999999999998E-2</v>
      </c>
      <c r="N685" s="6">
        <v>9.1999999999999998E-2</v>
      </c>
      <c r="O685" s="6">
        <v>9.1999999999999998E-2</v>
      </c>
      <c r="P685" s="6">
        <v>0</v>
      </c>
      <c r="Q685" s="4" t="s">
        <v>26</v>
      </c>
      <c r="R685" s="4">
        <v>0</v>
      </c>
      <c r="S685" s="6">
        <v>0</v>
      </c>
      <c r="T685" s="6">
        <v>65</v>
      </c>
      <c r="U685" s="6">
        <v>86</v>
      </c>
      <c r="V685" s="6">
        <f>IF(ISERROR(VLOOKUP($S$685,'TAR FIN'!$A$1:$O$113,15,0)),0,VLOOKUP($S$685,'TAR FIN'!$A$1:$O$113,15,0))</f>
        <v>0</v>
      </c>
      <c r="W685" s="6">
        <f>IF(ISERROR(VLOOKUP($T$685,'TAR FIN'!$A$1:$O$113,15,0)),0,VLOOKUP($T$685,'TAR FIN'!$A$1:$O$113,15,0))</f>
        <v>415.22</v>
      </c>
      <c r="X685" s="6">
        <f>IF(ISERROR(VLOOKUP($U$685,'TAR FIN'!$A$1:$O$113,15,0)),0,VLOOKUP($U$685,'TAR FIN'!$A$1:$O$113,15,0))</f>
        <v>278.67</v>
      </c>
      <c r="Y685" s="6"/>
      <c r="Z685" s="6">
        <f ca="1">('TUSD BE'!$AM$38+'TUSD BF_350'!$AM$38+'TUSD CVA'!$AM$38)*1</f>
        <v>586.44999999999993</v>
      </c>
      <c r="AA685" s="6">
        <f ca="1">('TE BE'!$AB$16+'TE BF_350'!$AB$16+'TE CVA'!$AB$16)*1</f>
        <v>231.69</v>
      </c>
      <c r="AB685" s="6">
        <f>$K$685*$V$685</f>
        <v>0</v>
      </c>
      <c r="AC685" s="6">
        <f>$M$685*$W$685</f>
        <v>38.200240000000001</v>
      </c>
      <c r="AD685" s="6">
        <f>$O$685*$X$685</f>
        <v>25.637640000000001</v>
      </c>
      <c r="AE685" s="6">
        <f>$K$685*$Y$685</f>
        <v>0</v>
      </c>
      <c r="AF685" s="6">
        <f ca="1">$M$685*$Z$685</f>
        <v>53.953399999999995</v>
      </c>
      <c r="AG685" s="6">
        <f ca="1">$O$685*$AA$685</f>
        <v>21.315480000000001</v>
      </c>
    </row>
    <row r="686" spans="1:33" ht="11.25" customHeight="1" x14ac:dyDescent="0.3">
      <c r="A686" s="4" t="s">
        <v>21</v>
      </c>
      <c r="B686" s="4" t="s">
        <v>22</v>
      </c>
      <c r="C686" s="4" t="s">
        <v>33</v>
      </c>
      <c r="D686" s="4" t="s">
        <v>24</v>
      </c>
      <c r="E686" s="4" t="s">
        <v>24</v>
      </c>
      <c r="F686" s="4" t="s">
        <v>25</v>
      </c>
      <c r="G686" s="4" t="s">
        <v>25</v>
      </c>
      <c r="H686" s="4" t="s">
        <v>36</v>
      </c>
      <c r="I686" s="5">
        <v>44593</v>
      </c>
      <c r="J686" s="6">
        <v>0</v>
      </c>
      <c r="K686" s="6">
        <v>0</v>
      </c>
      <c r="L686" s="6">
        <v>0.84899999999999998</v>
      </c>
      <c r="M686" s="6">
        <v>0.84899999999999998</v>
      </c>
      <c r="N686" s="6">
        <v>0.84899999999999998</v>
      </c>
      <c r="O686" s="6">
        <v>0.84899999999999998</v>
      </c>
      <c r="P686" s="6">
        <v>0</v>
      </c>
      <c r="Q686" s="4" t="s">
        <v>26</v>
      </c>
      <c r="R686" s="4">
        <v>0</v>
      </c>
      <c r="S686" s="6">
        <v>0</v>
      </c>
      <c r="T686" s="6">
        <v>65</v>
      </c>
      <c r="U686" s="6">
        <v>86</v>
      </c>
      <c r="V686" s="6">
        <f>IF(ISERROR(VLOOKUP($S$686,'TAR FIN'!$A$1:$O$113,15,0)),0,VLOOKUP($S$686,'TAR FIN'!$A$1:$O$113,15,0))</f>
        <v>0</v>
      </c>
      <c r="W686" s="6">
        <f>IF(ISERROR(VLOOKUP($T$686,'TAR FIN'!$A$1:$O$113,15,0)),0,VLOOKUP($T$686,'TAR FIN'!$A$1:$O$113,15,0))</f>
        <v>415.22</v>
      </c>
      <c r="X686" s="6">
        <f>IF(ISERROR(VLOOKUP($U$686,'TAR FIN'!$A$1:$O$113,15,0)),0,VLOOKUP($U$686,'TAR FIN'!$A$1:$O$113,15,0))</f>
        <v>278.67</v>
      </c>
      <c r="Y686" s="6"/>
      <c r="Z686" s="6">
        <f ca="1">('TUSD BE'!$AM$38+'TUSD BF_350'!$AM$38+'TUSD CVA'!$AM$38)*1</f>
        <v>586.44999999999993</v>
      </c>
      <c r="AA686" s="6">
        <f ca="1">('TE BE'!$AB$16+'TE BF_350'!$AB$16+'TE CVA'!$AB$16)*1</f>
        <v>231.69</v>
      </c>
      <c r="AB686" s="6">
        <f>$K$686*$V$686</f>
        <v>0</v>
      </c>
      <c r="AC686" s="6">
        <f>$M$686*$W$686</f>
        <v>352.52178000000004</v>
      </c>
      <c r="AD686" s="6">
        <f>$O$686*$X$686</f>
        <v>236.59083000000001</v>
      </c>
      <c r="AE686" s="6">
        <f>$K$686*$Y$686</f>
        <v>0</v>
      </c>
      <c r="AF686" s="6">
        <f ca="1">$M$686*$Z$686</f>
        <v>497.89604999999995</v>
      </c>
      <c r="AG686" s="6">
        <f ca="1">$O$686*$AA$686</f>
        <v>196.70480999999998</v>
      </c>
    </row>
    <row r="687" spans="1:33" ht="11.25" customHeight="1" x14ac:dyDescent="0.3">
      <c r="A687" s="4" t="s">
        <v>28</v>
      </c>
      <c r="B687" s="4" t="s">
        <v>22</v>
      </c>
      <c r="C687" s="4" t="s">
        <v>33</v>
      </c>
      <c r="D687" s="4" t="s">
        <v>24</v>
      </c>
      <c r="E687" s="4" t="s">
        <v>24</v>
      </c>
      <c r="F687" s="4" t="s">
        <v>25</v>
      </c>
      <c r="G687" s="4" t="s">
        <v>25</v>
      </c>
      <c r="H687" s="4" t="s">
        <v>36</v>
      </c>
      <c r="I687" s="5">
        <v>44593</v>
      </c>
      <c r="J687" s="6">
        <v>0</v>
      </c>
      <c r="K687" s="6">
        <v>0</v>
      </c>
      <c r="L687" s="6">
        <v>9.6000000000000002E-2</v>
      </c>
      <c r="M687" s="6">
        <v>9.6000000000000002E-2</v>
      </c>
      <c r="N687" s="6">
        <v>9.6000000000000002E-2</v>
      </c>
      <c r="O687" s="6">
        <v>9.6000000000000002E-2</v>
      </c>
      <c r="P687" s="6">
        <v>0</v>
      </c>
      <c r="Q687" s="4" t="s">
        <v>26</v>
      </c>
      <c r="R687" s="4">
        <v>0</v>
      </c>
      <c r="S687" s="6">
        <v>0</v>
      </c>
      <c r="T687" s="6">
        <v>65</v>
      </c>
      <c r="U687" s="6">
        <v>86</v>
      </c>
      <c r="V687" s="6">
        <f>IF(ISERROR(VLOOKUP($S$687,'TAR FIN'!$A$1:$O$113,15,0)),0,VLOOKUP($S$687,'TAR FIN'!$A$1:$O$113,15,0))</f>
        <v>0</v>
      </c>
      <c r="W687" s="6">
        <f>IF(ISERROR(VLOOKUP($T$687,'TAR FIN'!$A$1:$O$113,15,0)),0,VLOOKUP($T$687,'TAR FIN'!$A$1:$O$113,15,0))</f>
        <v>415.22</v>
      </c>
      <c r="X687" s="6">
        <f>IF(ISERROR(VLOOKUP($U$687,'TAR FIN'!$A$1:$O$113,15,0)),0,VLOOKUP($U$687,'TAR FIN'!$A$1:$O$113,15,0))</f>
        <v>278.67</v>
      </c>
      <c r="Y687" s="6"/>
      <c r="Z687" s="6">
        <f ca="1">('TUSD BE'!$AM$38+'TUSD BF_350'!$AM$38+'TUSD CVA'!$AM$38)*1</f>
        <v>586.44999999999993</v>
      </c>
      <c r="AA687" s="6">
        <f ca="1">('TE BE'!$AB$16+'TE BF_350'!$AB$16+'TE CVA'!$AB$16)*1</f>
        <v>231.69</v>
      </c>
      <c r="AB687" s="6">
        <f>$K$687*$V$687</f>
        <v>0</v>
      </c>
      <c r="AC687" s="6">
        <f>$M$687*$W$687</f>
        <v>39.861120000000007</v>
      </c>
      <c r="AD687" s="6">
        <f>$O$687*$X$687</f>
        <v>26.752320000000001</v>
      </c>
      <c r="AE687" s="6">
        <f>$K$687*$Y$687</f>
        <v>0</v>
      </c>
      <c r="AF687" s="6">
        <f ca="1">$M$687*$Z$687</f>
        <v>56.299199999999992</v>
      </c>
      <c r="AG687" s="6">
        <f ca="1">$O$687*$AA$687</f>
        <v>22.242239999999999</v>
      </c>
    </row>
    <row r="688" spans="1:33" ht="11.25" customHeight="1" x14ac:dyDescent="0.3">
      <c r="A688" s="4" t="s">
        <v>21</v>
      </c>
      <c r="B688" s="4" t="s">
        <v>22</v>
      </c>
      <c r="C688" s="4" t="s">
        <v>33</v>
      </c>
      <c r="D688" s="4" t="s">
        <v>24</v>
      </c>
      <c r="E688" s="4" t="s">
        <v>24</v>
      </c>
      <c r="F688" s="4" t="s">
        <v>25</v>
      </c>
      <c r="G688" s="4" t="s">
        <v>25</v>
      </c>
      <c r="H688" s="4" t="s">
        <v>36</v>
      </c>
      <c r="I688" s="5">
        <v>44621</v>
      </c>
      <c r="J688" s="6">
        <v>0</v>
      </c>
      <c r="K688" s="6">
        <v>0</v>
      </c>
      <c r="L688" s="6">
        <v>0.84099999999999997</v>
      </c>
      <c r="M688" s="6">
        <v>0.84099999999999997</v>
      </c>
      <c r="N688" s="6">
        <v>0.84099999999999997</v>
      </c>
      <c r="O688" s="6">
        <v>0.84099999999999997</v>
      </c>
      <c r="P688" s="6">
        <v>0</v>
      </c>
      <c r="Q688" s="4" t="s">
        <v>26</v>
      </c>
      <c r="R688" s="4">
        <v>0</v>
      </c>
      <c r="S688" s="6">
        <v>0</v>
      </c>
      <c r="T688" s="6">
        <v>65</v>
      </c>
      <c r="U688" s="6">
        <v>86</v>
      </c>
      <c r="V688" s="6">
        <f>IF(ISERROR(VLOOKUP($S$688,'TAR FIN'!$A$1:$O$113,15,0)),0,VLOOKUP($S$688,'TAR FIN'!$A$1:$O$113,15,0))</f>
        <v>0</v>
      </c>
      <c r="W688" s="6">
        <f>IF(ISERROR(VLOOKUP($T$688,'TAR FIN'!$A$1:$O$113,15,0)),0,VLOOKUP($T$688,'TAR FIN'!$A$1:$O$113,15,0))</f>
        <v>415.22</v>
      </c>
      <c r="X688" s="6">
        <f>IF(ISERROR(VLOOKUP($U$688,'TAR FIN'!$A$1:$O$113,15,0)),0,VLOOKUP($U$688,'TAR FIN'!$A$1:$O$113,15,0))</f>
        <v>278.67</v>
      </c>
      <c r="Y688" s="6"/>
      <c r="Z688" s="6">
        <f ca="1">('TUSD BE'!$AM$38+'TUSD BF_350'!$AM$38+'TUSD CVA'!$AM$38)*1</f>
        <v>586.44999999999993</v>
      </c>
      <c r="AA688" s="6">
        <f ca="1">('TE BE'!$AB$16+'TE BF_350'!$AB$16+'TE CVA'!$AB$16)*1</f>
        <v>231.69</v>
      </c>
      <c r="AB688" s="6">
        <f>$K$688*$V$688</f>
        <v>0</v>
      </c>
      <c r="AC688" s="6">
        <f>$M$688*$W$688</f>
        <v>349.20001999999999</v>
      </c>
      <c r="AD688" s="6">
        <f>$O$688*$X$688</f>
        <v>234.36147</v>
      </c>
      <c r="AE688" s="6">
        <f>$K$688*$Y$688</f>
        <v>0</v>
      </c>
      <c r="AF688" s="6">
        <f ca="1">$M$688*$Z$688</f>
        <v>493.20444999999995</v>
      </c>
      <c r="AG688" s="6">
        <f ca="1">$O$688*$AA$688</f>
        <v>194.85128999999998</v>
      </c>
    </row>
    <row r="689" spans="1:33" ht="11.25" customHeight="1" x14ac:dyDescent="0.3">
      <c r="A689" s="4" t="s">
        <v>28</v>
      </c>
      <c r="B689" s="4" t="s">
        <v>22</v>
      </c>
      <c r="C689" s="4" t="s">
        <v>33</v>
      </c>
      <c r="D689" s="4" t="s">
        <v>24</v>
      </c>
      <c r="E689" s="4" t="s">
        <v>24</v>
      </c>
      <c r="F689" s="4" t="s">
        <v>25</v>
      </c>
      <c r="G689" s="4" t="s">
        <v>25</v>
      </c>
      <c r="H689" s="4" t="s">
        <v>36</v>
      </c>
      <c r="I689" s="5">
        <v>44621</v>
      </c>
      <c r="J689" s="6">
        <v>0</v>
      </c>
      <c r="K689" s="6">
        <v>0</v>
      </c>
      <c r="L689" s="6">
        <v>7.9000000000000001E-2</v>
      </c>
      <c r="M689" s="6">
        <v>7.9000000000000001E-2</v>
      </c>
      <c r="N689" s="6">
        <v>7.9000000000000001E-2</v>
      </c>
      <c r="O689" s="6">
        <v>7.9000000000000001E-2</v>
      </c>
      <c r="P689" s="6">
        <v>0</v>
      </c>
      <c r="Q689" s="4" t="s">
        <v>26</v>
      </c>
      <c r="R689" s="4">
        <v>0</v>
      </c>
      <c r="S689" s="6">
        <v>0</v>
      </c>
      <c r="T689" s="6">
        <v>65</v>
      </c>
      <c r="U689" s="6">
        <v>86</v>
      </c>
      <c r="V689" s="6">
        <f>IF(ISERROR(VLOOKUP($S$689,'TAR FIN'!$A$1:$O$113,15,0)),0,VLOOKUP($S$689,'TAR FIN'!$A$1:$O$113,15,0))</f>
        <v>0</v>
      </c>
      <c r="W689" s="6">
        <f>IF(ISERROR(VLOOKUP($T$689,'TAR FIN'!$A$1:$O$113,15,0)),0,VLOOKUP($T$689,'TAR FIN'!$A$1:$O$113,15,0))</f>
        <v>415.22</v>
      </c>
      <c r="X689" s="6">
        <f>IF(ISERROR(VLOOKUP($U$689,'TAR FIN'!$A$1:$O$113,15,0)),0,VLOOKUP($U$689,'TAR FIN'!$A$1:$O$113,15,0))</f>
        <v>278.67</v>
      </c>
      <c r="Y689" s="6"/>
      <c r="Z689" s="6">
        <f ca="1">('TUSD BE'!$AM$38+'TUSD BF_350'!$AM$38+'TUSD CVA'!$AM$38)*1</f>
        <v>586.44999999999993</v>
      </c>
      <c r="AA689" s="6">
        <f ca="1">('TE BE'!$AB$16+'TE BF_350'!$AB$16+'TE CVA'!$AB$16)*1</f>
        <v>231.69</v>
      </c>
      <c r="AB689" s="6">
        <f>$K$689*$V$689</f>
        <v>0</v>
      </c>
      <c r="AC689" s="6">
        <f>$M$689*$W$689</f>
        <v>32.802379999999999</v>
      </c>
      <c r="AD689" s="6">
        <f>$O$689*$X$689</f>
        <v>22.014930000000003</v>
      </c>
      <c r="AE689" s="6">
        <f>$K$689*$Y$689</f>
        <v>0</v>
      </c>
      <c r="AF689" s="6">
        <f ca="1">$M$689*$Z$689</f>
        <v>46.329549999999998</v>
      </c>
      <c r="AG689" s="6">
        <f ca="1">$O$689*$AA$689</f>
        <v>18.303509999999999</v>
      </c>
    </row>
    <row r="690" spans="1:33" ht="11.25" customHeight="1" x14ac:dyDescent="0.3">
      <c r="A690" s="4" t="s">
        <v>21</v>
      </c>
      <c r="B690" s="4" t="s">
        <v>22</v>
      </c>
      <c r="C690" s="4" t="s">
        <v>33</v>
      </c>
      <c r="D690" s="4" t="s">
        <v>24</v>
      </c>
      <c r="E690" s="4" t="s">
        <v>24</v>
      </c>
      <c r="F690" s="4" t="s">
        <v>25</v>
      </c>
      <c r="G690" s="4" t="s">
        <v>25</v>
      </c>
      <c r="H690" s="4" t="s">
        <v>36</v>
      </c>
      <c r="I690" s="5">
        <v>44652</v>
      </c>
      <c r="J690" s="6">
        <v>0</v>
      </c>
      <c r="K690" s="6">
        <v>0</v>
      </c>
      <c r="L690" s="6">
        <v>0.78700000000000003</v>
      </c>
      <c r="M690" s="6">
        <v>0.78700000000000003</v>
      </c>
      <c r="N690" s="6">
        <v>0.78700000000000003</v>
      </c>
      <c r="O690" s="6">
        <v>0.78700000000000003</v>
      </c>
      <c r="P690" s="6">
        <v>0</v>
      </c>
      <c r="Q690" s="4" t="s">
        <v>26</v>
      </c>
      <c r="R690" s="4">
        <v>0</v>
      </c>
      <c r="S690" s="6">
        <v>0</v>
      </c>
      <c r="T690" s="6">
        <v>65</v>
      </c>
      <c r="U690" s="6">
        <v>86</v>
      </c>
      <c r="V690" s="6">
        <f>IF(ISERROR(VLOOKUP($S$690,'TAR FIN'!$A$1:$O$113,15,0)),0,VLOOKUP($S$690,'TAR FIN'!$A$1:$O$113,15,0))</f>
        <v>0</v>
      </c>
      <c r="W690" s="6">
        <f>IF(ISERROR(VLOOKUP($T$690,'TAR FIN'!$A$1:$O$113,15,0)),0,VLOOKUP($T$690,'TAR FIN'!$A$1:$O$113,15,0))</f>
        <v>415.22</v>
      </c>
      <c r="X690" s="6">
        <f>IF(ISERROR(VLOOKUP($U$690,'TAR FIN'!$A$1:$O$113,15,0)),0,VLOOKUP($U$690,'TAR FIN'!$A$1:$O$113,15,0))</f>
        <v>278.67</v>
      </c>
      <c r="Y690" s="6"/>
      <c r="Z690" s="6">
        <f ca="1">('TUSD BE'!$AM$38+'TUSD BF_350'!$AM$38+'TUSD CVA'!$AM$38)*1</f>
        <v>586.44999999999993</v>
      </c>
      <c r="AA690" s="6">
        <f ca="1">('TE BE'!$AB$16+'TE BF_350'!$AB$16+'TE CVA'!$AB$16)*1</f>
        <v>231.69</v>
      </c>
      <c r="AB690" s="6">
        <f>$K$690*$V$690</f>
        <v>0</v>
      </c>
      <c r="AC690" s="6">
        <f>$M$690*$W$690</f>
        <v>326.77814000000001</v>
      </c>
      <c r="AD690" s="6">
        <f>$O$690*$X$690</f>
        <v>219.31329000000002</v>
      </c>
      <c r="AE690" s="6">
        <f>$K$690*$Y$690</f>
        <v>0</v>
      </c>
      <c r="AF690" s="6">
        <f ca="1">$M$690*$Z$690</f>
        <v>461.53614999999996</v>
      </c>
      <c r="AG690" s="6">
        <f ca="1">$O$690*$AA$690</f>
        <v>182.34003000000001</v>
      </c>
    </row>
    <row r="691" spans="1:33" ht="11.25" customHeight="1" x14ac:dyDescent="0.3">
      <c r="A691" s="4" t="s">
        <v>28</v>
      </c>
      <c r="B691" s="4" t="s">
        <v>22</v>
      </c>
      <c r="C691" s="4" t="s">
        <v>33</v>
      </c>
      <c r="D691" s="4" t="s">
        <v>24</v>
      </c>
      <c r="E691" s="4" t="s">
        <v>24</v>
      </c>
      <c r="F691" s="4" t="s">
        <v>25</v>
      </c>
      <c r="G691" s="4" t="s">
        <v>25</v>
      </c>
      <c r="H691" s="4" t="s">
        <v>36</v>
      </c>
      <c r="I691" s="5">
        <v>44652</v>
      </c>
      <c r="J691" s="6">
        <v>0</v>
      </c>
      <c r="K691" s="6">
        <v>0</v>
      </c>
      <c r="L691" s="6">
        <v>8.5999999999999993E-2</v>
      </c>
      <c r="M691" s="6">
        <v>8.5999999999999993E-2</v>
      </c>
      <c r="N691" s="6">
        <v>8.5999999999999993E-2</v>
      </c>
      <c r="O691" s="6">
        <v>8.5999999999999993E-2</v>
      </c>
      <c r="P691" s="6">
        <v>0</v>
      </c>
      <c r="Q691" s="4" t="s">
        <v>26</v>
      </c>
      <c r="R691" s="4">
        <v>0</v>
      </c>
      <c r="S691" s="6">
        <v>0</v>
      </c>
      <c r="T691" s="6">
        <v>65</v>
      </c>
      <c r="U691" s="6">
        <v>86</v>
      </c>
      <c r="V691" s="6">
        <f>IF(ISERROR(VLOOKUP($S$691,'TAR FIN'!$A$1:$O$113,15,0)),0,VLOOKUP($S$691,'TAR FIN'!$A$1:$O$113,15,0))</f>
        <v>0</v>
      </c>
      <c r="W691" s="6">
        <f>IF(ISERROR(VLOOKUP($T$691,'TAR FIN'!$A$1:$O$113,15,0)),0,VLOOKUP($T$691,'TAR FIN'!$A$1:$O$113,15,0))</f>
        <v>415.22</v>
      </c>
      <c r="X691" s="6">
        <f>IF(ISERROR(VLOOKUP($U$691,'TAR FIN'!$A$1:$O$113,15,0)),0,VLOOKUP($U$691,'TAR FIN'!$A$1:$O$113,15,0))</f>
        <v>278.67</v>
      </c>
      <c r="Y691" s="6"/>
      <c r="Z691" s="6">
        <f ca="1">('TUSD BE'!$AM$38+'TUSD BF_350'!$AM$38+'TUSD CVA'!$AM$38)*1</f>
        <v>586.44999999999993</v>
      </c>
      <c r="AA691" s="6">
        <f ca="1">('TE BE'!$AB$16+'TE BF_350'!$AB$16+'TE CVA'!$AB$16)*1</f>
        <v>231.69</v>
      </c>
      <c r="AB691" s="6">
        <f>$K$691*$V$691</f>
        <v>0</v>
      </c>
      <c r="AC691" s="6">
        <f>$M$691*$W$691</f>
        <v>35.708919999999999</v>
      </c>
      <c r="AD691" s="6">
        <f>$O$691*$X$691</f>
        <v>23.965619999999998</v>
      </c>
      <c r="AE691" s="6">
        <f>$K$691*$Y$691</f>
        <v>0</v>
      </c>
      <c r="AF691" s="6">
        <f ca="1">$M$691*$Z$691</f>
        <v>50.434699999999992</v>
      </c>
      <c r="AG691" s="6">
        <f ca="1">$O$691*$AA$691</f>
        <v>19.925339999999998</v>
      </c>
    </row>
    <row r="692" spans="1:33" ht="11.25" customHeight="1" x14ac:dyDescent="0.3">
      <c r="A692" s="4" t="s">
        <v>21</v>
      </c>
      <c r="B692" s="4" t="s">
        <v>22</v>
      </c>
      <c r="C692" s="4" t="s">
        <v>33</v>
      </c>
      <c r="D692" s="4" t="s">
        <v>24</v>
      </c>
      <c r="E692" s="4" t="s">
        <v>24</v>
      </c>
      <c r="F692" s="4" t="s">
        <v>25</v>
      </c>
      <c r="G692" s="4" t="s">
        <v>25</v>
      </c>
      <c r="H692" s="4" t="s">
        <v>36</v>
      </c>
      <c r="I692" s="5">
        <v>44682</v>
      </c>
      <c r="J692" s="6">
        <v>0</v>
      </c>
      <c r="K692" s="6">
        <v>0</v>
      </c>
      <c r="L692" s="6">
        <v>1.282</v>
      </c>
      <c r="M692" s="6">
        <v>1.282</v>
      </c>
      <c r="N692" s="6">
        <v>1.282</v>
      </c>
      <c r="O692" s="6">
        <v>1.282</v>
      </c>
      <c r="P692" s="6">
        <v>0</v>
      </c>
      <c r="Q692" s="4" t="s">
        <v>26</v>
      </c>
      <c r="R692" s="4">
        <v>0</v>
      </c>
      <c r="S692" s="6">
        <v>0</v>
      </c>
      <c r="T692" s="6">
        <v>65</v>
      </c>
      <c r="U692" s="6">
        <v>86</v>
      </c>
      <c r="V692" s="6">
        <f>IF(ISERROR(VLOOKUP($S$692,'TAR FIN'!$A$1:$O$113,15,0)),0,VLOOKUP($S$692,'TAR FIN'!$A$1:$O$113,15,0))</f>
        <v>0</v>
      </c>
      <c r="W692" s="6">
        <f>IF(ISERROR(VLOOKUP($T$692,'TAR FIN'!$A$1:$O$113,15,0)),0,VLOOKUP($T$692,'TAR FIN'!$A$1:$O$113,15,0))</f>
        <v>415.22</v>
      </c>
      <c r="X692" s="6">
        <f>IF(ISERROR(VLOOKUP($U$692,'TAR FIN'!$A$1:$O$113,15,0)),0,VLOOKUP($U$692,'TAR FIN'!$A$1:$O$113,15,0))</f>
        <v>278.67</v>
      </c>
      <c r="Y692" s="6"/>
      <c r="Z692" s="6">
        <f ca="1">('TUSD BE'!$AM$38+'TUSD BF_350'!$AM$38+'TUSD CVA'!$AM$38)*1</f>
        <v>586.44999999999993</v>
      </c>
      <c r="AA692" s="6">
        <f ca="1">('TE BE'!$AB$16+'TE BF_350'!$AB$16+'TE CVA'!$AB$16)*1</f>
        <v>231.69</v>
      </c>
      <c r="AB692" s="6">
        <f>$K$692*$V$692</f>
        <v>0</v>
      </c>
      <c r="AC692" s="6">
        <f>$M$692*$W$692</f>
        <v>532.31204000000002</v>
      </c>
      <c r="AD692" s="6">
        <f>$O$692*$X$692</f>
        <v>357.25494000000003</v>
      </c>
      <c r="AE692" s="6">
        <f>$K$692*$Y$692</f>
        <v>0</v>
      </c>
      <c r="AF692" s="6">
        <f ca="1">$M$692*$Z$692</f>
        <v>751.82889999999998</v>
      </c>
      <c r="AG692" s="6">
        <f ca="1">$O$692*$AA$692</f>
        <v>297.02658000000002</v>
      </c>
    </row>
    <row r="693" spans="1:33" ht="11.25" customHeight="1" x14ac:dyDescent="0.3">
      <c r="A693" s="4" t="s">
        <v>28</v>
      </c>
      <c r="B693" s="4" t="s">
        <v>22</v>
      </c>
      <c r="C693" s="4" t="s">
        <v>33</v>
      </c>
      <c r="D693" s="4" t="s">
        <v>24</v>
      </c>
      <c r="E693" s="4" t="s">
        <v>24</v>
      </c>
      <c r="F693" s="4" t="s">
        <v>25</v>
      </c>
      <c r="G693" s="4" t="s">
        <v>25</v>
      </c>
      <c r="H693" s="4" t="s">
        <v>36</v>
      </c>
      <c r="I693" s="5">
        <v>44682</v>
      </c>
      <c r="J693" s="6">
        <v>0</v>
      </c>
      <c r="K693" s="6">
        <v>0</v>
      </c>
      <c r="L693" s="6">
        <v>0.11</v>
      </c>
      <c r="M693" s="6">
        <v>0.11</v>
      </c>
      <c r="N693" s="6">
        <v>0.11</v>
      </c>
      <c r="O693" s="6">
        <v>0.11</v>
      </c>
      <c r="P693" s="6">
        <v>0</v>
      </c>
      <c r="Q693" s="4" t="s">
        <v>26</v>
      </c>
      <c r="R693" s="4">
        <v>0</v>
      </c>
      <c r="S693" s="6">
        <v>0</v>
      </c>
      <c r="T693" s="6">
        <v>65</v>
      </c>
      <c r="U693" s="6">
        <v>86</v>
      </c>
      <c r="V693" s="6">
        <f>IF(ISERROR(VLOOKUP($S$693,'TAR FIN'!$A$1:$O$113,15,0)),0,VLOOKUP($S$693,'TAR FIN'!$A$1:$O$113,15,0))</f>
        <v>0</v>
      </c>
      <c r="W693" s="6">
        <f>IF(ISERROR(VLOOKUP($T$693,'TAR FIN'!$A$1:$O$113,15,0)),0,VLOOKUP($T$693,'TAR FIN'!$A$1:$O$113,15,0))</f>
        <v>415.22</v>
      </c>
      <c r="X693" s="6">
        <f>IF(ISERROR(VLOOKUP($U$693,'TAR FIN'!$A$1:$O$113,15,0)),0,VLOOKUP($U$693,'TAR FIN'!$A$1:$O$113,15,0))</f>
        <v>278.67</v>
      </c>
      <c r="Y693" s="6"/>
      <c r="Z693" s="6">
        <f ca="1">('TUSD BE'!$AM$38+'TUSD BF_350'!$AM$38+'TUSD CVA'!$AM$38)*1</f>
        <v>586.44999999999993</v>
      </c>
      <c r="AA693" s="6">
        <f ca="1">('TE BE'!$AB$16+'TE BF_350'!$AB$16+'TE CVA'!$AB$16)*1</f>
        <v>231.69</v>
      </c>
      <c r="AB693" s="6">
        <f>$K$693*$V$693</f>
        <v>0</v>
      </c>
      <c r="AC693" s="6">
        <f>$M$693*$W$693</f>
        <v>45.674200000000006</v>
      </c>
      <c r="AD693" s="6">
        <f>$O$693*$X$693</f>
        <v>30.653700000000001</v>
      </c>
      <c r="AE693" s="6">
        <f>$K$693*$Y$693</f>
        <v>0</v>
      </c>
      <c r="AF693" s="6">
        <f ca="1">$M$693*$Z$693</f>
        <v>64.509499999999989</v>
      </c>
      <c r="AG693" s="6">
        <f ca="1">$O$693*$AA$693</f>
        <v>25.485900000000001</v>
      </c>
    </row>
    <row r="694" spans="1:33" ht="11.25" customHeight="1" x14ac:dyDescent="0.3">
      <c r="A694" s="4" t="s">
        <v>21</v>
      </c>
      <c r="B694" s="4" t="s">
        <v>22</v>
      </c>
      <c r="C694" s="4" t="s">
        <v>33</v>
      </c>
      <c r="D694" s="4" t="s">
        <v>24</v>
      </c>
      <c r="E694" s="4" t="s">
        <v>24</v>
      </c>
      <c r="F694" s="4" t="s">
        <v>25</v>
      </c>
      <c r="G694" s="4" t="s">
        <v>25</v>
      </c>
      <c r="H694" s="4" t="s">
        <v>36</v>
      </c>
      <c r="I694" s="5">
        <v>44713</v>
      </c>
      <c r="J694" s="6">
        <v>0</v>
      </c>
      <c r="K694" s="6">
        <v>0</v>
      </c>
      <c r="L694" s="6">
        <v>0.621</v>
      </c>
      <c r="M694" s="6">
        <v>0.621</v>
      </c>
      <c r="N694" s="6">
        <v>0.621</v>
      </c>
      <c r="O694" s="6">
        <v>0.621</v>
      </c>
      <c r="P694" s="6">
        <v>0</v>
      </c>
      <c r="Q694" s="4" t="s">
        <v>26</v>
      </c>
      <c r="R694" s="4">
        <v>0</v>
      </c>
      <c r="S694" s="6">
        <v>0</v>
      </c>
      <c r="T694" s="6">
        <v>65</v>
      </c>
      <c r="U694" s="6">
        <v>86</v>
      </c>
      <c r="V694" s="6">
        <f>IF(ISERROR(VLOOKUP($S$694,'TAR FIN'!$A$1:$O$113,15,0)),0,VLOOKUP($S$694,'TAR FIN'!$A$1:$O$113,15,0))</f>
        <v>0</v>
      </c>
      <c r="W694" s="6">
        <f>IF(ISERROR(VLOOKUP($T$694,'TAR FIN'!$A$1:$O$113,15,0)),0,VLOOKUP($T$694,'TAR FIN'!$A$1:$O$113,15,0))</f>
        <v>415.22</v>
      </c>
      <c r="X694" s="6">
        <f>IF(ISERROR(VLOOKUP($U$694,'TAR FIN'!$A$1:$O$113,15,0)),0,VLOOKUP($U$694,'TAR FIN'!$A$1:$O$113,15,0))</f>
        <v>278.67</v>
      </c>
      <c r="Y694" s="6"/>
      <c r="Z694" s="6">
        <f ca="1">('TUSD BE'!$AM$38+'TUSD BF_350'!$AM$38+'TUSD CVA'!$AM$38)*1</f>
        <v>586.44999999999993</v>
      </c>
      <c r="AA694" s="6">
        <f ca="1">('TE BE'!$AB$16+'TE BF_350'!$AB$16+'TE CVA'!$AB$16)*1</f>
        <v>231.69</v>
      </c>
      <c r="AB694" s="6">
        <f>$K$694*$V$694</f>
        <v>0</v>
      </c>
      <c r="AC694" s="6">
        <f>$M$694*$W$694</f>
        <v>257.85162000000003</v>
      </c>
      <c r="AD694" s="6">
        <f>$O$694*$X$694</f>
        <v>173.05407</v>
      </c>
      <c r="AE694" s="6">
        <f>$K$694*$Y$694</f>
        <v>0</v>
      </c>
      <c r="AF694" s="6">
        <f ca="1">$M$694*$Z$694</f>
        <v>364.18544999999995</v>
      </c>
      <c r="AG694" s="6">
        <f ca="1">$O$694*$AA$694</f>
        <v>143.87949</v>
      </c>
    </row>
    <row r="695" spans="1:33" ht="11.25" customHeight="1" x14ac:dyDescent="0.3">
      <c r="A695" s="4" t="s">
        <v>28</v>
      </c>
      <c r="B695" s="4" t="s">
        <v>22</v>
      </c>
      <c r="C695" s="4" t="s">
        <v>33</v>
      </c>
      <c r="D695" s="4" t="s">
        <v>24</v>
      </c>
      <c r="E695" s="4" t="s">
        <v>24</v>
      </c>
      <c r="F695" s="4" t="s">
        <v>25</v>
      </c>
      <c r="G695" s="4" t="s">
        <v>25</v>
      </c>
      <c r="H695" s="4" t="s">
        <v>36</v>
      </c>
      <c r="I695" s="5">
        <v>44713</v>
      </c>
      <c r="J695" s="6">
        <v>0</v>
      </c>
      <c r="K695" s="6">
        <v>0</v>
      </c>
      <c r="L695" s="6">
        <v>0.11700000000000001</v>
      </c>
      <c r="M695" s="6">
        <v>0.11700000000000001</v>
      </c>
      <c r="N695" s="6">
        <v>0.11700000000000001</v>
      </c>
      <c r="O695" s="6">
        <v>0.11700000000000001</v>
      </c>
      <c r="P695" s="6">
        <v>0</v>
      </c>
      <c r="Q695" s="4" t="s">
        <v>26</v>
      </c>
      <c r="R695" s="4">
        <v>0</v>
      </c>
      <c r="S695" s="6">
        <v>0</v>
      </c>
      <c r="T695" s="6">
        <v>65</v>
      </c>
      <c r="U695" s="6">
        <v>86</v>
      </c>
      <c r="V695" s="6">
        <f>IF(ISERROR(VLOOKUP($S$695,'TAR FIN'!$A$1:$O$113,15,0)),0,VLOOKUP($S$695,'TAR FIN'!$A$1:$O$113,15,0))</f>
        <v>0</v>
      </c>
      <c r="W695" s="6">
        <f>IF(ISERROR(VLOOKUP($T$695,'TAR FIN'!$A$1:$O$113,15,0)),0,VLOOKUP($T$695,'TAR FIN'!$A$1:$O$113,15,0))</f>
        <v>415.22</v>
      </c>
      <c r="X695" s="6">
        <f>IF(ISERROR(VLOOKUP($U$695,'TAR FIN'!$A$1:$O$113,15,0)),0,VLOOKUP($U$695,'TAR FIN'!$A$1:$O$113,15,0))</f>
        <v>278.67</v>
      </c>
      <c r="Y695" s="6"/>
      <c r="Z695" s="6">
        <f ca="1">('TUSD BE'!$AM$38+'TUSD BF_350'!$AM$38+'TUSD CVA'!$AM$38)*1</f>
        <v>586.44999999999993</v>
      </c>
      <c r="AA695" s="6">
        <f ca="1">('TE BE'!$AB$16+'TE BF_350'!$AB$16+'TE CVA'!$AB$16)*1</f>
        <v>231.69</v>
      </c>
      <c r="AB695" s="6">
        <f>$K$695*$V$695</f>
        <v>0</v>
      </c>
      <c r="AC695" s="6">
        <f>$M$695*$W$695</f>
        <v>48.580740000000006</v>
      </c>
      <c r="AD695" s="6">
        <f>$O$695*$X$695</f>
        <v>32.604390000000002</v>
      </c>
      <c r="AE695" s="6">
        <f>$K$695*$Y$695</f>
        <v>0</v>
      </c>
      <c r="AF695" s="6">
        <f ca="1">$M$695*$Z$695</f>
        <v>68.614649999999997</v>
      </c>
      <c r="AG695" s="6">
        <f ca="1">$O$695*$AA$695</f>
        <v>27.10773</v>
      </c>
    </row>
    <row r="696" spans="1:33" ht="11.25" customHeight="1" x14ac:dyDescent="0.3">
      <c r="A696" s="4" t="s">
        <v>21</v>
      </c>
      <c r="B696" s="4" t="s">
        <v>22</v>
      </c>
      <c r="C696" s="4" t="s">
        <v>33</v>
      </c>
      <c r="D696" s="4" t="s">
        <v>24</v>
      </c>
      <c r="E696" s="4" t="s">
        <v>24</v>
      </c>
      <c r="F696" s="4" t="s">
        <v>25</v>
      </c>
      <c r="G696" s="4" t="s">
        <v>25</v>
      </c>
      <c r="H696" s="4" t="s">
        <v>36</v>
      </c>
      <c r="I696" s="5">
        <v>44743</v>
      </c>
      <c r="J696" s="6">
        <v>0</v>
      </c>
      <c r="K696" s="6">
        <v>0</v>
      </c>
      <c r="L696" s="6">
        <v>1.0229999999999999</v>
      </c>
      <c r="M696" s="6">
        <v>1.0229999999999999</v>
      </c>
      <c r="N696" s="6">
        <v>1.0229999999999999</v>
      </c>
      <c r="O696" s="6">
        <v>1.0229999999999999</v>
      </c>
      <c r="P696" s="6">
        <v>0</v>
      </c>
      <c r="Q696" s="4" t="s">
        <v>26</v>
      </c>
      <c r="R696" s="4">
        <v>0</v>
      </c>
      <c r="S696" s="6">
        <v>0</v>
      </c>
      <c r="T696" s="6">
        <v>65</v>
      </c>
      <c r="U696" s="6">
        <v>86</v>
      </c>
      <c r="V696" s="6">
        <f>IF(ISERROR(VLOOKUP($S$696,'TAR FIN'!$A$1:$O$113,15,0)),0,VLOOKUP($S$696,'TAR FIN'!$A$1:$O$113,15,0))</f>
        <v>0</v>
      </c>
      <c r="W696" s="6">
        <f>IF(ISERROR(VLOOKUP($T$696,'TAR FIN'!$A$1:$O$113,15,0)),0,VLOOKUP($T$696,'TAR FIN'!$A$1:$O$113,15,0))</f>
        <v>415.22</v>
      </c>
      <c r="X696" s="6">
        <f>IF(ISERROR(VLOOKUP($U$696,'TAR FIN'!$A$1:$O$113,15,0)),0,VLOOKUP($U$696,'TAR FIN'!$A$1:$O$113,15,0))</f>
        <v>278.67</v>
      </c>
      <c r="Y696" s="6"/>
      <c r="Z696" s="6">
        <f ca="1">('TUSD BE'!$AM$38+'TUSD BF_350'!$AM$38+'TUSD CVA'!$AM$38)*1</f>
        <v>586.44999999999993</v>
      </c>
      <c r="AA696" s="6">
        <f ca="1">('TE BE'!$AB$16+'TE BF_350'!$AB$16+'TE CVA'!$AB$16)*1</f>
        <v>231.69</v>
      </c>
      <c r="AB696" s="6">
        <f>$K$696*$V$696</f>
        <v>0</v>
      </c>
      <c r="AC696" s="6">
        <f>$M$696*$W$696</f>
        <v>424.77006</v>
      </c>
      <c r="AD696" s="6">
        <f>$O$696*$X$696</f>
        <v>285.07941</v>
      </c>
      <c r="AE696" s="6">
        <f>$K$696*$Y$696</f>
        <v>0</v>
      </c>
      <c r="AF696" s="6">
        <f ca="1">$M$696*$Z$696</f>
        <v>599.9383499999999</v>
      </c>
      <c r="AG696" s="6">
        <f ca="1">$O$696*$AA$696</f>
        <v>237.01886999999996</v>
      </c>
    </row>
    <row r="697" spans="1:33" ht="11.25" customHeight="1" x14ac:dyDescent="0.3">
      <c r="A697" s="4" t="s">
        <v>21</v>
      </c>
      <c r="B697" s="4" t="s">
        <v>22</v>
      </c>
      <c r="C697" s="4" t="s">
        <v>33</v>
      </c>
      <c r="D697" s="4" t="s">
        <v>24</v>
      </c>
      <c r="E697" s="4" t="s">
        <v>24</v>
      </c>
      <c r="F697" s="4" t="s">
        <v>25</v>
      </c>
      <c r="G697" s="4" t="s">
        <v>25</v>
      </c>
      <c r="H697" s="4" t="s">
        <v>36</v>
      </c>
      <c r="I697" s="5">
        <v>44774</v>
      </c>
      <c r="J697" s="6">
        <v>0</v>
      </c>
      <c r="K697" s="6">
        <v>0</v>
      </c>
      <c r="L697" s="6">
        <v>0.70899999999999996</v>
      </c>
      <c r="M697" s="6">
        <v>0.70899999999999996</v>
      </c>
      <c r="N697" s="6">
        <v>0.70899999999999996</v>
      </c>
      <c r="O697" s="6">
        <v>0.70899999999999996</v>
      </c>
      <c r="P697" s="6">
        <v>0</v>
      </c>
      <c r="Q697" s="4" t="s">
        <v>26</v>
      </c>
      <c r="R697" s="4">
        <v>0</v>
      </c>
      <c r="S697" s="6">
        <v>0</v>
      </c>
      <c r="T697" s="6">
        <v>65</v>
      </c>
      <c r="U697" s="6">
        <v>86</v>
      </c>
      <c r="V697" s="6">
        <f>IF(ISERROR(VLOOKUP($S$697,'TAR FIN'!$A$1:$O$113,15,0)),0,VLOOKUP($S$697,'TAR FIN'!$A$1:$O$113,15,0))</f>
        <v>0</v>
      </c>
      <c r="W697" s="6">
        <f>IF(ISERROR(VLOOKUP($T$697,'TAR FIN'!$A$1:$O$113,15,0)),0,VLOOKUP($T$697,'TAR FIN'!$A$1:$O$113,15,0))</f>
        <v>415.22</v>
      </c>
      <c r="X697" s="6">
        <f>IF(ISERROR(VLOOKUP($U$697,'TAR FIN'!$A$1:$O$113,15,0)),0,VLOOKUP($U$697,'TAR FIN'!$A$1:$O$113,15,0))</f>
        <v>278.67</v>
      </c>
      <c r="Y697" s="6"/>
      <c r="Z697" s="6">
        <f ca="1">('TUSD BE'!$AM$38+'TUSD BF_350'!$AM$38+'TUSD CVA'!$AM$38)*1</f>
        <v>586.44999999999993</v>
      </c>
      <c r="AA697" s="6">
        <f ca="1">('TE BE'!$AB$16+'TE BF_350'!$AB$16+'TE CVA'!$AB$16)*1</f>
        <v>231.69</v>
      </c>
      <c r="AB697" s="6">
        <f>$K$697*$V$697</f>
        <v>0</v>
      </c>
      <c r="AC697" s="6">
        <f>$M$697*$W$697</f>
        <v>294.39098000000001</v>
      </c>
      <c r="AD697" s="6">
        <f>$O$697*$X$697</f>
        <v>197.57703000000001</v>
      </c>
      <c r="AE697" s="6">
        <f>$K$697*$Y$697</f>
        <v>0</v>
      </c>
      <c r="AF697" s="6">
        <f ca="1">$M$697*$Z$697</f>
        <v>415.79304999999994</v>
      </c>
      <c r="AG697" s="6">
        <f ca="1">$O$697*$AA$697</f>
        <v>164.26820999999998</v>
      </c>
    </row>
    <row r="698" spans="1:33" ht="11.25" customHeight="1" x14ac:dyDescent="0.3">
      <c r="A698" s="4" t="s">
        <v>28</v>
      </c>
      <c r="B698" s="4" t="s">
        <v>22</v>
      </c>
      <c r="C698" s="4" t="s">
        <v>33</v>
      </c>
      <c r="D698" s="4" t="s">
        <v>24</v>
      </c>
      <c r="E698" s="4" t="s">
        <v>24</v>
      </c>
      <c r="F698" s="4" t="s">
        <v>25</v>
      </c>
      <c r="G698" s="4" t="s">
        <v>25</v>
      </c>
      <c r="H698" s="4" t="s">
        <v>36</v>
      </c>
      <c r="I698" s="5">
        <v>44774</v>
      </c>
      <c r="J698" s="6">
        <v>0</v>
      </c>
      <c r="K698" s="6">
        <v>0</v>
      </c>
      <c r="L698" s="6">
        <v>0.09</v>
      </c>
      <c r="M698" s="6">
        <v>0.09</v>
      </c>
      <c r="N698" s="6">
        <v>0.09</v>
      </c>
      <c r="O698" s="6">
        <v>0.09</v>
      </c>
      <c r="P698" s="6">
        <v>0</v>
      </c>
      <c r="Q698" s="4" t="s">
        <v>26</v>
      </c>
      <c r="R698" s="4">
        <v>0</v>
      </c>
      <c r="S698" s="6">
        <v>0</v>
      </c>
      <c r="T698" s="6">
        <v>65</v>
      </c>
      <c r="U698" s="6">
        <v>86</v>
      </c>
      <c r="V698" s="6">
        <f>IF(ISERROR(VLOOKUP($S$698,'TAR FIN'!$A$1:$O$113,15,0)),0,VLOOKUP($S$698,'TAR FIN'!$A$1:$O$113,15,0))</f>
        <v>0</v>
      </c>
      <c r="W698" s="6">
        <f>IF(ISERROR(VLOOKUP($T$698,'TAR FIN'!$A$1:$O$113,15,0)),0,VLOOKUP($T$698,'TAR FIN'!$A$1:$O$113,15,0))</f>
        <v>415.22</v>
      </c>
      <c r="X698" s="6">
        <f>IF(ISERROR(VLOOKUP($U$698,'TAR FIN'!$A$1:$O$113,15,0)),0,VLOOKUP($U$698,'TAR FIN'!$A$1:$O$113,15,0))</f>
        <v>278.67</v>
      </c>
      <c r="Y698" s="6"/>
      <c r="Z698" s="6">
        <f ca="1">('TUSD BE'!$AM$38+'TUSD BF_350'!$AM$38+'TUSD CVA'!$AM$38)*1</f>
        <v>586.44999999999993</v>
      </c>
      <c r="AA698" s="6">
        <f ca="1">('TE BE'!$AB$16+'TE BF_350'!$AB$16+'TE CVA'!$AB$16)*1</f>
        <v>231.69</v>
      </c>
      <c r="AB698" s="6">
        <f>$K$698*$V$698</f>
        <v>0</v>
      </c>
      <c r="AC698" s="6">
        <f>$M$698*$W$698</f>
        <v>37.369799999999998</v>
      </c>
      <c r="AD698" s="6">
        <f>$O$698*$X$698</f>
        <v>25.080300000000001</v>
      </c>
      <c r="AE698" s="6">
        <f>$K$698*$Y$698</f>
        <v>0</v>
      </c>
      <c r="AF698" s="6">
        <f ca="1">$M$698*$Z$698</f>
        <v>52.780499999999989</v>
      </c>
      <c r="AG698" s="6">
        <f ca="1">$O$698*$AA$698</f>
        <v>20.8521</v>
      </c>
    </row>
    <row r="699" spans="1:33" ht="11.25" customHeight="1" x14ac:dyDescent="0.3">
      <c r="A699" s="4" t="s">
        <v>21</v>
      </c>
      <c r="B699" s="4" t="s">
        <v>22</v>
      </c>
      <c r="C699" s="4" t="s">
        <v>33</v>
      </c>
      <c r="D699" s="4" t="s">
        <v>24</v>
      </c>
      <c r="E699" s="4" t="s">
        <v>24</v>
      </c>
      <c r="F699" s="4" t="s">
        <v>25</v>
      </c>
      <c r="G699" s="4" t="s">
        <v>25</v>
      </c>
      <c r="H699" s="4" t="s">
        <v>36</v>
      </c>
      <c r="I699" s="5">
        <v>44805</v>
      </c>
      <c r="J699" s="6">
        <v>0</v>
      </c>
      <c r="K699" s="6">
        <v>0</v>
      </c>
      <c r="L699" s="6">
        <v>0.747</v>
      </c>
      <c r="M699" s="6">
        <v>0.747</v>
      </c>
      <c r="N699" s="6">
        <v>0.747</v>
      </c>
      <c r="O699" s="6">
        <v>0.747</v>
      </c>
      <c r="P699" s="6">
        <v>0</v>
      </c>
      <c r="Q699" s="4" t="s">
        <v>26</v>
      </c>
      <c r="R699" s="4">
        <v>0</v>
      </c>
      <c r="S699" s="6">
        <v>0</v>
      </c>
      <c r="T699" s="6">
        <v>65</v>
      </c>
      <c r="U699" s="6">
        <v>86</v>
      </c>
      <c r="V699" s="6">
        <f>IF(ISERROR(VLOOKUP($S$699,'TAR FIN'!$A$1:$O$113,15,0)),0,VLOOKUP($S$699,'TAR FIN'!$A$1:$O$113,15,0))</f>
        <v>0</v>
      </c>
      <c r="W699" s="6">
        <f>IF(ISERROR(VLOOKUP($T$699,'TAR FIN'!$A$1:$O$113,15,0)),0,VLOOKUP($T$699,'TAR FIN'!$A$1:$O$113,15,0))</f>
        <v>415.22</v>
      </c>
      <c r="X699" s="6">
        <f>IF(ISERROR(VLOOKUP($U$699,'TAR FIN'!$A$1:$O$113,15,0)),0,VLOOKUP($U$699,'TAR FIN'!$A$1:$O$113,15,0))</f>
        <v>278.67</v>
      </c>
      <c r="Y699" s="6"/>
      <c r="Z699" s="6">
        <f ca="1">('TUSD BE'!$AM$38+'TUSD BF_350'!$AM$38+'TUSD CVA'!$AM$38)*1</f>
        <v>586.44999999999993</v>
      </c>
      <c r="AA699" s="6">
        <f ca="1">('TE BE'!$AB$16+'TE BF_350'!$AB$16+'TE CVA'!$AB$16)*1</f>
        <v>231.69</v>
      </c>
      <c r="AB699" s="6">
        <f>$K$699*$V$699</f>
        <v>0</v>
      </c>
      <c r="AC699" s="6">
        <f>$M$699*$W$699</f>
        <v>310.16934000000003</v>
      </c>
      <c r="AD699" s="6">
        <f>$O$699*$X$699</f>
        <v>208.16649000000001</v>
      </c>
      <c r="AE699" s="6">
        <f>$K$699*$Y$699</f>
        <v>0</v>
      </c>
      <c r="AF699" s="6">
        <f ca="1">$M$699*$Z$699</f>
        <v>438.07814999999994</v>
      </c>
      <c r="AG699" s="6">
        <f ca="1">$O$699*$AA$699</f>
        <v>173.07243</v>
      </c>
    </row>
    <row r="700" spans="1:33" ht="11.25" customHeight="1" x14ac:dyDescent="0.3">
      <c r="A700" s="4" t="s">
        <v>28</v>
      </c>
      <c r="B700" s="4" t="s">
        <v>22</v>
      </c>
      <c r="C700" s="4" t="s">
        <v>33</v>
      </c>
      <c r="D700" s="4" t="s">
        <v>24</v>
      </c>
      <c r="E700" s="4" t="s">
        <v>24</v>
      </c>
      <c r="F700" s="4" t="s">
        <v>25</v>
      </c>
      <c r="G700" s="4" t="s">
        <v>25</v>
      </c>
      <c r="H700" s="4" t="s">
        <v>36</v>
      </c>
      <c r="I700" s="5">
        <v>44805</v>
      </c>
      <c r="J700" s="6">
        <v>0</v>
      </c>
      <c r="K700" s="6">
        <v>0</v>
      </c>
      <c r="L700" s="6">
        <v>0.111</v>
      </c>
      <c r="M700" s="6">
        <v>0.111</v>
      </c>
      <c r="N700" s="6">
        <v>0.111</v>
      </c>
      <c r="O700" s="6">
        <v>0.111</v>
      </c>
      <c r="P700" s="6">
        <v>0</v>
      </c>
      <c r="Q700" s="4" t="s">
        <v>26</v>
      </c>
      <c r="R700" s="4">
        <v>0</v>
      </c>
      <c r="S700" s="6">
        <v>0</v>
      </c>
      <c r="T700" s="6">
        <v>65</v>
      </c>
      <c r="U700" s="6">
        <v>86</v>
      </c>
      <c r="V700" s="6">
        <f>IF(ISERROR(VLOOKUP($S$700,'TAR FIN'!$A$1:$O$113,15,0)),0,VLOOKUP($S$700,'TAR FIN'!$A$1:$O$113,15,0))</f>
        <v>0</v>
      </c>
      <c r="W700" s="6">
        <f>IF(ISERROR(VLOOKUP($T$700,'TAR FIN'!$A$1:$O$113,15,0)),0,VLOOKUP($T$700,'TAR FIN'!$A$1:$O$113,15,0))</f>
        <v>415.22</v>
      </c>
      <c r="X700" s="6">
        <f>IF(ISERROR(VLOOKUP($U$700,'TAR FIN'!$A$1:$O$113,15,0)),0,VLOOKUP($U$700,'TAR FIN'!$A$1:$O$113,15,0))</f>
        <v>278.67</v>
      </c>
      <c r="Y700" s="6"/>
      <c r="Z700" s="6">
        <f ca="1">('TUSD BE'!$AM$38+'TUSD BF_350'!$AM$38+'TUSD CVA'!$AM$38)*1</f>
        <v>586.44999999999993</v>
      </c>
      <c r="AA700" s="6">
        <f ca="1">('TE BE'!$AB$16+'TE BF_350'!$AB$16+'TE CVA'!$AB$16)*1</f>
        <v>231.69</v>
      </c>
      <c r="AB700" s="6">
        <f>$K$700*$V$700</f>
        <v>0</v>
      </c>
      <c r="AC700" s="6">
        <f>$M$700*$W$700</f>
        <v>46.089420000000004</v>
      </c>
      <c r="AD700" s="6">
        <f>$O$700*$X$700</f>
        <v>30.932370000000002</v>
      </c>
      <c r="AE700" s="6">
        <f>$K$700*$Y$700</f>
        <v>0</v>
      </c>
      <c r="AF700" s="6">
        <f ca="1">$M$700*$Z$700</f>
        <v>65.095949999999988</v>
      </c>
      <c r="AG700" s="6">
        <f ca="1">$O$700*$AA$700</f>
        <v>25.717590000000001</v>
      </c>
    </row>
    <row r="701" spans="1:33" ht="11.25" customHeight="1" x14ac:dyDescent="0.3">
      <c r="A701" s="4" t="s">
        <v>53</v>
      </c>
      <c r="B701" s="4" t="s">
        <v>22</v>
      </c>
      <c r="C701" s="4" t="s">
        <v>33</v>
      </c>
      <c r="D701" s="4" t="s">
        <v>24</v>
      </c>
      <c r="E701" s="4" t="s">
        <v>24</v>
      </c>
      <c r="F701" s="4" t="s">
        <v>25</v>
      </c>
      <c r="G701" s="4" t="s">
        <v>25</v>
      </c>
      <c r="H701" s="4" t="s">
        <v>36</v>
      </c>
      <c r="I701" s="5">
        <v>44835</v>
      </c>
      <c r="J701" s="6">
        <v>0</v>
      </c>
      <c r="K701" s="6">
        <v>0</v>
      </c>
      <c r="L701" s="6">
        <v>0.747</v>
      </c>
      <c r="M701" s="6">
        <v>0.747</v>
      </c>
      <c r="N701" s="6">
        <v>0.747</v>
      </c>
      <c r="O701" s="6">
        <v>0.747</v>
      </c>
      <c r="P701" s="6">
        <v>0</v>
      </c>
      <c r="Q701" s="4" t="s">
        <v>26</v>
      </c>
      <c r="R701" s="4">
        <v>0</v>
      </c>
      <c r="S701" s="6">
        <v>0</v>
      </c>
      <c r="T701" s="6">
        <v>65</v>
      </c>
      <c r="U701" s="6">
        <v>86</v>
      </c>
      <c r="V701" s="6">
        <f>IF(ISERROR(VLOOKUP($S$701,'TAR FIN'!$A$1:$O$113,15,0)),0,VLOOKUP($S$701,'TAR FIN'!$A$1:$O$113,15,0))</f>
        <v>0</v>
      </c>
      <c r="W701" s="6">
        <f>IF(ISERROR(VLOOKUP($T$701,'TAR FIN'!$A$1:$O$113,15,0)),0,VLOOKUP($T$701,'TAR FIN'!$A$1:$O$113,15,0))</f>
        <v>415.22</v>
      </c>
      <c r="X701" s="6">
        <f>IF(ISERROR(VLOOKUP($U$701,'TAR FIN'!$A$1:$O$113,15,0)),0,VLOOKUP($U$701,'TAR FIN'!$A$1:$O$113,15,0))</f>
        <v>278.67</v>
      </c>
      <c r="Y701" s="6"/>
      <c r="Z701" s="6">
        <f ca="1">('TUSD BE'!$AM$38+'TUSD BF_350'!$AM$38+'TUSD CVA'!$AM$38)*1</f>
        <v>586.44999999999993</v>
      </c>
      <c r="AA701" s="6">
        <f ca="1">('TE BE'!$AB$16+'TE BF_350'!$AB$16+'TE CVA'!$AB$16)*1</f>
        <v>231.69</v>
      </c>
      <c r="AB701" s="6">
        <f>$K$701*$V$701</f>
        <v>0</v>
      </c>
      <c r="AC701" s="6">
        <f>$M$701*$W$701</f>
        <v>310.16934000000003</v>
      </c>
      <c r="AD701" s="6">
        <f>$O$701*$X$701</f>
        <v>208.16649000000001</v>
      </c>
      <c r="AE701" s="6">
        <f>$K$701*$Y$701</f>
        <v>0</v>
      </c>
      <c r="AF701" s="6">
        <f ca="1">$M$701*$Z$701</f>
        <v>438.07814999999994</v>
      </c>
      <c r="AG701" s="6">
        <f ca="1">$O$701*$AA$701</f>
        <v>173.07243</v>
      </c>
    </row>
    <row r="702" spans="1:33" ht="11.25" customHeight="1" x14ac:dyDescent="0.3">
      <c r="A702" s="4" t="s">
        <v>53</v>
      </c>
      <c r="B702" s="4" t="s">
        <v>22</v>
      </c>
      <c r="C702" s="4" t="s">
        <v>33</v>
      </c>
      <c r="D702" s="4" t="s">
        <v>24</v>
      </c>
      <c r="E702" s="4" t="s">
        <v>24</v>
      </c>
      <c r="F702" s="4" t="s">
        <v>25</v>
      </c>
      <c r="G702" s="4" t="s">
        <v>25</v>
      </c>
      <c r="H702" s="4" t="s">
        <v>36</v>
      </c>
      <c r="I702" s="5">
        <v>44835</v>
      </c>
      <c r="J702" s="6">
        <v>0</v>
      </c>
      <c r="K702" s="6">
        <v>0</v>
      </c>
      <c r="L702" s="6">
        <v>0.111</v>
      </c>
      <c r="M702" s="6">
        <v>0.111</v>
      </c>
      <c r="N702" s="6">
        <v>0.111</v>
      </c>
      <c r="O702" s="6">
        <v>0.111</v>
      </c>
      <c r="P702" s="6">
        <v>0</v>
      </c>
      <c r="Q702" s="4" t="s">
        <v>26</v>
      </c>
      <c r="R702" s="4">
        <v>0</v>
      </c>
      <c r="S702" s="6">
        <v>0</v>
      </c>
      <c r="T702" s="6">
        <v>65</v>
      </c>
      <c r="U702" s="6">
        <v>86</v>
      </c>
      <c r="V702" s="6">
        <f>IF(ISERROR(VLOOKUP($S$702,'TAR FIN'!$A$1:$O$113,15,0)),0,VLOOKUP($S$702,'TAR FIN'!$A$1:$O$113,15,0))</f>
        <v>0</v>
      </c>
      <c r="W702" s="6">
        <f>IF(ISERROR(VLOOKUP($T$702,'TAR FIN'!$A$1:$O$113,15,0)),0,VLOOKUP($T$702,'TAR FIN'!$A$1:$O$113,15,0))</f>
        <v>415.22</v>
      </c>
      <c r="X702" s="6">
        <f>IF(ISERROR(VLOOKUP($U$702,'TAR FIN'!$A$1:$O$113,15,0)),0,VLOOKUP($U$702,'TAR FIN'!$A$1:$O$113,15,0))</f>
        <v>278.67</v>
      </c>
      <c r="Y702" s="6"/>
      <c r="Z702" s="6">
        <f ca="1">('TUSD BE'!$AM$38+'TUSD BF_350'!$AM$38+'TUSD CVA'!$AM$38)*1</f>
        <v>586.44999999999993</v>
      </c>
      <c r="AA702" s="6">
        <f ca="1">('TE BE'!$AB$16+'TE BF_350'!$AB$16+'TE CVA'!$AB$16)*1</f>
        <v>231.69</v>
      </c>
      <c r="AB702" s="6">
        <f>$K$702*$V$702</f>
        <v>0</v>
      </c>
      <c r="AC702" s="6">
        <f>$M$702*$W$702</f>
        <v>46.089420000000004</v>
      </c>
      <c r="AD702" s="6">
        <f>$O$702*$X$702</f>
        <v>30.932370000000002</v>
      </c>
      <c r="AE702" s="6">
        <f>$K$702*$Y$702</f>
        <v>0</v>
      </c>
      <c r="AF702" s="6">
        <f ca="1">$M$702*$Z$702</f>
        <v>65.095949999999988</v>
      </c>
      <c r="AG702" s="6">
        <f ca="1">$O$702*$AA$702</f>
        <v>25.717590000000001</v>
      </c>
    </row>
    <row r="703" spans="1:33" ht="11.25" customHeight="1" x14ac:dyDescent="0.3">
      <c r="A703" s="4" t="s">
        <v>21</v>
      </c>
      <c r="B703" s="4" t="s">
        <v>22</v>
      </c>
      <c r="C703" s="4" t="s">
        <v>33</v>
      </c>
      <c r="D703" s="4" t="s">
        <v>24</v>
      </c>
      <c r="E703" s="4" t="s">
        <v>24</v>
      </c>
      <c r="F703" s="4" t="s">
        <v>25</v>
      </c>
      <c r="G703" s="4" t="s">
        <v>25</v>
      </c>
      <c r="H703" s="4" t="s">
        <v>34</v>
      </c>
      <c r="I703" s="5">
        <v>44501</v>
      </c>
      <c r="J703" s="6">
        <v>0</v>
      </c>
      <c r="K703" s="6">
        <v>0</v>
      </c>
      <c r="L703" s="6">
        <v>1.581</v>
      </c>
      <c r="M703" s="6">
        <v>1.581</v>
      </c>
      <c r="N703" s="6">
        <v>1.581</v>
      </c>
      <c r="O703" s="6">
        <v>1.581</v>
      </c>
      <c r="P703" s="6">
        <v>0</v>
      </c>
      <c r="Q703" s="4" t="s">
        <v>26</v>
      </c>
      <c r="R703" s="4">
        <v>0</v>
      </c>
      <c r="S703" s="6">
        <v>0</v>
      </c>
      <c r="T703" s="6">
        <v>43</v>
      </c>
      <c r="U703" s="6">
        <v>68</v>
      </c>
      <c r="V703" s="6">
        <f>IF(ISERROR(VLOOKUP($S$703,'TAR FIN'!$A$1:$O$113,15,0)),0,VLOOKUP($S$703,'TAR FIN'!$A$1:$O$113,15,0))</f>
        <v>0</v>
      </c>
      <c r="W703" s="6">
        <f>IF(ISERROR(VLOOKUP($T$703,'TAR FIN'!$A$1:$O$113,15,0)),0,VLOOKUP($T$703,'TAR FIN'!$A$1:$O$113,15,0))</f>
        <v>621.67999999999995</v>
      </c>
      <c r="X703" s="6">
        <f>IF(ISERROR(VLOOKUP($U$703,'TAR FIN'!$A$1:$O$113,15,0)),0,VLOOKUP($U$703,'TAR FIN'!$A$1:$O$113,15,0))</f>
        <v>442.86</v>
      </c>
      <c r="Y703" s="6"/>
      <c r="Z703" s="6">
        <f ca="1">('TUSD BE'!$AM$37+'TUSD BF_350'!$AM$37+'TUSD CVA'!$AM$37)*1</f>
        <v>871.15999999999985</v>
      </c>
      <c r="AA703" s="6">
        <f ca="1">('TE BE'!$AB$15+'TE BF_350'!$AB$15+'TE CVA'!$AB$15)*1</f>
        <v>379.30999999999995</v>
      </c>
      <c r="AB703" s="6">
        <f>$K$703*$V$703</f>
        <v>0</v>
      </c>
      <c r="AC703" s="6">
        <f>$M$703*$W$703</f>
        <v>982.87607999999989</v>
      </c>
      <c r="AD703" s="6">
        <f>$O$703*$X$703</f>
        <v>700.16165999999998</v>
      </c>
      <c r="AE703" s="6">
        <f>$K$703*$Y$703</f>
        <v>0</v>
      </c>
      <c r="AF703" s="6">
        <f ca="1">$M$703*$Z$703</f>
        <v>1377.3039599999997</v>
      </c>
      <c r="AG703" s="6">
        <f ca="1">$O$703*$AA$703</f>
        <v>599.68910999999991</v>
      </c>
    </row>
    <row r="704" spans="1:33" ht="11.25" customHeight="1" x14ac:dyDescent="0.3">
      <c r="A704" s="4" t="s">
        <v>21</v>
      </c>
      <c r="B704" s="4" t="s">
        <v>22</v>
      </c>
      <c r="C704" s="4" t="s">
        <v>33</v>
      </c>
      <c r="D704" s="4" t="s">
        <v>24</v>
      </c>
      <c r="E704" s="4" t="s">
        <v>24</v>
      </c>
      <c r="F704" s="4" t="s">
        <v>25</v>
      </c>
      <c r="G704" s="4" t="s">
        <v>25</v>
      </c>
      <c r="H704" s="4" t="s">
        <v>34</v>
      </c>
      <c r="I704" s="5">
        <v>44531</v>
      </c>
      <c r="J704" s="6">
        <v>0</v>
      </c>
      <c r="K704" s="6">
        <v>0</v>
      </c>
      <c r="L704" s="6">
        <v>1.591</v>
      </c>
      <c r="M704" s="6">
        <v>1.591</v>
      </c>
      <c r="N704" s="6">
        <v>1.591</v>
      </c>
      <c r="O704" s="6">
        <v>1.591</v>
      </c>
      <c r="P704" s="6">
        <v>0</v>
      </c>
      <c r="Q704" s="4" t="s">
        <v>26</v>
      </c>
      <c r="R704" s="4">
        <v>0</v>
      </c>
      <c r="S704" s="6">
        <v>0</v>
      </c>
      <c r="T704" s="6">
        <v>43</v>
      </c>
      <c r="U704" s="6">
        <v>68</v>
      </c>
      <c r="V704" s="6">
        <f>IF(ISERROR(VLOOKUP($S$704,'TAR FIN'!$A$1:$O$113,15,0)),0,VLOOKUP($S$704,'TAR FIN'!$A$1:$O$113,15,0))</f>
        <v>0</v>
      </c>
      <c r="W704" s="6">
        <f>IF(ISERROR(VLOOKUP($T$704,'TAR FIN'!$A$1:$O$113,15,0)),0,VLOOKUP($T$704,'TAR FIN'!$A$1:$O$113,15,0))</f>
        <v>621.67999999999995</v>
      </c>
      <c r="X704" s="6">
        <f>IF(ISERROR(VLOOKUP($U$704,'TAR FIN'!$A$1:$O$113,15,0)),0,VLOOKUP($U$704,'TAR FIN'!$A$1:$O$113,15,0))</f>
        <v>442.86</v>
      </c>
      <c r="Y704" s="6"/>
      <c r="Z704" s="6">
        <f ca="1">('TUSD BE'!$AM$37+'TUSD BF_350'!$AM$37+'TUSD CVA'!$AM$37)*1</f>
        <v>871.15999999999985</v>
      </c>
      <c r="AA704" s="6">
        <f ca="1">('TE BE'!$AB$15+'TE BF_350'!$AB$15+'TE CVA'!$AB$15)*1</f>
        <v>379.30999999999995</v>
      </c>
      <c r="AB704" s="6">
        <f>$K$704*$V$704</f>
        <v>0</v>
      </c>
      <c r="AC704" s="6">
        <f>$M$704*$W$704</f>
        <v>989.09287999999992</v>
      </c>
      <c r="AD704" s="6">
        <f>$O$704*$X$704</f>
        <v>704.59026000000006</v>
      </c>
      <c r="AE704" s="6">
        <f>$K$704*$Y$704</f>
        <v>0</v>
      </c>
      <c r="AF704" s="6">
        <f ca="1">$M$704*$Z$704</f>
        <v>1386.0155599999998</v>
      </c>
      <c r="AG704" s="6">
        <f ca="1">$O$704*$AA$704</f>
        <v>603.4822099999999</v>
      </c>
    </row>
    <row r="705" spans="1:33" ht="11.25" customHeight="1" x14ac:dyDescent="0.3">
      <c r="A705" s="4" t="s">
        <v>21</v>
      </c>
      <c r="B705" s="4" t="s">
        <v>22</v>
      </c>
      <c r="C705" s="4" t="s">
        <v>33</v>
      </c>
      <c r="D705" s="4" t="s">
        <v>24</v>
      </c>
      <c r="E705" s="4" t="s">
        <v>24</v>
      </c>
      <c r="F705" s="4" t="s">
        <v>25</v>
      </c>
      <c r="G705" s="4" t="s">
        <v>25</v>
      </c>
      <c r="H705" s="4" t="s">
        <v>34</v>
      </c>
      <c r="I705" s="5">
        <v>44562</v>
      </c>
      <c r="J705" s="6">
        <v>0</v>
      </c>
      <c r="K705" s="6">
        <v>0</v>
      </c>
      <c r="L705" s="6">
        <v>1.758</v>
      </c>
      <c r="M705" s="6">
        <v>1.758</v>
      </c>
      <c r="N705" s="6">
        <v>1.758</v>
      </c>
      <c r="O705" s="6">
        <v>1.758</v>
      </c>
      <c r="P705" s="6">
        <v>0</v>
      </c>
      <c r="Q705" s="4" t="s">
        <v>26</v>
      </c>
      <c r="R705" s="4">
        <v>0</v>
      </c>
      <c r="S705" s="6">
        <v>0</v>
      </c>
      <c r="T705" s="6">
        <v>43</v>
      </c>
      <c r="U705" s="6">
        <v>68</v>
      </c>
      <c r="V705" s="6">
        <f>IF(ISERROR(VLOOKUP($S$705,'TAR FIN'!$A$1:$O$113,15,0)),0,VLOOKUP($S$705,'TAR FIN'!$A$1:$O$113,15,0))</f>
        <v>0</v>
      </c>
      <c r="W705" s="6">
        <f>IF(ISERROR(VLOOKUP($T$705,'TAR FIN'!$A$1:$O$113,15,0)),0,VLOOKUP($T$705,'TAR FIN'!$A$1:$O$113,15,0))</f>
        <v>621.67999999999995</v>
      </c>
      <c r="X705" s="6">
        <f>IF(ISERROR(VLOOKUP($U$705,'TAR FIN'!$A$1:$O$113,15,0)),0,VLOOKUP($U$705,'TAR FIN'!$A$1:$O$113,15,0))</f>
        <v>442.86</v>
      </c>
      <c r="Y705" s="6"/>
      <c r="Z705" s="6">
        <f ca="1">('TUSD BE'!$AM$37+'TUSD BF_350'!$AM$37+'TUSD CVA'!$AM$37)*1</f>
        <v>871.15999999999985</v>
      </c>
      <c r="AA705" s="6">
        <f ca="1">('TE BE'!$AB$15+'TE BF_350'!$AB$15+'TE CVA'!$AB$15)*1</f>
        <v>379.30999999999995</v>
      </c>
      <c r="AB705" s="6">
        <f>$K$705*$V$705</f>
        <v>0</v>
      </c>
      <c r="AC705" s="6">
        <f>$M$705*$W$705</f>
        <v>1092.9134399999998</v>
      </c>
      <c r="AD705" s="6">
        <f>$O$705*$X$705</f>
        <v>778.54788000000008</v>
      </c>
      <c r="AE705" s="6">
        <f>$K$705*$Y$705</f>
        <v>0</v>
      </c>
      <c r="AF705" s="6">
        <f ca="1">$M$705*$Z$705</f>
        <v>1531.4992799999998</v>
      </c>
      <c r="AG705" s="6">
        <f ca="1">$O$705*$AA$705</f>
        <v>666.82697999999993</v>
      </c>
    </row>
    <row r="706" spans="1:33" ht="11.25" customHeight="1" x14ac:dyDescent="0.3">
      <c r="A706" s="4" t="s">
        <v>21</v>
      </c>
      <c r="B706" s="4" t="s">
        <v>22</v>
      </c>
      <c r="C706" s="4" t="s">
        <v>33</v>
      </c>
      <c r="D706" s="4" t="s">
        <v>24</v>
      </c>
      <c r="E706" s="4" t="s">
        <v>24</v>
      </c>
      <c r="F706" s="4" t="s">
        <v>25</v>
      </c>
      <c r="G706" s="4" t="s">
        <v>25</v>
      </c>
      <c r="H706" s="4" t="s">
        <v>34</v>
      </c>
      <c r="I706" s="5">
        <v>44593</v>
      </c>
      <c r="J706" s="6">
        <v>0</v>
      </c>
      <c r="K706" s="6">
        <v>0</v>
      </c>
      <c r="L706" s="6">
        <v>1.68</v>
      </c>
      <c r="M706" s="6">
        <v>1.68</v>
      </c>
      <c r="N706" s="6">
        <v>1.68</v>
      </c>
      <c r="O706" s="6">
        <v>1.68</v>
      </c>
      <c r="P706" s="6">
        <v>0</v>
      </c>
      <c r="Q706" s="4" t="s">
        <v>26</v>
      </c>
      <c r="R706" s="4">
        <v>0</v>
      </c>
      <c r="S706" s="6">
        <v>0</v>
      </c>
      <c r="T706" s="6">
        <v>43</v>
      </c>
      <c r="U706" s="6">
        <v>68</v>
      </c>
      <c r="V706" s="6">
        <f>IF(ISERROR(VLOOKUP($S$706,'TAR FIN'!$A$1:$O$113,15,0)),0,VLOOKUP($S$706,'TAR FIN'!$A$1:$O$113,15,0))</f>
        <v>0</v>
      </c>
      <c r="W706" s="6">
        <f>IF(ISERROR(VLOOKUP($T$706,'TAR FIN'!$A$1:$O$113,15,0)),0,VLOOKUP($T$706,'TAR FIN'!$A$1:$O$113,15,0))</f>
        <v>621.67999999999995</v>
      </c>
      <c r="X706" s="6">
        <f>IF(ISERROR(VLOOKUP($U$706,'TAR FIN'!$A$1:$O$113,15,0)),0,VLOOKUP($U$706,'TAR FIN'!$A$1:$O$113,15,0))</f>
        <v>442.86</v>
      </c>
      <c r="Y706" s="6"/>
      <c r="Z706" s="6">
        <f ca="1">('TUSD BE'!$AM$37+'TUSD BF_350'!$AM$37+'TUSD CVA'!$AM$37)*1</f>
        <v>871.15999999999985</v>
      </c>
      <c r="AA706" s="6">
        <f ca="1">('TE BE'!$AB$15+'TE BF_350'!$AB$15+'TE CVA'!$AB$15)*1</f>
        <v>379.30999999999995</v>
      </c>
      <c r="AB706" s="6">
        <f>$K$706*$V$706</f>
        <v>0</v>
      </c>
      <c r="AC706" s="6">
        <f>$M$706*$W$706</f>
        <v>1044.4223999999999</v>
      </c>
      <c r="AD706" s="6">
        <f>$O$706*$X$706</f>
        <v>744.00480000000005</v>
      </c>
      <c r="AE706" s="6">
        <f>$K$706*$Y$706</f>
        <v>0</v>
      </c>
      <c r="AF706" s="6">
        <f ca="1">$M$706*$Z$706</f>
        <v>1463.5487999999998</v>
      </c>
      <c r="AG706" s="6">
        <f ca="1">$O$706*$AA$706</f>
        <v>637.24079999999992</v>
      </c>
    </row>
    <row r="707" spans="1:33" ht="11.25" customHeight="1" x14ac:dyDescent="0.3">
      <c r="A707" s="4" t="s">
        <v>28</v>
      </c>
      <c r="B707" s="4" t="s">
        <v>22</v>
      </c>
      <c r="C707" s="4" t="s">
        <v>33</v>
      </c>
      <c r="D707" s="4" t="s">
        <v>24</v>
      </c>
      <c r="E707" s="4" t="s">
        <v>24</v>
      </c>
      <c r="F707" s="4" t="s">
        <v>25</v>
      </c>
      <c r="G707" s="4" t="s">
        <v>25</v>
      </c>
      <c r="H707" s="4" t="s">
        <v>34</v>
      </c>
      <c r="I707" s="5">
        <v>44593</v>
      </c>
      <c r="J707" s="6">
        <v>0</v>
      </c>
      <c r="K707" s="6">
        <v>0</v>
      </c>
      <c r="L707" s="6">
        <v>4.9000000000000002E-2</v>
      </c>
      <c r="M707" s="6">
        <v>4.9000000000000002E-2</v>
      </c>
      <c r="N707" s="6">
        <v>4.9000000000000002E-2</v>
      </c>
      <c r="O707" s="6">
        <v>4.9000000000000002E-2</v>
      </c>
      <c r="P707" s="6">
        <v>0</v>
      </c>
      <c r="Q707" s="4" t="s">
        <v>26</v>
      </c>
      <c r="R707" s="4">
        <v>0</v>
      </c>
      <c r="S707" s="6">
        <v>0</v>
      </c>
      <c r="T707" s="6">
        <v>43</v>
      </c>
      <c r="U707" s="6">
        <v>68</v>
      </c>
      <c r="V707" s="6">
        <f>IF(ISERROR(VLOOKUP($S$707,'TAR FIN'!$A$1:$O$113,15,0)),0,VLOOKUP($S$707,'TAR FIN'!$A$1:$O$113,15,0))</f>
        <v>0</v>
      </c>
      <c r="W707" s="6">
        <f>IF(ISERROR(VLOOKUP($T$707,'TAR FIN'!$A$1:$O$113,15,0)),0,VLOOKUP($T$707,'TAR FIN'!$A$1:$O$113,15,0))</f>
        <v>621.67999999999995</v>
      </c>
      <c r="X707" s="6">
        <f>IF(ISERROR(VLOOKUP($U$707,'TAR FIN'!$A$1:$O$113,15,0)),0,VLOOKUP($U$707,'TAR FIN'!$A$1:$O$113,15,0))</f>
        <v>442.86</v>
      </c>
      <c r="Y707" s="6"/>
      <c r="Z707" s="6">
        <f ca="1">('TUSD BE'!$AM$37+'TUSD BF_350'!$AM$37+'TUSD CVA'!$AM$37)*1</f>
        <v>871.15999999999985</v>
      </c>
      <c r="AA707" s="6">
        <f ca="1">('TE BE'!$AB$15+'TE BF_350'!$AB$15+'TE CVA'!$AB$15)*1</f>
        <v>379.30999999999995</v>
      </c>
      <c r="AB707" s="6">
        <f>$K$707*$V$707</f>
        <v>0</v>
      </c>
      <c r="AC707" s="6">
        <f>$M$707*$W$707</f>
        <v>30.462319999999998</v>
      </c>
      <c r="AD707" s="6">
        <f>$O$707*$X$707</f>
        <v>21.700140000000001</v>
      </c>
      <c r="AE707" s="6">
        <f>$K$707*$Y$707</f>
        <v>0</v>
      </c>
      <c r="AF707" s="6">
        <f ca="1">$M$707*$Z$707</f>
        <v>42.686839999999997</v>
      </c>
      <c r="AG707" s="6">
        <f ca="1">$O$707*$AA$707</f>
        <v>18.586189999999998</v>
      </c>
    </row>
    <row r="708" spans="1:33" ht="11.25" customHeight="1" x14ac:dyDescent="0.3">
      <c r="A708" s="4" t="s">
        <v>21</v>
      </c>
      <c r="B708" s="4" t="s">
        <v>22</v>
      </c>
      <c r="C708" s="4" t="s">
        <v>33</v>
      </c>
      <c r="D708" s="4" t="s">
        <v>24</v>
      </c>
      <c r="E708" s="4" t="s">
        <v>24</v>
      </c>
      <c r="F708" s="4" t="s">
        <v>25</v>
      </c>
      <c r="G708" s="4" t="s">
        <v>25</v>
      </c>
      <c r="H708" s="4" t="s">
        <v>34</v>
      </c>
      <c r="I708" s="5">
        <v>44621</v>
      </c>
      <c r="J708" s="6">
        <v>0</v>
      </c>
      <c r="K708" s="6">
        <v>0</v>
      </c>
      <c r="L708" s="6">
        <v>1.843</v>
      </c>
      <c r="M708" s="6">
        <v>1.843</v>
      </c>
      <c r="N708" s="6">
        <v>1.843</v>
      </c>
      <c r="O708" s="6">
        <v>1.843</v>
      </c>
      <c r="P708" s="6">
        <v>0</v>
      </c>
      <c r="Q708" s="4" t="s">
        <v>26</v>
      </c>
      <c r="R708" s="4">
        <v>0</v>
      </c>
      <c r="S708" s="6">
        <v>0</v>
      </c>
      <c r="T708" s="6">
        <v>43</v>
      </c>
      <c r="U708" s="6">
        <v>68</v>
      </c>
      <c r="V708" s="6">
        <f>IF(ISERROR(VLOOKUP($S$708,'TAR FIN'!$A$1:$O$113,15,0)),0,VLOOKUP($S$708,'TAR FIN'!$A$1:$O$113,15,0))</f>
        <v>0</v>
      </c>
      <c r="W708" s="6">
        <f>IF(ISERROR(VLOOKUP($T$708,'TAR FIN'!$A$1:$O$113,15,0)),0,VLOOKUP($T$708,'TAR FIN'!$A$1:$O$113,15,0))</f>
        <v>621.67999999999995</v>
      </c>
      <c r="X708" s="6">
        <f>IF(ISERROR(VLOOKUP($U$708,'TAR FIN'!$A$1:$O$113,15,0)),0,VLOOKUP($U$708,'TAR FIN'!$A$1:$O$113,15,0))</f>
        <v>442.86</v>
      </c>
      <c r="Y708" s="6"/>
      <c r="Z708" s="6">
        <f ca="1">('TUSD BE'!$AM$37+'TUSD BF_350'!$AM$37+'TUSD CVA'!$AM$37)*1</f>
        <v>871.15999999999985</v>
      </c>
      <c r="AA708" s="6">
        <f ca="1">('TE BE'!$AB$15+'TE BF_350'!$AB$15+'TE CVA'!$AB$15)*1</f>
        <v>379.30999999999995</v>
      </c>
      <c r="AB708" s="6">
        <f>$K$708*$V$708</f>
        <v>0</v>
      </c>
      <c r="AC708" s="6">
        <f>$M$708*$W$708</f>
        <v>1145.7562399999999</v>
      </c>
      <c r="AD708" s="6">
        <f>$O$708*$X$708</f>
        <v>816.19097999999997</v>
      </c>
      <c r="AE708" s="6">
        <f>$K$708*$Y$708</f>
        <v>0</v>
      </c>
      <c r="AF708" s="6">
        <f ca="1">$M$708*$Z$708</f>
        <v>1605.5478799999996</v>
      </c>
      <c r="AG708" s="6">
        <f ca="1">$O$708*$AA$708</f>
        <v>699.06832999999983</v>
      </c>
    </row>
    <row r="709" spans="1:33" ht="11.25" customHeight="1" x14ac:dyDescent="0.3">
      <c r="A709" s="4" t="s">
        <v>28</v>
      </c>
      <c r="B709" s="4" t="s">
        <v>22</v>
      </c>
      <c r="C709" s="4" t="s">
        <v>33</v>
      </c>
      <c r="D709" s="4" t="s">
        <v>24</v>
      </c>
      <c r="E709" s="4" t="s">
        <v>24</v>
      </c>
      <c r="F709" s="4" t="s">
        <v>25</v>
      </c>
      <c r="G709" s="4" t="s">
        <v>25</v>
      </c>
      <c r="H709" s="4" t="s">
        <v>34</v>
      </c>
      <c r="I709" s="5">
        <v>44621</v>
      </c>
      <c r="J709" s="6">
        <v>0</v>
      </c>
      <c r="K709" s="6">
        <v>0</v>
      </c>
      <c r="L709" s="6">
        <v>0.05</v>
      </c>
      <c r="M709" s="6">
        <v>0.05</v>
      </c>
      <c r="N709" s="6">
        <v>0.05</v>
      </c>
      <c r="O709" s="6">
        <v>0.05</v>
      </c>
      <c r="P709" s="6">
        <v>0</v>
      </c>
      <c r="Q709" s="4" t="s">
        <v>26</v>
      </c>
      <c r="R709" s="4">
        <v>0</v>
      </c>
      <c r="S709" s="6">
        <v>0</v>
      </c>
      <c r="T709" s="6">
        <v>43</v>
      </c>
      <c r="U709" s="6">
        <v>68</v>
      </c>
      <c r="V709" s="6">
        <f>IF(ISERROR(VLOOKUP($S$709,'TAR FIN'!$A$1:$O$113,15,0)),0,VLOOKUP($S$709,'TAR FIN'!$A$1:$O$113,15,0))</f>
        <v>0</v>
      </c>
      <c r="W709" s="6">
        <f>IF(ISERROR(VLOOKUP($T$709,'TAR FIN'!$A$1:$O$113,15,0)),0,VLOOKUP($T$709,'TAR FIN'!$A$1:$O$113,15,0))</f>
        <v>621.67999999999995</v>
      </c>
      <c r="X709" s="6">
        <f>IF(ISERROR(VLOOKUP($U$709,'TAR FIN'!$A$1:$O$113,15,0)),0,VLOOKUP($U$709,'TAR FIN'!$A$1:$O$113,15,0))</f>
        <v>442.86</v>
      </c>
      <c r="Y709" s="6"/>
      <c r="Z709" s="6">
        <f ca="1">('TUSD BE'!$AM$37+'TUSD BF_350'!$AM$37+'TUSD CVA'!$AM$37)*1</f>
        <v>871.15999999999985</v>
      </c>
      <c r="AA709" s="6">
        <f ca="1">('TE BE'!$AB$15+'TE BF_350'!$AB$15+'TE CVA'!$AB$15)*1</f>
        <v>379.30999999999995</v>
      </c>
      <c r="AB709" s="6">
        <f>$K$709*$V$709</f>
        <v>0</v>
      </c>
      <c r="AC709" s="6">
        <f>$M$709*$W$709</f>
        <v>31.084</v>
      </c>
      <c r="AD709" s="6">
        <f>$O$709*$X$709</f>
        <v>22.143000000000001</v>
      </c>
      <c r="AE709" s="6">
        <f>$K$709*$Y$709</f>
        <v>0</v>
      </c>
      <c r="AF709" s="6">
        <f ca="1">$M$709*$Z$709</f>
        <v>43.557999999999993</v>
      </c>
      <c r="AG709" s="6">
        <f ca="1">$O$709*$AA$709</f>
        <v>18.965499999999999</v>
      </c>
    </row>
    <row r="710" spans="1:33" ht="11.25" customHeight="1" x14ac:dyDescent="0.3">
      <c r="A710" s="4" t="s">
        <v>21</v>
      </c>
      <c r="B710" s="4" t="s">
        <v>22</v>
      </c>
      <c r="C710" s="4" t="s">
        <v>33</v>
      </c>
      <c r="D710" s="4" t="s">
        <v>24</v>
      </c>
      <c r="E710" s="4" t="s">
        <v>24</v>
      </c>
      <c r="F710" s="4" t="s">
        <v>25</v>
      </c>
      <c r="G710" s="4" t="s">
        <v>25</v>
      </c>
      <c r="H710" s="4" t="s">
        <v>34</v>
      </c>
      <c r="I710" s="5">
        <v>44652</v>
      </c>
      <c r="J710" s="6">
        <v>0</v>
      </c>
      <c r="K710" s="6">
        <v>0</v>
      </c>
      <c r="L710" s="6">
        <v>1.212</v>
      </c>
      <c r="M710" s="6">
        <v>1.212</v>
      </c>
      <c r="N710" s="6">
        <v>1.212</v>
      </c>
      <c r="O710" s="6">
        <v>1.212</v>
      </c>
      <c r="P710" s="6">
        <v>0</v>
      </c>
      <c r="Q710" s="4" t="s">
        <v>26</v>
      </c>
      <c r="R710" s="4">
        <v>0</v>
      </c>
      <c r="S710" s="6">
        <v>0</v>
      </c>
      <c r="T710" s="6">
        <v>43</v>
      </c>
      <c r="U710" s="6">
        <v>68</v>
      </c>
      <c r="V710" s="6">
        <f>IF(ISERROR(VLOOKUP($S$710,'TAR FIN'!$A$1:$O$113,15,0)),0,VLOOKUP($S$710,'TAR FIN'!$A$1:$O$113,15,0))</f>
        <v>0</v>
      </c>
      <c r="W710" s="6">
        <f>IF(ISERROR(VLOOKUP($T$710,'TAR FIN'!$A$1:$O$113,15,0)),0,VLOOKUP($T$710,'TAR FIN'!$A$1:$O$113,15,0))</f>
        <v>621.67999999999995</v>
      </c>
      <c r="X710" s="6">
        <f>IF(ISERROR(VLOOKUP($U$710,'TAR FIN'!$A$1:$O$113,15,0)),0,VLOOKUP($U$710,'TAR FIN'!$A$1:$O$113,15,0))</f>
        <v>442.86</v>
      </c>
      <c r="Y710" s="6"/>
      <c r="Z710" s="6">
        <f ca="1">('TUSD BE'!$AM$37+'TUSD BF_350'!$AM$37+'TUSD CVA'!$AM$37)*1</f>
        <v>871.15999999999985</v>
      </c>
      <c r="AA710" s="6">
        <f ca="1">('TE BE'!$AB$15+'TE BF_350'!$AB$15+'TE CVA'!$AB$15)*1</f>
        <v>379.30999999999995</v>
      </c>
      <c r="AB710" s="6">
        <f>$K$710*$V$710</f>
        <v>0</v>
      </c>
      <c r="AC710" s="6">
        <f>$M$710*$W$710</f>
        <v>753.47615999999994</v>
      </c>
      <c r="AD710" s="6">
        <f>$O$710*$X$710</f>
        <v>536.74631999999997</v>
      </c>
      <c r="AE710" s="6">
        <f>$K$710*$Y$710</f>
        <v>0</v>
      </c>
      <c r="AF710" s="6">
        <f ca="1">$M$710*$Z$710</f>
        <v>1055.8459199999998</v>
      </c>
      <c r="AG710" s="6">
        <f ca="1">$O$710*$AA$710</f>
        <v>459.7237199999999</v>
      </c>
    </row>
    <row r="711" spans="1:33" ht="11.25" customHeight="1" x14ac:dyDescent="0.3">
      <c r="A711" s="4" t="s">
        <v>28</v>
      </c>
      <c r="B711" s="4" t="s">
        <v>22</v>
      </c>
      <c r="C711" s="4" t="s">
        <v>33</v>
      </c>
      <c r="D711" s="4" t="s">
        <v>24</v>
      </c>
      <c r="E711" s="4" t="s">
        <v>24</v>
      </c>
      <c r="F711" s="4" t="s">
        <v>25</v>
      </c>
      <c r="G711" s="4" t="s">
        <v>25</v>
      </c>
      <c r="H711" s="4" t="s">
        <v>34</v>
      </c>
      <c r="I711" s="5">
        <v>44652</v>
      </c>
      <c r="J711" s="6">
        <v>0</v>
      </c>
      <c r="K711" s="6">
        <v>0</v>
      </c>
      <c r="L711" s="6">
        <v>5.0999999999999997E-2</v>
      </c>
      <c r="M711" s="6">
        <v>5.0999999999999997E-2</v>
      </c>
      <c r="N711" s="6">
        <v>5.0999999999999997E-2</v>
      </c>
      <c r="O711" s="6">
        <v>5.0999999999999997E-2</v>
      </c>
      <c r="P711" s="6">
        <v>0</v>
      </c>
      <c r="Q711" s="4" t="s">
        <v>26</v>
      </c>
      <c r="R711" s="4">
        <v>0</v>
      </c>
      <c r="S711" s="6">
        <v>0</v>
      </c>
      <c r="T711" s="6">
        <v>43</v>
      </c>
      <c r="U711" s="6">
        <v>68</v>
      </c>
      <c r="V711" s="6">
        <f>IF(ISERROR(VLOOKUP($S$711,'TAR FIN'!$A$1:$O$113,15,0)),0,VLOOKUP($S$711,'TAR FIN'!$A$1:$O$113,15,0))</f>
        <v>0</v>
      </c>
      <c r="W711" s="6">
        <f>IF(ISERROR(VLOOKUP($T$711,'TAR FIN'!$A$1:$O$113,15,0)),0,VLOOKUP($T$711,'TAR FIN'!$A$1:$O$113,15,0))</f>
        <v>621.67999999999995</v>
      </c>
      <c r="X711" s="6">
        <f>IF(ISERROR(VLOOKUP($U$711,'TAR FIN'!$A$1:$O$113,15,0)),0,VLOOKUP($U$711,'TAR FIN'!$A$1:$O$113,15,0))</f>
        <v>442.86</v>
      </c>
      <c r="Y711" s="6"/>
      <c r="Z711" s="6">
        <f ca="1">('TUSD BE'!$AM$37+'TUSD BF_350'!$AM$37+'TUSD CVA'!$AM$37)*1</f>
        <v>871.15999999999985</v>
      </c>
      <c r="AA711" s="6">
        <f ca="1">('TE BE'!$AB$15+'TE BF_350'!$AB$15+'TE CVA'!$AB$15)*1</f>
        <v>379.30999999999995</v>
      </c>
      <c r="AB711" s="6">
        <f>$K$711*$V$711</f>
        <v>0</v>
      </c>
      <c r="AC711" s="6">
        <f>$M$711*$W$711</f>
        <v>31.705679999999994</v>
      </c>
      <c r="AD711" s="6">
        <f>$O$711*$X$711</f>
        <v>22.58586</v>
      </c>
      <c r="AE711" s="6">
        <f>$K$711*$Y$711</f>
        <v>0</v>
      </c>
      <c r="AF711" s="6">
        <f ca="1">$M$711*$Z$711</f>
        <v>44.429159999999989</v>
      </c>
      <c r="AG711" s="6">
        <f ca="1">$O$711*$AA$711</f>
        <v>19.344809999999995</v>
      </c>
    </row>
    <row r="712" spans="1:33" ht="11.25" customHeight="1" x14ac:dyDescent="0.3">
      <c r="A712" s="4" t="s">
        <v>21</v>
      </c>
      <c r="B712" s="4" t="s">
        <v>22</v>
      </c>
      <c r="C712" s="4" t="s">
        <v>33</v>
      </c>
      <c r="D712" s="4" t="s">
        <v>24</v>
      </c>
      <c r="E712" s="4" t="s">
        <v>24</v>
      </c>
      <c r="F712" s="4" t="s">
        <v>25</v>
      </c>
      <c r="G712" s="4" t="s">
        <v>25</v>
      </c>
      <c r="H712" s="4" t="s">
        <v>34</v>
      </c>
      <c r="I712" s="5">
        <v>44682</v>
      </c>
      <c r="J712" s="6">
        <v>0</v>
      </c>
      <c r="K712" s="6">
        <v>0</v>
      </c>
      <c r="L712" s="6">
        <v>1.0229999999999999</v>
      </c>
      <c r="M712" s="6">
        <v>1.0229999999999999</v>
      </c>
      <c r="N712" s="6">
        <v>1.0229999999999999</v>
      </c>
      <c r="O712" s="6">
        <v>1.0229999999999999</v>
      </c>
      <c r="P712" s="6">
        <v>0</v>
      </c>
      <c r="Q712" s="4" t="s">
        <v>26</v>
      </c>
      <c r="R712" s="4">
        <v>0</v>
      </c>
      <c r="S712" s="6">
        <v>0</v>
      </c>
      <c r="T712" s="6">
        <v>43</v>
      </c>
      <c r="U712" s="6">
        <v>68</v>
      </c>
      <c r="V712" s="6">
        <f>IF(ISERROR(VLOOKUP($S$712,'TAR FIN'!$A$1:$O$113,15,0)),0,VLOOKUP($S$712,'TAR FIN'!$A$1:$O$113,15,0))</f>
        <v>0</v>
      </c>
      <c r="W712" s="6">
        <f>IF(ISERROR(VLOOKUP($T$712,'TAR FIN'!$A$1:$O$113,15,0)),0,VLOOKUP($T$712,'TAR FIN'!$A$1:$O$113,15,0))</f>
        <v>621.67999999999995</v>
      </c>
      <c r="X712" s="6">
        <f>IF(ISERROR(VLOOKUP($U$712,'TAR FIN'!$A$1:$O$113,15,0)),0,VLOOKUP($U$712,'TAR FIN'!$A$1:$O$113,15,0))</f>
        <v>442.86</v>
      </c>
      <c r="Y712" s="6"/>
      <c r="Z712" s="6">
        <f ca="1">('TUSD BE'!$AM$37+'TUSD BF_350'!$AM$37+'TUSD CVA'!$AM$37)*1</f>
        <v>871.15999999999985</v>
      </c>
      <c r="AA712" s="6">
        <f ca="1">('TE BE'!$AB$15+'TE BF_350'!$AB$15+'TE CVA'!$AB$15)*1</f>
        <v>379.30999999999995</v>
      </c>
      <c r="AB712" s="6">
        <f>$K$712*$V$712</f>
        <v>0</v>
      </c>
      <c r="AC712" s="6">
        <f>$M$712*$W$712</f>
        <v>635.97863999999993</v>
      </c>
      <c r="AD712" s="6">
        <f>$O$712*$X$712</f>
        <v>453.04577999999998</v>
      </c>
      <c r="AE712" s="6">
        <f>$K$712*$Y$712</f>
        <v>0</v>
      </c>
      <c r="AF712" s="6">
        <f ca="1">$M$712*$Z$712</f>
        <v>891.19667999999979</v>
      </c>
      <c r="AG712" s="6">
        <f ca="1">$O$712*$AA$712</f>
        <v>388.03412999999989</v>
      </c>
    </row>
    <row r="713" spans="1:33" ht="11.25" customHeight="1" x14ac:dyDescent="0.3">
      <c r="A713" s="4" t="s">
        <v>28</v>
      </c>
      <c r="B713" s="4" t="s">
        <v>22</v>
      </c>
      <c r="C713" s="4" t="s">
        <v>33</v>
      </c>
      <c r="D713" s="4" t="s">
        <v>24</v>
      </c>
      <c r="E713" s="4" t="s">
        <v>24</v>
      </c>
      <c r="F713" s="4" t="s">
        <v>25</v>
      </c>
      <c r="G713" s="4" t="s">
        <v>25</v>
      </c>
      <c r="H713" s="4" t="s">
        <v>34</v>
      </c>
      <c r="I713" s="5">
        <v>44682</v>
      </c>
      <c r="J713" s="6">
        <v>0</v>
      </c>
      <c r="K713" s="6">
        <v>0</v>
      </c>
      <c r="L713" s="6">
        <v>5.8999999999999997E-2</v>
      </c>
      <c r="M713" s="6">
        <v>5.8999999999999997E-2</v>
      </c>
      <c r="N713" s="6">
        <v>5.8999999999999997E-2</v>
      </c>
      <c r="O713" s="6">
        <v>5.8999999999999997E-2</v>
      </c>
      <c r="P713" s="6">
        <v>0</v>
      </c>
      <c r="Q713" s="4" t="s">
        <v>26</v>
      </c>
      <c r="R713" s="4">
        <v>0</v>
      </c>
      <c r="S713" s="6">
        <v>0</v>
      </c>
      <c r="T713" s="6">
        <v>43</v>
      </c>
      <c r="U713" s="6">
        <v>68</v>
      </c>
      <c r="V713" s="6">
        <f>IF(ISERROR(VLOOKUP($S$713,'TAR FIN'!$A$1:$O$113,15,0)),0,VLOOKUP($S$713,'TAR FIN'!$A$1:$O$113,15,0))</f>
        <v>0</v>
      </c>
      <c r="W713" s="6">
        <f>IF(ISERROR(VLOOKUP($T$713,'TAR FIN'!$A$1:$O$113,15,0)),0,VLOOKUP($T$713,'TAR FIN'!$A$1:$O$113,15,0))</f>
        <v>621.67999999999995</v>
      </c>
      <c r="X713" s="6">
        <f>IF(ISERROR(VLOOKUP($U$713,'TAR FIN'!$A$1:$O$113,15,0)),0,VLOOKUP($U$713,'TAR FIN'!$A$1:$O$113,15,0))</f>
        <v>442.86</v>
      </c>
      <c r="Y713" s="6"/>
      <c r="Z713" s="6">
        <f ca="1">('TUSD BE'!$AM$37+'TUSD BF_350'!$AM$37+'TUSD CVA'!$AM$37)*1</f>
        <v>871.15999999999985</v>
      </c>
      <c r="AA713" s="6">
        <f ca="1">('TE BE'!$AB$15+'TE BF_350'!$AB$15+'TE CVA'!$AB$15)*1</f>
        <v>379.30999999999995</v>
      </c>
      <c r="AB713" s="6">
        <f>$K$713*$V$713</f>
        <v>0</v>
      </c>
      <c r="AC713" s="6">
        <f>$M$713*$W$713</f>
        <v>36.679119999999998</v>
      </c>
      <c r="AD713" s="6">
        <f>$O$713*$X$713</f>
        <v>26.128740000000001</v>
      </c>
      <c r="AE713" s="6">
        <f>$K$713*$Y$713</f>
        <v>0</v>
      </c>
      <c r="AF713" s="6">
        <f ca="1">$M$713*$Z$713</f>
        <v>51.398439999999987</v>
      </c>
      <c r="AG713" s="6">
        <f ca="1">$O$713*$AA$713</f>
        <v>22.379289999999994</v>
      </c>
    </row>
    <row r="714" spans="1:33" ht="11.25" customHeight="1" x14ac:dyDescent="0.3">
      <c r="A714" s="4" t="s">
        <v>21</v>
      </c>
      <c r="B714" s="4" t="s">
        <v>22</v>
      </c>
      <c r="C714" s="4" t="s">
        <v>33</v>
      </c>
      <c r="D714" s="4" t="s">
        <v>24</v>
      </c>
      <c r="E714" s="4" t="s">
        <v>24</v>
      </c>
      <c r="F714" s="4" t="s">
        <v>25</v>
      </c>
      <c r="G714" s="4" t="s">
        <v>25</v>
      </c>
      <c r="H714" s="4" t="s">
        <v>34</v>
      </c>
      <c r="I714" s="5">
        <v>44713</v>
      </c>
      <c r="J714" s="6">
        <v>0</v>
      </c>
      <c r="K714" s="6">
        <v>0</v>
      </c>
      <c r="L714" s="6">
        <v>1.0589999999999999</v>
      </c>
      <c r="M714" s="6">
        <v>1.0589999999999999</v>
      </c>
      <c r="N714" s="6">
        <v>1.0589999999999999</v>
      </c>
      <c r="O714" s="6">
        <v>1.0589999999999999</v>
      </c>
      <c r="P714" s="6">
        <v>0</v>
      </c>
      <c r="Q714" s="4" t="s">
        <v>26</v>
      </c>
      <c r="R714" s="4">
        <v>0</v>
      </c>
      <c r="S714" s="6">
        <v>0</v>
      </c>
      <c r="T714" s="6">
        <v>43</v>
      </c>
      <c r="U714" s="6">
        <v>68</v>
      </c>
      <c r="V714" s="6">
        <f>IF(ISERROR(VLOOKUP($S$714,'TAR FIN'!$A$1:$O$113,15,0)),0,VLOOKUP($S$714,'TAR FIN'!$A$1:$O$113,15,0))</f>
        <v>0</v>
      </c>
      <c r="W714" s="6">
        <f>IF(ISERROR(VLOOKUP($T$714,'TAR FIN'!$A$1:$O$113,15,0)),0,VLOOKUP($T$714,'TAR FIN'!$A$1:$O$113,15,0))</f>
        <v>621.67999999999995</v>
      </c>
      <c r="X714" s="6">
        <f>IF(ISERROR(VLOOKUP($U$714,'TAR FIN'!$A$1:$O$113,15,0)),0,VLOOKUP($U$714,'TAR FIN'!$A$1:$O$113,15,0))</f>
        <v>442.86</v>
      </c>
      <c r="Y714" s="6"/>
      <c r="Z714" s="6">
        <f ca="1">('TUSD BE'!$AM$37+'TUSD BF_350'!$AM$37+'TUSD CVA'!$AM$37)*1</f>
        <v>871.15999999999985</v>
      </c>
      <c r="AA714" s="6">
        <f ca="1">('TE BE'!$AB$15+'TE BF_350'!$AB$15+'TE CVA'!$AB$15)*1</f>
        <v>379.30999999999995</v>
      </c>
      <c r="AB714" s="6">
        <f>$K$714*$V$714</f>
        <v>0</v>
      </c>
      <c r="AC714" s="6">
        <f>$M$714*$W$714</f>
        <v>658.35911999999996</v>
      </c>
      <c r="AD714" s="6">
        <f>$O$714*$X$714</f>
        <v>468.98874000000001</v>
      </c>
      <c r="AE714" s="6">
        <f>$K$714*$Y$714</f>
        <v>0</v>
      </c>
      <c r="AF714" s="6">
        <f ca="1">$M$714*$Z$714</f>
        <v>922.55843999999979</v>
      </c>
      <c r="AG714" s="6">
        <f ca="1">$O$714*$AA$714</f>
        <v>401.68928999999991</v>
      </c>
    </row>
    <row r="715" spans="1:33" ht="11.25" customHeight="1" x14ac:dyDescent="0.3">
      <c r="A715" s="4" t="s">
        <v>28</v>
      </c>
      <c r="B715" s="4" t="s">
        <v>22</v>
      </c>
      <c r="C715" s="4" t="s">
        <v>33</v>
      </c>
      <c r="D715" s="4" t="s">
        <v>24</v>
      </c>
      <c r="E715" s="4" t="s">
        <v>24</v>
      </c>
      <c r="F715" s="4" t="s">
        <v>25</v>
      </c>
      <c r="G715" s="4" t="s">
        <v>25</v>
      </c>
      <c r="H715" s="4" t="s">
        <v>34</v>
      </c>
      <c r="I715" s="5">
        <v>44713</v>
      </c>
      <c r="J715" s="6">
        <v>0</v>
      </c>
      <c r="K715" s="6">
        <v>0</v>
      </c>
      <c r="L715" s="6">
        <v>7.6999999999999999E-2</v>
      </c>
      <c r="M715" s="6">
        <v>7.6999999999999999E-2</v>
      </c>
      <c r="N715" s="6">
        <v>7.6999999999999999E-2</v>
      </c>
      <c r="O715" s="6">
        <v>7.6999999999999999E-2</v>
      </c>
      <c r="P715" s="6">
        <v>0</v>
      </c>
      <c r="Q715" s="4" t="s">
        <v>26</v>
      </c>
      <c r="R715" s="4">
        <v>0</v>
      </c>
      <c r="S715" s="6">
        <v>0</v>
      </c>
      <c r="T715" s="6">
        <v>43</v>
      </c>
      <c r="U715" s="6">
        <v>68</v>
      </c>
      <c r="V715" s="6">
        <f>IF(ISERROR(VLOOKUP($S$715,'TAR FIN'!$A$1:$O$113,15,0)),0,VLOOKUP($S$715,'TAR FIN'!$A$1:$O$113,15,0))</f>
        <v>0</v>
      </c>
      <c r="W715" s="6">
        <f>IF(ISERROR(VLOOKUP($T$715,'TAR FIN'!$A$1:$O$113,15,0)),0,VLOOKUP($T$715,'TAR FIN'!$A$1:$O$113,15,0))</f>
        <v>621.67999999999995</v>
      </c>
      <c r="X715" s="6">
        <f>IF(ISERROR(VLOOKUP($U$715,'TAR FIN'!$A$1:$O$113,15,0)),0,VLOOKUP($U$715,'TAR FIN'!$A$1:$O$113,15,0))</f>
        <v>442.86</v>
      </c>
      <c r="Y715" s="6"/>
      <c r="Z715" s="6">
        <f ca="1">('TUSD BE'!$AM$37+'TUSD BF_350'!$AM$37+'TUSD CVA'!$AM$37)*1</f>
        <v>871.15999999999985</v>
      </c>
      <c r="AA715" s="6">
        <f ca="1">('TE BE'!$AB$15+'TE BF_350'!$AB$15+'TE CVA'!$AB$15)*1</f>
        <v>379.30999999999995</v>
      </c>
      <c r="AB715" s="6">
        <f>$K$715*$V$715</f>
        <v>0</v>
      </c>
      <c r="AC715" s="6">
        <f>$M$715*$W$715</f>
        <v>47.869359999999993</v>
      </c>
      <c r="AD715" s="6">
        <f>$O$715*$X$715</f>
        <v>34.10022</v>
      </c>
      <c r="AE715" s="6">
        <f>$K$715*$Y$715</f>
        <v>0</v>
      </c>
      <c r="AF715" s="6">
        <f ca="1">$M$715*$Z$715</f>
        <v>67.079319999999981</v>
      </c>
      <c r="AG715" s="6">
        <f ca="1">$O$715*$AA$715</f>
        <v>29.206869999999995</v>
      </c>
    </row>
    <row r="716" spans="1:33" ht="11.25" customHeight="1" x14ac:dyDescent="0.3">
      <c r="A716" s="4" t="s">
        <v>21</v>
      </c>
      <c r="B716" s="4" t="s">
        <v>22</v>
      </c>
      <c r="C716" s="4" t="s">
        <v>33</v>
      </c>
      <c r="D716" s="4" t="s">
        <v>24</v>
      </c>
      <c r="E716" s="4" t="s">
        <v>24</v>
      </c>
      <c r="F716" s="4" t="s">
        <v>25</v>
      </c>
      <c r="G716" s="4" t="s">
        <v>25</v>
      </c>
      <c r="H716" s="4" t="s">
        <v>34</v>
      </c>
      <c r="I716" s="5">
        <v>44743</v>
      </c>
      <c r="J716" s="6">
        <v>0</v>
      </c>
      <c r="K716" s="6">
        <v>0</v>
      </c>
      <c r="L716" s="6">
        <v>1.6060000000000001</v>
      </c>
      <c r="M716" s="6">
        <v>1.6060000000000001</v>
      </c>
      <c r="N716" s="6">
        <v>1.6060000000000001</v>
      </c>
      <c r="O716" s="6">
        <v>1.6060000000000001</v>
      </c>
      <c r="P716" s="6">
        <v>0</v>
      </c>
      <c r="Q716" s="4" t="s">
        <v>26</v>
      </c>
      <c r="R716" s="4">
        <v>0</v>
      </c>
      <c r="S716" s="6">
        <v>0</v>
      </c>
      <c r="T716" s="6">
        <v>43</v>
      </c>
      <c r="U716" s="6">
        <v>68</v>
      </c>
      <c r="V716" s="6">
        <f>IF(ISERROR(VLOOKUP($S$716,'TAR FIN'!$A$1:$O$113,15,0)),0,VLOOKUP($S$716,'TAR FIN'!$A$1:$O$113,15,0))</f>
        <v>0</v>
      </c>
      <c r="W716" s="6">
        <f>IF(ISERROR(VLOOKUP($T$716,'TAR FIN'!$A$1:$O$113,15,0)),0,VLOOKUP($T$716,'TAR FIN'!$A$1:$O$113,15,0))</f>
        <v>621.67999999999995</v>
      </c>
      <c r="X716" s="6">
        <f>IF(ISERROR(VLOOKUP($U$716,'TAR FIN'!$A$1:$O$113,15,0)),0,VLOOKUP($U$716,'TAR FIN'!$A$1:$O$113,15,0))</f>
        <v>442.86</v>
      </c>
      <c r="Y716" s="6"/>
      <c r="Z716" s="6">
        <f ca="1">('TUSD BE'!$AM$37+'TUSD BF_350'!$AM$37+'TUSD CVA'!$AM$37)*1</f>
        <v>871.15999999999985</v>
      </c>
      <c r="AA716" s="6">
        <f ca="1">('TE BE'!$AB$15+'TE BF_350'!$AB$15+'TE CVA'!$AB$15)*1</f>
        <v>379.30999999999995</v>
      </c>
      <c r="AB716" s="6">
        <f>$K$716*$V$716</f>
        <v>0</v>
      </c>
      <c r="AC716" s="6">
        <f>$M$716*$W$716</f>
        <v>998.41808000000003</v>
      </c>
      <c r="AD716" s="6">
        <f>$O$716*$X$716</f>
        <v>711.23316000000011</v>
      </c>
      <c r="AE716" s="6">
        <f>$K$716*$Y$716</f>
        <v>0</v>
      </c>
      <c r="AF716" s="6">
        <f ca="1">$M$716*$Z$716</f>
        <v>1399.08296</v>
      </c>
      <c r="AG716" s="6">
        <f ca="1">$O$716*$AA$716</f>
        <v>609.17185999999992</v>
      </c>
    </row>
    <row r="717" spans="1:33" ht="11.25" customHeight="1" x14ac:dyDescent="0.3">
      <c r="A717" s="4" t="s">
        <v>21</v>
      </c>
      <c r="B717" s="4" t="s">
        <v>22</v>
      </c>
      <c r="C717" s="4" t="s">
        <v>33</v>
      </c>
      <c r="D717" s="4" t="s">
        <v>24</v>
      </c>
      <c r="E717" s="4" t="s">
        <v>24</v>
      </c>
      <c r="F717" s="4" t="s">
        <v>25</v>
      </c>
      <c r="G717" s="4" t="s">
        <v>25</v>
      </c>
      <c r="H717" s="4" t="s">
        <v>34</v>
      </c>
      <c r="I717" s="5">
        <v>44774</v>
      </c>
      <c r="J717" s="6">
        <v>0</v>
      </c>
      <c r="K717" s="6">
        <v>0</v>
      </c>
      <c r="L717" s="6">
        <v>1.123</v>
      </c>
      <c r="M717" s="6">
        <v>1.123</v>
      </c>
      <c r="N717" s="6">
        <v>1.123</v>
      </c>
      <c r="O717" s="6">
        <v>1.123</v>
      </c>
      <c r="P717" s="6">
        <v>0</v>
      </c>
      <c r="Q717" s="4" t="s">
        <v>26</v>
      </c>
      <c r="R717" s="4">
        <v>0</v>
      </c>
      <c r="S717" s="6">
        <v>0</v>
      </c>
      <c r="T717" s="6">
        <v>43</v>
      </c>
      <c r="U717" s="6">
        <v>68</v>
      </c>
      <c r="V717" s="6">
        <f>IF(ISERROR(VLOOKUP($S$717,'TAR FIN'!$A$1:$O$113,15,0)),0,VLOOKUP($S$717,'TAR FIN'!$A$1:$O$113,15,0))</f>
        <v>0</v>
      </c>
      <c r="W717" s="6">
        <f>IF(ISERROR(VLOOKUP($T$717,'TAR FIN'!$A$1:$O$113,15,0)),0,VLOOKUP($T$717,'TAR FIN'!$A$1:$O$113,15,0))</f>
        <v>621.67999999999995</v>
      </c>
      <c r="X717" s="6">
        <f>IF(ISERROR(VLOOKUP($U$717,'TAR FIN'!$A$1:$O$113,15,0)),0,VLOOKUP($U$717,'TAR FIN'!$A$1:$O$113,15,0))</f>
        <v>442.86</v>
      </c>
      <c r="Y717" s="6"/>
      <c r="Z717" s="6">
        <f ca="1">('TUSD BE'!$AM$37+'TUSD BF_350'!$AM$37+'TUSD CVA'!$AM$37)*1</f>
        <v>871.15999999999985</v>
      </c>
      <c r="AA717" s="6">
        <f ca="1">('TE BE'!$AB$15+'TE BF_350'!$AB$15+'TE CVA'!$AB$15)*1</f>
        <v>379.30999999999995</v>
      </c>
      <c r="AB717" s="6">
        <f>$K$717*$V$717</f>
        <v>0</v>
      </c>
      <c r="AC717" s="6">
        <f>$M$717*$W$717</f>
        <v>698.14663999999993</v>
      </c>
      <c r="AD717" s="6">
        <f>$O$717*$X$717</f>
        <v>497.33178000000004</v>
      </c>
      <c r="AE717" s="6">
        <f>$K$717*$Y$717</f>
        <v>0</v>
      </c>
      <c r="AF717" s="6">
        <f ca="1">$M$717*$Z$717</f>
        <v>978.31267999999989</v>
      </c>
      <c r="AG717" s="6">
        <f ca="1">$O$717*$AA$717</f>
        <v>425.96512999999993</v>
      </c>
    </row>
    <row r="718" spans="1:33" ht="11.25" customHeight="1" x14ac:dyDescent="0.3">
      <c r="A718" s="4" t="s">
        <v>28</v>
      </c>
      <c r="B718" s="4" t="s">
        <v>22</v>
      </c>
      <c r="C718" s="4" t="s">
        <v>33</v>
      </c>
      <c r="D718" s="4" t="s">
        <v>24</v>
      </c>
      <c r="E718" s="4" t="s">
        <v>24</v>
      </c>
      <c r="F718" s="4" t="s">
        <v>25</v>
      </c>
      <c r="G718" s="4" t="s">
        <v>25</v>
      </c>
      <c r="H718" s="4" t="s">
        <v>34</v>
      </c>
      <c r="I718" s="5">
        <v>44774</v>
      </c>
      <c r="J718" s="6">
        <v>0</v>
      </c>
      <c r="K718" s="6">
        <v>0</v>
      </c>
      <c r="L718" s="6">
        <v>6.9000000000000006E-2</v>
      </c>
      <c r="M718" s="6">
        <v>6.9000000000000006E-2</v>
      </c>
      <c r="N718" s="6">
        <v>6.9000000000000006E-2</v>
      </c>
      <c r="O718" s="6">
        <v>6.9000000000000006E-2</v>
      </c>
      <c r="P718" s="6">
        <v>0</v>
      </c>
      <c r="Q718" s="4" t="s">
        <v>26</v>
      </c>
      <c r="R718" s="4">
        <v>0</v>
      </c>
      <c r="S718" s="6">
        <v>0</v>
      </c>
      <c r="T718" s="6">
        <v>43</v>
      </c>
      <c r="U718" s="6">
        <v>68</v>
      </c>
      <c r="V718" s="6">
        <f>IF(ISERROR(VLOOKUP($S$718,'TAR FIN'!$A$1:$O$113,15,0)),0,VLOOKUP($S$718,'TAR FIN'!$A$1:$O$113,15,0))</f>
        <v>0</v>
      </c>
      <c r="W718" s="6">
        <f>IF(ISERROR(VLOOKUP($T$718,'TAR FIN'!$A$1:$O$113,15,0)),0,VLOOKUP($T$718,'TAR FIN'!$A$1:$O$113,15,0))</f>
        <v>621.67999999999995</v>
      </c>
      <c r="X718" s="6">
        <f>IF(ISERROR(VLOOKUP($U$718,'TAR FIN'!$A$1:$O$113,15,0)),0,VLOOKUP($U$718,'TAR FIN'!$A$1:$O$113,15,0))</f>
        <v>442.86</v>
      </c>
      <c r="Y718" s="6"/>
      <c r="Z718" s="6">
        <f ca="1">('TUSD BE'!$AM$37+'TUSD BF_350'!$AM$37+'TUSD CVA'!$AM$37)*1</f>
        <v>871.15999999999985</v>
      </c>
      <c r="AA718" s="6">
        <f ca="1">('TE BE'!$AB$15+'TE BF_350'!$AB$15+'TE CVA'!$AB$15)*1</f>
        <v>379.30999999999995</v>
      </c>
      <c r="AB718" s="6">
        <f>$K$718*$V$718</f>
        <v>0</v>
      </c>
      <c r="AC718" s="6">
        <f>$M$718*$W$718</f>
        <v>42.895919999999997</v>
      </c>
      <c r="AD718" s="6">
        <f>$O$718*$X$718</f>
        <v>30.557340000000003</v>
      </c>
      <c r="AE718" s="6">
        <f>$K$718*$Y$718</f>
        <v>0</v>
      </c>
      <c r="AF718" s="6">
        <f ca="1">$M$718*$Z$718</f>
        <v>60.110039999999998</v>
      </c>
      <c r="AG718" s="6">
        <f ca="1">$O$718*$AA$718</f>
        <v>26.17239</v>
      </c>
    </row>
    <row r="719" spans="1:33" ht="11.25" customHeight="1" x14ac:dyDescent="0.3">
      <c r="A719" s="4" t="s">
        <v>21</v>
      </c>
      <c r="B719" s="4" t="s">
        <v>22</v>
      </c>
      <c r="C719" s="4" t="s">
        <v>33</v>
      </c>
      <c r="D719" s="4" t="s">
        <v>24</v>
      </c>
      <c r="E719" s="4" t="s">
        <v>24</v>
      </c>
      <c r="F719" s="4" t="s">
        <v>25</v>
      </c>
      <c r="G719" s="4" t="s">
        <v>25</v>
      </c>
      <c r="H719" s="4" t="s">
        <v>34</v>
      </c>
      <c r="I719" s="5">
        <v>44805</v>
      </c>
      <c r="J719" s="6">
        <v>0</v>
      </c>
      <c r="K719" s="6">
        <v>0</v>
      </c>
      <c r="L719" s="6">
        <v>0.99399999999999999</v>
      </c>
      <c r="M719" s="6">
        <v>0.99399999999999999</v>
      </c>
      <c r="N719" s="6">
        <v>0.99399999999999999</v>
      </c>
      <c r="O719" s="6">
        <v>0.99399999999999999</v>
      </c>
      <c r="P719" s="6">
        <v>0</v>
      </c>
      <c r="Q719" s="4" t="s">
        <v>26</v>
      </c>
      <c r="R719" s="4">
        <v>0</v>
      </c>
      <c r="S719" s="6">
        <v>0</v>
      </c>
      <c r="T719" s="6">
        <v>43</v>
      </c>
      <c r="U719" s="6">
        <v>68</v>
      </c>
      <c r="V719" s="6">
        <f>IF(ISERROR(VLOOKUP($S$719,'TAR FIN'!$A$1:$O$113,15,0)),0,VLOOKUP($S$719,'TAR FIN'!$A$1:$O$113,15,0))</f>
        <v>0</v>
      </c>
      <c r="W719" s="6">
        <f>IF(ISERROR(VLOOKUP($T$719,'TAR FIN'!$A$1:$O$113,15,0)),0,VLOOKUP($T$719,'TAR FIN'!$A$1:$O$113,15,0))</f>
        <v>621.67999999999995</v>
      </c>
      <c r="X719" s="6">
        <f>IF(ISERROR(VLOOKUP($U$719,'TAR FIN'!$A$1:$O$113,15,0)),0,VLOOKUP($U$719,'TAR FIN'!$A$1:$O$113,15,0))</f>
        <v>442.86</v>
      </c>
      <c r="Y719" s="6"/>
      <c r="Z719" s="6">
        <f ca="1">('TUSD BE'!$AM$37+'TUSD BF_350'!$AM$37+'TUSD CVA'!$AM$37)*1</f>
        <v>871.15999999999985</v>
      </c>
      <c r="AA719" s="6">
        <f ca="1">('TE BE'!$AB$15+'TE BF_350'!$AB$15+'TE CVA'!$AB$15)*1</f>
        <v>379.30999999999995</v>
      </c>
      <c r="AB719" s="6">
        <f>$K$719*$V$719</f>
        <v>0</v>
      </c>
      <c r="AC719" s="6">
        <f>$M$719*$W$719</f>
        <v>617.94991999999991</v>
      </c>
      <c r="AD719" s="6">
        <f>$O$719*$X$719</f>
        <v>440.20284000000004</v>
      </c>
      <c r="AE719" s="6">
        <f>$K$719*$Y$719</f>
        <v>0</v>
      </c>
      <c r="AF719" s="6">
        <f ca="1">$M$719*$Z$719</f>
        <v>865.93303999999989</v>
      </c>
      <c r="AG719" s="6">
        <f ca="1">$O$719*$AA$719</f>
        <v>377.03413999999992</v>
      </c>
    </row>
    <row r="720" spans="1:33" ht="11.25" customHeight="1" x14ac:dyDescent="0.3">
      <c r="A720" s="4" t="s">
        <v>28</v>
      </c>
      <c r="B720" s="4" t="s">
        <v>22</v>
      </c>
      <c r="C720" s="4" t="s">
        <v>33</v>
      </c>
      <c r="D720" s="4" t="s">
        <v>24</v>
      </c>
      <c r="E720" s="4" t="s">
        <v>24</v>
      </c>
      <c r="F720" s="4" t="s">
        <v>25</v>
      </c>
      <c r="G720" s="4" t="s">
        <v>25</v>
      </c>
      <c r="H720" s="4" t="s">
        <v>34</v>
      </c>
      <c r="I720" s="5">
        <v>44805</v>
      </c>
      <c r="J720" s="6">
        <v>0</v>
      </c>
      <c r="K720" s="6">
        <v>0</v>
      </c>
      <c r="L720" s="6">
        <v>8.7999999999999995E-2</v>
      </c>
      <c r="M720" s="6">
        <v>8.7999999999999995E-2</v>
      </c>
      <c r="N720" s="6">
        <v>8.7999999999999995E-2</v>
      </c>
      <c r="O720" s="6">
        <v>8.7999999999999995E-2</v>
      </c>
      <c r="P720" s="6">
        <v>0</v>
      </c>
      <c r="Q720" s="4" t="s">
        <v>26</v>
      </c>
      <c r="R720" s="4">
        <v>0</v>
      </c>
      <c r="S720" s="6">
        <v>0</v>
      </c>
      <c r="T720" s="6">
        <v>43</v>
      </c>
      <c r="U720" s="6">
        <v>68</v>
      </c>
      <c r="V720" s="6">
        <f>IF(ISERROR(VLOOKUP($S$720,'TAR FIN'!$A$1:$O$113,15,0)),0,VLOOKUP($S$720,'TAR FIN'!$A$1:$O$113,15,0))</f>
        <v>0</v>
      </c>
      <c r="W720" s="6">
        <f>IF(ISERROR(VLOOKUP($T$720,'TAR FIN'!$A$1:$O$113,15,0)),0,VLOOKUP($T$720,'TAR FIN'!$A$1:$O$113,15,0))</f>
        <v>621.67999999999995</v>
      </c>
      <c r="X720" s="6">
        <f>IF(ISERROR(VLOOKUP($U$720,'TAR FIN'!$A$1:$O$113,15,0)),0,VLOOKUP($U$720,'TAR FIN'!$A$1:$O$113,15,0))</f>
        <v>442.86</v>
      </c>
      <c r="Y720" s="6"/>
      <c r="Z720" s="6">
        <f ca="1">('TUSD BE'!$AM$37+'TUSD BF_350'!$AM$37+'TUSD CVA'!$AM$37)*1</f>
        <v>871.15999999999985</v>
      </c>
      <c r="AA720" s="6">
        <f ca="1">('TE BE'!$AB$15+'TE BF_350'!$AB$15+'TE CVA'!$AB$15)*1</f>
        <v>379.30999999999995</v>
      </c>
      <c r="AB720" s="6">
        <f>$K$720*$V$720</f>
        <v>0</v>
      </c>
      <c r="AC720" s="6">
        <f>$M$720*$W$720</f>
        <v>54.70783999999999</v>
      </c>
      <c r="AD720" s="6">
        <f>$O$720*$X$720</f>
        <v>38.971679999999999</v>
      </c>
      <c r="AE720" s="6">
        <f>$K$720*$Y$720</f>
        <v>0</v>
      </c>
      <c r="AF720" s="6">
        <f ca="1">$M$720*$Z$720</f>
        <v>76.662079999999989</v>
      </c>
      <c r="AG720" s="6">
        <f ca="1">$O$720*$AA$720</f>
        <v>33.379279999999994</v>
      </c>
    </row>
    <row r="721" spans="1:33" ht="11.25" customHeight="1" x14ac:dyDescent="0.3">
      <c r="A721" s="4" t="s">
        <v>53</v>
      </c>
      <c r="B721" s="4" t="s">
        <v>22</v>
      </c>
      <c r="C721" s="4" t="s">
        <v>33</v>
      </c>
      <c r="D721" s="4" t="s">
        <v>24</v>
      </c>
      <c r="E721" s="4" t="s">
        <v>24</v>
      </c>
      <c r="F721" s="4" t="s">
        <v>25</v>
      </c>
      <c r="G721" s="4" t="s">
        <v>25</v>
      </c>
      <c r="H721" s="4" t="s">
        <v>34</v>
      </c>
      <c r="I721" s="5">
        <v>44835</v>
      </c>
      <c r="J721" s="6">
        <v>0</v>
      </c>
      <c r="K721" s="6">
        <v>0</v>
      </c>
      <c r="L721" s="6">
        <v>0.99399999999999999</v>
      </c>
      <c r="M721" s="6">
        <v>0.99399999999999999</v>
      </c>
      <c r="N721" s="6">
        <v>0.99399999999999999</v>
      </c>
      <c r="O721" s="6">
        <v>0.99399999999999999</v>
      </c>
      <c r="P721" s="6">
        <v>0</v>
      </c>
      <c r="Q721" s="4" t="s">
        <v>26</v>
      </c>
      <c r="R721" s="4">
        <v>0</v>
      </c>
      <c r="S721" s="6">
        <v>0</v>
      </c>
      <c r="T721" s="6">
        <v>43</v>
      </c>
      <c r="U721" s="6">
        <v>68</v>
      </c>
      <c r="V721" s="6">
        <f>IF(ISERROR(VLOOKUP($S$721,'TAR FIN'!$A$1:$O$113,15,0)),0,VLOOKUP($S$721,'TAR FIN'!$A$1:$O$113,15,0))</f>
        <v>0</v>
      </c>
      <c r="W721" s="6">
        <f>IF(ISERROR(VLOOKUP($T$721,'TAR FIN'!$A$1:$O$113,15,0)),0,VLOOKUP($T$721,'TAR FIN'!$A$1:$O$113,15,0))</f>
        <v>621.67999999999995</v>
      </c>
      <c r="X721" s="6">
        <f>IF(ISERROR(VLOOKUP($U$721,'TAR FIN'!$A$1:$O$113,15,0)),0,VLOOKUP($U$721,'TAR FIN'!$A$1:$O$113,15,0))</f>
        <v>442.86</v>
      </c>
      <c r="Y721" s="6"/>
      <c r="Z721" s="6">
        <f ca="1">('TUSD BE'!$AM$37+'TUSD BF_350'!$AM$37+'TUSD CVA'!$AM$37)*1</f>
        <v>871.15999999999985</v>
      </c>
      <c r="AA721" s="6">
        <f ca="1">('TE BE'!$AB$15+'TE BF_350'!$AB$15+'TE CVA'!$AB$15)*1</f>
        <v>379.30999999999995</v>
      </c>
      <c r="AB721" s="6">
        <f>$K$721*$V$721</f>
        <v>0</v>
      </c>
      <c r="AC721" s="6">
        <f>$M$721*$W$721</f>
        <v>617.94991999999991</v>
      </c>
      <c r="AD721" s="6">
        <f>$O$721*$X$721</f>
        <v>440.20284000000004</v>
      </c>
      <c r="AE721" s="6">
        <f>$K$721*$Y$721</f>
        <v>0</v>
      </c>
      <c r="AF721" s="6">
        <f ca="1">$M$721*$Z$721</f>
        <v>865.93303999999989</v>
      </c>
      <c r="AG721" s="6">
        <f ca="1">$O$721*$AA$721</f>
        <v>377.03413999999992</v>
      </c>
    </row>
    <row r="722" spans="1:33" ht="11.25" customHeight="1" x14ac:dyDescent="0.3">
      <c r="A722" s="4" t="s">
        <v>53</v>
      </c>
      <c r="B722" s="4" t="s">
        <v>22</v>
      </c>
      <c r="C722" s="4" t="s">
        <v>33</v>
      </c>
      <c r="D722" s="4" t="s">
        <v>24</v>
      </c>
      <c r="E722" s="4" t="s">
        <v>24</v>
      </c>
      <c r="F722" s="4" t="s">
        <v>25</v>
      </c>
      <c r="G722" s="4" t="s">
        <v>25</v>
      </c>
      <c r="H722" s="4" t="s">
        <v>34</v>
      </c>
      <c r="I722" s="5">
        <v>44835</v>
      </c>
      <c r="J722" s="6">
        <v>0</v>
      </c>
      <c r="K722" s="6">
        <v>0</v>
      </c>
      <c r="L722" s="6">
        <v>8.7999999999999995E-2</v>
      </c>
      <c r="M722" s="6">
        <v>8.7999999999999995E-2</v>
      </c>
      <c r="N722" s="6">
        <v>8.7999999999999995E-2</v>
      </c>
      <c r="O722" s="6">
        <v>8.7999999999999995E-2</v>
      </c>
      <c r="P722" s="6">
        <v>0</v>
      </c>
      <c r="Q722" s="4" t="s">
        <v>26</v>
      </c>
      <c r="R722" s="4">
        <v>0</v>
      </c>
      <c r="S722" s="6">
        <v>0</v>
      </c>
      <c r="T722" s="6">
        <v>43</v>
      </c>
      <c r="U722" s="6">
        <v>68</v>
      </c>
      <c r="V722" s="6">
        <f>IF(ISERROR(VLOOKUP($S$722,'TAR FIN'!$A$1:$O$113,15,0)),0,VLOOKUP($S$722,'TAR FIN'!$A$1:$O$113,15,0))</f>
        <v>0</v>
      </c>
      <c r="W722" s="6">
        <f>IF(ISERROR(VLOOKUP($T$722,'TAR FIN'!$A$1:$O$113,15,0)),0,VLOOKUP($T$722,'TAR FIN'!$A$1:$O$113,15,0))</f>
        <v>621.67999999999995</v>
      </c>
      <c r="X722" s="6">
        <f>IF(ISERROR(VLOOKUP($U$722,'TAR FIN'!$A$1:$O$113,15,0)),0,VLOOKUP($U$722,'TAR FIN'!$A$1:$O$113,15,0))</f>
        <v>442.86</v>
      </c>
      <c r="Y722" s="6"/>
      <c r="Z722" s="6">
        <f ca="1">('TUSD BE'!$AM$37+'TUSD BF_350'!$AM$37+'TUSD CVA'!$AM$37)*1</f>
        <v>871.15999999999985</v>
      </c>
      <c r="AA722" s="6">
        <f ca="1">('TE BE'!$AB$15+'TE BF_350'!$AB$15+'TE CVA'!$AB$15)*1</f>
        <v>379.30999999999995</v>
      </c>
      <c r="AB722" s="6">
        <f>$K$722*$V$722</f>
        <v>0</v>
      </c>
      <c r="AC722" s="6">
        <f>$M$722*$W$722</f>
        <v>54.70783999999999</v>
      </c>
      <c r="AD722" s="6">
        <f>$O$722*$X$722</f>
        <v>38.971679999999999</v>
      </c>
      <c r="AE722" s="6">
        <f>$K$722*$Y$722</f>
        <v>0</v>
      </c>
      <c r="AF722" s="6">
        <f ca="1">$M$722*$Z$722</f>
        <v>76.662079999999989</v>
      </c>
      <c r="AG722" s="6">
        <f ca="1">$O$722*$AA$722</f>
        <v>33.379279999999994</v>
      </c>
    </row>
    <row r="723" spans="1:33" ht="11.25" customHeight="1" x14ac:dyDescent="0.3">
      <c r="A723" s="4" t="s">
        <v>21</v>
      </c>
      <c r="B723" s="4" t="s">
        <v>22</v>
      </c>
      <c r="C723" s="4" t="s">
        <v>23</v>
      </c>
      <c r="D723" s="4" t="s">
        <v>24</v>
      </c>
      <c r="E723" s="4" t="s">
        <v>24</v>
      </c>
      <c r="F723" s="4" t="s">
        <v>25</v>
      </c>
      <c r="G723" s="4" t="s">
        <v>25</v>
      </c>
      <c r="H723" s="4" t="s">
        <v>25</v>
      </c>
      <c r="I723" s="5">
        <v>44501</v>
      </c>
      <c r="J723" s="6">
        <v>0</v>
      </c>
      <c r="K723" s="6">
        <v>0</v>
      </c>
      <c r="L723" s="6">
        <v>10420.1</v>
      </c>
      <c r="M723" s="6">
        <v>10420.1</v>
      </c>
      <c r="N723" s="6">
        <v>10420.1</v>
      </c>
      <c r="O723" s="6">
        <v>10420.1</v>
      </c>
      <c r="P723" s="6">
        <v>68790</v>
      </c>
      <c r="Q723" s="4" t="s">
        <v>26</v>
      </c>
      <c r="R723" s="4">
        <v>0</v>
      </c>
      <c r="S723" s="6">
        <v>0</v>
      </c>
      <c r="T723" s="6">
        <v>46</v>
      </c>
      <c r="U723" s="6">
        <v>111</v>
      </c>
      <c r="V723" s="6">
        <f>IF(ISERROR(VLOOKUP($S$723,'TAR FIN'!$A$1:$O$113,15,0)),0,VLOOKUP($S$723,'TAR FIN'!$A$1:$O$113,15,0))</f>
        <v>0</v>
      </c>
      <c r="W723" s="6">
        <f>IF(ISERROR(VLOOKUP($T$723,'TAR FIN'!$A$1:$O$113,15,0)),0,VLOOKUP($T$723,'TAR FIN'!$A$1:$O$113,15,0))</f>
        <v>300.3</v>
      </c>
      <c r="X723" s="6">
        <f>IF(ISERROR(VLOOKUP($U$723,'TAR FIN'!$A$1:$O$113,15,0)),0,VLOOKUP($U$723,'TAR FIN'!$A$1:$O$113,15,0))</f>
        <v>292.36</v>
      </c>
      <c r="Y723" s="6"/>
      <c r="Z723" s="6">
        <f ca="1">('TUSD BE'!$AM$40+'TUSD BF_350'!$AM$40+'TUSD CVA'!$AM$40)*1</f>
        <v>409.13</v>
      </c>
      <c r="AA723" s="6">
        <f ca="1">('TE BE'!$AB$18+'TE BF_350'!$AB$18+'TE CVA'!$AB$18)*1</f>
        <v>244</v>
      </c>
      <c r="AB723" s="6">
        <f>$K$723*$V$723</f>
        <v>0</v>
      </c>
      <c r="AC723" s="6">
        <f>$M$723*$W$723</f>
        <v>3129156.0300000003</v>
      </c>
      <c r="AD723" s="6">
        <f>$O$723*$X$723</f>
        <v>3046420.4360000002</v>
      </c>
      <c r="AE723" s="6">
        <f>$K$723*$Y$723</f>
        <v>0</v>
      </c>
      <c r="AF723" s="6">
        <f ca="1">$M$723*$Z$723</f>
        <v>4263175.5130000003</v>
      </c>
      <c r="AG723" s="6">
        <f ca="1">$O$723*$AA$723</f>
        <v>2542504.4</v>
      </c>
    </row>
    <row r="724" spans="1:33" ht="11.25" customHeight="1" x14ac:dyDescent="0.3">
      <c r="A724" s="4" t="s">
        <v>27</v>
      </c>
      <c r="B724" s="4" t="s">
        <v>22</v>
      </c>
      <c r="C724" s="4" t="s">
        <v>23</v>
      </c>
      <c r="D724" s="4" t="s">
        <v>24</v>
      </c>
      <c r="E724" s="4" t="s">
        <v>24</v>
      </c>
      <c r="F724" s="4" t="s">
        <v>25</v>
      </c>
      <c r="G724" s="4" t="s">
        <v>25</v>
      </c>
      <c r="H724" s="4" t="s">
        <v>25</v>
      </c>
      <c r="I724" s="5">
        <v>44501</v>
      </c>
      <c r="J724" s="6">
        <v>0</v>
      </c>
      <c r="K724" s="6">
        <v>0</v>
      </c>
      <c r="L724" s="6">
        <v>-5.1719999999999997</v>
      </c>
      <c r="M724" s="6">
        <v>-5.1719999999999997</v>
      </c>
      <c r="N724" s="6">
        <v>-5.1719999999999997</v>
      </c>
      <c r="O724" s="6">
        <v>-5.1719999999999997</v>
      </c>
      <c r="P724" s="6">
        <v>0</v>
      </c>
      <c r="Q724" s="4" t="s">
        <v>26</v>
      </c>
      <c r="R724" s="4">
        <v>0</v>
      </c>
      <c r="S724" s="6">
        <v>0</v>
      </c>
      <c r="T724" s="6">
        <v>46</v>
      </c>
      <c r="U724" s="6">
        <v>111</v>
      </c>
      <c r="V724" s="6">
        <f>IF(ISERROR(VLOOKUP($S$724,'TAR FIN'!$A$1:$O$113,15,0)),0,VLOOKUP($S$724,'TAR FIN'!$A$1:$O$113,15,0))</f>
        <v>0</v>
      </c>
      <c r="W724" s="6">
        <f>IF(ISERROR(VLOOKUP($T$724,'TAR FIN'!$A$1:$O$113,15,0)),0,VLOOKUP($T$724,'TAR FIN'!$A$1:$O$113,15,0))</f>
        <v>300.3</v>
      </c>
      <c r="X724" s="6">
        <f>IF(ISERROR(VLOOKUP($U$724,'TAR FIN'!$A$1:$O$113,15,0)),0,VLOOKUP($U$724,'TAR FIN'!$A$1:$O$113,15,0))</f>
        <v>292.36</v>
      </c>
      <c r="Y724" s="6"/>
      <c r="Z724" s="6">
        <f ca="1">('TUSD BE'!$AM$40+'TUSD BF_350'!$AM$40+'TUSD CVA'!$AM$40)*1</f>
        <v>409.13</v>
      </c>
      <c r="AA724" s="6">
        <f ca="1">('TE BE'!$AB$18+'TE BF_350'!$AB$18+'TE CVA'!$AB$18)*1</f>
        <v>244</v>
      </c>
      <c r="AB724" s="6">
        <f>$K$724*$V$724</f>
        <v>0</v>
      </c>
      <c r="AC724" s="6">
        <f>$M$724*$W$724</f>
        <v>-1553.1515999999999</v>
      </c>
      <c r="AD724" s="6">
        <f>$O$724*$X$724</f>
        <v>-1512.08592</v>
      </c>
      <c r="AE724" s="6">
        <f>$K$724*$Y$724</f>
        <v>0</v>
      </c>
      <c r="AF724" s="6">
        <f ca="1">$M$724*$Z$724</f>
        <v>-2116.02036</v>
      </c>
      <c r="AG724" s="6">
        <f ca="1">$O$724*$AA$724</f>
        <v>-1261.9679999999998</v>
      </c>
    </row>
    <row r="725" spans="1:33" ht="11.25" customHeight="1" x14ac:dyDescent="0.3">
      <c r="A725" s="4" t="s">
        <v>28</v>
      </c>
      <c r="B725" s="4" t="s">
        <v>22</v>
      </c>
      <c r="C725" s="4" t="s">
        <v>23</v>
      </c>
      <c r="D725" s="4" t="s">
        <v>24</v>
      </c>
      <c r="E725" s="4" t="s">
        <v>24</v>
      </c>
      <c r="F725" s="4" t="s">
        <v>25</v>
      </c>
      <c r="G725" s="4" t="s">
        <v>25</v>
      </c>
      <c r="H725" s="4" t="s">
        <v>25</v>
      </c>
      <c r="I725" s="5">
        <v>44501</v>
      </c>
      <c r="J725" s="6">
        <v>0</v>
      </c>
      <c r="K725" s="6">
        <v>0</v>
      </c>
      <c r="L725" s="6">
        <v>55.469000000000001</v>
      </c>
      <c r="M725" s="6">
        <v>55.469000000000001</v>
      </c>
      <c r="N725" s="6">
        <v>55.469000000000001</v>
      </c>
      <c r="O725" s="6">
        <v>55.469000000000001</v>
      </c>
      <c r="P725" s="6">
        <v>424</v>
      </c>
      <c r="Q725" s="4" t="s">
        <v>26</v>
      </c>
      <c r="R725" s="4">
        <v>0</v>
      </c>
      <c r="S725" s="6">
        <v>0</v>
      </c>
      <c r="T725" s="6">
        <v>46</v>
      </c>
      <c r="U725" s="6">
        <v>111</v>
      </c>
      <c r="V725" s="6">
        <f>IF(ISERROR(VLOOKUP($S$725,'TAR FIN'!$A$1:$O$113,15,0)),0,VLOOKUP($S$725,'TAR FIN'!$A$1:$O$113,15,0))</f>
        <v>0</v>
      </c>
      <c r="W725" s="6">
        <f>IF(ISERROR(VLOOKUP($T$725,'TAR FIN'!$A$1:$O$113,15,0)),0,VLOOKUP($T$725,'TAR FIN'!$A$1:$O$113,15,0))</f>
        <v>300.3</v>
      </c>
      <c r="X725" s="6">
        <f>IF(ISERROR(VLOOKUP($U$725,'TAR FIN'!$A$1:$O$113,15,0)),0,VLOOKUP($U$725,'TAR FIN'!$A$1:$O$113,15,0))</f>
        <v>292.36</v>
      </c>
      <c r="Y725" s="6"/>
      <c r="Z725" s="6">
        <f ca="1">('TUSD BE'!$AM$40+'TUSD BF_350'!$AM$40+'TUSD CVA'!$AM$40)*1</f>
        <v>409.13</v>
      </c>
      <c r="AA725" s="6">
        <f ca="1">('TE BE'!$AB$18+'TE BF_350'!$AB$18+'TE CVA'!$AB$18)*1</f>
        <v>244</v>
      </c>
      <c r="AB725" s="6">
        <f>$K$725*$V$725</f>
        <v>0</v>
      </c>
      <c r="AC725" s="6">
        <f>$M$725*$W$725</f>
        <v>16657.340700000001</v>
      </c>
      <c r="AD725" s="6">
        <f>$O$725*$X$725</f>
        <v>16216.916840000002</v>
      </c>
      <c r="AE725" s="6">
        <f>$K$725*$Y$725</f>
        <v>0</v>
      </c>
      <c r="AF725" s="6">
        <f ca="1">$M$725*$Z$725</f>
        <v>22694.03197</v>
      </c>
      <c r="AG725" s="6">
        <f ca="1">$O$725*$AA$725</f>
        <v>13534.436</v>
      </c>
    </row>
    <row r="726" spans="1:33" ht="11.25" customHeight="1" x14ac:dyDescent="0.3">
      <c r="A726" s="4" t="s">
        <v>28</v>
      </c>
      <c r="B726" s="4" t="s">
        <v>22</v>
      </c>
      <c r="C726" s="4" t="s">
        <v>23</v>
      </c>
      <c r="D726" s="4" t="s">
        <v>24</v>
      </c>
      <c r="E726" s="4" t="s">
        <v>24</v>
      </c>
      <c r="F726" s="4" t="s">
        <v>25</v>
      </c>
      <c r="G726" s="4" t="s">
        <v>25</v>
      </c>
      <c r="H726" s="4" t="s">
        <v>25</v>
      </c>
      <c r="I726" s="5">
        <v>44501</v>
      </c>
      <c r="J726" s="6">
        <v>0</v>
      </c>
      <c r="K726" s="6">
        <v>0</v>
      </c>
      <c r="L726" s="6">
        <v>-4.0000000000000001E-3</v>
      </c>
      <c r="M726" s="6">
        <v>-4.0000000000000001E-3</v>
      </c>
      <c r="N726" s="6">
        <v>-4.0000000000000001E-3</v>
      </c>
      <c r="O726" s="6">
        <v>-4.0000000000000001E-3</v>
      </c>
      <c r="P726" s="6">
        <v>4</v>
      </c>
      <c r="Q726" s="4" t="s">
        <v>26</v>
      </c>
      <c r="R726" s="4">
        <v>0</v>
      </c>
      <c r="S726" s="6">
        <v>0</v>
      </c>
      <c r="T726" s="6">
        <v>46</v>
      </c>
      <c r="U726" s="6">
        <v>111</v>
      </c>
      <c r="V726" s="6">
        <f>IF(ISERROR(VLOOKUP($S$726,'TAR FIN'!$A$1:$O$113,15,0)),0,VLOOKUP($S$726,'TAR FIN'!$A$1:$O$113,15,0))</f>
        <v>0</v>
      </c>
      <c r="W726" s="6">
        <f>IF(ISERROR(VLOOKUP($T$726,'TAR FIN'!$A$1:$O$113,15,0)),0,VLOOKUP($T$726,'TAR FIN'!$A$1:$O$113,15,0))</f>
        <v>300.3</v>
      </c>
      <c r="X726" s="6">
        <f>IF(ISERROR(VLOOKUP($U$726,'TAR FIN'!$A$1:$O$113,15,0)),0,VLOOKUP($U$726,'TAR FIN'!$A$1:$O$113,15,0))</f>
        <v>292.36</v>
      </c>
      <c r="Y726" s="6"/>
      <c r="Z726" s="6">
        <f ca="1">('TUSD BE'!$AM$40+'TUSD BF_350'!$AM$40+'TUSD CVA'!$AM$40)*1</f>
        <v>409.13</v>
      </c>
      <c r="AA726" s="6">
        <f ca="1">('TE BE'!$AB$18+'TE BF_350'!$AB$18+'TE CVA'!$AB$18)*1</f>
        <v>244</v>
      </c>
      <c r="AB726" s="6">
        <f>$K$726*$V$726</f>
        <v>0</v>
      </c>
      <c r="AC726" s="6">
        <f>$M$726*$W$726</f>
        <v>-1.2012</v>
      </c>
      <c r="AD726" s="6">
        <f>$O$726*$X$726</f>
        <v>-1.16944</v>
      </c>
      <c r="AE726" s="6">
        <f>$K$726*$Y$726</f>
        <v>0</v>
      </c>
      <c r="AF726" s="6">
        <f ca="1">$M$726*$Z$726</f>
        <v>-1.63652</v>
      </c>
      <c r="AG726" s="6">
        <f ca="1">$O$726*$AA$726</f>
        <v>-0.97599999999999998</v>
      </c>
    </row>
    <row r="727" spans="1:33" ht="11.25" customHeight="1" x14ac:dyDescent="0.3">
      <c r="A727" s="4" t="s">
        <v>21</v>
      </c>
      <c r="B727" s="4" t="s">
        <v>22</v>
      </c>
      <c r="C727" s="4" t="s">
        <v>23</v>
      </c>
      <c r="D727" s="4" t="s">
        <v>24</v>
      </c>
      <c r="E727" s="4" t="s">
        <v>24</v>
      </c>
      <c r="F727" s="4" t="s">
        <v>25</v>
      </c>
      <c r="G727" s="4" t="s">
        <v>25</v>
      </c>
      <c r="H727" s="4" t="s">
        <v>25</v>
      </c>
      <c r="I727" s="5">
        <v>44531</v>
      </c>
      <c r="J727" s="6">
        <v>0</v>
      </c>
      <c r="K727" s="6">
        <v>0</v>
      </c>
      <c r="L727" s="6">
        <v>10009.361000000001</v>
      </c>
      <c r="M727" s="6">
        <v>10009.361000000001</v>
      </c>
      <c r="N727" s="6">
        <v>10009.361000000001</v>
      </c>
      <c r="O727" s="6">
        <v>10009.361000000001</v>
      </c>
      <c r="P727" s="6">
        <v>68502</v>
      </c>
      <c r="Q727" s="4" t="s">
        <v>26</v>
      </c>
      <c r="R727" s="4">
        <v>0</v>
      </c>
      <c r="S727" s="6">
        <v>0</v>
      </c>
      <c r="T727" s="6">
        <v>46</v>
      </c>
      <c r="U727" s="6">
        <v>111</v>
      </c>
      <c r="V727" s="6">
        <f>IF(ISERROR(VLOOKUP($S$727,'TAR FIN'!$A$1:$O$113,15,0)),0,VLOOKUP($S$727,'TAR FIN'!$A$1:$O$113,15,0))</f>
        <v>0</v>
      </c>
      <c r="W727" s="6">
        <f>IF(ISERROR(VLOOKUP($T$727,'TAR FIN'!$A$1:$O$113,15,0)),0,VLOOKUP($T$727,'TAR FIN'!$A$1:$O$113,15,0))</f>
        <v>300.3</v>
      </c>
      <c r="X727" s="6">
        <f>IF(ISERROR(VLOOKUP($U$727,'TAR FIN'!$A$1:$O$113,15,0)),0,VLOOKUP($U$727,'TAR FIN'!$A$1:$O$113,15,0))</f>
        <v>292.36</v>
      </c>
      <c r="Y727" s="6"/>
      <c r="Z727" s="6">
        <f ca="1">('TUSD BE'!$AM$40+'TUSD BF_350'!$AM$40+'TUSD CVA'!$AM$40)*1</f>
        <v>409.13</v>
      </c>
      <c r="AA727" s="6">
        <f ca="1">('TE BE'!$AB$18+'TE BF_350'!$AB$18+'TE CVA'!$AB$18)*1</f>
        <v>244</v>
      </c>
      <c r="AB727" s="6">
        <f>$K$727*$V$727</f>
        <v>0</v>
      </c>
      <c r="AC727" s="6">
        <f>$M$727*$W$727</f>
        <v>3005811.1083000004</v>
      </c>
      <c r="AD727" s="6">
        <f>$O$727*$X$727</f>
        <v>2926336.7819600003</v>
      </c>
      <c r="AE727" s="6">
        <f>$K$727*$Y$727</f>
        <v>0</v>
      </c>
      <c r="AF727" s="6">
        <f ca="1">$M$727*$Z$727</f>
        <v>4095129.8659300003</v>
      </c>
      <c r="AG727" s="6">
        <f ca="1">$O$727*$AA$727</f>
        <v>2442284.0840000003</v>
      </c>
    </row>
    <row r="728" spans="1:33" ht="11.25" customHeight="1" x14ac:dyDescent="0.3">
      <c r="A728" s="4" t="s">
        <v>27</v>
      </c>
      <c r="B728" s="4" t="s">
        <v>22</v>
      </c>
      <c r="C728" s="4" t="s">
        <v>23</v>
      </c>
      <c r="D728" s="4" t="s">
        <v>24</v>
      </c>
      <c r="E728" s="4" t="s">
        <v>24</v>
      </c>
      <c r="F728" s="4" t="s">
        <v>25</v>
      </c>
      <c r="G728" s="4" t="s">
        <v>25</v>
      </c>
      <c r="H728" s="4" t="s">
        <v>25</v>
      </c>
      <c r="I728" s="5">
        <v>44531</v>
      </c>
      <c r="J728" s="6">
        <v>0</v>
      </c>
      <c r="K728" s="6">
        <v>0</v>
      </c>
      <c r="L728" s="6">
        <v>-12.653</v>
      </c>
      <c r="M728" s="6">
        <v>-12.653</v>
      </c>
      <c r="N728" s="6">
        <v>-12.653</v>
      </c>
      <c r="O728" s="6">
        <v>-12.653</v>
      </c>
      <c r="P728" s="6">
        <v>0</v>
      </c>
      <c r="Q728" s="4" t="s">
        <v>26</v>
      </c>
      <c r="R728" s="4">
        <v>0</v>
      </c>
      <c r="S728" s="6">
        <v>0</v>
      </c>
      <c r="T728" s="6">
        <v>46</v>
      </c>
      <c r="U728" s="6">
        <v>111</v>
      </c>
      <c r="V728" s="6">
        <f>IF(ISERROR(VLOOKUP($S$728,'TAR FIN'!$A$1:$O$113,15,0)),0,VLOOKUP($S$728,'TAR FIN'!$A$1:$O$113,15,0))</f>
        <v>0</v>
      </c>
      <c r="W728" s="6">
        <f>IF(ISERROR(VLOOKUP($T$728,'TAR FIN'!$A$1:$O$113,15,0)),0,VLOOKUP($T$728,'TAR FIN'!$A$1:$O$113,15,0))</f>
        <v>300.3</v>
      </c>
      <c r="X728" s="6">
        <f>IF(ISERROR(VLOOKUP($U$728,'TAR FIN'!$A$1:$O$113,15,0)),0,VLOOKUP($U$728,'TAR FIN'!$A$1:$O$113,15,0))</f>
        <v>292.36</v>
      </c>
      <c r="Y728" s="6"/>
      <c r="Z728" s="6">
        <f ca="1">('TUSD BE'!$AM$40+'TUSD BF_350'!$AM$40+'TUSD CVA'!$AM$40)*1</f>
        <v>409.13</v>
      </c>
      <c r="AA728" s="6">
        <f ca="1">('TE BE'!$AB$18+'TE BF_350'!$AB$18+'TE CVA'!$AB$18)*1</f>
        <v>244</v>
      </c>
      <c r="AB728" s="6">
        <f>$K$728*$V$728</f>
        <v>0</v>
      </c>
      <c r="AC728" s="6">
        <f>$M$728*$W$728</f>
        <v>-3799.6959000000002</v>
      </c>
      <c r="AD728" s="6">
        <f>$O$728*$X$728</f>
        <v>-3699.2310800000005</v>
      </c>
      <c r="AE728" s="6">
        <f>$K$728*$Y$728</f>
        <v>0</v>
      </c>
      <c r="AF728" s="6">
        <f ca="1">$M$728*$Z$728</f>
        <v>-5176.7218899999998</v>
      </c>
      <c r="AG728" s="6">
        <f ca="1">$O$728*$AA$728</f>
        <v>-3087.3320000000003</v>
      </c>
    </row>
    <row r="729" spans="1:33" ht="11.25" customHeight="1" x14ac:dyDescent="0.3">
      <c r="A729" s="4" t="s">
        <v>28</v>
      </c>
      <c r="B729" s="4" t="s">
        <v>22</v>
      </c>
      <c r="C729" s="4" t="s">
        <v>23</v>
      </c>
      <c r="D729" s="4" t="s">
        <v>24</v>
      </c>
      <c r="E729" s="4" t="s">
        <v>24</v>
      </c>
      <c r="F729" s="4" t="s">
        <v>25</v>
      </c>
      <c r="G729" s="4" t="s">
        <v>25</v>
      </c>
      <c r="H729" s="4" t="s">
        <v>25</v>
      </c>
      <c r="I729" s="5">
        <v>44531</v>
      </c>
      <c r="J729" s="6">
        <v>0</v>
      </c>
      <c r="K729" s="6">
        <v>0</v>
      </c>
      <c r="L729" s="6">
        <v>54.781999999999996</v>
      </c>
      <c r="M729" s="6">
        <v>54.781999999999996</v>
      </c>
      <c r="N729" s="6">
        <v>54.781999999999996</v>
      </c>
      <c r="O729" s="6">
        <v>54.781999999999996</v>
      </c>
      <c r="P729" s="6">
        <v>468</v>
      </c>
      <c r="Q729" s="4" t="s">
        <v>26</v>
      </c>
      <c r="R729" s="4">
        <v>0</v>
      </c>
      <c r="S729" s="6">
        <v>0</v>
      </c>
      <c r="T729" s="6">
        <v>46</v>
      </c>
      <c r="U729" s="6">
        <v>111</v>
      </c>
      <c r="V729" s="6">
        <f>IF(ISERROR(VLOOKUP($S$729,'TAR FIN'!$A$1:$O$113,15,0)),0,VLOOKUP($S$729,'TAR FIN'!$A$1:$O$113,15,0))</f>
        <v>0</v>
      </c>
      <c r="W729" s="6">
        <f>IF(ISERROR(VLOOKUP($T$729,'TAR FIN'!$A$1:$O$113,15,0)),0,VLOOKUP($T$729,'TAR FIN'!$A$1:$O$113,15,0))</f>
        <v>300.3</v>
      </c>
      <c r="X729" s="6">
        <f>IF(ISERROR(VLOOKUP($U$729,'TAR FIN'!$A$1:$O$113,15,0)),0,VLOOKUP($U$729,'TAR FIN'!$A$1:$O$113,15,0))</f>
        <v>292.36</v>
      </c>
      <c r="Y729" s="6"/>
      <c r="Z729" s="6">
        <f ca="1">('TUSD BE'!$AM$40+'TUSD BF_350'!$AM$40+'TUSD CVA'!$AM$40)*1</f>
        <v>409.13</v>
      </c>
      <c r="AA729" s="6">
        <f ca="1">('TE BE'!$AB$18+'TE BF_350'!$AB$18+'TE CVA'!$AB$18)*1</f>
        <v>244</v>
      </c>
      <c r="AB729" s="6">
        <f>$K$729*$V$729</f>
        <v>0</v>
      </c>
      <c r="AC729" s="6">
        <f>$M$729*$W$729</f>
        <v>16451.034599999999</v>
      </c>
      <c r="AD729" s="6">
        <f>$O$729*$X$729</f>
        <v>16016.06552</v>
      </c>
      <c r="AE729" s="6">
        <f>$K$729*$Y$729</f>
        <v>0</v>
      </c>
      <c r="AF729" s="6">
        <f ca="1">$M$729*$Z$729</f>
        <v>22412.959659999997</v>
      </c>
      <c r="AG729" s="6">
        <f ca="1">$O$729*$AA$729</f>
        <v>13366.807999999999</v>
      </c>
    </row>
    <row r="730" spans="1:33" ht="11.25" customHeight="1" x14ac:dyDescent="0.3">
      <c r="A730" s="4" t="s">
        <v>21</v>
      </c>
      <c r="B730" s="4" t="s">
        <v>22</v>
      </c>
      <c r="C730" s="4" t="s">
        <v>23</v>
      </c>
      <c r="D730" s="4" t="s">
        <v>24</v>
      </c>
      <c r="E730" s="4" t="s">
        <v>24</v>
      </c>
      <c r="F730" s="4" t="s">
        <v>25</v>
      </c>
      <c r="G730" s="4" t="s">
        <v>25</v>
      </c>
      <c r="H730" s="4" t="s">
        <v>25</v>
      </c>
      <c r="I730" s="5">
        <v>44562</v>
      </c>
      <c r="J730" s="6">
        <v>0</v>
      </c>
      <c r="K730" s="6">
        <v>0</v>
      </c>
      <c r="L730" s="6">
        <v>10963.914000000001</v>
      </c>
      <c r="M730" s="6">
        <v>10963.914000000001</v>
      </c>
      <c r="N730" s="6">
        <v>10963.914000000001</v>
      </c>
      <c r="O730" s="6">
        <v>10963.914000000001</v>
      </c>
      <c r="P730" s="6">
        <v>68877</v>
      </c>
      <c r="Q730" s="4" t="s">
        <v>26</v>
      </c>
      <c r="R730" s="4">
        <v>0</v>
      </c>
      <c r="S730" s="6">
        <v>0</v>
      </c>
      <c r="T730" s="6">
        <v>46</v>
      </c>
      <c r="U730" s="6">
        <v>111</v>
      </c>
      <c r="V730" s="6">
        <f>IF(ISERROR(VLOOKUP($S$730,'TAR FIN'!$A$1:$O$113,15,0)),0,VLOOKUP($S$730,'TAR FIN'!$A$1:$O$113,15,0))</f>
        <v>0</v>
      </c>
      <c r="W730" s="6">
        <f>IF(ISERROR(VLOOKUP($T$730,'TAR FIN'!$A$1:$O$113,15,0)),0,VLOOKUP($T$730,'TAR FIN'!$A$1:$O$113,15,0))</f>
        <v>300.3</v>
      </c>
      <c r="X730" s="6">
        <f>IF(ISERROR(VLOOKUP($U$730,'TAR FIN'!$A$1:$O$113,15,0)),0,VLOOKUP($U$730,'TAR FIN'!$A$1:$O$113,15,0))</f>
        <v>292.36</v>
      </c>
      <c r="Y730" s="6"/>
      <c r="Z730" s="6">
        <f ca="1">('TUSD BE'!$AM$40+'TUSD BF_350'!$AM$40+'TUSD CVA'!$AM$40)*1</f>
        <v>409.13</v>
      </c>
      <c r="AA730" s="6">
        <f ca="1">('TE BE'!$AB$18+'TE BF_350'!$AB$18+'TE CVA'!$AB$18)*1</f>
        <v>244</v>
      </c>
      <c r="AB730" s="6">
        <f>$K$730*$V$730</f>
        <v>0</v>
      </c>
      <c r="AC730" s="6">
        <f>$M$730*$W$730</f>
        <v>3292463.3742000004</v>
      </c>
      <c r="AD730" s="6">
        <f>$O$730*$X$730</f>
        <v>3205409.8970400002</v>
      </c>
      <c r="AE730" s="6">
        <f>$K$730*$Y$730</f>
        <v>0</v>
      </c>
      <c r="AF730" s="6">
        <f ca="1">$M$730*$Z$730</f>
        <v>4485666.1348200003</v>
      </c>
      <c r="AG730" s="6">
        <f ca="1">$O$730*$AA$730</f>
        <v>2675195.0160000003</v>
      </c>
    </row>
    <row r="731" spans="1:33" ht="11.25" customHeight="1" x14ac:dyDescent="0.3">
      <c r="A731" s="4" t="s">
        <v>27</v>
      </c>
      <c r="B731" s="4" t="s">
        <v>22</v>
      </c>
      <c r="C731" s="4" t="s">
        <v>23</v>
      </c>
      <c r="D731" s="4" t="s">
        <v>24</v>
      </c>
      <c r="E731" s="4" t="s">
        <v>24</v>
      </c>
      <c r="F731" s="4" t="s">
        <v>25</v>
      </c>
      <c r="G731" s="4" t="s">
        <v>25</v>
      </c>
      <c r="H731" s="4" t="s">
        <v>25</v>
      </c>
      <c r="I731" s="5">
        <v>44562</v>
      </c>
      <c r="J731" s="6">
        <v>0</v>
      </c>
      <c r="K731" s="6">
        <v>0</v>
      </c>
      <c r="L731" s="6">
        <v>-8.2059999999999995</v>
      </c>
      <c r="M731" s="6">
        <v>-8.2059999999999995</v>
      </c>
      <c r="N731" s="6">
        <v>-8.2059999999999995</v>
      </c>
      <c r="O731" s="6">
        <v>-8.2059999999999995</v>
      </c>
      <c r="P731" s="6">
        <v>0</v>
      </c>
      <c r="Q731" s="4" t="s">
        <v>26</v>
      </c>
      <c r="R731" s="4">
        <v>0</v>
      </c>
      <c r="S731" s="6">
        <v>0</v>
      </c>
      <c r="T731" s="6">
        <v>46</v>
      </c>
      <c r="U731" s="6">
        <v>111</v>
      </c>
      <c r="V731" s="6">
        <f>IF(ISERROR(VLOOKUP($S$731,'TAR FIN'!$A$1:$O$113,15,0)),0,VLOOKUP($S$731,'TAR FIN'!$A$1:$O$113,15,0))</f>
        <v>0</v>
      </c>
      <c r="W731" s="6">
        <f>IF(ISERROR(VLOOKUP($T$731,'TAR FIN'!$A$1:$O$113,15,0)),0,VLOOKUP($T$731,'TAR FIN'!$A$1:$O$113,15,0))</f>
        <v>300.3</v>
      </c>
      <c r="X731" s="6">
        <f>IF(ISERROR(VLOOKUP($U$731,'TAR FIN'!$A$1:$O$113,15,0)),0,VLOOKUP($U$731,'TAR FIN'!$A$1:$O$113,15,0))</f>
        <v>292.36</v>
      </c>
      <c r="Y731" s="6"/>
      <c r="Z731" s="6">
        <f ca="1">('TUSD BE'!$AM$40+'TUSD BF_350'!$AM$40+'TUSD CVA'!$AM$40)*1</f>
        <v>409.13</v>
      </c>
      <c r="AA731" s="6">
        <f ca="1">('TE BE'!$AB$18+'TE BF_350'!$AB$18+'TE CVA'!$AB$18)*1</f>
        <v>244</v>
      </c>
      <c r="AB731" s="6">
        <f>$K$731*$V$731</f>
        <v>0</v>
      </c>
      <c r="AC731" s="6">
        <f>$M$731*$W$731</f>
        <v>-2464.2617999999998</v>
      </c>
      <c r="AD731" s="6">
        <f>$O$731*$X$731</f>
        <v>-2399.1061599999998</v>
      </c>
      <c r="AE731" s="6">
        <f>$K$731*$Y$731</f>
        <v>0</v>
      </c>
      <c r="AF731" s="6">
        <f ca="1">$M$731*$Z$731</f>
        <v>-3357.3207799999996</v>
      </c>
      <c r="AG731" s="6">
        <f ca="1">$O$731*$AA$731</f>
        <v>-2002.2639999999999</v>
      </c>
    </row>
    <row r="732" spans="1:33" ht="11.25" customHeight="1" x14ac:dyDescent="0.3">
      <c r="A732" s="4" t="s">
        <v>28</v>
      </c>
      <c r="B732" s="4" t="s">
        <v>22</v>
      </c>
      <c r="C732" s="4" t="s">
        <v>23</v>
      </c>
      <c r="D732" s="4" t="s">
        <v>24</v>
      </c>
      <c r="E732" s="4" t="s">
        <v>24</v>
      </c>
      <c r="F732" s="4" t="s">
        <v>25</v>
      </c>
      <c r="G732" s="4" t="s">
        <v>25</v>
      </c>
      <c r="H732" s="4" t="s">
        <v>25</v>
      </c>
      <c r="I732" s="5">
        <v>44562</v>
      </c>
      <c r="J732" s="6">
        <v>0</v>
      </c>
      <c r="K732" s="6">
        <v>0</v>
      </c>
      <c r="L732" s="6">
        <v>68.164000000000001</v>
      </c>
      <c r="M732" s="6">
        <v>68.164000000000001</v>
      </c>
      <c r="N732" s="6">
        <v>68.164000000000001</v>
      </c>
      <c r="O732" s="6">
        <v>68.164000000000001</v>
      </c>
      <c r="P732" s="6">
        <v>514</v>
      </c>
      <c r="Q732" s="4" t="s">
        <v>26</v>
      </c>
      <c r="R732" s="4">
        <v>0</v>
      </c>
      <c r="S732" s="6">
        <v>0</v>
      </c>
      <c r="T732" s="6">
        <v>46</v>
      </c>
      <c r="U732" s="6">
        <v>111</v>
      </c>
      <c r="V732" s="6">
        <f>IF(ISERROR(VLOOKUP($S$732,'TAR FIN'!$A$1:$O$113,15,0)),0,VLOOKUP($S$732,'TAR FIN'!$A$1:$O$113,15,0))</f>
        <v>0</v>
      </c>
      <c r="W732" s="6">
        <f>IF(ISERROR(VLOOKUP($T$732,'TAR FIN'!$A$1:$O$113,15,0)),0,VLOOKUP($T$732,'TAR FIN'!$A$1:$O$113,15,0))</f>
        <v>300.3</v>
      </c>
      <c r="X732" s="6">
        <f>IF(ISERROR(VLOOKUP($U$732,'TAR FIN'!$A$1:$O$113,15,0)),0,VLOOKUP($U$732,'TAR FIN'!$A$1:$O$113,15,0))</f>
        <v>292.36</v>
      </c>
      <c r="Y732" s="6"/>
      <c r="Z732" s="6">
        <f ca="1">('TUSD BE'!$AM$40+'TUSD BF_350'!$AM$40+'TUSD CVA'!$AM$40)*1</f>
        <v>409.13</v>
      </c>
      <c r="AA732" s="6">
        <f ca="1">('TE BE'!$AB$18+'TE BF_350'!$AB$18+'TE CVA'!$AB$18)*1</f>
        <v>244</v>
      </c>
      <c r="AB732" s="6">
        <f>$K$732*$V$732</f>
        <v>0</v>
      </c>
      <c r="AC732" s="6">
        <f>$M$732*$W$732</f>
        <v>20469.6492</v>
      </c>
      <c r="AD732" s="6">
        <f>$O$732*$X$732</f>
        <v>19928.427040000002</v>
      </c>
      <c r="AE732" s="6">
        <f>$K$732*$Y$732</f>
        <v>0</v>
      </c>
      <c r="AF732" s="6">
        <f ca="1">$M$732*$Z$732</f>
        <v>27887.937320000001</v>
      </c>
      <c r="AG732" s="6">
        <f ca="1">$O$732*$AA$732</f>
        <v>16632.016</v>
      </c>
    </row>
    <row r="733" spans="1:33" ht="11.25" customHeight="1" x14ac:dyDescent="0.3">
      <c r="A733" s="4" t="s">
        <v>21</v>
      </c>
      <c r="B733" s="4" t="s">
        <v>22</v>
      </c>
      <c r="C733" s="4" t="s">
        <v>23</v>
      </c>
      <c r="D733" s="4" t="s">
        <v>24</v>
      </c>
      <c r="E733" s="4" t="s">
        <v>24</v>
      </c>
      <c r="F733" s="4" t="s">
        <v>25</v>
      </c>
      <c r="G733" s="4" t="s">
        <v>25</v>
      </c>
      <c r="H733" s="4" t="s">
        <v>25</v>
      </c>
      <c r="I733" s="5">
        <v>44593</v>
      </c>
      <c r="J733" s="6">
        <v>0</v>
      </c>
      <c r="K733" s="6">
        <v>0</v>
      </c>
      <c r="L733" s="6">
        <v>10112.392</v>
      </c>
      <c r="M733" s="6">
        <v>10112.392</v>
      </c>
      <c r="N733" s="6">
        <v>10112.392</v>
      </c>
      <c r="O733" s="6">
        <v>10112.392</v>
      </c>
      <c r="P733" s="6">
        <v>68436</v>
      </c>
      <c r="Q733" s="4" t="s">
        <v>26</v>
      </c>
      <c r="R733" s="4">
        <v>0</v>
      </c>
      <c r="S733" s="6">
        <v>0</v>
      </c>
      <c r="T733" s="6">
        <v>46</v>
      </c>
      <c r="U733" s="6">
        <v>111</v>
      </c>
      <c r="V733" s="6">
        <f>IF(ISERROR(VLOOKUP($S$733,'TAR FIN'!$A$1:$O$113,15,0)),0,VLOOKUP($S$733,'TAR FIN'!$A$1:$O$113,15,0))</f>
        <v>0</v>
      </c>
      <c r="W733" s="6">
        <f>IF(ISERROR(VLOOKUP($T$733,'TAR FIN'!$A$1:$O$113,15,0)),0,VLOOKUP($T$733,'TAR FIN'!$A$1:$O$113,15,0))</f>
        <v>300.3</v>
      </c>
      <c r="X733" s="6">
        <f>IF(ISERROR(VLOOKUP($U$733,'TAR FIN'!$A$1:$O$113,15,0)),0,VLOOKUP($U$733,'TAR FIN'!$A$1:$O$113,15,0))</f>
        <v>292.36</v>
      </c>
      <c r="Y733" s="6"/>
      <c r="Z733" s="6">
        <f ca="1">('TUSD BE'!$AM$40+'TUSD BF_350'!$AM$40+'TUSD CVA'!$AM$40)*1</f>
        <v>409.13</v>
      </c>
      <c r="AA733" s="6">
        <f ca="1">('TE BE'!$AB$18+'TE BF_350'!$AB$18+'TE CVA'!$AB$18)*1</f>
        <v>244</v>
      </c>
      <c r="AB733" s="6">
        <f>$K$733*$V$733</f>
        <v>0</v>
      </c>
      <c r="AC733" s="6">
        <f>$M$733*$W$733</f>
        <v>3036751.3176000002</v>
      </c>
      <c r="AD733" s="6">
        <f>$O$733*$X$733</f>
        <v>2956458.9251200003</v>
      </c>
      <c r="AE733" s="6">
        <f>$K$733*$Y$733</f>
        <v>0</v>
      </c>
      <c r="AF733" s="6">
        <f ca="1">$M$733*$Z$733</f>
        <v>4137282.9389599999</v>
      </c>
      <c r="AG733" s="6">
        <f ca="1">$O$733*$AA$733</f>
        <v>2467423.648</v>
      </c>
    </row>
    <row r="734" spans="1:33" ht="11.25" customHeight="1" x14ac:dyDescent="0.3">
      <c r="A734" s="4" t="s">
        <v>27</v>
      </c>
      <c r="B734" s="4" t="s">
        <v>22</v>
      </c>
      <c r="C734" s="4" t="s">
        <v>23</v>
      </c>
      <c r="D734" s="4" t="s">
        <v>24</v>
      </c>
      <c r="E734" s="4" t="s">
        <v>24</v>
      </c>
      <c r="F734" s="4" t="s">
        <v>25</v>
      </c>
      <c r="G734" s="4" t="s">
        <v>25</v>
      </c>
      <c r="H734" s="4" t="s">
        <v>25</v>
      </c>
      <c r="I734" s="5">
        <v>44593</v>
      </c>
      <c r="J734" s="6">
        <v>0</v>
      </c>
      <c r="K734" s="6">
        <v>0</v>
      </c>
      <c r="L734" s="6">
        <v>-17.277000000000001</v>
      </c>
      <c r="M734" s="6">
        <v>-17.277000000000001</v>
      </c>
      <c r="N734" s="6">
        <v>-17.277000000000001</v>
      </c>
      <c r="O734" s="6">
        <v>-17.277000000000001</v>
      </c>
      <c r="P734" s="6">
        <v>0</v>
      </c>
      <c r="Q734" s="4" t="s">
        <v>26</v>
      </c>
      <c r="R734" s="4">
        <v>0</v>
      </c>
      <c r="S734" s="6">
        <v>0</v>
      </c>
      <c r="T734" s="6">
        <v>46</v>
      </c>
      <c r="U734" s="6">
        <v>111</v>
      </c>
      <c r="V734" s="6">
        <f>IF(ISERROR(VLOOKUP($S$734,'TAR FIN'!$A$1:$O$113,15,0)),0,VLOOKUP($S$734,'TAR FIN'!$A$1:$O$113,15,0))</f>
        <v>0</v>
      </c>
      <c r="W734" s="6">
        <f>IF(ISERROR(VLOOKUP($T$734,'TAR FIN'!$A$1:$O$113,15,0)),0,VLOOKUP($T$734,'TAR FIN'!$A$1:$O$113,15,0))</f>
        <v>300.3</v>
      </c>
      <c r="X734" s="6">
        <f>IF(ISERROR(VLOOKUP($U$734,'TAR FIN'!$A$1:$O$113,15,0)),0,VLOOKUP($U$734,'TAR FIN'!$A$1:$O$113,15,0))</f>
        <v>292.36</v>
      </c>
      <c r="Y734" s="6"/>
      <c r="Z734" s="6">
        <f ca="1">('TUSD BE'!$AM$40+'TUSD BF_350'!$AM$40+'TUSD CVA'!$AM$40)*1</f>
        <v>409.13</v>
      </c>
      <c r="AA734" s="6">
        <f ca="1">('TE BE'!$AB$18+'TE BF_350'!$AB$18+'TE CVA'!$AB$18)*1</f>
        <v>244</v>
      </c>
      <c r="AB734" s="6">
        <f>$K$734*$V$734</f>
        <v>0</v>
      </c>
      <c r="AC734" s="6">
        <f>$M$734*$W$734</f>
        <v>-5188.2831000000006</v>
      </c>
      <c r="AD734" s="6">
        <f>$O$734*$X$734</f>
        <v>-5051.103720000001</v>
      </c>
      <c r="AE734" s="6">
        <f>$K$734*$Y$734</f>
        <v>0</v>
      </c>
      <c r="AF734" s="6">
        <f ca="1">$M$734*$Z$734</f>
        <v>-7068.5390100000004</v>
      </c>
      <c r="AG734" s="6">
        <f ca="1">$O$734*$AA$734</f>
        <v>-4215.5880000000006</v>
      </c>
    </row>
    <row r="735" spans="1:33" ht="11.25" customHeight="1" x14ac:dyDescent="0.3">
      <c r="A735" s="4" t="s">
        <v>28</v>
      </c>
      <c r="B735" s="4" t="s">
        <v>22</v>
      </c>
      <c r="C735" s="4" t="s">
        <v>23</v>
      </c>
      <c r="D735" s="4" t="s">
        <v>24</v>
      </c>
      <c r="E735" s="4" t="s">
        <v>24</v>
      </c>
      <c r="F735" s="4" t="s">
        <v>25</v>
      </c>
      <c r="G735" s="4" t="s">
        <v>25</v>
      </c>
      <c r="H735" s="4" t="s">
        <v>25</v>
      </c>
      <c r="I735" s="5">
        <v>44593</v>
      </c>
      <c r="J735" s="6">
        <v>0</v>
      </c>
      <c r="K735" s="6">
        <v>0</v>
      </c>
      <c r="L735" s="6">
        <v>68.451999999999998</v>
      </c>
      <c r="M735" s="6">
        <v>68.451999999999998</v>
      </c>
      <c r="N735" s="6">
        <v>68.451999999999998</v>
      </c>
      <c r="O735" s="6">
        <v>68.451999999999998</v>
      </c>
      <c r="P735" s="6">
        <v>547</v>
      </c>
      <c r="Q735" s="4" t="s">
        <v>26</v>
      </c>
      <c r="R735" s="4">
        <v>0</v>
      </c>
      <c r="S735" s="6">
        <v>0</v>
      </c>
      <c r="T735" s="6">
        <v>46</v>
      </c>
      <c r="U735" s="6">
        <v>111</v>
      </c>
      <c r="V735" s="6">
        <f>IF(ISERROR(VLOOKUP($S$735,'TAR FIN'!$A$1:$O$113,15,0)),0,VLOOKUP($S$735,'TAR FIN'!$A$1:$O$113,15,0))</f>
        <v>0</v>
      </c>
      <c r="W735" s="6">
        <f>IF(ISERROR(VLOOKUP($T$735,'TAR FIN'!$A$1:$O$113,15,0)),0,VLOOKUP($T$735,'TAR FIN'!$A$1:$O$113,15,0))</f>
        <v>300.3</v>
      </c>
      <c r="X735" s="6">
        <f>IF(ISERROR(VLOOKUP($U$735,'TAR FIN'!$A$1:$O$113,15,0)),0,VLOOKUP($U$735,'TAR FIN'!$A$1:$O$113,15,0))</f>
        <v>292.36</v>
      </c>
      <c r="Y735" s="6"/>
      <c r="Z735" s="6">
        <f ca="1">('TUSD BE'!$AM$40+'TUSD BF_350'!$AM$40+'TUSD CVA'!$AM$40)*1</f>
        <v>409.13</v>
      </c>
      <c r="AA735" s="6">
        <f ca="1">('TE BE'!$AB$18+'TE BF_350'!$AB$18+'TE CVA'!$AB$18)*1</f>
        <v>244</v>
      </c>
      <c r="AB735" s="6">
        <f>$K$735*$V$735</f>
        <v>0</v>
      </c>
      <c r="AC735" s="6">
        <f>$M$735*$W$735</f>
        <v>20556.135600000001</v>
      </c>
      <c r="AD735" s="6">
        <f>$O$735*$X$735</f>
        <v>20012.62672</v>
      </c>
      <c r="AE735" s="6">
        <f>$K$735*$Y$735</f>
        <v>0</v>
      </c>
      <c r="AF735" s="6">
        <f ca="1">$M$735*$Z$735</f>
        <v>28005.766759999999</v>
      </c>
      <c r="AG735" s="6">
        <f ca="1">$O$735*$AA$735</f>
        <v>16702.288</v>
      </c>
    </row>
    <row r="736" spans="1:33" ht="11.25" customHeight="1" x14ac:dyDescent="0.3">
      <c r="A736" s="4" t="s">
        <v>21</v>
      </c>
      <c r="B736" s="4" t="s">
        <v>22</v>
      </c>
      <c r="C736" s="4" t="s">
        <v>23</v>
      </c>
      <c r="D736" s="4" t="s">
        <v>24</v>
      </c>
      <c r="E736" s="4" t="s">
        <v>24</v>
      </c>
      <c r="F736" s="4" t="s">
        <v>25</v>
      </c>
      <c r="G736" s="4" t="s">
        <v>25</v>
      </c>
      <c r="H736" s="4" t="s">
        <v>25</v>
      </c>
      <c r="I736" s="5">
        <v>44621</v>
      </c>
      <c r="J736" s="6">
        <v>0</v>
      </c>
      <c r="K736" s="6">
        <v>0</v>
      </c>
      <c r="L736" s="6">
        <v>10232.031000000001</v>
      </c>
      <c r="M736" s="6">
        <v>10232.031000000001</v>
      </c>
      <c r="N736" s="6">
        <v>10232.031000000001</v>
      </c>
      <c r="O736" s="6">
        <v>10232.031000000001</v>
      </c>
      <c r="P736" s="6">
        <v>68550</v>
      </c>
      <c r="Q736" s="4" t="s">
        <v>26</v>
      </c>
      <c r="R736" s="4">
        <v>0</v>
      </c>
      <c r="S736" s="6">
        <v>0</v>
      </c>
      <c r="T736" s="6">
        <v>46</v>
      </c>
      <c r="U736" s="6">
        <v>111</v>
      </c>
      <c r="V736" s="6">
        <f>IF(ISERROR(VLOOKUP($S$736,'TAR FIN'!$A$1:$O$113,15,0)),0,VLOOKUP($S$736,'TAR FIN'!$A$1:$O$113,15,0))</f>
        <v>0</v>
      </c>
      <c r="W736" s="6">
        <f>IF(ISERROR(VLOOKUP($T$736,'TAR FIN'!$A$1:$O$113,15,0)),0,VLOOKUP($T$736,'TAR FIN'!$A$1:$O$113,15,0))</f>
        <v>300.3</v>
      </c>
      <c r="X736" s="6">
        <f>IF(ISERROR(VLOOKUP($U$736,'TAR FIN'!$A$1:$O$113,15,0)),0,VLOOKUP($U$736,'TAR FIN'!$A$1:$O$113,15,0))</f>
        <v>292.36</v>
      </c>
      <c r="Y736" s="6"/>
      <c r="Z736" s="6">
        <f ca="1">('TUSD BE'!$AM$40+'TUSD BF_350'!$AM$40+'TUSD CVA'!$AM$40)*1</f>
        <v>409.13</v>
      </c>
      <c r="AA736" s="6">
        <f ca="1">('TE BE'!$AB$18+'TE BF_350'!$AB$18+'TE CVA'!$AB$18)*1</f>
        <v>244</v>
      </c>
      <c r="AB736" s="6">
        <f>$K$736*$V$736</f>
        <v>0</v>
      </c>
      <c r="AC736" s="6">
        <f>$M$736*$W$736</f>
        <v>3072678.9093000004</v>
      </c>
      <c r="AD736" s="6">
        <f>$O$736*$X$736</f>
        <v>2991436.5831600004</v>
      </c>
      <c r="AE736" s="6">
        <f>$K$736*$Y$736</f>
        <v>0</v>
      </c>
      <c r="AF736" s="6">
        <f ca="1">$M$736*$Z$736</f>
        <v>4186230.8430300001</v>
      </c>
      <c r="AG736" s="6">
        <f ca="1">$O$736*$AA$736</f>
        <v>2496615.5640000002</v>
      </c>
    </row>
    <row r="737" spans="1:33" ht="11.25" customHeight="1" x14ac:dyDescent="0.3">
      <c r="A737" s="4" t="s">
        <v>27</v>
      </c>
      <c r="B737" s="4" t="s">
        <v>22</v>
      </c>
      <c r="C737" s="4" t="s">
        <v>23</v>
      </c>
      <c r="D737" s="4" t="s">
        <v>24</v>
      </c>
      <c r="E737" s="4" t="s">
        <v>24</v>
      </c>
      <c r="F737" s="4" t="s">
        <v>25</v>
      </c>
      <c r="G737" s="4" t="s">
        <v>25</v>
      </c>
      <c r="H737" s="4" t="s">
        <v>25</v>
      </c>
      <c r="I737" s="5">
        <v>44621</v>
      </c>
      <c r="J737" s="6">
        <v>0</v>
      </c>
      <c r="K737" s="6">
        <v>0</v>
      </c>
      <c r="L737" s="6">
        <v>-10.598000000000001</v>
      </c>
      <c r="M737" s="6">
        <v>-10.598000000000001</v>
      </c>
      <c r="N737" s="6">
        <v>-10.598000000000001</v>
      </c>
      <c r="O737" s="6">
        <v>-10.598000000000001</v>
      </c>
      <c r="P737" s="6">
        <v>0</v>
      </c>
      <c r="Q737" s="4" t="s">
        <v>26</v>
      </c>
      <c r="R737" s="4">
        <v>0</v>
      </c>
      <c r="S737" s="6">
        <v>0</v>
      </c>
      <c r="T737" s="6">
        <v>46</v>
      </c>
      <c r="U737" s="6">
        <v>111</v>
      </c>
      <c r="V737" s="6">
        <f>IF(ISERROR(VLOOKUP($S$737,'TAR FIN'!$A$1:$O$113,15,0)),0,VLOOKUP($S$737,'TAR FIN'!$A$1:$O$113,15,0))</f>
        <v>0</v>
      </c>
      <c r="W737" s="6">
        <f>IF(ISERROR(VLOOKUP($T$737,'TAR FIN'!$A$1:$O$113,15,0)),0,VLOOKUP($T$737,'TAR FIN'!$A$1:$O$113,15,0))</f>
        <v>300.3</v>
      </c>
      <c r="X737" s="6">
        <f>IF(ISERROR(VLOOKUP($U$737,'TAR FIN'!$A$1:$O$113,15,0)),0,VLOOKUP($U$737,'TAR FIN'!$A$1:$O$113,15,0))</f>
        <v>292.36</v>
      </c>
      <c r="Y737" s="6"/>
      <c r="Z737" s="6">
        <f ca="1">('TUSD BE'!$AM$40+'TUSD BF_350'!$AM$40+'TUSD CVA'!$AM$40)*1</f>
        <v>409.13</v>
      </c>
      <c r="AA737" s="6">
        <f ca="1">('TE BE'!$AB$18+'TE BF_350'!$AB$18+'TE CVA'!$AB$18)*1</f>
        <v>244</v>
      </c>
      <c r="AB737" s="6">
        <f>$K$737*$V$737</f>
        <v>0</v>
      </c>
      <c r="AC737" s="6">
        <f>$M$737*$W$737</f>
        <v>-3182.5794000000005</v>
      </c>
      <c r="AD737" s="6">
        <f>$O$737*$X$737</f>
        <v>-3098.4312800000002</v>
      </c>
      <c r="AE737" s="6">
        <f>$K$737*$Y$737</f>
        <v>0</v>
      </c>
      <c r="AF737" s="6">
        <f ca="1">$M$737*$Z$737</f>
        <v>-4335.9597400000002</v>
      </c>
      <c r="AG737" s="6">
        <f ca="1">$O$737*$AA$737</f>
        <v>-2585.9120000000003</v>
      </c>
    </row>
    <row r="738" spans="1:33" ht="11.25" customHeight="1" x14ac:dyDescent="0.3">
      <c r="A738" s="4" t="s">
        <v>28</v>
      </c>
      <c r="B738" s="4" t="s">
        <v>22</v>
      </c>
      <c r="C738" s="4" t="s">
        <v>23</v>
      </c>
      <c r="D738" s="4" t="s">
        <v>24</v>
      </c>
      <c r="E738" s="4" t="s">
        <v>24</v>
      </c>
      <c r="F738" s="4" t="s">
        <v>25</v>
      </c>
      <c r="G738" s="4" t="s">
        <v>25</v>
      </c>
      <c r="H738" s="4" t="s">
        <v>25</v>
      </c>
      <c r="I738" s="5">
        <v>44621</v>
      </c>
      <c r="J738" s="6">
        <v>0</v>
      </c>
      <c r="K738" s="6">
        <v>0</v>
      </c>
      <c r="L738" s="6">
        <v>70.27</v>
      </c>
      <c r="M738" s="6">
        <v>70.27</v>
      </c>
      <c r="N738" s="6">
        <v>70.27</v>
      </c>
      <c r="O738" s="6">
        <v>70.27</v>
      </c>
      <c r="P738" s="6">
        <v>587</v>
      </c>
      <c r="Q738" s="4" t="s">
        <v>26</v>
      </c>
      <c r="R738" s="4">
        <v>0</v>
      </c>
      <c r="S738" s="6">
        <v>0</v>
      </c>
      <c r="T738" s="6">
        <v>46</v>
      </c>
      <c r="U738" s="6">
        <v>111</v>
      </c>
      <c r="V738" s="6">
        <f>IF(ISERROR(VLOOKUP($S$738,'TAR FIN'!$A$1:$O$113,15,0)),0,VLOOKUP($S$738,'TAR FIN'!$A$1:$O$113,15,0))</f>
        <v>0</v>
      </c>
      <c r="W738" s="6">
        <f>IF(ISERROR(VLOOKUP($T$738,'TAR FIN'!$A$1:$O$113,15,0)),0,VLOOKUP($T$738,'TAR FIN'!$A$1:$O$113,15,0))</f>
        <v>300.3</v>
      </c>
      <c r="X738" s="6">
        <f>IF(ISERROR(VLOOKUP($U$738,'TAR FIN'!$A$1:$O$113,15,0)),0,VLOOKUP($U$738,'TAR FIN'!$A$1:$O$113,15,0))</f>
        <v>292.36</v>
      </c>
      <c r="Y738" s="6"/>
      <c r="Z738" s="6">
        <f ca="1">('TUSD BE'!$AM$40+'TUSD BF_350'!$AM$40+'TUSD CVA'!$AM$40)*1</f>
        <v>409.13</v>
      </c>
      <c r="AA738" s="6">
        <f ca="1">('TE BE'!$AB$18+'TE BF_350'!$AB$18+'TE CVA'!$AB$18)*1</f>
        <v>244</v>
      </c>
      <c r="AB738" s="6">
        <f>$K$738*$V$738</f>
        <v>0</v>
      </c>
      <c r="AC738" s="6">
        <f>$M$738*$W$738</f>
        <v>21102.080999999998</v>
      </c>
      <c r="AD738" s="6">
        <f>$O$738*$X$738</f>
        <v>20544.137200000001</v>
      </c>
      <c r="AE738" s="6">
        <f>$K$738*$Y$738</f>
        <v>0</v>
      </c>
      <c r="AF738" s="6">
        <f ca="1">$M$738*$Z$738</f>
        <v>28749.5651</v>
      </c>
      <c r="AG738" s="6">
        <f ca="1">$O$738*$AA$738</f>
        <v>17145.879999999997</v>
      </c>
    </row>
    <row r="739" spans="1:33" ht="11.25" customHeight="1" x14ac:dyDescent="0.3">
      <c r="A739" s="4" t="s">
        <v>28</v>
      </c>
      <c r="B739" s="4" t="s">
        <v>22</v>
      </c>
      <c r="C739" s="4" t="s">
        <v>23</v>
      </c>
      <c r="D739" s="4" t="s">
        <v>24</v>
      </c>
      <c r="E739" s="4" t="s">
        <v>24</v>
      </c>
      <c r="F739" s="4" t="s">
        <v>25</v>
      </c>
      <c r="G739" s="4" t="s">
        <v>25</v>
      </c>
      <c r="H739" s="4" t="s">
        <v>25</v>
      </c>
      <c r="I739" s="5">
        <v>44621</v>
      </c>
      <c r="J739" s="6">
        <v>0</v>
      </c>
      <c r="K739" s="6">
        <v>0</v>
      </c>
      <c r="L739" s="6">
        <v>0.309</v>
      </c>
      <c r="M739" s="6">
        <v>0.309</v>
      </c>
      <c r="N739" s="6">
        <v>0.309</v>
      </c>
      <c r="O739" s="6">
        <v>0.309</v>
      </c>
      <c r="P739" s="6">
        <v>7</v>
      </c>
      <c r="Q739" s="4" t="s">
        <v>26</v>
      </c>
      <c r="R739" s="4">
        <v>0</v>
      </c>
      <c r="S739" s="6">
        <v>0</v>
      </c>
      <c r="T739" s="6">
        <v>46</v>
      </c>
      <c r="U739" s="6">
        <v>111</v>
      </c>
      <c r="V739" s="6">
        <f>IF(ISERROR(VLOOKUP($S$739,'TAR FIN'!$A$1:$O$113,15,0)),0,VLOOKUP($S$739,'TAR FIN'!$A$1:$O$113,15,0))</f>
        <v>0</v>
      </c>
      <c r="W739" s="6">
        <f>IF(ISERROR(VLOOKUP($T$739,'TAR FIN'!$A$1:$O$113,15,0)),0,VLOOKUP($T$739,'TAR FIN'!$A$1:$O$113,15,0))</f>
        <v>300.3</v>
      </c>
      <c r="X739" s="6">
        <f>IF(ISERROR(VLOOKUP($U$739,'TAR FIN'!$A$1:$O$113,15,0)),0,VLOOKUP($U$739,'TAR FIN'!$A$1:$O$113,15,0))</f>
        <v>292.36</v>
      </c>
      <c r="Y739" s="6"/>
      <c r="Z739" s="6">
        <f ca="1">('TUSD BE'!$AM$40+'TUSD BF_350'!$AM$40+'TUSD CVA'!$AM$40)*1</f>
        <v>409.13</v>
      </c>
      <c r="AA739" s="6">
        <f ca="1">('TE BE'!$AB$18+'TE BF_350'!$AB$18+'TE CVA'!$AB$18)*1</f>
        <v>244</v>
      </c>
      <c r="AB739" s="6">
        <f>$K$739*$V$739</f>
        <v>0</v>
      </c>
      <c r="AC739" s="6">
        <f>$M$739*$W$739</f>
        <v>92.792699999999996</v>
      </c>
      <c r="AD739" s="6">
        <f>$O$739*$X$739</f>
        <v>90.339240000000004</v>
      </c>
      <c r="AE739" s="6">
        <f>$K$739*$Y$739</f>
        <v>0</v>
      </c>
      <c r="AF739" s="6">
        <f ca="1">$M$739*$Z$739</f>
        <v>126.42117</v>
      </c>
      <c r="AG739" s="6">
        <f ca="1">$O$739*$AA$739</f>
        <v>75.396000000000001</v>
      </c>
    </row>
    <row r="740" spans="1:33" ht="11.25" customHeight="1" x14ac:dyDescent="0.3">
      <c r="A740" s="4" t="s">
        <v>21</v>
      </c>
      <c r="B740" s="4" t="s">
        <v>22</v>
      </c>
      <c r="C740" s="4" t="s">
        <v>23</v>
      </c>
      <c r="D740" s="4" t="s">
        <v>24</v>
      </c>
      <c r="E740" s="4" t="s">
        <v>24</v>
      </c>
      <c r="F740" s="4" t="s">
        <v>25</v>
      </c>
      <c r="G740" s="4" t="s">
        <v>25</v>
      </c>
      <c r="H740" s="4" t="s">
        <v>25</v>
      </c>
      <c r="I740" s="5">
        <v>44652</v>
      </c>
      <c r="J740" s="6">
        <v>0</v>
      </c>
      <c r="K740" s="6">
        <v>0</v>
      </c>
      <c r="L740" s="6">
        <v>10453.558000000001</v>
      </c>
      <c r="M740" s="6">
        <v>10453.558000000001</v>
      </c>
      <c r="N740" s="6">
        <v>10453.558000000001</v>
      </c>
      <c r="O740" s="6">
        <v>10453.558000000001</v>
      </c>
      <c r="P740" s="6">
        <v>68685</v>
      </c>
      <c r="Q740" s="4" t="s">
        <v>26</v>
      </c>
      <c r="R740" s="4">
        <v>0</v>
      </c>
      <c r="S740" s="6">
        <v>0</v>
      </c>
      <c r="T740" s="6">
        <v>46</v>
      </c>
      <c r="U740" s="6">
        <v>111</v>
      </c>
      <c r="V740" s="6">
        <f>IF(ISERROR(VLOOKUP($S$740,'TAR FIN'!$A$1:$O$113,15,0)),0,VLOOKUP($S$740,'TAR FIN'!$A$1:$O$113,15,0))</f>
        <v>0</v>
      </c>
      <c r="W740" s="6">
        <f>IF(ISERROR(VLOOKUP($T$740,'TAR FIN'!$A$1:$O$113,15,0)),0,VLOOKUP($T$740,'TAR FIN'!$A$1:$O$113,15,0))</f>
        <v>300.3</v>
      </c>
      <c r="X740" s="6">
        <f>IF(ISERROR(VLOOKUP($U$740,'TAR FIN'!$A$1:$O$113,15,0)),0,VLOOKUP($U$740,'TAR FIN'!$A$1:$O$113,15,0))</f>
        <v>292.36</v>
      </c>
      <c r="Y740" s="6"/>
      <c r="Z740" s="6">
        <f ca="1">('TUSD BE'!$AM$40+'TUSD BF_350'!$AM$40+'TUSD CVA'!$AM$40)*1</f>
        <v>409.13</v>
      </c>
      <c r="AA740" s="6">
        <f ca="1">('TE BE'!$AB$18+'TE BF_350'!$AB$18+'TE CVA'!$AB$18)*1</f>
        <v>244</v>
      </c>
      <c r="AB740" s="6">
        <f>$K$740*$V$740</f>
        <v>0</v>
      </c>
      <c r="AC740" s="6">
        <f>$M$740*$W$740</f>
        <v>3139203.4674000004</v>
      </c>
      <c r="AD740" s="6">
        <f>$O$740*$X$740</f>
        <v>3056202.2168800002</v>
      </c>
      <c r="AE740" s="6">
        <f>$K$740*$Y$740</f>
        <v>0</v>
      </c>
      <c r="AF740" s="6">
        <f ca="1">$M$740*$Z$740</f>
        <v>4276864.1845400007</v>
      </c>
      <c r="AG740" s="6">
        <f ca="1">$O$740*$AA$740</f>
        <v>2550668.1520000002</v>
      </c>
    </row>
    <row r="741" spans="1:33" ht="11.25" customHeight="1" x14ac:dyDescent="0.3">
      <c r="A741" s="4" t="s">
        <v>27</v>
      </c>
      <c r="B741" s="4" t="s">
        <v>22</v>
      </c>
      <c r="C741" s="4" t="s">
        <v>23</v>
      </c>
      <c r="D741" s="4" t="s">
        <v>24</v>
      </c>
      <c r="E741" s="4" t="s">
        <v>24</v>
      </c>
      <c r="F741" s="4" t="s">
        <v>25</v>
      </c>
      <c r="G741" s="4" t="s">
        <v>25</v>
      </c>
      <c r="H741" s="4" t="s">
        <v>25</v>
      </c>
      <c r="I741" s="5">
        <v>44652</v>
      </c>
      <c r="J741" s="6">
        <v>0</v>
      </c>
      <c r="K741" s="6">
        <v>0</v>
      </c>
      <c r="L741" s="6">
        <v>-8.4649999999999999</v>
      </c>
      <c r="M741" s="6">
        <v>-8.4649999999999999</v>
      </c>
      <c r="N741" s="6">
        <v>-8.4649999999999999</v>
      </c>
      <c r="O741" s="6">
        <v>-8.4649999999999999</v>
      </c>
      <c r="P741" s="6">
        <v>0</v>
      </c>
      <c r="Q741" s="4" t="s">
        <v>26</v>
      </c>
      <c r="R741" s="4">
        <v>0</v>
      </c>
      <c r="S741" s="6">
        <v>0</v>
      </c>
      <c r="T741" s="6">
        <v>46</v>
      </c>
      <c r="U741" s="6">
        <v>111</v>
      </c>
      <c r="V741" s="6">
        <f>IF(ISERROR(VLOOKUP($S$741,'TAR FIN'!$A$1:$O$113,15,0)),0,VLOOKUP($S$741,'TAR FIN'!$A$1:$O$113,15,0))</f>
        <v>0</v>
      </c>
      <c r="W741" s="6">
        <f>IF(ISERROR(VLOOKUP($T$741,'TAR FIN'!$A$1:$O$113,15,0)),0,VLOOKUP($T$741,'TAR FIN'!$A$1:$O$113,15,0))</f>
        <v>300.3</v>
      </c>
      <c r="X741" s="6">
        <f>IF(ISERROR(VLOOKUP($U$741,'TAR FIN'!$A$1:$O$113,15,0)),0,VLOOKUP($U$741,'TAR FIN'!$A$1:$O$113,15,0))</f>
        <v>292.36</v>
      </c>
      <c r="Y741" s="6"/>
      <c r="Z741" s="6">
        <f ca="1">('TUSD BE'!$AM$40+'TUSD BF_350'!$AM$40+'TUSD CVA'!$AM$40)*1</f>
        <v>409.13</v>
      </c>
      <c r="AA741" s="6">
        <f ca="1">('TE BE'!$AB$18+'TE BF_350'!$AB$18+'TE CVA'!$AB$18)*1</f>
        <v>244</v>
      </c>
      <c r="AB741" s="6">
        <f>$K$741*$V$741</f>
        <v>0</v>
      </c>
      <c r="AC741" s="6">
        <f>$M$741*$W$741</f>
        <v>-2542.0394999999999</v>
      </c>
      <c r="AD741" s="6">
        <f>$O$741*$X$741</f>
        <v>-2474.8274000000001</v>
      </c>
      <c r="AE741" s="6">
        <f>$K$741*$Y$741</f>
        <v>0</v>
      </c>
      <c r="AF741" s="6">
        <f ca="1">$M$741*$Z$741</f>
        <v>-3463.2854499999999</v>
      </c>
      <c r="AG741" s="6">
        <f ca="1">$O$741*$AA$741</f>
        <v>-2065.46</v>
      </c>
    </row>
    <row r="742" spans="1:33" ht="11.25" customHeight="1" x14ac:dyDescent="0.3">
      <c r="A742" s="4" t="s">
        <v>28</v>
      </c>
      <c r="B742" s="4" t="s">
        <v>22</v>
      </c>
      <c r="C742" s="4" t="s">
        <v>23</v>
      </c>
      <c r="D742" s="4" t="s">
        <v>24</v>
      </c>
      <c r="E742" s="4" t="s">
        <v>24</v>
      </c>
      <c r="F742" s="4" t="s">
        <v>25</v>
      </c>
      <c r="G742" s="4" t="s">
        <v>25</v>
      </c>
      <c r="H742" s="4" t="s">
        <v>25</v>
      </c>
      <c r="I742" s="5">
        <v>44652</v>
      </c>
      <c r="J742" s="6">
        <v>0</v>
      </c>
      <c r="K742" s="6">
        <v>0</v>
      </c>
      <c r="L742" s="6">
        <v>82.573999999999998</v>
      </c>
      <c r="M742" s="6">
        <v>82.573999999999998</v>
      </c>
      <c r="N742" s="6">
        <v>82.573999999999998</v>
      </c>
      <c r="O742" s="6">
        <v>82.573999999999998</v>
      </c>
      <c r="P742" s="6">
        <v>632</v>
      </c>
      <c r="Q742" s="4" t="s">
        <v>26</v>
      </c>
      <c r="R742" s="4">
        <v>0</v>
      </c>
      <c r="S742" s="6">
        <v>0</v>
      </c>
      <c r="T742" s="6">
        <v>46</v>
      </c>
      <c r="U742" s="6">
        <v>111</v>
      </c>
      <c r="V742" s="6">
        <f>IF(ISERROR(VLOOKUP($S$742,'TAR FIN'!$A$1:$O$113,15,0)),0,VLOOKUP($S$742,'TAR FIN'!$A$1:$O$113,15,0))</f>
        <v>0</v>
      </c>
      <c r="W742" s="6">
        <f>IF(ISERROR(VLOOKUP($T$742,'TAR FIN'!$A$1:$O$113,15,0)),0,VLOOKUP($T$742,'TAR FIN'!$A$1:$O$113,15,0))</f>
        <v>300.3</v>
      </c>
      <c r="X742" s="6">
        <f>IF(ISERROR(VLOOKUP($U$742,'TAR FIN'!$A$1:$O$113,15,0)),0,VLOOKUP($U$742,'TAR FIN'!$A$1:$O$113,15,0))</f>
        <v>292.36</v>
      </c>
      <c r="Y742" s="6"/>
      <c r="Z742" s="6">
        <f ca="1">('TUSD BE'!$AM$40+'TUSD BF_350'!$AM$40+'TUSD CVA'!$AM$40)*1</f>
        <v>409.13</v>
      </c>
      <c r="AA742" s="6">
        <f ca="1">('TE BE'!$AB$18+'TE BF_350'!$AB$18+'TE CVA'!$AB$18)*1</f>
        <v>244</v>
      </c>
      <c r="AB742" s="6">
        <f>$K$742*$V$742</f>
        <v>0</v>
      </c>
      <c r="AC742" s="6">
        <f>$M$742*$W$742</f>
        <v>24796.9722</v>
      </c>
      <c r="AD742" s="6">
        <f>$O$742*$X$742</f>
        <v>24141.334640000001</v>
      </c>
      <c r="AE742" s="6">
        <f>$K$742*$Y$742</f>
        <v>0</v>
      </c>
      <c r="AF742" s="6">
        <f ca="1">$M$742*$Z$742</f>
        <v>33783.500619999999</v>
      </c>
      <c r="AG742" s="6">
        <f ca="1">$O$742*$AA$742</f>
        <v>20148.056</v>
      </c>
    </row>
    <row r="743" spans="1:33" ht="11.25" customHeight="1" x14ac:dyDescent="0.3">
      <c r="A743" s="4" t="s">
        <v>21</v>
      </c>
      <c r="B743" s="4" t="s">
        <v>22</v>
      </c>
      <c r="C743" s="4" t="s">
        <v>23</v>
      </c>
      <c r="D743" s="4" t="s">
        <v>24</v>
      </c>
      <c r="E743" s="4" t="s">
        <v>24</v>
      </c>
      <c r="F743" s="4" t="s">
        <v>25</v>
      </c>
      <c r="G743" s="4" t="s">
        <v>25</v>
      </c>
      <c r="H743" s="4" t="s">
        <v>25</v>
      </c>
      <c r="I743" s="5">
        <v>44682</v>
      </c>
      <c r="J743" s="6">
        <v>0</v>
      </c>
      <c r="K743" s="6">
        <v>0</v>
      </c>
      <c r="L743" s="6">
        <v>10255.894</v>
      </c>
      <c r="M743" s="6">
        <v>10255.894</v>
      </c>
      <c r="N743" s="6">
        <v>10255.894</v>
      </c>
      <c r="O743" s="6">
        <v>10255.894</v>
      </c>
      <c r="P743" s="6">
        <v>68699</v>
      </c>
      <c r="Q743" s="4" t="s">
        <v>26</v>
      </c>
      <c r="R743" s="4">
        <v>0</v>
      </c>
      <c r="S743" s="6">
        <v>0</v>
      </c>
      <c r="T743" s="6">
        <v>46</v>
      </c>
      <c r="U743" s="6">
        <v>111</v>
      </c>
      <c r="V743" s="6">
        <f>IF(ISERROR(VLOOKUP($S$743,'TAR FIN'!$A$1:$O$113,15,0)),0,VLOOKUP($S$743,'TAR FIN'!$A$1:$O$113,15,0))</f>
        <v>0</v>
      </c>
      <c r="W743" s="6">
        <f>IF(ISERROR(VLOOKUP($T$743,'TAR FIN'!$A$1:$O$113,15,0)),0,VLOOKUP($T$743,'TAR FIN'!$A$1:$O$113,15,0))</f>
        <v>300.3</v>
      </c>
      <c r="X743" s="6">
        <f>IF(ISERROR(VLOOKUP($U$743,'TAR FIN'!$A$1:$O$113,15,0)),0,VLOOKUP($U$743,'TAR FIN'!$A$1:$O$113,15,0))</f>
        <v>292.36</v>
      </c>
      <c r="Y743" s="6"/>
      <c r="Z743" s="6">
        <f ca="1">('TUSD BE'!$AM$40+'TUSD BF_350'!$AM$40+'TUSD CVA'!$AM$40)*1</f>
        <v>409.13</v>
      </c>
      <c r="AA743" s="6">
        <f ca="1">('TE BE'!$AB$18+'TE BF_350'!$AB$18+'TE CVA'!$AB$18)*1</f>
        <v>244</v>
      </c>
      <c r="AB743" s="6">
        <f>$K$743*$V$743</f>
        <v>0</v>
      </c>
      <c r="AC743" s="6">
        <f>$M$743*$W$743</f>
        <v>3079844.9682</v>
      </c>
      <c r="AD743" s="6">
        <f>$O$743*$X$743</f>
        <v>2998413.1698400001</v>
      </c>
      <c r="AE743" s="6">
        <f>$K$743*$Y$743</f>
        <v>0</v>
      </c>
      <c r="AF743" s="6">
        <f ca="1">$M$743*$Z$743</f>
        <v>4195993.9122200003</v>
      </c>
      <c r="AG743" s="6">
        <f ca="1">$O$743*$AA$743</f>
        <v>2502438.1359999999</v>
      </c>
    </row>
    <row r="744" spans="1:33" ht="11.25" customHeight="1" x14ac:dyDescent="0.3">
      <c r="A744" s="4" t="s">
        <v>27</v>
      </c>
      <c r="B744" s="4" t="s">
        <v>22</v>
      </c>
      <c r="C744" s="4" t="s">
        <v>23</v>
      </c>
      <c r="D744" s="4" t="s">
        <v>24</v>
      </c>
      <c r="E744" s="4" t="s">
        <v>24</v>
      </c>
      <c r="F744" s="4" t="s">
        <v>25</v>
      </c>
      <c r="G744" s="4" t="s">
        <v>25</v>
      </c>
      <c r="H744" s="4" t="s">
        <v>25</v>
      </c>
      <c r="I744" s="5">
        <v>44682</v>
      </c>
      <c r="J744" s="6">
        <v>0</v>
      </c>
      <c r="K744" s="6">
        <v>0</v>
      </c>
      <c r="L744" s="6">
        <v>-19.370999999999999</v>
      </c>
      <c r="M744" s="6">
        <v>-19.370999999999999</v>
      </c>
      <c r="N744" s="6">
        <v>-19.370999999999999</v>
      </c>
      <c r="O744" s="6">
        <v>-19.370999999999999</v>
      </c>
      <c r="P744" s="6">
        <v>0</v>
      </c>
      <c r="Q744" s="4" t="s">
        <v>26</v>
      </c>
      <c r="R744" s="4">
        <v>0</v>
      </c>
      <c r="S744" s="6">
        <v>0</v>
      </c>
      <c r="T744" s="6">
        <v>46</v>
      </c>
      <c r="U744" s="6">
        <v>111</v>
      </c>
      <c r="V744" s="6">
        <f>IF(ISERROR(VLOOKUP($S$744,'TAR FIN'!$A$1:$O$113,15,0)),0,VLOOKUP($S$744,'TAR FIN'!$A$1:$O$113,15,0))</f>
        <v>0</v>
      </c>
      <c r="W744" s="6">
        <f>IF(ISERROR(VLOOKUP($T$744,'TAR FIN'!$A$1:$O$113,15,0)),0,VLOOKUP($T$744,'TAR FIN'!$A$1:$O$113,15,0))</f>
        <v>300.3</v>
      </c>
      <c r="X744" s="6">
        <f>IF(ISERROR(VLOOKUP($U$744,'TAR FIN'!$A$1:$O$113,15,0)),0,VLOOKUP($U$744,'TAR FIN'!$A$1:$O$113,15,0))</f>
        <v>292.36</v>
      </c>
      <c r="Y744" s="6"/>
      <c r="Z744" s="6">
        <f ca="1">('TUSD BE'!$AM$40+'TUSD BF_350'!$AM$40+'TUSD CVA'!$AM$40)*1</f>
        <v>409.13</v>
      </c>
      <c r="AA744" s="6">
        <f ca="1">('TE BE'!$AB$18+'TE BF_350'!$AB$18+'TE CVA'!$AB$18)*1</f>
        <v>244</v>
      </c>
      <c r="AB744" s="6">
        <f>$K$744*$V$744</f>
        <v>0</v>
      </c>
      <c r="AC744" s="6">
        <f>$M$744*$W$744</f>
        <v>-5817.1112999999996</v>
      </c>
      <c r="AD744" s="6">
        <f>$O$744*$X$744</f>
        <v>-5663.3055599999998</v>
      </c>
      <c r="AE744" s="6">
        <f>$K$744*$Y$744</f>
        <v>0</v>
      </c>
      <c r="AF744" s="6">
        <f ca="1">$M$744*$Z$744</f>
        <v>-7925.2572299999993</v>
      </c>
      <c r="AG744" s="6">
        <f ca="1">$O$744*$AA$744</f>
        <v>-4726.5239999999994</v>
      </c>
    </row>
    <row r="745" spans="1:33" ht="11.25" customHeight="1" x14ac:dyDescent="0.3">
      <c r="A745" s="4" t="s">
        <v>28</v>
      </c>
      <c r="B745" s="4" t="s">
        <v>22</v>
      </c>
      <c r="C745" s="4" t="s">
        <v>23</v>
      </c>
      <c r="D745" s="4" t="s">
        <v>24</v>
      </c>
      <c r="E745" s="4" t="s">
        <v>24</v>
      </c>
      <c r="F745" s="4" t="s">
        <v>25</v>
      </c>
      <c r="G745" s="4" t="s">
        <v>25</v>
      </c>
      <c r="H745" s="4" t="s">
        <v>25</v>
      </c>
      <c r="I745" s="5">
        <v>44682</v>
      </c>
      <c r="J745" s="6">
        <v>0</v>
      </c>
      <c r="K745" s="6">
        <v>0</v>
      </c>
      <c r="L745" s="6">
        <v>85.396000000000001</v>
      </c>
      <c r="M745" s="6">
        <v>85.396000000000001</v>
      </c>
      <c r="N745" s="6">
        <v>85.396000000000001</v>
      </c>
      <c r="O745" s="6">
        <v>85.396000000000001</v>
      </c>
      <c r="P745" s="6">
        <v>664</v>
      </c>
      <c r="Q745" s="4" t="s">
        <v>26</v>
      </c>
      <c r="R745" s="4">
        <v>0</v>
      </c>
      <c r="S745" s="6">
        <v>0</v>
      </c>
      <c r="T745" s="6">
        <v>46</v>
      </c>
      <c r="U745" s="6">
        <v>111</v>
      </c>
      <c r="V745" s="6">
        <f>IF(ISERROR(VLOOKUP($S$745,'TAR FIN'!$A$1:$O$113,15,0)),0,VLOOKUP($S$745,'TAR FIN'!$A$1:$O$113,15,0))</f>
        <v>0</v>
      </c>
      <c r="W745" s="6">
        <f>IF(ISERROR(VLOOKUP($T$745,'TAR FIN'!$A$1:$O$113,15,0)),0,VLOOKUP($T$745,'TAR FIN'!$A$1:$O$113,15,0))</f>
        <v>300.3</v>
      </c>
      <c r="X745" s="6">
        <f>IF(ISERROR(VLOOKUP($U$745,'TAR FIN'!$A$1:$O$113,15,0)),0,VLOOKUP($U$745,'TAR FIN'!$A$1:$O$113,15,0))</f>
        <v>292.36</v>
      </c>
      <c r="Y745" s="6"/>
      <c r="Z745" s="6">
        <f ca="1">('TUSD BE'!$AM$40+'TUSD BF_350'!$AM$40+'TUSD CVA'!$AM$40)*1</f>
        <v>409.13</v>
      </c>
      <c r="AA745" s="6">
        <f ca="1">('TE BE'!$AB$18+'TE BF_350'!$AB$18+'TE CVA'!$AB$18)*1</f>
        <v>244</v>
      </c>
      <c r="AB745" s="6">
        <f>$K$745*$V$745</f>
        <v>0</v>
      </c>
      <c r="AC745" s="6">
        <f>$M$745*$W$745</f>
        <v>25644.418799999999</v>
      </c>
      <c r="AD745" s="6">
        <f>$O$745*$X$745</f>
        <v>24966.37456</v>
      </c>
      <c r="AE745" s="6">
        <f>$K$745*$Y$745</f>
        <v>0</v>
      </c>
      <c r="AF745" s="6">
        <f ca="1">$M$745*$Z$745</f>
        <v>34938.065479999997</v>
      </c>
      <c r="AG745" s="6">
        <f ca="1">$O$745*$AA$745</f>
        <v>20836.624</v>
      </c>
    </row>
    <row r="746" spans="1:33" ht="11.25" customHeight="1" x14ac:dyDescent="0.3">
      <c r="A746" s="4" t="s">
        <v>28</v>
      </c>
      <c r="B746" s="4" t="s">
        <v>22</v>
      </c>
      <c r="C746" s="4" t="s">
        <v>23</v>
      </c>
      <c r="D746" s="4" t="s">
        <v>24</v>
      </c>
      <c r="E746" s="4" t="s">
        <v>24</v>
      </c>
      <c r="F746" s="4" t="s">
        <v>25</v>
      </c>
      <c r="G746" s="4" t="s">
        <v>25</v>
      </c>
      <c r="H746" s="4" t="s">
        <v>25</v>
      </c>
      <c r="I746" s="5">
        <v>44682</v>
      </c>
      <c r="J746" s="6">
        <v>0</v>
      </c>
      <c r="K746" s="6">
        <v>0</v>
      </c>
      <c r="L746" s="6">
        <v>0.05</v>
      </c>
      <c r="M746" s="6">
        <v>0.05</v>
      </c>
      <c r="N746" s="6">
        <v>0.05</v>
      </c>
      <c r="O746" s="6">
        <v>0.05</v>
      </c>
      <c r="P746" s="6">
        <v>1</v>
      </c>
      <c r="Q746" s="4" t="s">
        <v>26</v>
      </c>
      <c r="R746" s="4">
        <v>0</v>
      </c>
      <c r="S746" s="6">
        <v>0</v>
      </c>
      <c r="T746" s="6">
        <v>46</v>
      </c>
      <c r="U746" s="6">
        <v>111</v>
      </c>
      <c r="V746" s="6">
        <f>IF(ISERROR(VLOOKUP($S$746,'TAR FIN'!$A$1:$O$113,15,0)),0,VLOOKUP($S$746,'TAR FIN'!$A$1:$O$113,15,0))</f>
        <v>0</v>
      </c>
      <c r="W746" s="6">
        <f>IF(ISERROR(VLOOKUP($T$746,'TAR FIN'!$A$1:$O$113,15,0)),0,VLOOKUP($T$746,'TAR FIN'!$A$1:$O$113,15,0))</f>
        <v>300.3</v>
      </c>
      <c r="X746" s="6">
        <f>IF(ISERROR(VLOOKUP($U$746,'TAR FIN'!$A$1:$O$113,15,0)),0,VLOOKUP($U$746,'TAR FIN'!$A$1:$O$113,15,0))</f>
        <v>292.36</v>
      </c>
      <c r="Y746" s="6"/>
      <c r="Z746" s="6">
        <f ca="1">('TUSD BE'!$AM$40+'TUSD BF_350'!$AM$40+'TUSD CVA'!$AM$40)*1</f>
        <v>409.13</v>
      </c>
      <c r="AA746" s="6">
        <f ca="1">('TE BE'!$AB$18+'TE BF_350'!$AB$18+'TE CVA'!$AB$18)*1</f>
        <v>244</v>
      </c>
      <c r="AB746" s="6">
        <f>$K$746*$V$746</f>
        <v>0</v>
      </c>
      <c r="AC746" s="6">
        <f>$M$746*$W$746</f>
        <v>15.015000000000001</v>
      </c>
      <c r="AD746" s="6">
        <f>$O$746*$X$746</f>
        <v>14.618000000000002</v>
      </c>
      <c r="AE746" s="6">
        <f>$K$746*$Y$746</f>
        <v>0</v>
      </c>
      <c r="AF746" s="6">
        <f ca="1">$M$746*$Z$746</f>
        <v>20.456500000000002</v>
      </c>
      <c r="AG746" s="6">
        <f ca="1">$O$746*$AA$746</f>
        <v>12.200000000000001</v>
      </c>
    </row>
    <row r="747" spans="1:33" ht="11.25" customHeight="1" x14ac:dyDescent="0.3">
      <c r="A747" s="4" t="s">
        <v>21</v>
      </c>
      <c r="B747" s="4" t="s">
        <v>22</v>
      </c>
      <c r="C747" s="4" t="s">
        <v>23</v>
      </c>
      <c r="D747" s="4" t="s">
        <v>24</v>
      </c>
      <c r="E747" s="4" t="s">
        <v>24</v>
      </c>
      <c r="F747" s="4" t="s">
        <v>25</v>
      </c>
      <c r="G747" s="4" t="s">
        <v>25</v>
      </c>
      <c r="H747" s="4" t="s">
        <v>25</v>
      </c>
      <c r="I747" s="5">
        <v>44713</v>
      </c>
      <c r="J747" s="6">
        <v>0</v>
      </c>
      <c r="K747" s="6">
        <v>0</v>
      </c>
      <c r="L747" s="6">
        <v>10322.447</v>
      </c>
      <c r="M747" s="6">
        <v>10322.447</v>
      </c>
      <c r="N747" s="6">
        <v>10322.447</v>
      </c>
      <c r="O747" s="6">
        <v>10322.447</v>
      </c>
      <c r="P747" s="6">
        <v>68914</v>
      </c>
      <c r="Q747" s="4" t="s">
        <v>26</v>
      </c>
      <c r="R747" s="4">
        <v>0</v>
      </c>
      <c r="S747" s="6">
        <v>0</v>
      </c>
      <c r="T747" s="6">
        <v>46</v>
      </c>
      <c r="U747" s="6">
        <v>111</v>
      </c>
      <c r="V747" s="6">
        <f>IF(ISERROR(VLOOKUP($S$747,'TAR FIN'!$A$1:$O$113,15,0)),0,VLOOKUP($S$747,'TAR FIN'!$A$1:$O$113,15,0))</f>
        <v>0</v>
      </c>
      <c r="W747" s="6">
        <f>IF(ISERROR(VLOOKUP($T$747,'TAR FIN'!$A$1:$O$113,15,0)),0,VLOOKUP($T$747,'TAR FIN'!$A$1:$O$113,15,0))</f>
        <v>300.3</v>
      </c>
      <c r="X747" s="6">
        <f>IF(ISERROR(VLOOKUP($U$747,'TAR FIN'!$A$1:$O$113,15,0)),0,VLOOKUP($U$747,'TAR FIN'!$A$1:$O$113,15,0))</f>
        <v>292.36</v>
      </c>
      <c r="Y747" s="6"/>
      <c r="Z747" s="6">
        <f ca="1">('TUSD BE'!$AM$40+'TUSD BF_350'!$AM$40+'TUSD CVA'!$AM$40)*1</f>
        <v>409.13</v>
      </c>
      <c r="AA747" s="6">
        <f ca="1">('TE BE'!$AB$18+'TE BF_350'!$AB$18+'TE CVA'!$AB$18)*1</f>
        <v>244</v>
      </c>
      <c r="AB747" s="6">
        <f>$K$747*$V$747</f>
        <v>0</v>
      </c>
      <c r="AC747" s="6">
        <f>$M$747*$W$747</f>
        <v>3099830.8341000001</v>
      </c>
      <c r="AD747" s="6">
        <f>$O$747*$X$747</f>
        <v>3017870.6049200003</v>
      </c>
      <c r="AE747" s="6">
        <f>$K$747*$Y$747</f>
        <v>0</v>
      </c>
      <c r="AF747" s="6">
        <f ca="1">$M$747*$Z$747</f>
        <v>4223222.7411099998</v>
      </c>
      <c r="AG747" s="6">
        <f ca="1">$O$747*$AA$747</f>
        <v>2518677.068</v>
      </c>
    </row>
    <row r="748" spans="1:33" ht="11.25" customHeight="1" x14ac:dyDescent="0.3">
      <c r="A748" s="4" t="s">
        <v>27</v>
      </c>
      <c r="B748" s="4" t="s">
        <v>22</v>
      </c>
      <c r="C748" s="4" t="s">
        <v>23</v>
      </c>
      <c r="D748" s="4" t="s">
        <v>24</v>
      </c>
      <c r="E748" s="4" t="s">
        <v>24</v>
      </c>
      <c r="F748" s="4" t="s">
        <v>25</v>
      </c>
      <c r="G748" s="4" t="s">
        <v>25</v>
      </c>
      <c r="H748" s="4" t="s">
        <v>25</v>
      </c>
      <c r="I748" s="5">
        <v>44713</v>
      </c>
      <c r="J748" s="6">
        <v>0</v>
      </c>
      <c r="K748" s="6">
        <v>0</v>
      </c>
      <c r="L748" s="6">
        <v>-6.7450000000000001</v>
      </c>
      <c r="M748" s="6">
        <v>-6.7450000000000001</v>
      </c>
      <c r="N748" s="6">
        <v>-6.7450000000000001</v>
      </c>
      <c r="O748" s="6">
        <v>-6.7450000000000001</v>
      </c>
      <c r="P748" s="6">
        <v>0</v>
      </c>
      <c r="Q748" s="4" t="s">
        <v>26</v>
      </c>
      <c r="R748" s="4">
        <v>0</v>
      </c>
      <c r="S748" s="6">
        <v>0</v>
      </c>
      <c r="T748" s="6">
        <v>46</v>
      </c>
      <c r="U748" s="6">
        <v>111</v>
      </c>
      <c r="V748" s="6">
        <f>IF(ISERROR(VLOOKUP($S$748,'TAR FIN'!$A$1:$O$113,15,0)),0,VLOOKUP($S$748,'TAR FIN'!$A$1:$O$113,15,0))</f>
        <v>0</v>
      </c>
      <c r="W748" s="6">
        <f>IF(ISERROR(VLOOKUP($T$748,'TAR FIN'!$A$1:$O$113,15,0)),0,VLOOKUP($T$748,'TAR FIN'!$A$1:$O$113,15,0))</f>
        <v>300.3</v>
      </c>
      <c r="X748" s="6">
        <f>IF(ISERROR(VLOOKUP($U$748,'TAR FIN'!$A$1:$O$113,15,0)),0,VLOOKUP($U$748,'TAR FIN'!$A$1:$O$113,15,0))</f>
        <v>292.36</v>
      </c>
      <c r="Y748" s="6"/>
      <c r="Z748" s="6">
        <f ca="1">('TUSD BE'!$AM$40+'TUSD BF_350'!$AM$40+'TUSD CVA'!$AM$40)*1</f>
        <v>409.13</v>
      </c>
      <c r="AA748" s="6">
        <f ca="1">('TE BE'!$AB$18+'TE BF_350'!$AB$18+'TE CVA'!$AB$18)*1</f>
        <v>244</v>
      </c>
      <c r="AB748" s="6">
        <f>$K$748*$V$748</f>
        <v>0</v>
      </c>
      <c r="AC748" s="6">
        <f>$M$748*$W$748</f>
        <v>-2025.5235</v>
      </c>
      <c r="AD748" s="6">
        <f>$O$748*$X$748</f>
        <v>-1971.9682</v>
      </c>
      <c r="AE748" s="6">
        <f>$K$748*$Y$748</f>
        <v>0</v>
      </c>
      <c r="AF748" s="6">
        <f ca="1">$M$748*$Z$748</f>
        <v>-2759.58185</v>
      </c>
      <c r="AG748" s="6">
        <f ca="1">$O$748*$AA$748</f>
        <v>-1645.78</v>
      </c>
    </row>
    <row r="749" spans="1:33" ht="11.25" customHeight="1" x14ac:dyDescent="0.3">
      <c r="A749" s="4" t="s">
        <v>28</v>
      </c>
      <c r="B749" s="4" t="s">
        <v>22</v>
      </c>
      <c r="C749" s="4" t="s">
        <v>23</v>
      </c>
      <c r="D749" s="4" t="s">
        <v>24</v>
      </c>
      <c r="E749" s="4" t="s">
        <v>24</v>
      </c>
      <c r="F749" s="4" t="s">
        <v>25</v>
      </c>
      <c r="G749" s="4" t="s">
        <v>25</v>
      </c>
      <c r="H749" s="4" t="s">
        <v>25</v>
      </c>
      <c r="I749" s="5">
        <v>44713</v>
      </c>
      <c r="J749" s="6">
        <v>0</v>
      </c>
      <c r="K749" s="6">
        <v>0</v>
      </c>
      <c r="L749" s="6">
        <v>111.227</v>
      </c>
      <c r="M749" s="6">
        <v>111.227</v>
      </c>
      <c r="N749" s="6">
        <v>111.227</v>
      </c>
      <c r="O749" s="6">
        <v>111.227</v>
      </c>
      <c r="P749" s="6">
        <v>717</v>
      </c>
      <c r="Q749" s="4" t="s">
        <v>26</v>
      </c>
      <c r="R749" s="4">
        <v>0</v>
      </c>
      <c r="S749" s="6">
        <v>0</v>
      </c>
      <c r="T749" s="6">
        <v>46</v>
      </c>
      <c r="U749" s="6">
        <v>111</v>
      </c>
      <c r="V749" s="6">
        <f>IF(ISERROR(VLOOKUP($S$749,'TAR FIN'!$A$1:$O$113,15,0)),0,VLOOKUP($S$749,'TAR FIN'!$A$1:$O$113,15,0))</f>
        <v>0</v>
      </c>
      <c r="W749" s="6">
        <f>IF(ISERROR(VLOOKUP($T$749,'TAR FIN'!$A$1:$O$113,15,0)),0,VLOOKUP($T$749,'TAR FIN'!$A$1:$O$113,15,0))</f>
        <v>300.3</v>
      </c>
      <c r="X749" s="6">
        <f>IF(ISERROR(VLOOKUP($U$749,'TAR FIN'!$A$1:$O$113,15,0)),0,VLOOKUP($U$749,'TAR FIN'!$A$1:$O$113,15,0))</f>
        <v>292.36</v>
      </c>
      <c r="Y749" s="6"/>
      <c r="Z749" s="6">
        <f ca="1">('TUSD BE'!$AM$40+'TUSD BF_350'!$AM$40+'TUSD CVA'!$AM$40)*1</f>
        <v>409.13</v>
      </c>
      <c r="AA749" s="6">
        <f ca="1">('TE BE'!$AB$18+'TE BF_350'!$AB$18+'TE CVA'!$AB$18)*1</f>
        <v>244</v>
      </c>
      <c r="AB749" s="6">
        <f>$K$749*$V$749</f>
        <v>0</v>
      </c>
      <c r="AC749" s="6">
        <f>$M$749*$W$749</f>
        <v>33401.468100000006</v>
      </c>
      <c r="AD749" s="6">
        <f>$O$749*$X$749</f>
        <v>32518.325720000004</v>
      </c>
      <c r="AE749" s="6">
        <f>$K$749*$Y$749</f>
        <v>0</v>
      </c>
      <c r="AF749" s="6">
        <f ca="1">$M$749*$Z$749</f>
        <v>45506.302510000001</v>
      </c>
      <c r="AG749" s="6">
        <f ca="1">$O$749*$AA$749</f>
        <v>27139.388000000003</v>
      </c>
    </row>
    <row r="750" spans="1:33" ht="11.25" customHeight="1" x14ac:dyDescent="0.3">
      <c r="A750" s="4" t="s">
        <v>28</v>
      </c>
      <c r="B750" s="4" t="s">
        <v>22</v>
      </c>
      <c r="C750" s="4" t="s">
        <v>23</v>
      </c>
      <c r="D750" s="4" t="s">
        <v>24</v>
      </c>
      <c r="E750" s="4" t="s">
        <v>24</v>
      </c>
      <c r="F750" s="4" t="s">
        <v>25</v>
      </c>
      <c r="G750" s="4" t="s">
        <v>25</v>
      </c>
      <c r="H750" s="4" t="s">
        <v>25</v>
      </c>
      <c r="I750" s="5">
        <v>44713</v>
      </c>
      <c r="J750" s="6">
        <v>0</v>
      </c>
      <c r="K750" s="6">
        <v>0</v>
      </c>
      <c r="L750" s="6">
        <v>0.17799999999999999</v>
      </c>
      <c r="M750" s="6">
        <v>0.17799999999999999</v>
      </c>
      <c r="N750" s="6">
        <v>0.17799999999999999</v>
      </c>
      <c r="O750" s="6">
        <v>0.17799999999999999</v>
      </c>
      <c r="P750" s="6">
        <v>1</v>
      </c>
      <c r="Q750" s="4" t="s">
        <v>26</v>
      </c>
      <c r="R750" s="4">
        <v>0</v>
      </c>
      <c r="S750" s="6">
        <v>0</v>
      </c>
      <c r="T750" s="6">
        <v>46</v>
      </c>
      <c r="U750" s="6">
        <v>111</v>
      </c>
      <c r="V750" s="6">
        <f>IF(ISERROR(VLOOKUP($S$750,'TAR FIN'!$A$1:$O$113,15,0)),0,VLOOKUP($S$750,'TAR FIN'!$A$1:$O$113,15,0))</f>
        <v>0</v>
      </c>
      <c r="W750" s="6">
        <f>IF(ISERROR(VLOOKUP($T$750,'TAR FIN'!$A$1:$O$113,15,0)),0,VLOOKUP($T$750,'TAR FIN'!$A$1:$O$113,15,0))</f>
        <v>300.3</v>
      </c>
      <c r="X750" s="6">
        <f>IF(ISERROR(VLOOKUP($U$750,'TAR FIN'!$A$1:$O$113,15,0)),0,VLOOKUP($U$750,'TAR FIN'!$A$1:$O$113,15,0))</f>
        <v>292.36</v>
      </c>
      <c r="Y750" s="6"/>
      <c r="Z750" s="6">
        <f ca="1">('TUSD BE'!$AM$40+'TUSD BF_350'!$AM$40+'TUSD CVA'!$AM$40)*1</f>
        <v>409.13</v>
      </c>
      <c r="AA750" s="6">
        <f ca="1">('TE BE'!$AB$18+'TE BF_350'!$AB$18+'TE CVA'!$AB$18)*1</f>
        <v>244</v>
      </c>
      <c r="AB750" s="6">
        <f>$K$750*$V$750</f>
        <v>0</v>
      </c>
      <c r="AC750" s="6">
        <f>$M$750*$W$750</f>
        <v>53.453400000000002</v>
      </c>
      <c r="AD750" s="6">
        <f>$O$750*$X$750</f>
        <v>52.040080000000003</v>
      </c>
      <c r="AE750" s="6">
        <f>$K$750*$Y$750</f>
        <v>0</v>
      </c>
      <c r="AF750" s="6">
        <f ca="1">$M$750*$Z$750</f>
        <v>72.82513999999999</v>
      </c>
      <c r="AG750" s="6">
        <f ca="1">$O$750*$AA$750</f>
        <v>43.431999999999995</v>
      </c>
    </row>
    <row r="751" spans="1:33" ht="11.25" customHeight="1" x14ac:dyDescent="0.3">
      <c r="A751" s="4" t="s">
        <v>21</v>
      </c>
      <c r="B751" s="4" t="s">
        <v>22</v>
      </c>
      <c r="C751" s="4" t="s">
        <v>23</v>
      </c>
      <c r="D751" s="4" t="s">
        <v>24</v>
      </c>
      <c r="E751" s="4" t="s">
        <v>24</v>
      </c>
      <c r="F751" s="4" t="s">
        <v>25</v>
      </c>
      <c r="G751" s="4" t="s">
        <v>25</v>
      </c>
      <c r="H751" s="4" t="s">
        <v>25</v>
      </c>
      <c r="I751" s="5">
        <v>44743</v>
      </c>
      <c r="J751" s="6">
        <v>0</v>
      </c>
      <c r="K751" s="6">
        <v>0</v>
      </c>
      <c r="L751" s="6">
        <v>10725.651</v>
      </c>
      <c r="M751" s="6">
        <v>10725.651</v>
      </c>
      <c r="N751" s="6">
        <v>10725.651</v>
      </c>
      <c r="O751" s="6">
        <v>10725.651</v>
      </c>
      <c r="P751" s="6">
        <v>69330</v>
      </c>
      <c r="Q751" s="4" t="s">
        <v>26</v>
      </c>
      <c r="R751" s="4">
        <v>0</v>
      </c>
      <c r="S751" s="6">
        <v>0</v>
      </c>
      <c r="T751" s="6">
        <v>46</v>
      </c>
      <c r="U751" s="6">
        <v>111</v>
      </c>
      <c r="V751" s="6">
        <f>IF(ISERROR(VLOOKUP($S$751,'TAR FIN'!$A$1:$O$113,15,0)),0,VLOOKUP($S$751,'TAR FIN'!$A$1:$O$113,15,0))</f>
        <v>0</v>
      </c>
      <c r="W751" s="6">
        <f>IF(ISERROR(VLOOKUP($T$751,'TAR FIN'!$A$1:$O$113,15,0)),0,VLOOKUP($T$751,'TAR FIN'!$A$1:$O$113,15,0))</f>
        <v>300.3</v>
      </c>
      <c r="X751" s="6">
        <f>IF(ISERROR(VLOOKUP($U$751,'TAR FIN'!$A$1:$O$113,15,0)),0,VLOOKUP($U$751,'TAR FIN'!$A$1:$O$113,15,0))</f>
        <v>292.36</v>
      </c>
      <c r="Y751" s="6"/>
      <c r="Z751" s="6">
        <f ca="1">('TUSD BE'!$AM$40+'TUSD BF_350'!$AM$40+'TUSD CVA'!$AM$40)*1</f>
        <v>409.13</v>
      </c>
      <c r="AA751" s="6">
        <f ca="1">('TE BE'!$AB$18+'TE BF_350'!$AB$18+'TE CVA'!$AB$18)*1</f>
        <v>244</v>
      </c>
      <c r="AB751" s="6">
        <f>$K$751*$V$751</f>
        <v>0</v>
      </c>
      <c r="AC751" s="6">
        <f>$M$751*$W$751</f>
        <v>3220912.9953000001</v>
      </c>
      <c r="AD751" s="6">
        <f>$O$751*$X$751</f>
        <v>3135751.3263600003</v>
      </c>
      <c r="AE751" s="6">
        <f>$K$751*$Y$751</f>
        <v>0</v>
      </c>
      <c r="AF751" s="6">
        <f ca="1">$M$751*$Z$751</f>
        <v>4388185.59363</v>
      </c>
      <c r="AG751" s="6">
        <f ca="1">$O$751*$AA$751</f>
        <v>2617058.844</v>
      </c>
    </row>
    <row r="752" spans="1:33" ht="11.25" customHeight="1" x14ac:dyDescent="0.3">
      <c r="A752" s="4" t="s">
        <v>21</v>
      </c>
      <c r="B752" s="4" t="s">
        <v>22</v>
      </c>
      <c r="C752" s="4" t="s">
        <v>23</v>
      </c>
      <c r="D752" s="4" t="s">
        <v>24</v>
      </c>
      <c r="E752" s="4" t="s">
        <v>24</v>
      </c>
      <c r="F752" s="4" t="s">
        <v>25</v>
      </c>
      <c r="G752" s="4" t="s">
        <v>25</v>
      </c>
      <c r="H752" s="4" t="s">
        <v>25</v>
      </c>
      <c r="I752" s="5">
        <v>44774</v>
      </c>
      <c r="J752" s="6">
        <v>0</v>
      </c>
      <c r="K752" s="6">
        <v>0</v>
      </c>
      <c r="L752" s="6">
        <v>10090.436</v>
      </c>
      <c r="M752" s="6">
        <v>10090.436</v>
      </c>
      <c r="N752" s="6">
        <v>10090.436</v>
      </c>
      <c r="O752" s="6">
        <v>10090.436</v>
      </c>
      <c r="P752" s="6">
        <v>69121</v>
      </c>
      <c r="Q752" s="4" t="s">
        <v>26</v>
      </c>
      <c r="R752" s="4">
        <v>0</v>
      </c>
      <c r="S752" s="6">
        <v>0</v>
      </c>
      <c r="T752" s="6">
        <v>46</v>
      </c>
      <c r="U752" s="6">
        <v>111</v>
      </c>
      <c r="V752" s="6">
        <f>IF(ISERROR(VLOOKUP($S$752,'TAR FIN'!$A$1:$O$113,15,0)),0,VLOOKUP($S$752,'TAR FIN'!$A$1:$O$113,15,0))</f>
        <v>0</v>
      </c>
      <c r="W752" s="6">
        <f>IF(ISERROR(VLOOKUP($T$752,'TAR FIN'!$A$1:$O$113,15,0)),0,VLOOKUP($T$752,'TAR FIN'!$A$1:$O$113,15,0))</f>
        <v>300.3</v>
      </c>
      <c r="X752" s="6">
        <f>IF(ISERROR(VLOOKUP($U$752,'TAR FIN'!$A$1:$O$113,15,0)),0,VLOOKUP($U$752,'TAR FIN'!$A$1:$O$113,15,0))</f>
        <v>292.36</v>
      </c>
      <c r="Y752" s="6"/>
      <c r="Z752" s="6">
        <f ca="1">('TUSD BE'!$AM$40+'TUSD BF_350'!$AM$40+'TUSD CVA'!$AM$40)*1</f>
        <v>409.13</v>
      </c>
      <c r="AA752" s="6">
        <f ca="1">('TE BE'!$AB$18+'TE BF_350'!$AB$18+'TE CVA'!$AB$18)*1</f>
        <v>244</v>
      </c>
      <c r="AB752" s="6">
        <f>$K$752*$V$752</f>
        <v>0</v>
      </c>
      <c r="AC752" s="6">
        <f>$M$752*$W$752</f>
        <v>3030157.9308000002</v>
      </c>
      <c r="AD752" s="6">
        <f>$O$752*$X$752</f>
        <v>2950039.8689600001</v>
      </c>
      <c r="AE752" s="6">
        <f>$K$752*$Y$752</f>
        <v>0</v>
      </c>
      <c r="AF752" s="6">
        <f ca="1">$M$752*$Z$752</f>
        <v>4128300.0806799997</v>
      </c>
      <c r="AG752" s="6">
        <f ca="1">$O$752*$AA$752</f>
        <v>2462066.3840000001</v>
      </c>
    </row>
    <row r="753" spans="1:33" ht="11.25" customHeight="1" x14ac:dyDescent="0.3">
      <c r="A753" s="4" t="s">
        <v>27</v>
      </c>
      <c r="B753" s="4" t="s">
        <v>22</v>
      </c>
      <c r="C753" s="4" t="s">
        <v>23</v>
      </c>
      <c r="D753" s="4" t="s">
        <v>24</v>
      </c>
      <c r="E753" s="4" t="s">
        <v>24</v>
      </c>
      <c r="F753" s="4" t="s">
        <v>25</v>
      </c>
      <c r="G753" s="4" t="s">
        <v>25</v>
      </c>
      <c r="H753" s="4" t="s">
        <v>25</v>
      </c>
      <c r="I753" s="5">
        <v>44774</v>
      </c>
      <c r="J753" s="6">
        <v>0</v>
      </c>
      <c r="K753" s="6">
        <v>0</v>
      </c>
      <c r="L753" s="6">
        <v>-6.5289999999999999</v>
      </c>
      <c r="M753" s="6">
        <v>-6.5289999999999999</v>
      </c>
      <c r="N753" s="6">
        <v>-6.5289999999999999</v>
      </c>
      <c r="O753" s="6">
        <v>-6.5289999999999999</v>
      </c>
      <c r="P753" s="6">
        <v>0</v>
      </c>
      <c r="Q753" s="4" t="s">
        <v>26</v>
      </c>
      <c r="R753" s="4">
        <v>0</v>
      </c>
      <c r="S753" s="6">
        <v>0</v>
      </c>
      <c r="T753" s="6">
        <v>46</v>
      </c>
      <c r="U753" s="6">
        <v>111</v>
      </c>
      <c r="V753" s="6">
        <f>IF(ISERROR(VLOOKUP($S$753,'TAR FIN'!$A$1:$O$113,15,0)),0,VLOOKUP($S$753,'TAR FIN'!$A$1:$O$113,15,0))</f>
        <v>0</v>
      </c>
      <c r="W753" s="6">
        <f>IF(ISERROR(VLOOKUP($T$753,'TAR FIN'!$A$1:$O$113,15,0)),0,VLOOKUP($T$753,'TAR FIN'!$A$1:$O$113,15,0))</f>
        <v>300.3</v>
      </c>
      <c r="X753" s="6">
        <f>IF(ISERROR(VLOOKUP($U$753,'TAR FIN'!$A$1:$O$113,15,0)),0,VLOOKUP($U$753,'TAR FIN'!$A$1:$O$113,15,0))</f>
        <v>292.36</v>
      </c>
      <c r="Y753" s="6"/>
      <c r="Z753" s="6">
        <f ca="1">('TUSD BE'!$AM$40+'TUSD BF_350'!$AM$40+'TUSD CVA'!$AM$40)*1</f>
        <v>409.13</v>
      </c>
      <c r="AA753" s="6">
        <f ca="1">('TE BE'!$AB$18+'TE BF_350'!$AB$18+'TE CVA'!$AB$18)*1</f>
        <v>244</v>
      </c>
      <c r="AB753" s="6">
        <f>$K$753*$V$753</f>
        <v>0</v>
      </c>
      <c r="AC753" s="6">
        <f>$M$753*$W$753</f>
        <v>-1960.6587</v>
      </c>
      <c r="AD753" s="6">
        <f>$O$753*$X$753</f>
        <v>-1908.81844</v>
      </c>
      <c r="AE753" s="6">
        <f>$K$753*$Y$753</f>
        <v>0</v>
      </c>
      <c r="AF753" s="6">
        <f ca="1">$M$753*$Z$753</f>
        <v>-2671.2097699999999</v>
      </c>
      <c r="AG753" s="6">
        <f ca="1">$O$753*$AA$753</f>
        <v>-1593.076</v>
      </c>
    </row>
    <row r="754" spans="1:33" ht="11.25" customHeight="1" x14ac:dyDescent="0.3">
      <c r="A754" s="4" t="s">
        <v>28</v>
      </c>
      <c r="B754" s="4" t="s">
        <v>22</v>
      </c>
      <c r="C754" s="4" t="s">
        <v>23</v>
      </c>
      <c r="D754" s="4" t="s">
        <v>24</v>
      </c>
      <c r="E754" s="4" t="s">
        <v>24</v>
      </c>
      <c r="F754" s="4" t="s">
        <v>25</v>
      </c>
      <c r="G754" s="4" t="s">
        <v>25</v>
      </c>
      <c r="H754" s="4" t="s">
        <v>25</v>
      </c>
      <c r="I754" s="5">
        <v>44774</v>
      </c>
      <c r="J754" s="6">
        <v>0</v>
      </c>
      <c r="K754" s="6">
        <v>0</v>
      </c>
      <c r="L754" s="6">
        <v>102.729</v>
      </c>
      <c r="M754" s="6">
        <v>102.729</v>
      </c>
      <c r="N754" s="6">
        <v>102.729</v>
      </c>
      <c r="O754" s="6">
        <v>102.729</v>
      </c>
      <c r="P754" s="6">
        <v>809</v>
      </c>
      <c r="Q754" s="4" t="s">
        <v>26</v>
      </c>
      <c r="R754" s="4">
        <v>0</v>
      </c>
      <c r="S754" s="6">
        <v>0</v>
      </c>
      <c r="T754" s="6">
        <v>46</v>
      </c>
      <c r="U754" s="6">
        <v>111</v>
      </c>
      <c r="V754" s="6">
        <f>IF(ISERROR(VLOOKUP($S$754,'TAR FIN'!$A$1:$O$113,15,0)),0,VLOOKUP($S$754,'TAR FIN'!$A$1:$O$113,15,0))</f>
        <v>0</v>
      </c>
      <c r="W754" s="6">
        <f>IF(ISERROR(VLOOKUP($T$754,'TAR FIN'!$A$1:$O$113,15,0)),0,VLOOKUP($T$754,'TAR FIN'!$A$1:$O$113,15,0))</f>
        <v>300.3</v>
      </c>
      <c r="X754" s="6">
        <f>IF(ISERROR(VLOOKUP($U$754,'TAR FIN'!$A$1:$O$113,15,0)),0,VLOOKUP($U$754,'TAR FIN'!$A$1:$O$113,15,0))</f>
        <v>292.36</v>
      </c>
      <c r="Y754" s="6"/>
      <c r="Z754" s="6">
        <f ca="1">('TUSD BE'!$AM$40+'TUSD BF_350'!$AM$40+'TUSD CVA'!$AM$40)*1</f>
        <v>409.13</v>
      </c>
      <c r="AA754" s="6">
        <f ca="1">('TE BE'!$AB$18+'TE BF_350'!$AB$18+'TE CVA'!$AB$18)*1</f>
        <v>244</v>
      </c>
      <c r="AB754" s="6">
        <f>$K$754*$V$754</f>
        <v>0</v>
      </c>
      <c r="AC754" s="6">
        <f>$M$754*$W$754</f>
        <v>30849.518700000001</v>
      </c>
      <c r="AD754" s="6">
        <f>$O$754*$X$754</f>
        <v>30033.850440000002</v>
      </c>
      <c r="AE754" s="6">
        <f>$K$754*$Y$754</f>
        <v>0</v>
      </c>
      <c r="AF754" s="6">
        <f ca="1">$M$754*$Z$754</f>
        <v>42029.515769999998</v>
      </c>
      <c r="AG754" s="6">
        <f ca="1">$O$754*$AA$754</f>
        <v>25065.876</v>
      </c>
    </row>
    <row r="755" spans="1:33" ht="11.25" customHeight="1" x14ac:dyDescent="0.3">
      <c r="A755" s="4" t="s">
        <v>28</v>
      </c>
      <c r="B755" s="4" t="s">
        <v>22</v>
      </c>
      <c r="C755" s="4" t="s">
        <v>23</v>
      </c>
      <c r="D755" s="4" t="s">
        <v>24</v>
      </c>
      <c r="E755" s="4" t="s">
        <v>24</v>
      </c>
      <c r="F755" s="4" t="s">
        <v>25</v>
      </c>
      <c r="G755" s="4" t="s">
        <v>25</v>
      </c>
      <c r="H755" s="4" t="s">
        <v>25</v>
      </c>
      <c r="I755" s="5">
        <v>44774</v>
      </c>
      <c r="J755" s="6">
        <v>0</v>
      </c>
      <c r="K755" s="6">
        <v>0</v>
      </c>
      <c r="L755" s="6">
        <v>-9.1999999999999998E-2</v>
      </c>
      <c r="M755" s="6">
        <v>-9.1999999999999998E-2</v>
      </c>
      <c r="N755" s="6">
        <v>-9.1999999999999998E-2</v>
      </c>
      <c r="O755" s="6">
        <v>-9.1999999999999998E-2</v>
      </c>
      <c r="P755" s="6">
        <v>4</v>
      </c>
      <c r="Q755" s="4" t="s">
        <v>26</v>
      </c>
      <c r="R755" s="4">
        <v>0</v>
      </c>
      <c r="S755" s="6">
        <v>0</v>
      </c>
      <c r="T755" s="6">
        <v>46</v>
      </c>
      <c r="U755" s="6">
        <v>111</v>
      </c>
      <c r="V755" s="6">
        <f>IF(ISERROR(VLOOKUP($S$755,'TAR FIN'!$A$1:$O$113,15,0)),0,VLOOKUP($S$755,'TAR FIN'!$A$1:$O$113,15,0))</f>
        <v>0</v>
      </c>
      <c r="W755" s="6">
        <f>IF(ISERROR(VLOOKUP($T$755,'TAR FIN'!$A$1:$O$113,15,0)),0,VLOOKUP($T$755,'TAR FIN'!$A$1:$O$113,15,0))</f>
        <v>300.3</v>
      </c>
      <c r="X755" s="6">
        <f>IF(ISERROR(VLOOKUP($U$755,'TAR FIN'!$A$1:$O$113,15,0)),0,VLOOKUP($U$755,'TAR FIN'!$A$1:$O$113,15,0))</f>
        <v>292.36</v>
      </c>
      <c r="Y755" s="6"/>
      <c r="Z755" s="6">
        <f ca="1">('TUSD BE'!$AM$40+'TUSD BF_350'!$AM$40+'TUSD CVA'!$AM$40)*1</f>
        <v>409.13</v>
      </c>
      <c r="AA755" s="6">
        <f ca="1">('TE BE'!$AB$18+'TE BF_350'!$AB$18+'TE CVA'!$AB$18)*1</f>
        <v>244</v>
      </c>
      <c r="AB755" s="6">
        <f>$K$755*$V$755</f>
        <v>0</v>
      </c>
      <c r="AC755" s="6">
        <f>$M$755*$W$755</f>
        <v>-27.627600000000001</v>
      </c>
      <c r="AD755" s="6">
        <f>$O$755*$X$755</f>
        <v>-26.897120000000001</v>
      </c>
      <c r="AE755" s="6">
        <f>$K$755*$Y$755</f>
        <v>0</v>
      </c>
      <c r="AF755" s="6">
        <f ca="1">$M$755*$Z$755</f>
        <v>-37.639960000000002</v>
      </c>
      <c r="AG755" s="6">
        <f ca="1">$O$755*$AA$755</f>
        <v>-22.448</v>
      </c>
    </row>
    <row r="756" spans="1:33" ht="11.25" customHeight="1" x14ac:dyDescent="0.3">
      <c r="A756" s="4" t="s">
        <v>21</v>
      </c>
      <c r="B756" s="4" t="s">
        <v>22</v>
      </c>
      <c r="C756" s="4" t="s">
        <v>23</v>
      </c>
      <c r="D756" s="4" t="s">
        <v>24</v>
      </c>
      <c r="E756" s="4" t="s">
        <v>24</v>
      </c>
      <c r="F756" s="4" t="s">
        <v>25</v>
      </c>
      <c r="G756" s="4" t="s">
        <v>25</v>
      </c>
      <c r="H756" s="4" t="s">
        <v>25</v>
      </c>
      <c r="I756" s="5">
        <v>44805</v>
      </c>
      <c r="J756" s="6">
        <v>0</v>
      </c>
      <c r="K756" s="6">
        <v>0</v>
      </c>
      <c r="L756" s="6">
        <v>11077.602999999999</v>
      </c>
      <c r="M756" s="6">
        <v>11077.602999999999</v>
      </c>
      <c r="N756" s="6">
        <v>11077.602999999999</v>
      </c>
      <c r="O756" s="6">
        <v>11077.602999999999</v>
      </c>
      <c r="P756" s="6">
        <v>69259</v>
      </c>
      <c r="Q756" s="4" t="s">
        <v>26</v>
      </c>
      <c r="R756" s="4">
        <v>0</v>
      </c>
      <c r="S756" s="6">
        <v>0</v>
      </c>
      <c r="T756" s="6">
        <v>46</v>
      </c>
      <c r="U756" s="6">
        <v>111</v>
      </c>
      <c r="V756" s="6">
        <f>IF(ISERROR(VLOOKUP($S$756,'TAR FIN'!$A$1:$O$113,15,0)),0,VLOOKUP($S$756,'TAR FIN'!$A$1:$O$113,15,0))</f>
        <v>0</v>
      </c>
      <c r="W756" s="6">
        <f>IF(ISERROR(VLOOKUP($T$756,'TAR FIN'!$A$1:$O$113,15,0)),0,VLOOKUP($T$756,'TAR FIN'!$A$1:$O$113,15,0))</f>
        <v>300.3</v>
      </c>
      <c r="X756" s="6">
        <f>IF(ISERROR(VLOOKUP($U$756,'TAR FIN'!$A$1:$O$113,15,0)),0,VLOOKUP($U$756,'TAR FIN'!$A$1:$O$113,15,0))</f>
        <v>292.36</v>
      </c>
      <c r="Y756" s="6"/>
      <c r="Z756" s="6">
        <f ca="1">('TUSD BE'!$AM$40+'TUSD BF_350'!$AM$40+'TUSD CVA'!$AM$40)*1</f>
        <v>409.13</v>
      </c>
      <c r="AA756" s="6">
        <f ca="1">('TE BE'!$AB$18+'TE BF_350'!$AB$18+'TE CVA'!$AB$18)*1</f>
        <v>244</v>
      </c>
      <c r="AB756" s="6">
        <f>$K$756*$V$756</f>
        <v>0</v>
      </c>
      <c r="AC756" s="6">
        <f>$M$756*$W$756</f>
        <v>3326604.1809</v>
      </c>
      <c r="AD756" s="6">
        <f>$O$756*$X$756</f>
        <v>3238648.0130799999</v>
      </c>
      <c r="AE756" s="6">
        <f>$K$756*$Y$756</f>
        <v>0</v>
      </c>
      <c r="AF756" s="6">
        <f ca="1">$M$756*$Z$756</f>
        <v>4532179.7153899996</v>
      </c>
      <c r="AG756" s="6">
        <f ca="1">$O$756*$AA$756</f>
        <v>2702935.1319999998</v>
      </c>
    </row>
    <row r="757" spans="1:33" ht="11.25" customHeight="1" x14ac:dyDescent="0.3">
      <c r="A757" s="4" t="s">
        <v>27</v>
      </c>
      <c r="B757" s="4" t="s">
        <v>22</v>
      </c>
      <c r="C757" s="4" t="s">
        <v>23</v>
      </c>
      <c r="D757" s="4" t="s">
        <v>24</v>
      </c>
      <c r="E757" s="4" t="s">
        <v>24</v>
      </c>
      <c r="F757" s="4" t="s">
        <v>25</v>
      </c>
      <c r="G757" s="4" t="s">
        <v>25</v>
      </c>
      <c r="H757" s="4" t="s">
        <v>25</v>
      </c>
      <c r="I757" s="5">
        <v>44805</v>
      </c>
      <c r="J757" s="6">
        <v>0</v>
      </c>
      <c r="K757" s="6">
        <v>0</v>
      </c>
      <c r="L757" s="6">
        <v>-10.504</v>
      </c>
      <c r="M757" s="6">
        <v>-10.504</v>
      </c>
      <c r="N757" s="6">
        <v>-10.504</v>
      </c>
      <c r="O757" s="6">
        <v>-10.504</v>
      </c>
      <c r="P757" s="6">
        <v>0</v>
      </c>
      <c r="Q757" s="4" t="s">
        <v>26</v>
      </c>
      <c r="R757" s="4">
        <v>0</v>
      </c>
      <c r="S757" s="6">
        <v>0</v>
      </c>
      <c r="T757" s="6">
        <v>46</v>
      </c>
      <c r="U757" s="6">
        <v>111</v>
      </c>
      <c r="V757" s="6">
        <f>IF(ISERROR(VLOOKUP($S$757,'TAR FIN'!$A$1:$O$113,15,0)),0,VLOOKUP($S$757,'TAR FIN'!$A$1:$O$113,15,0))</f>
        <v>0</v>
      </c>
      <c r="W757" s="6">
        <f>IF(ISERROR(VLOOKUP($T$757,'TAR FIN'!$A$1:$O$113,15,0)),0,VLOOKUP($T$757,'TAR FIN'!$A$1:$O$113,15,0))</f>
        <v>300.3</v>
      </c>
      <c r="X757" s="6">
        <f>IF(ISERROR(VLOOKUP($U$757,'TAR FIN'!$A$1:$O$113,15,0)),0,VLOOKUP($U$757,'TAR FIN'!$A$1:$O$113,15,0))</f>
        <v>292.36</v>
      </c>
      <c r="Y757" s="6"/>
      <c r="Z757" s="6">
        <f ca="1">('TUSD BE'!$AM$40+'TUSD BF_350'!$AM$40+'TUSD CVA'!$AM$40)*1</f>
        <v>409.13</v>
      </c>
      <c r="AA757" s="6">
        <f ca="1">('TE BE'!$AB$18+'TE BF_350'!$AB$18+'TE CVA'!$AB$18)*1</f>
        <v>244</v>
      </c>
      <c r="AB757" s="6">
        <f>$K$757*$V$757</f>
        <v>0</v>
      </c>
      <c r="AC757" s="6">
        <f>$M$757*$W$757</f>
        <v>-3154.3512000000001</v>
      </c>
      <c r="AD757" s="6">
        <f>$O$757*$X$757</f>
        <v>-3070.9494399999999</v>
      </c>
      <c r="AE757" s="6">
        <f>$K$757*$Y$757</f>
        <v>0</v>
      </c>
      <c r="AF757" s="6">
        <f ca="1">$M$757*$Z$757</f>
        <v>-4297.5015199999998</v>
      </c>
      <c r="AG757" s="6">
        <f ca="1">$O$757*$AA$757</f>
        <v>-2562.9760000000001</v>
      </c>
    </row>
    <row r="758" spans="1:33" ht="11.25" customHeight="1" x14ac:dyDescent="0.3">
      <c r="A758" s="4" t="s">
        <v>28</v>
      </c>
      <c r="B758" s="4" t="s">
        <v>22</v>
      </c>
      <c r="C758" s="4" t="s">
        <v>23</v>
      </c>
      <c r="D758" s="4" t="s">
        <v>24</v>
      </c>
      <c r="E758" s="4" t="s">
        <v>24</v>
      </c>
      <c r="F758" s="4" t="s">
        <v>25</v>
      </c>
      <c r="G758" s="4" t="s">
        <v>25</v>
      </c>
      <c r="H758" s="4" t="s">
        <v>25</v>
      </c>
      <c r="I758" s="5">
        <v>44805</v>
      </c>
      <c r="J758" s="6">
        <v>0</v>
      </c>
      <c r="K758" s="6">
        <v>0</v>
      </c>
      <c r="L758" s="6">
        <v>115.226</v>
      </c>
      <c r="M758" s="6">
        <v>115.226</v>
      </c>
      <c r="N758" s="6">
        <v>115.226</v>
      </c>
      <c r="O758" s="6">
        <v>115.226</v>
      </c>
      <c r="P758" s="6">
        <v>873</v>
      </c>
      <c r="Q758" s="4" t="s">
        <v>26</v>
      </c>
      <c r="R758" s="4">
        <v>0</v>
      </c>
      <c r="S758" s="6">
        <v>0</v>
      </c>
      <c r="T758" s="6">
        <v>46</v>
      </c>
      <c r="U758" s="6">
        <v>111</v>
      </c>
      <c r="V758" s="6">
        <f>IF(ISERROR(VLOOKUP($S$758,'TAR FIN'!$A$1:$O$113,15,0)),0,VLOOKUP($S$758,'TAR FIN'!$A$1:$O$113,15,0))</f>
        <v>0</v>
      </c>
      <c r="W758" s="6">
        <f>IF(ISERROR(VLOOKUP($T$758,'TAR FIN'!$A$1:$O$113,15,0)),0,VLOOKUP($T$758,'TAR FIN'!$A$1:$O$113,15,0))</f>
        <v>300.3</v>
      </c>
      <c r="X758" s="6">
        <f>IF(ISERROR(VLOOKUP($U$758,'TAR FIN'!$A$1:$O$113,15,0)),0,VLOOKUP($U$758,'TAR FIN'!$A$1:$O$113,15,0))</f>
        <v>292.36</v>
      </c>
      <c r="Y758" s="6"/>
      <c r="Z758" s="6">
        <f ca="1">('TUSD BE'!$AM$40+'TUSD BF_350'!$AM$40+'TUSD CVA'!$AM$40)*1</f>
        <v>409.13</v>
      </c>
      <c r="AA758" s="6">
        <f ca="1">('TE BE'!$AB$18+'TE BF_350'!$AB$18+'TE CVA'!$AB$18)*1</f>
        <v>244</v>
      </c>
      <c r="AB758" s="6">
        <f>$K$758*$V$758</f>
        <v>0</v>
      </c>
      <c r="AC758" s="6">
        <f>$M$758*$W$758</f>
        <v>34602.3678</v>
      </c>
      <c r="AD758" s="6">
        <f>$O$758*$X$758</f>
        <v>33687.473360000004</v>
      </c>
      <c r="AE758" s="6">
        <f>$K$758*$Y$758</f>
        <v>0</v>
      </c>
      <c r="AF758" s="6">
        <f ca="1">$M$758*$Z$758</f>
        <v>47142.413379999998</v>
      </c>
      <c r="AG758" s="6">
        <f ca="1">$O$758*$AA$758</f>
        <v>28115.144</v>
      </c>
    </row>
    <row r="759" spans="1:33" ht="11.25" customHeight="1" x14ac:dyDescent="0.3">
      <c r="A759" s="4" t="s">
        <v>53</v>
      </c>
      <c r="B759" s="4" t="s">
        <v>22</v>
      </c>
      <c r="C759" s="4" t="s">
        <v>23</v>
      </c>
      <c r="D759" s="4" t="s">
        <v>24</v>
      </c>
      <c r="E759" s="4" t="s">
        <v>24</v>
      </c>
      <c r="F759" s="4" t="s">
        <v>25</v>
      </c>
      <c r="G759" s="4" t="s">
        <v>25</v>
      </c>
      <c r="H759" s="4" t="s">
        <v>25</v>
      </c>
      <c r="I759" s="5">
        <v>44835</v>
      </c>
      <c r="J759" s="6">
        <v>0</v>
      </c>
      <c r="K759" s="6">
        <v>0</v>
      </c>
      <c r="L759" s="6">
        <v>11077.602999999999</v>
      </c>
      <c r="M759" s="6">
        <v>11077.602999999999</v>
      </c>
      <c r="N759" s="6">
        <v>11077.602999999999</v>
      </c>
      <c r="O759" s="6">
        <v>11077.602999999999</v>
      </c>
      <c r="P759" s="6">
        <v>69259</v>
      </c>
      <c r="Q759" s="4" t="s">
        <v>26</v>
      </c>
      <c r="R759" s="4">
        <v>0</v>
      </c>
      <c r="S759" s="6">
        <v>0</v>
      </c>
      <c r="T759" s="6">
        <v>46</v>
      </c>
      <c r="U759" s="6">
        <v>111</v>
      </c>
      <c r="V759" s="6">
        <f>IF(ISERROR(VLOOKUP($S$759,'TAR FIN'!$A$1:$O$113,15,0)),0,VLOOKUP($S$759,'TAR FIN'!$A$1:$O$113,15,0))</f>
        <v>0</v>
      </c>
      <c r="W759" s="6">
        <f>IF(ISERROR(VLOOKUP($T$759,'TAR FIN'!$A$1:$O$113,15,0)),0,VLOOKUP($T$759,'TAR FIN'!$A$1:$O$113,15,0))</f>
        <v>300.3</v>
      </c>
      <c r="X759" s="6">
        <f>IF(ISERROR(VLOOKUP($U$759,'TAR FIN'!$A$1:$O$113,15,0)),0,VLOOKUP($U$759,'TAR FIN'!$A$1:$O$113,15,0))</f>
        <v>292.36</v>
      </c>
      <c r="Y759" s="6"/>
      <c r="Z759" s="6">
        <f ca="1">('TUSD BE'!$AM$40+'TUSD BF_350'!$AM$40+'TUSD CVA'!$AM$40)*1</f>
        <v>409.13</v>
      </c>
      <c r="AA759" s="6">
        <f ca="1">('TE BE'!$AB$18+'TE BF_350'!$AB$18+'TE CVA'!$AB$18)*1</f>
        <v>244</v>
      </c>
      <c r="AB759" s="6">
        <f>$K$759*$V$759</f>
        <v>0</v>
      </c>
      <c r="AC759" s="6">
        <f>$M$759*$W$759</f>
        <v>3326604.1809</v>
      </c>
      <c r="AD759" s="6">
        <f>$O$759*$X$759</f>
        <v>3238648.0130799999</v>
      </c>
      <c r="AE759" s="6">
        <f>$K$759*$Y$759</f>
        <v>0</v>
      </c>
      <c r="AF759" s="6">
        <f ca="1">$M$759*$Z$759</f>
        <v>4532179.7153899996</v>
      </c>
      <c r="AG759" s="6">
        <f ca="1">$O$759*$AA$759</f>
        <v>2702935.1319999998</v>
      </c>
    </row>
    <row r="760" spans="1:33" ht="11.25" customHeight="1" x14ac:dyDescent="0.3">
      <c r="A760" s="4" t="s">
        <v>53</v>
      </c>
      <c r="B760" s="4" t="s">
        <v>22</v>
      </c>
      <c r="C760" s="4" t="s">
        <v>23</v>
      </c>
      <c r="D760" s="4" t="s">
        <v>24</v>
      </c>
      <c r="E760" s="4" t="s">
        <v>24</v>
      </c>
      <c r="F760" s="4" t="s">
        <v>25</v>
      </c>
      <c r="G760" s="4" t="s">
        <v>25</v>
      </c>
      <c r="H760" s="4" t="s">
        <v>25</v>
      </c>
      <c r="I760" s="5">
        <v>44835</v>
      </c>
      <c r="J760" s="6">
        <v>0</v>
      </c>
      <c r="K760" s="6">
        <v>0</v>
      </c>
      <c r="L760" s="6">
        <v>-10.504</v>
      </c>
      <c r="M760" s="6">
        <v>-10.504</v>
      </c>
      <c r="N760" s="6">
        <v>-10.504</v>
      </c>
      <c r="O760" s="6">
        <v>-10.504</v>
      </c>
      <c r="P760" s="6">
        <v>0</v>
      </c>
      <c r="Q760" s="4" t="s">
        <v>26</v>
      </c>
      <c r="R760" s="4">
        <v>0</v>
      </c>
      <c r="S760" s="6">
        <v>0</v>
      </c>
      <c r="T760" s="6">
        <v>46</v>
      </c>
      <c r="U760" s="6">
        <v>111</v>
      </c>
      <c r="V760" s="6">
        <f>IF(ISERROR(VLOOKUP($S$760,'TAR FIN'!$A$1:$O$113,15,0)),0,VLOOKUP($S$760,'TAR FIN'!$A$1:$O$113,15,0))</f>
        <v>0</v>
      </c>
      <c r="W760" s="6">
        <f>IF(ISERROR(VLOOKUP($T$760,'TAR FIN'!$A$1:$O$113,15,0)),0,VLOOKUP($T$760,'TAR FIN'!$A$1:$O$113,15,0))</f>
        <v>300.3</v>
      </c>
      <c r="X760" s="6">
        <f>IF(ISERROR(VLOOKUP($U$760,'TAR FIN'!$A$1:$O$113,15,0)),0,VLOOKUP($U$760,'TAR FIN'!$A$1:$O$113,15,0))</f>
        <v>292.36</v>
      </c>
      <c r="Y760" s="6"/>
      <c r="Z760" s="6">
        <f ca="1">('TUSD BE'!$AM$40+'TUSD BF_350'!$AM$40+'TUSD CVA'!$AM$40)*1</f>
        <v>409.13</v>
      </c>
      <c r="AA760" s="6">
        <f ca="1">('TE BE'!$AB$18+'TE BF_350'!$AB$18+'TE CVA'!$AB$18)*1</f>
        <v>244</v>
      </c>
      <c r="AB760" s="6">
        <f>$K$760*$V$760</f>
        <v>0</v>
      </c>
      <c r="AC760" s="6">
        <f>$M$760*$W$760</f>
        <v>-3154.3512000000001</v>
      </c>
      <c r="AD760" s="6">
        <f>$O$760*$X$760</f>
        <v>-3070.9494399999999</v>
      </c>
      <c r="AE760" s="6">
        <f>$K$760*$Y$760</f>
        <v>0</v>
      </c>
      <c r="AF760" s="6">
        <f ca="1">$M$760*$Z$760</f>
        <v>-4297.5015199999998</v>
      </c>
      <c r="AG760" s="6">
        <f ca="1">$O$760*$AA$760</f>
        <v>-2562.9760000000001</v>
      </c>
    </row>
    <row r="761" spans="1:33" ht="11.25" customHeight="1" x14ac:dyDescent="0.3">
      <c r="A761" s="4" t="s">
        <v>53</v>
      </c>
      <c r="B761" s="4" t="s">
        <v>22</v>
      </c>
      <c r="C761" s="4" t="s">
        <v>23</v>
      </c>
      <c r="D761" s="4" t="s">
        <v>24</v>
      </c>
      <c r="E761" s="4" t="s">
        <v>24</v>
      </c>
      <c r="F761" s="4" t="s">
        <v>25</v>
      </c>
      <c r="G761" s="4" t="s">
        <v>25</v>
      </c>
      <c r="H761" s="4" t="s">
        <v>25</v>
      </c>
      <c r="I761" s="5">
        <v>44835</v>
      </c>
      <c r="J761" s="6">
        <v>0</v>
      </c>
      <c r="K761" s="6">
        <v>0</v>
      </c>
      <c r="L761" s="6">
        <v>115.226</v>
      </c>
      <c r="M761" s="6">
        <v>115.226</v>
      </c>
      <c r="N761" s="6">
        <v>115.226</v>
      </c>
      <c r="O761" s="6">
        <v>115.226</v>
      </c>
      <c r="P761" s="6">
        <v>873</v>
      </c>
      <c r="Q761" s="4" t="s">
        <v>26</v>
      </c>
      <c r="R761" s="4">
        <v>0</v>
      </c>
      <c r="S761" s="6">
        <v>0</v>
      </c>
      <c r="T761" s="6">
        <v>46</v>
      </c>
      <c r="U761" s="6">
        <v>111</v>
      </c>
      <c r="V761" s="6">
        <f>IF(ISERROR(VLOOKUP($S$761,'TAR FIN'!$A$1:$O$113,15,0)),0,VLOOKUP($S$761,'TAR FIN'!$A$1:$O$113,15,0))</f>
        <v>0</v>
      </c>
      <c r="W761" s="6">
        <f>IF(ISERROR(VLOOKUP($T$761,'TAR FIN'!$A$1:$O$113,15,0)),0,VLOOKUP($T$761,'TAR FIN'!$A$1:$O$113,15,0))</f>
        <v>300.3</v>
      </c>
      <c r="X761" s="6">
        <f>IF(ISERROR(VLOOKUP($U$761,'TAR FIN'!$A$1:$O$113,15,0)),0,VLOOKUP($U$761,'TAR FIN'!$A$1:$O$113,15,0))</f>
        <v>292.36</v>
      </c>
      <c r="Y761" s="6"/>
      <c r="Z761" s="6">
        <f ca="1">('TUSD BE'!$AM$40+'TUSD BF_350'!$AM$40+'TUSD CVA'!$AM$40)*1</f>
        <v>409.13</v>
      </c>
      <c r="AA761" s="6">
        <f ca="1">('TE BE'!$AB$18+'TE BF_350'!$AB$18+'TE CVA'!$AB$18)*1</f>
        <v>244</v>
      </c>
      <c r="AB761" s="6">
        <f>$K$761*$V$761</f>
        <v>0</v>
      </c>
      <c r="AC761" s="6">
        <f>$M$761*$W$761</f>
        <v>34602.3678</v>
      </c>
      <c r="AD761" s="6">
        <f>$O$761*$X$761</f>
        <v>33687.473360000004</v>
      </c>
      <c r="AE761" s="6">
        <f>$K$761*$Y$761</f>
        <v>0</v>
      </c>
      <c r="AF761" s="6">
        <f ca="1">$M$761*$Z$761</f>
        <v>47142.413379999998</v>
      </c>
      <c r="AG761" s="6">
        <f ca="1">$O$761*$AA$761</f>
        <v>28115.144</v>
      </c>
    </row>
    <row r="762" spans="1:33" ht="11.25" customHeight="1" x14ac:dyDescent="0.3">
      <c r="A762" s="4" t="s">
        <v>21</v>
      </c>
      <c r="B762" s="4" t="s">
        <v>22</v>
      </c>
      <c r="C762" s="4" t="s">
        <v>23</v>
      </c>
      <c r="D762" s="4" t="s">
        <v>24</v>
      </c>
      <c r="E762" s="4" t="s">
        <v>29</v>
      </c>
      <c r="F762" s="4" t="s">
        <v>25</v>
      </c>
      <c r="G762" s="4" t="s">
        <v>25</v>
      </c>
      <c r="H762" s="4" t="s">
        <v>25</v>
      </c>
      <c r="I762" s="5">
        <v>44501</v>
      </c>
      <c r="J762" s="6">
        <v>0</v>
      </c>
      <c r="K762" s="6">
        <v>0</v>
      </c>
      <c r="L762" s="6">
        <v>161.34700000000001</v>
      </c>
      <c r="M762" s="6">
        <v>161.34700000000001</v>
      </c>
      <c r="N762" s="6">
        <v>161.34700000000001</v>
      </c>
      <c r="O762" s="6">
        <v>161.34700000000001</v>
      </c>
      <c r="P762" s="6">
        <v>141</v>
      </c>
      <c r="Q762" s="4" t="s">
        <v>26</v>
      </c>
      <c r="R762" s="4">
        <v>0</v>
      </c>
      <c r="S762" s="6">
        <v>0</v>
      </c>
      <c r="T762" s="6">
        <v>39</v>
      </c>
      <c r="U762" s="6">
        <v>98</v>
      </c>
      <c r="V762" s="6">
        <f>IF(ISERROR(VLOOKUP($S$762,'TAR FIN'!$A$1:$O$113,15,0)),0,VLOOKUP($S$762,'TAR FIN'!$A$1:$O$113,15,0))</f>
        <v>0</v>
      </c>
      <c r="W762" s="6">
        <f>IF(ISERROR(VLOOKUP($T$762,'TAR FIN'!$A$1:$O$113,15,0)),0,VLOOKUP($T$762,'TAR FIN'!$A$1:$O$113,15,0))</f>
        <v>79.06</v>
      </c>
      <c r="X762" s="6">
        <f>IF(ISERROR(VLOOKUP($U$762,'TAR FIN'!$A$1:$O$113,15,0)),0,VLOOKUP($U$762,'TAR FIN'!$A$1:$O$113,15,0))</f>
        <v>102.32</v>
      </c>
      <c r="Y762" s="6"/>
      <c r="Z762" s="6">
        <f ca="1">('TUSD BE'!$AM$41+'TUSD BF_350'!$AM$41+'TUSD CVA'!$AM$41-('TUSD BE'!$P$41+'TUSD BF_350'!$P$41+'TUSD CVA'!$P$41)-('TUSD BE'!$Q$41+'TUSD BF_350'!$Q$41+'TUSD CVA'!$Q$41)-('TUSD BE'!$R$41+'TUSD BF_350'!$R$41+'TUSD CVA'!$R$41))*(1-CUSTOS!$M$34)</f>
        <v>105.4795</v>
      </c>
      <c r="AA762" s="6">
        <f ca="1">('TE BE'!$AB$19+'TE BF_350'!$AB$19+'TE CVA'!$AB$19)*(1-CUSTOS!$M$34)</f>
        <v>85.399999999999991</v>
      </c>
      <c r="AB762" s="6">
        <f>$K$762*$V$762</f>
        <v>0</v>
      </c>
      <c r="AC762" s="6">
        <f>$M$762*$W$762</f>
        <v>12756.093820000002</v>
      </c>
      <c r="AD762" s="6">
        <f>$O$762*$X$762</f>
        <v>16509.02504</v>
      </c>
      <c r="AE762" s="6">
        <f>$K$762*$Y$762</f>
        <v>0</v>
      </c>
      <c r="AF762" s="6">
        <f ca="1">$M$762*$Z$762</f>
        <v>17018.800886500001</v>
      </c>
      <c r="AG762" s="6">
        <f ca="1">$O$762*$AA$762</f>
        <v>13779.033799999999</v>
      </c>
    </row>
    <row r="763" spans="1:33" ht="11.25" customHeight="1" x14ac:dyDescent="0.3">
      <c r="A763" s="4" t="s">
        <v>27</v>
      </c>
      <c r="B763" s="4" t="s">
        <v>22</v>
      </c>
      <c r="C763" s="4" t="s">
        <v>23</v>
      </c>
      <c r="D763" s="4" t="s">
        <v>24</v>
      </c>
      <c r="E763" s="4" t="s">
        <v>29</v>
      </c>
      <c r="F763" s="4" t="s">
        <v>25</v>
      </c>
      <c r="G763" s="4" t="s">
        <v>25</v>
      </c>
      <c r="H763" s="4" t="s">
        <v>25</v>
      </c>
      <c r="I763" s="5">
        <v>44501</v>
      </c>
      <c r="J763" s="6">
        <v>0</v>
      </c>
      <c r="K763" s="6">
        <v>0</v>
      </c>
      <c r="L763" s="6">
        <v>-0.03</v>
      </c>
      <c r="M763" s="6">
        <v>-0.03</v>
      </c>
      <c r="N763" s="6">
        <v>-0.03</v>
      </c>
      <c r="O763" s="6">
        <v>-0.03</v>
      </c>
      <c r="P763" s="6">
        <v>0</v>
      </c>
      <c r="Q763" s="4" t="s">
        <v>26</v>
      </c>
      <c r="R763" s="4">
        <v>0</v>
      </c>
      <c r="S763" s="6">
        <v>0</v>
      </c>
      <c r="T763" s="6">
        <v>39</v>
      </c>
      <c r="U763" s="6">
        <v>98</v>
      </c>
      <c r="V763" s="6">
        <f>IF(ISERROR(VLOOKUP($S$763,'TAR FIN'!$A$1:$O$113,15,0)),0,VLOOKUP($S$763,'TAR FIN'!$A$1:$O$113,15,0))</f>
        <v>0</v>
      </c>
      <c r="W763" s="6">
        <f>IF(ISERROR(VLOOKUP($T$763,'TAR FIN'!$A$1:$O$113,15,0)),0,VLOOKUP($T$763,'TAR FIN'!$A$1:$O$113,15,0))</f>
        <v>79.06</v>
      </c>
      <c r="X763" s="6">
        <f>IF(ISERROR(VLOOKUP($U$763,'TAR FIN'!$A$1:$O$113,15,0)),0,VLOOKUP($U$763,'TAR FIN'!$A$1:$O$113,15,0))</f>
        <v>102.32</v>
      </c>
      <c r="Y763" s="6"/>
      <c r="Z763" s="6">
        <f ca="1">('TUSD BE'!$AM$41+'TUSD BF_350'!$AM$41+'TUSD CVA'!$AM$41-('TUSD BE'!$P$41+'TUSD BF_350'!$P$41+'TUSD CVA'!$P$41)-('TUSD BE'!$Q$41+'TUSD BF_350'!$Q$41+'TUSD CVA'!$Q$41)-('TUSD BE'!$R$41+'TUSD BF_350'!$R$41+'TUSD CVA'!$R$41))*(1-CUSTOS!$M$34)</f>
        <v>105.4795</v>
      </c>
      <c r="AA763" s="6">
        <f ca="1">('TE BE'!$AB$19+'TE BF_350'!$AB$19+'TE CVA'!$AB$19)*(1-CUSTOS!$M$34)</f>
        <v>85.399999999999991</v>
      </c>
      <c r="AB763" s="6">
        <f>$K$763*$V$763</f>
        <v>0</v>
      </c>
      <c r="AC763" s="6">
        <f>$M$763*$W$763</f>
        <v>-2.3717999999999999</v>
      </c>
      <c r="AD763" s="6">
        <f>$O$763*$X$763</f>
        <v>-3.0695999999999999</v>
      </c>
      <c r="AE763" s="6">
        <f>$K$763*$Y$763</f>
        <v>0</v>
      </c>
      <c r="AF763" s="6">
        <f ca="1">$M$763*$Z$763</f>
        <v>-3.1643849999999998</v>
      </c>
      <c r="AG763" s="6">
        <f ca="1">$O$763*$AA$763</f>
        <v>-2.5619999999999998</v>
      </c>
    </row>
    <row r="764" spans="1:33" ht="11.25" customHeight="1" x14ac:dyDescent="0.3">
      <c r="A764" s="4" t="s">
        <v>28</v>
      </c>
      <c r="B764" s="4" t="s">
        <v>22</v>
      </c>
      <c r="C764" s="4" t="s">
        <v>23</v>
      </c>
      <c r="D764" s="4" t="s">
        <v>24</v>
      </c>
      <c r="E764" s="4" t="s">
        <v>29</v>
      </c>
      <c r="F764" s="4" t="s">
        <v>25</v>
      </c>
      <c r="G764" s="4" t="s">
        <v>25</v>
      </c>
      <c r="H764" s="4" t="s">
        <v>25</v>
      </c>
      <c r="I764" s="5">
        <v>44501</v>
      </c>
      <c r="J764" s="6">
        <v>0</v>
      </c>
      <c r="K764" s="6">
        <v>0</v>
      </c>
      <c r="L764" s="6">
        <v>0.06</v>
      </c>
      <c r="M764" s="6">
        <v>-1.7999999999999999E-2</v>
      </c>
      <c r="N764" s="6">
        <v>0.06</v>
      </c>
      <c r="O764" s="6">
        <v>-1.7999999999999999E-2</v>
      </c>
      <c r="P764" s="6">
        <v>0</v>
      </c>
      <c r="Q764" s="4" t="s">
        <v>26</v>
      </c>
      <c r="R764" s="4">
        <v>0</v>
      </c>
      <c r="S764" s="6">
        <v>0</v>
      </c>
      <c r="T764" s="6">
        <v>39</v>
      </c>
      <c r="U764" s="6">
        <v>98</v>
      </c>
      <c r="V764" s="6">
        <f>IF(ISERROR(VLOOKUP($S$764,'TAR FIN'!$A$1:$O$113,15,0)),0,VLOOKUP($S$764,'TAR FIN'!$A$1:$O$113,15,0))</f>
        <v>0</v>
      </c>
      <c r="W764" s="6">
        <f>IF(ISERROR(VLOOKUP($T$764,'TAR FIN'!$A$1:$O$113,15,0)),0,VLOOKUP($T$764,'TAR FIN'!$A$1:$O$113,15,0))</f>
        <v>79.06</v>
      </c>
      <c r="X764" s="6">
        <f>IF(ISERROR(VLOOKUP($U$764,'TAR FIN'!$A$1:$O$113,15,0)),0,VLOOKUP($U$764,'TAR FIN'!$A$1:$O$113,15,0))</f>
        <v>102.32</v>
      </c>
      <c r="Y764" s="6"/>
      <c r="Z764" s="6">
        <f ca="1">('TUSD BE'!$AM$41+'TUSD BF_350'!$AM$41+'TUSD CVA'!$AM$41-('TUSD BE'!$P$41+'TUSD BF_350'!$P$41+'TUSD CVA'!$P$41)-('TUSD BE'!$Q$41+'TUSD BF_350'!$Q$41+'TUSD CVA'!$Q$41)-('TUSD BE'!$R$41+'TUSD BF_350'!$R$41+'TUSD CVA'!$R$41))*(1-CUSTOS!$M$34)</f>
        <v>105.4795</v>
      </c>
      <c r="AA764" s="6">
        <f ca="1">('TE BE'!$AB$19+'TE BF_350'!$AB$19+'TE CVA'!$AB$19)*(1-CUSTOS!$M$34)</f>
        <v>85.399999999999991</v>
      </c>
      <c r="AB764" s="6">
        <f>$K$764*$V$764</f>
        <v>0</v>
      </c>
      <c r="AC764" s="6">
        <f>$M$764*$W$764</f>
        <v>-1.4230799999999999</v>
      </c>
      <c r="AD764" s="6">
        <f>$O$764*$X$764</f>
        <v>-1.8417599999999998</v>
      </c>
      <c r="AE764" s="6">
        <f>$K$764*$Y$764</f>
        <v>0</v>
      </c>
      <c r="AF764" s="6">
        <f ca="1">$M$764*$Z$764</f>
        <v>-1.898631</v>
      </c>
      <c r="AG764" s="6">
        <f ca="1">$O$764*$AA$764</f>
        <v>-1.5371999999999997</v>
      </c>
    </row>
    <row r="765" spans="1:33" ht="11.25" customHeight="1" x14ac:dyDescent="0.3">
      <c r="A765" s="4" t="s">
        <v>21</v>
      </c>
      <c r="B765" s="4" t="s">
        <v>22</v>
      </c>
      <c r="C765" s="4" t="s">
        <v>23</v>
      </c>
      <c r="D765" s="4" t="s">
        <v>24</v>
      </c>
      <c r="E765" s="4" t="s">
        <v>29</v>
      </c>
      <c r="F765" s="4" t="s">
        <v>25</v>
      </c>
      <c r="G765" s="4" t="s">
        <v>25</v>
      </c>
      <c r="H765" s="4" t="s">
        <v>25</v>
      </c>
      <c r="I765" s="5">
        <v>44531</v>
      </c>
      <c r="J765" s="6">
        <v>0</v>
      </c>
      <c r="K765" s="6">
        <v>0</v>
      </c>
      <c r="L765" s="6">
        <v>169.458</v>
      </c>
      <c r="M765" s="6">
        <v>169.458</v>
      </c>
      <c r="N765" s="6">
        <v>169.458</v>
      </c>
      <c r="O765" s="6">
        <v>169.458</v>
      </c>
      <c r="P765" s="6">
        <v>165</v>
      </c>
      <c r="Q765" s="4" t="s">
        <v>26</v>
      </c>
      <c r="R765" s="4">
        <v>0</v>
      </c>
      <c r="S765" s="6">
        <v>0</v>
      </c>
      <c r="T765" s="6">
        <v>39</v>
      </c>
      <c r="U765" s="6">
        <v>98</v>
      </c>
      <c r="V765" s="6">
        <f>IF(ISERROR(VLOOKUP($S$765,'TAR FIN'!$A$1:$O$113,15,0)),0,VLOOKUP($S$765,'TAR FIN'!$A$1:$O$113,15,0))</f>
        <v>0</v>
      </c>
      <c r="W765" s="6">
        <f>IF(ISERROR(VLOOKUP($T$765,'TAR FIN'!$A$1:$O$113,15,0)),0,VLOOKUP($T$765,'TAR FIN'!$A$1:$O$113,15,0))</f>
        <v>79.06</v>
      </c>
      <c r="X765" s="6">
        <f>IF(ISERROR(VLOOKUP($U$765,'TAR FIN'!$A$1:$O$113,15,0)),0,VLOOKUP($U$765,'TAR FIN'!$A$1:$O$113,15,0))</f>
        <v>102.32</v>
      </c>
      <c r="Y765" s="6"/>
      <c r="Z765" s="6">
        <f ca="1">('TUSD BE'!$AM$41+'TUSD BF_350'!$AM$41+'TUSD CVA'!$AM$41-('TUSD BE'!$P$41+'TUSD BF_350'!$P$41+'TUSD CVA'!$P$41)-('TUSD BE'!$Q$41+'TUSD BF_350'!$Q$41+'TUSD CVA'!$Q$41)-('TUSD BE'!$R$41+'TUSD BF_350'!$R$41+'TUSD CVA'!$R$41))*(1-CUSTOS!$M$34)</f>
        <v>105.4795</v>
      </c>
      <c r="AA765" s="6">
        <f ca="1">('TE BE'!$AB$19+'TE BF_350'!$AB$19+'TE CVA'!$AB$19)*(1-CUSTOS!$M$34)</f>
        <v>85.399999999999991</v>
      </c>
      <c r="AB765" s="6">
        <f>$K$765*$V$765</f>
        <v>0</v>
      </c>
      <c r="AC765" s="6">
        <f>$M$765*$W$765</f>
        <v>13397.349480000001</v>
      </c>
      <c r="AD765" s="6">
        <f>$O$765*$X$765</f>
        <v>17338.94256</v>
      </c>
      <c r="AE765" s="6">
        <f>$K$765*$Y$765</f>
        <v>0</v>
      </c>
      <c r="AF765" s="6">
        <f ca="1">$M$765*$Z$765</f>
        <v>17874.345110999999</v>
      </c>
      <c r="AG765" s="6">
        <f ca="1">$O$765*$AA$765</f>
        <v>14471.713199999998</v>
      </c>
    </row>
    <row r="766" spans="1:33" ht="11.25" customHeight="1" x14ac:dyDescent="0.3">
      <c r="A766" s="4" t="s">
        <v>27</v>
      </c>
      <c r="B766" s="4" t="s">
        <v>22</v>
      </c>
      <c r="C766" s="4" t="s">
        <v>23</v>
      </c>
      <c r="D766" s="4" t="s">
        <v>24</v>
      </c>
      <c r="E766" s="4" t="s">
        <v>29</v>
      </c>
      <c r="F766" s="4" t="s">
        <v>25</v>
      </c>
      <c r="G766" s="4" t="s">
        <v>25</v>
      </c>
      <c r="H766" s="4" t="s">
        <v>25</v>
      </c>
      <c r="I766" s="5">
        <v>44531</v>
      </c>
      <c r="J766" s="6">
        <v>0</v>
      </c>
      <c r="K766" s="6">
        <v>0</v>
      </c>
      <c r="L766" s="6">
        <v>0.15</v>
      </c>
      <c r="M766" s="6">
        <v>0.15</v>
      </c>
      <c r="N766" s="6">
        <v>0.15</v>
      </c>
      <c r="O766" s="6">
        <v>0.15</v>
      </c>
      <c r="P766" s="6">
        <v>0</v>
      </c>
      <c r="Q766" s="4" t="s">
        <v>26</v>
      </c>
      <c r="R766" s="4">
        <v>0</v>
      </c>
      <c r="S766" s="6">
        <v>0</v>
      </c>
      <c r="T766" s="6">
        <v>39</v>
      </c>
      <c r="U766" s="6">
        <v>98</v>
      </c>
      <c r="V766" s="6">
        <f>IF(ISERROR(VLOOKUP($S$766,'TAR FIN'!$A$1:$O$113,15,0)),0,VLOOKUP($S$766,'TAR FIN'!$A$1:$O$113,15,0))</f>
        <v>0</v>
      </c>
      <c r="W766" s="6">
        <f>IF(ISERROR(VLOOKUP($T$766,'TAR FIN'!$A$1:$O$113,15,0)),0,VLOOKUP($T$766,'TAR FIN'!$A$1:$O$113,15,0))</f>
        <v>79.06</v>
      </c>
      <c r="X766" s="6">
        <f>IF(ISERROR(VLOOKUP($U$766,'TAR FIN'!$A$1:$O$113,15,0)),0,VLOOKUP($U$766,'TAR FIN'!$A$1:$O$113,15,0))</f>
        <v>102.32</v>
      </c>
      <c r="Y766" s="6"/>
      <c r="Z766" s="6">
        <f ca="1">('TUSD BE'!$AM$41+'TUSD BF_350'!$AM$41+'TUSD CVA'!$AM$41-('TUSD BE'!$P$41+'TUSD BF_350'!$P$41+'TUSD CVA'!$P$41)-('TUSD BE'!$Q$41+'TUSD BF_350'!$Q$41+'TUSD CVA'!$Q$41)-('TUSD BE'!$R$41+'TUSD BF_350'!$R$41+'TUSD CVA'!$R$41))*(1-CUSTOS!$M$34)</f>
        <v>105.4795</v>
      </c>
      <c r="AA766" s="6">
        <f ca="1">('TE BE'!$AB$19+'TE BF_350'!$AB$19+'TE CVA'!$AB$19)*(1-CUSTOS!$M$34)</f>
        <v>85.399999999999991</v>
      </c>
      <c r="AB766" s="6">
        <f>$K$766*$V$766</f>
        <v>0</v>
      </c>
      <c r="AC766" s="6">
        <f>$M$766*$W$766</f>
        <v>11.859</v>
      </c>
      <c r="AD766" s="6">
        <f>$O$766*$X$766</f>
        <v>15.347999999999999</v>
      </c>
      <c r="AE766" s="6">
        <f>$K$766*$Y$766</f>
        <v>0</v>
      </c>
      <c r="AF766" s="6">
        <f ca="1">$M$766*$Z$766</f>
        <v>15.821925</v>
      </c>
      <c r="AG766" s="6">
        <f ca="1">$O$766*$AA$766</f>
        <v>12.809999999999999</v>
      </c>
    </row>
    <row r="767" spans="1:33" ht="11.25" customHeight="1" x14ac:dyDescent="0.3">
      <c r="A767" s="4" t="s">
        <v>28</v>
      </c>
      <c r="B767" s="4" t="s">
        <v>22</v>
      </c>
      <c r="C767" s="4" t="s">
        <v>23</v>
      </c>
      <c r="D767" s="4" t="s">
        <v>24</v>
      </c>
      <c r="E767" s="4" t="s">
        <v>29</v>
      </c>
      <c r="F767" s="4" t="s">
        <v>25</v>
      </c>
      <c r="G767" s="4" t="s">
        <v>25</v>
      </c>
      <c r="H767" s="4" t="s">
        <v>25</v>
      </c>
      <c r="I767" s="5">
        <v>44531</v>
      </c>
      <c r="J767" s="6">
        <v>0</v>
      </c>
      <c r="K767" s="6">
        <v>0</v>
      </c>
      <c r="L767" s="6">
        <v>0.06</v>
      </c>
      <c r="M767" s="6">
        <v>-1.7999999999999999E-2</v>
      </c>
      <c r="N767" s="6">
        <v>0.06</v>
      </c>
      <c r="O767" s="6">
        <v>-1.7999999999999999E-2</v>
      </c>
      <c r="P767" s="6">
        <v>0</v>
      </c>
      <c r="Q767" s="4" t="s">
        <v>26</v>
      </c>
      <c r="R767" s="4">
        <v>0</v>
      </c>
      <c r="S767" s="6">
        <v>0</v>
      </c>
      <c r="T767" s="6">
        <v>39</v>
      </c>
      <c r="U767" s="6">
        <v>98</v>
      </c>
      <c r="V767" s="6">
        <f>IF(ISERROR(VLOOKUP($S$767,'TAR FIN'!$A$1:$O$113,15,0)),0,VLOOKUP($S$767,'TAR FIN'!$A$1:$O$113,15,0))</f>
        <v>0</v>
      </c>
      <c r="W767" s="6">
        <f>IF(ISERROR(VLOOKUP($T$767,'TAR FIN'!$A$1:$O$113,15,0)),0,VLOOKUP($T$767,'TAR FIN'!$A$1:$O$113,15,0))</f>
        <v>79.06</v>
      </c>
      <c r="X767" s="6">
        <f>IF(ISERROR(VLOOKUP($U$767,'TAR FIN'!$A$1:$O$113,15,0)),0,VLOOKUP($U$767,'TAR FIN'!$A$1:$O$113,15,0))</f>
        <v>102.32</v>
      </c>
      <c r="Y767" s="6"/>
      <c r="Z767" s="6">
        <f ca="1">('TUSD BE'!$AM$41+'TUSD BF_350'!$AM$41+'TUSD CVA'!$AM$41-('TUSD BE'!$P$41+'TUSD BF_350'!$P$41+'TUSD CVA'!$P$41)-('TUSD BE'!$Q$41+'TUSD BF_350'!$Q$41+'TUSD CVA'!$Q$41)-('TUSD BE'!$R$41+'TUSD BF_350'!$R$41+'TUSD CVA'!$R$41))*(1-CUSTOS!$M$34)</f>
        <v>105.4795</v>
      </c>
      <c r="AA767" s="6">
        <f ca="1">('TE BE'!$AB$19+'TE BF_350'!$AB$19+'TE CVA'!$AB$19)*(1-CUSTOS!$M$34)</f>
        <v>85.399999999999991</v>
      </c>
      <c r="AB767" s="6">
        <f>$K$767*$V$767</f>
        <v>0</v>
      </c>
      <c r="AC767" s="6">
        <f>$M$767*$W$767</f>
        <v>-1.4230799999999999</v>
      </c>
      <c r="AD767" s="6">
        <f>$O$767*$X$767</f>
        <v>-1.8417599999999998</v>
      </c>
      <c r="AE767" s="6">
        <f>$K$767*$Y$767</f>
        <v>0</v>
      </c>
      <c r="AF767" s="6">
        <f ca="1">$M$767*$Z$767</f>
        <v>-1.898631</v>
      </c>
      <c r="AG767" s="6">
        <f ca="1">$O$767*$AA$767</f>
        <v>-1.5371999999999997</v>
      </c>
    </row>
    <row r="768" spans="1:33" ht="11.25" customHeight="1" x14ac:dyDescent="0.3">
      <c r="A768" s="4" t="s">
        <v>21</v>
      </c>
      <c r="B768" s="4" t="s">
        <v>22</v>
      </c>
      <c r="C768" s="4" t="s">
        <v>23</v>
      </c>
      <c r="D768" s="4" t="s">
        <v>24</v>
      </c>
      <c r="E768" s="4" t="s">
        <v>29</v>
      </c>
      <c r="F768" s="4" t="s">
        <v>25</v>
      </c>
      <c r="G768" s="4" t="s">
        <v>25</v>
      </c>
      <c r="H768" s="4" t="s">
        <v>25</v>
      </c>
      <c r="I768" s="5">
        <v>44562</v>
      </c>
      <c r="J768" s="6">
        <v>0</v>
      </c>
      <c r="K768" s="6">
        <v>0</v>
      </c>
      <c r="L768" s="6">
        <v>163.94200000000001</v>
      </c>
      <c r="M768" s="6">
        <v>163.94200000000001</v>
      </c>
      <c r="N768" s="6">
        <v>163.94200000000001</v>
      </c>
      <c r="O768" s="6">
        <v>163.94200000000001</v>
      </c>
      <c r="P768" s="6">
        <v>144</v>
      </c>
      <c r="Q768" s="4" t="s">
        <v>26</v>
      </c>
      <c r="R768" s="4">
        <v>0</v>
      </c>
      <c r="S768" s="6">
        <v>0</v>
      </c>
      <c r="T768" s="6">
        <v>39</v>
      </c>
      <c r="U768" s="6">
        <v>98</v>
      </c>
      <c r="V768" s="6">
        <f>IF(ISERROR(VLOOKUP($S$768,'TAR FIN'!$A$1:$O$113,15,0)),0,VLOOKUP($S$768,'TAR FIN'!$A$1:$O$113,15,0))</f>
        <v>0</v>
      </c>
      <c r="W768" s="6">
        <f>IF(ISERROR(VLOOKUP($T$768,'TAR FIN'!$A$1:$O$113,15,0)),0,VLOOKUP($T$768,'TAR FIN'!$A$1:$O$113,15,0))</f>
        <v>79.06</v>
      </c>
      <c r="X768" s="6">
        <f>IF(ISERROR(VLOOKUP($U$768,'TAR FIN'!$A$1:$O$113,15,0)),0,VLOOKUP($U$768,'TAR FIN'!$A$1:$O$113,15,0))</f>
        <v>102.32</v>
      </c>
      <c r="Y768" s="6"/>
      <c r="Z768" s="6">
        <f ca="1">('TUSD BE'!$AM$41+'TUSD BF_350'!$AM$41+'TUSD CVA'!$AM$41-('TUSD BE'!$P$41+'TUSD BF_350'!$P$41+'TUSD CVA'!$P$41)-('TUSD BE'!$Q$41+'TUSD BF_350'!$Q$41+'TUSD CVA'!$Q$41)-('TUSD BE'!$R$41+'TUSD BF_350'!$R$41+'TUSD CVA'!$R$41))*(1-CUSTOS!$M$34)</f>
        <v>105.4795</v>
      </c>
      <c r="AA768" s="6">
        <f ca="1">('TE BE'!$AB$19+'TE BF_350'!$AB$19+'TE CVA'!$AB$19)*(1-CUSTOS!$M$34)</f>
        <v>85.399999999999991</v>
      </c>
      <c r="AB768" s="6">
        <f>$K$768*$V$768</f>
        <v>0</v>
      </c>
      <c r="AC768" s="6">
        <f>$M$768*$W$768</f>
        <v>12961.25452</v>
      </c>
      <c r="AD768" s="6">
        <f>$O$768*$X$768</f>
        <v>16774.545439999998</v>
      </c>
      <c r="AE768" s="6">
        <f>$K$768*$Y$768</f>
        <v>0</v>
      </c>
      <c r="AF768" s="6">
        <f ca="1">$M$768*$Z$768</f>
        <v>17292.520189000003</v>
      </c>
      <c r="AG768" s="6">
        <f ca="1">$O$768*$AA$768</f>
        <v>14000.646799999999</v>
      </c>
    </row>
    <row r="769" spans="1:33" ht="11.25" customHeight="1" x14ac:dyDescent="0.3">
      <c r="A769" s="4" t="s">
        <v>28</v>
      </c>
      <c r="B769" s="4" t="s">
        <v>22</v>
      </c>
      <c r="C769" s="4" t="s">
        <v>23</v>
      </c>
      <c r="D769" s="4" t="s">
        <v>24</v>
      </c>
      <c r="E769" s="4" t="s">
        <v>29</v>
      </c>
      <c r="F769" s="4" t="s">
        <v>25</v>
      </c>
      <c r="G769" s="4" t="s">
        <v>25</v>
      </c>
      <c r="H769" s="4" t="s">
        <v>25</v>
      </c>
      <c r="I769" s="5">
        <v>44562</v>
      </c>
      <c r="J769" s="6">
        <v>0</v>
      </c>
      <c r="K769" s="6">
        <v>0</v>
      </c>
      <c r="L769" s="6">
        <v>0.06</v>
      </c>
      <c r="M769" s="6">
        <v>-1.7999999999999999E-2</v>
      </c>
      <c r="N769" s="6">
        <v>0.06</v>
      </c>
      <c r="O769" s="6">
        <v>-1.7999999999999999E-2</v>
      </c>
      <c r="P769" s="6">
        <v>0</v>
      </c>
      <c r="Q769" s="4" t="s">
        <v>26</v>
      </c>
      <c r="R769" s="4">
        <v>0</v>
      </c>
      <c r="S769" s="6">
        <v>0</v>
      </c>
      <c r="T769" s="6">
        <v>39</v>
      </c>
      <c r="U769" s="6">
        <v>98</v>
      </c>
      <c r="V769" s="6">
        <f>IF(ISERROR(VLOOKUP($S$769,'TAR FIN'!$A$1:$O$113,15,0)),0,VLOOKUP($S$769,'TAR FIN'!$A$1:$O$113,15,0))</f>
        <v>0</v>
      </c>
      <c r="W769" s="6">
        <f>IF(ISERROR(VLOOKUP($T$769,'TAR FIN'!$A$1:$O$113,15,0)),0,VLOOKUP($T$769,'TAR FIN'!$A$1:$O$113,15,0))</f>
        <v>79.06</v>
      </c>
      <c r="X769" s="6">
        <f>IF(ISERROR(VLOOKUP($U$769,'TAR FIN'!$A$1:$O$113,15,0)),0,VLOOKUP($U$769,'TAR FIN'!$A$1:$O$113,15,0))</f>
        <v>102.32</v>
      </c>
      <c r="Y769" s="6"/>
      <c r="Z769" s="6">
        <f ca="1">('TUSD BE'!$AM$41+'TUSD BF_350'!$AM$41+'TUSD CVA'!$AM$41-('TUSD BE'!$P$41+'TUSD BF_350'!$P$41+'TUSD CVA'!$P$41)-('TUSD BE'!$Q$41+'TUSD BF_350'!$Q$41+'TUSD CVA'!$Q$41)-('TUSD BE'!$R$41+'TUSD BF_350'!$R$41+'TUSD CVA'!$R$41))*(1-CUSTOS!$M$34)</f>
        <v>105.4795</v>
      </c>
      <c r="AA769" s="6">
        <f ca="1">('TE BE'!$AB$19+'TE BF_350'!$AB$19+'TE CVA'!$AB$19)*(1-CUSTOS!$M$34)</f>
        <v>85.399999999999991</v>
      </c>
      <c r="AB769" s="6">
        <f>$K$769*$V$769</f>
        <v>0</v>
      </c>
      <c r="AC769" s="6">
        <f>$M$769*$W$769</f>
        <v>-1.4230799999999999</v>
      </c>
      <c r="AD769" s="6">
        <f>$O$769*$X$769</f>
        <v>-1.8417599999999998</v>
      </c>
      <c r="AE769" s="6">
        <f>$K$769*$Y$769</f>
        <v>0</v>
      </c>
      <c r="AF769" s="6">
        <f ca="1">$M$769*$Z$769</f>
        <v>-1.898631</v>
      </c>
      <c r="AG769" s="6">
        <f ca="1">$O$769*$AA$769</f>
        <v>-1.5371999999999997</v>
      </c>
    </row>
    <row r="770" spans="1:33" ht="11.25" customHeight="1" x14ac:dyDescent="0.3">
      <c r="A770" s="4" t="s">
        <v>21</v>
      </c>
      <c r="B770" s="4" t="s">
        <v>22</v>
      </c>
      <c r="C770" s="4" t="s">
        <v>23</v>
      </c>
      <c r="D770" s="4" t="s">
        <v>24</v>
      </c>
      <c r="E770" s="4" t="s">
        <v>29</v>
      </c>
      <c r="F770" s="4" t="s">
        <v>25</v>
      </c>
      <c r="G770" s="4" t="s">
        <v>25</v>
      </c>
      <c r="H770" s="4" t="s">
        <v>25</v>
      </c>
      <c r="I770" s="5">
        <v>44593</v>
      </c>
      <c r="J770" s="6">
        <v>0</v>
      </c>
      <c r="K770" s="6">
        <v>0</v>
      </c>
      <c r="L770" s="6">
        <v>182.23699999999999</v>
      </c>
      <c r="M770" s="6">
        <v>182.23699999999999</v>
      </c>
      <c r="N770" s="6">
        <v>182.23699999999999</v>
      </c>
      <c r="O770" s="6">
        <v>182.23699999999999</v>
      </c>
      <c r="P770" s="6">
        <v>196</v>
      </c>
      <c r="Q770" s="4" t="s">
        <v>26</v>
      </c>
      <c r="R770" s="4">
        <v>0</v>
      </c>
      <c r="S770" s="6">
        <v>0</v>
      </c>
      <c r="T770" s="6">
        <v>39</v>
      </c>
      <c r="U770" s="6">
        <v>98</v>
      </c>
      <c r="V770" s="6">
        <f>IF(ISERROR(VLOOKUP($S$770,'TAR FIN'!$A$1:$O$113,15,0)),0,VLOOKUP($S$770,'TAR FIN'!$A$1:$O$113,15,0))</f>
        <v>0</v>
      </c>
      <c r="W770" s="6">
        <f>IF(ISERROR(VLOOKUP($T$770,'TAR FIN'!$A$1:$O$113,15,0)),0,VLOOKUP($T$770,'TAR FIN'!$A$1:$O$113,15,0))</f>
        <v>79.06</v>
      </c>
      <c r="X770" s="6">
        <f>IF(ISERROR(VLOOKUP($U$770,'TAR FIN'!$A$1:$O$113,15,0)),0,VLOOKUP($U$770,'TAR FIN'!$A$1:$O$113,15,0))</f>
        <v>102.32</v>
      </c>
      <c r="Y770" s="6"/>
      <c r="Z770" s="6">
        <f ca="1">('TUSD BE'!$AM$41+'TUSD BF_350'!$AM$41+'TUSD CVA'!$AM$41-('TUSD BE'!$P$41+'TUSD BF_350'!$P$41+'TUSD CVA'!$P$41)-('TUSD BE'!$Q$41+'TUSD BF_350'!$Q$41+'TUSD CVA'!$Q$41)-('TUSD BE'!$R$41+'TUSD BF_350'!$R$41+'TUSD CVA'!$R$41))*(1-CUSTOS!$M$34)</f>
        <v>105.4795</v>
      </c>
      <c r="AA770" s="6">
        <f ca="1">('TE BE'!$AB$19+'TE BF_350'!$AB$19+'TE CVA'!$AB$19)*(1-CUSTOS!$M$34)</f>
        <v>85.399999999999991</v>
      </c>
      <c r="AB770" s="6">
        <f>$K$770*$V$770</f>
        <v>0</v>
      </c>
      <c r="AC770" s="6">
        <f>$M$770*$W$770</f>
        <v>14407.657219999999</v>
      </c>
      <c r="AD770" s="6">
        <f>$O$770*$X$770</f>
        <v>18646.489839999998</v>
      </c>
      <c r="AE770" s="6">
        <f>$K$770*$Y$770</f>
        <v>0</v>
      </c>
      <c r="AF770" s="6">
        <f ca="1">$M$770*$Z$770</f>
        <v>19222.267641499999</v>
      </c>
      <c r="AG770" s="6">
        <f ca="1">$O$770*$AA$770</f>
        <v>15563.039799999999</v>
      </c>
    </row>
    <row r="771" spans="1:33" ht="11.25" customHeight="1" x14ac:dyDescent="0.3">
      <c r="A771" s="4" t="s">
        <v>28</v>
      </c>
      <c r="B771" s="4" t="s">
        <v>22</v>
      </c>
      <c r="C771" s="4" t="s">
        <v>23</v>
      </c>
      <c r="D771" s="4" t="s">
        <v>24</v>
      </c>
      <c r="E771" s="4" t="s">
        <v>29</v>
      </c>
      <c r="F771" s="4" t="s">
        <v>25</v>
      </c>
      <c r="G771" s="4" t="s">
        <v>25</v>
      </c>
      <c r="H771" s="4" t="s">
        <v>25</v>
      </c>
      <c r="I771" s="5">
        <v>44593</v>
      </c>
      <c r="J771" s="6">
        <v>0</v>
      </c>
      <c r="K771" s="6">
        <v>0</v>
      </c>
      <c r="L771" s="6">
        <v>0.06</v>
      </c>
      <c r="M771" s="6">
        <v>-1.7999999999999999E-2</v>
      </c>
      <c r="N771" s="6">
        <v>0.06</v>
      </c>
      <c r="O771" s="6">
        <v>-1.7999999999999999E-2</v>
      </c>
      <c r="P771" s="6">
        <v>0</v>
      </c>
      <c r="Q771" s="4" t="s">
        <v>26</v>
      </c>
      <c r="R771" s="4">
        <v>0</v>
      </c>
      <c r="S771" s="6">
        <v>0</v>
      </c>
      <c r="T771" s="6">
        <v>39</v>
      </c>
      <c r="U771" s="6">
        <v>98</v>
      </c>
      <c r="V771" s="6">
        <f>IF(ISERROR(VLOOKUP($S$771,'TAR FIN'!$A$1:$O$113,15,0)),0,VLOOKUP($S$771,'TAR FIN'!$A$1:$O$113,15,0))</f>
        <v>0</v>
      </c>
      <c r="W771" s="6">
        <f>IF(ISERROR(VLOOKUP($T$771,'TAR FIN'!$A$1:$O$113,15,0)),0,VLOOKUP($T$771,'TAR FIN'!$A$1:$O$113,15,0))</f>
        <v>79.06</v>
      </c>
      <c r="X771" s="6">
        <f>IF(ISERROR(VLOOKUP($U$771,'TAR FIN'!$A$1:$O$113,15,0)),0,VLOOKUP($U$771,'TAR FIN'!$A$1:$O$113,15,0))</f>
        <v>102.32</v>
      </c>
      <c r="Y771" s="6"/>
      <c r="Z771" s="6">
        <f ca="1">('TUSD BE'!$AM$41+'TUSD BF_350'!$AM$41+'TUSD CVA'!$AM$41-('TUSD BE'!$P$41+'TUSD BF_350'!$P$41+'TUSD CVA'!$P$41)-('TUSD BE'!$Q$41+'TUSD BF_350'!$Q$41+'TUSD CVA'!$Q$41)-('TUSD BE'!$R$41+'TUSD BF_350'!$R$41+'TUSD CVA'!$R$41))*(1-CUSTOS!$M$34)</f>
        <v>105.4795</v>
      </c>
      <c r="AA771" s="6">
        <f ca="1">('TE BE'!$AB$19+'TE BF_350'!$AB$19+'TE CVA'!$AB$19)*(1-CUSTOS!$M$34)</f>
        <v>85.399999999999991</v>
      </c>
      <c r="AB771" s="6">
        <f>$K$771*$V$771</f>
        <v>0</v>
      </c>
      <c r="AC771" s="6">
        <f>$M$771*$W$771</f>
        <v>-1.4230799999999999</v>
      </c>
      <c r="AD771" s="6">
        <f>$O$771*$X$771</f>
        <v>-1.8417599999999998</v>
      </c>
      <c r="AE771" s="6">
        <f>$K$771*$Y$771</f>
        <v>0</v>
      </c>
      <c r="AF771" s="6">
        <f ca="1">$M$771*$Z$771</f>
        <v>-1.898631</v>
      </c>
      <c r="AG771" s="6">
        <f ca="1">$O$771*$AA$771</f>
        <v>-1.5371999999999997</v>
      </c>
    </row>
    <row r="772" spans="1:33" ht="11.25" customHeight="1" x14ac:dyDescent="0.3">
      <c r="A772" s="4" t="s">
        <v>21</v>
      </c>
      <c r="B772" s="4" t="s">
        <v>22</v>
      </c>
      <c r="C772" s="4" t="s">
        <v>23</v>
      </c>
      <c r="D772" s="4" t="s">
        <v>24</v>
      </c>
      <c r="E772" s="4" t="s">
        <v>29</v>
      </c>
      <c r="F772" s="4" t="s">
        <v>25</v>
      </c>
      <c r="G772" s="4" t="s">
        <v>25</v>
      </c>
      <c r="H772" s="4" t="s">
        <v>25</v>
      </c>
      <c r="I772" s="5">
        <v>44621</v>
      </c>
      <c r="J772" s="6">
        <v>0</v>
      </c>
      <c r="K772" s="6">
        <v>0</v>
      </c>
      <c r="L772" s="6">
        <v>188.01499999999999</v>
      </c>
      <c r="M772" s="6">
        <v>188.01499999999999</v>
      </c>
      <c r="N772" s="6">
        <v>188.01499999999999</v>
      </c>
      <c r="O772" s="6">
        <v>188.01499999999999</v>
      </c>
      <c r="P772" s="6">
        <v>182</v>
      </c>
      <c r="Q772" s="4" t="s">
        <v>26</v>
      </c>
      <c r="R772" s="4">
        <v>0</v>
      </c>
      <c r="S772" s="6">
        <v>0</v>
      </c>
      <c r="T772" s="6">
        <v>39</v>
      </c>
      <c r="U772" s="6">
        <v>98</v>
      </c>
      <c r="V772" s="6">
        <f>IF(ISERROR(VLOOKUP($S$772,'TAR FIN'!$A$1:$O$113,15,0)),0,VLOOKUP($S$772,'TAR FIN'!$A$1:$O$113,15,0))</f>
        <v>0</v>
      </c>
      <c r="W772" s="6">
        <f>IF(ISERROR(VLOOKUP($T$772,'TAR FIN'!$A$1:$O$113,15,0)),0,VLOOKUP($T$772,'TAR FIN'!$A$1:$O$113,15,0))</f>
        <v>79.06</v>
      </c>
      <c r="X772" s="6">
        <f>IF(ISERROR(VLOOKUP($U$772,'TAR FIN'!$A$1:$O$113,15,0)),0,VLOOKUP($U$772,'TAR FIN'!$A$1:$O$113,15,0))</f>
        <v>102.32</v>
      </c>
      <c r="Y772" s="6"/>
      <c r="Z772" s="6">
        <f ca="1">('TUSD BE'!$AM$41+'TUSD BF_350'!$AM$41+'TUSD CVA'!$AM$41-('TUSD BE'!$P$41+'TUSD BF_350'!$P$41+'TUSD CVA'!$P$41)-('TUSD BE'!$Q$41+'TUSD BF_350'!$Q$41+'TUSD CVA'!$Q$41)-('TUSD BE'!$R$41+'TUSD BF_350'!$R$41+'TUSD CVA'!$R$41))*(1-CUSTOS!$M$34)</f>
        <v>105.4795</v>
      </c>
      <c r="AA772" s="6">
        <f ca="1">('TE BE'!$AB$19+'TE BF_350'!$AB$19+'TE CVA'!$AB$19)*(1-CUSTOS!$M$34)</f>
        <v>85.399999999999991</v>
      </c>
      <c r="AB772" s="6">
        <f>$K$772*$V$772</f>
        <v>0</v>
      </c>
      <c r="AC772" s="6">
        <f>$M$772*$W$772</f>
        <v>14864.465899999999</v>
      </c>
      <c r="AD772" s="6">
        <f>$O$772*$X$772</f>
        <v>19237.694799999997</v>
      </c>
      <c r="AE772" s="6">
        <f>$K$772*$Y$772</f>
        <v>0</v>
      </c>
      <c r="AF772" s="6">
        <f ca="1">$M$772*$Z$772</f>
        <v>19831.728192499999</v>
      </c>
      <c r="AG772" s="6">
        <f ca="1">$O$772*$AA$772</f>
        <v>16056.480999999998</v>
      </c>
    </row>
    <row r="773" spans="1:33" ht="11.25" customHeight="1" x14ac:dyDescent="0.3">
      <c r="A773" s="4" t="s">
        <v>28</v>
      </c>
      <c r="B773" s="4" t="s">
        <v>22</v>
      </c>
      <c r="C773" s="4" t="s">
        <v>23</v>
      </c>
      <c r="D773" s="4" t="s">
        <v>24</v>
      </c>
      <c r="E773" s="4" t="s">
        <v>29</v>
      </c>
      <c r="F773" s="4" t="s">
        <v>25</v>
      </c>
      <c r="G773" s="4" t="s">
        <v>25</v>
      </c>
      <c r="H773" s="4" t="s">
        <v>25</v>
      </c>
      <c r="I773" s="5">
        <v>44621</v>
      </c>
      <c r="J773" s="6">
        <v>0</v>
      </c>
      <c r="K773" s="6">
        <v>0</v>
      </c>
      <c r="L773" s="6">
        <v>0.06</v>
      </c>
      <c r="M773" s="6">
        <v>-1.7999999999999999E-2</v>
      </c>
      <c r="N773" s="6">
        <v>0.06</v>
      </c>
      <c r="O773" s="6">
        <v>-1.7999999999999999E-2</v>
      </c>
      <c r="P773" s="6">
        <v>0</v>
      </c>
      <c r="Q773" s="4" t="s">
        <v>26</v>
      </c>
      <c r="R773" s="4">
        <v>0</v>
      </c>
      <c r="S773" s="6">
        <v>0</v>
      </c>
      <c r="T773" s="6">
        <v>39</v>
      </c>
      <c r="U773" s="6">
        <v>98</v>
      </c>
      <c r="V773" s="6">
        <f>IF(ISERROR(VLOOKUP($S$773,'TAR FIN'!$A$1:$O$113,15,0)),0,VLOOKUP($S$773,'TAR FIN'!$A$1:$O$113,15,0))</f>
        <v>0</v>
      </c>
      <c r="W773" s="6">
        <f>IF(ISERROR(VLOOKUP($T$773,'TAR FIN'!$A$1:$O$113,15,0)),0,VLOOKUP($T$773,'TAR FIN'!$A$1:$O$113,15,0))</f>
        <v>79.06</v>
      </c>
      <c r="X773" s="6">
        <f>IF(ISERROR(VLOOKUP($U$773,'TAR FIN'!$A$1:$O$113,15,0)),0,VLOOKUP($U$773,'TAR FIN'!$A$1:$O$113,15,0))</f>
        <v>102.32</v>
      </c>
      <c r="Y773" s="6"/>
      <c r="Z773" s="6">
        <f ca="1">('TUSD BE'!$AM$41+'TUSD BF_350'!$AM$41+'TUSD CVA'!$AM$41-('TUSD BE'!$P$41+'TUSD BF_350'!$P$41+'TUSD CVA'!$P$41)-('TUSD BE'!$Q$41+'TUSD BF_350'!$Q$41+'TUSD CVA'!$Q$41)-('TUSD BE'!$R$41+'TUSD BF_350'!$R$41+'TUSD CVA'!$R$41))*(1-CUSTOS!$M$34)</f>
        <v>105.4795</v>
      </c>
      <c r="AA773" s="6">
        <f ca="1">('TE BE'!$AB$19+'TE BF_350'!$AB$19+'TE CVA'!$AB$19)*(1-CUSTOS!$M$34)</f>
        <v>85.399999999999991</v>
      </c>
      <c r="AB773" s="6">
        <f>$K$773*$V$773</f>
        <v>0</v>
      </c>
      <c r="AC773" s="6">
        <f>$M$773*$W$773</f>
        <v>-1.4230799999999999</v>
      </c>
      <c r="AD773" s="6">
        <f>$O$773*$X$773</f>
        <v>-1.8417599999999998</v>
      </c>
      <c r="AE773" s="6">
        <f>$K$773*$Y$773</f>
        <v>0</v>
      </c>
      <c r="AF773" s="6">
        <f ca="1">$M$773*$Z$773</f>
        <v>-1.898631</v>
      </c>
      <c r="AG773" s="6">
        <f ca="1">$O$773*$AA$773</f>
        <v>-1.5371999999999997</v>
      </c>
    </row>
    <row r="774" spans="1:33" ht="11.25" customHeight="1" x14ac:dyDescent="0.3">
      <c r="A774" s="4" t="s">
        <v>21</v>
      </c>
      <c r="B774" s="4" t="s">
        <v>22</v>
      </c>
      <c r="C774" s="4" t="s">
        <v>23</v>
      </c>
      <c r="D774" s="4" t="s">
        <v>24</v>
      </c>
      <c r="E774" s="4" t="s">
        <v>29</v>
      </c>
      <c r="F774" s="4" t="s">
        <v>25</v>
      </c>
      <c r="G774" s="4" t="s">
        <v>25</v>
      </c>
      <c r="H774" s="4" t="s">
        <v>25</v>
      </c>
      <c r="I774" s="5">
        <v>44652</v>
      </c>
      <c r="J774" s="6">
        <v>0</v>
      </c>
      <c r="K774" s="6">
        <v>0</v>
      </c>
      <c r="L774" s="6">
        <v>189.18700000000001</v>
      </c>
      <c r="M774" s="6">
        <v>189.18700000000001</v>
      </c>
      <c r="N774" s="6">
        <v>189.18700000000001</v>
      </c>
      <c r="O774" s="6">
        <v>189.18700000000001</v>
      </c>
      <c r="P774" s="6">
        <v>195</v>
      </c>
      <c r="Q774" s="4" t="s">
        <v>26</v>
      </c>
      <c r="R774" s="4">
        <v>0</v>
      </c>
      <c r="S774" s="6">
        <v>0</v>
      </c>
      <c r="T774" s="6">
        <v>39</v>
      </c>
      <c r="U774" s="6">
        <v>98</v>
      </c>
      <c r="V774" s="6">
        <f>IF(ISERROR(VLOOKUP($S$774,'TAR FIN'!$A$1:$O$113,15,0)),0,VLOOKUP($S$774,'TAR FIN'!$A$1:$O$113,15,0))</f>
        <v>0</v>
      </c>
      <c r="W774" s="6">
        <f>IF(ISERROR(VLOOKUP($T$774,'TAR FIN'!$A$1:$O$113,15,0)),0,VLOOKUP($T$774,'TAR FIN'!$A$1:$O$113,15,0))</f>
        <v>79.06</v>
      </c>
      <c r="X774" s="6">
        <f>IF(ISERROR(VLOOKUP($U$774,'TAR FIN'!$A$1:$O$113,15,0)),0,VLOOKUP($U$774,'TAR FIN'!$A$1:$O$113,15,0))</f>
        <v>102.32</v>
      </c>
      <c r="Y774" s="6"/>
      <c r="Z774" s="6">
        <f ca="1">('TUSD BE'!$AM$41+'TUSD BF_350'!$AM$41+'TUSD CVA'!$AM$41-('TUSD BE'!$P$41+'TUSD BF_350'!$P$41+'TUSD CVA'!$P$41)-('TUSD BE'!$Q$41+'TUSD BF_350'!$Q$41+'TUSD CVA'!$Q$41)-('TUSD BE'!$R$41+'TUSD BF_350'!$R$41+'TUSD CVA'!$R$41))*(1-CUSTOS!$M$34)</f>
        <v>105.4795</v>
      </c>
      <c r="AA774" s="6">
        <f ca="1">('TE BE'!$AB$19+'TE BF_350'!$AB$19+'TE CVA'!$AB$19)*(1-CUSTOS!$M$34)</f>
        <v>85.399999999999991</v>
      </c>
      <c r="AB774" s="6">
        <f>$K$774*$V$774</f>
        <v>0</v>
      </c>
      <c r="AC774" s="6">
        <f>$M$774*$W$774</f>
        <v>14957.124220000002</v>
      </c>
      <c r="AD774" s="6">
        <f>$O$774*$X$774</f>
        <v>19357.613839999998</v>
      </c>
      <c r="AE774" s="6">
        <f>$K$774*$Y$774</f>
        <v>0</v>
      </c>
      <c r="AF774" s="6">
        <f ca="1">$M$774*$Z$774</f>
        <v>19955.3501665</v>
      </c>
      <c r="AG774" s="6">
        <f ca="1">$O$774*$AA$774</f>
        <v>16156.569799999999</v>
      </c>
    </row>
    <row r="775" spans="1:33" ht="11.25" customHeight="1" x14ac:dyDescent="0.3">
      <c r="A775" s="4" t="s">
        <v>27</v>
      </c>
      <c r="B775" s="4" t="s">
        <v>22</v>
      </c>
      <c r="C775" s="4" t="s">
        <v>23</v>
      </c>
      <c r="D775" s="4" t="s">
        <v>24</v>
      </c>
      <c r="E775" s="4" t="s">
        <v>29</v>
      </c>
      <c r="F775" s="4" t="s">
        <v>25</v>
      </c>
      <c r="G775" s="4" t="s">
        <v>25</v>
      </c>
      <c r="H775" s="4" t="s">
        <v>25</v>
      </c>
      <c r="I775" s="5">
        <v>44652</v>
      </c>
      <c r="J775" s="6">
        <v>0</v>
      </c>
      <c r="K775" s="6">
        <v>0</v>
      </c>
      <c r="L775" s="6">
        <v>0.09</v>
      </c>
      <c r="M775" s="6">
        <v>0.09</v>
      </c>
      <c r="N775" s="6">
        <v>0.09</v>
      </c>
      <c r="O775" s="6">
        <v>0.09</v>
      </c>
      <c r="P775" s="6">
        <v>0</v>
      </c>
      <c r="Q775" s="4" t="s">
        <v>26</v>
      </c>
      <c r="R775" s="4">
        <v>0</v>
      </c>
      <c r="S775" s="6">
        <v>0</v>
      </c>
      <c r="T775" s="6">
        <v>39</v>
      </c>
      <c r="U775" s="6">
        <v>98</v>
      </c>
      <c r="V775" s="6">
        <f>IF(ISERROR(VLOOKUP($S$775,'TAR FIN'!$A$1:$O$113,15,0)),0,VLOOKUP($S$775,'TAR FIN'!$A$1:$O$113,15,0))</f>
        <v>0</v>
      </c>
      <c r="W775" s="6">
        <f>IF(ISERROR(VLOOKUP($T$775,'TAR FIN'!$A$1:$O$113,15,0)),0,VLOOKUP($T$775,'TAR FIN'!$A$1:$O$113,15,0))</f>
        <v>79.06</v>
      </c>
      <c r="X775" s="6">
        <f>IF(ISERROR(VLOOKUP($U$775,'TAR FIN'!$A$1:$O$113,15,0)),0,VLOOKUP($U$775,'TAR FIN'!$A$1:$O$113,15,0))</f>
        <v>102.32</v>
      </c>
      <c r="Y775" s="6"/>
      <c r="Z775" s="6">
        <f ca="1">('TUSD BE'!$AM$41+'TUSD BF_350'!$AM$41+'TUSD CVA'!$AM$41-('TUSD BE'!$P$41+'TUSD BF_350'!$P$41+'TUSD CVA'!$P$41)-('TUSD BE'!$Q$41+'TUSD BF_350'!$Q$41+'TUSD CVA'!$Q$41)-('TUSD BE'!$R$41+'TUSD BF_350'!$R$41+'TUSD CVA'!$R$41))*(1-CUSTOS!$M$34)</f>
        <v>105.4795</v>
      </c>
      <c r="AA775" s="6">
        <f ca="1">('TE BE'!$AB$19+'TE BF_350'!$AB$19+'TE CVA'!$AB$19)*(1-CUSTOS!$M$34)</f>
        <v>85.399999999999991</v>
      </c>
      <c r="AB775" s="6">
        <f>$K$775*$V$775</f>
        <v>0</v>
      </c>
      <c r="AC775" s="6">
        <f>$M$775*$W$775</f>
        <v>7.1154000000000002</v>
      </c>
      <c r="AD775" s="6">
        <f>$O$775*$X$775</f>
        <v>9.2087999999999983</v>
      </c>
      <c r="AE775" s="6">
        <f>$K$775*$Y$775</f>
        <v>0</v>
      </c>
      <c r="AF775" s="6">
        <f ca="1">$M$775*$Z$775</f>
        <v>9.4931549999999998</v>
      </c>
      <c r="AG775" s="6">
        <f ca="1">$O$775*$AA$775</f>
        <v>7.6859999999999991</v>
      </c>
    </row>
    <row r="776" spans="1:33" ht="11.25" customHeight="1" x14ac:dyDescent="0.3">
      <c r="A776" s="4" t="s">
        <v>28</v>
      </c>
      <c r="B776" s="4" t="s">
        <v>22</v>
      </c>
      <c r="C776" s="4" t="s">
        <v>23</v>
      </c>
      <c r="D776" s="4" t="s">
        <v>24</v>
      </c>
      <c r="E776" s="4" t="s">
        <v>29</v>
      </c>
      <c r="F776" s="4" t="s">
        <v>25</v>
      </c>
      <c r="G776" s="4" t="s">
        <v>25</v>
      </c>
      <c r="H776" s="4" t="s">
        <v>25</v>
      </c>
      <c r="I776" s="5">
        <v>44652</v>
      </c>
      <c r="J776" s="6">
        <v>0</v>
      </c>
      <c r="K776" s="6">
        <v>0</v>
      </c>
      <c r="L776" s="6">
        <v>0.03</v>
      </c>
      <c r="M776" s="6">
        <v>-8.9999999999999993E-3</v>
      </c>
      <c r="N776" s="6">
        <v>0.03</v>
      </c>
      <c r="O776" s="6">
        <v>-8.9999999999999993E-3</v>
      </c>
      <c r="P776" s="6">
        <v>0</v>
      </c>
      <c r="Q776" s="4" t="s">
        <v>26</v>
      </c>
      <c r="R776" s="4">
        <v>0</v>
      </c>
      <c r="S776" s="6">
        <v>0</v>
      </c>
      <c r="T776" s="6">
        <v>39</v>
      </c>
      <c r="U776" s="6">
        <v>98</v>
      </c>
      <c r="V776" s="6">
        <f>IF(ISERROR(VLOOKUP($S$776,'TAR FIN'!$A$1:$O$113,15,0)),0,VLOOKUP($S$776,'TAR FIN'!$A$1:$O$113,15,0))</f>
        <v>0</v>
      </c>
      <c r="W776" s="6">
        <f>IF(ISERROR(VLOOKUP($T$776,'TAR FIN'!$A$1:$O$113,15,0)),0,VLOOKUP($T$776,'TAR FIN'!$A$1:$O$113,15,0))</f>
        <v>79.06</v>
      </c>
      <c r="X776" s="6">
        <f>IF(ISERROR(VLOOKUP($U$776,'TAR FIN'!$A$1:$O$113,15,0)),0,VLOOKUP($U$776,'TAR FIN'!$A$1:$O$113,15,0))</f>
        <v>102.32</v>
      </c>
      <c r="Y776" s="6"/>
      <c r="Z776" s="6">
        <f ca="1">('TUSD BE'!$AM$41+'TUSD BF_350'!$AM$41+'TUSD CVA'!$AM$41-('TUSD BE'!$P$41+'TUSD BF_350'!$P$41+'TUSD CVA'!$P$41)-('TUSD BE'!$Q$41+'TUSD BF_350'!$Q$41+'TUSD CVA'!$Q$41)-('TUSD BE'!$R$41+'TUSD BF_350'!$R$41+'TUSD CVA'!$R$41))*(1-CUSTOS!$M$34)</f>
        <v>105.4795</v>
      </c>
      <c r="AA776" s="6">
        <f ca="1">('TE BE'!$AB$19+'TE BF_350'!$AB$19+'TE CVA'!$AB$19)*(1-CUSTOS!$M$34)</f>
        <v>85.399999999999991</v>
      </c>
      <c r="AB776" s="6">
        <f>$K$776*$V$776</f>
        <v>0</v>
      </c>
      <c r="AC776" s="6">
        <f>$M$776*$W$776</f>
        <v>-0.71153999999999995</v>
      </c>
      <c r="AD776" s="6">
        <f>$O$776*$X$776</f>
        <v>-0.92087999999999992</v>
      </c>
      <c r="AE776" s="6">
        <f>$K$776*$Y$776</f>
        <v>0</v>
      </c>
      <c r="AF776" s="6">
        <f ca="1">$M$776*$Z$776</f>
        <v>-0.94931549999999998</v>
      </c>
      <c r="AG776" s="6">
        <f ca="1">$O$776*$AA$776</f>
        <v>-0.76859999999999984</v>
      </c>
    </row>
    <row r="777" spans="1:33" ht="11.25" customHeight="1" x14ac:dyDescent="0.3">
      <c r="A777" s="4" t="s">
        <v>21</v>
      </c>
      <c r="B777" s="4" t="s">
        <v>22</v>
      </c>
      <c r="C777" s="4" t="s">
        <v>23</v>
      </c>
      <c r="D777" s="4" t="s">
        <v>24</v>
      </c>
      <c r="E777" s="4" t="s">
        <v>29</v>
      </c>
      <c r="F777" s="4" t="s">
        <v>25</v>
      </c>
      <c r="G777" s="4" t="s">
        <v>25</v>
      </c>
      <c r="H777" s="4" t="s">
        <v>25</v>
      </c>
      <c r="I777" s="5">
        <v>44682</v>
      </c>
      <c r="J777" s="6">
        <v>0</v>
      </c>
      <c r="K777" s="6">
        <v>0</v>
      </c>
      <c r="L777" s="6">
        <v>193.66300000000001</v>
      </c>
      <c r="M777" s="6">
        <v>193.66300000000001</v>
      </c>
      <c r="N777" s="6">
        <v>193.66300000000001</v>
      </c>
      <c r="O777" s="6">
        <v>193.66300000000001</v>
      </c>
      <c r="P777" s="6">
        <v>213</v>
      </c>
      <c r="Q777" s="4" t="s">
        <v>26</v>
      </c>
      <c r="R777" s="4">
        <v>0</v>
      </c>
      <c r="S777" s="6">
        <v>0</v>
      </c>
      <c r="T777" s="6">
        <v>39</v>
      </c>
      <c r="U777" s="6">
        <v>98</v>
      </c>
      <c r="V777" s="6">
        <f>IF(ISERROR(VLOOKUP($S$777,'TAR FIN'!$A$1:$O$113,15,0)),0,VLOOKUP($S$777,'TAR FIN'!$A$1:$O$113,15,0))</f>
        <v>0</v>
      </c>
      <c r="W777" s="6">
        <f>IF(ISERROR(VLOOKUP($T$777,'TAR FIN'!$A$1:$O$113,15,0)),0,VLOOKUP($T$777,'TAR FIN'!$A$1:$O$113,15,0))</f>
        <v>79.06</v>
      </c>
      <c r="X777" s="6">
        <f>IF(ISERROR(VLOOKUP($U$777,'TAR FIN'!$A$1:$O$113,15,0)),0,VLOOKUP($U$777,'TAR FIN'!$A$1:$O$113,15,0))</f>
        <v>102.32</v>
      </c>
      <c r="Y777" s="6"/>
      <c r="Z777" s="6">
        <f ca="1">('TUSD BE'!$AM$41+'TUSD BF_350'!$AM$41+'TUSD CVA'!$AM$41-('TUSD BE'!$P$41+'TUSD BF_350'!$P$41+'TUSD CVA'!$P$41)-('TUSD BE'!$Q$41+'TUSD BF_350'!$Q$41+'TUSD CVA'!$Q$41)-('TUSD BE'!$R$41+'TUSD BF_350'!$R$41+'TUSD CVA'!$R$41))*(1-CUSTOS!$M$34)</f>
        <v>105.4795</v>
      </c>
      <c r="AA777" s="6">
        <f ca="1">('TE BE'!$AB$19+'TE BF_350'!$AB$19+'TE CVA'!$AB$19)*(1-CUSTOS!$M$34)</f>
        <v>85.399999999999991</v>
      </c>
      <c r="AB777" s="6">
        <f>$K$777*$V$777</f>
        <v>0</v>
      </c>
      <c r="AC777" s="6">
        <f>$M$777*$W$777</f>
        <v>15310.996780000001</v>
      </c>
      <c r="AD777" s="6">
        <f>$O$777*$X$777</f>
        <v>19815.598160000001</v>
      </c>
      <c r="AE777" s="6">
        <f>$K$777*$Y$777</f>
        <v>0</v>
      </c>
      <c r="AF777" s="6">
        <f ca="1">$M$777*$Z$777</f>
        <v>20427.476408500002</v>
      </c>
      <c r="AG777" s="6">
        <f ca="1">$O$777*$AA$777</f>
        <v>16538.820199999998</v>
      </c>
    </row>
    <row r="778" spans="1:33" ht="11.25" customHeight="1" x14ac:dyDescent="0.3">
      <c r="A778" s="4" t="s">
        <v>28</v>
      </c>
      <c r="B778" s="4" t="s">
        <v>22</v>
      </c>
      <c r="C778" s="4" t="s">
        <v>23</v>
      </c>
      <c r="D778" s="4" t="s">
        <v>24</v>
      </c>
      <c r="E778" s="4" t="s">
        <v>29</v>
      </c>
      <c r="F778" s="4" t="s">
        <v>25</v>
      </c>
      <c r="G778" s="4" t="s">
        <v>25</v>
      </c>
      <c r="H778" s="4" t="s">
        <v>25</v>
      </c>
      <c r="I778" s="5">
        <v>44682</v>
      </c>
      <c r="J778" s="6">
        <v>0</v>
      </c>
      <c r="K778" s="6">
        <v>0</v>
      </c>
      <c r="L778" s="6">
        <v>5.0999999999999997E-2</v>
      </c>
      <c r="M778" s="6">
        <v>-1.5299999999999999E-2</v>
      </c>
      <c r="N778" s="6">
        <v>5.0999999999999997E-2</v>
      </c>
      <c r="O778" s="6">
        <v>-1.5299999999999999E-2</v>
      </c>
      <c r="P778" s="6">
        <v>0</v>
      </c>
      <c r="Q778" s="4" t="s">
        <v>26</v>
      </c>
      <c r="R778" s="4">
        <v>0</v>
      </c>
      <c r="S778" s="6">
        <v>0</v>
      </c>
      <c r="T778" s="6">
        <v>39</v>
      </c>
      <c r="U778" s="6">
        <v>98</v>
      </c>
      <c r="V778" s="6">
        <f>IF(ISERROR(VLOOKUP($S$778,'TAR FIN'!$A$1:$O$113,15,0)),0,VLOOKUP($S$778,'TAR FIN'!$A$1:$O$113,15,0))</f>
        <v>0</v>
      </c>
      <c r="W778" s="6">
        <f>IF(ISERROR(VLOOKUP($T$778,'TAR FIN'!$A$1:$O$113,15,0)),0,VLOOKUP($T$778,'TAR FIN'!$A$1:$O$113,15,0))</f>
        <v>79.06</v>
      </c>
      <c r="X778" s="6">
        <f>IF(ISERROR(VLOOKUP($U$778,'TAR FIN'!$A$1:$O$113,15,0)),0,VLOOKUP($U$778,'TAR FIN'!$A$1:$O$113,15,0))</f>
        <v>102.32</v>
      </c>
      <c r="Y778" s="6"/>
      <c r="Z778" s="6">
        <f ca="1">('TUSD BE'!$AM$41+'TUSD BF_350'!$AM$41+'TUSD CVA'!$AM$41-('TUSD BE'!$P$41+'TUSD BF_350'!$P$41+'TUSD CVA'!$P$41)-('TUSD BE'!$Q$41+'TUSD BF_350'!$Q$41+'TUSD CVA'!$Q$41)-('TUSD BE'!$R$41+'TUSD BF_350'!$R$41+'TUSD CVA'!$R$41))*(1-CUSTOS!$M$34)</f>
        <v>105.4795</v>
      </c>
      <c r="AA778" s="6">
        <f ca="1">('TE BE'!$AB$19+'TE BF_350'!$AB$19+'TE CVA'!$AB$19)*(1-CUSTOS!$M$34)</f>
        <v>85.399999999999991</v>
      </c>
      <c r="AB778" s="6">
        <f>$K$778*$V$778</f>
        <v>0</v>
      </c>
      <c r="AC778" s="6">
        <f>$M$778*$W$778</f>
        <v>-1.2096180000000001</v>
      </c>
      <c r="AD778" s="6">
        <f>$O$778*$X$778</f>
        <v>-1.5654959999999998</v>
      </c>
      <c r="AE778" s="6">
        <f>$K$778*$Y$778</f>
        <v>0</v>
      </c>
      <c r="AF778" s="6">
        <f ca="1">$M$778*$Z$778</f>
        <v>-1.6138363499999999</v>
      </c>
      <c r="AG778" s="6">
        <f ca="1">$O$778*$AA$778</f>
        <v>-1.3066199999999999</v>
      </c>
    </row>
    <row r="779" spans="1:33" ht="11.25" customHeight="1" x14ac:dyDescent="0.3">
      <c r="A779" s="4" t="s">
        <v>21</v>
      </c>
      <c r="B779" s="4" t="s">
        <v>22</v>
      </c>
      <c r="C779" s="4" t="s">
        <v>23</v>
      </c>
      <c r="D779" s="4" t="s">
        <v>24</v>
      </c>
      <c r="E779" s="4" t="s">
        <v>29</v>
      </c>
      <c r="F779" s="4" t="s">
        <v>25</v>
      </c>
      <c r="G779" s="4" t="s">
        <v>25</v>
      </c>
      <c r="H779" s="4" t="s">
        <v>25</v>
      </c>
      <c r="I779" s="5">
        <v>44713</v>
      </c>
      <c r="J779" s="6">
        <v>0</v>
      </c>
      <c r="K779" s="6">
        <v>0</v>
      </c>
      <c r="L779" s="6">
        <v>187.27</v>
      </c>
      <c r="M779" s="6">
        <v>187.27</v>
      </c>
      <c r="N779" s="6">
        <v>187.27</v>
      </c>
      <c r="O779" s="6">
        <v>187.27</v>
      </c>
      <c r="P779" s="6">
        <v>228</v>
      </c>
      <c r="Q779" s="4" t="s">
        <v>26</v>
      </c>
      <c r="R779" s="4">
        <v>0</v>
      </c>
      <c r="S779" s="6">
        <v>0</v>
      </c>
      <c r="T779" s="6">
        <v>39</v>
      </c>
      <c r="U779" s="6">
        <v>98</v>
      </c>
      <c r="V779" s="6">
        <f>IF(ISERROR(VLOOKUP($S$779,'TAR FIN'!$A$1:$O$113,15,0)),0,VLOOKUP($S$779,'TAR FIN'!$A$1:$O$113,15,0))</f>
        <v>0</v>
      </c>
      <c r="W779" s="6">
        <f>IF(ISERROR(VLOOKUP($T$779,'TAR FIN'!$A$1:$O$113,15,0)),0,VLOOKUP($T$779,'TAR FIN'!$A$1:$O$113,15,0))</f>
        <v>79.06</v>
      </c>
      <c r="X779" s="6">
        <f>IF(ISERROR(VLOOKUP($U$779,'TAR FIN'!$A$1:$O$113,15,0)),0,VLOOKUP($U$779,'TAR FIN'!$A$1:$O$113,15,0))</f>
        <v>102.32</v>
      </c>
      <c r="Y779" s="6"/>
      <c r="Z779" s="6">
        <f ca="1">('TUSD BE'!$AM$41+'TUSD BF_350'!$AM$41+'TUSD CVA'!$AM$41-('TUSD BE'!$P$41+'TUSD BF_350'!$P$41+'TUSD CVA'!$P$41)-('TUSD BE'!$Q$41+'TUSD BF_350'!$Q$41+'TUSD CVA'!$Q$41)-('TUSD BE'!$R$41+'TUSD BF_350'!$R$41+'TUSD CVA'!$R$41))*(1-CUSTOS!$M$34)</f>
        <v>105.4795</v>
      </c>
      <c r="AA779" s="6">
        <f ca="1">('TE BE'!$AB$19+'TE BF_350'!$AB$19+'TE CVA'!$AB$19)*(1-CUSTOS!$M$34)</f>
        <v>85.399999999999991</v>
      </c>
      <c r="AB779" s="6">
        <f>$K$779*$V$779</f>
        <v>0</v>
      </c>
      <c r="AC779" s="6">
        <f>$M$779*$W$779</f>
        <v>14805.566200000001</v>
      </c>
      <c r="AD779" s="6">
        <f>$O$779*$X$779</f>
        <v>19161.466400000001</v>
      </c>
      <c r="AE779" s="6">
        <f>$K$779*$Y$779</f>
        <v>0</v>
      </c>
      <c r="AF779" s="6">
        <f ca="1">$M$779*$Z$779</f>
        <v>19753.145965</v>
      </c>
      <c r="AG779" s="6">
        <f ca="1">$O$779*$AA$779</f>
        <v>15992.858</v>
      </c>
    </row>
    <row r="780" spans="1:33" ht="11.25" customHeight="1" x14ac:dyDescent="0.3">
      <c r="A780" s="4" t="s">
        <v>28</v>
      </c>
      <c r="B780" s="4" t="s">
        <v>22</v>
      </c>
      <c r="C780" s="4" t="s">
        <v>23</v>
      </c>
      <c r="D780" s="4" t="s">
        <v>24</v>
      </c>
      <c r="E780" s="4" t="s">
        <v>29</v>
      </c>
      <c r="F780" s="4" t="s">
        <v>25</v>
      </c>
      <c r="G780" s="4" t="s">
        <v>25</v>
      </c>
      <c r="H780" s="4" t="s">
        <v>25</v>
      </c>
      <c r="I780" s="5">
        <v>44713</v>
      </c>
      <c r="J780" s="6">
        <v>0</v>
      </c>
      <c r="K780" s="6">
        <v>0</v>
      </c>
      <c r="L780" s="6">
        <v>2.5999999999999999E-2</v>
      </c>
      <c r="M780" s="6">
        <v>-7.7999999999999996E-3</v>
      </c>
      <c r="N780" s="6">
        <v>2.5999999999999999E-2</v>
      </c>
      <c r="O780" s="6">
        <v>-7.7999999999999996E-3</v>
      </c>
      <c r="P780" s="6">
        <v>0</v>
      </c>
      <c r="Q780" s="4" t="s">
        <v>26</v>
      </c>
      <c r="R780" s="4">
        <v>0</v>
      </c>
      <c r="S780" s="6">
        <v>0</v>
      </c>
      <c r="T780" s="6">
        <v>39</v>
      </c>
      <c r="U780" s="6">
        <v>98</v>
      </c>
      <c r="V780" s="6">
        <f>IF(ISERROR(VLOOKUP($S$780,'TAR FIN'!$A$1:$O$113,15,0)),0,VLOOKUP($S$780,'TAR FIN'!$A$1:$O$113,15,0))</f>
        <v>0</v>
      </c>
      <c r="W780" s="6">
        <f>IF(ISERROR(VLOOKUP($T$780,'TAR FIN'!$A$1:$O$113,15,0)),0,VLOOKUP($T$780,'TAR FIN'!$A$1:$O$113,15,0))</f>
        <v>79.06</v>
      </c>
      <c r="X780" s="6">
        <f>IF(ISERROR(VLOOKUP($U$780,'TAR FIN'!$A$1:$O$113,15,0)),0,VLOOKUP($U$780,'TAR FIN'!$A$1:$O$113,15,0))</f>
        <v>102.32</v>
      </c>
      <c r="Y780" s="6"/>
      <c r="Z780" s="6">
        <f ca="1">('TUSD BE'!$AM$41+'TUSD BF_350'!$AM$41+'TUSD CVA'!$AM$41-('TUSD BE'!$P$41+'TUSD BF_350'!$P$41+'TUSD CVA'!$P$41)-('TUSD BE'!$Q$41+'TUSD BF_350'!$Q$41+'TUSD CVA'!$Q$41)-('TUSD BE'!$R$41+'TUSD BF_350'!$R$41+'TUSD CVA'!$R$41))*(1-CUSTOS!$M$34)</f>
        <v>105.4795</v>
      </c>
      <c r="AA780" s="6">
        <f ca="1">('TE BE'!$AB$19+'TE BF_350'!$AB$19+'TE CVA'!$AB$19)*(1-CUSTOS!$M$34)</f>
        <v>85.399999999999991</v>
      </c>
      <c r="AB780" s="6">
        <f>$K$780*$V$780</f>
        <v>0</v>
      </c>
      <c r="AC780" s="6">
        <f>$M$780*$W$780</f>
        <v>-0.61666799999999999</v>
      </c>
      <c r="AD780" s="6">
        <f>$O$780*$X$780</f>
        <v>-0.79809599999999992</v>
      </c>
      <c r="AE780" s="6">
        <f>$K$780*$Y$780</f>
        <v>0</v>
      </c>
      <c r="AF780" s="6">
        <f ca="1">$M$780*$Z$780</f>
        <v>-0.82274009999999997</v>
      </c>
      <c r="AG780" s="6">
        <f ca="1">$O$780*$AA$780</f>
        <v>-0.66611999999999993</v>
      </c>
    </row>
    <row r="781" spans="1:33" ht="11.25" customHeight="1" x14ac:dyDescent="0.3">
      <c r="A781" s="4" t="s">
        <v>21</v>
      </c>
      <c r="B781" s="4" t="s">
        <v>22</v>
      </c>
      <c r="C781" s="4" t="s">
        <v>23</v>
      </c>
      <c r="D781" s="4" t="s">
        <v>24</v>
      </c>
      <c r="E781" s="4" t="s">
        <v>29</v>
      </c>
      <c r="F781" s="4" t="s">
        <v>25</v>
      </c>
      <c r="G781" s="4" t="s">
        <v>25</v>
      </c>
      <c r="H781" s="4" t="s">
        <v>25</v>
      </c>
      <c r="I781" s="5">
        <v>44743</v>
      </c>
      <c r="J781" s="6">
        <v>0</v>
      </c>
      <c r="K781" s="6">
        <v>0</v>
      </c>
      <c r="L781" s="6">
        <v>177.684</v>
      </c>
      <c r="M781" s="6">
        <v>177.684</v>
      </c>
      <c r="N781" s="6">
        <v>177.684</v>
      </c>
      <c r="O781" s="6">
        <v>177.684</v>
      </c>
      <c r="P781" s="6">
        <v>231</v>
      </c>
      <c r="Q781" s="4" t="s">
        <v>26</v>
      </c>
      <c r="R781" s="4">
        <v>0</v>
      </c>
      <c r="S781" s="6">
        <v>0</v>
      </c>
      <c r="T781" s="6">
        <v>39</v>
      </c>
      <c r="U781" s="6">
        <v>98</v>
      </c>
      <c r="V781" s="6">
        <f>IF(ISERROR(VLOOKUP($S$781,'TAR FIN'!$A$1:$O$113,15,0)),0,VLOOKUP($S$781,'TAR FIN'!$A$1:$O$113,15,0))</f>
        <v>0</v>
      </c>
      <c r="W781" s="6">
        <f>IF(ISERROR(VLOOKUP($T$781,'TAR FIN'!$A$1:$O$113,15,0)),0,VLOOKUP($T$781,'TAR FIN'!$A$1:$O$113,15,0))</f>
        <v>79.06</v>
      </c>
      <c r="X781" s="6">
        <f>IF(ISERROR(VLOOKUP($U$781,'TAR FIN'!$A$1:$O$113,15,0)),0,VLOOKUP($U$781,'TAR FIN'!$A$1:$O$113,15,0))</f>
        <v>102.32</v>
      </c>
      <c r="Y781" s="6"/>
      <c r="Z781" s="6">
        <f ca="1">('TUSD BE'!$AM$41+'TUSD BF_350'!$AM$41+'TUSD CVA'!$AM$41-('TUSD BE'!$P$41+'TUSD BF_350'!$P$41+'TUSD CVA'!$P$41)-('TUSD BE'!$Q$41+'TUSD BF_350'!$Q$41+'TUSD CVA'!$Q$41)-('TUSD BE'!$R$41+'TUSD BF_350'!$R$41+'TUSD CVA'!$R$41))*(1-CUSTOS!$M$34)</f>
        <v>105.4795</v>
      </c>
      <c r="AA781" s="6">
        <f ca="1">('TE BE'!$AB$19+'TE BF_350'!$AB$19+'TE CVA'!$AB$19)*(1-CUSTOS!$M$34)</f>
        <v>85.399999999999991</v>
      </c>
      <c r="AB781" s="6">
        <f>$K$781*$V$781</f>
        <v>0</v>
      </c>
      <c r="AC781" s="6">
        <f>$M$781*$W$781</f>
        <v>14047.697040000001</v>
      </c>
      <c r="AD781" s="6">
        <f>$O$781*$X$781</f>
        <v>18180.62688</v>
      </c>
      <c r="AE781" s="6">
        <f>$K$781*$Y$781</f>
        <v>0</v>
      </c>
      <c r="AF781" s="6">
        <f ca="1">$M$781*$Z$781</f>
        <v>18742.019477999998</v>
      </c>
      <c r="AG781" s="6">
        <f ca="1">$O$781*$AA$781</f>
        <v>15174.213599999999</v>
      </c>
    </row>
    <row r="782" spans="1:33" ht="11.25" customHeight="1" x14ac:dyDescent="0.3">
      <c r="A782" s="4" t="s">
        <v>21</v>
      </c>
      <c r="B782" s="4" t="s">
        <v>22</v>
      </c>
      <c r="C782" s="4" t="s">
        <v>23</v>
      </c>
      <c r="D782" s="4" t="s">
        <v>24</v>
      </c>
      <c r="E782" s="4" t="s">
        <v>29</v>
      </c>
      <c r="F782" s="4" t="s">
        <v>25</v>
      </c>
      <c r="G782" s="4" t="s">
        <v>25</v>
      </c>
      <c r="H782" s="4" t="s">
        <v>25</v>
      </c>
      <c r="I782" s="5">
        <v>44774</v>
      </c>
      <c r="J782" s="6">
        <v>0</v>
      </c>
      <c r="K782" s="6">
        <v>0</v>
      </c>
      <c r="L782" s="6">
        <v>183.559</v>
      </c>
      <c r="M782" s="6">
        <v>183.559</v>
      </c>
      <c r="N782" s="6">
        <v>183.559</v>
      </c>
      <c r="O782" s="6">
        <v>183.559</v>
      </c>
      <c r="P782" s="6">
        <v>233</v>
      </c>
      <c r="Q782" s="4" t="s">
        <v>26</v>
      </c>
      <c r="R782" s="4">
        <v>0</v>
      </c>
      <c r="S782" s="6">
        <v>0</v>
      </c>
      <c r="T782" s="6">
        <v>39</v>
      </c>
      <c r="U782" s="6">
        <v>98</v>
      </c>
      <c r="V782" s="6">
        <f>IF(ISERROR(VLOOKUP($S$782,'TAR FIN'!$A$1:$O$113,15,0)),0,VLOOKUP($S$782,'TAR FIN'!$A$1:$O$113,15,0))</f>
        <v>0</v>
      </c>
      <c r="W782" s="6">
        <f>IF(ISERROR(VLOOKUP($T$782,'TAR FIN'!$A$1:$O$113,15,0)),0,VLOOKUP($T$782,'TAR FIN'!$A$1:$O$113,15,0))</f>
        <v>79.06</v>
      </c>
      <c r="X782" s="6">
        <f>IF(ISERROR(VLOOKUP($U$782,'TAR FIN'!$A$1:$O$113,15,0)),0,VLOOKUP($U$782,'TAR FIN'!$A$1:$O$113,15,0))</f>
        <v>102.32</v>
      </c>
      <c r="Y782" s="6"/>
      <c r="Z782" s="6">
        <f ca="1">('TUSD BE'!$AM$41+'TUSD BF_350'!$AM$41+'TUSD CVA'!$AM$41-('TUSD BE'!$P$41+'TUSD BF_350'!$P$41+'TUSD CVA'!$P$41)-('TUSD BE'!$Q$41+'TUSD BF_350'!$Q$41+'TUSD CVA'!$Q$41)-('TUSD BE'!$R$41+'TUSD BF_350'!$R$41+'TUSD CVA'!$R$41))*(1-CUSTOS!$M$34)</f>
        <v>105.4795</v>
      </c>
      <c r="AA782" s="6">
        <f ca="1">('TE BE'!$AB$19+'TE BF_350'!$AB$19+'TE CVA'!$AB$19)*(1-CUSTOS!$M$34)</f>
        <v>85.399999999999991</v>
      </c>
      <c r="AB782" s="6">
        <f>$K$782*$V$782</f>
        <v>0</v>
      </c>
      <c r="AC782" s="6">
        <f>$M$782*$W$782</f>
        <v>14512.17454</v>
      </c>
      <c r="AD782" s="6">
        <f>$O$782*$X$782</f>
        <v>18781.756879999997</v>
      </c>
      <c r="AE782" s="6">
        <f>$K$782*$Y$782</f>
        <v>0</v>
      </c>
      <c r="AF782" s="6">
        <f ca="1">$M$782*$Z$782</f>
        <v>19361.7115405</v>
      </c>
      <c r="AG782" s="6">
        <f ca="1">$O$782*$AA$782</f>
        <v>15675.938599999998</v>
      </c>
    </row>
    <row r="783" spans="1:33" ht="11.25" customHeight="1" x14ac:dyDescent="0.3">
      <c r="A783" s="4" t="s">
        <v>27</v>
      </c>
      <c r="B783" s="4" t="s">
        <v>22</v>
      </c>
      <c r="C783" s="4" t="s">
        <v>23</v>
      </c>
      <c r="D783" s="4" t="s">
        <v>24</v>
      </c>
      <c r="E783" s="4" t="s">
        <v>29</v>
      </c>
      <c r="F783" s="4" t="s">
        <v>25</v>
      </c>
      <c r="G783" s="4" t="s">
        <v>25</v>
      </c>
      <c r="H783" s="4" t="s">
        <v>25</v>
      </c>
      <c r="I783" s="5">
        <v>44774</v>
      </c>
      <c r="J783" s="6">
        <v>0</v>
      </c>
      <c r="K783" s="6">
        <v>0</v>
      </c>
      <c r="L783" s="6">
        <v>-0.03</v>
      </c>
      <c r="M783" s="6">
        <v>-0.03</v>
      </c>
      <c r="N783" s="6">
        <v>-0.03</v>
      </c>
      <c r="O783" s="6">
        <v>-0.03</v>
      </c>
      <c r="P783" s="6">
        <v>0</v>
      </c>
      <c r="Q783" s="4" t="s">
        <v>26</v>
      </c>
      <c r="R783" s="4">
        <v>0</v>
      </c>
      <c r="S783" s="6">
        <v>0</v>
      </c>
      <c r="T783" s="6">
        <v>39</v>
      </c>
      <c r="U783" s="6">
        <v>98</v>
      </c>
      <c r="V783" s="6">
        <f>IF(ISERROR(VLOOKUP($S$783,'TAR FIN'!$A$1:$O$113,15,0)),0,VLOOKUP($S$783,'TAR FIN'!$A$1:$O$113,15,0))</f>
        <v>0</v>
      </c>
      <c r="W783" s="6">
        <f>IF(ISERROR(VLOOKUP($T$783,'TAR FIN'!$A$1:$O$113,15,0)),0,VLOOKUP($T$783,'TAR FIN'!$A$1:$O$113,15,0))</f>
        <v>79.06</v>
      </c>
      <c r="X783" s="6">
        <f>IF(ISERROR(VLOOKUP($U$783,'TAR FIN'!$A$1:$O$113,15,0)),0,VLOOKUP($U$783,'TAR FIN'!$A$1:$O$113,15,0))</f>
        <v>102.32</v>
      </c>
      <c r="Y783" s="6"/>
      <c r="Z783" s="6">
        <f ca="1">('TUSD BE'!$AM$41+'TUSD BF_350'!$AM$41+'TUSD CVA'!$AM$41-('TUSD BE'!$P$41+'TUSD BF_350'!$P$41+'TUSD CVA'!$P$41)-('TUSD BE'!$Q$41+'TUSD BF_350'!$Q$41+'TUSD CVA'!$Q$41)-('TUSD BE'!$R$41+'TUSD BF_350'!$R$41+'TUSD CVA'!$R$41))*(1-CUSTOS!$M$34)</f>
        <v>105.4795</v>
      </c>
      <c r="AA783" s="6">
        <f ca="1">('TE BE'!$AB$19+'TE BF_350'!$AB$19+'TE CVA'!$AB$19)*(1-CUSTOS!$M$34)</f>
        <v>85.399999999999991</v>
      </c>
      <c r="AB783" s="6">
        <f>$K$783*$V$783</f>
        <v>0</v>
      </c>
      <c r="AC783" s="6">
        <f>$M$783*$W$783</f>
        <v>-2.3717999999999999</v>
      </c>
      <c r="AD783" s="6">
        <f>$O$783*$X$783</f>
        <v>-3.0695999999999999</v>
      </c>
      <c r="AE783" s="6">
        <f>$K$783*$Y$783</f>
        <v>0</v>
      </c>
      <c r="AF783" s="6">
        <f ca="1">$M$783*$Z$783</f>
        <v>-3.1643849999999998</v>
      </c>
      <c r="AG783" s="6">
        <f ca="1">$O$783*$AA$783</f>
        <v>-2.5619999999999998</v>
      </c>
    </row>
    <row r="784" spans="1:33" ht="11.25" customHeight="1" x14ac:dyDescent="0.3">
      <c r="A784" s="4" t="s">
        <v>28</v>
      </c>
      <c r="B784" s="4" t="s">
        <v>22</v>
      </c>
      <c r="C784" s="4" t="s">
        <v>23</v>
      </c>
      <c r="D784" s="4" t="s">
        <v>24</v>
      </c>
      <c r="E784" s="4" t="s">
        <v>29</v>
      </c>
      <c r="F784" s="4" t="s">
        <v>25</v>
      </c>
      <c r="G784" s="4" t="s">
        <v>25</v>
      </c>
      <c r="H784" s="4" t="s">
        <v>25</v>
      </c>
      <c r="I784" s="5">
        <v>44774</v>
      </c>
      <c r="J784" s="6">
        <v>0</v>
      </c>
      <c r="K784" s="6">
        <v>0</v>
      </c>
      <c r="L784" s="6">
        <v>1.7000000000000001E-2</v>
      </c>
      <c r="M784" s="6">
        <v>5.9500000000000004E-3</v>
      </c>
      <c r="N784" s="6">
        <v>1.7000000000000001E-2</v>
      </c>
      <c r="O784" s="6">
        <v>5.9500000000000004E-3</v>
      </c>
      <c r="P784" s="6">
        <v>0</v>
      </c>
      <c r="Q784" s="4" t="s">
        <v>26</v>
      </c>
      <c r="R784" s="4">
        <v>0</v>
      </c>
      <c r="S784" s="6">
        <v>0</v>
      </c>
      <c r="T784" s="6">
        <v>39</v>
      </c>
      <c r="U784" s="6">
        <v>98</v>
      </c>
      <c r="V784" s="6">
        <f>IF(ISERROR(VLOOKUP($S$784,'TAR FIN'!$A$1:$O$113,15,0)),0,VLOOKUP($S$784,'TAR FIN'!$A$1:$O$113,15,0))</f>
        <v>0</v>
      </c>
      <c r="W784" s="6">
        <f>IF(ISERROR(VLOOKUP($T$784,'TAR FIN'!$A$1:$O$113,15,0)),0,VLOOKUP($T$784,'TAR FIN'!$A$1:$O$113,15,0))</f>
        <v>79.06</v>
      </c>
      <c r="X784" s="6">
        <f>IF(ISERROR(VLOOKUP($U$784,'TAR FIN'!$A$1:$O$113,15,0)),0,VLOOKUP($U$784,'TAR FIN'!$A$1:$O$113,15,0))</f>
        <v>102.32</v>
      </c>
      <c r="Y784" s="6"/>
      <c r="Z784" s="6">
        <f ca="1">('TUSD BE'!$AM$41+'TUSD BF_350'!$AM$41+'TUSD CVA'!$AM$41-('TUSD BE'!$P$41+'TUSD BF_350'!$P$41+'TUSD CVA'!$P$41)-('TUSD BE'!$Q$41+'TUSD BF_350'!$Q$41+'TUSD CVA'!$Q$41)-('TUSD BE'!$R$41+'TUSD BF_350'!$R$41+'TUSD CVA'!$R$41))*(1-CUSTOS!$M$34)</f>
        <v>105.4795</v>
      </c>
      <c r="AA784" s="6">
        <f ca="1">('TE BE'!$AB$19+'TE BF_350'!$AB$19+'TE CVA'!$AB$19)*(1-CUSTOS!$M$34)</f>
        <v>85.399999999999991</v>
      </c>
      <c r="AB784" s="6">
        <f>$K$784*$V$784</f>
        <v>0</v>
      </c>
      <c r="AC784" s="6">
        <f>$M$784*$W$784</f>
        <v>0.47040700000000002</v>
      </c>
      <c r="AD784" s="6">
        <f>$O$784*$X$784</f>
        <v>0.60880400000000001</v>
      </c>
      <c r="AE784" s="6">
        <f>$K$784*$Y$784</f>
        <v>0</v>
      </c>
      <c r="AF784" s="6">
        <f ca="1">$M$784*$Z$784</f>
        <v>0.62760302500000009</v>
      </c>
      <c r="AG784" s="6">
        <f ca="1">$O$784*$AA$784</f>
        <v>0.50812999999999997</v>
      </c>
    </row>
    <row r="785" spans="1:33" ht="11.25" customHeight="1" x14ac:dyDescent="0.3">
      <c r="A785" s="4" t="s">
        <v>21</v>
      </c>
      <c r="B785" s="4" t="s">
        <v>22</v>
      </c>
      <c r="C785" s="4" t="s">
        <v>23</v>
      </c>
      <c r="D785" s="4" t="s">
        <v>24</v>
      </c>
      <c r="E785" s="4" t="s">
        <v>29</v>
      </c>
      <c r="F785" s="4" t="s">
        <v>25</v>
      </c>
      <c r="G785" s="4" t="s">
        <v>25</v>
      </c>
      <c r="H785" s="4" t="s">
        <v>25</v>
      </c>
      <c r="I785" s="5">
        <v>44805</v>
      </c>
      <c r="J785" s="6">
        <v>0</v>
      </c>
      <c r="K785" s="6">
        <v>0</v>
      </c>
      <c r="L785" s="6">
        <v>183.197</v>
      </c>
      <c r="M785" s="6">
        <v>183.197</v>
      </c>
      <c r="N785" s="6">
        <v>183.197</v>
      </c>
      <c r="O785" s="6">
        <v>183.197</v>
      </c>
      <c r="P785" s="6">
        <v>202</v>
      </c>
      <c r="Q785" s="4" t="s">
        <v>26</v>
      </c>
      <c r="R785" s="4">
        <v>0</v>
      </c>
      <c r="S785" s="6">
        <v>0</v>
      </c>
      <c r="T785" s="6">
        <v>39</v>
      </c>
      <c r="U785" s="6">
        <v>98</v>
      </c>
      <c r="V785" s="6">
        <f>IF(ISERROR(VLOOKUP($S$785,'TAR FIN'!$A$1:$O$113,15,0)),0,VLOOKUP($S$785,'TAR FIN'!$A$1:$O$113,15,0))</f>
        <v>0</v>
      </c>
      <c r="W785" s="6">
        <f>IF(ISERROR(VLOOKUP($T$785,'TAR FIN'!$A$1:$O$113,15,0)),0,VLOOKUP($T$785,'TAR FIN'!$A$1:$O$113,15,0))</f>
        <v>79.06</v>
      </c>
      <c r="X785" s="6">
        <f>IF(ISERROR(VLOOKUP($U$785,'TAR FIN'!$A$1:$O$113,15,0)),0,VLOOKUP($U$785,'TAR FIN'!$A$1:$O$113,15,0))</f>
        <v>102.32</v>
      </c>
      <c r="Y785" s="6"/>
      <c r="Z785" s="6">
        <f ca="1">('TUSD BE'!$AM$41+'TUSD BF_350'!$AM$41+'TUSD CVA'!$AM$41-('TUSD BE'!$P$41+'TUSD BF_350'!$P$41+'TUSD CVA'!$P$41)-('TUSD BE'!$Q$41+'TUSD BF_350'!$Q$41+'TUSD CVA'!$Q$41)-('TUSD BE'!$R$41+'TUSD BF_350'!$R$41+'TUSD CVA'!$R$41))*(1-CUSTOS!$M$34)</f>
        <v>105.4795</v>
      </c>
      <c r="AA785" s="6">
        <f ca="1">('TE BE'!$AB$19+'TE BF_350'!$AB$19+'TE CVA'!$AB$19)*(1-CUSTOS!$M$34)</f>
        <v>85.399999999999991</v>
      </c>
      <c r="AB785" s="6">
        <f>$K$785*$V$785</f>
        <v>0</v>
      </c>
      <c r="AC785" s="6">
        <f>$M$785*$W$785</f>
        <v>14483.554820000001</v>
      </c>
      <c r="AD785" s="6">
        <f>$O$785*$X$785</f>
        <v>18744.71704</v>
      </c>
      <c r="AE785" s="6">
        <f>$K$785*$Y$785</f>
        <v>0</v>
      </c>
      <c r="AF785" s="6">
        <f ca="1">$M$785*$Z$785</f>
        <v>19323.5279615</v>
      </c>
      <c r="AG785" s="6">
        <f ca="1">$O$785*$AA$785</f>
        <v>15645.023799999999</v>
      </c>
    </row>
    <row r="786" spans="1:33" ht="11.25" customHeight="1" x14ac:dyDescent="0.3">
      <c r="A786" s="4" t="s">
        <v>27</v>
      </c>
      <c r="B786" s="4" t="s">
        <v>22</v>
      </c>
      <c r="C786" s="4" t="s">
        <v>23</v>
      </c>
      <c r="D786" s="4" t="s">
        <v>24</v>
      </c>
      <c r="E786" s="4" t="s">
        <v>29</v>
      </c>
      <c r="F786" s="4" t="s">
        <v>25</v>
      </c>
      <c r="G786" s="4" t="s">
        <v>25</v>
      </c>
      <c r="H786" s="4" t="s">
        <v>25</v>
      </c>
      <c r="I786" s="5">
        <v>44805</v>
      </c>
      <c r="J786" s="6">
        <v>0</v>
      </c>
      <c r="K786" s="6">
        <v>0</v>
      </c>
      <c r="L786" s="6">
        <v>-0.06</v>
      </c>
      <c r="M786" s="6">
        <v>-0.06</v>
      </c>
      <c r="N786" s="6">
        <v>-0.06</v>
      </c>
      <c r="O786" s="6">
        <v>-0.06</v>
      </c>
      <c r="P786" s="6">
        <v>0</v>
      </c>
      <c r="Q786" s="4" t="s">
        <v>26</v>
      </c>
      <c r="R786" s="4">
        <v>0</v>
      </c>
      <c r="S786" s="6">
        <v>0</v>
      </c>
      <c r="T786" s="6">
        <v>39</v>
      </c>
      <c r="U786" s="6">
        <v>98</v>
      </c>
      <c r="V786" s="6">
        <f>IF(ISERROR(VLOOKUP($S$786,'TAR FIN'!$A$1:$O$113,15,0)),0,VLOOKUP($S$786,'TAR FIN'!$A$1:$O$113,15,0))</f>
        <v>0</v>
      </c>
      <c r="W786" s="6">
        <f>IF(ISERROR(VLOOKUP($T$786,'TAR FIN'!$A$1:$O$113,15,0)),0,VLOOKUP($T$786,'TAR FIN'!$A$1:$O$113,15,0))</f>
        <v>79.06</v>
      </c>
      <c r="X786" s="6">
        <f>IF(ISERROR(VLOOKUP($U$786,'TAR FIN'!$A$1:$O$113,15,0)),0,VLOOKUP($U$786,'TAR FIN'!$A$1:$O$113,15,0))</f>
        <v>102.32</v>
      </c>
      <c r="Y786" s="6"/>
      <c r="Z786" s="6">
        <f ca="1">('TUSD BE'!$AM$41+'TUSD BF_350'!$AM$41+'TUSD CVA'!$AM$41-('TUSD BE'!$P$41+'TUSD BF_350'!$P$41+'TUSD CVA'!$P$41)-('TUSD BE'!$Q$41+'TUSD BF_350'!$Q$41+'TUSD CVA'!$Q$41)-('TUSD BE'!$R$41+'TUSD BF_350'!$R$41+'TUSD CVA'!$R$41))*(1-CUSTOS!$M$34)</f>
        <v>105.4795</v>
      </c>
      <c r="AA786" s="6">
        <f ca="1">('TE BE'!$AB$19+'TE BF_350'!$AB$19+'TE CVA'!$AB$19)*(1-CUSTOS!$M$34)</f>
        <v>85.399999999999991</v>
      </c>
      <c r="AB786" s="6">
        <f>$K$786*$V$786</f>
        <v>0</v>
      </c>
      <c r="AC786" s="6">
        <f>$M$786*$W$786</f>
        <v>-4.7435999999999998</v>
      </c>
      <c r="AD786" s="6">
        <f>$O$786*$X$786</f>
        <v>-6.1391999999999998</v>
      </c>
      <c r="AE786" s="6">
        <f>$K$786*$Y$786</f>
        <v>0</v>
      </c>
      <c r="AF786" s="6">
        <f ca="1">$M$786*$Z$786</f>
        <v>-6.3287699999999996</v>
      </c>
      <c r="AG786" s="6">
        <f ca="1">$O$786*$AA$786</f>
        <v>-5.1239999999999997</v>
      </c>
    </row>
    <row r="787" spans="1:33" ht="11.25" customHeight="1" x14ac:dyDescent="0.3">
      <c r="A787" s="4" t="s">
        <v>28</v>
      </c>
      <c r="B787" s="4" t="s">
        <v>22</v>
      </c>
      <c r="C787" s="4" t="s">
        <v>23</v>
      </c>
      <c r="D787" s="4" t="s">
        <v>24</v>
      </c>
      <c r="E787" s="4" t="s">
        <v>29</v>
      </c>
      <c r="F787" s="4" t="s">
        <v>25</v>
      </c>
      <c r="G787" s="4" t="s">
        <v>25</v>
      </c>
      <c r="H787" s="4" t="s">
        <v>25</v>
      </c>
      <c r="I787" s="5">
        <v>44805</v>
      </c>
      <c r="J787" s="6">
        <v>0</v>
      </c>
      <c r="K787" s="6">
        <v>0</v>
      </c>
      <c r="L787" s="6">
        <v>3.5000000000000003E-2</v>
      </c>
      <c r="M787" s="6">
        <v>1.225E-2</v>
      </c>
      <c r="N787" s="6">
        <v>3.5000000000000003E-2</v>
      </c>
      <c r="O787" s="6">
        <v>1.225E-2</v>
      </c>
      <c r="P787" s="6">
        <v>0</v>
      </c>
      <c r="Q787" s="4" t="s">
        <v>26</v>
      </c>
      <c r="R787" s="4">
        <v>0</v>
      </c>
      <c r="S787" s="6">
        <v>0</v>
      </c>
      <c r="T787" s="6">
        <v>39</v>
      </c>
      <c r="U787" s="6">
        <v>98</v>
      </c>
      <c r="V787" s="6">
        <f>IF(ISERROR(VLOOKUP($S$787,'TAR FIN'!$A$1:$O$113,15,0)),0,VLOOKUP($S$787,'TAR FIN'!$A$1:$O$113,15,0))</f>
        <v>0</v>
      </c>
      <c r="W787" s="6">
        <f>IF(ISERROR(VLOOKUP($T$787,'TAR FIN'!$A$1:$O$113,15,0)),0,VLOOKUP($T$787,'TAR FIN'!$A$1:$O$113,15,0))</f>
        <v>79.06</v>
      </c>
      <c r="X787" s="6">
        <f>IF(ISERROR(VLOOKUP($U$787,'TAR FIN'!$A$1:$O$113,15,0)),0,VLOOKUP($U$787,'TAR FIN'!$A$1:$O$113,15,0))</f>
        <v>102.32</v>
      </c>
      <c r="Y787" s="6"/>
      <c r="Z787" s="6">
        <f ca="1">('TUSD BE'!$AM$41+'TUSD BF_350'!$AM$41+'TUSD CVA'!$AM$41-('TUSD BE'!$P$41+'TUSD BF_350'!$P$41+'TUSD CVA'!$P$41)-('TUSD BE'!$Q$41+'TUSD BF_350'!$Q$41+'TUSD CVA'!$Q$41)-('TUSD BE'!$R$41+'TUSD BF_350'!$R$41+'TUSD CVA'!$R$41))*(1-CUSTOS!$M$34)</f>
        <v>105.4795</v>
      </c>
      <c r="AA787" s="6">
        <f ca="1">('TE BE'!$AB$19+'TE BF_350'!$AB$19+'TE CVA'!$AB$19)*(1-CUSTOS!$M$34)</f>
        <v>85.399999999999991</v>
      </c>
      <c r="AB787" s="6">
        <f>$K$787*$V$787</f>
        <v>0</v>
      </c>
      <c r="AC787" s="6">
        <f>$M$787*$W$787</f>
        <v>0.96848500000000004</v>
      </c>
      <c r="AD787" s="6">
        <f>$O$787*$X$787</f>
        <v>1.25342</v>
      </c>
      <c r="AE787" s="6">
        <f>$K$787*$Y$787</f>
        <v>0</v>
      </c>
      <c r="AF787" s="6">
        <f ca="1">$M$787*$Z$787</f>
        <v>1.2921238750000001</v>
      </c>
      <c r="AG787" s="6">
        <f ca="1">$O$787*$AA$787</f>
        <v>1.0461499999999999</v>
      </c>
    </row>
    <row r="788" spans="1:33" ht="11.25" customHeight="1" x14ac:dyDescent="0.3">
      <c r="A788" s="4" t="s">
        <v>53</v>
      </c>
      <c r="B788" s="4" t="s">
        <v>22</v>
      </c>
      <c r="C788" s="4" t="s">
        <v>23</v>
      </c>
      <c r="D788" s="4" t="s">
        <v>24</v>
      </c>
      <c r="E788" s="4" t="s">
        <v>29</v>
      </c>
      <c r="F788" s="4" t="s">
        <v>25</v>
      </c>
      <c r="G788" s="4" t="s">
        <v>25</v>
      </c>
      <c r="H788" s="4" t="s">
        <v>25</v>
      </c>
      <c r="I788" s="5">
        <v>44835</v>
      </c>
      <c r="J788" s="6">
        <v>0</v>
      </c>
      <c r="K788" s="6">
        <v>0</v>
      </c>
      <c r="L788" s="6">
        <v>183.197</v>
      </c>
      <c r="M788" s="6">
        <v>183.197</v>
      </c>
      <c r="N788" s="6">
        <v>183.197</v>
      </c>
      <c r="O788" s="6">
        <v>183.197</v>
      </c>
      <c r="P788" s="6">
        <v>202</v>
      </c>
      <c r="Q788" s="4" t="s">
        <v>26</v>
      </c>
      <c r="R788" s="4">
        <v>0</v>
      </c>
      <c r="S788" s="6">
        <v>0</v>
      </c>
      <c r="T788" s="6">
        <v>39</v>
      </c>
      <c r="U788" s="6">
        <v>98</v>
      </c>
      <c r="V788" s="6">
        <f>IF(ISERROR(VLOOKUP($S$788,'TAR FIN'!$A$1:$O$113,15,0)),0,VLOOKUP($S$788,'TAR FIN'!$A$1:$O$113,15,0))</f>
        <v>0</v>
      </c>
      <c r="W788" s="6">
        <f>IF(ISERROR(VLOOKUP($T$788,'TAR FIN'!$A$1:$O$113,15,0)),0,VLOOKUP($T$788,'TAR FIN'!$A$1:$O$113,15,0))</f>
        <v>79.06</v>
      </c>
      <c r="X788" s="6">
        <f>IF(ISERROR(VLOOKUP($U$788,'TAR FIN'!$A$1:$O$113,15,0)),0,VLOOKUP($U$788,'TAR FIN'!$A$1:$O$113,15,0))</f>
        <v>102.32</v>
      </c>
      <c r="Y788" s="6"/>
      <c r="Z788" s="6">
        <f ca="1">('TUSD BE'!$AM$41+'TUSD BF_350'!$AM$41+'TUSD CVA'!$AM$41-('TUSD BE'!$P$41+'TUSD BF_350'!$P$41+'TUSD CVA'!$P$41)-('TUSD BE'!$Q$41+'TUSD BF_350'!$Q$41+'TUSD CVA'!$Q$41)-('TUSD BE'!$R$41+'TUSD BF_350'!$R$41+'TUSD CVA'!$R$41))*(1-CUSTOS!$M$34)</f>
        <v>105.4795</v>
      </c>
      <c r="AA788" s="6">
        <f ca="1">('TE BE'!$AB$19+'TE BF_350'!$AB$19+'TE CVA'!$AB$19)*(1-CUSTOS!$M$34)</f>
        <v>85.399999999999991</v>
      </c>
      <c r="AB788" s="6">
        <f>$K$788*$V$788</f>
        <v>0</v>
      </c>
      <c r="AC788" s="6">
        <f>$M$788*$W$788</f>
        <v>14483.554820000001</v>
      </c>
      <c r="AD788" s="6">
        <f>$O$788*$X$788</f>
        <v>18744.71704</v>
      </c>
      <c r="AE788" s="6">
        <f>$K$788*$Y$788</f>
        <v>0</v>
      </c>
      <c r="AF788" s="6">
        <f ca="1">$M$788*$Z$788</f>
        <v>19323.5279615</v>
      </c>
      <c r="AG788" s="6">
        <f ca="1">$O$788*$AA$788</f>
        <v>15645.023799999999</v>
      </c>
    </row>
    <row r="789" spans="1:33" ht="11.25" customHeight="1" x14ac:dyDescent="0.3">
      <c r="A789" s="4" t="s">
        <v>53</v>
      </c>
      <c r="B789" s="4" t="s">
        <v>22</v>
      </c>
      <c r="C789" s="4" t="s">
        <v>23</v>
      </c>
      <c r="D789" s="4" t="s">
        <v>24</v>
      </c>
      <c r="E789" s="4" t="s">
        <v>29</v>
      </c>
      <c r="F789" s="4" t="s">
        <v>25</v>
      </c>
      <c r="G789" s="4" t="s">
        <v>25</v>
      </c>
      <c r="H789" s="4" t="s">
        <v>25</v>
      </c>
      <c r="I789" s="5">
        <v>44835</v>
      </c>
      <c r="J789" s="6">
        <v>0</v>
      </c>
      <c r="K789" s="6">
        <v>0</v>
      </c>
      <c r="L789" s="6">
        <v>-0.06</v>
      </c>
      <c r="M789" s="6">
        <v>-0.06</v>
      </c>
      <c r="N789" s="6">
        <v>-0.06</v>
      </c>
      <c r="O789" s="6">
        <v>-0.06</v>
      </c>
      <c r="P789" s="6">
        <v>0</v>
      </c>
      <c r="Q789" s="4" t="s">
        <v>26</v>
      </c>
      <c r="R789" s="4">
        <v>0</v>
      </c>
      <c r="S789" s="6">
        <v>0</v>
      </c>
      <c r="T789" s="6">
        <v>39</v>
      </c>
      <c r="U789" s="6">
        <v>98</v>
      </c>
      <c r="V789" s="6">
        <f>IF(ISERROR(VLOOKUP($S$789,'TAR FIN'!$A$1:$O$113,15,0)),0,VLOOKUP($S$789,'TAR FIN'!$A$1:$O$113,15,0))</f>
        <v>0</v>
      </c>
      <c r="W789" s="6">
        <f>IF(ISERROR(VLOOKUP($T$789,'TAR FIN'!$A$1:$O$113,15,0)),0,VLOOKUP($T$789,'TAR FIN'!$A$1:$O$113,15,0))</f>
        <v>79.06</v>
      </c>
      <c r="X789" s="6">
        <f>IF(ISERROR(VLOOKUP($U$789,'TAR FIN'!$A$1:$O$113,15,0)),0,VLOOKUP($U$789,'TAR FIN'!$A$1:$O$113,15,0))</f>
        <v>102.32</v>
      </c>
      <c r="Y789" s="6"/>
      <c r="Z789" s="6">
        <f ca="1">('TUSD BE'!$AM$41+'TUSD BF_350'!$AM$41+'TUSD CVA'!$AM$41-('TUSD BE'!$P$41+'TUSD BF_350'!$P$41+'TUSD CVA'!$P$41)-('TUSD BE'!$Q$41+'TUSD BF_350'!$Q$41+'TUSD CVA'!$Q$41)-('TUSD BE'!$R$41+'TUSD BF_350'!$R$41+'TUSD CVA'!$R$41))*(1-CUSTOS!$M$34)</f>
        <v>105.4795</v>
      </c>
      <c r="AA789" s="6">
        <f ca="1">('TE BE'!$AB$19+'TE BF_350'!$AB$19+'TE CVA'!$AB$19)*(1-CUSTOS!$M$34)</f>
        <v>85.399999999999991</v>
      </c>
      <c r="AB789" s="6">
        <f>$K$789*$V$789</f>
        <v>0</v>
      </c>
      <c r="AC789" s="6">
        <f>$M$789*$W$789</f>
        <v>-4.7435999999999998</v>
      </c>
      <c r="AD789" s="6">
        <f>$O$789*$X$789</f>
        <v>-6.1391999999999998</v>
      </c>
      <c r="AE789" s="6">
        <f>$K$789*$Y$789</f>
        <v>0</v>
      </c>
      <c r="AF789" s="6">
        <f ca="1">$M$789*$Z$789</f>
        <v>-6.3287699999999996</v>
      </c>
      <c r="AG789" s="6">
        <f ca="1">$O$789*$AA$789</f>
        <v>-5.1239999999999997</v>
      </c>
    </row>
    <row r="790" spans="1:33" ht="11.25" customHeight="1" x14ac:dyDescent="0.3">
      <c r="A790" s="4" t="s">
        <v>53</v>
      </c>
      <c r="B790" s="4" t="s">
        <v>22</v>
      </c>
      <c r="C790" s="4" t="s">
        <v>23</v>
      </c>
      <c r="D790" s="4" t="s">
        <v>24</v>
      </c>
      <c r="E790" s="4" t="s">
        <v>29</v>
      </c>
      <c r="F790" s="4" t="s">
        <v>25</v>
      </c>
      <c r="G790" s="4" t="s">
        <v>25</v>
      </c>
      <c r="H790" s="4" t="s">
        <v>25</v>
      </c>
      <c r="I790" s="5">
        <v>44835</v>
      </c>
      <c r="J790" s="6">
        <v>0</v>
      </c>
      <c r="K790" s="6">
        <v>0</v>
      </c>
      <c r="L790" s="6">
        <v>3.5000000000000003E-2</v>
      </c>
      <c r="M790" s="6">
        <v>1.225E-2</v>
      </c>
      <c r="N790" s="6">
        <v>3.5000000000000003E-2</v>
      </c>
      <c r="O790" s="6">
        <v>1.225E-2</v>
      </c>
      <c r="P790" s="6">
        <v>0</v>
      </c>
      <c r="Q790" s="4" t="s">
        <v>26</v>
      </c>
      <c r="R790" s="4">
        <v>0</v>
      </c>
      <c r="S790" s="6">
        <v>0</v>
      </c>
      <c r="T790" s="6">
        <v>39</v>
      </c>
      <c r="U790" s="6">
        <v>98</v>
      </c>
      <c r="V790" s="6">
        <f>IF(ISERROR(VLOOKUP($S$790,'TAR FIN'!$A$1:$O$113,15,0)),0,VLOOKUP($S$790,'TAR FIN'!$A$1:$O$113,15,0))</f>
        <v>0</v>
      </c>
      <c r="W790" s="6">
        <f>IF(ISERROR(VLOOKUP($T$790,'TAR FIN'!$A$1:$O$113,15,0)),0,VLOOKUP($T$790,'TAR FIN'!$A$1:$O$113,15,0))</f>
        <v>79.06</v>
      </c>
      <c r="X790" s="6">
        <f>IF(ISERROR(VLOOKUP($U$790,'TAR FIN'!$A$1:$O$113,15,0)),0,VLOOKUP($U$790,'TAR FIN'!$A$1:$O$113,15,0))</f>
        <v>102.32</v>
      </c>
      <c r="Y790" s="6"/>
      <c r="Z790" s="6">
        <f ca="1">('TUSD BE'!$AM$41+'TUSD BF_350'!$AM$41+'TUSD CVA'!$AM$41-('TUSD BE'!$P$41+'TUSD BF_350'!$P$41+'TUSD CVA'!$P$41)-('TUSD BE'!$Q$41+'TUSD BF_350'!$Q$41+'TUSD CVA'!$Q$41)-('TUSD BE'!$R$41+'TUSD BF_350'!$R$41+'TUSD CVA'!$R$41))*(1-CUSTOS!$M$34)</f>
        <v>105.4795</v>
      </c>
      <c r="AA790" s="6">
        <f ca="1">('TE BE'!$AB$19+'TE BF_350'!$AB$19+'TE CVA'!$AB$19)*(1-CUSTOS!$M$34)</f>
        <v>85.399999999999991</v>
      </c>
      <c r="AB790" s="6">
        <f>$K$790*$V$790</f>
        <v>0</v>
      </c>
      <c r="AC790" s="6">
        <f>$M$790*$W$790</f>
        <v>0.96848500000000004</v>
      </c>
      <c r="AD790" s="6">
        <f>$O$790*$X$790</f>
        <v>1.25342</v>
      </c>
      <c r="AE790" s="6">
        <f>$K$790*$Y$790</f>
        <v>0</v>
      </c>
      <c r="AF790" s="6">
        <f ca="1">$M$790*$Z$790</f>
        <v>1.2921238750000001</v>
      </c>
      <c r="AG790" s="6">
        <f ca="1">$O$790*$AA$790</f>
        <v>1.0461499999999999</v>
      </c>
    </row>
    <row r="791" spans="1:33" ht="11.25" customHeight="1" x14ac:dyDescent="0.3">
      <c r="A791" s="4" t="s">
        <v>21</v>
      </c>
      <c r="B791" s="4" t="s">
        <v>22</v>
      </c>
      <c r="C791" s="4" t="s">
        <v>23</v>
      </c>
      <c r="D791" s="4" t="s">
        <v>24</v>
      </c>
      <c r="E791" s="4" t="s">
        <v>30</v>
      </c>
      <c r="F791" s="4" t="s">
        <v>25</v>
      </c>
      <c r="G791" s="4" t="s">
        <v>25</v>
      </c>
      <c r="H791" s="4" t="s">
        <v>25</v>
      </c>
      <c r="I791" s="5">
        <v>44501</v>
      </c>
      <c r="J791" s="6">
        <v>0</v>
      </c>
      <c r="K791" s="6">
        <v>0</v>
      </c>
      <c r="L791" s="6">
        <v>327.26100000000002</v>
      </c>
      <c r="M791" s="6">
        <v>327.26100000000002</v>
      </c>
      <c r="N791" s="6">
        <v>327.26100000000002</v>
      </c>
      <c r="O791" s="6">
        <v>327.26100000000002</v>
      </c>
      <c r="P791" s="6">
        <v>1478</v>
      </c>
      <c r="Q791" s="4" t="s">
        <v>26</v>
      </c>
      <c r="R791" s="4">
        <v>0</v>
      </c>
      <c r="S791" s="6">
        <v>0</v>
      </c>
      <c r="T791" s="6">
        <v>34</v>
      </c>
      <c r="U791" s="6">
        <v>75</v>
      </c>
      <c r="V791" s="6">
        <f>IF(ISERROR(VLOOKUP($S$791,'TAR FIN'!$A$1:$O$113,15,0)),0,VLOOKUP($S$791,'TAR FIN'!$A$1:$O$113,15,0))</f>
        <v>0</v>
      </c>
      <c r="W791" s="6">
        <f>IF(ISERROR(VLOOKUP($T$791,'TAR FIN'!$A$1:$O$113,15,0)),0,VLOOKUP($T$791,'TAR FIN'!$A$1:$O$113,15,0))</f>
        <v>135.52000000000001</v>
      </c>
      <c r="X791" s="6">
        <f>IF(ISERROR(VLOOKUP($U$791,'TAR FIN'!$A$1:$O$113,15,0)),0,VLOOKUP($U$791,'TAR FIN'!$A$1:$O$113,15,0))</f>
        <v>175.41</v>
      </c>
      <c r="Y791" s="6"/>
      <c r="Z791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791" s="6">
        <f ca="1">('TE BE'!$AB$20+'TE BF_350'!$AB$20+'TE CVA'!$AB$20)*(1-CUSTOS!$M$35)</f>
        <v>146.4</v>
      </c>
      <c r="AB791" s="6">
        <f>$K$791*$V$791</f>
        <v>0</v>
      </c>
      <c r="AC791" s="6">
        <f>$M$791*$W$791</f>
        <v>44350.410720000007</v>
      </c>
      <c r="AD791" s="6">
        <f>$O$791*$X$791</f>
        <v>57404.852010000002</v>
      </c>
      <c r="AE791" s="6">
        <f>$K$791*$Y$791</f>
        <v>0</v>
      </c>
      <c r="AF791" s="6">
        <f ca="1">$M$791*$Z$791</f>
        <v>59175.988542000006</v>
      </c>
      <c r="AG791" s="6">
        <f ca="1">$O$791*$AA$791</f>
        <v>47911.010400000006</v>
      </c>
    </row>
    <row r="792" spans="1:33" ht="11.25" customHeight="1" x14ac:dyDescent="0.3">
      <c r="A792" s="4" t="s">
        <v>27</v>
      </c>
      <c r="B792" s="4" t="s">
        <v>22</v>
      </c>
      <c r="C792" s="4" t="s">
        <v>23</v>
      </c>
      <c r="D792" s="4" t="s">
        <v>24</v>
      </c>
      <c r="E792" s="4" t="s">
        <v>30</v>
      </c>
      <c r="F792" s="4" t="s">
        <v>25</v>
      </c>
      <c r="G792" s="4" t="s">
        <v>25</v>
      </c>
      <c r="H792" s="4" t="s">
        <v>25</v>
      </c>
      <c r="I792" s="5">
        <v>44501</v>
      </c>
      <c r="J792" s="6">
        <v>0</v>
      </c>
      <c r="K792" s="6">
        <v>0</v>
      </c>
      <c r="L792" s="6">
        <v>-0.11600000000000001</v>
      </c>
      <c r="M792" s="6">
        <v>-0.11600000000000001</v>
      </c>
      <c r="N792" s="6">
        <v>-0.11600000000000001</v>
      </c>
      <c r="O792" s="6">
        <v>-0.11600000000000001</v>
      </c>
      <c r="P792" s="6">
        <v>0</v>
      </c>
      <c r="Q792" s="4" t="s">
        <v>26</v>
      </c>
      <c r="R792" s="4">
        <v>0</v>
      </c>
      <c r="S792" s="6">
        <v>0</v>
      </c>
      <c r="T792" s="6">
        <v>34</v>
      </c>
      <c r="U792" s="6">
        <v>75</v>
      </c>
      <c r="V792" s="6">
        <f>IF(ISERROR(VLOOKUP($S$792,'TAR FIN'!$A$1:$O$113,15,0)),0,VLOOKUP($S$792,'TAR FIN'!$A$1:$O$113,15,0))</f>
        <v>0</v>
      </c>
      <c r="W792" s="6">
        <f>IF(ISERROR(VLOOKUP($T$792,'TAR FIN'!$A$1:$O$113,15,0)),0,VLOOKUP($T$792,'TAR FIN'!$A$1:$O$113,15,0))</f>
        <v>135.52000000000001</v>
      </c>
      <c r="X792" s="6">
        <f>IF(ISERROR(VLOOKUP($U$792,'TAR FIN'!$A$1:$O$113,15,0)),0,VLOOKUP($U$792,'TAR FIN'!$A$1:$O$113,15,0))</f>
        <v>175.41</v>
      </c>
      <c r="Y792" s="6"/>
      <c r="Z792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792" s="6">
        <f ca="1">('TE BE'!$AB$20+'TE BF_350'!$AB$20+'TE CVA'!$AB$20)*(1-CUSTOS!$M$35)</f>
        <v>146.4</v>
      </c>
      <c r="AB792" s="6">
        <f>$K$792*$V$792</f>
        <v>0</v>
      </c>
      <c r="AC792" s="6">
        <f>$M$792*$W$792</f>
        <v>-15.720320000000003</v>
      </c>
      <c r="AD792" s="6">
        <f>$O$792*$X$792</f>
        <v>-20.347560000000001</v>
      </c>
      <c r="AE792" s="6">
        <f>$K$792*$Y$792</f>
        <v>0</v>
      </c>
      <c r="AF792" s="6">
        <f ca="1">$M$792*$Z$792</f>
        <v>-20.975352000000001</v>
      </c>
      <c r="AG792" s="6">
        <f ca="1">$O$792*$AA$792</f>
        <v>-16.982400000000002</v>
      </c>
    </row>
    <row r="793" spans="1:33" ht="11.25" customHeight="1" x14ac:dyDescent="0.3">
      <c r="A793" s="4" t="s">
        <v>28</v>
      </c>
      <c r="B793" s="4" t="s">
        <v>22</v>
      </c>
      <c r="C793" s="4" t="s">
        <v>23</v>
      </c>
      <c r="D793" s="4" t="s">
        <v>24</v>
      </c>
      <c r="E793" s="4" t="s">
        <v>30</v>
      </c>
      <c r="F793" s="4" t="s">
        <v>25</v>
      </c>
      <c r="G793" s="4" t="s">
        <v>25</v>
      </c>
      <c r="H793" s="4" t="s">
        <v>25</v>
      </c>
      <c r="I793" s="5">
        <v>44501</v>
      </c>
      <c r="J793" s="6">
        <v>0</v>
      </c>
      <c r="K793" s="6">
        <v>0</v>
      </c>
      <c r="L793" s="6">
        <v>0.1</v>
      </c>
      <c r="M793" s="6">
        <v>0.02</v>
      </c>
      <c r="N793" s="6">
        <v>0.1</v>
      </c>
      <c r="O793" s="6">
        <v>0.02</v>
      </c>
      <c r="P793" s="6">
        <v>1</v>
      </c>
      <c r="Q793" s="4" t="s">
        <v>26</v>
      </c>
      <c r="R793" s="4">
        <v>0</v>
      </c>
      <c r="S793" s="6">
        <v>0</v>
      </c>
      <c r="T793" s="6">
        <v>34</v>
      </c>
      <c r="U793" s="6">
        <v>75</v>
      </c>
      <c r="V793" s="6">
        <f>IF(ISERROR(VLOOKUP($S$793,'TAR FIN'!$A$1:$O$113,15,0)),0,VLOOKUP($S$793,'TAR FIN'!$A$1:$O$113,15,0))</f>
        <v>0</v>
      </c>
      <c r="W793" s="6">
        <f>IF(ISERROR(VLOOKUP($T$793,'TAR FIN'!$A$1:$O$113,15,0)),0,VLOOKUP($T$793,'TAR FIN'!$A$1:$O$113,15,0))</f>
        <v>135.52000000000001</v>
      </c>
      <c r="X793" s="6">
        <f>IF(ISERROR(VLOOKUP($U$793,'TAR FIN'!$A$1:$O$113,15,0)),0,VLOOKUP($U$793,'TAR FIN'!$A$1:$O$113,15,0))</f>
        <v>175.41</v>
      </c>
      <c r="Y793" s="6"/>
      <c r="Z793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793" s="6">
        <f ca="1">('TE BE'!$AB$20+'TE BF_350'!$AB$20+'TE CVA'!$AB$20)*(1-CUSTOS!$M$35)</f>
        <v>146.4</v>
      </c>
      <c r="AB793" s="6">
        <f>$K$793*$V$793</f>
        <v>0</v>
      </c>
      <c r="AC793" s="6">
        <f>$M$793*$W$793</f>
        <v>2.7104000000000004</v>
      </c>
      <c r="AD793" s="6">
        <f>$O$793*$X$793</f>
        <v>3.5082</v>
      </c>
      <c r="AE793" s="6">
        <f>$K$793*$Y$793</f>
        <v>0</v>
      </c>
      <c r="AF793" s="6">
        <f ca="1">$M$793*$Z$793</f>
        <v>3.6164400000000003</v>
      </c>
      <c r="AG793" s="6">
        <f ca="1">$O$793*$AA$793</f>
        <v>2.9280000000000004</v>
      </c>
    </row>
    <row r="794" spans="1:33" ht="11.25" customHeight="1" x14ac:dyDescent="0.3">
      <c r="A794" s="4" t="s">
        <v>21</v>
      </c>
      <c r="B794" s="4" t="s">
        <v>22</v>
      </c>
      <c r="C794" s="4" t="s">
        <v>23</v>
      </c>
      <c r="D794" s="4" t="s">
        <v>24</v>
      </c>
      <c r="E794" s="4" t="s">
        <v>30</v>
      </c>
      <c r="F794" s="4" t="s">
        <v>25</v>
      </c>
      <c r="G794" s="4" t="s">
        <v>25</v>
      </c>
      <c r="H794" s="4" t="s">
        <v>25</v>
      </c>
      <c r="I794" s="5">
        <v>44531</v>
      </c>
      <c r="J794" s="6">
        <v>0</v>
      </c>
      <c r="K794" s="6">
        <v>0</v>
      </c>
      <c r="L794" s="6">
        <v>339.59699999999998</v>
      </c>
      <c r="M794" s="6">
        <v>339.59699999999998</v>
      </c>
      <c r="N794" s="6">
        <v>339.59699999999998</v>
      </c>
      <c r="O794" s="6">
        <v>339.59699999999998</v>
      </c>
      <c r="P794" s="6">
        <v>1674</v>
      </c>
      <c r="Q794" s="4" t="s">
        <v>26</v>
      </c>
      <c r="R794" s="4">
        <v>0</v>
      </c>
      <c r="S794" s="6">
        <v>0</v>
      </c>
      <c r="T794" s="6">
        <v>34</v>
      </c>
      <c r="U794" s="6">
        <v>75</v>
      </c>
      <c r="V794" s="6">
        <f>IF(ISERROR(VLOOKUP($S$794,'TAR FIN'!$A$1:$O$113,15,0)),0,VLOOKUP($S$794,'TAR FIN'!$A$1:$O$113,15,0))</f>
        <v>0</v>
      </c>
      <c r="W794" s="6">
        <f>IF(ISERROR(VLOOKUP($T$794,'TAR FIN'!$A$1:$O$113,15,0)),0,VLOOKUP($T$794,'TAR FIN'!$A$1:$O$113,15,0))</f>
        <v>135.52000000000001</v>
      </c>
      <c r="X794" s="6">
        <f>IF(ISERROR(VLOOKUP($U$794,'TAR FIN'!$A$1:$O$113,15,0)),0,VLOOKUP($U$794,'TAR FIN'!$A$1:$O$113,15,0))</f>
        <v>175.41</v>
      </c>
      <c r="Y794" s="6"/>
      <c r="Z794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794" s="6">
        <f ca="1">('TE BE'!$AB$20+'TE BF_350'!$AB$20+'TE CVA'!$AB$20)*(1-CUSTOS!$M$35)</f>
        <v>146.4</v>
      </c>
      <c r="AB794" s="6">
        <f>$K$794*$V$794</f>
        <v>0</v>
      </c>
      <c r="AC794" s="6">
        <f>$M$794*$W$794</f>
        <v>46022.185440000001</v>
      </c>
      <c r="AD794" s="6">
        <f>$O$794*$X$794</f>
        <v>59568.709769999994</v>
      </c>
      <c r="AE794" s="6">
        <f>$K$794*$Y$794</f>
        <v>0</v>
      </c>
      <c r="AF794" s="6">
        <f ca="1">$M$794*$Z$794</f>
        <v>61406.608733999994</v>
      </c>
      <c r="AG794" s="6">
        <f ca="1">$O$794*$AA$794</f>
        <v>49717.000800000002</v>
      </c>
    </row>
    <row r="795" spans="1:33" ht="11.25" customHeight="1" x14ac:dyDescent="0.3">
      <c r="A795" s="4" t="s">
        <v>27</v>
      </c>
      <c r="B795" s="4" t="s">
        <v>22</v>
      </c>
      <c r="C795" s="4" t="s">
        <v>23</v>
      </c>
      <c r="D795" s="4" t="s">
        <v>24</v>
      </c>
      <c r="E795" s="4" t="s">
        <v>30</v>
      </c>
      <c r="F795" s="4" t="s">
        <v>25</v>
      </c>
      <c r="G795" s="4" t="s">
        <v>25</v>
      </c>
      <c r="H795" s="4" t="s">
        <v>25</v>
      </c>
      <c r="I795" s="5">
        <v>44531</v>
      </c>
      <c r="J795" s="6">
        <v>0</v>
      </c>
      <c r="K795" s="6">
        <v>0</v>
      </c>
      <c r="L795" s="6">
        <v>0.35</v>
      </c>
      <c r="M795" s="6">
        <v>0.35</v>
      </c>
      <c r="N795" s="6">
        <v>0.35</v>
      </c>
      <c r="O795" s="6">
        <v>0.35</v>
      </c>
      <c r="P795" s="6">
        <v>0</v>
      </c>
      <c r="Q795" s="4" t="s">
        <v>26</v>
      </c>
      <c r="R795" s="4">
        <v>0</v>
      </c>
      <c r="S795" s="6">
        <v>0</v>
      </c>
      <c r="T795" s="6">
        <v>34</v>
      </c>
      <c r="U795" s="6">
        <v>75</v>
      </c>
      <c r="V795" s="6">
        <f>IF(ISERROR(VLOOKUP($S$795,'TAR FIN'!$A$1:$O$113,15,0)),0,VLOOKUP($S$795,'TAR FIN'!$A$1:$O$113,15,0))</f>
        <v>0</v>
      </c>
      <c r="W795" s="6">
        <f>IF(ISERROR(VLOOKUP($T$795,'TAR FIN'!$A$1:$O$113,15,0)),0,VLOOKUP($T$795,'TAR FIN'!$A$1:$O$113,15,0))</f>
        <v>135.52000000000001</v>
      </c>
      <c r="X795" s="6">
        <f>IF(ISERROR(VLOOKUP($U$795,'TAR FIN'!$A$1:$O$113,15,0)),0,VLOOKUP($U$795,'TAR FIN'!$A$1:$O$113,15,0))</f>
        <v>175.41</v>
      </c>
      <c r="Y795" s="6"/>
      <c r="Z795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795" s="6">
        <f ca="1">('TE BE'!$AB$20+'TE BF_350'!$AB$20+'TE CVA'!$AB$20)*(1-CUSTOS!$M$35)</f>
        <v>146.4</v>
      </c>
      <c r="AB795" s="6">
        <f>$K$795*$V$795</f>
        <v>0</v>
      </c>
      <c r="AC795" s="6">
        <f>$M$795*$W$795</f>
        <v>47.432000000000002</v>
      </c>
      <c r="AD795" s="6">
        <f>$O$795*$X$795</f>
        <v>61.393499999999996</v>
      </c>
      <c r="AE795" s="6">
        <f>$K$795*$Y$795</f>
        <v>0</v>
      </c>
      <c r="AF795" s="6">
        <f ca="1">$M$795*$Z$795</f>
        <v>63.287699999999994</v>
      </c>
      <c r="AG795" s="6">
        <f ca="1">$O$795*$AA$795</f>
        <v>51.24</v>
      </c>
    </row>
    <row r="796" spans="1:33" ht="11.25" customHeight="1" x14ac:dyDescent="0.3">
      <c r="A796" s="4" t="s">
        <v>28</v>
      </c>
      <c r="B796" s="4" t="s">
        <v>22</v>
      </c>
      <c r="C796" s="4" t="s">
        <v>23</v>
      </c>
      <c r="D796" s="4" t="s">
        <v>24</v>
      </c>
      <c r="E796" s="4" t="s">
        <v>30</v>
      </c>
      <c r="F796" s="4" t="s">
        <v>25</v>
      </c>
      <c r="G796" s="4" t="s">
        <v>25</v>
      </c>
      <c r="H796" s="4" t="s">
        <v>25</v>
      </c>
      <c r="I796" s="5">
        <v>44531</v>
      </c>
      <c r="J796" s="6">
        <v>0</v>
      </c>
      <c r="K796" s="6">
        <v>0</v>
      </c>
      <c r="L796" s="6">
        <v>0.11600000000000001</v>
      </c>
      <c r="M796" s="6">
        <v>2.3199999999999998E-2</v>
      </c>
      <c r="N796" s="6">
        <v>0.11600000000000001</v>
      </c>
      <c r="O796" s="6">
        <v>2.3199999999999998E-2</v>
      </c>
      <c r="P796" s="6">
        <v>1</v>
      </c>
      <c r="Q796" s="4" t="s">
        <v>26</v>
      </c>
      <c r="R796" s="4">
        <v>0</v>
      </c>
      <c r="S796" s="6">
        <v>0</v>
      </c>
      <c r="T796" s="6">
        <v>34</v>
      </c>
      <c r="U796" s="6">
        <v>75</v>
      </c>
      <c r="V796" s="6">
        <f>IF(ISERROR(VLOOKUP($S$796,'TAR FIN'!$A$1:$O$113,15,0)),0,VLOOKUP($S$796,'TAR FIN'!$A$1:$O$113,15,0))</f>
        <v>0</v>
      </c>
      <c r="W796" s="6">
        <f>IF(ISERROR(VLOOKUP($T$796,'TAR FIN'!$A$1:$O$113,15,0)),0,VLOOKUP($T$796,'TAR FIN'!$A$1:$O$113,15,0))</f>
        <v>135.52000000000001</v>
      </c>
      <c r="X796" s="6">
        <f>IF(ISERROR(VLOOKUP($U$796,'TAR FIN'!$A$1:$O$113,15,0)),0,VLOOKUP($U$796,'TAR FIN'!$A$1:$O$113,15,0))</f>
        <v>175.41</v>
      </c>
      <c r="Y796" s="6"/>
      <c r="Z796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796" s="6">
        <f ca="1">('TE BE'!$AB$20+'TE BF_350'!$AB$20+'TE CVA'!$AB$20)*(1-CUSTOS!$M$35)</f>
        <v>146.4</v>
      </c>
      <c r="AB796" s="6">
        <f>$K$796*$V$796</f>
        <v>0</v>
      </c>
      <c r="AC796" s="6">
        <f>$M$796*$W$796</f>
        <v>3.1440640000000002</v>
      </c>
      <c r="AD796" s="6">
        <f>$O$796*$X$796</f>
        <v>4.0695119999999996</v>
      </c>
      <c r="AE796" s="6">
        <f>$K$796*$Y$796</f>
        <v>0</v>
      </c>
      <c r="AF796" s="6">
        <f ca="1">$M$796*$Z$796</f>
        <v>4.1950703999999996</v>
      </c>
      <c r="AG796" s="6">
        <f ca="1">$O$796*$AA$796</f>
        <v>3.3964799999999999</v>
      </c>
    </row>
    <row r="797" spans="1:33" ht="11.25" customHeight="1" x14ac:dyDescent="0.3">
      <c r="A797" s="4" t="s">
        <v>21</v>
      </c>
      <c r="B797" s="4" t="s">
        <v>22</v>
      </c>
      <c r="C797" s="4" t="s">
        <v>23</v>
      </c>
      <c r="D797" s="4" t="s">
        <v>24</v>
      </c>
      <c r="E797" s="4" t="s">
        <v>30</v>
      </c>
      <c r="F797" s="4" t="s">
        <v>25</v>
      </c>
      <c r="G797" s="4" t="s">
        <v>25</v>
      </c>
      <c r="H797" s="4" t="s">
        <v>25</v>
      </c>
      <c r="I797" s="5">
        <v>44562</v>
      </c>
      <c r="J797" s="6">
        <v>0</v>
      </c>
      <c r="K797" s="6">
        <v>0</v>
      </c>
      <c r="L797" s="6">
        <v>336.00400000000002</v>
      </c>
      <c r="M797" s="6">
        <v>336.00400000000002</v>
      </c>
      <c r="N797" s="6">
        <v>336.00400000000002</v>
      </c>
      <c r="O797" s="6">
        <v>336.00400000000002</v>
      </c>
      <c r="P797" s="6">
        <v>1365</v>
      </c>
      <c r="Q797" s="4" t="s">
        <v>26</v>
      </c>
      <c r="R797" s="4">
        <v>0</v>
      </c>
      <c r="S797" s="6">
        <v>0</v>
      </c>
      <c r="T797" s="6">
        <v>34</v>
      </c>
      <c r="U797" s="6">
        <v>75</v>
      </c>
      <c r="V797" s="6">
        <f>IF(ISERROR(VLOOKUP($S$797,'TAR FIN'!$A$1:$O$113,15,0)),0,VLOOKUP($S$797,'TAR FIN'!$A$1:$O$113,15,0))</f>
        <v>0</v>
      </c>
      <c r="W797" s="6">
        <f>IF(ISERROR(VLOOKUP($T$797,'TAR FIN'!$A$1:$O$113,15,0)),0,VLOOKUP($T$797,'TAR FIN'!$A$1:$O$113,15,0))</f>
        <v>135.52000000000001</v>
      </c>
      <c r="X797" s="6">
        <f>IF(ISERROR(VLOOKUP($U$797,'TAR FIN'!$A$1:$O$113,15,0)),0,VLOOKUP($U$797,'TAR FIN'!$A$1:$O$113,15,0))</f>
        <v>175.41</v>
      </c>
      <c r="Y797" s="6"/>
      <c r="Z797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797" s="6">
        <f ca="1">('TE BE'!$AB$20+'TE BF_350'!$AB$20+'TE CVA'!$AB$20)*(1-CUSTOS!$M$35)</f>
        <v>146.4</v>
      </c>
      <c r="AB797" s="6">
        <f>$K$797*$V$797</f>
        <v>0</v>
      </c>
      <c r="AC797" s="6">
        <f>$M$797*$W$797</f>
        <v>45535.262080000008</v>
      </c>
      <c r="AD797" s="6">
        <f>$O$797*$X$797</f>
        <v>58938.461640000001</v>
      </c>
      <c r="AE797" s="6">
        <f>$K$797*$Y$797</f>
        <v>0</v>
      </c>
      <c r="AF797" s="6">
        <f ca="1">$M$797*$Z$797</f>
        <v>60756.915288000004</v>
      </c>
      <c r="AG797" s="6">
        <f ca="1">$O$797*$AA$797</f>
        <v>49190.985600000007</v>
      </c>
    </row>
    <row r="798" spans="1:33" ht="11.25" customHeight="1" x14ac:dyDescent="0.3">
      <c r="A798" s="4" t="s">
        <v>27</v>
      </c>
      <c r="B798" s="4" t="s">
        <v>22</v>
      </c>
      <c r="C798" s="4" t="s">
        <v>23</v>
      </c>
      <c r="D798" s="4" t="s">
        <v>24</v>
      </c>
      <c r="E798" s="4" t="s">
        <v>30</v>
      </c>
      <c r="F798" s="4" t="s">
        <v>25</v>
      </c>
      <c r="G798" s="4" t="s">
        <v>25</v>
      </c>
      <c r="H798" s="4" t="s">
        <v>25</v>
      </c>
      <c r="I798" s="5">
        <v>44562</v>
      </c>
      <c r="J798" s="6">
        <v>0</v>
      </c>
      <c r="K798" s="6">
        <v>0</v>
      </c>
      <c r="L798" s="6">
        <v>-0.107</v>
      </c>
      <c r="M798" s="6">
        <v>-0.107</v>
      </c>
      <c r="N798" s="6">
        <v>-0.107</v>
      </c>
      <c r="O798" s="6">
        <v>-0.107</v>
      </c>
      <c r="P798" s="6">
        <v>0</v>
      </c>
      <c r="Q798" s="4" t="s">
        <v>26</v>
      </c>
      <c r="R798" s="4">
        <v>0</v>
      </c>
      <c r="S798" s="6">
        <v>0</v>
      </c>
      <c r="T798" s="6">
        <v>34</v>
      </c>
      <c r="U798" s="6">
        <v>75</v>
      </c>
      <c r="V798" s="6">
        <f>IF(ISERROR(VLOOKUP($S$798,'TAR FIN'!$A$1:$O$113,15,0)),0,VLOOKUP($S$798,'TAR FIN'!$A$1:$O$113,15,0))</f>
        <v>0</v>
      </c>
      <c r="W798" s="6">
        <f>IF(ISERROR(VLOOKUP($T$798,'TAR FIN'!$A$1:$O$113,15,0)),0,VLOOKUP($T$798,'TAR FIN'!$A$1:$O$113,15,0))</f>
        <v>135.52000000000001</v>
      </c>
      <c r="X798" s="6">
        <f>IF(ISERROR(VLOOKUP($U$798,'TAR FIN'!$A$1:$O$113,15,0)),0,VLOOKUP($U$798,'TAR FIN'!$A$1:$O$113,15,0))</f>
        <v>175.41</v>
      </c>
      <c r="Y798" s="6"/>
      <c r="Z798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798" s="6">
        <f ca="1">('TE BE'!$AB$20+'TE BF_350'!$AB$20+'TE CVA'!$AB$20)*(1-CUSTOS!$M$35)</f>
        <v>146.4</v>
      </c>
      <c r="AB798" s="6">
        <f>$K$798*$V$798</f>
        <v>0</v>
      </c>
      <c r="AC798" s="6">
        <f>$M$798*$W$798</f>
        <v>-14.500640000000001</v>
      </c>
      <c r="AD798" s="6">
        <f>$O$798*$X$798</f>
        <v>-18.76887</v>
      </c>
      <c r="AE798" s="6">
        <f>$K$798*$Y$798</f>
        <v>0</v>
      </c>
      <c r="AF798" s="6">
        <f ca="1">$M$798*$Z$798</f>
        <v>-19.347954000000001</v>
      </c>
      <c r="AG798" s="6">
        <f ca="1">$O$798*$AA$798</f>
        <v>-15.6648</v>
      </c>
    </row>
    <row r="799" spans="1:33" ht="11.25" customHeight="1" x14ac:dyDescent="0.3">
      <c r="A799" s="4" t="s">
        <v>28</v>
      </c>
      <c r="B799" s="4" t="s">
        <v>22</v>
      </c>
      <c r="C799" s="4" t="s">
        <v>23</v>
      </c>
      <c r="D799" s="4" t="s">
        <v>24</v>
      </c>
      <c r="E799" s="4" t="s">
        <v>30</v>
      </c>
      <c r="F799" s="4" t="s">
        <v>25</v>
      </c>
      <c r="G799" s="4" t="s">
        <v>25</v>
      </c>
      <c r="H799" s="4" t="s">
        <v>25</v>
      </c>
      <c r="I799" s="5">
        <v>44562</v>
      </c>
      <c r="J799" s="6">
        <v>0</v>
      </c>
      <c r="K799" s="6">
        <v>0</v>
      </c>
      <c r="L799" s="6">
        <v>8.6999999999999994E-2</v>
      </c>
      <c r="M799" s="6">
        <v>1.7399999999999999E-2</v>
      </c>
      <c r="N799" s="6">
        <v>8.6999999999999994E-2</v>
      </c>
      <c r="O799" s="6">
        <v>1.7399999999999999E-2</v>
      </c>
      <c r="P799" s="6">
        <v>1</v>
      </c>
      <c r="Q799" s="4" t="s">
        <v>26</v>
      </c>
      <c r="R799" s="4">
        <v>0</v>
      </c>
      <c r="S799" s="6">
        <v>0</v>
      </c>
      <c r="T799" s="6">
        <v>34</v>
      </c>
      <c r="U799" s="6">
        <v>75</v>
      </c>
      <c r="V799" s="6">
        <f>IF(ISERROR(VLOOKUP($S$799,'TAR FIN'!$A$1:$O$113,15,0)),0,VLOOKUP($S$799,'TAR FIN'!$A$1:$O$113,15,0))</f>
        <v>0</v>
      </c>
      <c r="W799" s="6">
        <f>IF(ISERROR(VLOOKUP($T$799,'TAR FIN'!$A$1:$O$113,15,0)),0,VLOOKUP($T$799,'TAR FIN'!$A$1:$O$113,15,0))</f>
        <v>135.52000000000001</v>
      </c>
      <c r="X799" s="6">
        <f>IF(ISERROR(VLOOKUP($U$799,'TAR FIN'!$A$1:$O$113,15,0)),0,VLOOKUP($U$799,'TAR FIN'!$A$1:$O$113,15,0))</f>
        <v>175.41</v>
      </c>
      <c r="Y799" s="6"/>
      <c r="Z799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799" s="6">
        <f ca="1">('TE BE'!$AB$20+'TE BF_350'!$AB$20+'TE CVA'!$AB$20)*(1-CUSTOS!$M$35)</f>
        <v>146.4</v>
      </c>
      <c r="AB799" s="6">
        <f>$K$799*$V$799</f>
        <v>0</v>
      </c>
      <c r="AC799" s="6">
        <f>$M$799*$W$799</f>
        <v>2.3580480000000001</v>
      </c>
      <c r="AD799" s="6">
        <f>$O$799*$X$799</f>
        <v>3.0521339999999997</v>
      </c>
      <c r="AE799" s="6">
        <f>$K$799*$Y$799</f>
        <v>0</v>
      </c>
      <c r="AF799" s="6">
        <f ca="1">$M$799*$Z$799</f>
        <v>3.1463028</v>
      </c>
      <c r="AG799" s="6">
        <f ca="1">$O$799*$AA$799</f>
        <v>2.5473599999999998</v>
      </c>
    </row>
    <row r="800" spans="1:33" ht="11.25" customHeight="1" x14ac:dyDescent="0.3">
      <c r="A800" s="4" t="s">
        <v>21</v>
      </c>
      <c r="B800" s="4" t="s">
        <v>22</v>
      </c>
      <c r="C800" s="4" t="s">
        <v>23</v>
      </c>
      <c r="D800" s="4" t="s">
        <v>24</v>
      </c>
      <c r="E800" s="4" t="s">
        <v>30</v>
      </c>
      <c r="F800" s="4" t="s">
        <v>25</v>
      </c>
      <c r="G800" s="4" t="s">
        <v>25</v>
      </c>
      <c r="H800" s="4" t="s">
        <v>25</v>
      </c>
      <c r="I800" s="5">
        <v>44593</v>
      </c>
      <c r="J800" s="6">
        <v>0</v>
      </c>
      <c r="K800" s="6">
        <v>0</v>
      </c>
      <c r="L800" s="6">
        <v>363.202</v>
      </c>
      <c r="M800" s="6">
        <v>363.202</v>
      </c>
      <c r="N800" s="6">
        <v>363.202</v>
      </c>
      <c r="O800" s="6">
        <v>363.202</v>
      </c>
      <c r="P800" s="6">
        <v>1779</v>
      </c>
      <c r="Q800" s="4" t="s">
        <v>26</v>
      </c>
      <c r="R800" s="4">
        <v>0</v>
      </c>
      <c r="S800" s="6">
        <v>0</v>
      </c>
      <c r="T800" s="6">
        <v>34</v>
      </c>
      <c r="U800" s="6">
        <v>75</v>
      </c>
      <c r="V800" s="6">
        <f>IF(ISERROR(VLOOKUP($S$800,'TAR FIN'!$A$1:$O$113,15,0)),0,VLOOKUP($S$800,'TAR FIN'!$A$1:$O$113,15,0))</f>
        <v>0</v>
      </c>
      <c r="W800" s="6">
        <f>IF(ISERROR(VLOOKUP($T$800,'TAR FIN'!$A$1:$O$113,15,0)),0,VLOOKUP($T$800,'TAR FIN'!$A$1:$O$113,15,0))</f>
        <v>135.52000000000001</v>
      </c>
      <c r="X800" s="6">
        <f>IF(ISERROR(VLOOKUP($U$800,'TAR FIN'!$A$1:$O$113,15,0)),0,VLOOKUP($U$800,'TAR FIN'!$A$1:$O$113,15,0))</f>
        <v>175.41</v>
      </c>
      <c r="Y800" s="6"/>
      <c r="Z800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800" s="6">
        <f ca="1">('TE BE'!$AB$20+'TE BF_350'!$AB$20+'TE CVA'!$AB$20)*(1-CUSTOS!$M$35)</f>
        <v>146.4</v>
      </c>
      <c r="AB800" s="6">
        <f>$K$800*$V$800</f>
        <v>0</v>
      </c>
      <c r="AC800" s="6">
        <f>$M$800*$W$800</f>
        <v>49221.135040000001</v>
      </c>
      <c r="AD800" s="6">
        <f>$O$800*$X$800</f>
        <v>63709.262819999996</v>
      </c>
      <c r="AE800" s="6">
        <f>$K$800*$Y$800</f>
        <v>0</v>
      </c>
      <c r="AF800" s="6">
        <f ca="1">$M$800*$Z$800</f>
        <v>65674.912043999997</v>
      </c>
      <c r="AG800" s="6">
        <f ca="1">$O$800*$AA$800</f>
        <v>53172.772799999999</v>
      </c>
    </row>
    <row r="801" spans="1:33" ht="11.25" customHeight="1" x14ac:dyDescent="0.3">
      <c r="A801" s="4" t="s">
        <v>27</v>
      </c>
      <c r="B801" s="4" t="s">
        <v>22</v>
      </c>
      <c r="C801" s="4" t="s">
        <v>23</v>
      </c>
      <c r="D801" s="4" t="s">
        <v>24</v>
      </c>
      <c r="E801" s="4" t="s">
        <v>30</v>
      </c>
      <c r="F801" s="4" t="s">
        <v>25</v>
      </c>
      <c r="G801" s="4" t="s">
        <v>25</v>
      </c>
      <c r="H801" s="4" t="s">
        <v>25</v>
      </c>
      <c r="I801" s="5">
        <v>44593</v>
      </c>
      <c r="J801" s="6">
        <v>0</v>
      </c>
      <c r="K801" s="6">
        <v>0</v>
      </c>
      <c r="L801" s="6">
        <v>1.6E-2</v>
      </c>
      <c r="M801" s="6">
        <v>1.6E-2</v>
      </c>
      <c r="N801" s="6">
        <v>1.6E-2</v>
      </c>
      <c r="O801" s="6">
        <v>1.6E-2</v>
      </c>
      <c r="P801" s="6">
        <v>0</v>
      </c>
      <c r="Q801" s="4" t="s">
        <v>26</v>
      </c>
      <c r="R801" s="4">
        <v>0</v>
      </c>
      <c r="S801" s="6">
        <v>0</v>
      </c>
      <c r="T801" s="6">
        <v>34</v>
      </c>
      <c r="U801" s="6">
        <v>75</v>
      </c>
      <c r="V801" s="6">
        <f>IF(ISERROR(VLOOKUP($S$801,'TAR FIN'!$A$1:$O$113,15,0)),0,VLOOKUP($S$801,'TAR FIN'!$A$1:$O$113,15,0))</f>
        <v>0</v>
      </c>
      <c r="W801" s="6">
        <f>IF(ISERROR(VLOOKUP($T$801,'TAR FIN'!$A$1:$O$113,15,0)),0,VLOOKUP($T$801,'TAR FIN'!$A$1:$O$113,15,0))</f>
        <v>135.52000000000001</v>
      </c>
      <c r="X801" s="6">
        <f>IF(ISERROR(VLOOKUP($U$801,'TAR FIN'!$A$1:$O$113,15,0)),0,VLOOKUP($U$801,'TAR FIN'!$A$1:$O$113,15,0))</f>
        <v>175.41</v>
      </c>
      <c r="Y801" s="6"/>
      <c r="Z801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801" s="6">
        <f ca="1">('TE BE'!$AB$20+'TE BF_350'!$AB$20+'TE CVA'!$AB$20)*(1-CUSTOS!$M$35)</f>
        <v>146.4</v>
      </c>
      <c r="AB801" s="6">
        <f>$K$801*$V$801</f>
        <v>0</v>
      </c>
      <c r="AC801" s="6">
        <f>$M$801*$W$801</f>
        <v>2.16832</v>
      </c>
      <c r="AD801" s="6">
        <f>$O$801*$X$801</f>
        <v>2.8065600000000002</v>
      </c>
      <c r="AE801" s="6">
        <f>$K$801*$Y$801</f>
        <v>0</v>
      </c>
      <c r="AF801" s="6">
        <f ca="1">$M$801*$Z$801</f>
        <v>2.8931520000000002</v>
      </c>
      <c r="AG801" s="6">
        <f ca="1">$O$801*$AA$801</f>
        <v>2.3424</v>
      </c>
    </row>
    <row r="802" spans="1:33" ht="11.25" customHeight="1" x14ac:dyDescent="0.3">
      <c r="A802" s="4" t="s">
        <v>28</v>
      </c>
      <c r="B802" s="4" t="s">
        <v>22</v>
      </c>
      <c r="C802" s="4" t="s">
        <v>23</v>
      </c>
      <c r="D802" s="4" t="s">
        <v>24</v>
      </c>
      <c r="E802" s="4" t="s">
        <v>30</v>
      </c>
      <c r="F802" s="4" t="s">
        <v>25</v>
      </c>
      <c r="G802" s="4" t="s">
        <v>25</v>
      </c>
      <c r="H802" s="4" t="s">
        <v>25</v>
      </c>
      <c r="I802" s="5">
        <v>44593</v>
      </c>
      <c r="J802" s="6">
        <v>0</v>
      </c>
      <c r="K802" s="6">
        <v>0</v>
      </c>
      <c r="L802" s="6">
        <v>9.9000000000000005E-2</v>
      </c>
      <c r="M802" s="6">
        <v>1.9800000000000002E-2</v>
      </c>
      <c r="N802" s="6">
        <v>9.9000000000000005E-2</v>
      </c>
      <c r="O802" s="6">
        <v>1.9800000000000002E-2</v>
      </c>
      <c r="P802" s="6">
        <v>1</v>
      </c>
      <c r="Q802" s="4" t="s">
        <v>26</v>
      </c>
      <c r="R802" s="4">
        <v>0</v>
      </c>
      <c r="S802" s="6">
        <v>0</v>
      </c>
      <c r="T802" s="6">
        <v>34</v>
      </c>
      <c r="U802" s="6">
        <v>75</v>
      </c>
      <c r="V802" s="6">
        <f>IF(ISERROR(VLOOKUP($S$802,'TAR FIN'!$A$1:$O$113,15,0)),0,VLOOKUP($S$802,'TAR FIN'!$A$1:$O$113,15,0))</f>
        <v>0</v>
      </c>
      <c r="W802" s="6">
        <f>IF(ISERROR(VLOOKUP($T$802,'TAR FIN'!$A$1:$O$113,15,0)),0,VLOOKUP($T$802,'TAR FIN'!$A$1:$O$113,15,0))</f>
        <v>135.52000000000001</v>
      </c>
      <c r="X802" s="6">
        <f>IF(ISERROR(VLOOKUP($U$802,'TAR FIN'!$A$1:$O$113,15,0)),0,VLOOKUP($U$802,'TAR FIN'!$A$1:$O$113,15,0))</f>
        <v>175.41</v>
      </c>
      <c r="Y802" s="6"/>
      <c r="Z802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802" s="6">
        <f ca="1">('TE BE'!$AB$20+'TE BF_350'!$AB$20+'TE CVA'!$AB$20)*(1-CUSTOS!$M$35)</f>
        <v>146.4</v>
      </c>
      <c r="AB802" s="6">
        <f>$K$802*$V$802</f>
        <v>0</v>
      </c>
      <c r="AC802" s="6">
        <f>$M$802*$W$802</f>
        <v>2.6832960000000003</v>
      </c>
      <c r="AD802" s="6">
        <f>$O$802*$X$802</f>
        <v>3.4731180000000004</v>
      </c>
      <c r="AE802" s="6">
        <f>$K$802*$Y$802</f>
        <v>0</v>
      </c>
      <c r="AF802" s="6">
        <f ca="1">$M$802*$Z$802</f>
        <v>3.5802756000000002</v>
      </c>
      <c r="AG802" s="6">
        <f ca="1">$O$802*$AA$802</f>
        <v>2.8987200000000004</v>
      </c>
    </row>
    <row r="803" spans="1:33" ht="11.25" customHeight="1" x14ac:dyDescent="0.3">
      <c r="A803" s="4" t="s">
        <v>21</v>
      </c>
      <c r="B803" s="4" t="s">
        <v>22</v>
      </c>
      <c r="C803" s="4" t="s">
        <v>23</v>
      </c>
      <c r="D803" s="4" t="s">
        <v>24</v>
      </c>
      <c r="E803" s="4" t="s">
        <v>30</v>
      </c>
      <c r="F803" s="4" t="s">
        <v>25</v>
      </c>
      <c r="G803" s="4" t="s">
        <v>25</v>
      </c>
      <c r="H803" s="4" t="s">
        <v>25</v>
      </c>
      <c r="I803" s="5">
        <v>44621</v>
      </c>
      <c r="J803" s="6">
        <v>0</v>
      </c>
      <c r="K803" s="6">
        <v>0</v>
      </c>
      <c r="L803" s="6">
        <v>380.16800000000001</v>
      </c>
      <c r="M803" s="6">
        <v>380.16800000000001</v>
      </c>
      <c r="N803" s="6">
        <v>380.16800000000001</v>
      </c>
      <c r="O803" s="6">
        <v>380.16800000000001</v>
      </c>
      <c r="P803" s="6">
        <v>1716</v>
      </c>
      <c r="Q803" s="4" t="s">
        <v>26</v>
      </c>
      <c r="R803" s="4">
        <v>0</v>
      </c>
      <c r="S803" s="6">
        <v>0</v>
      </c>
      <c r="T803" s="6">
        <v>34</v>
      </c>
      <c r="U803" s="6">
        <v>75</v>
      </c>
      <c r="V803" s="6">
        <f>IF(ISERROR(VLOOKUP($S$803,'TAR FIN'!$A$1:$O$113,15,0)),0,VLOOKUP($S$803,'TAR FIN'!$A$1:$O$113,15,0))</f>
        <v>0</v>
      </c>
      <c r="W803" s="6">
        <f>IF(ISERROR(VLOOKUP($T$803,'TAR FIN'!$A$1:$O$113,15,0)),0,VLOOKUP($T$803,'TAR FIN'!$A$1:$O$113,15,0))</f>
        <v>135.52000000000001</v>
      </c>
      <c r="X803" s="6">
        <f>IF(ISERROR(VLOOKUP($U$803,'TAR FIN'!$A$1:$O$113,15,0)),0,VLOOKUP($U$803,'TAR FIN'!$A$1:$O$113,15,0))</f>
        <v>175.41</v>
      </c>
      <c r="Y803" s="6"/>
      <c r="Z803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803" s="6">
        <f ca="1">('TE BE'!$AB$20+'TE BF_350'!$AB$20+'TE CVA'!$AB$20)*(1-CUSTOS!$M$35)</f>
        <v>146.4</v>
      </c>
      <c r="AB803" s="6">
        <f>$K$803*$V$803</f>
        <v>0</v>
      </c>
      <c r="AC803" s="6">
        <f>$M$803*$W$803</f>
        <v>51520.367360000004</v>
      </c>
      <c r="AD803" s="6">
        <f>$O$803*$X$803</f>
        <v>66685.268880000003</v>
      </c>
      <c r="AE803" s="6">
        <f>$K$803*$Y$803</f>
        <v>0</v>
      </c>
      <c r="AF803" s="6">
        <f ca="1">$M$803*$Z$803</f>
        <v>68742.738096000001</v>
      </c>
      <c r="AG803" s="6">
        <f ca="1">$O$803*$AA$803</f>
        <v>55656.595200000003</v>
      </c>
    </row>
    <row r="804" spans="1:33" ht="11.25" customHeight="1" x14ac:dyDescent="0.3">
      <c r="A804" s="4" t="s">
        <v>27</v>
      </c>
      <c r="B804" s="4" t="s">
        <v>22</v>
      </c>
      <c r="C804" s="4" t="s">
        <v>23</v>
      </c>
      <c r="D804" s="4" t="s">
        <v>24</v>
      </c>
      <c r="E804" s="4" t="s">
        <v>30</v>
      </c>
      <c r="F804" s="4" t="s">
        <v>25</v>
      </c>
      <c r="G804" s="4" t="s">
        <v>25</v>
      </c>
      <c r="H804" s="4" t="s">
        <v>25</v>
      </c>
      <c r="I804" s="5">
        <v>44621</v>
      </c>
      <c r="J804" s="6">
        <v>0</v>
      </c>
      <c r="K804" s="6">
        <v>0</v>
      </c>
      <c r="L804" s="6">
        <v>-6.0999999999999999E-2</v>
      </c>
      <c r="M804" s="6">
        <v>-6.0999999999999999E-2</v>
      </c>
      <c r="N804" s="6">
        <v>-6.0999999999999999E-2</v>
      </c>
      <c r="O804" s="6">
        <v>-6.0999999999999999E-2</v>
      </c>
      <c r="P804" s="6">
        <v>0</v>
      </c>
      <c r="Q804" s="4" t="s">
        <v>26</v>
      </c>
      <c r="R804" s="4">
        <v>0</v>
      </c>
      <c r="S804" s="6">
        <v>0</v>
      </c>
      <c r="T804" s="6">
        <v>34</v>
      </c>
      <c r="U804" s="6">
        <v>75</v>
      </c>
      <c r="V804" s="6">
        <f>IF(ISERROR(VLOOKUP($S$804,'TAR FIN'!$A$1:$O$113,15,0)),0,VLOOKUP($S$804,'TAR FIN'!$A$1:$O$113,15,0))</f>
        <v>0</v>
      </c>
      <c r="W804" s="6">
        <f>IF(ISERROR(VLOOKUP($T$804,'TAR FIN'!$A$1:$O$113,15,0)),0,VLOOKUP($T$804,'TAR FIN'!$A$1:$O$113,15,0))</f>
        <v>135.52000000000001</v>
      </c>
      <c r="X804" s="6">
        <f>IF(ISERROR(VLOOKUP($U$804,'TAR FIN'!$A$1:$O$113,15,0)),0,VLOOKUP($U$804,'TAR FIN'!$A$1:$O$113,15,0))</f>
        <v>175.41</v>
      </c>
      <c r="Y804" s="6"/>
      <c r="Z804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804" s="6">
        <f ca="1">('TE BE'!$AB$20+'TE BF_350'!$AB$20+'TE CVA'!$AB$20)*(1-CUSTOS!$M$35)</f>
        <v>146.4</v>
      </c>
      <c r="AB804" s="6">
        <f>$K$804*$V$804</f>
        <v>0</v>
      </c>
      <c r="AC804" s="6">
        <f>$M$804*$W$804</f>
        <v>-8.2667200000000012</v>
      </c>
      <c r="AD804" s="6">
        <f>$O$804*$X$804</f>
        <v>-10.700009999999999</v>
      </c>
      <c r="AE804" s="6">
        <f>$K$804*$Y$804</f>
        <v>0</v>
      </c>
      <c r="AF804" s="6">
        <f ca="1">$M$804*$Z$804</f>
        <v>-11.030142</v>
      </c>
      <c r="AG804" s="6">
        <f ca="1">$O$804*$AA$804</f>
        <v>-8.9304000000000006</v>
      </c>
    </row>
    <row r="805" spans="1:33" ht="11.25" customHeight="1" x14ac:dyDescent="0.3">
      <c r="A805" s="4" t="s">
        <v>28</v>
      </c>
      <c r="B805" s="4" t="s">
        <v>22</v>
      </c>
      <c r="C805" s="4" t="s">
        <v>23</v>
      </c>
      <c r="D805" s="4" t="s">
        <v>24</v>
      </c>
      <c r="E805" s="4" t="s">
        <v>30</v>
      </c>
      <c r="F805" s="4" t="s">
        <v>25</v>
      </c>
      <c r="G805" s="4" t="s">
        <v>25</v>
      </c>
      <c r="H805" s="4" t="s">
        <v>25</v>
      </c>
      <c r="I805" s="5">
        <v>44621</v>
      </c>
      <c r="J805" s="6">
        <v>0</v>
      </c>
      <c r="K805" s="6">
        <v>0</v>
      </c>
      <c r="L805" s="6">
        <v>9.8000000000000004E-2</v>
      </c>
      <c r="M805" s="6">
        <v>1.9599999999999999E-2</v>
      </c>
      <c r="N805" s="6">
        <v>9.8000000000000004E-2</v>
      </c>
      <c r="O805" s="6">
        <v>1.9599999999999999E-2</v>
      </c>
      <c r="P805" s="6">
        <v>1</v>
      </c>
      <c r="Q805" s="4" t="s">
        <v>26</v>
      </c>
      <c r="R805" s="4">
        <v>0</v>
      </c>
      <c r="S805" s="6">
        <v>0</v>
      </c>
      <c r="T805" s="6">
        <v>34</v>
      </c>
      <c r="U805" s="6">
        <v>75</v>
      </c>
      <c r="V805" s="6">
        <f>IF(ISERROR(VLOOKUP($S$805,'TAR FIN'!$A$1:$O$113,15,0)),0,VLOOKUP($S$805,'TAR FIN'!$A$1:$O$113,15,0))</f>
        <v>0</v>
      </c>
      <c r="W805" s="6">
        <f>IF(ISERROR(VLOOKUP($T$805,'TAR FIN'!$A$1:$O$113,15,0)),0,VLOOKUP($T$805,'TAR FIN'!$A$1:$O$113,15,0))</f>
        <v>135.52000000000001</v>
      </c>
      <c r="X805" s="6">
        <f>IF(ISERROR(VLOOKUP($U$805,'TAR FIN'!$A$1:$O$113,15,0)),0,VLOOKUP($U$805,'TAR FIN'!$A$1:$O$113,15,0))</f>
        <v>175.41</v>
      </c>
      <c r="Y805" s="6"/>
      <c r="Z805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805" s="6">
        <f ca="1">('TE BE'!$AB$20+'TE BF_350'!$AB$20+'TE CVA'!$AB$20)*(1-CUSTOS!$M$35)</f>
        <v>146.4</v>
      </c>
      <c r="AB805" s="6">
        <f>$K$805*$V$805</f>
        <v>0</v>
      </c>
      <c r="AC805" s="6">
        <f>$M$805*$W$805</f>
        <v>2.6561920000000003</v>
      </c>
      <c r="AD805" s="6">
        <f>$O$805*$X$805</f>
        <v>3.4380359999999999</v>
      </c>
      <c r="AE805" s="6">
        <f>$K$805*$Y$805</f>
        <v>0</v>
      </c>
      <c r="AF805" s="6">
        <f ca="1">$M$805*$Z$805</f>
        <v>3.5441112000000001</v>
      </c>
      <c r="AG805" s="6">
        <f ca="1">$O$805*$AA$805</f>
        <v>2.86944</v>
      </c>
    </row>
    <row r="806" spans="1:33" ht="11.25" customHeight="1" x14ac:dyDescent="0.3">
      <c r="A806" s="4" t="s">
        <v>21</v>
      </c>
      <c r="B806" s="4" t="s">
        <v>22</v>
      </c>
      <c r="C806" s="4" t="s">
        <v>23</v>
      </c>
      <c r="D806" s="4" t="s">
        <v>24</v>
      </c>
      <c r="E806" s="4" t="s">
        <v>30</v>
      </c>
      <c r="F806" s="4" t="s">
        <v>25</v>
      </c>
      <c r="G806" s="4" t="s">
        <v>25</v>
      </c>
      <c r="H806" s="4" t="s">
        <v>25</v>
      </c>
      <c r="I806" s="5">
        <v>44652</v>
      </c>
      <c r="J806" s="6">
        <v>0</v>
      </c>
      <c r="K806" s="6">
        <v>0</v>
      </c>
      <c r="L806" s="6">
        <v>379.97199999999998</v>
      </c>
      <c r="M806" s="6">
        <v>379.97199999999998</v>
      </c>
      <c r="N806" s="6">
        <v>379.97199999999998</v>
      </c>
      <c r="O806" s="6">
        <v>379.97199999999998</v>
      </c>
      <c r="P806" s="6">
        <v>1776</v>
      </c>
      <c r="Q806" s="4" t="s">
        <v>26</v>
      </c>
      <c r="R806" s="4">
        <v>0</v>
      </c>
      <c r="S806" s="6">
        <v>0</v>
      </c>
      <c r="T806" s="6">
        <v>34</v>
      </c>
      <c r="U806" s="6">
        <v>75</v>
      </c>
      <c r="V806" s="6">
        <f>IF(ISERROR(VLOOKUP($S$806,'TAR FIN'!$A$1:$O$113,15,0)),0,VLOOKUP($S$806,'TAR FIN'!$A$1:$O$113,15,0))</f>
        <v>0</v>
      </c>
      <c r="W806" s="6">
        <f>IF(ISERROR(VLOOKUP($T$806,'TAR FIN'!$A$1:$O$113,15,0)),0,VLOOKUP($T$806,'TAR FIN'!$A$1:$O$113,15,0))</f>
        <v>135.52000000000001</v>
      </c>
      <c r="X806" s="6">
        <f>IF(ISERROR(VLOOKUP($U$806,'TAR FIN'!$A$1:$O$113,15,0)),0,VLOOKUP($U$806,'TAR FIN'!$A$1:$O$113,15,0))</f>
        <v>175.41</v>
      </c>
      <c r="Y806" s="6"/>
      <c r="Z806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806" s="6">
        <f ca="1">('TE BE'!$AB$20+'TE BF_350'!$AB$20+'TE CVA'!$AB$20)*(1-CUSTOS!$M$35)</f>
        <v>146.4</v>
      </c>
      <c r="AB806" s="6">
        <f>$K$806*$V$806</f>
        <v>0</v>
      </c>
      <c r="AC806" s="6">
        <f>$M$806*$W$806</f>
        <v>51493.805440000004</v>
      </c>
      <c r="AD806" s="6">
        <f>$O$806*$X$806</f>
        <v>66650.888519999993</v>
      </c>
      <c r="AE806" s="6">
        <f>$K$806*$Y$806</f>
        <v>0</v>
      </c>
      <c r="AF806" s="6">
        <f ca="1">$M$806*$Z$806</f>
        <v>68707.296984000001</v>
      </c>
      <c r="AG806" s="6">
        <f ca="1">$O$806*$AA$806</f>
        <v>55627.900799999996</v>
      </c>
    </row>
    <row r="807" spans="1:33" ht="11.25" customHeight="1" x14ac:dyDescent="0.3">
      <c r="A807" s="4" t="s">
        <v>27</v>
      </c>
      <c r="B807" s="4" t="s">
        <v>22</v>
      </c>
      <c r="C807" s="4" t="s">
        <v>23</v>
      </c>
      <c r="D807" s="4" t="s">
        <v>24</v>
      </c>
      <c r="E807" s="4" t="s">
        <v>30</v>
      </c>
      <c r="F807" s="4" t="s">
        <v>25</v>
      </c>
      <c r="G807" s="4" t="s">
        <v>25</v>
      </c>
      <c r="H807" s="4" t="s">
        <v>25</v>
      </c>
      <c r="I807" s="5">
        <v>44652</v>
      </c>
      <c r="J807" s="6">
        <v>0</v>
      </c>
      <c r="K807" s="6">
        <v>0</v>
      </c>
      <c r="L807" s="6">
        <v>0.11</v>
      </c>
      <c r="M807" s="6">
        <v>0.11</v>
      </c>
      <c r="N807" s="6">
        <v>0.11</v>
      </c>
      <c r="O807" s="6">
        <v>0.11</v>
      </c>
      <c r="P807" s="6">
        <v>0</v>
      </c>
      <c r="Q807" s="4" t="s">
        <v>26</v>
      </c>
      <c r="R807" s="4">
        <v>0</v>
      </c>
      <c r="S807" s="6">
        <v>0</v>
      </c>
      <c r="T807" s="6">
        <v>34</v>
      </c>
      <c r="U807" s="6">
        <v>75</v>
      </c>
      <c r="V807" s="6">
        <f>IF(ISERROR(VLOOKUP($S$807,'TAR FIN'!$A$1:$O$113,15,0)),0,VLOOKUP($S$807,'TAR FIN'!$A$1:$O$113,15,0))</f>
        <v>0</v>
      </c>
      <c r="W807" s="6">
        <f>IF(ISERROR(VLOOKUP($T$807,'TAR FIN'!$A$1:$O$113,15,0)),0,VLOOKUP($T$807,'TAR FIN'!$A$1:$O$113,15,0))</f>
        <v>135.52000000000001</v>
      </c>
      <c r="X807" s="6">
        <f>IF(ISERROR(VLOOKUP($U$807,'TAR FIN'!$A$1:$O$113,15,0)),0,VLOOKUP($U$807,'TAR FIN'!$A$1:$O$113,15,0))</f>
        <v>175.41</v>
      </c>
      <c r="Y807" s="6"/>
      <c r="Z807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807" s="6">
        <f ca="1">('TE BE'!$AB$20+'TE BF_350'!$AB$20+'TE CVA'!$AB$20)*(1-CUSTOS!$M$35)</f>
        <v>146.4</v>
      </c>
      <c r="AB807" s="6">
        <f>$K$807*$V$807</f>
        <v>0</v>
      </c>
      <c r="AC807" s="6">
        <f>$M$807*$W$807</f>
        <v>14.907200000000001</v>
      </c>
      <c r="AD807" s="6">
        <f>$O$807*$X$807</f>
        <v>19.295100000000001</v>
      </c>
      <c r="AE807" s="6">
        <f>$K$807*$Y$807</f>
        <v>0</v>
      </c>
      <c r="AF807" s="6">
        <f ca="1">$M$807*$Z$807</f>
        <v>19.890419999999999</v>
      </c>
      <c r="AG807" s="6">
        <f ca="1">$O$807*$AA$807</f>
        <v>16.103999999999999</v>
      </c>
    </row>
    <row r="808" spans="1:33" ht="11.25" customHeight="1" x14ac:dyDescent="0.3">
      <c r="A808" s="4" t="s">
        <v>28</v>
      </c>
      <c r="B808" s="4" t="s">
        <v>22</v>
      </c>
      <c r="C808" s="4" t="s">
        <v>23</v>
      </c>
      <c r="D808" s="4" t="s">
        <v>24</v>
      </c>
      <c r="E808" s="4" t="s">
        <v>30</v>
      </c>
      <c r="F808" s="4" t="s">
        <v>25</v>
      </c>
      <c r="G808" s="4" t="s">
        <v>25</v>
      </c>
      <c r="H808" s="4" t="s">
        <v>25</v>
      </c>
      <c r="I808" s="5">
        <v>44652</v>
      </c>
      <c r="J808" s="6">
        <v>0</v>
      </c>
      <c r="K808" s="6">
        <v>0</v>
      </c>
      <c r="L808" s="6">
        <v>6.2E-2</v>
      </c>
      <c r="M808" s="6">
        <v>1.24E-2</v>
      </c>
      <c r="N808" s="6">
        <v>6.2E-2</v>
      </c>
      <c r="O808" s="6">
        <v>1.24E-2</v>
      </c>
      <c r="P808" s="6">
        <v>0</v>
      </c>
      <c r="Q808" s="4" t="s">
        <v>26</v>
      </c>
      <c r="R808" s="4">
        <v>0</v>
      </c>
      <c r="S808" s="6">
        <v>0</v>
      </c>
      <c r="T808" s="6">
        <v>34</v>
      </c>
      <c r="U808" s="6">
        <v>75</v>
      </c>
      <c r="V808" s="6">
        <f>IF(ISERROR(VLOOKUP($S$808,'TAR FIN'!$A$1:$O$113,15,0)),0,VLOOKUP($S$808,'TAR FIN'!$A$1:$O$113,15,0))</f>
        <v>0</v>
      </c>
      <c r="W808" s="6">
        <f>IF(ISERROR(VLOOKUP($T$808,'TAR FIN'!$A$1:$O$113,15,0)),0,VLOOKUP($T$808,'TAR FIN'!$A$1:$O$113,15,0))</f>
        <v>135.52000000000001</v>
      </c>
      <c r="X808" s="6">
        <f>IF(ISERROR(VLOOKUP($U$808,'TAR FIN'!$A$1:$O$113,15,0)),0,VLOOKUP($U$808,'TAR FIN'!$A$1:$O$113,15,0))</f>
        <v>175.41</v>
      </c>
      <c r="Y808" s="6"/>
      <c r="Z808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808" s="6">
        <f ca="1">('TE BE'!$AB$20+'TE BF_350'!$AB$20+'TE CVA'!$AB$20)*(1-CUSTOS!$M$35)</f>
        <v>146.4</v>
      </c>
      <c r="AB808" s="6">
        <f>$K$808*$V$808</f>
        <v>0</v>
      </c>
      <c r="AC808" s="6">
        <f>$M$808*$W$808</f>
        <v>1.6804480000000002</v>
      </c>
      <c r="AD808" s="6">
        <f>$O$808*$X$808</f>
        <v>2.175084</v>
      </c>
      <c r="AE808" s="6">
        <f>$K$808*$Y$808</f>
        <v>0</v>
      </c>
      <c r="AF808" s="6">
        <f ca="1">$M$808*$Z$808</f>
        <v>2.2421927999999998</v>
      </c>
      <c r="AG808" s="6">
        <f ca="1">$O$808*$AA$808</f>
        <v>1.8153600000000001</v>
      </c>
    </row>
    <row r="809" spans="1:33" ht="11.25" customHeight="1" x14ac:dyDescent="0.3">
      <c r="A809" s="4" t="s">
        <v>21</v>
      </c>
      <c r="B809" s="4" t="s">
        <v>22</v>
      </c>
      <c r="C809" s="4" t="s">
        <v>23</v>
      </c>
      <c r="D809" s="4" t="s">
        <v>24</v>
      </c>
      <c r="E809" s="4" t="s">
        <v>30</v>
      </c>
      <c r="F809" s="4" t="s">
        <v>25</v>
      </c>
      <c r="G809" s="4" t="s">
        <v>25</v>
      </c>
      <c r="H809" s="4" t="s">
        <v>25</v>
      </c>
      <c r="I809" s="5">
        <v>44682</v>
      </c>
      <c r="J809" s="6">
        <v>0</v>
      </c>
      <c r="K809" s="6">
        <v>0</v>
      </c>
      <c r="L809" s="6">
        <v>388.15800000000002</v>
      </c>
      <c r="M809" s="6">
        <v>388.15800000000002</v>
      </c>
      <c r="N809" s="6">
        <v>388.15800000000002</v>
      </c>
      <c r="O809" s="6">
        <v>388.15800000000002</v>
      </c>
      <c r="P809" s="6">
        <v>1811</v>
      </c>
      <c r="Q809" s="4" t="s">
        <v>26</v>
      </c>
      <c r="R809" s="4">
        <v>0</v>
      </c>
      <c r="S809" s="6">
        <v>0</v>
      </c>
      <c r="T809" s="6">
        <v>34</v>
      </c>
      <c r="U809" s="6">
        <v>75</v>
      </c>
      <c r="V809" s="6">
        <f>IF(ISERROR(VLOOKUP($S$809,'TAR FIN'!$A$1:$O$113,15,0)),0,VLOOKUP($S$809,'TAR FIN'!$A$1:$O$113,15,0))</f>
        <v>0</v>
      </c>
      <c r="W809" s="6">
        <f>IF(ISERROR(VLOOKUP($T$809,'TAR FIN'!$A$1:$O$113,15,0)),0,VLOOKUP($T$809,'TAR FIN'!$A$1:$O$113,15,0))</f>
        <v>135.52000000000001</v>
      </c>
      <c r="X809" s="6">
        <f>IF(ISERROR(VLOOKUP($U$809,'TAR FIN'!$A$1:$O$113,15,0)),0,VLOOKUP($U$809,'TAR FIN'!$A$1:$O$113,15,0))</f>
        <v>175.41</v>
      </c>
      <c r="Y809" s="6"/>
      <c r="Z809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809" s="6">
        <f ca="1">('TE BE'!$AB$20+'TE BF_350'!$AB$20+'TE CVA'!$AB$20)*(1-CUSTOS!$M$35)</f>
        <v>146.4</v>
      </c>
      <c r="AB809" s="6">
        <f>$K$809*$V$809</f>
        <v>0</v>
      </c>
      <c r="AC809" s="6">
        <f>$M$809*$W$809</f>
        <v>52603.172160000009</v>
      </c>
      <c r="AD809" s="6">
        <f>$O$809*$X$809</f>
        <v>68086.794779999997</v>
      </c>
      <c r="AE809" s="6">
        <f>$K$809*$Y$809</f>
        <v>0</v>
      </c>
      <c r="AF809" s="6">
        <f ca="1">$M$809*$Z$809</f>
        <v>70187.50587600001</v>
      </c>
      <c r="AG809" s="6">
        <f ca="1">$O$809*$AA$809</f>
        <v>56826.331200000008</v>
      </c>
    </row>
    <row r="810" spans="1:33" ht="11.25" customHeight="1" x14ac:dyDescent="0.3">
      <c r="A810" s="4" t="s">
        <v>28</v>
      </c>
      <c r="B810" s="4" t="s">
        <v>22</v>
      </c>
      <c r="C810" s="4" t="s">
        <v>23</v>
      </c>
      <c r="D810" s="4" t="s">
        <v>24</v>
      </c>
      <c r="E810" s="4" t="s">
        <v>30</v>
      </c>
      <c r="F810" s="4" t="s">
        <v>25</v>
      </c>
      <c r="G810" s="4" t="s">
        <v>25</v>
      </c>
      <c r="H810" s="4" t="s">
        <v>25</v>
      </c>
      <c r="I810" s="5">
        <v>44682</v>
      </c>
      <c r="J810" s="6">
        <v>0</v>
      </c>
      <c r="K810" s="6">
        <v>0</v>
      </c>
      <c r="L810" s="6">
        <v>2E-3</v>
      </c>
      <c r="M810" s="6">
        <v>4.0000000000000002E-4</v>
      </c>
      <c r="N810" s="6">
        <v>2E-3</v>
      </c>
      <c r="O810" s="6">
        <v>4.0000000000000002E-4</v>
      </c>
      <c r="P810" s="6">
        <v>1</v>
      </c>
      <c r="Q810" s="4" t="s">
        <v>26</v>
      </c>
      <c r="R810" s="4">
        <v>0</v>
      </c>
      <c r="S810" s="6">
        <v>0</v>
      </c>
      <c r="T810" s="6">
        <v>34</v>
      </c>
      <c r="U810" s="6">
        <v>75</v>
      </c>
      <c r="V810" s="6">
        <f>IF(ISERROR(VLOOKUP($S$810,'TAR FIN'!$A$1:$O$113,15,0)),0,VLOOKUP($S$810,'TAR FIN'!$A$1:$O$113,15,0))</f>
        <v>0</v>
      </c>
      <c r="W810" s="6">
        <f>IF(ISERROR(VLOOKUP($T$810,'TAR FIN'!$A$1:$O$113,15,0)),0,VLOOKUP($T$810,'TAR FIN'!$A$1:$O$113,15,0))</f>
        <v>135.52000000000001</v>
      </c>
      <c r="X810" s="6">
        <f>IF(ISERROR(VLOOKUP($U$810,'TAR FIN'!$A$1:$O$113,15,0)),0,VLOOKUP($U$810,'TAR FIN'!$A$1:$O$113,15,0))</f>
        <v>175.41</v>
      </c>
      <c r="Y810" s="6"/>
      <c r="Z810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810" s="6">
        <f ca="1">('TE BE'!$AB$20+'TE BF_350'!$AB$20+'TE CVA'!$AB$20)*(1-CUSTOS!$M$35)</f>
        <v>146.4</v>
      </c>
      <c r="AB810" s="6">
        <f>$K$810*$V$810</f>
        <v>0</v>
      </c>
      <c r="AC810" s="6">
        <f>$M$810*$W$810</f>
        <v>5.4208000000000006E-2</v>
      </c>
      <c r="AD810" s="6">
        <f>$O$810*$X$810</f>
        <v>7.0164000000000004E-2</v>
      </c>
      <c r="AE810" s="6">
        <f>$K$810*$Y$810</f>
        <v>0</v>
      </c>
      <c r="AF810" s="6">
        <f ca="1">$M$810*$Z$810</f>
        <v>7.2328799999999999E-2</v>
      </c>
      <c r="AG810" s="6">
        <f ca="1">$O$810*$AA$810</f>
        <v>5.8560000000000008E-2</v>
      </c>
    </row>
    <row r="811" spans="1:33" ht="11.25" customHeight="1" x14ac:dyDescent="0.3">
      <c r="A811" s="4" t="s">
        <v>21</v>
      </c>
      <c r="B811" s="4" t="s">
        <v>22</v>
      </c>
      <c r="C811" s="4" t="s">
        <v>23</v>
      </c>
      <c r="D811" s="4" t="s">
        <v>24</v>
      </c>
      <c r="E811" s="4" t="s">
        <v>30</v>
      </c>
      <c r="F811" s="4" t="s">
        <v>25</v>
      </c>
      <c r="G811" s="4" t="s">
        <v>25</v>
      </c>
      <c r="H811" s="4" t="s">
        <v>25</v>
      </c>
      <c r="I811" s="5">
        <v>44713</v>
      </c>
      <c r="J811" s="6">
        <v>0</v>
      </c>
      <c r="K811" s="6">
        <v>0</v>
      </c>
      <c r="L811" s="6">
        <v>367.43200000000002</v>
      </c>
      <c r="M811" s="6">
        <v>367.43200000000002</v>
      </c>
      <c r="N811" s="6">
        <v>367.43200000000002</v>
      </c>
      <c r="O811" s="6">
        <v>367.43200000000002</v>
      </c>
      <c r="P811" s="6">
        <v>1917</v>
      </c>
      <c r="Q811" s="4" t="s">
        <v>26</v>
      </c>
      <c r="R811" s="4">
        <v>0</v>
      </c>
      <c r="S811" s="6">
        <v>0</v>
      </c>
      <c r="T811" s="6">
        <v>34</v>
      </c>
      <c r="U811" s="6">
        <v>75</v>
      </c>
      <c r="V811" s="6">
        <f>IF(ISERROR(VLOOKUP($S$811,'TAR FIN'!$A$1:$O$113,15,0)),0,VLOOKUP($S$811,'TAR FIN'!$A$1:$O$113,15,0))</f>
        <v>0</v>
      </c>
      <c r="W811" s="6">
        <f>IF(ISERROR(VLOOKUP($T$811,'TAR FIN'!$A$1:$O$113,15,0)),0,VLOOKUP($T$811,'TAR FIN'!$A$1:$O$113,15,0))</f>
        <v>135.52000000000001</v>
      </c>
      <c r="X811" s="6">
        <f>IF(ISERROR(VLOOKUP($U$811,'TAR FIN'!$A$1:$O$113,15,0)),0,VLOOKUP($U$811,'TAR FIN'!$A$1:$O$113,15,0))</f>
        <v>175.41</v>
      </c>
      <c r="Y811" s="6"/>
      <c r="Z811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811" s="6">
        <f ca="1">('TE BE'!$AB$20+'TE BF_350'!$AB$20+'TE CVA'!$AB$20)*(1-CUSTOS!$M$35)</f>
        <v>146.4</v>
      </c>
      <c r="AB811" s="6">
        <f>$K$811*$V$811</f>
        <v>0</v>
      </c>
      <c r="AC811" s="6">
        <f>$M$811*$W$811</f>
        <v>49794.384640000004</v>
      </c>
      <c r="AD811" s="6">
        <f>$O$811*$X$811</f>
        <v>64451.24712</v>
      </c>
      <c r="AE811" s="6">
        <f>$K$811*$Y$811</f>
        <v>0</v>
      </c>
      <c r="AF811" s="6">
        <f ca="1">$M$811*$Z$811</f>
        <v>66439.78910400001</v>
      </c>
      <c r="AG811" s="6">
        <f ca="1">$O$811*$AA$811</f>
        <v>53792.044800000003</v>
      </c>
    </row>
    <row r="812" spans="1:33" ht="11.25" customHeight="1" x14ac:dyDescent="0.3">
      <c r="A812" s="4" t="s">
        <v>27</v>
      </c>
      <c r="B812" s="4" t="s">
        <v>22</v>
      </c>
      <c r="C812" s="4" t="s">
        <v>23</v>
      </c>
      <c r="D812" s="4" t="s">
        <v>24</v>
      </c>
      <c r="E812" s="4" t="s">
        <v>30</v>
      </c>
      <c r="F812" s="4" t="s">
        <v>25</v>
      </c>
      <c r="G812" s="4" t="s">
        <v>25</v>
      </c>
      <c r="H812" s="4" t="s">
        <v>25</v>
      </c>
      <c r="I812" s="5">
        <v>44713</v>
      </c>
      <c r="J812" s="6">
        <v>0</v>
      </c>
      <c r="K812" s="6">
        <v>0</v>
      </c>
      <c r="L812" s="6">
        <v>-5.0000000000000001E-3</v>
      </c>
      <c r="M812" s="6">
        <v>-5.0000000000000001E-3</v>
      </c>
      <c r="N812" s="6">
        <v>-5.0000000000000001E-3</v>
      </c>
      <c r="O812" s="6">
        <v>-5.0000000000000001E-3</v>
      </c>
      <c r="P812" s="6">
        <v>0</v>
      </c>
      <c r="Q812" s="4" t="s">
        <v>26</v>
      </c>
      <c r="R812" s="4">
        <v>0</v>
      </c>
      <c r="S812" s="6">
        <v>0</v>
      </c>
      <c r="T812" s="6">
        <v>34</v>
      </c>
      <c r="U812" s="6">
        <v>75</v>
      </c>
      <c r="V812" s="6">
        <f>IF(ISERROR(VLOOKUP($S$812,'TAR FIN'!$A$1:$O$113,15,0)),0,VLOOKUP($S$812,'TAR FIN'!$A$1:$O$113,15,0))</f>
        <v>0</v>
      </c>
      <c r="W812" s="6">
        <f>IF(ISERROR(VLOOKUP($T$812,'TAR FIN'!$A$1:$O$113,15,0)),0,VLOOKUP($T$812,'TAR FIN'!$A$1:$O$113,15,0))</f>
        <v>135.52000000000001</v>
      </c>
      <c r="X812" s="6">
        <f>IF(ISERROR(VLOOKUP($U$812,'TAR FIN'!$A$1:$O$113,15,0)),0,VLOOKUP($U$812,'TAR FIN'!$A$1:$O$113,15,0))</f>
        <v>175.41</v>
      </c>
      <c r="Y812" s="6"/>
      <c r="Z812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812" s="6">
        <f ca="1">('TE BE'!$AB$20+'TE BF_350'!$AB$20+'TE CVA'!$AB$20)*(1-CUSTOS!$M$35)</f>
        <v>146.4</v>
      </c>
      <c r="AB812" s="6">
        <f>$K$812*$V$812</f>
        <v>0</v>
      </c>
      <c r="AC812" s="6">
        <f>$M$812*$W$812</f>
        <v>-0.67760000000000009</v>
      </c>
      <c r="AD812" s="6">
        <f>$O$812*$X$812</f>
        <v>-0.87705</v>
      </c>
      <c r="AE812" s="6">
        <f>$K$812*$Y$812</f>
        <v>0</v>
      </c>
      <c r="AF812" s="6">
        <f ca="1">$M$812*$Z$812</f>
        <v>-0.90411000000000008</v>
      </c>
      <c r="AG812" s="6">
        <f ca="1">$O$812*$AA$812</f>
        <v>-0.7320000000000001</v>
      </c>
    </row>
    <row r="813" spans="1:33" ht="11.25" customHeight="1" x14ac:dyDescent="0.3">
      <c r="A813" s="4" t="s">
        <v>21</v>
      </c>
      <c r="B813" s="4" t="s">
        <v>22</v>
      </c>
      <c r="C813" s="4" t="s">
        <v>23</v>
      </c>
      <c r="D813" s="4" t="s">
        <v>24</v>
      </c>
      <c r="E813" s="4" t="s">
        <v>30</v>
      </c>
      <c r="F813" s="4" t="s">
        <v>25</v>
      </c>
      <c r="G813" s="4" t="s">
        <v>25</v>
      </c>
      <c r="H813" s="4" t="s">
        <v>25</v>
      </c>
      <c r="I813" s="5">
        <v>44743</v>
      </c>
      <c r="J813" s="6">
        <v>0</v>
      </c>
      <c r="K813" s="6">
        <v>0</v>
      </c>
      <c r="L813" s="6">
        <v>347.49299999999999</v>
      </c>
      <c r="M813" s="6">
        <v>347.49299999999999</v>
      </c>
      <c r="N813" s="6">
        <v>347.49299999999999</v>
      </c>
      <c r="O813" s="6">
        <v>347.49299999999999</v>
      </c>
      <c r="P813" s="6">
        <v>1797</v>
      </c>
      <c r="Q813" s="4" t="s">
        <v>26</v>
      </c>
      <c r="R813" s="4">
        <v>0</v>
      </c>
      <c r="S813" s="6">
        <v>0</v>
      </c>
      <c r="T813" s="6">
        <v>34</v>
      </c>
      <c r="U813" s="6">
        <v>75</v>
      </c>
      <c r="V813" s="6">
        <f>IF(ISERROR(VLOOKUP($S$813,'TAR FIN'!$A$1:$O$113,15,0)),0,VLOOKUP($S$813,'TAR FIN'!$A$1:$O$113,15,0))</f>
        <v>0</v>
      </c>
      <c r="W813" s="6">
        <f>IF(ISERROR(VLOOKUP($T$813,'TAR FIN'!$A$1:$O$113,15,0)),0,VLOOKUP($T$813,'TAR FIN'!$A$1:$O$113,15,0))</f>
        <v>135.52000000000001</v>
      </c>
      <c r="X813" s="6">
        <f>IF(ISERROR(VLOOKUP($U$813,'TAR FIN'!$A$1:$O$113,15,0)),0,VLOOKUP($U$813,'TAR FIN'!$A$1:$O$113,15,0))</f>
        <v>175.41</v>
      </c>
      <c r="Y813" s="6"/>
      <c r="Z813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813" s="6">
        <f ca="1">('TE BE'!$AB$20+'TE BF_350'!$AB$20+'TE CVA'!$AB$20)*(1-CUSTOS!$M$35)</f>
        <v>146.4</v>
      </c>
      <c r="AB813" s="6">
        <f>$K$813*$V$813</f>
        <v>0</v>
      </c>
      <c r="AC813" s="6">
        <f>$M$813*$W$813</f>
        <v>47092.251360000002</v>
      </c>
      <c r="AD813" s="6">
        <f>$O$813*$X$813</f>
        <v>60953.747129999996</v>
      </c>
      <c r="AE813" s="6">
        <f>$K$813*$Y$813</f>
        <v>0</v>
      </c>
      <c r="AF813" s="6">
        <f ca="1">$M$813*$Z$813</f>
        <v>62834.379245999997</v>
      </c>
      <c r="AG813" s="6">
        <f ca="1">$O$813*$AA$813</f>
        <v>50872.975200000001</v>
      </c>
    </row>
    <row r="814" spans="1:33" ht="11.25" customHeight="1" x14ac:dyDescent="0.3">
      <c r="A814" s="4" t="s">
        <v>21</v>
      </c>
      <c r="B814" s="4" t="s">
        <v>22</v>
      </c>
      <c r="C814" s="4" t="s">
        <v>23</v>
      </c>
      <c r="D814" s="4" t="s">
        <v>24</v>
      </c>
      <c r="E814" s="4" t="s">
        <v>30</v>
      </c>
      <c r="F814" s="4" t="s">
        <v>25</v>
      </c>
      <c r="G814" s="4" t="s">
        <v>25</v>
      </c>
      <c r="H814" s="4" t="s">
        <v>25</v>
      </c>
      <c r="I814" s="5">
        <v>44774</v>
      </c>
      <c r="J814" s="6">
        <v>0</v>
      </c>
      <c r="K814" s="6">
        <v>0</v>
      </c>
      <c r="L814" s="6">
        <v>358.733</v>
      </c>
      <c r="M814" s="6">
        <v>358.733</v>
      </c>
      <c r="N814" s="6">
        <v>358.733</v>
      </c>
      <c r="O814" s="6">
        <v>358.733</v>
      </c>
      <c r="P814" s="6">
        <v>1872</v>
      </c>
      <c r="Q814" s="4" t="s">
        <v>26</v>
      </c>
      <c r="R814" s="4">
        <v>0</v>
      </c>
      <c r="S814" s="6">
        <v>0</v>
      </c>
      <c r="T814" s="6">
        <v>34</v>
      </c>
      <c r="U814" s="6">
        <v>75</v>
      </c>
      <c r="V814" s="6">
        <f>IF(ISERROR(VLOOKUP($S$814,'TAR FIN'!$A$1:$O$113,15,0)),0,VLOOKUP($S$814,'TAR FIN'!$A$1:$O$113,15,0))</f>
        <v>0</v>
      </c>
      <c r="W814" s="6">
        <f>IF(ISERROR(VLOOKUP($T$814,'TAR FIN'!$A$1:$O$113,15,0)),0,VLOOKUP($T$814,'TAR FIN'!$A$1:$O$113,15,0))</f>
        <v>135.52000000000001</v>
      </c>
      <c r="X814" s="6">
        <f>IF(ISERROR(VLOOKUP($U$814,'TAR FIN'!$A$1:$O$113,15,0)),0,VLOOKUP($U$814,'TAR FIN'!$A$1:$O$113,15,0))</f>
        <v>175.41</v>
      </c>
      <c r="Y814" s="6"/>
      <c r="Z814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814" s="6">
        <f ca="1">('TE BE'!$AB$20+'TE BF_350'!$AB$20+'TE CVA'!$AB$20)*(1-CUSTOS!$M$35)</f>
        <v>146.4</v>
      </c>
      <c r="AB814" s="6">
        <f>$K$814*$V$814</f>
        <v>0</v>
      </c>
      <c r="AC814" s="6">
        <f>$M$814*$W$814</f>
        <v>48615.496160000002</v>
      </c>
      <c r="AD814" s="6">
        <f>$O$814*$X$814</f>
        <v>62925.355530000001</v>
      </c>
      <c r="AE814" s="6">
        <f>$K$814*$Y$814</f>
        <v>0</v>
      </c>
      <c r="AF814" s="6">
        <f ca="1">$M$814*$Z$814</f>
        <v>64866.818526000003</v>
      </c>
      <c r="AG814" s="6">
        <f ca="1">$O$814*$AA$814</f>
        <v>52518.511200000001</v>
      </c>
    </row>
    <row r="815" spans="1:33" ht="11.25" customHeight="1" x14ac:dyDescent="0.3">
      <c r="A815" s="4" t="s">
        <v>27</v>
      </c>
      <c r="B815" s="4" t="s">
        <v>22</v>
      </c>
      <c r="C815" s="4" t="s">
        <v>23</v>
      </c>
      <c r="D815" s="4" t="s">
        <v>24</v>
      </c>
      <c r="E815" s="4" t="s">
        <v>30</v>
      </c>
      <c r="F815" s="4" t="s">
        <v>25</v>
      </c>
      <c r="G815" s="4" t="s">
        <v>25</v>
      </c>
      <c r="H815" s="4" t="s">
        <v>25</v>
      </c>
      <c r="I815" s="5">
        <v>44774</v>
      </c>
      <c r="J815" s="6">
        <v>0</v>
      </c>
      <c r="K815" s="6">
        <v>0</v>
      </c>
      <c r="L815" s="6">
        <v>-1.0999999999999999E-2</v>
      </c>
      <c r="M815" s="6">
        <v>-1.0999999999999999E-2</v>
      </c>
      <c r="N815" s="6">
        <v>-1.0999999999999999E-2</v>
      </c>
      <c r="O815" s="6">
        <v>-1.0999999999999999E-2</v>
      </c>
      <c r="P815" s="6">
        <v>0</v>
      </c>
      <c r="Q815" s="4" t="s">
        <v>26</v>
      </c>
      <c r="R815" s="4">
        <v>0</v>
      </c>
      <c r="S815" s="6">
        <v>0</v>
      </c>
      <c r="T815" s="6">
        <v>34</v>
      </c>
      <c r="U815" s="6">
        <v>75</v>
      </c>
      <c r="V815" s="6">
        <f>IF(ISERROR(VLOOKUP($S$815,'TAR FIN'!$A$1:$O$113,15,0)),0,VLOOKUP($S$815,'TAR FIN'!$A$1:$O$113,15,0))</f>
        <v>0</v>
      </c>
      <c r="W815" s="6">
        <f>IF(ISERROR(VLOOKUP($T$815,'TAR FIN'!$A$1:$O$113,15,0)),0,VLOOKUP($T$815,'TAR FIN'!$A$1:$O$113,15,0))</f>
        <v>135.52000000000001</v>
      </c>
      <c r="X815" s="6">
        <f>IF(ISERROR(VLOOKUP($U$815,'TAR FIN'!$A$1:$O$113,15,0)),0,VLOOKUP($U$815,'TAR FIN'!$A$1:$O$113,15,0))</f>
        <v>175.41</v>
      </c>
      <c r="Y815" s="6"/>
      <c r="Z815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815" s="6">
        <f ca="1">('TE BE'!$AB$20+'TE BF_350'!$AB$20+'TE CVA'!$AB$20)*(1-CUSTOS!$M$35)</f>
        <v>146.4</v>
      </c>
      <c r="AB815" s="6">
        <f>$K$815*$V$815</f>
        <v>0</v>
      </c>
      <c r="AC815" s="6">
        <f>$M$815*$W$815</f>
        <v>-1.49072</v>
      </c>
      <c r="AD815" s="6">
        <f>$O$815*$X$815</f>
        <v>-1.9295099999999998</v>
      </c>
      <c r="AE815" s="6">
        <f>$K$815*$Y$815</f>
        <v>0</v>
      </c>
      <c r="AF815" s="6">
        <f ca="1">$M$815*$Z$815</f>
        <v>-1.989042</v>
      </c>
      <c r="AG815" s="6">
        <f ca="1">$O$815*$AA$815</f>
        <v>-1.6104000000000001</v>
      </c>
    </row>
    <row r="816" spans="1:33" ht="11.25" customHeight="1" x14ac:dyDescent="0.3">
      <c r="A816" s="4" t="s">
        <v>21</v>
      </c>
      <c r="B816" s="4" t="s">
        <v>22</v>
      </c>
      <c r="C816" s="4" t="s">
        <v>23</v>
      </c>
      <c r="D816" s="4" t="s">
        <v>24</v>
      </c>
      <c r="E816" s="4" t="s">
        <v>30</v>
      </c>
      <c r="F816" s="4" t="s">
        <v>25</v>
      </c>
      <c r="G816" s="4" t="s">
        <v>25</v>
      </c>
      <c r="H816" s="4" t="s">
        <v>25</v>
      </c>
      <c r="I816" s="5">
        <v>44805</v>
      </c>
      <c r="J816" s="6">
        <v>0</v>
      </c>
      <c r="K816" s="6">
        <v>0</v>
      </c>
      <c r="L816" s="6">
        <v>370.30599999999998</v>
      </c>
      <c r="M816" s="6">
        <v>370.30599999999998</v>
      </c>
      <c r="N816" s="6">
        <v>370.30599999999998</v>
      </c>
      <c r="O816" s="6">
        <v>370.30599999999998</v>
      </c>
      <c r="P816" s="6">
        <v>1559</v>
      </c>
      <c r="Q816" s="4" t="s">
        <v>26</v>
      </c>
      <c r="R816" s="4">
        <v>0</v>
      </c>
      <c r="S816" s="6">
        <v>0</v>
      </c>
      <c r="T816" s="6">
        <v>34</v>
      </c>
      <c r="U816" s="6">
        <v>75</v>
      </c>
      <c r="V816" s="6">
        <f>IF(ISERROR(VLOOKUP($S$816,'TAR FIN'!$A$1:$O$113,15,0)),0,VLOOKUP($S$816,'TAR FIN'!$A$1:$O$113,15,0))</f>
        <v>0</v>
      </c>
      <c r="W816" s="6">
        <f>IF(ISERROR(VLOOKUP($T$816,'TAR FIN'!$A$1:$O$113,15,0)),0,VLOOKUP($T$816,'TAR FIN'!$A$1:$O$113,15,0))</f>
        <v>135.52000000000001</v>
      </c>
      <c r="X816" s="6">
        <f>IF(ISERROR(VLOOKUP($U$816,'TAR FIN'!$A$1:$O$113,15,0)),0,VLOOKUP($U$816,'TAR FIN'!$A$1:$O$113,15,0))</f>
        <v>175.41</v>
      </c>
      <c r="Y816" s="6"/>
      <c r="Z816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816" s="6">
        <f ca="1">('TE BE'!$AB$20+'TE BF_350'!$AB$20+'TE CVA'!$AB$20)*(1-CUSTOS!$M$35)</f>
        <v>146.4</v>
      </c>
      <c r="AB816" s="6">
        <f>$K$816*$V$816</f>
        <v>0</v>
      </c>
      <c r="AC816" s="6">
        <f>$M$816*$W$816</f>
        <v>50183.869120000003</v>
      </c>
      <c r="AD816" s="6">
        <f>$O$816*$X$816</f>
        <v>64955.375459999996</v>
      </c>
      <c r="AE816" s="6">
        <f>$K$816*$Y$816</f>
        <v>0</v>
      </c>
      <c r="AF816" s="6">
        <f ca="1">$M$816*$Z$816</f>
        <v>66959.471531999996</v>
      </c>
      <c r="AG816" s="6">
        <f ca="1">$O$816*$AA$816</f>
        <v>54212.7984</v>
      </c>
    </row>
    <row r="817" spans="1:33" ht="11.25" customHeight="1" x14ac:dyDescent="0.3">
      <c r="A817" s="4" t="s">
        <v>27</v>
      </c>
      <c r="B817" s="4" t="s">
        <v>22</v>
      </c>
      <c r="C817" s="4" t="s">
        <v>23</v>
      </c>
      <c r="D817" s="4" t="s">
        <v>24</v>
      </c>
      <c r="E817" s="4" t="s">
        <v>30</v>
      </c>
      <c r="F817" s="4" t="s">
        <v>25</v>
      </c>
      <c r="G817" s="4" t="s">
        <v>25</v>
      </c>
      <c r="H817" s="4" t="s">
        <v>25</v>
      </c>
      <c r="I817" s="5">
        <v>44805</v>
      </c>
      <c r="J817" s="6">
        <v>0</v>
      </c>
      <c r="K817" s="6">
        <v>0</v>
      </c>
      <c r="L817" s="6">
        <v>-0.13500000000000001</v>
      </c>
      <c r="M817" s="6">
        <v>-0.13500000000000001</v>
      </c>
      <c r="N817" s="6">
        <v>-0.13500000000000001</v>
      </c>
      <c r="O817" s="6">
        <v>-0.13500000000000001</v>
      </c>
      <c r="P817" s="6">
        <v>0</v>
      </c>
      <c r="Q817" s="4" t="s">
        <v>26</v>
      </c>
      <c r="R817" s="4">
        <v>0</v>
      </c>
      <c r="S817" s="6">
        <v>0</v>
      </c>
      <c r="T817" s="6">
        <v>34</v>
      </c>
      <c r="U817" s="6">
        <v>75</v>
      </c>
      <c r="V817" s="6">
        <f>IF(ISERROR(VLOOKUP($S$817,'TAR FIN'!$A$1:$O$113,15,0)),0,VLOOKUP($S$817,'TAR FIN'!$A$1:$O$113,15,0))</f>
        <v>0</v>
      </c>
      <c r="W817" s="6">
        <f>IF(ISERROR(VLOOKUP($T$817,'TAR FIN'!$A$1:$O$113,15,0)),0,VLOOKUP($T$817,'TAR FIN'!$A$1:$O$113,15,0))</f>
        <v>135.52000000000001</v>
      </c>
      <c r="X817" s="6">
        <f>IF(ISERROR(VLOOKUP($U$817,'TAR FIN'!$A$1:$O$113,15,0)),0,VLOOKUP($U$817,'TAR FIN'!$A$1:$O$113,15,0))</f>
        <v>175.41</v>
      </c>
      <c r="Y817" s="6"/>
      <c r="Z817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817" s="6">
        <f ca="1">('TE BE'!$AB$20+'TE BF_350'!$AB$20+'TE CVA'!$AB$20)*(1-CUSTOS!$M$35)</f>
        <v>146.4</v>
      </c>
      <c r="AB817" s="6">
        <f>$K$817*$V$817</f>
        <v>0</v>
      </c>
      <c r="AC817" s="6">
        <f>$M$817*$W$817</f>
        <v>-18.295200000000001</v>
      </c>
      <c r="AD817" s="6">
        <f>$O$817*$X$817</f>
        <v>-23.680350000000001</v>
      </c>
      <c r="AE817" s="6">
        <f>$K$817*$Y$817</f>
        <v>0</v>
      </c>
      <c r="AF817" s="6">
        <f ca="1">$M$817*$Z$817</f>
        <v>-24.410970000000002</v>
      </c>
      <c r="AG817" s="6">
        <f ca="1">$O$817*$AA$817</f>
        <v>-19.764000000000003</v>
      </c>
    </row>
    <row r="818" spans="1:33" ht="11.25" customHeight="1" x14ac:dyDescent="0.3">
      <c r="A818" s="4" t="s">
        <v>28</v>
      </c>
      <c r="B818" s="4" t="s">
        <v>22</v>
      </c>
      <c r="C818" s="4" t="s">
        <v>23</v>
      </c>
      <c r="D818" s="4" t="s">
        <v>24</v>
      </c>
      <c r="E818" s="4" t="s">
        <v>30</v>
      </c>
      <c r="F818" s="4" t="s">
        <v>25</v>
      </c>
      <c r="G818" s="4" t="s">
        <v>25</v>
      </c>
      <c r="H818" s="4" t="s">
        <v>25</v>
      </c>
      <c r="I818" s="5">
        <v>44805</v>
      </c>
      <c r="J818" s="6">
        <v>0</v>
      </c>
      <c r="K818" s="6">
        <v>0</v>
      </c>
      <c r="L818" s="6">
        <v>7.0000000000000007E-2</v>
      </c>
      <c r="M818" s="6">
        <v>4.2000000000000003E-2</v>
      </c>
      <c r="N818" s="6">
        <v>7.0000000000000007E-2</v>
      </c>
      <c r="O818" s="6">
        <v>4.2000000000000003E-2</v>
      </c>
      <c r="P818" s="6">
        <v>1</v>
      </c>
      <c r="Q818" s="4" t="s">
        <v>26</v>
      </c>
      <c r="R818" s="4">
        <v>0</v>
      </c>
      <c r="S818" s="6">
        <v>0</v>
      </c>
      <c r="T818" s="6">
        <v>34</v>
      </c>
      <c r="U818" s="6">
        <v>75</v>
      </c>
      <c r="V818" s="6">
        <f>IF(ISERROR(VLOOKUP($S$818,'TAR FIN'!$A$1:$O$113,15,0)),0,VLOOKUP($S$818,'TAR FIN'!$A$1:$O$113,15,0))</f>
        <v>0</v>
      </c>
      <c r="W818" s="6">
        <f>IF(ISERROR(VLOOKUP($T$818,'TAR FIN'!$A$1:$O$113,15,0)),0,VLOOKUP($T$818,'TAR FIN'!$A$1:$O$113,15,0))</f>
        <v>135.52000000000001</v>
      </c>
      <c r="X818" s="6">
        <f>IF(ISERROR(VLOOKUP($U$818,'TAR FIN'!$A$1:$O$113,15,0)),0,VLOOKUP($U$818,'TAR FIN'!$A$1:$O$113,15,0))</f>
        <v>175.41</v>
      </c>
      <c r="Y818" s="6"/>
      <c r="Z818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818" s="6">
        <f ca="1">('TE BE'!$AB$20+'TE BF_350'!$AB$20+'TE CVA'!$AB$20)*(1-CUSTOS!$M$35)</f>
        <v>146.4</v>
      </c>
      <c r="AB818" s="6">
        <f>$K$818*$V$818</f>
        <v>0</v>
      </c>
      <c r="AC818" s="6">
        <f>$M$818*$W$818</f>
        <v>5.6918400000000009</v>
      </c>
      <c r="AD818" s="6">
        <f>$O$818*$X$818</f>
        <v>7.3672200000000005</v>
      </c>
      <c r="AE818" s="6">
        <f>$K$818*$Y$818</f>
        <v>0</v>
      </c>
      <c r="AF818" s="6">
        <f ca="1">$M$818*$Z$818</f>
        <v>7.5945240000000007</v>
      </c>
      <c r="AG818" s="6">
        <f ca="1">$O$818*$AA$818</f>
        <v>6.1488000000000005</v>
      </c>
    </row>
    <row r="819" spans="1:33" ht="11.25" customHeight="1" x14ac:dyDescent="0.3">
      <c r="A819" s="4" t="s">
        <v>53</v>
      </c>
      <c r="B819" s="4" t="s">
        <v>22</v>
      </c>
      <c r="C819" s="4" t="s">
        <v>23</v>
      </c>
      <c r="D819" s="4" t="s">
        <v>24</v>
      </c>
      <c r="E819" s="4" t="s">
        <v>30</v>
      </c>
      <c r="F819" s="4" t="s">
        <v>25</v>
      </c>
      <c r="G819" s="4" t="s">
        <v>25</v>
      </c>
      <c r="H819" s="4" t="s">
        <v>25</v>
      </c>
      <c r="I819" s="5">
        <v>44835</v>
      </c>
      <c r="J819" s="6">
        <v>0</v>
      </c>
      <c r="K819" s="6">
        <v>0</v>
      </c>
      <c r="L819" s="6">
        <v>370.30599999999998</v>
      </c>
      <c r="M819" s="6">
        <v>370.30599999999998</v>
      </c>
      <c r="N819" s="6">
        <v>370.30599999999998</v>
      </c>
      <c r="O819" s="6">
        <v>370.30599999999998</v>
      </c>
      <c r="P819" s="6">
        <v>1559</v>
      </c>
      <c r="Q819" s="4" t="s">
        <v>26</v>
      </c>
      <c r="R819" s="4">
        <v>0</v>
      </c>
      <c r="S819" s="6">
        <v>0</v>
      </c>
      <c r="T819" s="6">
        <v>34</v>
      </c>
      <c r="U819" s="6">
        <v>75</v>
      </c>
      <c r="V819" s="6">
        <f>IF(ISERROR(VLOOKUP($S$819,'TAR FIN'!$A$1:$O$113,15,0)),0,VLOOKUP($S$819,'TAR FIN'!$A$1:$O$113,15,0))</f>
        <v>0</v>
      </c>
      <c r="W819" s="6">
        <f>IF(ISERROR(VLOOKUP($T$819,'TAR FIN'!$A$1:$O$113,15,0)),0,VLOOKUP($T$819,'TAR FIN'!$A$1:$O$113,15,0))</f>
        <v>135.52000000000001</v>
      </c>
      <c r="X819" s="6">
        <f>IF(ISERROR(VLOOKUP($U$819,'TAR FIN'!$A$1:$O$113,15,0)),0,VLOOKUP($U$819,'TAR FIN'!$A$1:$O$113,15,0))</f>
        <v>175.41</v>
      </c>
      <c r="Y819" s="6"/>
      <c r="Z819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819" s="6">
        <f ca="1">('TE BE'!$AB$20+'TE BF_350'!$AB$20+'TE CVA'!$AB$20)*(1-CUSTOS!$M$35)</f>
        <v>146.4</v>
      </c>
      <c r="AB819" s="6">
        <f>$K$819*$V$819</f>
        <v>0</v>
      </c>
      <c r="AC819" s="6">
        <f>$M$819*$W$819</f>
        <v>50183.869120000003</v>
      </c>
      <c r="AD819" s="6">
        <f>$O$819*$X$819</f>
        <v>64955.375459999996</v>
      </c>
      <c r="AE819" s="6">
        <f>$K$819*$Y$819</f>
        <v>0</v>
      </c>
      <c r="AF819" s="6">
        <f ca="1">$M$819*$Z$819</f>
        <v>66959.471531999996</v>
      </c>
      <c r="AG819" s="6">
        <f ca="1">$O$819*$AA$819</f>
        <v>54212.7984</v>
      </c>
    </row>
    <row r="820" spans="1:33" ht="11.25" customHeight="1" x14ac:dyDescent="0.3">
      <c r="A820" s="4" t="s">
        <v>53</v>
      </c>
      <c r="B820" s="4" t="s">
        <v>22</v>
      </c>
      <c r="C820" s="4" t="s">
        <v>23</v>
      </c>
      <c r="D820" s="4" t="s">
        <v>24</v>
      </c>
      <c r="E820" s="4" t="s">
        <v>30</v>
      </c>
      <c r="F820" s="4" t="s">
        <v>25</v>
      </c>
      <c r="G820" s="4" t="s">
        <v>25</v>
      </c>
      <c r="H820" s="4" t="s">
        <v>25</v>
      </c>
      <c r="I820" s="5">
        <v>44835</v>
      </c>
      <c r="J820" s="6">
        <v>0</v>
      </c>
      <c r="K820" s="6">
        <v>0</v>
      </c>
      <c r="L820" s="6">
        <v>-0.13500000000000001</v>
      </c>
      <c r="M820" s="6">
        <v>-0.13500000000000001</v>
      </c>
      <c r="N820" s="6">
        <v>-0.13500000000000001</v>
      </c>
      <c r="O820" s="6">
        <v>-0.13500000000000001</v>
      </c>
      <c r="P820" s="6">
        <v>0</v>
      </c>
      <c r="Q820" s="4" t="s">
        <v>26</v>
      </c>
      <c r="R820" s="4">
        <v>0</v>
      </c>
      <c r="S820" s="6">
        <v>0</v>
      </c>
      <c r="T820" s="6">
        <v>34</v>
      </c>
      <c r="U820" s="6">
        <v>75</v>
      </c>
      <c r="V820" s="6">
        <f>IF(ISERROR(VLOOKUP($S$820,'TAR FIN'!$A$1:$O$113,15,0)),0,VLOOKUP($S$820,'TAR FIN'!$A$1:$O$113,15,0))</f>
        <v>0</v>
      </c>
      <c r="W820" s="6">
        <f>IF(ISERROR(VLOOKUP($T$820,'TAR FIN'!$A$1:$O$113,15,0)),0,VLOOKUP($T$820,'TAR FIN'!$A$1:$O$113,15,0))</f>
        <v>135.52000000000001</v>
      </c>
      <c r="X820" s="6">
        <f>IF(ISERROR(VLOOKUP($U$820,'TAR FIN'!$A$1:$O$113,15,0)),0,VLOOKUP($U$820,'TAR FIN'!$A$1:$O$113,15,0))</f>
        <v>175.41</v>
      </c>
      <c r="Y820" s="6"/>
      <c r="Z820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820" s="6">
        <f ca="1">('TE BE'!$AB$20+'TE BF_350'!$AB$20+'TE CVA'!$AB$20)*(1-CUSTOS!$M$35)</f>
        <v>146.4</v>
      </c>
      <c r="AB820" s="6">
        <f>$K$820*$V$820</f>
        <v>0</v>
      </c>
      <c r="AC820" s="6">
        <f>$M$820*$W$820</f>
        <v>-18.295200000000001</v>
      </c>
      <c r="AD820" s="6">
        <f>$O$820*$X$820</f>
        <v>-23.680350000000001</v>
      </c>
      <c r="AE820" s="6">
        <f>$K$820*$Y$820</f>
        <v>0</v>
      </c>
      <c r="AF820" s="6">
        <f ca="1">$M$820*$Z$820</f>
        <v>-24.410970000000002</v>
      </c>
      <c r="AG820" s="6">
        <f ca="1">$O$820*$AA$820</f>
        <v>-19.764000000000003</v>
      </c>
    </row>
    <row r="821" spans="1:33" ht="11.25" customHeight="1" x14ac:dyDescent="0.3">
      <c r="A821" s="4" t="s">
        <v>53</v>
      </c>
      <c r="B821" s="4" t="s">
        <v>22</v>
      </c>
      <c r="C821" s="4" t="s">
        <v>23</v>
      </c>
      <c r="D821" s="4" t="s">
        <v>24</v>
      </c>
      <c r="E821" s="4" t="s">
        <v>30</v>
      </c>
      <c r="F821" s="4" t="s">
        <v>25</v>
      </c>
      <c r="G821" s="4" t="s">
        <v>25</v>
      </c>
      <c r="H821" s="4" t="s">
        <v>25</v>
      </c>
      <c r="I821" s="5">
        <v>44835</v>
      </c>
      <c r="J821" s="6">
        <v>0</v>
      </c>
      <c r="K821" s="6">
        <v>0</v>
      </c>
      <c r="L821" s="6">
        <v>7.0000000000000007E-2</v>
      </c>
      <c r="M821" s="6">
        <v>4.2000000000000003E-2</v>
      </c>
      <c r="N821" s="6">
        <v>7.0000000000000007E-2</v>
      </c>
      <c r="O821" s="6">
        <v>4.2000000000000003E-2</v>
      </c>
      <c r="P821" s="6">
        <v>1</v>
      </c>
      <c r="Q821" s="4" t="s">
        <v>26</v>
      </c>
      <c r="R821" s="4">
        <v>0</v>
      </c>
      <c r="S821" s="6">
        <v>0</v>
      </c>
      <c r="T821" s="6">
        <v>34</v>
      </c>
      <c r="U821" s="6">
        <v>75</v>
      </c>
      <c r="V821" s="6">
        <f>IF(ISERROR(VLOOKUP($S$821,'TAR FIN'!$A$1:$O$113,15,0)),0,VLOOKUP($S$821,'TAR FIN'!$A$1:$O$113,15,0))</f>
        <v>0</v>
      </c>
      <c r="W821" s="6">
        <f>IF(ISERROR(VLOOKUP($T$821,'TAR FIN'!$A$1:$O$113,15,0)),0,VLOOKUP($T$821,'TAR FIN'!$A$1:$O$113,15,0))</f>
        <v>135.52000000000001</v>
      </c>
      <c r="X821" s="6">
        <f>IF(ISERROR(VLOOKUP($U$821,'TAR FIN'!$A$1:$O$113,15,0)),0,VLOOKUP($U$821,'TAR FIN'!$A$1:$O$113,15,0))</f>
        <v>175.41</v>
      </c>
      <c r="Y821" s="6"/>
      <c r="Z821" s="6">
        <f ca="1">('TUSD BE'!$AM$42+'TUSD BF_350'!$AM$42+'TUSD CVA'!$AM$42-('TUSD BE'!$P$42+'TUSD BF_350'!$P$42+'TUSD CVA'!$P$42)-('TUSD BE'!$Q$42+'TUSD BF_350'!$Q$42+'TUSD CVA'!$Q$42)-('TUSD BE'!$R$42+'TUSD BF_350'!$R$42+'TUSD CVA'!$R$42))*(1-CUSTOS!$M$35)</f>
        <v>180.822</v>
      </c>
      <c r="AA821" s="6">
        <f ca="1">('TE BE'!$AB$20+'TE BF_350'!$AB$20+'TE CVA'!$AB$20)*(1-CUSTOS!$M$35)</f>
        <v>146.4</v>
      </c>
      <c r="AB821" s="6">
        <f>$K$821*$V$821</f>
        <v>0</v>
      </c>
      <c r="AC821" s="6">
        <f>$M$821*$W$821</f>
        <v>5.6918400000000009</v>
      </c>
      <c r="AD821" s="6">
        <f>$O$821*$X$821</f>
        <v>7.3672200000000005</v>
      </c>
      <c r="AE821" s="6">
        <f>$K$821*$Y$821</f>
        <v>0</v>
      </c>
      <c r="AF821" s="6">
        <f ca="1">$M$821*$Z$821</f>
        <v>7.5945240000000007</v>
      </c>
      <c r="AG821" s="6">
        <f ca="1">$O$821*$AA$821</f>
        <v>6.1488000000000005</v>
      </c>
    </row>
    <row r="822" spans="1:33" ht="11.25" customHeight="1" x14ac:dyDescent="0.3">
      <c r="A822" s="4" t="s">
        <v>21</v>
      </c>
      <c r="B822" s="4" t="s">
        <v>22</v>
      </c>
      <c r="C822" s="4" t="s">
        <v>23</v>
      </c>
      <c r="D822" s="4" t="s">
        <v>24</v>
      </c>
      <c r="E822" s="4" t="s">
        <v>31</v>
      </c>
      <c r="F822" s="4" t="s">
        <v>25</v>
      </c>
      <c r="G822" s="4" t="s">
        <v>25</v>
      </c>
      <c r="H822" s="4" t="s">
        <v>25</v>
      </c>
      <c r="I822" s="5">
        <v>44501</v>
      </c>
      <c r="J822" s="6">
        <v>0</v>
      </c>
      <c r="K822" s="6">
        <v>0</v>
      </c>
      <c r="L822" s="6">
        <v>240.071</v>
      </c>
      <c r="M822" s="6">
        <v>240.071</v>
      </c>
      <c r="N822" s="6">
        <v>240.071</v>
      </c>
      <c r="O822" s="6">
        <v>240.071</v>
      </c>
      <c r="P822" s="6">
        <v>3045</v>
      </c>
      <c r="Q822" s="4" t="s">
        <v>26</v>
      </c>
      <c r="R822" s="4">
        <v>0</v>
      </c>
      <c r="S822" s="6">
        <v>0</v>
      </c>
      <c r="T822" s="6">
        <v>41</v>
      </c>
      <c r="U822" s="6">
        <v>78</v>
      </c>
      <c r="V822" s="6">
        <f>IF(ISERROR(VLOOKUP($S$822,'TAR FIN'!$A$1:$O$113,15,0)),0,VLOOKUP($S$822,'TAR FIN'!$A$1:$O$113,15,0))</f>
        <v>0</v>
      </c>
      <c r="W822" s="6">
        <f>IF(ISERROR(VLOOKUP($T$822,'TAR FIN'!$A$1:$O$113,15,0)),0,VLOOKUP($T$822,'TAR FIN'!$A$1:$O$113,15,0))</f>
        <v>203.29</v>
      </c>
      <c r="X822" s="6">
        <f>IF(ISERROR(VLOOKUP($U$822,'TAR FIN'!$A$1:$O$113,15,0)),0,VLOOKUP($U$822,'TAR FIN'!$A$1:$O$113,15,0))</f>
        <v>263.12</v>
      </c>
      <c r="Y822" s="6"/>
      <c r="Z822" s="6">
        <f ca="1">('TUSD BE'!$AM$43+'TUSD BF_350'!$AM$43+'TUSD CVA'!$AM$43-('TUSD BE'!$P$43+'TUSD BF_350'!$P$43+'TUSD CVA'!$P$43)-('TUSD BE'!$Q$43+'TUSD BF_350'!$Q$43+'TUSD CVA'!$Q$43)-('TUSD BE'!$R$43+'TUSD BF_350'!$R$43+'TUSD CVA'!$R$43))*(1-CUSTOS!$M$36)</f>
        <v>271.233</v>
      </c>
      <c r="AA822" s="6">
        <f ca="1">('TE BE'!$AB$21+'TE BF_350'!$AB$21+'TE CVA'!$AB$21)*(1-CUSTOS!$M$36)</f>
        <v>219.6</v>
      </c>
      <c r="AB822" s="6">
        <f>$K$822*$V$822</f>
        <v>0</v>
      </c>
      <c r="AC822" s="6">
        <f>$M$822*$W$822</f>
        <v>48804.033589999999</v>
      </c>
      <c r="AD822" s="6">
        <f>$O$822*$X$822</f>
        <v>63167.481520000001</v>
      </c>
      <c r="AE822" s="6">
        <f>$K$822*$Y$822</f>
        <v>0</v>
      </c>
      <c r="AF822" s="6">
        <f ca="1">$M$822*$Z$822</f>
        <v>65115.177542999998</v>
      </c>
      <c r="AG822" s="6">
        <f ca="1">$O$822*$AA$822</f>
        <v>52719.5916</v>
      </c>
    </row>
    <row r="823" spans="1:33" ht="11.25" customHeight="1" x14ac:dyDescent="0.3">
      <c r="A823" s="4" t="s">
        <v>27</v>
      </c>
      <c r="B823" s="4" t="s">
        <v>22</v>
      </c>
      <c r="C823" s="4" t="s">
        <v>23</v>
      </c>
      <c r="D823" s="4" t="s">
        <v>24</v>
      </c>
      <c r="E823" s="4" t="s">
        <v>31</v>
      </c>
      <c r="F823" s="4" t="s">
        <v>25</v>
      </c>
      <c r="G823" s="4" t="s">
        <v>25</v>
      </c>
      <c r="H823" s="4" t="s">
        <v>25</v>
      </c>
      <c r="I823" s="5">
        <v>44501</v>
      </c>
      <c r="J823" s="6">
        <v>0</v>
      </c>
      <c r="K823" s="6">
        <v>0</v>
      </c>
      <c r="L823" s="6">
        <v>-1.7000000000000001E-2</v>
      </c>
      <c r="M823" s="6">
        <v>-1.7000000000000001E-2</v>
      </c>
      <c r="N823" s="6">
        <v>-1.7000000000000001E-2</v>
      </c>
      <c r="O823" s="6">
        <v>-1.7000000000000001E-2</v>
      </c>
      <c r="P823" s="6">
        <v>0</v>
      </c>
      <c r="Q823" s="4" t="s">
        <v>26</v>
      </c>
      <c r="R823" s="4">
        <v>0</v>
      </c>
      <c r="S823" s="6">
        <v>0</v>
      </c>
      <c r="T823" s="6">
        <v>41</v>
      </c>
      <c r="U823" s="6">
        <v>78</v>
      </c>
      <c r="V823" s="6">
        <f>IF(ISERROR(VLOOKUP($S$823,'TAR FIN'!$A$1:$O$113,15,0)),0,VLOOKUP($S$823,'TAR FIN'!$A$1:$O$113,15,0))</f>
        <v>0</v>
      </c>
      <c r="W823" s="6">
        <f>IF(ISERROR(VLOOKUP($T$823,'TAR FIN'!$A$1:$O$113,15,0)),0,VLOOKUP($T$823,'TAR FIN'!$A$1:$O$113,15,0))</f>
        <v>203.29</v>
      </c>
      <c r="X823" s="6">
        <f>IF(ISERROR(VLOOKUP($U$823,'TAR FIN'!$A$1:$O$113,15,0)),0,VLOOKUP($U$823,'TAR FIN'!$A$1:$O$113,15,0))</f>
        <v>263.12</v>
      </c>
      <c r="Y823" s="6"/>
      <c r="Z823" s="6">
        <f ca="1">('TUSD BE'!$AM$43+'TUSD BF_350'!$AM$43+'TUSD CVA'!$AM$43-('TUSD BE'!$P$43+'TUSD BF_350'!$P$43+'TUSD CVA'!$P$43)-('TUSD BE'!$Q$43+'TUSD BF_350'!$Q$43+'TUSD CVA'!$Q$43)-('TUSD BE'!$R$43+'TUSD BF_350'!$R$43+'TUSD CVA'!$R$43))*(1-CUSTOS!$M$36)</f>
        <v>271.233</v>
      </c>
      <c r="AA823" s="6">
        <f ca="1">('TE BE'!$AB$21+'TE BF_350'!$AB$21+'TE CVA'!$AB$21)*(1-CUSTOS!$M$36)</f>
        <v>219.6</v>
      </c>
      <c r="AB823" s="6">
        <f>$K$823*$V$823</f>
        <v>0</v>
      </c>
      <c r="AC823" s="6">
        <f>$M$823*$W$823</f>
        <v>-3.4559299999999999</v>
      </c>
      <c r="AD823" s="6">
        <f>$O$823*$X$823</f>
        <v>-4.4730400000000001</v>
      </c>
      <c r="AE823" s="6">
        <f>$K$823*$Y$823</f>
        <v>0</v>
      </c>
      <c r="AF823" s="6">
        <f ca="1">$M$823*$Z$823</f>
        <v>-4.6109610000000005</v>
      </c>
      <c r="AG823" s="6">
        <f ca="1">$O$823*$AA$823</f>
        <v>-3.7332000000000001</v>
      </c>
    </row>
    <row r="824" spans="1:33" ht="11.25" customHeight="1" x14ac:dyDescent="0.3">
      <c r="A824" s="4" t="s">
        <v>21</v>
      </c>
      <c r="B824" s="4" t="s">
        <v>22</v>
      </c>
      <c r="C824" s="4" t="s">
        <v>23</v>
      </c>
      <c r="D824" s="4" t="s">
        <v>24</v>
      </c>
      <c r="E824" s="4" t="s">
        <v>31</v>
      </c>
      <c r="F824" s="4" t="s">
        <v>25</v>
      </c>
      <c r="G824" s="4" t="s">
        <v>25</v>
      </c>
      <c r="H824" s="4" t="s">
        <v>25</v>
      </c>
      <c r="I824" s="5">
        <v>44531</v>
      </c>
      <c r="J824" s="6">
        <v>0</v>
      </c>
      <c r="K824" s="6">
        <v>0</v>
      </c>
      <c r="L824" s="6">
        <v>231.04</v>
      </c>
      <c r="M824" s="6">
        <v>231.04</v>
      </c>
      <c r="N824" s="6">
        <v>231.04</v>
      </c>
      <c r="O824" s="6">
        <v>231.04</v>
      </c>
      <c r="P824" s="6">
        <v>3203</v>
      </c>
      <c r="Q824" s="4" t="s">
        <v>26</v>
      </c>
      <c r="R824" s="4">
        <v>0</v>
      </c>
      <c r="S824" s="6">
        <v>0</v>
      </c>
      <c r="T824" s="6">
        <v>41</v>
      </c>
      <c r="U824" s="6">
        <v>78</v>
      </c>
      <c r="V824" s="6">
        <f>IF(ISERROR(VLOOKUP($S$824,'TAR FIN'!$A$1:$O$113,15,0)),0,VLOOKUP($S$824,'TAR FIN'!$A$1:$O$113,15,0))</f>
        <v>0</v>
      </c>
      <c r="W824" s="6">
        <f>IF(ISERROR(VLOOKUP($T$824,'TAR FIN'!$A$1:$O$113,15,0)),0,VLOOKUP($T$824,'TAR FIN'!$A$1:$O$113,15,0))</f>
        <v>203.29</v>
      </c>
      <c r="X824" s="6">
        <f>IF(ISERROR(VLOOKUP($U$824,'TAR FIN'!$A$1:$O$113,15,0)),0,VLOOKUP($U$824,'TAR FIN'!$A$1:$O$113,15,0))</f>
        <v>263.12</v>
      </c>
      <c r="Y824" s="6"/>
      <c r="Z824" s="6">
        <f ca="1">('TUSD BE'!$AM$43+'TUSD BF_350'!$AM$43+'TUSD CVA'!$AM$43-('TUSD BE'!$P$43+'TUSD BF_350'!$P$43+'TUSD CVA'!$P$43)-('TUSD BE'!$Q$43+'TUSD BF_350'!$Q$43+'TUSD CVA'!$Q$43)-('TUSD BE'!$R$43+'TUSD BF_350'!$R$43+'TUSD CVA'!$R$43))*(1-CUSTOS!$M$36)</f>
        <v>271.233</v>
      </c>
      <c r="AA824" s="6">
        <f ca="1">('TE BE'!$AB$21+'TE BF_350'!$AB$21+'TE CVA'!$AB$21)*(1-CUSTOS!$M$36)</f>
        <v>219.6</v>
      </c>
      <c r="AB824" s="6">
        <f>$K$824*$V$824</f>
        <v>0</v>
      </c>
      <c r="AC824" s="6">
        <f>$M$824*$W$824</f>
        <v>46968.121599999999</v>
      </c>
      <c r="AD824" s="6">
        <f>$O$824*$X$824</f>
        <v>60791.2448</v>
      </c>
      <c r="AE824" s="6">
        <f>$K$824*$Y$824</f>
        <v>0</v>
      </c>
      <c r="AF824" s="6">
        <f ca="1">$M$824*$Z$824</f>
        <v>62665.672319999998</v>
      </c>
      <c r="AG824" s="6">
        <f ca="1">$O$824*$AA$824</f>
        <v>50736.383999999998</v>
      </c>
    </row>
    <row r="825" spans="1:33" ht="11.25" customHeight="1" x14ac:dyDescent="0.3">
      <c r="A825" s="4" t="s">
        <v>27</v>
      </c>
      <c r="B825" s="4" t="s">
        <v>22</v>
      </c>
      <c r="C825" s="4" t="s">
        <v>23</v>
      </c>
      <c r="D825" s="4" t="s">
        <v>24</v>
      </c>
      <c r="E825" s="4" t="s">
        <v>31</v>
      </c>
      <c r="F825" s="4" t="s">
        <v>25</v>
      </c>
      <c r="G825" s="4" t="s">
        <v>25</v>
      </c>
      <c r="H825" s="4" t="s">
        <v>25</v>
      </c>
      <c r="I825" s="5">
        <v>44531</v>
      </c>
      <c r="J825" s="6">
        <v>0</v>
      </c>
      <c r="K825" s="6">
        <v>0</v>
      </c>
      <c r="L825" s="6">
        <v>6.3E-2</v>
      </c>
      <c r="M825" s="6">
        <v>6.3E-2</v>
      </c>
      <c r="N825" s="6">
        <v>6.3E-2</v>
      </c>
      <c r="O825" s="6">
        <v>6.3E-2</v>
      </c>
      <c r="P825" s="6">
        <v>0</v>
      </c>
      <c r="Q825" s="4" t="s">
        <v>26</v>
      </c>
      <c r="R825" s="4">
        <v>0</v>
      </c>
      <c r="S825" s="6">
        <v>0</v>
      </c>
      <c r="T825" s="6">
        <v>41</v>
      </c>
      <c r="U825" s="6">
        <v>78</v>
      </c>
      <c r="V825" s="6">
        <f>IF(ISERROR(VLOOKUP($S$825,'TAR FIN'!$A$1:$O$113,15,0)),0,VLOOKUP($S$825,'TAR FIN'!$A$1:$O$113,15,0))</f>
        <v>0</v>
      </c>
      <c r="W825" s="6">
        <f>IF(ISERROR(VLOOKUP($T$825,'TAR FIN'!$A$1:$O$113,15,0)),0,VLOOKUP($T$825,'TAR FIN'!$A$1:$O$113,15,0))</f>
        <v>203.29</v>
      </c>
      <c r="X825" s="6">
        <f>IF(ISERROR(VLOOKUP($U$825,'TAR FIN'!$A$1:$O$113,15,0)),0,VLOOKUP($U$825,'TAR FIN'!$A$1:$O$113,15,0))</f>
        <v>263.12</v>
      </c>
      <c r="Y825" s="6"/>
      <c r="Z825" s="6">
        <f ca="1">('TUSD BE'!$AM$43+'TUSD BF_350'!$AM$43+'TUSD CVA'!$AM$43-('TUSD BE'!$P$43+'TUSD BF_350'!$P$43+'TUSD CVA'!$P$43)-('TUSD BE'!$Q$43+'TUSD BF_350'!$Q$43+'TUSD CVA'!$Q$43)-('TUSD BE'!$R$43+'TUSD BF_350'!$R$43+'TUSD CVA'!$R$43))*(1-CUSTOS!$M$36)</f>
        <v>271.233</v>
      </c>
      <c r="AA825" s="6">
        <f ca="1">('TE BE'!$AB$21+'TE BF_350'!$AB$21+'TE CVA'!$AB$21)*(1-CUSTOS!$M$36)</f>
        <v>219.6</v>
      </c>
      <c r="AB825" s="6">
        <f>$K$825*$V$825</f>
        <v>0</v>
      </c>
      <c r="AC825" s="6">
        <f>$M$825*$W$825</f>
        <v>12.807269999999999</v>
      </c>
      <c r="AD825" s="6">
        <f>$O$825*$X$825</f>
        <v>16.576560000000001</v>
      </c>
      <c r="AE825" s="6">
        <f>$K$825*$Y$825</f>
        <v>0</v>
      </c>
      <c r="AF825" s="6">
        <f ca="1">$M$825*$Z$825</f>
        <v>17.087679000000001</v>
      </c>
      <c r="AG825" s="6">
        <f ca="1">$O$825*$AA$825</f>
        <v>13.8348</v>
      </c>
    </row>
    <row r="826" spans="1:33" ht="11.25" customHeight="1" x14ac:dyDescent="0.3">
      <c r="A826" s="4" t="s">
        <v>28</v>
      </c>
      <c r="B826" s="4" t="s">
        <v>22</v>
      </c>
      <c r="C826" s="4" t="s">
        <v>23</v>
      </c>
      <c r="D826" s="4" t="s">
        <v>24</v>
      </c>
      <c r="E826" s="4" t="s">
        <v>31</v>
      </c>
      <c r="F826" s="4" t="s">
        <v>25</v>
      </c>
      <c r="G826" s="4" t="s">
        <v>25</v>
      </c>
      <c r="H826" s="4" t="s">
        <v>25</v>
      </c>
      <c r="I826" s="5">
        <v>44531</v>
      </c>
      <c r="J826" s="6">
        <v>0</v>
      </c>
      <c r="K826" s="6">
        <v>0</v>
      </c>
      <c r="L826" s="6">
        <v>2.5000000000000001E-2</v>
      </c>
      <c r="M826" s="6">
        <v>2.2499999999999999E-2</v>
      </c>
      <c r="N826" s="6">
        <v>2.5000000000000001E-2</v>
      </c>
      <c r="O826" s="6">
        <v>2.2499999999999999E-2</v>
      </c>
      <c r="P826" s="6">
        <v>1</v>
      </c>
      <c r="Q826" s="4" t="s">
        <v>26</v>
      </c>
      <c r="R826" s="4">
        <v>0</v>
      </c>
      <c r="S826" s="6">
        <v>0</v>
      </c>
      <c r="T826" s="6">
        <v>41</v>
      </c>
      <c r="U826" s="6">
        <v>78</v>
      </c>
      <c r="V826" s="6">
        <f>IF(ISERROR(VLOOKUP($S$826,'TAR FIN'!$A$1:$O$113,15,0)),0,VLOOKUP($S$826,'TAR FIN'!$A$1:$O$113,15,0))</f>
        <v>0</v>
      </c>
      <c r="W826" s="6">
        <f>IF(ISERROR(VLOOKUP($T$826,'TAR FIN'!$A$1:$O$113,15,0)),0,VLOOKUP($T$826,'TAR FIN'!$A$1:$O$113,15,0))</f>
        <v>203.29</v>
      </c>
      <c r="X826" s="6">
        <f>IF(ISERROR(VLOOKUP($U$826,'TAR FIN'!$A$1:$O$113,15,0)),0,VLOOKUP($U$826,'TAR FIN'!$A$1:$O$113,15,0))</f>
        <v>263.12</v>
      </c>
      <c r="Y826" s="6"/>
      <c r="Z826" s="6">
        <f ca="1">('TUSD BE'!$AM$43+'TUSD BF_350'!$AM$43+'TUSD CVA'!$AM$43-('TUSD BE'!$P$43+'TUSD BF_350'!$P$43+'TUSD CVA'!$P$43)-('TUSD BE'!$Q$43+'TUSD BF_350'!$Q$43+'TUSD CVA'!$Q$43)-('TUSD BE'!$R$43+'TUSD BF_350'!$R$43+'TUSD CVA'!$R$43))*(1-CUSTOS!$M$36)</f>
        <v>271.233</v>
      </c>
      <c r="AA826" s="6">
        <f ca="1">('TE BE'!$AB$21+'TE BF_350'!$AB$21+'TE CVA'!$AB$21)*(1-CUSTOS!$M$36)</f>
        <v>219.6</v>
      </c>
      <c r="AB826" s="6">
        <f>$K$826*$V$826</f>
        <v>0</v>
      </c>
      <c r="AC826" s="6">
        <f>$M$826*$W$826</f>
        <v>4.5740249999999998</v>
      </c>
      <c r="AD826" s="6">
        <f>$O$826*$X$826</f>
        <v>5.9201999999999995</v>
      </c>
      <c r="AE826" s="6">
        <f>$K$826*$Y$826</f>
        <v>0</v>
      </c>
      <c r="AF826" s="6">
        <f ca="1">$M$826*$Z$826</f>
        <v>6.1027424999999997</v>
      </c>
      <c r="AG826" s="6">
        <f ca="1">$O$826*$AA$826</f>
        <v>4.9409999999999998</v>
      </c>
    </row>
    <row r="827" spans="1:33" ht="11.25" customHeight="1" x14ac:dyDescent="0.3">
      <c r="A827" s="4" t="s">
        <v>21</v>
      </c>
      <c r="B827" s="4" t="s">
        <v>22</v>
      </c>
      <c r="C827" s="4" t="s">
        <v>23</v>
      </c>
      <c r="D827" s="4" t="s">
        <v>24</v>
      </c>
      <c r="E827" s="4" t="s">
        <v>31</v>
      </c>
      <c r="F827" s="4" t="s">
        <v>25</v>
      </c>
      <c r="G827" s="4" t="s">
        <v>25</v>
      </c>
      <c r="H827" s="4" t="s">
        <v>25</v>
      </c>
      <c r="I827" s="5">
        <v>44562</v>
      </c>
      <c r="J827" s="6">
        <v>0</v>
      </c>
      <c r="K827" s="6">
        <v>0</v>
      </c>
      <c r="L827" s="6">
        <v>264.75400000000002</v>
      </c>
      <c r="M827" s="6">
        <v>264.75400000000002</v>
      </c>
      <c r="N827" s="6">
        <v>264.75400000000002</v>
      </c>
      <c r="O827" s="6">
        <v>264.75400000000002</v>
      </c>
      <c r="P827" s="6">
        <v>3105</v>
      </c>
      <c r="Q827" s="4" t="s">
        <v>26</v>
      </c>
      <c r="R827" s="4">
        <v>0</v>
      </c>
      <c r="S827" s="6">
        <v>0</v>
      </c>
      <c r="T827" s="6">
        <v>41</v>
      </c>
      <c r="U827" s="6">
        <v>78</v>
      </c>
      <c r="V827" s="6">
        <f>IF(ISERROR(VLOOKUP($S$827,'TAR FIN'!$A$1:$O$113,15,0)),0,VLOOKUP($S$827,'TAR FIN'!$A$1:$O$113,15,0))</f>
        <v>0</v>
      </c>
      <c r="W827" s="6">
        <f>IF(ISERROR(VLOOKUP($T$827,'TAR FIN'!$A$1:$O$113,15,0)),0,VLOOKUP($T$827,'TAR FIN'!$A$1:$O$113,15,0))</f>
        <v>203.29</v>
      </c>
      <c r="X827" s="6">
        <f>IF(ISERROR(VLOOKUP($U$827,'TAR FIN'!$A$1:$O$113,15,0)),0,VLOOKUP($U$827,'TAR FIN'!$A$1:$O$113,15,0))</f>
        <v>263.12</v>
      </c>
      <c r="Y827" s="6"/>
      <c r="Z827" s="6">
        <f ca="1">('TUSD BE'!$AM$43+'TUSD BF_350'!$AM$43+'TUSD CVA'!$AM$43-('TUSD BE'!$P$43+'TUSD BF_350'!$P$43+'TUSD CVA'!$P$43)-('TUSD BE'!$Q$43+'TUSD BF_350'!$Q$43+'TUSD CVA'!$Q$43)-('TUSD BE'!$R$43+'TUSD BF_350'!$R$43+'TUSD CVA'!$R$43))*(1-CUSTOS!$M$36)</f>
        <v>271.233</v>
      </c>
      <c r="AA827" s="6">
        <f ca="1">('TE BE'!$AB$21+'TE BF_350'!$AB$21+'TE CVA'!$AB$21)*(1-CUSTOS!$M$36)</f>
        <v>219.6</v>
      </c>
      <c r="AB827" s="6">
        <f>$K$827*$V$827</f>
        <v>0</v>
      </c>
      <c r="AC827" s="6">
        <f>$M$827*$W$827</f>
        <v>53821.840660000002</v>
      </c>
      <c r="AD827" s="6">
        <f>$O$827*$X$827</f>
        <v>69662.072480000003</v>
      </c>
      <c r="AE827" s="6">
        <f>$K$827*$Y$827</f>
        <v>0</v>
      </c>
      <c r="AF827" s="6">
        <f ca="1">$M$827*$Z$827</f>
        <v>71810.021682000006</v>
      </c>
      <c r="AG827" s="6">
        <f ca="1">$O$827*$AA$827</f>
        <v>58139.9784</v>
      </c>
    </row>
    <row r="828" spans="1:33" ht="11.25" customHeight="1" x14ac:dyDescent="0.3">
      <c r="A828" s="4" t="s">
        <v>27</v>
      </c>
      <c r="B828" s="4" t="s">
        <v>22</v>
      </c>
      <c r="C828" s="4" t="s">
        <v>23</v>
      </c>
      <c r="D828" s="4" t="s">
        <v>24</v>
      </c>
      <c r="E828" s="4" t="s">
        <v>31</v>
      </c>
      <c r="F828" s="4" t="s">
        <v>25</v>
      </c>
      <c r="G828" s="4" t="s">
        <v>25</v>
      </c>
      <c r="H828" s="4" t="s">
        <v>25</v>
      </c>
      <c r="I828" s="5">
        <v>44562</v>
      </c>
      <c r="J828" s="6">
        <v>0</v>
      </c>
      <c r="K828" s="6">
        <v>0</v>
      </c>
      <c r="L828" s="6">
        <v>-5.5E-2</v>
      </c>
      <c r="M828" s="6">
        <v>-5.5E-2</v>
      </c>
      <c r="N828" s="6">
        <v>-5.5E-2</v>
      </c>
      <c r="O828" s="6">
        <v>-5.5E-2</v>
      </c>
      <c r="P828" s="6">
        <v>0</v>
      </c>
      <c r="Q828" s="4" t="s">
        <v>26</v>
      </c>
      <c r="R828" s="4">
        <v>0</v>
      </c>
      <c r="S828" s="6">
        <v>0</v>
      </c>
      <c r="T828" s="6">
        <v>41</v>
      </c>
      <c r="U828" s="6">
        <v>78</v>
      </c>
      <c r="V828" s="6">
        <f>IF(ISERROR(VLOOKUP($S$828,'TAR FIN'!$A$1:$O$113,15,0)),0,VLOOKUP($S$828,'TAR FIN'!$A$1:$O$113,15,0))</f>
        <v>0</v>
      </c>
      <c r="W828" s="6">
        <f>IF(ISERROR(VLOOKUP($T$828,'TAR FIN'!$A$1:$O$113,15,0)),0,VLOOKUP($T$828,'TAR FIN'!$A$1:$O$113,15,0))</f>
        <v>203.29</v>
      </c>
      <c r="X828" s="6">
        <f>IF(ISERROR(VLOOKUP($U$828,'TAR FIN'!$A$1:$O$113,15,0)),0,VLOOKUP($U$828,'TAR FIN'!$A$1:$O$113,15,0))</f>
        <v>263.12</v>
      </c>
      <c r="Y828" s="6"/>
      <c r="Z828" s="6">
        <f ca="1">('TUSD BE'!$AM$43+'TUSD BF_350'!$AM$43+'TUSD CVA'!$AM$43-('TUSD BE'!$P$43+'TUSD BF_350'!$P$43+'TUSD CVA'!$P$43)-('TUSD BE'!$Q$43+'TUSD BF_350'!$Q$43+'TUSD CVA'!$Q$43)-('TUSD BE'!$R$43+'TUSD BF_350'!$R$43+'TUSD CVA'!$R$43))*(1-CUSTOS!$M$36)</f>
        <v>271.233</v>
      </c>
      <c r="AA828" s="6">
        <f ca="1">('TE BE'!$AB$21+'TE BF_350'!$AB$21+'TE CVA'!$AB$21)*(1-CUSTOS!$M$36)</f>
        <v>219.6</v>
      </c>
      <c r="AB828" s="6">
        <f>$K$828*$V$828</f>
        <v>0</v>
      </c>
      <c r="AC828" s="6">
        <f>$M$828*$W$828</f>
        <v>-11.180949999999999</v>
      </c>
      <c r="AD828" s="6">
        <f>$O$828*$X$828</f>
        <v>-14.4716</v>
      </c>
      <c r="AE828" s="6">
        <f>$K$828*$Y$828</f>
        <v>0</v>
      </c>
      <c r="AF828" s="6">
        <f ca="1">$M$828*$Z$828</f>
        <v>-14.917815000000001</v>
      </c>
      <c r="AG828" s="6">
        <f ca="1">$O$828*$AA$828</f>
        <v>-12.077999999999999</v>
      </c>
    </row>
    <row r="829" spans="1:33" ht="11.25" customHeight="1" x14ac:dyDescent="0.3">
      <c r="A829" s="4" t="s">
        <v>28</v>
      </c>
      <c r="B829" s="4" t="s">
        <v>22</v>
      </c>
      <c r="C829" s="4" t="s">
        <v>23</v>
      </c>
      <c r="D829" s="4" t="s">
        <v>24</v>
      </c>
      <c r="E829" s="4" t="s">
        <v>31</v>
      </c>
      <c r="F829" s="4" t="s">
        <v>25</v>
      </c>
      <c r="G829" s="4" t="s">
        <v>25</v>
      </c>
      <c r="H829" s="4" t="s">
        <v>25</v>
      </c>
      <c r="I829" s="5">
        <v>44562</v>
      </c>
      <c r="J829" s="6">
        <v>0</v>
      </c>
      <c r="K829" s="6">
        <v>0</v>
      </c>
      <c r="L829" s="6">
        <v>4.4999999999999998E-2</v>
      </c>
      <c r="M829" s="6">
        <v>4.0500000000000001E-2</v>
      </c>
      <c r="N829" s="6">
        <v>4.4999999999999998E-2</v>
      </c>
      <c r="O829" s="6">
        <v>4.0500000000000001E-2</v>
      </c>
      <c r="P829" s="6">
        <v>1</v>
      </c>
      <c r="Q829" s="4" t="s">
        <v>26</v>
      </c>
      <c r="R829" s="4">
        <v>0</v>
      </c>
      <c r="S829" s="6">
        <v>0</v>
      </c>
      <c r="T829" s="6">
        <v>41</v>
      </c>
      <c r="U829" s="6">
        <v>78</v>
      </c>
      <c r="V829" s="6">
        <f>IF(ISERROR(VLOOKUP($S$829,'TAR FIN'!$A$1:$O$113,15,0)),0,VLOOKUP($S$829,'TAR FIN'!$A$1:$O$113,15,0))</f>
        <v>0</v>
      </c>
      <c r="W829" s="6">
        <f>IF(ISERROR(VLOOKUP($T$829,'TAR FIN'!$A$1:$O$113,15,0)),0,VLOOKUP($T$829,'TAR FIN'!$A$1:$O$113,15,0))</f>
        <v>203.29</v>
      </c>
      <c r="X829" s="6">
        <f>IF(ISERROR(VLOOKUP($U$829,'TAR FIN'!$A$1:$O$113,15,0)),0,VLOOKUP($U$829,'TAR FIN'!$A$1:$O$113,15,0))</f>
        <v>263.12</v>
      </c>
      <c r="Y829" s="6"/>
      <c r="Z829" s="6">
        <f ca="1">('TUSD BE'!$AM$43+'TUSD BF_350'!$AM$43+'TUSD CVA'!$AM$43-('TUSD BE'!$P$43+'TUSD BF_350'!$P$43+'TUSD CVA'!$P$43)-('TUSD BE'!$Q$43+'TUSD BF_350'!$Q$43+'TUSD CVA'!$Q$43)-('TUSD BE'!$R$43+'TUSD BF_350'!$R$43+'TUSD CVA'!$R$43))*(1-CUSTOS!$M$36)</f>
        <v>271.233</v>
      </c>
      <c r="AA829" s="6">
        <f ca="1">('TE BE'!$AB$21+'TE BF_350'!$AB$21+'TE CVA'!$AB$21)*(1-CUSTOS!$M$36)</f>
        <v>219.6</v>
      </c>
      <c r="AB829" s="6">
        <f>$K$829*$V$829</f>
        <v>0</v>
      </c>
      <c r="AC829" s="6">
        <f>$M$829*$W$829</f>
        <v>8.2332450000000001</v>
      </c>
      <c r="AD829" s="6">
        <f>$O$829*$X$829</f>
        <v>10.656360000000001</v>
      </c>
      <c r="AE829" s="6">
        <f>$K$829*$Y$829</f>
        <v>0</v>
      </c>
      <c r="AF829" s="6">
        <f ca="1">$M$829*$Z$829</f>
        <v>10.9849365</v>
      </c>
      <c r="AG829" s="6">
        <f ca="1">$O$829*$AA$829</f>
        <v>8.8938000000000006</v>
      </c>
    </row>
    <row r="830" spans="1:33" ht="11.25" customHeight="1" x14ac:dyDescent="0.3">
      <c r="A830" s="4" t="s">
        <v>21</v>
      </c>
      <c r="B830" s="4" t="s">
        <v>22</v>
      </c>
      <c r="C830" s="4" t="s">
        <v>23</v>
      </c>
      <c r="D830" s="4" t="s">
        <v>24</v>
      </c>
      <c r="E830" s="4" t="s">
        <v>31</v>
      </c>
      <c r="F830" s="4" t="s">
        <v>25</v>
      </c>
      <c r="G830" s="4" t="s">
        <v>25</v>
      </c>
      <c r="H830" s="4" t="s">
        <v>25</v>
      </c>
      <c r="I830" s="5">
        <v>44593</v>
      </c>
      <c r="J830" s="6">
        <v>0</v>
      </c>
      <c r="K830" s="6">
        <v>0</v>
      </c>
      <c r="L830" s="6">
        <v>250.215</v>
      </c>
      <c r="M830" s="6">
        <v>250.215</v>
      </c>
      <c r="N830" s="6">
        <v>250.215</v>
      </c>
      <c r="O830" s="6">
        <v>250.215</v>
      </c>
      <c r="P830" s="6">
        <v>3403</v>
      </c>
      <c r="Q830" s="4" t="s">
        <v>26</v>
      </c>
      <c r="R830" s="4">
        <v>0</v>
      </c>
      <c r="S830" s="6">
        <v>0</v>
      </c>
      <c r="T830" s="6">
        <v>41</v>
      </c>
      <c r="U830" s="6">
        <v>78</v>
      </c>
      <c r="V830" s="6">
        <f>IF(ISERROR(VLOOKUP($S$830,'TAR FIN'!$A$1:$O$113,15,0)),0,VLOOKUP($S$830,'TAR FIN'!$A$1:$O$113,15,0))</f>
        <v>0</v>
      </c>
      <c r="W830" s="6">
        <f>IF(ISERROR(VLOOKUP($T$830,'TAR FIN'!$A$1:$O$113,15,0)),0,VLOOKUP($T$830,'TAR FIN'!$A$1:$O$113,15,0))</f>
        <v>203.29</v>
      </c>
      <c r="X830" s="6">
        <f>IF(ISERROR(VLOOKUP($U$830,'TAR FIN'!$A$1:$O$113,15,0)),0,VLOOKUP($U$830,'TAR FIN'!$A$1:$O$113,15,0))</f>
        <v>263.12</v>
      </c>
      <c r="Y830" s="6"/>
      <c r="Z830" s="6">
        <f ca="1">('TUSD BE'!$AM$43+'TUSD BF_350'!$AM$43+'TUSD CVA'!$AM$43-('TUSD BE'!$P$43+'TUSD BF_350'!$P$43+'TUSD CVA'!$P$43)-('TUSD BE'!$Q$43+'TUSD BF_350'!$Q$43+'TUSD CVA'!$Q$43)-('TUSD BE'!$R$43+'TUSD BF_350'!$R$43+'TUSD CVA'!$R$43))*(1-CUSTOS!$M$36)</f>
        <v>271.233</v>
      </c>
      <c r="AA830" s="6">
        <f ca="1">('TE BE'!$AB$21+'TE BF_350'!$AB$21+'TE CVA'!$AB$21)*(1-CUSTOS!$M$36)</f>
        <v>219.6</v>
      </c>
      <c r="AB830" s="6">
        <f>$K$830*$V$830</f>
        <v>0</v>
      </c>
      <c r="AC830" s="6">
        <f>$M$830*$W$830</f>
        <v>50866.207349999997</v>
      </c>
      <c r="AD830" s="6">
        <f>$O$830*$X$830</f>
        <v>65836.570800000001</v>
      </c>
      <c r="AE830" s="6">
        <f>$K$830*$Y$830</f>
        <v>0</v>
      </c>
      <c r="AF830" s="6">
        <f ca="1">$M$830*$Z$830</f>
        <v>67866.565094999998</v>
      </c>
      <c r="AG830" s="6">
        <f ca="1">$O$830*$AA$830</f>
        <v>54947.214</v>
      </c>
    </row>
    <row r="831" spans="1:33" ht="11.25" customHeight="1" x14ac:dyDescent="0.3">
      <c r="A831" s="4" t="s">
        <v>27</v>
      </c>
      <c r="B831" s="4" t="s">
        <v>22</v>
      </c>
      <c r="C831" s="4" t="s">
        <v>23</v>
      </c>
      <c r="D831" s="4" t="s">
        <v>24</v>
      </c>
      <c r="E831" s="4" t="s">
        <v>31</v>
      </c>
      <c r="F831" s="4" t="s">
        <v>25</v>
      </c>
      <c r="G831" s="4" t="s">
        <v>25</v>
      </c>
      <c r="H831" s="4" t="s">
        <v>25</v>
      </c>
      <c r="I831" s="5">
        <v>44593</v>
      </c>
      <c r="J831" s="6">
        <v>0</v>
      </c>
      <c r="K831" s="6">
        <v>0</v>
      </c>
      <c r="L831" s="6">
        <v>-4.4999999999999998E-2</v>
      </c>
      <c r="M831" s="6">
        <v>-4.4999999999999998E-2</v>
      </c>
      <c r="N831" s="6">
        <v>-4.4999999999999998E-2</v>
      </c>
      <c r="O831" s="6">
        <v>-4.4999999999999998E-2</v>
      </c>
      <c r="P831" s="6">
        <v>0</v>
      </c>
      <c r="Q831" s="4" t="s">
        <v>26</v>
      </c>
      <c r="R831" s="4">
        <v>0</v>
      </c>
      <c r="S831" s="6">
        <v>0</v>
      </c>
      <c r="T831" s="6">
        <v>41</v>
      </c>
      <c r="U831" s="6">
        <v>78</v>
      </c>
      <c r="V831" s="6">
        <f>IF(ISERROR(VLOOKUP($S$831,'TAR FIN'!$A$1:$O$113,15,0)),0,VLOOKUP($S$831,'TAR FIN'!$A$1:$O$113,15,0))</f>
        <v>0</v>
      </c>
      <c r="W831" s="6">
        <f>IF(ISERROR(VLOOKUP($T$831,'TAR FIN'!$A$1:$O$113,15,0)),0,VLOOKUP($T$831,'TAR FIN'!$A$1:$O$113,15,0))</f>
        <v>203.29</v>
      </c>
      <c r="X831" s="6">
        <f>IF(ISERROR(VLOOKUP($U$831,'TAR FIN'!$A$1:$O$113,15,0)),0,VLOOKUP($U$831,'TAR FIN'!$A$1:$O$113,15,0))</f>
        <v>263.12</v>
      </c>
      <c r="Y831" s="6"/>
      <c r="Z831" s="6">
        <f ca="1">('TUSD BE'!$AM$43+'TUSD BF_350'!$AM$43+'TUSD CVA'!$AM$43-('TUSD BE'!$P$43+'TUSD BF_350'!$P$43+'TUSD CVA'!$P$43)-('TUSD BE'!$Q$43+'TUSD BF_350'!$Q$43+'TUSD CVA'!$Q$43)-('TUSD BE'!$R$43+'TUSD BF_350'!$R$43+'TUSD CVA'!$R$43))*(1-CUSTOS!$M$36)</f>
        <v>271.233</v>
      </c>
      <c r="AA831" s="6">
        <f ca="1">('TE BE'!$AB$21+'TE BF_350'!$AB$21+'TE CVA'!$AB$21)*(1-CUSTOS!$M$36)</f>
        <v>219.6</v>
      </c>
      <c r="AB831" s="6">
        <f>$K$831*$V$831</f>
        <v>0</v>
      </c>
      <c r="AC831" s="6">
        <f>$M$831*$W$831</f>
        <v>-9.1480499999999996</v>
      </c>
      <c r="AD831" s="6">
        <f>$O$831*$X$831</f>
        <v>-11.840399999999999</v>
      </c>
      <c r="AE831" s="6">
        <f>$K$831*$Y$831</f>
        <v>0</v>
      </c>
      <c r="AF831" s="6">
        <f ca="1">$M$831*$Z$831</f>
        <v>-12.205484999999999</v>
      </c>
      <c r="AG831" s="6">
        <f ca="1">$O$831*$AA$831</f>
        <v>-9.8819999999999997</v>
      </c>
    </row>
    <row r="832" spans="1:33" ht="11.25" customHeight="1" x14ac:dyDescent="0.3">
      <c r="A832" s="4" t="s">
        <v>28</v>
      </c>
      <c r="B832" s="4" t="s">
        <v>22</v>
      </c>
      <c r="C832" s="4" t="s">
        <v>23</v>
      </c>
      <c r="D832" s="4" t="s">
        <v>24</v>
      </c>
      <c r="E832" s="4" t="s">
        <v>31</v>
      </c>
      <c r="F832" s="4" t="s">
        <v>25</v>
      </c>
      <c r="G832" s="4" t="s">
        <v>25</v>
      </c>
      <c r="H832" s="4" t="s">
        <v>25</v>
      </c>
      <c r="I832" s="5">
        <v>44593</v>
      </c>
      <c r="J832" s="6">
        <v>0</v>
      </c>
      <c r="K832" s="6">
        <v>0</v>
      </c>
      <c r="L832" s="6">
        <v>9.0999999999999998E-2</v>
      </c>
      <c r="M832" s="6">
        <v>8.1900000000000001E-2</v>
      </c>
      <c r="N832" s="6">
        <v>9.0999999999999998E-2</v>
      </c>
      <c r="O832" s="6">
        <v>8.1900000000000001E-2</v>
      </c>
      <c r="P832" s="6">
        <v>1</v>
      </c>
      <c r="Q832" s="4" t="s">
        <v>26</v>
      </c>
      <c r="R832" s="4">
        <v>0</v>
      </c>
      <c r="S832" s="6">
        <v>0</v>
      </c>
      <c r="T832" s="6">
        <v>41</v>
      </c>
      <c r="U832" s="6">
        <v>78</v>
      </c>
      <c r="V832" s="6">
        <f>IF(ISERROR(VLOOKUP($S$832,'TAR FIN'!$A$1:$O$113,15,0)),0,VLOOKUP($S$832,'TAR FIN'!$A$1:$O$113,15,0))</f>
        <v>0</v>
      </c>
      <c r="W832" s="6">
        <f>IF(ISERROR(VLOOKUP($T$832,'TAR FIN'!$A$1:$O$113,15,0)),0,VLOOKUP($T$832,'TAR FIN'!$A$1:$O$113,15,0))</f>
        <v>203.29</v>
      </c>
      <c r="X832" s="6">
        <f>IF(ISERROR(VLOOKUP($U$832,'TAR FIN'!$A$1:$O$113,15,0)),0,VLOOKUP($U$832,'TAR FIN'!$A$1:$O$113,15,0))</f>
        <v>263.12</v>
      </c>
      <c r="Y832" s="6"/>
      <c r="Z832" s="6">
        <f ca="1">('TUSD BE'!$AM$43+'TUSD BF_350'!$AM$43+'TUSD CVA'!$AM$43-('TUSD BE'!$P$43+'TUSD BF_350'!$P$43+'TUSD CVA'!$P$43)-('TUSD BE'!$Q$43+'TUSD BF_350'!$Q$43+'TUSD CVA'!$Q$43)-('TUSD BE'!$R$43+'TUSD BF_350'!$R$43+'TUSD CVA'!$R$43))*(1-CUSTOS!$M$36)</f>
        <v>271.233</v>
      </c>
      <c r="AA832" s="6">
        <f ca="1">('TE BE'!$AB$21+'TE BF_350'!$AB$21+'TE CVA'!$AB$21)*(1-CUSTOS!$M$36)</f>
        <v>219.6</v>
      </c>
      <c r="AB832" s="6">
        <f>$K$832*$V$832</f>
        <v>0</v>
      </c>
      <c r="AC832" s="6">
        <f>$M$832*$W$832</f>
        <v>16.649450999999999</v>
      </c>
      <c r="AD832" s="6">
        <f>$O$832*$X$832</f>
        <v>21.549528000000002</v>
      </c>
      <c r="AE832" s="6">
        <f>$K$832*$Y$832</f>
        <v>0</v>
      </c>
      <c r="AF832" s="6">
        <f ca="1">$M$832*$Z$832</f>
        <v>22.213982699999999</v>
      </c>
      <c r="AG832" s="6">
        <f ca="1">$O$832*$AA$832</f>
        <v>17.985240000000001</v>
      </c>
    </row>
    <row r="833" spans="1:33" ht="11.25" customHeight="1" x14ac:dyDescent="0.3">
      <c r="A833" s="4" t="s">
        <v>21</v>
      </c>
      <c r="B833" s="4" t="s">
        <v>22</v>
      </c>
      <c r="C833" s="4" t="s">
        <v>23</v>
      </c>
      <c r="D833" s="4" t="s">
        <v>24</v>
      </c>
      <c r="E833" s="4" t="s">
        <v>31</v>
      </c>
      <c r="F833" s="4" t="s">
        <v>25</v>
      </c>
      <c r="G833" s="4" t="s">
        <v>25</v>
      </c>
      <c r="H833" s="4" t="s">
        <v>25</v>
      </c>
      <c r="I833" s="5">
        <v>44621</v>
      </c>
      <c r="J833" s="6">
        <v>0</v>
      </c>
      <c r="K833" s="6">
        <v>0</v>
      </c>
      <c r="L833" s="6">
        <v>274.15199999999999</v>
      </c>
      <c r="M833" s="6">
        <v>274.15199999999999</v>
      </c>
      <c r="N833" s="6">
        <v>274.15199999999999</v>
      </c>
      <c r="O833" s="6">
        <v>274.15199999999999</v>
      </c>
      <c r="P833" s="6">
        <v>3552</v>
      </c>
      <c r="Q833" s="4" t="s">
        <v>26</v>
      </c>
      <c r="R833" s="4">
        <v>0</v>
      </c>
      <c r="S833" s="6">
        <v>0</v>
      </c>
      <c r="T833" s="6">
        <v>41</v>
      </c>
      <c r="U833" s="6">
        <v>78</v>
      </c>
      <c r="V833" s="6">
        <f>IF(ISERROR(VLOOKUP($S$833,'TAR FIN'!$A$1:$O$113,15,0)),0,VLOOKUP($S$833,'TAR FIN'!$A$1:$O$113,15,0))</f>
        <v>0</v>
      </c>
      <c r="W833" s="6">
        <f>IF(ISERROR(VLOOKUP($T$833,'TAR FIN'!$A$1:$O$113,15,0)),0,VLOOKUP($T$833,'TAR FIN'!$A$1:$O$113,15,0))</f>
        <v>203.29</v>
      </c>
      <c r="X833" s="6">
        <f>IF(ISERROR(VLOOKUP($U$833,'TAR FIN'!$A$1:$O$113,15,0)),0,VLOOKUP($U$833,'TAR FIN'!$A$1:$O$113,15,0))</f>
        <v>263.12</v>
      </c>
      <c r="Y833" s="6"/>
      <c r="Z833" s="6">
        <f ca="1">('TUSD BE'!$AM$43+'TUSD BF_350'!$AM$43+'TUSD CVA'!$AM$43-('TUSD BE'!$P$43+'TUSD BF_350'!$P$43+'TUSD CVA'!$P$43)-('TUSD BE'!$Q$43+'TUSD BF_350'!$Q$43+'TUSD CVA'!$Q$43)-('TUSD BE'!$R$43+'TUSD BF_350'!$R$43+'TUSD CVA'!$R$43))*(1-CUSTOS!$M$36)</f>
        <v>271.233</v>
      </c>
      <c r="AA833" s="6">
        <f ca="1">('TE BE'!$AB$21+'TE BF_350'!$AB$21+'TE CVA'!$AB$21)*(1-CUSTOS!$M$36)</f>
        <v>219.6</v>
      </c>
      <c r="AB833" s="6">
        <f>$K$833*$V$833</f>
        <v>0</v>
      </c>
      <c r="AC833" s="6">
        <f>$M$833*$W$833</f>
        <v>55732.360079999999</v>
      </c>
      <c r="AD833" s="6">
        <f>$O$833*$X$833</f>
        <v>72134.874240000005</v>
      </c>
      <c r="AE833" s="6">
        <f>$K$833*$Y$833</f>
        <v>0</v>
      </c>
      <c r="AF833" s="6">
        <f ca="1">$M$833*$Z$833</f>
        <v>74359.069415999998</v>
      </c>
      <c r="AG833" s="6">
        <f ca="1">$O$833*$AA$833</f>
        <v>60203.779199999997</v>
      </c>
    </row>
    <row r="834" spans="1:33" ht="11.25" customHeight="1" x14ac:dyDescent="0.3">
      <c r="A834" s="4" t="s">
        <v>27</v>
      </c>
      <c r="B834" s="4" t="s">
        <v>22</v>
      </c>
      <c r="C834" s="4" t="s">
        <v>23</v>
      </c>
      <c r="D834" s="4" t="s">
        <v>24</v>
      </c>
      <c r="E834" s="4" t="s">
        <v>31</v>
      </c>
      <c r="F834" s="4" t="s">
        <v>25</v>
      </c>
      <c r="G834" s="4" t="s">
        <v>25</v>
      </c>
      <c r="H834" s="4" t="s">
        <v>25</v>
      </c>
      <c r="I834" s="5">
        <v>44621</v>
      </c>
      <c r="J834" s="6">
        <v>0</v>
      </c>
      <c r="K834" s="6">
        <v>0</v>
      </c>
      <c r="L834" s="6">
        <v>-0.13</v>
      </c>
      <c r="M834" s="6">
        <v>-0.13</v>
      </c>
      <c r="N834" s="6">
        <v>-0.13</v>
      </c>
      <c r="O834" s="6">
        <v>-0.13</v>
      </c>
      <c r="P834" s="6">
        <v>0</v>
      </c>
      <c r="Q834" s="4" t="s">
        <v>26</v>
      </c>
      <c r="R834" s="4">
        <v>0</v>
      </c>
      <c r="S834" s="6">
        <v>0</v>
      </c>
      <c r="T834" s="6">
        <v>41</v>
      </c>
      <c r="U834" s="6">
        <v>78</v>
      </c>
      <c r="V834" s="6">
        <f>IF(ISERROR(VLOOKUP($S$834,'TAR FIN'!$A$1:$O$113,15,0)),0,VLOOKUP($S$834,'TAR FIN'!$A$1:$O$113,15,0))</f>
        <v>0</v>
      </c>
      <c r="W834" s="6">
        <f>IF(ISERROR(VLOOKUP($T$834,'TAR FIN'!$A$1:$O$113,15,0)),0,VLOOKUP($T$834,'TAR FIN'!$A$1:$O$113,15,0))</f>
        <v>203.29</v>
      </c>
      <c r="X834" s="6">
        <f>IF(ISERROR(VLOOKUP($U$834,'TAR FIN'!$A$1:$O$113,15,0)),0,VLOOKUP($U$834,'TAR FIN'!$A$1:$O$113,15,0))</f>
        <v>263.12</v>
      </c>
      <c r="Y834" s="6"/>
      <c r="Z834" s="6">
        <f ca="1">('TUSD BE'!$AM$43+'TUSD BF_350'!$AM$43+'TUSD CVA'!$AM$43-('TUSD BE'!$P$43+'TUSD BF_350'!$P$43+'TUSD CVA'!$P$43)-('TUSD BE'!$Q$43+'TUSD BF_350'!$Q$43+'TUSD CVA'!$Q$43)-('TUSD BE'!$R$43+'TUSD BF_350'!$R$43+'TUSD CVA'!$R$43))*(1-CUSTOS!$M$36)</f>
        <v>271.233</v>
      </c>
      <c r="AA834" s="6">
        <f ca="1">('TE BE'!$AB$21+'TE BF_350'!$AB$21+'TE CVA'!$AB$21)*(1-CUSTOS!$M$36)</f>
        <v>219.6</v>
      </c>
      <c r="AB834" s="6">
        <f>$K$834*$V$834</f>
        <v>0</v>
      </c>
      <c r="AC834" s="6">
        <f>$M$834*$W$834</f>
        <v>-26.427700000000002</v>
      </c>
      <c r="AD834" s="6">
        <f>$O$834*$X$834</f>
        <v>-34.205600000000004</v>
      </c>
      <c r="AE834" s="6">
        <f>$K$834*$Y$834</f>
        <v>0</v>
      </c>
      <c r="AF834" s="6">
        <f ca="1">$M$834*$Z$834</f>
        <v>-35.260290000000005</v>
      </c>
      <c r="AG834" s="6">
        <f ca="1">$O$834*$AA$834</f>
        <v>-28.548000000000002</v>
      </c>
    </row>
    <row r="835" spans="1:33" ht="11.25" customHeight="1" x14ac:dyDescent="0.3">
      <c r="A835" s="4" t="s">
        <v>28</v>
      </c>
      <c r="B835" s="4" t="s">
        <v>22</v>
      </c>
      <c r="C835" s="4" t="s">
        <v>23</v>
      </c>
      <c r="D835" s="4" t="s">
        <v>24</v>
      </c>
      <c r="E835" s="4" t="s">
        <v>31</v>
      </c>
      <c r="F835" s="4" t="s">
        <v>25</v>
      </c>
      <c r="G835" s="4" t="s">
        <v>25</v>
      </c>
      <c r="H835" s="4" t="s">
        <v>25</v>
      </c>
      <c r="I835" s="5">
        <v>44621</v>
      </c>
      <c r="J835" s="6">
        <v>0</v>
      </c>
      <c r="K835" s="6">
        <v>0</v>
      </c>
      <c r="L835" s="6">
        <v>6.0999999999999999E-2</v>
      </c>
      <c r="M835" s="6">
        <v>5.4899999999999997E-2</v>
      </c>
      <c r="N835" s="6">
        <v>6.0999999999999999E-2</v>
      </c>
      <c r="O835" s="6">
        <v>5.4899999999999997E-2</v>
      </c>
      <c r="P835" s="6">
        <v>1</v>
      </c>
      <c r="Q835" s="4" t="s">
        <v>26</v>
      </c>
      <c r="R835" s="4">
        <v>0</v>
      </c>
      <c r="S835" s="6">
        <v>0</v>
      </c>
      <c r="T835" s="6">
        <v>41</v>
      </c>
      <c r="U835" s="6">
        <v>78</v>
      </c>
      <c r="V835" s="6">
        <f>IF(ISERROR(VLOOKUP($S$835,'TAR FIN'!$A$1:$O$113,15,0)),0,VLOOKUP($S$835,'TAR FIN'!$A$1:$O$113,15,0))</f>
        <v>0</v>
      </c>
      <c r="W835" s="6">
        <f>IF(ISERROR(VLOOKUP($T$835,'TAR FIN'!$A$1:$O$113,15,0)),0,VLOOKUP($T$835,'TAR FIN'!$A$1:$O$113,15,0))</f>
        <v>203.29</v>
      </c>
      <c r="X835" s="6">
        <f>IF(ISERROR(VLOOKUP($U$835,'TAR FIN'!$A$1:$O$113,15,0)),0,VLOOKUP($U$835,'TAR FIN'!$A$1:$O$113,15,0))</f>
        <v>263.12</v>
      </c>
      <c r="Y835" s="6"/>
      <c r="Z835" s="6">
        <f ca="1">('TUSD BE'!$AM$43+'TUSD BF_350'!$AM$43+'TUSD CVA'!$AM$43-('TUSD BE'!$P$43+'TUSD BF_350'!$P$43+'TUSD CVA'!$P$43)-('TUSD BE'!$Q$43+'TUSD BF_350'!$Q$43+'TUSD CVA'!$Q$43)-('TUSD BE'!$R$43+'TUSD BF_350'!$R$43+'TUSD CVA'!$R$43))*(1-CUSTOS!$M$36)</f>
        <v>271.233</v>
      </c>
      <c r="AA835" s="6">
        <f ca="1">('TE BE'!$AB$21+'TE BF_350'!$AB$21+'TE CVA'!$AB$21)*(1-CUSTOS!$M$36)</f>
        <v>219.6</v>
      </c>
      <c r="AB835" s="6">
        <f>$K$835*$V$835</f>
        <v>0</v>
      </c>
      <c r="AC835" s="6">
        <f>$M$835*$W$835</f>
        <v>11.160620999999999</v>
      </c>
      <c r="AD835" s="6">
        <f>$O$835*$X$835</f>
        <v>14.445288</v>
      </c>
      <c r="AE835" s="6">
        <f>$K$835*$Y$835</f>
        <v>0</v>
      </c>
      <c r="AF835" s="6">
        <f ca="1">$M$835*$Z$835</f>
        <v>14.8906917</v>
      </c>
      <c r="AG835" s="6">
        <f ca="1">$O$835*$AA$835</f>
        <v>12.056039999999999</v>
      </c>
    </row>
    <row r="836" spans="1:33" ht="11.25" customHeight="1" x14ac:dyDescent="0.3">
      <c r="A836" s="4" t="s">
        <v>21</v>
      </c>
      <c r="B836" s="4" t="s">
        <v>22</v>
      </c>
      <c r="C836" s="4" t="s">
        <v>23</v>
      </c>
      <c r="D836" s="4" t="s">
        <v>24</v>
      </c>
      <c r="E836" s="4" t="s">
        <v>31</v>
      </c>
      <c r="F836" s="4" t="s">
        <v>25</v>
      </c>
      <c r="G836" s="4" t="s">
        <v>25</v>
      </c>
      <c r="H836" s="4" t="s">
        <v>25</v>
      </c>
      <c r="I836" s="5">
        <v>44652</v>
      </c>
      <c r="J836" s="6">
        <v>0</v>
      </c>
      <c r="K836" s="6">
        <v>0</v>
      </c>
      <c r="L836" s="6">
        <v>274.327</v>
      </c>
      <c r="M836" s="6">
        <v>274.327</v>
      </c>
      <c r="N836" s="6">
        <v>274.327</v>
      </c>
      <c r="O836" s="6">
        <v>274.327</v>
      </c>
      <c r="P836" s="6">
        <v>3519</v>
      </c>
      <c r="Q836" s="4" t="s">
        <v>26</v>
      </c>
      <c r="R836" s="4">
        <v>0</v>
      </c>
      <c r="S836" s="6">
        <v>0</v>
      </c>
      <c r="T836" s="6">
        <v>41</v>
      </c>
      <c r="U836" s="6">
        <v>78</v>
      </c>
      <c r="V836" s="6">
        <f>IF(ISERROR(VLOOKUP($S$836,'TAR FIN'!$A$1:$O$113,15,0)),0,VLOOKUP($S$836,'TAR FIN'!$A$1:$O$113,15,0))</f>
        <v>0</v>
      </c>
      <c r="W836" s="6">
        <f>IF(ISERROR(VLOOKUP($T$836,'TAR FIN'!$A$1:$O$113,15,0)),0,VLOOKUP($T$836,'TAR FIN'!$A$1:$O$113,15,0))</f>
        <v>203.29</v>
      </c>
      <c r="X836" s="6">
        <f>IF(ISERROR(VLOOKUP($U$836,'TAR FIN'!$A$1:$O$113,15,0)),0,VLOOKUP($U$836,'TAR FIN'!$A$1:$O$113,15,0))</f>
        <v>263.12</v>
      </c>
      <c r="Y836" s="6"/>
      <c r="Z836" s="6">
        <f ca="1">('TUSD BE'!$AM$43+'TUSD BF_350'!$AM$43+'TUSD CVA'!$AM$43-('TUSD BE'!$P$43+'TUSD BF_350'!$P$43+'TUSD CVA'!$P$43)-('TUSD BE'!$Q$43+'TUSD BF_350'!$Q$43+'TUSD CVA'!$Q$43)-('TUSD BE'!$R$43+'TUSD BF_350'!$R$43+'TUSD CVA'!$R$43))*(1-CUSTOS!$M$36)</f>
        <v>271.233</v>
      </c>
      <c r="AA836" s="6">
        <f ca="1">('TE BE'!$AB$21+'TE BF_350'!$AB$21+'TE CVA'!$AB$21)*(1-CUSTOS!$M$36)</f>
        <v>219.6</v>
      </c>
      <c r="AB836" s="6">
        <f>$K$836*$V$836</f>
        <v>0</v>
      </c>
      <c r="AC836" s="6">
        <f>$M$836*$W$836</f>
        <v>55767.935829999995</v>
      </c>
      <c r="AD836" s="6">
        <f>$O$836*$X$836</f>
        <v>72180.920240000007</v>
      </c>
      <c r="AE836" s="6">
        <f>$K$836*$Y$836</f>
        <v>0</v>
      </c>
      <c r="AF836" s="6">
        <f ca="1">$M$836*$Z$836</f>
        <v>74406.535191000003</v>
      </c>
      <c r="AG836" s="6">
        <f ca="1">$O$836*$AA$836</f>
        <v>60242.209199999998</v>
      </c>
    </row>
    <row r="837" spans="1:33" ht="11.25" customHeight="1" x14ac:dyDescent="0.3">
      <c r="A837" s="4" t="s">
        <v>27</v>
      </c>
      <c r="B837" s="4" t="s">
        <v>22</v>
      </c>
      <c r="C837" s="4" t="s">
        <v>23</v>
      </c>
      <c r="D837" s="4" t="s">
        <v>24</v>
      </c>
      <c r="E837" s="4" t="s">
        <v>31</v>
      </c>
      <c r="F837" s="4" t="s">
        <v>25</v>
      </c>
      <c r="G837" s="4" t="s">
        <v>25</v>
      </c>
      <c r="H837" s="4" t="s">
        <v>25</v>
      </c>
      <c r="I837" s="5">
        <v>44652</v>
      </c>
      <c r="J837" s="6">
        <v>0</v>
      </c>
      <c r="K837" s="6">
        <v>0</v>
      </c>
      <c r="L837" s="6">
        <v>0.21099999999999999</v>
      </c>
      <c r="M837" s="6">
        <v>0.21099999999999999</v>
      </c>
      <c r="N837" s="6">
        <v>0.21099999999999999</v>
      </c>
      <c r="O837" s="6">
        <v>0.21099999999999999</v>
      </c>
      <c r="P837" s="6">
        <v>0</v>
      </c>
      <c r="Q837" s="4" t="s">
        <v>26</v>
      </c>
      <c r="R837" s="4">
        <v>0</v>
      </c>
      <c r="S837" s="6">
        <v>0</v>
      </c>
      <c r="T837" s="6">
        <v>41</v>
      </c>
      <c r="U837" s="6">
        <v>78</v>
      </c>
      <c r="V837" s="6">
        <f>IF(ISERROR(VLOOKUP($S$837,'TAR FIN'!$A$1:$O$113,15,0)),0,VLOOKUP($S$837,'TAR FIN'!$A$1:$O$113,15,0))</f>
        <v>0</v>
      </c>
      <c r="W837" s="6">
        <f>IF(ISERROR(VLOOKUP($T$837,'TAR FIN'!$A$1:$O$113,15,0)),0,VLOOKUP($T$837,'TAR FIN'!$A$1:$O$113,15,0))</f>
        <v>203.29</v>
      </c>
      <c r="X837" s="6">
        <f>IF(ISERROR(VLOOKUP($U$837,'TAR FIN'!$A$1:$O$113,15,0)),0,VLOOKUP($U$837,'TAR FIN'!$A$1:$O$113,15,0))</f>
        <v>263.12</v>
      </c>
      <c r="Y837" s="6"/>
      <c r="Z837" s="6">
        <f ca="1">('TUSD BE'!$AM$43+'TUSD BF_350'!$AM$43+'TUSD CVA'!$AM$43-('TUSD BE'!$P$43+'TUSD BF_350'!$P$43+'TUSD CVA'!$P$43)-('TUSD BE'!$Q$43+'TUSD BF_350'!$Q$43+'TUSD CVA'!$Q$43)-('TUSD BE'!$R$43+'TUSD BF_350'!$R$43+'TUSD CVA'!$R$43))*(1-CUSTOS!$M$36)</f>
        <v>271.233</v>
      </c>
      <c r="AA837" s="6">
        <f ca="1">('TE BE'!$AB$21+'TE BF_350'!$AB$21+'TE CVA'!$AB$21)*(1-CUSTOS!$M$36)</f>
        <v>219.6</v>
      </c>
      <c r="AB837" s="6">
        <f>$K$837*$V$837</f>
        <v>0</v>
      </c>
      <c r="AC837" s="6">
        <f>$M$837*$W$837</f>
        <v>42.894189999999995</v>
      </c>
      <c r="AD837" s="6">
        <f>$O$837*$X$837</f>
        <v>55.518319999999996</v>
      </c>
      <c r="AE837" s="6">
        <f>$K$837*$Y$837</f>
        <v>0</v>
      </c>
      <c r="AF837" s="6">
        <f ca="1">$M$837*$Z$837</f>
        <v>57.230162999999997</v>
      </c>
      <c r="AG837" s="6">
        <f ca="1">$O$837*$AA$837</f>
        <v>46.335599999999999</v>
      </c>
    </row>
    <row r="838" spans="1:33" ht="11.25" customHeight="1" x14ac:dyDescent="0.3">
      <c r="A838" s="4" t="s">
        <v>21</v>
      </c>
      <c r="B838" s="4" t="s">
        <v>22</v>
      </c>
      <c r="C838" s="4" t="s">
        <v>23</v>
      </c>
      <c r="D838" s="4" t="s">
        <v>24</v>
      </c>
      <c r="E838" s="4" t="s">
        <v>31</v>
      </c>
      <c r="F838" s="4" t="s">
        <v>25</v>
      </c>
      <c r="G838" s="4" t="s">
        <v>25</v>
      </c>
      <c r="H838" s="4" t="s">
        <v>25</v>
      </c>
      <c r="I838" s="5">
        <v>44682</v>
      </c>
      <c r="J838" s="6">
        <v>0</v>
      </c>
      <c r="K838" s="6">
        <v>0</v>
      </c>
      <c r="L838" s="6">
        <v>287.44</v>
      </c>
      <c r="M838" s="6">
        <v>287.44</v>
      </c>
      <c r="N838" s="6">
        <v>287.44</v>
      </c>
      <c r="O838" s="6">
        <v>287.44</v>
      </c>
      <c r="P838" s="6">
        <v>3527</v>
      </c>
      <c r="Q838" s="4" t="s">
        <v>26</v>
      </c>
      <c r="R838" s="4">
        <v>0</v>
      </c>
      <c r="S838" s="6">
        <v>0</v>
      </c>
      <c r="T838" s="6">
        <v>41</v>
      </c>
      <c r="U838" s="6">
        <v>78</v>
      </c>
      <c r="V838" s="6">
        <f>IF(ISERROR(VLOOKUP($S$838,'TAR FIN'!$A$1:$O$113,15,0)),0,VLOOKUP($S$838,'TAR FIN'!$A$1:$O$113,15,0))</f>
        <v>0</v>
      </c>
      <c r="W838" s="6">
        <f>IF(ISERROR(VLOOKUP($T$838,'TAR FIN'!$A$1:$O$113,15,0)),0,VLOOKUP($T$838,'TAR FIN'!$A$1:$O$113,15,0))</f>
        <v>203.29</v>
      </c>
      <c r="X838" s="6">
        <f>IF(ISERROR(VLOOKUP($U$838,'TAR FIN'!$A$1:$O$113,15,0)),0,VLOOKUP($U$838,'TAR FIN'!$A$1:$O$113,15,0))</f>
        <v>263.12</v>
      </c>
      <c r="Y838" s="6"/>
      <c r="Z838" s="6">
        <f ca="1">('TUSD BE'!$AM$43+'TUSD BF_350'!$AM$43+'TUSD CVA'!$AM$43-('TUSD BE'!$P$43+'TUSD BF_350'!$P$43+'TUSD CVA'!$P$43)-('TUSD BE'!$Q$43+'TUSD BF_350'!$Q$43+'TUSD CVA'!$Q$43)-('TUSD BE'!$R$43+'TUSD BF_350'!$R$43+'TUSD CVA'!$R$43))*(1-CUSTOS!$M$36)</f>
        <v>271.233</v>
      </c>
      <c r="AA838" s="6">
        <f ca="1">('TE BE'!$AB$21+'TE BF_350'!$AB$21+'TE CVA'!$AB$21)*(1-CUSTOS!$M$36)</f>
        <v>219.6</v>
      </c>
      <c r="AB838" s="6">
        <f>$K$838*$V$838</f>
        <v>0</v>
      </c>
      <c r="AC838" s="6">
        <f>$M$838*$W$838</f>
        <v>58433.677599999995</v>
      </c>
      <c r="AD838" s="6">
        <f>$O$838*$X$838</f>
        <v>75631.212799999994</v>
      </c>
      <c r="AE838" s="6">
        <f>$K$838*$Y$838</f>
        <v>0</v>
      </c>
      <c r="AF838" s="6">
        <f ca="1">$M$838*$Z$838</f>
        <v>77963.213520000005</v>
      </c>
      <c r="AG838" s="6">
        <f ca="1">$O$838*$AA$838</f>
        <v>63121.824000000001</v>
      </c>
    </row>
    <row r="839" spans="1:33" ht="11.25" customHeight="1" x14ac:dyDescent="0.3">
      <c r="A839" s="4" t="s">
        <v>27</v>
      </c>
      <c r="B839" s="4" t="s">
        <v>22</v>
      </c>
      <c r="C839" s="4" t="s">
        <v>23</v>
      </c>
      <c r="D839" s="4" t="s">
        <v>24</v>
      </c>
      <c r="E839" s="4" t="s">
        <v>31</v>
      </c>
      <c r="F839" s="4" t="s">
        <v>25</v>
      </c>
      <c r="G839" s="4" t="s">
        <v>25</v>
      </c>
      <c r="H839" s="4" t="s">
        <v>25</v>
      </c>
      <c r="I839" s="5">
        <v>44682</v>
      </c>
      <c r="J839" s="6">
        <v>0</v>
      </c>
      <c r="K839" s="6">
        <v>0</v>
      </c>
      <c r="L839" s="6">
        <v>-0.114</v>
      </c>
      <c r="M839" s="6">
        <v>-0.114</v>
      </c>
      <c r="N839" s="6">
        <v>-0.114</v>
      </c>
      <c r="O839" s="6">
        <v>-0.114</v>
      </c>
      <c r="P839" s="6">
        <v>0</v>
      </c>
      <c r="Q839" s="4" t="s">
        <v>26</v>
      </c>
      <c r="R839" s="4">
        <v>0</v>
      </c>
      <c r="S839" s="6">
        <v>0</v>
      </c>
      <c r="T839" s="6">
        <v>41</v>
      </c>
      <c r="U839" s="6">
        <v>78</v>
      </c>
      <c r="V839" s="6">
        <f>IF(ISERROR(VLOOKUP($S$839,'TAR FIN'!$A$1:$O$113,15,0)),0,VLOOKUP($S$839,'TAR FIN'!$A$1:$O$113,15,0))</f>
        <v>0</v>
      </c>
      <c r="W839" s="6">
        <f>IF(ISERROR(VLOOKUP($T$839,'TAR FIN'!$A$1:$O$113,15,0)),0,VLOOKUP($T$839,'TAR FIN'!$A$1:$O$113,15,0))</f>
        <v>203.29</v>
      </c>
      <c r="X839" s="6">
        <f>IF(ISERROR(VLOOKUP($U$839,'TAR FIN'!$A$1:$O$113,15,0)),0,VLOOKUP($U$839,'TAR FIN'!$A$1:$O$113,15,0))</f>
        <v>263.12</v>
      </c>
      <c r="Y839" s="6"/>
      <c r="Z839" s="6">
        <f ca="1">('TUSD BE'!$AM$43+'TUSD BF_350'!$AM$43+'TUSD CVA'!$AM$43-('TUSD BE'!$P$43+'TUSD BF_350'!$P$43+'TUSD CVA'!$P$43)-('TUSD BE'!$Q$43+'TUSD BF_350'!$Q$43+'TUSD CVA'!$Q$43)-('TUSD BE'!$R$43+'TUSD BF_350'!$R$43+'TUSD CVA'!$R$43))*(1-CUSTOS!$M$36)</f>
        <v>271.233</v>
      </c>
      <c r="AA839" s="6">
        <f ca="1">('TE BE'!$AB$21+'TE BF_350'!$AB$21+'TE CVA'!$AB$21)*(1-CUSTOS!$M$36)</f>
        <v>219.6</v>
      </c>
      <c r="AB839" s="6">
        <f>$K$839*$V$839</f>
        <v>0</v>
      </c>
      <c r="AC839" s="6">
        <f>$M$839*$W$839</f>
        <v>-23.175059999999998</v>
      </c>
      <c r="AD839" s="6">
        <f>$O$839*$X$839</f>
        <v>-29.99568</v>
      </c>
      <c r="AE839" s="6">
        <f>$K$839*$Y$839</f>
        <v>0</v>
      </c>
      <c r="AF839" s="6">
        <f ca="1">$M$839*$Z$839</f>
        <v>-30.920562</v>
      </c>
      <c r="AG839" s="6">
        <f ca="1">$O$839*$AA$839</f>
        <v>-25.034400000000002</v>
      </c>
    </row>
    <row r="840" spans="1:33" ht="11.25" customHeight="1" x14ac:dyDescent="0.3">
      <c r="A840" s="4" t="s">
        <v>21</v>
      </c>
      <c r="B840" s="4" t="s">
        <v>22</v>
      </c>
      <c r="C840" s="4" t="s">
        <v>23</v>
      </c>
      <c r="D840" s="4" t="s">
        <v>24</v>
      </c>
      <c r="E840" s="4" t="s">
        <v>31</v>
      </c>
      <c r="F840" s="4" t="s">
        <v>25</v>
      </c>
      <c r="G840" s="4" t="s">
        <v>25</v>
      </c>
      <c r="H840" s="4" t="s">
        <v>25</v>
      </c>
      <c r="I840" s="5">
        <v>44713</v>
      </c>
      <c r="J840" s="6">
        <v>0</v>
      </c>
      <c r="K840" s="6">
        <v>0</v>
      </c>
      <c r="L840" s="6">
        <v>268.04700000000003</v>
      </c>
      <c r="M840" s="6">
        <v>268.04700000000003</v>
      </c>
      <c r="N840" s="6">
        <v>268.04700000000003</v>
      </c>
      <c r="O840" s="6">
        <v>268.04700000000003</v>
      </c>
      <c r="P840" s="6">
        <v>3259</v>
      </c>
      <c r="Q840" s="4" t="s">
        <v>26</v>
      </c>
      <c r="R840" s="4">
        <v>0</v>
      </c>
      <c r="S840" s="6">
        <v>0</v>
      </c>
      <c r="T840" s="6">
        <v>41</v>
      </c>
      <c r="U840" s="6">
        <v>78</v>
      </c>
      <c r="V840" s="6">
        <f>IF(ISERROR(VLOOKUP($S$840,'TAR FIN'!$A$1:$O$113,15,0)),0,VLOOKUP($S$840,'TAR FIN'!$A$1:$O$113,15,0))</f>
        <v>0</v>
      </c>
      <c r="W840" s="6">
        <f>IF(ISERROR(VLOOKUP($T$840,'TAR FIN'!$A$1:$O$113,15,0)),0,VLOOKUP($T$840,'TAR FIN'!$A$1:$O$113,15,0))</f>
        <v>203.29</v>
      </c>
      <c r="X840" s="6">
        <f>IF(ISERROR(VLOOKUP($U$840,'TAR FIN'!$A$1:$O$113,15,0)),0,VLOOKUP($U$840,'TAR FIN'!$A$1:$O$113,15,0))</f>
        <v>263.12</v>
      </c>
      <c r="Y840" s="6"/>
      <c r="Z840" s="6">
        <f ca="1">('TUSD BE'!$AM$43+'TUSD BF_350'!$AM$43+'TUSD CVA'!$AM$43-('TUSD BE'!$P$43+'TUSD BF_350'!$P$43+'TUSD CVA'!$P$43)-('TUSD BE'!$Q$43+'TUSD BF_350'!$Q$43+'TUSD CVA'!$Q$43)-('TUSD BE'!$R$43+'TUSD BF_350'!$R$43+'TUSD CVA'!$R$43))*(1-CUSTOS!$M$36)</f>
        <v>271.233</v>
      </c>
      <c r="AA840" s="6">
        <f ca="1">('TE BE'!$AB$21+'TE BF_350'!$AB$21+'TE CVA'!$AB$21)*(1-CUSTOS!$M$36)</f>
        <v>219.6</v>
      </c>
      <c r="AB840" s="6">
        <f>$K$840*$V$840</f>
        <v>0</v>
      </c>
      <c r="AC840" s="6">
        <f>$M$840*$W$840</f>
        <v>54491.27463</v>
      </c>
      <c r="AD840" s="6">
        <f>$O$840*$X$840</f>
        <v>70528.526640000011</v>
      </c>
      <c r="AE840" s="6">
        <f>$K$840*$Y$840</f>
        <v>0</v>
      </c>
      <c r="AF840" s="6">
        <f ca="1">$M$840*$Z$840</f>
        <v>72703.191951000015</v>
      </c>
      <c r="AG840" s="6">
        <f ca="1">$O$840*$AA$840</f>
        <v>58863.121200000001</v>
      </c>
    </row>
    <row r="841" spans="1:33" ht="11.25" customHeight="1" x14ac:dyDescent="0.3">
      <c r="A841" s="4" t="s">
        <v>27</v>
      </c>
      <c r="B841" s="4" t="s">
        <v>22</v>
      </c>
      <c r="C841" s="4" t="s">
        <v>23</v>
      </c>
      <c r="D841" s="4" t="s">
        <v>24</v>
      </c>
      <c r="E841" s="4" t="s">
        <v>31</v>
      </c>
      <c r="F841" s="4" t="s">
        <v>25</v>
      </c>
      <c r="G841" s="4" t="s">
        <v>25</v>
      </c>
      <c r="H841" s="4" t="s">
        <v>25</v>
      </c>
      <c r="I841" s="5">
        <v>44713</v>
      </c>
      <c r="J841" s="6">
        <v>0</v>
      </c>
      <c r="K841" s="6">
        <v>0</v>
      </c>
      <c r="L841" s="6">
        <v>-3.5999999999999997E-2</v>
      </c>
      <c r="M841" s="6">
        <v>-3.5999999999999997E-2</v>
      </c>
      <c r="N841" s="6">
        <v>-3.5999999999999997E-2</v>
      </c>
      <c r="O841" s="6">
        <v>-3.5999999999999997E-2</v>
      </c>
      <c r="P841" s="6">
        <v>0</v>
      </c>
      <c r="Q841" s="4" t="s">
        <v>26</v>
      </c>
      <c r="R841" s="4">
        <v>0</v>
      </c>
      <c r="S841" s="6">
        <v>0</v>
      </c>
      <c r="T841" s="6">
        <v>41</v>
      </c>
      <c r="U841" s="6">
        <v>78</v>
      </c>
      <c r="V841" s="6">
        <f>IF(ISERROR(VLOOKUP($S$841,'TAR FIN'!$A$1:$O$113,15,0)),0,VLOOKUP($S$841,'TAR FIN'!$A$1:$O$113,15,0))</f>
        <v>0</v>
      </c>
      <c r="W841" s="6">
        <f>IF(ISERROR(VLOOKUP($T$841,'TAR FIN'!$A$1:$O$113,15,0)),0,VLOOKUP($T$841,'TAR FIN'!$A$1:$O$113,15,0))</f>
        <v>203.29</v>
      </c>
      <c r="X841" s="6">
        <f>IF(ISERROR(VLOOKUP($U$841,'TAR FIN'!$A$1:$O$113,15,0)),0,VLOOKUP($U$841,'TAR FIN'!$A$1:$O$113,15,0))</f>
        <v>263.12</v>
      </c>
      <c r="Y841" s="6"/>
      <c r="Z841" s="6">
        <f ca="1">('TUSD BE'!$AM$43+'TUSD BF_350'!$AM$43+'TUSD CVA'!$AM$43-('TUSD BE'!$P$43+'TUSD BF_350'!$P$43+'TUSD CVA'!$P$43)-('TUSD BE'!$Q$43+'TUSD BF_350'!$Q$43+'TUSD CVA'!$Q$43)-('TUSD BE'!$R$43+'TUSD BF_350'!$R$43+'TUSD CVA'!$R$43))*(1-CUSTOS!$M$36)</f>
        <v>271.233</v>
      </c>
      <c r="AA841" s="6">
        <f ca="1">('TE BE'!$AB$21+'TE BF_350'!$AB$21+'TE CVA'!$AB$21)*(1-CUSTOS!$M$36)</f>
        <v>219.6</v>
      </c>
      <c r="AB841" s="6">
        <f>$K$841*$V$841</f>
        <v>0</v>
      </c>
      <c r="AC841" s="6">
        <f>$M$841*$W$841</f>
        <v>-7.3184399999999989</v>
      </c>
      <c r="AD841" s="6">
        <f>$O$841*$X$841</f>
        <v>-9.4723199999999999</v>
      </c>
      <c r="AE841" s="6">
        <f>$K$841*$Y$841</f>
        <v>0</v>
      </c>
      <c r="AF841" s="6">
        <f ca="1">$M$841*$Z$841</f>
        <v>-9.7643880000000003</v>
      </c>
      <c r="AG841" s="6">
        <f ca="1">$O$841*$AA$841</f>
        <v>-7.9055999999999989</v>
      </c>
    </row>
    <row r="842" spans="1:33" ht="11.25" customHeight="1" x14ac:dyDescent="0.3">
      <c r="A842" s="4" t="s">
        <v>21</v>
      </c>
      <c r="B842" s="4" t="s">
        <v>22</v>
      </c>
      <c r="C842" s="4" t="s">
        <v>23</v>
      </c>
      <c r="D842" s="4" t="s">
        <v>24</v>
      </c>
      <c r="E842" s="4" t="s">
        <v>31</v>
      </c>
      <c r="F842" s="4" t="s">
        <v>25</v>
      </c>
      <c r="G842" s="4" t="s">
        <v>25</v>
      </c>
      <c r="H842" s="4" t="s">
        <v>25</v>
      </c>
      <c r="I842" s="5">
        <v>44743</v>
      </c>
      <c r="J842" s="6">
        <v>0</v>
      </c>
      <c r="K842" s="6">
        <v>0</v>
      </c>
      <c r="L842" s="6">
        <v>266.54399999999998</v>
      </c>
      <c r="M842" s="6">
        <v>266.54399999999998</v>
      </c>
      <c r="N842" s="6">
        <v>266.54399999999998</v>
      </c>
      <c r="O842" s="6">
        <v>266.54399999999998</v>
      </c>
      <c r="P842" s="6">
        <v>2982</v>
      </c>
      <c r="Q842" s="4" t="s">
        <v>26</v>
      </c>
      <c r="R842" s="4">
        <v>0</v>
      </c>
      <c r="S842" s="6">
        <v>0</v>
      </c>
      <c r="T842" s="6">
        <v>41</v>
      </c>
      <c r="U842" s="6">
        <v>78</v>
      </c>
      <c r="V842" s="6">
        <f>IF(ISERROR(VLOOKUP($S$842,'TAR FIN'!$A$1:$O$113,15,0)),0,VLOOKUP($S$842,'TAR FIN'!$A$1:$O$113,15,0))</f>
        <v>0</v>
      </c>
      <c r="W842" s="6">
        <f>IF(ISERROR(VLOOKUP($T$842,'TAR FIN'!$A$1:$O$113,15,0)),0,VLOOKUP($T$842,'TAR FIN'!$A$1:$O$113,15,0))</f>
        <v>203.29</v>
      </c>
      <c r="X842" s="6">
        <f>IF(ISERROR(VLOOKUP($U$842,'TAR FIN'!$A$1:$O$113,15,0)),0,VLOOKUP($U$842,'TAR FIN'!$A$1:$O$113,15,0))</f>
        <v>263.12</v>
      </c>
      <c r="Y842" s="6"/>
      <c r="Z842" s="6">
        <f ca="1">('TUSD BE'!$AM$43+'TUSD BF_350'!$AM$43+'TUSD CVA'!$AM$43-('TUSD BE'!$P$43+'TUSD BF_350'!$P$43+'TUSD CVA'!$P$43)-('TUSD BE'!$Q$43+'TUSD BF_350'!$Q$43+'TUSD CVA'!$Q$43)-('TUSD BE'!$R$43+'TUSD BF_350'!$R$43+'TUSD CVA'!$R$43))*(1-CUSTOS!$M$36)</f>
        <v>271.233</v>
      </c>
      <c r="AA842" s="6">
        <f ca="1">('TE BE'!$AB$21+'TE BF_350'!$AB$21+'TE CVA'!$AB$21)*(1-CUSTOS!$M$36)</f>
        <v>219.6</v>
      </c>
      <c r="AB842" s="6">
        <f>$K$842*$V$842</f>
        <v>0</v>
      </c>
      <c r="AC842" s="6">
        <f>$M$842*$W$842</f>
        <v>54185.729759999995</v>
      </c>
      <c r="AD842" s="6">
        <f>$O$842*$X$842</f>
        <v>70133.057279999994</v>
      </c>
      <c r="AE842" s="6">
        <f>$K$842*$Y$842</f>
        <v>0</v>
      </c>
      <c r="AF842" s="6">
        <f ca="1">$M$842*$Z$842</f>
        <v>72295.528751999998</v>
      </c>
      <c r="AG842" s="6">
        <f ca="1">$O$842*$AA$842</f>
        <v>58533.062399999995</v>
      </c>
    </row>
    <row r="843" spans="1:33" ht="11.25" customHeight="1" x14ac:dyDescent="0.3">
      <c r="A843" s="4" t="s">
        <v>21</v>
      </c>
      <c r="B843" s="4" t="s">
        <v>22</v>
      </c>
      <c r="C843" s="4" t="s">
        <v>23</v>
      </c>
      <c r="D843" s="4" t="s">
        <v>24</v>
      </c>
      <c r="E843" s="4" t="s">
        <v>31</v>
      </c>
      <c r="F843" s="4" t="s">
        <v>25</v>
      </c>
      <c r="G843" s="4" t="s">
        <v>25</v>
      </c>
      <c r="H843" s="4" t="s">
        <v>25</v>
      </c>
      <c r="I843" s="5">
        <v>44774</v>
      </c>
      <c r="J843" s="6">
        <v>0</v>
      </c>
      <c r="K843" s="6">
        <v>0</v>
      </c>
      <c r="L843" s="6">
        <v>265.86900000000003</v>
      </c>
      <c r="M843" s="6">
        <v>265.86900000000003</v>
      </c>
      <c r="N843" s="6">
        <v>265.86900000000003</v>
      </c>
      <c r="O843" s="6">
        <v>265.86900000000003</v>
      </c>
      <c r="P843" s="6">
        <v>3152</v>
      </c>
      <c r="Q843" s="4" t="s">
        <v>26</v>
      </c>
      <c r="R843" s="4">
        <v>0</v>
      </c>
      <c r="S843" s="6">
        <v>0</v>
      </c>
      <c r="T843" s="6">
        <v>41</v>
      </c>
      <c r="U843" s="6">
        <v>78</v>
      </c>
      <c r="V843" s="6">
        <f>IF(ISERROR(VLOOKUP($S$843,'TAR FIN'!$A$1:$O$113,15,0)),0,VLOOKUP($S$843,'TAR FIN'!$A$1:$O$113,15,0))</f>
        <v>0</v>
      </c>
      <c r="W843" s="6">
        <f>IF(ISERROR(VLOOKUP($T$843,'TAR FIN'!$A$1:$O$113,15,0)),0,VLOOKUP($T$843,'TAR FIN'!$A$1:$O$113,15,0))</f>
        <v>203.29</v>
      </c>
      <c r="X843" s="6">
        <f>IF(ISERROR(VLOOKUP($U$843,'TAR FIN'!$A$1:$O$113,15,0)),0,VLOOKUP($U$843,'TAR FIN'!$A$1:$O$113,15,0))</f>
        <v>263.12</v>
      </c>
      <c r="Y843" s="6"/>
      <c r="Z843" s="6">
        <f ca="1">('TUSD BE'!$AM$43+'TUSD BF_350'!$AM$43+'TUSD CVA'!$AM$43-('TUSD BE'!$P$43+'TUSD BF_350'!$P$43+'TUSD CVA'!$P$43)-('TUSD BE'!$Q$43+'TUSD BF_350'!$Q$43+'TUSD CVA'!$Q$43)-('TUSD BE'!$R$43+'TUSD BF_350'!$R$43+'TUSD CVA'!$R$43))*(1-CUSTOS!$M$36)</f>
        <v>271.233</v>
      </c>
      <c r="AA843" s="6">
        <f ca="1">('TE BE'!$AB$21+'TE BF_350'!$AB$21+'TE CVA'!$AB$21)*(1-CUSTOS!$M$36)</f>
        <v>219.6</v>
      </c>
      <c r="AB843" s="6">
        <f>$K$843*$V$843</f>
        <v>0</v>
      </c>
      <c r="AC843" s="6">
        <f>$M$843*$W$843</f>
        <v>54048.509010000002</v>
      </c>
      <c r="AD843" s="6">
        <f>$O$843*$X$843</f>
        <v>69955.451280000008</v>
      </c>
      <c r="AE843" s="6">
        <f>$K$843*$Y$843</f>
        <v>0</v>
      </c>
      <c r="AF843" s="6">
        <f ca="1">$M$843*$Z$843</f>
        <v>72112.446477000005</v>
      </c>
      <c r="AG843" s="6">
        <f ca="1">$O$843*$AA$843</f>
        <v>58384.832400000007</v>
      </c>
    </row>
    <row r="844" spans="1:33" ht="11.25" customHeight="1" x14ac:dyDescent="0.3">
      <c r="A844" s="4" t="s">
        <v>27</v>
      </c>
      <c r="B844" s="4" t="s">
        <v>22</v>
      </c>
      <c r="C844" s="4" t="s">
        <v>23</v>
      </c>
      <c r="D844" s="4" t="s">
        <v>24</v>
      </c>
      <c r="E844" s="4" t="s">
        <v>31</v>
      </c>
      <c r="F844" s="4" t="s">
        <v>25</v>
      </c>
      <c r="G844" s="4" t="s">
        <v>25</v>
      </c>
      <c r="H844" s="4" t="s">
        <v>25</v>
      </c>
      <c r="I844" s="5">
        <v>44774</v>
      </c>
      <c r="J844" s="6">
        <v>0</v>
      </c>
      <c r="K844" s="6">
        <v>0</v>
      </c>
      <c r="L844" s="6">
        <v>-5.0999999999999997E-2</v>
      </c>
      <c r="M844" s="6">
        <v>-5.0999999999999997E-2</v>
      </c>
      <c r="N844" s="6">
        <v>-5.0999999999999997E-2</v>
      </c>
      <c r="O844" s="6">
        <v>-5.0999999999999997E-2</v>
      </c>
      <c r="P844" s="6">
        <v>0</v>
      </c>
      <c r="Q844" s="4" t="s">
        <v>26</v>
      </c>
      <c r="R844" s="4">
        <v>0</v>
      </c>
      <c r="S844" s="6">
        <v>0</v>
      </c>
      <c r="T844" s="6">
        <v>41</v>
      </c>
      <c r="U844" s="6">
        <v>78</v>
      </c>
      <c r="V844" s="6">
        <f>IF(ISERROR(VLOOKUP($S$844,'TAR FIN'!$A$1:$O$113,15,0)),0,VLOOKUP($S$844,'TAR FIN'!$A$1:$O$113,15,0))</f>
        <v>0</v>
      </c>
      <c r="W844" s="6">
        <f>IF(ISERROR(VLOOKUP($T$844,'TAR FIN'!$A$1:$O$113,15,0)),0,VLOOKUP($T$844,'TAR FIN'!$A$1:$O$113,15,0))</f>
        <v>203.29</v>
      </c>
      <c r="X844" s="6">
        <f>IF(ISERROR(VLOOKUP($U$844,'TAR FIN'!$A$1:$O$113,15,0)),0,VLOOKUP($U$844,'TAR FIN'!$A$1:$O$113,15,0))</f>
        <v>263.12</v>
      </c>
      <c r="Y844" s="6"/>
      <c r="Z844" s="6">
        <f ca="1">('TUSD BE'!$AM$43+'TUSD BF_350'!$AM$43+'TUSD CVA'!$AM$43-('TUSD BE'!$P$43+'TUSD BF_350'!$P$43+'TUSD CVA'!$P$43)-('TUSD BE'!$Q$43+'TUSD BF_350'!$Q$43+'TUSD CVA'!$Q$43)-('TUSD BE'!$R$43+'TUSD BF_350'!$R$43+'TUSD CVA'!$R$43))*(1-CUSTOS!$M$36)</f>
        <v>271.233</v>
      </c>
      <c r="AA844" s="6">
        <f ca="1">('TE BE'!$AB$21+'TE BF_350'!$AB$21+'TE CVA'!$AB$21)*(1-CUSTOS!$M$36)</f>
        <v>219.6</v>
      </c>
      <c r="AB844" s="6">
        <f>$K$844*$V$844</f>
        <v>0</v>
      </c>
      <c r="AC844" s="6">
        <f>$M$844*$W$844</f>
        <v>-10.367789999999999</v>
      </c>
      <c r="AD844" s="6">
        <f>$O$844*$X$844</f>
        <v>-13.419119999999999</v>
      </c>
      <c r="AE844" s="6">
        <f>$K$844*$Y$844</f>
        <v>0</v>
      </c>
      <c r="AF844" s="6">
        <f ca="1">$M$844*$Z$844</f>
        <v>-13.832882999999999</v>
      </c>
      <c r="AG844" s="6">
        <f ca="1">$O$844*$AA$844</f>
        <v>-11.199599999999998</v>
      </c>
    </row>
    <row r="845" spans="1:33" ht="11.25" customHeight="1" x14ac:dyDescent="0.3">
      <c r="A845" s="4" t="s">
        <v>21</v>
      </c>
      <c r="B845" s="4" t="s">
        <v>22</v>
      </c>
      <c r="C845" s="4" t="s">
        <v>23</v>
      </c>
      <c r="D845" s="4" t="s">
        <v>24</v>
      </c>
      <c r="E845" s="4" t="s">
        <v>31</v>
      </c>
      <c r="F845" s="4" t="s">
        <v>25</v>
      </c>
      <c r="G845" s="4" t="s">
        <v>25</v>
      </c>
      <c r="H845" s="4" t="s">
        <v>25</v>
      </c>
      <c r="I845" s="5">
        <v>44805</v>
      </c>
      <c r="J845" s="6">
        <v>0</v>
      </c>
      <c r="K845" s="6">
        <v>0</v>
      </c>
      <c r="L845" s="6">
        <v>307.63299999999998</v>
      </c>
      <c r="M845" s="6">
        <v>307.63299999999998</v>
      </c>
      <c r="N845" s="6">
        <v>307.63299999999998</v>
      </c>
      <c r="O845" s="6">
        <v>307.63299999999998</v>
      </c>
      <c r="P845" s="6">
        <v>3223</v>
      </c>
      <c r="Q845" s="4" t="s">
        <v>26</v>
      </c>
      <c r="R845" s="4">
        <v>0</v>
      </c>
      <c r="S845" s="6">
        <v>0</v>
      </c>
      <c r="T845" s="6">
        <v>41</v>
      </c>
      <c r="U845" s="6">
        <v>78</v>
      </c>
      <c r="V845" s="6">
        <f>IF(ISERROR(VLOOKUP($S$845,'TAR FIN'!$A$1:$O$113,15,0)),0,VLOOKUP($S$845,'TAR FIN'!$A$1:$O$113,15,0))</f>
        <v>0</v>
      </c>
      <c r="W845" s="6">
        <f>IF(ISERROR(VLOOKUP($T$845,'TAR FIN'!$A$1:$O$113,15,0)),0,VLOOKUP($T$845,'TAR FIN'!$A$1:$O$113,15,0))</f>
        <v>203.29</v>
      </c>
      <c r="X845" s="6">
        <f>IF(ISERROR(VLOOKUP($U$845,'TAR FIN'!$A$1:$O$113,15,0)),0,VLOOKUP($U$845,'TAR FIN'!$A$1:$O$113,15,0))</f>
        <v>263.12</v>
      </c>
      <c r="Y845" s="6"/>
      <c r="Z845" s="6">
        <f ca="1">('TUSD BE'!$AM$43+'TUSD BF_350'!$AM$43+'TUSD CVA'!$AM$43-('TUSD BE'!$P$43+'TUSD BF_350'!$P$43+'TUSD CVA'!$P$43)-('TUSD BE'!$Q$43+'TUSD BF_350'!$Q$43+'TUSD CVA'!$Q$43)-('TUSD BE'!$R$43+'TUSD BF_350'!$R$43+'TUSD CVA'!$R$43))*(1-CUSTOS!$M$36)</f>
        <v>271.233</v>
      </c>
      <c r="AA845" s="6">
        <f ca="1">('TE BE'!$AB$21+'TE BF_350'!$AB$21+'TE CVA'!$AB$21)*(1-CUSTOS!$M$36)</f>
        <v>219.6</v>
      </c>
      <c r="AB845" s="6">
        <f>$K$845*$V$845</f>
        <v>0</v>
      </c>
      <c r="AC845" s="6">
        <f>$M$845*$W$845</f>
        <v>62538.712569999996</v>
      </c>
      <c r="AD845" s="6">
        <f>$O$845*$X$845</f>
        <v>80944.394959999991</v>
      </c>
      <c r="AE845" s="6">
        <f>$K$845*$Y$845</f>
        <v>0</v>
      </c>
      <c r="AF845" s="6">
        <f ca="1">$M$845*$Z$845</f>
        <v>83440.221489000003</v>
      </c>
      <c r="AG845" s="6">
        <f ca="1">$O$845*$AA$845</f>
        <v>67556.2068</v>
      </c>
    </row>
    <row r="846" spans="1:33" ht="11.25" customHeight="1" x14ac:dyDescent="0.3">
      <c r="A846" s="4" t="s">
        <v>27</v>
      </c>
      <c r="B846" s="4" t="s">
        <v>22</v>
      </c>
      <c r="C846" s="4" t="s">
        <v>23</v>
      </c>
      <c r="D846" s="4" t="s">
        <v>24</v>
      </c>
      <c r="E846" s="4" t="s">
        <v>31</v>
      </c>
      <c r="F846" s="4" t="s">
        <v>25</v>
      </c>
      <c r="G846" s="4" t="s">
        <v>25</v>
      </c>
      <c r="H846" s="4" t="s">
        <v>25</v>
      </c>
      <c r="I846" s="5">
        <v>44805</v>
      </c>
      <c r="J846" s="6">
        <v>0</v>
      </c>
      <c r="K846" s="6">
        <v>0</v>
      </c>
      <c r="L846" s="6">
        <v>-7.4999999999999997E-2</v>
      </c>
      <c r="M846" s="6">
        <v>-7.4999999999999997E-2</v>
      </c>
      <c r="N846" s="6">
        <v>-7.4999999999999997E-2</v>
      </c>
      <c r="O846" s="6">
        <v>-7.4999999999999997E-2</v>
      </c>
      <c r="P846" s="6">
        <v>0</v>
      </c>
      <c r="Q846" s="4" t="s">
        <v>26</v>
      </c>
      <c r="R846" s="4">
        <v>0</v>
      </c>
      <c r="S846" s="6">
        <v>0</v>
      </c>
      <c r="T846" s="6">
        <v>41</v>
      </c>
      <c r="U846" s="6">
        <v>78</v>
      </c>
      <c r="V846" s="6">
        <f>IF(ISERROR(VLOOKUP($S$846,'TAR FIN'!$A$1:$O$113,15,0)),0,VLOOKUP($S$846,'TAR FIN'!$A$1:$O$113,15,0))</f>
        <v>0</v>
      </c>
      <c r="W846" s="6">
        <f>IF(ISERROR(VLOOKUP($T$846,'TAR FIN'!$A$1:$O$113,15,0)),0,VLOOKUP($T$846,'TAR FIN'!$A$1:$O$113,15,0))</f>
        <v>203.29</v>
      </c>
      <c r="X846" s="6">
        <f>IF(ISERROR(VLOOKUP($U$846,'TAR FIN'!$A$1:$O$113,15,0)),0,VLOOKUP($U$846,'TAR FIN'!$A$1:$O$113,15,0))</f>
        <v>263.12</v>
      </c>
      <c r="Y846" s="6"/>
      <c r="Z846" s="6">
        <f ca="1">('TUSD BE'!$AM$43+'TUSD BF_350'!$AM$43+'TUSD CVA'!$AM$43-('TUSD BE'!$P$43+'TUSD BF_350'!$P$43+'TUSD CVA'!$P$43)-('TUSD BE'!$Q$43+'TUSD BF_350'!$Q$43+'TUSD CVA'!$Q$43)-('TUSD BE'!$R$43+'TUSD BF_350'!$R$43+'TUSD CVA'!$R$43))*(1-CUSTOS!$M$36)</f>
        <v>271.233</v>
      </c>
      <c r="AA846" s="6">
        <f ca="1">('TE BE'!$AB$21+'TE BF_350'!$AB$21+'TE CVA'!$AB$21)*(1-CUSTOS!$M$36)</f>
        <v>219.6</v>
      </c>
      <c r="AB846" s="6">
        <f>$K$846*$V$846</f>
        <v>0</v>
      </c>
      <c r="AC846" s="6">
        <f>$M$846*$W$846</f>
        <v>-15.246749999999999</v>
      </c>
      <c r="AD846" s="6">
        <f>$O$846*$X$846</f>
        <v>-19.733999999999998</v>
      </c>
      <c r="AE846" s="6">
        <f>$K$846*$Y$846</f>
        <v>0</v>
      </c>
      <c r="AF846" s="6">
        <f ca="1">$M$846*$Z$846</f>
        <v>-20.342475</v>
      </c>
      <c r="AG846" s="6">
        <f ca="1">$O$846*$AA$846</f>
        <v>-16.47</v>
      </c>
    </row>
    <row r="847" spans="1:33" ht="11.25" customHeight="1" x14ac:dyDescent="0.3">
      <c r="A847" s="4" t="s">
        <v>28</v>
      </c>
      <c r="B847" s="4" t="s">
        <v>22</v>
      </c>
      <c r="C847" s="4" t="s">
        <v>23</v>
      </c>
      <c r="D847" s="4" t="s">
        <v>24</v>
      </c>
      <c r="E847" s="4" t="s">
        <v>31</v>
      </c>
      <c r="F847" s="4" t="s">
        <v>25</v>
      </c>
      <c r="G847" s="4" t="s">
        <v>25</v>
      </c>
      <c r="H847" s="4" t="s">
        <v>25</v>
      </c>
      <c r="I847" s="5">
        <v>44805</v>
      </c>
      <c r="J847" s="6">
        <v>0</v>
      </c>
      <c r="K847" s="6">
        <v>0</v>
      </c>
      <c r="L847" s="6">
        <v>0.114</v>
      </c>
      <c r="M847" s="6">
        <v>0.1026</v>
      </c>
      <c r="N847" s="6">
        <v>0.114</v>
      </c>
      <c r="O847" s="6">
        <v>0.1026</v>
      </c>
      <c r="P847" s="6">
        <v>1</v>
      </c>
      <c r="Q847" s="4" t="s">
        <v>26</v>
      </c>
      <c r="R847" s="4">
        <v>0</v>
      </c>
      <c r="S847" s="6">
        <v>0</v>
      </c>
      <c r="T847" s="6">
        <v>41</v>
      </c>
      <c r="U847" s="6">
        <v>78</v>
      </c>
      <c r="V847" s="6">
        <f>IF(ISERROR(VLOOKUP($S$847,'TAR FIN'!$A$1:$O$113,15,0)),0,VLOOKUP($S$847,'TAR FIN'!$A$1:$O$113,15,0))</f>
        <v>0</v>
      </c>
      <c r="W847" s="6">
        <f>IF(ISERROR(VLOOKUP($T$847,'TAR FIN'!$A$1:$O$113,15,0)),0,VLOOKUP($T$847,'TAR FIN'!$A$1:$O$113,15,0))</f>
        <v>203.29</v>
      </c>
      <c r="X847" s="6">
        <f>IF(ISERROR(VLOOKUP($U$847,'TAR FIN'!$A$1:$O$113,15,0)),0,VLOOKUP($U$847,'TAR FIN'!$A$1:$O$113,15,0))</f>
        <v>263.12</v>
      </c>
      <c r="Y847" s="6"/>
      <c r="Z847" s="6">
        <f ca="1">('TUSD BE'!$AM$43+'TUSD BF_350'!$AM$43+'TUSD CVA'!$AM$43-('TUSD BE'!$P$43+'TUSD BF_350'!$P$43+'TUSD CVA'!$P$43)-('TUSD BE'!$Q$43+'TUSD BF_350'!$Q$43+'TUSD CVA'!$Q$43)-('TUSD BE'!$R$43+'TUSD BF_350'!$R$43+'TUSD CVA'!$R$43))*(1-CUSTOS!$M$36)</f>
        <v>271.233</v>
      </c>
      <c r="AA847" s="6">
        <f ca="1">('TE BE'!$AB$21+'TE BF_350'!$AB$21+'TE CVA'!$AB$21)*(1-CUSTOS!$M$36)</f>
        <v>219.6</v>
      </c>
      <c r="AB847" s="6">
        <f>$K$847*$V$847</f>
        <v>0</v>
      </c>
      <c r="AC847" s="6">
        <f>$M$847*$W$847</f>
        <v>20.857553999999997</v>
      </c>
      <c r="AD847" s="6">
        <f>$O$847*$X$847</f>
        <v>26.996112</v>
      </c>
      <c r="AE847" s="6">
        <f>$K$847*$Y$847</f>
        <v>0</v>
      </c>
      <c r="AF847" s="6">
        <f ca="1">$M$847*$Z$847</f>
        <v>27.828505799999999</v>
      </c>
      <c r="AG847" s="6">
        <f ca="1">$O$847*$AA$847</f>
        <v>22.53096</v>
      </c>
    </row>
    <row r="848" spans="1:33" ht="11.25" customHeight="1" x14ac:dyDescent="0.3">
      <c r="A848" s="4" t="s">
        <v>53</v>
      </c>
      <c r="B848" s="4" t="s">
        <v>22</v>
      </c>
      <c r="C848" s="4" t="s">
        <v>23</v>
      </c>
      <c r="D848" s="4" t="s">
        <v>24</v>
      </c>
      <c r="E848" s="4" t="s">
        <v>31</v>
      </c>
      <c r="F848" s="4" t="s">
        <v>25</v>
      </c>
      <c r="G848" s="4" t="s">
        <v>25</v>
      </c>
      <c r="H848" s="4" t="s">
        <v>25</v>
      </c>
      <c r="I848" s="5">
        <v>44835</v>
      </c>
      <c r="J848" s="6">
        <v>0</v>
      </c>
      <c r="K848" s="6">
        <v>0</v>
      </c>
      <c r="L848" s="6">
        <v>307.63299999999998</v>
      </c>
      <c r="M848" s="6">
        <v>307.63299999999998</v>
      </c>
      <c r="N848" s="6">
        <v>307.63299999999998</v>
      </c>
      <c r="O848" s="6">
        <v>307.63299999999998</v>
      </c>
      <c r="P848" s="6">
        <v>3223</v>
      </c>
      <c r="Q848" s="4" t="s">
        <v>26</v>
      </c>
      <c r="R848" s="4">
        <v>0</v>
      </c>
      <c r="S848" s="6">
        <v>0</v>
      </c>
      <c r="T848" s="6">
        <v>41</v>
      </c>
      <c r="U848" s="6">
        <v>78</v>
      </c>
      <c r="V848" s="6">
        <f>IF(ISERROR(VLOOKUP($S$848,'TAR FIN'!$A$1:$O$113,15,0)),0,VLOOKUP($S$848,'TAR FIN'!$A$1:$O$113,15,0))</f>
        <v>0</v>
      </c>
      <c r="W848" s="6">
        <f>IF(ISERROR(VLOOKUP($T$848,'TAR FIN'!$A$1:$O$113,15,0)),0,VLOOKUP($T$848,'TAR FIN'!$A$1:$O$113,15,0))</f>
        <v>203.29</v>
      </c>
      <c r="X848" s="6">
        <f>IF(ISERROR(VLOOKUP($U$848,'TAR FIN'!$A$1:$O$113,15,0)),0,VLOOKUP($U$848,'TAR FIN'!$A$1:$O$113,15,0))</f>
        <v>263.12</v>
      </c>
      <c r="Y848" s="6"/>
      <c r="Z848" s="6">
        <f ca="1">('TUSD BE'!$AM$43+'TUSD BF_350'!$AM$43+'TUSD CVA'!$AM$43-('TUSD BE'!$P$43+'TUSD BF_350'!$P$43+'TUSD CVA'!$P$43)-('TUSD BE'!$Q$43+'TUSD BF_350'!$Q$43+'TUSD CVA'!$Q$43)-('TUSD BE'!$R$43+'TUSD BF_350'!$R$43+'TUSD CVA'!$R$43))*(1-CUSTOS!$M$36)</f>
        <v>271.233</v>
      </c>
      <c r="AA848" s="6">
        <f ca="1">('TE BE'!$AB$21+'TE BF_350'!$AB$21+'TE CVA'!$AB$21)*(1-CUSTOS!$M$36)</f>
        <v>219.6</v>
      </c>
      <c r="AB848" s="6">
        <f>$K$848*$V$848</f>
        <v>0</v>
      </c>
      <c r="AC848" s="6">
        <f>$M$848*$W$848</f>
        <v>62538.712569999996</v>
      </c>
      <c r="AD848" s="6">
        <f>$O$848*$X$848</f>
        <v>80944.394959999991</v>
      </c>
      <c r="AE848" s="6">
        <f>$K$848*$Y$848</f>
        <v>0</v>
      </c>
      <c r="AF848" s="6">
        <f ca="1">$M$848*$Z$848</f>
        <v>83440.221489000003</v>
      </c>
      <c r="AG848" s="6">
        <f ca="1">$O$848*$AA$848</f>
        <v>67556.2068</v>
      </c>
    </row>
    <row r="849" spans="1:33" ht="11.25" customHeight="1" x14ac:dyDescent="0.3">
      <c r="A849" s="4" t="s">
        <v>53</v>
      </c>
      <c r="B849" s="4" t="s">
        <v>22</v>
      </c>
      <c r="C849" s="4" t="s">
        <v>23</v>
      </c>
      <c r="D849" s="4" t="s">
        <v>24</v>
      </c>
      <c r="E849" s="4" t="s">
        <v>31</v>
      </c>
      <c r="F849" s="4" t="s">
        <v>25</v>
      </c>
      <c r="G849" s="4" t="s">
        <v>25</v>
      </c>
      <c r="H849" s="4" t="s">
        <v>25</v>
      </c>
      <c r="I849" s="5">
        <v>44835</v>
      </c>
      <c r="J849" s="6">
        <v>0</v>
      </c>
      <c r="K849" s="6">
        <v>0</v>
      </c>
      <c r="L849" s="6">
        <v>-7.4999999999999997E-2</v>
      </c>
      <c r="M849" s="6">
        <v>-7.4999999999999997E-2</v>
      </c>
      <c r="N849" s="6">
        <v>-7.4999999999999997E-2</v>
      </c>
      <c r="O849" s="6">
        <v>-7.4999999999999997E-2</v>
      </c>
      <c r="P849" s="6">
        <v>0</v>
      </c>
      <c r="Q849" s="4" t="s">
        <v>26</v>
      </c>
      <c r="R849" s="4">
        <v>0</v>
      </c>
      <c r="S849" s="6">
        <v>0</v>
      </c>
      <c r="T849" s="6">
        <v>41</v>
      </c>
      <c r="U849" s="6">
        <v>78</v>
      </c>
      <c r="V849" s="6">
        <f>IF(ISERROR(VLOOKUP($S$849,'TAR FIN'!$A$1:$O$113,15,0)),0,VLOOKUP($S$849,'TAR FIN'!$A$1:$O$113,15,0))</f>
        <v>0</v>
      </c>
      <c r="W849" s="6">
        <f>IF(ISERROR(VLOOKUP($T$849,'TAR FIN'!$A$1:$O$113,15,0)),0,VLOOKUP($T$849,'TAR FIN'!$A$1:$O$113,15,0))</f>
        <v>203.29</v>
      </c>
      <c r="X849" s="6">
        <f>IF(ISERROR(VLOOKUP($U$849,'TAR FIN'!$A$1:$O$113,15,0)),0,VLOOKUP($U$849,'TAR FIN'!$A$1:$O$113,15,0))</f>
        <v>263.12</v>
      </c>
      <c r="Y849" s="6"/>
      <c r="Z849" s="6">
        <f ca="1">('TUSD BE'!$AM$43+'TUSD BF_350'!$AM$43+'TUSD CVA'!$AM$43-('TUSD BE'!$P$43+'TUSD BF_350'!$P$43+'TUSD CVA'!$P$43)-('TUSD BE'!$Q$43+'TUSD BF_350'!$Q$43+'TUSD CVA'!$Q$43)-('TUSD BE'!$R$43+'TUSD BF_350'!$R$43+'TUSD CVA'!$R$43))*(1-CUSTOS!$M$36)</f>
        <v>271.233</v>
      </c>
      <c r="AA849" s="6">
        <f ca="1">('TE BE'!$AB$21+'TE BF_350'!$AB$21+'TE CVA'!$AB$21)*(1-CUSTOS!$M$36)</f>
        <v>219.6</v>
      </c>
      <c r="AB849" s="6">
        <f>$K$849*$V$849</f>
        <v>0</v>
      </c>
      <c r="AC849" s="6">
        <f>$M$849*$W$849</f>
        <v>-15.246749999999999</v>
      </c>
      <c r="AD849" s="6">
        <f>$O$849*$X$849</f>
        <v>-19.733999999999998</v>
      </c>
      <c r="AE849" s="6">
        <f>$K$849*$Y$849</f>
        <v>0</v>
      </c>
      <c r="AF849" s="6">
        <f ca="1">$M$849*$Z$849</f>
        <v>-20.342475</v>
      </c>
      <c r="AG849" s="6">
        <f ca="1">$O$849*$AA$849</f>
        <v>-16.47</v>
      </c>
    </row>
    <row r="850" spans="1:33" ht="11.25" customHeight="1" x14ac:dyDescent="0.3">
      <c r="A850" s="4" t="s">
        <v>53</v>
      </c>
      <c r="B850" s="4" t="s">
        <v>22</v>
      </c>
      <c r="C850" s="4" t="s">
        <v>23</v>
      </c>
      <c r="D850" s="4" t="s">
        <v>24</v>
      </c>
      <c r="E850" s="4" t="s">
        <v>31</v>
      </c>
      <c r="F850" s="4" t="s">
        <v>25</v>
      </c>
      <c r="G850" s="4" t="s">
        <v>25</v>
      </c>
      <c r="H850" s="4" t="s">
        <v>25</v>
      </c>
      <c r="I850" s="5">
        <v>44835</v>
      </c>
      <c r="J850" s="6">
        <v>0</v>
      </c>
      <c r="K850" s="6">
        <v>0</v>
      </c>
      <c r="L850" s="6">
        <v>0.114</v>
      </c>
      <c r="M850" s="6">
        <v>0.1026</v>
      </c>
      <c r="N850" s="6">
        <v>0.114</v>
      </c>
      <c r="O850" s="6">
        <v>0.1026</v>
      </c>
      <c r="P850" s="6">
        <v>1</v>
      </c>
      <c r="Q850" s="4" t="s">
        <v>26</v>
      </c>
      <c r="R850" s="4">
        <v>0</v>
      </c>
      <c r="S850" s="6">
        <v>0</v>
      </c>
      <c r="T850" s="6">
        <v>41</v>
      </c>
      <c r="U850" s="6">
        <v>78</v>
      </c>
      <c r="V850" s="6">
        <f>IF(ISERROR(VLOOKUP($S$850,'TAR FIN'!$A$1:$O$113,15,0)),0,VLOOKUP($S$850,'TAR FIN'!$A$1:$O$113,15,0))</f>
        <v>0</v>
      </c>
      <c r="W850" s="6">
        <f>IF(ISERROR(VLOOKUP($T$850,'TAR FIN'!$A$1:$O$113,15,0)),0,VLOOKUP($T$850,'TAR FIN'!$A$1:$O$113,15,0))</f>
        <v>203.29</v>
      </c>
      <c r="X850" s="6">
        <f>IF(ISERROR(VLOOKUP($U$850,'TAR FIN'!$A$1:$O$113,15,0)),0,VLOOKUP($U$850,'TAR FIN'!$A$1:$O$113,15,0))</f>
        <v>263.12</v>
      </c>
      <c r="Y850" s="6"/>
      <c r="Z850" s="6">
        <f ca="1">('TUSD BE'!$AM$43+'TUSD BF_350'!$AM$43+'TUSD CVA'!$AM$43-('TUSD BE'!$P$43+'TUSD BF_350'!$P$43+'TUSD CVA'!$P$43)-('TUSD BE'!$Q$43+'TUSD BF_350'!$Q$43+'TUSD CVA'!$Q$43)-('TUSD BE'!$R$43+'TUSD BF_350'!$R$43+'TUSD CVA'!$R$43))*(1-CUSTOS!$M$36)</f>
        <v>271.233</v>
      </c>
      <c r="AA850" s="6">
        <f ca="1">('TE BE'!$AB$21+'TE BF_350'!$AB$21+'TE CVA'!$AB$21)*(1-CUSTOS!$M$36)</f>
        <v>219.6</v>
      </c>
      <c r="AB850" s="6">
        <f>$K$850*$V$850</f>
        <v>0</v>
      </c>
      <c r="AC850" s="6">
        <f>$M$850*$W$850</f>
        <v>20.857553999999997</v>
      </c>
      <c r="AD850" s="6">
        <f>$O$850*$X$850</f>
        <v>26.996112</v>
      </c>
      <c r="AE850" s="6">
        <f>$K$850*$Y$850</f>
        <v>0</v>
      </c>
      <c r="AF850" s="6">
        <f ca="1">$M$850*$Z$850</f>
        <v>27.828505799999999</v>
      </c>
      <c r="AG850" s="6">
        <f ca="1">$O$850*$AA$850</f>
        <v>22.53096</v>
      </c>
    </row>
    <row r="851" spans="1:33" ht="11.25" customHeight="1" x14ac:dyDescent="0.3">
      <c r="A851" s="4" t="s">
        <v>21</v>
      </c>
      <c r="B851" s="4" t="s">
        <v>22</v>
      </c>
      <c r="C851" s="4" t="s">
        <v>23</v>
      </c>
      <c r="D851" s="4" t="s">
        <v>24</v>
      </c>
      <c r="E851" s="4" t="s">
        <v>32</v>
      </c>
      <c r="F851" s="4" t="s">
        <v>25</v>
      </c>
      <c r="G851" s="4" t="s">
        <v>25</v>
      </c>
      <c r="H851" s="4" t="s">
        <v>25</v>
      </c>
      <c r="I851" s="5">
        <v>44501</v>
      </c>
      <c r="J851" s="6">
        <v>0</v>
      </c>
      <c r="K851" s="6">
        <v>0</v>
      </c>
      <c r="L851" s="6">
        <v>40.136000000000003</v>
      </c>
      <c r="M851" s="6">
        <v>40.136000000000003</v>
      </c>
      <c r="N851" s="6">
        <v>40.136000000000003</v>
      </c>
      <c r="O851" s="6">
        <v>40.136000000000003</v>
      </c>
      <c r="P851" s="6">
        <v>707</v>
      </c>
      <c r="Q851" s="4" t="s">
        <v>26</v>
      </c>
      <c r="R851" s="4">
        <v>0</v>
      </c>
      <c r="S851" s="6">
        <v>0</v>
      </c>
      <c r="T851" s="6">
        <v>49</v>
      </c>
      <c r="U851" s="6">
        <v>55</v>
      </c>
      <c r="V851" s="6">
        <f>IF(ISERROR(VLOOKUP($S$851,'TAR FIN'!$A$1:$O$113,15,0)),0,VLOOKUP($S$851,'TAR FIN'!$A$1:$O$113,15,0))</f>
        <v>0</v>
      </c>
      <c r="W851" s="6">
        <f>IF(ISERROR(VLOOKUP($T$851,'TAR FIN'!$A$1:$O$113,15,0)),0,VLOOKUP($T$851,'TAR FIN'!$A$1:$O$113,15,0))</f>
        <v>225.87</v>
      </c>
      <c r="X851" s="6">
        <f>IF(ISERROR(VLOOKUP($U$851,'TAR FIN'!$A$1:$O$113,15,0)),0,VLOOKUP($U$851,'TAR FIN'!$A$1:$O$113,15,0))</f>
        <v>292.36</v>
      </c>
      <c r="Y851" s="6"/>
      <c r="Z851" s="6">
        <f ca="1">('TUSD BE'!$AM$44+'TUSD BF_350'!$AM$44+'TUSD CVA'!$AM$44-('TUSD BE'!$P$44+'TUSD BF_350'!$P$44+'TUSD CVA'!$P$44)-('TUSD BE'!$Q$44+'TUSD BF_350'!$Q$44+'TUSD CVA'!$Q$44)-('TUSD BE'!$R$44+'TUSD BF_350'!$R$44+'TUSD CVA'!$R$44))*(1-CUSTOS!$M$37)</f>
        <v>301.37</v>
      </c>
      <c r="AA851" s="6">
        <f ca="1">('TE BE'!$AB$22+'TE BF_350'!$AB$22+'TE CVA'!$AB$22)*(1-CUSTOS!$M$37)</f>
        <v>244</v>
      </c>
      <c r="AB851" s="6">
        <f>$K$851*$V$851</f>
        <v>0</v>
      </c>
      <c r="AC851" s="6">
        <f>$M$851*$W$851</f>
        <v>9065.518320000001</v>
      </c>
      <c r="AD851" s="6">
        <f>$O$851*$X$851</f>
        <v>11734.160960000001</v>
      </c>
      <c r="AE851" s="6">
        <f>$K$851*$Y$851</f>
        <v>0</v>
      </c>
      <c r="AF851" s="6">
        <f ca="1">$M$851*$Z$851</f>
        <v>12095.786320000001</v>
      </c>
      <c r="AG851" s="6">
        <f ca="1">$O$851*$AA$851</f>
        <v>9793.1840000000011</v>
      </c>
    </row>
    <row r="852" spans="1:33" ht="11.25" customHeight="1" x14ac:dyDescent="0.3">
      <c r="A852" s="4" t="s">
        <v>27</v>
      </c>
      <c r="B852" s="4" t="s">
        <v>22</v>
      </c>
      <c r="C852" s="4" t="s">
        <v>23</v>
      </c>
      <c r="D852" s="4" t="s">
        <v>24</v>
      </c>
      <c r="E852" s="4" t="s">
        <v>32</v>
      </c>
      <c r="F852" s="4" t="s">
        <v>25</v>
      </c>
      <c r="G852" s="4" t="s">
        <v>25</v>
      </c>
      <c r="H852" s="4" t="s">
        <v>25</v>
      </c>
      <c r="I852" s="5">
        <v>44501</v>
      </c>
      <c r="J852" s="6">
        <v>0</v>
      </c>
      <c r="K852" s="6">
        <v>0</v>
      </c>
      <c r="L852" s="6">
        <v>-0.185</v>
      </c>
      <c r="M852" s="6">
        <v>-0.185</v>
      </c>
      <c r="N852" s="6">
        <v>-0.185</v>
      </c>
      <c r="O852" s="6">
        <v>-0.185</v>
      </c>
      <c r="P852" s="6">
        <v>0</v>
      </c>
      <c r="Q852" s="4" t="s">
        <v>26</v>
      </c>
      <c r="R852" s="4">
        <v>0</v>
      </c>
      <c r="S852" s="6">
        <v>0</v>
      </c>
      <c r="T852" s="6">
        <v>49</v>
      </c>
      <c r="U852" s="6">
        <v>55</v>
      </c>
      <c r="V852" s="6">
        <f>IF(ISERROR(VLOOKUP($S$852,'TAR FIN'!$A$1:$O$113,15,0)),0,VLOOKUP($S$852,'TAR FIN'!$A$1:$O$113,15,0))</f>
        <v>0</v>
      </c>
      <c r="W852" s="6">
        <f>IF(ISERROR(VLOOKUP($T$852,'TAR FIN'!$A$1:$O$113,15,0)),0,VLOOKUP($T$852,'TAR FIN'!$A$1:$O$113,15,0))</f>
        <v>225.87</v>
      </c>
      <c r="X852" s="6">
        <f>IF(ISERROR(VLOOKUP($U$852,'TAR FIN'!$A$1:$O$113,15,0)),0,VLOOKUP($U$852,'TAR FIN'!$A$1:$O$113,15,0))</f>
        <v>292.36</v>
      </c>
      <c r="Y852" s="6"/>
      <c r="Z852" s="6">
        <f ca="1">('TUSD BE'!$AM$44+'TUSD BF_350'!$AM$44+'TUSD CVA'!$AM$44-('TUSD BE'!$P$44+'TUSD BF_350'!$P$44+'TUSD CVA'!$P$44)-('TUSD BE'!$Q$44+'TUSD BF_350'!$Q$44+'TUSD CVA'!$Q$44)-('TUSD BE'!$R$44+'TUSD BF_350'!$R$44+'TUSD CVA'!$R$44))*(1-CUSTOS!$M$37)</f>
        <v>301.37</v>
      </c>
      <c r="AA852" s="6">
        <f ca="1">('TE BE'!$AB$22+'TE BF_350'!$AB$22+'TE CVA'!$AB$22)*(1-CUSTOS!$M$37)</f>
        <v>244</v>
      </c>
      <c r="AB852" s="6">
        <f>$K$852*$V$852</f>
        <v>0</v>
      </c>
      <c r="AC852" s="6">
        <f>$M$852*$W$852</f>
        <v>-41.78595</v>
      </c>
      <c r="AD852" s="6">
        <f>$O$852*$X$852</f>
        <v>-54.086600000000004</v>
      </c>
      <c r="AE852" s="6">
        <f>$K$852*$Y$852</f>
        <v>0</v>
      </c>
      <c r="AF852" s="6">
        <f ca="1">$M$852*$Z$852</f>
        <v>-55.753450000000001</v>
      </c>
      <c r="AG852" s="6">
        <f ca="1">$O$852*$AA$852</f>
        <v>-45.14</v>
      </c>
    </row>
    <row r="853" spans="1:33" ht="11.25" customHeight="1" x14ac:dyDescent="0.3">
      <c r="A853" s="4" t="s">
        <v>21</v>
      </c>
      <c r="B853" s="4" t="s">
        <v>22</v>
      </c>
      <c r="C853" s="4" t="s">
        <v>23</v>
      </c>
      <c r="D853" s="4" t="s">
        <v>24</v>
      </c>
      <c r="E853" s="4" t="s">
        <v>32</v>
      </c>
      <c r="F853" s="4" t="s">
        <v>25</v>
      </c>
      <c r="G853" s="4" t="s">
        <v>25</v>
      </c>
      <c r="H853" s="4" t="s">
        <v>25</v>
      </c>
      <c r="I853" s="5">
        <v>44531</v>
      </c>
      <c r="J853" s="6">
        <v>0</v>
      </c>
      <c r="K853" s="6">
        <v>0</v>
      </c>
      <c r="L853" s="6">
        <v>35.610999999999997</v>
      </c>
      <c r="M853" s="6">
        <v>35.610999999999997</v>
      </c>
      <c r="N853" s="6">
        <v>35.610999999999997</v>
      </c>
      <c r="O853" s="6">
        <v>35.610999999999997</v>
      </c>
      <c r="P853" s="6">
        <v>603</v>
      </c>
      <c r="Q853" s="4" t="s">
        <v>26</v>
      </c>
      <c r="R853" s="4">
        <v>0</v>
      </c>
      <c r="S853" s="6">
        <v>0</v>
      </c>
      <c r="T853" s="6">
        <v>49</v>
      </c>
      <c r="U853" s="6">
        <v>55</v>
      </c>
      <c r="V853" s="6">
        <f>IF(ISERROR(VLOOKUP($S$853,'TAR FIN'!$A$1:$O$113,15,0)),0,VLOOKUP($S$853,'TAR FIN'!$A$1:$O$113,15,0))</f>
        <v>0</v>
      </c>
      <c r="W853" s="6">
        <f>IF(ISERROR(VLOOKUP($T$853,'TAR FIN'!$A$1:$O$113,15,0)),0,VLOOKUP($T$853,'TAR FIN'!$A$1:$O$113,15,0))</f>
        <v>225.87</v>
      </c>
      <c r="X853" s="6">
        <f>IF(ISERROR(VLOOKUP($U$853,'TAR FIN'!$A$1:$O$113,15,0)),0,VLOOKUP($U$853,'TAR FIN'!$A$1:$O$113,15,0))</f>
        <v>292.36</v>
      </c>
      <c r="Y853" s="6"/>
      <c r="Z853" s="6">
        <f ca="1">('TUSD BE'!$AM$44+'TUSD BF_350'!$AM$44+'TUSD CVA'!$AM$44-('TUSD BE'!$P$44+'TUSD BF_350'!$P$44+'TUSD CVA'!$P$44)-('TUSD BE'!$Q$44+'TUSD BF_350'!$Q$44+'TUSD CVA'!$Q$44)-('TUSD BE'!$R$44+'TUSD BF_350'!$R$44+'TUSD CVA'!$R$44))*(1-CUSTOS!$M$37)</f>
        <v>301.37</v>
      </c>
      <c r="AA853" s="6">
        <f ca="1">('TE BE'!$AB$22+'TE BF_350'!$AB$22+'TE CVA'!$AB$22)*(1-CUSTOS!$M$37)</f>
        <v>244</v>
      </c>
      <c r="AB853" s="6">
        <f>$K$853*$V$853</f>
        <v>0</v>
      </c>
      <c r="AC853" s="6">
        <f>$M$853*$W$853</f>
        <v>8043.4565699999994</v>
      </c>
      <c r="AD853" s="6">
        <f>$O$853*$X$853</f>
        <v>10411.231959999999</v>
      </c>
      <c r="AE853" s="6">
        <f>$K$853*$Y$853</f>
        <v>0</v>
      </c>
      <c r="AF853" s="6">
        <f ca="1">$M$853*$Z$853</f>
        <v>10732.08707</v>
      </c>
      <c r="AG853" s="6">
        <f ca="1">$O$853*$AA$853</f>
        <v>8689.0839999999989</v>
      </c>
    </row>
    <row r="854" spans="1:33" ht="11.25" customHeight="1" x14ac:dyDescent="0.3">
      <c r="A854" s="4" t="s">
        <v>27</v>
      </c>
      <c r="B854" s="4" t="s">
        <v>22</v>
      </c>
      <c r="C854" s="4" t="s">
        <v>23</v>
      </c>
      <c r="D854" s="4" t="s">
        <v>24</v>
      </c>
      <c r="E854" s="4" t="s">
        <v>32</v>
      </c>
      <c r="F854" s="4" t="s">
        <v>25</v>
      </c>
      <c r="G854" s="4" t="s">
        <v>25</v>
      </c>
      <c r="H854" s="4" t="s">
        <v>25</v>
      </c>
      <c r="I854" s="5">
        <v>44531</v>
      </c>
      <c r="J854" s="6">
        <v>0</v>
      </c>
      <c r="K854" s="6">
        <v>0</v>
      </c>
      <c r="L854" s="6">
        <v>-3.6999999999999998E-2</v>
      </c>
      <c r="M854" s="6">
        <v>-3.6999999999999998E-2</v>
      </c>
      <c r="N854" s="6">
        <v>-3.6999999999999998E-2</v>
      </c>
      <c r="O854" s="6">
        <v>-3.6999999999999998E-2</v>
      </c>
      <c r="P854" s="6">
        <v>0</v>
      </c>
      <c r="Q854" s="4" t="s">
        <v>26</v>
      </c>
      <c r="R854" s="4">
        <v>0</v>
      </c>
      <c r="S854" s="6">
        <v>0</v>
      </c>
      <c r="T854" s="6">
        <v>49</v>
      </c>
      <c r="U854" s="6">
        <v>55</v>
      </c>
      <c r="V854" s="6">
        <f>IF(ISERROR(VLOOKUP($S$854,'TAR FIN'!$A$1:$O$113,15,0)),0,VLOOKUP($S$854,'TAR FIN'!$A$1:$O$113,15,0))</f>
        <v>0</v>
      </c>
      <c r="W854" s="6">
        <f>IF(ISERROR(VLOOKUP($T$854,'TAR FIN'!$A$1:$O$113,15,0)),0,VLOOKUP($T$854,'TAR FIN'!$A$1:$O$113,15,0))</f>
        <v>225.87</v>
      </c>
      <c r="X854" s="6">
        <f>IF(ISERROR(VLOOKUP($U$854,'TAR FIN'!$A$1:$O$113,15,0)),0,VLOOKUP($U$854,'TAR FIN'!$A$1:$O$113,15,0))</f>
        <v>292.36</v>
      </c>
      <c r="Y854" s="6"/>
      <c r="Z854" s="6">
        <f ca="1">('TUSD BE'!$AM$44+'TUSD BF_350'!$AM$44+'TUSD CVA'!$AM$44-('TUSD BE'!$P$44+'TUSD BF_350'!$P$44+'TUSD CVA'!$P$44)-('TUSD BE'!$Q$44+'TUSD BF_350'!$Q$44+'TUSD CVA'!$Q$44)-('TUSD BE'!$R$44+'TUSD BF_350'!$R$44+'TUSD CVA'!$R$44))*(1-CUSTOS!$M$37)</f>
        <v>301.37</v>
      </c>
      <c r="AA854" s="6">
        <f ca="1">('TE BE'!$AB$22+'TE BF_350'!$AB$22+'TE CVA'!$AB$22)*(1-CUSTOS!$M$37)</f>
        <v>244</v>
      </c>
      <c r="AB854" s="6">
        <f>$K$854*$V$854</f>
        <v>0</v>
      </c>
      <c r="AC854" s="6">
        <f>$M$854*$W$854</f>
        <v>-8.3571899999999992</v>
      </c>
      <c r="AD854" s="6">
        <f>$O$854*$X$854</f>
        <v>-10.81732</v>
      </c>
      <c r="AE854" s="6">
        <f>$K$854*$Y$854</f>
        <v>0</v>
      </c>
      <c r="AF854" s="6">
        <f ca="1">$M$854*$Z$854</f>
        <v>-11.150689999999999</v>
      </c>
      <c r="AG854" s="6">
        <f ca="1">$O$854*$AA$854</f>
        <v>-9.0279999999999987</v>
      </c>
    </row>
    <row r="855" spans="1:33" ht="11.25" customHeight="1" x14ac:dyDescent="0.3">
      <c r="A855" s="4" t="s">
        <v>21</v>
      </c>
      <c r="B855" s="4" t="s">
        <v>22</v>
      </c>
      <c r="C855" s="4" t="s">
        <v>23</v>
      </c>
      <c r="D855" s="4" t="s">
        <v>24</v>
      </c>
      <c r="E855" s="4" t="s">
        <v>32</v>
      </c>
      <c r="F855" s="4" t="s">
        <v>25</v>
      </c>
      <c r="G855" s="4" t="s">
        <v>25</v>
      </c>
      <c r="H855" s="4" t="s">
        <v>25</v>
      </c>
      <c r="I855" s="5">
        <v>44562</v>
      </c>
      <c r="J855" s="6">
        <v>0</v>
      </c>
      <c r="K855" s="6">
        <v>0</v>
      </c>
      <c r="L855" s="6">
        <v>54.076999999999998</v>
      </c>
      <c r="M855" s="6">
        <v>54.076999999999998</v>
      </c>
      <c r="N855" s="6">
        <v>54.076999999999998</v>
      </c>
      <c r="O855" s="6">
        <v>54.076999999999998</v>
      </c>
      <c r="P855" s="6">
        <v>842</v>
      </c>
      <c r="Q855" s="4" t="s">
        <v>26</v>
      </c>
      <c r="R855" s="4">
        <v>0</v>
      </c>
      <c r="S855" s="6">
        <v>0</v>
      </c>
      <c r="T855" s="6">
        <v>49</v>
      </c>
      <c r="U855" s="6">
        <v>55</v>
      </c>
      <c r="V855" s="6">
        <f>IF(ISERROR(VLOOKUP($S$855,'TAR FIN'!$A$1:$O$113,15,0)),0,VLOOKUP($S$855,'TAR FIN'!$A$1:$O$113,15,0))</f>
        <v>0</v>
      </c>
      <c r="W855" s="6">
        <f>IF(ISERROR(VLOOKUP($T$855,'TAR FIN'!$A$1:$O$113,15,0)),0,VLOOKUP($T$855,'TAR FIN'!$A$1:$O$113,15,0))</f>
        <v>225.87</v>
      </c>
      <c r="X855" s="6">
        <f>IF(ISERROR(VLOOKUP($U$855,'TAR FIN'!$A$1:$O$113,15,0)),0,VLOOKUP($U$855,'TAR FIN'!$A$1:$O$113,15,0))</f>
        <v>292.36</v>
      </c>
      <c r="Y855" s="6"/>
      <c r="Z855" s="6">
        <f ca="1">('TUSD BE'!$AM$44+'TUSD BF_350'!$AM$44+'TUSD CVA'!$AM$44-('TUSD BE'!$P$44+'TUSD BF_350'!$P$44+'TUSD CVA'!$P$44)-('TUSD BE'!$Q$44+'TUSD BF_350'!$Q$44+'TUSD CVA'!$Q$44)-('TUSD BE'!$R$44+'TUSD BF_350'!$R$44+'TUSD CVA'!$R$44))*(1-CUSTOS!$M$37)</f>
        <v>301.37</v>
      </c>
      <c r="AA855" s="6">
        <f ca="1">('TE BE'!$AB$22+'TE BF_350'!$AB$22+'TE CVA'!$AB$22)*(1-CUSTOS!$M$37)</f>
        <v>244</v>
      </c>
      <c r="AB855" s="6">
        <f>$K$855*$V$855</f>
        <v>0</v>
      </c>
      <c r="AC855" s="6">
        <f>$M$855*$W$855</f>
        <v>12214.37199</v>
      </c>
      <c r="AD855" s="6">
        <f>$O$855*$X$855</f>
        <v>15809.951720000001</v>
      </c>
      <c r="AE855" s="6">
        <f>$K$855*$Y$855</f>
        <v>0</v>
      </c>
      <c r="AF855" s="6">
        <f ca="1">$M$855*$Z$855</f>
        <v>16297.18549</v>
      </c>
      <c r="AG855" s="6">
        <f ca="1">$O$855*$AA$855</f>
        <v>13194.788</v>
      </c>
    </row>
    <row r="856" spans="1:33" ht="11.25" customHeight="1" x14ac:dyDescent="0.3">
      <c r="A856" s="4" t="s">
        <v>27</v>
      </c>
      <c r="B856" s="4" t="s">
        <v>22</v>
      </c>
      <c r="C856" s="4" t="s">
        <v>23</v>
      </c>
      <c r="D856" s="4" t="s">
        <v>24</v>
      </c>
      <c r="E856" s="4" t="s">
        <v>32</v>
      </c>
      <c r="F856" s="4" t="s">
        <v>25</v>
      </c>
      <c r="G856" s="4" t="s">
        <v>25</v>
      </c>
      <c r="H856" s="4" t="s">
        <v>25</v>
      </c>
      <c r="I856" s="5">
        <v>44562</v>
      </c>
      <c r="J856" s="6">
        <v>0</v>
      </c>
      <c r="K856" s="6">
        <v>0</v>
      </c>
      <c r="L856" s="6">
        <v>-0.54900000000000004</v>
      </c>
      <c r="M856" s="6">
        <v>-0.54900000000000004</v>
      </c>
      <c r="N856" s="6">
        <v>-0.54900000000000004</v>
      </c>
      <c r="O856" s="6">
        <v>-0.54900000000000004</v>
      </c>
      <c r="P856" s="6">
        <v>0</v>
      </c>
      <c r="Q856" s="4" t="s">
        <v>26</v>
      </c>
      <c r="R856" s="4">
        <v>0</v>
      </c>
      <c r="S856" s="6">
        <v>0</v>
      </c>
      <c r="T856" s="6">
        <v>49</v>
      </c>
      <c r="U856" s="6">
        <v>55</v>
      </c>
      <c r="V856" s="6">
        <f>IF(ISERROR(VLOOKUP($S$856,'TAR FIN'!$A$1:$O$113,15,0)),0,VLOOKUP($S$856,'TAR FIN'!$A$1:$O$113,15,0))</f>
        <v>0</v>
      </c>
      <c r="W856" s="6">
        <f>IF(ISERROR(VLOOKUP($T$856,'TAR FIN'!$A$1:$O$113,15,0)),0,VLOOKUP($T$856,'TAR FIN'!$A$1:$O$113,15,0))</f>
        <v>225.87</v>
      </c>
      <c r="X856" s="6">
        <f>IF(ISERROR(VLOOKUP($U$856,'TAR FIN'!$A$1:$O$113,15,0)),0,VLOOKUP($U$856,'TAR FIN'!$A$1:$O$113,15,0))</f>
        <v>292.36</v>
      </c>
      <c r="Y856" s="6"/>
      <c r="Z856" s="6">
        <f ca="1">('TUSD BE'!$AM$44+'TUSD BF_350'!$AM$44+'TUSD CVA'!$AM$44-('TUSD BE'!$P$44+'TUSD BF_350'!$P$44+'TUSD CVA'!$P$44)-('TUSD BE'!$Q$44+'TUSD BF_350'!$Q$44+'TUSD CVA'!$Q$44)-('TUSD BE'!$R$44+'TUSD BF_350'!$R$44+'TUSD CVA'!$R$44))*(1-CUSTOS!$M$37)</f>
        <v>301.37</v>
      </c>
      <c r="AA856" s="6">
        <f ca="1">('TE BE'!$AB$22+'TE BF_350'!$AB$22+'TE CVA'!$AB$22)*(1-CUSTOS!$M$37)</f>
        <v>244</v>
      </c>
      <c r="AB856" s="6">
        <f>$K$856*$V$856</f>
        <v>0</v>
      </c>
      <c r="AC856" s="6">
        <f>$M$856*$W$856</f>
        <v>-124.00263000000001</v>
      </c>
      <c r="AD856" s="6">
        <f>$O$856*$X$856</f>
        <v>-160.50564000000003</v>
      </c>
      <c r="AE856" s="6">
        <f>$K$856*$Y$856</f>
        <v>0</v>
      </c>
      <c r="AF856" s="6">
        <f ca="1">$M$856*$Z$856</f>
        <v>-165.45213000000001</v>
      </c>
      <c r="AG856" s="6">
        <f ca="1">$O$856*$AA$856</f>
        <v>-133.95600000000002</v>
      </c>
    </row>
    <row r="857" spans="1:33" ht="11.25" customHeight="1" x14ac:dyDescent="0.3">
      <c r="A857" s="4" t="s">
        <v>21</v>
      </c>
      <c r="B857" s="4" t="s">
        <v>22</v>
      </c>
      <c r="C857" s="4" t="s">
        <v>23</v>
      </c>
      <c r="D857" s="4" t="s">
        <v>24</v>
      </c>
      <c r="E857" s="4" t="s">
        <v>32</v>
      </c>
      <c r="F857" s="4" t="s">
        <v>25</v>
      </c>
      <c r="G857" s="4" t="s">
        <v>25</v>
      </c>
      <c r="H857" s="4" t="s">
        <v>25</v>
      </c>
      <c r="I857" s="5">
        <v>44593</v>
      </c>
      <c r="J857" s="6">
        <v>0</v>
      </c>
      <c r="K857" s="6">
        <v>0</v>
      </c>
      <c r="L857" s="6">
        <v>41.75</v>
      </c>
      <c r="M857" s="6">
        <v>41.75</v>
      </c>
      <c r="N857" s="6">
        <v>41.75</v>
      </c>
      <c r="O857" s="6">
        <v>41.75</v>
      </c>
      <c r="P857" s="6">
        <v>685</v>
      </c>
      <c r="Q857" s="4" t="s">
        <v>26</v>
      </c>
      <c r="R857" s="4">
        <v>0</v>
      </c>
      <c r="S857" s="6">
        <v>0</v>
      </c>
      <c r="T857" s="6">
        <v>49</v>
      </c>
      <c r="U857" s="6">
        <v>55</v>
      </c>
      <c r="V857" s="6">
        <f>IF(ISERROR(VLOOKUP($S$857,'TAR FIN'!$A$1:$O$113,15,0)),0,VLOOKUP($S$857,'TAR FIN'!$A$1:$O$113,15,0))</f>
        <v>0</v>
      </c>
      <c r="W857" s="6">
        <f>IF(ISERROR(VLOOKUP($T$857,'TAR FIN'!$A$1:$O$113,15,0)),0,VLOOKUP($T$857,'TAR FIN'!$A$1:$O$113,15,0))</f>
        <v>225.87</v>
      </c>
      <c r="X857" s="6">
        <f>IF(ISERROR(VLOOKUP($U$857,'TAR FIN'!$A$1:$O$113,15,0)),0,VLOOKUP($U$857,'TAR FIN'!$A$1:$O$113,15,0))</f>
        <v>292.36</v>
      </c>
      <c r="Y857" s="6"/>
      <c r="Z857" s="6">
        <f ca="1">('TUSD BE'!$AM$44+'TUSD BF_350'!$AM$44+'TUSD CVA'!$AM$44-('TUSD BE'!$P$44+'TUSD BF_350'!$P$44+'TUSD CVA'!$P$44)-('TUSD BE'!$Q$44+'TUSD BF_350'!$Q$44+'TUSD CVA'!$Q$44)-('TUSD BE'!$R$44+'TUSD BF_350'!$R$44+'TUSD CVA'!$R$44))*(1-CUSTOS!$M$37)</f>
        <v>301.37</v>
      </c>
      <c r="AA857" s="6">
        <f ca="1">('TE BE'!$AB$22+'TE BF_350'!$AB$22+'TE CVA'!$AB$22)*(1-CUSTOS!$M$37)</f>
        <v>244</v>
      </c>
      <c r="AB857" s="6">
        <f>$K$857*$V$857</f>
        <v>0</v>
      </c>
      <c r="AC857" s="6">
        <f>$M$857*$W$857</f>
        <v>9430.0725000000002</v>
      </c>
      <c r="AD857" s="6">
        <f>$O$857*$X$857</f>
        <v>12206.03</v>
      </c>
      <c r="AE857" s="6">
        <f>$K$857*$Y$857</f>
        <v>0</v>
      </c>
      <c r="AF857" s="6">
        <f ca="1">$M$857*$Z$857</f>
        <v>12582.1975</v>
      </c>
      <c r="AG857" s="6">
        <f ca="1">$O$857*$AA$857</f>
        <v>10187</v>
      </c>
    </row>
    <row r="858" spans="1:33" ht="11.25" customHeight="1" x14ac:dyDescent="0.3">
      <c r="A858" s="4" t="s">
        <v>21</v>
      </c>
      <c r="B858" s="4" t="s">
        <v>22</v>
      </c>
      <c r="C858" s="4" t="s">
        <v>23</v>
      </c>
      <c r="D858" s="4" t="s">
        <v>24</v>
      </c>
      <c r="E858" s="4" t="s">
        <v>32</v>
      </c>
      <c r="F858" s="4" t="s">
        <v>25</v>
      </c>
      <c r="G858" s="4" t="s">
        <v>25</v>
      </c>
      <c r="H858" s="4" t="s">
        <v>25</v>
      </c>
      <c r="I858" s="5">
        <v>44621</v>
      </c>
      <c r="J858" s="6">
        <v>0</v>
      </c>
      <c r="K858" s="6">
        <v>0</v>
      </c>
      <c r="L858" s="6">
        <v>48.390999999999998</v>
      </c>
      <c r="M858" s="6">
        <v>48.390999999999998</v>
      </c>
      <c r="N858" s="6">
        <v>48.390999999999998</v>
      </c>
      <c r="O858" s="6">
        <v>48.390999999999998</v>
      </c>
      <c r="P858" s="6">
        <v>805</v>
      </c>
      <c r="Q858" s="4" t="s">
        <v>26</v>
      </c>
      <c r="R858" s="4">
        <v>0</v>
      </c>
      <c r="S858" s="6">
        <v>0</v>
      </c>
      <c r="T858" s="6">
        <v>49</v>
      </c>
      <c r="U858" s="6">
        <v>55</v>
      </c>
      <c r="V858" s="6">
        <f>IF(ISERROR(VLOOKUP($S$858,'TAR FIN'!$A$1:$O$113,15,0)),0,VLOOKUP($S$858,'TAR FIN'!$A$1:$O$113,15,0))</f>
        <v>0</v>
      </c>
      <c r="W858" s="6">
        <f>IF(ISERROR(VLOOKUP($T$858,'TAR FIN'!$A$1:$O$113,15,0)),0,VLOOKUP($T$858,'TAR FIN'!$A$1:$O$113,15,0))</f>
        <v>225.87</v>
      </c>
      <c r="X858" s="6">
        <f>IF(ISERROR(VLOOKUP($U$858,'TAR FIN'!$A$1:$O$113,15,0)),0,VLOOKUP($U$858,'TAR FIN'!$A$1:$O$113,15,0))</f>
        <v>292.36</v>
      </c>
      <c r="Y858" s="6"/>
      <c r="Z858" s="6">
        <f ca="1">('TUSD BE'!$AM$44+'TUSD BF_350'!$AM$44+'TUSD CVA'!$AM$44-('TUSD BE'!$P$44+'TUSD BF_350'!$P$44+'TUSD CVA'!$P$44)-('TUSD BE'!$Q$44+'TUSD BF_350'!$Q$44+'TUSD CVA'!$Q$44)-('TUSD BE'!$R$44+'TUSD BF_350'!$R$44+'TUSD CVA'!$R$44))*(1-CUSTOS!$M$37)</f>
        <v>301.37</v>
      </c>
      <c r="AA858" s="6">
        <f ca="1">('TE BE'!$AB$22+'TE BF_350'!$AB$22+'TE CVA'!$AB$22)*(1-CUSTOS!$M$37)</f>
        <v>244</v>
      </c>
      <c r="AB858" s="6">
        <f>$K$858*$V$858</f>
        <v>0</v>
      </c>
      <c r="AC858" s="6">
        <f>$M$858*$W$858</f>
        <v>10930.07517</v>
      </c>
      <c r="AD858" s="6">
        <f>$O$858*$X$858</f>
        <v>14147.59276</v>
      </c>
      <c r="AE858" s="6">
        <f>$K$858*$Y$858</f>
        <v>0</v>
      </c>
      <c r="AF858" s="6">
        <f ca="1">$M$858*$Z$858</f>
        <v>14583.595669999999</v>
      </c>
      <c r="AG858" s="6">
        <f ca="1">$O$858*$AA$858</f>
        <v>11807.404</v>
      </c>
    </row>
    <row r="859" spans="1:33" ht="11.25" customHeight="1" x14ac:dyDescent="0.3">
      <c r="A859" s="4" t="s">
        <v>21</v>
      </c>
      <c r="B859" s="4" t="s">
        <v>22</v>
      </c>
      <c r="C859" s="4" t="s">
        <v>23</v>
      </c>
      <c r="D859" s="4" t="s">
        <v>24</v>
      </c>
      <c r="E859" s="4" t="s">
        <v>32</v>
      </c>
      <c r="F859" s="4" t="s">
        <v>25</v>
      </c>
      <c r="G859" s="4" t="s">
        <v>25</v>
      </c>
      <c r="H859" s="4" t="s">
        <v>25</v>
      </c>
      <c r="I859" s="5">
        <v>44652</v>
      </c>
      <c r="J859" s="6">
        <v>0</v>
      </c>
      <c r="K859" s="6">
        <v>0</v>
      </c>
      <c r="L859" s="6">
        <v>49.868000000000002</v>
      </c>
      <c r="M859" s="6">
        <v>49.868000000000002</v>
      </c>
      <c r="N859" s="6">
        <v>49.868000000000002</v>
      </c>
      <c r="O859" s="6">
        <v>49.868000000000002</v>
      </c>
      <c r="P859" s="6">
        <v>805</v>
      </c>
      <c r="Q859" s="4" t="s">
        <v>26</v>
      </c>
      <c r="R859" s="4">
        <v>0</v>
      </c>
      <c r="S859" s="6">
        <v>0</v>
      </c>
      <c r="T859" s="6">
        <v>49</v>
      </c>
      <c r="U859" s="6">
        <v>55</v>
      </c>
      <c r="V859" s="6">
        <f>IF(ISERROR(VLOOKUP($S$859,'TAR FIN'!$A$1:$O$113,15,0)),0,VLOOKUP($S$859,'TAR FIN'!$A$1:$O$113,15,0))</f>
        <v>0</v>
      </c>
      <c r="W859" s="6">
        <f>IF(ISERROR(VLOOKUP($T$859,'TAR FIN'!$A$1:$O$113,15,0)),0,VLOOKUP($T$859,'TAR FIN'!$A$1:$O$113,15,0))</f>
        <v>225.87</v>
      </c>
      <c r="X859" s="6">
        <f>IF(ISERROR(VLOOKUP($U$859,'TAR FIN'!$A$1:$O$113,15,0)),0,VLOOKUP($U$859,'TAR FIN'!$A$1:$O$113,15,0))</f>
        <v>292.36</v>
      </c>
      <c r="Y859" s="6"/>
      <c r="Z859" s="6">
        <f ca="1">('TUSD BE'!$AM$44+'TUSD BF_350'!$AM$44+'TUSD CVA'!$AM$44-('TUSD BE'!$P$44+'TUSD BF_350'!$P$44+'TUSD CVA'!$P$44)-('TUSD BE'!$Q$44+'TUSD BF_350'!$Q$44+'TUSD CVA'!$Q$44)-('TUSD BE'!$R$44+'TUSD BF_350'!$R$44+'TUSD CVA'!$R$44))*(1-CUSTOS!$M$37)</f>
        <v>301.37</v>
      </c>
      <c r="AA859" s="6">
        <f ca="1">('TE BE'!$AB$22+'TE BF_350'!$AB$22+'TE CVA'!$AB$22)*(1-CUSTOS!$M$37)</f>
        <v>244</v>
      </c>
      <c r="AB859" s="6">
        <f>$K$859*$V$859</f>
        <v>0</v>
      </c>
      <c r="AC859" s="6">
        <f>$M$859*$W$859</f>
        <v>11263.685160000001</v>
      </c>
      <c r="AD859" s="6">
        <f>$O$859*$X$859</f>
        <v>14579.408480000002</v>
      </c>
      <c r="AE859" s="6">
        <f>$K$859*$Y$859</f>
        <v>0</v>
      </c>
      <c r="AF859" s="6">
        <f ca="1">$M$859*$Z$859</f>
        <v>15028.719160000001</v>
      </c>
      <c r="AG859" s="6">
        <f ca="1">$O$859*$AA$859</f>
        <v>12167.792000000001</v>
      </c>
    </row>
    <row r="860" spans="1:33" ht="11.25" customHeight="1" x14ac:dyDescent="0.3">
      <c r="A860" s="4" t="s">
        <v>27</v>
      </c>
      <c r="B860" s="4" t="s">
        <v>22</v>
      </c>
      <c r="C860" s="4" t="s">
        <v>23</v>
      </c>
      <c r="D860" s="4" t="s">
        <v>24</v>
      </c>
      <c r="E860" s="4" t="s">
        <v>32</v>
      </c>
      <c r="F860" s="4" t="s">
        <v>25</v>
      </c>
      <c r="G860" s="4" t="s">
        <v>25</v>
      </c>
      <c r="H860" s="4" t="s">
        <v>25</v>
      </c>
      <c r="I860" s="5">
        <v>44652</v>
      </c>
      <c r="J860" s="6">
        <v>0</v>
      </c>
      <c r="K860" s="6">
        <v>0</v>
      </c>
      <c r="L860" s="6">
        <v>0.316</v>
      </c>
      <c r="M860" s="6">
        <v>0.316</v>
      </c>
      <c r="N860" s="6">
        <v>0.316</v>
      </c>
      <c r="O860" s="6">
        <v>0.316</v>
      </c>
      <c r="P860" s="6">
        <v>0</v>
      </c>
      <c r="Q860" s="4" t="s">
        <v>26</v>
      </c>
      <c r="R860" s="4">
        <v>0</v>
      </c>
      <c r="S860" s="6">
        <v>0</v>
      </c>
      <c r="T860" s="6">
        <v>49</v>
      </c>
      <c r="U860" s="6">
        <v>55</v>
      </c>
      <c r="V860" s="6">
        <f>IF(ISERROR(VLOOKUP($S$860,'TAR FIN'!$A$1:$O$113,15,0)),0,VLOOKUP($S$860,'TAR FIN'!$A$1:$O$113,15,0))</f>
        <v>0</v>
      </c>
      <c r="W860" s="6">
        <f>IF(ISERROR(VLOOKUP($T$860,'TAR FIN'!$A$1:$O$113,15,0)),0,VLOOKUP($T$860,'TAR FIN'!$A$1:$O$113,15,0))</f>
        <v>225.87</v>
      </c>
      <c r="X860" s="6">
        <f>IF(ISERROR(VLOOKUP($U$860,'TAR FIN'!$A$1:$O$113,15,0)),0,VLOOKUP($U$860,'TAR FIN'!$A$1:$O$113,15,0))</f>
        <v>292.36</v>
      </c>
      <c r="Y860" s="6"/>
      <c r="Z860" s="6">
        <f ca="1">('TUSD BE'!$AM$44+'TUSD BF_350'!$AM$44+'TUSD CVA'!$AM$44-('TUSD BE'!$P$44+'TUSD BF_350'!$P$44+'TUSD CVA'!$P$44)-('TUSD BE'!$Q$44+'TUSD BF_350'!$Q$44+'TUSD CVA'!$Q$44)-('TUSD BE'!$R$44+'TUSD BF_350'!$R$44+'TUSD CVA'!$R$44))*(1-CUSTOS!$M$37)</f>
        <v>301.37</v>
      </c>
      <c r="AA860" s="6">
        <f ca="1">('TE BE'!$AB$22+'TE BF_350'!$AB$22+'TE CVA'!$AB$22)*(1-CUSTOS!$M$37)</f>
        <v>244</v>
      </c>
      <c r="AB860" s="6">
        <f>$K$860*$V$860</f>
        <v>0</v>
      </c>
      <c r="AC860" s="6">
        <f>$M$860*$W$860</f>
        <v>71.374920000000003</v>
      </c>
      <c r="AD860" s="6">
        <f>$O$860*$X$860</f>
        <v>92.385760000000005</v>
      </c>
      <c r="AE860" s="6">
        <f>$K$860*$Y$860</f>
        <v>0</v>
      </c>
      <c r="AF860" s="6">
        <f ca="1">$M$860*$Z$860</f>
        <v>95.232920000000007</v>
      </c>
      <c r="AG860" s="6">
        <f ca="1">$O$860*$AA$860</f>
        <v>77.103999999999999</v>
      </c>
    </row>
    <row r="861" spans="1:33" ht="11.25" customHeight="1" x14ac:dyDescent="0.3">
      <c r="A861" s="4" t="s">
        <v>21</v>
      </c>
      <c r="B861" s="4" t="s">
        <v>22</v>
      </c>
      <c r="C861" s="4" t="s">
        <v>23</v>
      </c>
      <c r="D861" s="4" t="s">
        <v>24</v>
      </c>
      <c r="E861" s="4" t="s">
        <v>32</v>
      </c>
      <c r="F861" s="4" t="s">
        <v>25</v>
      </c>
      <c r="G861" s="4" t="s">
        <v>25</v>
      </c>
      <c r="H861" s="4" t="s">
        <v>25</v>
      </c>
      <c r="I861" s="5">
        <v>44682</v>
      </c>
      <c r="J861" s="6">
        <v>0</v>
      </c>
      <c r="K861" s="6">
        <v>0</v>
      </c>
      <c r="L861" s="6">
        <v>54.363999999999997</v>
      </c>
      <c r="M861" s="6">
        <v>54.363999999999997</v>
      </c>
      <c r="N861" s="6">
        <v>54.363999999999997</v>
      </c>
      <c r="O861" s="6">
        <v>54.363999999999997</v>
      </c>
      <c r="P861" s="6">
        <v>895</v>
      </c>
      <c r="Q861" s="4" t="s">
        <v>26</v>
      </c>
      <c r="R861" s="4">
        <v>0</v>
      </c>
      <c r="S861" s="6">
        <v>0</v>
      </c>
      <c r="T861" s="6">
        <v>49</v>
      </c>
      <c r="U861" s="6">
        <v>55</v>
      </c>
      <c r="V861" s="6">
        <f>IF(ISERROR(VLOOKUP($S$861,'TAR FIN'!$A$1:$O$113,15,0)),0,VLOOKUP($S$861,'TAR FIN'!$A$1:$O$113,15,0))</f>
        <v>0</v>
      </c>
      <c r="W861" s="6">
        <f>IF(ISERROR(VLOOKUP($T$861,'TAR FIN'!$A$1:$O$113,15,0)),0,VLOOKUP($T$861,'TAR FIN'!$A$1:$O$113,15,0))</f>
        <v>225.87</v>
      </c>
      <c r="X861" s="6">
        <f>IF(ISERROR(VLOOKUP($U$861,'TAR FIN'!$A$1:$O$113,15,0)),0,VLOOKUP($U$861,'TAR FIN'!$A$1:$O$113,15,0))</f>
        <v>292.36</v>
      </c>
      <c r="Y861" s="6"/>
      <c r="Z861" s="6">
        <f ca="1">('TUSD BE'!$AM$44+'TUSD BF_350'!$AM$44+'TUSD CVA'!$AM$44-('TUSD BE'!$P$44+'TUSD BF_350'!$P$44+'TUSD CVA'!$P$44)-('TUSD BE'!$Q$44+'TUSD BF_350'!$Q$44+'TUSD CVA'!$Q$44)-('TUSD BE'!$R$44+'TUSD BF_350'!$R$44+'TUSD CVA'!$R$44))*(1-CUSTOS!$M$37)</f>
        <v>301.37</v>
      </c>
      <c r="AA861" s="6">
        <f ca="1">('TE BE'!$AB$22+'TE BF_350'!$AB$22+'TE CVA'!$AB$22)*(1-CUSTOS!$M$37)</f>
        <v>244</v>
      </c>
      <c r="AB861" s="6">
        <f>$K$861*$V$861</f>
        <v>0</v>
      </c>
      <c r="AC861" s="6">
        <f>$M$861*$W$861</f>
        <v>12279.196679999999</v>
      </c>
      <c r="AD861" s="6">
        <f>$O$861*$X$861</f>
        <v>15893.859039999999</v>
      </c>
      <c r="AE861" s="6">
        <f>$K$861*$Y$861</f>
        <v>0</v>
      </c>
      <c r="AF861" s="6">
        <f ca="1">$M$861*$Z$861</f>
        <v>16383.678679999999</v>
      </c>
      <c r="AG861" s="6">
        <f ca="1">$O$861*$AA$861</f>
        <v>13264.815999999999</v>
      </c>
    </row>
    <row r="862" spans="1:33" ht="11.25" customHeight="1" x14ac:dyDescent="0.3">
      <c r="A862" s="4" t="s">
        <v>27</v>
      </c>
      <c r="B862" s="4" t="s">
        <v>22</v>
      </c>
      <c r="C862" s="4" t="s">
        <v>23</v>
      </c>
      <c r="D862" s="4" t="s">
        <v>24</v>
      </c>
      <c r="E862" s="4" t="s">
        <v>32</v>
      </c>
      <c r="F862" s="4" t="s">
        <v>25</v>
      </c>
      <c r="G862" s="4" t="s">
        <v>25</v>
      </c>
      <c r="H862" s="4" t="s">
        <v>25</v>
      </c>
      <c r="I862" s="5">
        <v>44682</v>
      </c>
      <c r="J862" s="6">
        <v>0</v>
      </c>
      <c r="K862" s="6">
        <v>0</v>
      </c>
      <c r="L862" s="6">
        <v>-0.17899999999999999</v>
      </c>
      <c r="M862" s="6">
        <v>-0.17899999999999999</v>
      </c>
      <c r="N862" s="6">
        <v>-0.17899999999999999</v>
      </c>
      <c r="O862" s="6">
        <v>-0.17899999999999999</v>
      </c>
      <c r="P862" s="6">
        <v>0</v>
      </c>
      <c r="Q862" s="4" t="s">
        <v>26</v>
      </c>
      <c r="R862" s="4">
        <v>0</v>
      </c>
      <c r="S862" s="6">
        <v>0</v>
      </c>
      <c r="T862" s="6">
        <v>49</v>
      </c>
      <c r="U862" s="6">
        <v>55</v>
      </c>
      <c r="V862" s="6">
        <f>IF(ISERROR(VLOOKUP($S$862,'TAR FIN'!$A$1:$O$113,15,0)),0,VLOOKUP($S$862,'TAR FIN'!$A$1:$O$113,15,0))</f>
        <v>0</v>
      </c>
      <c r="W862" s="6">
        <f>IF(ISERROR(VLOOKUP($T$862,'TAR FIN'!$A$1:$O$113,15,0)),0,VLOOKUP($T$862,'TAR FIN'!$A$1:$O$113,15,0))</f>
        <v>225.87</v>
      </c>
      <c r="X862" s="6">
        <f>IF(ISERROR(VLOOKUP($U$862,'TAR FIN'!$A$1:$O$113,15,0)),0,VLOOKUP($U$862,'TAR FIN'!$A$1:$O$113,15,0))</f>
        <v>292.36</v>
      </c>
      <c r="Y862" s="6"/>
      <c r="Z862" s="6">
        <f ca="1">('TUSD BE'!$AM$44+'TUSD BF_350'!$AM$44+'TUSD CVA'!$AM$44-('TUSD BE'!$P$44+'TUSD BF_350'!$P$44+'TUSD CVA'!$P$44)-('TUSD BE'!$Q$44+'TUSD BF_350'!$Q$44+'TUSD CVA'!$Q$44)-('TUSD BE'!$R$44+'TUSD BF_350'!$R$44+'TUSD CVA'!$R$44))*(1-CUSTOS!$M$37)</f>
        <v>301.37</v>
      </c>
      <c r="AA862" s="6">
        <f ca="1">('TE BE'!$AB$22+'TE BF_350'!$AB$22+'TE CVA'!$AB$22)*(1-CUSTOS!$M$37)</f>
        <v>244</v>
      </c>
      <c r="AB862" s="6">
        <f>$K$862*$V$862</f>
        <v>0</v>
      </c>
      <c r="AC862" s="6">
        <f>$M$862*$W$862</f>
        <v>-40.430729999999997</v>
      </c>
      <c r="AD862" s="6">
        <f>$O$862*$X$862</f>
        <v>-52.332439999999998</v>
      </c>
      <c r="AE862" s="6">
        <f>$K$862*$Y$862</f>
        <v>0</v>
      </c>
      <c r="AF862" s="6">
        <f ca="1">$M$862*$Z$862</f>
        <v>-53.945229999999995</v>
      </c>
      <c r="AG862" s="6">
        <f ca="1">$O$862*$AA$862</f>
        <v>-43.675999999999995</v>
      </c>
    </row>
    <row r="863" spans="1:33" ht="11.25" customHeight="1" x14ac:dyDescent="0.3">
      <c r="A863" s="4" t="s">
        <v>21</v>
      </c>
      <c r="B863" s="4" t="s">
        <v>22</v>
      </c>
      <c r="C863" s="4" t="s">
        <v>23</v>
      </c>
      <c r="D863" s="4" t="s">
        <v>24</v>
      </c>
      <c r="E863" s="4" t="s">
        <v>32</v>
      </c>
      <c r="F863" s="4" t="s">
        <v>25</v>
      </c>
      <c r="G863" s="4" t="s">
        <v>25</v>
      </c>
      <c r="H863" s="4" t="s">
        <v>25</v>
      </c>
      <c r="I863" s="5">
        <v>44713</v>
      </c>
      <c r="J863" s="6">
        <v>0</v>
      </c>
      <c r="K863" s="6">
        <v>0</v>
      </c>
      <c r="L863" s="6">
        <v>53.680999999999997</v>
      </c>
      <c r="M863" s="6">
        <v>53.680999999999997</v>
      </c>
      <c r="N863" s="6">
        <v>53.680999999999997</v>
      </c>
      <c r="O863" s="6">
        <v>53.680999999999997</v>
      </c>
      <c r="P863" s="6">
        <v>833</v>
      </c>
      <c r="Q863" s="4" t="s">
        <v>26</v>
      </c>
      <c r="R863" s="4">
        <v>0</v>
      </c>
      <c r="S863" s="6">
        <v>0</v>
      </c>
      <c r="T863" s="6">
        <v>49</v>
      </c>
      <c r="U863" s="6">
        <v>55</v>
      </c>
      <c r="V863" s="6">
        <f>IF(ISERROR(VLOOKUP($S$863,'TAR FIN'!$A$1:$O$113,15,0)),0,VLOOKUP($S$863,'TAR FIN'!$A$1:$O$113,15,0))</f>
        <v>0</v>
      </c>
      <c r="W863" s="6">
        <f>IF(ISERROR(VLOOKUP($T$863,'TAR FIN'!$A$1:$O$113,15,0)),0,VLOOKUP($T$863,'TAR FIN'!$A$1:$O$113,15,0))</f>
        <v>225.87</v>
      </c>
      <c r="X863" s="6">
        <f>IF(ISERROR(VLOOKUP($U$863,'TAR FIN'!$A$1:$O$113,15,0)),0,VLOOKUP($U$863,'TAR FIN'!$A$1:$O$113,15,0))</f>
        <v>292.36</v>
      </c>
      <c r="Y863" s="6"/>
      <c r="Z863" s="6">
        <f ca="1">('TUSD BE'!$AM$44+'TUSD BF_350'!$AM$44+'TUSD CVA'!$AM$44-('TUSD BE'!$P$44+'TUSD BF_350'!$P$44+'TUSD CVA'!$P$44)-('TUSD BE'!$Q$44+'TUSD BF_350'!$Q$44+'TUSD CVA'!$Q$44)-('TUSD BE'!$R$44+'TUSD BF_350'!$R$44+'TUSD CVA'!$R$44))*(1-CUSTOS!$M$37)</f>
        <v>301.37</v>
      </c>
      <c r="AA863" s="6">
        <f ca="1">('TE BE'!$AB$22+'TE BF_350'!$AB$22+'TE CVA'!$AB$22)*(1-CUSTOS!$M$37)</f>
        <v>244</v>
      </c>
      <c r="AB863" s="6">
        <f>$K$863*$V$863</f>
        <v>0</v>
      </c>
      <c r="AC863" s="6">
        <f>$M$863*$W$863</f>
        <v>12124.927470000001</v>
      </c>
      <c r="AD863" s="6">
        <f>$O$863*$X$863</f>
        <v>15694.177159999999</v>
      </c>
      <c r="AE863" s="6">
        <f>$K$863*$Y$863</f>
        <v>0</v>
      </c>
      <c r="AF863" s="6">
        <f ca="1">$M$863*$Z$863</f>
        <v>16177.84297</v>
      </c>
      <c r="AG863" s="6">
        <f ca="1">$O$863*$AA$863</f>
        <v>13098.163999999999</v>
      </c>
    </row>
    <row r="864" spans="1:33" ht="11.25" customHeight="1" x14ac:dyDescent="0.3">
      <c r="A864" s="4" t="s">
        <v>21</v>
      </c>
      <c r="B864" s="4" t="s">
        <v>22</v>
      </c>
      <c r="C864" s="4" t="s">
        <v>23</v>
      </c>
      <c r="D864" s="4" t="s">
        <v>24</v>
      </c>
      <c r="E864" s="4" t="s">
        <v>32</v>
      </c>
      <c r="F864" s="4" t="s">
        <v>25</v>
      </c>
      <c r="G864" s="4" t="s">
        <v>25</v>
      </c>
      <c r="H864" s="4" t="s">
        <v>25</v>
      </c>
      <c r="I864" s="5">
        <v>44743</v>
      </c>
      <c r="J864" s="6">
        <v>0</v>
      </c>
      <c r="K864" s="6">
        <v>0</v>
      </c>
      <c r="L864" s="6">
        <v>59.723999999999997</v>
      </c>
      <c r="M864" s="6">
        <v>59.723999999999997</v>
      </c>
      <c r="N864" s="6">
        <v>59.723999999999997</v>
      </c>
      <c r="O864" s="6">
        <v>59.723999999999997</v>
      </c>
      <c r="P864" s="6">
        <v>905</v>
      </c>
      <c r="Q864" s="4" t="s">
        <v>26</v>
      </c>
      <c r="R864" s="4">
        <v>0</v>
      </c>
      <c r="S864" s="6">
        <v>0</v>
      </c>
      <c r="T864" s="6">
        <v>49</v>
      </c>
      <c r="U864" s="6">
        <v>55</v>
      </c>
      <c r="V864" s="6">
        <f>IF(ISERROR(VLOOKUP($S$864,'TAR FIN'!$A$1:$O$113,15,0)),0,VLOOKUP($S$864,'TAR FIN'!$A$1:$O$113,15,0))</f>
        <v>0</v>
      </c>
      <c r="W864" s="6">
        <f>IF(ISERROR(VLOOKUP($T$864,'TAR FIN'!$A$1:$O$113,15,0)),0,VLOOKUP($T$864,'TAR FIN'!$A$1:$O$113,15,0))</f>
        <v>225.87</v>
      </c>
      <c r="X864" s="6">
        <f>IF(ISERROR(VLOOKUP($U$864,'TAR FIN'!$A$1:$O$113,15,0)),0,VLOOKUP($U$864,'TAR FIN'!$A$1:$O$113,15,0))</f>
        <v>292.36</v>
      </c>
      <c r="Y864" s="6"/>
      <c r="Z864" s="6">
        <f ca="1">('TUSD BE'!$AM$44+'TUSD BF_350'!$AM$44+'TUSD CVA'!$AM$44-('TUSD BE'!$P$44+'TUSD BF_350'!$P$44+'TUSD CVA'!$P$44)-('TUSD BE'!$Q$44+'TUSD BF_350'!$Q$44+'TUSD CVA'!$Q$44)-('TUSD BE'!$R$44+'TUSD BF_350'!$R$44+'TUSD CVA'!$R$44))*(1-CUSTOS!$M$37)</f>
        <v>301.37</v>
      </c>
      <c r="AA864" s="6">
        <f ca="1">('TE BE'!$AB$22+'TE BF_350'!$AB$22+'TE CVA'!$AB$22)*(1-CUSTOS!$M$37)</f>
        <v>244</v>
      </c>
      <c r="AB864" s="6">
        <f>$K$864*$V$864</f>
        <v>0</v>
      </c>
      <c r="AC864" s="6">
        <f>$M$864*$W$864</f>
        <v>13489.85988</v>
      </c>
      <c r="AD864" s="6">
        <f>$O$864*$X$864</f>
        <v>17460.908640000001</v>
      </c>
      <c r="AE864" s="6">
        <f>$K$864*$Y$864</f>
        <v>0</v>
      </c>
      <c r="AF864" s="6">
        <f ca="1">$M$864*$Z$864</f>
        <v>17999.02188</v>
      </c>
      <c r="AG864" s="6">
        <f ca="1">$O$864*$AA$864</f>
        <v>14572.655999999999</v>
      </c>
    </row>
    <row r="865" spans="1:33" ht="11.25" customHeight="1" x14ac:dyDescent="0.3">
      <c r="A865" s="4" t="s">
        <v>21</v>
      </c>
      <c r="B865" s="4" t="s">
        <v>22</v>
      </c>
      <c r="C865" s="4" t="s">
        <v>23</v>
      </c>
      <c r="D865" s="4" t="s">
        <v>24</v>
      </c>
      <c r="E865" s="4" t="s">
        <v>32</v>
      </c>
      <c r="F865" s="4" t="s">
        <v>25</v>
      </c>
      <c r="G865" s="4" t="s">
        <v>25</v>
      </c>
      <c r="H865" s="4" t="s">
        <v>25</v>
      </c>
      <c r="I865" s="5">
        <v>44774</v>
      </c>
      <c r="J865" s="6">
        <v>0</v>
      </c>
      <c r="K865" s="6">
        <v>0</v>
      </c>
      <c r="L865" s="6">
        <v>51.945999999999998</v>
      </c>
      <c r="M865" s="6">
        <v>51.945999999999998</v>
      </c>
      <c r="N865" s="6">
        <v>51.945999999999998</v>
      </c>
      <c r="O865" s="6">
        <v>51.945999999999998</v>
      </c>
      <c r="P865" s="6">
        <v>847</v>
      </c>
      <c r="Q865" s="4" t="s">
        <v>26</v>
      </c>
      <c r="R865" s="4">
        <v>0</v>
      </c>
      <c r="S865" s="6">
        <v>0</v>
      </c>
      <c r="T865" s="6">
        <v>49</v>
      </c>
      <c r="U865" s="6">
        <v>55</v>
      </c>
      <c r="V865" s="6">
        <f>IF(ISERROR(VLOOKUP($S$865,'TAR FIN'!$A$1:$O$113,15,0)),0,VLOOKUP($S$865,'TAR FIN'!$A$1:$O$113,15,0))</f>
        <v>0</v>
      </c>
      <c r="W865" s="6">
        <f>IF(ISERROR(VLOOKUP($T$865,'TAR FIN'!$A$1:$O$113,15,0)),0,VLOOKUP($T$865,'TAR FIN'!$A$1:$O$113,15,0))</f>
        <v>225.87</v>
      </c>
      <c r="X865" s="6">
        <f>IF(ISERROR(VLOOKUP($U$865,'TAR FIN'!$A$1:$O$113,15,0)),0,VLOOKUP($U$865,'TAR FIN'!$A$1:$O$113,15,0))</f>
        <v>292.36</v>
      </c>
      <c r="Y865" s="6"/>
      <c r="Z865" s="6">
        <f ca="1">('TUSD BE'!$AM$44+'TUSD BF_350'!$AM$44+'TUSD CVA'!$AM$44-('TUSD BE'!$P$44+'TUSD BF_350'!$P$44+'TUSD CVA'!$P$44)-('TUSD BE'!$Q$44+'TUSD BF_350'!$Q$44+'TUSD CVA'!$Q$44)-('TUSD BE'!$R$44+'TUSD BF_350'!$R$44+'TUSD CVA'!$R$44))*(1-CUSTOS!$M$37)</f>
        <v>301.37</v>
      </c>
      <c r="AA865" s="6">
        <f ca="1">('TE BE'!$AB$22+'TE BF_350'!$AB$22+'TE CVA'!$AB$22)*(1-CUSTOS!$M$37)</f>
        <v>244</v>
      </c>
      <c r="AB865" s="6">
        <f>$K$865*$V$865</f>
        <v>0</v>
      </c>
      <c r="AC865" s="6">
        <f>$M$865*$W$865</f>
        <v>11733.043019999999</v>
      </c>
      <c r="AD865" s="6">
        <f>$O$865*$X$865</f>
        <v>15186.932559999999</v>
      </c>
      <c r="AE865" s="6">
        <f>$K$865*$Y$865</f>
        <v>0</v>
      </c>
      <c r="AF865" s="6">
        <f ca="1">$M$865*$Z$865</f>
        <v>15654.96602</v>
      </c>
      <c r="AG865" s="6">
        <f ca="1">$O$865*$AA$865</f>
        <v>12674.823999999999</v>
      </c>
    </row>
    <row r="866" spans="1:33" ht="11.25" customHeight="1" x14ac:dyDescent="0.3">
      <c r="A866" s="4" t="s">
        <v>27</v>
      </c>
      <c r="B866" s="4" t="s">
        <v>22</v>
      </c>
      <c r="C866" s="4" t="s">
        <v>23</v>
      </c>
      <c r="D866" s="4" t="s">
        <v>24</v>
      </c>
      <c r="E866" s="4" t="s">
        <v>32</v>
      </c>
      <c r="F866" s="4" t="s">
        <v>25</v>
      </c>
      <c r="G866" s="4" t="s">
        <v>25</v>
      </c>
      <c r="H866" s="4" t="s">
        <v>25</v>
      </c>
      <c r="I866" s="5">
        <v>44774</v>
      </c>
      <c r="J866" s="6">
        <v>0</v>
      </c>
      <c r="K866" s="6">
        <v>0</v>
      </c>
      <c r="L866" s="6">
        <v>-0.115</v>
      </c>
      <c r="M866" s="6">
        <v>-0.115</v>
      </c>
      <c r="N866" s="6">
        <v>-0.115</v>
      </c>
      <c r="O866" s="6">
        <v>-0.115</v>
      </c>
      <c r="P866" s="6">
        <v>0</v>
      </c>
      <c r="Q866" s="4" t="s">
        <v>26</v>
      </c>
      <c r="R866" s="4">
        <v>0</v>
      </c>
      <c r="S866" s="6">
        <v>0</v>
      </c>
      <c r="T866" s="6">
        <v>49</v>
      </c>
      <c r="U866" s="6">
        <v>55</v>
      </c>
      <c r="V866" s="6">
        <f>IF(ISERROR(VLOOKUP($S$866,'TAR FIN'!$A$1:$O$113,15,0)),0,VLOOKUP($S$866,'TAR FIN'!$A$1:$O$113,15,0))</f>
        <v>0</v>
      </c>
      <c r="W866" s="6">
        <f>IF(ISERROR(VLOOKUP($T$866,'TAR FIN'!$A$1:$O$113,15,0)),0,VLOOKUP($T$866,'TAR FIN'!$A$1:$O$113,15,0))</f>
        <v>225.87</v>
      </c>
      <c r="X866" s="6">
        <f>IF(ISERROR(VLOOKUP($U$866,'TAR FIN'!$A$1:$O$113,15,0)),0,VLOOKUP($U$866,'TAR FIN'!$A$1:$O$113,15,0))</f>
        <v>292.36</v>
      </c>
      <c r="Y866" s="6"/>
      <c r="Z866" s="6">
        <f ca="1">('TUSD BE'!$AM$44+'TUSD BF_350'!$AM$44+'TUSD CVA'!$AM$44-('TUSD BE'!$P$44+'TUSD BF_350'!$P$44+'TUSD CVA'!$P$44)-('TUSD BE'!$Q$44+'TUSD BF_350'!$Q$44+'TUSD CVA'!$Q$44)-('TUSD BE'!$R$44+'TUSD BF_350'!$R$44+'TUSD CVA'!$R$44))*(1-CUSTOS!$M$37)</f>
        <v>301.37</v>
      </c>
      <c r="AA866" s="6">
        <f ca="1">('TE BE'!$AB$22+'TE BF_350'!$AB$22+'TE CVA'!$AB$22)*(1-CUSTOS!$M$37)</f>
        <v>244</v>
      </c>
      <c r="AB866" s="6">
        <f>$K$866*$V$866</f>
        <v>0</v>
      </c>
      <c r="AC866" s="6">
        <f>$M$866*$W$866</f>
        <v>-25.975050000000003</v>
      </c>
      <c r="AD866" s="6">
        <f>$O$866*$X$866</f>
        <v>-33.621400000000001</v>
      </c>
      <c r="AE866" s="6">
        <f>$K$866*$Y$866</f>
        <v>0</v>
      </c>
      <c r="AF866" s="6">
        <f ca="1">$M$866*$Z$866</f>
        <v>-34.657550000000001</v>
      </c>
      <c r="AG866" s="6">
        <f ca="1">$O$866*$AA$866</f>
        <v>-28.060000000000002</v>
      </c>
    </row>
    <row r="867" spans="1:33" ht="11.25" customHeight="1" x14ac:dyDescent="0.3">
      <c r="A867" s="4" t="s">
        <v>21</v>
      </c>
      <c r="B867" s="4" t="s">
        <v>22</v>
      </c>
      <c r="C867" s="4" t="s">
        <v>23</v>
      </c>
      <c r="D867" s="4" t="s">
        <v>24</v>
      </c>
      <c r="E867" s="4" t="s">
        <v>32</v>
      </c>
      <c r="F867" s="4" t="s">
        <v>25</v>
      </c>
      <c r="G867" s="4" t="s">
        <v>25</v>
      </c>
      <c r="H867" s="4" t="s">
        <v>25</v>
      </c>
      <c r="I867" s="5">
        <v>44805</v>
      </c>
      <c r="J867" s="6">
        <v>0</v>
      </c>
      <c r="K867" s="6">
        <v>0</v>
      </c>
      <c r="L867" s="6">
        <v>72.566999999999993</v>
      </c>
      <c r="M867" s="6">
        <v>72.566999999999993</v>
      </c>
      <c r="N867" s="6">
        <v>72.566999999999993</v>
      </c>
      <c r="O867" s="6">
        <v>72.566999999999993</v>
      </c>
      <c r="P867" s="6">
        <v>1110</v>
      </c>
      <c r="Q867" s="4" t="s">
        <v>26</v>
      </c>
      <c r="R867" s="4">
        <v>0</v>
      </c>
      <c r="S867" s="6">
        <v>0</v>
      </c>
      <c r="T867" s="6">
        <v>49</v>
      </c>
      <c r="U867" s="6">
        <v>55</v>
      </c>
      <c r="V867" s="6">
        <f>IF(ISERROR(VLOOKUP($S$867,'TAR FIN'!$A$1:$O$113,15,0)),0,VLOOKUP($S$867,'TAR FIN'!$A$1:$O$113,15,0))</f>
        <v>0</v>
      </c>
      <c r="W867" s="6">
        <f>IF(ISERROR(VLOOKUP($T$867,'TAR FIN'!$A$1:$O$113,15,0)),0,VLOOKUP($T$867,'TAR FIN'!$A$1:$O$113,15,0))</f>
        <v>225.87</v>
      </c>
      <c r="X867" s="6">
        <f>IF(ISERROR(VLOOKUP($U$867,'TAR FIN'!$A$1:$O$113,15,0)),0,VLOOKUP($U$867,'TAR FIN'!$A$1:$O$113,15,0))</f>
        <v>292.36</v>
      </c>
      <c r="Y867" s="6"/>
      <c r="Z867" s="6">
        <f ca="1">('TUSD BE'!$AM$44+'TUSD BF_350'!$AM$44+'TUSD CVA'!$AM$44-('TUSD BE'!$P$44+'TUSD BF_350'!$P$44+'TUSD CVA'!$P$44)-('TUSD BE'!$Q$44+'TUSD BF_350'!$Q$44+'TUSD CVA'!$Q$44)-('TUSD BE'!$R$44+'TUSD BF_350'!$R$44+'TUSD CVA'!$R$44))*(1-CUSTOS!$M$37)</f>
        <v>301.37</v>
      </c>
      <c r="AA867" s="6">
        <f ca="1">('TE BE'!$AB$22+'TE BF_350'!$AB$22+'TE CVA'!$AB$22)*(1-CUSTOS!$M$37)</f>
        <v>244</v>
      </c>
      <c r="AB867" s="6">
        <f>$K$867*$V$867</f>
        <v>0</v>
      </c>
      <c r="AC867" s="6">
        <f>$M$867*$W$867</f>
        <v>16390.708289999999</v>
      </c>
      <c r="AD867" s="6">
        <f>$O$867*$X$867</f>
        <v>21215.688119999999</v>
      </c>
      <c r="AE867" s="6">
        <f>$K$867*$Y$867</f>
        <v>0</v>
      </c>
      <c r="AF867" s="6">
        <f ca="1">$M$867*$Z$867</f>
        <v>21869.516789999998</v>
      </c>
      <c r="AG867" s="6">
        <f ca="1">$O$867*$AA$867</f>
        <v>17706.347999999998</v>
      </c>
    </row>
    <row r="868" spans="1:33" ht="11.25" customHeight="1" x14ac:dyDescent="0.3">
      <c r="A868" s="4" t="s">
        <v>53</v>
      </c>
      <c r="B868" s="4" t="s">
        <v>22</v>
      </c>
      <c r="C868" s="4" t="s">
        <v>23</v>
      </c>
      <c r="D868" s="4" t="s">
        <v>24</v>
      </c>
      <c r="E868" s="4" t="s">
        <v>32</v>
      </c>
      <c r="F868" s="4" t="s">
        <v>25</v>
      </c>
      <c r="G868" s="4" t="s">
        <v>25</v>
      </c>
      <c r="H868" s="4" t="s">
        <v>25</v>
      </c>
      <c r="I868" s="5">
        <v>44835</v>
      </c>
      <c r="J868" s="6">
        <v>0</v>
      </c>
      <c r="K868" s="6">
        <v>0</v>
      </c>
      <c r="L868" s="6">
        <v>72.566999999999993</v>
      </c>
      <c r="M868" s="6">
        <v>72.566999999999993</v>
      </c>
      <c r="N868" s="6">
        <v>72.566999999999993</v>
      </c>
      <c r="O868" s="6">
        <v>72.566999999999993</v>
      </c>
      <c r="P868" s="6">
        <v>1110</v>
      </c>
      <c r="Q868" s="4" t="s">
        <v>26</v>
      </c>
      <c r="R868" s="4">
        <v>0</v>
      </c>
      <c r="S868" s="6">
        <v>0</v>
      </c>
      <c r="T868" s="6">
        <v>49</v>
      </c>
      <c r="U868" s="6">
        <v>55</v>
      </c>
      <c r="V868" s="6">
        <f>IF(ISERROR(VLOOKUP($S$868,'TAR FIN'!$A$1:$O$113,15,0)),0,VLOOKUP($S$868,'TAR FIN'!$A$1:$O$113,15,0))</f>
        <v>0</v>
      </c>
      <c r="W868" s="6">
        <f>IF(ISERROR(VLOOKUP($T$868,'TAR FIN'!$A$1:$O$113,15,0)),0,VLOOKUP($T$868,'TAR FIN'!$A$1:$O$113,15,0))</f>
        <v>225.87</v>
      </c>
      <c r="X868" s="6">
        <f>IF(ISERROR(VLOOKUP($U$868,'TAR FIN'!$A$1:$O$113,15,0)),0,VLOOKUP($U$868,'TAR FIN'!$A$1:$O$113,15,0))</f>
        <v>292.36</v>
      </c>
      <c r="Y868" s="6"/>
      <c r="Z868" s="6">
        <f ca="1">('TUSD BE'!$AM$44+'TUSD BF_350'!$AM$44+'TUSD CVA'!$AM$44-('TUSD BE'!$P$44+'TUSD BF_350'!$P$44+'TUSD CVA'!$P$44)-('TUSD BE'!$Q$44+'TUSD BF_350'!$Q$44+'TUSD CVA'!$Q$44)-('TUSD BE'!$R$44+'TUSD BF_350'!$R$44+'TUSD CVA'!$R$44))*(1-CUSTOS!$M$37)</f>
        <v>301.37</v>
      </c>
      <c r="AA868" s="6">
        <f ca="1">('TE BE'!$AB$22+'TE BF_350'!$AB$22+'TE CVA'!$AB$22)*(1-CUSTOS!$M$37)</f>
        <v>244</v>
      </c>
      <c r="AB868" s="6">
        <f>$K$868*$V$868</f>
        <v>0</v>
      </c>
      <c r="AC868" s="6">
        <f>$M$868*$W$868</f>
        <v>16390.708289999999</v>
      </c>
      <c r="AD868" s="6">
        <f>$O$868*$X$868</f>
        <v>21215.688119999999</v>
      </c>
      <c r="AE868" s="6">
        <f>$K$868*$Y$868</f>
        <v>0</v>
      </c>
      <c r="AF868" s="6">
        <f ca="1">$M$868*$Z$868</f>
        <v>21869.516789999998</v>
      </c>
      <c r="AG868" s="6">
        <f ca="1">$O$868*$AA$868</f>
        <v>17706.347999999998</v>
      </c>
    </row>
    <row r="869" spans="1:33" ht="11.25" customHeight="1" x14ac:dyDescent="0.3">
      <c r="A869" s="4" t="s">
        <v>21</v>
      </c>
      <c r="B869" s="4" t="s">
        <v>44</v>
      </c>
      <c r="C869" s="4" t="s">
        <v>23</v>
      </c>
      <c r="D869" s="4" t="s">
        <v>45</v>
      </c>
      <c r="E869" s="4" t="s">
        <v>25</v>
      </c>
      <c r="F869" s="4" t="s">
        <v>25</v>
      </c>
      <c r="G869" s="4" t="s">
        <v>25</v>
      </c>
      <c r="H869" s="4" t="s">
        <v>25</v>
      </c>
      <c r="I869" s="5">
        <v>44501</v>
      </c>
      <c r="J869" s="6">
        <v>0</v>
      </c>
      <c r="K869" s="6">
        <v>0</v>
      </c>
      <c r="L869" s="6">
        <v>300.41300000000001</v>
      </c>
      <c r="M869" s="6">
        <v>300.41300000000001</v>
      </c>
      <c r="N869" s="6">
        <v>300.41300000000001</v>
      </c>
      <c r="O869" s="6">
        <v>300.41300000000001</v>
      </c>
      <c r="P869" s="6">
        <v>449</v>
      </c>
      <c r="Q869" s="4" t="s">
        <v>26</v>
      </c>
      <c r="R869" s="4">
        <v>0</v>
      </c>
      <c r="S869" s="6">
        <v>0</v>
      </c>
      <c r="T869" s="6">
        <v>47</v>
      </c>
      <c r="U869" s="6">
        <v>109</v>
      </c>
      <c r="V869" s="6">
        <f>IF(ISERROR(VLOOKUP($S$869,'TAR FIN'!$A$1:$O$113,15,0)),0,VLOOKUP($S$869,'TAR FIN'!$A$1:$O$113,15,0))</f>
        <v>0</v>
      </c>
      <c r="W869" s="6">
        <f>IF(ISERROR(VLOOKUP($T$869,'TAR FIN'!$A$1:$O$113,15,0)),0,VLOOKUP($T$869,'TAR FIN'!$A$1:$O$113,15,0))</f>
        <v>264.26</v>
      </c>
      <c r="X869" s="6">
        <f>IF(ISERROR(VLOOKUP($U$869,'TAR FIN'!$A$1:$O$113,15,0)),0,VLOOKUP($U$869,'TAR FIN'!$A$1:$O$113,15,0))</f>
        <v>257.27</v>
      </c>
      <c r="Y869" s="6"/>
      <c r="Z869" s="6">
        <f ca="1">('TUSD BE'!$AM$53+'TUSD BF_350'!$AM$53+'TUSD CVA'!$AM$53)*(1-CUSTOS!$M$38)</f>
        <v>384.5822</v>
      </c>
      <c r="AA869" s="6">
        <f ca="1">('TE BE'!$AB$31+'TE BF_350'!$AB$31+'TE CVA'!$AB$31)*(1-CUSTOS!$M$38)</f>
        <v>229.35999999999999</v>
      </c>
      <c r="AB869" s="6">
        <f>$K$869*$V$869</f>
        <v>0</v>
      </c>
      <c r="AC869" s="6">
        <f>$M$869*$W$869</f>
        <v>79387.139379999993</v>
      </c>
      <c r="AD869" s="6">
        <f>$O$869*$X$869</f>
        <v>77287.252509999991</v>
      </c>
      <c r="AE869" s="6">
        <f>$K$869*$Y$869</f>
        <v>0</v>
      </c>
      <c r="AF869" s="6">
        <f ca="1">$M$869*$Z$869</f>
        <v>115533.49244860001</v>
      </c>
      <c r="AG869" s="6">
        <f ca="1">$O$869*$AA$869</f>
        <v>68902.725680000003</v>
      </c>
    </row>
    <row r="870" spans="1:33" ht="11.25" customHeight="1" x14ac:dyDescent="0.3">
      <c r="A870" s="4" t="s">
        <v>27</v>
      </c>
      <c r="B870" s="4" t="s">
        <v>44</v>
      </c>
      <c r="C870" s="4" t="s">
        <v>23</v>
      </c>
      <c r="D870" s="4" t="s">
        <v>45</v>
      </c>
      <c r="E870" s="4" t="s">
        <v>25</v>
      </c>
      <c r="F870" s="4" t="s">
        <v>25</v>
      </c>
      <c r="G870" s="4" t="s">
        <v>25</v>
      </c>
      <c r="H870" s="4" t="s">
        <v>25</v>
      </c>
      <c r="I870" s="5">
        <v>44501</v>
      </c>
      <c r="J870" s="6">
        <v>0</v>
      </c>
      <c r="K870" s="6">
        <v>0</v>
      </c>
      <c r="L870" s="6">
        <v>-2.4</v>
      </c>
      <c r="M870" s="6">
        <v>-2.4</v>
      </c>
      <c r="N870" s="6">
        <v>-2.4</v>
      </c>
      <c r="O870" s="6">
        <v>-2.4</v>
      </c>
      <c r="P870" s="6">
        <v>0</v>
      </c>
      <c r="Q870" s="4" t="s">
        <v>26</v>
      </c>
      <c r="R870" s="4">
        <v>0</v>
      </c>
      <c r="S870" s="6">
        <v>0</v>
      </c>
      <c r="T870" s="6">
        <v>47</v>
      </c>
      <c r="U870" s="6">
        <v>109</v>
      </c>
      <c r="V870" s="6">
        <f>IF(ISERROR(VLOOKUP($S$870,'TAR FIN'!$A$1:$O$113,15,0)),0,VLOOKUP($S$870,'TAR FIN'!$A$1:$O$113,15,0))</f>
        <v>0</v>
      </c>
      <c r="W870" s="6">
        <f>IF(ISERROR(VLOOKUP($T$870,'TAR FIN'!$A$1:$O$113,15,0)),0,VLOOKUP($T$870,'TAR FIN'!$A$1:$O$113,15,0))</f>
        <v>264.26</v>
      </c>
      <c r="X870" s="6">
        <f>IF(ISERROR(VLOOKUP($U$870,'TAR FIN'!$A$1:$O$113,15,0)),0,VLOOKUP($U$870,'TAR FIN'!$A$1:$O$113,15,0))</f>
        <v>257.27</v>
      </c>
      <c r="Y870" s="6"/>
      <c r="Z870" s="6">
        <f ca="1">('TUSD BE'!$AM$53+'TUSD BF_350'!$AM$53+'TUSD CVA'!$AM$53)*(1-CUSTOS!$M$38)</f>
        <v>384.5822</v>
      </c>
      <c r="AA870" s="6">
        <f ca="1">('TE BE'!$AB$31+'TE BF_350'!$AB$31+'TE CVA'!$AB$31)*(1-CUSTOS!$M$38)</f>
        <v>229.35999999999999</v>
      </c>
      <c r="AB870" s="6">
        <f>$K$870*$V$870</f>
        <v>0</v>
      </c>
      <c r="AC870" s="6">
        <f>$M$870*$W$870</f>
        <v>-634.22399999999993</v>
      </c>
      <c r="AD870" s="6">
        <f>$O$870*$X$870</f>
        <v>-617.44799999999998</v>
      </c>
      <c r="AE870" s="6">
        <f>$K$870*$Y$870</f>
        <v>0</v>
      </c>
      <c r="AF870" s="6">
        <f ca="1">$M$870*$Z$870</f>
        <v>-922.99727999999993</v>
      </c>
      <c r="AG870" s="6">
        <f ca="1">$O$870*$AA$870</f>
        <v>-550.46399999999994</v>
      </c>
    </row>
    <row r="871" spans="1:33" ht="11.25" customHeight="1" x14ac:dyDescent="0.3">
      <c r="A871" s="4" t="s">
        <v>28</v>
      </c>
      <c r="B871" s="4" t="s">
        <v>44</v>
      </c>
      <c r="C871" s="4" t="s">
        <v>23</v>
      </c>
      <c r="D871" s="4" t="s">
        <v>45</v>
      </c>
      <c r="E871" s="4" t="s">
        <v>25</v>
      </c>
      <c r="F871" s="4" t="s">
        <v>25</v>
      </c>
      <c r="G871" s="4" t="s">
        <v>25</v>
      </c>
      <c r="H871" s="4" t="s">
        <v>25</v>
      </c>
      <c r="I871" s="5">
        <v>44501</v>
      </c>
      <c r="J871" s="6">
        <v>0</v>
      </c>
      <c r="K871" s="6">
        <v>0</v>
      </c>
      <c r="L871" s="6">
        <v>6.0369999999999999</v>
      </c>
      <c r="M871" s="6">
        <v>6.0369999999999999</v>
      </c>
      <c r="N871" s="6">
        <v>6.0369999999999999</v>
      </c>
      <c r="O871" s="6">
        <v>6.0369999999999999</v>
      </c>
      <c r="P871" s="6">
        <v>25</v>
      </c>
      <c r="Q871" s="4" t="s">
        <v>26</v>
      </c>
      <c r="R871" s="4">
        <v>0</v>
      </c>
      <c r="S871" s="6">
        <v>0</v>
      </c>
      <c r="T871" s="6">
        <v>47</v>
      </c>
      <c r="U871" s="6">
        <v>109</v>
      </c>
      <c r="V871" s="6">
        <f>IF(ISERROR(VLOOKUP($S$871,'TAR FIN'!$A$1:$O$113,15,0)),0,VLOOKUP($S$871,'TAR FIN'!$A$1:$O$113,15,0))</f>
        <v>0</v>
      </c>
      <c r="W871" s="6">
        <f>IF(ISERROR(VLOOKUP($T$871,'TAR FIN'!$A$1:$O$113,15,0)),0,VLOOKUP($T$871,'TAR FIN'!$A$1:$O$113,15,0))</f>
        <v>264.26</v>
      </c>
      <c r="X871" s="6">
        <f>IF(ISERROR(VLOOKUP($U$871,'TAR FIN'!$A$1:$O$113,15,0)),0,VLOOKUP($U$871,'TAR FIN'!$A$1:$O$113,15,0))</f>
        <v>257.27</v>
      </c>
      <c r="Y871" s="6"/>
      <c r="Z871" s="6">
        <f ca="1">('TUSD BE'!$AM$53+'TUSD BF_350'!$AM$53+'TUSD CVA'!$AM$53)*(1-CUSTOS!$M$38)</f>
        <v>384.5822</v>
      </c>
      <c r="AA871" s="6">
        <f ca="1">('TE BE'!$AB$31+'TE BF_350'!$AB$31+'TE CVA'!$AB$31)*(1-CUSTOS!$M$38)</f>
        <v>229.35999999999999</v>
      </c>
      <c r="AB871" s="6">
        <f>$K$871*$V$871</f>
        <v>0</v>
      </c>
      <c r="AC871" s="6">
        <f>$M$871*$W$871</f>
        <v>1595.33762</v>
      </c>
      <c r="AD871" s="6">
        <f>$O$871*$X$871</f>
        <v>1553.1389899999999</v>
      </c>
      <c r="AE871" s="6">
        <f>$K$871*$Y$871</f>
        <v>0</v>
      </c>
      <c r="AF871" s="6">
        <f ca="1">$M$871*$Z$871</f>
        <v>2321.7227413999999</v>
      </c>
      <c r="AG871" s="6">
        <f ca="1">$O$871*$AA$871</f>
        <v>1384.6463199999998</v>
      </c>
    </row>
    <row r="872" spans="1:33" ht="11.25" customHeight="1" x14ac:dyDescent="0.3">
      <c r="A872" s="4" t="s">
        <v>28</v>
      </c>
      <c r="B872" s="4" t="s">
        <v>44</v>
      </c>
      <c r="C872" s="4" t="s">
        <v>23</v>
      </c>
      <c r="D872" s="4" t="s">
        <v>45</v>
      </c>
      <c r="E872" s="4" t="s">
        <v>25</v>
      </c>
      <c r="F872" s="4" t="s">
        <v>25</v>
      </c>
      <c r="G872" s="4" t="s">
        <v>25</v>
      </c>
      <c r="H872" s="4" t="s">
        <v>25</v>
      </c>
      <c r="I872" s="5">
        <v>44501</v>
      </c>
      <c r="J872" s="6">
        <v>0</v>
      </c>
      <c r="K872" s="6">
        <v>0</v>
      </c>
      <c r="L872" s="6">
        <v>1.08</v>
      </c>
      <c r="M872" s="6">
        <v>1.08</v>
      </c>
      <c r="N872" s="6">
        <v>1.08</v>
      </c>
      <c r="O872" s="6">
        <v>1.08</v>
      </c>
      <c r="P872" s="6">
        <v>1</v>
      </c>
      <c r="Q872" s="4" t="s">
        <v>26</v>
      </c>
      <c r="R872" s="4">
        <v>0</v>
      </c>
      <c r="S872" s="6">
        <v>0</v>
      </c>
      <c r="T872" s="6">
        <v>47</v>
      </c>
      <c r="U872" s="6">
        <v>109</v>
      </c>
      <c r="V872" s="6">
        <f>IF(ISERROR(VLOOKUP($S$872,'TAR FIN'!$A$1:$O$113,15,0)),0,VLOOKUP($S$872,'TAR FIN'!$A$1:$O$113,15,0))</f>
        <v>0</v>
      </c>
      <c r="W872" s="6">
        <f>IF(ISERROR(VLOOKUP($T$872,'TAR FIN'!$A$1:$O$113,15,0)),0,VLOOKUP($T$872,'TAR FIN'!$A$1:$O$113,15,0))</f>
        <v>264.26</v>
      </c>
      <c r="X872" s="6">
        <f>IF(ISERROR(VLOOKUP($U$872,'TAR FIN'!$A$1:$O$113,15,0)),0,VLOOKUP($U$872,'TAR FIN'!$A$1:$O$113,15,0))</f>
        <v>257.27</v>
      </c>
      <c r="Y872" s="6"/>
      <c r="Z872" s="6">
        <f ca="1">('TUSD BE'!$AM$53+'TUSD BF_350'!$AM$53+'TUSD CVA'!$AM$53)*(1-CUSTOS!$M$38)</f>
        <v>384.5822</v>
      </c>
      <c r="AA872" s="6">
        <f ca="1">('TE BE'!$AB$31+'TE BF_350'!$AB$31+'TE CVA'!$AB$31)*(1-CUSTOS!$M$38)</f>
        <v>229.35999999999999</v>
      </c>
      <c r="AB872" s="6">
        <f>$K$872*$V$872</f>
        <v>0</v>
      </c>
      <c r="AC872" s="6">
        <f>$M$872*$W$872</f>
        <v>285.4008</v>
      </c>
      <c r="AD872" s="6">
        <f>$O$872*$X$872</f>
        <v>277.85160000000002</v>
      </c>
      <c r="AE872" s="6">
        <f>$K$872*$Y$872</f>
        <v>0</v>
      </c>
      <c r="AF872" s="6">
        <f ca="1">$M$872*$Z$872</f>
        <v>415.34877600000004</v>
      </c>
      <c r="AG872" s="6">
        <f ca="1">$O$872*$AA$872</f>
        <v>247.7088</v>
      </c>
    </row>
    <row r="873" spans="1:33" ht="11.25" customHeight="1" x14ac:dyDescent="0.3">
      <c r="A873" s="4" t="s">
        <v>21</v>
      </c>
      <c r="B873" s="4" t="s">
        <v>44</v>
      </c>
      <c r="C873" s="4" t="s">
        <v>23</v>
      </c>
      <c r="D873" s="4" t="s">
        <v>45</v>
      </c>
      <c r="E873" s="4" t="s">
        <v>25</v>
      </c>
      <c r="F873" s="4" t="s">
        <v>25</v>
      </c>
      <c r="G873" s="4" t="s">
        <v>25</v>
      </c>
      <c r="H873" s="4" t="s">
        <v>25</v>
      </c>
      <c r="I873" s="5">
        <v>44531</v>
      </c>
      <c r="J873" s="6">
        <v>0</v>
      </c>
      <c r="K873" s="6">
        <v>0</v>
      </c>
      <c r="L873" s="6">
        <v>289.67899999999997</v>
      </c>
      <c r="M873" s="6">
        <v>289.67899999999997</v>
      </c>
      <c r="N873" s="6">
        <v>289.67899999999997</v>
      </c>
      <c r="O873" s="6">
        <v>289.67899999999997</v>
      </c>
      <c r="P873" s="6">
        <v>448</v>
      </c>
      <c r="Q873" s="4" t="s">
        <v>26</v>
      </c>
      <c r="R873" s="4">
        <v>0</v>
      </c>
      <c r="S873" s="6">
        <v>0</v>
      </c>
      <c r="T873" s="6">
        <v>47</v>
      </c>
      <c r="U873" s="6">
        <v>109</v>
      </c>
      <c r="V873" s="6">
        <f>IF(ISERROR(VLOOKUP($S$873,'TAR FIN'!$A$1:$O$113,15,0)),0,VLOOKUP($S$873,'TAR FIN'!$A$1:$O$113,15,0))</f>
        <v>0</v>
      </c>
      <c r="W873" s="6">
        <f>IF(ISERROR(VLOOKUP($T$873,'TAR FIN'!$A$1:$O$113,15,0)),0,VLOOKUP($T$873,'TAR FIN'!$A$1:$O$113,15,0))</f>
        <v>264.26</v>
      </c>
      <c r="X873" s="6">
        <f>IF(ISERROR(VLOOKUP($U$873,'TAR FIN'!$A$1:$O$113,15,0)),0,VLOOKUP($U$873,'TAR FIN'!$A$1:$O$113,15,0))</f>
        <v>257.27</v>
      </c>
      <c r="Y873" s="6"/>
      <c r="Z873" s="6">
        <f ca="1">('TUSD BE'!$AM$53+'TUSD BF_350'!$AM$53+'TUSD CVA'!$AM$53)*(1-CUSTOS!$M$38)</f>
        <v>384.5822</v>
      </c>
      <c r="AA873" s="6">
        <f ca="1">('TE BE'!$AB$31+'TE BF_350'!$AB$31+'TE CVA'!$AB$31)*(1-CUSTOS!$M$38)</f>
        <v>229.35999999999999</v>
      </c>
      <c r="AB873" s="6">
        <f>$K$873*$V$873</f>
        <v>0</v>
      </c>
      <c r="AC873" s="6">
        <f>$M$873*$W$873</f>
        <v>76550.572539999994</v>
      </c>
      <c r="AD873" s="6">
        <f>$O$873*$X$873</f>
        <v>74525.716329999981</v>
      </c>
      <c r="AE873" s="6">
        <f>$K$873*$Y$873</f>
        <v>0</v>
      </c>
      <c r="AF873" s="6">
        <f ca="1">$M$873*$Z$873</f>
        <v>111405.3871138</v>
      </c>
      <c r="AG873" s="6">
        <f ca="1">$O$873*$AA$873</f>
        <v>66440.775439999983</v>
      </c>
    </row>
    <row r="874" spans="1:33" ht="11.25" customHeight="1" x14ac:dyDescent="0.3">
      <c r="A874" s="4" t="s">
        <v>27</v>
      </c>
      <c r="B874" s="4" t="s">
        <v>44</v>
      </c>
      <c r="C874" s="4" t="s">
        <v>23</v>
      </c>
      <c r="D874" s="4" t="s">
        <v>45</v>
      </c>
      <c r="E874" s="4" t="s">
        <v>25</v>
      </c>
      <c r="F874" s="4" t="s">
        <v>25</v>
      </c>
      <c r="G874" s="4" t="s">
        <v>25</v>
      </c>
      <c r="H874" s="4" t="s">
        <v>25</v>
      </c>
      <c r="I874" s="5">
        <v>44531</v>
      </c>
      <c r="J874" s="6">
        <v>0</v>
      </c>
      <c r="K874" s="6">
        <v>0</v>
      </c>
      <c r="L874" s="6">
        <v>-0.74</v>
      </c>
      <c r="M874" s="6">
        <v>-0.74</v>
      </c>
      <c r="N874" s="6">
        <v>-0.74</v>
      </c>
      <c r="O874" s="6">
        <v>-0.74</v>
      </c>
      <c r="P874" s="6">
        <v>0</v>
      </c>
      <c r="Q874" s="4" t="s">
        <v>26</v>
      </c>
      <c r="R874" s="4">
        <v>0</v>
      </c>
      <c r="S874" s="6">
        <v>0</v>
      </c>
      <c r="T874" s="6">
        <v>47</v>
      </c>
      <c r="U874" s="6">
        <v>109</v>
      </c>
      <c r="V874" s="6">
        <f>IF(ISERROR(VLOOKUP($S$874,'TAR FIN'!$A$1:$O$113,15,0)),0,VLOOKUP($S$874,'TAR FIN'!$A$1:$O$113,15,0))</f>
        <v>0</v>
      </c>
      <c r="W874" s="6">
        <f>IF(ISERROR(VLOOKUP($T$874,'TAR FIN'!$A$1:$O$113,15,0)),0,VLOOKUP($T$874,'TAR FIN'!$A$1:$O$113,15,0))</f>
        <v>264.26</v>
      </c>
      <c r="X874" s="6">
        <f>IF(ISERROR(VLOOKUP($U$874,'TAR FIN'!$A$1:$O$113,15,0)),0,VLOOKUP($U$874,'TAR FIN'!$A$1:$O$113,15,0))</f>
        <v>257.27</v>
      </c>
      <c r="Y874" s="6"/>
      <c r="Z874" s="6">
        <f ca="1">('TUSD BE'!$AM$53+'TUSD BF_350'!$AM$53+'TUSD CVA'!$AM$53)*(1-CUSTOS!$M$38)</f>
        <v>384.5822</v>
      </c>
      <c r="AA874" s="6">
        <f ca="1">('TE BE'!$AB$31+'TE BF_350'!$AB$31+'TE CVA'!$AB$31)*(1-CUSTOS!$M$38)</f>
        <v>229.35999999999999</v>
      </c>
      <c r="AB874" s="6">
        <f>$K$874*$V$874</f>
        <v>0</v>
      </c>
      <c r="AC874" s="6">
        <f>$M$874*$W$874</f>
        <v>-195.55239999999998</v>
      </c>
      <c r="AD874" s="6">
        <f>$O$874*$X$874</f>
        <v>-190.37979999999999</v>
      </c>
      <c r="AE874" s="6">
        <f>$K$874*$Y$874</f>
        <v>0</v>
      </c>
      <c r="AF874" s="6">
        <f ca="1">$M$874*$Z$874</f>
        <v>-284.59082799999999</v>
      </c>
      <c r="AG874" s="6">
        <f ca="1">$O$874*$AA$874</f>
        <v>-169.72639999999998</v>
      </c>
    </row>
    <row r="875" spans="1:33" ht="11.25" customHeight="1" x14ac:dyDescent="0.3">
      <c r="A875" s="4" t="s">
        <v>28</v>
      </c>
      <c r="B875" s="4" t="s">
        <v>44</v>
      </c>
      <c r="C875" s="4" t="s">
        <v>23</v>
      </c>
      <c r="D875" s="4" t="s">
        <v>45</v>
      </c>
      <c r="E875" s="4" t="s">
        <v>25</v>
      </c>
      <c r="F875" s="4" t="s">
        <v>25</v>
      </c>
      <c r="G875" s="4" t="s">
        <v>25</v>
      </c>
      <c r="H875" s="4" t="s">
        <v>25</v>
      </c>
      <c r="I875" s="5">
        <v>44531</v>
      </c>
      <c r="J875" s="6">
        <v>0</v>
      </c>
      <c r="K875" s="6">
        <v>0</v>
      </c>
      <c r="L875" s="6">
        <v>6.6429999999999998</v>
      </c>
      <c r="M875" s="6">
        <v>6.6429999999999998</v>
      </c>
      <c r="N875" s="6">
        <v>6.6429999999999998</v>
      </c>
      <c r="O875" s="6">
        <v>6.6429999999999998</v>
      </c>
      <c r="P875" s="6">
        <v>26</v>
      </c>
      <c r="Q875" s="4" t="s">
        <v>26</v>
      </c>
      <c r="R875" s="4">
        <v>0</v>
      </c>
      <c r="S875" s="6">
        <v>0</v>
      </c>
      <c r="T875" s="6">
        <v>47</v>
      </c>
      <c r="U875" s="6">
        <v>109</v>
      </c>
      <c r="V875" s="6">
        <f>IF(ISERROR(VLOOKUP($S$875,'TAR FIN'!$A$1:$O$113,15,0)),0,VLOOKUP($S$875,'TAR FIN'!$A$1:$O$113,15,0))</f>
        <v>0</v>
      </c>
      <c r="W875" s="6">
        <f>IF(ISERROR(VLOOKUP($T$875,'TAR FIN'!$A$1:$O$113,15,0)),0,VLOOKUP($T$875,'TAR FIN'!$A$1:$O$113,15,0))</f>
        <v>264.26</v>
      </c>
      <c r="X875" s="6">
        <f>IF(ISERROR(VLOOKUP($U$875,'TAR FIN'!$A$1:$O$113,15,0)),0,VLOOKUP($U$875,'TAR FIN'!$A$1:$O$113,15,0))</f>
        <v>257.27</v>
      </c>
      <c r="Y875" s="6"/>
      <c r="Z875" s="6">
        <f ca="1">('TUSD BE'!$AM$53+'TUSD BF_350'!$AM$53+'TUSD CVA'!$AM$53)*(1-CUSTOS!$M$38)</f>
        <v>384.5822</v>
      </c>
      <c r="AA875" s="6">
        <f ca="1">('TE BE'!$AB$31+'TE BF_350'!$AB$31+'TE CVA'!$AB$31)*(1-CUSTOS!$M$38)</f>
        <v>229.35999999999999</v>
      </c>
      <c r="AB875" s="6">
        <f>$K$875*$V$875</f>
        <v>0</v>
      </c>
      <c r="AC875" s="6">
        <f>$M$875*$W$875</f>
        <v>1755.4791799999998</v>
      </c>
      <c r="AD875" s="6">
        <f>$O$875*$X$875</f>
        <v>1709.0446099999999</v>
      </c>
      <c r="AE875" s="6">
        <f>$K$875*$Y$875</f>
        <v>0</v>
      </c>
      <c r="AF875" s="6">
        <f ca="1">$M$875*$Z$875</f>
        <v>2554.7795545999998</v>
      </c>
      <c r="AG875" s="6">
        <f ca="1">$O$875*$AA$875</f>
        <v>1523.6384799999998</v>
      </c>
    </row>
    <row r="876" spans="1:33" ht="11.25" customHeight="1" x14ac:dyDescent="0.3">
      <c r="A876" s="4" t="s">
        <v>28</v>
      </c>
      <c r="B876" s="4" t="s">
        <v>44</v>
      </c>
      <c r="C876" s="4" t="s">
        <v>23</v>
      </c>
      <c r="D876" s="4" t="s">
        <v>45</v>
      </c>
      <c r="E876" s="4" t="s">
        <v>25</v>
      </c>
      <c r="F876" s="4" t="s">
        <v>25</v>
      </c>
      <c r="G876" s="4" t="s">
        <v>25</v>
      </c>
      <c r="H876" s="4" t="s">
        <v>25</v>
      </c>
      <c r="I876" s="5">
        <v>44531</v>
      </c>
      <c r="J876" s="6">
        <v>0</v>
      </c>
      <c r="K876" s="6">
        <v>0</v>
      </c>
      <c r="L876" s="6">
        <v>0.05</v>
      </c>
      <c r="M876" s="6">
        <v>0.05</v>
      </c>
      <c r="N876" s="6">
        <v>0.05</v>
      </c>
      <c r="O876" s="6">
        <v>0.05</v>
      </c>
      <c r="P876" s="6">
        <v>1</v>
      </c>
      <c r="Q876" s="4" t="s">
        <v>26</v>
      </c>
      <c r="R876" s="4">
        <v>0</v>
      </c>
      <c r="S876" s="6">
        <v>0</v>
      </c>
      <c r="T876" s="6">
        <v>47</v>
      </c>
      <c r="U876" s="6">
        <v>109</v>
      </c>
      <c r="V876" s="6">
        <f>IF(ISERROR(VLOOKUP($S$876,'TAR FIN'!$A$1:$O$113,15,0)),0,VLOOKUP($S$876,'TAR FIN'!$A$1:$O$113,15,0))</f>
        <v>0</v>
      </c>
      <c r="W876" s="6">
        <f>IF(ISERROR(VLOOKUP($T$876,'TAR FIN'!$A$1:$O$113,15,0)),0,VLOOKUP($T$876,'TAR FIN'!$A$1:$O$113,15,0))</f>
        <v>264.26</v>
      </c>
      <c r="X876" s="6">
        <f>IF(ISERROR(VLOOKUP($U$876,'TAR FIN'!$A$1:$O$113,15,0)),0,VLOOKUP($U$876,'TAR FIN'!$A$1:$O$113,15,0))</f>
        <v>257.27</v>
      </c>
      <c r="Y876" s="6"/>
      <c r="Z876" s="6">
        <f ca="1">('TUSD BE'!$AM$53+'TUSD BF_350'!$AM$53+'TUSD CVA'!$AM$53)*(1-CUSTOS!$M$38)</f>
        <v>384.5822</v>
      </c>
      <c r="AA876" s="6">
        <f ca="1">('TE BE'!$AB$31+'TE BF_350'!$AB$31+'TE CVA'!$AB$31)*(1-CUSTOS!$M$38)</f>
        <v>229.35999999999999</v>
      </c>
      <c r="AB876" s="6">
        <f>$K$876*$V$876</f>
        <v>0</v>
      </c>
      <c r="AC876" s="6">
        <f>$M$876*$W$876</f>
        <v>13.213000000000001</v>
      </c>
      <c r="AD876" s="6">
        <f>$O$876*$X$876</f>
        <v>12.8635</v>
      </c>
      <c r="AE876" s="6">
        <f>$K$876*$Y$876</f>
        <v>0</v>
      </c>
      <c r="AF876" s="6">
        <f ca="1">$M$876*$Z$876</f>
        <v>19.229110000000002</v>
      </c>
      <c r="AG876" s="6">
        <f ca="1">$O$876*$AA$876</f>
        <v>11.468</v>
      </c>
    </row>
    <row r="877" spans="1:33" ht="11.25" customHeight="1" x14ac:dyDescent="0.3">
      <c r="A877" s="4" t="s">
        <v>21</v>
      </c>
      <c r="B877" s="4" t="s">
        <v>44</v>
      </c>
      <c r="C877" s="4" t="s">
        <v>23</v>
      </c>
      <c r="D877" s="4" t="s">
        <v>45</v>
      </c>
      <c r="E877" s="4" t="s">
        <v>25</v>
      </c>
      <c r="F877" s="4" t="s">
        <v>25</v>
      </c>
      <c r="G877" s="4" t="s">
        <v>25</v>
      </c>
      <c r="H877" s="4" t="s">
        <v>25</v>
      </c>
      <c r="I877" s="5">
        <v>44562</v>
      </c>
      <c r="J877" s="6">
        <v>0</v>
      </c>
      <c r="K877" s="6">
        <v>0</v>
      </c>
      <c r="L877" s="6">
        <v>317.97500000000002</v>
      </c>
      <c r="M877" s="6">
        <v>317.97500000000002</v>
      </c>
      <c r="N877" s="6">
        <v>317.97500000000002</v>
      </c>
      <c r="O877" s="6">
        <v>317.97500000000002</v>
      </c>
      <c r="P877" s="6">
        <v>444</v>
      </c>
      <c r="Q877" s="4" t="s">
        <v>26</v>
      </c>
      <c r="R877" s="4">
        <v>0</v>
      </c>
      <c r="S877" s="6">
        <v>0</v>
      </c>
      <c r="T877" s="6">
        <v>47</v>
      </c>
      <c r="U877" s="6">
        <v>109</v>
      </c>
      <c r="V877" s="6">
        <f>IF(ISERROR(VLOOKUP($S$877,'TAR FIN'!$A$1:$O$113,15,0)),0,VLOOKUP($S$877,'TAR FIN'!$A$1:$O$113,15,0))</f>
        <v>0</v>
      </c>
      <c r="W877" s="6">
        <f>IF(ISERROR(VLOOKUP($T$877,'TAR FIN'!$A$1:$O$113,15,0)),0,VLOOKUP($T$877,'TAR FIN'!$A$1:$O$113,15,0))</f>
        <v>264.26</v>
      </c>
      <c r="X877" s="6">
        <f>IF(ISERROR(VLOOKUP($U$877,'TAR FIN'!$A$1:$O$113,15,0)),0,VLOOKUP($U$877,'TAR FIN'!$A$1:$O$113,15,0))</f>
        <v>257.27</v>
      </c>
      <c r="Y877" s="6"/>
      <c r="Z877" s="6">
        <f ca="1">('TUSD BE'!$AM$53+'TUSD BF_350'!$AM$53+'TUSD CVA'!$AM$53)*(1-CUSTOS!$M$38)</f>
        <v>384.5822</v>
      </c>
      <c r="AA877" s="6">
        <f ca="1">('TE BE'!$AB$31+'TE BF_350'!$AB$31+'TE CVA'!$AB$31)*(1-CUSTOS!$M$38)</f>
        <v>229.35999999999999</v>
      </c>
      <c r="AB877" s="6">
        <f>$K$877*$V$877</f>
        <v>0</v>
      </c>
      <c r="AC877" s="6">
        <f>$M$877*$W$877</f>
        <v>84028.073499999999</v>
      </c>
      <c r="AD877" s="6">
        <f>$O$877*$X$877</f>
        <v>81805.428249999997</v>
      </c>
      <c r="AE877" s="6">
        <f>$K$877*$Y$877</f>
        <v>0</v>
      </c>
      <c r="AF877" s="6">
        <f ca="1">$M$877*$Z$877</f>
        <v>122287.525045</v>
      </c>
      <c r="AG877" s="6">
        <f ca="1">$O$877*$AA$877</f>
        <v>72930.745999999999</v>
      </c>
    </row>
    <row r="878" spans="1:33" ht="11.25" customHeight="1" x14ac:dyDescent="0.3">
      <c r="A878" s="4" t="s">
        <v>27</v>
      </c>
      <c r="B878" s="4" t="s">
        <v>44</v>
      </c>
      <c r="C878" s="4" t="s">
        <v>23</v>
      </c>
      <c r="D878" s="4" t="s">
        <v>45</v>
      </c>
      <c r="E878" s="4" t="s">
        <v>25</v>
      </c>
      <c r="F878" s="4" t="s">
        <v>25</v>
      </c>
      <c r="G878" s="4" t="s">
        <v>25</v>
      </c>
      <c r="H878" s="4" t="s">
        <v>25</v>
      </c>
      <c r="I878" s="5">
        <v>44562</v>
      </c>
      <c r="J878" s="6">
        <v>0</v>
      </c>
      <c r="K878" s="6">
        <v>0</v>
      </c>
      <c r="L878" s="6">
        <v>-0.99299999999999999</v>
      </c>
      <c r="M878" s="6">
        <v>-0.99299999999999999</v>
      </c>
      <c r="N878" s="6">
        <v>-0.99299999999999999</v>
      </c>
      <c r="O878" s="6">
        <v>-0.99299999999999999</v>
      </c>
      <c r="P878" s="6">
        <v>0</v>
      </c>
      <c r="Q878" s="4" t="s">
        <v>26</v>
      </c>
      <c r="R878" s="4">
        <v>0</v>
      </c>
      <c r="S878" s="6">
        <v>0</v>
      </c>
      <c r="T878" s="6">
        <v>47</v>
      </c>
      <c r="U878" s="6">
        <v>109</v>
      </c>
      <c r="V878" s="6">
        <f>IF(ISERROR(VLOOKUP($S$878,'TAR FIN'!$A$1:$O$113,15,0)),0,VLOOKUP($S$878,'TAR FIN'!$A$1:$O$113,15,0))</f>
        <v>0</v>
      </c>
      <c r="W878" s="6">
        <f>IF(ISERROR(VLOOKUP($T$878,'TAR FIN'!$A$1:$O$113,15,0)),0,VLOOKUP($T$878,'TAR FIN'!$A$1:$O$113,15,0))</f>
        <v>264.26</v>
      </c>
      <c r="X878" s="6">
        <f>IF(ISERROR(VLOOKUP($U$878,'TAR FIN'!$A$1:$O$113,15,0)),0,VLOOKUP($U$878,'TAR FIN'!$A$1:$O$113,15,0))</f>
        <v>257.27</v>
      </c>
      <c r="Y878" s="6"/>
      <c r="Z878" s="6">
        <f ca="1">('TUSD BE'!$AM$53+'TUSD BF_350'!$AM$53+'TUSD CVA'!$AM$53)*(1-CUSTOS!$M$38)</f>
        <v>384.5822</v>
      </c>
      <c r="AA878" s="6">
        <f ca="1">('TE BE'!$AB$31+'TE BF_350'!$AB$31+'TE CVA'!$AB$31)*(1-CUSTOS!$M$38)</f>
        <v>229.35999999999999</v>
      </c>
      <c r="AB878" s="6">
        <f>$K$878*$V$878</f>
        <v>0</v>
      </c>
      <c r="AC878" s="6">
        <f>$M$878*$W$878</f>
        <v>-262.41017999999997</v>
      </c>
      <c r="AD878" s="6">
        <f>$O$878*$X$878</f>
        <v>-255.46910999999997</v>
      </c>
      <c r="AE878" s="6">
        <f>$K$878*$Y$878</f>
        <v>0</v>
      </c>
      <c r="AF878" s="6">
        <f ca="1">$M$878*$Z$878</f>
        <v>-381.89012459999998</v>
      </c>
      <c r="AG878" s="6">
        <f ca="1">$O$878*$AA$878</f>
        <v>-227.75447999999997</v>
      </c>
    </row>
    <row r="879" spans="1:33" ht="11.25" customHeight="1" x14ac:dyDescent="0.3">
      <c r="A879" s="4" t="s">
        <v>28</v>
      </c>
      <c r="B879" s="4" t="s">
        <v>44</v>
      </c>
      <c r="C879" s="4" t="s">
        <v>23</v>
      </c>
      <c r="D879" s="4" t="s">
        <v>45</v>
      </c>
      <c r="E879" s="4" t="s">
        <v>25</v>
      </c>
      <c r="F879" s="4" t="s">
        <v>25</v>
      </c>
      <c r="G879" s="4" t="s">
        <v>25</v>
      </c>
      <c r="H879" s="4" t="s">
        <v>25</v>
      </c>
      <c r="I879" s="5">
        <v>44562</v>
      </c>
      <c r="J879" s="6">
        <v>0</v>
      </c>
      <c r="K879" s="6">
        <v>0</v>
      </c>
      <c r="L879" s="6">
        <v>8.84</v>
      </c>
      <c r="M879" s="6">
        <v>8.84</v>
      </c>
      <c r="N879" s="6">
        <v>8.84</v>
      </c>
      <c r="O879" s="6">
        <v>8.84</v>
      </c>
      <c r="P879" s="6">
        <v>31</v>
      </c>
      <c r="Q879" s="4" t="s">
        <v>26</v>
      </c>
      <c r="R879" s="4">
        <v>0</v>
      </c>
      <c r="S879" s="6">
        <v>0</v>
      </c>
      <c r="T879" s="6">
        <v>47</v>
      </c>
      <c r="U879" s="6">
        <v>109</v>
      </c>
      <c r="V879" s="6">
        <f>IF(ISERROR(VLOOKUP($S$879,'TAR FIN'!$A$1:$O$113,15,0)),0,VLOOKUP($S$879,'TAR FIN'!$A$1:$O$113,15,0))</f>
        <v>0</v>
      </c>
      <c r="W879" s="6">
        <f>IF(ISERROR(VLOOKUP($T$879,'TAR FIN'!$A$1:$O$113,15,0)),0,VLOOKUP($T$879,'TAR FIN'!$A$1:$O$113,15,0))</f>
        <v>264.26</v>
      </c>
      <c r="X879" s="6">
        <f>IF(ISERROR(VLOOKUP($U$879,'TAR FIN'!$A$1:$O$113,15,0)),0,VLOOKUP($U$879,'TAR FIN'!$A$1:$O$113,15,0))</f>
        <v>257.27</v>
      </c>
      <c r="Y879" s="6"/>
      <c r="Z879" s="6">
        <f ca="1">('TUSD BE'!$AM$53+'TUSD BF_350'!$AM$53+'TUSD CVA'!$AM$53)*(1-CUSTOS!$M$38)</f>
        <v>384.5822</v>
      </c>
      <c r="AA879" s="6">
        <f ca="1">('TE BE'!$AB$31+'TE BF_350'!$AB$31+'TE CVA'!$AB$31)*(1-CUSTOS!$M$38)</f>
        <v>229.35999999999999</v>
      </c>
      <c r="AB879" s="6">
        <f>$K$879*$V$879</f>
        <v>0</v>
      </c>
      <c r="AC879" s="6">
        <f>$M$879*$W$879</f>
        <v>2336.0583999999999</v>
      </c>
      <c r="AD879" s="6">
        <f>$O$879*$X$879</f>
        <v>2274.2667999999999</v>
      </c>
      <c r="AE879" s="6">
        <f>$K$879*$Y$879</f>
        <v>0</v>
      </c>
      <c r="AF879" s="6">
        <f ca="1">$M$879*$Z$879</f>
        <v>3399.7066479999999</v>
      </c>
      <c r="AG879" s="6">
        <f ca="1">$O$879*$AA$879</f>
        <v>2027.5423999999998</v>
      </c>
    </row>
    <row r="880" spans="1:33" ht="11.25" customHeight="1" x14ac:dyDescent="0.3">
      <c r="A880" s="4" t="s">
        <v>21</v>
      </c>
      <c r="B880" s="4" t="s">
        <v>44</v>
      </c>
      <c r="C880" s="4" t="s">
        <v>23</v>
      </c>
      <c r="D880" s="4" t="s">
        <v>45</v>
      </c>
      <c r="E880" s="4" t="s">
        <v>25</v>
      </c>
      <c r="F880" s="4" t="s">
        <v>25</v>
      </c>
      <c r="G880" s="4" t="s">
        <v>25</v>
      </c>
      <c r="H880" s="4" t="s">
        <v>25</v>
      </c>
      <c r="I880" s="5">
        <v>44593</v>
      </c>
      <c r="J880" s="6">
        <v>0</v>
      </c>
      <c r="K880" s="6">
        <v>0</v>
      </c>
      <c r="L880" s="6">
        <v>277.06900000000002</v>
      </c>
      <c r="M880" s="6">
        <v>277.06900000000002</v>
      </c>
      <c r="N880" s="6">
        <v>277.06900000000002</v>
      </c>
      <c r="O880" s="6">
        <v>277.06900000000002</v>
      </c>
      <c r="P880" s="6">
        <v>440</v>
      </c>
      <c r="Q880" s="4" t="s">
        <v>26</v>
      </c>
      <c r="R880" s="4">
        <v>0</v>
      </c>
      <c r="S880" s="6">
        <v>0</v>
      </c>
      <c r="T880" s="6">
        <v>47</v>
      </c>
      <c r="U880" s="6">
        <v>109</v>
      </c>
      <c r="V880" s="6">
        <f>IF(ISERROR(VLOOKUP($S$880,'TAR FIN'!$A$1:$O$113,15,0)),0,VLOOKUP($S$880,'TAR FIN'!$A$1:$O$113,15,0))</f>
        <v>0</v>
      </c>
      <c r="W880" s="6">
        <f>IF(ISERROR(VLOOKUP($T$880,'TAR FIN'!$A$1:$O$113,15,0)),0,VLOOKUP($T$880,'TAR FIN'!$A$1:$O$113,15,0))</f>
        <v>264.26</v>
      </c>
      <c r="X880" s="6">
        <f>IF(ISERROR(VLOOKUP($U$880,'TAR FIN'!$A$1:$O$113,15,0)),0,VLOOKUP($U$880,'TAR FIN'!$A$1:$O$113,15,0))</f>
        <v>257.27</v>
      </c>
      <c r="Y880" s="6"/>
      <c r="Z880" s="6">
        <f ca="1">('TUSD BE'!$AM$53+'TUSD BF_350'!$AM$53+'TUSD CVA'!$AM$53)*(1-CUSTOS!$M$38)</f>
        <v>384.5822</v>
      </c>
      <c r="AA880" s="6">
        <f ca="1">('TE BE'!$AB$31+'TE BF_350'!$AB$31+'TE CVA'!$AB$31)*(1-CUSTOS!$M$38)</f>
        <v>229.35999999999999</v>
      </c>
      <c r="AB880" s="6">
        <f>$K$880*$V$880</f>
        <v>0</v>
      </c>
      <c r="AC880" s="6">
        <f>$M$880*$W$880</f>
        <v>73218.253939999995</v>
      </c>
      <c r="AD880" s="6">
        <f>$O$880*$X$880</f>
        <v>71281.541629999992</v>
      </c>
      <c r="AE880" s="6">
        <f>$K$880*$Y$880</f>
        <v>0</v>
      </c>
      <c r="AF880" s="6">
        <f ca="1">$M$880*$Z$880</f>
        <v>106555.80557180001</v>
      </c>
      <c r="AG880" s="6">
        <f ca="1">$O$880*$AA$880</f>
        <v>63548.545839999999</v>
      </c>
    </row>
    <row r="881" spans="1:33" ht="11.25" customHeight="1" x14ac:dyDescent="0.3">
      <c r="A881" s="4" t="s">
        <v>27</v>
      </c>
      <c r="B881" s="4" t="s">
        <v>44</v>
      </c>
      <c r="C881" s="4" t="s">
        <v>23</v>
      </c>
      <c r="D881" s="4" t="s">
        <v>45</v>
      </c>
      <c r="E881" s="4" t="s">
        <v>25</v>
      </c>
      <c r="F881" s="4" t="s">
        <v>25</v>
      </c>
      <c r="G881" s="4" t="s">
        <v>25</v>
      </c>
      <c r="H881" s="4" t="s">
        <v>25</v>
      </c>
      <c r="I881" s="5">
        <v>44593</v>
      </c>
      <c r="J881" s="6">
        <v>0</v>
      </c>
      <c r="K881" s="6">
        <v>0</v>
      </c>
      <c r="L881" s="6">
        <v>-0.38600000000000001</v>
      </c>
      <c r="M881" s="6">
        <v>-0.38600000000000001</v>
      </c>
      <c r="N881" s="6">
        <v>-0.38600000000000001</v>
      </c>
      <c r="O881" s="6">
        <v>-0.38600000000000001</v>
      </c>
      <c r="P881" s="6">
        <v>0</v>
      </c>
      <c r="Q881" s="4" t="s">
        <v>26</v>
      </c>
      <c r="R881" s="4">
        <v>0</v>
      </c>
      <c r="S881" s="6">
        <v>0</v>
      </c>
      <c r="T881" s="6">
        <v>47</v>
      </c>
      <c r="U881" s="6">
        <v>109</v>
      </c>
      <c r="V881" s="6">
        <f>IF(ISERROR(VLOOKUP($S$881,'TAR FIN'!$A$1:$O$113,15,0)),0,VLOOKUP($S$881,'TAR FIN'!$A$1:$O$113,15,0))</f>
        <v>0</v>
      </c>
      <c r="W881" s="6">
        <f>IF(ISERROR(VLOOKUP($T$881,'TAR FIN'!$A$1:$O$113,15,0)),0,VLOOKUP($T$881,'TAR FIN'!$A$1:$O$113,15,0))</f>
        <v>264.26</v>
      </c>
      <c r="X881" s="6">
        <f>IF(ISERROR(VLOOKUP($U$881,'TAR FIN'!$A$1:$O$113,15,0)),0,VLOOKUP($U$881,'TAR FIN'!$A$1:$O$113,15,0))</f>
        <v>257.27</v>
      </c>
      <c r="Y881" s="6"/>
      <c r="Z881" s="6">
        <f ca="1">('TUSD BE'!$AM$53+'TUSD BF_350'!$AM$53+'TUSD CVA'!$AM$53)*(1-CUSTOS!$M$38)</f>
        <v>384.5822</v>
      </c>
      <c r="AA881" s="6">
        <f ca="1">('TE BE'!$AB$31+'TE BF_350'!$AB$31+'TE CVA'!$AB$31)*(1-CUSTOS!$M$38)</f>
        <v>229.35999999999999</v>
      </c>
      <c r="AB881" s="6">
        <f>$K$881*$V$881</f>
        <v>0</v>
      </c>
      <c r="AC881" s="6">
        <f>$M$881*$W$881</f>
        <v>-102.00436000000001</v>
      </c>
      <c r="AD881" s="6">
        <f>$O$881*$X$881</f>
        <v>-99.306219999999996</v>
      </c>
      <c r="AE881" s="6">
        <f>$K$881*$Y$881</f>
        <v>0</v>
      </c>
      <c r="AF881" s="6">
        <f ca="1">$M$881*$Z$881</f>
        <v>-148.4487292</v>
      </c>
      <c r="AG881" s="6">
        <f ca="1">$O$881*$AA$881</f>
        <v>-88.532960000000003</v>
      </c>
    </row>
    <row r="882" spans="1:33" ht="11.25" customHeight="1" x14ac:dyDescent="0.3">
      <c r="A882" s="4" t="s">
        <v>28</v>
      </c>
      <c r="B882" s="4" t="s">
        <v>44</v>
      </c>
      <c r="C882" s="4" t="s">
        <v>23</v>
      </c>
      <c r="D882" s="4" t="s">
        <v>45</v>
      </c>
      <c r="E882" s="4" t="s">
        <v>25</v>
      </c>
      <c r="F882" s="4" t="s">
        <v>25</v>
      </c>
      <c r="G882" s="4" t="s">
        <v>25</v>
      </c>
      <c r="H882" s="4" t="s">
        <v>25</v>
      </c>
      <c r="I882" s="5">
        <v>44593</v>
      </c>
      <c r="J882" s="6">
        <v>0</v>
      </c>
      <c r="K882" s="6">
        <v>0</v>
      </c>
      <c r="L882" s="6">
        <v>7.6260000000000003</v>
      </c>
      <c r="M882" s="6">
        <v>7.6260000000000003</v>
      </c>
      <c r="N882" s="6">
        <v>7.6260000000000003</v>
      </c>
      <c r="O882" s="6">
        <v>7.6260000000000003</v>
      </c>
      <c r="P882" s="6">
        <v>34</v>
      </c>
      <c r="Q882" s="4" t="s">
        <v>26</v>
      </c>
      <c r="R882" s="4">
        <v>0</v>
      </c>
      <c r="S882" s="6">
        <v>0</v>
      </c>
      <c r="T882" s="6">
        <v>47</v>
      </c>
      <c r="U882" s="6">
        <v>109</v>
      </c>
      <c r="V882" s="6">
        <f>IF(ISERROR(VLOOKUP($S$882,'TAR FIN'!$A$1:$O$113,15,0)),0,VLOOKUP($S$882,'TAR FIN'!$A$1:$O$113,15,0))</f>
        <v>0</v>
      </c>
      <c r="W882" s="6">
        <f>IF(ISERROR(VLOOKUP($T$882,'TAR FIN'!$A$1:$O$113,15,0)),0,VLOOKUP($T$882,'TAR FIN'!$A$1:$O$113,15,0))</f>
        <v>264.26</v>
      </c>
      <c r="X882" s="6">
        <f>IF(ISERROR(VLOOKUP($U$882,'TAR FIN'!$A$1:$O$113,15,0)),0,VLOOKUP($U$882,'TAR FIN'!$A$1:$O$113,15,0))</f>
        <v>257.27</v>
      </c>
      <c r="Y882" s="6"/>
      <c r="Z882" s="6">
        <f ca="1">('TUSD BE'!$AM$53+'TUSD BF_350'!$AM$53+'TUSD CVA'!$AM$53)*(1-CUSTOS!$M$38)</f>
        <v>384.5822</v>
      </c>
      <c r="AA882" s="6">
        <f ca="1">('TE BE'!$AB$31+'TE BF_350'!$AB$31+'TE CVA'!$AB$31)*(1-CUSTOS!$M$38)</f>
        <v>229.35999999999999</v>
      </c>
      <c r="AB882" s="6">
        <f>$K$882*$V$882</f>
        <v>0</v>
      </c>
      <c r="AC882" s="6">
        <f>$M$882*$W$882</f>
        <v>2015.24676</v>
      </c>
      <c r="AD882" s="6">
        <f>$O$882*$X$882</f>
        <v>1961.94102</v>
      </c>
      <c r="AE882" s="6">
        <f>$K$882*$Y$882</f>
        <v>0</v>
      </c>
      <c r="AF882" s="6">
        <f ca="1">$M$882*$Z$882</f>
        <v>2932.8238572</v>
      </c>
      <c r="AG882" s="6">
        <f ca="1">$O$882*$AA$882</f>
        <v>1749.0993599999999</v>
      </c>
    </row>
    <row r="883" spans="1:33" ht="11.25" customHeight="1" x14ac:dyDescent="0.3">
      <c r="A883" s="4" t="s">
        <v>28</v>
      </c>
      <c r="B883" s="4" t="s">
        <v>44</v>
      </c>
      <c r="C883" s="4" t="s">
        <v>23</v>
      </c>
      <c r="D883" s="4" t="s">
        <v>45</v>
      </c>
      <c r="E883" s="4" t="s">
        <v>25</v>
      </c>
      <c r="F883" s="4" t="s">
        <v>25</v>
      </c>
      <c r="G883" s="4" t="s">
        <v>25</v>
      </c>
      <c r="H883" s="4" t="s">
        <v>25</v>
      </c>
      <c r="I883" s="5">
        <v>44593</v>
      </c>
      <c r="J883" s="6">
        <v>0</v>
      </c>
      <c r="K883" s="6">
        <v>0</v>
      </c>
      <c r="L883" s="6">
        <v>0.1</v>
      </c>
      <c r="M883" s="6">
        <v>0.1</v>
      </c>
      <c r="N883" s="6">
        <v>0.1</v>
      </c>
      <c r="O883" s="6">
        <v>0.1</v>
      </c>
      <c r="P883" s="6">
        <v>1</v>
      </c>
      <c r="Q883" s="4" t="s">
        <v>26</v>
      </c>
      <c r="R883" s="4">
        <v>0</v>
      </c>
      <c r="S883" s="6">
        <v>0</v>
      </c>
      <c r="T883" s="6">
        <v>47</v>
      </c>
      <c r="U883" s="6">
        <v>109</v>
      </c>
      <c r="V883" s="6">
        <f>IF(ISERROR(VLOOKUP($S$883,'TAR FIN'!$A$1:$O$113,15,0)),0,VLOOKUP($S$883,'TAR FIN'!$A$1:$O$113,15,0))</f>
        <v>0</v>
      </c>
      <c r="W883" s="6">
        <f>IF(ISERROR(VLOOKUP($T$883,'TAR FIN'!$A$1:$O$113,15,0)),0,VLOOKUP($T$883,'TAR FIN'!$A$1:$O$113,15,0))</f>
        <v>264.26</v>
      </c>
      <c r="X883" s="6">
        <f>IF(ISERROR(VLOOKUP($U$883,'TAR FIN'!$A$1:$O$113,15,0)),0,VLOOKUP($U$883,'TAR FIN'!$A$1:$O$113,15,0))</f>
        <v>257.27</v>
      </c>
      <c r="Y883" s="6"/>
      <c r="Z883" s="6">
        <f ca="1">('TUSD BE'!$AM$53+'TUSD BF_350'!$AM$53+'TUSD CVA'!$AM$53)*(1-CUSTOS!$M$38)</f>
        <v>384.5822</v>
      </c>
      <c r="AA883" s="6">
        <f ca="1">('TE BE'!$AB$31+'TE BF_350'!$AB$31+'TE CVA'!$AB$31)*(1-CUSTOS!$M$38)</f>
        <v>229.35999999999999</v>
      </c>
      <c r="AB883" s="6">
        <f>$K$883*$V$883</f>
        <v>0</v>
      </c>
      <c r="AC883" s="6">
        <f>$M$883*$W$883</f>
        <v>26.426000000000002</v>
      </c>
      <c r="AD883" s="6">
        <f>$O$883*$X$883</f>
        <v>25.727</v>
      </c>
      <c r="AE883" s="6">
        <f>$K$883*$Y$883</f>
        <v>0</v>
      </c>
      <c r="AF883" s="6">
        <f ca="1">$M$883*$Z$883</f>
        <v>38.458220000000004</v>
      </c>
      <c r="AG883" s="6">
        <f ca="1">$O$883*$AA$883</f>
        <v>22.936</v>
      </c>
    </row>
    <row r="884" spans="1:33" ht="11.25" customHeight="1" x14ac:dyDescent="0.3">
      <c r="A884" s="4" t="s">
        <v>21</v>
      </c>
      <c r="B884" s="4" t="s">
        <v>44</v>
      </c>
      <c r="C884" s="4" t="s">
        <v>23</v>
      </c>
      <c r="D884" s="4" t="s">
        <v>45</v>
      </c>
      <c r="E884" s="4" t="s">
        <v>25</v>
      </c>
      <c r="F884" s="4" t="s">
        <v>25</v>
      </c>
      <c r="G884" s="4" t="s">
        <v>25</v>
      </c>
      <c r="H884" s="4" t="s">
        <v>25</v>
      </c>
      <c r="I884" s="5">
        <v>44621</v>
      </c>
      <c r="J884" s="6">
        <v>0</v>
      </c>
      <c r="K884" s="6">
        <v>0</v>
      </c>
      <c r="L884" s="6">
        <v>287.67899999999997</v>
      </c>
      <c r="M884" s="6">
        <v>287.67899999999997</v>
      </c>
      <c r="N884" s="6">
        <v>287.67899999999997</v>
      </c>
      <c r="O884" s="6">
        <v>287.67899999999997</v>
      </c>
      <c r="P884" s="6">
        <v>437</v>
      </c>
      <c r="Q884" s="4" t="s">
        <v>26</v>
      </c>
      <c r="R884" s="4">
        <v>0</v>
      </c>
      <c r="S884" s="6">
        <v>0</v>
      </c>
      <c r="T884" s="6">
        <v>47</v>
      </c>
      <c r="U884" s="6">
        <v>109</v>
      </c>
      <c r="V884" s="6">
        <f>IF(ISERROR(VLOOKUP($S$884,'TAR FIN'!$A$1:$O$113,15,0)),0,VLOOKUP($S$884,'TAR FIN'!$A$1:$O$113,15,0))</f>
        <v>0</v>
      </c>
      <c r="W884" s="6">
        <f>IF(ISERROR(VLOOKUP($T$884,'TAR FIN'!$A$1:$O$113,15,0)),0,VLOOKUP($T$884,'TAR FIN'!$A$1:$O$113,15,0))</f>
        <v>264.26</v>
      </c>
      <c r="X884" s="6">
        <f>IF(ISERROR(VLOOKUP($U$884,'TAR FIN'!$A$1:$O$113,15,0)),0,VLOOKUP($U$884,'TAR FIN'!$A$1:$O$113,15,0))</f>
        <v>257.27</v>
      </c>
      <c r="Y884" s="6"/>
      <c r="Z884" s="6">
        <f ca="1">('TUSD BE'!$AM$53+'TUSD BF_350'!$AM$53+'TUSD CVA'!$AM$53)*(1-CUSTOS!$M$38)</f>
        <v>384.5822</v>
      </c>
      <c r="AA884" s="6">
        <f ca="1">('TE BE'!$AB$31+'TE BF_350'!$AB$31+'TE CVA'!$AB$31)*(1-CUSTOS!$M$38)</f>
        <v>229.35999999999999</v>
      </c>
      <c r="AB884" s="6">
        <f>$K$884*$V$884</f>
        <v>0</v>
      </c>
      <c r="AC884" s="6">
        <f>$M$884*$W$884</f>
        <v>76022.05253999999</v>
      </c>
      <c r="AD884" s="6">
        <f>$O$884*$X$884</f>
        <v>74011.176329999988</v>
      </c>
      <c r="AE884" s="6">
        <f>$K$884*$Y$884</f>
        <v>0</v>
      </c>
      <c r="AF884" s="6">
        <f ca="1">$M$884*$Z$884</f>
        <v>110636.22271379999</v>
      </c>
      <c r="AG884" s="6">
        <f ca="1">$O$884*$AA$884</f>
        <v>65982.055439999996</v>
      </c>
    </row>
    <row r="885" spans="1:33" ht="11.25" customHeight="1" x14ac:dyDescent="0.3">
      <c r="A885" s="4" t="s">
        <v>27</v>
      </c>
      <c r="B885" s="4" t="s">
        <v>44</v>
      </c>
      <c r="C885" s="4" t="s">
        <v>23</v>
      </c>
      <c r="D885" s="4" t="s">
        <v>45</v>
      </c>
      <c r="E885" s="4" t="s">
        <v>25</v>
      </c>
      <c r="F885" s="4" t="s">
        <v>25</v>
      </c>
      <c r="G885" s="4" t="s">
        <v>25</v>
      </c>
      <c r="H885" s="4" t="s">
        <v>25</v>
      </c>
      <c r="I885" s="5">
        <v>44621</v>
      </c>
      <c r="J885" s="6">
        <v>0</v>
      </c>
      <c r="K885" s="6">
        <v>0</v>
      </c>
      <c r="L885" s="6">
        <v>-1.06</v>
      </c>
      <c r="M885" s="6">
        <v>-1.06</v>
      </c>
      <c r="N885" s="6">
        <v>-1.06</v>
      </c>
      <c r="O885" s="6">
        <v>-1.06</v>
      </c>
      <c r="P885" s="6">
        <v>0</v>
      </c>
      <c r="Q885" s="4" t="s">
        <v>26</v>
      </c>
      <c r="R885" s="4">
        <v>0</v>
      </c>
      <c r="S885" s="6">
        <v>0</v>
      </c>
      <c r="T885" s="6">
        <v>47</v>
      </c>
      <c r="U885" s="6">
        <v>109</v>
      </c>
      <c r="V885" s="6">
        <f>IF(ISERROR(VLOOKUP($S$885,'TAR FIN'!$A$1:$O$113,15,0)),0,VLOOKUP($S$885,'TAR FIN'!$A$1:$O$113,15,0))</f>
        <v>0</v>
      </c>
      <c r="W885" s="6">
        <f>IF(ISERROR(VLOOKUP($T$885,'TAR FIN'!$A$1:$O$113,15,0)),0,VLOOKUP($T$885,'TAR FIN'!$A$1:$O$113,15,0))</f>
        <v>264.26</v>
      </c>
      <c r="X885" s="6">
        <f>IF(ISERROR(VLOOKUP($U$885,'TAR FIN'!$A$1:$O$113,15,0)),0,VLOOKUP($U$885,'TAR FIN'!$A$1:$O$113,15,0))</f>
        <v>257.27</v>
      </c>
      <c r="Y885" s="6"/>
      <c r="Z885" s="6">
        <f ca="1">('TUSD BE'!$AM$53+'TUSD BF_350'!$AM$53+'TUSD CVA'!$AM$53)*(1-CUSTOS!$M$38)</f>
        <v>384.5822</v>
      </c>
      <c r="AA885" s="6">
        <f ca="1">('TE BE'!$AB$31+'TE BF_350'!$AB$31+'TE CVA'!$AB$31)*(1-CUSTOS!$M$38)</f>
        <v>229.35999999999999</v>
      </c>
      <c r="AB885" s="6">
        <f>$K$885*$V$885</f>
        <v>0</v>
      </c>
      <c r="AC885" s="6">
        <f>$M$885*$W$885</f>
        <v>-280.11560000000003</v>
      </c>
      <c r="AD885" s="6">
        <f>$O$885*$X$885</f>
        <v>-272.70619999999997</v>
      </c>
      <c r="AE885" s="6">
        <f>$K$885*$Y$885</f>
        <v>0</v>
      </c>
      <c r="AF885" s="6">
        <f ca="1">$M$885*$Z$885</f>
        <v>-407.65713200000005</v>
      </c>
      <c r="AG885" s="6">
        <f ca="1">$O$885*$AA$885</f>
        <v>-243.1216</v>
      </c>
    </row>
    <row r="886" spans="1:33" ht="11.25" customHeight="1" x14ac:dyDescent="0.3">
      <c r="A886" s="4" t="s">
        <v>28</v>
      </c>
      <c r="B886" s="4" t="s">
        <v>44</v>
      </c>
      <c r="C886" s="4" t="s">
        <v>23</v>
      </c>
      <c r="D886" s="4" t="s">
        <v>45</v>
      </c>
      <c r="E886" s="4" t="s">
        <v>25</v>
      </c>
      <c r="F886" s="4" t="s">
        <v>25</v>
      </c>
      <c r="G886" s="4" t="s">
        <v>25</v>
      </c>
      <c r="H886" s="4" t="s">
        <v>25</v>
      </c>
      <c r="I886" s="5">
        <v>44621</v>
      </c>
      <c r="J886" s="6">
        <v>0</v>
      </c>
      <c r="K886" s="6">
        <v>0</v>
      </c>
      <c r="L886" s="6">
        <v>8.6259999999999994</v>
      </c>
      <c r="M886" s="6">
        <v>8.6259999999999994</v>
      </c>
      <c r="N886" s="6">
        <v>8.6259999999999994</v>
      </c>
      <c r="O886" s="6">
        <v>8.6259999999999994</v>
      </c>
      <c r="P886" s="6">
        <v>36</v>
      </c>
      <c r="Q886" s="4" t="s">
        <v>26</v>
      </c>
      <c r="R886" s="4">
        <v>0</v>
      </c>
      <c r="S886" s="6">
        <v>0</v>
      </c>
      <c r="T886" s="6">
        <v>47</v>
      </c>
      <c r="U886" s="6">
        <v>109</v>
      </c>
      <c r="V886" s="6">
        <f>IF(ISERROR(VLOOKUP($S$886,'TAR FIN'!$A$1:$O$113,15,0)),0,VLOOKUP($S$886,'TAR FIN'!$A$1:$O$113,15,0))</f>
        <v>0</v>
      </c>
      <c r="W886" s="6">
        <f>IF(ISERROR(VLOOKUP($T$886,'TAR FIN'!$A$1:$O$113,15,0)),0,VLOOKUP($T$886,'TAR FIN'!$A$1:$O$113,15,0))</f>
        <v>264.26</v>
      </c>
      <c r="X886" s="6">
        <f>IF(ISERROR(VLOOKUP($U$886,'TAR FIN'!$A$1:$O$113,15,0)),0,VLOOKUP($U$886,'TAR FIN'!$A$1:$O$113,15,0))</f>
        <v>257.27</v>
      </c>
      <c r="Y886" s="6"/>
      <c r="Z886" s="6">
        <f ca="1">('TUSD BE'!$AM$53+'TUSD BF_350'!$AM$53+'TUSD CVA'!$AM$53)*(1-CUSTOS!$M$38)</f>
        <v>384.5822</v>
      </c>
      <c r="AA886" s="6">
        <f ca="1">('TE BE'!$AB$31+'TE BF_350'!$AB$31+'TE CVA'!$AB$31)*(1-CUSTOS!$M$38)</f>
        <v>229.35999999999999</v>
      </c>
      <c r="AB886" s="6">
        <f>$K$886*$V$886</f>
        <v>0</v>
      </c>
      <c r="AC886" s="6">
        <f>$M$886*$W$886</f>
        <v>2279.5067599999998</v>
      </c>
      <c r="AD886" s="6">
        <f>$O$886*$X$886</f>
        <v>2219.2110199999997</v>
      </c>
      <c r="AE886" s="6">
        <f>$K$886*$Y$886</f>
        <v>0</v>
      </c>
      <c r="AF886" s="6">
        <f ca="1">$M$886*$Z$886</f>
        <v>3317.4060571999999</v>
      </c>
      <c r="AG886" s="6">
        <f ca="1">$O$886*$AA$886</f>
        <v>1978.4593599999998</v>
      </c>
    </row>
    <row r="887" spans="1:33" ht="11.25" customHeight="1" x14ac:dyDescent="0.3">
      <c r="A887" s="4" t="s">
        <v>21</v>
      </c>
      <c r="B887" s="4" t="s">
        <v>44</v>
      </c>
      <c r="C887" s="4" t="s">
        <v>23</v>
      </c>
      <c r="D887" s="4" t="s">
        <v>45</v>
      </c>
      <c r="E887" s="4" t="s">
        <v>25</v>
      </c>
      <c r="F887" s="4" t="s">
        <v>25</v>
      </c>
      <c r="G887" s="4" t="s">
        <v>25</v>
      </c>
      <c r="H887" s="4" t="s">
        <v>25</v>
      </c>
      <c r="I887" s="5">
        <v>44652</v>
      </c>
      <c r="J887" s="6">
        <v>0</v>
      </c>
      <c r="K887" s="6">
        <v>0</v>
      </c>
      <c r="L887" s="6">
        <v>277.33300000000003</v>
      </c>
      <c r="M887" s="6">
        <v>277.33300000000003</v>
      </c>
      <c r="N887" s="6">
        <v>277.33300000000003</v>
      </c>
      <c r="O887" s="6">
        <v>277.33300000000003</v>
      </c>
      <c r="P887" s="6">
        <v>435</v>
      </c>
      <c r="Q887" s="4" t="s">
        <v>26</v>
      </c>
      <c r="R887" s="4">
        <v>0</v>
      </c>
      <c r="S887" s="6">
        <v>0</v>
      </c>
      <c r="T887" s="6">
        <v>47</v>
      </c>
      <c r="U887" s="6">
        <v>109</v>
      </c>
      <c r="V887" s="6">
        <f>IF(ISERROR(VLOOKUP($S$887,'TAR FIN'!$A$1:$O$113,15,0)),0,VLOOKUP($S$887,'TAR FIN'!$A$1:$O$113,15,0))</f>
        <v>0</v>
      </c>
      <c r="W887" s="6">
        <f>IF(ISERROR(VLOOKUP($T$887,'TAR FIN'!$A$1:$O$113,15,0)),0,VLOOKUP($T$887,'TAR FIN'!$A$1:$O$113,15,0))</f>
        <v>264.26</v>
      </c>
      <c r="X887" s="6">
        <f>IF(ISERROR(VLOOKUP($U$887,'TAR FIN'!$A$1:$O$113,15,0)),0,VLOOKUP($U$887,'TAR FIN'!$A$1:$O$113,15,0))</f>
        <v>257.27</v>
      </c>
      <c r="Y887" s="6"/>
      <c r="Z887" s="6">
        <f ca="1">('TUSD BE'!$AM$53+'TUSD BF_350'!$AM$53+'TUSD CVA'!$AM$53)*(1-CUSTOS!$M$38)</f>
        <v>384.5822</v>
      </c>
      <c r="AA887" s="6">
        <f ca="1">('TE BE'!$AB$31+'TE BF_350'!$AB$31+'TE CVA'!$AB$31)*(1-CUSTOS!$M$38)</f>
        <v>229.35999999999999</v>
      </c>
      <c r="AB887" s="6">
        <f>$K$887*$V$887</f>
        <v>0</v>
      </c>
      <c r="AC887" s="6">
        <f>$M$887*$W$887</f>
        <v>73288.018580000004</v>
      </c>
      <c r="AD887" s="6">
        <f>$O$887*$X$887</f>
        <v>71349.460910000009</v>
      </c>
      <c r="AE887" s="6">
        <f>$K$887*$Y$887</f>
        <v>0</v>
      </c>
      <c r="AF887" s="6">
        <f ca="1">$M$887*$Z$887</f>
        <v>106657.33527260002</v>
      </c>
      <c r="AG887" s="6">
        <f ca="1">$O$887*$AA$887</f>
        <v>63609.096880000005</v>
      </c>
    </row>
    <row r="888" spans="1:33" ht="11.25" customHeight="1" x14ac:dyDescent="0.3">
      <c r="A888" s="4" t="s">
        <v>28</v>
      </c>
      <c r="B888" s="4" t="s">
        <v>44</v>
      </c>
      <c r="C888" s="4" t="s">
        <v>23</v>
      </c>
      <c r="D888" s="4" t="s">
        <v>45</v>
      </c>
      <c r="E888" s="4" t="s">
        <v>25</v>
      </c>
      <c r="F888" s="4" t="s">
        <v>25</v>
      </c>
      <c r="G888" s="4" t="s">
        <v>25</v>
      </c>
      <c r="H888" s="4" t="s">
        <v>25</v>
      </c>
      <c r="I888" s="5">
        <v>44652</v>
      </c>
      <c r="J888" s="6">
        <v>0</v>
      </c>
      <c r="K888" s="6">
        <v>0</v>
      </c>
      <c r="L888" s="6">
        <v>7.6239999999999997</v>
      </c>
      <c r="M888" s="6">
        <v>7.6239999999999997</v>
      </c>
      <c r="N888" s="6">
        <v>7.6239999999999997</v>
      </c>
      <c r="O888" s="6">
        <v>7.6239999999999997</v>
      </c>
      <c r="P888" s="6">
        <v>37</v>
      </c>
      <c r="Q888" s="4" t="s">
        <v>26</v>
      </c>
      <c r="R888" s="4">
        <v>0</v>
      </c>
      <c r="S888" s="6">
        <v>0</v>
      </c>
      <c r="T888" s="6">
        <v>47</v>
      </c>
      <c r="U888" s="6">
        <v>109</v>
      </c>
      <c r="V888" s="6">
        <f>IF(ISERROR(VLOOKUP($S$888,'TAR FIN'!$A$1:$O$113,15,0)),0,VLOOKUP($S$888,'TAR FIN'!$A$1:$O$113,15,0))</f>
        <v>0</v>
      </c>
      <c r="W888" s="6">
        <f>IF(ISERROR(VLOOKUP($T$888,'TAR FIN'!$A$1:$O$113,15,0)),0,VLOOKUP($T$888,'TAR FIN'!$A$1:$O$113,15,0))</f>
        <v>264.26</v>
      </c>
      <c r="X888" s="6">
        <f>IF(ISERROR(VLOOKUP($U$888,'TAR FIN'!$A$1:$O$113,15,0)),0,VLOOKUP($U$888,'TAR FIN'!$A$1:$O$113,15,0))</f>
        <v>257.27</v>
      </c>
      <c r="Y888" s="6"/>
      <c r="Z888" s="6">
        <f ca="1">('TUSD BE'!$AM$53+'TUSD BF_350'!$AM$53+'TUSD CVA'!$AM$53)*(1-CUSTOS!$M$38)</f>
        <v>384.5822</v>
      </c>
      <c r="AA888" s="6">
        <f ca="1">('TE BE'!$AB$31+'TE BF_350'!$AB$31+'TE CVA'!$AB$31)*(1-CUSTOS!$M$38)</f>
        <v>229.35999999999999</v>
      </c>
      <c r="AB888" s="6">
        <f>$K$888*$V$888</f>
        <v>0</v>
      </c>
      <c r="AC888" s="6">
        <f>$M$888*$W$888</f>
        <v>2014.7182399999999</v>
      </c>
      <c r="AD888" s="6">
        <f>$O$888*$X$888</f>
        <v>1961.4264799999999</v>
      </c>
      <c r="AE888" s="6">
        <f>$K$888*$Y$888</f>
        <v>0</v>
      </c>
      <c r="AF888" s="6">
        <f ca="1">$M$888*$Z$888</f>
        <v>2932.0546927999999</v>
      </c>
      <c r="AG888" s="6">
        <f ca="1">$O$888*$AA$888</f>
        <v>1748.6406399999998</v>
      </c>
    </row>
    <row r="889" spans="1:33" ht="11.25" customHeight="1" x14ac:dyDescent="0.3">
      <c r="A889" s="4" t="s">
        <v>21</v>
      </c>
      <c r="B889" s="4" t="s">
        <v>44</v>
      </c>
      <c r="C889" s="4" t="s">
        <v>23</v>
      </c>
      <c r="D889" s="4" t="s">
        <v>45</v>
      </c>
      <c r="E889" s="4" t="s">
        <v>25</v>
      </c>
      <c r="F889" s="4" t="s">
        <v>25</v>
      </c>
      <c r="G889" s="4" t="s">
        <v>25</v>
      </c>
      <c r="H889" s="4" t="s">
        <v>25</v>
      </c>
      <c r="I889" s="5">
        <v>44682</v>
      </c>
      <c r="J889" s="6">
        <v>0</v>
      </c>
      <c r="K889" s="6">
        <v>0</v>
      </c>
      <c r="L889" s="6">
        <v>296.34100000000001</v>
      </c>
      <c r="M889" s="6">
        <v>296.34100000000001</v>
      </c>
      <c r="N889" s="6">
        <v>296.34100000000001</v>
      </c>
      <c r="O889" s="6">
        <v>296.34100000000001</v>
      </c>
      <c r="P889" s="6">
        <v>435</v>
      </c>
      <c r="Q889" s="4" t="s">
        <v>26</v>
      </c>
      <c r="R889" s="4">
        <v>0</v>
      </c>
      <c r="S889" s="6">
        <v>0</v>
      </c>
      <c r="T889" s="6">
        <v>47</v>
      </c>
      <c r="U889" s="6">
        <v>109</v>
      </c>
      <c r="V889" s="6">
        <f>IF(ISERROR(VLOOKUP($S$889,'TAR FIN'!$A$1:$O$113,15,0)),0,VLOOKUP($S$889,'TAR FIN'!$A$1:$O$113,15,0))</f>
        <v>0</v>
      </c>
      <c r="W889" s="6">
        <f>IF(ISERROR(VLOOKUP($T$889,'TAR FIN'!$A$1:$O$113,15,0)),0,VLOOKUP($T$889,'TAR FIN'!$A$1:$O$113,15,0))</f>
        <v>264.26</v>
      </c>
      <c r="X889" s="6">
        <f>IF(ISERROR(VLOOKUP($U$889,'TAR FIN'!$A$1:$O$113,15,0)),0,VLOOKUP($U$889,'TAR FIN'!$A$1:$O$113,15,0))</f>
        <v>257.27</v>
      </c>
      <c r="Y889" s="6"/>
      <c r="Z889" s="6">
        <f ca="1">('TUSD BE'!$AM$53+'TUSD BF_350'!$AM$53+'TUSD CVA'!$AM$53)*(1-CUSTOS!$M$38)</f>
        <v>384.5822</v>
      </c>
      <c r="AA889" s="6">
        <f ca="1">('TE BE'!$AB$31+'TE BF_350'!$AB$31+'TE CVA'!$AB$31)*(1-CUSTOS!$M$38)</f>
        <v>229.35999999999999</v>
      </c>
      <c r="AB889" s="6">
        <f>$K$889*$V$889</f>
        <v>0</v>
      </c>
      <c r="AC889" s="6">
        <f>$M$889*$W$889</f>
        <v>78311.072660000005</v>
      </c>
      <c r="AD889" s="6">
        <f>$O$889*$X$889</f>
        <v>76239.649069999999</v>
      </c>
      <c r="AE889" s="6">
        <f>$K$889*$Y$889</f>
        <v>0</v>
      </c>
      <c r="AF889" s="6">
        <f ca="1">$M$889*$Z$889</f>
        <v>113967.4737302</v>
      </c>
      <c r="AG889" s="6">
        <f ca="1">$O$889*$AA$889</f>
        <v>67968.771760000003</v>
      </c>
    </row>
    <row r="890" spans="1:33" ht="11.25" customHeight="1" x14ac:dyDescent="0.3">
      <c r="A890" s="4" t="s">
        <v>27</v>
      </c>
      <c r="B890" s="4" t="s">
        <v>44</v>
      </c>
      <c r="C890" s="4" t="s">
        <v>23</v>
      </c>
      <c r="D890" s="4" t="s">
        <v>45</v>
      </c>
      <c r="E890" s="4" t="s">
        <v>25</v>
      </c>
      <c r="F890" s="4" t="s">
        <v>25</v>
      </c>
      <c r="G890" s="4" t="s">
        <v>25</v>
      </c>
      <c r="H890" s="4" t="s">
        <v>25</v>
      </c>
      <c r="I890" s="5">
        <v>44682</v>
      </c>
      <c r="J890" s="6">
        <v>0</v>
      </c>
      <c r="K890" s="6">
        <v>0</v>
      </c>
      <c r="L890" s="6">
        <v>-0.35899999999999999</v>
      </c>
      <c r="M890" s="6">
        <v>-0.35899999999999999</v>
      </c>
      <c r="N890" s="6">
        <v>-0.35899999999999999</v>
      </c>
      <c r="O890" s="6">
        <v>-0.35899999999999999</v>
      </c>
      <c r="P890" s="6">
        <v>0</v>
      </c>
      <c r="Q890" s="4" t="s">
        <v>26</v>
      </c>
      <c r="R890" s="4">
        <v>0</v>
      </c>
      <c r="S890" s="6">
        <v>0</v>
      </c>
      <c r="T890" s="6">
        <v>47</v>
      </c>
      <c r="U890" s="6">
        <v>109</v>
      </c>
      <c r="V890" s="6">
        <f>IF(ISERROR(VLOOKUP($S$890,'TAR FIN'!$A$1:$O$113,15,0)),0,VLOOKUP($S$890,'TAR FIN'!$A$1:$O$113,15,0))</f>
        <v>0</v>
      </c>
      <c r="W890" s="6">
        <f>IF(ISERROR(VLOOKUP($T$890,'TAR FIN'!$A$1:$O$113,15,0)),0,VLOOKUP($T$890,'TAR FIN'!$A$1:$O$113,15,0))</f>
        <v>264.26</v>
      </c>
      <c r="X890" s="6">
        <f>IF(ISERROR(VLOOKUP($U$890,'TAR FIN'!$A$1:$O$113,15,0)),0,VLOOKUP($U$890,'TAR FIN'!$A$1:$O$113,15,0))</f>
        <v>257.27</v>
      </c>
      <c r="Y890" s="6"/>
      <c r="Z890" s="6">
        <f ca="1">('TUSD BE'!$AM$53+'TUSD BF_350'!$AM$53+'TUSD CVA'!$AM$53)*(1-CUSTOS!$M$38)</f>
        <v>384.5822</v>
      </c>
      <c r="AA890" s="6">
        <f ca="1">('TE BE'!$AB$31+'TE BF_350'!$AB$31+'TE CVA'!$AB$31)*(1-CUSTOS!$M$38)</f>
        <v>229.35999999999999</v>
      </c>
      <c r="AB890" s="6">
        <f>$K$890*$V$890</f>
        <v>0</v>
      </c>
      <c r="AC890" s="6">
        <f>$M$890*$W$890</f>
        <v>-94.869339999999994</v>
      </c>
      <c r="AD890" s="6">
        <f>$O$890*$X$890</f>
        <v>-92.359929999999991</v>
      </c>
      <c r="AE890" s="6">
        <f>$K$890*$Y$890</f>
        <v>0</v>
      </c>
      <c r="AF890" s="6">
        <f ca="1">$M$890*$Z$890</f>
        <v>-138.06500979999998</v>
      </c>
      <c r="AG890" s="6">
        <f ca="1">$O$890*$AA$890</f>
        <v>-82.340239999999994</v>
      </c>
    </row>
    <row r="891" spans="1:33" ht="11.25" customHeight="1" x14ac:dyDescent="0.3">
      <c r="A891" s="4" t="s">
        <v>28</v>
      </c>
      <c r="B891" s="4" t="s">
        <v>44</v>
      </c>
      <c r="C891" s="4" t="s">
        <v>23</v>
      </c>
      <c r="D891" s="4" t="s">
        <v>45</v>
      </c>
      <c r="E891" s="4" t="s">
        <v>25</v>
      </c>
      <c r="F891" s="4" t="s">
        <v>25</v>
      </c>
      <c r="G891" s="4" t="s">
        <v>25</v>
      </c>
      <c r="H891" s="4" t="s">
        <v>25</v>
      </c>
      <c r="I891" s="5">
        <v>44682</v>
      </c>
      <c r="J891" s="6">
        <v>0</v>
      </c>
      <c r="K891" s="6">
        <v>0</v>
      </c>
      <c r="L891" s="6">
        <v>7.7039999999999997</v>
      </c>
      <c r="M891" s="6">
        <v>7.7039999999999997</v>
      </c>
      <c r="N891" s="6">
        <v>7.7039999999999997</v>
      </c>
      <c r="O891" s="6">
        <v>7.7039999999999997</v>
      </c>
      <c r="P891" s="6">
        <v>37</v>
      </c>
      <c r="Q891" s="4" t="s">
        <v>26</v>
      </c>
      <c r="R891" s="4">
        <v>0</v>
      </c>
      <c r="S891" s="6">
        <v>0</v>
      </c>
      <c r="T891" s="6">
        <v>47</v>
      </c>
      <c r="U891" s="6">
        <v>109</v>
      </c>
      <c r="V891" s="6">
        <f>IF(ISERROR(VLOOKUP($S$891,'TAR FIN'!$A$1:$O$113,15,0)),0,VLOOKUP($S$891,'TAR FIN'!$A$1:$O$113,15,0))</f>
        <v>0</v>
      </c>
      <c r="W891" s="6">
        <f>IF(ISERROR(VLOOKUP($T$891,'TAR FIN'!$A$1:$O$113,15,0)),0,VLOOKUP($T$891,'TAR FIN'!$A$1:$O$113,15,0))</f>
        <v>264.26</v>
      </c>
      <c r="X891" s="6">
        <f>IF(ISERROR(VLOOKUP($U$891,'TAR FIN'!$A$1:$O$113,15,0)),0,VLOOKUP($U$891,'TAR FIN'!$A$1:$O$113,15,0))</f>
        <v>257.27</v>
      </c>
      <c r="Y891" s="6"/>
      <c r="Z891" s="6">
        <f ca="1">('TUSD BE'!$AM$53+'TUSD BF_350'!$AM$53+'TUSD CVA'!$AM$53)*(1-CUSTOS!$M$38)</f>
        <v>384.5822</v>
      </c>
      <c r="AA891" s="6">
        <f ca="1">('TE BE'!$AB$31+'TE BF_350'!$AB$31+'TE CVA'!$AB$31)*(1-CUSTOS!$M$38)</f>
        <v>229.35999999999999</v>
      </c>
      <c r="AB891" s="6">
        <f>$K$891*$V$891</f>
        <v>0</v>
      </c>
      <c r="AC891" s="6">
        <f>$M$891*$W$891</f>
        <v>2035.8590399999998</v>
      </c>
      <c r="AD891" s="6">
        <f>$O$891*$X$891</f>
        <v>1982.0080799999998</v>
      </c>
      <c r="AE891" s="6">
        <f>$K$891*$Y$891</f>
        <v>0</v>
      </c>
      <c r="AF891" s="6">
        <f ca="1">$M$891*$Z$891</f>
        <v>2962.8212687999999</v>
      </c>
      <c r="AG891" s="6">
        <f ca="1">$O$891*$AA$891</f>
        <v>1766.9894399999998</v>
      </c>
    </row>
    <row r="892" spans="1:33" ht="11.25" customHeight="1" x14ac:dyDescent="0.3">
      <c r="A892" s="4" t="s">
        <v>28</v>
      </c>
      <c r="B892" s="4" t="s">
        <v>44</v>
      </c>
      <c r="C892" s="4" t="s">
        <v>23</v>
      </c>
      <c r="D892" s="4" t="s">
        <v>45</v>
      </c>
      <c r="E892" s="4" t="s">
        <v>25</v>
      </c>
      <c r="F892" s="4" t="s">
        <v>25</v>
      </c>
      <c r="G892" s="4" t="s">
        <v>25</v>
      </c>
      <c r="H892" s="4" t="s">
        <v>25</v>
      </c>
      <c r="I892" s="5">
        <v>44682</v>
      </c>
      <c r="J892" s="6">
        <v>0</v>
      </c>
      <c r="K892" s="6">
        <v>0</v>
      </c>
      <c r="L892" s="6">
        <v>0.13600000000000001</v>
      </c>
      <c r="M892" s="6">
        <v>0.13600000000000001</v>
      </c>
      <c r="N892" s="6">
        <v>0.13600000000000001</v>
      </c>
      <c r="O892" s="6">
        <v>0.13600000000000001</v>
      </c>
      <c r="P892" s="6">
        <v>1</v>
      </c>
      <c r="Q892" s="4" t="s">
        <v>26</v>
      </c>
      <c r="R892" s="4">
        <v>0</v>
      </c>
      <c r="S892" s="6">
        <v>0</v>
      </c>
      <c r="T892" s="6">
        <v>47</v>
      </c>
      <c r="U892" s="6">
        <v>109</v>
      </c>
      <c r="V892" s="6">
        <f>IF(ISERROR(VLOOKUP($S$892,'TAR FIN'!$A$1:$O$113,15,0)),0,VLOOKUP($S$892,'TAR FIN'!$A$1:$O$113,15,0))</f>
        <v>0</v>
      </c>
      <c r="W892" s="6">
        <f>IF(ISERROR(VLOOKUP($T$892,'TAR FIN'!$A$1:$O$113,15,0)),0,VLOOKUP($T$892,'TAR FIN'!$A$1:$O$113,15,0))</f>
        <v>264.26</v>
      </c>
      <c r="X892" s="6">
        <f>IF(ISERROR(VLOOKUP($U$892,'TAR FIN'!$A$1:$O$113,15,0)),0,VLOOKUP($U$892,'TAR FIN'!$A$1:$O$113,15,0))</f>
        <v>257.27</v>
      </c>
      <c r="Y892" s="6"/>
      <c r="Z892" s="6">
        <f ca="1">('TUSD BE'!$AM$53+'TUSD BF_350'!$AM$53+'TUSD CVA'!$AM$53)*(1-CUSTOS!$M$38)</f>
        <v>384.5822</v>
      </c>
      <c r="AA892" s="6">
        <f ca="1">('TE BE'!$AB$31+'TE BF_350'!$AB$31+'TE CVA'!$AB$31)*(1-CUSTOS!$M$38)</f>
        <v>229.35999999999999</v>
      </c>
      <c r="AB892" s="6">
        <f>$K$892*$V$892</f>
        <v>0</v>
      </c>
      <c r="AC892" s="6">
        <f>$M$892*$W$892</f>
        <v>35.939360000000001</v>
      </c>
      <c r="AD892" s="6">
        <f>$O$892*$X$892</f>
        <v>34.988720000000001</v>
      </c>
      <c r="AE892" s="6">
        <f>$K$892*$Y$892</f>
        <v>0</v>
      </c>
      <c r="AF892" s="6">
        <f ca="1">$M$892*$Z$892</f>
        <v>52.303179200000002</v>
      </c>
      <c r="AG892" s="6">
        <f ca="1">$O$892*$AA$892</f>
        <v>31.192959999999999</v>
      </c>
    </row>
    <row r="893" spans="1:33" ht="11.25" customHeight="1" x14ac:dyDescent="0.3">
      <c r="A893" s="4" t="s">
        <v>21</v>
      </c>
      <c r="B893" s="4" t="s">
        <v>44</v>
      </c>
      <c r="C893" s="4" t="s">
        <v>23</v>
      </c>
      <c r="D893" s="4" t="s">
        <v>45</v>
      </c>
      <c r="E893" s="4" t="s">
        <v>25</v>
      </c>
      <c r="F893" s="4" t="s">
        <v>25</v>
      </c>
      <c r="G893" s="4" t="s">
        <v>25</v>
      </c>
      <c r="H893" s="4" t="s">
        <v>25</v>
      </c>
      <c r="I893" s="5">
        <v>44713</v>
      </c>
      <c r="J893" s="6">
        <v>0</v>
      </c>
      <c r="K893" s="6">
        <v>0</v>
      </c>
      <c r="L893" s="6">
        <v>313.52600000000001</v>
      </c>
      <c r="M893" s="6">
        <v>313.52600000000001</v>
      </c>
      <c r="N893" s="6">
        <v>313.52600000000001</v>
      </c>
      <c r="O893" s="6">
        <v>313.52600000000001</v>
      </c>
      <c r="P893" s="6">
        <v>430</v>
      </c>
      <c r="Q893" s="4" t="s">
        <v>26</v>
      </c>
      <c r="R893" s="4">
        <v>0</v>
      </c>
      <c r="S893" s="6">
        <v>0</v>
      </c>
      <c r="T893" s="6">
        <v>47</v>
      </c>
      <c r="U893" s="6">
        <v>109</v>
      </c>
      <c r="V893" s="6">
        <f>IF(ISERROR(VLOOKUP($S$893,'TAR FIN'!$A$1:$O$113,15,0)),0,VLOOKUP($S$893,'TAR FIN'!$A$1:$O$113,15,0))</f>
        <v>0</v>
      </c>
      <c r="W893" s="6">
        <f>IF(ISERROR(VLOOKUP($T$893,'TAR FIN'!$A$1:$O$113,15,0)),0,VLOOKUP($T$893,'TAR FIN'!$A$1:$O$113,15,0))</f>
        <v>264.26</v>
      </c>
      <c r="X893" s="6">
        <f>IF(ISERROR(VLOOKUP($U$893,'TAR FIN'!$A$1:$O$113,15,0)),0,VLOOKUP($U$893,'TAR FIN'!$A$1:$O$113,15,0))</f>
        <v>257.27</v>
      </c>
      <c r="Y893" s="6"/>
      <c r="Z893" s="6">
        <f ca="1">('TUSD BE'!$AM$53+'TUSD BF_350'!$AM$53+'TUSD CVA'!$AM$53)*(1-CUSTOS!$M$38)</f>
        <v>384.5822</v>
      </c>
      <c r="AA893" s="6">
        <f ca="1">('TE BE'!$AB$31+'TE BF_350'!$AB$31+'TE CVA'!$AB$31)*(1-CUSTOS!$M$38)</f>
        <v>229.35999999999999</v>
      </c>
      <c r="AB893" s="6">
        <f>$K$893*$V$893</f>
        <v>0</v>
      </c>
      <c r="AC893" s="6">
        <f>$M$893*$W$893</f>
        <v>82852.38076</v>
      </c>
      <c r="AD893" s="6">
        <f>$O$893*$X$893</f>
        <v>80660.834019999995</v>
      </c>
      <c r="AE893" s="6">
        <f>$K$893*$Y$893</f>
        <v>0</v>
      </c>
      <c r="AF893" s="6">
        <f ca="1">$M$893*$Z$893</f>
        <v>120576.5188372</v>
      </c>
      <c r="AG893" s="6">
        <f ca="1">$O$893*$AA$893</f>
        <v>71910.323359999995</v>
      </c>
    </row>
    <row r="894" spans="1:33" ht="11.25" customHeight="1" x14ac:dyDescent="0.3">
      <c r="A894" s="4" t="s">
        <v>28</v>
      </c>
      <c r="B894" s="4" t="s">
        <v>44</v>
      </c>
      <c r="C894" s="4" t="s">
        <v>23</v>
      </c>
      <c r="D894" s="4" t="s">
        <v>45</v>
      </c>
      <c r="E894" s="4" t="s">
        <v>25</v>
      </c>
      <c r="F894" s="4" t="s">
        <v>25</v>
      </c>
      <c r="G894" s="4" t="s">
        <v>25</v>
      </c>
      <c r="H894" s="4" t="s">
        <v>25</v>
      </c>
      <c r="I894" s="5">
        <v>44713</v>
      </c>
      <c r="J894" s="6">
        <v>0</v>
      </c>
      <c r="K894" s="6">
        <v>0</v>
      </c>
      <c r="L894" s="6">
        <v>9.5090000000000003</v>
      </c>
      <c r="M894" s="6">
        <v>9.5090000000000003</v>
      </c>
      <c r="N894" s="6">
        <v>9.5090000000000003</v>
      </c>
      <c r="O894" s="6">
        <v>9.5090000000000003</v>
      </c>
      <c r="P894" s="6">
        <v>41</v>
      </c>
      <c r="Q894" s="4" t="s">
        <v>26</v>
      </c>
      <c r="R894" s="4">
        <v>0</v>
      </c>
      <c r="S894" s="6">
        <v>0</v>
      </c>
      <c r="T894" s="6">
        <v>47</v>
      </c>
      <c r="U894" s="6">
        <v>109</v>
      </c>
      <c r="V894" s="6">
        <f>IF(ISERROR(VLOOKUP($S$894,'TAR FIN'!$A$1:$O$113,15,0)),0,VLOOKUP($S$894,'TAR FIN'!$A$1:$O$113,15,0))</f>
        <v>0</v>
      </c>
      <c r="W894" s="6">
        <f>IF(ISERROR(VLOOKUP($T$894,'TAR FIN'!$A$1:$O$113,15,0)),0,VLOOKUP($T$894,'TAR FIN'!$A$1:$O$113,15,0))</f>
        <v>264.26</v>
      </c>
      <c r="X894" s="6">
        <f>IF(ISERROR(VLOOKUP($U$894,'TAR FIN'!$A$1:$O$113,15,0)),0,VLOOKUP($U$894,'TAR FIN'!$A$1:$O$113,15,0))</f>
        <v>257.27</v>
      </c>
      <c r="Y894" s="6"/>
      <c r="Z894" s="6">
        <f ca="1">('TUSD BE'!$AM$53+'TUSD BF_350'!$AM$53+'TUSD CVA'!$AM$53)*(1-CUSTOS!$M$38)</f>
        <v>384.5822</v>
      </c>
      <c r="AA894" s="6">
        <f ca="1">('TE BE'!$AB$31+'TE BF_350'!$AB$31+'TE CVA'!$AB$31)*(1-CUSTOS!$M$38)</f>
        <v>229.35999999999999</v>
      </c>
      <c r="AB894" s="6">
        <f>$K$894*$V$894</f>
        <v>0</v>
      </c>
      <c r="AC894" s="6">
        <f>$M$894*$W$894</f>
        <v>2512.84834</v>
      </c>
      <c r="AD894" s="6">
        <f>$O$894*$X$894</f>
        <v>2446.3804299999997</v>
      </c>
      <c r="AE894" s="6">
        <f>$K$894*$Y$894</f>
        <v>0</v>
      </c>
      <c r="AF894" s="6">
        <f ca="1">$M$894*$Z$894</f>
        <v>3656.9921398000001</v>
      </c>
      <c r="AG894" s="6">
        <f ca="1">$O$894*$AA$894</f>
        <v>2180.9842399999998</v>
      </c>
    </row>
    <row r="895" spans="1:33" ht="11.25" customHeight="1" x14ac:dyDescent="0.3">
      <c r="A895" s="4" t="s">
        <v>21</v>
      </c>
      <c r="B895" s="4" t="s">
        <v>44</v>
      </c>
      <c r="C895" s="4" t="s">
        <v>23</v>
      </c>
      <c r="D895" s="4" t="s">
        <v>45</v>
      </c>
      <c r="E895" s="4" t="s">
        <v>25</v>
      </c>
      <c r="F895" s="4" t="s">
        <v>25</v>
      </c>
      <c r="G895" s="4" t="s">
        <v>25</v>
      </c>
      <c r="H895" s="4" t="s">
        <v>25</v>
      </c>
      <c r="I895" s="5">
        <v>44743</v>
      </c>
      <c r="J895" s="6">
        <v>0</v>
      </c>
      <c r="K895" s="6">
        <v>0</v>
      </c>
      <c r="L895" s="6">
        <v>338.08600000000001</v>
      </c>
      <c r="M895" s="6">
        <v>338.08600000000001</v>
      </c>
      <c r="N895" s="6">
        <v>338.08600000000001</v>
      </c>
      <c r="O895" s="6">
        <v>338.08600000000001</v>
      </c>
      <c r="P895" s="6">
        <v>435</v>
      </c>
      <c r="Q895" s="4" t="s">
        <v>26</v>
      </c>
      <c r="R895" s="4">
        <v>0</v>
      </c>
      <c r="S895" s="6">
        <v>0</v>
      </c>
      <c r="T895" s="6">
        <v>47</v>
      </c>
      <c r="U895" s="6">
        <v>109</v>
      </c>
      <c r="V895" s="6">
        <f>IF(ISERROR(VLOOKUP($S$895,'TAR FIN'!$A$1:$O$113,15,0)),0,VLOOKUP($S$895,'TAR FIN'!$A$1:$O$113,15,0))</f>
        <v>0</v>
      </c>
      <c r="W895" s="6">
        <f>IF(ISERROR(VLOOKUP($T$895,'TAR FIN'!$A$1:$O$113,15,0)),0,VLOOKUP($T$895,'TAR FIN'!$A$1:$O$113,15,0))</f>
        <v>264.26</v>
      </c>
      <c r="X895" s="6">
        <f>IF(ISERROR(VLOOKUP($U$895,'TAR FIN'!$A$1:$O$113,15,0)),0,VLOOKUP($U$895,'TAR FIN'!$A$1:$O$113,15,0))</f>
        <v>257.27</v>
      </c>
      <c r="Y895" s="6"/>
      <c r="Z895" s="6">
        <f ca="1">('TUSD BE'!$AM$53+'TUSD BF_350'!$AM$53+'TUSD CVA'!$AM$53)*(1-CUSTOS!$M$38)</f>
        <v>384.5822</v>
      </c>
      <c r="AA895" s="6">
        <f ca="1">('TE BE'!$AB$31+'TE BF_350'!$AB$31+'TE CVA'!$AB$31)*(1-CUSTOS!$M$38)</f>
        <v>229.35999999999999</v>
      </c>
      <c r="AB895" s="6">
        <f>$K$895*$V$895</f>
        <v>0</v>
      </c>
      <c r="AC895" s="6">
        <f>$M$895*$W$895</f>
        <v>89342.606360000005</v>
      </c>
      <c r="AD895" s="6">
        <f>$O$895*$X$895</f>
        <v>86979.385219999996</v>
      </c>
      <c r="AE895" s="6">
        <f>$K$895*$Y$895</f>
        <v>0</v>
      </c>
      <c r="AF895" s="6">
        <f ca="1">$M$895*$Z$895</f>
        <v>130021.85766920001</v>
      </c>
      <c r="AG895" s="6">
        <f ca="1">$O$895*$AA$895</f>
        <v>77543.40496</v>
      </c>
    </row>
    <row r="896" spans="1:33" ht="11.25" customHeight="1" x14ac:dyDescent="0.3">
      <c r="A896" s="4" t="s">
        <v>21</v>
      </c>
      <c r="B896" s="4" t="s">
        <v>44</v>
      </c>
      <c r="C896" s="4" t="s">
        <v>23</v>
      </c>
      <c r="D896" s="4" t="s">
        <v>45</v>
      </c>
      <c r="E896" s="4" t="s">
        <v>25</v>
      </c>
      <c r="F896" s="4" t="s">
        <v>25</v>
      </c>
      <c r="G896" s="4" t="s">
        <v>25</v>
      </c>
      <c r="H896" s="4" t="s">
        <v>25</v>
      </c>
      <c r="I896" s="5">
        <v>44774</v>
      </c>
      <c r="J896" s="6">
        <v>0</v>
      </c>
      <c r="K896" s="6">
        <v>0</v>
      </c>
      <c r="L896" s="6">
        <v>336.291</v>
      </c>
      <c r="M896" s="6">
        <v>336.291</v>
      </c>
      <c r="N896" s="6">
        <v>336.291</v>
      </c>
      <c r="O896" s="6">
        <v>336.291</v>
      </c>
      <c r="P896" s="6">
        <v>433</v>
      </c>
      <c r="Q896" s="4" t="s">
        <v>26</v>
      </c>
      <c r="R896" s="4">
        <v>0</v>
      </c>
      <c r="S896" s="6">
        <v>0</v>
      </c>
      <c r="T896" s="6">
        <v>47</v>
      </c>
      <c r="U896" s="6">
        <v>109</v>
      </c>
      <c r="V896" s="6">
        <f>IF(ISERROR(VLOOKUP($S$896,'TAR FIN'!$A$1:$O$113,15,0)),0,VLOOKUP($S$896,'TAR FIN'!$A$1:$O$113,15,0))</f>
        <v>0</v>
      </c>
      <c r="W896" s="6">
        <f>IF(ISERROR(VLOOKUP($T$896,'TAR FIN'!$A$1:$O$113,15,0)),0,VLOOKUP($T$896,'TAR FIN'!$A$1:$O$113,15,0))</f>
        <v>264.26</v>
      </c>
      <c r="X896" s="6">
        <f>IF(ISERROR(VLOOKUP($U$896,'TAR FIN'!$A$1:$O$113,15,0)),0,VLOOKUP($U$896,'TAR FIN'!$A$1:$O$113,15,0))</f>
        <v>257.27</v>
      </c>
      <c r="Y896" s="6"/>
      <c r="Z896" s="6">
        <f ca="1">('TUSD BE'!$AM$53+'TUSD BF_350'!$AM$53+'TUSD CVA'!$AM$53)*(1-CUSTOS!$M$38)</f>
        <v>384.5822</v>
      </c>
      <c r="AA896" s="6">
        <f ca="1">('TE BE'!$AB$31+'TE BF_350'!$AB$31+'TE CVA'!$AB$31)*(1-CUSTOS!$M$38)</f>
        <v>229.35999999999999</v>
      </c>
      <c r="AB896" s="6">
        <f>$K$896*$V$896</f>
        <v>0</v>
      </c>
      <c r="AC896" s="6">
        <f>$M$896*$W$896</f>
        <v>88868.259659999996</v>
      </c>
      <c r="AD896" s="6">
        <f>$O$896*$X$896</f>
        <v>86517.585569999996</v>
      </c>
      <c r="AE896" s="6">
        <f>$K$896*$Y$896</f>
        <v>0</v>
      </c>
      <c r="AF896" s="6">
        <f ca="1">$M$896*$Z$896</f>
        <v>129331.5326202</v>
      </c>
      <c r="AG896" s="6">
        <f ca="1">$O$896*$AA$896</f>
        <v>77131.703759999989</v>
      </c>
    </row>
    <row r="897" spans="1:33" ht="11.25" customHeight="1" x14ac:dyDescent="0.3">
      <c r="A897" s="4" t="s">
        <v>27</v>
      </c>
      <c r="B897" s="4" t="s">
        <v>44</v>
      </c>
      <c r="C897" s="4" t="s">
        <v>23</v>
      </c>
      <c r="D897" s="4" t="s">
        <v>45</v>
      </c>
      <c r="E897" s="4" t="s">
        <v>25</v>
      </c>
      <c r="F897" s="4" t="s">
        <v>25</v>
      </c>
      <c r="G897" s="4" t="s">
        <v>25</v>
      </c>
      <c r="H897" s="4" t="s">
        <v>25</v>
      </c>
      <c r="I897" s="5">
        <v>44774</v>
      </c>
      <c r="J897" s="6">
        <v>0</v>
      </c>
      <c r="K897" s="6">
        <v>0</v>
      </c>
      <c r="L897" s="6">
        <v>-2.8610000000000002</v>
      </c>
      <c r="M897" s="6">
        <v>-2.8610000000000002</v>
      </c>
      <c r="N897" s="6">
        <v>-2.8610000000000002</v>
      </c>
      <c r="O897" s="6">
        <v>-2.8610000000000002</v>
      </c>
      <c r="P897" s="6">
        <v>0</v>
      </c>
      <c r="Q897" s="4" t="s">
        <v>26</v>
      </c>
      <c r="R897" s="4">
        <v>0</v>
      </c>
      <c r="S897" s="6">
        <v>0</v>
      </c>
      <c r="T897" s="6">
        <v>47</v>
      </c>
      <c r="U897" s="6">
        <v>109</v>
      </c>
      <c r="V897" s="6">
        <f>IF(ISERROR(VLOOKUP($S$897,'TAR FIN'!$A$1:$O$113,15,0)),0,VLOOKUP($S$897,'TAR FIN'!$A$1:$O$113,15,0))</f>
        <v>0</v>
      </c>
      <c r="W897" s="6">
        <f>IF(ISERROR(VLOOKUP($T$897,'TAR FIN'!$A$1:$O$113,15,0)),0,VLOOKUP($T$897,'TAR FIN'!$A$1:$O$113,15,0))</f>
        <v>264.26</v>
      </c>
      <c r="X897" s="6">
        <f>IF(ISERROR(VLOOKUP($U$897,'TAR FIN'!$A$1:$O$113,15,0)),0,VLOOKUP($U$897,'TAR FIN'!$A$1:$O$113,15,0))</f>
        <v>257.27</v>
      </c>
      <c r="Y897" s="6"/>
      <c r="Z897" s="6">
        <f ca="1">('TUSD BE'!$AM$53+'TUSD BF_350'!$AM$53+'TUSD CVA'!$AM$53)*(1-CUSTOS!$M$38)</f>
        <v>384.5822</v>
      </c>
      <c r="AA897" s="6">
        <f ca="1">('TE BE'!$AB$31+'TE BF_350'!$AB$31+'TE CVA'!$AB$31)*(1-CUSTOS!$M$38)</f>
        <v>229.35999999999999</v>
      </c>
      <c r="AB897" s="6">
        <f>$K$897*$V$897</f>
        <v>0</v>
      </c>
      <c r="AC897" s="6">
        <f>$M$897*$W$897</f>
        <v>-756.04786000000001</v>
      </c>
      <c r="AD897" s="6">
        <f>$O$897*$X$897</f>
        <v>-736.04947000000004</v>
      </c>
      <c r="AE897" s="6">
        <f>$K$897*$Y$897</f>
        <v>0</v>
      </c>
      <c r="AF897" s="6">
        <f ca="1">$M$897*$Z$897</f>
        <v>-1100.2896742</v>
      </c>
      <c r="AG897" s="6">
        <f ca="1">$O$897*$AA$897</f>
        <v>-656.19896000000006</v>
      </c>
    </row>
    <row r="898" spans="1:33" ht="11.25" customHeight="1" x14ac:dyDescent="0.3">
      <c r="A898" s="4" t="s">
        <v>28</v>
      </c>
      <c r="B898" s="4" t="s">
        <v>44</v>
      </c>
      <c r="C898" s="4" t="s">
        <v>23</v>
      </c>
      <c r="D898" s="4" t="s">
        <v>45</v>
      </c>
      <c r="E898" s="4" t="s">
        <v>25</v>
      </c>
      <c r="F898" s="4" t="s">
        <v>25</v>
      </c>
      <c r="G898" s="4" t="s">
        <v>25</v>
      </c>
      <c r="H898" s="4" t="s">
        <v>25</v>
      </c>
      <c r="I898" s="5">
        <v>44774</v>
      </c>
      <c r="J898" s="6">
        <v>0</v>
      </c>
      <c r="K898" s="6">
        <v>0</v>
      </c>
      <c r="L898" s="6">
        <v>9.6790000000000003</v>
      </c>
      <c r="M898" s="6">
        <v>9.6790000000000003</v>
      </c>
      <c r="N898" s="6">
        <v>9.6790000000000003</v>
      </c>
      <c r="O898" s="6">
        <v>9.6790000000000003</v>
      </c>
      <c r="P898" s="6">
        <v>41</v>
      </c>
      <c r="Q898" s="4" t="s">
        <v>26</v>
      </c>
      <c r="R898" s="4">
        <v>0</v>
      </c>
      <c r="S898" s="6">
        <v>0</v>
      </c>
      <c r="T898" s="6">
        <v>47</v>
      </c>
      <c r="U898" s="6">
        <v>109</v>
      </c>
      <c r="V898" s="6">
        <f>IF(ISERROR(VLOOKUP($S$898,'TAR FIN'!$A$1:$O$113,15,0)),0,VLOOKUP($S$898,'TAR FIN'!$A$1:$O$113,15,0))</f>
        <v>0</v>
      </c>
      <c r="W898" s="6">
        <f>IF(ISERROR(VLOOKUP($T$898,'TAR FIN'!$A$1:$O$113,15,0)),0,VLOOKUP($T$898,'TAR FIN'!$A$1:$O$113,15,0))</f>
        <v>264.26</v>
      </c>
      <c r="X898" s="6">
        <f>IF(ISERROR(VLOOKUP($U$898,'TAR FIN'!$A$1:$O$113,15,0)),0,VLOOKUP($U$898,'TAR FIN'!$A$1:$O$113,15,0))</f>
        <v>257.27</v>
      </c>
      <c r="Y898" s="6"/>
      <c r="Z898" s="6">
        <f ca="1">('TUSD BE'!$AM$53+'TUSD BF_350'!$AM$53+'TUSD CVA'!$AM$53)*(1-CUSTOS!$M$38)</f>
        <v>384.5822</v>
      </c>
      <c r="AA898" s="6">
        <f ca="1">('TE BE'!$AB$31+'TE BF_350'!$AB$31+'TE CVA'!$AB$31)*(1-CUSTOS!$M$38)</f>
        <v>229.35999999999999</v>
      </c>
      <c r="AB898" s="6">
        <f>$K$898*$V$898</f>
        <v>0</v>
      </c>
      <c r="AC898" s="6">
        <f>$M$898*$W$898</f>
        <v>2557.7725399999999</v>
      </c>
      <c r="AD898" s="6">
        <f>$O$898*$X$898</f>
        <v>2490.1163299999998</v>
      </c>
      <c r="AE898" s="6">
        <f>$K$898*$Y$898</f>
        <v>0</v>
      </c>
      <c r="AF898" s="6">
        <f ca="1">$M$898*$Z$898</f>
        <v>3722.3711138000003</v>
      </c>
      <c r="AG898" s="6">
        <f ca="1">$O$898*$AA$898</f>
        <v>2219.9754399999997</v>
      </c>
    </row>
    <row r="899" spans="1:33" ht="11.25" customHeight="1" x14ac:dyDescent="0.3">
      <c r="A899" s="4" t="s">
        <v>21</v>
      </c>
      <c r="B899" s="4" t="s">
        <v>44</v>
      </c>
      <c r="C899" s="4" t="s">
        <v>23</v>
      </c>
      <c r="D899" s="4" t="s">
        <v>45</v>
      </c>
      <c r="E899" s="4" t="s">
        <v>25</v>
      </c>
      <c r="F899" s="4" t="s">
        <v>25</v>
      </c>
      <c r="G899" s="4" t="s">
        <v>25</v>
      </c>
      <c r="H899" s="4" t="s">
        <v>25</v>
      </c>
      <c r="I899" s="5">
        <v>44805</v>
      </c>
      <c r="J899" s="6">
        <v>0</v>
      </c>
      <c r="K899" s="6">
        <v>0</v>
      </c>
      <c r="L899" s="6">
        <v>330.00200000000001</v>
      </c>
      <c r="M899" s="6">
        <v>330.00200000000001</v>
      </c>
      <c r="N899" s="6">
        <v>330.00200000000001</v>
      </c>
      <c r="O899" s="6">
        <v>330.00200000000001</v>
      </c>
      <c r="P899" s="6">
        <v>433</v>
      </c>
      <c r="Q899" s="4" t="s">
        <v>26</v>
      </c>
      <c r="R899" s="4">
        <v>0</v>
      </c>
      <c r="S899" s="6">
        <v>0</v>
      </c>
      <c r="T899" s="6">
        <v>47</v>
      </c>
      <c r="U899" s="6">
        <v>109</v>
      </c>
      <c r="V899" s="6">
        <f>IF(ISERROR(VLOOKUP($S$899,'TAR FIN'!$A$1:$O$113,15,0)),0,VLOOKUP($S$899,'TAR FIN'!$A$1:$O$113,15,0))</f>
        <v>0</v>
      </c>
      <c r="W899" s="6">
        <f>IF(ISERROR(VLOOKUP($T$899,'TAR FIN'!$A$1:$O$113,15,0)),0,VLOOKUP($T$899,'TAR FIN'!$A$1:$O$113,15,0))</f>
        <v>264.26</v>
      </c>
      <c r="X899" s="6">
        <f>IF(ISERROR(VLOOKUP($U$899,'TAR FIN'!$A$1:$O$113,15,0)),0,VLOOKUP($U$899,'TAR FIN'!$A$1:$O$113,15,0))</f>
        <v>257.27</v>
      </c>
      <c r="Y899" s="6"/>
      <c r="Z899" s="6">
        <f ca="1">('TUSD BE'!$AM$53+'TUSD BF_350'!$AM$53+'TUSD CVA'!$AM$53)*(1-CUSTOS!$M$38)</f>
        <v>384.5822</v>
      </c>
      <c r="AA899" s="6">
        <f ca="1">('TE BE'!$AB$31+'TE BF_350'!$AB$31+'TE CVA'!$AB$31)*(1-CUSTOS!$M$38)</f>
        <v>229.35999999999999</v>
      </c>
      <c r="AB899" s="6">
        <f>$K$899*$V$899</f>
        <v>0</v>
      </c>
      <c r="AC899" s="6">
        <f>$M$899*$W$899</f>
        <v>87206.328519999995</v>
      </c>
      <c r="AD899" s="6">
        <f>$O$899*$X$899</f>
        <v>84899.614539999995</v>
      </c>
      <c r="AE899" s="6">
        <f>$K$899*$Y$899</f>
        <v>0</v>
      </c>
      <c r="AF899" s="6">
        <f ca="1">$M$899*$Z$899</f>
        <v>126912.8951644</v>
      </c>
      <c r="AG899" s="6">
        <f ca="1">$O$899*$AA$899</f>
        <v>75689.258719999998</v>
      </c>
    </row>
    <row r="900" spans="1:33" ht="11.25" customHeight="1" x14ac:dyDescent="0.3">
      <c r="A900" s="4" t="s">
        <v>27</v>
      </c>
      <c r="B900" s="4" t="s">
        <v>44</v>
      </c>
      <c r="C900" s="4" t="s">
        <v>23</v>
      </c>
      <c r="D900" s="4" t="s">
        <v>45</v>
      </c>
      <c r="E900" s="4" t="s">
        <v>25</v>
      </c>
      <c r="F900" s="4" t="s">
        <v>25</v>
      </c>
      <c r="G900" s="4" t="s">
        <v>25</v>
      </c>
      <c r="H900" s="4" t="s">
        <v>25</v>
      </c>
      <c r="I900" s="5">
        <v>44805</v>
      </c>
      <c r="J900" s="6">
        <v>0</v>
      </c>
      <c r="K900" s="6">
        <v>0</v>
      </c>
      <c r="L900" s="6">
        <v>-1.2410000000000001</v>
      </c>
      <c r="M900" s="6">
        <v>-1.2410000000000001</v>
      </c>
      <c r="N900" s="6">
        <v>-1.2410000000000001</v>
      </c>
      <c r="O900" s="6">
        <v>-1.2410000000000001</v>
      </c>
      <c r="P900" s="6">
        <v>0</v>
      </c>
      <c r="Q900" s="4" t="s">
        <v>26</v>
      </c>
      <c r="R900" s="4">
        <v>0</v>
      </c>
      <c r="S900" s="6">
        <v>0</v>
      </c>
      <c r="T900" s="6">
        <v>47</v>
      </c>
      <c r="U900" s="6">
        <v>109</v>
      </c>
      <c r="V900" s="6">
        <f>IF(ISERROR(VLOOKUP($S$900,'TAR FIN'!$A$1:$O$113,15,0)),0,VLOOKUP($S$900,'TAR FIN'!$A$1:$O$113,15,0))</f>
        <v>0</v>
      </c>
      <c r="W900" s="6">
        <f>IF(ISERROR(VLOOKUP($T$900,'TAR FIN'!$A$1:$O$113,15,0)),0,VLOOKUP($T$900,'TAR FIN'!$A$1:$O$113,15,0))</f>
        <v>264.26</v>
      </c>
      <c r="X900" s="6">
        <f>IF(ISERROR(VLOOKUP($U$900,'TAR FIN'!$A$1:$O$113,15,0)),0,VLOOKUP($U$900,'TAR FIN'!$A$1:$O$113,15,0))</f>
        <v>257.27</v>
      </c>
      <c r="Y900" s="6"/>
      <c r="Z900" s="6">
        <f ca="1">('TUSD BE'!$AM$53+'TUSD BF_350'!$AM$53+'TUSD CVA'!$AM$53)*(1-CUSTOS!$M$38)</f>
        <v>384.5822</v>
      </c>
      <c r="AA900" s="6">
        <f ca="1">('TE BE'!$AB$31+'TE BF_350'!$AB$31+'TE CVA'!$AB$31)*(1-CUSTOS!$M$38)</f>
        <v>229.35999999999999</v>
      </c>
      <c r="AB900" s="6">
        <f>$K$900*$V$900</f>
        <v>0</v>
      </c>
      <c r="AC900" s="6">
        <f>$M$900*$W$900</f>
        <v>-327.94666000000001</v>
      </c>
      <c r="AD900" s="6">
        <f>$O$900*$X$900</f>
        <v>-319.27206999999999</v>
      </c>
      <c r="AE900" s="6">
        <f>$K$900*$Y$900</f>
        <v>0</v>
      </c>
      <c r="AF900" s="6">
        <f ca="1">$M$900*$Z$900</f>
        <v>-477.26651020000003</v>
      </c>
      <c r="AG900" s="6">
        <f ca="1">$O$900*$AA$900</f>
        <v>-284.63576</v>
      </c>
    </row>
    <row r="901" spans="1:33" ht="11.25" customHeight="1" x14ac:dyDescent="0.3">
      <c r="A901" s="4" t="s">
        <v>28</v>
      </c>
      <c r="B901" s="4" t="s">
        <v>44</v>
      </c>
      <c r="C901" s="4" t="s">
        <v>23</v>
      </c>
      <c r="D901" s="4" t="s">
        <v>45</v>
      </c>
      <c r="E901" s="4" t="s">
        <v>25</v>
      </c>
      <c r="F901" s="4" t="s">
        <v>25</v>
      </c>
      <c r="G901" s="4" t="s">
        <v>25</v>
      </c>
      <c r="H901" s="4" t="s">
        <v>25</v>
      </c>
      <c r="I901" s="5">
        <v>44805</v>
      </c>
      <c r="J901" s="6">
        <v>0</v>
      </c>
      <c r="K901" s="6">
        <v>0</v>
      </c>
      <c r="L901" s="6">
        <v>8.4589999999999996</v>
      </c>
      <c r="M901" s="6">
        <v>8.4589999999999996</v>
      </c>
      <c r="N901" s="6">
        <v>8.4589999999999996</v>
      </c>
      <c r="O901" s="6">
        <v>8.4589999999999996</v>
      </c>
      <c r="P901" s="6">
        <v>40</v>
      </c>
      <c r="Q901" s="4" t="s">
        <v>26</v>
      </c>
      <c r="R901" s="4">
        <v>0</v>
      </c>
      <c r="S901" s="6">
        <v>0</v>
      </c>
      <c r="T901" s="6">
        <v>47</v>
      </c>
      <c r="U901" s="6">
        <v>109</v>
      </c>
      <c r="V901" s="6">
        <f>IF(ISERROR(VLOOKUP($S$901,'TAR FIN'!$A$1:$O$113,15,0)),0,VLOOKUP($S$901,'TAR FIN'!$A$1:$O$113,15,0))</f>
        <v>0</v>
      </c>
      <c r="W901" s="6">
        <f>IF(ISERROR(VLOOKUP($T$901,'TAR FIN'!$A$1:$O$113,15,0)),0,VLOOKUP($T$901,'TAR FIN'!$A$1:$O$113,15,0))</f>
        <v>264.26</v>
      </c>
      <c r="X901" s="6">
        <f>IF(ISERROR(VLOOKUP($U$901,'TAR FIN'!$A$1:$O$113,15,0)),0,VLOOKUP($U$901,'TAR FIN'!$A$1:$O$113,15,0))</f>
        <v>257.27</v>
      </c>
      <c r="Y901" s="6"/>
      <c r="Z901" s="6">
        <f ca="1">('TUSD BE'!$AM$53+'TUSD BF_350'!$AM$53+'TUSD CVA'!$AM$53)*(1-CUSTOS!$M$38)</f>
        <v>384.5822</v>
      </c>
      <c r="AA901" s="6">
        <f ca="1">('TE BE'!$AB$31+'TE BF_350'!$AB$31+'TE CVA'!$AB$31)*(1-CUSTOS!$M$38)</f>
        <v>229.35999999999999</v>
      </c>
      <c r="AB901" s="6">
        <f>$K$901*$V$901</f>
        <v>0</v>
      </c>
      <c r="AC901" s="6">
        <f>$M$901*$W$901</f>
        <v>2235.3753400000001</v>
      </c>
      <c r="AD901" s="6">
        <f>$O$901*$X$901</f>
        <v>2176.2469299999998</v>
      </c>
      <c r="AE901" s="6">
        <f>$K$901*$Y$901</f>
        <v>0</v>
      </c>
      <c r="AF901" s="6">
        <f ca="1">$M$901*$Z$901</f>
        <v>3253.1808298000001</v>
      </c>
      <c r="AG901" s="6">
        <f ca="1">$O$901*$AA$901</f>
        <v>1940.1562399999998</v>
      </c>
    </row>
    <row r="902" spans="1:33" ht="11.25" customHeight="1" x14ac:dyDescent="0.3">
      <c r="A902" s="4" t="s">
        <v>53</v>
      </c>
      <c r="B902" s="4" t="s">
        <v>44</v>
      </c>
      <c r="C902" s="4" t="s">
        <v>23</v>
      </c>
      <c r="D902" s="4" t="s">
        <v>45</v>
      </c>
      <c r="E902" s="4" t="s">
        <v>25</v>
      </c>
      <c r="F902" s="4" t="s">
        <v>25</v>
      </c>
      <c r="G902" s="4" t="s">
        <v>25</v>
      </c>
      <c r="H902" s="4" t="s">
        <v>25</v>
      </c>
      <c r="I902" s="5">
        <v>44835</v>
      </c>
      <c r="J902" s="6">
        <v>0</v>
      </c>
      <c r="K902" s="6">
        <v>0</v>
      </c>
      <c r="L902" s="6">
        <v>330.00200000000001</v>
      </c>
      <c r="M902" s="6">
        <v>330.00200000000001</v>
      </c>
      <c r="N902" s="6">
        <v>330.00200000000001</v>
      </c>
      <c r="O902" s="6">
        <v>330.00200000000001</v>
      </c>
      <c r="P902" s="6">
        <v>433</v>
      </c>
      <c r="Q902" s="4" t="s">
        <v>26</v>
      </c>
      <c r="R902" s="4">
        <v>0</v>
      </c>
      <c r="S902" s="6">
        <v>0</v>
      </c>
      <c r="T902" s="6">
        <v>47</v>
      </c>
      <c r="U902" s="6">
        <v>109</v>
      </c>
      <c r="V902" s="6">
        <f>IF(ISERROR(VLOOKUP($S$902,'TAR FIN'!$A$1:$O$113,15,0)),0,VLOOKUP($S$902,'TAR FIN'!$A$1:$O$113,15,0))</f>
        <v>0</v>
      </c>
      <c r="W902" s="6">
        <f>IF(ISERROR(VLOOKUP($T$902,'TAR FIN'!$A$1:$O$113,15,0)),0,VLOOKUP($T$902,'TAR FIN'!$A$1:$O$113,15,0))</f>
        <v>264.26</v>
      </c>
      <c r="X902" s="6">
        <f>IF(ISERROR(VLOOKUP($U$902,'TAR FIN'!$A$1:$O$113,15,0)),0,VLOOKUP($U$902,'TAR FIN'!$A$1:$O$113,15,0))</f>
        <v>257.27</v>
      </c>
      <c r="Y902" s="6"/>
      <c r="Z902" s="6">
        <f ca="1">('TUSD BE'!$AM$53+'TUSD BF_350'!$AM$53+'TUSD CVA'!$AM$53)*(1-CUSTOS!$M$38)</f>
        <v>384.5822</v>
      </c>
      <c r="AA902" s="6">
        <f ca="1">('TE BE'!$AB$31+'TE BF_350'!$AB$31+'TE CVA'!$AB$31)*(1-CUSTOS!$M$38)</f>
        <v>229.35999999999999</v>
      </c>
      <c r="AB902" s="6">
        <f>$K$902*$V$902</f>
        <v>0</v>
      </c>
      <c r="AC902" s="6">
        <f>$M$902*$W$902</f>
        <v>87206.328519999995</v>
      </c>
      <c r="AD902" s="6">
        <f>$O$902*$X$902</f>
        <v>84899.614539999995</v>
      </c>
      <c r="AE902" s="6">
        <f>$K$902*$Y$902</f>
        <v>0</v>
      </c>
      <c r="AF902" s="6">
        <f ca="1">$M$902*$Z$902</f>
        <v>126912.8951644</v>
      </c>
      <c r="AG902" s="6">
        <f ca="1">$O$902*$AA$902</f>
        <v>75689.258719999998</v>
      </c>
    </row>
    <row r="903" spans="1:33" ht="11.25" customHeight="1" x14ac:dyDescent="0.3">
      <c r="A903" s="4" t="s">
        <v>53</v>
      </c>
      <c r="B903" s="4" t="s">
        <v>44</v>
      </c>
      <c r="C903" s="4" t="s">
        <v>23</v>
      </c>
      <c r="D903" s="4" t="s">
        <v>45</v>
      </c>
      <c r="E903" s="4" t="s">
        <v>25</v>
      </c>
      <c r="F903" s="4" t="s">
        <v>25</v>
      </c>
      <c r="G903" s="4" t="s">
        <v>25</v>
      </c>
      <c r="H903" s="4" t="s">
        <v>25</v>
      </c>
      <c r="I903" s="5">
        <v>44835</v>
      </c>
      <c r="J903" s="6">
        <v>0</v>
      </c>
      <c r="K903" s="6">
        <v>0</v>
      </c>
      <c r="L903" s="6">
        <v>-1.2410000000000001</v>
      </c>
      <c r="M903" s="6">
        <v>-1.2410000000000001</v>
      </c>
      <c r="N903" s="6">
        <v>-1.2410000000000001</v>
      </c>
      <c r="O903" s="6">
        <v>-1.2410000000000001</v>
      </c>
      <c r="P903" s="6">
        <v>0</v>
      </c>
      <c r="Q903" s="4" t="s">
        <v>26</v>
      </c>
      <c r="R903" s="4">
        <v>0</v>
      </c>
      <c r="S903" s="6">
        <v>0</v>
      </c>
      <c r="T903" s="6">
        <v>47</v>
      </c>
      <c r="U903" s="6">
        <v>109</v>
      </c>
      <c r="V903" s="6">
        <f>IF(ISERROR(VLOOKUP($S$903,'TAR FIN'!$A$1:$O$113,15,0)),0,VLOOKUP($S$903,'TAR FIN'!$A$1:$O$113,15,0))</f>
        <v>0</v>
      </c>
      <c r="W903" s="6">
        <f>IF(ISERROR(VLOOKUP($T$903,'TAR FIN'!$A$1:$O$113,15,0)),0,VLOOKUP($T$903,'TAR FIN'!$A$1:$O$113,15,0))</f>
        <v>264.26</v>
      </c>
      <c r="X903" s="6">
        <f>IF(ISERROR(VLOOKUP($U$903,'TAR FIN'!$A$1:$O$113,15,0)),0,VLOOKUP($U$903,'TAR FIN'!$A$1:$O$113,15,0))</f>
        <v>257.27</v>
      </c>
      <c r="Y903" s="6"/>
      <c r="Z903" s="6">
        <f ca="1">('TUSD BE'!$AM$53+'TUSD BF_350'!$AM$53+'TUSD CVA'!$AM$53)*(1-CUSTOS!$M$38)</f>
        <v>384.5822</v>
      </c>
      <c r="AA903" s="6">
        <f ca="1">('TE BE'!$AB$31+'TE BF_350'!$AB$31+'TE CVA'!$AB$31)*(1-CUSTOS!$M$38)</f>
        <v>229.35999999999999</v>
      </c>
      <c r="AB903" s="6">
        <f>$K$903*$V$903</f>
        <v>0</v>
      </c>
      <c r="AC903" s="6">
        <f>$M$903*$W$903</f>
        <v>-327.94666000000001</v>
      </c>
      <c r="AD903" s="6">
        <f>$O$903*$X$903</f>
        <v>-319.27206999999999</v>
      </c>
      <c r="AE903" s="6">
        <f>$K$903*$Y$903</f>
        <v>0</v>
      </c>
      <c r="AF903" s="6">
        <f ca="1">$M$903*$Z$903</f>
        <v>-477.26651020000003</v>
      </c>
      <c r="AG903" s="6">
        <f ca="1">$O$903*$AA$903</f>
        <v>-284.63576</v>
      </c>
    </row>
    <row r="904" spans="1:33" ht="11.25" customHeight="1" x14ac:dyDescent="0.3">
      <c r="A904" s="4" t="s">
        <v>53</v>
      </c>
      <c r="B904" s="4" t="s">
        <v>44</v>
      </c>
      <c r="C904" s="4" t="s">
        <v>23</v>
      </c>
      <c r="D904" s="4" t="s">
        <v>45</v>
      </c>
      <c r="E904" s="4" t="s">
        <v>25</v>
      </c>
      <c r="F904" s="4" t="s">
        <v>25</v>
      </c>
      <c r="G904" s="4" t="s">
        <v>25</v>
      </c>
      <c r="H904" s="4" t="s">
        <v>25</v>
      </c>
      <c r="I904" s="5">
        <v>44835</v>
      </c>
      <c r="J904" s="6">
        <v>0</v>
      </c>
      <c r="K904" s="6">
        <v>0</v>
      </c>
      <c r="L904" s="6">
        <v>8.4589999999999996</v>
      </c>
      <c r="M904" s="6">
        <v>8.4589999999999996</v>
      </c>
      <c r="N904" s="6">
        <v>8.4589999999999996</v>
      </c>
      <c r="O904" s="6">
        <v>8.4589999999999996</v>
      </c>
      <c r="P904" s="6">
        <v>40</v>
      </c>
      <c r="Q904" s="4" t="s">
        <v>26</v>
      </c>
      <c r="R904" s="4">
        <v>0</v>
      </c>
      <c r="S904" s="6">
        <v>0</v>
      </c>
      <c r="T904" s="6">
        <v>47</v>
      </c>
      <c r="U904" s="6">
        <v>109</v>
      </c>
      <c r="V904" s="6">
        <f>IF(ISERROR(VLOOKUP($S$904,'TAR FIN'!$A$1:$O$113,15,0)),0,VLOOKUP($S$904,'TAR FIN'!$A$1:$O$113,15,0))</f>
        <v>0</v>
      </c>
      <c r="W904" s="6">
        <f>IF(ISERROR(VLOOKUP($T$904,'TAR FIN'!$A$1:$O$113,15,0)),0,VLOOKUP($T$904,'TAR FIN'!$A$1:$O$113,15,0))</f>
        <v>264.26</v>
      </c>
      <c r="X904" s="6">
        <f>IF(ISERROR(VLOOKUP($U$904,'TAR FIN'!$A$1:$O$113,15,0)),0,VLOOKUP($U$904,'TAR FIN'!$A$1:$O$113,15,0))</f>
        <v>257.27</v>
      </c>
      <c r="Y904" s="6"/>
      <c r="Z904" s="6">
        <f ca="1">('TUSD BE'!$AM$53+'TUSD BF_350'!$AM$53+'TUSD CVA'!$AM$53)*(1-CUSTOS!$M$38)</f>
        <v>384.5822</v>
      </c>
      <c r="AA904" s="6">
        <f ca="1">('TE BE'!$AB$31+'TE BF_350'!$AB$31+'TE CVA'!$AB$31)*(1-CUSTOS!$M$38)</f>
        <v>229.35999999999999</v>
      </c>
      <c r="AB904" s="6">
        <f>$K$904*$V$904</f>
        <v>0</v>
      </c>
      <c r="AC904" s="6">
        <f>$M$904*$W$904</f>
        <v>2235.3753400000001</v>
      </c>
      <c r="AD904" s="6">
        <f>$O$904*$X$904</f>
        <v>2176.2469299999998</v>
      </c>
      <c r="AE904" s="6">
        <f>$K$904*$Y$904</f>
        <v>0</v>
      </c>
      <c r="AF904" s="6">
        <f ca="1">$M$904*$Z$904</f>
        <v>3253.1808298000001</v>
      </c>
      <c r="AG904" s="6">
        <f ca="1">$O$904*$AA$904</f>
        <v>1940.1562399999998</v>
      </c>
    </row>
    <row r="905" spans="1:33" ht="11.25" customHeight="1" x14ac:dyDescent="0.3">
      <c r="A905" s="4" t="s">
        <v>21</v>
      </c>
      <c r="B905" s="4" t="s">
        <v>37</v>
      </c>
      <c r="C905" s="4" t="s">
        <v>33</v>
      </c>
      <c r="D905" s="4" t="s">
        <v>42</v>
      </c>
      <c r="E905" s="4" t="s">
        <v>25</v>
      </c>
      <c r="F905" s="4" t="s">
        <v>25</v>
      </c>
      <c r="G905" s="4" t="s">
        <v>25</v>
      </c>
      <c r="H905" s="4" t="s">
        <v>35</v>
      </c>
      <c r="I905" s="5">
        <v>44501</v>
      </c>
      <c r="J905" s="6">
        <v>0</v>
      </c>
      <c r="K905" s="6">
        <v>0</v>
      </c>
      <c r="L905" s="6">
        <v>23.803999999999998</v>
      </c>
      <c r="M905" s="6">
        <v>23.803999999999998</v>
      </c>
      <c r="N905" s="6">
        <v>23.803999999999998</v>
      </c>
      <c r="O905" s="6">
        <v>23.803999999999998</v>
      </c>
      <c r="P905" s="6">
        <v>0</v>
      </c>
      <c r="Q905" s="4" t="s">
        <v>26</v>
      </c>
      <c r="R905" s="4">
        <v>0</v>
      </c>
      <c r="S905" s="6">
        <v>0</v>
      </c>
      <c r="T905" s="6">
        <v>69</v>
      </c>
      <c r="U905" s="6">
        <v>105</v>
      </c>
      <c r="V905" s="6">
        <f>IF(ISERROR(VLOOKUP($S$905,'TAR FIN'!$A$1:$O$113,15,0)),0,VLOOKUP($S$905,'TAR FIN'!$A$1:$O$113,15,0))</f>
        <v>0</v>
      </c>
      <c r="W905" s="6">
        <f>IF(ISERROR(VLOOKUP($T$905,'TAR FIN'!$A$1:$O$113,15,0)),0,VLOOKUP($T$905,'TAR FIN'!$A$1:$O$113,15,0))</f>
        <v>234.07</v>
      </c>
      <c r="X905" s="6">
        <f>IF(ISERROR(VLOOKUP($U$905,'TAR FIN'!$A$1:$O$113,15,0)),0,VLOOKUP($U$905,'TAR FIN'!$A$1:$O$113,15,0))</f>
        <v>278.67</v>
      </c>
      <c r="Y905" s="6"/>
      <c r="Z905" s="6">
        <f ca="1">('TUSD BE'!$AM$67+'TUSD BF_350'!$AM$67+'TUSD CVA'!$AM$67)*1</f>
        <v>311.73</v>
      </c>
      <c r="AA905" s="6">
        <f ca="1">('TE BE'!$AB$45+'TE BF_350'!$AB$45+'TE CVA'!$AB$45)*1</f>
        <v>231.69</v>
      </c>
      <c r="AB905" s="6">
        <f>$K$905*$V$905</f>
        <v>0</v>
      </c>
      <c r="AC905" s="6">
        <f>$M$905*$W$905</f>
        <v>5571.8022799999999</v>
      </c>
      <c r="AD905" s="6">
        <f>$O$905*$X$905</f>
        <v>6633.4606800000001</v>
      </c>
      <c r="AE905" s="6">
        <f>$K$905*$Y$905</f>
        <v>0</v>
      </c>
      <c r="AF905" s="6">
        <f ca="1">$M$905*$Z$905</f>
        <v>7420.4209199999996</v>
      </c>
      <c r="AG905" s="6">
        <f ca="1">$O$905*$AA$905</f>
        <v>5515.14876</v>
      </c>
    </row>
    <row r="906" spans="1:33" ht="11.25" customHeight="1" x14ac:dyDescent="0.3">
      <c r="A906" s="4" t="s">
        <v>28</v>
      </c>
      <c r="B906" s="4" t="s">
        <v>37</v>
      </c>
      <c r="C906" s="4" t="s">
        <v>33</v>
      </c>
      <c r="D906" s="4" t="s">
        <v>42</v>
      </c>
      <c r="E906" s="4" t="s">
        <v>25</v>
      </c>
      <c r="F906" s="4" t="s">
        <v>25</v>
      </c>
      <c r="G906" s="4" t="s">
        <v>25</v>
      </c>
      <c r="H906" s="4" t="s">
        <v>35</v>
      </c>
      <c r="I906" s="5">
        <v>44501</v>
      </c>
      <c r="J906" s="6">
        <v>0</v>
      </c>
      <c r="K906" s="6">
        <v>0</v>
      </c>
      <c r="L906" s="6">
        <v>7.1970000000000001</v>
      </c>
      <c r="M906" s="6">
        <v>7.1970000000000001</v>
      </c>
      <c r="N906" s="6">
        <v>7.1970000000000001</v>
      </c>
      <c r="O906" s="6">
        <v>7.1970000000000001</v>
      </c>
      <c r="P906" s="6">
        <v>0</v>
      </c>
      <c r="Q906" s="4" t="s">
        <v>26</v>
      </c>
      <c r="R906" s="4">
        <v>0</v>
      </c>
      <c r="S906" s="6">
        <v>0</v>
      </c>
      <c r="T906" s="6">
        <v>69</v>
      </c>
      <c r="U906" s="6">
        <v>105</v>
      </c>
      <c r="V906" s="6">
        <f>IF(ISERROR(VLOOKUP($S$906,'TAR FIN'!$A$1:$O$113,15,0)),0,VLOOKUP($S$906,'TAR FIN'!$A$1:$O$113,15,0))</f>
        <v>0</v>
      </c>
      <c r="W906" s="6">
        <f>IF(ISERROR(VLOOKUP($T$906,'TAR FIN'!$A$1:$O$113,15,0)),0,VLOOKUP($T$906,'TAR FIN'!$A$1:$O$113,15,0))</f>
        <v>234.07</v>
      </c>
      <c r="X906" s="6">
        <f>IF(ISERROR(VLOOKUP($U$906,'TAR FIN'!$A$1:$O$113,15,0)),0,VLOOKUP($U$906,'TAR FIN'!$A$1:$O$113,15,0))</f>
        <v>278.67</v>
      </c>
      <c r="Y906" s="6"/>
      <c r="Z906" s="6">
        <f ca="1">('TUSD BE'!$AM$67+'TUSD BF_350'!$AM$67+'TUSD CVA'!$AM$67)*1</f>
        <v>311.73</v>
      </c>
      <c r="AA906" s="6">
        <f ca="1">('TE BE'!$AB$45+'TE BF_350'!$AB$45+'TE CVA'!$AB$45)*1</f>
        <v>231.69</v>
      </c>
      <c r="AB906" s="6">
        <f>$K$906*$V$906</f>
        <v>0</v>
      </c>
      <c r="AC906" s="6">
        <f>$M$906*$W$906</f>
        <v>1684.6017899999999</v>
      </c>
      <c r="AD906" s="6">
        <f>$O$906*$X$906</f>
        <v>2005.5879900000002</v>
      </c>
      <c r="AE906" s="6">
        <f>$K$906*$Y$906</f>
        <v>0</v>
      </c>
      <c r="AF906" s="6">
        <f ca="1">$M$906*$Z$906</f>
        <v>2243.52081</v>
      </c>
      <c r="AG906" s="6">
        <f ca="1">$O$906*$AA$906</f>
        <v>1667.4729299999999</v>
      </c>
    </row>
    <row r="907" spans="1:33" ht="11.25" customHeight="1" x14ac:dyDescent="0.3">
      <c r="A907" s="4" t="s">
        <v>21</v>
      </c>
      <c r="B907" s="4" t="s">
        <v>37</v>
      </c>
      <c r="C907" s="4" t="s">
        <v>33</v>
      </c>
      <c r="D907" s="4" t="s">
        <v>42</v>
      </c>
      <c r="E907" s="4" t="s">
        <v>25</v>
      </c>
      <c r="F907" s="4" t="s">
        <v>25</v>
      </c>
      <c r="G907" s="4" t="s">
        <v>25</v>
      </c>
      <c r="H907" s="4" t="s">
        <v>35</v>
      </c>
      <c r="I907" s="5">
        <v>44531</v>
      </c>
      <c r="J907" s="6">
        <v>0</v>
      </c>
      <c r="K907" s="6">
        <v>0</v>
      </c>
      <c r="L907" s="6">
        <v>23.663</v>
      </c>
      <c r="M907" s="6">
        <v>23.663</v>
      </c>
      <c r="N907" s="6">
        <v>23.663</v>
      </c>
      <c r="O907" s="6">
        <v>23.663</v>
      </c>
      <c r="P907" s="6">
        <v>0</v>
      </c>
      <c r="Q907" s="4" t="s">
        <v>26</v>
      </c>
      <c r="R907" s="4">
        <v>0</v>
      </c>
      <c r="S907" s="6">
        <v>0</v>
      </c>
      <c r="T907" s="6">
        <v>69</v>
      </c>
      <c r="U907" s="6">
        <v>105</v>
      </c>
      <c r="V907" s="6">
        <f>IF(ISERROR(VLOOKUP($S$907,'TAR FIN'!$A$1:$O$113,15,0)),0,VLOOKUP($S$907,'TAR FIN'!$A$1:$O$113,15,0))</f>
        <v>0</v>
      </c>
      <c r="W907" s="6">
        <f>IF(ISERROR(VLOOKUP($T$907,'TAR FIN'!$A$1:$O$113,15,0)),0,VLOOKUP($T$907,'TAR FIN'!$A$1:$O$113,15,0))</f>
        <v>234.07</v>
      </c>
      <c r="X907" s="6">
        <f>IF(ISERROR(VLOOKUP($U$907,'TAR FIN'!$A$1:$O$113,15,0)),0,VLOOKUP($U$907,'TAR FIN'!$A$1:$O$113,15,0))</f>
        <v>278.67</v>
      </c>
      <c r="Y907" s="6"/>
      <c r="Z907" s="6">
        <f ca="1">('TUSD BE'!$AM$67+'TUSD BF_350'!$AM$67+'TUSD CVA'!$AM$67)*1</f>
        <v>311.73</v>
      </c>
      <c r="AA907" s="6">
        <f ca="1">('TE BE'!$AB$45+'TE BF_350'!$AB$45+'TE CVA'!$AB$45)*1</f>
        <v>231.69</v>
      </c>
      <c r="AB907" s="6">
        <f>$K$907*$V$907</f>
        <v>0</v>
      </c>
      <c r="AC907" s="6">
        <f>$M$907*$W$907</f>
        <v>5538.7984100000003</v>
      </c>
      <c r="AD907" s="6">
        <f>$O$907*$X$907</f>
        <v>6594.1682100000007</v>
      </c>
      <c r="AE907" s="6">
        <f>$K$907*$Y$907</f>
        <v>0</v>
      </c>
      <c r="AF907" s="6">
        <f ca="1">$M$907*$Z$907</f>
        <v>7376.4669900000008</v>
      </c>
      <c r="AG907" s="6">
        <f ca="1">$O$907*$AA$907</f>
        <v>5482.4804700000004</v>
      </c>
    </row>
    <row r="908" spans="1:33" ht="11.25" customHeight="1" x14ac:dyDescent="0.3">
      <c r="A908" s="4" t="s">
        <v>28</v>
      </c>
      <c r="B908" s="4" t="s">
        <v>37</v>
      </c>
      <c r="C908" s="4" t="s">
        <v>33</v>
      </c>
      <c r="D908" s="4" t="s">
        <v>42</v>
      </c>
      <c r="E908" s="4" t="s">
        <v>25</v>
      </c>
      <c r="F908" s="4" t="s">
        <v>25</v>
      </c>
      <c r="G908" s="4" t="s">
        <v>25</v>
      </c>
      <c r="H908" s="4" t="s">
        <v>35</v>
      </c>
      <c r="I908" s="5">
        <v>44531</v>
      </c>
      <c r="J908" s="6">
        <v>0</v>
      </c>
      <c r="K908" s="6">
        <v>0</v>
      </c>
      <c r="L908" s="6">
        <v>6.6520000000000001</v>
      </c>
      <c r="M908" s="6">
        <v>6.6520000000000001</v>
      </c>
      <c r="N908" s="6">
        <v>6.6520000000000001</v>
      </c>
      <c r="O908" s="6">
        <v>6.6520000000000001</v>
      </c>
      <c r="P908" s="6">
        <v>0</v>
      </c>
      <c r="Q908" s="4" t="s">
        <v>26</v>
      </c>
      <c r="R908" s="4">
        <v>0</v>
      </c>
      <c r="S908" s="6">
        <v>0</v>
      </c>
      <c r="T908" s="6">
        <v>69</v>
      </c>
      <c r="U908" s="6">
        <v>105</v>
      </c>
      <c r="V908" s="6">
        <f>IF(ISERROR(VLOOKUP($S$908,'TAR FIN'!$A$1:$O$113,15,0)),0,VLOOKUP($S$908,'TAR FIN'!$A$1:$O$113,15,0))</f>
        <v>0</v>
      </c>
      <c r="W908" s="6">
        <f>IF(ISERROR(VLOOKUP($T$908,'TAR FIN'!$A$1:$O$113,15,0)),0,VLOOKUP($T$908,'TAR FIN'!$A$1:$O$113,15,0))</f>
        <v>234.07</v>
      </c>
      <c r="X908" s="6">
        <f>IF(ISERROR(VLOOKUP($U$908,'TAR FIN'!$A$1:$O$113,15,0)),0,VLOOKUP($U$908,'TAR FIN'!$A$1:$O$113,15,0))</f>
        <v>278.67</v>
      </c>
      <c r="Y908" s="6"/>
      <c r="Z908" s="6">
        <f ca="1">('TUSD BE'!$AM$67+'TUSD BF_350'!$AM$67+'TUSD CVA'!$AM$67)*1</f>
        <v>311.73</v>
      </c>
      <c r="AA908" s="6">
        <f ca="1">('TE BE'!$AB$45+'TE BF_350'!$AB$45+'TE CVA'!$AB$45)*1</f>
        <v>231.69</v>
      </c>
      <c r="AB908" s="6">
        <f>$K$908*$V$908</f>
        <v>0</v>
      </c>
      <c r="AC908" s="6">
        <f>$M$908*$W$908</f>
        <v>1557.0336399999999</v>
      </c>
      <c r="AD908" s="6">
        <f>$O$908*$X$908</f>
        <v>1853.7128400000001</v>
      </c>
      <c r="AE908" s="6">
        <f>$K$908*$Y$908</f>
        <v>0</v>
      </c>
      <c r="AF908" s="6">
        <f ca="1">$M$908*$Z$908</f>
        <v>2073.6279600000003</v>
      </c>
      <c r="AG908" s="6">
        <f ca="1">$O$908*$AA$908</f>
        <v>1541.2018800000001</v>
      </c>
    </row>
    <row r="909" spans="1:33" ht="11.25" customHeight="1" x14ac:dyDescent="0.3">
      <c r="A909" s="4" t="s">
        <v>21</v>
      </c>
      <c r="B909" s="4" t="s">
        <v>37</v>
      </c>
      <c r="C909" s="4" t="s">
        <v>33</v>
      </c>
      <c r="D909" s="4" t="s">
        <v>42</v>
      </c>
      <c r="E909" s="4" t="s">
        <v>25</v>
      </c>
      <c r="F909" s="4" t="s">
        <v>25</v>
      </c>
      <c r="G909" s="4" t="s">
        <v>25</v>
      </c>
      <c r="H909" s="4" t="s">
        <v>35</v>
      </c>
      <c r="I909" s="5">
        <v>44562</v>
      </c>
      <c r="J909" s="6">
        <v>0</v>
      </c>
      <c r="K909" s="6">
        <v>0</v>
      </c>
      <c r="L909" s="6">
        <v>23.891999999999999</v>
      </c>
      <c r="M909" s="6">
        <v>23.891999999999999</v>
      </c>
      <c r="N909" s="6">
        <v>23.891999999999999</v>
      </c>
      <c r="O909" s="6">
        <v>23.891999999999999</v>
      </c>
      <c r="P909" s="6">
        <v>0</v>
      </c>
      <c r="Q909" s="4" t="s">
        <v>26</v>
      </c>
      <c r="R909" s="4">
        <v>0</v>
      </c>
      <c r="S909" s="6">
        <v>0</v>
      </c>
      <c r="T909" s="6">
        <v>69</v>
      </c>
      <c r="U909" s="6">
        <v>105</v>
      </c>
      <c r="V909" s="6">
        <f>IF(ISERROR(VLOOKUP($S$909,'TAR FIN'!$A$1:$O$113,15,0)),0,VLOOKUP($S$909,'TAR FIN'!$A$1:$O$113,15,0))</f>
        <v>0</v>
      </c>
      <c r="W909" s="6">
        <f>IF(ISERROR(VLOOKUP($T$909,'TAR FIN'!$A$1:$O$113,15,0)),0,VLOOKUP($T$909,'TAR FIN'!$A$1:$O$113,15,0))</f>
        <v>234.07</v>
      </c>
      <c r="X909" s="6">
        <f>IF(ISERROR(VLOOKUP($U$909,'TAR FIN'!$A$1:$O$113,15,0)),0,VLOOKUP($U$909,'TAR FIN'!$A$1:$O$113,15,0))</f>
        <v>278.67</v>
      </c>
      <c r="Y909" s="6"/>
      <c r="Z909" s="6">
        <f ca="1">('TUSD BE'!$AM$67+'TUSD BF_350'!$AM$67+'TUSD CVA'!$AM$67)*1</f>
        <v>311.73</v>
      </c>
      <c r="AA909" s="6">
        <f ca="1">('TE BE'!$AB$45+'TE BF_350'!$AB$45+'TE CVA'!$AB$45)*1</f>
        <v>231.69</v>
      </c>
      <c r="AB909" s="6">
        <f>$K$909*$V$909</f>
        <v>0</v>
      </c>
      <c r="AC909" s="6">
        <f>$M$909*$W$909</f>
        <v>5592.4004399999994</v>
      </c>
      <c r="AD909" s="6">
        <f>$O$909*$X$909</f>
        <v>6657.9836400000004</v>
      </c>
      <c r="AE909" s="6">
        <f>$K$909*$Y$909</f>
        <v>0</v>
      </c>
      <c r="AF909" s="6">
        <f ca="1">$M$909*$Z$909</f>
        <v>7447.8531600000006</v>
      </c>
      <c r="AG909" s="6">
        <f ca="1">$O$909*$AA$909</f>
        <v>5535.53748</v>
      </c>
    </row>
    <row r="910" spans="1:33" ht="11.25" customHeight="1" x14ac:dyDescent="0.3">
      <c r="A910" s="4" t="s">
        <v>28</v>
      </c>
      <c r="B910" s="4" t="s">
        <v>37</v>
      </c>
      <c r="C910" s="4" t="s">
        <v>33</v>
      </c>
      <c r="D910" s="4" t="s">
        <v>42</v>
      </c>
      <c r="E910" s="4" t="s">
        <v>25</v>
      </c>
      <c r="F910" s="4" t="s">
        <v>25</v>
      </c>
      <c r="G910" s="4" t="s">
        <v>25</v>
      </c>
      <c r="H910" s="4" t="s">
        <v>35</v>
      </c>
      <c r="I910" s="5">
        <v>44562</v>
      </c>
      <c r="J910" s="6">
        <v>0</v>
      </c>
      <c r="K910" s="6">
        <v>0</v>
      </c>
      <c r="L910" s="6">
        <v>8.4640000000000004</v>
      </c>
      <c r="M910" s="6">
        <v>8.4640000000000004</v>
      </c>
      <c r="N910" s="6">
        <v>8.4640000000000004</v>
      </c>
      <c r="O910" s="6">
        <v>8.4640000000000004</v>
      </c>
      <c r="P910" s="6">
        <v>0</v>
      </c>
      <c r="Q910" s="4" t="s">
        <v>26</v>
      </c>
      <c r="R910" s="4">
        <v>0</v>
      </c>
      <c r="S910" s="6">
        <v>0</v>
      </c>
      <c r="T910" s="6">
        <v>69</v>
      </c>
      <c r="U910" s="6">
        <v>105</v>
      </c>
      <c r="V910" s="6">
        <f>IF(ISERROR(VLOOKUP($S$910,'TAR FIN'!$A$1:$O$113,15,0)),0,VLOOKUP($S$910,'TAR FIN'!$A$1:$O$113,15,0))</f>
        <v>0</v>
      </c>
      <c r="W910" s="6">
        <f>IF(ISERROR(VLOOKUP($T$910,'TAR FIN'!$A$1:$O$113,15,0)),0,VLOOKUP($T$910,'TAR FIN'!$A$1:$O$113,15,0))</f>
        <v>234.07</v>
      </c>
      <c r="X910" s="6">
        <f>IF(ISERROR(VLOOKUP($U$910,'TAR FIN'!$A$1:$O$113,15,0)),0,VLOOKUP($U$910,'TAR FIN'!$A$1:$O$113,15,0))</f>
        <v>278.67</v>
      </c>
      <c r="Y910" s="6"/>
      <c r="Z910" s="6">
        <f ca="1">('TUSD BE'!$AM$67+'TUSD BF_350'!$AM$67+'TUSD CVA'!$AM$67)*1</f>
        <v>311.73</v>
      </c>
      <c r="AA910" s="6">
        <f ca="1">('TE BE'!$AB$45+'TE BF_350'!$AB$45+'TE CVA'!$AB$45)*1</f>
        <v>231.69</v>
      </c>
      <c r="AB910" s="6">
        <f>$K$910*$V$910</f>
        <v>0</v>
      </c>
      <c r="AC910" s="6">
        <f>$M$910*$W$910</f>
        <v>1981.16848</v>
      </c>
      <c r="AD910" s="6">
        <f>$O$910*$X$910</f>
        <v>2358.6628800000003</v>
      </c>
      <c r="AE910" s="6">
        <f>$K$910*$Y$910</f>
        <v>0</v>
      </c>
      <c r="AF910" s="6">
        <f ca="1">$M$910*$Z$910</f>
        <v>2638.4827200000004</v>
      </c>
      <c r="AG910" s="6">
        <f ca="1">$O$910*$AA$910</f>
        <v>1961.0241600000002</v>
      </c>
    </row>
    <row r="911" spans="1:33" ht="11.25" customHeight="1" x14ac:dyDescent="0.3">
      <c r="A911" s="4" t="s">
        <v>21</v>
      </c>
      <c r="B911" s="4" t="s">
        <v>37</v>
      </c>
      <c r="C911" s="4" t="s">
        <v>33</v>
      </c>
      <c r="D911" s="4" t="s">
        <v>42</v>
      </c>
      <c r="E911" s="4" t="s">
        <v>25</v>
      </c>
      <c r="F911" s="4" t="s">
        <v>25</v>
      </c>
      <c r="G911" s="4" t="s">
        <v>25</v>
      </c>
      <c r="H911" s="4" t="s">
        <v>35</v>
      </c>
      <c r="I911" s="5">
        <v>44593</v>
      </c>
      <c r="J911" s="6">
        <v>0</v>
      </c>
      <c r="K911" s="6">
        <v>0</v>
      </c>
      <c r="L911" s="6">
        <v>29.81</v>
      </c>
      <c r="M911" s="6">
        <v>29.81</v>
      </c>
      <c r="N911" s="6">
        <v>29.81</v>
      </c>
      <c r="O911" s="6">
        <v>29.81</v>
      </c>
      <c r="P911" s="6">
        <v>0</v>
      </c>
      <c r="Q911" s="4" t="s">
        <v>26</v>
      </c>
      <c r="R911" s="4">
        <v>0</v>
      </c>
      <c r="S911" s="6">
        <v>0</v>
      </c>
      <c r="T911" s="6">
        <v>69</v>
      </c>
      <c r="U911" s="6">
        <v>105</v>
      </c>
      <c r="V911" s="6">
        <f>IF(ISERROR(VLOOKUP($S$911,'TAR FIN'!$A$1:$O$113,15,0)),0,VLOOKUP($S$911,'TAR FIN'!$A$1:$O$113,15,0))</f>
        <v>0</v>
      </c>
      <c r="W911" s="6">
        <f>IF(ISERROR(VLOOKUP($T$911,'TAR FIN'!$A$1:$O$113,15,0)),0,VLOOKUP($T$911,'TAR FIN'!$A$1:$O$113,15,0))</f>
        <v>234.07</v>
      </c>
      <c r="X911" s="6">
        <f>IF(ISERROR(VLOOKUP($U$911,'TAR FIN'!$A$1:$O$113,15,0)),0,VLOOKUP($U$911,'TAR FIN'!$A$1:$O$113,15,0))</f>
        <v>278.67</v>
      </c>
      <c r="Y911" s="6"/>
      <c r="Z911" s="6">
        <f ca="1">('TUSD BE'!$AM$67+'TUSD BF_350'!$AM$67+'TUSD CVA'!$AM$67)*1</f>
        <v>311.73</v>
      </c>
      <c r="AA911" s="6">
        <f ca="1">('TE BE'!$AB$45+'TE BF_350'!$AB$45+'TE CVA'!$AB$45)*1</f>
        <v>231.69</v>
      </c>
      <c r="AB911" s="6">
        <f>$K$911*$V$911</f>
        <v>0</v>
      </c>
      <c r="AC911" s="6">
        <f>$M$911*$W$911</f>
        <v>6977.6266999999998</v>
      </c>
      <c r="AD911" s="6">
        <f>$O$911*$X$911</f>
        <v>8307.1527000000006</v>
      </c>
      <c r="AE911" s="6">
        <f>$K$911*$Y$911</f>
        <v>0</v>
      </c>
      <c r="AF911" s="6">
        <f ca="1">$M$911*$Z$911</f>
        <v>9292.6713</v>
      </c>
      <c r="AG911" s="6">
        <f ca="1">$O$911*$AA$911</f>
        <v>6906.6788999999999</v>
      </c>
    </row>
    <row r="912" spans="1:33" ht="11.25" customHeight="1" x14ac:dyDescent="0.3">
      <c r="A912" s="4" t="s">
        <v>28</v>
      </c>
      <c r="B912" s="4" t="s">
        <v>37</v>
      </c>
      <c r="C912" s="4" t="s">
        <v>33</v>
      </c>
      <c r="D912" s="4" t="s">
        <v>42</v>
      </c>
      <c r="E912" s="4" t="s">
        <v>25</v>
      </c>
      <c r="F912" s="4" t="s">
        <v>25</v>
      </c>
      <c r="G912" s="4" t="s">
        <v>25</v>
      </c>
      <c r="H912" s="4" t="s">
        <v>35</v>
      </c>
      <c r="I912" s="5">
        <v>44593</v>
      </c>
      <c r="J912" s="6">
        <v>0</v>
      </c>
      <c r="K912" s="6">
        <v>0</v>
      </c>
      <c r="L912" s="6">
        <v>5.8000000000000003E-2</v>
      </c>
      <c r="M912" s="6">
        <v>5.8000000000000003E-2</v>
      </c>
      <c r="N912" s="6">
        <v>5.8000000000000003E-2</v>
      </c>
      <c r="O912" s="6">
        <v>5.8000000000000003E-2</v>
      </c>
      <c r="P912" s="6">
        <v>0</v>
      </c>
      <c r="Q912" s="4" t="s">
        <v>26</v>
      </c>
      <c r="R912" s="4">
        <v>0</v>
      </c>
      <c r="S912" s="6">
        <v>0</v>
      </c>
      <c r="T912" s="6">
        <v>69</v>
      </c>
      <c r="U912" s="6">
        <v>105</v>
      </c>
      <c r="V912" s="6">
        <f>IF(ISERROR(VLOOKUP($S$912,'TAR FIN'!$A$1:$O$113,15,0)),0,VLOOKUP($S$912,'TAR FIN'!$A$1:$O$113,15,0))</f>
        <v>0</v>
      </c>
      <c r="W912" s="6">
        <f>IF(ISERROR(VLOOKUP($T$912,'TAR FIN'!$A$1:$O$113,15,0)),0,VLOOKUP($T$912,'TAR FIN'!$A$1:$O$113,15,0))</f>
        <v>234.07</v>
      </c>
      <c r="X912" s="6">
        <f>IF(ISERROR(VLOOKUP($U$912,'TAR FIN'!$A$1:$O$113,15,0)),0,VLOOKUP($U$912,'TAR FIN'!$A$1:$O$113,15,0))</f>
        <v>278.67</v>
      </c>
      <c r="Y912" s="6"/>
      <c r="Z912" s="6">
        <f ca="1">('TUSD BE'!$AM$67+'TUSD BF_350'!$AM$67+'TUSD CVA'!$AM$67)*1</f>
        <v>311.73</v>
      </c>
      <c r="AA912" s="6">
        <f ca="1">('TE BE'!$AB$45+'TE BF_350'!$AB$45+'TE CVA'!$AB$45)*1</f>
        <v>231.69</v>
      </c>
      <c r="AB912" s="6">
        <f>$K$912*$V$912</f>
        <v>0</v>
      </c>
      <c r="AC912" s="6">
        <f>$M$912*$W$912</f>
        <v>13.57606</v>
      </c>
      <c r="AD912" s="6">
        <f>$O$912*$X$912</f>
        <v>16.162860000000002</v>
      </c>
      <c r="AE912" s="6">
        <f>$K$912*$Y$912</f>
        <v>0</v>
      </c>
      <c r="AF912" s="6">
        <f ca="1">$M$912*$Z$912</f>
        <v>18.080340000000003</v>
      </c>
      <c r="AG912" s="6">
        <f ca="1">$O$912*$AA$912</f>
        <v>13.43802</v>
      </c>
    </row>
    <row r="913" spans="1:33" ht="11.25" customHeight="1" x14ac:dyDescent="0.3">
      <c r="A913" s="4" t="s">
        <v>21</v>
      </c>
      <c r="B913" s="4" t="s">
        <v>37</v>
      </c>
      <c r="C913" s="4" t="s">
        <v>33</v>
      </c>
      <c r="D913" s="4" t="s">
        <v>42</v>
      </c>
      <c r="E913" s="4" t="s">
        <v>25</v>
      </c>
      <c r="F913" s="4" t="s">
        <v>25</v>
      </c>
      <c r="G913" s="4" t="s">
        <v>25</v>
      </c>
      <c r="H913" s="4" t="s">
        <v>35</v>
      </c>
      <c r="I913" s="5">
        <v>44621</v>
      </c>
      <c r="J913" s="6">
        <v>0</v>
      </c>
      <c r="K913" s="6">
        <v>0</v>
      </c>
      <c r="L913" s="6">
        <v>24.454000000000001</v>
      </c>
      <c r="M913" s="6">
        <v>24.454000000000001</v>
      </c>
      <c r="N913" s="6">
        <v>24.454000000000001</v>
      </c>
      <c r="O913" s="6">
        <v>24.454000000000001</v>
      </c>
      <c r="P913" s="6">
        <v>0</v>
      </c>
      <c r="Q913" s="4" t="s">
        <v>26</v>
      </c>
      <c r="R913" s="4">
        <v>0</v>
      </c>
      <c r="S913" s="6">
        <v>0</v>
      </c>
      <c r="T913" s="6">
        <v>69</v>
      </c>
      <c r="U913" s="6">
        <v>105</v>
      </c>
      <c r="V913" s="6">
        <f>IF(ISERROR(VLOOKUP($S$913,'TAR FIN'!$A$1:$O$113,15,0)),0,VLOOKUP($S$913,'TAR FIN'!$A$1:$O$113,15,0))</f>
        <v>0</v>
      </c>
      <c r="W913" s="6">
        <f>IF(ISERROR(VLOOKUP($T$913,'TAR FIN'!$A$1:$O$113,15,0)),0,VLOOKUP($T$913,'TAR FIN'!$A$1:$O$113,15,0))</f>
        <v>234.07</v>
      </c>
      <c r="X913" s="6">
        <f>IF(ISERROR(VLOOKUP($U$913,'TAR FIN'!$A$1:$O$113,15,0)),0,VLOOKUP($U$913,'TAR FIN'!$A$1:$O$113,15,0))</f>
        <v>278.67</v>
      </c>
      <c r="Y913" s="6"/>
      <c r="Z913" s="6">
        <f ca="1">('TUSD BE'!$AM$67+'TUSD BF_350'!$AM$67+'TUSD CVA'!$AM$67)*1</f>
        <v>311.73</v>
      </c>
      <c r="AA913" s="6">
        <f ca="1">('TE BE'!$AB$45+'TE BF_350'!$AB$45+'TE CVA'!$AB$45)*1</f>
        <v>231.69</v>
      </c>
      <c r="AB913" s="6">
        <f>$K$913*$V$913</f>
        <v>0</v>
      </c>
      <c r="AC913" s="6">
        <f>$M$913*$W$913</f>
        <v>5723.9477800000004</v>
      </c>
      <c r="AD913" s="6">
        <f>$O$913*$X$913</f>
        <v>6814.5961800000005</v>
      </c>
      <c r="AE913" s="6">
        <f>$K$913*$Y$913</f>
        <v>0</v>
      </c>
      <c r="AF913" s="6">
        <f ca="1">$M$913*$Z$913</f>
        <v>7623.0454200000004</v>
      </c>
      <c r="AG913" s="6">
        <f ca="1">$O$913*$AA$913</f>
        <v>5665.7472600000001</v>
      </c>
    </row>
    <row r="914" spans="1:33" ht="11.25" customHeight="1" x14ac:dyDescent="0.3">
      <c r="A914" s="4" t="s">
        <v>28</v>
      </c>
      <c r="B914" s="4" t="s">
        <v>37</v>
      </c>
      <c r="C914" s="4" t="s">
        <v>33</v>
      </c>
      <c r="D914" s="4" t="s">
        <v>42</v>
      </c>
      <c r="E914" s="4" t="s">
        <v>25</v>
      </c>
      <c r="F914" s="4" t="s">
        <v>25</v>
      </c>
      <c r="G914" s="4" t="s">
        <v>25</v>
      </c>
      <c r="H914" s="4" t="s">
        <v>35</v>
      </c>
      <c r="I914" s="5">
        <v>44621</v>
      </c>
      <c r="J914" s="6">
        <v>0</v>
      </c>
      <c r="K914" s="6">
        <v>0</v>
      </c>
      <c r="L914" s="6">
        <v>6.7770000000000001</v>
      </c>
      <c r="M914" s="6">
        <v>6.7770000000000001</v>
      </c>
      <c r="N914" s="6">
        <v>6.7770000000000001</v>
      </c>
      <c r="O914" s="6">
        <v>6.7770000000000001</v>
      </c>
      <c r="P914" s="6">
        <v>0</v>
      </c>
      <c r="Q914" s="4" t="s">
        <v>26</v>
      </c>
      <c r="R914" s="4">
        <v>0</v>
      </c>
      <c r="S914" s="6">
        <v>0</v>
      </c>
      <c r="T914" s="6">
        <v>69</v>
      </c>
      <c r="U914" s="6">
        <v>105</v>
      </c>
      <c r="V914" s="6">
        <f>IF(ISERROR(VLOOKUP($S$914,'TAR FIN'!$A$1:$O$113,15,0)),0,VLOOKUP($S$914,'TAR FIN'!$A$1:$O$113,15,0))</f>
        <v>0</v>
      </c>
      <c r="W914" s="6">
        <f>IF(ISERROR(VLOOKUP($T$914,'TAR FIN'!$A$1:$O$113,15,0)),0,VLOOKUP($T$914,'TAR FIN'!$A$1:$O$113,15,0))</f>
        <v>234.07</v>
      </c>
      <c r="X914" s="6">
        <f>IF(ISERROR(VLOOKUP($U$914,'TAR FIN'!$A$1:$O$113,15,0)),0,VLOOKUP($U$914,'TAR FIN'!$A$1:$O$113,15,0))</f>
        <v>278.67</v>
      </c>
      <c r="Y914" s="6"/>
      <c r="Z914" s="6">
        <f ca="1">('TUSD BE'!$AM$67+'TUSD BF_350'!$AM$67+'TUSD CVA'!$AM$67)*1</f>
        <v>311.73</v>
      </c>
      <c r="AA914" s="6">
        <f ca="1">('TE BE'!$AB$45+'TE BF_350'!$AB$45+'TE CVA'!$AB$45)*1</f>
        <v>231.69</v>
      </c>
      <c r="AB914" s="6">
        <f>$K$914*$V$914</f>
        <v>0</v>
      </c>
      <c r="AC914" s="6">
        <f>$M$914*$W$914</f>
        <v>1586.2923900000001</v>
      </c>
      <c r="AD914" s="6">
        <f>$O$914*$X$914</f>
        <v>1888.5465900000002</v>
      </c>
      <c r="AE914" s="6">
        <f>$K$914*$Y$914</f>
        <v>0</v>
      </c>
      <c r="AF914" s="6">
        <f ca="1">$M$914*$Z$914</f>
        <v>2112.5942100000002</v>
      </c>
      <c r="AG914" s="6">
        <f ca="1">$O$914*$AA$914</f>
        <v>1570.1631299999999</v>
      </c>
    </row>
    <row r="915" spans="1:33" ht="11.25" customHeight="1" x14ac:dyDescent="0.3">
      <c r="A915" s="4" t="s">
        <v>21</v>
      </c>
      <c r="B915" s="4" t="s">
        <v>37</v>
      </c>
      <c r="C915" s="4" t="s">
        <v>33</v>
      </c>
      <c r="D915" s="4" t="s">
        <v>42</v>
      </c>
      <c r="E915" s="4" t="s">
        <v>25</v>
      </c>
      <c r="F915" s="4" t="s">
        <v>25</v>
      </c>
      <c r="G915" s="4" t="s">
        <v>25</v>
      </c>
      <c r="H915" s="4" t="s">
        <v>35</v>
      </c>
      <c r="I915" s="5">
        <v>44652</v>
      </c>
      <c r="J915" s="6">
        <v>0</v>
      </c>
      <c r="K915" s="6">
        <v>0</v>
      </c>
      <c r="L915" s="6">
        <v>36.942999999999998</v>
      </c>
      <c r="M915" s="6">
        <v>36.942999999999998</v>
      </c>
      <c r="N915" s="6">
        <v>36.942999999999998</v>
      </c>
      <c r="O915" s="6">
        <v>36.942999999999998</v>
      </c>
      <c r="P915" s="6">
        <v>0</v>
      </c>
      <c r="Q915" s="4" t="s">
        <v>26</v>
      </c>
      <c r="R915" s="4">
        <v>0</v>
      </c>
      <c r="S915" s="6">
        <v>0</v>
      </c>
      <c r="T915" s="6">
        <v>69</v>
      </c>
      <c r="U915" s="6">
        <v>105</v>
      </c>
      <c r="V915" s="6">
        <f>IF(ISERROR(VLOOKUP($S$915,'TAR FIN'!$A$1:$O$113,15,0)),0,VLOOKUP($S$915,'TAR FIN'!$A$1:$O$113,15,0))</f>
        <v>0</v>
      </c>
      <c r="W915" s="6">
        <f>IF(ISERROR(VLOOKUP($T$915,'TAR FIN'!$A$1:$O$113,15,0)),0,VLOOKUP($T$915,'TAR FIN'!$A$1:$O$113,15,0))</f>
        <v>234.07</v>
      </c>
      <c r="X915" s="6">
        <f>IF(ISERROR(VLOOKUP($U$915,'TAR FIN'!$A$1:$O$113,15,0)),0,VLOOKUP($U$915,'TAR FIN'!$A$1:$O$113,15,0))</f>
        <v>278.67</v>
      </c>
      <c r="Y915" s="6"/>
      <c r="Z915" s="6">
        <f ca="1">('TUSD BE'!$AM$67+'TUSD BF_350'!$AM$67+'TUSD CVA'!$AM$67)*1</f>
        <v>311.73</v>
      </c>
      <c r="AA915" s="6">
        <f ca="1">('TE BE'!$AB$45+'TE BF_350'!$AB$45+'TE CVA'!$AB$45)*1</f>
        <v>231.69</v>
      </c>
      <c r="AB915" s="6">
        <f>$K$915*$V$915</f>
        <v>0</v>
      </c>
      <c r="AC915" s="6">
        <f>$M$915*$W$915</f>
        <v>8647.2480099999993</v>
      </c>
      <c r="AD915" s="6">
        <f>$O$915*$X$915</f>
        <v>10294.90581</v>
      </c>
      <c r="AE915" s="6">
        <f>$K$915*$Y$915</f>
        <v>0</v>
      </c>
      <c r="AF915" s="6">
        <f ca="1">$M$915*$Z$915</f>
        <v>11516.241389999999</v>
      </c>
      <c r="AG915" s="6">
        <f ca="1">$O$915*$AA$915</f>
        <v>8559.3236699999998</v>
      </c>
    </row>
    <row r="916" spans="1:33" ht="11.25" customHeight="1" x14ac:dyDescent="0.3">
      <c r="A916" s="4" t="s">
        <v>21</v>
      </c>
      <c r="B916" s="4" t="s">
        <v>37</v>
      </c>
      <c r="C916" s="4" t="s">
        <v>33</v>
      </c>
      <c r="D916" s="4" t="s">
        <v>42</v>
      </c>
      <c r="E916" s="4" t="s">
        <v>25</v>
      </c>
      <c r="F916" s="4" t="s">
        <v>25</v>
      </c>
      <c r="G916" s="4" t="s">
        <v>25</v>
      </c>
      <c r="H916" s="4" t="s">
        <v>35</v>
      </c>
      <c r="I916" s="5">
        <v>44682</v>
      </c>
      <c r="J916" s="6">
        <v>0</v>
      </c>
      <c r="K916" s="6">
        <v>0</v>
      </c>
      <c r="L916" s="6">
        <v>25.99</v>
      </c>
      <c r="M916" s="6">
        <v>25.99</v>
      </c>
      <c r="N916" s="6">
        <v>25.99</v>
      </c>
      <c r="O916" s="6">
        <v>25.99</v>
      </c>
      <c r="P916" s="6">
        <v>0</v>
      </c>
      <c r="Q916" s="4" t="s">
        <v>26</v>
      </c>
      <c r="R916" s="4">
        <v>0</v>
      </c>
      <c r="S916" s="6">
        <v>0</v>
      </c>
      <c r="T916" s="6">
        <v>69</v>
      </c>
      <c r="U916" s="6">
        <v>105</v>
      </c>
      <c r="V916" s="6">
        <f>IF(ISERROR(VLOOKUP($S$916,'TAR FIN'!$A$1:$O$113,15,0)),0,VLOOKUP($S$916,'TAR FIN'!$A$1:$O$113,15,0))</f>
        <v>0</v>
      </c>
      <c r="W916" s="6">
        <f>IF(ISERROR(VLOOKUP($T$916,'TAR FIN'!$A$1:$O$113,15,0)),0,VLOOKUP($T$916,'TAR FIN'!$A$1:$O$113,15,0))</f>
        <v>234.07</v>
      </c>
      <c r="X916" s="6">
        <f>IF(ISERROR(VLOOKUP($U$916,'TAR FIN'!$A$1:$O$113,15,0)),0,VLOOKUP($U$916,'TAR FIN'!$A$1:$O$113,15,0))</f>
        <v>278.67</v>
      </c>
      <c r="Y916" s="6"/>
      <c r="Z916" s="6">
        <f ca="1">('TUSD BE'!$AM$67+'TUSD BF_350'!$AM$67+'TUSD CVA'!$AM$67)*1</f>
        <v>311.73</v>
      </c>
      <c r="AA916" s="6">
        <f ca="1">('TE BE'!$AB$45+'TE BF_350'!$AB$45+'TE CVA'!$AB$45)*1</f>
        <v>231.69</v>
      </c>
      <c r="AB916" s="6">
        <f>$K$916*$V$916</f>
        <v>0</v>
      </c>
      <c r="AC916" s="6">
        <f>$M$916*$W$916</f>
        <v>6083.4792999999991</v>
      </c>
      <c r="AD916" s="6">
        <f>$O$916*$X$916</f>
        <v>7242.6333000000004</v>
      </c>
      <c r="AE916" s="6">
        <f>$K$916*$Y$916</f>
        <v>0</v>
      </c>
      <c r="AF916" s="6">
        <f ca="1">$M$916*$Z$916</f>
        <v>8101.8626999999997</v>
      </c>
      <c r="AG916" s="6">
        <f ca="1">$O$916*$AA$916</f>
        <v>6021.6230999999998</v>
      </c>
    </row>
    <row r="917" spans="1:33" ht="11.25" customHeight="1" x14ac:dyDescent="0.3">
      <c r="A917" s="4" t="s">
        <v>28</v>
      </c>
      <c r="B917" s="4" t="s">
        <v>37</v>
      </c>
      <c r="C917" s="4" t="s">
        <v>33</v>
      </c>
      <c r="D917" s="4" t="s">
        <v>42</v>
      </c>
      <c r="E917" s="4" t="s">
        <v>25</v>
      </c>
      <c r="F917" s="4" t="s">
        <v>25</v>
      </c>
      <c r="G917" s="4" t="s">
        <v>25</v>
      </c>
      <c r="H917" s="4" t="s">
        <v>35</v>
      </c>
      <c r="I917" s="5">
        <v>44682</v>
      </c>
      <c r="J917" s="6">
        <v>0</v>
      </c>
      <c r="K917" s="6">
        <v>0</v>
      </c>
      <c r="L917" s="6">
        <v>6.4850000000000003</v>
      </c>
      <c r="M917" s="6">
        <v>6.4850000000000003</v>
      </c>
      <c r="N917" s="6">
        <v>6.4850000000000003</v>
      </c>
      <c r="O917" s="6">
        <v>6.4850000000000003</v>
      </c>
      <c r="P917" s="6">
        <v>0</v>
      </c>
      <c r="Q917" s="4" t="s">
        <v>26</v>
      </c>
      <c r="R917" s="4">
        <v>0</v>
      </c>
      <c r="S917" s="6">
        <v>0</v>
      </c>
      <c r="T917" s="6">
        <v>69</v>
      </c>
      <c r="U917" s="6">
        <v>105</v>
      </c>
      <c r="V917" s="6">
        <f>IF(ISERROR(VLOOKUP($S$917,'TAR FIN'!$A$1:$O$113,15,0)),0,VLOOKUP($S$917,'TAR FIN'!$A$1:$O$113,15,0))</f>
        <v>0</v>
      </c>
      <c r="W917" s="6">
        <f>IF(ISERROR(VLOOKUP($T$917,'TAR FIN'!$A$1:$O$113,15,0)),0,VLOOKUP($T$917,'TAR FIN'!$A$1:$O$113,15,0))</f>
        <v>234.07</v>
      </c>
      <c r="X917" s="6">
        <f>IF(ISERROR(VLOOKUP($U$917,'TAR FIN'!$A$1:$O$113,15,0)),0,VLOOKUP($U$917,'TAR FIN'!$A$1:$O$113,15,0))</f>
        <v>278.67</v>
      </c>
      <c r="Y917" s="6"/>
      <c r="Z917" s="6">
        <f ca="1">('TUSD BE'!$AM$67+'TUSD BF_350'!$AM$67+'TUSD CVA'!$AM$67)*1</f>
        <v>311.73</v>
      </c>
      <c r="AA917" s="6">
        <f ca="1">('TE BE'!$AB$45+'TE BF_350'!$AB$45+'TE CVA'!$AB$45)*1</f>
        <v>231.69</v>
      </c>
      <c r="AB917" s="6">
        <f>$K$917*$V$917</f>
        <v>0</v>
      </c>
      <c r="AC917" s="6">
        <f>$M$917*$W$917</f>
        <v>1517.9439500000001</v>
      </c>
      <c r="AD917" s="6">
        <f>$O$917*$X$917</f>
        <v>1807.1749500000001</v>
      </c>
      <c r="AE917" s="6">
        <f>$K$917*$Y$917</f>
        <v>0</v>
      </c>
      <c r="AF917" s="6">
        <f ca="1">$M$917*$Z$917</f>
        <v>2021.5690500000003</v>
      </c>
      <c r="AG917" s="6">
        <f ca="1">$O$917*$AA$917</f>
        <v>1502.50965</v>
      </c>
    </row>
    <row r="918" spans="1:33" ht="11.25" customHeight="1" x14ac:dyDescent="0.3">
      <c r="A918" s="4" t="s">
        <v>21</v>
      </c>
      <c r="B918" s="4" t="s">
        <v>37</v>
      </c>
      <c r="C918" s="4" t="s">
        <v>33</v>
      </c>
      <c r="D918" s="4" t="s">
        <v>42</v>
      </c>
      <c r="E918" s="4" t="s">
        <v>25</v>
      </c>
      <c r="F918" s="4" t="s">
        <v>25</v>
      </c>
      <c r="G918" s="4" t="s">
        <v>25</v>
      </c>
      <c r="H918" s="4" t="s">
        <v>35</v>
      </c>
      <c r="I918" s="5">
        <v>44713</v>
      </c>
      <c r="J918" s="6">
        <v>0</v>
      </c>
      <c r="K918" s="6">
        <v>0</v>
      </c>
      <c r="L918" s="6">
        <v>24.417000000000002</v>
      </c>
      <c r="M918" s="6">
        <v>24.417000000000002</v>
      </c>
      <c r="N918" s="6">
        <v>24.417000000000002</v>
      </c>
      <c r="O918" s="6">
        <v>24.417000000000002</v>
      </c>
      <c r="P918" s="6">
        <v>0</v>
      </c>
      <c r="Q918" s="4" t="s">
        <v>26</v>
      </c>
      <c r="R918" s="4">
        <v>0</v>
      </c>
      <c r="S918" s="6">
        <v>0</v>
      </c>
      <c r="T918" s="6">
        <v>69</v>
      </c>
      <c r="U918" s="6">
        <v>105</v>
      </c>
      <c r="V918" s="6">
        <f>IF(ISERROR(VLOOKUP($S$918,'TAR FIN'!$A$1:$O$113,15,0)),0,VLOOKUP($S$918,'TAR FIN'!$A$1:$O$113,15,0))</f>
        <v>0</v>
      </c>
      <c r="W918" s="6">
        <f>IF(ISERROR(VLOOKUP($T$918,'TAR FIN'!$A$1:$O$113,15,0)),0,VLOOKUP($T$918,'TAR FIN'!$A$1:$O$113,15,0))</f>
        <v>234.07</v>
      </c>
      <c r="X918" s="6">
        <f>IF(ISERROR(VLOOKUP($U$918,'TAR FIN'!$A$1:$O$113,15,0)),0,VLOOKUP($U$918,'TAR FIN'!$A$1:$O$113,15,0))</f>
        <v>278.67</v>
      </c>
      <c r="Y918" s="6"/>
      <c r="Z918" s="6">
        <f ca="1">('TUSD BE'!$AM$67+'TUSD BF_350'!$AM$67+'TUSD CVA'!$AM$67)*1</f>
        <v>311.73</v>
      </c>
      <c r="AA918" s="6">
        <f ca="1">('TE BE'!$AB$45+'TE BF_350'!$AB$45+'TE CVA'!$AB$45)*1</f>
        <v>231.69</v>
      </c>
      <c r="AB918" s="6">
        <f>$K$918*$V$918</f>
        <v>0</v>
      </c>
      <c r="AC918" s="6">
        <f>$M$918*$W$918</f>
        <v>5715.28719</v>
      </c>
      <c r="AD918" s="6">
        <f>$O$918*$X$918</f>
        <v>6804.2853900000009</v>
      </c>
      <c r="AE918" s="6">
        <f>$K$918*$Y$918</f>
        <v>0</v>
      </c>
      <c r="AF918" s="6">
        <f ca="1">$M$918*$Z$918</f>
        <v>7611.511410000001</v>
      </c>
      <c r="AG918" s="6">
        <f ca="1">$O$918*$AA$918</f>
        <v>5657.1747300000006</v>
      </c>
    </row>
    <row r="919" spans="1:33" ht="11.25" customHeight="1" x14ac:dyDescent="0.3">
      <c r="A919" s="4" t="s">
        <v>28</v>
      </c>
      <c r="B919" s="4" t="s">
        <v>37</v>
      </c>
      <c r="C919" s="4" t="s">
        <v>33</v>
      </c>
      <c r="D919" s="4" t="s">
        <v>42</v>
      </c>
      <c r="E919" s="4" t="s">
        <v>25</v>
      </c>
      <c r="F919" s="4" t="s">
        <v>25</v>
      </c>
      <c r="G919" s="4" t="s">
        <v>25</v>
      </c>
      <c r="H919" s="4" t="s">
        <v>35</v>
      </c>
      <c r="I919" s="5">
        <v>44713</v>
      </c>
      <c r="J919" s="6">
        <v>0</v>
      </c>
      <c r="K919" s="6">
        <v>0</v>
      </c>
      <c r="L919" s="6">
        <v>6.0650000000000004</v>
      </c>
      <c r="M919" s="6">
        <v>6.0650000000000004</v>
      </c>
      <c r="N919" s="6">
        <v>6.0650000000000004</v>
      </c>
      <c r="O919" s="6">
        <v>6.0650000000000004</v>
      </c>
      <c r="P919" s="6">
        <v>0</v>
      </c>
      <c r="Q919" s="4" t="s">
        <v>26</v>
      </c>
      <c r="R919" s="4">
        <v>0</v>
      </c>
      <c r="S919" s="6">
        <v>0</v>
      </c>
      <c r="T919" s="6">
        <v>69</v>
      </c>
      <c r="U919" s="6">
        <v>105</v>
      </c>
      <c r="V919" s="6">
        <f>IF(ISERROR(VLOOKUP($S$919,'TAR FIN'!$A$1:$O$113,15,0)),0,VLOOKUP($S$919,'TAR FIN'!$A$1:$O$113,15,0))</f>
        <v>0</v>
      </c>
      <c r="W919" s="6">
        <f>IF(ISERROR(VLOOKUP($T$919,'TAR FIN'!$A$1:$O$113,15,0)),0,VLOOKUP($T$919,'TAR FIN'!$A$1:$O$113,15,0))</f>
        <v>234.07</v>
      </c>
      <c r="X919" s="6">
        <f>IF(ISERROR(VLOOKUP($U$919,'TAR FIN'!$A$1:$O$113,15,0)),0,VLOOKUP($U$919,'TAR FIN'!$A$1:$O$113,15,0))</f>
        <v>278.67</v>
      </c>
      <c r="Y919" s="6"/>
      <c r="Z919" s="6">
        <f ca="1">('TUSD BE'!$AM$67+'TUSD BF_350'!$AM$67+'TUSD CVA'!$AM$67)*1</f>
        <v>311.73</v>
      </c>
      <c r="AA919" s="6">
        <f ca="1">('TE BE'!$AB$45+'TE BF_350'!$AB$45+'TE CVA'!$AB$45)*1</f>
        <v>231.69</v>
      </c>
      <c r="AB919" s="6">
        <f>$K$919*$V$919</f>
        <v>0</v>
      </c>
      <c r="AC919" s="6">
        <f>$M$919*$W$919</f>
        <v>1419.63455</v>
      </c>
      <c r="AD919" s="6">
        <f>$O$919*$X$919</f>
        <v>1690.1335500000002</v>
      </c>
      <c r="AE919" s="6">
        <f>$K$919*$Y$919</f>
        <v>0</v>
      </c>
      <c r="AF919" s="6">
        <f ca="1">$M$919*$Z$919</f>
        <v>1890.6424500000003</v>
      </c>
      <c r="AG919" s="6">
        <f ca="1">$O$919*$AA$919</f>
        <v>1405.19985</v>
      </c>
    </row>
    <row r="920" spans="1:33" ht="11.25" customHeight="1" x14ac:dyDescent="0.3">
      <c r="A920" s="4" t="s">
        <v>21</v>
      </c>
      <c r="B920" s="4" t="s">
        <v>37</v>
      </c>
      <c r="C920" s="4" t="s">
        <v>33</v>
      </c>
      <c r="D920" s="4" t="s">
        <v>42</v>
      </c>
      <c r="E920" s="4" t="s">
        <v>25</v>
      </c>
      <c r="F920" s="4" t="s">
        <v>25</v>
      </c>
      <c r="G920" s="4" t="s">
        <v>25</v>
      </c>
      <c r="H920" s="4" t="s">
        <v>35</v>
      </c>
      <c r="I920" s="5">
        <v>44743</v>
      </c>
      <c r="J920" s="6">
        <v>0</v>
      </c>
      <c r="K920" s="6">
        <v>0</v>
      </c>
      <c r="L920" s="6">
        <v>32.880000000000003</v>
      </c>
      <c r="M920" s="6">
        <v>32.880000000000003</v>
      </c>
      <c r="N920" s="6">
        <v>32.880000000000003</v>
      </c>
      <c r="O920" s="6">
        <v>32.880000000000003</v>
      </c>
      <c r="P920" s="6">
        <v>0</v>
      </c>
      <c r="Q920" s="4" t="s">
        <v>26</v>
      </c>
      <c r="R920" s="4">
        <v>0</v>
      </c>
      <c r="S920" s="6">
        <v>0</v>
      </c>
      <c r="T920" s="6">
        <v>69</v>
      </c>
      <c r="U920" s="6">
        <v>105</v>
      </c>
      <c r="V920" s="6">
        <f>IF(ISERROR(VLOOKUP($S$920,'TAR FIN'!$A$1:$O$113,15,0)),0,VLOOKUP($S$920,'TAR FIN'!$A$1:$O$113,15,0))</f>
        <v>0</v>
      </c>
      <c r="W920" s="6">
        <f>IF(ISERROR(VLOOKUP($T$920,'TAR FIN'!$A$1:$O$113,15,0)),0,VLOOKUP($T$920,'TAR FIN'!$A$1:$O$113,15,0))</f>
        <v>234.07</v>
      </c>
      <c r="X920" s="6">
        <f>IF(ISERROR(VLOOKUP($U$920,'TAR FIN'!$A$1:$O$113,15,0)),0,VLOOKUP($U$920,'TAR FIN'!$A$1:$O$113,15,0))</f>
        <v>278.67</v>
      </c>
      <c r="Y920" s="6"/>
      <c r="Z920" s="6">
        <f ca="1">('TUSD BE'!$AM$67+'TUSD BF_350'!$AM$67+'TUSD CVA'!$AM$67)*1</f>
        <v>311.73</v>
      </c>
      <c r="AA920" s="6">
        <f ca="1">('TE BE'!$AB$45+'TE BF_350'!$AB$45+'TE CVA'!$AB$45)*1</f>
        <v>231.69</v>
      </c>
      <c r="AB920" s="6">
        <f>$K$920*$V$920</f>
        <v>0</v>
      </c>
      <c r="AC920" s="6">
        <f>$M$920*$W$920</f>
        <v>7696.2216000000008</v>
      </c>
      <c r="AD920" s="6">
        <f>$O$920*$X$920</f>
        <v>9162.6696000000011</v>
      </c>
      <c r="AE920" s="6">
        <f>$K$920*$Y$920</f>
        <v>0</v>
      </c>
      <c r="AF920" s="6">
        <f ca="1">$M$920*$Z$920</f>
        <v>10249.682400000002</v>
      </c>
      <c r="AG920" s="6">
        <f ca="1">$O$920*$AA$920</f>
        <v>7617.967200000001</v>
      </c>
    </row>
    <row r="921" spans="1:33" ht="11.25" customHeight="1" x14ac:dyDescent="0.3">
      <c r="A921" s="4" t="s">
        <v>21</v>
      </c>
      <c r="B921" s="4" t="s">
        <v>37</v>
      </c>
      <c r="C921" s="4" t="s">
        <v>33</v>
      </c>
      <c r="D921" s="4" t="s">
        <v>42</v>
      </c>
      <c r="E921" s="4" t="s">
        <v>25</v>
      </c>
      <c r="F921" s="4" t="s">
        <v>25</v>
      </c>
      <c r="G921" s="4" t="s">
        <v>25</v>
      </c>
      <c r="H921" s="4" t="s">
        <v>35</v>
      </c>
      <c r="I921" s="5">
        <v>44774</v>
      </c>
      <c r="J921" s="6">
        <v>0</v>
      </c>
      <c r="K921" s="6">
        <v>0</v>
      </c>
      <c r="L921" s="6">
        <v>25.122</v>
      </c>
      <c r="M921" s="6">
        <v>25.122</v>
      </c>
      <c r="N921" s="6">
        <v>25.122</v>
      </c>
      <c r="O921" s="6">
        <v>25.122</v>
      </c>
      <c r="P921" s="6">
        <v>0</v>
      </c>
      <c r="Q921" s="4" t="s">
        <v>26</v>
      </c>
      <c r="R921" s="4">
        <v>0</v>
      </c>
      <c r="S921" s="6">
        <v>0</v>
      </c>
      <c r="T921" s="6">
        <v>69</v>
      </c>
      <c r="U921" s="6">
        <v>105</v>
      </c>
      <c r="V921" s="6">
        <f>IF(ISERROR(VLOOKUP($S$921,'TAR FIN'!$A$1:$O$113,15,0)),0,VLOOKUP($S$921,'TAR FIN'!$A$1:$O$113,15,0))</f>
        <v>0</v>
      </c>
      <c r="W921" s="6">
        <f>IF(ISERROR(VLOOKUP($T$921,'TAR FIN'!$A$1:$O$113,15,0)),0,VLOOKUP($T$921,'TAR FIN'!$A$1:$O$113,15,0))</f>
        <v>234.07</v>
      </c>
      <c r="X921" s="6">
        <f>IF(ISERROR(VLOOKUP($U$921,'TAR FIN'!$A$1:$O$113,15,0)),0,VLOOKUP($U$921,'TAR FIN'!$A$1:$O$113,15,0))</f>
        <v>278.67</v>
      </c>
      <c r="Y921" s="6"/>
      <c r="Z921" s="6">
        <f ca="1">('TUSD BE'!$AM$67+'TUSD BF_350'!$AM$67+'TUSD CVA'!$AM$67)*1</f>
        <v>311.73</v>
      </c>
      <c r="AA921" s="6">
        <f ca="1">('TE BE'!$AB$45+'TE BF_350'!$AB$45+'TE CVA'!$AB$45)*1</f>
        <v>231.69</v>
      </c>
      <c r="AB921" s="6">
        <f>$K$921*$V$921</f>
        <v>0</v>
      </c>
      <c r="AC921" s="6">
        <f>$M$921*$W$921</f>
        <v>5880.3065399999996</v>
      </c>
      <c r="AD921" s="6">
        <f>$O$921*$X$921</f>
        <v>7000.7477400000007</v>
      </c>
      <c r="AE921" s="6">
        <f>$K$921*$Y$921</f>
        <v>0</v>
      </c>
      <c r="AF921" s="6">
        <f ca="1">$M$921*$Z$921</f>
        <v>7831.2810600000003</v>
      </c>
      <c r="AG921" s="6">
        <f ca="1">$O$921*$AA$921</f>
        <v>5820.5161799999996</v>
      </c>
    </row>
    <row r="922" spans="1:33" ht="11.25" customHeight="1" x14ac:dyDescent="0.3">
      <c r="A922" s="4" t="s">
        <v>28</v>
      </c>
      <c r="B922" s="4" t="s">
        <v>37</v>
      </c>
      <c r="C922" s="4" t="s">
        <v>33</v>
      </c>
      <c r="D922" s="4" t="s">
        <v>42</v>
      </c>
      <c r="E922" s="4" t="s">
        <v>25</v>
      </c>
      <c r="F922" s="4" t="s">
        <v>25</v>
      </c>
      <c r="G922" s="4" t="s">
        <v>25</v>
      </c>
      <c r="H922" s="4" t="s">
        <v>35</v>
      </c>
      <c r="I922" s="5">
        <v>44774</v>
      </c>
      <c r="J922" s="6">
        <v>0</v>
      </c>
      <c r="K922" s="6">
        <v>0</v>
      </c>
      <c r="L922" s="6">
        <v>6.2770000000000001</v>
      </c>
      <c r="M922" s="6">
        <v>6.2770000000000001</v>
      </c>
      <c r="N922" s="6">
        <v>6.2770000000000001</v>
      </c>
      <c r="O922" s="6">
        <v>6.2770000000000001</v>
      </c>
      <c r="P922" s="6">
        <v>0</v>
      </c>
      <c r="Q922" s="4" t="s">
        <v>26</v>
      </c>
      <c r="R922" s="4">
        <v>0</v>
      </c>
      <c r="S922" s="6">
        <v>0</v>
      </c>
      <c r="T922" s="6">
        <v>69</v>
      </c>
      <c r="U922" s="6">
        <v>105</v>
      </c>
      <c r="V922" s="6">
        <f>IF(ISERROR(VLOOKUP($S$922,'TAR FIN'!$A$1:$O$113,15,0)),0,VLOOKUP($S$922,'TAR FIN'!$A$1:$O$113,15,0))</f>
        <v>0</v>
      </c>
      <c r="W922" s="6">
        <f>IF(ISERROR(VLOOKUP($T$922,'TAR FIN'!$A$1:$O$113,15,0)),0,VLOOKUP($T$922,'TAR FIN'!$A$1:$O$113,15,0))</f>
        <v>234.07</v>
      </c>
      <c r="X922" s="6">
        <f>IF(ISERROR(VLOOKUP($U$922,'TAR FIN'!$A$1:$O$113,15,0)),0,VLOOKUP($U$922,'TAR FIN'!$A$1:$O$113,15,0))</f>
        <v>278.67</v>
      </c>
      <c r="Y922" s="6"/>
      <c r="Z922" s="6">
        <f ca="1">('TUSD BE'!$AM$67+'TUSD BF_350'!$AM$67+'TUSD CVA'!$AM$67)*1</f>
        <v>311.73</v>
      </c>
      <c r="AA922" s="6">
        <f ca="1">('TE BE'!$AB$45+'TE BF_350'!$AB$45+'TE CVA'!$AB$45)*1</f>
        <v>231.69</v>
      </c>
      <c r="AB922" s="6">
        <f>$K$922*$V$922</f>
        <v>0</v>
      </c>
      <c r="AC922" s="6">
        <f>$M$922*$W$922</f>
        <v>1469.25739</v>
      </c>
      <c r="AD922" s="6">
        <f>$O$922*$X$922</f>
        <v>1749.2115900000001</v>
      </c>
      <c r="AE922" s="6">
        <f>$K$922*$Y$922</f>
        <v>0</v>
      </c>
      <c r="AF922" s="6">
        <f ca="1">$M$922*$Z$922</f>
        <v>1956.7292100000002</v>
      </c>
      <c r="AG922" s="6">
        <f ca="1">$O$922*$AA$922</f>
        <v>1454.3181300000001</v>
      </c>
    </row>
    <row r="923" spans="1:33" ht="11.25" customHeight="1" x14ac:dyDescent="0.3">
      <c r="A923" s="4" t="s">
        <v>21</v>
      </c>
      <c r="B923" s="4" t="s">
        <v>37</v>
      </c>
      <c r="C923" s="4" t="s">
        <v>33</v>
      </c>
      <c r="D923" s="4" t="s">
        <v>42</v>
      </c>
      <c r="E923" s="4" t="s">
        <v>25</v>
      </c>
      <c r="F923" s="4" t="s">
        <v>25</v>
      </c>
      <c r="G923" s="4" t="s">
        <v>25</v>
      </c>
      <c r="H923" s="4" t="s">
        <v>35</v>
      </c>
      <c r="I923" s="5">
        <v>44805</v>
      </c>
      <c r="J923" s="6">
        <v>0</v>
      </c>
      <c r="K923" s="6">
        <v>0</v>
      </c>
      <c r="L923" s="6">
        <v>24.431999999999999</v>
      </c>
      <c r="M923" s="6">
        <v>24.431999999999999</v>
      </c>
      <c r="N923" s="6">
        <v>24.431999999999999</v>
      </c>
      <c r="O923" s="6">
        <v>24.431999999999999</v>
      </c>
      <c r="P923" s="6">
        <v>0</v>
      </c>
      <c r="Q923" s="4" t="s">
        <v>26</v>
      </c>
      <c r="R923" s="4">
        <v>0</v>
      </c>
      <c r="S923" s="6">
        <v>0</v>
      </c>
      <c r="T923" s="6">
        <v>69</v>
      </c>
      <c r="U923" s="6">
        <v>105</v>
      </c>
      <c r="V923" s="6">
        <f>IF(ISERROR(VLOOKUP($S$923,'TAR FIN'!$A$1:$O$113,15,0)),0,VLOOKUP($S$923,'TAR FIN'!$A$1:$O$113,15,0))</f>
        <v>0</v>
      </c>
      <c r="W923" s="6">
        <f>IF(ISERROR(VLOOKUP($T$923,'TAR FIN'!$A$1:$O$113,15,0)),0,VLOOKUP($T$923,'TAR FIN'!$A$1:$O$113,15,0))</f>
        <v>234.07</v>
      </c>
      <c r="X923" s="6">
        <f>IF(ISERROR(VLOOKUP($U$923,'TAR FIN'!$A$1:$O$113,15,0)),0,VLOOKUP($U$923,'TAR FIN'!$A$1:$O$113,15,0))</f>
        <v>278.67</v>
      </c>
      <c r="Y923" s="6"/>
      <c r="Z923" s="6">
        <f ca="1">('TUSD BE'!$AM$67+'TUSD BF_350'!$AM$67+'TUSD CVA'!$AM$67)*1</f>
        <v>311.73</v>
      </c>
      <c r="AA923" s="6">
        <f ca="1">('TE BE'!$AB$45+'TE BF_350'!$AB$45+'TE CVA'!$AB$45)*1</f>
        <v>231.69</v>
      </c>
      <c r="AB923" s="6">
        <f>$K$923*$V$923</f>
        <v>0</v>
      </c>
      <c r="AC923" s="6">
        <f>$M$923*$W$923</f>
        <v>5718.7982399999992</v>
      </c>
      <c r="AD923" s="6">
        <f>$O$923*$X$923</f>
        <v>6808.4654399999999</v>
      </c>
      <c r="AE923" s="6">
        <f>$K$923*$Y$923</f>
        <v>0</v>
      </c>
      <c r="AF923" s="6">
        <f ca="1">$M$923*$Z$923</f>
        <v>7616.1873599999999</v>
      </c>
      <c r="AG923" s="6">
        <f ca="1">$O$923*$AA$923</f>
        <v>5660.6500799999994</v>
      </c>
    </row>
    <row r="924" spans="1:33" ht="11.25" customHeight="1" x14ac:dyDescent="0.3">
      <c r="A924" s="4" t="s">
        <v>28</v>
      </c>
      <c r="B924" s="4" t="s">
        <v>37</v>
      </c>
      <c r="C924" s="4" t="s">
        <v>33</v>
      </c>
      <c r="D924" s="4" t="s">
        <v>42</v>
      </c>
      <c r="E924" s="4" t="s">
        <v>25</v>
      </c>
      <c r="F924" s="4" t="s">
        <v>25</v>
      </c>
      <c r="G924" s="4" t="s">
        <v>25</v>
      </c>
      <c r="H924" s="4" t="s">
        <v>35</v>
      </c>
      <c r="I924" s="5">
        <v>44805</v>
      </c>
      <c r="J924" s="6">
        <v>0</v>
      </c>
      <c r="K924" s="6">
        <v>0</v>
      </c>
      <c r="L924" s="6">
        <v>3.9849999999999999</v>
      </c>
      <c r="M924" s="6">
        <v>3.9849999999999999</v>
      </c>
      <c r="N924" s="6">
        <v>3.9849999999999999</v>
      </c>
      <c r="O924" s="6">
        <v>3.9849999999999999</v>
      </c>
      <c r="P924" s="6">
        <v>0</v>
      </c>
      <c r="Q924" s="4" t="s">
        <v>26</v>
      </c>
      <c r="R924" s="4">
        <v>0</v>
      </c>
      <c r="S924" s="6">
        <v>0</v>
      </c>
      <c r="T924" s="6">
        <v>69</v>
      </c>
      <c r="U924" s="6">
        <v>105</v>
      </c>
      <c r="V924" s="6">
        <f>IF(ISERROR(VLOOKUP($S$924,'TAR FIN'!$A$1:$O$113,15,0)),0,VLOOKUP($S$924,'TAR FIN'!$A$1:$O$113,15,0))</f>
        <v>0</v>
      </c>
      <c r="W924" s="6">
        <f>IF(ISERROR(VLOOKUP($T$924,'TAR FIN'!$A$1:$O$113,15,0)),0,VLOOKUP($T$924,'TAR FIN'!$A$1:$O$113,15,0))</f>
        <v>234.07</v>
      </c>
      <c r="X924" s="6">
        <f>IF(ISERROR(VLOOKUP($U$924,'TAR FIN'!$A$1:$O$113,15,0)),0,VLOOKUP($U$924,'TAR FIN'!$A$1:$O$113,15,0))</f>
        <v>278.67</v>
      </c>
      <c r="Y924" s="6"/>
      <c r="Z924" s="6">
        <f ca="1">('TUSD BE'!$AM$67+'TUSD BF_350'!$AM$67+'TUSD CVA'!$AM$67)*1</f>
        <v>311.73</v>
      </c>
      <c r="AA924" s="6">
        <f ca="1">('TE BE'!$AB$45+'TE BF_350'!$AB$45+'TE CVA'!$AB$45)*1</f>
        <v>231.69</v>
      </c>
      <c r="AB924" s="6">
        <f>$K$924*$V$924</f>
        <v>0</v>
      </c>
      <c r="AC924" s="6">
        <f>$M$924*$W$924</f>
        <v>932.7689499999999</v>
      </c>
      <c r="AD924" s="6">
        <f>$O$924*$X$924</f>
        <v>1110.4999500000001</v>
      </c>
      <c r="AE924" s="6">
        <f>$K$924*$Y$924</f>
        <v>0</v>
      </c>
      <c r="AF924" s="6">
        <f ca="1">$M$924*$Z$924</f>
        <v>1242.24405</v>
      </c>
      <c r="AG924" s="6">
        <f ca="1">$O$924*$AA$924</f>
        <v>923.28464999999994</v>
      </c>
    </row>
    <row r="925" spans="1:33" ht="11.25" customHeight="1" x14ac:dyDescent="0.3">
      <c r="A925" s="4" t="s">
        <v>53</v>
      </c>
      <c r="B925" s="4" t="s">
        <v>37</v>
      </c>
      <c r="C925" s="4" t="s">
        <v>33</v>
      </c>
      <c r="D925" s="4" t="s">
        <v>42</v>
      </c>
      <c r="E925" s="4" t="s">
        <v>25</v>
      </c>
      <c r="F925" s="4" t="s">
        <v>25</v>
      </c>
      <c r="G925" s="4" t="s">
        <v>25</v>
      </c>
      <c r="H925" s="4" t="s">
        <v>35</v>
      </c>
      <c r="I925" s="5">
        <v>44835</v>
      </c>
      <c r="J925" s="6">
        <v>0</v>
      </c>
      <c r="K925" s="6">
        <v>0</v>
      </c>
      <c r="L925" s="6">
        <v>24.431999999999999</v>
      </c>
      <c r="M925" s="6">
        <v>24.431999999999999</v>
      </c>
      <c r="N925" s="6">
        <v>24.431999999999999</v>
      </c>
      <c r="O925" s="6">
        <v>24.431999999999999</v>
      </c>
      <c r="P925" s="6">
        <v>0</v>
      </c>
      <c r="Q925" s="4" t="s">
        <v>26</v>
      </c>
      <c r="R925" s="4">
        <v>0</v>
      </c>
      <c r="S925" s="6">
        <v>0</v>
      </c>
      <c r="T925" s="6">
        <v>69</v>
      </c>
      <c r="U925" s="6">
        <v>105</v>
      </c>
      <c r="V925" s="6">
        <f>IF(ISERROR(VLOOKUP($S$925,'TAR FIN'!$A$1:$O$113,15,0)),0,VLOOKUP($S$925,'TAR FIN'!$A$1:$O$113,15,0))</f>
        <v>0</v>
      </c>
      <c r="W925" s="6">
        <f>IF(ISERROR(VLOOKUP($T$925,'TAR FIN'!$A$1:$O$113,15,0)),0,VLOOKUP($T$925,'TAR FIN'!$A$1:$O$113,15,0))</f>
        <v>234.07</v>
      </c>
      <c r="X925" s="6">
        <f>IF(ISERROR(VLOOKUP($U$925,'TAR FIN'!$A$1:$O$113,15,0)),0,VLOOKUP($U$925,'TAR FIN'!$A$1:$O$113,15,0))</f>
        <v>278.67</v>
      </c>
      <c r="Y925" s="6"/>
      <c r="Z925" s="6">
        <f ca="1">('TUSD BE'!$AM$67+'TUSD BF_350'!$AM$67+'TUSD CVA'!$AM$67)*1</f>
        <v>311.73</v>
      </c>
      <c r="AA925" s="6">
        <f ca="1">('TE BE'!$AB$45+'TE BF_350'!$AB$45+'TE CVA'!$AB$45)*1</f>
        <v>231.69</v>
      </c>
      <c r="AB925" s="6">
        <f>$K$925*$V$925</f>
        <v>0</v>
      </c>
      <c r="AC925" s="6">
        <f>$M$925*$W$925</f>
        <v>5718.7982399999992</v>
      </c>
      <c r="AD925" s="6">
        <f>$O$925*$X$925</f>
        <v>6808.4654399999999</v>
      </c>
      <c r="AE925" s="6">
        <f>$K$925*$Y$925</f>
        <v>0</v>
      </c>
      <c r="AF925" s="6">
        <f ca="1">$M$925*$Z$925</f>
        <v>7616.1873599999999</v>
      </c>
      <c r="AG925" s="6">
        <f ca="1">$O$925*$AA$925</f>
        <v>5660.6500799999994</v>
      </c>
    </row>
    <row r="926" spans="1:33" ht="11.25" customHeight="1" x14ac:dyDescent="0.3">
      <c r="A926" s="4" t="s">
        <v>53</v>
      </c>
      <c r="B926" s="4" t="s">
        <v>37</v>
      </c>
      <c r="C926" s="4" t="s">
        <v>33</v>
      </c>
      <c r="D926" s="4" t="s">
        <v>42</v>
      </c>
      <c r="E926" s="4" t="s">
        <v>25</v>
      </c>
      <c r="F926" s="4" t="s">
        <v>25</v>
      </c>
      <c r="G926" s="4" t="s">
        <v>25</v>
      </c>
      <c r="H926" s="4" t="s">
        <v>35</v>
      </c>
      <c r="I926" s="5">
        <v>44835</v>
      </c>
      <c r="J926" s="6">
        <v>0</v>
      </c>
      <c r="K926" s="6">
        <v>0</v>
      </c>
      <c r="L926" s="6">
        <v>3.9849999999999999</v>
      </c>
      <c r="M926" s="6">
        <v>3.9849999999999999</v>
      </c>
      <c r="N926" s="6">
        <v>3.9849999999999999</v>
      </c>
      <c r="O926" s="6">
        <v>3.9849999999999999</v>
      </c>
      <c r="P926" s="6">
        <v>0</v>
      </c>
      <c r="Q926" s="4" t="s">
        <v>26</v>
      </c>
      <c r="R926" s="4">
        <v>0</v>
      </c>
      <c r="S926" s="6">
        <v>0</v>
      </c>
      <c r="T926" s="6">
        <v>69</v>
      </c>
      <c r="U926" s="6">
        <v>105</v>
      </c>
      <c r="V926" s="6">
        <f>IF(ISERROR(VLOOKUP($S$926,'TAR FIN'!$A$1:$O$113,15,0)),0,VLOOKUP($S$926,'TAR FIN'!$A$1:$O$113,15,0))</f>
        <v>0</v>
      </c>
      <c r="W926" s="6">
        <f>IF(ISERROR(VLOOKUP($T$926,'TAR FIN'!$A$1:$O$113,15,0)),0,VLOOKUP($T$926,'TAR FIN'!$A$1:$O$113,15,0))</f>
        <v>234.07</v>
      </c>
      <c r="X926" s="6">
        <f>IF(ISERROR(VLOOKUP($U$926,'TAR FIN'!$A$1:$O$113,15,0)),0,VLOOKUP($U$926,'TAR FIN'!$A$1:$O$113,15,0))</f>
        <v>278.67</v>
      </c>
      <c r="Y926" s="6"/>
      <c r="Z926" s="6">
        <f ca="1">('TUSD BE'!$AM$67+'TUSD BF_350'!$AM$67+'TUSD CVA'!$AM$67)*1</f>
        <v>311.73</v>
      </c>
      <c r="AA926" s="6">
        <f ca="1">('TE BE'!$AB$45+'TE BF_350'!$AB$45+'TE CVA'!$AB$45)*1</f>
        <v>231.69</v>
      </c>
      <c r="AB926" s="6">
        <f>$K$926*$V$926</f>
        <v>0</v>
      </c>
      <c r="AC926" s="6">
        <f>$M$926*$W$926</f>
        <v>932.7689499999999</v>
      </c>
      <c r="AD926" s="6">
        <f>$O$926*$X$926</f>
        <v>1110.4999500000001</v>
      </c>
      <c r="AE926" s="6">
        <f>$K$926*$Y$926</f>
        <v>0</v>
      </c>
      <c r="AF926" s="6">
        <f ca="1">$M$926*$Z$926</f>
        <v>1242.24405</v>
      </c>
      <c r="AG926" s="6">
        <f ca="1">$O$926*$AA$926</f>
        <v>923.28464999999994</v>
      </c>
    </row>
    <row r="927" spans="1:33" ht="11.25" customHeight="1" x14ac:dyDescent="0.3">
      <c r="A927" s="4" t="s">
        <v>21</v>
      </c>
      <c r="B927" s="4" t="s">
        <v>37</v>
      </c>
      <c r="C927" s="4" t="s">
        <v>33</v>
      </c>
      <c r="D927" s="4" t="s">
        <v>42</v>
      </c>
      <c r="E927" s="4" t="s">
        <v>25</v>
      </c>
      <c r="F927" s="4" t="s">
        <v>25</v>
      </c>
      <c r="G927" s="4" t="s">
        <v>25</v>
      </c>
      <c r="H927" s="4" t="s">
        <v>36</v>
      </c>
      <c r="I927" s="5">
        <v>44501</v>
      </c>
      <c r="J927" s="6">
        <v>0</v>
      </c>
      <c r="K927" s="6">
        <v>0</v>
      </c>
      <c r="L927" s="6">
        <v>1.2170000000000001</v>
      </c>
      <c r="M927" s="6">
        <v>1.2170000000000001</v>
      </c>
      <c r="N927" s="6">
        <v>1.2170000000000001</v>
      </c>
      <c r="O927" s="6">
        <v>1.2170000000000001</v>
      </c>
      <c r="P927" s="6">
        <v>0</v>
      </c>
      <c r="Q927" s="4" t="s">
        <v>26</v>
      </c>
      <c r="R927" s="4">
        <v>0</v>
      </c>
      <c r="S927" s="6">
        <v>0</v>
      </c>
      <c r="T927" s="6">
        <v>82</v>
      </c>
      <c r="U927" s="6">
        <v>110</v>
      </c>
      <c r="V927" s="6">
        <f>IF(ISERROR(VLOOKUP($S$927,'TAR FIN'!$A$1:$O$113,15,0)),0,VLOOKUP($S$927,'TAR FIN'!$A$1:$O$113,15,0))</f>
        <v>0</v>
      </c>
      <c r="W927" s="6">
        <f>IF(ISERROR(VLOOKUP($T$927,'TAR FIN'!$A$1:$O$113,15,0)),0,VLOOKUP($T$927,'TAR FIN'!$A$1:$O$113,15,0))</f>
        <v>491.18</v>
      </c>
      <c r="X927" s="6">
        <f>IF(ISERROR(VLOOKUP($U$927,'TAR FIN'!$A$1:$O$113,15,0)),0,VLOOKUP($U$927,'TAR FIN'!$A$1:$O$113,15,0))</f>
        <v>278.67</v>
      </c>
      <c r="Y927" s="6"/>
      <c r="Z927" s="6">
        <f ca="1">('TUSD BE'!$AM$66+'TUSD BF_350'!$AM$66+'TUSD CVA'!$AM$66)*1</f>
        <v>616.41999999999996</v>
      </c>
      <c r="AA927" s="6">
        <f ca="1">('TE BE'!$AB$44+'TE BF_350'!$AB$44+'TE CVA'!$AB$44)*1</f>
        <v>231.69</v>
      </c>
      <c r="AB927" s="6">
        <f>$K$927*$V$927</f>
        <v>0</v>
      </c>
      <c r="AC927" s="6">
        <f>$M$927*$W$927</f>
        <v>597.76606000000004</v>
      </c>
      <c r="AD927" s="6">
        <f>$O$927*$X$927</f>
        <v>339.14139000000006</v>
      </c>
      <c r="AE927" s="6">
        <f>$K$927*$Y$927</f>
        <v>0</v>
      </c>
      <c r="AF927" s="6">
        <f ca="1">$M$927*$Z$927</f>
        <v>750.18313999999998</v>
      </c>
      <c r="AG927" s="6">
        <f ca="1">$O$927*$AA$927</f>
        <v>281.96673000000004</v>
      </c>
    </row>
    <row r="928" spans="1:33" ht="11.25" customHeight="1" x14ac:dyDescent="0.3">
      <c r="A928" s="4" t="s">
        <v>28</v>
      </c>
      <c r="B928" s="4" t="s">
        <v>37</v>
      </c>
      <c r="C928" s="4" t="s">
        <v>33</v>
      </c>
      <c r="D928" s="4" t="s">
        <v>42</v>
      </c>
      <c r="E928" s="4" t="s">
        <v>25</v>
      </c>
      <c r="F928" s="4" t="s">
        <v>25</v>
      </c>
      <c r="G928" s="4" t="s">
        <v>25</v>
      </c>
      <c r="H928" s="4" t="s">
        <v>36</v>
      </c>
      <c r="I928" s="5">
        <v>44501</v>
      </c>
      <c r="J928" s="6">
        <v>0</v>
      </c>
      <c r="K928" s="6">
        <v>0</v>
      </c>
      <c r="L928" s="6">
        <v>0.54700000000000004</v>
      </c>
      <c r="M928" s="6">
        <v>0.54700000000000004</v>
      </c>
      <c r="N928" s="6">
        <v>0.54700000000000004</v>
      </c>
      <c r="O928" s="6">
        <v>0.54700000000000004</v>
      </c>
      <c r="P928" s="6">
        <v>0</v>
      </c>
      <c r="Q928" s="4" t="s">
        <v>26</v>
      </c>
      <c r="R928" s="4">
        <v>0</v>
      </c>
      <c r="S928" s="6">
        <v>0</v>
      </c>
      <c r="T928" s="6">
        <v>82</v>
      </c>
      <c r="U928" s="6">
        <v>110</v>
      </c>
      <c r="V928" s="6">
        <f>IF(ISERROR(VLOOKUP($S$928,'TAR FIN'!$A$1:$O$113,15,0)),0,VLOOKUP($S$928,'TAR FIN'!$A$1:$O$113,15,0))</f>
        <v>0</v>
      </c>
      <c r="W928" s="6">
        <f>IF(ISERROR(VLOOKUP($T$928,'TAR FIN'!$A$1:$O$113,15,0)),0,VLOOKUP($T$928,'TAR FIN'!$A$1:$O$113,15,0))</f>
        <v>491.18</v>
      </c>
      <c r="X928" s="6">
        <f>IF(ISERROR(VLOOKUP($U$928,'TAR FIN'!$A$1:$O$113,15,0)),0,VLOOKUP($U$928,'TAR FIN'!$A$1:$O$113,15,0))</f>
        <v>278.67</v>
      </c>
      <c r="Y928" s="6"/>
      <c r="Z928" s="6">
        <f ca="1">('TUSD BE'!$AM$66+'TUSD BF_350'!$AM$66+'TUSD CVA'!$AM$66)*1</f>
        <v>616.41999999999996</v>
      </c>
      <c r="AA928" s="6">
        <f ca="1">('TE BE'!$AB$44+'TE BF_350'!$AB$44+'TE CVA'!$AB$44)*1</f>
        <v>231.69</v>
      </c>
      <c r="AB928" s="6">
        <f>$K$928*$V$928</f>
        <v>0</v>
      </c>
      <c r="AC928" s="6">
        <f>$M$928*$W$928</f>
        <v>268.67546000000004</v>
      </c>
      <c r="AD928" s="6">
        <f>$O$928*$X$928</f>
        <v>152.43249000000003</v>
      </c>
      <c r="AE928" s="6">
        <f>$K$928*$Y$928</f>
        <v>0</v>
      </c>
      <c r="AF928" s="6">
        <f ca="1">$M$928*$Z$928</f>
        <v>337.18173999999999</v>
      </c>
      <c r="AG928" s="6">
        <f ca="1">$O$928*$AA$928</f>
        <v>126.73443</v>
      </c>
    </row>
    <row r="929" spans="1:33" ht="11.25" customHeight="1" x14ac:dyDescent="0.3">
      <c r="A929" s="4" t="s">
        <v>21</v>
      </c>
      <c r="B929" s="4" t="s">
        <v>37</v>
      </c>
      <c r="C929" s="4" t="s">
        <v>33</v>
      </c>
      <c r="D929" s="4" t="s">
        <v>42</v>
      </c>
      <c r="E929" s="4" t="s">
        <v>25</v>
      </c>
      <c r="F929" s="4" t="s">
        <v>25</v>
      </c>
      <c r="G929" s="4" t="s">
        <v>25</v>
      </c>
      <c r="H929" s="4" t="s">
        <v>36</v>
      </c>
      <c r="I929" s="5">
        <v>44531</v>
      </c>
      <c r="J929" s="6">
        <v>0</v>
      </c>
      <c r="K929" s="6">
        <v>0</v>
      </c>
      <c r="L929" s="6">
        <v>1.2889999999999999</v>
      </c>
      <c r="M929" s="6">
        <v>1.2889999999999999</v>
      </c>
      <c r="N929" s="6">
        <v>1.2889999999999999</v>
      </c>
      <c r="O929" s="6">
        <v>1.2889999999999999</v>
      </c>
      <c r="P929" s="6">
        <v>0</v>
      </c>
      <c r="Q929" s="4" t="s">
        <v>26</v>
      </c>
      <c r="R929" s="4">
        <v>0</v>
      </c>
      <c r="S929" s="6">
        <v>0</v>
      </c>
      <c r="T929" s="6">
        <v>82</v>
      </c>
      <c r="U929" s="6">
        <v>110</v>
      </c>
      <c r="V929" s="6">
        <f>IF(ISERROR(VLOOKUP($S$929,'TAR FIN'!$A$1:$O$113,15,0)),0,VLOOKUP($S$929,'TAR FIN'!$A$1:$O$113,15,0))</f>
        <v>0</v>
      </c>
      <c r="W929" s="6">
        <f>IF(ISERROR(VLOOKUP($T$929,'TAR FIN'!$A$1:$O$113,15,0)),0,VLOOKUP($T$929,'TAR FIN'!$A$1:$O$113,15,0))</f>
        <v>491.18</v>
      </c>
      <c r="X929" s="6">
        <f>IF(ISERROR(VLOOKUP($U$929,'TAR FIN'!$A$1:$O$113,15,0)),0,VLOOKUP($U$929,'TAR FIN'!$A$1:$O$113,15,0))</f>
        <v>278.67</v>
      </c>
      <c r="Y929" s="6"/>
      <c r="Z929" s="6">
        <f ca="1">('TUSD BE'!$AM$66+'TUSD BF_350'!$AM$66+'TUSD CVA'!$AM$66)*1</f>
        <v>616.41999999999996</v>
      </c>
      <c r="AA929" s="6">
        <f ca="1">('TE BE'!$AB$44+'TE BF_350'!$AB$44+'TE CVA'!$AB$44)*1</f>
        <v>231.69</v>
      </c>
      <c r="AB929" s="6">
        <f>$K$929*$V$929</f>
        <v>0</v>
      </c>
      <c r="AC929" s="6">
        <f>$M$929*$W$929</f>
        <v>633.13101999999992</v>
      </c>
      <c r="AD929" s="6">
        <f>$O$929*$X$929</f>
        <v>359.20562999999999</v>
      </c>
      <c r="AE929" s="6">
        <f>$K$929*$Y$929</f>
        <v>0</v>
      </c>
      <c r="AF929" s="6">
        <f ca="1">$M$929*$Z$929</f>
        <v>794.56537999999989</v>
      </c>
      <c r="AG929" s="6">
        <f ca="1">$O$929*$AA$929</f>
        <v>298.64840999999996</v>
      </c>
    </row>
    <row r="930" spans="1:33" ht="11.25" customHeight="1" x14ac:dyDescent="0.3">
      <c r="A930" s="4" t="s">
        <v>28</v>
      </c>
      <c r="B930" s="4" t="s">
        <v>37</v>
      </c>
      <c r="C930" s="4" t="s">
        <v>33</v>
      </c>
      <c r="D930" s="4" t="s">
        <v>42</v>
      </c>
      <c r="E930" s="4" t="s">
        <v>25</v>
      </c>
      <c r="F930" s="4" t="s">
        <v>25</v>
      </c>
      <c r="G930" s="4" t="s">
        <v>25</v>
      </c>
      <c r="H930" s="4" t="s">
        <v>36</v>
      </c>
      <c r="I930" s="5">
        <v>44531</v>
      </c>
      <c r="J930" s="6">
        <v>0</v>
      </c>
      <c r="K930" s="6">
        <v>0</v>
      </c>
      <c r="L930" s="6">
        <v>0.53300000000000003</v>
      </c>
      <c r="M930" s="6">
        <v>0.53300000000000003</v>
      </c>
      <c r="N930" s="6">
        <v>0.53300000000000003</v>
      </c>
      <c r="O930" s="6">
        <v>0.53300000000000003</v>
      </c>
      <c r="P930" s="6">
        <v>0</v>
      </c>
      <c r="Q930" s="4" t="s">
        <v>26</v>
      </c>
      <c r="R930" s="4">
        <v>0</v>
      </c>
      <c r="S930" s="6">
        <v>0</v>
      </c>
      <c r="T930" s="6">
        <v>82</v>
      </c>
      <c r="U930" s="6">
        <v>110</v>
      </c>
      <c r="V930" s="6">
        <f>IF(ISERROR(VLOOKUP($S$930,'TAR FIN'!$A$1:$O$113,15,0)),0,VLOOKUP($S$930,'TAR FIN'!$A$1:$O$113,15,0))</f>
        <v>0</v>
      </c>
      <c r="W930" s="6">
        <f>IF(ISERROR(VLOOKUP($T$930,'TAR FIN'!$A$1:$O$113,15,0)),0,VLOOKUP($T$930,'TAR FIN'!$A$1:$O$113,15,0))</f>
        <v>491.18</v>
      </c>
      <c r="X930" s="6">
        <f>IF(ISERROR(VLOOKUP($U$930,'TAR FIN'!$A$1:$O$113,15,0)),0,VLOOKUP($U$930,'TAR FIN'!$A$1:$O$113,15,0))</f>
        <v>278.67</v>
      </c>
      <c r="Y930" s="6"/>
      <c r="Z930" s="6">
        <f ca="1">('TUSD BE'!$AM$66+'TUSD BF_350'!$AM$66+'TUSD CVA'!$AM$66)*1</f>
        <v>616.41999999999996</v>
      </c>
      <c r="AA930" s="6">
        <f ca="1">('TE BE'!$AB$44+'TE BF_350'!$AB$44+'TE CVA'!$AB$44)*1</f>
        <v>231.69</v>
      </c>
      <c r="AB930" s="6">
        <f>$K$930*$V$930</f>
        <v>0</v>
      </c>
      <c r="AC930" s="6">
        <f>$M$930*$W$930</f>
        <v>261.79894000000002</v>
      </c>
      <c r="AD930" s="6">
        <f>$O$930*$X$930</f>
        <v>148.53111000000001</v>
      </c>
      <c r="AE930" s="6">
        <f>$K$930*$Y$930</f>
        <v>0</v>
      </c>
      <c r="AF930" s="6">
        <f ca="1">$M$930*$Z$930</f>
        <v>328.55185999999998</v>
      </c>
      <c r="AG930" s="6">
        <f ca="1">$O$930*$AA$930</f>
        <v>123.49077000000001</v>
      </c>
    </row>
    <row r="931" spans="1:33" ht="11.25" customHeight="1" x14ac:dyDescent="0.3">
      <c r="A931" s="4" t="s">
        <v>21</v>
      </c>
      <c r="B931" s="4" t="s">
        <v>37</v>
      </c>
      <c r="C931" s="4" t="s">
        <v>33</v>
      </c>
      <c r="D931" s="4" t="s">
        <v>42</v>
      </c>
      <c r="E931" s="4" t="s">
        <v>25</v>
      </c>
      <c r="F931" s="4" t="s">
        <v>25</v>
      </c>
      <c r="G931" s="4" t="s">
        <v>25</v>
      </c>
      <c r="H931" s="4" t="s">
        <v>36</v>
      </c>
      <c r="I931" s="5">
        <v>44562</v>
      </c>
      <c r="J931" s="6">
        <v>0</v>
      </c>
      <c r="K931" s="6">
        <v>0</v>
      </c>
      <c r="L931" s="6">
        <v>1.244</v>
      </c>
      <c r="M931" s="6">
        <v>1.244</v>
      </c>
      <c r="N931" s="6">
        <v>1.244</v>
      </c>
      <c r="O931" s="6">
        <v>1.244</v>
      </c>
      <c r="P931" s="6">
        <v>0</v>
      </c>
      <c r="Q931" s="4" t="s">
        <v>26</v>
      </c>
      <c r="R931" s="4">
        <v>0</v>
      </c>
      <c r="S931" s="6">
        <v>0</v>
      </c>
      <c r="T931" s="6">
        <v>82</v>
      </c>
      <c r="U931" s="6">
        <v>110</v>
      </c>
      <c r="V931" s="6">
        <f>IF(ISERROR(VLOOKUP($S$931,'TAR FIN'!$A$1:$O$113,15,0)),0,VLOOKUP($S$931,'TAR FIN'!$A$1:$O$113,15,0))</f>
        <v>0</v>
      </c>
      <c r="W931" s="6">
        <f>IF(ISERROR(VLOOKUP($T$931,'TAR FIN'!$A$1:$O$113,15,0)),0,VLOOKUP($T$931,'TAR FIN'!$A$1:$O$113,15,0))</f>
        <v>491.18</v>
      </c>
      <c r="X931" s="6">
        <f>IF(ISERROR(VLOOKUP($U$931,'TAR FIN'!$A$1:$O$113,15,0)),0,VLOOKUP($U$931,'TAR FIN'!$A$1:$O$113,15,0))</f>
        <v>278.67</v>
      </c>
      <c r="Y931" s="6"/>
      <c r="Z931" s="6">
        <f ca="1">('TUSD BE'!$AM$66+'TUSD BF_350'!$AM$66+'TUSD CVA'!$AM$66)*1</f>
        <v>616.41999999999996</v>
      </c>
      <c r="AA931" s="6">
        <f ca="1">('TE BE'!$AB$44+'TE BF_350'!$AB$44+'TE CVA'!$AB$44)*1</f>
        <v>231.69</v>
      </c>
      <c r="AB931" s="6">
        <f>$K$931*$V$931</f>
        <v>0</v>
      </c>
      <c r="AC931" s="6">
        <f>$M$931*$W$931</f>
        <v>611.02791999999999</v>
      </c>
      <c r="AD931" s="6">
        <f>$O$931*$X$931</f>
        <v>346.66548</v>
      </c>
      <c r="AE931" s="6">
        <f>$K$931*$Y$931</f>
        <v>0</v>
      </c>
      <c r="AF931" s="6">
        <f ca="1">$M$931*$Z$931</f>
        <v>766.82647999999995</v>
      </c>
      <c r="AG931" s="6">
        <f ca="1">$O$931*$AA$931</f>
        <v>288.22235999999998</v>
      </c>
    </row>
    <row r="932" spans="1:33" ht="11.25" customHeight="1" x14ac:dyDescent="0.3">
      <c r="A932" s="4" t="s">
        <v>28</v>
      </c>
      <c r="B932" s="4" t="s">
        <v>37</v>
      </c>
      <c r="C932" s="4" t="s">
        <v>33</v>
      </c>
      <c r="D932" s="4" t="s">
        <v>42</v>
      </c>
      <c r="E932" s="4" t="s">
        <v>25</v>
      </c>
      <c r="F932" s="4" t="s">
        <v>25</v>
      </c>
      <c r="G932" s="4" t="s">
        <v>25</v>
      </c>
      <c r="H932" s="4" t="s">
        <v>36</v>
      </c>
      <c r="I932" s="5">
        <v>44562</v>
      </c>
      <c r="J932" s="6">
        <v>0</v>
      </c>
      <c r="K932" s="6">
        <v>0</v>
      </c>
      <c r="L932" s="6">
        <v>0.61</v>
      </c>
      <c r="M932" s="6">
        <v>0.61</v>
      </c>
      <c r="N932" s="6">
        <v>0.61</v>
      </c>
      <c r="O932" s="6">
        <v>0.61</v>
      </c>
      <c r="P932" s="6">
        <v>0</v>
      </c>
      <c r="Q932" s="4" t="s">
        <v>26</v>
      </c>
      <c r="R932" s="4">
        <v>0</v>
      </c>
      <c r="S932" s="6">
        <v>0</v>
      </c>
      <c r="T932" s="6">
        <v>82</v>
      </c>
      <c r="U932" s="6">
        <v>110</v>
      </c>
      <c r="V932" s="6">
        <f>IF(ISERROR(VLOOKUP($S$932,'TAR FIN'!$A$1:$O$113,15,0)),0,VLOOKUP($S$932,'TAR FIN'!$A$1:$O$113,15,0))</f>
        <v>0</v>
      </c>
      <c r="W932" s="6">
        <f>IF(ISERROR(VLOOKUP($T$932,'TAR FIN'!$A$1:$O$113,15,0)),0,VLOOKUP($T$932,'TAR FIN'!$A$1:$O$113,15,0))</f>
        <v>491.18</v>
      </c>
      <c r="X932" s="6">
        <f>IF(ISERROR(VLOOKUP($U$932,'TAR FIN'!$A$1:$O$113,15,0)),0,VLOOKUP($U$932,'TAR FIN'!$A$1:$O$113,15,0))</f>
        <v>278.67</v>
      </c>
      <c r="Y932" s="6"/>
      <c r="Z932" s="6">
        <f ca="1">('TUSD BE'!$AM$66+'TUSD BF_350'!$AM$66+'TUSD CVA'!$AM$66)*1</f>
        <v>616.41999999999996</v>
      </c>
      <c r="AA932" s="6">
        <f ca="1">('TE BE'!$AB$44+'TE BF_350'!$AB$44+'TE CVA'!$AB$44)*1</f>
        <v>231.69</v>
      </c>
      <c r="AB932" s="6">
        <f>$K$932*$V$932</f>
        <v>0</v>
      </c>
      <c r="AC932" s="6">
        <f>$M$932*$W$932</f>
        <v>299.6198</v>
      </c>
      <c r="AD932" s="6">
        <f>$O$932*$X$932</f>
        <v>169.98869999999999</v>
      </c>
      <c r="AE932" s="6">
        <f>$K$932*$Y$932</f>
        <v>0</v>
      </c>
      <c r="AF932" s="6">
        <f ca="1">$M$932*$Z$932</f>
        <v>376.01619999999997</v>
      </c>
      <c r="AG932" s="6">
        <f ca="1">$O$932*$AA$932</f>
        <v>141.33089999999999</v>
      </c>
    </row>
    <row r="933" spans="1:33" ht="11.25" customHeight="1" x14ac:dyDescent="0.3">
      <c r="A933" s="4" t="s">
        <v>21</v>
      </c>
      <c r="B933" s="4" t="s">
        <v>37</v>
      </c>
      <c r="C933" s="4" t="s">
        <v>33</v>
      </c>
      <c r="D933" s="4" t="s">
        <v>42</v>
      </c>
      <c r="E933" s="4" t="s">
        <v>25</v>
      </c>
      <c r="F933" s="4" t="s">
        <v>25</v>
      </c>
      <c r="G933" s="4" t="s">
        <v>25</v>
      </c>
      <c r="H933" s="4" t="s">
        <v>36</v>
      </c>
      <c r="I933" s="5">
        <v>44593</v>
      </c>
      <c r="J933" s="6">
        <v>0</v>
      </c>
      <c r="K933" s="6">
        <v>0</v>
      </c>
      <c r="L933" s="6">
        <v>1.968</v>
      </c>
      <c r="M933" s="6">
        <v>1.968</v>
      </c>
      <c r="N933" s="6">
        <v>1.968</v>
      </c>
      <c r="O933" s="6">
        <v>1.968</v>
      </c>
      <c r="P933" s="6">
        <v>0</v>
      </c>
      <c r="Q933" s="4" t="s">
        <v>26</v>
      </c>
      <c r="R933" s="4">
        <v>0</v>
      </c>
      <c r="S933" s="6">
        <v>0</v>
      </c>
      <c r="T933" s="6">
        <v>82</v>
      </c>
      <c r="U933" s="6">
        <v>110</v>
      </c>
      <c r="V933" s="6">
        <f>IF(ISERROR(VLOOKUP($S$933,'TAR FIN'!$A$1:$O$113,15,0)),0,VLOOKUP($S$933,'TAR FIN'!$A$1:$O$113,15,0))</f>
        <v>0</v>
      </c>
      <c r="W933" s="6">
        <f>IF(ISERROR(VLOOKUP($T$933,'TAR FIN'!$A$1:$O$113,15,0)),0,VLOOKUP($T$933,'TAR FIN'!$A$1:$O$113,15,0))</f>
        <v>491.18</v>
      </c>
      <c r="X933" s="6">
        <f>IF(ISERROR(VLOOKUP($U$933,'TAR FIN'!$A$1:$O$113,15,0)),0,VLOOKUP($U$933,'TAR FIN'!$A$1:$O$113,15,0))</f>
        <v>278.67</v>
      </c>
      <c r="Y933" s="6"/>
      <c r="Z933" s="6">
        <f ca="1">('TUSD BE'!$AM$66+'TUSD BF_350'!$AM$66+'TUSD CVA'!$AM$66)*1</f>
        <v>616.41999999999996</v>
      </c>
      <c r="AA933" s="6">
        <f ca="1">('TE BE'!$AB$44+'TE BF_350'!$AB$44+'TE CVA'!$AB$44)*1</f>
        <v>231.69</v>
      </c>
      <c r="AB933" s="6">
        <f>$K$933*$V$933</f>
        <v>0</v>
      </c>
      <c r="AC933" s="6">
        <f>$M$933*$W$933</f>
        <v>966.64224000000002</v>
      </c>
      <c r="AD933" s="6">
        <f>$O$933*$X$933</f>
        <v>548.42255999999998</v>
      </c>
      <c r="AE933" s="6">
        <f>$K$933*$Y$933</f>
        <v>0</v>
      </c>
      <c r="AF933" s="6">
        <f ca="1">$M$933*$Z$933</f>
        <v>1213.11456</v>
      </c>
      <c r="AG933" s="6">
        <f ca="1">$O$933*$AA$933</f>
        <v>455.96591999999998</v>
      </c>
    </row>
    <row r="934" spans="1:33" ht="11.25" customHeight="1" x14ac:dyDescent="0.3">
      <c r="A934" s="4" t="s">
        <v>21</v>
      </c>
      <c r="B934" s="4" t="s">
        <v>37</v>
      </c>
      <c r="C934" s="4" t="s">
        <v>33</v>
      </c>
      <c r="D934" s="4" t="s">
        <v>42</v>
      </c>
      <c r="E934" s="4" t="s">
        <v>25</v>
      </c>
      <c r="F934" s="4" t="s">
        <v>25</v>
      </c>
      <c r="G934" s="4" t="s">
        <v>25</v>
      </c>
      <c r="H934" s="4" t="s">
        <v>36</v>
      </c>
      <c r="I934" s="5">
        <v>44621</v>
      </c>
      <c r="J934" s="6">
        <v>0</v>
      </c>
      <c r="K934" s="6">
        <v>0</v>
      </c>
      <c r="L934" s="6">
        <v>1.3009999999999999</v>
      </c>
      <c r="M934" s="6">
        <v>1.3009999999999999</v>
      </c>
      <c r="N934" s="6">
        <v>1.3009999999999999</v>
      </c>
      <c r="O934" s="6">
        <v>1.3009999999999999</v>
      </c>
      <c r="P934" s="6">
        <v>0</v>
      </c>
      <c r="Q934" s="4" t="s">
        <v>26</v>
      </c>
      <c r="R934" s="4">
        <v>0</v>
      </c>
      <c r="S934" s="6">
        <v>0</v>
      </c>
      <c r="T934" s="6">
        <v>82</v>
      </c>
      <c r="U934" s="6">
        <v>110</v>
      </c>
      <c r="V934" s="6">
        <f>IF(ISERROR(VLOOKUP($S$934,'TAR FIN'!$A$1:$O$113,15,0)),0,VLOOKUP($S$934,'TAR FIN'!$A$1:$O$113,15,0))</f>
        <v>0</v>
      </c>
      <c r="W934" s="6">
        <f>IF(ISERROR(VLOOKUP($T$934,'TAR FIN'!$A$1:$O$113,15,0)),0,VLOOKUP($T$934,'TAR FIN'!$A$1:$O$113,15,0))</f>
        <v>491.18</v>
      </c>
      <c r="X934" s="6">
        <f>IF(ISERROR(VLOOKUP($U$934,'TAR FIN'!$A$1:$O$113,15,0)),0,VLOOKUP($U$934,'TAR FIN'!$A$1:$O$113,15,0))</f>
        <v>278.67</v>
      </c>
      <c r="Y934" s="6"/>
      <c r="Z934" s="6">
        <f ca="1">('TUSD BE'!$AM$66+'TUSD BF_350'!$AM$66+'TUSD CVA'!$AM$66)*1</f>
        <v>616.41999999999996</v>
      </c>
      <c r="AA934" s="6">
        <f ca="1">('TE BE'!$AB$44+'TE BF_350'!$AB$44+'TE CVA'!$AB$44)*1</f>
        <v>231.69</v>
      </c>
      <c r="AB934" s="6">
        <f>$K$934*$V$934</f>
        <v>0</v>
      </c>
      <c r="AC934" s="6">
        <f>$M$934*$W$934</f>
        <v>639.02517999999998</v>
      </c>
      <c r="AD934" s="6">
        <f>$O$934*$X$934</f>
        <v>362.54966999999999</v>
      </c>
      <c r="AE934" s="6">
        <f>$K$934*$Y$934</f>
        <v>0</v>
      </c>
      <c r="AF934" s="6">
        <f ca="1">$M$934*$Z$934</f>
        <v>801.96241999999995</v>
      </c>
      <c r="AG934" s="6">
        <f ca="1">$O$934*$AA$934</f>
        <v>301.42868999999996</v>
      </c>
    </row>
    <row r="935" spans="1:33" ht="11.25" customHeight="1" x14ac:dyDescent="0.3">
      <c r="A935" s="4" t="s">
        <v>28</v>
      </c>
      <c r="B935" s="4" t="s">
        <v>37</v>
      </c>
      <c r="C935" s="4" t="s">
        <v>33</v>
      </c>
      <c r="D935" s="4" t="s">
        <v>42</v>
      </c>
      <c r="E935" s="4" t="s">
        <v>25</v>
      </c>
      <c r="F935" s="4" t="s">
        <v>25</v>
      </c>
      <c r="G935" s="4" t="s">
        <v>25</v>
      </c>
      <c r="H935" s="4" t="s">
        <v>36</v>
      </c>
      <c r="I935" s="5">
        <v>44621</v>
      </c>
      <c r="J935" s="6">
        <v>0</v>
      </c>
      <c r="K935" s="6">
        <v>0</v>
      </c>
      <c r="L935" s="6">
        <v>0.59099999999999997</v>
      </c>
      <c r="M935" s="6">
        <v>0.59099999999999997</v>
      </c>
      <c r="N935" s="6">
        <v>0.59099999999999997</v>
      </c>
      <c r="O935" s="6">
        <v>0.59099999999999997</v>
      </c>
      <c r="P935" s="6">
        <v>0</v>
      </c>
      <c r="Q935" s="4" t="s">
        <v>26</v>
      </c>
      <c r="R935" s="4">
        <v>0</v>
      </c>
      <c r="S935" s="6">
        <v>0</v>
      </c>
      <c r="T935" s="6">
        <v>82</v>
      </c>
      <c r="U935" s="6">
        <v>110</v>
      </c>
      <c r="V935" s="6">
        <f>IF(ISERROR(VLOOKUP($S$935,'TAR FIN'!$A$1:$O$113,15,0)),0,VLOOKUP($S$935,'TAR FIN'!$A$1:$O$113,15,0))</f>
        <v>0</v>
      </c>
      <c r="W935" s="6">
        <f>IF(ISERROR(VLOOKUP($T$935,'TAR FIN'!$A$1:$O$113,15,0)),0,VLOOKUP($T$935,'TAR FIN'!$A$1:$O$113,15,0))</f>
        <v>491.18</v>
      </c>
      <c r="X935" s="6">
        <f>IF(ISERROR(VLOOKUP($U$935,'TAR FIN'!$A$1:$O$113,15,0)),0,VLOOKUP($U$935,'TAR FIN'!$A$1:$O$113,15,0))</f>
        <v>278.67</v>
      </c>
      <c r="Y935" s="6"/>
      <c r="Z935" s="6">
        <f ca="1">('TUSD BE'!$AM$66+'TUSD BF_350'!$AM$66+'TUSD CVA'!$AM$66)*1</f>
        <v>616.41999999999996</v>
      </c>
      <c r="AA935" s="6">
        <f ca="1">('TE BE'!$AB$44+'TE BF_350'!$AB$44+'TE CVA'!$AB$44)*1</f>
        <v>231.69</v>
      </c>
      <c r="AB935" s="6">
        <f>$K$935*$V$935</f>
        <v>0</v>
      </c>
      <c r="AC935" s="6">
        <f>$M$935*$W$935</f>
        <v>290.28737999999998</v>
      </c>
      <c r="AD935" s="6">
        <f>$O$935*$X$935</f>
        <v>164.69397000000001</v>
      </c>
      <c r="AE935" s="6">
        <f>$K$935*$Y$935</f>
        <v>0</v>
      </c>
      <c r="AF935" s="6">
        <f ca="1">$M$935*$Z$935</f>
        <v>364.30421999999993</v>
      </c>
      <c r="AG935" s="6">
        <f ca="1">$O$935*$AA$935</f>
        <v>136.92878999999999</v>
      </c>
    </row>
    <row r="936" spans="1:33" ht="11.25" customHeight="1" x14ac:dyDescent="0.3">
      <c r="A936" s="4" t="s">
        <v>21</v>
      </c>
      <c r="B936" s="4" t="s">
        <v>37</v>
      </c>
      <c r="C936" s="4" t="s">
        <v>33</v>
      </c>
      <c r="D936" s="4" t="s">
        <v>42</v>
      </c>
      <c r="E936" s="4" t="s">
        <v>25</v>
      </c>
      <c r="F936" s="4" t="s">
        <v>25</v>
      </c>
      <c r="G936" s="4" t="s">
        <v>25</v>
      </c>
      <c r="H936" s="4" t="s">
        <v>36</v>
      </c>
      <c r="I936" s="5">
        <v>44652</v>
      </c>
      <c r="J936" s="6">
        <v>0</v>
      </c>
      <c r="K936" s="6">
        <v>0</v>
      </c>
      <c r="L936" s="6">
        <v>1.915</v>
      </c>
      <c r="M936" s="6">
        <v>1.915</v>
      </c>
      <c r="N936" s="6">
        <v>1.915</v>
      </c>
      <c r="O936" s="6">
        <v>1.915</v>
      </c>
      <c r="P936" s="6">
        <v>0</v>
      </c>
      <c r="Q936" s="4" t="s">
        <v>26</v>
      </c>
      <c r="R936" s="4">
        <v>0</v>
      </c>
      <c r="S936" s="6">
        <v>0</v>
      </c>
      <c r="T936" s="6">
        <v>82</v>
      </c>
      <c r="U936" s="6">
        <v>110</v>
      </c>
      <c r="V936" s="6">
        <f>IF(ISERROR(VLOOKUP($S$936,'TAR FIN'!$A$1:$O$113,15,0)),0,VLOOKUP($S$936,'TAR FIN'!$A$1:$O$113,15,0))</f>
        <v>0</v>
      </c>
      <c r="W936" s="6">
        <f>IF(ISERROR(VLOOKUP($T$936,'TAR FIN'!$A$1:$O$113,15,0)),0,VLOOKUP($T$936,'TAR FIN'!$A$1:$O$113,15,0))</f>
        <v>491.18</v>
      </c>
      <c r="X936" s="6">
        <f>IF(ISERROR(VLOOKUP($U$936,'TAR FIN'!$A$1:$O$113,15,0)),0,VLOOKUP($U$936,'TAR FIN'!$A$1:$O$113,15,0))</f>
        <v>278.67</v>
      </c>
      <c r="Y936" s="6"/>
      <c r="Z936" s="6">
        <f ca="1">('TUSD BE'!$AM$66+'TUSD BF_350'!$AM$66+'TUSD CVA'!$AM$66)*1</f>
        <v>616.41999999999996</v>
      </c>
      <c r="AA936" s="6">
        <f ca="1">('TE BE'!$AB$44+'TE BF_350'!$AB$44+'TE CVA'!$AB$44)*1</f>
        <v>231.69</v>
      </c>
      <c r="AB936" s="6">
        <f>$K$936*$V$936</f>
        <v>0</v>
      </c>
      <c r="AC936" s="6">
        <f>$M$936*$W$936</f>
        <v>940.60969999999998</v>
      </c>
      <c r="AD936" s="6">
        <f>$O$936*$X$936</f>
        <v>533.65305000000001</v>
      </c>
      <c r="AE936" s="6">
        <f>$K$936*$Y$936</f>
        <v>0</v>
      </c>
      <c r="AF936" s="6">
        <f ca="1">$M$936*$Z$936</f>
        <v>1180.4442999999999</v>
      </c>
      <c r="AG936" s="6">
        <f ca="1">$O$936*$AA$936</f>
        <v>443.68635</v>
      </c>
    </row>
    <row r="937" spans="1:33" ht="11.25" customHeight="1" x14ac:dyDescent="0.3">
      <c r="A937" s="4" t="s">
        <v>21</v>
      </c>
      <c r="B937" s="4" t="s">
        <v>37</v>
      </c>
      <c r="C937" s="4" t="s">
        <v>33</v>
      </c>
      <c r="D937" s="4" t="s">
        <v>42</v>
      </c>
      <c r="E937" s="4" t="s">
        <v>25</v>
      </c>
      <c r="F937" s="4" t="s">
        <v>25</v>
      </c>
      <c r="G937" s="4" t="s">
        <v>25</v>
      </c>
      <c r="H937" s="4" t="s">
        <v>36</v>
      </c>
      <c r="I937" s="5">
        <v>44682</v>
      </c>
      <c r="J937" s="6">
        <v>0</v>
      </c>
      <c r="K937" s="6">
        <v>0</v>
      </c>
      <c r="L937" s="6">
        <v>1.349</v>
      </c>
      <c r="M937" s="6">
        <v>1.349</v>
      </c>
      <c r="N937" s="6">
        <v>1.349</v>
      </c>
      <c r="O937" s="6">
        <v>1.349</v>
      </c>
      <c r="P937" s="6">
        <v>0</v>
      </c>
      <c r="Q937" s="4" t="s">
        <v>26</v>
      </c>
      <c r="R937" s="4">
        <v>0</v>
      </c>
      <c r="S937" s="6">
        <v>0</v>
      </c>
      <c r="T937" s="6">
        <v>82</v>
      </c>
      <c r="U937" s="6">
        <v>110</v>
      </c>
      <c r="V937" s="6">
        <f>IF(ISERROR(VLOOKUP($S$937,'TAR FIN'!$A$1:$O$113,15,0)),0,VLOOKUP($S$937,'TAR FIN'!$A$1:$O$113,15,0))</f>
        <v>0</v>
      </c>
      <c r="W937" s="6">
        <f>IF(ISERROR(VLOOKUP($T$937,'TAR FIN'!$A$1:$O$113,15,0)),0,VLOOKUP($T$937,'TAR FIN'!$A$1:$O$113,15,0))</f>
        <v>491.18</v>
      </c>
      <c r="X937" s="6">
        <f>IF(ISERROR(VLOOKUP($U$937,'TAR FIN'!$A$1:$O$113,15,0)),0,VLOOKUP($U$937,'TAR FIN'!$A$1:$O$113,15,0))</f>
        <v>278.67</v>
      </c>
      <c r="Y937" s="6"/>
      <c r="Z937" s="6">
        <f ca="1">('TUSD BE'!$AM$66+'TUSD BF_350'!$AM$66+'TUSD CVA'!$AM$66)*1</f>
        <v>616.41999999999996</v>
      </c>
      <c r="AA937" s="6">
        <f ca="1">('TE BE'!$AB$44+'TE BF_350'!$AB$44+'TE CVA'!$AB$44)*1</f>
        <v>231.69</v>
      </c>
      <c r="AB937" s="6">
        <f>$K$937*$V$937</f>
        <v>0</v>
      </c>
      <c r="AC937" s="6">
        <f>$M$937*$W$937</f>
        <v>662.60181999999998</v>
      </c>
      <c r="AD937" s="6">
        <f>$O$937*$X$937</f>
        <v>375.92583000000002</v>
      </c>
      <c r="AE937" s="6">
        <f>$K$937*$Y$937</f>
        <v>0</v>
      </c>
      <c r="AF937" s="6">
        <f ca="1">$M$937*$Z$937</f>
        <v>831.55057999999997</v>
      </c>
      <c r="AG937" s="6">
        <f ca="1">$O$937*$AA$937</f>
        <v>312.54980999999998</v>
      </c>
    </row>
    <row r="938" spans="1:33" ht="11.25" customHeight="1" x14ac:dyDescent="0.3">
      <c r="A938" s="4" t="s">
        <v>28</v>
      </c>
      <c r="B938" s="4" t="s">
        <v>37</v>
      </c>
      <c r="C938" s="4" t="s">
        <v>33</v>
      </c>
      <c r="D938" s="4" t="s">
        <v>42</v>
      </c>
      <c r="E938" s="4" t="s">
        <v>25</v>
      </c>
      <c r="F938" s="4" t="s">
        <v>25</v>
      </c>
      <c r="G938" s="4" t="s">
        <v>25</v>
      </c>
      <c r="H938" s="4" t="s">
        <v>36</v>
      </c>
      <c r="I938" s="5">
        <v>44682</v>
      </c>
      <c r="J938" s="6">
        <v>0</v>
      </c>
      <c r="K938" s="6">
        <v>0</v>
      </c>
      <c r="L938" s="6">
        <v>0.56299999999999994</v>
      </c>
      <c r="M938" s="6">
        <v>0.56299999999999994</v>
      </c>
      <c r="N938" s="6">
        <v>0.56299999999999994</v>
      </c>
      <c r="O938" s="6">
        <v>0.56299999999999994</v>
      </c>
      <c r="P938" s="6">
        <v>0</v>
      </c>
      <c r="Q938" s="4" t="s">
        <v>26</v>
      </c>
      <c r="R938" s="4">
        <v>0</v>
      </c>
      <c r="S938" s="6">
        <v>0</v>
      </c>
      <c r="T938" s="6">
        <v>82</v>
      </c>
      <c r="U938" s="6">
        <v>110</v>
      </c>
      <c r="V938" s="6">
        <f>IF(ISERROR(VLOOKUP($S$938,'TAR FIN'!$A$1:$O$113,15,0)),0,VLOOKUP($S$938,'TAR FIN'!$A$1:$O$113,15,0))</f>
        <v>0</v>
      </c>
      <c r="W938" s="6">
        <f>IF(ISERROR(VLOOKUP($T$938,'TAR FIN'!$A$1:$O$113,15,0)),0,VLOOKUP($T$938,'TAR FIN'!$A$1:$O$113,15,0))</f>
        <v>491.18</v>
      </c>
      <c r="X938" s="6">
        <f>IF(ISERROR(VLOOKUP($U$938,'TAR FIN'!$A$1:$O$113,15,0)),0,VLOOKUP($U$938,'TAR FIN'!$A$1:$O$113,15,0))</f>
        <v>278.67</v>
      </c>
      <c r="Y938" s="6"/>
      <c r="Z938" s="6">
        <f ca="1">('TUSD BE'!$AM$66+'TUSD BF_350'!$AM$66+'TUSD CVA'!$AM$66)*1</f>
        <v>616.41999999999996</v>
      </c>
      <c r="AA938" s="6">
        <f ca="1">('TE BE'!$AB$44+'TE BF_350'!$AB$44+'TE CVA'!$AB$44)*1</f>
        <v>231.69</v>
      </c>
      <c r="AB938" s="6">
        <f>$K$938*$V$938</f>
        <v>0</v>
      </c>
      <c r="AC938" s="6">
        <f>$M$938*$W$938</f>
        <v>276.53433999999999</v>
      </c>
      <c r="AD938" s="6">
        <f>$O$938*$X$938</f>
        <v>156.89121</v>
      </c>
      <c r="AE938" s="6">
        <f>$K$938*$Y$938</f>
        <v>0</v>
      </c>
      <c r="AF938" s="6">
        <f ca="1">$M$938*$Z$938</f>
        <v>347.04445999999996</v>
      </c>
      <c r="AG938" s="6">
        <f ca="1">$O$938*$AA$938</f>
        <v>130.44146999999998</v>
      </c>
    </row>
    <row r="939" spans="1:33" ht="11.25" customHeight="1" x14ac:dyDescent="0.3">
      <c r="A939" s="4" t="s">
        <v>21</v>
      </c>
      <c r="B939" s="4" t="s">
        <v>37</v>
      </c>
      <c r="C939" s="4" t="s">
        <v>33</v>
      </c>
      <c r="D939" s="4" t="s">
        <v>42</v>
      </c>
      <c r="E939" s="4" t="s">
        <v>25</v>
      </c>
      <c r="F939" s="4" t="s">
        <v>25</v>
      </c>
      <c r="G939" s="4" t="s">
        <v>25</v>
      </c>
      <c r="H939" s="4" t="s">
        <v>36</v>
      </c>
      <c r="I939" s="5">
        <v>44713</v>
      </c>
      <c r="J939" s="6">
        <v>0</v>
      </c>
      <c r="K939" s="6">
        <v>0</v>
      </c>
      <c r="L939" s="6">
        <v>0.67200000000000004</v>
      </c>
      <c r="M939" s="6">
        <v>0.67200000000000004</v>
      </c>
      <c r="N939" s="6">
        <v>0.67200000000000004</v>
      </c>
      <c r="O939" s="6">
        <v>0.67200000000000004</v>
      </c>
      <c r="P939" s="6">
        <v>0</v>
      </c>
      <c r="Q939" s="4" t="s">
        <v>26</v>
      </c>
      <c r="R939" s="4">
        <v>0</v>
      </c>
      <c r="S939" s="6">
        <v>0</v>
      </c>
      <c r="T939" s="6">
        <v>82</v>
      </c>
      <c r="U939" s="6">
        <v>110</v>
      </c>
      <c r="V939" s="6">
        <f>IF(ISERROR(VLOOKUP($S$939,'TAR FIN'!$A$1:$O$113,15,0)),0,VLOOKUP($S$939,'TAR FIN'!$A$1:$O$113,15,0))</f>
        <v>0</v>
      </c>
      <c r="W939" s="6">
        <f>IF(ISERROR(VLOOKUP($T$939,'TAR FIN'!$A$1:$O$113,15,0)),0,VLOOKUP($T$939,'TAR FIN'!$A$1:$O$113,15,0))</f>
        <v>491.18</v>
      </c>
      <c r="X939" s="6">
        <f>IF(ISERROR(VLOOKUP($U$939,'TAR FIN'!$A$1:$O$113,15,0)),0,VLOOKUP($U$939,'TAR FIN'!$A$1:$O$113,15,0))</f>
        <v>278.67</v>
      </c>
      <c r="Y939" s="6"/>
      <c r="Z939" s="6">
        <f ca="1">('TUSD BE'!$AM$66+'TUSD BF_350'!$AM$66+'TUSD CVA'!$AM$66)*1</f>
        <v>616.41999999999996</v>
      </c>
      <c r="AA939" s="6">
        <f ca="1">('TE BE'!$AB$44+'TE BF_350'!$AB$44+'TE CVA'!$AB$44)*1</f>
        <v>231.69</v>
      </c>
      <c r="AB939" s="6">
        <f>$K$939*$V$939</f>
        <v>0</v>
      </c>
      <c r="AC939" s="6">
        <f>$M$939*$W$939</f>
        <v>330.07296000000002</v>
      </c>
      <c r="AD939" s="6">
        <f>$O$939*$X$939</f>
        <v>187.26624000000001</v>
      </c>
      <c r="AE939" s="6">
        <f>$K$939*$Y$939</f>
        <v>0</v>
      </c>
      <c r="AF939" s="6">
        <f ca="1">$M$939*$Z$939</f>
        <v>414.23424</v>
      </c>
      <c r="AG939" s="6">
        <f ca="1">$O$939*$AA$939</f>
        <v>155.69568000000001</v>
      </c>
    </row>
    <row r="940" spans="1:33" ht="11.25" customHeight="1" x14ac:dyDescent="0.3">
      <c r="A940" s="4" t="s">
        <v>28</v>
      </c>
      <c r="B940" s="4" t="s">
        <v>37</v>
      </c>
      <c r="C940" s="4" t="s">
        <v>33</v>
      </c>
      <c r="D940" s="4" t="s">
        <v>42</v>
      </c>
      <c r="E940" s="4" t="s">
        <v>25</v>
      </c>
      <c r="F940" s="4" t="s">
        <v>25</v>
      </c>
      <c r="G940" s="4" t="s">
        <v>25</v>
      </c>
      <c r="H940" s="4" t="s">
        <v>36</v>
      </c>
      <c r="I940" s="5">
        <v>44713</v>
      </c>
      <c r="J940" s="6">
        <v>0</v>
      </c>
      <c r="K940" s="6">
        <v>0</v>
      </c>
      <c r="L940" s="6">
        <v>0.55300000000000005</v>
      </c>
      <c r="M940" s="6">
        <v>0.55300000000000005</v>
      </c>
      <c r="N940" s="6">
        <v>0.55300000000000005</v>
      </c>
      <c r="O940" s="6">
        <v>0.55300000000000005</v>
      </c>
      <c r="P940" s="6">
        <v>0</v>
      </c>
      <c r="Q940" s="4" t="s">
        <v>26</v>
      </c>
      <c r="R940" s="4">
        <v>0</v>
      </c>
      <c r="S940" s="6">
        <v>0</v>
      </c>
      <c r="T940" s="6">
        <v>82</v>
      </c>
      <c r="U940" s="6">
        <v>110</v>
      </c>
      <c r="V940" s="6">
        <f>IF(ISERROR(VLOOKUP($S$940,'TAR FIN'!$A$1:$O$113,15,0)),0,VLOOKUP($S$940,'TAR FIN'!$A$1:$O$113,15,0))</f>
        <v>0</v>
      </c>
      <c r="W940" s="6">
        <f>IF(ISERROR(VLOOKUP($T$940,'TAR FIN'!$A$1:$O$113,15,0)),0,VLOOKUP($T$940,'TAR FIN'!$A$1:$O$113,15,0))</f>
        <v>491.18</v>
      </c>
      <c r="X940" s="6">
        <f>IF(ISERROR(VLOOKUP($U$940,'TAR FIN'!$A$1:$O$113,15,0)),0,VLOOKUP($U$940,'TAR FIN'!$A$1:$O$113,15,0))</f>
        <v>278.67</v>
      </c>
      <c r="Y940" s="6"/>
      <c r="Z940" s="6">
        <f ca="1">('TUSD BE'!$AM$66+'TUSD BF_350'!$AM$66+'TUSD CVA'!$AM$66)*1</f>
        <v>616.41999999999996</v>
      </c>
      <c r="AA940" s="6">
        <f ca="1">('TE BE'!$AB$44+'TE BF_350'!$AB$44+'TE CVA'!$AB$44)*1</f>
        <v>231.69</v>
      </c>
      <c r="AB940" s="6">
        <f>$K$940*$V$940</f>
        <v>0</v>
      </c>
      <c r="AC940" s="6">
        <f>$M$940*$W$940</f>
        <v>271.62254000000001</v>
      </c>
      <c r="AD940" s="6">
        <f>$O$940*$X$940</f>
        <v>154.10451000000003</v>
      </c>
      <c r="AE940" s="6">
        <f>$K$940*$Y$940</f>
        <v>0</v>
      </c>
      <c r="AF940" s="6">
        <f ca="1">$M$940*$Z$940</f>
        <v>340.88026000000002</v>
      </c>
      <c r="AG940" s="6">
        <f ca="1">$O$940*$AA$940</f>
        <v>128.12457000000001</v>
      </c>
    </row>
    <row r="941" spans="1:33" ht="11.25" customHeight="1" x14ac:dyDescent="0.3">
      <c r="A941" s="4" t="s">
        <v>21</v>
      </c>
      <c r="B941" s="4" t="s">
        <v>37</v>
      </c>
      <c r="C941" s="4" t="s">
        <v>33</v>
      </c>
      <c r="D941" s="4" t="s">
        <v>42</v>
      </c>
      <c r="E941" s="4" t="s">
        <v>25</v>
      </c>
      <c r="F941" s="4" t="s">
        <v>25</v>
      </c>
      <c r="G941" s="4" t="s">
        <v>25</v>
      </c>
      <c r="H941" s="4" t="s">
        <v>36</v>
      </c>
      <c r="I941" s="5">
        <v>44743</v>
      </c>
      <c r="J941" s="6">
        <v>0</v>
      </c>
      <c r="K941" s="6">
        <v>0</v>
      </c>
      <c r="L941" s="6">
        <v>2.024</v>
      </c>
      <c r="M941" s="6">
        <v>2.024</v>
      </c>
      <c r="N941" s="6">
        <v>2.024</v>
      </c>
      <c r="O941" s="6">
        <v>2.024</v>
      </c>
      <c r="P941" s="6">
        <v>0</v>
      </c>
      <c r="Q941" s="4" t="s">
        <v>26</v>
      </c>
      <c r="R941" s="4">
        <v>0</v>
      </c>
      <c r="S941" s="6">
        <v>0</v>
      </c>
      <c r="T941" s="6">
        <v>82</v>
      </c>
      <c r="U941" s="6">
        <v>110</v>
      </c>
      <c r="V941" s="6">
        <f>IF(ISERROR(VLOOKUP($S$941,'TAR FIN'!$A$1:$O$113,15,0)),0,VLOOKUP($S$941,'TAR FIN'!$A$1:$O$113,15,0))</f>
        <v>0</v>
      </c>
      <c r="W941" s="6">
        <f>IF(ISERROR(VLOOKUP($T$941,'TAR FIN'!$A$1:$O$113,15,0)),0,VLOOKUP($T$941,'TAR FIN'!$A$1:$O$113,15,0))</f>
        <v>491.18</v>
      </c>
      <c r="X941" s="6">
        <f>IF(ISERROR(VLOOKUP($U$941,'TAR FIN'!$A$1:$O$113,15,0)),0,VLOOKUP($U$941,'TAR FIN'!$A$1:$O$113,15,0))</f>
        <v>278.67</v>
      </c>
      <c r="Y941" s="6"/>
      <c r="Z941" s="6">
        <f ca="1">('TUSD BE'!$AM$66+'TUSD BF_350'!$AM$66+'TUSD CVA'!$AM$66)*1</f>
        <v>616.41999999999996</v>
      </c>
      <c r="AA941" s="6">
        <f ca="1">('TE BE'!$AB$44+'TE BF_350'!$AB$44+'TE CVA'!$AB$44)*1</f>
        <v>231.69</v>
      </c>
      <c r="AB941" s="6">
        <f>$K$941*$V$941</f>
        <v>0</v>
      </c>
      <c r="AC941" s="6">
        <f>$M$941*$W$941</f>
        <v>994.14832000000001</v>
      </c>
      <c r="AD941" s="6">
        <f>$O$941*$X$941</f>
        <v>564.02808000000005</v>
      </c>
      <c r="AE941" s="6">
        <f>$K$941*$Y$941</f>
        <v>0</v>
      </c>
      <c r="AF941" s="6">
        <f ca="1">$M$941*$Z$941</f>
        <v>1247.63408</v>
      </c>
      <c r="AG941" s="6">
        <f ca="1">$O$941*$AA$941</f>
        <v>468.94056</v>
      </c>
    </row>
    <row r="942" spans="1:33" ht="11.25" customHeight="1" x14ac:dyDescent="0.3">
      <c r="A942" s="4" t="s">
        <v>21</v>
      </c>
      <c r="B942" s="4" t="s">
        <v>37</v>
      </c>
      <c r="C942" s="4" t="s">
        <v>33</v>
      </c>
      <c r="D942" s="4" t="s">
        <v>42</v>
      </c>
      <c r="E942" s="4" t="s">
        <v>25</v>
      </c>
      <c r="F942" s="4" t="s">
        <v>25</v>
      </c>
      <c r="G942" s="4" t="s">
        <v>25</v>
      </c>
      <c r="H942" s="4" t="s">
        <v>36</v>
      </c>
      <c r="I942" s="5">
        <v>44774</v>
      </c>
      <c r="J942" s="6">
        <v>0</v>
      </c>
      <c r="K942" s="6">
        <v>0</v>
      </c>
      <c r="L942" s="6">
        <v>1.1299999999999999</v>
      </c>
      <c r="M942" s="6">
        <v>1.1299999999999999</v>
      </c>
      <c r="N942" s="6">
        <v>1.1299999999999999</v>
      </c>
      <c r="O942" s="6">
        <v>1.1299999999999999</v>
      </c>
      <c r="P942" s="6">
        <v>0</v>
      </c>
      <c r="Q942" s="4" t="s">
        <v>26</v>
      </c>
      <c r="R942" s="4">
        <v>0</v>
      </c>
      <c r="S942" s="6">
        <v>0</v>
      </c>
      <c r="T942" s="6">
        <v>82</v>
      </c>
      <c r="U942" s="6">
        <v>110</v>
      </c>
      <c r="V942" s="6">
        <f>IF(ISERROR(VLOOKUP($S$942,'TAR FIN'!$A$1:$O$113,15,0)),0,VLOOKUP($S$942,'TAR FIN'!$A$1:$O$113,15,0))</f>
        <v>0</v>
      </c>
      <c r="W942" s="6">
        <f>IF(ISERROR(VLOOKUP($T$942,'TAR FIN'!$A$1:$O$113,15,0)),0,VLOOKUP($T$942,'TAR FIN'!$A$1:$O$113,15,0))</f>
        <v>491.18</v>
      </c>
      <c r="X942" s="6">
        <f>IF(ISERROR(VLOOKUP($U$942,'TAR FIN'!$A$1:$O$113,15,0)),0,VLOOKUP($U$942,'TAR FIN'!$A$1:$O$113,15,0))</f>
        <v>278.67</v>
      </c>
      <c r="Y942" s="6"/>
      <c r="Z942" s="6">
        <f ca="1">('TUSD BE'!$AM$66+'TUSD BF_350'!$AM$66+'TUSD CVA'!$AM$66)*1</f>
        <v>616.41999999999996</v>
      </c>
      <c r="AA942" s="6">
        <f ca="1">('TE BE'!$AB$44+'TE BF_350'!$AB$44+'TE CVA'!$AB$44)*1</f>
        <v>231.69</v>
      </c>
      <c r="AB942" s="6">
        <f>$K$942*$V$942</f>
        <v>0</v>
      </c>
      <c r="AC942" s="6">
        <f>$M$942*$W$942</f>
        <v>555.03339999999992</v>
      </c>
      <c r="AD942" s="6">
        <f>$O$942*$X$942</f>
        <v>314.89709999999997</v>
      </c>
      <c r="AE942" s="6">
        <f>$K$942*$Y$942</f>
        <v>0</v>
      </c>
      <c r="AF942" s="6">
        <f ca="1">$M$942*$Z$942</f>
        <v>696.55459999999994</v>
      </c>
      <c r="AG942" s="6">
        <f ca="1">$O$942*$AA$942</f>
        <v>261.80969999999996</v>
      </c>
    </row>
    <row r="943" spans="1:33" ht="11.25" customHeight="1" x14ac:dyDescent="0.3">
      <c r="A943" s="4" t="s">
        <v>28</v>
      </c>
      <c r="B943" s="4" t="s">
        <v>37</v>
      </c>
      <c r="C943" s="4" t="s">
        <v>33</v>
      </c>
      <c r="D943" s="4" t="s">
        <v>42</v>
      </c>
      <c r="E943" s="4" t="s">
        <v>25</v>
      </c>
      <c r="F943" s="4" t="s">
        <v>25</v>
      </c>
      <c r="G943" s="4" t="s">
        <v>25</v>
      </c>
      <c r="H943" s="4" t="s">
        <v>36</v>
      </c>
      <c r="I943" s="5">
        <v>44774</v>
      </c>
      <c r="J943" s="6">
        <v>0</v>
      </c>
      <c r="K943" s="6">
        <v>0</v>
      </c>
      <c r="L943" s="6">
        <v>0.498</v>
      </c>
      <c r="M943" s="6">
        <v>0.498</v>
      </c>
      <c r="N943" s="6">
        <v>0.498</v>
      </c>
      <c r="O943" s="6">
        <v>0.498</v>
      </c>
      <c r="P943" s="6">
        <v>0</v>
      </c>
      <c r="Q943" s="4" t="s">
        <v>26</v>
      </c>
      <c r="R943" s="4">
        <v>0</v>
      </c>
      <c r="S943" s="6">
        <v>0</v>
      </c>
      <c r="T943" s="6">
        <v>82</v>
      </c>
      <c r="U943" s="6">
        <v>110</v>
      </c>
      <c r="V943" s="6">
        <f>IF(ISERROR(VLOOKUP($S$943,'TAR FIN'!$A$1:$O$113,15,0)),0,VLOOKUP($S$943,'TAR FIN'!$A$1:$O$113,15,0))</f>
        <v>0</v>
      </c>
      <c r="W943" s="6">
        <f>IF(ISERROR(VLOOKUP($T$943,'TAR FIN'!$A$1:$O$113,15,0)),0,VLOOKUP($T$943,'TAR FIN'!$A$1:$O$113,15,0))</f>
        <v>491.18</v>
      </c>
      <c r="X943" s="6">
        <f>IF(ISERROR(VLOOKUP($U$943,'TAR FIN'!$A$1:$O$113,15,0)),0,VLOOKUP($U$943,'TAR FIN'!$A$1:$O$113,15,0))</f>
        <v>278.67</v>
      </c>
      <c r="Y943" s="6"/>
      <c r="Z943" s="6">
        <f ca="1">('TUSD BE'!$AM$66+'TUSD BF_350'!$AM$66+'TUSD CVA'!$AM$66)*1</f>
        <v>616.41999999999996</v>
      </c>
      <c r="AA943" s="6">
        <f ca="1">('TE BE'!$AB$44+'TE BF_350'!$AB$44+'TE CVA'!$AB$44)*1</f>
        <v>231.69</v>
      </c>
      <c r="AB943" s="6">
        <f>$K$943*$V$943</f>
        <v>0</v>
      </c>
      <c r="AC943" s="6">
        <f>$M$943*$W$943</f>
        <v>244.60764</v>
      </c>
      <c r="AD943" s="6">
        <f>$O$943*$X$943</f>
        <v>138.77766</v>
      </c>
      <c r="AE943" s="6">
        <f>$K$943*$Y$943</f>
        <v>0</v>
      </c>
      <c r="AF943" s="6">
        <f ca="1">$M$943*$Z$943</f>
        <v>306.97715999999997</v>
      </c>
      <c r="AG943" s="6">
        <f ca="1">$O$943*$AA$943</f>
        <v>115.38162</v>
      </c>
    </row>
    <row r="944" spans="1:33" ht="11.25" customHeight="1" x14ac:dyDescent="0.3">
      <c r="A944" s="4" t="s">
        <v>21</v>
      </c>
      <c r="B944" s="4" t="s">
        <v>37</v>
      </c>
      <c r="C944" s="4" t="s">
        <v>33</v>
      </c>
      <c r="D944" s="4" t="s">
        <v>42</v>
      </c>
      <c r="E944" s="4" t="s">
        <v>25</v>
      </c>
      <c r="F944" s="4" t="s">
        <v>25</v>
      </c>
      <c r="G944" s="4" t="s">
        <v>25</v>
      </c>
      <c r="H944" s="4" t="s">
        <v>36</v>
      </c>
      <c r="I944" s="5">
        <v>44805</v>
      </c>
      <c r="J944" s="6">
        <v>0</v>
      </c>
      <c r="K944" s="6">
        <v>0</v>
      </c>
      <c r="L944" s="6">
        <v>1.181</v>
      </c>
      <c r="M944" s="6">
        <v>1.181</v>
      </c>
      <c r="N944" s="6">
        <v>1.181</v>
      </c>
      <c r="O944" s="6">
        <v>1.181</v>
      </c>
      <c r="P944" s="6">
        <v>0</v>
      </c>
      <c r="Q944" s="4" t="s">
        <v>26</v>
      </c>
      <c r="R944" s="4">
        <v>0</v>
      </c>
      <c r="S944" s="6">
        <v>0</v>
      </c>
      <c r="T944" s="6">
        <v>82</v>
      </c>
      <c r="U944" s="6">
        <v>110</v>
      </c>
      <c r="V944" s="6">
        <f>IF(ISERROR(VLOOKUP($S$944,'TAR FIN'!$A$1:$O$113,15,0)),0,VLOOKUP($S$944,'TAR FIN'!$A$1:$O$113,15,0))</f>
        <v>0</v>
      </c>
      <c r="W944" s="6">
        <f>IF(ISERROR(VLOOKUP($T$944,'TAR FIN'!$A$1:$O$113,15,0)),0,VLOOKUP($T$944,'TAR FIN'!$A$1:$O$113,15,0))</f>
        <v>491.18</v>
      </c>
      <c r="X944" s="6">
        <f>IF(ISERROR(VLOOKUP($U$944,'TAR FIN'!$A$1:$O$113,15,0)),0,VLOOKUP($U$944,'TAR FIN'!$A$1:$O$113,15,0))</f>
        <v>278.67</v>
      </c>
      <c r="Y944" s="6"/>
      <c r="Z944" s="6">
        <f ca="1">('TUSD BE'!$AM$66+'TUSD BF_350'!$AM$66+'TUSD CVA'!$AM$66)*1</f>
        <v>616.41999999999996</v>
      </c>
      <c r="AA944" s="6">
        <f ca="1">('TE BE'!$AB$44+'TE BF_350'!$AB$44+'TE CVA'!$AB$44)*1</f>
        <v>231.69</v>
      </c>
      <c r="AB944" s="6">
        <f>$K$944*$V$944</f>
        <v>0</v>
      </c>
      <c r="AC944" s="6">
        <f>$M$944*$W$944</f>
        <v>580.08357999999998</v>
      </c>
      <c r="AD944" s="6">
        <f>$O$944*$X$944</f>
        <v>329.10927000000004</v>
      </c>
      <c r="AE944" s="6">
        <f>$K$944*$Y$944</f>
        <v>0</v>
      </c>
      <c r="AF944" s="6">
        <f ca="1">$M$944*$Z$944</f>
        <v>727.99202000000002</v>
      </c>
      <c r="AG944" s="6">
        <f ca="1">$O$944*$AA$944</f>
        <v>273.62589000000003</v>
      </c>
    </row>
    <row r="945" spans="1:33" ht="11.25" customHeight="1" x14ac:dyDescent="0.3">
      <c r="A945" s="4" t="s">
        <v>28</v>
      </c>
      <c r="B945" s="4" t="s">
        <v>37</v>
      </c>
      <c r="C945" s="4" t="s">
        <v>33</v>
      </c>
      <c r="D945" s="4" t="s">
        <v>42</v>
      </c>
      <c r="E945" s="4" t="s">
        <v>25</v>
      </c>
      <c r="F945" s="4" t="s">
        <v>25</v>
      </c>
      <c r="G945" s="4" t="s">
        <v>25</v>
      </c>
      <c r="H945" s="4" t="s">
        <v>36</v>
      </c>
      <c r="I945" s="5">
        <v>44805</v>
      </c>
      <c r="J945" s="6">
        <v>0</v>
      </c>
      <c r="K945" s="6">
        <v>0</v>
      </c>
      <c r="L945" s="6">
        <v>0.48499999999999999</v>
      </c>
      <c r="M945" s="6">
        <v>0.48499999999999999</v>
      </c>
      <c r="N945" s="6">
        <v>0.48499999999999999</v>
      </c>
      <c r="O945" s="6">
        <v>0.48499999999999999</v>
      </c>
      <c r="P945" s="6">
        <v>0</v>
      </c>
      <c r="Q945" s="4" t="s">
        <v>26</v>
      </c>
      <c r="R945" s="4">
        <v>0</v>
      </c>
      <c r="S945" s="6">
        <v>0</v>
      </c>
      <c r="T945" s="6">
        <v>82</v>
      </c>
      <c r="U945" s="6">
        <v>110</v>
      </c>
      <c r="V945" s="6">
        <f>IF(ISERROR(VLOOKUP($S$945,'TAR FIN'!$A$1:$O$113,15,0)),0,VLOOKUP($S$945,'TAR FIN'!$A$1:$O$113,15,0))</f>
        <v>0</v>
      </c>
      <c r="W945" s="6">
        <f>IF(ISERROR(VLOOKUP($T$945,'TAR FIN'!$A$1:$O$113,15,0)),0,VLOOKUP($T$945,'TAR FIN'!$A$1:$O$113,15,0))</f>
        <v>491.18</v>
      </c>
      <c r="X945" s="6">
        <f>IF(ISERROR(VLOOKUP($U$945,'TAR FIN'!$A$1:$O$113,15,0)),0,VLOOKUP($U$945,'TAR FIN'!$A$1:$O$113,15,0))</f>
        <v>278.67</v>
      </c>
      <c r="Y945" s="6"/>
      <c r="Z945" s="6">
        <f ca="1">('TUSD BE'!$AM$66+'TUSD BF_350'!$AM$66+'TUSD CVA'!$AM$66)*1</f>
        <v>616.41999999999996</v>
      </c>
      <c r="AA945" s="6">
        <f ca="1">('TE BE'!$AB$44+'TE BF_350'!$AB$44+'TE CVA'!$AB$44)*1</f>
        <v>231.69</v>
      </c>
      <c r="AB945" s="6">
        <f>$K$945*$V$945</f>
        <v>0</v>
      </c>
      <c r="AC945" s="6">
        <f>$M$945*$W$945</f>
        <v>238.22229999999999</v>
      </c>
      <c r="AD945" s="6">
        <f>$O$945*$X$945</f>
        <v>135.15495000000001</v>
      </c>
      <c r="AE945" s="6">
        <f>$K$945*$Y$945</f>
        <v>0</v>
      </c>
      <c r="AF945" s="6">
        <f ca="1">$M$945*$Z$945</f>
        <v>298.96369999999996</v>
      </c>
      <c r="AG945" s="6">
        <f ca="1">$O$945*$AA$945</f>
        <v>112.36964999999999</v>
      </c>
    </row>
    <row r="946" spans="1:33" ht="11.25" customHeight="1" x14ac:dyDescent="0.3">
      <c r="A946" s="4" t="s">
        <v>53</v>
      </c>
      <c r="B946" s="4" t="s">
        <v>37</v>
      </c>
      <c r="C946" s="4" t="s">
        <v>33</v>
      </c>
      <c r="D946" s="4" t="s">
        <v>42</v>
      </c>
      <c r="E946" s="4" t="s">
        <v>25</v>
      </c>
      <c r="F946" s="4" t="s">
        <v>25</v>
      </c>
      <c r="G946" s="4" t="s">
        <v>25</v>
      </c>
      <c r="H946" s="4" t="s">
        <v>36</v>
      </c>
      <c r="I946" s="5">
        <v>44835</v>
      </c>
      <c r="J946" s="6">
        <v>0</v>
      </c>
      <c r="K946" s="6">
        <v>0</v>
      </c>
      <c r="L946" s="6">
        <v>1.181</v>
      </c>
      <c r="M946" s="6">
        <v>1.181</v>
      </c>
      <c r="N946" s="6">
        <v>1.181</v>
      </c>
      <c r="O946" s="6">
        <v>1.181</v>
      </c>
      <c r="P946" s="6">
        <v>0</v>
      </c>
      <c r="Q946" s="4" t="s">
        <v>26</v>
      </c>
      <c r="R946" s="4">
        <v>0</v>
      </c>
      <c r="S946" s="6">
        <v>0</v>
      </c>
      <c r="T946" s="6">
        <v>82</v>
      </c>
      <c r="U946" s="6">
        <v>110</v>
      </c>
      <c r="V946" s="6">
        <f>IF(ISERROR(VLOOKUP($S$946,'TAR FIN'!$A$1:$O$113,15,0)),0,VLOOKUP($S$946,'TAR FIN'!$A$1:$O$113,15,0))</f>
        <v>0</v>
      </c>
      <c r="W946" s="6">
        <f>IF(ISERROR(VLOOKUP($T$946,'TAR FIN'!$A$1:$O$113,15,0)),0,VLOOKUP($T$946,'TAR FIN'!$A$1:$O$113,15,0))</f>
        <v>491.18</v>
      </c>
      <c r="X946" s="6">
        <f>IF(ISERROR(VLOOKUP($U$946,'TAR FIN'!$A$1:$O$113,15,0)),0,VLOOKUP($U$946,'TAR FIN'!$A$1:$O$113,15,0))</f>
        <v>278.67</v>
      </c>
      <c r="Y946" s="6"/>
      <c r="Z946" s="6">
        <f ca="1">('TUSD BE'!$AM$66+'TUSD BF_350'!$AM$66+'TUSD CVA'!$AM$66)*1</f>
        <v>616.41999999999996</v>
      </c>
      <c r="AA946" s="6">
        <f ca="1">('TE BE'!$AB$44+'TE BF_350'!$AB$44+'TE CVA'!$AB$44)*1</f>
        <v>231.69</v>
      </c>
      <c r="AB946" s="6">
        <f>$K$946*$V$946</f>
        <v>0</v>
      </c>
      <c r="AC946" s="6">
        <f>$M$946*$W$946</f>
        <v>580.08357999999998</v>
      </c>
      <c r="AD946" s="6">
        <f>$O$946*$X$946</f>
        <v>329.10927000000004</v>
      </c>
      <c r="AE946" s="6">
        <f>$K$946*$Y$946</f>
        <v>0</v>
      </c>
      <c r="AF946" s="6">
        <f ca="1">$M$946*$Z$946</f>
        <v>727.99202000000002</v>
      </c>
      <c r="AG946" s="6">
        <f ca="1">$O$946*$AA$946</f>
        <v>273.62589000000003</v>
      </c>
    </row>
    <row r="947" spans="1:33" ht="11.25" customHeight="1" x14ac:dyDescent="0.3">
      <c r="A947" s="4" t="s">
        <v>53</v>
      </c>
      <c r="B947" s="4" t="s">
        <v>37</v>
      </c>
      <c r="C947" s="4" t="s">
        <v>33</v>
      </c>
      <c r="D947" s="4" t="s">
        <v>42</v>
      </c>
      <c r="E947" s="4" t="s">
        <v>25</v>
      </c>
      <c r="F947" s="4" t="s">
        <v>25</v>
      </c>
      <c r="G947" s="4" t="s">
        <v>25</v>
      </c>
      <c r="H947" s="4" t="s">
        <v>36</v>
      </c>
      <c r="I947" s="5">
        <v>44835</v>
      </c>
      <c r="J947" s="6">
        <v>0</v>
      </c>
      <c r="K947" s="6">
        <v>0</v>
      </c>
      <c r="L947" s="6">
        <v>0.48499999999999999</v>
      </c>
      <c r="M947" s="6">
        <v>0.48499999999999999</v>
      </c>
      <c r="N947" s="6">
        <v>0.48499999999999999</v>
      </c>
      <c r="O947" s="6">
        <v>0.48499999999999999</v>
      </c>
      <c r="P947" s="6">
        <v>0</v>
      </c>
      <c r="Q947" s="4" t="s">
        <v>26</v>
      </c>
      <c r="R947" s="4">
        <v>0</v>
      </c>
      <c r="S947" s="6">
        <v>0</v>
      </c>
      <c r="T947" s="6">
        <v>82</v>
      </c>
      <c r="U947" s="6">
        <v>110</v>
      </c>
      <c r="V947" s="6">
        <f>IF(ISERROR(VLOOKUP($S$947,'TAR FIN'!$A$1:$O$113,15,0)),0,VLOOKUP($S$947,'TAR FIN'!$A$1:$O$113,15,0))</f>
        <v>0</v>
      </c>
      <c r="W947" s="6">
        <f>IF(ISERROR(VLOOKUP($T$947,'TAR FIN'!$A$1:$O$113,15,0)),0,VLOOKUP($T$947,'TAR FIN'!$A$1:$O$113,15,0))</f>
        <v>491.18</v>
      </c>
      <c r="X947" s="6">
        <f>IF(ISERROR(VLOOKUP($U$947,'TAR FIN'!$A$1:$O$113,15,0)),0,VLOOKUP($U$947,'TAR FIN'!$A$1:$O$113,15,0))</f>
        <v>278.67</v>
      </c>
      <c r="Y947" s="6"/>
      <c r="Z947" s="6">
        <f ca="1">('TUSD BE'!$AM$66+'TUSD BF_350'!$AM$66+'TUSD CVA'!$AM$66)*1</f>
        <v>616.41999999999996</v>
      </c>
      <c r="AA947" s="6">
        <f ca="1">('TE BE'!$AB$44+'TE BF_350'!$AB$44+'TE CVA'!$AB$44)*1</f>
        <v>231.69</v>
      </c>
      <c r="AB947" s="6">
        <f>$K$947*$V$947</f>
        <v>0</v>
      </c>
      <c r="AC947" s="6">
        <f>$M$947*$W$947</f>
        <v>238.22229999999999</v>
      </c>
      <c r="AD947" s="6">
        <f>$O$947*$X$947</f>
        <v>135.15495000000001</v>
      </c>
      <c r="AE947" s="6">
        <f>$K$947*$Y$947</f>
        <v>0</v>
      </c>
      <c r="AF947" s="6">
        <f ca="1">$M$947*$Z$947</f>
        <v>298.96369999999996</v>
      </c>
      <c r="AG947" s="6">
        <f ca="1">$O$947*$AA$947</f>
        <v>112.36964999999999</v>
      </c>
    </row>
    <row r="948" spans="1:33" ht="11.25" customHeight="1" x14ac:dyDescent="0.3">
      <c r="A948" s="4" t="s">
        <v>21</v>
      </c>
      <c r="B948" s="4" t="s">
        <v>37</v>
      </c>
      <c r="C948" s="4" t="s">
        <v>33</v>
      </c>
      <c r="D948" s="4" t="s">
        <v>42</v>
      </c>
      <c r="E948" s="4" t="s">
        <v>25</v>
      </c>
      <c r="F948" s="4" t="s">
        <v>25</v>
      </c>
      <c r="G948" s="4" t="s">
        <v>25</v>
      </c>
      <c r="H948" s="4" t="s">
        <v>34</v>
      </c>
      <c r="I948" s="5">
        <v>44501</v>
      </c>
      <c r="J948" s="6">
        <v>0</v>
      </c>
      <c r="K948" s="6">
        <v>0</v>
      </c>
      <c r="L948" s="6">
        <v>1.625</v>
      </c>
      <c r="M948" s="6">
        <v>1.625</v>
      </c>
      <c r="N948" s="6">
        <v>1.625</v>
      </c>
      <c r="O948" s="6">
        <v>1.625</v>
      </c>
      <c r="P948" s="6">
        <v>0</v>
      </c>
      <c r="Q948" s="4" t="s">
        <v>26</v>
      </c>
      <c r="R948" s="4">
        <v>0</v>
      </c>
      <c r="S948" s="6">
        <v>0</v>
      </c>
      <c r="T948" s="6">
        <v>83</v>
      </c>
      <c r="U948" s="6">
        <v>106</v>
      </c>
      <c r="V948" s="6">
        <f>IF(ISERROR(VLOOKUP($S$948,'TAR FIN'!$A$1:$O$113,15,0)),0,VLOOKUP($S$948,'TAR FIN'!$A$1:$O$113,15,0))</f>
        <v>0</v>
      </c>
      <c r="W948" s="6">
        <f>IF(ISERROR(VLOOKUP($T$948,'TAR FIN'!$A$1:$O$113,15,0)),0,VLOOKUP($T$948,'TAR FIN'!$A$1:$O$113,15,0))</f>
        <v>748.29</v>
      </c>
      <c r="X948" s="6">
        <f>IF(ISERROR(VLOOKUP($U$948,'TAR FIN'!$A$1:$O$113,15,0)),0,VLOOKUP($U$948,'TAR FIN'!$A$1:$O$113,15,0))</f>
        <v>442.86</v>
      </c>
      <c r="Y948" s="6"/>
      <c r="Z948" s="6">
        <f ca="1">('TUSD BE'!$AM$65+'TUSD BF_350'!$AM$65+'TUSD CVA'!$AM$65)*1</f>
        <v>921.1</v>
      </c>
      <c r="AA948" s="6">
        <f ca="1">('TE BE'!$AB$43+'TE BF_350'!$AB$43+'TE CVA'!$AB$43)*1</f>
        <v>379.30999999999995</v>
      </c>
      <c r="AB948" s="6">
        <f>$K$948*$V$948</f>
        <v>0</v>
      </c>
      <c r="AC948" s="6">
        <f>$M$948*$W$948</f>
        <v>1215.9712500000001</v>
      </c>
      <c r="AD948" s="6">
        <f>$O$948*$X$948</f>
        <v>719.64750000000004</v>
      </c>
      <c r="AE948" s="6">
        <f>$K$948*$Y$948</f>
        <v>0</v>
      </c>
      <c r="AF948" s="6">
        <f ca="1">$M$948*$Z$948</f>
        <v>1496.7875000000001</v>
      </c>
      <c r="AG948" s="6">
        <f ca="1">$O$948*$AA$948</f>
        <v>616.37874999999985</v>
      </c>
    </row>
    <row r="949" spans="1:33" ht="11.25" customHeight="1" x14ac:dyDescent="0.3">
      <c r="A949" s="4" t="s">
        <v>28</v>
      </c>
      <c r="B949" s="4" t="s">
        <v>37</v>
      </c>
      <c r="C949" s="4" t="s">
        <v>33</v>
      </c>
      <c r="D949" s="4" t="s">
        <v>42</v>
      </c>
      <c r="E949" s="4" t="s">
        <v>25</v>
      </c>
      <c r="F949" s="4" t="s">
        <v>25</v>
      </c>
      <c r="G949" s="4" t="s">
        <v>25</v>
      </c>
      <c r="H949" s="4" t="s">
        <v>34</v>
      </c>
      <c r="I949" s="5">
        <v>44501</v>
      </c>
      <c r="J949" s="6">
        <v>0</v>
      </c>
      <c r="K949" s="6">
        <v>0</v>
      </c>
      <c r="L949" s="6">
        <v>0.23400000000000001</v>
      </c>
      <c r="M949" s="6">
        <v>0.23400000000000001</v>
      </c>
      <c r="N949" s="6">
        <v>0.23400000000000001</v>
      </c>
      <c r="O949" s="6">
        <v>0.23400000000000001</v>
      </c>
      <c r="P949" s="6">
        <v>0</v>
      </c>
      <c r="Q949" s="4" t="s">
        <v>26</v>
      </c>
      <c r="R949" s="4">
        <v>0</v>
      </c>
      <c r="S949" s="6">
        <v>0</v>
      </c>
      <c r="T949" s="6">
        <v>83</v>
      </c>
      <c r="U949" s="6">
        <v>106</v>
      </c>
      <c r="V949" s="6">
        <f>IF(ISERROR(VLOOKUP($S$949,'TAR FIN'!$A$1:$O$113,15,0)),0,VLOOKUP($S$949,'TAR FIN'!$A$1:$O$113,15,0))</f>
        <v>0</v>
      </c>
      <c r="W949" s="6">
        <f>IF(ISERROR(VLOOKUP($T$949,'TAR FIN'!$A$1:$O$113,15,0)),0,VLOOKUP($T$949,'TAR FIN'!$A$1:$O$113,15,0))</f>
        <v>748.29</v>
      </c>
      <c r="X949" s="6">
        <f>IF(ISERROR(VLOOKUP($U$949,'TAR FIN'!$A$1:$O$113,15,0)),0,VLOOKUP($U$949,'TAR FIN'!$A$1:$O$113,15,0))</f>
        <v>442.86</v>
      </c>
      <c r="Y949" s="6"/>
      <c r="Z949" s="6">
        <f ca="1">('TUSD BE'!$AM$65+'TUSD BF_350'!$AM$65+'TUSD CVA'!$AM$65)*1</f>
        <v>921.1</v>
      </c>
      <c r="AA949" s="6">
        <f ca="1">('TE BE'!$AB$43+'TE BF_350'!$AB$43+'TE CVA'!$AB$43)*1</f>
        <v>379.30999999999995</v>
      </c>
      <c r="AB949" s="6">
        <f>$K$949*$V$949</f>
        <v>0</v>
      </c>
      <c r="AC949" s="6">
        <f>$M$949*$W$949</f>
        <v>175.09986000000001</v>
      </c>
      <c r="AD949" s="6">
        <f>$O$949*$X$949</f>
        <v>103.62924000000001</v>
      </c>
      <c r="AE949" s="6">
        <f>$K$949*$Y$949</f>
        <v>0</v>
      </c>
      <c r="AF949" s="6">
        <f ca="1">$M$949*$Z$949</f>
        <v>215.53740000000002</v>
      </c>
      <c r="AG949" s="6">
        <f ca="1">$O$949*$AA$949</f>
        <v>88.758539999999996</v>
      </c>
    </row>
    <row r="950" spans="1:33" ht="11.25" customHeight="1" x14ac:dyDescent="0.3">
      <c r="A950" s="4" t="s">
        <v>21</v>
      </c>
      <c r="B950" s="4" t="s">
        <v>37</v>
      </c>
      <c r="C950" s="4" t="s">
        <v>33</v>
      </c>
      <c r="D950" s="4" t="s">
        <v>42</v>
      </c>
      <c r="E950" s="4" t="s">
        <v>25</v>
      </c>
      <c r="F950" s="4" t="s">
        <v>25</v>
      </c>
      <c r="G950" s="4" t="s">
        <v>25</v>
      </c>
      <c r="H950" s="4" t="s">
        <v>34</v>
      </c>
      <c r="I950" s="5">
        <v>44531</v>
      </c>
      <c r="J950" s="6">
        <v>0</v>
      </c>
      <c r="K950" s="6">
        <v>0</v>
      </c>
      <c r="L950" s="6">
        <v>1.3879999999999999</v>
      </c>
      <c r="M950" s="6">
        <v>1.3879999999999999</v>
      </c>
      <c r="N950" s="6">
        <v>1.3879999999999999</v>
      </c>
      <c r="O950" s="6">
        <v>1.3879999999999999</v>
      </c>
      <c r="P950" s="6">
        <v>0</v>
      </c>
      <c r="Q950" s="4" t="s">
        <v>26</v>
      </c>
      <c r="R950" s="4">
        <v>0</v>
      </c>
      <c r="S950" s="6">
        <v>0</v>
      </c>
      <c r="T950" s="6">
        <v>83</v>
      </c>
      <c r="U950" s="6">
        <v>106</v>
      </c>
      <c r="V950" s="6">
        <f>IF(ISERROR(VLOOKUP($S$950,'TAR FIN'!$A$1:$O$113,15,0)),0,VLOOKUP($S$950,'TAR FIN'!$A$1:$O$113,15,0))</f>
        <v>0</v>
      </c>
      <c r="W950" s="6">
        <f>IF(ISERROR(VLOOKUP($T$950,'TAR FIN'!$A$1:$O$113,15,0)),0,VLOOKUP($T$950,'TAR FIN'!$A$1:$O$113,15,0))</f>
        <v>748.29</v>
      </c>
      <c r="X950" s="6">
        <f>IF(ISERROR(VLOOKUP($U$950,'TAR FIN'!$A$1:$O$113,15,0)),0,VLOOKUP($U$950,'TAR FIN'!$A$1:$O$113,15,0))</f>
        <v>442.86</v>
      </c>
      <c r="Y950" s="6"/>
      <c r="Z950" s="6">
        <f ca="1">('TUSD BE'!$AM$65+'TUSD BF_350'!$AM$65+'TUSD CVA'!$AM$65)*1</f>
        <v>921.1</v>
      </c>
      <c r="AA950" s="6">
        <f ca="1">('TE BE'!$AB$43+'TE BF_350'!$AB$43+'TE CVA'!$AB$43)*1</f>
        <v>379.30999999999995</v>
      </c>
      <c r="AB950" s="6">
        <f>$K$950*$V$950</f>
        <v>0</v>
      </c>
      <c r="AC950" s="6">
        <f>$M$950*$W$950</f>
        <v>1038.6265199999998</v>
      </c>
      <c r="AD950" s="6">
        <f>$O$950*$X$950</f>
        <v>614.68967999999995</v>
      </c>
      <c r="AE950" s="6">
        <f>$K$950*$Y$950</f>
        <v>0</v>
      </c>
      <c r="AF950" s="6">
        <f ca="1">$M$950*$Z$950</f>
        <v>1278.4867999999999</v>
      </c>
      <c r="AG950" s="6">
        <f ca="1">$O$950*$AA$950</f>
        <v>526.48227999999983</v>
      </c>
    </row>
    <row r="951" spans="1:33" ht="11.25" customHeight="1" x14ac:dyDescent="0.3">
      <c r="A951" s="4" t="s">
        <v>28</v>
      </c>
      <c r="B951" s="4" t="s">
        <v>37</v>
      </c>
      <c r="C951" s="4" t="s">
        <v>33</v>
      </c>
      <c r="D951" s="4" t="s">
        <v>42</v>
      </c>
      <c r="E951" s="4" t="s">
        <v>25</v>
      </c>
      <c r="F951" s="4" t="s">
        <v>25</v>
      </c>
      <c r="G951" s="4" t="s">
        <v>25</v>
      </c>
      <c r="H951" s="4" t="s">
        <v>34</v>
      </c>
      <c r="I951" s="5">
        <v>44531</v>
      </c>
      <c r="J951" s="6">
        <v>0</v>
      </c>
      <c r="K951" s="6">
        <v>0</v>
      </c>
      <c r="L951" s="6">
        <v>0.14899999999999999</v>
      </c>
      <c r="M951" s="6">
        <v>0.14899999999999999</v>
      </c>
      <c r="N951" s="6">
        <v>0.14899999999999999</v>
      </c>
      <c r="O951" s="6">
        <v>0.14899999999999999</v>
      </c>
      <c r="P951" s="6">
        <v>0</v>
      </c>
      <c r="Q951" s="4" t="s">
        <v>26</v>
      </c>
      <c r="R951" s="4">
        <v>0</v>
      </c>
      <c r="S951" s="6">
        <v>0</v>
      </c>
      <c r="T951" s="6">
        <v>83</v>
      </c>
      <c r="U951" s="6">
        <v>106</v>
      </c>
      <c r="V951" s="6">
        <f>IF(ISERROR(VLOOKUP($S$951,'TAR FIN'!$A$1:$O$113,15,0)),0,VLOOKUP($S$951,'TAR FIN'!$A$1:$O$113,15,0))</f>
        <v>0</v>
      </c>
      <c r="W951" s="6">
        <f>IF(ISERROR(VLOOKUP($T$951,'TAR FIN'!$A$1:$O$113,15,0)),0,VLOOKUP($T$951,'TAR FIN'!$A$1:$O$113,15,0))</f>
        <v>748.29</v>
      </c>
      <c r="X951" s="6">
        <f>IF(ISERROR(VLOOKUP($U$951,'TAR FIN'!$A$1:$O$113,15,0)),0,VLOOKUP($U$951,'TAR FIN'!$A$1:$O$113,15,0))</f>
        <v>442.86</v>
      </c>
      <c r="Y951" s="6"/>
      <c r="Z951" s="6">
        <f ca="1">('TUSD BE'!$AM$65+'TUSD BF_350'!$AM$65+'TUSD CVA'!$AM$65)*1</f>
        <v>921.1</v>
      </c>
      <c r="AA951" s="6">
        <f ca="1">('TE BE'!$AB$43+'TE BF_350'!$AB$43+'TE CVA'!$AB$43)*1</f>
        <v>379.30999999999995</v>
      </c>
      <c r="AB951" s="6">
        <f>$K$951*$V$951</f>
        <v>0</v>
      </c>
      <c r="AC951" s="6">
        <f>$M$951*$W$951</f>
        <v>111.49520999999999</v>
      </c>
      <c r="AD951" s="6">
        <f>$O$951*$X$951</f>
        <v>65.986140000000006</v>
      </c>
      <c r="AE951" s="6">
        <f>$K$951*$Y$951</f>
        <v>0</v>
      </c>
      <c r="AF951" s="6">
        <f ca="1">$M$951*$Z$951</f>
        <v>137.2439</v>
      </c>
      <c r="AG951" s="6">
        <f ca="1">$O$951*$AA$951</f>
        <v>56.517189999999992</v>
      </c>
    </row>
    <row r="952" spans="1:33" ht="11.25" customHeight="1" x14ac:dyDescent="0.3">
      <c r="A952" s="4" t="s">
        <v>21</v>
      </c>
      <c r="B952" s="4" t="s">
        <v>37</v>
      </c>
      <c r="C952" s="4" t="s">
        <v>33</v>
      </c>
      <c r="D952" s="4" t="s">
        <v>42</v>
      </c>
      <c r="E952" s="4" t="s">
        <v>25</v>
      </c>
      <c r="F952" s="4" t="s">
        <v>25</v>
      </c>
      <c r="G952" s="4" t="s">
        <v>25</v>
      </c>
      <c r="H952" s="4" t="s">
        <v>34</v>
      </c>
      <c r="I952" s="5">
        <v>44562</v>
      </c>
      <c r="J952" s="6">
        <v>0</v>
      </c>
      <c r="K952" s="6">
        <v>0</v>
      </c>
      <c r="L952" s="6">
        <v>1.387</v>
      </c>
      <c r="M952" s="6">
        <v>1.387</v>
      </c>
      <c r="N952" s="6">
        <v>1.387</v>
      </c>
      <c r="O952" s="6">
        <v>1.387</v>
      </c>
      <c r="P952" s="6">
        <v>0</v>
      </c>
      <c r="Q952" s="4" t="s">
        <v>26</v>
      </c>
      <c r="R952" s="4">
        <v>0</v>
      </c>
      <c r="S952" s="6">
        <v>0</v>
      </c>
      <c r="T952" s="6">
        <v>83</v>
      </c>
      <c r="U952" s="6">
        <v>106</v>
      </c>
      <c r="V952" s="6">
        <f>IF(ISERROR(VLOOKUP($S$952,'TAR FIN'!$A$1:$O$113,15,0)),0,VLOOKUP($S$952,'TAR FIN'!$A$1:$O$113,15,0))</f>
        <v>0</v>
      </c>
      <c r="W952" s="6">
        <f>IF(ISERROR(VLOOKUP($T$952,'TAR FIN'!$A$1:$O$113,15,0)),0,VLOOKUP($T$952,'TAR FIN'!$A$1:$O$113,15,0))</f>
        <v>748.29</v>
      </c>
      <c r="X952" s="6">
        <f>IF(ISERROR(VLOOKUP($U$952,'TAR FIN'!$A$1:$O$113,15,0)),0,VLOOKUP($U$952,'TAR FIN'!$A$1:$O$113,15,0))</f>
        <v>442.86</v>
      </c>
      <c r="Y952" s="6"/>
      <c r="Z952" s="6">
        <f ca="1">('TUSD BE'!$AM$65+'TUSD BF_350'!$AM$65+'TUSD CVA'!$AM$65)*1</f>
        <v>921.1</v>
      </c>
      <c r="AA952" s="6">
        <f ca="1">('TE BE'!$AB$43+'TE BF_350'!$AB$43+'TE CVA'!$AB$43)*1</f>
        <v>379.30999999999995</v>
      </c>
      <c r="AB952" s="6">
        <f>$K$952*$V$952</f>
        <v>0</v>
      </c>
      <c r="AC952" s="6">
        <f>$M$952*$W$952</f>
        <v>1037.87823</v>
      </c>
      <c r="AD952" s="6">
        <f>$O$952*$X$952</f>
        <v>614.24682000000007</v>
      </c>
      <c r="AE952" s="6">
        <f>$K$952*$Y$952</f>
        <v>0</v>
      </c>
      <c r="AF952" s="6">
        <f ca="1">$M$952*$Z$952</f>
        <v>1277.5657000000001</v>
      </c>
      <c r="AG952" s="6">
        <f ca="1">$O$952*$AA$952</f>
        <v>526.10296999999991</v>
      </c>
    </row>
    <row r="953" spans="1:33" ht="11.25" customHeight="1" x14ac:dyDescent="0.3">
      <c r="A953" s="4" t="s">
        <v>28</v>
      </c>
      <c r="B953" s="4" t="s">
        <v>37</v>
      </c>
      <c r="C953" s="4" t="s">
        <v>33</v>
      </c>
      <c r="D953" s="4" t="s">
        <v>42</v>
      </c>
      <c r="E953" s="4" t="s">
        <v>25</v>
      </c>
      <c r="F953" s="4" t="s">
        <v>25</v>
      </c>
      <c r="G953" s="4" t="s">
        <v>25</v>
      </c>
      <c r="H953" s="4" t="s">
        <v>34</v>
      </c>
      <c r="I953" s="5">
        <v>44562</v>
      </c>
      <c r="J953" s="6">
        <v>0</v>
      </c>
      <c r="K953" s="6">
        <v>0</v>
      </c>
      <c r="L953" s="6">
        <v>0.28499999999999998</v>
      </c>
      <c r="M953" s="6">
        <v>0.28499999999999998</v>
      </c>
      <c r="N953" s="6">
        <v>0.28499999999999998</v>
      </c>
      <c r="O953" s="6">
        <v>0.28499999999999998</v>
      </c>
      <c r="P953" s="6">
        <v>0</v>
      </c>
      <c r="Q953" s="4" t="s">
        <v>26</v>
      </c>
      <c r="R953" s="4">
        <v>0</v>
      </c>
      <c r="S953" s="6">
        <v>0</v>
      </c>
      <c r="T953" s="6">
        <v>83</v>
      </c>
      <c r="U953" s="6">
        <v>106</v>
      </c>
      <c r="V953" s="6">
        <f>IF(ISERROR(VLOOKUP($S$953,'TAR FIN'!$A$1:$O$113,15,0)),0,VLOOKUP($S$953,'TAR FIN'!$A$1:$O$113,15,0))</f>
        <v>0</v>
      </c>
      <c r="W953" s="6">
        <f>IF(ISERROR(VLOOKUP($T$953,'TAR FIN'!$A$1:$O$113,15,0)),0,VLOOKUP($T$953,'TAR FIN'!$A$1:$O$113,15,0))</f>
        <v>748.29</v>
      </c>
      <c r="X953" s="6">
        <f>IF(ISERROR(VLOOKUP($U$953,'TAR FIN'!$A$1:$O$113,15,0)),0,VLOOKUP($U$953,'TAR FIN'!$A$1:$O$113,15,0))</f>
        <v>442.86</v>
      </c>
      <c r="Y953" s="6"/>
      <c r="Z953" s="6">
        <f ca="1">('TUSD BE'!$AM$65+'TUSD BF_350'!$AM$65+'TUSD CVA'!$AM$65)*1</f>
        <v>921.1</v>
      </c>
      <c r="AA953" s="6">
        <f ca="1">('TE BE'!$AB$43+'TE BF_350'!$AB$43+'TE CVA'!$AB$43)*1</f>
        <v>379.30999999999995</v>
      </c>
      <c r="AB953" s="6">
        <f>$K$953*$V$953</f>
        <v>0</v>
      </c>
      <c r="AC953" s="6">
        <f>$M$953*$W$953</f>
        <v>213.26264999999998</v>
      </c>
      <c r="AD953" s="6">
        <f>$O$953*$X$953</f>
        <v>126.21509999999999</v>
      </c>
      <c r="AE953" s="6">
        <f>$K$953*$Y$953</f>
        <v>0</v>
      </c>
      <c r="AF953" s="6">
        <f ca="1">$M$953*$Z$953</f>
        <v>262.51349999999996</v>
      </c>
      <c r="AG953" s="6">
        <f ca="1">$O$953*$AA$953</f>
        <v>108.10334999999998</v>
      </c>
    </row>
    <row r="954" spans="1:33" ht="11.25" customHeight="1" x14ac:dyDescent="0.3">
      <c r="A954" s="4" t="s">
        <v>21</v>
      </c>
      <c r="B954" s="4" t="s">
        <v>37</v>
      </c>
      <c r="C954" s="4" t="s">
        <v>33</v>
      </c>
      <c r="D954" s="4" t="s">
        <v>42</v>
      </c>
      <c r="E954" s="4" t="s">
        <v>25</v>
      </c>
      <c r="F954" s="4" t="s">
        <v>25</v>
      </c>
      <c r="G954" s="4" t="s">
        <v>25</v>
      </c>
      <c r="H954" s="4" t="s">
        <v>34</v>
      </c>
      <c r="I954" s="5">
        <v>44593</v>
      </c>
      <c r="J954" s="6">
        <v>0</v>
      </c>
      <c r="K954" s="6">
        <v>0</v>
      </c>
      <c r="L954" s="6">
        <v>1.5649999999999999</v>
      </c>
      <c r="M954" s="6">
        <v>1.5649999999999999</v>
      </c>
      <c r="N954" s="6">
        <v>1.5649999999999999</v>
      </c>
      <c r="O954" s="6">
        <v>1.5649999999999999</v>
      </c>
      <c r="P954" s="6">
        <v>0</v>
      </c>
      <c r="Q954" s="4" t="s">
        <v>26</v>
      </c>
      <c r="R954" s="4">
        <v>0</v>
      </c>
      <c r="S954" s="6">
        <v>0</v>
      </c>
      <c r="T954" s="6">
        <v>83</v>
      </c>
      <c r="U954" s="6">
        <v>106</v>
      </c>
      <c r="V954" s="6">
        <f>IF(ISERROR(VLOOKUP($S$954,'TAR FIN'!$A$1:$O$113,15,0)),0,VLOOKUP($S$954,'TAR FIN'!$A$1:$O$113,15,0))</f>
        <v>0</v>
      </c>
      <c r="W954" s="6">
        <f>IF(ISERROR(VLOOKUP($T$954,'TAR FIN'!$A$1:$O$113,15,0)),0,VLOOKUP($T$954,'TAR FIN'!$A$1:$O$113,15,0))</f>
        <v>748.29</v>
      </c>
      <c r="X954" s="6">
        <f>IF(ISERROR(VLOOKUP($U$954,'TAR FIN'!$A$1:$O$113,15,0)),0,VLOOKUP($U$954,'TAR FIN'!$A$1:$O$113,15,0))</f>
        <v>442.86</v>
      </c>
      <c r="Y954" s="6"/>
      <c r="Z954" s="6">
        <f ca="1">('TUSD BE'!$AM$65+'TUSD BF_350'!$AM$65+'TUSD CVA'!$AM$65)*1</f>
        <v>921.1</v>
      </c>
      <c r="AA954" s="6">
        <f ca="1">('TE BE'!$AB$43+'TE BF_350'!$AB$43+'TE CVA'!$AB$43)*1</f>
        <v>379.30999999999995</v>
      </c>
      <c r="AB954" s="6">
        <f>$K$954*$V$954</f>
        <v>0</v>
      </c>
      <c r="AC954" s="6">
        <f>$M$954*$W$954</f>
        <v>1171.07385</v>
      </c>
      <c r="AD954" s="6">
        <f>$O$954*$X$954</f>
        <v>693.07590000000005</v>
      </c>
      <c r="AE954" s="6">
        <f>$K$954*$Y$954</f>
        <v>0</v>
      </c>
      <c r="AF954" s="6">
        <f ca="1">$M$954*$Z$954</f>
        <v>1441.5215000000001</v>
      </c>
      <c r="AG954" s="6">
        <f ca="1">$O$954*$AA$954</f>
        <v>593.62014999999985</v>
      </c>
    </row>
    <row r="955" spans="1:33" ht="11.25" customHeight="1" x14ac:dyDescent="0.3">
      <c r="A955" s="4" t="s">
        <v>21</v>
      </c>
      <c r="B955" s="4" t="s">
        <v>37</v>
      </c>
      <c r="C955" s="4" t="s">
        <v>33</v>
      </c>
      <c r="D955" s="4" t="s">
        <v>42</v>
      </c>
      <c r="E955" s="4" t="s">
        <v>25</v>
      </c>
      <c r="F955" s="4" t="s">
        <v>25</v>
      </c>
      <c r="G955" s="4" t="s">
        <v>25</v>
      </c>
      <c r="H955" s="4" t="s">
        <v>34</v>
      </c>
      <c r="I955" s="5">
        <v>44621</v>
      </c>
      <c r="J955" s="6">
        <v>0</v>
      </c>
      <c r="K955" s="6">
        <v>0</v>
      </c>
      <c r="L955" s="6">
        <v>1.391</v>
      </c>
      <c r="M955" s="6">
        <v>1.391</v>
      </c>
      <c r="N955" s="6">
        <v>1.391</v>
      </c>
      <c r="O955" s="6">
        <v>1.391</v>
      </c>
      <c r="P955" s="6">
        <v>0</v>
      </c>
      <c r="Q955" s="4" t="s">
        <v>26</v>
      </c>
      <c r="R955" s="4">
        <v>0</v>
      </c>
      <c r="S955" s="6">
        <v>0</v>
      </c>
      <c r="T955" s="6">
        <v>83</v>
      </c>
      <c r="U955" s="6">
        <v>106</v>
      </c>
      <c r="V955" s="6">
        <f>IF(ISERROR(VLOOKUP($S$955,'TAR FIN'!$A$1:$O$113,15,0)),0,VLOOKUP($S$955,'TAR FIN'!$A$1:$O$113,15,0))</f>
        <v>0</v>
      </c>
      <c r="W955" s="6">
        <f>IF(ISERROR(VLOOKUP($T$955,'TAR FIN'!$A$1:$O$113,15,0)),0,VLOOKUP($T$955,'TAR FIN'!$A$1:$O$113,15,0))</f>
        <v>748.29</v>
      </c>
      <c r="X955" s="6">
        <f>IF(ISERROR(VLOOKUP($U$955,'TAR FIN'!$A$1:$O$113,15,0)),0,VLOOKUP($U$955,'TAR FIN'!$A$1:$O$113,15,0))</f>
        <v>442.86</v>
      </c>
      <c r="Y955" s="6"/>
      <c r="Z955" s="6">
        <f ca="1">('TUSD BE'!$AM$65+'TUSD BF_350'!$AM$65+'TUSD CVA'!$AM$65)*1</f>
        <v>921.1</v>
      </c>
      <c r="AA955" s="6">
        <f ca="1">('TE BE'!$AB$43+'TE BF_350'!$AB$43+'TE CVA'!$AB$43)*1</f>
        <v>379.30999999999995</v>
      </c>
      <c r="AB955" s="6">
        <f>$K$955*$V$955</f>
        <v>0</v>
      </c>
      <c r="AC955" s="6">
        <f>$M$955*$W$955</f>
        <v>1040.87139</v>
      </c>
      <c r="AD955" s="6">
        <f>$O$955*$X$955</f>
        <v>616.01826000000005</v>
      </c>
      <c r="AE955" s="6">
        <f>$K$955*$Y$955</f>
        <v>0</v>
      </c>
      <c r="AF955" s="6">
        <f ca="1">$M$955*$Z$955</f>
        <v>1281.2501</v>
      </c>
      <c r="AG955" s="6">
        <f ca="1">$O$955*$AA$955</f>
        <v>527.62020999999993</v>
      </c>
    </row>
    <row r="956" spans="1:33" ht="11.25" customHeight="1" x14ac:dyDescent="0.3">
      <c r="A956" s="4" t="s">
        <v>28</v>
      </c>
      <c r="B956" s="4" t="s">
        <v>37</v>
      </c>
      <c r="C956" s="4" t="s">
        <v>33</v>
      </c>
      <c r="D956" s="4" t="s">
        <v>42</v>
      </c>
      <c r="E956" s="4" t="s">
        <v>25</v>
      </c>
      <c r="F956" s="4" t="s">
        <v>25</v>
      </c>
      <c r="G956" s="4" t="s">
        <v>25</v>
      </c>
      <c r="H956" s="4" t="s">
        <v>34</v>
      </c>
      <c r="I956" s="5">
        <v>44621</v>
      </c>
      <c r="J956" s="6">
        <v>0</v>
      </c>
      <c r="K956" s="6">
        <v>0</v>
      </c>
      <c r="L956" s="6">
        <v>0.115</v>
      </c>
      <c r="M956" s="6">
        <v>0.115</v>
      </c>
      <c r="N956" s="6">
        <v>0.115</v>
      </c>
      <c r="O956" s="6">
        <v>0.115</v>
      </c>
      <c r="P956" s="6">
        <v>0</v>
      </c>
      <c r="Q956" s="4" t="s">
        <v>26</v>
      </c>
      <c r="R956" s="4">
        <v>0</v>
      </c>
      <c r="S956" s="6">
        <v>0</v>
      </c>
      <c r="T956" s="6">
        <v>83</v>
      </c>
      <c r="U956" s="6">
        <v>106</v>
      </c>
      <c r="V956" s="6">
        <f>IF(ISERROR(VLOOKUP($S$956,'TAR FIN'!$A$1:$O$113,15,0)),0,VLOOKUP($S$956,'TAR FIN'!$A$1:$O$113,15,0))</f>
        <v>0</v>
      </c>
      <c r="W956" s="6">
        <f>IF(ISERROR(VLOOKUP($T$956,'TAR FIN'!$A$1:$O$113,15,0)),0,VLOOKUP($T$956,'TAR FIN'!$A$1:$O$113,15,0))</f>
        <v>748.29</v>
      </c>
      <c r="X956" s="6">
        <f>IF(ISERROR(VLOOKUP($U$956,'TAR FIN'!$A$1:$O$113,15,0)),0,VLOOKUP($U$956,'TAR FIN'!$A$1:$O$113,15,0))</f>
        <v>442.86</v>
      </c>
      <c r="Y956" s="6"/>
      <c r="Z956" s="6">
        <f ca="1">('TUSD BE'!$AM$65+'TUSD BF_350'!$AM$65+'TUSD CVA'!$AM$65)*1</f>
        <v>921.1</v>
      </c>
      <c r="AA956" s="6">
        <f ca="1">('TE BE'!$AB$43+'TE BF_350'!$AB$43+'TE CVA'!$AB$43)*1</f>
        <v>379.30999999999995</v>
      </c>
      <c r="AB956" s="6">
        <f>$K$956*$V$956</f>
        <v>0</v>
      </c>
      <c r="AC956" s="6">
        <f>$M$956*$W$956</f>
        <v>86.053349999999995</v>
      </c>
      <c r="AD956" s="6">
        <f>$O$956*$X$956</f>
        <v>50.928900000000006</v>
      </c>
      <c r="AE956" s="6">
        <f>$K$956*$Y$956</f>
        <v>0</v>
      </c>
      <c r="AF956" s="6">
        <f ca="1">$M$956*$Z$956</f>
        <v>105.9265</v>
      </c>
      <c r="AG956" s="6">
        <f ca="1">$O$956*$AA$956</f>
        <v>43.620649999999998</v>
      </c>
    </row>
    <row r="957" spans="1:33" ht="11.25" customHeight="1" x14ac:dyDescent="0.3">
      <c r="A957" s="4" t="s">
        <v>21</v>
      </c>
      <c r="B957" s="4" t="s">
        <v>37</v>
      </c>
      <c r="C957" s="4" t="s">
        <v>33</v>
      </c>
      <c r="D957" s="4" t="s">
        <v>42</v>
      </c>
      <c r="E957" s="4" t="s">
        <v>25</v>
      </c>
      <c r="F957" s="4" t="s">
        <v>25</v>
      </c>
      <c r="G957" s="4" t="s">
        <v>25</v>
      </c>
      <c r="H957" s="4" t="s">
        <v>34</v>
      </c>
      <c r="I957" s="5">
        <v>44652</v>
      </c>
      <c r="J957" s="6">
        <v>0</v>
      </c>
      <c r="K957" s="6">
        <v>0</v>
      </c>
      <c r="L957" s="6">
        <v>1.4039999999999999</v>
      </c>
      <c r="M957" s="6">
        <v>1.4039999999999999</v>
      </c>
      <c r="N957" s="6">
        <v>1.4039999999999999</v>
      </c>
      <c r="O957" s="6">
        <v>1.4039999999999999</v>
      </c>
      <c r="P957" s="6">
        <v>0</v>
      </c>
      <c r="Q957" s="4" t="s">
        <v>26</v>
      </c>
      <c r="R957" s="4">
        <v>0</v>
      </c>
      <c r="S957" s="6">
        <v>0</v>
      </c>
      <c r="T957" s="6">
        <v>83</v>
      </c>
      <c r="U957" s="6">
        <v>106</v>
      </c>
      <c r="V957" s="6">
        <f>IF(ISERROR(VLOOKUP($S$957,'TAR FIN'!$A$1:$O$113,15,0)),0,VLOOKUP($S$957,'TAR FIN'!$A$1:$O$113,15,0))</f>
        <v>0</v>
      </c>
      <c r="W957" s="6">
        <f>IF(ISERROR(VLOOKUP($T$957,'TAR FIN'!$A$1:$O$113,15,0)),0,VLOOKUP($T$957,'TAR FIN'!$A$1:$O$113,15,0))</f>
        <v>748.29</v>
      </c>
      <c r="X957" s="6">
        <f>IF(ISERROR(VLOOKUP($U$957,'TAR FIN'!$A$1:$O$113,15,0)),0,VLOOKUP($U$957,'TAR FIN'!$A$1:$O$113,15,0))</f>
        <v>442.86</v>
      </c>
      <c r="Y957" s="6"/>
      <c r="Z957" s="6">
        <f ca="1">('TUSD BE'!$AM$65+'TUSD BF_350'!$AM$65+'TUSD CVA'!$AM$65)*1</f>
        <v>921.1</v>
      </c>
      <c r="AA957" s="6">
        <f ca="1">('TE BE'!$AB$43+'TE BF_350'!$AB$43+'TE CVA'!$AB$43)*1</f>
        <v>379.30999999999995</v>
      </c>
      <c r="AB957" s="6">
        <f>$K$957*$V$957</f>
        <v>0</v>
      </c>
      <c r="AC957" s="6">
        <f>$M$957*$W$957</f>
        <v>1050.59916</v>
      </c>
      <c r="AD957" s="6">
        <f>$O$957*$X$957</f>
        <v>621.77544</v>
      </c>
      <c r="AE957" s="6">
        <f>$K$957*$Y$957</f>
        <v>0</v>
      </c>
      <c r="AF957" s="6">
        <f ca="1">$M$957*$Z$957</f>
        <v>1293.2244000000001</v>
      </c>
      <c r="AG957" s="6">
        <f ca="1">$O$957*$AA$957</f>
        <v>532.55123999999989</v>
      </c>
    </row>
    <row r="958" spans="1:33" ht="11.25" customHeight="1" x14ac:dyDescent="0.3">
      <c r="A958" s="4" t="s">
        <v>21</v>
      </c>
      <c r="B958" s="4" t="s">
        <v>37</v>
      </c>
      <c r="C958" s="4" t="s">
        <v>33</v>
      </c>
      <c r="D958" s="4" t="s">
        <v>42</v>
      </c>
      <c r="E958" s="4" t="s">
        <v>25</v>
      </c>
      <c r="F958" s="4" t="s">
        <v>25</v>
      </c>
      <c r="G958" s="4" t="s">
        <v>25</v>
      </c>
      <c r="H958" s="4" t="s">
        <v>34</v>
      </c>
      <c r="I958" s="5">
        <v>44682</v>
      </c>
      <c r="J958" s="6">
        <v>0</v>
      </c>
      <c r="K958" s="6">
        <v>0</v>
      </c>
      <c r="L958" s="6">
        <v>1.667</v>
      </c>
      <c r="M958" s="6">
        <v>1.667</v>
      </c>
      <c r="N958" s="6">
        <v>1.667</v>
      </c>
      <c r="O958" s="6">
        <v>1.667</v>
      </c>
      <c r="P958" s="6">
        <v>0</v>
      </c>
      <c r="Q958" s="4" t="s">
        <v>26</v>
      </c>
      <c r="R958" s="4">
        <v>0</v>
      </c>
      <c r="S958" s="6">
        <v>0</v>
      </c>
      <c r="T958" s="6">
        <v>83</v>
      </c>
      <c r="U958" s="6">
        <v>106</v>
      </c>
      <c r="V958" s="6">
        <f>IF(ISERROR(VLOOKUP($S$958,'TAR FIN'!$A$1:$O$113,15,0)),0,VLOOKUP($S$958,'TAR FIN'!$A$1:$O$113,15,0))</f>
        <v>0</v>
      </c>
      <c r="W958" s="6">
        <f>IF(ISERROR(VLOOKUP($T$958,'TAR FIN'!$A$1:$O$113,15,0)),0,VLOOKUP($T$958,'TAR FIN'!$A$1:$O$113,15,0))</f>
        <v>748.29</v>
      </c>
      <c r="X958" s="6">
        <f>IF(ISERROR(VLOOKUP($U$958,'TAR FIN'!$A$1:$O$113,15,0)),0,VLOOKUP($U$958,'TAR FIN'!$A$1:$O$113,15,0))</f>
        <v>442.86</v>
      </c>
      <c r="Y958" s="6"/>
      <c r="Z958" s="6">
        <f ca="1">('TUSD BE'!$AM$65+'TUSD BF_350'!$AM$65+'TUSD CVA'!$AM$65)*1</f>
        <v>921.1</v>
      </c>
      <c r="AA958" s="6">
        <f ca="1">('TE BE'!$AB$43+'TE BF_350'!$AB$43+'TE CVA'!$AB$43)*1</f>
        <v>379.30999999999995</v>
      </c>
      <c r="AB958" s="6">
        <f>$K$958*$V$958</f>
        <v>0</v>
      </c>
      <c r="AC958" s="6">
        <f>$M$958*$W$958</f>
        <v>1247.3994299999999</v>
      </c>
      <c r="AD958" s="6">
        <f>$O$958*$X$958</f>
        <v>738.24761999999998</v>
      </c>
      <c r="AE958" s="6">
        <f>$K$958*$Y$958</f>
        <v>0</v>
      </c>
      <c r="AF958" s="6">
        <f ca="1">$M$958*$Z$958</f>
        <v>1535.4737</v>
      </c>
      <c r="AG958" s="6">
        <f ca="1">$O$958*$AA$958</f>
        <v>632.30976999999996</v>
      </c>
    </row>
    <row r="959" spans="1:33" ht="11.25" customHeight="1" x14ac:dyDescent="0.3">
      <c r="A959" s="4" t="s">
        <v>28</v>
      </c>
      <c r="B959" s="4" t="s">
        <v>37</v>
      </c>
      <c r="C959" s="4" t="s">
        <v>33</v>
      </c>
      <c r="D959" s="4" t="s">
        <v>42</v>
      </c>
      <c r="E959" s="4" t="s">
        <v>25</v>
      </c>
      <c r="F959" s="4" t="s">
        <v>25</v>
      </c>
      <c r="G959" s="4" t="s">
        <v>25</v>
      </c>
      <c r="H959" s="4" t="s">
        <v>34</v>
      </c>
      <c r="I959" s="5">
        <v>44682</v>
      </c>
      <c r="J959" s="6">
        <v>0</v>
      </c>
      <c r="K959" s="6">
        <v>0</v>
      </c>
      <c r="L959" s="6">
        <v>0.10100000000000001</v>
      </c>
      <c r="M959" s="6">
        <v>0.10100000000000001</v>
      </c>
      <c r="N959" s="6">
        <v>0.10100000000000001</v>
      </c>
      <c r="O959" s="6">
        <v>0.10100000000000001</v>
      </c>
      <c r="P959" s="6">
        <v>0</v>
      </c>
      <c r="Q959" s="4" t="s">
        <v>26</v>
      </c>
      <c r="R959" s="4">
        <v>0</v>
      </c>
      <c r="S959" s="6">
        <v>0</v>
      </c>
      <c r="T959" s="6">
        <v>83</v>
      </c>
      <c r="U959" s="6">
        <v>106</v>
      </c>
      <c r="V959" s="6">
        <f>IF(ISERROR(VLOOKUP($S$959,'TAR FIN'!$A$1:$O$113,15,0)),0,VLOOKUP($S$959,'TAR FIN'!$A$1:$O$113,15,0))</f>
        <v>0</v>
      </c>
      <c r="W959" s="6">
        <f>IF(ISERROR(VLOOKUP($T$959,'TAR FIN'!$A$1:$O$113,15,0)),0,VLOOKUP($T$959,'TAR FIN'!$A$1:$O$113,15,0))</f>
        <v>748.29</v>
      </c>
      <c r="X959" s="6">
        <f>IF(ISERROR(VLOOKUP($U$959,'TAR FIN'!$A$1:$O$113,15,0)),0,VLOOKUP($U$959,'TAR FIN'!$A$1:$O$113,15,0))</f>
        <v>442.86</v>
      </c>
      <c r="Y959" s="6"/>
      <c r="Z959" s="6">
        <f ca="1">('TUSD BE'!$AM$65+'TUSD BF_350'!$AM$65+'TUSD CVA'!$AM$65)*1</f>
        <v>921.1</v>
      </c>
      <c r="AA959" s="6">
        <f ca="1">('TE BE'!$AB$43+'TE BF_350'!$AB$43+'TE CVA'!$AB$43)*1</f>
        <v>379.30999999999995</v>
      </c>
      <c r="AB959" s="6">
        <f>$K$959*$V$959</f>
        <v>0</v>
      </c>
      <c r="AC959" s="6">
        <f>$M$959*$W$959</f>
        <v>75.577290000000005</v>
      </c>
      <c r="AD959" s="6">
        <f>$O$959*$X$959</f>
        <v>44.728860000000005</v>
      </c>
      <c r="AE959" s="6">
        <f>$K$959*$Y$959</f>
        <v>0</v>
      </c>
      <c r="AF959" s="6">
        <f ca="1">$M$959*$Z$959</f>
        <v>93.031100000000009</v>
      </c>
      <c r="AG959" s="6">
        <f ca="1">$O$959*$AA$959</f>
        <v>38.310309999999994</v>
      </c>
    </row>
    <row r="960" spans="1:33" ht="11.25" customHeight="1" x14ac:dyDescent="0.3">
      <c r="A960" s="4" t="s">
        <v>21</v>
      </c>
      <c r="B960" s="4" t="s">
        <v>37</v>
      </c>
      <c r="C960" s="4" t="s">
        <v>33</v>
      </c>
      <c r="D960" s="4" t="s">
        <v>42</v>
      </c>
      <c r="E960" s="4" t="s">
        <v>25</v>
      </c>
      <c r="F960" s="4" t="s">
        <v>25</v>
      </c>
      <c r="G960" s="4" t="s">
        <v>25</v>
      </c>
      <c r="H960" s="4" t="s">
        <v>34</v>
      </c>
      <c r="I960" s="5">
        <v>44713</v>
      </c>
      <c r="J960" s="6">
        <v>0</v>
      </c>
      <c r="K960" s="6">
        <v>0</v>
      </c>
      <c r="L960" s="6">
        <v>1.145</v>
      </c>
      <c r="M960" s="6">
        <v>1.145</v>
      </c>
      <c r="N960" s="6">
        <v>1.145</v>
      </c>
      <c r="O960" s="6">
        <v>1.145</v>
      </c>
      <c r="P960" s="6">
        <v>0</v>
      </c>
      <c r="Q960" s="4" t="s">
        <v>26</v>
      </c>
      <c r="R960" s="4">
        <v>0</v>
      </c>
      <c r="S960" s="6">
        <v>0</v>
      </c>
      <c r="T960" s="6">
        <v>83</v>
      </c>
      <c r="U960" s="6">
        <v>106</v>
      </c>
      <c r="V960" s="6">
        <f>IF(ISERROR(VLOOKUP($S$960,'TAR FIN'!$A$1:$O$113,15,0)),0,VLOOKUP($S$960,'TAR FIN'!$A$1:$O$113,15,0))</f>
        <v>0</v>
      </c>
      <c r="W960" s="6">
        <f>IF(ISERROR(VLOOKUP($T$960,'TAR FIN'!$A$1:$O$113,15,0)),0,VLOOKUP($T$960,'TAR FIN'!$A$1:$O$113,15,0))</f>
        <v>748.29</v>
      </c>
      <c r="X960" s="6">
        <f>IF(ISERROR(VLOOKUP($U$960,'TAR FIN'!$A$1:$O$113,15,0)),0,VLOOKUP($U$960,'TAR FIN'!$A$1:$O$113,15,0))</f>
        <v>442.86</v>
      </c>
      <c r="Y960" s="6"/>
      <c r="Z960" s="6">
        <f ca="1">('TUSD BE'!$AM$65+'TUSD BF_350'!$AM$65+'TUSD CVA'!$AM$65)*1</f>
        <v>921.1</v>
      </c>
      <c r="AA960" s="6">
        <f ca="1">('TE BE'!$AB$43+'TE BF_350'!$AB$43+'TE CVA'!$AB$43)*1</f>
        <v>379.30999999999995</v>
      </c>
      <c r="AB960" s="6">
        <f>$K$960*$V$960</f>
        <v>0</v>
      </c>
      <c r="AC960" s="6">
        <f>$M$960*$W$960</f>
        <v>856.79205000000002</v>
      </c>
      <c r="AD960" s="6">
        <f>$O$960*$X$960</f>
        <v>507.07470000000001</v>
      </c>
      <c r="AE960" s="6">
        <f>$K$960*$Y$960</f>
        <v>0</v>
      </c>
      <c r="AF960" s="6">
        <f ca="1">$M$960*$Z$960</f>
        <v>1054.6595</v>
      </c>
      <c r="AG960" s="6">
        <f ca="1">$O$960*$AA$960</f>
        <v>434.30994999999996</v>
      </c>
    </row>
    <row r="961" spans="1:33" ht="11.25" customHeight="1" x14ac:dyDescent="0.3">
      <c r="A961" s="4" t="s">
        <v>28</v>
      </c>
      <c r="B961" s="4" t="s">
        <v>37</v>
      </c>
      <c r="C961" s="4" t="s">
        <v>33</v>
      </c>
      <c r="D961" s="4" t="s">
        <v>42</v>
      </c>
      <c r="E961" s="4" t="s">
        <v>25</v>
      </c>
      <c r="F961" s="4" t="s">
        <v>25</v>
      </c>
      <c r="G961" s="4" t="s">
        <v>25</v>
      </c>
      <c r="H961" s="4" t="s">
        <v>34</v>
      </c>
      <c r="I961" s="5">
        <v>44713</v>
      </c>
      <c r="J961" s="6">
        <v>0</v>
      </c>
      <c r="K961" s="6">
        <v>0</v>
      </c>
      <c r="L961" s="6">
        <v>9.2999999999999999E-2</v>
      </c>
      <c r="M961" s="6">
        <v>9.2999999999999999E-2</v>
      </c>
      <c r="N961" s="6">
        <v>9.2999999999999999E-2</v>
      </c>
      <c r="O961" s="6">
        <v>9.2999999999999999E-2</v>
      </c>
      <c r="P961" s="6">
        <v>0</v>
      </c>
      <c r="Q961" s="4" t="s">
        <v>26</v>
      </c>
      <c r="R961" s="4">
        <v>0</v>
      </c>
      <c r="S961" s="6">
        <v>0</v>
      </c>
      <c r="T961" s="6">
        <v>83</v>
      </c>
      <c r="U961" s="6">
        <v>106</v>
      </c>
      <c r="V961" s="6">
        <f>IF(ISERROR(VLOOKUP($S$961,'TAR FIN'!$A$1:$O$113,15,0)),0,VLOOKUP($S$961,'TAR FIN'!$A$1:$O$113,15,0))</f>
        <v>0</v>
      </c>
      <c r="W961" s="6">
        <f>IF(ISERROR(VLOOKUP($T$961,'TAR FIN'!$A$1:$O$113,15,0)),0,VLOOKUP($T$961,'TAR FIN'!$A$1:$O$113,15,0))</f>
        <v>748.29</v>
      </c>
      <c r="X961" s="6">
        <f>IF(ISERROR(VLOOKUP($U$961,'TAR FIN'!$A$1:$O$113,15,0)),0,VLOOKUP($U$961,'TAR FIN'!$A$1:$O$113,15,0))</f>
        <v>442.86</v>
      </c>
      <c r="Y961" s="6"/>
      <c r="Z961" s="6">
        <f ca="1">('TUSD BE'!$AM$65+'TUSD BF_350'!$AM$65+'TUSD CVA'!$AM$65)*1</f>
        <v>921.1</v>
      </c>
      <c r="AA961" s="6">
        <f ca="1">('TE BE'!$AB$43+'TE BF_350'!$AB$43+'TE CVA'!$AB$43)*1</f>
        <v>379.30999999999995</v>
      </c>
      <c r="AB961" s="6">
        <f>$K$961*$V$961</f>
        <v>0</v>
      </c>
      <c r="AC961" s="6">
        <f>$M$961*$W$961</f>
        <v>69.590969999999999</v>
      </c>
      <c r="AD961" s="6">
        <f>$O$961*$X$961</f>
        <v>41.185980000000001</v>
      </c>
      <c r="AE961" s="6">
        <f>$K$961*$Y$961</f>
        <v>0</v>
      </c>
      <c r="AF961" s="6">
        <f ca="1">$M$961*$Z$961</f>
        <v>85.662300000000002</v>
      </c>
      <c r="AG961" s="6">
        <f ca="1">$O$961*$AA$961</f>
        <v>35.275829999999992</v>
      </c>
    </row>
    <row r="962" spans="1:33" ht="11.25" customHeight="1" x14ac:dyDescent="0.3">
      <c r="A962" s="4" t="s">
        <v>21</v>
      </c>
      <c r="B962" s="4" t="s">
        <v>37</v>
      </c>
      <c r="C962" s="4" t="s">
        <v>33</v>
      </c>
      <c r="D962" s="4" t="s">
        <v>42</v>
      </c>
      <c r="E962" s="4" t="s">
        <v>25</v>
      </c>
      <c r="F962" s="4" t="s">
        <v>25</v>
      </c>
      <c r="G962" s="4" t="s">
        <v>25</v>
      </c>
      <c r="H962" s="4" t="s">
        <v>34</v>
      </c>
      <c r="I962" s="5">
        <v>44743</v>
      </c>
      <c r="J962" s="6">
        <v>0</v>
      </c>
      <c r="K962" s="6">
        <v>0</v>
      </c>
      <c r="L962" s="6">
        <v>1.9890000000000001</v>
      </c>
      <c r="M962" s="6">
        <v>1.9890000000000001</v>
      </c>
      <c r="N962" s="6">
        <v>1.9890000000000001</v>
      </c>
      <c r="O962" s="6">
        <v>1.9890000000000001</v>
      </c>
      <c r="P962" s="6">
        <v>0</v>
      </c>
      <c r="Q962" s="4" t="s">
        <v>26</v>
      </c>
      <c r="R962" s="4">
        <v>0</v>
      </c>
      <c r="S962" s="6">
        <v>0</v>
      </c>
      <c r="T962" s="6">
        <v>83</v>
      </c>
      <c r="U962" s="6">
        <v>106</v>
      </c>
      <c r="V962" s="6">
        <f>IF(ISERROR(VLOOKUP($S$962,'TAR FIN'!$A$1:$O$113,15,0)),0,VLOOKUP($S$962,'TAR FIN'!$A$1:$O$113,15,0))</f>
        <v>0</v>
      </c>
      <c r="W962" s="6">
        <f>IF(ISERROR(VLOOKUP($T$962,'TAR FIN'!$A$1:$O$113,15,0)),0,VLOOKUP($T$962,'TAR FIN'!$A$1:$O$113,15,0))</f>
        <v>748.29</v>
      </c>
      <c r="X962" s="6">
        <f>IF(ISERROR(VLOOKUP($U$962,'TAR FIN'!$A$1:$O$113,15,0)),0,VLOOKUP($U$962,'TAR FIN'!$A$1:$O$113,15,0))</f>
        <v>442.86</v>
      </c>
      <c r="Y962" s="6"/>
      <c r="Z962" s="6">
        <f ca="1">('TUSD BE'!$AM$65+'TUSD BF_350'!$AM$65+'TUSD CVA'!$AM$65)*1</f>
        <v>921.1</v>
      </c>
      <c r="AA962" s="6">
        <f ca="1">('TE BE'!$AB$43+'TE BF_350'!$AB$43+'TE CVA'!$AB$43)*1</f>
        <v>379.30999999999995</v>
      </c>
      <c r="AB962" s="6">
        <f>$K$962*$V$962</f>
        <v>0</v>
      </c>
      <c r="AC962" s="6">
        <f>$M$962*$W$962</f>
        <v>1488.34881</v>
      </c>
      <c r="AD962" s="6">
        <f>$O$962*$X$962</f>
        <v>880.84854000000007</v>
      </c>
      <c r="AE962" s="6">
        <f>$K$962*$Y$962</f>
        <v>0</v>
      </c>
      <c r="AF962" s="6">
        <f ca="1">$M$962*$Z$962</f>
        <v>1832.0679000000002</v>
      </c>
      <c r="AG962" s="6">
        <f ca="1">$O$962*$AA$962</f>
        <v>754.44758999999988</v>
      </c>
    </row>
    <row r="963" spans="1:33" ht="11.25" customHeight="1" x14ac:dyDescent="0.3">
      <c r="A963" s="4" t="s">
        <v>21</v>
      </c>
      <c r="B963" s="4" t="s">
        <v>37</v>
      </c>
      <c r="C963" s="4" t="s">
        <v>33</v>
      </c>
      <c r="D963" s="4" t="s">
        <v>42</v>
      </c>
      <c r="E963" s="4" t="s">
        <v>25</v>
      </c>
      <c r="F963" s="4" t="s">
        <v>25</v>
      </c>
      <c r="G963" s="4" t="s">
        <v>25</v>
      </c>
      <c r="H963" s="4" t="s">
        <v>34</v>
      </c>
      <c r="I963" s="5">
        <v>44774</v>
      </c>
      <c r="J963" s="6">
        <v>0</v>
      </c>
      <c r="K963" s="6">
        <v>0</v>
      </c>
      <c r="L963" s="6">
        <v>1.6950000000000001</v>
      </c>
      <c r="M963" s="6">
        <v>1.6950000000000001</v>
      </c>
      <c r="N963" s="6">
        <v>1.6950000000000001</v>
      </c>
      <c r="O963" s="6">
        <v>1.6950000000000001</v>
      </c>
      <c r="P963" s="6">
        <v>0</v>
      </c>
      <c r="Q963" s="4" t="s">
        <v>26</v>
      </c>
      <c r="R963" s="4">
        <v>0</v>
      </c>
      <c r="S963" s="6">
        <v>0</v>
      </c>
      <c r="T963" s="6">
        <v>83</v>
      </c>
      <c r="U963" s="6">
        <v>106</v>
      </c>
      <c r="V963" s="6">
        <f>IF(ISERROR(VLOOKUP($S$963,'TAR FIN'!$A$1:$O$113,15,0)),0,VLOOKUP($S$963,'TAR FIN'!$A$1:$O$113,15,0))</f>
        <v>0</v>
      </c>
      <c r="W963" s="6">
        <f>IF(ISERROR(VLOOKUP($T$963,'TAR FIN'!$A$1:$O$113,15,0)),0,VLOOKUP($T$963,'TAR FIN'!$A$1:$O$113,15,0))</f>
        <v>748.29</v>
      </c>
      <c r="X963" s="6">
        <f>IF(ISERROR(VLOOKUP($U$963,'TAR FIN'!$A$1:$O$113,15,0)),0,VLOOKUP($U$963,'TAR FIN'!$A$1:$O$113,15,0))</f>
        <v>442.86</v>
      </c>
      <c r="Y963" s="6"/>
      <c r="Z963" s="6">
        <f ca="1">('TUSD BE'!$AM$65+'TUSD BF_350'!$AM$65+'TUSD CVA'!$AM$65)*1</f>
        <v>921.1</v>
      </c>
      <c r="AA963" s="6">
        <f ca="1">('TE BE'!$AB$43+'TE BF_350'!$AB$43+'TE CVA'!$AB$43)*1</f>
        <v>379.30999999999995</v>
      </c>
      <c r="AB963" s="6">
        <f>$K$963*$V$963</f>
        <v>0</v>
      </c>
      <c r="AC963" s="6">
        <f>$M$963*$W$963</f>
        <v>1268.3515500000001</v>
      </c>
      <c r="AD963" s="6">
        <f>$O$963*$X$963</f>
        <v>750.6477000000001</v>
      </c>
      <c r="AE963" s="6">
        <f>$K$963*$Y$963</f>
        <v>0</v>
      </c>
      <c r="AF963" s="6">
        <f ca="1">$M$963*$Z$963</f>
        <v>1561.2645</v>
      </c>
      <c r="AG963" s="6">
        <f ca="1">$O$963*$AA$963</f>
        <v>642.93044999999995</v>
      </c>
    </row>
    <row r="964" spans="1:33" ht="11.25" customHeight="1" x14ac:dyDescent="0.3">
      <c r="A964" s="4" t="s">
        <v>28</v>
      </c>
      <c r="B964" s="4" t="s">
        <v>37</v>
      </c>
      <c r="C964" s="4" t="s">
        <v>33</v>
      </c>
      <c r="D964" s="4" t="s">
        <v>42</v>
      </c>
      <c r="E964" s="4" t="s">
        <v>25</v>
      </c>
      <c r="F964" s="4" t="s">
        <v>25</v>
      </c>
      <c r="G964" s="4" t="s">
        <v>25</v>
      </c>
      <c r="H964" s="4" t="s">
        <v>34</v>
      </c>
      <c r="I964" s="5">
        <v>44774</v>
      </c>
      <c r="J964" s="6">
        <v>0</v>
      </c>
      <c r="K964" s="6">
        <v>0</v>
      </c>
      <c r="L964" s="6">
        <v>0.14199999999999999</v>
      </c>
      <c r="M964" s="6">
        <v>0.14199999999999999</v>
      </c>
      <c r="N964" s="6">
        <v>0.14199999999999999</v>
      </c>
      <c r="O964" s="6">
        <v>0.14199999999999999</v>
      </c>
      <c r="P964" s="6">
        <v>0</v>
      </c>
      <c r="Q964" s="4" t="s">
        <v>26</v>
      </c>
      <c r="R964" s="4">
        <v>0</v>
      </c>
      <c r="S964" s="6">
        <v>0</v>
      </c>
      <c r="T964" s="6">
        <v>83</v>
      </c>
      <c r="U964" s="6">
        <v>106</v>
      </c>
      <c r="V964" s="6">
        <f>IF(ISERROR(VLOOKUP($S$964,'TAR FIN'!$A$1:$O$113,15,0)),0,VLOOKUP($S$964,'TAR FIN'!$A$1:$O$113,15,0))</f>
        <v>0</v>
      </c>
      <c r="W964" s="6">
        <f>IF(ISERROR(VLOOKUP($T$964,'TAR FIN'!$A$1:$O$113,15,0)),0,VLOOKUP($T$964,'TAR FIN'!$A$1:$O$113,15,0))</f>
        <v>748.29</v>
      </c>
      <c r="X964" s="6">
        <f>IF(ISERROR(VLOOKUP($U$964,'TAR FIN'!$A$1:$O$113,15,0)),0,VLOOKUP($U$964,'TAR FIN'!$A$1:$O$113,15,0))</f>
        <v>442.86</v>
      </c>
      <c r="Y964" s="6"/>
      <c r="Z964" s="6">
        <f ca="1">('TUSD BE'!$AM$65+'TUSD BF_350'!$AM$65+'TUSD CVA'!$AM$65)*1</f>
        <v>921.1</v>
      </c>
      <c r="AA964" s="6">
        <f ca="1">('TE BE'!$AB$43+'TE BF_350'!$AB$43+'TE CVA'!$AB$43)*1</f>
        <v>379.30999999999995</v>
      </c>
      <c r="AB964" s="6">
        <f>$K$964*$V$964</f>
        <v>0</v>
      </c>
      <c r="AC964" s="6">
        <f>$M$964*$W$964</f>
        <v>106.25717999999999</v>
      </c>
      <c r="AD964" s="6">
        <f>$O$964*$X$964</f>
        <v>62.886119999999998</v>
      </c>
      <c r="AE964" s="6">
        <f>$K$964*$Y$964</f>
        <v>0</v>
      </c>
      <c r="AF964" s="6">
        <f ca="1">$M$964*$Z$964</f>
        <v>130.7962</v>
      </c>
      <c r="AG964" s="6">
        <f ca="1">$O$964*$AA$964</f>
        <v>53.862019999999987</v>
      </c>
    </row>
    <row r="965" spans="1:33" ht="11.25" customHeight="1" x14ac:dyDescent="0.3">
      <c r="A965" s="4" t="s">
        <v>21</v>
      </c>
      <c r="B965" s="4" t="s">
        <v>37</v>
      </c>
      <c r="C965" s="4" t="s">
        <v>33</v>
      </c>
      <c r="D965" s="4" t="s">
        <v>42</v>
      </c>
      <c r="E965" s="4" t="s">
        <v>25</v>
      </c>
      <c r="F965" s="4" t="s">
        <v>25</v>
      </c>
      <c r="G965" s="4" t="s">
        <v>25</v>
      </c>
      <c r="H965" s="4" t="s">
        <v>34</v>
      </c>
      <c r="I965" s="5">
        <v>44805</v>
      </c>
      <c r="J965" s="6">
        <v>0</v>
      </c>
      <c r="K965" s="6">
        <v>0</v>
      </c>
      <c r="L965" s="6">
        <v>1.5189999999999999</v>
      </c>
      <c r="M965" s="6">
        <v>1.5189999999999999</v>
      </c>
      <c r="N965" s="6">
        <v>1.5189999999999999</v>
      </c>
      <c r="O965" s="6">
        <v>1.5189999999999999</v>
      </c>
      <c r="P965" s="6">
        <v>0</v>
      </c>
      <c r="Q965" s="4" t="s">
        <v>26</v>
      </c>
      <c r="R965" s="4">
        <v>0</v>
      </c>
      <c r="S965" s="6">
        <v>0</v>
      </c>
      <c r="T965" s="6">
        <v>83</v>
      </c>
      <c r="U965" s="6">
        <v>106</v>
      </c>
      <c r="V965" s="6">
        <f>IF(ISERROR(VLOOKUP($S$965,'TAR FIN'!$A$1:$O$113,15,0)),0,VLOOKUP($S$965,'TAR FIN'!$A$1:$O$113,15,0))</f>
        <v>0</v>
      </c>
      <c r="W965" s="6">
        <f>IF(ISERROR(VLOOKUP($T$965,'TAR FIN'!$A$1:$O$113,15,0)),0,VLOOKUP($T$965,'TAR FIN'!$A$1:$O$113,15,0))</f>
        <v>748.29</v>
      </c>
      <c r="X965" s="6">
        <f>IF(ISERROR(VLOOKUP($U$965,'TAR FIN'!$A$1:$O$113,15,0)),0,VLOOKUP($U$965,'TAR FIN'!$A$1:$O$113,15,0))</f>
        <v>442.86</v>
      </c>
      <c r="Y965" s="6"/>
      <c r="Z965" s="6">
        <f ca="1">('TUSD BE'!$AM$65+'TUSD BF_350'!$AM$65+'TUSD CVA'!$AM$65)*1</f>
        <v>921.1</v>
      </c>
      <c r="AA965" s="6">
        <f ca="1">('TE BE'!$AB$43+'TE BF_350'!$AB$43+'TE CVA'!$AB$43)*1</f>
        <v>379.30999999999995</v>
      </c>
      <c r="AB965" s="6">
        <f>$K$965*$V$965</f>
        <v>0</v>
      </c>
      <c r="AC965" s="6">
        <f>$M$965*$W$965</f>
        <v>1136.6525099999999</v>
      </c>
      <c r="AD965" s="6">
        <f>$O$965*$X$965</f>
        <v>672.70434</v>
      </c>
      <c r="AE965" s="6">
        <f>$K$965*$Y$965</f>
        <v>0</v>
      </c>
      <c r="AF965" s="6">
        <f ca="1">$M$965*$Z$965</f>
        <v>1399.1508999999999</v>
      </c>
      <c r="AG965" s="6">
        <f ca="1">$O$965*$AA$965</f>
        <v>576.17188999999985</v>
      </c>
    </row>
    <row r="966" spans="1:33" ht="11.25" customHeight="1" x14ac:dyDescent="0.3">
      <c r="A966" s="4" t="s">
        <v>28</v>
      </c>
      <c r="B966" s="4" t="s">
        <v>37</v>
      </c>
      <c r="C966" s="4" t="s">
        <v>33</v>
      </c>
      <c r="D966" s="4" t="s">
        <v>42</v>
      </c>
      <c r="E966" s="4" t="s">
        <v>25</v>
      </c>
      <c r="F966" s="4" t="s">
        <v>25</v>
      </c>
      <c r="G966" s="4" t="s">
        <v>25</v>
      </c>
      <c r="H966" s="4" t="s">
        <v>34</v>
      </c>
      <c r="I966" s="5">
        <v>44805</v>
      </c>
      <c r="J966" s="6">
        <v>0</v>
      </c>
      <c r="K966" s="6">
        <v>0</v>
      </c>
      <c r="L966" s="6">
        <v>0.156</v>
      </c>
      <c r="M966" s="6">
        <v>0.156</v>
      </c>
      <c r="N966" s="6">
        <v>0.156</v>
      </c>
      <c r="O966" s="6">
        <v>0.156</v>
      </c>
      <c r="P966" s="6">
        <v>0</v>
      </c>
      <c r="Q966" s="4" t="s">
        <v>26</v>
      </c>
      <c r="R966" s="4">
        <v>0</v>
      </c>
      <c r="S966" s="6">
        <v>0</v>
      </c>
      <c r="T966" s="6">
        <v>83</v>
      </c>
      <c r="U966" s="6">
        <v>106</v>
      </c>
      <c r="V966" s="6">
        <f>IF(ISERROR(VLOOKUP($S$966,'TAR FIN'!$A$1:$O$113,15,0)),0,VLOOKUP($S$966,'TAR FIN'!$A$1:$O$113,15,0))</f>
        <v>0</v>
      </c>
      <c r="W966" s="6">
        <f>IF(ISERROR(VLOOKUP($T$966,'TAR FIN'!$A$1:$O$113,15,0)),0,VLOOKUP($T$966,'TAR FIN'!$A$1:$O$113,15,0))</f>
        <v>748.29</v>
      </c>
      <c r="X966" s="6">
        <f>IF(ISERROR(VLOOKUP($U$966,'TAR FIN'!$A$1:$O$113,15,0)),0,VLOOKUP($U$966,'TAR FIN'!$A$1:$O$113,15,0))</f>
        <v>442.86</v>
      </c>
      <c r="Y966" s="6"/>
      <c r="Z966" s="6">
        <f ca="1">('TUSD BE'!$AM$65+'TUSD BF_350'!$AM$65+'TUSD CVA'!$AM$65)*1</f>
        <v>921.1</v>
      </c>
      <c r="AA966" s="6">
        <f ca="1">('TE BE'!$AB$43+'TE BF_350'!$AB$43+'TE CVA'!$AB$43)*1</f>
        <v>379.30999999999995</v>
      </c>
      <c r="AB966" s="6">
        <f>$K$966*$V$966</f>
        <v>0</v>
      </c>
      <c r="AC966" s="6">
        <f>$M$966*$W$966</f>
        <v>116.73324</v>
      </c>
      <c r="AD966" s="6">
        <f>$O$966*$X$966</f>
        <v>69.086160000000007</v>
      </c>
      <c r="AE966" s="6">
        <f>$K$966*$Y$966</f>
        <v>0</v>
      </c>
      <c r="AF966" s="6">
        <f ca="1">$M$966*$Z$966</f>
        <v>143.69159999999999</v>
      </c>
      <c r="AG966" s="6">
        <f ca="1">$O$966*$AA$966</f>
        <v>59.172359999999991</v>
      </c>
    </row>
    <row r="967" spans="1:33" ht="11.25" customHeight="1" x14ac:dyDescent="0.3">
      <c r="A967" s="4" t="s">
        <v>53</v>
      </c>
      <c r="B967" s="4" t="s">
        <v>37</v>
      </c>
      <c r="C967" s="4" t="s">
        <v>33</v>
      </c>
      <c r="D967" s="4" t="s">
        <v>42</v>
      </c>
      <c r="E967" s="4" t="s">
        <v>25</v>
      </c>
      <c r="F967" s="4" t="s">
        <v>25</v>
      </c>
      <c r="G967" s="4" t="s">
        <v>25</v>
      </c>
      <c r="H967" s="4" t="s">
        <v>34</v>
      </c>
      <c r="I967" s="5">
        <v>44835</v>
      </c>
      <c r="J967" s="6">
        <v>0</v>
      </c>
      <c r="K967" s="6">
        <v>0</v>
      </c>
      <c r="L967" s="6">
        <v>1.5189999999999999</v>
      </c>
      <c r="M967" s="6">
        <v>1.5189999999999999</v>
      </c>
      <c r="N967" s="6">
        <v>1.5189999999999999</v>
      </c>
      <c r="O967" s="6">
        <v>1.5189999999999999</v>
      </c>
      <c r="P967" s="6">
        <v>0</v>
      </c>
      <c r="Q967" s="4" t="s">
        <v>26</v>
      </c>
      <c r="R967" s="4">
        <v>0</v>
      </c>
      <c r="S967" s="6">
        <v>0</v>
      </c>
      <c r="T967" s="6">
        <v>83</v>
      </c>
      <c r="U967" s="6">
        <v>106</v>
      </c>
      <c r="V967" s="6">
        <f>IF(ISERROR(VLOOKUP($S$967,'TAR FIN'!$A$1:$O$113,15,0)),0,VLOOKUP($S$967,'TAR FIN'!$A$1:$O$113,15,0))</f>
        <v>0</v>
      </c>
      <c r="W967" s="6">
        <f>IF(ISERROR(VLOOKUP($T$967,'TAR FIN'!$A$1:$O$113,15,0)),0,VLOOKUP($T$967,'TAR FIN'!$A$1:$O$113,15,0))</f>
        <v>748.29</v>
      </c>
      <c r="X967" s="6">
        <f>IF(ISERROR(VLOOKUP($U$967,'TAR FIN'!$A$1:$O$113,15,0)),0,VLOOKUP($U$967,'TAR FIN'!$A$1:$O$113,15,0))</f>
        <v>442.86</v>
      </c>
      <c r="Y967" s="6"/>
      <c r="Z967" s="6">
        <f ca="1">('TUSD BE'!$AM$65+'TUSD BF_350'!$AM$65+'TUSD CVA'!$AM$65)*1</f>
        <v>921.1</v>
      </c>
      <c r="AA967" s="6">
        <f ca="1">('TE BE'!$AB$43+'TE BF_350'!$AB$43+'TE CVA'!$AB$43)*1</f>
        <v>379.30999999999995</v>
      </c>
      <c r="AB967" s="6">
        <f>$K$967*$V$967</f>
        <v>0</v>
      </c>
      <c r="AC967" s="6">
        <f>$M$967*$W$967</f>
        <v>1136.6525099999999</v>
      </c>
      <c r="AD967" s="6">
        <f>$O$967*$X$967</f>
        <v>672.70434</v>
      </c>
      <c r="AE967" s="6">
        <f>$K$967*$Y$967</f>
        <v>0</v>
      </c>
      <c r="AF967" s="6">
        <f ca="1">$M$967*$Z$967</f>
        <v>1399.1508999999999</v>
      </c>
      <c r="AG967" s="6">
        <f ca="1">$O$967*$AA$967</f>
        <v>576.17188999999985</v>
      </c>
    </row>
    <row r="968" spans="1:33" ht="11.25" customHeight="1" x14ac:dyDescent="0.3">
      <c r="A968" s="4" t="s">
        <v>53</v>
      </c>
      <c r="B968" s="4" t="s">
        <v>37</v>
      </c>
      <c r="C968" s="4" t="s">
        <v>33</v>
      </c>
      <c r="D968" s="4" t="s">
        <v>42</v>
      </c>
      <c r="E968" s="4" t="s">
        <v>25</v>
      </c>
      <c r="F968" s="4" t="s">
        <v>25</v>
      </c>
      <c r="G968" s="4" t="s">
        <v>25</v>
      </c>
      <c r="H968" s="4" t="s">
        <v>34</v>
      </c>
      <c r="I968" s="5">
        <v>44835</v>
      </c>
      <c r="J968" s="6">
        <v>0</v>
      </c>
      <c r="K968" s="6">
        <v>0</v>
      </c>
      <c r="L968" s="6">
        <v>0.156</v>
      </c>
      <c r="M968" s="6">
        <v>0.156</v>
      </c>
      <c r="N968" s="6">
        <v>0.156</v>
      </c>
      <c r="O968" s="6">
        <v>0.156</v>
      </c>
      <c r="P968" s="6">
        <v>0</v>
      </c>
      <c r="Q968" s="4" t="s">
        <v>26</v>
      </c>
      <c r="R968" s="4">
        <v>0</v>
      </c>
      <c r="S968" s="6">
        <v>0</v>
      </c>
      <c r="T968" s="6">
        <v>83</v>
      </c>
      <c r="U968" s="6">
        <v>106</v>
      </c>
      <c r="V968" s="6">
        <f>IF(ISERROR(VLOOKUP($S$968,'TAR FIN'!$A$1:$O$113,15,0)),0,VLOOKUP($S$968,'TAR FIN'!$A$1:$O$113,15,0))</f>
        <v>0</v>
      </c>
      <c r="W968" s="6">
        <f>IF(ISERROR(VLOOKUP($T$968,'TAR FIN'!$A$1:$O$113,15,0)),0,VLOOKUP($T$968,'TAR FIN'!$A$1:$O$113,15,0))</f>
        <v>748.29</v>
      </c>
      <c r="X968" s="6">
        <f>IF(ISERROR(VLOOKUP($U$968,'TAR FIN'!$A$1:$O$113,15,0)),0,VLOOKUP($U$968,'TAR FIN'!$A$1:$O$113,15,0))</f>
        <v>442.86</v>
      </c>
      <c r="Y968" s="6"/>
      <c r="Z968" s="6">
        <f ca="1">('TUSD BE'!$AM$65+'TUSD BF_350'!$AM$65+'TUSD CVA'!$AM$65)*1</f>
        <v>921.1</v>
      </c>
      <c r="AA968" s="6">
        <f ca="1">('TE BE'!$AB$43+'TE BF_350'!$AB$43+'TE CVA'!$AB$43)*1</f>
        <v>379.30999999999995</v>
      </c>
      <c r="AB968" s="6">
        <f>$K$968*$V$968</f>
        <v>0</v>
      </c>
      <c r="AC968" s="6">
        <f>$M$968*$W$968</f>
        <v>116.73324</v>
      </c>
      <c r="AD968" s="6">
        <f>$O$968*$X$968</f>
        <v>69.086160000000007</v>
      </c>
      <c r="AE968" s="6">
        <f>$K$968*$Y$968</f>
        <v>0</v>
      </c>
      <c r="AF968" s="6">
        <f ca="1">$M$968*$Z$968</f>
        <v>143.69159999999999</v>
      </c>
      <c r="AG968" s="6">
        <f ca="1">$O$968*$AA$968</f>
        <v>59.172359999999991</v>
      </c>
    </row>
    <row r="969" spans="1:33" ht="11.25" customHeight="1" x14ac:dyDescent="0.3">
      <c r="A969" s="4" t="s">
        <v>21</v>
      </c>
      <c r="B969" s="4" t="s">
        <v>37</v>
      </c>
      <c r="C969" s="4" t="s">
        <v>33</v>
      </c>
      <c r="D969" s="4" t="s">
        <v>38</v>
      </c>
      <c r="E969" s="4" t="s">
        <v>25</v>
      </c>
      <c r="F969" s="4" t="s">
        <v>25</v>
      </c>
      <c r="G969" s="4" t="s">
        <v>25</v>
      </c>
      <c r="H969" s="4" t="s">
        <v>35</v>
      </c>
      <c r="I969" s="5">
        <v>44501</v>
      </c>
      <c r="J969" s="6">
        <v>0</v>
      </c>
      <c r="K969" s="6">
        <v>0</v>
      </c>
      <c r="L969" s="6">
        <v>6.65</v>
      </c>
      <c r="M969" s="6">
        <v>6.65</v>
      </c>
      <c r="N969" s="6">
        <v>6.65</v>
      </c>
      <c r="O969" s="6">
        <v>6.65</v>
      </c>
      <c r="P969" s="6">
        <v>0</v>
      </c>
      <c r="Q969" s="4" t="s">
        <v>26</v>
      </c>
      <c r="R969" s="4">
        <v>0</v>
      </c>
      <c r="S969" s="6">
        <v>0</v>
      </c>
      <c r="T969" s="6">
        <v>69</v>
      </c>
      <c r="U969" s="6">
        <v>105</v>
      </c>
      <c r="V969" s="6">
        <f>IF(ISERROR(VLOOKUP($S$969,'TAR FIN'!$A$1:$O$113,15,0)),0,VLOOKUP($S$969,'TAR FIN'!$A$1:$O$113,15,0))</f>
        <v>0</v>
      </c>
      <c r="W969" s="6">
        <f>IF(ISERROR(VLOOKUP($T$969,'TAR FIN'!$A$1:$O$113,15,0)),0,VLOOKUP($T$969,'TAR FIN'!$A$1:$O$113,15,0))</f>
        <v>234.07</v>
      </c>
      <c r="X969" s="6">
        <f>IF(ISERROR(VLOOKUP($U$969,'TAR FIN'!$A$1:$O$113,15,0)),0,VLOOKUP($U$969,'TAR FIN'!$A$1:$O$113,15,0))</f>
        <v>278.67</v>
      </c>
      <c r="Y969" s="6"/>
      <c r="Z969" s="6">
        <f ca="1">('TUSD BE'!$AM$67+'TUSD BF_350'!$AM$67+'TUSD CVA'!$AM$67)*1</f>
        <v>311.73</v>
      </c>
      <c r="AA969" s="6">
        <f ca="1">('TE BE'!$AB$45+'TE BF_350'!$AB$45+'TE CVA'!$AB$45)*1</f>
        <v>231.69</v>
      </c>
      <c r="AB969" s="6">
        <f>$K$969*$V$969</f>
        <v>0</v>
      </c>
      <c r="AC969" s="6">
        <f>$M$969*$W$969</f>
        <v>1556.5654999999999</v>
      </c>
      <c r="AD969" s="6">
        <f>$O$969*$X$969</f>
        <v>1853.1555000000003</v>
      </c>
      <c r="AE969" s="6">
        <f>$K$969*$Y$969</f>
        <v>0</v>
      </c>
      <c r="AF969" s="6">
        <f ca="1">$M$969*$Z$969</f>
        <v>2073.0045</v>
      </c>
      <c r="AG969" s="6">
        <f ca="1">$O$969*$AA$969</f>
        <v>1540.7385000000002</v>
      </c>
    </row>
    <row r="970" spans="1:33" ht="11.25" customHeight="1" x14ac:dyDescent="0.3">
      <c r="A970" s="4" t="s">
        <v>28</v>
      </c>
      <c r="B970" s="4" t="s">
        <v>37</v>
      </c>
      <c r="C970" s="4" t="s">
        <v>33</v>
      </c>
      <c r="D970" s="4" t="s">
        <v>38</v>
      </c>
      <c r="E970" s="4" t="s">
        <v>25</v>
      </c>
      <c r="F970" s="4" t="s">
        <v>25</v>
      </c>
      <c r="G970" s="4" t="s">
        <v>25</v>
      </c>
      <c r="H970" s="4" t="s">
        <v>35</v>
      </c>
      <c r="I970" s="5">
        <v>44501</v>
      </c>
      <c r="J970" s="6">
        <v>0</v>
      </c>
      <c r="K970" s="6">
        <v>0</v>
      </c>
      <c r="L970" s="6">
        <v>1.0999999999999999E-2</v>
      </c>
      <c r="M970" s="6">
        <v>1.0999999999999999E-2</v>
      </c>
      <c r="N970" s="6">
        <v>1.0999999999999999E-2</v>
      </c>
      <c r="O970" s="6">
        <v>1.0999999999999999E-2</v>
      </c>
      <c r="P970" s="6">
        <v>0</v>
      </c>
      <c r="Q970" s="4" t="s">
        <v>26</v>
      </c>
      <c r="R970" s="4">
        <v>0</v>
      </c>
      <c r="S970" s="6">
        <v>0</v>
      </c>
      <c r="T970" s="6">
        <v>69</v>
      </c>
      <c r="U970" s="6">
        <v>105</v>
      </c>
      <c r="V970" s="6">
        <f>IF(ISERROR(VLOOKUP($S$970,'TAR FIN'!$A$1:$O$113,15,0)),0,VLOOKUP($S$970,'TAR FIN'!$A$1:$O$113,15,0))</f>
        <v>0</v>
      </c>
      <c r="W970" s="6">
        <f>IF(ISERROR(VLOOKUP($T$970,'TAR FIN'!$A$1:$O$113,15,0)),0,VLOOKUP($T$970,'TAR FIN'!$A$1:$O$113,15,0))</f>
        <v>234.07</v>
      </c>
      <c r="X970" s="6">
        <f>IF(ISERROR(VLOOKUP($U$970,'TAR FIN'!$A$1:$O$113,15,0)),0,VLOOKUP($U$970,'TAR FIN'!$A$1:$O$113,15,0))</f>
        <v>278.67</v>
      </c>
      <c r="Y970" s="6"/>
      <c r="Z970" s="6">
        <f ca="1">('TUSD BE'!$AM$67+'TUSD BF_350'!$AM$67+'TUSD CVA'!$AM$67)*1</f>
        <v>311.73</v>
      </c>
      <c r="AA970" s="6">
        <f ca="1">('TE BE'!$AB$45+'TE BF_350'!$AB$45+'TE CVA'!$AB$45)*1</f>
        <v>231.69</v>
      </c>
      <c r="AB970" s="6">
        <f>$K$970*$V$970</f>
        <v>0</v>
      </c>
      <c r="AC970" s="6">
        <f>$M$970*$W$970</f>
        <v>2.5747699999999996</v>
      </c>
      <c r="AD970" s="6">
        <f>$O$970*$X$970</f>
        <v>3.0653700000000002</v>
      </c>
      <c r="AE970" s="6">
        <f>$K$970*$Y$970</f>
        <v>0</v>
      </c>
      <c r="AF970" s="6">
        <f ca="1">$M$970*$Z$970</f>
        <v>3.42903</v>
      </c>
      <c r="AG970" s="6">
        <f ca="1">$O$970*$AA$970</f>
        <v>2.5485899999999999</v>
      </c>
    </row>
    <row r="971" spans="1:33" ht="11.25" customHeight="1" x14ac:dyDescent="0.3">
      <c r="A971" s="4" t="s">
        <v>21</v>
      </c>
      <c r="B971" s="4" t="s">
        <v>37</v>
      </c>
      <c r="C971" s="4" t="s">
        <v>33</v>
      </c>
      <c r="D971" s="4" t="s">
        <v>38</v>
      </c>
      <c r="E971" s="4" t="s">
        <v>25</v>
      </c>
      <c r="F971" s="4" t="s">
        <v>25</v>
      </c>
      <c r="G971" s="4" t="s">
        <v>25</v>
      </c>
      <c r="H971" s="4" t="s">
        <v>35</v>
      </c>
      <c r="I971" s="5">
        <v>44531</v>
      </c>
      <c r="J971" s="6">
        <v>0</v>
      </c>
      <c r="K971" s="6">
        <v>0</v>
      </c>
      <c r="L971" s="6">
        <v>7.35</v>
      </c>
      <c r="M971" s="6">
        <v>7.35</v>
      </c>
      <c r="N971" s="6">
        <v>7.35</v>
      </c>
      <c r="O971" s="6">
        <v>7.35</v>
      </c>
      <c r="P971" s="6">
        <v>0</v>
      </c>
      <c r="Q971" s="4" t="s">
        <v>26</v>
      </c>
      <c r="R971" s="4">
        <v>0</v>
      </c>
      <c r="S971" s="6">
        <v>0</v>
      </c>
      <c r="T971" s="6">
        <v>69</v>
      </c>
      <c r="U971" s="6">
        <v>105</v>
      </c>
      <c r="V971" s="6">
        <f>IF(ISERROR(VLOOKUP($S$971,'TAR FIN'!$A$1:$O$113,15,0)),0,VLOOKUP($S$971,'TAR FIN'!$A$1:$O$113,15,0))</f>
        <v>0</v>
      </c>
      <c r="W971" s="6">
        <f>IF(ISERROR(VLOOKUP($T$971,'TAR FIN'!$A$1:$O$113,15,0)),0,VLOOKUP($T$971,'TAR FIN'!$A$1:$O$113,15,0))</f>
        <v>234.07</v>
      </c>
      <c r="X971" s="6">
        <f>IF(ISERROR(VLOOKUP($U$971,'TAR FIN'!$A$1:$O$113,15,0)),0,VLOOKUP($U$971,'TAR FIN'!$A$1:$O$113,15,0))</f>
        <v>278.67</v>
      </c>
      <c r="Y971" s="6"/>
      <c r="Z971" s="6">
        <f ca="1">('TUSD BE'!$AM$67+'TUSD BF_350'!$AM$67+'TUSD CVA'!$AM$67)*1</f>
        <v>311.73</v>
      </c>
      <c r="AA971" s="6">
        <f ca="1">('TE BE'!$AB$45+'TE BF_350'!$AB$45+'TE CVA'!$AB$45)*1</f>
        <v>231.69</v>
      </c>
      <c r="AB971" s="6">
        <f>$K$971*$V$971</f>
        <v>0</v>
      </c>
      <c r="AC971" s="6">
        <f>$M$971*$W$971</f>
        <v>1720.4144999999999</v>
      </c>
      <c r="AD971" s="6">
        <f>$O$971*$X$971</f>
        <v>2048.2244999999998</v>
      </c>
      <c r="AE971" s="6">
        <f>$K$971*$Y$971</f>
        <v>0</v>
      </c>
      <c r="AF971" s="6">
        <f ca="1">$M$971*$Z$971</f>
        <v>2291.2155000000002</v>
      </c>
      <c r="AG971" s="6">
        <f ca="1">$O$971*$AA$971</f>
        <v>1702.9214999999999</v>
      </c>
    </row>
    <row r="972" spans="1:33" ht="11.25" customHeight="1" x14ac:dyDescent="0.3">
      <c r="A972" s="4" t="s">
        <v>28</v>
      </c>
      <c r="B972" s="4" t="s">
        <v>37</v>
      </c>
      <c r="C972" s="4" t="s">
        <v>33</v>
      </c>
      <c r="D972" s="4" t="s">
        <v>38</v>
      </c>
      <c r="E972" s="4" t="s">
        <v>25</v>
      </c>
      <c r="F972" s="4" t="s">
        <v>25</v>
      </c>
      <c r="G972" s="4" t="s">
        <v>25</v>
      </c>
      <c r="H972" s="4" t="s">
        <v>35</v>
      </c>
      <c r="I972" s="5">
        <v>44531</v>
      </c>
      <c r="J972" s="6">
        <v>0</v>
      </c>
      <c r="K972" s="6">
        <v>0</v>
      </c>
      <c r="L972" s="6">
        <v>7.3999999999999996E-2</v>
      </c>
      <c r="M972" s="6">
        <v>7.3999999999999996E-2</v>
      </c>
      <c r="N972" s="6">
        <v>7.3999999999999996E-2</v>
      </c>
      <c r="O972" s="6">
        <v>7.3999999999999996E-2</v>
      </c>
      <c r="P972" s="6">
        <v>0</v>
      </c>
      <c r="Q972" s="4" t="s">
        <v>26</v>
      </c>
      <c r="R972" s="4">
        <v>0</v>
      </c>
      <c r="S972" s="6">
        <v>0</v>
      </c>
      <c r="T972" s="6">
        <v>69</v>
      </c>
      <c r="U972" s="6">
        <v>105</v>
      </c>
      <c r="V972" s="6">
        <f>IF(ISERROR(VLOOKUP($S$972,'TAR FIN'!$A$1:$O$113,15,0)),0,VLOOKUP($S$972,'TAR FIN'!$A$1:$O$113,15,0))</f>
        <v>0</v>
      </c>
      <c r="W972" s="6">
        <f>IF(ISERROR(VLOOKUP($T$972,'TAR FIN'!$A$1:$O$113,15,0)),0,VLOOKUP($T$972,'TAR FIN'!$A$1:$O$113,15,0))</f>
        <v>234.07</v>
      </c>
      <c r="X972" s="6">
        <f>IF(ISERROR(VLOOKUP($U$972,'TAR FIN'!$A$1:$O$113,15,0)),0,VLOOKUP($U$972,'TAR FIN'!$A$1:$O$113,15,0))</f>
        <v>278.67</v>
      </c>
      <c r="Y972" s="6"/>
      <c r="Z972" s="6">
        <f ca="1">('TUSD BE'!$AM$67+'TUSD BF_350'!$AM$67+'TUSD CVA'!$AM$67)*1</f>
        <v>311.73</v>
      </c>
      <c r="AA972" s="6">
        <f ca="1">('TE BE'!$AB$45+'TE BF_350'!$AB$45+'TE CVA'!$AB$45)*1</f>
        <v>231.69</v>
      </c>
      <c r="AB972" s="6">
        <f>$K$972*$V$972</f>
        <v>0</v>
      </c>
      <c r="AC972" s="6">
        <f>$M$972*$W$972</f>
        <v>17.321179999999998</v>
      </c>
      <c r="AD972" s="6">
        <f>$O$972*$X$972</f>
        <v>20.621580000000002</v>
      </c>
      <c r="AE972" s="6">
        <f>$K$972*$Y$972</f>
        <v>0</v>
      </c>
      <c r="AF972" s="6">
        <f ca="1">$M$972*$Z$972</f>
        <v>23.068020000000001</v>
      </c>
      <c r="AG972" s="6">
        <f ca="1">$O$972*$AA$972</f>
        <v>17.145059999999997</v>
      </c>
    </row>
    <row r="973" spans="1:33" ht="11.25" customHeight="1" x14ac:dyDescent="0.3">
      <c r="A973" s="4" t="s">
        <v>21</v>
      </c>
      <c r="B973" s="4" t="s">
        <v>37</v>
      </c>
      <c r="C973" s="4" t="s">
        <v>33</v>
      </c>
      <c r="D973" s="4" t="s">
        <v>38</v>
      </c>
      <c r="E973" s="4" t="s">
        <v>25</v>
      </c>
      <c r="F973" s="4" t="s">
        <v>25</v>
      </c>
      <c r="G973" s="4" t="s">
        <v>25</v>
      </c>
      <c r="H973" s="4" t="s">
        <v>35</v>
      </c>
      <c r="I973" s="5">
        <v>44562</v>
      </c>
      <c r="J973" s="6">
        <v>0</v>
      </c>
      <c r="K973" s="6">
        <v>0</v>
      </c>
      <c r="L973" s="6">
        <v>7.4</v>
      </c>
      <c r="M973" s="6">
        <v>7.4</v>
      </c>
      <c r="N973" s="6">
        <v>7.4</v>
      </c>
      <c r="O973" s="6">
        <v>7.4</v>
      </c>
      <c r="P973" s="6">
        <v>0</v>
      </c>
      <c r="Q973" s="4" t="s">
        <v>26</v>
      </c>
      <c r="R973" s="4">
        <v>0</v>
      </c>
      <c r="S973" s="6">
        <v>0</v>
      </c>
      <c r="T973" s="6">
        <v>69</v>
      </c>
      <c r="U973" s="6">
        <v>105</v>
      </c>
      <c r="V973" s="6">
        <f>IF(ISERROR(VLOOKUP($S$973,'TAR FIN'!$A$1:$O$113,15,0)),0,VLOOKUP($S$973,'TAR FIN'!$A$1:$O$113,15,0))</f>
        <v>0</v>
      </c>
      <c r="W973" s="6">
        <f>IF(ISERROR(VLOOKUP($T$973,'TAR FIN'!$A$1:$O$113,15,0)),0,VLOOKUP($T$973,'TAR FIN'!$A$1:$O$113,15,0))</f>
        <v>234.07</v>
      </c>
      <c r="X973" s="6">
        <f>IF(ISERROR(VLOOKUP($U$973,'TAR FIN'!$A$1:$O$113,15,0)),0,VLOOKUP($U$973,'TAR FIN'!$A$1:$O$113,15,0))</f>
        <v>278.67</v>
      </c>
      <c r="Y973" s="6"/>
      <c r="Z973" s="6">
        <f ca="1">('TUSD BE'!$AM$67+'TUSD BF_350'!$AM$67+'TUSD CVA'!$AM$67)*1</f>
        <v>311.73</v>
      </c>
      <c r="AA973" s="6">
        <f ca="1">('TE BE'!$AB$45+'TE BF_350'!$AB$45+'TE CVA'!$AB$45)*1</f>
        <v>231.69</v>
      </c>
      <c r="AB973" s="6">
        <f>$K$973*$V$973</f>
        <v>0</v>
      </c>
      <c r="AC973" s="6">
        <f>$M$973*$W$973</f>
        <v>1732.1179999999999</v>
      </c>
      <c r="AD973" s="6">
        <f>$O$973*$X$973</f>
        <v>2062.1580000000004</v>
      </c>
      <c r="AE973" s="6">
        <f>$K$973*$Y$973</f>
        <v>0</v>
      </c>
      <c r="AF973" s="6">
        <f ca="1">$M$973*$Z$973</f>
        <v>2306.8020000000001</v>
      </c>
      <c r="AG973" s="6">
        <f ca="1">$O$973*$AA$973</f>
        <v>1714.5060000000001</v>
      </c>
    </row>
    <row r="974" spans="1:33" ht="11.25" customHeight="1" x14ac:dyDescent="0.3">
      <c r="A974" s="4" t="s">
        <v>28</v>
      </c>
      <c r="B974" s="4" t="s">
        <v>37</v>
      </c>
      <c r="C974" s="4" t="s">
        <v>33</v>
      </c>
      <c r="D974" s="4" t="s">
        <v>38</v>
      </c>
      <c r="E974" s="4" t="s">
        <v>25</v>
      </c>
      <c r="F974" s="4" t="s">
        <v>25</v>
      </c>
      <c r="G974" s="4" t="s">
        <v>25</v>
      </c>
      <c r="H974" s="4" t="s">
        <v>35</v>
      </c>
      <c r="I974" s="5">
        <v>44562</v>
      </c>
      <c r="J974" s="6">
        <v>0</v>
      </c>
      <c r="K974" s="6">
        <v>0</v>
      </c>
      <c r="L974" s="6">
        <v>0.22</v>
      </c>
      <c r="M974" s="6">
        <v>0.22</v>
      </c>
      <c r="N974" s="6">
        <v>0.22</v>
      </c>
      <c r="O974" s="6">
        <v>0.22</v>
      </c>
      <c r="P974" s="6">
        <v>0</v>
      </c>
      <c r="Q974" s="4" t="s">
        <v>26</v>
      </c>
      <c r="R974" s="4">
        <v>0</v>
      </c>
      <c r="S974" s="6">
        <v>0</v>
      </c>
      <c r="T974" s="6">
        <v>69</v>
      </c>
      <c r="U974" s="6">
        <v>105</v>
      </c>
      <c r="V974" s="6">
        <f>IF(ISERROR(VLOOKUP($S$974,'TAR FIN'!$A$1:$O$113,15,0)),0,VLOOKUP($S$974,'TAR FIN'!$A$1:$O$113,15,0))</f>
        <v>0</v>
      </c>
      <c r="W974" s="6">
        <f>IF(ISERROR(VLOOKUP($T$974,'TAR FIN'!$A$1:$O$113,15,0)),0,VLOOKUP($T$974,'TAR FIN'!$A$1:$O$113,15,0))</f>
        <v>234.07</v>
      </c>
      <c r="X974" s="6">
        <f>IF(ISERROR(VLOOKUP($U$974,'TAR FIN'!$A$1:$O$113,15,0)),0,VLOOKUP($U$974,'TAR FIN'!$A$1:$O$113,15,0))</f>
        <v>278.67</v>
      </c>
      <c r="Y974" s="6"/>
      <c r="Z974" s="6">
        <f ca="1">('TUSD BE'!$AM$67+'TUSD BF_350'!$AM$67+'TUSD CVA'!$AM$67)*1</f>
        <v>311.73</v>
      </c>
      <c r="AA974" s="6">
        <f ca="1">('TE BE'!$AB$45+'TE BF_350'!$AB$45+'TE CVA'!$AB$45)*1</f>
        <v>231.69</v>
      </c>
      <c r="AB974" s="6">
        <f>$K$974*$V$974</f>
        <v>0</v>
      </c>
      <c r="AC974" s="6">
        <f>$M$974*$W$974</f>
        <v>51.495399999999997</v>
      </c>
      <c r="AD974" s="6">
        <f>$O$974*$X$974</f>
        <v>61.307400000000001</v>
      </c>
      <c r="AE974" s="6">
        <f>$K$974*$Y$974</f>
        <v>0</v>
      </c>
      <c r="AF974" s="6">
        <f ca="1">$M$974*$Z$974</f>
        <v>68.580600000000004</v>
      </c>
      <c r="AG974" s="6">
        <f ca="1">$O$974*$AA$974</f>
        <v>50.971800000000002</v>
      </c>
    </row>
    <row r="975" spans="1:33" ht="11.25" customHeight="1" x14ac:dyDescent="0.3">
      <c r="A975" s="4" t="s">
        <v>21</v>
      </c>
      <c r="B975" s="4" t="s">
        <v>37</v>
      </c>
      <c r="C975" s="4" t="s">
        <v>33</v>
      </c>
      <c r="D975" s="4" t="s">
        <v>38</v>
      </c>
      <c r="E975" s="4" t="s">
        <v>25</v>
      </c>
      <c r="F975" s="4" t="s">
        <v>25</v>
      </c>
      <c r="G975" s="4" t="s">
        <v>25</v>
      </c>
      <c r="H975" s="4" t="s">
        <v>35</v>
      </c>
      <c r="I975" s="5">
        <v>44593</v>
      </c>
      <c r="J975" s="6">
        <v>0</v>
      </c>
      <c r="K975" s="6">
        <v>0</v>
      </c>
      <c r="L975" s="6">
        <v>8.0500000000000007</v>
      </c>
      <c r="M975" s="6">
        <v>8.0500000000000007</v>
      </c>
      <c r="N975" s="6">
        <v>8.0500000000000007</v>
      </c>
      <c r="O975" s="6">
        <v>8.0500000000000007</v>
      </c>
      <c r="P975" s="6">
        <v>0</v>
      </c>
      <c r="Q975" s="4" t="s">
        <v>26</v>
      </c>
      <c r="R975" s="4">
        <v>0</v>
      </c>
      <c r="S975" s="6">
        <v>0</v>
      </c>
      <c r="T975" s="6">
        <v>69</v>
      </c>
      <c r="U975" s="6">
        <v>105</v>
      </c>
      <c r="V975" s="6">
        <f>IF(ISERROR(VLOOKUP($S$975,'TAR FIN'!$A$1:$O$113,15,0)),0,VLOOKUP($S$975,'TAR FIN'!$A$1:$O$113,15,0))</f>
        <v>0</v>
      </c>
      <c r="W975" s="6">
        <f>IF(ISERROR(VLOOKUP($T$975,'TAR FIN'!$A$1:$O$113,15,0)),0,VLOOKUP($T$975,'TAR FIN'!$A$1:$O$113,15,0))</f>
        <v>234.07</v>
      </c>
      <c r="X975" s="6">
        <f>IF(ISERROR(VLOOKUP($U$975,'TAR FIN'!$A$1:$O$113,15,0)),0,VLOOKUP($U$975,'TAR FIN'!$A$1:$O$113,15,0))</f>
        <v>278.67</v>
      </c>
      <c r="Y975" s="6"/>
      <c r="Z975" s="6">
        <f ca="1">('TUSD BE'!$AM$67+'TUSD BF_350'!$AM$67+'TUSD CVA'!$AM$67)*1</f>
        <v>311.73</v>
      </c>
      <c r="AA975" s="6">
        <f ca="1">('TE BE'!$AB$45+'TE BF_350'!$AB$45+'TE CVA'!$AB$45)*1</f>
        <v>231.69</v>
      </c>
      <c r="AB975" s="6">
        <f>$K$975*$V$975</f>
        <v>0</v>
      </c>
      <c r="AC975" s="6">
        <f>$M$975*$W$975</f>
        <v>1884.2635</v>
      </c>
      <c r="AD975" s="6">
        <f>$O$975*$X$975</f>
        <v>2243.2935000000002</v>
      </c>
      <c r="AE975" s="6">
        <f>$K$975*$Y$975</f>
        <v>0</v>
      </c>
      <c r="AF975" s="6">
        <f ca="1">$M$975*$Z$975</f>
        <v>2509.4265000000005</v>
      </c>
      <c r="AG975" s="6">
        <f ca="1">$O$975*$AA$975</f>
        <v>1865.1045000000001</v>
      </c>
    </row>
    <row r="976" spans="1:33" ht="11.25" customHeight="1" x14ac:dyDescent="0.3">
      <c r="A976" s="4" t="s">
        <v>28</v>
      </c>
      <c r="B976" s="4" t="s">
        <v>37</v>
      </c>
      <c r="C976" s="4" t="s">
        <v>33</v>
      </c>
      <c r="D976" s="4" t="s">
        <v>38</v>
      </c>
      <c r="E976" s="4" t="s">
        <v>25</v>
      </c>
      <c r="F976" s="4" t="s">
        <v>25</v>
      </c>
      <c r="G976" s="4" t="s">
        <v>25</v>
      </c>
      <c r="H976" s="4" t="s">
        <v>35</v>
      </c>
      <c r="I976" s="5">
        <v>44593</v>
      </c>
      <c r="J976" s="6">
        <v>0</v>
      </c>
      <c r="K976" s="6">
        <v>0</v>
      </c>
      <c r="L976" s="6">
        <v>0.214</v>
      </c>
      <c r="M976" s="6">
        <v>0.214</v>
      </c>
      <c r="N976" s="6">
        <v>0.214</v>
      </c>
      <c r="O976" s="6">
        <v>0.214</v>
      </c>
      <c r="P976" s="6">
        <v>0</v>
      </c>
      <c r="Q976" s="4" t="s">
        <v>26</v>
      </c>
      <c r="R976" s="4">
        <v>0</v>
      </c>
      <c r="S976" s="6">
        <v>0</v>
      </c>
      <c r="T976" s="6">
        <v>69</v>
      </c>
      <c r="U976" s="6">
        <v>105</v>
      </c>
      <c r="V976" s="6">
        <f>IF(ISERROR(VLOOKUP($S$976,'TAR FIN'!$A$1:$O$113,15,0)),0,VLOOKUP($S$976,'TAR FIN'!$A$1:$O$113,15,0))</f>
        <v>0</v>
      </c>
      <c r="W976" s="6">
        <f>IF(ISERROR(VLOOKUP($T$976,'TAR FIN'!$A$1:$O$113,15,0)),0,VLOOKUP($T$976,'TAR FIN'!$A$1:$O$113,15,0))</f>
        <v>234.07</v>
      </c>
      <c r="X976" s="6">
        <f>IF(ISERROR(VLOOKUP($U$976,'TAR FIN'!$A$1:$O$113,15,0)),0,VLOOKUP($U$976,'TAR FIN'!$A$1:$O$113,15,0))</f>
        <v>278.67</v>
      </c>
      <c r="Y976" s="6"/>
      <c r="Z976" s="6">
        <f ca="1">('TUSD BE'!$AM$67+'TUSD BF_350'!$AM$67+'TUSD CVA'!$AM$67)*1</f>
        <v>311.73</v>
      </c>
      <c r="AA976" s="6">
        <f ca="1">('TE BE'!$AB$45+'TE BF_350'!$AB$45+'TE CVA'!$AB$45)*1</f>
        <v>231.69</v>
      </c>
      <c r="AB976" s="6">
        <f>$K$976*$V$976</f>
        <v>0</v>
      </c>
      <c r="AC976" s="6">
        <f>$M$976*$W$976</f>
        <v>50.090979999999995</v>
      </c>
      <c r="AD976" s="6">
        <f>$O$976*$X$976</f>
        <v>59.635380000000005</v>
      </c>
      <c r="AE976" s="6">
        <f>$K$976*$Y$976</f>
        <v>0</v>
      </c>
      <c r="AF976" s="6">
        <f ca="1">$M$976*$Z$976</f>
        <v>66.710220000000007</v>
      </c>
      <c r="AG976" s="6">
        <f ca="1">$O$976*$AA$976</f>
        <v>49.581659999999999</v>
      </c>
    </row>
    <row r="977" spans="1:33" ht="11.25" customHeight="1" x14ac:dyDescent="0.3">
      <c r="A977" s="4" t="s">
        <v>21</v>
      </c>
      <c r="B977" s="4" t="s">
        <v>37</v>
      </c>
      <c r="C977" s="4" t="s">
        <v>33</v>
      </c>
      <c r="D977" s="4" t="s">
        <v>38</v>
      </c>
      <c r="E977" s="4" t="s">
        <v>25</v>
      </c>
      <c r="F977" s="4" t="s">
        <v>25</v>
      </c>
      <c r="G977" s="4" t="s">
        <v>25</v>
      </c>
      <c r="H977" s="4" t="s">
        <v>35</v>
      </c>
      <c r="I977" s="5">
        <v>44621</v>
      </c>
      <c r="J977" s="6">
        <v>0</v>
      </c>
      <c r="K977" s="6">
        <v>0</v>
      </c>
      <c r="L977" s="6">
        <v>6.8</v>
      </c>
      <c r="M977" s="6">
        <v>6.8</v>
      </c>
      <c r="N977" s="6">
        <v>6.8</v>
      </c>
      <c r="O977" s="6">
        <v>6.8</v>
      </c>
      <c r="P977" s="6">
        <v>0</v>
      </c>
      <c r="Q977" s="4" t="s">
        <v>26</v>
      </c>
      <c r="R977" s="4">
        <v>0</v>
      </c>
      <c r="S977" s="6">
        <v>0</v>
      </c>
      <c r="T977" s="6">
        <v>69</v>
      </c>
      <c r="U977" s="6">
        <v>105</v>
      </c>
      <c r="V977" s="6">
        <f>IF(ISERROR(VLOOKUP($S$977,'TAR FIN'!$A$1:$O$113,15,0)),0,VLOOKUP($S$977,'TAR FIN'!$A$1:$O$113,15,0))</f>
        <v>0</v>
      </c>
      <c r="W977" s="6">
        <f>IF(ISERROR(VLOOKUP($T$977,'TAR FIN'!$A$1:$O$113,15,0)),0,VLOOKUP($T$977,'TAR FIN'!$A$1:$O$113,15,0))</f>
        <v>234.07</v>
      </c>
      <c r="X977" s="6">
        <f>IF(ISERROR(VLOOKUP($U$977,'TAR FIN'!$A$1:$O$113,15,0)),0,VLOOKUP($U$977,'TAR FIN'!$A$1:$O$113,15,0))</f>
        <v>278.67</v>
      </c>
      <c r="Y977" s="6"/>
      <c r="Z977" s="6">
        <f ca="1">('TUSD BE'!$AM$67+'TUSD BF_350'!$AM$67+'TUSD CVA'!$AM$67)*1</f>
        <v>311.73</v>
      </c>
      <c r="AA977" s="6">
        <f ca="1">('TE BE'!$AB$45+'TE BF_350'!$AB$45+'TE CVA'!$AB$45)*1</f>
        <v>231.69</v>
      </c>
      <c r="AB977" s="6">
        <f>$K$977*$V$977</f>
        <v>0</v>
      </c>
      <c r="AC977" s="6">
        <f>$M$977*$W$977</f>
        <v>1591.6759999999999</v>
      </c>
      <c r="AD977" s="6">
        <f>$O$977*$X$977</f>
        <v>1894.9560000000001</v>
      </c>
      <c r="AE977" s="6">
        <f>$K$977*$Y$977</f>
        <v>0</v>
      </c>
      <c r="AF977" s="6">
        <f ca="1">$M$977*$Z$977</f>
        <v>2119.7640000000001</v>
      </c>
      <c r="AG977" s="6">
        <f ca="1">$O$977*$AA$977</f>
        <v>1575.492</v>
      </c>
    </row>
    <row r="978" spans="1:33" ht="11.25" customHeight="1" x14ac:dyDescent="0.3">
      <c r="A978" s="4" t="s">
        <v>28</v>
      </c>
      <c r="B978" s="4" t="s">
        <v>37</v>
      </c>
      <c r="C978" s="4" t="s">
        <v>33</v>
      </c>
      <c r="D978" s="4" t="s">
        <v>38</v>
      </c>
      <c r="E978" s="4" t="s">
        <v>25</v>
      </c>
      <c r="F978" s="4" t="s">
        <v>25</v>
      </c>
      <c r="G978" s="4" t="s">
        <v>25</v>
      </c>
      <c r="H978" s="4" t="s">
        <v>35</v>
      </c>
      <c r="I978" s="5">
        <v>44621</v>
      </c>
      <c r="J978" s="6">
        <v>0</v>
      </c>
      <c r="K978" s="6">
        <v>0</v>
      </c>
      <c r="L978" s="6">
        <v>0.17899999999999999</v>
      </c>
      <c r="M978" s="6">
        <v>0.17899999999999999</v>
      </c>
      <c r="N978" s="6">
        <v>0.17899999999999999</v>
      </c>
      <c r="O978" s="6">
        <v>0.17899999999999999</v>
      </c>
      <c r="P978" s="6">
        <v>0</v>
      </c>
      <c r="Q978" s="4" t="s">
        <v>26</v>
      </c>
      <c r="R978" s="4">
        <v>0</v>
      </c>
      <c r="S978" s="6">
        <v>0</v>
      </c>
      <c r="T978" s="6">
        <v>69</v>
      </c>
      <c r="U978" s="6">
        <v>105</v>
      </c>
      <c r="V978" s="6">
        <f>IF(ISERROR(VLOOKUP($S$978,'TAR FIN'!$A$1:$O$113,15,0)),0,VLOOKUP($S$978,'TAR FIN'!$A$1:$O$113,15,0))</f>
        <v>0</v>
      </c>
      <c r="W978" s="6">
        <f>IF(ISERROR(VLOOKUP($T$978,'TAR FIN'!$A$1:$O$113,15,0)),0,VLOOKUP($T$978,'TAR FIN'!$A$1:$O$113,15,0))</f>
        <v>234.07</v>
      </c>
      <c r="X978" s="6">
        <f>IF(ISERROR(VLOOKUP($U$978,'TAR FIN'!$A$1:$O$113,15,0)),0,VLOOKUP($U$978,'TAR FIN'!$A$1:$O$113,15,0))</f>
        <v>278.67</v>
      </c>
      <c r="Y978" s="6"/>
      <c r="Z978" s="6">
        <f ca="1">('TUSD BE'!$AM$67+'TUSD BF_350'!$AM$67+'TUSD CVA'!$AM$67)*1</f>
        <v>311.73</v>
      </c>
      <c r="AA978" s="6">
        <f ca="1">('TE BE'!$AB$45+'TE BF_350'!$AB$45+'TE CVA'!$AB$45)*1</f>
        <v>231.69</v>
      </c>
      <c r="AB978" s="6">
        <f>$K$978*$V$978</f>
        <v>0</v>
      </c>
      <c r="AC978" s="6">
        <f>$M$978*$W$978</f>
        <v>41.898529999999994</v>
      </c>
      <c r="AD978" s="6">
        <f>$O$978*$X$978</f>
        <v>49.881930000000004</v>
      </c>
      <c r="AE978" s="6">
        <f>$K$978*$Y$978</f>
        <v>0</v>
      </c>
      <c r="AF978" s="6">
        <f ca="1">$M$978*$Z$978</f>
        <v>55.799669999999999</v>
      </c>
      <c r="AG978" s="6">
        <f ca="1">$O$978*$AA$978</f>
        <v>41.47251</v>
      </c>
    </row>
    <row r="979" spans="1:33" ht="11.25" customHeight="1" x14ac:dyDescent="0.3">
      <c r="A979" s="4" t="s">
        <v>28</v>
      </c>
      <c r="B979" s="4" t="s">
        <v>37</v>
      </c>
      <c r="C979" s="4" t="s">
        <v>33</v>
      </c>
      <c r="D979" s="4" t="s">
        <v>38</v>
      </c>
      <c r="E979" s="4" t="s">
        <v>25</v>
      </c>
      <c r="F979" s="4" t="s">
        <v>25</v>
      </c>
      <c r="G979" s="4" t="s">
        <v>25</v>
      </c>
      <c r="H979" s="4" t="s">
        <v>35</v>
      </c>
      <c r="I979" s="5">
        <v>44652</v>
      </c>
      <c r="J979" s="6">
        <v>0</v>
      </c>
      <c r="K979" s="6">
        <v>0</v>
      </c>
      <c r="L979" s="6">
        <v>0.16700000000000001</v>
      </c>
      <c r="M979" s="6">
        <v>0.16700000000000001</v>
      </c>
      <c r="N979" s="6">
        <v>0.16700000000000001</v>
      </c>
      <c r="O979" s="6">
        <v>0.16700000000000001</v>
      </c>
      <c r="P979" s="6">
        <v>0</v>
      </c>
      <c r="Q979" s="4" t="s">
        <v>26</v>
      </c>
      <c r="R979" s="4">
        <v>0</v>
      </c>
      <c r="S979" s="6">
        <v>0</v>
      </c>
      <c r="T979" s="6">
        <v>69</v>
      </c>
      <c r="U979" s="6">
        <v>105</v>
      </c>
      <c r="V979" s="6">
        <f>IF(ISERROR(VLOOKUP($S$979,'TAR FIN'!$A$1:$O$113,15,0)),0,VLOOKUP($S$979,'TAR FIN'!$A$1:$O$113,15,0))</f>
        <v>0</v>
      </c>
      <c r="W979" s="6">
        <f>IF(ISERROR(VLOOKUP($T$979,'TAR FIN'!$A$1:$O$113,15,0)),0,VLOOKUP($T$979,'TAR FIN'!$A$1:$O$113,15,0))</f>
        <v>234.07</v>
      </c>
      <c r="X979" s="6">
        <f>IF(ISERROR(VLOOKUP($U$979,'TAR FIN'!$A$1:$O$113,15,0)),0,VLOOKUP($U$979,'TAR FIN'!$A$1:$O$113,15,0))</f>
        <v>278.67</v>
      </c>
      <c r="Y979" s="6"/>
      <c r="Z979" s="6">
        <f ca="1">('TUSD BE'!$AM$67+'TUSD BF_350'!$AM$67+'TUSD CVA'!$AM$67)*1</f>
        <v>311.73</v>
      </c>
      <c r="AA979" s="6">
        <f ca="1">('TE BE'!$AB$45+'TE BF_350'!$AB$45+'TE CVA'!$AB$45)*1</f>
        <v>231.69</v>
      </c>
      <c r="AB979" s="6">
        <f>$K$979*$V$979</f>
        <v>0</v>
      </c>
      <c r="AC979" s="6">
        <f>$M$979*$W$979</f>
        <v>39.089690000000004</v>
      </c>
      <c r="AD979" s="6">
        <f>$O$979*$X$979</f>
        <v>46.537890000000004</v>
      </c>
      <c r="AE979" s="6">
        <f>$K$979*$Y$979</f>
        <v>0</v>
      </c>
      <c r="AF979" s="6">
        <f ca="1">$M$979*$Z$979</f>
        <v>52.058910000000004</v>
      </c>
      <c r="AG979" s="6">
        <f ca="1">$O$979*$AA$979</f>
        <v>38.692230000000002</v>
      </c>
    </row>
    <row r="980" spans="1:33" ht="11.25" customHeight="1" x14ac:dyDescent="0.3">
      <c r="A980" s="4" t="s">
        <v>28</v>
      </c>
      <c r="B980" s="4" t="s">
        <v>37</v>
      </c>
      <c r="C980" s="4" t="s">
        <v>33</v>
      </c>
      <c r="D980" s="4" t="s">
        <v>38</v>
      </c>
      <c r="E980" s="4" t="s">
        <v>25</v>
      </c>
      <c r="F980" s="4" t="s">
        <v>25</v>
      </c>
      <c r="G980" s="4" t="s">
        <v>25</v>
      </c>
      <c r="H980" s="4" t="s">
        <v>35</v>
      </c>
      <c r="I980" s="5">
        <v>44682</v>
      </c>
      <c r="J980" s="6">
        <v>0</v>
      </c>
      <c r="K980" s="6">
        <v>0</v>
      </c>
      <c r="L980" s="6">
        <v>0.156</v>
      </c>
      <c r="M980" s="6">
        <v>0.156</v>
      </c>
      <c r="N980" s="6">
        <v>0.156</v>
      </c>
      <c r="O980" s="6">
        <v>0.156</v>
      </c>
      <c r="P980" s="6">
        <v>0</v>
      </c>
      <c r="Q980" s="4" t="s">
        <v>26</v>
      </c>
      <c r="R980" s="4">
        <v>0</v>
      </c>
      <c r="S980" s="6">
        <v>0</v>
      </c>
      <c r="T980" s="6">
        <v>69</v>
      </c>
      <c r="U980" s="6">
        <v>105</v>
      </c>
      <c r="V980" s="6">
        <f>IF(ISERROR(VLOOKUP($S$980,'TAR FIN'!$A$1:$O$113,15,0)),0,VLOOKUP($S$980,'TAR FIN'!$A$1:$O$113,15,0))</f>
        <v>0</v>
      </c>
      <c r="W980" s="6">
        <f>IF(ISERROR(VLOOKUP($T$980,'TAR FIN'!$A$1:$O$113,15,0)),0,VLOOKUP($T$980,'TAR FIN'!$A$1:$O$113,15,0))</f>
        <v>234.07</v>
      </c>
      <c r="X980" s="6">
        <f>IF(ISERROR(VLOOKUP($U$980,'TAR FIN'!$A$1:$O$113,15,0)),0,VLOOKUP($U$980,'TAR FIN'!$A$1:$O$113,15,0))</f>
        <v>278.67</v>
      </c>
      <c r="Y980" s="6"/>
      <c r="Z980" s="6">
        <f ca="1">('TUSD BE'!$AM$67+'TUSD BF_350'!$AM$67+'TUSD CVA'!$AM$67)*1</f>
        <v>311.73</v>
      </c>
      <c r="AA980" s="6">
        <f ca="1">('TE BE'!$AB$45+'TE BF_350'!$AB$45+'TE CVA'!$AB$45)*1</f>
        <v>231.69</v>
      </c>
      <c r="AB980" s="6">
        <f>$K$980*$V$980</f>
        <v>0</v>
      </c>
      <c r="AC980" s="6">
        <f>$M$980*$W$980</f>
        <v>36.514919999999996</v>
      </c>
      <c r="AD980" s="6">
        <f>$O$980*$X$980</f>
        <v>43.472520000000003</v>
      </c>
      <c r="AE980" s="6">
        <f>$K$980*$Y$980</f>
        <v>0</v>
      </c>
      <c r="AF980" s="6">
        <f ca="1">$M$980*$Z$980</f>
        <v>48.62988</v>
      </c>
      <c r="AG980" s="6">
        <f ca="1">$O$980*$AA$980</f>
        <v>36.143639999999998</v>
      </c>
    </row>
    <row r="981" spans="1:33" ht="11.25" customHeight="1" x14ac:dyDescent="0.3">
      <c r="A981" s="4" t="s">
        <v>28</v>
      </c>
      <c r="B981" s="4" t="s">
        <v>37</v>
      </c>
      <c r="C981" s="4" t="s">
        <v>33</v>
      </c>
      <c r="D981" s="4" t="s">
        <v>38</v>
      </c>
      <c r="E981" s="4" t="s">
        <v>25</v>
      </c>
      <c r="F981" s="4" t="s">
        <v>25</v>
      </c>
      <c r="G981" s="4" t="s">
        <v>25</v>
      </c>
      <c r="H981" s="4" t="s">
        <v>35</v>
      </c>
      <c r="I981" s="5">
        <v>44713</v>
      </c>
      <c r="J981" s="6">
        <v>0</v>
      </c>
      <c r="K981" s="6">
        <v>0</v>
      </c>
      <c r="L981" s="6">
        <v>0.14399999999999999</v>
      </c>
      <c r="M981" s="6">
        <v>0.14399999999999999</v>
      </c>
      <c r="N981" s="6">
        <v>0.14399999999999999</v>
      </c>
      <c r="O981" s="6">
        <v>0.14399999999999999</v>
      </c>
      <c r="P981" s="6">
        <v>0</v>
      </c>
      <c r="Q981" s="4" t="s">
        <v>26</v>
      </c>
      <c r="R981" s="4">
        <v>0</v>
      </c>
      <c r="S981" s="6">
        <v>0</v>
      </c>
      <c r="T981" s="6">
        <v>69</v>
      </c>
      <c r="U981" s="6">
        <v>105</v>
      </c>
      <c r="V981" s="6">
        <f>IF(ISERROR(VLOOKUP($S$981,'TAR FIN'!$A$1:$O$113,15,0)),0,VLOOKUP($S$981,'TAR FIN'!$A$1:$O$113,15,0))</f>
        <v>0</v>
      </c>
      <c r="W981" s="6">
        <f>IF(ISERROR(VLOOKUP($T$981,'TAR FIN'!$A$1:$O$113,15,0)),0,VLOOKUP($T$981,'TAR FIN'!$A$1:$O$113,15,0))</f>
        <v>234.07</v>
      </c>
      <c r="X981" s="6">
        <f>IF(ISERROR(VLOOKUP($U$981,'TAR FIN'!$A$1:$O$113,15,0)),0,VLOOKUP($U$981,'TAR FIN'!$A$1:$O$113,15,0))</f>
        <v>278.67</v>
      </c>
      <c r="Y981" s="6"/>
      <c r="Z981" s="6">
        <f ca="1">('TUSD BE'!$AM$67+'TUSD BF_350'!$AM$67+'TUSD CVA'!$AM$67)*1</f>
        <v>311.73</v>
      </c>
      <c r="AA981" s="6">
        <f ca="1">('TE BE'!$AB$45+'TE BF_350'!$AB$45+'TE CVA'!$AB$45)*1</f>
        <v>231.69</v>
      </c>
      <c r="AB981" s="6">
        <f>$K$981*$V$981</f>
        <v>0</v>
      </c>
      <c r="AC981" s="6">
        <f>$M$981*$W$981</f>
        <v>33.706079999999993</v>
      </c>
      <c r="AD981" s="6">
        <f>$O$981*$X$981</f>
        <v>40.128479999999996</v>
      </c>
      <c r="AE981" s="6">
        <f>$K$981*$Y$981</f>
        <v>0</v>
      </c>
      <c r="AF981" s="6">
        <f ca="1">$M$981*$Z$981</f>
        <v>44.889119999999998</v>
      </c>
      <c r="AG981" s="6">
        <f ca="1">$O$981*$AA$981</f>
        <v>33.36336</v>
      </c>
    </row>
    <row r="982" spans="1:33" ht="11.25" customHeight="1" x14ac:dyDescent="0.3">
      <c r="A982" s="4" t="s">
        <v>28</v>
      </c>
      <c r="B982" s="4" t="s">
        <v>37</v>
      </c>
      <c r="C982" s="4" t="s">
        <v>33</v>
      </c>
      <c r="D982" s="4" t="s">
        <v>38</v>
      </c>
      <c r="E982" s="4" t="s">
        <v>25</v>
      </c>
      <c r="F982" s="4" t="s">
        <v>25</v>
      </c>
      <c r="G982" s="4" t="s">
        <v>25</v>
      </c>
      <c r="H982" s="4" t="s">
        <v>35</v>
      </c>
      <c r="I982" s="5">
        <v>44774</v>
      </c>
      <c r="J982" s="6">
        <v>0</v>
      </c>
      <c r="K982" s="6">
        <v>0</v>
      </c>
      <c r="L982" s="6">
        <v>0.23699999999999999</v>
      </c>
      <c r="M982" s="6">
        <v>0.23699999999999999</v>
      </c>
      <c r="N982" s="6">
        <v>0.23699999999999999</v>
      </c>
      <c r="O982" s="6">
        <v>0.23699999999999999</v>
      </c>
      <c r="P982" s="6">
        <v>0</v>
      </c>
      <c r="Q982" s="4" t="s">
        <v>26</v>
      </c>
      <c r="R982" s="4">
        <v>0</v>
      </c>
      <c r="S982" s="6">
        <v>0</v>
      </c>
      <c r="T982" s="6">
        <v>69</v>
      </c>
      <c r="U982" s="6">
        <v>105</v>
      </c>
      <c r="V982" s="6">
        <f>IF(ISERROR(VLOOKUP($S$982,'TAR FIN'!$A$1:$O$113,15,0)),0,VLOOKUP($S$982,'TAR FIN'!$A$1:$O$113,15,0))</f>
        <v>0</v>
      </c>
      <c r="W982" s="6">
        <f>IF(ISERROR(VLOOKUP($T$982,'TAR FIN'!$A$1:$O$113,15,0)),0,VLOOKUP($T$982,'TAR FIN'!$A$1:$O$113,15,0))</f>
        <v>234.07</v>
      </c>
      <c r="X982" s="6">
        <f>IF(ISERROR(VLOOKUP($U$982,'TAR FIN'!$A$1:$O$113,15,0)),0,VLOOKUP($U$982,'TAR FIN'!$A$1:$O$113,15,0))</f>
        <v>278.67</v>
      </c>
      <c r="Y982" s="6"/>
      <c r="Z982" s="6">
        <f ca="1">('TUSD BE'!$AM$67+'TUSD BF_350'!$AM$67+'TUSD CVA'!$AM$67)*1</f>
        <v>311.73</v>
      </c>
      <c r="AA982" s="6">
        <f ca="1">('TE BE'!$AB$45+'TE BF_350'!$AB$45+'TE CVA'!$AB$45)*1</f>
        <v>231.69</v>
      </c>
      <c r="AB982" s="6">
        <f>$K$982*$V$982</f>
        <v>0</v>
      </c>
      <c r="AC982" s="6">
        <f>$M$982*$W$982</f>
        <v>55.474589999999999</v>
      </c>
      <c r="AD982" s="6">
        <f>$O$982*$X$982</f>
        <v>66.044790000000006</v>
      </c>
      <c r="AE982" s="6">
        <f>$K$982*$Y$982</f>
        <v>0</v>
      </c>
      <c r="AF982" s="6">
        <f ca="1">$M$982*$Z$982</f>
        <v>73.880009999999999</v>
      </c>
      <c r="AG982" s="6">
        <f ca="1">$O$982*$AA$982</f>
        <v>54.910529999999994</v>
      </c>
    </row>
    <row r="983" spans="1:33" ht="11.25" customHeight="1" x14ac:dyDescent="0.3">
      <c r="A983" s="4" t="s">
        <v>28</v>
      </c>
      <c r="B983" s="4" t="s">
        <v>37</v>
      </c>
      <c r="C983" s="4" t="s">
        <v>33</v>
      </c>
      <c r="D983" s="4" t="s">
        <v>38</v>
      </c>
      <c r="E983" s="4" t="s">
        <v>25</v>
      </c>
      <c r="F983" s="4" t="s">
        <v>25</v>
      </c>
      <c r="G983" s="4" t="s">
        <v>25</v>
      </c>
      <c r="H983" s="4" t="s">
        <v>35</v>
      </c>
      <c r="I983" s="5">
        <v>44805</v>
      </c>
      <c r="J983" s="6">
        <v>0</v>
      </c>
      <c r="K983" s="6">
        <v>0</v>
      </c>
      <c r="L983" s="6">
        <v>0.318</v>
      </c>
      <c r="M983" s="6">
        <v>0.318</v>
      </c>
      <c r="N983" s="6">
        <v>0.318</v>
      </c>
      <c r="O983" s="6">
        <v>0.318</v>
      </c>
      <c r="P983" s="6">
        <v>0</v>
      </c>
      <c r="Q983" s="4" t="s">
        <v>26</v>
      </c>
      <c r="R983" s="4">
        <v>0</v>
      </c>
      <c r="S983" s="6">
        <v>0</v>
      </c>
      <c r="T983" s="6">
        <v>69</v>
      </c>
      <c r="U983" s="6">
        <v>105</v>
      </c>
      <c r="V983" s="6">
        <f>IF(ISERROR(VLOOKUP($S$983,'TAR FIN'!$A$1:$O$113,15,0)),0,VLOOKUP($S$983,'TAR FIN'!$A$1:$O$113,15,0))</f>
        <v>0</v>
      </c>
      <c r="W983" s="6">
        <f>IF(ISERROR(VLOOKUP($T$983,'TAR FIN'!$A$1:$O$113,15,0)),0,VLOOKUP($T$983,'TAR FIN'!$A$1:$O$113,15,0))</f>
        <v>234.07</v>
      </c>
      <c r="X983" s="6">
        <f>IF(ISERROR(VLOOKUP($U$983,'TAR FIN'!$A$1:$O$113,15,0)),0,VLOOKUP($U$983,'TAR FIN'!$A$1:$O$113,15,0))</f>
        <v>278.67</v>
      </c>
      <c r="Y983" s="6"/>
      <c r="Z983" s="6">
        <f ca="1">('TUSD BE'!$AM$67+'TUSD BF_350'!$AM$67+'TUSD CVA'!$AM$67)*1</f>
        <v>311.73</v>
      </c>
      <c r="AA983" s="6">
        <f ca="1">('TE BE'!$AB$45+'TE BF_350'!$AB$45+'TE CVA'!$AB$45)*1</f>
        <v>231.69</v>
      </c>
      <c r="AB983" s="6">
        <f>$K$983*$V$983</f>
        <v>0</v>
      </c>
      <c r="AC983" s="6">
        <f>$M$983*$W$983</f>
        <v>74.434259999999995</v>
      </c>
      <c r="AD983" s="6">
        <f>$O$983*$X$983</f>
        <v>88.617060000000009</v>
      </c>
      <c r="AE983" s="6">
        <f>$K$983*$Y$983</f>
        <v>0</v>
      </c>
      <c r="AF983" s="6">
        <f ca="1">$M$983*$Z$983</f>
        <v>99.130140000000011</v>
      </c>
      <c r="AG983" s="6">
        <f ca="1">$O$983*$AA$983</f>
        <v>73.677419999999998</v>
      </c>
    </row>
    <row r="984" spans="1:33" ht="11.25" customHeight="1" x14ac:dyDescent="0.3">
      <c r="A984" s="4" t="s">
        <v>53</v>
      </c>
      <c r="B984" s="4" t="s">
        <v>37</v>
      </c>
      <c r="C984" s="4" t="s">
        <v>33</v>
      </c>
      <c r="D984" s="4" t="s">
        <v>38</v>
      </c>
      <c r="E984" s="4" t="s">
        <v>25</v>
      </c>
      <c r="F984" s="4" t="s">
        <v>25</v>
      </c>
      <c r="G984" s="4" t="s">
        <v>25</v>
      </c>
      <c r="H984" s="4" t="s">
        <v>35</v>
      </c>
      <c r="I984" s="5">
        <v>44835</v>
      </c>
      <c r="J984" s="6">
        <v>0</v>
      </c>
      <c r="K984" s="6">
        <v>0</v>
      </c>
      <c r="L984" s="6">
        <v>0.318</v>
      </c>
      <c r="M984" s="6">
        <v>0.318</v>
      </c>
      <c r="N984" s="6">
        <v>0.318</v>
      </c>
      <c r="O984" s="6">
        <v>0.318</v>
      </c>
      <c r="P984" s="6">
        <v>0</v>
      </c>
      <c r="Q984" s="4" t="s">
        <v>26</v>
      </c>
      <c r="R984" s="4">
        <v>0</v>
      </c>
      <c r="S984" s="6">
        <v>0</v>
      </c>
      <c r="T984" s="6">
        <v>69</v>
      </c>
      <c r="U984" s="6">
        <v>105</v>
      </c>
      <c r="V984" s="6">
        <f>IF(ISERROR(VLOOKUP($S$984,'TAR FIN'!$A$1:$O$113,15,0)),0,VLOOKUP($S$984,'TAR FIN'!$A$1:$O$113,15,0))</f>
        <v>0</v>
      </c>
      <c r="W984" s="6">
        <f>IF(ISERROR(VLOOKUP($T$984,'TAR FIN'!$A$1:$O$113,15,0)),0,VLOOKUP($T$984,'TAR FIN'!$A$1:$O$113,15,0))</f>
        <v>234.07</v>
      </c>
      <c r="X984" s="6">
        <f>IF(ISERROR(VLOOKUP($U$984,'TAR FIN'!$A$1:$O$113,15,0)),0,VLOOKUP($U$984,'TAR FIN'!$A$1:$O$113,15,0))</f>
        <v>278.67</v>
      </c>
      <c r="Y984" s="6"/>
      <c r="Z984" s="6">
        <f ca="1">('TUSD BE'!$AM$67+'TUSD BF_350'!$AM$67+'TUSD CVA'!$AM$67)*1</f>
        <v>311.73</v>
      </c>
      <c r="AA984" s="6">
        <f ca="1">('TE BE'!$AB$45+'TE BF_350'!$AB$45+'TE CVA'!$AB$45)*1</f>
        <v>231.69</v>
      </c>
      <c r="AB984" s="6">
        <f>$K$984*$V$984</f>
        <v>0</v>
      </c>
      <c r="AC984" s="6">
        <f>$M$984*$W$984</f>
        <v>74.434259999999995</v>
      </c>
      <c r="AD984" s="6">
        <f>$O$984*$X$984</f>
        <v>88.617060000000009</v>
      </c>
      <c r="AE984" s="6">
        <f>$K$984*$Y$984</f>
        <v>0</v>
      </c>
      <c r="AF984" s="6">
        <f ca="1">$M$984*$Z$984</f>
        <v>99.130140000000011</v>
      </c>
      <c r="AG984" s="6">
        <f ca="1">$O$984*$AA$984</f>
        <v>73.677419999999998</v>
      </c>
    </row>
    <row r="985" spans="1:33" ht="11.25" customHeight="1" x14ac:dyDescent="0.3">
      <c r="A985" s="4" t="s">
        <v>21</v>
      </c>
      <c r="B985" s="4" t="s">
        <v>37</v>
      </c>
      <c r="C985" s="4" t="s">
        <v>33</v>
      </c>
      <c r="D985" s="4" t="s">
        <v>38</v>
      </c>
      <c r="E985" s="4" t="s">
        <v>25</v>
      </c>
      <c r="F985" s="4" t="s">
        <v>25</v>
      </c>
      <c r="G985" s="4" t="s">
        <v>25</v>
      </c>
      <c r="H985" s="4" t="s">
        <v>36</v>
      </c>
      <c r="I985" s="5">
        <v>44501</v>
      </c>
      <c r="J985" s="6">
        <v>0</v>
      </c>
      <c r="K985" s="6">
        <v>0</v>
      </c>
      <c r="L985" s="6">
        <v>0.4</v>
      </c>
      <c r="M985" s="6">
        <v>0.4</v>
      </c>
      <c r="N985" s="6">
        <v>0.4</v>
      </c>
      <c r="O985" s="6">
        <v>0.4</v>
      </c>
      <c r="P985" s="6">
        <v>0</v>
      </c>
      <c r="Q985" s="4" t="s">
        <v>26</v>
      </c>
      <c r="R985" s="4">
        <v>0</v>
      </c>
      <c r="S985" s="6">
        <v>0</v>
      </c>
      <c r="T985" s="6">
        <v>82</v>
      </c>
      <c r="U985" s="6">
        <v>110</v>
      </c>
      <c r="V985" s="6">
        <f>IF(ISERROR(VLOOKUP($S$985,'TAR FIN'!$A$1:$O$113,15,0)),0,VLOOKUP($S$985,'TAR FIN'!$A$1:$O$113,15,0))</f>
        <v>0</v>
      </c>
      <c r="W985" s="6">
        <f>IF(ISERROR(VLOOKUP($T$985,'TAR FIN'!$A$1:$O$113,15,0)),0,VLOOKUP($T$985,'TAR FIN'!$A$1:$O$113,15,0))</f>
        <v>491.18</v>
      </c>
      <c r="X985" s="6">
        <f>IF(ISERROR(VLOOKUP($U$985,'TAR FIN'!$A$1:$O$113,15,0)),0,VLOOKUP($U$985,'TAR FIN'!$A$1:$O$113,15,0))</f>
        <v>278.67</v>
      </c>
      <c r="Y985" s="6"/>
      <c r="Z985" s="6">
        <f ca="1">('TUSD BE'!$AM$66+'TUSD BF_350'!$AM$66+'TUSD CVA'!$AM$66)*1</f>
        <v>616.41999999999996</v>
      </c>
      <c r="AA985" s="6">
        <f ca="1">('TE BE'!$AB$44+'TE BF_350'!$AB$44+'TE CVA'!$AB$44)*1</f>
        <v>231.69</v>
      </c>
      <c r="AB985" s="6">
        <f>$K$985*$V$985</f>
        <v>0</v>
      </c>
      <c r="AC985" s="6">
        <f>$M$985*$W$985</f>
        <v>196.47200000000001</v>
      </c>
      <c r="AD985" s="6">
        <f>$O$985*$X$985</f>
        <v>111.46800000000002</v>
      </c>
      <c r="AE985" s="6">
        <f>$K$985*$Y$985</f>
        <v>0</v>
      </c>
      <c r="AF985" s="6">
        <f ca="1">$M$985*$Z$985</f>
        <v>246.56799999999998</v>
      </c>
      <c r="AG985" s="6">
        <f ca="1">$O$985*$AA$985</f>
        <v>92.676000000000002</v>
      </c>
    </row>
    <row r="986" spans="1:33" ht="11.25" customHeight="1" x14ac:dyDescent="0.3">
      <c r="A986" s="4" t="s">
        <v>28</v>
      </c>
      <c r="B986" s="4" t="s">
        <v>37</v>
      </c>
      <c r="C986" s="4" t="s">
        <v>33</v>
      </c>
      <c r="D986" s="4" t="s">
        <v>38</v>
      </c>
      <c r="E986" s="4" t="s">
        <v>25</v>
      </c>
      <c r="F986" s="4" t="s">
        <v>25</v>
      </c>
      <c r="G986" s="4" t="s">
        <v>25</v>
      </c>
      <c r="H986" s="4" t="s">
        <v>36</v>
      </c>
      <c r="I986" s="5">
        <v>44501</v>
      </c>
      <c r="J986" s="6">
        <v>0</v>
      </c>
      <c r="K986" s="6">
        <v>0</v>
      </c>
      <c r="L986" s="6">
        <v>4.2999999999999997E-2</v>
      </c>
      <c r="M986" s="6">
        <v>4.2999999999999997E-2</v>
      </c>
      <c r="N986" s="6">
        <v>4.2999999999999997E-2</v>
      </c>
      <c r="O986" s="6">
        <v>4.2999999999999997E-2</v>
      </c>
      <c r="P986" s="6">
        <v>0</v>
      </c>
      <c r="Q986" s="4" t="s">
        <v>26</v>
      </c>
      <c r="R986" s="4">
        <v>0</v>
      </c>
      <c r="S986" s="6">
        <v>0</v>
      </c>
      <c r="T986" s="6">
        <v>82</v>
      </c>
      <c r="U986" s="6">
        <v>110</v>
      </c>
      <c r="V986" s="6">
        <f>IF(ISERROR(VLOOKUP($S$986,'TAR FIN'!$A$1:$O$113,15,0)),0,VLOOKUP($S$986,'TAR FIN'!$A$1:$O$113,15,0))</f>
        <v>0</v>
      </c>
      <c r="W986" s="6">
        <f>IF(ISERROR(VLOOKUP($T$986,'TAR FIN'!$A$1:$O$113,15,0)),0,VLOOKUP($T$986,'TAR FIN'!$A$1:$O$113,15,0))</f>
        <v>491.18</v>
      </c>
      <c r="X986" s="6">
        <f>IF(ISERROR(VLOOKUP($U$986,'TAR FIN'!$A$1:$O$113,15,0)),0,VLOOKUP($U$986,'TAR FIN'!$A$1:$O$113,15,0))</f>
        <v>278.67</v>
      </c>
      <c r="Y986" s="6"/>
      <c r="Z986" s="6">
        <f ca="1">('TUSD BE'!$AM$66+'TUSD BF_350'!$AM$66+'TUSD CVA'!$AM$66)*1</f>
        <v>616.41999999999996</v>
      </c>
      <c r="AA986" s="6">
        <f ca="1">('TE BE'!$AB$44+'TE BF_350'!$AB$44+'TE CVA'!$AB$44)*1</f>
        <v>231.69</v>
      </c>
      <c r="AB986" s="6">
        <f>$K$986*$V$986</f>
        <v>0</v>
      </c>
      <c r="AC986" s="6">
        <f>$M$986*$W$986</f>
        <v>21.120739999999998</v>
      </c>
      <c r="AD986" s="6">
        <f>$O$986*$X$986</f>
        <v>11.982809999999999</v>
      </c>
      <c r="AE986" s="6">
        <f>$K$986*$Y$986</f>
        <v>0</v>
      </c>
      <c r="AF986" s="6">
        <f ca="1">$M$986*$Z$986</f>
        <v>26.506059999999994</v>
      </c>
      <c r="AG986" s="6">
        <f ca="1">$O$986*$AA$986</f>
        <v>9.9626699999999992</v>
      </c>
    </row>
    <row r="987" spans="1:33" ht="11.25" customHeight="1" x14ac:dyDescent="0.3">
      <c r="A987" s="4" t="s">
        <v>21</v>
      </c>
      <c r="B987" s="4" t="s">
        <v>37</v>
      </c>
      <c r="C987" s="4" t="s">
        <v>33</v>
      </c>
      <c r="D987" s="4" t="s">
        <v>38</v>
      </c>
      <c r="E987" s="4" t="s">
        <v>25</v>
      </c>
      <c r="F987" s="4" t="s">
        <v>25</v>
      </c>
      <c r="G987" s="4" t="s">
        <v>25</v>
      </c>
      <c r="H987" s="4" t="s">
        <v>36</v>
      </c>
      <c r="I987" s="5">
        <v>44531</v>
      </c>
      <c r="J987" s="6">
        <v>0</v>
      </c>
      <c r="K987" s="6">
        <v>0</v>
      </c>
      <c r="L987" s="6">
        <v>0.5</v>
      </c>
      <c r="M987" s="6">
        <v>0.5</v>
      </c>
      <c r="N987" s="6">
        <v>0.5</v>
      </c>
      <c r="O987" s="6">
        <v>0.5</v>
      </c>
      <c r="P987" s="6">
        <v>0</v>
      </c>
      <c r="Q987" s="4" t="s">
        <v>26</v>
      </c>
      <c r="R987" s="4">
        <v>0</v>
      </c>
      <c r="S987" s="6">
        <v>0</v>
      </c>
      <c r="T987" s="6">
        <v>82</v>
      </c>
      <c r="U987" s="6">
        <v>110</v>
      </c>
      <c r="V987" s="6">
        <f>IF(ISERROR(VLOOKUP($S$987,'TAR FIN'!$A$1:$O$113,15,0)),0,VLOOKUP($S$987,'TAR FIN'!$A$1:$O$113,15,0))</f>
        <v>0</v>
      </c>
      <c r="W987" s="6">
        <f>IF(ISERROR(VLOOKUP($T$987,'TAR FIN'!$A$1:$O$113,15,0)),0,VLOOKUP($T$987,'TAR FIN'!$A$1:$O$113,15,0))</f>
        <v>491.18</v>
      </c>
      <c r="X987" s="6">
        <f>IF(ISERROR(VLOOKUP($U$987,'TAR FIN'!$A$1:$O$113,15,0)),0,VLOOKUP($U$987,'TAR FIN'!$A$1:$O$113,15,0))</f>
        <v>278.67</v>
      </c>
      <c r="Y987" s="6"/>
      <c r="Z987" s="6">
        <f ca="1">('TUSD BE'!$AM$66+'TUSD BF_350'!$AM$66+'TUSD CVA'!$AM$66)*1</f>
        <v>616.41999999999996</v>
      </c>
      <c r="AA987" s="6">
        <f ca="1">('TE BE'!$AB$44+'TE BF_350'!$AB$44+'TE CVA'!$AB$44)*1</f>
        <v>231.69</v>
      </c>
      <c r="AB987" s="6">
        <f>$K$987*$V$987</f>
        <v>0</v>
      </c>
      <c r="AC987" s="6">
        <f>$M$987*$W$987</f>
        <v>245.59</v>
      </c>
      <c r="AD987" s="6">
        <f>$O$987*$X$987</f>
        <v>139.33500000000001</v>
      </c>
      <c r="AE987" s="6">
        <f>$K$987*$Y$987</f>
        <v>0</v>
      </c>
      <c r="AF987" s="6">
        <f ca="1">$M$987*$Z$987</f>
        <v>308.20999999999998</v>
      </c>
      <c r="AG987" s="6">
        <f ca="1">$O$987*$AA$987</f>
        <v>115.845</v>
      </c>
    </row>
    <row r="988" spans="1:33" ht="11.25" customHeight="1" x14ac:dyDescent="0.3">
      <c r="A988" s="4" t="s">
        <v>28</v>
      </c>
      <c r="B988" s="4" t="s">
        <v>37</v>
      </c>
      <c r="C988" s="4" t="s">
        <v>33</v>
      </c>
      <c r="D988" s="4" t="s">
        <v>38</v>
      </c>
      <c r="E988" s="4" t="s">
        <v>25</v>
      </c>
      <c r="F988" s="4" t="s">
        <v>25</v>
      </c>
      <c r="G988" s="4" t="s">
        <v>25</v>
      </c>
      <c r="H988" s="4" t="s">
        <v>36</v>
      </c>
      <c r="I988" s="5">
        <v>44531</v>
      </c>
      <c r="J988" s="6">
        <v>0</v>
      </c>
      <c r="K988" s="6">
        <v>0</v>
      </c>
      <c r="L988" s="6">
        <v>4.9000000000000002E-2</v>
      </c>
      <c r="M988" s="6">
        <v>4.9000000000000002E-2</v>
      </c>
      <c r="N988" s="6">
        <v>4.9000000000000002E-2</v>
      </c>
      <c r="O988" s="6">
        <v>4.9000000000000002E-2</v>
      </c>
      <c r="P988" s="6">
        <v>0</v>
      </c>
      <c r="Q988" s="4" t="s">
        <v>26</v>
      </c>
      <c r="R988" s="4">
        <v>0</v>
      </c>
      <c r="S988" s="6">
        <v>0</v>
      </c>
      <c r="T988" s="6">
        <v>82</v>
      </c>
      <c r="U988" s="6">
        <v>110</v>
      </c>
      <c r="V988" s="6">
        <f>IF(ISERROR(VLOOKUP($S$988,'TAR FIN'!$A$1:$O$113,15,0)),0,VLOOKUP($S$988,'TAR FIN'!$A$1:$O$113,15,0))</f>
        <v>0</v>
      </c>
      <c r="W988" s="6">
        <f>IF(ISERROR(VLOOKUP($T$988,'TAR FIN'!$A$1:$O$113,15,0)),0,VLOOKUP($T$988,'TAR FIN'!$A$1:$O$113,15,0))</f>
        <v>491.18</v>
      </c>
      <c r="X988" s="6">
        <f>IF(ISERROR(VLOOKUP($U$988,'TAR FIN'!$A$1:$O$113,15,0)),0,VLOOKUP($U$988,'TAR FIN'!$A$1:$O$113,15,0))</f>
        <v>278.67</v>
      </c>
      <c r="Y988" s="6"/>
      <c r="Z988" s="6">
        <f ca="1">('TUSD BE'!$AM$66+'TUSD BF_350'!$AM$66+'TUSD CVA'!$AM$66)*1</f>
        <v>616.41999999999996</v>
      </c>
      <c r="AA988" s="6">
        <f ca="1">('TE BE'!$AB$44+'TE BF_350'!$AB$44+'TE CVA'!$AB$44)*1</f>
        <v>231.69</v>
      </c>
      <c r="AB988" s="6">
        <f>$K$988*$V$988</f>
        <v>0</v>
      </c>
      <c r="AC988" s="6">
        <f>$M$988*$W$988</f>
        <v>24.067820000000001</v>
      </c>
      <c r="AD988" s="6">
        <f>$O$988*$X$988</f>
        <v>13.65483</v>
      </c>
      <c r="AE988" s="6">
        <f>$K$988*$Y$988</f>
        <v>0</v>
      </c>
      <c r="AF988" s="6">
        <f ca="1">$M$988*$Z$988</f>
        <v>30.20458</v>
      </c>
      <c r="AG988" s="6">
        <f ca="1">$O$988*$AA$988</f>
        <v>11.35281</v>
      </c>
    </row>
    <row r="989" spans="1:33" ht="11.25" customHeight="1" x14ac:dyDescent="0.3">
      <c r="A989" s="4" t="s">
        <v>21</v>
      </c>
      <c r="B989" s="4" t="s">
        <v>37</v>
      </c>
      <c r="C989" s="4" t="s">
        <v>33</v>
      </c>
      <c r="D989" s="4" t="s">
        <v>38</v>
      </c>
      <c r="E989" s="4" t="s">
        <v>25</v>
      </c>
      <c r="F989" s="4" t="s">
        <v>25</v>
      </c>
      <c r="G989" s="4" t="s">
        <v>25</v>
      </c>
      <c r="H989" s="4" t="s">
        <v>36</v>
      </c>
      <c r="I989" s="5">
        <v>44562</v>
      </c>
      <c r="J989" s="6">
        <v>0</v>
      </c>
      <c r="K989" s="6">
        <v>0</v>
      </c>
      <c r="L989" s="6">
        <v>0.4</v>
      </c>
      <c r="M989" s="6">
        <v>0.4</v>
      </c>
      <c r="N989" s="6">
        <v>0.4</v>
      </c>
      <c r="O989" s="6">
        <v>0.4</v>
      </c>
      <c r="P989" s="6">
        <v>0</v>
      </c>
      <c r="Q989" s="4" t="s">
        <v>26</v>
      </c>
      <c r="R989" s="4">
        <v>0</v>
      </c>
      <c r="S989" s="6">
        <v>0</v>
      </c>
      <c r="T989" s="6">
        <v>82</v>
      </c>
      <c r="U989" s="6">
        <v>110</v>
      </c>
      <c r="V989" s="6">
        <f>IF(ISERROR(VLOOKUP($S$989,'TAR FIN'!$A$1:$O$113,15,0)),0,VLOOKUP($S$989,'TAR FIN'!$A$1:$O$113,15,0))</f>
        <v>0</v>
      </c>
      <c r="W989" s="6">
        <f>IF(ISERROR(VLOOKUP($T$989,'TAR FIN'!$A$1:$O$113,15,0)),0,VLOOKUP($T$989,'TAR FIN'!$A$1:$O$113,15,0))</f>
        <v>491.18</v>
      </c>
      <c r="X989" s="6">
        <f>IF(ISERROR(VLOOKUP($U$989,'TAR FIN'!$A$1:$O$113,15,0)),0,VLOOKUP($U$989,'TAR FIN'!$A$1:$O$113,15,0))</f>
        <v>278.67</v>
      </c>
      <c r="Y989" s="6"/>
      <c r="Z989" s="6">
        <f ca="1">('TUSD BE'!$AM$66+'TUSD BF_350'!$AM$66+'TUSD CVA'!$AM$66)*1</f>
        <v>616.41999999999996</v>
      </c>
      <c r="AA989" s="6">
        <f ca="1">('TE BE'!$AB$44+'TE BF_350'!$AB$44+'TE CVA'!$AB$44)*1</f>
        <v>231.69</v>
      </c>
      <c r="AB989" s="6">
        <f>$K$989*$V$989</f>
        <v>0</v>
      </c>
      <c r="AC989" s="6">
        <f>$M$989*$W$989</f>
        <v>196.47200000000001</v>
      </c>
      <c r="AD989" s="6">
        <f>$O$989*$X$989</f>
        <v>111.46800000000002</v>
      </c>
      <c r="AE989" s="6">
        <f>$K$989*$Y$989</f>
        <v>0</v>
      </c>
      <c r="AF989" s="6">
        <f ca="1">$M$989*$Z$989</f>
        <v>246.56799999999998</v>
      </c>
      <c r="AG989" s="6">
        <f ca="1">$O$989*$AA$989</f>
        <v>92.676000000000002</v>
      </c>
    </row>
    <row r="990" spans="1:33" ht="11.25" customHeight="1" x14ac:dyDescent="0.3">
      <c r="A990" s="4" t="s">
        <v>28</v>
      </c>
      <c r="B990" s="4" t="s">
        <v>37</v>
      </c>
      <c r="C990" s="4" t="s">
        <v>33</v>
      </c>
      <c r="D990" s="4" t="s">
        <v>38</v>
      </c>
      <c r="E990" s="4" t="s">
        <v>25</v>
      </c>
      <c r="F990" s="4" t="s">
        <v>25</v>
      </c>
      <c r="G990" s="4" t="s">
        <v>25</v>
      </c>
      <c r="H990" s="4" t="s">
        <v>36</v>
      </c>
      <c r="I990" s="5">
        <v>44562</v>
      </c>
      <c r="J990" s="6">
        <v>0</v>
      </c>
      <c r="K990" s="6">
        <v>0</v>
      </c>
      <c r="L990" s="6">
        <v>5.3999999999999999E-2</v>
      </c>
      <c r="M990" s="6">
        <v>5.3999999999999999E-2</v>
      </c>
      <c r="N990" s="6">
        <v>5.3999999999999999E-2</v>
      </c>
      <c r="O990" s="6">
        <v>5.3999999999999999E-2</v>
      </c>
      <c r="P990" s="6">
        <v>0</v>
      </c>
      <c r="Q990" s="4" t="s">
        <v>26</v>
      </c>
      <c r="R990" s="4">
        <v>0</v>
      </c>
      <c r="S990" s="6">
        <v>0</v>
      </c>
      <c r="T990" s="6">
        <v>82</v>
      </c>
      <c r="U990" s="6">
        <v>110</v>
      </c>
      <c r="V990" s="6">
        <f>IF(ISERROR(VLOOKUP($S$990,'TAR FIN'!$A$1:$O$113,15,0)),0,VLOOKUP($S$990,'TAR FIN'!$A$1:$O$113,15,0))</f>
        <v>0</v>
      </c>
      <c r="W990" s="6">
        <f>IF(ISERROR(VLOOKUP($T$990,'TAR FIN'!$A$1:$O$113,15,0)),0,VLOOKUP($T$990,'TAR FIN'!$A$1:$O$113,15,0))</f>
        <v>491.18</v>
      </c>
      <c r="X990" s="6">
        <f>IF(ISERROR(VLOOKUP($U$990,'TAR FIN'!$A$1:$O$113,15,0)),0,VLOOKUP($U$990,'TAR FIN'!$A$1:$O$113,15,0))</f>
        <v>278.67</v>
      </c>
      <c r="Y990" s="6"/>
      <c r="Z990" s="6">
        <f ca="1">('TUSD BE'!$AM$66+'TUSD BF_350'!$AM$66+'TUSD CVA'!$AM$66)*1</f>
        <v>616.41999999999996</v>
      </c>
      <c r="AA990" s="6">
        <f ca="1">('TE BE'!$AB$44+'TE BF_350'!$AB$44+'TE CVA'!$AB$44)*1</f>
        <v>231.69</v>
      </c>
      <c r="AB990" s="6">
        <f>$K$990*$V$990</f>
        <v>0</v>
      </c>
      <c r="AC990" s="6">
        <f>$M$990*$W$990</f>
        <v>26.523720000000001</v>
      </c>
      <c r="AD990" s="6">
        <f>$O$990*$X$990</f>
        <v>15.04818</v>
      </c>
      <c r="AE990" s="6">
        <f>$K$990*$Y$990</f>
        <v>0</v>
      </c>
      <c r="AF990" s="6">
        <f ca="1">$M$990*$Z$990</f>
        <v>33.286679999999997</v>
      </c>
      <c r="AG990" s="6">
        <f ca="1">$O$990*$AA$990</f>
        <v>12.51126</v>
      </c>
    </row>
    <row r="991" spans="1:33" ht="11.25" customHeight="1" x14ac:dyDescent="0.3">
      <c r="A991" s="4" t="s">
        <v>21</v>
      </c>
      <c r="B991" s="4" t="s">
        <v>37</v>
      </c>
      <c r="C991" s="4" t="s">
        <v>33</v>
      </c>
      <c r="D991" s="4" t="s">
        <v>38</v>
      </c>
      <c r="E991" s="4" t="s">
        <v>25</v>
      </c>
      <c r="F991" s="4" t="s">
        <v>25</v>
      </c>
      <c r="G991" s="4" t="s">
        <v>25</v>
      </c>
      <c r="H991" s="4" t="s">
        <v>36</v>
      </c>
      <c r="I991" s="5">
        <v>44593</v>
      </c>
      <c r="J991" s="6">
        <v>0</v>
      </c>
      <c r="K991" s="6">
        <v>0</v>
      </c>
      <c r="L991" s="6">
        <v>0.45</v>
      </c>
      <c r="M991" s="6">
        <v>0.45</v>
      </c>
      <c r="N991" s="6">
        <v>0.45</v>
      </c>
      <c r="O991" s="6">
        <v>0.45</v>
      </c>
      <c r="P991" s="6">
        <v>0</v>
      </c>
      <c r="Q991" s="4" t="s">
        <v>26</v>
      </c>
      <c r="R991" s="4">
        <v>0</v>
      </c>
      <c r="S991" s="6">
        <v>0</v>
      </c>
      <c r="T991" s="6">
        <v>82</v>
      </c>
      <c r="U991" s="6">
        <v>110</v>
      </c>
      <c r="V991" s="6">
        <f>IF(ISERROR(VLOOKUP($S$991,'TAR FIN'!$A$1:$O$113,15,0)),0,VLOOKUP($S$991,'TAR FIN'!$A$1:$O$113,15,0))</f>
        <v>0</v>
      </c>
      <c r="W991" s="6">
        <f>IF(ISERROR(VLOOKUP($T$991,'TAR FIN'!$A$1:$O$113,15,0)),0,VLOOKUP($T$991,'TAR FIN'!$A$1:$O$113,15,0))</f>
        <v>491.18</v>
      </c>
      <c r="X991" s="6">
        <f>IF(ISERROR(VLOOKUP($U$991,'TAR FIN'!$A$1:$O$113,15,0)),0,VLOOKUP($U$991,'TAR FIN'!$A$1:$O$113,15,0))</f>
        <v>278.67</v>
      </c>
      <c r="Y991" s="6"/>
      <c r="Z991" s="6">
        <f ca="1">('TUSD BE'!$AM$66+'TUSD BF_350'!$AM$66+'TUSD CVA'!$AM$66)*1</f>
        <v>616.41999999999996</v>
      </c>
      <c r="AA991" s="6">
        <f ca="1">('TE BE'!$AB$44+'TE BF_350'!$AB$44+'TE CVA'!$AB$44)*1</f>
        <v>231.69</v>
      </c>
      <c r="AB991" s="6">
        <f>$K$991*$V$991</f>
        <v>0</v>
      </c>
      <c r="AC991" s="6">
        <f>$M$991*$W$991</f>
        <v>221.03100000000001</v>
      </c>
      <c r="AD991" s="6">
        <f>$O$991*$X$991</f>
        <v>125.40150000000001</v>
      </c>
      <c r="AE991" s="6">
        <f>$K$991*$Y$991</f>
        <v>0</v>
      </c>
      <c r="AF991" s="6">
        <f ca="1">$M$991*$Z$991</f>
        <v>277.38900000000001</v>
      </c>
      <c r="AG991" s="6">
        <f ca="1">$O$991*$AA$991</f>
        <v>104.26050000000001</v>
      </c>
    </row>
    <row r="992" spans="1:33" ht="11.25" customHeight="1" x14ac:dyDescent="0.3">
      <c r="A992" s="4" t="s">
        <v>28</v>
      </c>
      <c r="B992" s="4" t="s">
        <v>37</v>
      </c>
      <c r="C992" s="4" t="s">
        <v>33</v>
      </c>
      <c r="D992" s="4" t="s">
        <v>38</v>
      </c>
      <c r="E992" s="4" t="s">
        <v>25</v>
      </c>
      <c r="F992" s="4" t="s">
        <v>25</v>
      </c>
      <c r="G992" s="4" t="s">
        <v>25</v>
      </c>
      <c r="H992" s="4" t="s">
        <v>36</v>
      </c>
      <c r="I992" s="5">
        <v>44593</v>
      </c>
      <c r="J992" s="6">
        <v>0</v>
      </c>
      <c r="K992" s="6">
        <v>0</v>
      </c>
      <c r="L992" s="6">
        <v>4.2000000000000003E-2</v>
      </c>
      <c r="M992" s="6">
        <v>4.2000000000000003E-2</v>
      </c>
      <c r="N992" s="6">
        <v>4.2000000000000003E-2</v>
      </c>
      <c r="O992" s="6">
        <v>4.2000000000000003E-2</v>
      </c>
      <c r="P992" s="6">
        <v>0</v>
      </c>
      <c r="Q992" s="4" t="s">
        <v>26</v>
      </c>
      <c r="R992" s="4">
        <v>0</v>
      </c>
      <c r="S992" s="6">
        <v>0</v>
      </c>
      <c r="T992" s="6">
        <v>82</v>
      </c>
      <c r="U992" s="6">
        <v>110</v>
      </c>
      <c r="V992" s="6">
        <f>IF(ISERROR(VLOOKUP($S$992,'TAR FIN'!$A$1:$O$113,15,0)),0,VLOOKUP($S$992,'TAR FIN'!$A$1:$O$113,15,0))</f>
        <v>0</v>
      </c>
      <c r="W992" s="6">
        <f>IF(ISERROR(VLOOKUP($T$992,'TAR FIN'!$A$1:$O$113,15,0)),0,VLOOKUP($T$992,'TAR FIN'!$A$1:$O$113,15,0))</f>
        <v>491.18</v>
      </c>
      <c r="X992" s="6">
        <f>IF(ISERROR(VLOOKUP($U$992,'TAR FIN'!$A$1:$O$113,15,0)),0,VLOOKUP($U$992,'TAR FIN'!$A$1:$O$113,15,0))</f>
        <v>278.67</v>
      </c>
      <c r="Y992" s="6"/>
      <c r="Z992" s="6">
        <f ca="1">('TUSD BE'!$AM$66+'TUSD BF_350'!$AM$66+'TUSD CVA'!$AM$66)*1</f>
        <v>616.41999999999996</v>
      </c>
      <c r="AA992" s="6">
        <f ca="1">('TE BE'!$AB$44+'TE BF_350'!$AB$44+'TE CVA'!$AB$44)*1</f>
        <v>231.69</v>
      </c>
      <c r="AB992" s="6">
        <f>$K$992*$V$992</f>
        <v>0</v>
      </c>
      <c r="AC992" s="6">
        <f>$M$992*$W$992</f>
        <v>20.629560000000001</v>
      </c>
      <c r="AD992" s="6">
        <f>$O$992*$X$992</f>
        <v>11.704140000000001</v>
      </c>
      <c r="AE992" s="6">
        <f>$K$992*$Y$992</f>
        <v>0</v>
      </c>
      <c r="AF992" s="6">
        <f ca="1">$M$992*$Z$992</f>
        <v>25.88964</v>
      </c>
      <c r="AG992" s="6">
        <f ca="1">$O$992*$AA$992</f>
        <v>9.7309800000000006</v>
      </c>
    </row>
    <row r="993" spans="1:33" ht="11.25" customHeight="1" x14ac:dyDescent="0.3">
      <c r="A993" s="4" t="s">
        <v>21</v>
      </c>
      <c r="B993" s="4" t="s">
        <v>37</v>
      </c>
      <c r="C993" s="4" t="s">
        <v>33</v>
      </c>
      <c r="D993" s="4" t="s">
        <v>38</v>
      </c>
      <c r="E993" s="4" t="s">
        <v>25</v>
      </c>
      <c r="F993" s="4" t="s">
        <v>25</v>
      </c>
      <c r="G993" s="4" t="s">
        <v>25</v>
      </c>
      <c r="H993" s="4" t="s">
        <v>36</v>
      </c>
      <c r="I993" s="5">
        <v>44621</v>
      </c>
      <c r="J993" s="6">
        <v>0</v>
      </c>
      <c r="K993" s="6">
        <v>0</v>
      </c>
      <c r="L993" s="6">
        <v>0.45</v>
      </c>
      <c r="M993" s="6">
        <v>0.45</v>
      </c>
      <c r="N993" s="6">
        <v>0.45</v>
      </c>
      <c r="O993" s="6">
        <v>0.45</v>
      </c>
      <c r="P993" s="6">
        <v>0</v>
      </c>
      <c r="Q993" s="4" t="s">
        <v>26</v>
      </c>
      <c r="R993" s="4">
        <v>0</v>
      </c>
      <c r="S993" s="6">
        <v>0</v>
      </c>
      <c r="T993" s="6">
        <v>82</v>
      </c>
      <c r="U993" s="6">
        <v>110</v>
      </c>
      <c r="V993" s="6">
        <f>IF(ISERROR(VLOOKUP($S$993,'TAR FIN'!$A$1:$O$113,15,0)),0,VLOOKUP($S$993,'TAR FIN'!$A$1:$O$113,15,0))</f>
        <v>0</v>
      </c>
      <c r="W993" s="6">
        <f>IF(ISERROR(VLOOKUP($T$993,'TAR FIN'!$A$1:$O$113,15,0)),0,VLOOKUP($T$993,'TAR FIN'!$A$1:$O$113,15,0))</f>
        <v>491.18</v>
      </c>
      <c r="X993" s="6">
        <f>IF(ISERROR(VLOOKUP($U$993,'TAR FIN'!$A$1:$O$113,15,0)),0,VLOOKUP($U$993,'TAR FIN'!$A$1:$O$113,15,0))</f>
        <v>278.67</v>
      </c>
      <c r="Y993" s="6"/>
      <c r="Z993" s="6">
        <f ca="1">('TUSD BE'!$AM$66+'TUSD BF_350'!$AM$66+'TUSD CVA'!$AM$66)*1</f>
        <v>616.41999999999996</v>
      </c>
      <c r="AA993" s="6">
        <f ca="1">('TE BE'!$AB$44+'TE BF_350'!$AB$44+'TE CVA'!$AB$44)*1</f>
        <v>231.69</v>
      </c>
      <c r="AB993" s="6">
        <f>$K$993*$V$993</f>
        <v>0</v>
      </c>
      <c r="AC993" s="6">
        <f>$M$993*$W$993</f>
        <v>221.03100000000001</v>
      </c>
      <c r="AD993" s="6">
        <f>$O$993*$X$993</f>
        <v>125.40150000000001</v>
      </c>
      <c r="AE993" s="6">
        <f>$K$993*$Y$993</f>
        <v>0</v>
      </c>
      <c r="AF993" s="6">
        <f ca="1">$M$993*$Z$993</f>
        <v>277.38900000000001</v>
      </c>
      <c r="AG993" s="6">
        <f ca="1">$O$993*$AA$993</f>
        <v>104.26050000000001</v>
      </c>
    </row>
    <row r="994" spans="1:33" ht="11.25" customHeight="1" x14ac:dyDescent="0.3">
      <c r="A994" s="4" t="s">
        <v>28</v>
      </c>
      <c r="B994" s="4" t="s">
        <v>37</v>
      </c>
      <c r="C994" s="4" t="s">
        <v>33</v>
      </c>
      <c r="D994" s="4" t="s">
        <v>38</v>
      </c>
      <c r="E994" s="4" t="s">
        <v>25</v>
      </c>
      <c r="F994" s="4" t="s">
        <v>25</v>
      </c>
      <c r="G994" s="4" t="s">
        <v>25</v>
      </c>
      <c r="H994" s="4" t="s">
        <v>36</v>
      </c>
      <c r="I994" s="5">
        <v>44621</v>
      </c>
      <c r="J994" s="6">
        <v>0</v>
      </c>
      <c r="K994" s="6">
        <v>0</v>
      </c>
      <c r="L994" s="6">
        <v>5.1999999999999998E-2</v>
      </c>
      <c r="M994" s="6">
        <v>5.1999999999999998E-2</v>
      </c>
      <c r="N994" s="6">
        <v>5.1999999999999998E-2</v>
      </c>
      <c r="O994" s="6">
        <v>5.1999999999999998E-2</v>
      </c>
      <c r="P994" s="6">
        <v>0</v>
      </c>
      <c r="Q994" s="4" t="s">
        <v>26</v>
      </c>
      <c r="R994" s="4">
        <v>0</v>
      </c>
      <c r="S994" s="6">
        <v>0</v>
      </c>
      <c r="T994" s="6">
        <v>82</v>
      </c>
      <c r="U994" s="6">
        <v>110</v>
      </c>
      <c r="V994" s="6">
        <f>IF(ISERROR(VLOOKUP($S$994,'TAR FIN'!$A$1:$O$113,15,0)),0,VLOOKUP($S$994,'TAR FIN'!$A$1:$O$113,15,0))</f>
        <v>0</v>
      </c>
      <c r="W994" s="6">
        <f>IF(ISERROR(VLOOKUP($T$994,'TAR FIN'!$A$1:$O$113,15,0)),0,VLOOKUP($T$994,'TAR FIN'!$A$1:$O$113,15,0))</f>
        <v>491.18</v>
      </c>
      <c r="X994" s="6">
        <f>IF(ISERROR(VLOOKUP($U$994,'TAR FIN'!$A$1:$O$113,15,0)),0,VLOOKUP($U$994,'TAR FIN'!$A$1:$O$113,15,0))</f>
        <v>278.67</v>
      </c>
      <c r="Y994" s="6"/>
      <c r="Z994" s="6">
        <f ca="1">('TUSD BE'!$AM$66+'TUSD BF_350'!$AM$66+'TUSD CVA'!$AM$66)*1</f>
        <v>616.41999999999996</v>
      </c>
      <c r="AA994" s="6">
        <f ca="1">('TE BE'!$AB$44+'TE BF_350'!$AB$44+'TE CVA'!$AB$44)*1</f>
        <v>231.69</v>
      </c>
      <c r="AB994" s="6">
        <f>$K$994*$V$994</f>
        <v>0</v>
      </c>
      <c r="AC994" s="6">
        <f>$M$994*$W$994</f>
        <v>25.541360000000001</v>
      </c>
      <c r="AD994" s="6">
        <f>$O$994*$X$994</f>
        <v>14.49084</v>
      </c>
      <c r="AE994" s="6">
        <f>$K$994*$Y$994</f>
        <v>0</v>
      </c>
      <c r="AF994" s="6">
        <f ca="1">$M$994*$Z$994</f>
        <v>32.053839999999994</v>
      </c>
      <c r="AG994" s="6">
        <f ca="1">$O$994*$AA$994</f>
        <v>12.047879999999999</v>
      </c>
    </row>
    <row r="995" spans="1:33" ht="11.25" customHeight="1" x14ac:dyDescent="0.3">
      <c r="A995" s="4" t="s">
        <v>28</v>
      </c>
      <c r="B995" s="4" t="s">
        <v>37</v>
      </c>
      <c r="C995" s="4" t="s">
        <v>33</v>
      </c>
      <c r="D995" s="4" t="s">
        <v>38</v>
      </c>
      <c r="E995" s="4" t="s">
        <v>25</v>
      </c>
      <c r="F995" s="4" t="s">
        <v>25</v>
      </c>
      <c r="G995" s="4" t="s">
        <v>25</v>
      </c>
      <c r="H995" s="4" t="s">
        <v>36</v>
      </c>
      <c r="I995" s="5">
        <v>44652</v>
      </c>
      <c r="J995" s="6">
        <v>0</v>
      </c>
      <c r="K995" s="6">
        <v>0</v>
      </c>
      <c r="L995" s="6">
        <v>5.0999999999999997E-2</v>
      </c>
      <c r="M995" s="6">
        <v>5.0999999999999997E-2</v>
      </c>
      <c r="N995" s="6">
        <v>5.0999999999999997E-2</v>
      </c>
      <c r="O995" s="6">
        <v>5.0999999999999997E-2</v>
      </c>
      <c r="P995" s="6">
        <v>0</v>
      </c>
      <c r="Q995" s="4" t="s">
        <v>26</v>
      </c>
      <c r="R995" s="4">
        <v>0</v>
      </c>
      <c r="S995" s="6">
        <v>0</v>
      </c>
      <c r="T995" s="6">
        <v>82</v>
      </c>
      <c r="U995" s="6">
        <v>110</v>
      </c>
      <c r="V995" s="6">
        <f>IF(ISERROR(VLOOKUP($S$995,'TAR FIN'!$A$1:$O$113,15,0)),0,VLOOKUP($S$995,'TAR FIN'!$A$1:$O$113,15,0))</f>
        <v>0</v>
      </c>
      <c r="W995" s="6">
        <f>IF(ISERROR(VLOOKUP($T$995,'TAR FIN'!$A$1:$O$113,15,0)),0,VLOOKUP($T$995,'TAR FIN'!$A$1:$O$113,15,0))</f>
        <v>491.18</v>
      </c>
      <c r="X995" s="6">
        <f>IF(ISERROR(VLOOKUP($U$995,'TAR FIN'!$A$1:$O$113,15,0)),0,VLOOKUP($U$995,'TAR FIN'!$A$1:$O$113,15,0))</f>
        <v>278.67</v>
      </c>
      <c r="Y995" s="6"/>
      <c r="Z995" s="6">
        <f ca="1">('TUSD BE'!$AM$66+'TUSD BF_350'!$AM$66+'TUSD CVA'!$AM$66)*1</f>
        <v>616.41999999999996</v>
      </c>
      <c r="AA995" s="6">
        <f ca="1">('TE BE'!$AB$44+'TE BF_350'!$AB$44+'TE CVA'!$AB$44)*1</f>
        <v>231.69</v>
      </c>
      <c r="AB995" s="6">
        <f>$K$995*$V$995</f>
        <v>0</v>
      </c>
      <c r="AC995" s="6">
        <f>$M$995*$W$995</f>
        <v>25.050179999999997</v>
      </c>
      <c r="AD995" s="6">
        <f>$O$995*$X$995</f>
        <v>14.21217</v>
      </c>
      <c r="AE995" s="6">
        <f>$K$995*$Y$995</f>
        <v>0</v>
      </c>
      <c r="AF995" s="6">
        <f ca="1">$M$995*$Z$995</f>
        <v>31.437419999999996</v>
      </c>
      <c r="AG995" s="6">
        <f ca="1">$O$995*$AA$995</f>
        <v>11.816189999999999</v>
      </c>
    </row>
    <row r="996" spans="1:33" ht="11.25" customHeight="1" x14ac:dyDescent="0.3">
      <c r="A996" s="4" t="s">
        <v>28</v>
      </c>
      <c r="B996" s="4" t="s">
        <v>37</v>
      </c>
      <c r="C996" s="4" t="s">
        <v>33</v>
      </c>
      <c r="D996" s="4" t="s">
        <v>38</v>
      </c>
      <c r="E996" s="4" t="s">
        <v>25</v>
      </c>
      <c r="F996" s="4" t="s">
        <v>25</v>
      </c>
      <c r="G996" s="4" t="s">
        <v>25</v>
      </c>
      <c r="H996" s="4" t="s">
        <v>36</v>
      </c>
      <c r="I996" s="5">
        <v>44682</v>
      </c>
      <c r="J996" s="6">
        <v>0</v>
      </c>
      <c r="K996" s="6">
        <v>0</v>
      </c>
      <c r="L996" s="6">
        <v>5.7000000000000002E-2</v>
      </c>
      <c r="M996" s="6">
        <v>5.7000000000000002E-2</v>
      </c>
      <c r="N996" s="6">
        <v>5.7000000000000002E-2</v>
      </c>
      <c r="O996" s="6">
        <v>5.7000000000000002E-2</v>
      </c>
      <c r="P996" s="6">
        <v>0</v>
      </c>
      <c r="Q996" s="4" t="s">
        <v>26</v>
      </c>
      <c r="R996" s="4">
        <v>0</v>
      </c>
      <c r="S996" s="6">
        <v>0</v>
      </c>
      <c r="T996" s="6">
        <v>82</v>
      </c>
      <c r="U996" s="6">
        <v>110</v>
      </c>
      <c r="V996" s="6">
        <f>IF(ISERROR(VLOOKUP($S$996,'TAR FIN'!$A$1:$O$113,15,0)),0,VLOOKUP($S$996,'TAR FIN'!$A$1:$O$113,15,0))</f>
        <v>0</v>
      </c>
      <c r="W996" s="6">
        <f>IF(ISERROR(VLOOKUP($T$996,'TAR FIN'!$A$1:$O$113,15,0)),0,VLOOKUP($T$996,'TAR FIN'!$A$1:$O$113,15,0))</f>
        <v>491.18</v>
      </c>
      <c r="X996" s="6">
        <f>IF(ISERROR(VLOOKUP($U$996,'TAR FIN'!$A$1:$O$113,15,0)),0,VLOOKUP($U$996,'TAR FIN'!$A$1:$O$113,15,0))</f>
        <v>278.67</v>
      </c>
      <c r="Y996" s="6"/>
      <c r="Z996" s="6">
        <f ca="1">('TUSD BE'!$AM$66+'TUSD BF_350'!$AM$66+'TUSD CVA'!$AM$66)*1</f>
        <v>616.41999999999996</v>
      </c>
      <c r="AA996" s="6">
        <f ca="1">('TE BE'!$AB$44+'TE BF_350'!$AB$44+'TE CVA'!$AB$44)*1</f>
        <v>231.69</v>
      </c>
      <c r="AB996" s="6">
        <f>$K$996*$V$996</f>
        <v>0</v>
      </c>
      <c r="AC996" s="6">
        <f>$M$996*$W$996</f>
        <v>27.997260000000001</v>
      </c>
      <c r="AD996" s="6">
        <f>$O$996*$X$996</f>
        <v>15.884190000000002</v>
      </c>
      <c r="AE996" s="6">
        <f>$K$996*$Y$996</f>
        <v>0</v>
      </c>
      <c r="AF996" s="6">
        <f ca="1">$M$996*$Z$996</f>
        <v>35.135939999999998</v>
      </c>
      <c r="AG996" s="6">
        <f ca="1">$O$996*$AA$996</f>
        <v>13.206330000000001</v>
      </c>
    </row>
    <row r="997" spans="1:33" ht="11.25" customHeight="1" x14ac:dyDescent="0.3">
      <c r="A997" s="4" t="s">
        <v>28</v>
      </c>
      <c r="B997" s="4" t="s">
        <v>37</v>
      </c>
      <c r="C997" s="4" t="s">
        <v>33</v>
      </c>
      <c r="D997" s="4" t="s">
        <v>38</v>
      </c>
      <c r="E997" s="4" t="s">
        <v>25</v>
      </c>
      <c r="F997" s="4" t="s">
        <v>25</v>
      </c>
      <c r="G997" s="4" t="s">
        <v>25</v>
      </c>
      <c r="H997" s="4" t="s">
        <v>36</v>
      </c>
      <c r="I997" s="5">
        <v>44713</v>
      </c>
      <c r="J997" s="6">
        <v>0</v>
      </c>
      <c r="K997" s="6">
        <v>0</v>
      </c>
      <c r="L997" s="6">
        <v>0.06</v>
      </c>
      <c r="M997" s="6">
        <v>0.06</v>
      </c>
      <c r="N997" s="6">
        <v>0.06</v>
      </c>
      <c r="O997" s="6">
        <v>0.06</v>
      </c>
      <c r="P997" s="6">
        <v>0</v>
      </c>
      <c r="Q997" s="4" t="s">
        <v>26</v>
      </c>
      <c r="R997" s="4">
        <v>0</v>
      </c>
      <c r="S997" s="6">
        <v>0</v>
      </c>
      <c r="T997" s="6">
        <v>82</v>
      </c>
      <c r="U997" s="6">
        <v>110</v>
      </c>
      <c r="V997" s="6">
        <f>IF(ISERROR(VLOOKUP($S$997,'TAR FIN'!$A$1:$O$113,15,0)),0,VLOOKUP($S$997,'TAR FIN'!$A$1:$O$113,15,0))</f>
        <v>0</v>
      </c>
      <c r="W997" s="6">
        <f>IF(ISERROR(VLOOKUP($T$997,'TAR FIN'!$A$1:$O$113,15,0)),0,VLOOKUP($T$997,'TAR FIN'!$A$1:$O$113,15,0))</f>
        <v>491.18</v>
      </c>
      <c r="X997" s="6">
        <f>IF(ISERROR(VLOOKUP($U$997,'TAR FIN'!$A$1:$O$113,15,0)),0,VLOOKUP($U$997,'TAR FIN'!$A$1:$O$113,15,0))</f>
        <v>278.67</v>
      </c>
      <c r="Y997" s="6"/>
      <c r="Z997" s="6">
        <f ca="1">('TUSD BE'!$AM$66+'TUSD BF_350'!$AM$66+'TUSD CVA'!$AM$66)*1</f>
        <v>616.41999999999996</v>
      </c>
      <c r="AA997" s="6">
        <f ca="1">('TE BE'!$AB$44+'TE BF_350'!$AB$44+'TE CVA'!$AB$44)*1</f>
        <v>231.69</v>
      </c>
      <c r="AB997" s="6">
        <f>$K$997*$V$997</f>
        <v>0</v>
      </c>
      <c r="AC997" s="6">
        <f>$M$997*$W$997</f>
        <v>29.470800000000001</v>
      </c>
      <c r="AD997" s="6">
        <f>$O$997*$X$997</f>
        <v>16.720200000000002</v>
      </c>
      <c r="AE997" s="6">
        <f>$K$997*$Y$997</f>
        <v>0</v>
      </c>
      <c r="AF997" s="6">
        <f ca="1">$M$997*$Z$997</f>
        <v>36.985199999999999</v>
      </c>
      <c r="AG997" s="6">
        <f ca="1">$O$997*$AA$997</f>
        <v>13.901399999999999</v>
      </c>
    </row>
    <row r="998" spans="1:33" ht="11.25" customHeight="1" x14ac:dyDescent="0.3">
      <c r="A998" s="4" t="s">
        <v>28</v>
      </c>
      <c r="B998" s="4" t="s">
        <v>37</v>
      </c>
      <c r="C998" s="4" t="s">
        <v>33</v>
      </c>
      <c r="D998" s="4" t="s">
        <v>38</v>
      </c>
      <c r="E998" s="4" t="s">
        <v>25</v>
      </c>
      <c r="F998" s="4" t="s">
        <v>25</v>
      </c>
      <c r="G998" s="4" t="s">
        <v>25</v>
      </c>
      <c r="H998" s="4" t="s">
        <v>36</v>
      </c>
      <c r="I998" s="5">
        <v>44774</v>
      </c>
      <c r="J998" s="6">
        <v>0</v>
      </c>
      <c r="K998" s="6">
        <v>0</v>
      </c>
      <c r="L998" s="6">
        <v>6.2E-2</v>
      </c>
      <c r="M998" s="6">
        <v>6.2E-2</v>
      </c>
      <c r="N998" s="6">
        <v>6.2E-2</v>
      </c>
      <c r="O998" s="6">
        <v>6.2E-2</v>
      </c>
      <c r="P998" s="6">
        <v>0</v>
      </c>
      <c r="Q998" s="4" t="s">
        <v>26</v>
      </c>
      <c r="R998" s="4">
        <v>0</v>
      </c>
      <c r="S998" s="6">
        <v>0</v>
      </c>
      <c r="T998" s="6">
        <v>82</v>
      </c>
      <c r="U998" s="6">
        <v>110</v>
      </c>
      <c r="V998" s="6">
        <f>IF(ISERROR(VLOOKUP($S$998,'TAR FIN'!$A$1:$O$113,15,0)),0,VLOOKUP($S$998,'TAR FIN'!$A$1:$O$113,15,0))</f>
        <v>0</v>
      </c>
      <c r="W998" s="6">
        <f>IF(ISERROR(VLOOKUP($T$998,'TAR FIN'!$A$1:$O$113,15,0)),0,VLOOKUP($T$998,'TAR FIN'!$A$1:$O$113,15,0))</f>
        <v>491.18</v>
      </c>
      <c r="X998" s="6">
        <f>IF(ISERROR(VLOOKUP($U$998,'TAR FIN'!$A$1:$O$113,15,0)),0,VLOOKUP($U$998,'TAR FIN'!$A$1:$O$113,15,0))</f>
        <v>278.67</v>
      </c>
      <c r="Y998" s="6"/>
      <c r="Z998" s="6">
        <f ca="1">('TUSD BE'!$AM$66+'TUSD BF_350'!$AM$66+'TUSD CVA'!$AM$66)*1</f>
        <v>616.41999999999996</v>
      </c>
      <c r="AA998" s="6">
        <f ca="1">('TE BE'!$AB$44+'TE BF_350'!$AB$44+'TE CVA'!$AB$44)*1</f>
        <v>231.69</v>
      </c>
      <c r="AB998" s="6">
        <f>$K$998*$V$998</f>
        <v>0</v>
      </c>
      <c r="AC998" s="6">
        <f>$M$998*$W$998</f>
        <v>30.45316</v>
      </c>
      <c r="AD998" s="6">
        <f>$O$998*$X$998</f>
        <v>17.277540000000002</v>
      </c>
      <c r="AE998" s="6">
        <f>$K$998*$Y$998</f>
        <v>0</v>
      </c>
      <c r="AF998" s="6">
        <f ca="1">$M$998*$Z$998</f>
        <v>38.218039999999995</v>
      </c>
      <c r="AG998" s="6">
        <f ca="1">$O$998*$AA$998</f>
        <v>14.36478</v>
      </c>
    </row>
    <row r="999" spans="1:33" ht="11.25" customHeight="1" x14ac:dyDescent="0.3">
      <c r="A999" s="4" t="s">
        <v>28</v>
      </c>
      <c r="B999" s="4" t="s">
        <v>37</v>
      </c>
      <c r="C999" s="4" t="s">
        <v>33</v>
      </c>
      <c r="D999" s="4" t="s">
        <v>38</v>
      </c>
      <c r="E999" s="4" t="s">
        <v>25</v>
      </c>
      <c r="F999" s="4" t="s">
        <v>25</v>
      </c>
      <c r="G999" s="4" t="s">
        <v>25</v>
      </c>
      <c r="H999" s="4" t="s">
        <v>36</v>
      </c>
      <c r="I999" s="5">
        <v>44805</v>
      </c>
      <c r="J999" s="6">
        <v>0</v>
      </c>
      <c r="K999" s="6">
        <v>0</v>
      </c>
      <c r="L999" s="6">
        <v>6.5000000000000002E-2</v>
      </c>
      <c r="M999" s="6">
        <v>6.5000000000000002E-2</v>
      </c>
      <c r="N999" s="6">
        <v>6.5000000000000002E-2</v>
      </c>
      <c r="O999" s="6">
        <v>6.5000000000000002E-2</v>
      </c>
      <c r="P999" s="6">
        <v>0</v>
      </c>
      <c r="Q999" s="4" t="s">
        <v>26</v>
      </c>
      <c r="R999" s="4">
        <v>0</v>
      </c>
      <c r="S999" s="6">
        <v>0</v>
      </c>
      <c r="T999" s="6">
        <v>82</v>
      </c>
      <c r="U999" s="6">
        <v>110</v>
      </c>
      <c r="V999" s="6">
        <f>IF(ISERROR(VLOOKUP($S$999,'TAR FIN'!$A$1:$O$113,15,0)),0,VLOOKUP($S$999,'TAR FIN'!$A$1:$O$113,15,0))</f>
        <v>0</v>
      </c>
      <c r="W999" s="6">
        <f>IF(ISERROR(VLOOKUP($T$999,'TAR FIN'!$A$1:$O$113,15,0)),0,VLOOKUP($T$999,'TAR FIN'!$A$1:$O$113,15,0))</f>
        <v>491.18</v>
      </c>
      <c r="X999" s="6">
        <f>IF(ISERROR(VLOOKUP($U$999,'TAR FIN'!$A$1:$O$113,15,0)),0,VLOOKUP($U$999,'TAR FIN'!$A$1:$O$113,15,0))</f>
        <v>278.67</v>
      </c>
      <c r="Y999" s="6"/>
      <c r="Z999" s="6">
        <f ca="1">('TUSD BE'!$AM$66+'TUSD BF_350'!$AM$66+'TUSD CVA'!$AM$66)*1</f>
        <v>616.41999999999996</v>
      </c>
      <c r="AA999" s="6">
        <f ca="1">('TE BE'!$AB$44+'TE BF_350'!$AB$44+'TE CVA'!$AB$44)*1</f>
        <v>231.69</v>
      </c>
      <c r="AB999" s="6">
        <f>$K$999*$V$999</f>
        <v>0</v>
      </c>
      <c r="AC999" s="6">
        <f>$M$999*$W$999</f>
        <v>31.9267</v>
      </c>
      <c r="AD999" s="6">
        <f>$O$999*$X$999</f>
        <v>18.11355</v>
      </c>
      <c r="AE999" s="6">
        <f>$K$999*$Y$999</f>
        <v>0</v>
      </c>
      <c r="AF999" s="6">
        <f ca="1">$M$999*$Z$999</f>
        <v>40.067299999999996</v>
      </c>
      <c r="AG999" s="6">
        <f ca="1">$O$999*$AA$999</f>
        <v>15.059850000000001</v>
      </c>
    </row>
    <row r="1000" spans="1:33" ht="11.25" customHeight="1" x14ac:dyDescent="0.3">
      <c r="A1000" s="4" t="s">
        <v>53</v>
      </c>
      <c r="B1000" s="4" t="s">
        <v>37</v>
      </c>
      <c r="C1000" s="4" t="s">
        <v>33</v>
      </c>
      <c r="D1000" s="4" t="s">
        <v>38</v>
      </c>
      <c r="E1000" s="4" t="s">
        <v>25</v>
      </c>
      <c r="F1000" s="4" t="s">
        <v>25</v>
      </c>
      <c r="G1000" s="4" t="s">
        <v>25</v>
      </c>
      <c r="H1000" s="4" t="s">
        <v>36</v>
      </c>
      <c r="I1000" s="5">
        <v>44835</v>
      </c>
      <c r="J1000" s="6">
        <v>0</v>
      </c>
      <c r="K1000" s="6">
        <v>0</v>
      </c>
      <c r="L1000" s="6">
        <v>6.5000000000000002E-2</v>
      </c>
      <c r="M1000" s="6">
        <v>6.5000000000000002E-2</v>
      </c>
      <c r="N1000" s="6">
        <v>6.5000000000000002E-2</v>
      </c>
      <c r="O1000" s="6">
        <v>6.5000000000000002E-2</v>
      </c>
      <c r="P1000" s="6">
        <v>0</v>
      </c>
      <c r="Q1000" s="4" t="s">
        <v>26</v>
      </c>
      <c r="R1000" s="4">
        <v>0</v>
      </c>
      <c r="S1000" s="6">
        <v>0</v>
      </c>
      <c r="T1000" s="6">
        <v>82</v>
      </c>
      <c r="U1000" s="6">
        <v>110</v>
      </c>
      <c r="V1000" s="6">
        <f>IF(ISERROR(VLOOKUP($S$1000,'TAR FIN'!$A$1:$O$113,15,0)),0,VLOOKUP($S$1000,'TAR FIN'!$A$1:$O$113,15,0))</f>
        <v>0</v>
      </c>
      <c r="W1000" s="6">
        <f>IF(ISERROR(VLOOKUP($T$1000,'TAR FIN'!$A$1:$O$113,15,0)),0,VLOOKUP($T$1000,'TAR FIN'!$A$1:$O$113,15,0))</f>
        <v>491.18</v>
      </c>
      <c r="X1000" s="6">
        <f>IF(ISERROR(VLOOKUP($U$1000,'TAR FIN'!$A$1:$O$113,15,0)),0,VLOOKUP($U$1000,'TAR FIN'!$A$1:$O$113,15,0))</f>
        <v>278.67</v>
      </c>
      <c r="Y1000" s="6"/>
      <c r="Z1000" s="6">
        <f ca="1">('TUSD BE'!$AM$66+'TUSD BF_350'!$AM$66+'TUSD CVA'!$AM$66)*1</f>
        <v>616.41999999999996</v>
      </c>
      <c r="AA1000" s="6">
        <f ca="1">('TE BE'!$AB$44+'TE BF_350'!$AB$44+'TE CVA'!$AB$44)*1</f>
        <v>231.69</v>
      </c>
      <c r="AB1000" s="6">
        <f>$K$1000*$V$1000</f>
        <v>0</v>
      </c>
      <c r="AC1000" s="6">
        <f>$M$1000*$W$1000</f>
        <v>31.9267</v>
      </c>
      <c r="AD1000" s="6">
        <f>$O$1000*$X$1000</f>
        <v>18.11355</v>
      </c>
      <c r="AE1000" s="6">
        <f>$K$1000*$Y$1000</f>
        <v>0</v>
      </c>
      <c r="AF1000" s="6">
        <f ca="1">$M$1000*$Z$1000</f>
        <v>40.067299999999996</v>
      </c>
      <c r="AG1000" s="6">
        <f ca="1">$O$1000*$AA$1000</f>
        <v>15.059850000000001</v>
      </c>
    </row>
    <row r="1001" spans="1:33" ht="11.25" customHeight="1" x14ac:dyDescent="0.3">
      <c r="A1001" s="4" t="s">
        <v>21</v>
      </c>
      <c r="B1001" s="4" t="s">
        <v>37</v>
      </c>
      <c r="C1001" s="4" t="s">
        <v>33</v>
      </c>
      <c r="D1001" s="4" t="s">
        <v>38</v>
      </c>
      <c r="E1001" s="4" t="s">
        <v>25</v>
      </c>
      <c r="F1001" s="4" t="s">
        <v>25</v>
      </c>
      <c r="G1001" s="4" t="s">
        <v>25</v>
      </c>
      <c r="H1001" s="4" t="s">
        <v>34</v>
      </c>
      <c r="I1001" s="5">
        <v>44501</v>
      </c>
      <c r="J1001" s="6">
        <v>0</v>
      </c>
      <c r="K1001" s="6">
        <v>0</v>
      </c>
      <c r="L1001" s="6">
        <v>0.25</v>
      </c>
      <c r="M1001" s="6">
        <v>0.25</v>
      </c>
      <c r="N1001" s="6">
        <v>0.25</v>
      </c>
      <c r="O1001" s="6">
        <v>0.25</v>
      </c>
      <c r="P1001" s="6">
        <v>0</v>
      </c>
      <c r="Q1001" s="4" t="s">
        <v>26</v>
      </c>
      <c r="R1001" s="4">
        <v>0</v>
      </c>
      <c r="S1001" s="6">
        <v>0</v>
      </c>
      <c r="T1001" s="6">
        <v>83</v>
      </c>
      <c r="U1001" s="6">
        <v>106</v>
      </c>
      <c r="V1001" s="6">
        <f>IF(ISERROR(VLOOKUP($S$1001,'TAR FIN'!$A$1:$O$113,15,0)),0,VLOOKUP($S$1001,'TAR FIN'!$A$1:$O$113,15,0))</f>
        <v>0</v>
      </c>
      <c r="W1001" s="6">
        <f>IF(ISERROR(VLOOKUP($T$1001,'TAR FIN'!$A$1:$O$113,15,0)),0,VLOOKUP($T$1001,'TAR FIN'!$A$1:$O$113,15,0))</f>
        <v>748.29</v>
      </c>
      <c r="X1001" s="6">
        <f>IF(ISERROR(VLOOKUP($U$1001,'TAR FIN'!$A$1:$O$113,15,0)),0,VLOOKUP($U$1001,'TAR FIN'!$A$1:$O$113,15,0))</f>
        <v>442.86</v>
      </c>
      <c r="Y1001" s="6"/>
      <c r="Z1001" s="6">
        <f ca="1">('TUSD BE'!$AM$65+'TUSD BF_350'!$AM$65+'TUSD CVA'!$AM$65)*1</f>
        <v>921.1</v>
      </c>
      <c r="AA1001" s="6">
        <f ca="1">('TE BE'!$AB$43+'TE BF_350'!$AB$43+'TE CVA'!$AB$43)*1</f>
        <v>379.30999999999995</v>
      </c>
      <c r="AB1001" s="6">
        <f>$K$1001*$V$1001</f>
        <v>0</v>
      </c>
      <c r="AC1001" s="6">
        <f>$M$1001*$W$1001</f>
        <v>187.07249999999999</v>
      </c>
      <c r="AD1001" s="6">
        <f>$O$1001*$X$1001</f>
        <v>110.715</v>
      </c>
      <c r="AE1001" s="6">
        <f>$K$1001*$Y$1001</f>
        <v>0</v>
      </c>
      <c r="AF1001" s="6">
        <f ca="1">$M$1001*$Z$1001</f>
        <v>230.27500000000001</v>
      </c>
      <c r="AG1001" s="6">
        <f ca="1">$O$1001*$AA$1001</f>
        <v>94.827499999999986</v>
      </c>
    </row>
    <row r="1002" spans="1:33" ht="11.25" customHeight="1" x14ac:dyDescent="0.3">
      <c r="A1002" s="4" t="s">
        <v>28</v>
      </c>
      <c r="B1002" s="4" t="s">
        <v>37</v>
      </c>
      <c r="C1002" s="4" t="s">
        <v>33</v>
      </c>
      <c r="D1002" s="4" t="s">
        <v>38</v>
      </c>
      <c r="E1002" s="4" t="s">
        <v>25</v>
      </c>
      <c r="F1002" s="4" t="s">
        <v>25</v>
      </c>
      <c r="G1002" s="4" t="s">
        <v>25</v>
      </c>
      <c r="H1002" s="4" t="s">
        <v>34</v>
      </c>
      <c r="I1002" s="5">
        <v>44501</v>
      </c>
      <c r="J1002" s="6">
        <v>0</v>
      </c>
      <c r="K1002" s="6">
        <v>0</v>
      </c>
      <c r="L1002" s="6">
        <v>8.2000000000000003E-2</v>
      </c>
      <c r="M1002" s="6">
        <v>8.2000000000000003E-2</v>
      </c>
      <c r="N1002" s="6">
        <v>8.2000000000000003E-2</v>
      </c>
      <c r="O1002" s="6">
        <v>8.2000000000000003E-2</v>
      </c>
      <c r="P1002" s="6">
        <v>0</v>
      </c>
      <c r="Q1002" s="4" t="s">
        <v>26</v>
      </c>
      <c r="R1002" s="4">
        <v>0</v>
      </c>
      <c r="S1002" s="6">
        <v>0</v>
      </c>
      <c r="T1002" s="6">
        <v>83</v>
      </c>
      <c r="U1002" s="6">
        <v>106</v>
      </c>
      <c r="V1002" s="6">
        <f>IF(ISERROR(VLOOKUP($S$1002,'TAR FIN'!$A$1:$O$113,15,0)),0,VLOOKUP($S$1002,'TAR FIN'!$A$1:$O$113,15,0))</f>
        <v>0</v>
      </c>
      <c r="W1002" s="6">
        <f>IF(ISERROR(VLOOKUP($T$1002,'TAR FIN'!$A$1:$O$113,15,0)),0,VLOOKUP($T$1002,'TAR FIN'!$A$1:$O$113,15,0))</f>
        <v>748.29</v>
      </c>
      <c r="X1002" s="6">
        <f>IF(ISERROR(VLOOKUP($U$1002,'TAR FIN'!$A$1:$O$113,15,0)),0,VLOOKUP($U$1002,'TAR FIN'!$A$1:$O$113,15,0))</f>
        <v>442.86</v>
      </c>
      <c r="Y1002" s="6"/>
      <c r="Z1002" s="6">
        <f ca="1">('TUSD BE'!$AM$65+'TUSD BF_350'!$AM$65+'TUSD CVA'!$AM$65)*1</f>
        <v>921.1</v>
      </c>
      <c r="AA1002" s="6">
        <f ca="1">('TE BE'!$AB$43+'TE BF_350'!$AB$43+'TE CVA'!$AB$43)*1</f>
        <v>379.30999999999995</v>
      </c>
      <c r="AB1002" s="6">
        <f>$K$1002*$V$1002</f>
        <v>0</v>
      </c>
      <c r="AC1002" s="6">
        <f>$M$1002*$W$1002</f>
        <v>61.359780000000001</v>
      </c>
      <c r="AD1002" s="6">
        <f>$O$1002*$X$1002</f>
        <v>36.314520000000002</v>
      </c>
      <c r="AE1002" s="6">
        <f>$K$1002*$Y$1002</f>
        <v>0</v>
      </c>
      <c r="AF1002" s="6">
        <f ca="1">$M$1002*$Z$1002</f>
        <v>75.530200000000008</v>
      </c>
      <c r="AG1002" s="6">
        <f ca="1">$O$1002*$AA$1002</f>
        <v>31.103419999999996</v>
      </c>
    </row>
    <row r="1003" spans="1:33" ht="11.25" customHeight="1" x14ac:dyDescent="0.3">
      <c r="A1003" s="4" t="s">
        <v>21</v>
      </c>
      <c r="B1003" s="4" t="s">
        <v>37</v>
      </c>
      <c r="C1003" s="4" t="s">
        <v>33</v>
      </c>
      <c r="D1003" s="4" t="s">
        <v>38</v>
      </c>
      <c r="E1003" s="4" t="s">
        <v>25</v>
      </c>
      <c r="F1003" s="4" t="s">
        <v>25</v>
      </c>
      <c r="G1003" s="4" t="s">
        <v>25</v>
      </c>
      <c r="H1003" s="4" t="s">
        <v>34</v>
      </c>
      <c r="I1003" s="5">
        <v>44531</v>
      </c>
      <c r="J1003" s="6">
        <v>0</v>
      </c>
      <c r="K1003" s="6">
        <v>0</v>
      </c>
      <c r="L1003" s="6">
        <v>0.3</v>
      </c>
      <c r="M1003" s="6">
        <v>0.3</v>
      </c>
      <c r="N1003" s="6">
        <v>0.3</v>
      </c>
      <c r="O1003" s="6">
        <v>0.3</v>
      </c>
      <c r="P1003" s="6">
        <v>0</v>
      </c>
      <c r="Q1003" s="4" t="s">
        <v>26</v>
      </c>
      <c r="R1003" s="4">
        <v>0</v>
      </c>
      <c r="S1003" s="6">
        <v>0</v>
      </c>
      <c r="T1003" s="6">
        <v>83</v>
      </c>
      <c r="U1003" s="6">
        <v>106</v>
      </c>
      <c r="V1003" s="6">
        <f>IF(ISERROR(VLOOKUP($S$1003,'TAR FIN'!$A$1:$O$113,15,0)),0,VLOOKUP($S$1003,'TAR FIN'!$A$1:$O$113,15,0))</f>
        <v>0</v>
      </c>
      <c r="W1003" s="6">
        <f>IF(ISERROR(VLOOKUP($T$1003,'TAR FIN'!$A$1:$O$113,15,0)),0,VLOOKUP($T$1003,'TAR FIN'!$A$1:$O$113,15,0))</f>
        <v>748.29</v>
      </c>
      <c r="X1003" s="6">
        <f>IF(ISERROR(VLOOKUP($U$1003,'TAR FIN'!$A$1:$O$113,15,0)),0,VLOOKUP($U$1003,'TAR FIN'!$A$1:$O$113,15,0))</f>
        <v>442.86</v>
      </c>
      <c r="Y1003" s="6"/>
      <c r="Z1003" s="6">
        <f ca="1">('TUSD BE'!$AM$65+'TUSD BF_350'!$AM$65+'TUSD CVA'!$AM$65)*1</f>
        <v>921.1</v>
      </c>
      <c r="AA1003" s="6">
        <f ca="1">('TE BE'!$AB$43+'TE BF_350'!$AB$43+'TE CVA'!$AB$43)*1</f>
        <v>379.30999999999995</v>
      </c>
      <c r="AB1003" s="6">
        <f>$K$1003*$V$1003</f>
        <v>0</v>
      </c>
      <c r="AC1003" s="6">
        <f>$M$1003*$W$1003</f>
        <v>224.48699999999999</v>
      </c>
      <c r="AD1003" s="6">
        <f>$O$1003*$X$1003</f>
        <v>132.858</v>
      </c>
      <c r="AE1003" s="6">
        <f>$K$1003*$Y$1003</f>
        <v>0</v>
      </c>
      <c r="AF1003" s="6">
        <f ca="1">$M$1003*$Z$1003</f>
        <v>276.33</v>
      </c>
      <c r="AG1003" s="6">
        <f ca="1">$O$1003*$AA$1003</f>
        <v>113.79299999999998</v>
      </c>
    </row>
    <row r="1004" spans="1:33" ht="11.25" customHeight="1" x14ac:dyDescent="0.3">
      <c r="A1004" s="4" t="s">
        <v>28</v>
      </c>
      <c r="B1004" s="4" t="s">
        <v>37</v>
      </c>
      <c r="C1004" s="4" t="s">
        <v>33</v>
      </c>
      <c r="D1004" s="4" t="s">
        <v>38</v>
      </c>
      <c r="E1004" s="4" t="s">
        <v>25</v>
      </c>
      <c r="F1004" s="4" t="s">
        <v>25</v>
      </c>
      <c r="G1004" s="4" t="s">
        <v>25</v>
      </c>
      <c r="H1004" s="4" t="s">
        <v>34</v>
      </c>
      <c r="I1004" s="5">
        <v>44531</v>
      </c>
      <c r="J1004" s="6">
        <v>0</v>
      </c>
      <c r="K1004" s="6">
        <v>0</v>
      </c>
      <c r="L1004" s="6">
        <v>9.8000000000000004E-2</v>
      </c>
      <c r="M1004" s="6">
        <v>9.8000000000000004E-2</v>
      </c>
      <c r="N1004" s="6">
        <v>9.8000000000000004E-2</v>
      </c>
      <c r="O1004" s="6">
        <v>9.8000000000000004E-2</v>
      </c>
      <c r="P1004" s="6">
        <v>0</v>
      </c>
      <c r="Q1004" s="4" t="s">
        <v>26</v>
      </c>
      <c r="R1004" s="4">
        <v>0</v>
      </c>
      <c r="S1004" s="6">
        <v>0</v>
      </c>
      <c r="T1004" s="6">
        <v>83</v>
      </c>
      <c r="U1004" s="6">
        <v>106</v>
      </c>
      <c r="V1004" s="6">
        <f>IF(ISERROR(VLOOKUP($S$1004,'TAR FIN'!$A$1:$O$113,15,0)),0,VLOOKUP($S$1004,'TAR FIN'!$A$1:$O$113,15,0))</f>
        <v>0</v>
      </c>
      <c r="W1004" s="6">
        <f>IF(ISERROR(VLOOKUP($T$1004,'TAR FIN'!$A$1:$O$113,15,0)),0,VLOOKUP($T$1004,'TAR FIN'!$A$1:$O$113,15,0))</f>
        <v>748.29</v>
      </c>
      <c r="X1004" s="6">
        <f>IF(ISERROR(VLOOKUP($U$1004,'TAR FIN'!$A$1:$O$113,15,0)),0,VLOOKUP($U$1004,'TAR FIN'!$A$1:$O$113,15,0))</f>
        <v>442.86</v>
      </c>
      <c r="Y1004" s="6"/>
      <c r="Z1004" s="6">
        <f ca="1">('TUSD BE'!$AM$65+'TUSD BF_350'!$AM$65+'TUSD CVA'!$AM$65)*1</f>
        <v>921.1</v>
      </c>
      <c r="AA1004" s="6">
        <f ca="1">('TE BE'!$AB$43+'TE BF_350'!$AB$43+'TE CVA'!$AB$43)*1</f>
        <v>379.30999999999995</v>
      </c>
      <c r="AB1004" s="6">
        <f>$K$1004*$V$1004</f>
        <v>0</v>
      </c>
      <c r="AC1004" s="6">
        <f>$M$1004*$W$1004</f>
        <v>73.332419999999999</v>
      </c>
      <c r="AD1004" s="6">
        <f>$O$1004*$X$1004</f>
        <v>43.400280000000002</v>
      </c>
      <c r="AE1004" s="6">
        <f>$K$1004*$Y$1004</f>
        <v>0</v>
      </c>
      <c r="AF1004" s="6">
        <f ca="1">$M$1004*$Z$1004</f>
        <v>90.267800000000008</v>
      </c>
      <c r="AG1004" s="6">
        <f ca="1">$O$1004*$AA$1004</f>
        <v>37.172379999999997</v>
      </c>
    </row>
    <row r="1005" spans="1:33" ht="11.25" customHeight="1" x14ac:dyDescent="0.3">
      <c r="A1005" s="4" t="s">
        <v>21</v>
      </c>
      <c r="B1005" s="4" t="s">
        <v>37</v>
      </c>
      <c r="C1005" s="4" t="s">
        <v>33</v>
      </c>
      <c r="D1005" s="4" t="s">
        <v>38</v>
      </c>
      <c r="E1005" s="4" t="s">
        <v>25</v>
      </c>
      <c r="F1005" s="4" t="s">
        <v>25</v>
      </c>
      <c r="G1005" s="4" t="s">
        <v>25</v>
      </c>
      <c r="H1005" s="4" t="s">
        <v>34</v>
      </c>
      <c r="I1005" s="5">
        <v>44562</v>
      </c>
      <c r="J1005" s="6">
        <v>0</v>
      </c>
      <c r="K1005" s="6">
        <v>0</v>
      </c>
      <c r="L1005" s="6">
        <v>0.2</v>
      </c>
      <c r="M1005" s="6">
        <v>0.2</v>
      </c>
      <c r="N1005" s="6">
        <v>0.2</v>
      </c>
      <c r="O1005" s="6">
        <v>0.2</v>
      </c>
      <c r="P1005" s="6">
        <v>0</v>
      </c>
      <c r="Q1005" s="4" t="s">
        <v>26</v>
      </c>
      <c r="R1005" s="4">
        <v>0</v>
      </c>
      <c r="S1005" s="6">
        <v>0</v>
      </c>
      <c r="T1005" s="6">
        <v>83</v>
      </c>
      <c r="U1005" s="6">
        <v>106</v>
      </c>
      <c r="V1005" s="6">
        <f>IF(ISERROR(VLOOKUP($S$1005,'TAR FIN'!$A$1:$O$113,15,0)),0,VLOOKUP($S$1005,'TAR FIN'!$A$1:$O$113,15,0))</f>
        <v>0</v>
      </c>
      <c r="W1005" s="6">
        <f>IF(ISERROR(VLOOKUP($T$1005,'TAR FIN'!$A$1:$O$113,15,0)),0,VLOOKUP($T$1005,'TAR FIN'!$A$1:$O$113,15,0))</f>
        <v>748.29</v>
      </c>
      <c r="X1005" s="6">
        <f>IF(ISERROR(VLOOKUP($U$1005,'TAR FIN'!$A$1:$O$113,15,0)),0,VLOOKUP($U$1005,'TAR FIN'!$A$1:$O$113,15,0))</f>
        <v>442.86</v>
      </c>
      <c r="Y1005" s="6"/>
      <c r="Z1005" s="6">
        <f ca="1">('TUSD BE'!$AM$65+'TUSD BF_350'!$AM$65+'TUSD CVA'!$AM$65)*1</f>
        <v>921.1</v>
      </c>
      <c r="AA1005" s="6">
        <f ca="1">('TE BE'!$AB$43+'TE BF_350'!$AB$43+'TE CVA'!$AB$43)*1</f>
        <v>379.30999999999995</v>
      </c>
      <c r="AB1005" s="6">
        <f>$K$1005*$V$1005</f>
        <v>0</v>
      </c>
      <c r="AC1005" s="6">
        <f>$M$1005*$W$1005</f>
        <v>149.65799999999999</v>
      </c>
      <c r="AD1005" s="6">
        <f>$O$1005*$X$1005</f>
        <v>88.572000000000003</v>
      </c>
      <c r="AE1005" s="6">
        <f>$K$1005*$Y$1005</f>
        <v>0</v>
      </c>
      <c r="AF1005" s="6">
        <f ca="1">$M$1005*$Z$1005</f>
        <v>184.22000000000003</v>
      </c>
      <c r="AG1005" s="6">
        <f ca="1">$O$1005*$AA$1005</f>
        <v>75.861999999999995</v>
      </c>
    </row>
    <row r="1006" spans="1:33" ht="11.25" customHeight="1" x14ac:dyDescent="0.3">
      <c r="A1006" s="4" t="s">
        <v>28</v>
      </c>
      <c r="B1006" s="4" t="s">
        <v>37</v>
      </c>
      <c r="C1006" s="4" t="s">
        <v>33</v>
      </c>
      <c r="D1006" s="4" t="s">
        <v>38</v>
      </c>
      <c r="E1006" s="4" t="s">
        <v>25</v>
      </c>
      <c r="F1006" s="4" t="s">
        <v>25</v>
      </c>
      <c r="G1006" s="4" t="s">
        <v>25</v>
      </c>
      <c r="H1006" s="4" t="s">
        <v>34</v>
      </c>
      <c r="I1006" s="5">
        <v>44562</v>
      </c>
      <c r="J1006" s="6">
        <v>0</v>
      </c>
      <c r="K1006" s="6">
        <v>0</v>
      </c>
      <c r="L1006" s="6">
        <v>0.10100000000000001</v>
      </c>
      <c r="M1006" s="6">
        <v>0.10100000000000001</v>
      </c>
      <c r="N1006" s="6">
        <v>0.10100000000000001</v>
      </c>
      <c r="O1006" s="6">
        <v>0.10100000000000001</v>
      </c>
      <c r="P1006" s="6">
        <v>0</v>
      </c>
      <c r="Q1006" s="4" t="s">
        <v>26</v>
      </c>
      <c r="R1006" s="4">
        <v>0</v>
      </c>
      <c r="S1006" s="6">
        <v>0</v>
      </c>
      <c r="T1006" s="6">
        <v>83</v>
      </c>
      <c r="U1006" s="6">
        <v>106</v>
      </c>
      <c r="V1006" s="6">
        <f>IF(ISERROR(VLOOKUP($S$1006,'TAR FIN'!$A$1:$O$113,15,0)),0,VLOOKUP($S$1006,'TAR FIN'!$A$1:$O$113,15,0))</f>
        <v>0</v>
      </c>
      <c r="W1006" s="6">
        <f>IF(ISERROR(VLOOKUP($T$1006,'TAR FIN'!$A$1:$O$113,15,0)),0,VLOOKUP($T$1006,'TAR FIN'!$A$1:$O$113,15,0))</f>
        <v>748.29</v>
      </c>
      <c r="X1006" s="6">
        <f>IF(ISERROR(VLOOKUP($U$1006,'TAR FIN'!$A$1:$O$113,15,0)),0,VLOOKUP($U$1006,'TAR FIN'!$A$1:$O$113,15,0))</f>
        <v>442.86</v>
      </c>
      <c r="Y1006" s="6"/>
      <c r="Z1006" s="6">
        <f ca="1">('TUSD BE'!$AM$65+'TUSD BF_350'!$AM$65+'TUSD CVA'!$AM$65)*1</f>
        <v>921.1</v>
      </c>
      <c r="AA1006" s="6">
        <f ca="1">('TE BE'!$AB$43+'TE BF_350'!$AB$43+'TE CVA'!$AB$43)*1</f>
        <v>379.30999999999995</v>
      </c>
      <c r="AB1006" s="6">
        <f>$K$1006*$V$1006</f>
        <v>0</v>
      </c>
      <c r="AC1006" s="6">
        <f>$M$1006*$W$1006</f>
        <v>75.577290000000005</v>
      </c>
      <c r="AD1006" s="6">
        <f>$O$1006*$X$1006</f>
        <v>44.728860000000005</v>
      </c>
      <c r="AE1006" s="6">
        <f>$K$1006*$Y$1006</f>
        <v>0</v>
      </c>
      <c r="AF1006" s="6">
        <f ca="1">$M$1006*$Z$1006</f>
        <v>93.031100000000009</v>
      </c>
      <c r="AG1006" s="6">
        <f ca="1">$O$1006*$AA$1006</f>
        <v>38.310309999999994</v>
      </c>
    </row>
    <row r="1007" spans="1:33" ht="11.25" customHeight="1" x14ac:dyDescent="0.3">
      <c r="A1007" s="4" t="s">
        <v>21</v>
      </c>
      <c r="B1007" s="4" t="s">
        <v>37</v>
      </c>
      <c r="C1007" s="4" t="s">
        <v>33</v>
      </c>
      <c r="D1007" s="4" t="s">
        <v>38</v>
      </c>
      <c r="E1007" s="4" t="s">
        <v>25</v>
      </c>
      <c r="F1007" s="4" t="s">
        <v>25</v>
      </c>
      <c r="G1007" s="4" t="s">
        <v>25</v>
      </c>
      <c r="H1007" s="4" t="s">
        <v>34</v>
      </c>
      <c r="I1007" s="5">
        <v>44593</v>
      </c>
      <c r="J1007" s="6">
        <v>0</v>
      </c>
      <c r="K1007" s="6">
        <v>0</v>
      </c>
      <c r="L1007" s="6">
        <v>0.1</v>
      </c>
      <c r="M1007" s="6">
        <v>0.1</v>
      </c>
      <c r="N1007" s="6">
        <v>0.1</v>
      </c>
      <c r="O1007" s="6">
        <v>0.1</v>
      </c>
      <c r="P1007" s="6">
        <v>0</v>
      </c>
      <c r="Q1007" s="4" t="s">
        <v>26</v>
      </c>
      <c r="R1007" s="4">
        <v>0</v>
      </c>
      <c r="S1007" s="6">
        <v>0</v>
      </c>
      <c r="T1007" s="6">
        <v>83</v>
      </c>
      <c r="U1007" s="6">
        <v>106</v>
      </c>
      <c r="V1007" s="6">
        <f>IF(ISERROR(VLOOKUP($S$1007,'TAR FIN'!$A$1:$O$113,15,0)),0,VLOOKUP($S$1007,'TAR FIN'!$A$1:$O$113,15,0))</f>
        <v>0</v>
      </c>
      <c r="W1007" s="6">
        <f>IF(ISERROR(VLOOKUP($T$1007,'TAR FIN'!$A$1:$O$113,15,0)),0,VLOOKUP($T$1007,'TAR FIN'!$A$1:$O$113,15,0))</f>
        <v>748.29</v>
      </c>
      <c r="X1007" s="6">
        <f>IF(ISERROR(VLOOKUP($U$1007,'TAR FIN'!$A$1:$O$113,15,0)),0,VLOOKUP($U$1007,'TAR FIN'!$A$1:$O$113,15,0))</f>
        <v>442.86</v>
      </c>
      <c r="Y1007" s="6"/>
      <c r="Z1007" s="6">
        <f ca="1">('TUSD BE'!$AM$65+'TUSD BF_350'!$AM$65+'TUSD CVA'!$AM$65)*1</f>
        <v>921.1</v>
      </c>
      <c r="AA1007" s="6">
        <f ca="1">('TE BE'!$AB$43+'TE BF_350'!$AB$43+'TE CVA'!$AB$43)*1</f>
        <v>379.30999999999995</v>
      </c>
      <c r="AB1007" s="6">
        <f>$K$1007*$V$1007</f>
        <v>0</v>
      </c>
      <c r="AC1007" s="6">
        <f>$M$1007*$W$1007</f>
        <v>74.828999999999994</v>
      </c>
      <c r="AD1007" s="6">
        <f>$O$1007*$X$1007</f>
        <v>44.286000000000001</v>
      </c>
      <c r="AE1007" s="6">
        <f>$K$1007*$Y$1007</f>
        <v>0</v>
      </c>
      <c r="AF1007" s="6">
        <f ca="1">$M$1007*$Z$1007</f>
        <v>92.110000000000014</v>
      </c>
      <c r="AG1007" s="6">
        <f ca="1">$O$1007*$AA$1007</f>
        <v>37.930999999999997</v>
      </c>
    </row>
    <row r="1008" spans="1:33" ht="11.25" customHeight="1" x14ac:dyDescent="0.3">
      <c r="A1008" s="4" t="s">
        <v>28</v>
      </c>
      <c r="B1008" s="4" t="s">
        <v>37</v>
      </c>
      <c r="C1008" s="4" t="s">
        <v>33</v>
      </c>
      <c r="D1008" s="4" t="s">
        <v>38</v>
      </c>
      <c r="E1008" s="4" t="s">
        <v>25</v>
      </c>
      <c r="F1008" s="4" t="s">
        <v>25</v>
      </c>
      <c r="G1008" s="4" t="s">
        <v>25</v>
      </c>
      <c r="H1008" s="4" t="s">
        <v>34</v>
      </c>
      <c r="I1008" s="5">
        <v>44593</v>
      </c>
      <c r="J1008" s="6">
        <v>0</v>
      </c>
      <c r="K1008" s="6">
        <v>0</v>
      </c>
      <c r="L1008" s="6">
        <v>8.6999999999999994E-2</v>
      </c>
      <c r="M1008" s="6">
        <v>8.6999999999999994E-2</v>
      </c>
      <c r="N1008" s="6">
        <v>8.6999999999999994E-2</v>
      </c>
      <c r="O1008" s="6">
        <v>8.6999999999999994E-2</v>
      </c>
      <c r="P1008" s="6">
        <v>0</v>
      </c>
      <c r="Q1008" s="4" t="s">
        <v>26</v>
      </c>
      <c r="R1008" s="4">
        <v>0</v>
      </c>
      <c r="S1008" s="6">
        <v>0</v>
      </c>
      <c r="T1008" s="6">
        <v>83</v>
      </c>
      <c r="U1008" s="6">
        <v>106</v>
      </c>
      <c r="V1008" s="6">
        <f>IF(ISERROR(VLOOKUP($S$1008,'TAR FIN'!$A$1:$O$113,15,0)),0,VLOOKUP($S$1008,'TAR FIN'!$A$1:$O$113,15,0))</f>
        <v>0</v>
      </c>
      <c r="W1008" s="6">
        <f>IF(ISERROR(VLOOKUP($T$1008,'TAR FIN'!$A$1:$O$113,15,0)),0,VLOOKUP($T$1008,'TAR FIN'!$A$1:$O$113,15,0))</f>
        <v>748.29</v>
      </c>
      <c r="X1008" s="6">
        <f>IF(ISERROR(VLOOKUP($U$1008,'TAR FIN'!$A$1:$O$113,15,0)),0,VLOOKUP($U$1008,'TAR FIN'!$A$1:$O$113,15,0))</f>
        <v>442.86</v>
      </c>
      <c r="Y1008" s="6"/>
      <c r="Z1008" s="6">
        <f ca="1">('TUSD BE'!$AM$65+'TUSD BF_350'!$AM$65+'TUSD CVA'!$AM$65)*1</f>
        <v>921.1</v>
      </c>
      <c r="AA1008" s="6">
        <f ca="1">('TE BE'!$AB$43+'TE BF_350'!$AB$43+'TE CVA'!$AB$43)*1</f>
        <v>379.30999999999995</v>
      </c>
      <c r="AB1008" s="6">
        <f>$K$1008*$V$1008</f>
        <v>0</v>
      </c>
      <c r="AC1008" s="6">
        <f>$M$1008*$W$1008</f>
        <v>65.101229999999987</v>
      </c>
      <c r="AD1008" s="6">
        <f>$O$1008*$X$1008</f>
        <v>38.528819999999996</v>
      </c>
      <c r="AE1008" s="6">
        <f>$K$1008*$Y$1008</f>
        <v>0</v>
      </c>
      <c r="AF1008" s="6">
        <f ca="1">$M$1008*$Z$1008</f>
        <v>80.1357</v>
      </c>
      <c r="AG1008" s="6">
        <f ca="1">$O$1008*$AA$1008</f>
        <v>32.99996999999999</v>
      </c>
    </row>
    <row r="1009" spans="1:33" ht="11.25" customHeight="1" x14ac:dyDescent="0.3">
      <c r="A1009" s="4" t="s">
        <v>21</v>
      </c>
      <c r="B1009" s="4" t="s">
        <v>37</v>
      </c>
      <c r="C1009" s="4" t="s">
        <v>33</v>
      </c>
      <c r="D1009" s="4" t="s">
        <v>38</v>
      </c>
      <c r="E1009" s="4" t="s">
        <v>25</v>
      </c>
      <c r="F1009" s="4" t="s">
        <v>25</v>
      </c>
      <c r="G1009" s="4" t="s">
        <v>25</v>
      </c>
      <c r="H1009" s="4" t="s">
        <v>34</v>
      </c>
      <c r="I1009" s="5">
        <v>44621</v>
      </c>
      <c r="J1009" s="6">
        <v>0</v>
      </c>
      <c r="K1009" s="6">
        <v>0</v>
      </c>
      <c r="L1009" s="6">
        <v>0.15</v>
      </c>
      <c r="M1009" s="6">
        <v>0.15</v>
      </c>
      <c r="N1009" s="6">
        <v>0.15</v>
      </c>
      <c r="O1009" s="6">
        <v>0.15</v>
      </c>
      <c r="P1009" s="6">
        <v>0</v>
      </c>
      <c r="Q1009" s="4" t="s">
        <v>26</v>
      </c>
      <c r="R1009" s="4">
        <v>0</v>
      </c>
      <c r="S1009" s="6">
        <v>0</v>
      </c>
      <c r="T1009" s="6">
        <v>83</v>
      </c>
      <c r="U1009" s="6">
        <v>106</v>
      </c>
      <c r="V1009" s="6">
        <f>IF(ISERROR(VLOOKUP($S$1009,'TAR FIN'!$A$1:$O$113,15,0)),0,VLOOKUP($S$1009,'TAR FIN'!$A$1:$O$113,15,0))</f>
        <v>0</v>
      </c>
      <c r="W1009" s="6">
        <f>IF(ISERROR(VLOOKUP($T$1009,'TAR FIN'!$A$1:$O$113,15,0)),0,VLOOKUP($T$1009,'TAR FIN'!$A$1:$O$113,15,0))</f>
        <v>748.29</v>
      </c>
      <c r="X1009" s="6">
        <f>IF(ISERROR(VLOOKUP($U$1009,'TAR FIN'!$A$1:$O$113,15,0)),0,VLOOKUP($U$1009,'TAR FIN'!$A$1:$O$113,15,0))</f>
        <v>442.86</v>
      </c>
      <c r="Y1009" s="6"/>
      <c r="Z1009" s="6">
        <f ca="1">('TUSD BE'!$AM$65+'TUSD BF_350'!$AM$65+'TUSD CVA'!$AM$65)*1</f>
        <v>921.1</v>
      </c>
      <c r="AA1009" s="6">
        <f ca="1">('TE BE'!$AB$43+'TE BF_350'!$AB$43+'TE CVA'!$AB$43)*1</f>
        <v>379.30999999999995</v>
      </c>
      <c r="AB1009" s="6">
        <f>$K$1009*$V$1009</f>
        <v>0</v>
      </c>
      <c r="AC1009" s="6">
        <f>$M$1009*$W$1009</f>
        <v>112.2435</v>
      </c>
      <c r="AD1009" s="6">
        <f>$O$1009*$X$1009</f>
        <v>66.429000000000002</v>
      </c>
      <c r="AE1009" s="6">
        <f>$K$1009*$Y$1009</f>
        <v>0</v>
      </c>
      <c r="AF1009" s="6">
        <f ca="1">$M$1009*$Z$1009</f>
        <v>138.16499999999999</v>
      </c>
      <c r="AG1009" s="6">
        <f ca="1">$O$1009*$AA$1009</f>
        <v>56.896499999999989</v>
      </c>
    </row>
    <row r="1010" spans="1:33" ht="11.25" customHeight="1" x14ac:dyDescent="0.3">
      <c r="A1010" s="4" t="s">
        <v>28</v>
      </c>
      <c r="B1010" s="4" t="s">
        <v>37</v>
      </c>
      <c r="C1010" s="4" t="s">
        <v>33</v>
      </c>
      <c r="D1010" s="4" t="s">
        <v>38</v>
      </c>
      <c r="E1010" s="4" t="s">
        <v>25</v>
      </c>
      <c r="F1010" s="4" t="s">
        <v>25</v>
      </c>
      <c r="G1010" s="4" t="s">
        <v>25</v>
      </c>
      <c r="H1010" s="4" t="s">
        <v>34</v>
      </c>
      <c r="I1010" s="5">
        <v>44621</v>
      </c>
      <c r="J1010" s="6">
        <v>0</v>
      </c>
      <c r="K1010" s="6">
        <v>0</v>
      </c>
      <c r="L1010" s="6">
        <v>0.107</v>
      </c>
      <c r="M1010" s="6">
        <v>0.107</v>
      </c>
      <c r="N1010" s="6">
        <v>0.107</v>
      </c>
      <c r="O1010" s="6">
        <v>0.107</v>
      </c>
      <c r="P1010" s="6">
        <v>0</v>
      </c>
      <c r="Q1010" s="4" t="s">
        <v>26</v>
      </c>
      <c r="R1010" s="4">
        <v>0</v>
      </c>
      <c r="S1010" s="6">
        <v>0</v>
      </c>
      <c r="T1010" s="6">
        <v>83</v>
      </c>
      <c r="U1010" s="6">
        <v>106</v>
      </c>
      <c r="V1010" s="6">
        <f>IF(ISERROR(VLOOKUP($S$1010,'TAR FIN'!$A$1:$O$113,15,0)),0,VLOOKUP($S$1010,'TAR FIN'!$A$1:$O$113,15,0))</f>
        <v>0</v>
      </c>
      <c r="W1010" s="6">
        <f>IF(ISERROR(VLOOKUP($T$1010,'TAR FIN'!$A$1:$O$113,15,0)),0,VLOOKUP($T$1010,'TAR FIN'!$A$1:$O$113,15,0))</f>
        <v>748.29</v>
      </c>
      <c r="X1010" s="6">
        <f>IF(ISERROR(VLOOKUP($U$1010,'TAR FIN'!$A$1:$O$113,15,0)),0,VLOOKUP($U$1010,'TAR FIN'!$A$1:$O$113,15,0))</f>
        <v>442.86</v>
      </c>
      <c r="Y1010" s="6"/>
      <c r="Z1010" s="6">
        <f ca="1">('TUSD BE'!$AM$65+'TUSD BF_350'!$AM$65+'TUSD CVA'!$AM$65)*1</f>
        <v>921.1</v>
      </c>
      <c r="AA1010" s="6">
        <f ca="1">('TE BE'!$AB$43+'TE BF_350'!$AB$43+'TE CVA'!$AB$43)*1</f>
        <v>379.30999999999995</v>
      </c>
      <c r="AB1010" s="6">
        <f>$K$1010*$V$1010</f>
        <v>0</v>
      </c>
      <c r="AC1010" s="6">
        <f>$M$1010*$W$1010</f>
        <v>80.067029999999988</v>
      </c>
      <c r="AD1010" s="6">
        <f>$O$1010*$X$1010</f>
        <v>47.386020000000002</v>
      </c>
      <c r="AE1010" s="6">
        <f>$K$1010*$Y$1010</f>
        <v>0</v>
      </c>
      <c r="AF1010" s="6">
        <f ca="1">$M$1010*$Z$1010</f>
        <v>98.557699999999997</v>
      </c>
      <c r="AG1010" s="6">
        <f ca="1">$O$1010*$AA$1010</f>
        <v>40.586169999999996</v>
      </c>
    </row>
    <row r="1011" spans="1:33" ht="11.25" customHeight="1" x14ac:dyDescent="0.3">
      <c r="A1011" s="4" t="s">
        <v>28</v>
      </c>
      <c r="B1011" s="4" t="s">
        <v>37</v>
      </c>
      <c r="C1011" s="4" t="s">
        <v>33</v>
      </c>
      <c r="D1011" s="4" t="s">
        <v>38</v>
      </c>
      <c r="E1011" s="4" t="s">
        <v>25</v>
      </c>
      <c r="F1011" s="4" t="s">
        <v>25</v>
      </c>
      <c r="G1011" s="4" t="s">
        <v>25</v>
      </c>
      <c r="H1011" s="4" t="s">
        <v>34</v>
      </c>
      <c r="I1011" s="5">
        <v>44652</v>
      </c>
      <c r="J1011" s="6">
        <v>0</v>
      </c>
      <c r="K1011" s="6">
        <v>0</v>
      </c>
      <c r="L1011" s="6">
        <v>9.9000000000000005E-2</v>
      </c>
      <c r="M1011" s="6">
        <v>9.9000000000000005E-2</v>
      </c>
      <c r="N1011" s="6">
        <v>9.9000000000000005E-2</v>
      </c>
      <c r="O1011" s="6">
        <v>9.9000000000000005E-2</v>
      </c>
      <c r="P1011" s="6">
        <v>0</v>
      </c>
      <c r="Q1011" s="4" t="s">
        <v>26</v>
      </c>
      <c r="R1011" s="4">
        <v>0</v>
      </c>
      <c r="S1011" s="6">
        <v>0</v>
      </c>
      <c r="T1011" s="6">
        <v>83</v>
      </c>
      <c r="U1011" s="6">
        <v>106</v>
      </c>
      <c r="V1011" s="6">
        <f>IF(ISERROR(VLOOKUP($S$1011,'TAR FIN'!$A$1:$O$113,15,0)),0,VLOOKUP($S$1011,'TAR FIN'!$A$1:$O$113,15,0))</f>
        <v>0</v>
      </c>
      <c r="W1011" s="6">
        <f>IF(ISERROR(VLOOKUP($T$1011,'TAR FIN'!$A$1:$O$113,15,0)),0,VLOOKUP($T$1011,'TAR FIN'!$A$1:$O$113,15,0))</f>
        <v>748.29</v>
      </c>
      <c r="X1011" s="6">
        <f>IF(ISERROR(VLOOKUP($U$1011,'TAR FIN'!$A$1:$O$113,15,0)),0,VLOOKUP($U$1011,'TAR FIN'!$A$1:$O$113,15,0))</f>
        <v>442.86</v>
      </c>
      <c r="Y1011" s="6"/>
      <c r="Z1011" s="6">
        <f ca="1">('TUSD BE'!$AM$65+'TUSD BF_350'!$AM$65+'TUSD CVA'!$AM$65)*1</f>
        <v>921.1</v>
      </c>
      <c r="AA1011" s="6">
        <f ca="1">('TE BE'!$AB$43+'TE BF_350'!$AB$43+'TE CVA'!$AB$43)*1</f>
        <v>379.30999999999995</v>
      </c>
      <c r="AB1011" s="6">
        <f>$K$1011*$V$1011</f>
        <v>0</v>
      </c>
      <c r="AC1011" s="6">
        <f>$M$1011*$W$1011</f>
        <v>74.080709999999996</v>
      </c>
      <c r="AD1011" s="6">
        <f>$O$1011*$X$1011</f>
        <v>43.843140000000005</v>
      </c>
      <c r="AE1011" s="6">
        <f>$K$1011*$Y$1011</f>
        <v>0</v>
      </c>
      <c r="AF1011" s="6">
        <f ca="1">$M$1011*$Z$1011</f>
        <v>91.188900000000004</v>
      </c>
      <c r="AG1011" s="6">
        <f ca="1">$O$1011*$AA$1011</f>
        <v>37.551689999999994</v>
      </c>
    </row>
    <row r="1012" spans="1:33" ht="11.25" customHeight="1" x14ac:dyDescent="0.3">
      <c r="A1012" s="4" t="s">
        <v>28</v>
      </c>
      <c r="B1012" s="4" t="s">
        <v>37</v>
      </c>
      <c r="C1012" s="4" t="s">
        <v>33</v>
      </c>
      <c r="D1012" s="4" t="s">
        <v>38</v>
      </c>
      <c r="E1012" s="4" t="s">
        <v>25</v>
      </c>
      <c r="F1012" s="4" t="s">
        <v>25</v>
      </c>
      <c r="G1012" s="4" t="s">
        <v>25</v>
      </c>
      <c r="H1012" s="4" t="s">
        <v>34</v>
      </c>
      <c r="I1012" s="5">
        <v>44682</v>
      </c>
      <c r="J1012" s="6">
        <v>0</v>
      </c>
      <c r="K1012" s="6">
        <v>0</v>
      </c>
      <c r="L1012" s="6">
        <v>9.7000000000000003E-2</v>
      </c>
      <c r="M1012" s="6">
        <v>9.7000000000000003E-2</v>
      </c>
      <c r="N1012" s="6">
        <v>9.7000000000000003E-2</v>
      </c>
      <c r="O1012" s="6">
        <v>9.7000000000000003E-2</v>
      </c>
      <c r="P1012" s="6">
        <v>0</v>
      </c>
      <c r="Q1012" s="4" t="s">
        <v>26</v>
      </c>
      <c r="R1012" s="4">
        <v>0</v>
      </c>
      <c r="S1012" s="6">
        <v>0</v>
      </c>
      <c r="T1012" s="6">
        <v>83</v>
      </c>
      <c r="U1012" s="6">
        <v>106</v>
      </c>
      <c r="V1012" s="6">
        <f>IF(ISERROR(VLOOKUP($S$1012,'TAR FIN'!$A$1:$O$113,15,0)),0,VLOOKUP($S$1012,'TAR FIN'!$A$1:$O$113,15,0))</f>
        <v>0</v>
      </c>
      <c r="W1012" s="6">
        <f>IF(ISERROR(VLOOKUP($T$1012,'TAR FIN'!$A$1:$O$113,15,0)),0,VLOOKUP($T$1012,'TAR FIN'!$A$1:$O$113,15,0))</f>
        <v>748.29</v>
      </c>
      <c r="X1012" s="6">
        <f>IF(ISERROR(VLOOKUP($U$1012,'TAR FIN'!$A$1:$O$113,15,0)),0,VLOOKUP($U$1012,'TAR FIN'!$A$1:$O$113,15,0))</f>
        <v>442.86</v>
      </c>
      <c r="Y1012" s="6"/>
      <c r="Z1012" s="6">
        <f ca="1">('TUSD BE'!$AM$65+'TUSD BF_350'!$AM$65+'TUSD CVA'!$AM$65)*1</f>
        <v>921.1</v>
      </c>
      <c r="AA1012" s="6">
        <f ca="1">('TE BE'!$AB$43+'TE BF_350'!$AB$43+'TE CVA'!$AB$43)*1</f>
        <v>379.30999999999995</v>
      </c>
      <c r="AB1012" s="6">
        <f>$K$1012*$V$1012</f>
        <v>0</v>
      </c>
      <c r="AC1012" s="6">
        <f>$M$1012*$W$1012</f>
        <v>72.584130000000002</v>
      </c>
      <c r="AD1012" s="6">
        <f>$O$1012*$X$1012</f>
        <v>42.957419999999999</v>
      </c>
      <c r="AE1012" s="6">
        <f>$K$1012*$Y$1012</f>
        <v>0</v>
      </c>
      <c r="AF1012" s="6">
        <f ca="1">$M$1012*$Z$1012</f>
        <v>89.346699999999998</v>
      </c>
      <c r="AG1012" s="6">
        <f ca="1">$O$1012*$AA$1012</f>
        <v>36.793069999999993</v>
      </c>
    </row>
    <row r="1013" spans="1:33" ht="11.25" customHeight="1" x14ac:dyDescent="0.3">
      <c r="A1013" s="4" t="s">
        <v>28</v>
      </c>
      <c r="B1013" s="4" t="s">
        <v>37</v>
      </c>
      <c r="C1013" s="4" t="s">
        <v>33</v>
      </c>
      <c r="D1013" s="4" t="s">
        <v>38</v>
      </c>
      <c r="E1013" s="4" t="s">
        <v>25</v>
      </c>
      <c r="F1013" s="4" t="s">
        <v>25</v>
      </c>
      <c r="G1013" s="4" t="s">
        <v>25</v>
      </c>
      <c r="H1013" s="4" t="s">
        <v>34</v>
      </c>
      <c r="I1013" s="5">
        <v>44713</v>
      </c>
      <c r="J1013" s="6">
        <v>0</v>
      </c>
      <c r="K1013" s="6">
        <v>0</v>
      </c>
      <c r="L1013" s="6">
        <v>0.09</v>
      </c>
      <c r="M1013" s="6">
        <v>0.09</v>
      </c>
      <c r="N1013" s="6">
        <v>0.09</v>
      </c>
      <c r="O1013" s="6">
        <v>0.09</v>
      </c>
      <c r="P1013" s="6">
        <v>0</v>
      </c>
      <c r="Q1013" s="4" t="s">
        <v>26</v>
      </c>
      <c r="R1013" s="4">
        <v>0</v>
      </c>
      <c r="S1013" s="6">
        <v>0</v>
      </c>
      <c r="T1013" s="6">
        <v>83</v>
      </c>
      <c r="U1013" s="6">
        <v>106</v>
      </c>
      <c r="V1013" s="6">
        <f>IF(ISERROR(VLOOKUP($S$1013,'TAR FIN'!$A$1:$O$113,15,0)),0,VLOOKUP($S$1013,'TAR FIN'!$A$1:$O$113,15,0))</f>
        <v>0</v>
      </c>
      <c r="W1013" s="6">
        <f>IF(ISERROR(VLOOKUP($T$1013,'TAR FIN'!$A$1:$O$113,15,0)),0,VLOOKUP($T$1013,'TAR FIN'!$A$1:$O$113,15,0))</f>
        <v>748.29</v>
      </c>
      <c r="X1013" s="6">
        <f>IF(ISERROR(VLOOKUP($U$1013,'TAR FIN'!$A$1:$O$113,15,0)),0,VLOOKUP($U$1013,'TAR FIN'!$A$1:$O$113,15,0))</f>
        <v>442.86</v>
      </c>
      <c r="Y1013" s="6"/>
      <c r="Z1013" s="6">
        <f ca="1">('TUSD BE'!$AM$65+'TUSD BF_350'!$AM$65+'TUSD CVA'!$AM$65)*1</f>
        <v>921.1</v>
      </c>
      <c r="AA1013" s="6">
        <f ca="1">('TE BE'!$AB$43+'TE BF_350'!$AB$43+'TE CVA'!$AB$43)*1</f>
        <v>379.30999999999995</v>
      </c>
      <c r="AB1013" s="6">
        <f>$K$1013*$V$1013</f>
        <v>0</v>
      </c>
      <c r="AC1013" s="6">
        <f>$M$1013*$W$1013</f>
        <v>67.346099999999993</v>
      </c>
      <c r="AD1013" s="6">
        <f>$O$1013*$X$1013</f>
        <v>39.857399999999998</v>
      </c>
      <c r="AE1013" s="6">
        <f>$K$1013*$Y$1013</f>
        <v>0</v>
      </c>
      <c r="AF1013" s="6">
        <f ca="1">$M$1013*$Z$1013</f>
        <v>82.899000000000001</v>
      </c>
      <c r="AG1013" s="6">
        <f ca="1">$O$1013*$AA$1013</f>
        <v>34.137899999999995</v>
      </c>
    </row>
    <row r="1014" spans="1:33" ht="11.25" customHeight="1" x14ac:dyDescent="0.3">
      <c r="A1014" s="4" t="s">
        <v>28</v>
      </c>
      <c r="B1014" s="4" t="s">
        <v>37</v>
      </c>
      <c r="C1014" s="4" t="s">
        <v>33</v>
      </c>
      <c r="D1014" s="4" t="s">
        <v>38</v>
      </c>
      <c r="E1014" s="4" t="s">
        <v>25</v>
      </c>
      <c r="F1014" s="4" t="s">
        <v>25</v>
      </c>
      <c r="G1014" s="4" t="s">
        <v>25</v>
      </c>
      <c r="H1014" s="4" t="s">
        <v>34</v>
      </c>
      <c r="I1014" s="5">
        <v>44774</v>
      </c>
      <c r="J1014" s="6">
        <v>0</v>
      </c>
      <c r="K1014" s="6">
        <v>0</v>
      </c>
      <c r="L1014" s="6">
        <v>0.10299999999999999</v>
      </c>
      <c r="M1014" s="6">
        <v>0.10299999999999999</v>
      </c>
      <c r="N1014" s="6">
        <v>0.10299999999999999</v>
      </c>
      <c r="O1014" s="6">
        <v>0.10299999999999999</v>
      </c>
      <c r="P1014" s="6">
        <v>0</v>
      </c>
      <c r="Q1014" s="4" t="s">
        <v>26</v>
      </c>
      <c r="R1014" s="4">
        <v>0</v>
      </c>
      <c r="S1014" s="6">
        <v>0</v>
      </c>
      <c r="T1014" s="6">
        <v>83</v>
      </c>
      <c r="U1014" s="6">
        <v>106</v>
      </c>
      <c r="V1014" s="6">
        <f>IF(ISERROR(VLOOKUP($S$1014,'TAR FIN'!$A$1:$O$113,15,0)),0,VLOOKUP($S$1014,'TAR FIN'!$A$1:$O$113,15,0))</f>
        <v>0</v>
      </c>
      <c r="W1014" s="6">
        <f>IF(ISERROR(VLOOKUP($T$1014,'TAR FIN'!$A$1:$O$113,15,0)),0,VLOOKUP($T$1014,'TAR FIN'!$A$1:$O$113,15,0))</f>
        <v>748.29</v>
      </c>
      <c r="X1014" s="6">
        <f>IF(ISERROR(VLOOKUP($U$1014,'TAR FIN'!$A$1:$O$113,15,0)),0,VLOOKUP($U$1014,'TAR FIN'!$A$1:$O$113,15,0))</f>
        <v>442.86</v>
      </c>
      <c r="Y1014" s="6"/>
      <c r="Z1014" s="6">
        <f ca="1">('TUSD BE'!$AM$65+'TUSD BF_350'!$AM$65+'TUSD CVA'!$AM$65)*1</f>
        <v>921.1</v>
      </c>
      <c r="AA1014" s="6">
        <f ca="1">('TE BE'!$AB$43+'TE BF_350'!$AB$43+'TE CVA'!$AB$43)*1</f>
        <v>379.30999999999995</v>
      </c>
      <c r="AB1014" s="6">
        <f>$K$1014*$V$1014</f>
        <v>0</v>
      </c>
      <c r="AC1014" s="6">
        <f>$M$1014*$W$1014</f>
        <v>77.073869999999985</v>
      </c>
      <c r="AD1014" s="6">
        <f>$O$1014*$X$1014</f>
        <v>45.614579999999997</v>
      </c>
      <c r="AE1014" s="6">
        <f>$K$1014*$Y$1014</f>
        <v>0</v>
      </c>
      <c r="AF1014" s="6">
        <f ca="1">$M$1014*$Z$1014</f>
        <v>94.8733</v>
      </c>
      <c r="AG1014" s="6">
        <f ca="1">$O$1014*$AA$1014</f>
        <v>39.068929999999995</v>
      </c>
    </row>
    <row r="1015" spans="1:33" ht="11.25" customHeight="1" x14ac:dyDescent="0.3">
      <c r="A1015" s="4" t="s">
        <v>28</v>
      </c>
      <c r="B1015" s="4" t="s">
        <v>37</v>
      </c>
      <c r="C1015" s="4" t="s">
        <v>33</v>
      </c>
      <c r="D1015" s="4" t="s">
        <v>38</v>
      </c>
      <c r="E1015" s="4" t="s">
        <v>25</v>
      </c>
      <c r="F1015" s="4" t="s">
        <v>25</v>
      </c>
      <c r="G1015" s="4" t="s">
        <v>25</v>
      </c>
      <c r="H1015" s="4" t="s">
        <v>34</v>
      </c>
      <c r="I1015" s="5">
        <v>44805</v>
      </c>
      <c r="J1015" s="6">
        <v>0</v>
      </c>
      <c r="K1015" s="6">
        <v>0</v>
      </c>
      <c r="L1015" s="6">
        <v>0.112</v>
      </c>
      <c r="M1015" s="6">
        <v>0.112</v>
      </c>
      <c r="N1015" s="6">
        <v>0.112</v>
      </c>
      <c r="O1015" s="6">
        <v>0.112</v>
      </c>
      <c r="P1015" s="6">
        <v>0</v>
      </c>
      <c r="Q1015" s="4" t="s">
        <v>26</v>
      </c>
      <c r="R1015" s="4">
        <v>0</v>
      </c>
      <c r="S1015" s="6">
        <v>0</v>
      </c>
      <c r="T1015" s="6">
        <v>83</v>
      </c>
      <c r="U1015" s="6">
        <v>106</v>
      </c>
      <c r="V1015" s="6">
        <f>IF(ISERROR(VLOOKUP($S$1015,'TAR FIN'!$A$1:$O$113,15,0)),0,VLOOKUP($S$1015,'TAR FIN'!$A$1:$O$113,15,0))</f>
        <v>0</v>
      </c>
      <c r="W1015" s="6">
        <f>IF(ISERROR(VLOOKUP($T$1015,'TAR FIN'!$A$1:$O$113,15,0)),0,VLOOKUP($T$1015,'TAR FIN'!$A$1:$O$113,15,0))</f>
        <v>748.29</v>
      </c>
      <c r="X1015" s="6">
        <f>IF(ISERROR(VLOOKUP($U$1015,'TAR FIN'!$A$1:$O$113,15,0)),0,VLOOKUP($U$1015,'TAR FIN'!$A$1:$O$113,15,0))</f>
        <v>442.86</v>
      </c>
      <c r="Y1015" s="6"/>
      <c r="Z1015" s="6">
        <f ca="1">('TUSD BE'!$AM$65+'TUSD BF_350'!$AM$65+'TUSD CVA'!$AM$65)*1</f>
        <v>921.1</v>
      </c>
      <c r="AA1015" s="6">
        <f ca="1">('TE BE'!$AB$43+'TE BF_350'!$AB$43+'TE CVA'!$AB$43)*1</f>
        <v>379.30999999999995</v>
      </c>
      <c r="AB1015" s="6">
        <f>$K$1015*$V$1015</f>
        <v>0</v>
      </c>
      <c r="AC1015" s="6">
        <f>$M$1015*$W$1015</f>
        <v>83.808480000000003</v>
      </c>
      <c r="AD1015" s="6">
        <f>$O$1015*$X$1015</f>
        <v>49.600320000000004</v>
      </c>
      <c r="AE1015" s="6">
        <f>$K$1015*$Y$1015</f>
        <v>0</v>
      </c>
      <c r="AF1015" s="6">
        <f ca="1">$M$1015*$Z$1015</f>
        <v>103.1632</v>
      </c>
      <c r="AG1015" s="6">
        <f ca="1">$O$1015*$AA$1015</f>
        <v>42.482719999999993</v>
      </c>
    </row>
    <row r="1016" spans="1:33" ht="11.25" customHeight="1" x14ac:dyDescent="0.3">
      <c r="A1016" s="4" t="s">
        <v>53</v>
      </c>
      <c r="B1016" s="4" t="s">
        <v>37</v>
      </c>
      <c r="C1016" s="4" t="s">
        <v>33</v>
      </c>
      <c r="D1016" s="4" t="s">
        <v>38</v>
      </c>
      <c r="E1016" s="4" t="s">
        <v>25</v>
      </c>
      <c r="F1016" s="4" t="s">
        <v>25</v>
      </c>
      <c r="G1016" s="4" t="s">
        <v>25</v>
      </c>
      <c r="H1016" s="4" t="s">
        <v>34</v>
      </c>
      <c r="I1016" s="5">
        <v>44835</v>
      </c>
      <c r="J1016" s="6">
        <v>0</v>
      </c>
      <c r="K1016" s="6">
        <v>0</v>
      </c>
      <c r="L1016" s="6">
        <v>0.112</v>
      </c>
      <c r="M1016" s="6">
        <v>0.112</v>
      </c>
      <c r="N1016" s="6">
        <v>0.112</v>
      </c>
      <c r="O1016" s="6">
        <v>0.112</v>
      </c>
      <c r="P1016" s="6">
        <v>0</v>
      </c>
      <c r="Q1016" s="4" t="s">
        <v>26</v>
      </c>
      <c r="R1016" s="4">
        <v>0</v>
      </c>
      <c r="S1016" s="6">
        <v>0</v>
      </c>
      <c r="T1016" s="6">
        <v>83</v>
      </c>
      <c r="U1016" s="6">
        <v>106</v>
      </c>
      <c r="V1016" s="6">
        <f>IF(ISERROR(VLOOKUP($S$1016,'TAR FIN'!$A$1:$O$113,15,0)),0,VLOOKUP($S$1016,'TAR FIN'!$A$1:$O$113,15,0))</f>
        <v>0</v>
      </c>
      <c r="W1016" s="6">
        <f>IF(ISERROR(VLOOKUP($T$1016,'TAR FIN'!$A$1:$O$113,15,0)),0,VLOOKUP($T$1016,'TAR FIN'!$A$1:$O$113,15,0))</f>
        <v>748.29</v>
      </c>
      <c r="X1016" s="6">
        <f>IF(ISERROR(VLOOKUP($U$1016,'TAR FIN'!$A$1:$O$113,15,0)),0,VLOOKUP($U$1016,'TAR FIN'!$A$1:$O$113,15,0))</f>
        <v>442.86</v>
      </c>
      <c r="Y1016" s="6"/>
      <c r="Z1016" s="6">
        <f ca="1">('TUSD BE'!$AM$65+'TUSD BF_350'!$AM$65+'TUSD CVA'!$AM$65)*1</f>
        <v>921.1</v>
      </c>
      <c r="AA1016" s="6">
        <f ca="1">('TE BE'!$AB$43+'TE BF_350'!$AB$43+'TE CVA'!$AB$43)*1</f>
        <v>379.30999999999995</v>
      </c>
      <c r="AB1016" s="6">
        <f>$K$1016*$V$1016</f>
        <v>0</v>
      </c>
      <c r="AC1016" s="6">
        <f>$M$1016*$W$1016</f>
        <v>83.808480000000003</v>
      </c>
      <c r="AD1016" s="6">
        <f>$O$1016*$X$1016</f>
        <v>49.600320000000004</v>
      </c>
      <c r="AE1016" s="6">
        <f>$K$1016*$Y$1016</f>
        <v>0</v>
      </c>
      <c r="AF1016" s="6">
        <f ca="1">$M$1016*$Z$1016</f>
        <v>103.1632</v>
      </c>
      <c r="AG1016" s="6">
        <f ca="1">$O$1016*$AA$1016</f>
        <v>42.482719999999993</v>
      </c>
    </row>
    <row r="1017" spans="1:33" ht="11.25" customHeight="1" x14ac:dyDescent="0.3">
      <c r="A1017" s="4" t="s">
        <v>21</v>
      </c>
      <c r="B1017" s="4" t="s">
        <v>37</v>
      </c>
      <c r="C1017" s="4" t="s">
        <v>33</v>
      </c>
      <c r="D1017" s="4" t="s">
        <v>50</v>
      </c>
      <c r="E1017" s="4" t="s">
        <v>51</v>
      </c>
      <c r="F1017" s="4" t="s">
        <v>25</v>
      </c>
      <c r="G1017" s="4" t="s">
        <v>25</v>
      </c>
      <c r="H1017" s="4" t="s">
        <v>35</v>
      </c>
      <c r="I1017" s="5">
        <v>44682</v>
      </c>
      <c r="J1017" s="6">
        <v>0</v>
      </c>
      <c r="K1017" s="53">
        <v>0</v>
      </c>
      <c r="L1017" s="6">
        <v>10.817</v>
      </c>
      <c r="M1017" s="53">
        <v>10.817</v>
      </c>
      <c r="N1017" s="6">
        <v>10.817</v>
      </c>
      <c r="O1017" s="53">
        <v>10.817</v>
      </c>
      <c r="P1017" s="6">
        <v>0</v>
      </c>
      <c r="Q1017" s="4" t="s">
        <v>26</v>
      </c>
      <c r="R1017" s="4">
        <v>0</v>
      </c>
      <c r="S1017" s="6">
        <v>0</v>
      </c>
      <c r="T1017" s="6">
        <v>69</v>
      </c>
      <c r="U1017" s="6">
        <v>105</v>
      </c>
      <c r="V1017" s="53">
        <f>IF(ISERROR(VLOOKUP($S$1017,'TAR FIN'!$A$1:$O$113,15,0)),0,VLOOKUP($S$1017,'TAR FIN'!$A$1:$O$113,15,0))</f>
        <v>0</v>
      </c>
      <c r="W1017" s="53">
        <f>IF(ISERROR(VLOOKUP($T$1017,'TAR FIN'!$A$1:$O$113,15,0)),0,VLOOKUP($T$1017,'TAR FIN'!$A$1:$O$113,15,0))*(1-0.06)</f>
        <v>220.02579999999998</v>
      </c>
      <c r="X1017" s="53">
        <f>IF(ISERROR(VLOOKUP($U$1017,'TAR FIN'!$A$1:$O$113,15,0)),0,VLOOKUP($U$1017,'TAR FIN'!$A$1:$O$113,15,0))*(1-0.06)</f>
        <v>261.94979999999998</v>
      </c>
      <c r="Y1017" s="53"/>
      <c r="Z1017" s="53">
        <f ca="1">('TUSD BE'!$AM$67+'TUSD BF_350'!$AM$67+'TUSD CVA'!$AM$67)*1*(1-0.03)</f>
        <v>302.37810000000002</v>
      </c>
      <c r="AA1017" s="53">
        <f ca="1">('TE BE'!$AB$45+'TE BF_350'!$AB$45+'TE CVA'!$AB$45)*1*(1-0.03)</f>
        <v>224.73929999999999</v>
      </c>
      <c r="AB1017" s="6">
        <f>$K$1017*$V$1017</f>
        <v>0</v>
      </c>
      <c r="AC1017" s="6">
        <f>$M$1017*$W$1017</f>
        <v>2380.0190785999998</v>
      </c>
      <c r="AD1017" s="6">
        <f>$O$1017*$X$1017</f>
        <v>2833.5109865999998</v>
      </c>
      <c r="AE1017" s="6">
        <f>$K$1017*$Y$1017</f>
        <v>0</v>
      </c>
      <c r="AF1017" s="6">
        <f ca="1">$M$1017*$Z$1017</f>
        <v>3270.8239077000003</v>
      </c>
      <c r="AG1017" s="6">
        <f ca="1">$O$1017*$AA$1017</f>
        <v>2431.0050080999999</v>
      </c>
    </row>
    <row r="1018" spans="1:33" ht="11.25" customHeight="1" x14ac:dyDescent="0.3">
      <c r="A1018" s="4" t="s">
        <v>21</v>
      </c>
      <c r="B1018" s="4" t="s">
        <v>37</v>
      </c>
      <c r="C1018" s="4" t="s">
        <v>33</v>
      </c>
      <c r="D1018" s="4" t="s">
        <v>50</v>
      </c>
      <c r="E1018" s="4" t="s">
        <v>51</v>
      </c>
      <c r="F1018" s="4" t="s">
        <v>25</v>
      </c>
      <c r="G1018" s="4" t="s">
        <v>25</v>
      </c>
      <c r="H1018" s="4" t="s">
        <v>35</v>
      </c>
      <c r="I1018" s="5">
        <v>44713</v>
      </c>
      <c r="J1018" s="6">
        <v>0</v>
      </c>
      <c r="K1018" s="53">
        <v>0</v>
      </c>
      <c r="L1018" s="6">
        <v>7.1449999999999996</v>
      </c>
      <c r="M1018" s="53">
        <v>7.1449999999999996</v>
      </c>
      <c r="N1018" s="6">
        <v>7.1449999999999996</v>
      </c>
      <c r="O1018" s="53">
        <v>7.1449999999999996</v>
      </c>
      <c r="P1018" s="6">
        <v>0</v>
      </c>
      <c r="Q1018" s="4" t="s">
        <v>26</v>
      </c>
      <c r="R1018" s="4">
        <v>0</v>
      </c>
      <c r="S1018" s="6">
        <v>0</v>
      </c>
      <c r="T1018" s="6">
        <v>69</v>
      </c>
      <c r="U1018" s="6">
        <v>105</v>
      </c>
      <c r="V1018" s="53">
        <f>IF(ISERROR(VLOOKUP($S$1018,'TAR FIN'!$A$1:$O$113,15,0)),0,VLOOKUP($S$1018,'TAR FIN'!$A$1:$O$113,15,0))</f>
        <v>0</v>
      </c>
      <c r="W1018" s="53">
        <f>IF(ISERROR(VLOOKUP($T$1018,'TAR FIN'!$A$1:$O$113,15,0)),0,VLOOKUP($T$1018,'TAR FIN'!$A$1:$O$113,15,0))*(1-0.06)</f>
        <v>220.02579999999998</v>
      </c>
      <c r="X1018" s="53">
        <f>IF(ISERROR(VLOOKUP($U$1018,'TAR FIN'!$A$1:$O$113,15,0)),0,VLOOKUP($U$1018,'TAR FIN'!$A$1:$O$113,15,0))*(1-0.06)</f>
        <v>261.94979999999998</v>
      </c>
      <c r="Y1018" s="53"/>
      <c r="Z1018" s="53">
        <f ca="1">('TUSD BE'!$AM$67+'TUSD BF_350'!$AM$67+'TUSD CVA'!$AM$67)*1*(1-0.03)</f>
        <v>302.37810000000002</v>
      </c>
      <c r="AA1018" s="53">
        <f ca="1">('TE BE'!$AB$45+'TE BF_350'!$AB$45+'TE CVA'!$AB$45)*1*(1-0.03)</f>
        <v>224.73929999999999</v>
      </c>
      <c r="AB1018" s="6">
        <f>$K$1018*$V$1018</f>
        <v>0</v>
      </c>
      <c r="AC1018" s="6">
        <f>$M$1018*$W$1018</f>
        <v>1572.0843409999998</v>
      </c>
      <c r="AD1018" s="6">
        <f>$O$1018*$X$1018</f>
        <v>1871.6313209999998</v>
      </c>
      <c r="AE1018" s="6">
        <f>$K$1018*$Y$1018</f>
        <v>0</v>
      </c>
      <c r="AF1018" s="6">
        <f ca="1">$M$1018*$Z$1018</f>
        <v>2160.4915245000002</v>
      </c>
      <c r="AG1018" s="6">
        <f ca="1">$O$1018*$AA$1018</f>
        <v>1605.7622984999998</v>
      </c>
    </row>
    <row r="1019" spans="1:33" ht="11.25" customHeight="1" x14ac:dyDescent="0.3">
      <c r="A1019" s="4" t="s">
        <v>21</v>
      </c>
      <c r="B1019" s="4" t="s">
        <v>37</v>
      </c>
      <c r="C1019" s="4" t="s">
        <v>33</v>
      </c>
      <c r="D1019" s="4" t="s">
        <v>50</v>
      </c>
      <c r="E1019" s="4" t="s">
        <v>51</v>
      </c>
      <c r="F1019" s="4" t="s">
        <v>25</v>
      </c>
      <c r="G1019" s="4" t="s">
        <v>25</v>
      </c>
      <c r="H1019" s="4" t="s">
        <v>35</v>
      </c>
      <c r="I1019" s="5">
        <v>44743</v>
      </c>
      <c r="J1019" s="6">
        <v>0</v>
      </c>
      <c r="K1019" s="53">
        <v>0</v>
      </c>
      <c r="L1019" s="6">
        <v>7.2779999999999996</v>
      </c>
      <c r="M1019" s="53">
        <v>7.2779999999999996</v>
      </c>
      <c r="N1019" s="6">
        <v>7.2779999999999996</v>
      </c>
      <c r="O1019" s="53">
        <v>7.2779999999999996</v>
      </c>
      <c r="P1019" s="6">
        <v>0</v>
      </c>
      <c r="Q1019" s="4" t="s">
        <v>26</v>
      </c>
      <c r="R1019" s="4">
        <v>0</v>
      </c>
      <c r="S1019" s="6">
        <v>0</v>
      </c>
      <c r="T1019" s="6">
        <v>69</v>
      </c>
      <c r="U1019" s="6">
        <v>105</v>
      </c>
      <c r="V1019" s="53">
        <f>IF(ISERROR(VLOOKUP($S$1019,'TAR FIN'!$A$1:$O$113,15,0)),0,VLOOKUP($S$1019,'TAR FIN'!$A$1:$O$113,15,0))</f>
        <v>0</v>
      </c>
      <c r="W1019" s="53">
        <f>IF(ISERROR(VLOOKUP($T$1019,'TAR FIN'!$A$1:$O$113,15,0)),0,VLOOKUP($T$1019,'TAR FIN'!$A$1:$O$113,15,0))*(1-0.06)</f>
        <v>220.02579999999998</v>
      </c>
      <c r="X1019" s="53">
        <f>IF(ISERROR(VLOOKUP($U$1019,'TAR FIN'!$A$1:$O$113,15,0)),0,VLOOKUP($U$1019,'TAR FIN'!$A$1:$O$113,15,0))*(1-0.06)</f>
        <v>261.94979999999998</v>
      </c>
      <c r="Y1019" s="53"/>
      <c r="Z1019" s="53">
        <f ca="1">('TUSD BE'!$AM$67+'TUSD BF_350'!$AM$67+'TUSD CVA'!$AM$67)*1*(1-0.03)</f>
        <v>302.37810000000002</v>
      </c>
      <c r="AA1019" s="53">
        <f ca="1">('TE BE'!$AB$45+'TE BF_350'!$AB$45+'TE CVA'!$AB$45)*1*(1-0.03)</f>
        <v>224.73929999999999</v>
      </c>
      <c r="AB1019" s="6">
        <f>$K$1019*$V$1019</f>
        <v>0</v>
      </c>
      <c r="AC1019" s="6">
        <f>$M$1019*$W$1019</f>
        <v>1601.3477723999997</v>
      </c>
      <c r="AD1019" s="6">
        <f>$O$1019*$X$1019</f>
        <v>1906.4706443999999</v>
      </c>
      <c r="AE1019" s="6">
        <f>$K$1019*$Y$1019</f>
        <v>0</v>
      </c>
      <c r="AF1019" s="6">
        <f ca="1">$M$1019*$Z$1019</f>
        <v>2200.7078117999999</v>
      </c>
      <c r="AG1019" s="6">
        <f ca="1">$O$1019*$AA$1019</f>
        <v>1635.6526253999998</v>
      </c>
    </row>
    <row r="1020" spans="1:33" ht="11.25" customHeight="1" x14ac:dyDescent="0.3">
      <c r="A1020" s="4" t="s">
        <v>21</v>
      </c>
      <c r="B1020" s="4" t="s">
        <v>37</v>
      </c>
      <c r="C1020" s="4" t="s">
        <v>33</v>
      </c>
      <c r="D1020" s="4" t="s">
        <v>50</v>
      </c>
      <c r="E1020" s="4" t="s">
        <v>51</v>
      </c>
      <c r="F1020" s="4" t="s">
        <v>25</v>
      </c>
      <c r="G1020" s="4" t="s">
        <v>25</v>
      </c>
      <c r="H1020" s="4" t="s">
        <v>35</v>
      </c>
      <c r="I1020" s="5">
        <v>44774</v>
      </c>
      <c r="J1020" s="6">
        <v>0</v>
      </c>
      <c r="K1020" s="53">
        <v>0</v>
      </c>
      <c r="L1020" s="6">
        <v>8.3040000000000003</v>
      </c>
      <c r="M1020" s="53">
        <v>8.3040000000000003</v>
      </c>
      <c r="N1020" s="6">
        <v>8.3040000000000003</v>
      </c>
      <c r="O1020" s="53">
        <v>8.3040000000000003</v>
      </c>
      <c r="P1020" s="6">
        <v>0</v>
      </c>
      <c r="Q1020" s="4" t="s">
        <v>26</v>
      </c>
      <c r="R1020" s="4">
        <v>0</v>
      </c>
      <c r="S1020" s="6">
        <v>0</v>
      </c>
      <c r="T1020" s="6">
        <v>69</v>
      </c>
      <c r="U1020" s="6">
        <v>105</v>
      </c>
      <c r="V1020" s="53">
        <f>IF(ISERROR(VLOOKUP($S$1020,'TAR FIN'!$A$1:$O$113,15,0)),0,VLOOKUP($S$1020,'TAR FIN'!$A$1:$O$113,15,0))</f>
        <v>0</v>
      </c>
      <c r="W1020" s="53">
        <f>IF(ISERROR(VLOOKUP($T$1020,'TAR FIN'!$A$1:$O$113,15,0)),0,VLOOKUP($T$1020,'TAR FIN'!$A$1:$O$113,15,0))*(1-0.06)</f>
        <v>220.02579999999998</v>
      </c>
      <c r="X1020" s="53">
        <f>IF(ISERROR(VLOOKUP($U$1020,'TAR FIN'!$A$1:$O$113,15,0)),0,VLOOKUP($U$1020,'TAR FIN'!$A$1:$O$113,15,0))*(1-0.06)</f>
        <v>261.94979999999998</v>
      </c>
      <c r="Y1020" s="53"/>
      <c r="Z1020" s="53">
        <f ca="1">('TUSD BE'!$AM$67+'TUSD BF_350'!$AM$67+'TUSD CVA'!$AM$67)*1*(1-0.03)</f>
        <v>302.37810000000002</v>
      </c>
      <c r="AA1020" s="53">
        <f ca="1">('TE BE'!$AB$45+'TE BF_350'!$AB$45+'TE CVA'!$AB$45)*1*(1-0.03)</f>
        <v>224.73929999999999</v>
      </c>
      <c r="AB1020" s="6">
        <f>$K$1020*$V$1020</f>
        <v>0</v>
      </c>
      <c r="AC1020" s="6">
        <f>$M$1020*$W$1020</f>
        <v>1827.0942431999999</v>
      </c>
      <c r="AD1020" s="6">
        <f>$O$1020*$X$1020</f>
        <v>2175.2311392000001</v>
      </c>
      <c r="AE1020" s="6">
        <f>$K$1020*$Y$1020</f>
        <v>0</v>
      </c>
      <c r="AF1020" s="6">
        <f ca="1">$M$1020*$Z$1020</f>
        <v>2510.9477424000002</v>
      </c>
      <c r="AG1020" s="6">
        <f ca="1">$O$1020*$AA$1020</f>
        <v>1866.2351472</v>
      </c>
    </row>
    <row r="1021" spans="1:33" ht="11.25" customHeight="1" x14ac:dyDescent="0.3">
      <c r="A1021" s="4" t="s">
        <v>21</v>
      </c>
      <c r="B1021" s="4" t="s">
        <v>37</v>
      </c>
      <c r="C1021" s="4" t="s">
        <v>33</v>
      </c>
      <c r="D1021" s="4" t="s">
        <v>50</v>
      </c>
      <c r="E1021" s="4" t="s">
        <v>51</v>
      </c>
      <c r="F1021" s="4" t="s">
        <v>25</v>
      </c>
      <c r="G1021" s="4" t="s">
        <v>25</v>
      </c>
      <c r="H1021" s="4" t="s">
        <v>35</v>
      </c>
      <c r="I1021" s="5">
        <v>44805</v>
      </c>
      <c r="J1021" s="6">
        <v>0</v>
      </c>
      <c r="K1021" s="53">
        <v>0</v>
      </c>
      <c r="L1021" s="6">
        <v>8.2780000000000005</v>
      </c>
      <c r="M1021" s="53">
        <v>8.2780000000000005</v>
      </c>
      <c r="N1021" s="6">
        <v>8.2780000000000005</v>
      </c>
      <c r="O1021" s="53">
        <v>8.2780000000000005</v>
      </c>
      <c r="P1021" s="6">
        <v>0</v>
      </c>
      <c r="Q1021" s="4" t="s">
        <v>26</v>
      </c>
      <c r="R1021" s="4">
        <v>0</v>
      </c>
      <c r="S1021" s="6">
        <v>0</v>
      </c>
      <c r="T1021" s="6">
        <v>69</v>
      </c>
      <c r="U1021" s="6">
        <v>105</v>
      </c>
      <c r="V1021" s="53">
        <f>IF(ISERROR(VLOOKUP($S$1021,'TAR FIN'!$A$1:$O$113,15,0)),0,VLOOKUP($S$1021,'TAR FIN'!$A$1:$O$113,15,0))</f>
        <v>0</v>
      </c>
      <c r="W1021" s="53">
        <f>IF(ISERROR(VLOOKUP($T$1021,'TAR FIN'!$A$1:$O$113,15,0)),0,VLOOKUP($T$1021,'TAR FIN'!$A$1:$O$113,15,0))*(1-0.06)</f>
        <v>220.02579999999998</v>
      </c>
      <c r="X1021" s="53">
        <f>IF(ISERROR(VLOOKUP($U$1021,'TAR FIN'!$A$1:$O$113,15,0)),0,VLOOKUP($U$1021,'TAR FIN'!$A$1:$O$113,15,0))*(1-0.06)</f>
        <v>261.94979999999998</v>
      </c>
      <c r="Y1021" s="53"/>
      <c r="Z1021" s="53">
        <f ca="1">('TUSD BE'!$AM$67+'TUSD BF_350'!$AM$67+'TUSD CVA'!$AM$67)*1*(1-0.03)</f>
        <v>302.37810000000002</v>
      </c>
      <c r="AA1021" s="53">
        <f ca="1">('TE BE'!$AB$45+'TE BF_350'!$AB$45+'TE CVA'!$AB$45)*1*(1-0.03)</f>
        <v>224.73929999999999</v>
      </c>
      <c r="AB1021" s="6">
        <f>$K$1021*$V$1021</f>
        <v>0</v>
      </c>
      <c r="AC1021" s="6">
        <f>$M$1021*$W$1021</f>
        <v>1821.3735723999998</v>
      </c>
      <c r="AD1021" s="6">
        <f>$O$1021*$X$1021</f>
        <v>2168.4204444000002</v>
      </c>
      <c r="AE1021" s="6">
        <f>$K$1021*$Y$1021</f>
        <v>0</v>
      </c>
      <c r="AF1021" s="6">
        <f ca="1">$M$1021*$Z$1021</f>
        <v>2503.0859118000003</v>
      </c>
      <c r="AG1021" s="6">
        <f ca="1">$O$1021*$AA$1021</f>
        <v>1860.3919254</v>
      </c>
    </row>
    <row r="1022" spans="1:33" ht="11.25" customHeight="1" x14ac:dyDescent="0.3">
      <c r="A1022" s="4" t="s">
        <v>53</v>
      </c>
      <c r="B1022" s="4" t="s">
        <v>37</v>
      </c>
      <c r="C1022" s="4" t="s">
        <v>33</v>
      </c>
      <c r="D1022" s="4" t="s">
        <v>50</v>
      </c>
      <c r="E1022" s="4" t="s">
        <v>51</v>
      </c>
      <c r="F1022" s="4" t="s">
        <v>25</v>
      </c>
      <c r="G1022" s="4" t="s">
        <v>25</v>
      </c>
      <c r="H1022" s="4" t="s">
        <v>35</v>
      </c>
      <c r="I1022" s="5">
        <v>44835</v>
      </c>
      <c r="J1022" s="6">
        <v>0</v>
      </c>
      <c r="K1022" s="53">
        <v>0</v>
      </c>
      <c r="L1022" s="6">
        <v>8.2780000000000005</v>
      </c>
      <c r="M1022" s="53">
        <v>8.2780000000000005</v>
      </c>
      <c r="N1022" s="6">
        <v>8.2780000000000005</v>
      </c>
      <c r="O1022" s="53">
        <v>8.2780000000000005</v>
      </c>
      <c r="P1022" s="6">
        <v>0</v>
      </c>
      <c r="Q1022" s="4" t="s">
        <v>26</v>
      </c>
      <c r="R1022" s="4">
        <v>0</v>
      </c>
      <c r="S1022" s="6">
        <v>0</v>
      </c>
      <c r="T1022" s="6">
        <v>69</v>
      </c>
      <c r="U1022" s="6">
        <v>105</v>
      </c>
      <c r="V1022" s="53">
        <f>IF(ISERROR(VLOOKUP($S$1022,'TAR FIN'!$A$1:$O$113,15,0)),0,VLOOKUP($S$1022,'TAR FIN'!$A$1:$O$113,15,0))</f>
        <v>0</v>
      </c>
      <c r="W1022" s="53">
        <f>IF(ISERROR(VLOOKUP($T$1022,'TAR FIN'!$A$1:$O$113,15,0)),0,VLOOKUP($T$1022,'TAR FIN'!$A$1:$O$113,15,0))*(1-0.06)</f>
        <v>220.02579999999998</v>
      </c>
      <c r="X1022" s="53">
        <f>IF(ISERROR(VLOOKUP($U$1022,'TAR FIN'!$A$1:$O$113,15,0)),0,VLOOKUP($U$1022,'TAR FIN'!$A$1:$O$113,15,0))*(1-0.06)</f>
        <v>261.94979999999998</v>
      </c>
      <c r="Y1022" s="53"/>
      <c r="Z1022" s="53">
        <f ca="1">('TUSD BE'!$AM$67+'TUSD BF_350'!$AM$67+'TUSD CVA'!$AM$67)*1*(1-0.03)</f>
        <v>302.37810000000002</v>
      </c>
      <c r="AA1022" s="53">
        <f ca="1">('TE BE'!$AB$45+'TE BF_350'!$AB$45+'TE CVA'!$AB$45)*1*(1-0.03)</f>
        <v>224.73929999999999</v>
      </c>
      <c r="AB1022" s="6">
        <f>$K$1022*$V$1022</f>
        <v>0</v>
      </c>
      <c r="AC1022" s="6">
        <f>$M$1022*$W$1022</f>
        <v>1821.3735723999998</v>
      </c>
      <c r="AD1022" s="6">
        <f>$O$1022*$X$1022</f>
        <v>2168.4204444000002</v>
      </c>
      <c r="AE1022" s="6">
        <f>$K$1022*$Y$1022</f>
        <v>0</v>
      </c>
      <c r="AF1022" s="6">
        <f ca="1">$M$1022*$Z$1022</f>
        <v>2503.0859118000003</v>
      </c>
      <c r="AG1022" s="6">
        <f ca="1">$O$1022*$AA$1022</f>
        <v>1860.3919254</v>
      </c>
    </row>
    <row r="1023" spans="1:33" ht="11.25" customHeight="1" x14ac:dyDescent="0.3">
      <c r="A1023" s="4" t="s">
        <v>21</v>
      </c>
      <c r="B1023" s="4" t="s">
        <v>37</v>
      </c>
      <c r="C1023" s="4" t="s">
        <v>33</v>
      </c>
      <c r="D1023" s="4" t="s">
        <v>50</v>
      </c>
      <c r="E1023" s="4" t="s">
        <v>51</v>
      </c>
      <c r="F1023" s="4" t="s">
        <v>25</v>
      </c>
      <c r="G1023" s="4" t="s">
        <v>25</v>
      </c>
      <c r="H1023" s="4" t="s">
        <v>36</v>
      </c>
      <c r="I1023" s="5">
        <v>44682</v>
      </c>
      <c r="J1023" s="6">
        <v>0</v>
      </c>
      <c r="K1023" s="53">
        <v>0</v>
      </c>
      <c r="L1023" s="6">
        <v>0.219</v>
      </c>
      <c r="M1023" s="53">
        <v>0.219</v>
      </c>
      <c r="N1023" s="6">
        <v>0.219</v>
      </c>
      <c r="O1023" s="53">
        <v>0.219</v>
      </c>
      <c r="P1023" s="6">
        <v>0</v>
      </c>
      <c r="Q1023" s="4" t="s">
        <v>26</v>
      </c>
      <c r="R1023" s="4">
        <v>0</v>
      </c>
      <c r="S1023" s="6">
        <v>0</v>
      </c>
      <c r="T1023" s="6">
        <v>82</v>
      </c>
      <c r="U1023" s="6">
        <v>110</v>
      </c>
      <c r="V1023" s="53">
        <f>IF(ISERROR(VLOOKUP($S$1023,'TAR FIN'!$A$1:$O$113,15,0)),0,VLOOKUP($S$1023,'TAR FIN'!$A$1:$O$113,15,0))</f>
        <v>0</v>
      </c>
      <c r="W1023" s="53">
        <f>IF(ISERROR(VLOOKUP($T$1023,'TAR FIN'!$A$1:$O$113,15,0)),0,VLOOKUP($T$1023,'TAR FIN'!$A$1:$O$113,15,0))*(1-0.06)</f>
        <v>461.70919999999995</v>
      </c>
      <c r="X1023" s="53">
        <f>IF(ISERROR(VLOOKUP($U$1023,'TAR FIN'!$A$1:$O$113,15,0)),0,VLOOKUP($U$1023,'TAR FIN'!$A$1:$O$113,15,0))*(1-0.06)</f>
        <v>261.94979999999998</v>
      </c>
      <c r="Y1023" s="53"/>
      <c r="Z1023" s="53">
        <f ca="1">('TUSD BE'!$AM$66+'TUSD BF_350'!$AM$66+'TUSD CVA'!$AM$66)*1*(1-0.03)</f>
        <v>597.92739999999992</v>
      </c>
      <c r="AA1023" s="53">
        <f ca="1">('TE BE'!$AB$44+'TE BF_350'!$AB$44+'TE CVA'!$AB$44)*1*(1-0.03)</f>
        <v>224.73929999999999</v>
      </c>
      <c r="AB1023" s="6">
        <f>$K$1023*$V$1023</f>
        <v>0</v>
      </c>
      <c r="AC1023" s="6">
        <f>$M$1023*$W$1023</f>
        <v>101.11431479999999</v>
      </c>
      <c r="AD1023" s="6">
        <f>$O$1023*$X$1023</f>
        <v>57.367006199999999</v>
      </c>
      <c r="AE1023" s="6">
        <f>$K$1023*$Y$1023</f>
        <v>0</v>
      </c>
      <c r="AF1023" s="6">
        <f ca="1">$M$1023*$Z$1023</f>
        <v>130.94610059999999</v>
      </c>
      <c r="AG1023" s="6">
        <f ca="1">$O$1023*$AA$1023</f>
        <v>49.2179067</v>
      </c>
    </row>
    <row r="1024" spans="1:33" ht="11.25" customHeight="1" x14ac:dyDescent="0.3">
      <c r="A1024" s="4" t="s">
        <v>21</v>
      </c>
      <c r="B1024" s="4" t="s">
        <v>37</v>
      </c>
      <c r="C1024" s="4" t="s">
        <v>33</v>
      </c>
      <c r="D1024" s="4" t="s">
        <v>50</v>
      </c>
      <c r="E1024" s="4" t="s">
        <v>51</v>
      </c>
      <c r="F1024" s="4" t="s">
        <v>25</v>
      </c>
      <c r="G1024" s="4" t="s">
        <v>25</v>
      </c>
      <c r="H1024" s="4" t="s">
        <v>36</v>
      </c>
      <c r="I1024" s="5">
        <v>44713</v>
      </c>
      <c r="J1024" s="6">
        <v>0</v>
      </c>
      <c r="K1024" s="53">
        <v>0</v>
      </c>
      <c r="L1024" s="6">
        <v>5.2999999999999999E-2</v>
      </c>
      <c r="M1024" s="53">
        <v>5.2999999999999999E-2</v>
      </c>
      <c r="N1024" s="6">
        <v>5.2999999999999999E-2</v>
      </c>
      <c r="O1024" s="53">
        <v>5.2999999999999999E-2</v>
      </c>
      <c r="P1024" s="6">
        <v>0</v>
      </c>
      <c r="Q1024" s="4" t="s">
        <v>26</v>
      </c>
      <c r="R1024" s="4">
        <v>0</v>
      </c>
      <c r="S1024" s="6">
        <v>0</v>
      </c>
      <c r="T1024" s="6">
        <v>82</v>
      </c>
      <c r="U1024" s="6">
        <v>110</v>
      </c>
      <c r="V1024" s="53">
        <f>IF(ISERROR(VLOOKUP($S$1024,'TAR FIN'!$A$1:$O$113,15,0)),0,VLOOKUP($S$1024,'TAR FIN'!$A$1:$O$113,15,0))</f>
        <v>0</v>
      </c>
      <c r="W1024" s="53">
        <f>IF(ISERROR(VLOOKUP($T$1024,'TAR FIN'!$A$1:$O$113,15,0)),0,VLOOKUP($T$1024,'TAR FIN'!$A$1:$O$113,15,0))*(1-0.06)</f>
        <v>461.70919999999995</v>
      </c>
      <c r="X1024" s="53">
        <f>IF(ISERROR(VLOOKUP($U$1024,'TAR FIN'!$A$1:$O$113,15,0)),0,VLOOKUP($U$1024,'TAR FIN'!$A$1:$O$113,15,0))*(1-0.06)</f>
        <v>261.94979999999998</v>
      </c>
      <c r="Y1024" s="53"/>
      <c r="Z1024" s="53">
        <f ca="1">('TUSD BE'!$AM$66+'TUSD BF_350'!$AM$66+'TUSD CVA'!$AM$66)*1*(1-0.03)</f>
        <v>597.92739999999992</v>
      </c>
      <c r="AA1024" s="53">
        <f ca="1">('TE BE'!$AB$44+'TE BF_350'!$AB$44+'TE CVA'!$AB$44)*1*(1-0.03)</f>
        <v>224.73929999999999</v>
      </c>
      <c r="AB1024" s="6">
        <f>$K$1024*$V$1024</f>
        <v>0</v>
      </c>
      <c r="AC1024" s="6">
        <f>$M$1024*$W$1024</f>
        <v>24.470587599999998</v>
      </c>
      <c r="AD1024" s="6">
        <f>$O$1024*$X$1024</f>
        <v>13.883339399999999</v>
      </c>
      <c r="AE1024" s="6">
        <f>$K$1024*$Y$1024</f>
        <v>0</v>
      </c>
      <c r="AF1024" s="6">
        <f ca="1">$M$1024*$Z$1024</f>
        <v>31.690152199999996</v>
      </c>
      <c r="AG1024" s="6">
        <f ca="1">$O$1024*$AA$1024</f>
        <v>11.911182899999998</v>
      </c>
    </row>
    <row r="1025" spans="1:33" ht="11.25" customHeight="1" x14ac:dyDescent="0.3">
      <c r="A1025" s="4" t="s">
        <v>21</v>
      </c>
      <c r="B1025" s="4" t="s">
        <v>37</v>
      </c>
      <c r="C1025" s="4" t="s">
        <v>33</v>
      </c>
      <c r="D1025" s="4" t="s">
        <v>50</v>
      </c>
      <c r="E1025" s="4" t="s">
        <v>51</v>
      </c>
      <c r="F1025" s="4" t="s">
        <v>25</v>
      </c>
      <c r="G1025" s="4" t="s">
        <v>25</v>
      </c>
      <c r="H1025" s="4" t="s">
        <v>36</v>
      </c>
      <c r="I1025" s="5">
        <v>44743</v>
      </c>
      <c r="J1025" s="6">
        <v>0</v>
      </c>
      <c r="K1025" s="53">
        <v>0</v>
      </c>
      <c r="L1025" s="6">
        <v>1.7000000000000001E-2</v>
      </c>
      <c r="M1025" s="53">
        <v>1.7000000000000001E-2</v>
      </c>
      <c r="N1025" s="6">
        <v>1.7000000000000001E-2</v>
      </c>
      <c r="O1025" s="53">
        <v>1.7000000000000001E-2</v>
      </c>
      <c r="P1025" s="6">
        <v>0</v>
      </c>
      <c r="Q1025" s="4" t="s">
        <v>26</v>
      </c>
      <c r="R1025" s="4">
        <v>0</v>
      </c>
      <c r="S1025" s="6">
        <v>0</v>
      </c>
      <c r="T1025" s="6">
        <v>82</v>
      </c>
      <c r="U1025" s="6">
        <v>110</v>
      </c>
      <c r="V1025" s="53">
        <f>IF(ISERROR(VLOOKUP($S$1025,'TAR FIN'!$A$1:$O$113,15,0)),0,VLOOKUP($S$1025,'TAR FIN'!$A$1:$O$113,15,0))</f>
        <v>0</v>
      </c>
      <c r="W1025" s="53">
        <f>IF(ISERROR(VLOOKUP($T$1025,'TAR FIN'!$A$1:$O$113,15,0)),0,VLOOKUP($T$1025,'TAR FIN'!$A$1:$O$113,15,0))*(1-0.06)</f>
        <v>461.70919999999995</v>
      </c>
      <c r="X1025" s="53">
        <f>IF(ISERROR(VLOOKUP($U$1025,'TAR FIN'!$A$1:$O$113,15,0)),0,VLOOKUP($U$1025,'TAR FIN'!$A$1:$O$113,15,0))*(1-0.06)</f>
        <v>261.94979999999998</v>
      </c>
      <c r="Y1025" s="53"/>
      <c r="Z1025" s="53">
        <f ca="1">('TUSD BE'!$AM$66+'TUSD BF_350'!$AM$66+'TUSD CVA'!$AM$66)*1*(1-0.03)</f>
        <v>597.92739999999992</v>
      </c>
      <c r="AA1025" s="53">
        <f ca="1">('TE BE'!$AB$44+'TE BF_350'!$AB$44+'TE CVA'!$AB$44)*1*(1-0.03)</f>
        <v>224.73929999999999</v>
      </c>
      <c r="AB1025" s="6">
        <f>$K$1025*$V$1025</f>
        <v>0</v>
      </c>
      <c r="AC1025" s="6">
        <f>$M$1025*$W$1025</f>
        <v>7.8490563999999994</v>
      </c>
      <c r="AD1025" s="6">
        <f>$O$1025*$X$1025</f>
        <v>4.4531466000000002</v>
      </c>
      <c r="AE1025" s="6">
        <f>$K$1025*$Y$1025</f>
        <v>0</v>
      </c>
      <c r="AF1025" s="6">
        <f ca="1">$M$1025*$Z$1025</f>
        <v>10.1647658</v>
      </c>
      <c r="AG1025" s="6">
        <f ca="1">$O$1025*$AA$1025</f>
        <v>3.8205681</v>
      </c>
    </row>
    <row r="1026" spans="1:33" ht="11.25" customHeight="1" x14ac:dyDescent="0.3">
      <c r="A1026" s="4" t="s">
        <v>21</v>
      </c>
      <c r="B1026" s="4" t="s">
        <v>37</v>
      </c>
      <c r="C1026" s="4" t="s">
        <v>33</v>
      </c>
      <c r="D1026" s="4" t="s">
        <v>50</v>
      </c>
      <c r="E1026" s="4" t="s">
        <v>51</v>
      </c>
      <c r="F1026" s="4" t="s">
        <v>25</v>
      </c>
      <c r="G1026" s="4" t="s">
        <v>25</v>
      </c>
      <c r="H1026" s="4" t="s">
        <v>36</v>
      </c>
      <c r="I1026" s="5">
        <v>44774</v>
      </c>
      <c r="J1026" s="6">
        <v>0</v>
      </c>
      <c r="K1026" s="53">
        <v>0</v>
      </c>
      <c r="L1026" s="6">
        <v>0.02</v>
      </c>
      <c r="M1026" s="53">
        <v>0.02</v>
      </c>
      <c r="N1026" s="6">
        <v>0.02</v>
      </c>
      <c r="O1026" s="53">
        <v>0.02</v>
      </c>
      <c r="P1026" s="6">
        <v>0</v>
      </c>
      <c r="Q1026" s="4" t="s">
        <v>26</v>
      </c>
      <c r="R1026" s="4">
        <v>0</v>
      </c>
      <c r="S1026" s="6">
        <v>0</v>
      </c>
      <c r="T1026" s="6">
        <v>82</v>
      </c>
      <c r="U1026" s="6">
        <v>110</v>
      </c>
      <c r="V1026" s="53">
        <f>IF(ISERROR(VLOOKUP($S$1026,'TAR FIN'!$A$1:$O$113,15,0)),0,VLOOKUP($S$1026,'TAR FIN'!$A$1:$O$113,15,0))</f>
        <v>0</v>
      </c>
      <c r="W1026" s="53">
        <f>IF(ISERROR(VLOOKUP($T$1026,'TAR FIN'!$A$1:$O$113,15,0)),0,VLOOKUP($T$1026,'TAR FIN'!$A$1:$O$113,15,0))*(1-0.06)</f>
        <v>461.70919999999995</v>
      </c>
      <c r="X1026" s="53">
        <f>IF(ISERROR(VLOOKUP($U$1026,'TAR FIN'!$A$1:$O$113,15,0)),0,VLOOKUP($U$1026,'TAR FIN'!$A$1:$O$113,15,0))*(1-0.06)</f>
        <v>261.94979999999998</v>
      </c>
      <c r="Y1026" s="53"/>
      <c r="Z1026" s="53">
        <f ca="1">('TUSD BE'!$AM$66+'TUSD BF_350'!$AM$66+'TUSD CVA'!$AM$66)*1*(1-0.03)</f>
        <v>597.92739999999992</v>
      </c>
      <c r="AA1026" s="53">
        <f ca="1">('TE BE'!$AB$44+'TE BF_350'!$AB$44+'TE CVA'!$AB$44)*1*(1-0.03)</f>
        <v>224.73929999999999</v>
      </c>
      <c r="AB1026" s="6">
        <f>$K$1026*$V$1026</f>
        <v>0</v>
      </c>
      <c r="AC1026" s="6">
        <f>$M$1026*$W$1026</f>
        <v>9.2341839999999991</v>
      </c>
      <c r="AD1026" s="6">
        <f>$O$1026*$X$1026</f>
        <v>5.2389959999999993</v>
      </c>
      <c r="AE1026" s="6">
        <f>$K$1026*$Y$1026</f>
        <v>0</v>
      </c>
      <c r="AF1026" s="6">
        <f ca="1">$M$1026*$Z$1026</f>
        <v>11.958547999999999</v>
      </c>
      <c r="AG1026" s="6">
        <f ca="1">$O$1026*$AA$1026</f>
        <v>4.4947859999999995</v>
      </c>
    </row>
    <row r="1027" spans="1:33" ht="11.25" customHeight="1" x14ac:dyDescent="0.3">
      <c r="A1027" s="4" t="s">
        <v>21</v>
      </c>
      <c r="B1027" s="4" t="s">
        <v>37</v>
      </c>
      <c r="C1027" s="4" t="s">
        <v>33</v>
      </c>
      <c r="D1027" s="4" t="s">
        <v>50</v>
      </c>
      <c r="E1027" s="4" t="s">
        <v>51</v>
      </c>
      <c r="F1027" s="4" t="s">
        <v>25</v>
      </c>
      <c r="G1027" s="4" t="s">
        <v>25</v>
      </c>
      <c r="H1027" s="4" t="s">
        <v>36</v>
      </c>
      <c r="I1027" s="5">
        <v>44805</v>
      </c>
      <c r="J1027" s="6">
        <v>0</v>
      </c>
      <c r="K1027" s="53">
        <v>0</v>
      </c>
      <c r="L1027" s="6">
        <v>2.1999999999999999E-2</v>
      </c>
      <c r="M1027" s="53">
        <v>2.1999999999999999E-2</v>
      </c>
      <c r="N1027" s="6">
        <v>2.1999999999999999E-2</v>
      </c>
      <c r="O1027" s="53">
        <v>2.1999999999999999E-2</v>
      </c>
      <c r="P1027" s="6">
        <v>0</v>
      </c>
      <c r="Q1027" s="4" t="s">
        <v>26</v>
      </c>
      <c r="R1027" s="4">
        <v>0</v>
      </c>
      <c r="S1027" s="6">
        <v>0</v>
      </c>
      <c r="T1027" s="6">
        <v>82</v>
      </c>
      <c r="U1027" s="6">
        <v>110</v>
      </c>
      <c r="V1027" s="53">
        <f>IF(ISERROR(VLOOKUP($S$1027,'TAR FIN'!$A$1:$O$113,15,0)),0,VLOOKUP($S$1027,'TAR FIN'!$A$1:$O$113,15,0))</f>
        <v>0</v>
      </c>
      <c r="W1027" s="53">
        <f>IF(ISERROR(VLOOKUP($T$1027,'TAR FIN'!$A$1:$O$113,15,0)),0,VLOOKUP($T$1027,'TAR FIN'!$A$1:$O$113,15,0))*(1-0.06)</f>
        <v>461.70919999999995</v>
      </c>
      <c r="X1027" s="53">
        <f>IF(ISERROR(VLOOKUP($U$1027,'TAR FIN'!$A$1:$O$113,15,0)),0,VLOOKUP($U$1027,'TAR FIN'!$A$1:$O$113,15,0))*(1-0.06)</f>
        <v>261.94979999999998</v>
      </c>
      <c r="Y1027" s="53"/>
      <c r="Z1027" s="53">
        <f ca="1">('TUSD BE'!$AM$66+'TUSD BF_350'!$AM$66+'TUSD CVA'!$AM$66)*1*(1-0.03)</f>
        <v>597.92739999999992</v>
      </c>
      <c r="AA1027" s="53">
        <f ca="1">('TE BE'!$AB$44+'TE BF_350'!$AB$44+'TE CVA'!$AB$44)*1*(1-0.03)</f>
        <v>224.73929999999999</v>
      </c>
      <c r="AB1027" s="6">
        <f>$K$1027*$V$1027</f>
        <v>0</v>
      </c>
      <c r="AC1027" s="6">
        <f>$M$1027*$W$1027</f>
        <v>10.157602399999998</v>
      </c>
      <c r="AD1027" s="6">
        <f>$O$1027*$X$1027</f>
        <v>5.7628955999999993</v>
      </c>
      <c r="AE1027" s="6">
        <f>$K$1027*$Y$1027</f>
        <v>0</v>
      </c>
      <c r="AF1027" s="6">
        <f ca="1">$M$1027*$Z$1027</f>
        <v>13.154402799999998</v>
      </c>
      <c r="AG1027" s="6">
        <f ca="1">$O$1027*$AA$1027</f>
        <v>4.9442645999999995</v>
      </c>
    </row>
    <row r="1028" spans="1:33" ht="11.25" customHeight="1" x14ac:dyDescent="0.3">
      <c r="A1028" s="4" t="s">
        <v>53</v>
      </c>
      <c r="B1028" s="4" t="s">
        <v>37</v>
      </c>
      <c r="C1028" s="4" t="s">
        <v>33</v>
      </c>
      <c r="D1028" s="4" t="s">
        <v>50</v>
      </c>
      <c r="E1028" s="4" t="s">
        <v>51</v>
      </c>
      <c r="F1028" s="4" t="s">
        <v>25</v>
      </c>
      <c r="G1028" s="4" t="s">
        <v>25</v>
      </c>
      <c r="H1028" s="4" t="s">
        <v>36</v>
      </c>
      <c r="I1028" s="5">
        <v>44835</v>
      </c>
      <c r="J1028" s="6">
        <v>0</v>
      </c>
      <c r="K1028" s="53">
        <v>0</v>
      </c>
      <c r="L1028" s="6">
        <v>2.1999999999999999E-2</v>
      </c>
      <c r="M1028" s="53">
        <v>2.1999999999999999E-2</v>
      </c>
      <c r="N1028" s="6">
        <v>2.1999999999999999E-2</v>
      </c>
      <c r="O1028" s="53">
        <v>2.1999999999999999E-2</v>
      </c>
      <c r="P1028" s="6">
        <v>0</v>
      </c>
      <c r="Q1028" s="4" t="s">
        <v>26</v>
      </c>
      <c r="R1028" s="4">
        <v>0</v>
      </c>
      <c r="S1028" s="6">
        <v>0</v>
      </c>
      <c r="T1028" s="6">
        <v>82</v>
      </c>
      <c r="U1028" s="6">
        <v>110</v>
      </c>
      <c r="V1028" s="53">
        <f>IF(ISERROR(VLOOKUP($S$1028,'TAR FIN'!$A$1:$O$113,15,0)),0,VLOOKUP($S$1028,'TAR FIN'!$A$1:$O$113,15,0))</f>
        <v>0</v>
      </c>
      <c r="W1028" s="53">
        <f>IF(ISERROR(VLOOKUP($T$1028,'TAR FIN'!$A$1:$O$113,15,0)),0,VLOOKUP($T$1028,'TAR FIN'!$A$1:$O$113,15,0))*(1-0.06)</f>
        <v>461.70919999999995</v>
      </c>
      <c r="X1028" s="53">
        <f>IF(ISERROR(VLOOKUP($U$1028,'TAR FIN'!$A$1:$O$113,15,0)),0,VLOOKUP($U$1028,'TAR FIN'!$A$1:$O$113,15,0))*(1-0.06)</f>
        <v>261.94979999999998</v>
      </c>
      <c r="Y1028" s="53"/>
      <c r="Z1028" s="53">
        <f ca="1">('TUSD BE'!$AM$66+'TUSD BF_350'!$AM$66+'TUSD CVA'!$AM$66)*1*(1-0.03)</f>
        <v>597.92739999999992</v>
      </c>
      <c r="AA1028" s="53">
        <f ca="1">('TE BE'!$AB$44+'TE BF_350'!$AB$44+'TE CVA'!$AB$44)*1*(1-0.03)</f>
        <v>224.73929999999999</v>
      </c>
      <c r="AB1028" s="6">
        <f>$K$1028*$V$1028</f>
        <v>0</v>
      </c>
      <c r="AC1028" s="6">
        <f>$M$1028*$W$1028</f>
        <v>10.157602399999998</v>
      </c>
      <c r="AD1028" s="6">
        <f>$O$1028*$X$1028</f>
        <v>5.7628955999999993</v>
      </c>
      <c r="AE1028" s="6">
        <f>$K$1028*$Y$1028</f>
        <v>0</v>
      </c>
      <c r="AF1028" s="6">
        <f ca="1">$M$1028*$Z$1028</f>
        <v>13.154402799999998</v>
      </c>
      <c r="AG1028" s="6">
        <f ca="1">$O$1028*$AA$1028</f>
        <v>4.9442645999999995</v>
      </c>
    </row>
    <row r="1029" spans="1:33" ht="11.25" customHeight="1" x14ac:dyDescent="0.3">
      <c r="A1029" s="4" t="s">
        <v>21</v>
      </c>
      <c r="B1029" s="4" t="s">
        <v>37</v>
      </c>
      <c r="C1029" s="4" t="s">
        <v>33</v>
      </c>
      <c r="D1029" s="4" t="s">
        <v>50</v>
      </c>
      <c r="E1029" s="4" t="s">
        <v>51</v>
      </c>
      <c r="F1029" s="4" t="s">
        <v>25</v>
      </c>
      <c r="G1029" s="4" t="s">
        <v>25</v>
      </c>
      <c r="H1029" s="4" t="s">
        <v>34</v>
      </c>
      <c r="I1029" s="5">
        <v>44682</v>
      </c>
      <c r="J1029" s="6">
        <v>0</v>
      </c>
      <c r="K1029" s="53">
        <v>0</v>
      </c>
      <c r="L1029" s="6">
        <v>0.35699999999999998</v>
      </c>
      <c r="M1029" s="53">
        <v>0.35699999999999998</v>
      </c>
      <c r="N1029" s="6">
        <v>0.35699999999999998</v>
      </c>
      <c r="O1029" s="53">
        <v>0.35699999999999998</v>
      </c>
      <c r="P1029" s="6">
        <v>0</v>
      </c>
      <c r="Q1029" s="4" t="s">
        <v>26</v>
      </c>
      <c r="R1029" s="4">
        <v>0</v>
      </c>
      <c r="S1029" s="6">
        <v>0</v>
      </c>
      <c r="T1029" s="6">
        <v>83</v>
      </c>
      <c r="U1029" s="6">
        <v>106</v>
      </c>
      <c r="V1029" s="53">
        <f>IF(ISERROR(VLOOKUP($S$1029,'TAR FIN'!$A$1:$O$113,15,0)),0,VLOOKUP($S$1029,'TAR FIN'!$A$1:$O$113,15,0))</f>
        <v>0</v>
      </c>
      <c r="W1029" s="53">
        <f>IF(ISERROR(VLOOKUP($T$1029,'TAR FIN'!$A$1:$O$113,15,0)),0,VLOOKUP($T$1029,'TAR FIN'!$A$1:$O$113,15,0))*(1-0.06)</f>
        <v>703.3925999999999</v>
      </c>
      <c r="X1029" s="53">
        <f>IF(ISERROR(VLOOKUP($U$1029,'TAR FIN'!$A$1:$O$113,15,0)),0,VLOOKUP($U$1029,'TAR FIN'!$A$1:$O$113,15,0))*(1-0.06)</f>
        <v>416.28839999999997</v>
      </c>
      <c r="Y1029" s="53"/>
      <c r="Z1029" s="53">
        <f ca="1">('TUSD BE'!$AM$65+'TUSD BF_350'!$AM$65+'TUSD CVA'!$AM$65)*1*(1-0.03)</f>
        <v>893.46699999999998</v>
      </c>
      <c r="AA1029" s="53">
        <f ca="1">('TE BE'!$AB$43+'TE BF_350'!$AB$43+'TE CVA'!$AB$43)*1*(1-0.03)</f>
        <v>367.93069999999994</v>
      </c>
      <c r="AB1029" s="6">
        <f>$K$1029*$V$1029</f>
        <v>0</v>
      </c>
      <c r="AC1029" s="6">
        <f>$M$1029*$W$1029</f>
        <v>251.11115819999995</v>
      </c>
      <c r="AD1029" s="6">
        <f>$O$1029*$X$1029</f>
        <v>148.61495879999998</v>
      </c>
      <c r="AE1029" s="6">
        <f>$K$1029*$Y$1029</f>
        <v>0</v>
      </c>
      <c r="AF1029" s="6">
        <f ca="1">$M$1029*$Z$1029</f>
        <v>318.96771899999999</v>
      </c>
      <c r="AG1029" s="6">
        <f ca="1">$O$1029*$AA$1029</f>
        <v>131.35125989999997</v>
      </c>
    </row>
    <row r="1030" spans="1:33" ht="11.25" customHeight="1" x14ac:dyDescent="0.3">
      <c r="A1030" s="4" t="s">
        <v>21</v>
      </c>
      <c r="B1030" s="4" t="s">
        <v>37</v>
      </c>
      <c r="C1030" s="4" t="s">
        <v>33</v>
      </c>
      <c r="D1030" s="4" t="s">
        <v>50</v>
      </c>
      <c r="E1030" s="4" t="s">
        <v>51</v>
      </c>
      <c r="F1030" s="4" t="s">
        <v>25</v>
      </c>
      <c r="G1030" s="4" t="s">
        <v>25</v>
      </c>
      <c r="H1030" s="4" t="s">
        <v>34</v>
      </c>
      <c r="I1030" s="5">
        <v>44713</v>
      </c>
      <c r="J1030" s="6">
        <v>0</v>
      </c>
      <c r="K1030" s="53">
        <v>0</v>
      </c>
      <c r="L1030" s="6">
        <v>1.7000000000000001E-2</v>
      </c>
      <c r="M1030" s="53">
        <v>1.7000000000000001E-2</v>
      </c>
      <c r="N1030" s="6">
        <v>1.7000000000000001E-2</v>
      </c>
      <c r="O1030" s="53">
        <v>1.7000000000000001E-2</v>
      </c>
      <c r="P1030" s="6">
        <v>0</v>
      </c>
      <c r="Q1030" s="4" t="s">
        <v>26</v>
      </c>
      <c r="R1030" s="4">
        <v>0</v>
      </c>
      <c r="S1030" s="6">
        <v>0</v>
      </c>
      <c r="T1030" s="6">
        <v>83</v>
      </c>
      <c r="U1030" s="6">
        <v>106</v>
      </c>
      <c r="V1030" s="53">
        <f>IF(ISERROR(VLOOKUP($S$1030,'TAR FIN'!$A$1:$O$113,15,0)),0,VLOOKUP($S$1030,'TAR FIN'!$A$1:$O$113,15,0))</f>
        <v>0</v>
      </c>
      <c r="W1030" s="53">
        <f>IF(ISERROR(VLOOKUP($T$1030,'TAR FIN'!$A$1:$O$113,15,0)),0,VLOOKUP($T$1030,'TAR FIN'!$A$1:$O$113,15,0))*(1-0.06)</f>
        <v>703.3925999999999</v>
      </c>
      <c r="X1030" s="53">
        <f>IF(ISERROR(VLOOKUP($U$1030,'TAR FIN'!$A$1:$O$113,15,0)),0,VLOOKUP($U$1030,'TAR FIN'!$A$1:$O$113,15,0))*(1-0.06)</f>
        <v>416.28839999999997</v>
      </c>
      <c r="Y1030" s="53"/>
      <c r="Z1030" s="53">
        <f ca="1">('TUSD BE'!$AM$65+'TUSD BF_350'!$AM$65+'TUSD CVA'!$AM$65)*1*(1-0.03)</f>
        <v>893.46699999999998</v>
      </c>
      <c r="AA1030" s="53">
        <f ca="1">('TE BE'!$AB$43+'TE BF_350'!$AB$43+'TE CVA'!$AB$43)*1*(1-0.03)</f>
        <v>367.93069999999994</v>
      </c>
      <c r="AB1030" s="6">
        <f>$K$1030*$V$1030</f>
        <v>0</v>
      </c>
      <c r="AC1030" s="6">
        <f>$M$1030*$W$1030</f>
        <v>11.9576742</v>
      </c>
      <c r="AD1030" s="6">
        <f>$O$1030*$X$1030</f>
        <v>7.0769028</v>
      </c>
      <c r="AE1030" s="6">
        <f>$K$1030*$Y$1030</f>
        <v>0</v>
      </c>
      <c r="AF1030" s="6">
        <f ca="1">$M$1030*$Z$1030</f>
        <v>15.188939000000001</v>
      </c>
      <c r="AG1030" s="6">
        <f ca="1">$O$1030*$AA$1030</f>
        <v>6.2548218999999996</v>
      </c>
    </row>
    <row r="1031" spans="1:33" ht="11.25" customHeight="1" x14ac:dyDescent="0.3">
      <c r="A1031" s="4" t="s">
        <v>21</v>
      </c>
      <c r="B1031" s="4" t="s">
        <v>37</v>
      </c>
      <c r="C1031" s="4" t="s">
        <v>33</v>
      </c>
      <c r="D1031" s="4" t="s">
        <v>50</v>
      </c>
      <c r="E1031" s="4" t="s">
        <v>51</v>
      </c>
      <c r="F1031" s="4" t="s">
        <v>25</v>
      </c>
      <c r="G1031" s="4" t="s">
        <v>25</v>
      </c>
      <c r="H1031" s="4" t="s">
        <v>34</v>
      </c>
      <c r="I1031" s="5">
        <v>44743</v>
      </c>
      <c r="J1031" s="6">
        <v>0</v>
      </c>
      <c r="K1031" s="53">
        <v>0</v>
      </c>
      <c r="L1031" s="6">
        <v>0.03</v>
      </c>
      <c r="M1031" s="53">
        <v>0.03</v>
      </c>
      <c r="N1031" s="6">
        <v>0.03</v>
      </c>
      <c r="O1031" s="53">
        <v>0.03</v>
      </c>
      <c r="P1031" s="6">
        <v>0</v>
      </c>
      <c r="Q1031" s="4" t="s">
        <v>26</v>
      </c>
      <c r="R1031" s="4">
        <v>0</v>
      </c>
      <c r="S1031" s="6">
        <v>0</v>
      </c>
      <c r="T1031" s="6">
        <v>83</v>
      </c>
      <c r="U1031" s="6">
        <v>106</v>
      </c>
      <c r="V1031" s="53">
        <f>IF(ISERROR(VLOOKUP($S$1031,'TAR FIN'!$A$1:$O$113,15,0)),0,VLOOKUP($S$1031,'TAR FIN'!$A$1:$O$113,15,0))</f>
        <v>0</v>
      </c>
      <c r="W1031" s="53">
        <f>IF(ISERROR(VLOOKUP($T$1031,'TAR FIN'!$A$1:$O$113,15,0)),0,VLOOKUP($T$1031,'TAR FIN'!$A$1:$O$113,15,0))*(1-0.06)</f>
        <v>703.3925999999999</v>
      </c>
      <c r="X1031" s="53">
        <f>IF(ISERROR(VLOOKUP($U$1031,'TAR FIN'!$A$1:$O$113,15,0)),0,VLOOKUP($U$1031,'TAR FIN'!$A$1:$O$113,15,0))*(1-0.06)</f>
        <v>416.28839999999997</v>
      </c>
      <c r="Y1031" s="53"/>
      <c r="Z1031" s="53">
        <f ca="1">('TUSD BE'!$AM$65+'TUSD BF_350'!$AM$65+'TUSD CVA'!$AM$65)*1*(1-0.03)</f>
        <v>893.46699999999998</v>
      </c>
      <c r="AA1031" s="53">
        <f ca="1">('TE BE'!$AB$43+'TE BF_350'!$AB$43+'TE CVA'!$AB$43)*1*(1-0.03)</f>
        <v>367.93069999999994</v>
      </c>
      <c r="AB1031" s="6">
        <f>$K$1031*$V$1031</f>
        <v>0</v>
      </c>
      <c r="AC1031" s="6">
        <f>$M$1031*$W$1031</f>
        <v>21.101777999999996</v>
      </c>
      <c r="AD1031" s="6">
        <f>$O$1031*$X$1031</f>
        <v>12.488651999999998</v>
      </c>
      <c r="AE1031" s="6">
        <f>$K$1031*$Y$1031</f>
        <v>0</v>
      </c>
      <c r="AF1031" s="6">
        <f ca="1">$M$1031*$Z$1031</f>
        <v>26.804009999999998</v>
      </c>
      <c r="AG1031" s="6">
        <f ca="1">$O$1031*$AA$1031</f>
        <v>11.037920999999997</v>
      </c>
    </row>
    <row r="1032" spans="1:33" ht="11.25" customHeight="1" x14ac:dyDescent="0.3">
      <c r="A1032" s="4" t="s">
        <v>21</v>
      </c>
      <c r="B1032" s="4" t="s">
        <v>37</v>
      </c>
      <c r="C1032" s="4" t="s">
        <v>33</v>
      </c>
      <c r="D1032" s="4" t="s">
        <v>50</v>
      </c>
      <c r="E1032" s="4" t="s">
        <v>51</v>
      </c>
      <c r="F1032" s="4" t="s">
        <v>25</v>
      </c>
      <c r="G1032" s="4" t="s">
        <v>25</v>
      </c>
      <c r="H1032" s="4" t="s">
        <v>34</v>
      </c>
      <c r="I1032" s="5">
        <v>44774</v>
      </c>
      <c r="J1032" s="6">
        <v>0</v>
      </c>
      <c r="K1032" s="53">
        <v>0</v>
      </c>
      <c r="L1032" s="6">
        <v>1.6E-2</v>
      </c>
      <c r="M1032" s="53">
        <v>1.6E-2</v>
      </c>
      <c r="N1032" s="6">
        <v>1.6E-2</v>
      </c>
      <c r="O1032" s="53">
        <v>1.6E-2</v>
      </c>
      <c r="P1032" s="6">
        <v>0</v>
      </c>
      <c r="Q1032" s="4" t="s">
        <v>26</v>
      </c>
      <c r="R1032" s="4">
        <v>0</v>
      </c>
      <c r="S1032" s="6">
        <v>0</v>
      </c>
      <c r="T1032" s="6">
        <v>83</v>
      </c>
      <c r="U1032" s="6">
        <v>106</v>
      </c>
      <c r="V1032" s="53">
        <f>IF(ISERROR(VLOOKUP($S$1032,'TAR FIN'!$A$1:$O$113,15,0)),0,VLOOKUP($S$1032,'TAR FIN'!$A$1:$O$113,15,0))</f>
        <v>0</v>
      </c>
      <c r="W1032" s="53">
        <f>IF(ISERROR(VLOOKUP($T$1032,'TAR FIN'!$A$1:$O$113,15,0)),0,VLOOKUP($T$1032,'TAR FIN'!$A$1:$O$113,15,0))*(1-0.06)</f>
        <v>703.3925999999999</v>
      </c>
      <c r="X1032" s="53">
        <f>IF(ISERROR(VLOOKUP($U$1032,'TAR FIN'!$A$1:$O$113,15,0)),0,VLOOKUP($U$1032,'TAR FIN'!$A$1:$O$113,15,0))*(1-0.06)</f>
        <v>416.28839999999997</v>
      </c>
      <c r="Y1032" s="53"/>
      <c r="Z1032" s="53">
        <f ca="1">('TUSD BE'!$AM$65+'TUSD BF_350'!$AM$65+'TUSD CVA'!$AM$65)*1*(1-0.03)</f>
        <v>893.46699999999998</v>
      </c>
      <c r="AA1032" s="53">
        <f ca="1">('TE BE'!$AB$43+'TE BF_350'!$AB$43+'TE CVA'!$AB$43)*1*(1-0.03)</f>
        <v>367.93069999999994</v>
      </c>
      <c r="AB1032" s="6">
        <f>$K$1032*$V$1032</f>
        <v>0</v>
      </c>
      <c r="AC1032" s="6">
        <f>$M$1032*$W$1032</f>
        <v>11.254281599999999</v>
      </c>
      <c r="AD1032" s="6">
        <f>$O$1032*$X$1032</f>
        <v>6.6606144</v>
      </c>
      <c r="AE1032" s="6">
        <f>$K$1032*$Y$1032</f>
        <v>0</v>
      </c>
      <c r="AF1032" s="6">
        <f ca="1">$M$1032*$Z$1032</f>
        <v>14.295472</v>
      </c>
      <c r="AG1032" s="6">
        <f ca="1">$O$1032*$AA$1032</f>
        <v>5.8868911999999991</v>
      </c>
    </row>
    <row r="1033" spans="1:33" ht="11.25" customHeight="1" x14ac:dyDescent="0.3">
      <c r="A1033" s="4" t="s">
        <v>21</v>
      </c>
      <c r="B1033" s="4" t="s">
        <v>37</v>
      </c>
      <c r="C1033" s="4" t="s">
        <v>33</v>
      </c>
      <c r="D1033" s="4" t="s">
        <v>50</v>
      </c>
      <c r="E1033" s="4" t="s">
        <v>51</v>
      </c>
      <c r="F1033" s="4" t="s">
        <v>25</v>
      </c>
      <c r="G1033" s="4" t="s">
        <v>25</v>
      </c>
      <c r="H1033" s="4" t="s">
        <v>34</v>
      </c>
      <c r="I1033" s="5">
        <v>44805</v>
      </c>
      <c r="J1033" s="6">
        <v>0</v>
      </c>
      <c r="K1033" s="53">
        <v>0</v>
      </c>
      <c r="L1033" s="6">
        <v>3.4000000000000002E-2</v>
      </c>
      <c r="M1033" s="53">
        <v>3.4000000000000002E-2</v>
      </c>
      <c r="N1033" s="6">
        <v>3.4000000000000002E-2</v>
      </c>
      <c r="O1033" s="53">
        <v>3.4000000000000002E-2</v>
      </c>
      <c r="P1033" s="6">
        <v>0</v>
      </c>
      <c r="Q1033" s="4" t="s">
        <v>26</v>
      </c>
      <c r="R1033" s="4">
        <v>0</v>
      </c>
      <c r="S1033" s="6">
        <v>0</v>
      </c>
      <c r="T1033" s="6">
        <v>83</v>
      </c>
      <c r="U1033" s="6">
        <v>106</v>
      </c>
      <c r="V1033" s="53">
        <f>IF(ISERROR(VLOOKUP($S$1033,'TAR FIN'!$A$1:$O$113,15,0)),0,VLOOKUP($S$1033,'TAR FIN'!$A$1:$O$113,15,0))</f>
        <v>0</v>
      </c>
      <c r="W1033" s="53">
        <f>IF(ISERROR(VLOOKUP($T$1033,'TAR FIN'!$A$1:$O$113,15,0)),0,VLOOKUP($T$1033,'TAR FIN'!$A$1:$O$113,15,0))*(1-0.06)</f>
        <v>703.3925999999999</v>
      </c>
      <c r="X1033" s="53">
        <f>IF(ISERROR(VLOOKUP($U$1033,'TAR FIN'!$A$1:$O$113,15,0)),0,VLOOKUP($U$1033,'TAR FIN'!$A$1:$O$113,15,0))*(1-0.06)</f>
        <v>416.28839999999997</v>
      </c>
      <c r="Y1033" s="53"/>
      <c r="Z1033" s="53">
        <f ca="1">('TUSD BE'!$AM$65+'TUSD BF_350'!$AM$65+'TUSD CVA'!$AM$65)*1*(1-0.03)</f>
        <v>893.46699999999998</v>
      </c>
      <c r="AA1033" s="53">
        <f ca="1">('TE BE'!$AB$43+'TE BF_350'!$AB$43+'TE CVA'!$AB$43)*1*(1-0.03)</f>
        <v>367.93069999999994</v>
      </c>
      <c r="AB1033" s="6">
        <f>$K$1033*$V$1033</f>
        <v>0</v>
      </c>
      <c r="AC1033" s="6">
        <f>$M$1033*$W$1033</f>
        <v>23.915348399999999</v>
      </c>
      <c r="AD1033" s="6">
        <f>$O$1033*$X$1033</f>
        <v>14.1538056</v>
      </c>
      <c r="AE1033" s="6">
        <f>$K$1033*$Y$1033</f>
        <v>0</v>
      </c>
      <c r="AF1033" s="6">
        <f ca="1">$M$1033*$Z$1033</f>
        <v>30.377878000000003</v>
      </c>
      <c r="AG1033" s="6">
        <f ca="1">$O$1033*$AA$1033</f>
        <v>12.509643799999999</v>
      </c>
    </row>
    <row r="1034" spans="1:33" ht="11.25" customHeight="1" x14ac:dyDescent="0.3">
      <c r="A1034" s="4" t="s">
        <v>53</v>
      </c>
      <c r="B1034" s="4" t="s">
        <v>37</v>
      </c>
      <c r="C1034" s="4" t="s">
        <v>33</v>
      </c>
      <c r="D1034" s="4" t="s">
        <v>50</v>
      </c>
      <c r="E1034" s="4" t="s">
        <v>51</v>
      </c>
      <c r="F1034" s="4" t="s">
        <v>25</v>
      </c>
      <c r="G1034" s="4" t="s">
        <v>25</v>
      </c>
      <c r="H1034" s="4" t="s">
        <v>34</v>
      </c>
      <c r="I1034" s="5">
        <v>44835</v>
      </c>
      <c r="J1034" s="6">
        <v>0</v>
      </c>
      <c r="K1034" s="53">
        <v>0</v>
      </c>
      <c r="L1034" s="6">
        <v>3.4000000000000002E-2</v>
      </c>
      <c r="M1034" s="53">
        <v>3.4000000000000002E-2</v>
      </c>
      <c r="N1034" s="6">
        <v>3.4000000000000002E-2</v>
      </c>
      <c r="O1034" s="53">
        <v>3.4000000000000002E-2</v>
      </c>
      <c r="P1034" s="6">
        <v>0</v>
      </c>
      <c r="Q1034" s="4" t="s">
        <v>26</v>
      </c>
      <c r="R1034" s="4">
        <v>0</v>
      </c>
      <c r="S1034" s="6">
        <v>0</v>
      </c>
      <c r="T1034" s="6">
        <v>83</v>
      </c>
      <c r="U1034" s="6">
        <v>106</v>
      </c>
      <c r="V1034" s="53">
        <f>IF(ISERROR(VLOOKUP($S$1034,'TAR FIN'!$A$1:$O$113,15,0)),0,VLOOKUP($S$1034,'TAR FIN'!$A$1:$O$113,15,0))</f>
        <v>0</v>
      </c>
      <c r="W1034" s="53">
        <f>IF(ISERROR(VLOOKUP($T$1034,'TAR FIN'!$A$1:$O$113,15,0)),0,VLOOKUP($T$1034,'TAR FIN'!$A$1:$O$113,15,0))*(1-0.06)</f>
        <v>703.3925999999999</v>
      </c>
      <c r="X1034" s="53">
        <f>IF(ISERROR(VLOOKUP($U$1034,'TAR FIN'!$A$1:$O$113,15,0)),0,VLOOKUP($U$1034,'TAR FIN'!$A$1:$O$113,15,0))*(1-0.06)</f>
        <v>416.28839999999997</v>
      </c>
      <c r="Y1034" s="53"/>
      <c r="Z1034" s="53">
        <f ca="1">('TUSD BE'!$AM$65+'TUSD BF_350'!$AM$65+'TUSD CVA'!$AM$65)*1*(1-0.03)</f>
        <v>893.46699999999998</v>
      </c>
      <c r="AA1034" s="53">
        <f ca="1">('TE BE'!$AB$43+'TE BF_350'!$AB$43+'TE CVA'!$AB$43)*1*(1-0.03)</f>
        <v>367.93069999999994</v>
      </c>
      <c r="AB1034" s="6">
        <f>$K$1034*$V$1034</f>
        <v>0</v>
      </c>
      <c r="AC1034" s="6">
        <f>$M$1034*$W$1034</f>
        <v>23.915348399999999</v>
      </c>
      <c r="AD1034" s="6">
        <f>$O$1034*$X$1034</f>
        <v>14.1538056</v>
      </c>
      <c r="AE1034" s="6">
        <f>$K$1034*$Y$1034</f>
        <v>0</v>
      </c>
      <c r="AF1034" s="6">
        <f ca="1">$M$1034*$Z$1034</f>
        <v>30.377878000000003</v>
      </c>
      <c r="AG1034" s="6">
        <f ca="1">$O$1034*$AA$1034</f>
        <v>12.509643799999999</v>
      </c>
    </row>
    <row r="1035" spans="1:33" ht="11.25" customHeight="1" x14ac:dyDescent="0.3">
      <c r="A1035" s="4" t="s">
        <v>21</v>
      </c>
      <c r="B1035" s="4" t="s">
        <v>37</v>
      </c>
      <c r="C1035" s="4" t="s">
        <v>23</v>
      </c>
      <c r="D1035" s="4" t="s">
        <v>42</v>
      </c>
      <c r="E1035" s="4" t="s">
        <v>25</v>
      </c>
      <c r="F1035" s="4" t="s">
        <v>25</v>
      </c>
      <c r="G1035" s="4" t="s">
        <v>25</v>
      </c>
      <c r="H1035" s="4" t="s">
        <v>25</v>
      </c>
      <c r="I1035" s="5">
        <v>44501</v>
      </c>
      <c r="J1035" s="6">
        <v>0</v>
      </c>
      <c r="K1035" s="6">
        <v>0</v>
      </c>
      <c r="L1035" s="6">
        <v>3209.95</v>
      </c>
      <c r="M1035" s="6">
        <v>3209.95</v>
      </c>
      <c r="N1035" s="6">
        <v>3209.95</v>
      </c>
      <c r="O1035" s="6">
        <v>3209.95</v>
      </c>
      <c r="P1035" s="6">
        <v>5359</v>
      </c>
      <c r="Q1035" s="4" t="s">
        <v>26</v>
      </c>
      <c r="R1035" s="4">
        <v>0</v>
      </c>
      <c r="S1035" s="6">
        <v>0</v>
      </c>
      <c r="T1035" s="6">
        <v>63</v>
      </c>
      <c r="U1035" s="6">
        <v>91</v>
      </c>
      <c r="V1035" s="6">
        <f>IF(ISERROR(VLOOKUP($S$1035,'TAR FIN'!$A$1:$O$113,15,0)),0,VLOOKUP($S$1035,'TAR FIN'!$A$1:$O$113,15,0))</f>
        <v>0</v>
      </c>
      <c r="W1035" s="6">
        <f>IF(ISERROR(VLOOKUP($T$1035,'TAR FIN'!$A$1:$O$113,15,0)),0,VLOOKUP($T$1035,'TAR FIN'!$A$1:$O$113,15,0))</f>
        <v>300.3</v>
      </c>
      <c r="X1035" s="6">
        <f>IF(ISERROR(VLOOKUP($U$1035,'TAR FIN'!$A$1:$O$113,15,0)),0,VLOOKUP($U$1035,'TAR FIN'!$A$1:$O$113,15,0))</f>
        <v>292.36</v>
      </c>
      <c r="Y1035" s="6"/>
      <c r="Z1035" s="6">
        <f ca="1">('TUSD BE'!$AM$68+'TUSD BF_350'!$AM$68+'TUSD CVA'!$AM$68)*1</f>
        <v>409.13</v>
      </c>
      <c r="AA1035" s="6">
        <f ca="1">('TE BE'!$AB$46+'TE BF_350'!$AB$46+'TE CVA'!$AB$46)*1</f>
        <v>244</v>
      </c>
      <c r="AB1035" s="6">
        <f>$K$1035*$V$1035</f>
        <v>0</v>
      </c>
      <c r="AC1035" s="6">
        <f>$M$1035*$W$1035</f>
        <v>963947.98499999999</v>
      </c>
      <c r="AD1035" s="6">
        <f>$O$1035*$X$1035</f>
        <v>938460.98199999996</v>
      </c>
      <c r="AE1035" s="6">
        <f>$K$1035*$Y$1035</f>
        <v>0</v>
      </c>
      <c r="AF1035" s="6">
        <f ca="1">$M$1035*$Z$1035</f>
        <v>1313286.8435</v>
      </c>
      <c r="AG1035" s="6">
        <f ca="1">$O$1035*$AA$1035</f>
        <v>783227.79999999993</v>
      </c>
    </row>
    <row r="1036" spans="1:33" ht="11.25" customHeight="1" x14ac:dyDescent="0.3">
      <c r="A1036" s="4" t="s">
        <v>27</v>
      </c>
      <c r="B1036" s="4" t="s">
        <v>37</v>
      </c>
      <c r="C1036" s="4" t="s">
        <v>23</v>
      </c>
      <c r="D1036" s="4" t="s">
        <v>42</v>
      </c>
      <c r="E1036" s="4" t="s">
        <v>25</v>
      </c>
      <c r="F1036" s="4" t="s">
        <v>25</v>
      </c>
      <c r="G1036" s="4" t="s">
        <v>25</v>
      </c>
      <c r="H1036" s="4" t="s">
        <v>25</v>
      </c>
      <c r="I1036" s="5">
        <v>44501</v>
      </c>
      <c r="J1036" s="6">
        <v>0</v>
      </c>
      <c r="K1036" s="6">
        <v>0</v>
      </c>
      <c r="L1036" s="6">
        <v>-9.7579999999999991</v>
      </c>
      <c r="M1036" s="6">
        <v>-9.7579999999999991</v>
      </c>
      <c r="N1036" s="6">
        <v>-9.7579999999999991</v>
      </c>
      <c r="O1036" s="6">
        <v>-9.7579999999999991</v>
      </c>
      <c r="P1036" s="6">
        <v>0</v>
      </c>
      <c r="Q1036" s="4" t="s">
        <v>26</v>
      </c>
      <c r="R1036" s="4">
        <v>0</v>
      </c>
      <c r="S1036" s="6">
        <v>0</v>
      </c>
      <c r="T1036" s="6">
        <v>63</v>
      </c>
      <c r="U1036" s="6">
        <v>91</v>
      </c>
      <c r="V1036" s="6">
        <f>IF(ISERROR(VLOOKUP($S$1036,'TAR FIN'!$A$1:$O$113,15,0)),0,VLOOKUP($S$1036,'TAR FIN'!$A$1:$O$113,15,0))</f>
        <v>0</v>
      </c>
      <c r="W1036" s="6">
        <f>IF(ISERROR(VLOOKUP($T$1036,'TAR FIN'!$A$1:$O$113,15,0)),0,VLOOKUP($T$1036,'TAR FIN'!$A$1:$O$113,15,0))</f>
        <v>300.3</v>
      </c>
      <c r="X1036" s="6">
        <f>IF(ISERROR(VLOOKUP($U$1036,'TAR FIN'!$A$1:$O$113,15,0)),0,VLOOKUP($U$1036,'TAR FIN'!$A$1:$O$113,15,0))</f>
        <v>292.36</v>
      </c>
      <c r="Y1036" s="6"/>
      <c r="Z1036" s="6">
        <f ca="1">('TUSD BE'!$AM$68+'TUSD BF_350'!$AM$68+'TUSD CVA'!$AM$68)*1</f>
        <v>409.13</v>
      </c>
      <c r="AA1036" s="6">
        <f ca="1">('TE BE'!$AB$46+'TE BF_350'!$AB$46+'TE CVA'!$AB$46)*1</f>
        <v>244</v>
      </c>
      <c r="AB1036" s="6">
        <f>$K$1036*$V$1036</f>
        <v>0</v>
      </c>
      <c r="AC1036" s="6">
        <f>$M$1036*$W$1036</f>
        <v>-2930.3273999999997</v>
      </c>
      <c r="AD1036" s="6">
        <f>$O$1036*$X$1036</f>
        <v>-2852.84888</v>
      </c>
      <c r="AE1036" s="6">
        <f>$K$1036*$Y$1036</f>
        <v>0</v>
      </c>
      <c r="AF1036" s="6">
        <f ca="1">$M$1036*$Z$1036</f>
        <v>-3992.2905399999995</v>
      </c>
      <c r="AG1036" s="6">
        <f ca="1">$O$1036*$AA$1036</f>
        <v>-2380.9519999999998</v>
      </c>
    </row>
    <row r="1037" spans="1:33" ht="11.25" customHeight="1" x14ac:dyDescent="0.3">
      <c r="A1037" s="4" t="s">
        <v>28</v>
      </c>
      <c r="B1037" s="4" t="s">
        <v>37</v>
      </c>
      <c r="C1037" s="4" t="s">
        <v>23</v>
      </c>
      <c r="D1037" s="4" t="s">
        <v>42</v>
      </c>
      <c r="E1037" s="4" t="s">
        <v>25</v>
      </c>
      <c r="F1037" s="4" t="s">
        <v>25</v>
      </c>
      <c r="G1037" s="4" t="s">
        <v>25</v>
      </c>
      <c r="H1037" s="4" t="s">
        <v>25</v>
      </c>
      <c r="I1037" s="5">
        <v>44501</v>
      </c>
      <c r="J1037" s="6">
        <v>0</v>
      </c>
      <c r="K1037" s="6">
        <v>0</v>
      </c>
      <c r="L1037" s="6">
        <v>47.304000000000002</v>
      </c>
      <c r="M1037" s="6">
        <v>47.304000000000002</v>
      </c>
      <c r="N1037" s="6">
        <v>47.304000000000002</v>
      </c>
      <c r="O1037" s="6">
        <v>47.304000000000002</v>
      </c>
      <c r="P1037" s="6">
        <v>93</v>
      </c>
      <c r="Q1037" s="4" t="s">
        <v>26</v>
      </c>
      <c r="R1037" s="4">
        <v>0</v>
      </c>
      <c r="S1037" s="6">
        <v>0</v>
      </c>
      <c r="T1037" s="6">
        <v>63</v>
      </c>
      <c r="U1037" s="6">
        <v>91</v>
      </c>
      <c r="V1037" s="6">
        <f>IF(ISERROR(VLOOKUP($S$1037,'TAR FIN'!$A$1:$O$113,15,0)),0,VLOOKUP($S$1037,'TAR FIN'!$A$1:$O$113,15,0))</f>
        <v>0</v>
      </c>
      <c r="W1037" s="6">
        <f>IF(ISERROR(VLOOKUP($T$1037,'TAR FIN'!$A$1:$O$113,15,0)),0,VLOOKUP($T$1037,'TAR FIN'!$A$1:$O$113,15,0))</f>
        <v>300.3</v>
      </c>
      <c r="X1037" s="6">
        <f>IF(ISERROR(VLOOKUP($U$1037,'TAR FIN'!$A$1:$O$113,15,0)),0,VLOOKUP($U$1037,'TAR FIN'!$A$1:$O$113,15,0))</f>
        <v>292.36</v>
      </c>
      <c r="Y1037" s="6"/>
      <c r="Z1037" s="6">
        <f ca="1">('TUSD BE'!$AM$68+'TUSD BF_350'!$AM$68+'TUSD CVA'!$AM$68)*1</f>
        <v>409.13</v>
      </c>
      <c r="AA1037" s="6">
        <f ca="1">('TE BE'!$AB$46+'TE BF_350'!$AB$46+'TE CVA'!$AB$46)*1</f>
        <v>244</v>
      </c>
      <c r="AB1037" s="6">
        <f>$K$1037*$V$1037</f>
        <v>0</v>
      </c>
      <c r="AC1037" s="6">
        <f>$M$1037*$W$1037</f>
        <v>14205.391200000002</v>
      </c>
      <c r="AD1037" s="6">
        <f>$O$1037*$X$1037</f>
        <v>13829.797440000002</v>
      </c>
      <c r="AE1037" s="6">
        <f>$K$1037*$Y$1037</f>
        <v>0</v>
      </c>
      <c r="AF1037" s="6">
        <f ca="1">$M$1037*$Z$1037</f>
        <v>19353.485520000002</v>
      </c>
      <c r="AG1037" s="6">
        <f ca="1">$O$1037*$AA$1037</f>
        <v>11542.176000000001</v>
      </c>
    </row>
    <row r="1038" spans="1:33" ht="11.25" customHeight="1" x14ac:dyDescent="0.3">
      <c r="A1038" s="4" t="s">
        <v>21</v>
      </c>
      <c r="B1038" s="4" t="s">
        <v>37</v>
      </c>
      <c r="C1038" s="4" t="s">
        <v>23</v>
      </c>
      <c r="D1038" s="4" t="s">
        <v>42</v>
      </c>
      <c r="E1038" s="4" t="s">
        <v>25</v>
      </c>
      <c r="F1038" s="4" t="s">
        <v>25</v>
      </c>
      <c r="G1038" s="4" t="s">
        <v>25</v>
      </c>
      <c r="H1038" s="4" t="s">
        <v>25</v>
      </c>
      <c r="I1038" s="5">
        <v>44531</v>
      </c>
      <c r="J1038" s="6">
        <v>0</v>
      </c>
      <c r="K1038" s="6">
        <v>0</v>
      </c>
      <c r="L1038" s="6">
        <v>3233.7910000000002</v>
      </c>
      <c r="M1038" s="6">
        <v>3233.7910000000002</v>
      </c>
      <c r="N1038" s="6">
        <v>3233.7910000000002</v>
      </c>
      <c r="O1038" s="6">
        <v>3233.7910000000002</v>
      </c>
      <c r="P1038" s="6">
        <v>5378</v>
      </c>
      <c r="Q1038" s="4" t="s">
        <v>26</v>
      </c>
      <c r="R1038" s="4">
        <v>0</v>
      </c>
      <c r="S1038" s="6">
        <v>0</v>
      </c>
      <c r="T1038" s="6">
        <v>63</v>
      </c>
      <c r="U1038" s="6">
        <v>91</v>
      </c>
      <c r="V1038" s="6">
        <f>IF(ISERROR(VLOOKUP($S$1038,'TAR FIN'!$A$1:$O$113,15,0)),0,VLOOKUP($S$1038,'TAR FIN'!$A$1:$O$113,15,0))</f>
        <v>0</v>
      </c>
      <c r="W1038" s="6">
        <f>IF(ISERROR(VLOOKUP($T$1038,'TAR FIN'!$A$1:$O$113,15,0)),0,VLOOKUP($T$1038,'TAR FIN'!$A$1:$O$113,15,0))</f>
        <v>300.3</v>
      </c>
      <c r="X1038" s="6">
        <f>IF(ISERROR(VLOOKUP($U$1038,'TAR FIN'!$A$1:$O$113,15,0)),0,VLOOKUP($U$1038,'TAR FIN'!$A$1:$O$113,15,0))</f>
        <v>292.36</v>
      </c>
      <c r="Y1038" s="6"/>
      <c r="Z1038" s="6">
        <f ca="1">('TUSD BE'!$AM$68+'TUSD BF_350'!$AM$68+'TUSD CVA'!$AM$68)*1</f>
        <v>409.13</v>
      </c>
      <c r="AA1038" s="6">
        <f ca="1">('TE BE'!$AB$46+'TE BF_350'!$AB$46+'TE CVA'!$AB$46)*1</f>
        <v>244</v>
      </c>
      <c r="AB1038" s="6">
        <f>$K$1038*$V$1038</f>
        <v>0</v>
      </c>
      <c r="AC1038" s="6">
        <f>$M$1038*$W$1038</f>
        <v>971107.43730000011</v>
      </c>
      <c r="AD1038" s="6">
        <f>$O$1038*$X$1038</f>
        <v>945431.13676000014</v>
      </c>
      <c r="AE1038" s="6">
        <f>$K$1038*$Y$1038</f>
        <v>0</v>
      </c>
      <c r="AF1038" s="6">
        <f ca="1">$M$1038*$Z$1038</f>
        <v>1323040.9118300001</v>
      </c>
      <c r="AG1038" s="6">
        <f ca="1">$O$1038*$AA$1038</f>
        <v>789045.00400000007</v>
      </c>
    </row>
    <row r="1039" spans="1:33" ht="11.25" customHeight="1" x14ac:dyDescent="0.3">
      <c r="A1039" s="4" t="s">
        <v>27</v>
      </c>
      <c r="B1039" s="4" t="s">
        <v>37</v>
      </c>
      <c r="C1039" s="4" t="s">
        <v>23</v>
      </c>
      <c r="D1039" s="4" t="s">
        <v>42</v>
      </c>
      <c r="E1039" s="4" t="s">
        <v>25</v>
      </c>
      <c r="F1039" s="4" t="s">
        <v>25</v>
      </c>
      <c r="G1039" s="4" t="s">
        <v>25</v>
      </c>
      <c r="H1039" s="4" t="s">
        <v>25</v>
      </c>
      <c r="I1039" s="5">
        <v>44531</v>
      </c>
      <c r="J1039" s="6">
        <v>0</v>
      </c>
      <c r="K1039" s="6">
        <v>0</v>
      </c>
      <c r="L1039" s="6">
        <v>-0.88800000000000001</v>
      </c>
      <c r="M1039" s="6">
        <v>-0.88800000000000001</v>
      </c>
      <c r="N1039" s="6">
        <v>-0.88800000000000001</v>
      </c>
      <c r="O1039" s="6">
        <v>-0.88800000000000001</v>
      </c>
      <c r="P1039" s="6">
        <v>0</v>
      </c>
      <c r="Q1039" s="4" t="s">
        <v>26</v>
      </c>
      <c r="R1039" s="4">
        <v>0</v>
      </c>
      <c r="S1039" s="6">
        <v>0</v>
      </c>
      <c r="T1039" s="6">
        <v>63</v>
      </c>
      <c r="U1039" s="6">
        <v>91</v>
      </c>
      <c r="V1039" s="6">
        <f>IF(ISERROR(VLOOKUP($S$1039,'TAR FIN'!$A$1:$O$113,15,0)),0,VLOOKUP($S$1039,'TAR FIN'!$A$1:$O$113,15,0))</f>
        <v>0</v>
      </c>
      <c r="W1039" s="6">
        <f>IF(ISERROR(VLOOKUP($T$1039,'TAR FIN'!$A$1:$O$113,15,0)),0,VLOOKUP($T$1039,'TAR FIN'!$A$1:$O$113,15,0))</f>
        <v>300.3</v>
      </c>
      <c r="X1039" s="6">
        <f>IF(ISERROR(VLOOKUP($U$1039,'TAR FIN'!$A$1:$O$113,15,0)),0,VLOOKUP($U$1039,'TAR FIN'!$A$1:$O$113,15,0))</f>
        <v>292.36</v>
      </c>
      <c r="Y1039" s="6"/>
      <c r="Z1039" s="6">
        <f ca="1">('TUSD BE'!$AM$68+'TUSD BF_350'!$AM$68+'TUSD CVA'!$AM$68)*1</f>
        <v>409.13</v>
      </c>
      <c r="AA1039" s="6">
        <f ca="1">('TE BE'!$AB$46+'TE BF_350'!$AB$46+'TE CVA'!$AB$46)*1</f>
        <v>244</v>
      </c>
      <c r="AB1039" s="6">
        <f>$K$1039*$V$1039</f>
        <v>0</v>
      </c>
      <c r="AC1039" s="6">
        <f>$M$1039*$W$1039</f>
        <v>-266.66640000000001</v>
      </c>
      <c r="AD1039" s="6">
        <f>$O$1039*$X$1039</f>
        <v>-259.61568</v>
      </c>
      <c r="AE1039" s="6">
        <f>$K$1039*$Y$1039</f>
        <v>0</v>
      </c>
      <c r="AF1039" s="6">
        <f ca="1">$M$1039*$Z$1039</f>
        <v>-363.30743999999999</v>
      </c>
      <c r="AG1039" s="6">
        <f ca="1">$O$1039*$AA$1039</f>
        <v>-216.672</v>
      </c>
    </row>
    <row r="1040" spans="1:33" ht="11.25" customHeight="1" x14ac:dyDescent="0.3">
      <c r="A1040" s="4" t="s">
        <v>28</v>
      </c>
      <c r="B1040" s="4" t="s">
        <v>37</v>
      </c>
      <c r="C1040" s="4" t="s">
        <v>23</v>
      </c>
      <c r="D1040" s="4" t="s">
        <v>42</v>
      </c>
      <c r="E1040" s="4" t="s">
        <v>25</v>
      </c>
      <c r="F1040" s="4" t="s">
        <v>25</v>
      </c>
      <c r="G1040" s="4" t="s">
        <v>25</v>
      </c>
      <c r="H1040" s="4" t="s">
        <v>25</v>
      </c>
      <c r="I1040" s="5">
        <v>44531</v>
      </c>
      <c r="J1040" s="6">
        <v>0</v>
      </c>
      <c r="K1040" s="6">
        <v>0</v>
      </c>
      <c r="L1040" s="6">
        <v>54.84</v>
      </c>
      <c r="M1040" s="6">
        <v>54.84</v>
      </c>
      <c r="N1040" s="6">
        <v>54.84</v>
      </c>
      <c r="O1040" s="6">
        <v>54.84</v>
      </c>
      <c r="P1040" s="6">
        <v>108</v>
      </c>
      <c r="Q1040" s="4" t="s">
        <v>26</v>
      </c>
      <c r="R1040" s="4">
        <v>0</v>
      </c>
      <c r="S1040" s="6">
        <v>0</v>
      </c>
      <c r="T1040" s="6">
        <v>63</v>
      </c>
      <c r="U1040" s="6">
        <v>91</v>
      </c>
      <c r="V1040" s="6">
        <f>IF(ISERROR(VLOOKUP($S$1040,'TAR FIN'!$A$1:$O$113,15,0)),0,VLOOKUP($S$1040,'TAR FIN'!$A$1:$O$113,15,0))</f>
        <v>0</v>
      </c>
      <c r="W1040" s="6">
        <f>IF(ISERROR(VLOOKUP($T$1040,'TAR FIN'!$A$1:$O$113,15,0)),0,VLOOKUP($T$1040,'TAR FIN'!$A$1:$O$113,15,0))</f>
        <v>300.3</v>
      </c>
      <c r="X1040" s="6">
        <f>IF(ISERROR(VLOOKUP($U$1040,'TAR FIN'!$A$1:$O$113,15,0)),0,VLOOKUP($U$1040,'TAR FIN'!$A$1:$O$113,15,0))</f>
        <v>292.36</v>
      </c>
      <c r="Y1040" s="6"/>
      <c r="Z1040" s="6">
        <f ca="1">('TUSD BE'!$AM$68+'TUSD BF_350'!$AM$68+'TUSD CVA'!$AM$68)*1</f>
        <v>409.13</v>
      </c>
      <c r="AA1040" s="6">
        <f ca="1">('TE BE'!$AB$46+'TE BF_350'!$AB$46+'TE CVA'!$AB$46)*1</f>
        <v>244</v>
      </c>
      <c r="AB1040" s="6">
        <f>$K$1040*$V$1040</f>
        <v>0</v>
      </c>
      <c r="AC1040" s="6">
        <f>$M$1040*$W$1040</f>
        <v>16468.452000000001</v>
      </c>
      <c r="AD1040" s="6">
        <f>$O$1040*$X$1040</f>
        <v>16033.022400000002</v>
      </c>
      <c r="AE1040" s="6">
        <f>$K$1040*$Y$1040</f>
        <v>0</v>
      </c>
      <c r="AF1040" s="6">
        <f ca="1">$M$1040*$Z$1040</f>
        <v>22436.689200000001</v>
      </c>
      <c r="AG1040" s="6">
        <f ca="1">$O$1040*$AA$1040</f>
        <v>13380.960000000001</v>
      </c>
    </row>
    <row r="1041" spans="1:33" ht="11.25" customHeight="1" x14ac:dyDescent="0.3">
      <c r="A1041" s="4" t="s">
        <v>21</v>
      </c>
      <c r="B1041" s="4" t="s">
        <v>37</v>
      </c>
      <c r="C1041" s="4" t="s">
        <v>23</v>
      </c>
      <c r="D1041" s="4" t="s">
        <v>42</v>
      </c>
      <c r="E1041" s="4" t="s">
        <v>25</v>
      </c>
      <c r="F1041" s="4" t="s">
        <v>25</v>
      </c>
      <c r="G1041" s="4" t="s">
        <v>25</v>
      </c>
      <c r="H1041" s="4" t="s">
        <v>25</v>
      </c>
      <c r="I1041" s="5">
        <v>44562</v>
      </c>
      <c r="J1041" s="6">
        <v>0</v>
      </c>
      <c r="K1041" s="6">
        <v>0</v>
      </c>
      <c r="L1041" s="6">
        <v>3520.7020000000002</v>
      </c>
      <c r="M1041" s="6">
        <v>3520.7020000000002</v>
      </c>
      <c r="N1041" s="6">
        <v>3520.7020000000002</v>
      </c>
      <c r="O1041" s="6">
        <v>3520.7020000000002</v>
      </c>
      <c r="P1041" s="6">
        <v>5428</v>
      </c>
      <c r="Q1041" s="4" t="s">
        <v>26</v>
      </c>
      <c r="R1041" s="4">
        <v>0</v>
      </c>
      <c r="S1041" s="6">
        <v>0</v>
      </c>
      <c r="T1041" s="6">
        <v>63</v>
      </c>
      <c r="U1041" s="6">
        <v>91</v>
      </c>
      <c r="V1041" s="6">
        <f>IF(ISERROR(VLOOKUP($S$1041,'TAR FIN'!$A$1:$O$113,15,0)),0,VLOOKUP($S$1041,'TAR FIN'!$A$1:$O$113,15,0))</f>
        <v>0</v>
      </c>
      <c r="W1041" s="6">
        <f>IF(ISERROR(VLOOKUP($T$1041,'TAR FIN'!$A$1:$O$113,15,0)),0,VLOOKUP($T$1041,'TAR FIN'!$A$1:$O$113,15,0))</f>
        <v>300.3</v>
      </c>
      <c r="X1041" s="6">
        <f>IF(ISERROR(VLOOKUP($U$1041,'TAR FIN'!$A$1:$O$113,15,0)),0,VLOOKUP($U$1041,'TAR FIN'!$A$1:$O$113,15,0))</f>
        <v>292.36</v>
      </c>
      <c r="Y1041" s="6"/>
      <c r="Z1041" s="6">
        <f ca="1">('TUSD BE'!$AM$68+'TUSD BF_350'!$AM$68+'TUSD CVA'!$AM$68)*1</f>
        <v>409.13</v>
      </c>
      <c r="AA1041" s="6">
        <f ca="1">('TE BE'!$AB$46+'TE BF_350'!$AB$46+'TE CVA'!$AB$46)*1</f>
        <v>244</v>
      </c>
      <c r="AB1041" s="6">
        <f>$K$1041*$V$1041</f>
        <v>0</v>
      </c>
      <c r="AC1041" s="6">
        <f>$M$1041*$W$1041</f>
        <v>1057266.8106000002</v>
      </c>
      <c r="AD1041" s="6">
        <f>$O$1041*$X$1041</f>
        <v>1029312.4367200001</v>
      </c>
      <c r="AE1041" s="6">
        <f>$K$1041*$Y$1041</f>
        <v>0</v>
      </c>
      <c r="AF1041" s="6">
        <f ca="1">$M$1041*$Z$1041</f>
        <v>1440424.80926</v>
      </c>
      <c r="AG1041" s="6">
        <f ca="1">$O$1041*$AA$1041</f>
        <v>859051.28800000006</v>
      </c>
    </row>
    <row r="1042" spans="1:33" ht="11.25" customHeight="1" x14ac:dyDescent="0.3">
      <c r="A1042" s="4" t="s">
        <v>27</v>
      </c>
      <c r="B1042" s="4" t="s">
        <v>37</v>
      </c>
      <c r="C1042" s="4" t="s">
        <v>23</v>
      </c>
      <c r="D1042" s="4" t="s">
        <v>42</v>
      </c>
      <c r="E1042" s="4" t="s">
        <v>25</v>
      </c>
      <c r="F1042" s="4" t="s">
        <v>25</v>
      </c>
      <c r="G1042" s="4" t="s">
        <v>25</v>
      </c>
      <c r="H1042" s="4" t="s">
        <v>25</v>
      </c>
      <c r="I1042" s="5">
        <v>44562</v>
      </c>
      <c r="J1042" s="6">
        <v>0</v>
      </c>
      <c r="K1042" s="6">
        <v>0</v>
      </c>
      <c r="L1042" s="6">
        <v>-3.2090000000000001</v>
      </c>
      <c r="M1042" s="6">
        <v>-3.2090000000000001</v>
      </c>
      <c r="N1042" s="6">
        <v>-3.2090000000000001</v>
      </c>
      <c r="O1042" s="6">
        <v>-3.2090000000000001</v>
      </c>
      <c r="P1042" s="6">
        <v>0</v>
      </c>
      <c r="Q1042" s="4" t="s">
        <v>26</v>
      </c>
      <c r="R1042" s="4">
        <v>0</v>
      </c>
      <c r="S1042" s="6">
        <v>0</v>
      </c>
      <c r="T1042" s="6">
        <v>63</v>
      </c>
      <c r="U1042" s="6">
        <v>91</v>
      </c>
      <c r="V1042" s="6">
        <f>IF(ISERROR(VLOOKUP($S$1042,'TAR FIN'!$A$1:$O$113,15,0)),0,VLOOKUP($S$1042,'TAR FIN'!$A$1:$O$113,15,0))</f>
        <v>0</v>
      </c>
      <c r="W1042" s="6">
        <f>IF(ISERROR(VLOOKUP($T$1042,'TAR FIN'!$A$1:$O$113,15,0)),0,VLOOKUP($T$1042,'TAR FIN'!$A$1:$O$113,15,0))</f>
        <v>300.3</v>
      </c>
      <c r="X1042" s="6">
        <f>IF(ISERROR(VLOOKUP($U$1042,'TAR FIN'!$A$1:$O$113,15,0)),0,VLOOKUP($U$1042,'TAR FIN'!$A$1:$O$113,15,0))</f>
        <v>292.36</v>
      </c>
      <c r="Y1042" s="6"/>
      <c r="Z1042" s="6">
        <f ca="1">('TUSD BE'!$AM$68+'TUSD BF_350'!$AM$68+'TUSD CVA'!$AM$68)*1</f>
        <v>409.13</v>
      </c>
      <c r="AA1042" s="6">
        <f ca="1">('TE BE'!$AB$46+'TE BF_350'!$AB$46+'TE CVA'!$AB$46)*1</f>
        <v>244</v>
      </c>
      <c r="AB1042" s="6">
        <f>$K$1042*$V$1042</f>
        <v>0</v>
      </c>
      <c r="AC1042" s="6">
        <f>$M$1042*$W$1042</f>
        <v>-963.66270000000009</v>
      </c>
      <c r="AD1042" s="6">
        <f>$O$1042*$X$1042</f>
        <v>-938.18324000000007</v>
      </c>
      <c r="AE1042" s="6">
        <f>$K$1042*$Y$1042</f>
        <v>0</v>
      </c>
      <c r="AF1042" s="6">
        <f ca="1">$M$1042*$Z$1042</f>
        <v>-1312.8981699999999</v>
      </c>
      <c r="AG1042" s="6">
        <f ca="1">$O$1042*$AA$1042</f>
        <v>-782.99599999999998</v>
      </c>
    </row>
    <row r="1043" spans="1:33" ht="11.25" customHeight="1" x14ac:dyDescent="0.3">
      <c r="A1043" s="4" t="s">
        <v>28</v>
      </c>
      <c r="B1043" s="4" t="s">
        <v>37</v>
      </c>
      <c r="C1043" s="4" t="s">
        <v>23</v>
      </c>
      <c r="D1043" s="4" t="s">
        <v>42</v>
      </c>
      <c r="E1043" s="4" t="s">
        <v>25</v>
      </c>
      <c r="F1043" s="4" t="s">
        <v>25</v>
      </c>
      <c r="G1043" s="4" t="s">
        <v>25</v>
      </c>
      <c r="H1043" s="4" t="s">
        <v>25</v>
      </c>
      <c r="I1043" s="5">
        <v>44562</v>
      </c>
      <c r="J1043" s="6">
        <v>0</v>
      </c>
      <c r="K1043" s="6">
        <v>0</v>
      </c>
      <c r="L1043" s="6">
        <v>74.566000000000003</v>
      </c>
      <c r="M1043" s="6">
        <v>74.566000000000003</v>
      </c>
      <c r="N1043" s="6">
        <v>74.566000000000003</v>
      </c>
      <c r="O1043" s="6">
        <v>74.566000000000003</v>
      </c>
      <c r="P1043" s="6">
        <v>120</v>
      </c>
      <c r="Q1043" s="4" t="s">
        <v>26</v>
      </c>
      <c r="R1043" s="4">
        <v>0</v>
      </c>
      <c r="S1043" s="6">
        <v>0</v>
      </c>
      <c r="T1043" s="6">
        <v>63</v>
      </c>
      <c r="U1043" s="6">
        <v>91</v>
      </c>
      <c r="V1043" s="6">
        <f>IF(ISERROR(VLOOKUP($S$1043,'TAR FIN'!$A$1:$O$113,15,0)),0,VLOOKUP($S$1043,'TAR FIN'!$A$1:$O$113,15,0))</f>
        <v>0</v>
      </c>
      <c r="W1043" s="6">
        <f>IF(ISERROR(VLOOKUP($T$1043,'TAR FIN'!$A$1:$O$113,15,0)),0,VLOOKUP($T$1043,'TAR FIN'!$A$1:$O$113,15,0))</f>
        <v>300.3</v>
      </c>
      <c r="X1043" s="6">
        <f>IF(ISERROR(VLOOKUP($U$1043,'TAR FIN'!$A$1:$O$113,15,0)),0,VLOOKUP($U$1043,'TAR FIN'!$A$1:$O$113,15,0))</f>
        <v>292.36</v>
      </c>
      <c r="Y1043" s="6"/>
      <c r="Z1043" s="6">
        <f ca="1">('TUSD BE'!$AM$68+'TUSD BF_350'!$AM$68+'TUSD CVA'!$AM$68)*1</f>
        <v>409.13</v>
      </c>
      <c r="AA1043" s="6">
        <f ca="1">('TE BE'!$AB$46+'TE BF_350'!$AB$46+'TE CVA'!$AB$46)*1</f>
        <v>244</v>
      </c>
      <c r="AB1043" s="6">
        <f>$K$1043*$V$1043</f>
        <v>0</v>
      </c>
      <c r="AC1043" s="6">
        <f>$M$1043*$W$1043</f>
        <v>22392.169800000003</v>
      </c>
      <c r="AD1043" s="6">
        <f>$O$1043*$X$1043</f>
        <v>21800.115760000001</v>
      </c>
      <c r="AE1043" s="6">
        <f>$K$1043*$Y$1043</f>
        <v>0</v>
      </c>
      <c r="AF1043" s="6">
        <f ca="1">$M$1043*$Z$1043</f>
        <v>30507.187580000002</v>
      </c>
      <c r="AG1043" s="6">
        <f ca="1">$O$1043*$AA$1043</f>
        <v>18194.103999999999</v>
      </c>
    </row>
    <row r="1044" spans="1:33" ht="11.25" customHeight="1" x14ac:dyDescent="0.3">
      <c r="A1044" s="4" t="s">
        <v>21</v>
      </c>
      <c r="B1044" s="4" t="s">
        <v>37</v>
      </c>
      <c r="C1044" s="4" t="s">
        <v>23</v>
      </c>
      <c r="D1044" s="4" t="s">
        <v>42</v>
      </c>
      <c r="E1044" s="4" t="s">
        <v>25</v>
      </c>
      <c r="F1044" s="4" t="s">
        <v>25</v>
      </c>
      <c r="G1044" s="4" t="s">
        <v>25</v>
      </c>
      <c r="H1044" s="4" t="s">
        <v>25</v>
      </c>
      <c r="I1044" s="5">
        <v>44593</v>
      </c>
      <c r="J1044" s="6">
        <v>0</v>
      </c>
      <c r="K1044" s="6">
        <v>0</v>
      </c>
      <c r="L1044" s="6">
        <v>3260.5369999999998</v>
      </c>
      <c r="M1044" s="6">
        <v>3260.5369999999998</v>
      </c>
      <c r="N1044" s="6">
        <v>3260.5369999999998</v>
      </c>
      <c r="O1044" s="6">
        <v>3260.5369999999998</v>
      </c>
      <c r="P1044" s="6">
        <v>5449</v>
      </c>
      <c r="Q1044" s="4" t="s">
        <v>26</v>
      </c>
      <c r="R1044" s="4">
        <v>0</v>
      </c>
      <c r="S1044" s="6">
        <v>0</v>
      </c>
      <c r="T1044" s="6">
        <v>63</v>
      </c>
      <c r="U1044" s="6">
        <v>91</v>
      </c>
      <c r="V1044" s="6">
        <f>IF(ISERROR(VLOOKUP($S$1044,'TAR FIN'!$A$1:$O$113,15,0)),0,VLOOKUP($S$1044,'TAR FIN'!$A$1:$O$113,15,0))</f>
        <v>0</v>
      </c>
      <c r="W1044" s="6">
        <f>IF(ISERROR(VLOOKUP($T$1044,'TAR FIN'!$A$1:$O$113,15,0)),0,VLOOKUP($T$1044,'TAR FIN'!$A$1:$O$113,15,0))</f>
        <v>300.3</v>
      </c>
      <c r="X1044" s="6">
        <f>IF(ISERROR(VLOOKUP($U$1044,'TAR FIN'!$A$1:$O$113,15,0)),0,VLOOKUP($U$1044,'TAR FIN'!$A$1:$O$113,15,0))</f>
        <v>292.36</v>
      </c>
      <c r="Y1044" s="6"/>
      <c r="Z1044" s="6">
        <f ca="1">('TUSD BE'!$AM$68+'TUSD BF_350'!$AM$68+'TUSD CVA'!$AM$68)*1</f>
        <v>409.13</v>
      </c>
      <c r="AA1044" s="6">
        <f ca="1">('TE BE'!$AB$46+'TE BF_350'!$AB$46+'TE CVA'!$AB$46)*1</f>
        <v>244</v>
      </c>
      <c r="AB1044" s="6">
        <f>$K$1044*$V$1044</f>
        <v>0</v>
      </c>
      <c r="AC1044" s="6">
        <f>$M$1044*$W$1044</f>
        <v>979139.2611</v>
      </c>
      <c r="AD1044" s="6">
        <f>$O$1044*$X$1044</f>
        <v>953250.59731999994</v>
      </c>
      <c r="AE1044" s="6">
        <f>$K$1044*$Y$1044</f>
        <v>0</v>
      </c>
      <c r="AF1044" s="6">
        <f ca="1">$M$1044*$Z$1044</f>
        <v>1333983.50281</v>
      </c>
      <c r="AG1044" s="6">
        <f ca="1">$O$1044*$AA$1044</f>
        <v>795571.02799999993</v>
      </c>
    </row>
    <row r="1045" spans="1:33" ht="11.25" customHeight="1" x14ac:dyDescent="0.3">
      <c r="A1045" s="4" t="s">
        <v>27</v>
      </c>
      <c r="B1045" s="4" t="s">
        <v>37</v>
      </c>
      <c r="C1045" s="4" t="s">
        <v>23</v>
      </c>
      <c r="D1045" s="4" t="s">
        <v>42</v>
      </c>
      <c r="E1045" s="4" t="s">
        <v>25</v>
      </c>
      <c r="F1045" s="4" t="s">
        <v>25</v>
      </c>
      <c r="G1045" s="4" t="s">
        <v>25</v>
      </c>
      <c r="H1045" s="4" t="s">
        <v>25</v>
      </c>
      <c r="I1045" s="5">
        <v>44593</v>
      </c>
      <c r="J1045" s="6">
        <v>0</v>
      </c>
      <c r="K1045" s="6">
        <v>0</v>
      </c>
      <c r="L1045" s="6">
        <v>-1.1140000000000001</v>
      </c>
      <c r="M1045" s="6">
        <v>-1.1140000000000001</v>
      </c>
      <c r="N1045" s="6">
        <v>-1.1140000000000001</v>
      </c>
      <c r="O1045" s="6">
        <v>-1.1140000000000001</v>
      </c>
      <c r="P1045" s="6">
        <v>0</v>
      </c>
      <c r="Q1045" s="4" t="s">
        <v>26</v>
      </c>
      <c r="R1045" s="4">
        <v>0</v>
      </c>
      <c r="S1045" s="6">
        <v>0</v>
      </c>
      <c r="T1045" s="6">
        <v>63</v>
      </c>
      <c r="U1045" s="6">
        <v>91</v>
      </c>
      <c r="V1045" s="6">
        <f>IF(ISERROR(VLOOKUP($S$1045,'TAR FIN'!$A$1:$O$113,15,0)),0,VLOOKUP($S$1045,'TAR FIN'!$A$1:$O$113,15,0))</f>
        <v>0</v>
      </c>
      <c r="W1045" s="6">
        <f>IF(ISERROR(VLOOKUP($T$1045,'TAR FIN'!$A$1:$O$113,15,0)),0,VLOOKUP($T$1045,'TAR FIN'!$A$1:$O$113,15,0))</f>
        <v>300.3</v>
      </c>
      <c r="X1045" s="6">
        <f>IF(ISERROR(VLOOKUP($U$1045,'TAR FIN'!$A$1:$O$113,15,0)),0,VLOOKUP($U$1045,'TAR FIN'!$A$1:$O$113,15,0))</f>
        <v>292.36</v>
      </c>
      <c r="Y1045" s="6"/>
      <c r="Z1045" s="6">
        <f ca="1">('TUSD BE'!$AM$68+'TUSD BF_350'!$AM$68+'TUSD CVA'!$AM$68)*1</f>
        <v>409.13</v>
      </c>
      <c r="AA1045" s="6">
        <f ca="1">('TE BE'!$AB$46+'TE BF_350'!$AB$46+'TE CVA'!$AB$46)*1</f>
        <v>244</v>
      </c>
      <c r="AB1045" s="6">
        <f>$K$1045*$V$1045</f>
        <v>0</v>
      </c>
      <c r="AC1045" s="6">
        <f>$M$1045*$W$1045</f>
        <v>-334.53420000000006</v>
      </c>
      <c r="AD1045" s="6">
        <f>$O$1045*$X$1045</f>
        <v>-325.68904000000003</v>
      </c>
      <c r="AE1045" s="6">
        <f>$K$1045*$Y$1045</f>
        <v>0</v>
      </c>
      <c r="AF1045" s="6">
        <f ca="1">$M$1045*$Z$1045</f>
        <v>-455.77082000000001</v>
      </c>
      <c r="AG1045" s="6">
        <f ca="1">$O$1045*$AA$1045</f>
        <v>-271.81600000000003</v>
      </c>
    </row>
    <row r="1046" spans="1:33" ht="11.25" customHeight="1" x14ac:dyDescent="0.3">
      <c r="A1046" s="4" t="s">
        <v>28</v>
      </c>
      <c r="B1046" s="4" t="s">
        <v>37</v>
      </c>
      <c r="C1046" s="4" t="s">
        <v>23</v>
      </c>
      <c r="D1046" s="4" t="s">
        <v>42</v>
      </c>
      <c r="E1046" s="4" t="s">
        <v>25</v>
      </c>
      <c r="F1046" s="4" t="s">
        <v>25</v>
      </c>
      <c r="G1046" s="4" t="s">
        <v>25</v>
      </c>
      <c r="H1046" s="4" t="s">
        <v>25</v>
      </c>
      <c r="I1046" s="5">
        <v>44593</v>
      </c>
      <c r="J1046" s="6">
        <v>0</v>
      </c>
      <c r="K1046" s="6">
        <v>0</v>
      </c>
      <c r="L1046" s="6">
        <v>62.720999999999997</v>
      </c>
      <c r="M1046" s="6">
        <v>62.720999999999997</v>
      </c>
      <c r="N1046" s="6">
        <v>62.720999999999997</v>
      </c>
      <c r="O1046" s="6">
        <v>62.720999999999997</v>
      </c>
      <c r="P1046" s="6">
        <v>122</v>
      </c>
      <c r="Q1046" s="4" t="s">
        <v>26</v>
      </c>
      <c r="R1046" s="4">
        <v>0</v>
      </c>
      <c r="S1046" s="6">
        <v>0</v>
      </c>
      <c r="T1046" s="6">
        <v>63</v>
      </c>
      <c r="U1046" s="6">
        <v>91</v>
      </c>
      <c r="V1046" s="6">
        <f>IF(ISERROR(VLOOKUP($S$1046,'TAR FIN'!$A$1:$O$113,15,0)),0,VLOOKUP($S$1046,'TAR FIN'!$A$1:$O$113,15,0))</f>
        <v>0</v>
      </c>
      <c r="W1046" s="6">
        <f>IF(ISERROR(VLOOKUP($T$1046,'TAR FIN'!$A$1:$O$113,15,0)),0,VLOOKUP($T$1046,'TAR FIN'!$A$1:$O$113,15,0))</f>
        <v>300.3</v>
      </c>
      <c r="X1046" s="6">
        <f>IF(ISERROR(VLOOKUP($U$1046,'TAR FIN'!$A$1:$O$113,15,0)),0,VLOOKUP($U$1046,'TAR FIN'!$A$1:$O$113,15,0))</f>
        <v>292.36</v>
      </c>
      <c r="Y1046" s="6"/>
      <c r="Z1046" s="6">
        <f ca="1">('TUSD BE'!$AM$68+'TUSD BF_350'!$AM$68+'TUSD CVA'!$AM$68)*1</f>
        <v>409.13</v>
      </c>
      <c r="AA1046" s="6">
        <f ca="1">('TE BE'!$AB$46+'TE BF_350'!$AB$46+'TE CVA'!$AB$46)*1</f>
        <v>244</v>
      </c>
      <c r="AB1046" s="6">
        <f>$K$1046*$V$1046</f>
        <v>0</v>
      </c>
      <c r="AC1046" s="6">
        <f>$M$1046*$W$1046</f>
        <v>18835.116299999998</v>
      </c>
      <c r="AD1046" s="6">
        <f>$O$1046*$X$1046</f>
        <v>18337.111560000001</v>
      </c>
      <c r="AE1046" s="6">
        <f>$K$1046*$Y$1046</f>
        <v>0</v>
      </c>
      <c r="AF1046" s="6">
        <f ca="1">$M$1046*$Z$1046</f>
        <v>25661.042729999997</v>
      </c>
      <c r="AG1046" s="6">
        <f ca="1">$O$1046*$AA$1046</f>
        <v>15303.923999999999</v>
      </c>
    </row>
    <row r="1047" spans="1:33" ht="11.25" customHeight="1" x14ac:dyDescent="0.3">
      <c r="A1047" s="4" t="s">
        <v>21</v>
      </c>
      <c r="B1047" s="4" t="s">
        <v>37</v>
      </c>
      <c r="C1047" s="4" t="s">
        <v>23</v>
      </c>
      <c r="D1047" s="4" t="s">
        <v>42</v>
      </c>
      <c r="E1047" s="4" t="s">
        <v>25</v>
      </c>
      <c r="F1047" s="4" t="s">
        <v>25</v>
      </c>
      <c r="G1047" s="4" t="s">
        <v>25</v>
      </c>
      <c r="H1047" s="4" t="s">
        <v>25</v>
      </c>
      <c r="I1047" s="5">
        <v>44621</v>
      </c>
      <c r="J1047" s="6">
        <v>0</v>
      </c>
      <c r="K1047" s="6">
        <v>0</v>
      </c>
      <c r="L1047" s="6">
        <v>3354.5030000000002</v>
      </c>
      <c r="M1047" s="6">
        <v>3354.5030000000002</v>
      </c>
      <c r="N1047" s="6">
        <v>3354.5030000000002</v>
      </c>
      <c r="O1047" s="6">
        <v>3354.5030000000002</v>
      </c>
      <c r="P1047" s="6">
        <v>5471</v>
      </c>
      <c r="Q1047" s="4" t="s">
        <v>26</v>
      </c>
      <c r="R1047" s="4">
        <v>0</v>
      </c>
      <c r="S1047" s="6">
        <v>0</v>
      </c>
      <c r="T1047" s="6">
        <v>63</v>
      </c>
      <c r="U1047" s="6">
        <v>91</v>
      </c>
      <c r="V1047" s="6">
        <f>IF(ISERROR(VLOOKUP($S$1047,'TAR FIN'!$A$1:$O$113,15,0)),0,VLOOKUP($S$1047,'TAR FIN'!$A$1:$O$113,15,0))</f>
        <v>0</v>
      </c>
      <c r="W1047" s="6">
        <f>IF(ISERROR(VLOOKUP($T$1047,'TAR FIN'!$A$1:$O$113,15,0)),0,VLOOKUP($T$1047,'TAR FIN'!$A$1:$O$113,15,0))</f>
        <v>300.3</v>
      </c>
      <c r="X1047" s="6">
        <f>IF(ISERROR(VLOOKUP($U$1047,'TAR FIN'!$A$1:$O$113,15,0)),0,VLOOKUP($U$1047,'TAR FIN'!$A$1:$O$113,15,0))</f>
        <v>292.36</v>
      </c>
      <c r="Y1047" s="6"/>
      <c r="Z1047" s="6">
        <f ca="1">('TUSD BE'!$AM$68+'TUSD BF_350'!$AM$68+'TUSD CVA'!$AM$68)*1</f>
        <v>409.13</v>
      </c>
      <c r="AA1047" s="6">
        <f ca="1">('TE BE'!$AB$46+'TE BF_350'!$AB$46+'TE CVA'!$AB$46)*1</f>
        <v>244</v>
      </c>
      <c r="AB1047" s="6">
        <f>$K$1047*$V$1047</f>
        <v>0</v>
      </c>
      <c r="AC1047" s="6">
        <f>$M$1047*$W$1047</f>
        <v>1007357.2509000001</v>
      </c>
      <c r="AD1047" s="6">
        <f>$O$1047*$X$1047</f>
        <v>980722.49708000012</v>
      </c>
      <c r="AE1047" s="6">
        <f>$K$1047*$Y$1047</f>
        <v>0</v>
      </c>
      <c r="AF1047" s="6">
        <f ca="1">$M$1047*$Z$1047</f>
        <v>1372427.8123900001</v>
      </c>
      <c r="AG1047" s="6">
        <f ca="1">$O$1047*$AA$1047</f>
        <v>818498.73200000008</v>
      </c>
    </row>
    <row r="1048" spans="1:33" ht="11.25" customHeight="1" x14ac:dyDescent="0.3">
      <c r="A1048" s="4" t="s">
        <v>27</v>
      </c>
      <c r="B1048" s="4" t="s">
        <v>37</v>
      </c>
      <c r="C1048" s="4" t="s">
        <v>23</v>
      </c>
      <c r="D1048" s="4" t="s">
        <v>42</v>
      </c>
      <c r="E1048" s="4" t="s">
        <v>25</v>
      </c>
      <c r="F1048" s="4" t="s">
        <v>25</v>
      </c>
      <c r="G1048" s="4" t="s">
        <v>25</v>
      </c>
      <c r="H1048" s="4" t="s">
        <v>25</v>
      </c>
      <c r="I1048" s="5">
        <v>44621</v>
      </c>
      <c r="J1048" s="6">
        <v>0</v>
      </c>
      <c r="K1048" s="6">
        <v>0</v>
      </c>
      <c r="L1048" s="6">
        <v>6.8000000000000005E-2</v>
      </c>
      <c r="M1048" s="6">
        <v>6.8000000000000005E-2</v>
      </c>
      <c r="N1048" s="6">
        <v>6.8000000000000005E-2</v>
      </c>
      <c r="O1048" s="6">
        <v>6.8000000000000005E-2</v>
      </c>
      <c r="P1048" s="6">
        <v>0</v>
      </c>
      <c r="Q1048" s="4" t="s">
        <v>26</v>
      </c>
      <c r="R1048" s="4">
        <v>0</v>
      </c>
      <c r="S1048" s="6">
        <v>0</v>
      </c>
      <c r="T1048" s="6">
        <v>63</v>
      </c>
      <c r="U1048" s="6">
        <v>91</v>
      </c>
      <c r="V1048" s="6">
        <f>IF(ISERROR(VLOOKUP($S$1048,'TAR FIN'!$A$1:$O$113,15,0)),0,VLOOKUP($S$1048,'TAR FIN'!$A$1:$O$113,15,0))</f>
        <v>0</v>
      </c>
      <c r="W1048" s="6">
        <f>IF(ISERROR(VLOOKUP($T$1048,'TAR FIN'!$A$1:$O$113,15,0)),0,VLOOKUP($T$1048,'TAR FIN'!$A$1:$O$113,15,0))</f>
        <v>300.3</v>
      </c>
      <c r="X1048" s="6">
        <f>IF(ISERROR(VLOOKUP($U$1048,'TAR FIN'!$A$1:$O$113,15,0)),0,VLOOKUP($U$1048,'TAR FIN'!$A$1:$O$113,15,0))</f>
        <v>292.36</v>
      </c>
      <c r="Y1048" s="6"/>
      <c r="Z1048" s="6">
        <f ca="1">('TUSD BE'!$AM$68+'TUSD BF_350'!$AM$68+'TUSD CVA'!$AM$68)*1</f>
        <v>409.13</v>
      </c>
      <c r="AA1048" s="6">
        <f ca="1">('TE BE'!$AB$46+'TE BF_350'!$AB$46+'TE CVA'!$AB$46)*1</f>
        <v>244</v>
      </c>
      <c r="AB1048" s="6">
        <f>$K$1048*$V$1048</f>
        <v>0</v>
      </c>
      <c r="AC1048" s="6">
        <f>$M$1048*$W$1048</f>
        <v>20.420400000000001</v>
      </c>
      <c r="AD1048" s="6">
        <f>$O$1048*$X$1048</f>
        <v>19.880480000000002</v>
      </c>
      <c r="AE1048" s="6">
        <f>$K$1048*$Y$1048</f>
        <v>0</v>
      </c>
      <c r="AF1048" s="6">
        <f ca="1">$M$1048*$Z$1048</f>
        <v>27.82084</v>
      </c>
      <c r="AG1048" s="6">
        <f ca="1">$O$1048*$AA$1048</f>
        <v>16.592000000000002</v>
      </c>
    </row>
    <row r="1049" spans="1:33" ht="11.25" customHeight="1" x14ac:dyDescent="0.3">
      <c r="A1049" s="4" t="s">
        <v>28</v>
      </c>
      <c r="B1049" s="4" t="s">
        <v>37</v>
      </c>
      <c r="C1049" s="4" t="s">
        <v>23</v>
      </c>
      <c r="D1049" s="4" t="s">
        <v>42</v>
      </c>
      <c r="E1049" s="4" t="s">
        <v>25</v>
      </c>
      <c r="F1049" s="4" t="s">
        <v>25</v>
      </c>
      <c r="G1049" s="4" t="s">
        <v>25</v>
      </c>
      <c r="H1049" s="4" t="s">
        <v>25</v>
      </c>
      <c r="I1049" s="5">
        <v>44621</v>
      </c>
      <c r="J1049" s="6">
        <v>0</v>
      </c>
      <c r="K1049" s="6">
        <v>0</v>
      </c>
      <c r="L1049" s="6">
        <v>60.561999999999998</v>
      </c>
      <c r="M1049" s="6">
        <v>60.561999999999998</v>
      </c>
      <c r="N1049" s="6">
        <v>60.561999999999998</v>
      </c>
      <c r="O1049" s="6">
        <v>60.561999999999998</v>
      </c>
      <c r="P1049" s="6">
        <v>125</v>
      </c>
      <c r="Q1049" s="4" t="s">
        <v>26</v>
      </c>
      <c r="R1049" s="4">
        <v>0</v>
      </c>
      <c r="S1049" s="6">
        <v>0</v>
      </c>
      <c r="T1049" s="6">
        <v>63</v>
      </c>
      <c r="U1049" s="6">
        <v>91</v>
      </c>
      <c r="V1049" s="6">
        <f>IF(ISERROR(VLOOKUP($S$1049,'TAR FIN'!$A$1:$O$113,15,0)),0,VLOOKUP($S$1049,'TAR FIN'!$A$1:$O$113,15,0))</f>
        <v>0</v>
      </c>
      <c r="W1049" s="6">
        <f>IF(ISERROR(VLOOKUP($T$1049,'TAR FIN'!$A$1:$O$113,15,0)),0,VLOOKUP($T$1049,'TAR FIN'!$A$1:$O$113,15,0))</f>
        <v>300.3</v>
      </c>
      <c r="X1049" s="6">
        <f>IF(ISERROR(VLOOKUP($U$1049,'TAR FIN'!$A$1:$O$113,15,0)),0,VLOOKUP($U$1049,'TAR FIN'!$A$1:$O$113,15,0))</f>
        <v>292.36</v>
      </c>
      <c r="Y1049" s="6"/>
      <c r="Z1049" s="6">
        <f ca="1">('TUSD BE'!$AM$68+'TUSD BF_350'!$AM$68+'TUSD CVA'!$AM$68)*1</f>
        <v>409.13</v>
      </c>
      <c r="AA1049" s="6">
        <f ca="1">('TE BE'!$AB$46+'TE BF_350'!$AB$46+'TE CVA'!$AB$46)*1</f>
        <v>244</v>
      </c>
      <c r="AB1049" s="6">
        <f>$K$1049*$V$1049</f>
        <v>0</v>
      </c>
      <c r="AC1049" s="6">
        <f>$M$1049*$W$1049</f>
        <v>18186.768599999999</v>
      </c>
      <c r="AD1049" s="6">
        <f>$O$1049*$X$1049</f>
        <v>17705.906320000002</v>
      </c>
      <c r="AE1049" s="6">
        <f>$K$1049*$Y$1049</f>
        <v>0</v>
      </c>
      <c r="AF1049" s="6">
        <f ca="1">$M$1049*$Z$1049</f>
        <v>24777.731059999998</v>
      </c>
      <c r="AG1049" s="6">
        <f ca="1">$O$1049*$AA$1049</f>
        <v>14777.127999999999</v>
      </c>
    </row>
    <row r="1050" spans="1:33" ht="11.25" customHeight="1" x14ac:dyDescent="0.3">
      <c r="A1050" s="4" t="s">
        <v>21</v>
      </c>
      <c r="B1050" s="4" t="s">
        <v>37</v>
      </c>
      <c r="C1050" s="4" t="s">
        <v>23</v>
      </c>
      <c r="D1050" s="4" t="s">
        <v>42</v>
      </c>
      <c r="E1050" s="4" t="s">
        <v>25</v>
      </c>
      <c r="F1050" s="4" t="s">
        <v>25</v>
      </c>
      <c r="G1050" s="4" t="s">
        <v>25</v>
      </c>
      <c r="H1050" s="4" t="s">
        <v>25</v>
      </c>
      <c r="I1050" s="5">
        <v>44652</v>
      </c>
      <c r="J1050" s="6">
        <v>0</v>
      </c>
      <c r="K1050" s="6">
        <v>0</v>
      </c>
      <c r="L1050" s="6">
        <v>3565.6779999999999</v>
      </c>
      <c r="M1050" s="6">
        <v>3565.6779999999999</v>
      </c>
      <c r="N1050" s="6">
        <v>3565.6779999999999</v>
      </c>
      <c r="O1050" s="6">
        <v>3565.6779999999999</v>
      </c>
      <c r="P1050" s="6">
        <v>5498</v>
      </c>
      <c r="Q1050" s="4" t="s">
        <v>26</v>
      </c>
      <c r="R1050" s="4">
        <v>0</v>
      </c>
      <c r="S1050" s="6">
        <v>0</v>
      </c>
      <c r="T1050" s="6">
        <v>63</v>
      </c>
      <c r="U1050" s="6">
        <v>91</v>
      </c>
      <c r="V1050" s="6">
        <f>IF(ISERROR(VLOOKUP($S$1050,'TAR FIN'!$A$1:$O$113,15,0)),0,VLOOKUP($S$1050,'TAR FIN'!$A$1:$O$113,15,0))</f>
        <v>0</v>
      </c>
      <c r="W1050" s="6">
        <f>IF(ISERROR(VLOOKUP($T$1050,'TAR FIN'!$A$1:$O$113,15,0)),0,VLOOKUP($T$1050,'TAR FIN'!$A$1:$O$113,15,0))</f>
        <v>300.3</v>
      </c>
      <c r="X1050" s="6">
        <f>IF(ISERROR(VLOOKUP($U$1050,'TAR FIN'!$A$1:$O$113,15,0)),0,VLOOKUP($U$1050,'TAR FIN'!$A$1:$O$113,15,0))</f>
        <v>292.36</v>
      </c>
      <c r="Y1050" s="6"/>
      <c r="Z1050" s="6">
        <f ca="1">('TUSD BE'!$AM$68+'TUSD BF_350'!$AM$68+'TUSD CVA'!$AM$68)*1</f>
        <v>409.13</v>
      </c>
      <c r="AA1050" s="6">
        <f ca="1">('TE BE'!$AB$46+'TE BF_350'!$AB$46+'TE CVA'!$AB$46)*1</f>
        <v>244</v>
      </c>
      <c r="AB1050" s="6">
        <f>$K$1050*$V$1050</f>
        <v>0</v>
      </c>
      <c r="AC1050" s="6">
        <f>$M$1050*$W$1050</f>
        <v>1070773.1033999999</v>
      </c>
      <c r="AD1050" s="6">
        <f>$O$1050*$X$1050</f>
        <v>1042461.62008</v>
      </c>
      <c r="AE1050" s="6">
        <f>$K$1050*$Y$1050</f>
        <v>0</v>
      </c>
      <c r="AF1050" s="6">
        <f ca="1">$M$1050*$Z$1050</f>
        <v>1458825.84014</v>
      </c>
      <c r="AG1050" s="6">
        <f ca="1">$O$1050*$AA$1050</f>
        <v>870025.43200000003</v>
      </c>
    </row>
    <row r="1051" spans="1:33" ht="11.25" customHeight="1" x14ac:dyDescent="0.3">
      <c r="A1051" s="4" t="s">
        <v>27</v>
      </c>
      <c r="B1051" s="4" t="s">
        <v>37</v>
      </c>
      <c r="C1051" s="4" t="s">
        <v>23</v>
      </c>
      <c r="D1051" s="4" t="s">
        <v>42</v>
      </c>
      <c r="E1051" s="4" t="s">
        <v>25</v>
      </c>
      <c r="F1051" s="4" t="s">
        <v>25</v>
      </c>
      <c r="G1051" s="4" t="s">
        <v>25</v>
      </c>
      <c r="H1051" s="4" t="s">
        <v>25</v>
      </c>
      <c r="I1051" s="5">
        <v>44652</v>
      </c>
      <c r="J1051" s="6">
        <v>0</v>
      </c>
      <c r="K1051" s="6">
        <v>0</v>
      </c>
      <c r="L1051" s="6">
        <v>4.891</v>
      </c>
      <c r="M1051" s="6">
        <v>4.891</v>
      </c>
      <c r="N1051" s="6">
        <v>4.891</v>
      </c>
      <c r="O1051" s="6">
        <v>4.891</v>
      </c>
      <c r="P1051" s="6">
        <v>0</v>
      </c>
      <c r="Q1051" s="4" t="s">
        <v>26</v>
      </c>
      <c r="R1051" s="4">
        <v>0</v>
      </c>
      <c r="S1051" s="6">
        <v>0</v>
      </c>
      <c r="T1051" s="6">
        <v>63</v>
      </c>
      <c r="U1051" s="6">
        <v>91</v>
      </c>
      <c r="V1051" s="6">
        <f>IF(ISERROR(VLOOKUP($S$1051,'TAR FIN'!$A$1:$O$113,15,0)),0,VLOOKUP($S$1051,'TAR FIN'!$A$1:$O$113,15,0))</f>
        <v>0</v>
      </c>
      <c r="W1051" s="6">
        <f>IF(ISERROR(VLOOKUP($T$1051,'TAR FIN'!$A$1:$O$113,15,0)),0,VLOOKUP($T$1051,'TAR FIN'!$A$1:$O$113,15,0))</f>
        <v>300.3</v>
      </c>
      <c r="X1051" s="6">
        <f>IF(ISERROR(VLOOKUP($U$1051,'TAR FIN'!$A$1:$O$113,15,0)),0,VLOOKUP($U$1051,'TAR FIN'!$A$1:$O$113,15,0))</f>
        <v>292.36</v>
      </c>
      <c r="Y1051" s="6"/>
      <c r="Z1051" s="6">
        <f ca="1">('TUSD BE'!$AM$68+'TUSD BF_350'!$AM$68+'TUSD CVA'!$AM$68)*1</f>
        <v>409.13</v>
      </c>
      <c r="AA1051" s="6">
        <f ca="1">('TE BE'!$AB$46+'TE BF_350'!$AB$46+'TE CVA'!$AB$46)*1</f>
        <v>244</v>
      </c>
      <c r="AB1051" s="6">
        <f>$K$1051*$V$1051</f>
        <v>0</v>
      </c>
      <c r="AC1051" s="6">
        <f>$M$1051*$W$1051</f>
        <v>1468.7673</v>
      </c>
      <c r="AD1051" s="6">
        <f>$O$1051*$X$1051</f>
        <v>1429.9327600000001</v>
      </c>
      <c r="AE1051" s="6">
        <f>$K$1051*$Y$1051</f>
        <v>0</v>
      </c>
      <c r="AF1051" s="6">
        <f ca="1">$M$1051*$Z$1051</f>
        <v>2001.05483</v>
      </c>
      <c r="AG1051" s="6">
        <f ca="1">$O$1051*$AA$1051</f>
        <v>1193.404</v>
      </c>
    </row>
    <row r="1052" spans="1:33" ht="11.25" customHeight="1" x14ac:dyDescent="0.3">
      <c r="A1052" s="4" t="s">
        <v>28</v>
      </c>
      <c r="B1052" s="4" t="s">
        <v>37</v>
      </c>
      <c r="C1052" s="4" t="s">
        <v>23</v>
      </c>
      <c r="D1052" s="4" t="s">
        <v>42</v>
      </c>
      <c r="E1052" s="4" t="s">
        <v>25</v>
      </c>
      <c r="F1052" s="4" t="s">
        <v>25</v>
      </c>
      <c r="G1052" s="4" t="s">
        <v>25</v>
      </c>
      <c r="H1052" s="4" t="s">
        <v>25</v>
      </c>
      <c r="I1052" s="5">
        <v>44652</v>
      </c>
      <c r="J1052" s="6">
        <v>0</v>
      </c>
      <c r="K1052" s="6">
        <v>0</v>
      </c>
      <c r="L1052" s="6">
        <v>77.751999999999995</v>
      </c>
      <c r="M1052" s="6">
        <v>77.751999999999995</v>
      </c>
      <c r="N1052" s="6">
        <v>77.751999999999995</v>
      </c>
      <c r="O1052" s="6">
        <v>77.751999999999995</v>
      </c>
      <c r="P1052" s="6">
        <v>137</v>
      </c>
      <c r="Q1052" s="4" t="s">
        <v>26</v>
      </c>
      <c r="R1052" s="4">
        <v>0</v>
      </c>
      <c r="S1052" s="6">
        <v>0</v>
      </c>
      <c r="T1052" s="6">
        <v>63</v>
      </c>
      <c r="U1052" s="6">
        <v>91</v>
      </c>
      <c r="V1052" s="6">
        <f>IF(ISERROR(VLOOKUP($S$1052,'TAR FIN'!$A$1:$O$113,15,0)),0,VLOOKUP($S$1052,'TAR FIN'!$A$1:$O$113,15,0))</f>
        <v>0</v>
      </c>
      <c r="W1052" s="6">
        <f>IF(ISERROR(VLOOKUP($T$1052,'TAR FIN'!$A$1:$O$113,15,0)),0,VLOOKUP($T$1052,'TAR FIN'!$A$1:$O$113,15,0))</f>
        <v>300.3</v>
      </c>
      <c r="X1052" s="6">
        <f>IF(ISERROR(VLOOKUP($U$1052,'TAR FIN'!$A$1:$O$113,15,0)),0,VLOOKUP($U$1052,'TAR FIN'!$A$1:$O$113,15,0))</f>
        <v>292.36</v>
      </c>
      <c r="Y1052" s="6"/>
      <c r="Z1052" s="6">
        <f ca="1">('TUSD BE'!$AM$68+'TUSD BF_350'!$AM$68+'TUSD CVA'!$AM$68)*1</f>
        <v>409.13</v>
      </c>
      <c r="AA1052" s="6">
        <f ca="1">('TE BE'!$AB$46+'TE BF_350'!$AB$46+'TE CVA'!$AB$46)*1</f>
        <v>244</v>
      </c>
      <c r="AB1052" s="6">
        <f>$K$1052*$V$1052</f>
        <v>0</v>
      </c>
      <c r="AC1052" s="6">
        <f>$M$1052*$W$1052</f>
        <v>23348.925599999999</v>
      </c>
      <c r="AD1052" s="6">
        <f>$O$1052*$X$1052</f>
        <v>22731.574720000001</v>
      </c>
      <c r="AE1052" s="6">
        <f>$K$1052*$Y$1052</f>
        <v>0</v>
      </c>
      <c r="AF1052" s="6">
        <f ca="1">$M$1052*$Z$1052</f>
        <v>31810.675759999998</v>
      </c>
      <c r="AG1052" s="6">
        <f ca="1">$O$1052*$AA$1052</f>
        <v>18971.487999999998</v>
      </c>
    </row>
    <row r="1053" spans="1:33" ht="11.25" customHeight="1" x14ac:dyDescent="0.3">
      <c r="A1053" s="4" t="s">
        <v>21</v>
      </c>
      <c r="B1053" s="4" t="s">
        <v>37</v>
      </c>
      <c r="C1053" s="4" t="s">
        <v>23</v>
      </c>
      <c r="D1053" s="4" t="s">
        <v>42</v>
      </c>
      <c r="E1053" s="4" t="s">
        <v>25</v>
      </c>
      <c r="F1053" s="4" t="s">
        <v>25</v>
      </c>
      <c r="G1053" s="4" t="s">
        <v>25</v>
      </c>
      <c r="H1053" s="4" t="s">
        <v>25</v>
      </c>
      <c r="I1053" s="5">
        <v>44682</v>
      </c>
      <c r="J1053" s="6">
        <v>0</v>
      </c>
      <c r="K1053" s="6">
        <v>0</v>
      </c>
      <c r="L1053" s="6">
        <v>3249.4789999999998</v>
      </c>
      <c r="M1053" s="6">
        <v>3249.4789999999998</v>
      </c>
      <c r="N1053" s="6">
        <v>3249.4789999999998</v>
      </c>
      <c r="O1053" s="6">
        <v>3249.4789999999998</v>
      </c>
      <c r="P1053" s="6">
        <v>5515</v>
      </c>
      <c r="Q1053" s="4" t="s">
        <v>26</v>
      </c>
      <c r="R1053" s="4">
        <v>0</v>
      </c>
      <c r="S1053" s="6">
        <v>0</v>
      </c>
      <c r="T1053" s="6">
        <v>63</v>
      </c>
      <c r="U1053" s="6">
        <v>91</v>
      </c>
      <c r="V1053" s="6">
        <f>IF(ISERROR(VLOOKUP($S$1053,'TAR FIN'!$A$1:$O$113,15,0)),0,VLOOKUP($S$1053,'TAR FIN'!$A$1:$O$113,15,0))</f>
        <v>0</v>
      </c>
      <c r="W1053" s="6">
        <f>IF(ISERROR(VLOOKUP($T$1053,'TAR FIN'!$A$1:$O$113,15,0)),0,VLOOKUP($T$1053,'TAR FIN'!$A$1:$O$113,15,0))</f>
        <v>300.3</v>
      </c>
      <c r="X1053" s="6">
        <f>IF(ISERROR(VLOOKUP($U$1053,'TAR FIN'!$A$1:$O$113,15,0)),0,VLOOKUP($U$1053,'TAR FIN'!$A$1:$O$113,15,0))</f>
        <v>292.36</v>
      </c>
      <c r="Y1053" s="6"/>
      <c r="Z1053" s="6">
        <f ca="1">('TUSD BE'!$AM$68+'TUSD BF_350'!$AM$68+'TUSD CVA'!$AM$68)*1</f>
        <v>409.13</v>
      </c>
      <c r="AA1053" s="6">
        <f ca="1">('TE BE'!$AB$46+'TE BF_350'!$AB$46+'TE CVA'!$AB$46)*1</f>
        <v>244</v>
      </c>
      <c r="AB1053" s="6">
        <f>$K$1053*$V$1053</f>
        <v>0</v>
      </c>
      <c r="AC1053" s="6">
        <f>$M$1053*$W$1053</f>
        <v>975818.54370000004</v>
      </c>
      <c r="AD1053" s="6">
        <f>$O$1053*$X$1053</f>
        <v>950017.68044000003</v>
      </c>
      <c r="AE1053" s="6">
        <f>$K$1053*$Y$1053</f>
        <v>0</v>
      </c>
      <c r="AF1053" s="6">
        <f ca="1">$M$1053*$Z$1053</f>
        <v>1329459.3432699998</v>
      </c>
      <c r="AG1053" s="6">
        <f ca="1">$O$1053*$AA$1053</f>
        <v>792872.87599999993</v>
      </c>
    </row>
    <row r="1054" spans="1:33" ht="11.25" customHeight="1" x14ac:dyDescent="0.3">
      <c r="A1054" s="4" t="s">
        <v>27</v>
      </c>
      <c r="B1054" s="4" t="s">
        <v>37</v>
      </c>
      <c r="C1054" s="4" t="s">
        <v>23</v>
      </c>
      <c r="D1054" s="4" t="s">
        <v>42</v>
      </c>
      <c r="E1054" s="4" t="s">
        <v>25</v>
      </c>
      <c r="F1054" s="4" t="s">
        <v>25</v>
      </c>
      <c r="G1054" s="4" t="s">
        <v>25</v>
      </c>
      <c r="H1054" s="4" t="s">
        <v>25</v>
      </c>
      <c r="I1054" s="5">
        <v>44682</v>
      </c>
      <c r="J1054" s="6">
        <v>0</v>
      </c>
      <c r="K1054" s="6">
        <v>0</v>
      </c>
      <c r="L1054" s="6">
        <v>-10.763999999999999</v>
      </c>
      <c r="M1054" s="6">
        <v>-10.763999999999999</v>
      </c>
      <c r="N1054" s="6">
        <v>-10.763999999999999</v>
      </c>
      <c r="O1054" s="6">
        <v>-10.763999999999999</v>
      </c>
      <c r="P1054" s="6">
        <v>0</v>
      </c>
      <c r="Q1054" s="4" t="s">
        <v>26</v>
      </c>
      <c r="R1054" s="4">
        <v>0</v>
      </c>
      <c r="S1054" s="6">
        <v>0</v>
      </c>
      <c r="T1054" s="6">
        <v>63</v>
      </c>
      <c r="U1054" s="6">
        <v>91</v>
      </c>
      <c r="V1054" s="6">
        <f>IF(ISERROR(VLOOKUP($S$1054,'TAR FIN'!$A$1:$O$113,15,0)),0,VLOOKUP($S$1054,'TAR FIN'!$A$1:$O$113,15,0))</f>
        <v>0</v>
      </c>
      <c r="W1054" s="6">
        <f>IF(ISERROR(VLOOKUP($T$1054,'TAR FIN'!$A$1:$O$113,15,0)),0,VLOOKUP($T$1054,'TAR FIN'!$A$1:$O$113,15,0))</f>
        <v>300.3</v>
      </c>
      <c r="X1054" s="6">
        <f>IF(ISERROR(VLOOKUP($U$1054,'TAR FIN'!$A$1:$O$113,15,0)),0,VLOOKUP($U$1054,'TAR FIN'!$A$1:$O$113,15,0))</f>
        <v>292.36</v>
      </c>
      <c r="Y1054" s="6"/>
      <c r="Z1054" s="6">
        <f ca="1">('TUSD BE'!$AM$68+'TUSD BF_350'!$AM$68+'TUSD CVA'!$AM$68)*1</f>
        <v>409.13</v>
      </c>
      <c r="AA1054" s="6">
        <f ca="1">('TE BE'!$AB$46+'TE BF_350'!$AB$46+'TE CVA'!$AB$46)*1</f>
        <v>244</v>
      </c>
      <c r="AB1054" s="6">
        <f>$K$1054*$V$1054</f>
        <v>0</v>
      </c>
      <c r="AC1054" s="6">
        <f>$M$1054*$W$1054</f>
        <v>-3232.4292</v>
      </c>
      <c r="AD1054" s="6">
        <f>$O$1054*$X$1054</f>
        <v>-3146.9630400000001</v>
      </c>
      <c r="AE1054" s="6">
        <f>$K$1054*$Y$1054</f>
        <v>0</v>
      </c>
      <c r="AF1054" s="6">
        <f ca="1">$M$1054*$Z$1054</f>
        <v>-4403.8753200000001</v>
      </c>
      <c r="AG1054" s="6">
        <f ca="1">$O$1054*$AA$1054</f>
        <v>-2626.4159999999997</v>
      </c>
    </row>
    <row r="1055" spans="1:33" ht="11.25" customHeight="1" x14ac:dyDescent="0.3">
      <c r="A1055" s="4" t="s">
        <v>28</v>
      </c>
      <c r="B1055" s="4" t="s">
        <v>37</v>
      </c>
      <c r="C1055" s="4" t="s">
        <v>23</v>
      </c>
      <c r="D1055" s="4" t="s">
        <v>42</v>
      </c>
      <c r="E1055" s="4" t="s">
        <v>25</v>
      </c>
      <c r="F1055" s="4" t="s">
        <v>25</v>
      </c>
      <c r="G1055" s="4" t="s">
        <v>25</v>
      </c>
      <c r="H1055" s="4" t="s">
        <v>25</v>
      </c>
      <c r="I1055" s="5">
        <v>44682</v>
      </c>
      <c r="J1055" s="6">
        <v>0</v>
      </c>
      <c r="K1055" s="6">
        <v>0</v>
      </c>
      <c r="L1055" s="6">
        <v>71.489999999999995</v>
      </c>
      <c r="M1055" s="6">
        <v>71.489999999999995</v>
      </c>
      <c r="N1055" s="6">
        <v>71.489999999999995</v>
      </c>
      <c r="O1055" s="6">
        <v>71.489999999999995</v>
      </c>
      <c r="P1055" s="6">
        <v>148</v>
      </c>
      <c r="Q1055" s="4" t="s">
        <v>26</v>
      </c>
      <c r="R1055" s="4">
        <v>0</v>
      </c>
      <c r="S1055" s="6">
        <v>0</v>
      </c>
      <c r="T1055" s="6">
        <v>63</v>
      </c>
      <c r="U1055" s="6">
        <v>91</v>
      </c>
      <c r="V1055" s="6">
        <f>IF(ISERROR(VLOOKUP($S$1055,'TAR FIN'!$A$1:$O$113,15,0)),0,VLOOKUP($S$1055,'TAR FIN'!$A$1:$O$113,15,0))</f>
        <v>0</v>
      </c>
      <c r="W1055" s="6">
        <f>IF(ISERROR(VLOOKUP($T$1055,'TAR FIN'!$A$1:$O$113,15,0)),0,VLOOKUP($T$1055,'TAR FIN'!$A$1:$O$113,15,0))</f>
        <v>300.3</v>
      </c>
      <c r="X1055" s="6">
        <f>IF(ISERROR(VLOOKUP($U$1055,'TAR FIN'!$A$1:$O$113,15,0)),0,VLOOKUP($U$1055,'TAR FIN'!$A$1:$O$113,15,0))</f>
        <v>292.36</v>
      </c>
      <c r="Y1055" s="6"/>
      <c r="Z1055" s="6">
        <f ca="1">('TUSD BE'!$AM$68+'TUSD BF_350'!$AM$68+'TUSD CVA'!$AM$68)*1</f>
        <v>409.13</v>
      </c>
      <c r="AA1055" s="6">
        <f ca="1">('TE BE'!$AB$46+'TE BF_350'!$AB$46+'TE CVA'!$AB$46)*1</f>
        <v>244</v>
      </c>
      <c r="AB1055" s="6">
        <f>$K$1055*$V$1055</f>
        <v>0</v>
      </c>
      <c r="AC1055" s="6">
        <f>$M$1055*$W$1055</f>
        <v>21468.447</v>
      </c>
      <c r="AD1055" s="6">
        <f>$O$1055*$X$1055</f>
        <v>20900.8164</v>
      </c>
      <c r="AE1055" s="6">
        <f>$K$1055*$Y$1055</f>
        <v>0</v>
      </c>
      <c r="AF1055" s="6">
        <f ca="1">$M$1055*$Z$1055</f>
        <v>29248.703699999998</v>
      </c>
      <c r="AG1055" s="6">
        <f ca="1">$O$1055*$AA$1055</f>
        <v>17443.559999999998</v>
      </c>
    </row>
    <row r="1056" spans="1:33" ht="11.25" customHeight="1" x14ac:dyDescent="0.3">
      <c r="A1056" s="4" t="s">
        <v>21</v>
      </c>
      <c r="B1056" s="4" t="s">
        <v>37</v>
      </c>
      <c r="C1056" s="4" t="s">
        <v>23</v>
      </c>
      <c r="D1056" s="4" t="s">
        <v>42</v>
      </c>
      <c r="E1056" s="4" t="s">
        <v>25</v>
      </c>
      <c r="F1056" s="4" t="s">
        <v>25</v>
      </c>
      <c r="G1056" s="4" t="s">
        <v>25</v>
      </c>
      <c r="H1056" s="4" t="s">
        <v>25</v>
      </c>
      <c r="I1056" s="5">
        <v>44713</v>
      </c>
      <c r="J1056" s="6">
        <v>0</v>
      </c>
      <c r="K1056" s="6">
        <v>0</v>
      </c>
      <c r="L1056" s="6">
        <v>3046.7640000000001</v>
      </c>
      <c r="M1056" s="6">
        <v>3046.7640000000001</v>
      </c>
      <c r="N1056" s="6">
        <v>3046.7640000000001</v>
      </c>
      <c r="O1056" s="6">
        <v>3046.7640000000001</v>
      </c>
      <c r="P1056" s="6">
        <v>5530</v>
      </c>
      <c r="Q1056" s="4" t="s">
        <v>26</v>
      </c>
      <c r="R1056" s="4">
        <v>0</v>
      </c>
      <c r="S1056" s="6">
        <v>0</v>
      </c>
      <c r="T1056" s="6">
        <v>63</v>
      </c>
      <c r="U1056" s="6">
        <v>91</v>
      </c>
      <c r="V1056" s="6">
        <f>IF(ISERROR(VLOOKUP($S$1056,'TAR FIN'!$A$1:$O$113,15,0)),0,VLOOKUP($S$1056,'TAR FIN'!$A$1:$O$113,15,0))</f>
        <v>0</v>
      </c>
      <c r="W1056" s="6">
        <f>IF(ISERROR(VLOOKUP($T$1056,'TAR FIN'!$A$1:$O$113,15,0)),0,VLOOKUP($T$1056,'TAR FIN'!$A$1:$O$113,15,0))</f>
        <v>300.3</v>
      </c>
      <c r="X1056" s="6">
        <f>IF(ISERROR(VLOOKUP($U$1056,'TAR FIN'!$A$1:$O$113,15,0)),0,VLOOKUP($U$1056,'TAR FIN'!$A$1:$O$113,15,0))</f>
        <v>292.36</v>
      </c>
      <c r="Y1056" s="6"/>
      <c r="Z1056" s="6">
        <f ca="1">('TUSD BE'!$AM$68+'TUSD BF_350'!$AM$68+'TUSD CVA'!$AM$68)*1</f>
        <v>409.13</v>
      </c>
      <c r="AA1056" s="6">
        <f ca="1">('TE BE'!$AB$46+'TE BF_350'!$AB$46+'TE CVA'!$AB$46)*1</f>
        <v>244</v>
      </c>
      <c r="AB1056" s="6">
        <f>$K$1056*$V$1056</f>
        <v>0</v>
      </c>
      <c r="AC1056" s="6">
        <f>$M$1056*$W$1056</f>
        <v>914943.22920000006</v>
      </c>
      <c r="AD1056" s="6">
        <f>$O$1056*$X$1056</f>
        <v>890751.92304000002</v>
      </c>
      <c r="AE1056" s="6">
        <f>$K$1056*$Y$1056</f>
        <v>0</v>
      </c>
      <c r="AF1056" s="6">
        <f ca="1">$M$1056*$Z$1056</f>
        <v>1246522.55532</v>
      </c>
      <c r="AG1056" s="6">
        <f ca="1">$O$1056*$AA$1056</f>
        <v>743410.41600000008</v>
      </c>
    </row>
    <row r="1057" spans="1:33" ht="11.25" customHeight="1" x14ac:dyDescent="0.3">
      <c r="A1057" s="4" t="s">
        <v>27</v>
      </c>
      <c r="B1057" s="4" t="s">
        <v>37</v>
      </c>
      <c r="C1057" s="4" t="s">
        <v>23</v>
      </c>
      <c r="D1057" s="4" t="s">
        <v>42</v>
      </c>
      <c r="E1057" s="4" t="s">
        <v>25</v>
      </c>
      <c r="F1057" s="4" t="s">
        <v>25</v>
      </c>
      <c r="G1057" s="4" t="s">
        <v>25</v>
      </c>
      <c r="H1057" s="4" t="s">
        <v>25</v>
      </c>
      <c r="I1057" s="5">
        <v>44713</v>
      </c>
      <c r="J1057" s="6">
        <v>0</v>
      </c>
      <c r="K1057" s="6">
        <v>0</v>
      </c>
      <c r="L1057" s="6">
        <v>-22.873999999999999</v>
      </c>
      <c r="M1057" s="6">
        <v>-22.873999999999999</v>
      </c>
      <c r="N1057" s="6">
        <v>-22.873999999999999</v>
      </c>
      <c r="O1057" s="6">
        <v>-22.873999999999999</v>
      </c>
      <c r="P1057" s="6">
        <v>0</v>
      </c>
      <c r="Q1057" s="4" t="s">
        <v>26</v>
      </c>
      <c r="R1057" s="4">
        <v>0</v>
      </c>
      <c r="S1057" s="6">
        <v>0</v>
      </c>
      <c r="T1057" s="6">
        <v>63</v>
      </c>
      <c r="U1057" s="6">
        <v>91</v>
      </c>
      <c r="V1057" s="6">
        <f>IF(ISERROR(VLOOKUP($S$1057,'TAR FIN'!$A$1:$O$113,15,0)),0,VLOOKUP($S$1057,'TAR FIN'!$A$1:$O$113,15,0))</f>
        <v>0</v>
      </c>
      <c r="W1057" s="6">
        <f>IF(ISERROR(VLOOKUP($T$1057,'TAR FIN'!$A$1:$O$113,15,0)),0,VLOOKUP($T$1057,'TAR FIN'!$A$1:$O$113,15,0))</f>
        <v>300.3</v>
      </c>
      <c r="X1057" s="6">
        <f>IF(ISERROR(VLOOKUP($U$1057,'TAR FIN'!$A$1:$O$113,15,0)),0,VLOOKUP($U$1057,'TAR FIN'!$A$1:$O$113,15,0))</f>
        <v>292.36</v>
      </c>
      <c r="Y1057" s="6"/>
      <c r="Z1057" s="6">
        <f ca="1">('TUSD BE'!$AM$68+'TUSD BF_350'!$AM$68+'TUSD CVA'!$AM$68)*1</f>
        <v>409.13</v>
      </c>
      <c r="AA1057" s="6">
        <f ca="1">('TE BE'!$AB$46+'TE BF_350'!$AB$46+'TE CVA'!$AB$46)*1</f>
        <v>244</v>
      </c>
      <c r="AB1057" s="6">
        <f>$K$1057*$V$1057</f>
        <v>0</v>
      </c>
      <c r="AC1057" s="6">
        <f>$M$1057*$W$1057</f>
        <v>-6869.0622000000003</v>
      </c>
      <c r="AD1057" s="6">
        <f>$O$1057*$X$1057</f>
        <v>-6687.4426400000002</v>
      </c>
      <c r="AE1057" s="6">
        <f>$K$1057*$Y$1057</f>
        <v>0</v>
      </c>
      <c r="AF1057" s="6">
        <f ca="1">$M$1057*$Z$1057</f>
        <v>-9358.4396199999992</v>
      </c>
      <c r="AG1057" s="6">
        <f ca="1">$O$1057*$AA$1057</f>
        <v>-5581.2559999999994</v>
      </c>
    </row>
    <row r="1058" spans="1:33" ht="11.25" customHeight="1" x14ac:dyDescent="0.3">
      <c r="A1058" s="4" t="s">
        <v>28</v>
      </c>
      <c r="B1058" s="4" t="s">
        <v>37</v>
      </c>
      <c r="C1058" s="4" t="s">
        <v>23</v>
      </c>
      <c r="D1058" s="4" t="s">
        <v>42</v>
      </c>
      <c r="E1058" s="4" t="s">
        <v>25</v>
      </c>
      <c r="F1058" s="4" t="s">
        <v>25</v>
      </c>
      <c r="G1058" s="4" t="s">
        <v>25</v>
      </c>
      <c r="H1058" s="4" t="s">
        <v>25</v>
      </c>
      <c r="I1058" s="5">
        <v>44713</v>
      </c>
      <c r="J1058" s="6">
        <v>0</v>
      </c>
      <c r="K1058" s="6">
        <v>0</v>
      </c>
      <c r="L1058" s="6">
        <v>79.274000000000001</v>
      </c>
      <c r="M1058" s="6">
        <v>79.274000000000001</v>
      </c>
      <c r="N1058" s="6">
        <v>79.274000000000001</v>
      </c>
      <c r="O1058" s="6">
        <v>79.274000000000001</v>
      </c>
      <c r="P1058" s="6">
        <v>160</v>
      </c>
      <c r="Q1058" s="4" t="s">
        <v>26</v>
      </c>
      <c r="R1058" s="4">
        <v>0</v>
      </c>
      <c r="S1058" s="6">
        <v>0</v>
      </c>
      <c r="T1058" s="6">
        <v>63</v>
      </c>
      <c r="U1058" s="6">
        <v>91</v>
      </c>
      <c r="V1058" s="6">
        <f>IF(ISERROR(VLOOKUP($S$1058,'TAR FIN'!$A$1:$O$113,15,0)),0,VLOOKUP($S$1058,'TAR FIN'!$A$1:$O$113,15,0))</f>
        <v>0</v>
      </c>
      <c r="W1058" s="6">
        <f>IF(ISERROR(VLOOKUP($T$1058,'TAR FIN'!$A$1:$O$113,15,0)),0,VLOOKUP($T$1058,'TAR FIN'!$A$1:$O$113,15,0))</f>
        <v>300.3</v>
      </c>
      <c r="X1058" s="6">
        <f>IF(ISERROR(VLOOKUP($U$1058,'TAR FIN'!$A$1:$O$113,15,0)),0,VLOOKUP($U$1058,'TAR FIN'!$A$1:$O$113,15,0))</f>
        <v>292.36</v>
      </c>
      <c r="Y1058" s="6"/>
      <c r="Z1058" s="6">
        <f ca="1">('TUSD BE'!$AM$68+'TUSD BF_350'!$AM$68+'TUSD CVA'!$AM$68)*1</f>
        <v>409.13</v>
      </c>
      <c r="AA1058" s="6">
        <f ca="1">('TE BE'!$AB$46+'TE BF_350'!$AB$46+'TE CVA'!$AB$46)*1</f>
        <v>244</v>
      </c>
      <c r="AB1058" s="6">
        <f>$K$1058*$V$1058</f>
        <v>0</v>
      </c>
      <c r="AC1058" s="6">
        <f>$M$1058*$W$1058</f>
        <v>23805.982200000002</v>
      </c>
      <c r="AD1058" s="6">
        <f>$O$1058*$X$1058</f>
        <v>23176.54664</v>
      </c>
      <c r="AE1058" s="6">
        <f>$K$1058*$Y$1058</f>
        <v>0</v>
      </c>
      <c r="AF1058" s="6">
        <f ca="1">$M$1058*$Z$1058</f>
        <v>32433.371620000002</v>
      </c>
      <c r="AG1058" s="6">
        <f ca="1">$O$1058*$AA$1058</f>
        <v>19342.856</v>
      </c>
    </row>
    <row r="1059" spans="1:33" ht="11.25" customHeight="1" x14ac:dyDescent="0.3">
      <c r="A1059" s="4" t="s">
        <v>21</v>
      </c>
      <c r="B1059" s="4" t="s">
        <v>37</v>
      </c>
      <c r="C1059" s="4" t="s">
        <v>23</v>
      </c>
      <c r="D1059" s="4" t="s">
        <v>42</v>
      </c>
      <c r="E1059" s="4" t="s">
        <v>25</v>
      </c>
      <c r="F1059" s="4" t="s">
        <v>25</v>
      </c>
      <c r="G1059" s="4" t="s">
        <v>25</v>
      </c>
      <c r="H1059" s="4" t="s">
        <v>25</v>
      </c>
      <c r="I1059" s="5">
        <v>44743</v>
      </c>
      <c r="J1059" s="6">
        <v>0</v>
      </c>
      <c r="K1059" s="6">
        <v>0</v>
      </c>
      <c r="L1059" s="6">
        <v>3165.8670000000002</v>
      </c>
      <c r="M1059" s="6">
        <v>3165.8670000000002</v>
      </c>
      <c r="N1059" s="6">
        <v>3165.8670000000002</v>
      </c>
      <c r="O1059" s="6">
        <v>3165.8670000000002</v>
      </c>
      <c r="P1059" s="6">
        <v>5566</v>
      </c>
      <c r="Q1059" s="4" t="s">
        <v>26</v>
      </c>
      <c r="R1059" s="4">
        <v>0</v>
      </c>
      <c r="S1059" s="6">
        <v>0</v>
      </c>
      <c r="T1059" s="6">
        <v>63</v>
      </c>
      <c r="U1059" s="6">
        <v>91</v>
      </c>
      <c r="V1059" s="6">
        <f>IF(ISERROR(VLOOKUP($S$1059,'TAR FIN'!$A$1:$O$113,15,0)),0,VLOOKUP($S$1059,'TAR FIN'!$A$1:$O$113,15,0))</f>
        <v>0</v>
      </c>
      <c r="W1059" s="6">
        <f>IF(ISERROR(VLOOKUP($T$1059,'TAR FIN'!$A$1:$O$113,15,0)),0,VLOOKUP($T$1059,'TAR FIN'!$A$1:$O$113,15,0))</f>
        <v>300.3</v>
      </c>
      <c r="X1059" s="6">
        <f>IF(ISERROR(VLOOKUP($U$1059,'TAR FIN'!$A$1:$O$113,15,0)),0,VLOOKUP($U$1059,'TAR FIN'!$A$1:$O$113,15,0))</f>
        <v>292.36</v>
      </c>
      <c r="Y1059" s="6"/>
      <c r="Z1059" s="6">
        <f ca="1">('TUSD BE'!$AM$68+'TUSD BF_350'!$AM$68+'TUSD CVA'!$AM$68)*1</f>
        <v>409.13</v>
      </c>
      <c r="AA1059" s="6">
        <f ca="1">('TE BE'!$AB$46+'TE BF_350'!$AB$46+'TE CVA'!$AB$46)*1</f>
        <v>244</v>
      </c>
      <c r="AB1059" s="6">
        <f>$K$1059*$V$1059</f>
        <v>0</v>
      </c>
      <c r="AC1059" s="6">
        <f>$M$1059*$W$1059</f>
        <v>950709.86010000005</v>
      </c>
      <c r="AD1059" s="6">
        <f>$O$1059*$X$1059</f>
        <v>925572.87612000015</v>
      </c>
      <c r="AE1059" s="6">
        <f>$K$1059*$Y$1059</f>
        <v>0</v>
      </c>
      <c r="AF1059" s="6">
        <f ca="1">$M$1059*$Z$1059</f>
        <v>1295251.1657100001</v>
      </c>
      <c r="AG1059" s="6">
        <f ca="1">$O$1059*$AA$1059</f>
        <v>772471.54800000007</v>
      </c>
    </row>
    <row r="1060" spans="1:33" ht="11.25" customHeight="1" x14ac:dyDescent="0.3">
      <c r="A1060" s="4" t="s">
        <v>21</v>
      </c>
      <c r="B1060" s="4" t="s">
        <v>37</v>
      </c>
      <c r="C1060" s="4" t="s">
        <v>23</v>
      </c>
      <c r="D1060" s="4" t="s">
        <v>42</v>
      </c>
      <c r="E1060" s="4" t="s">
        <v>25</v>
      </c>
      <c r="F1060" s="4" t="s">
        <v>25</v>
      </c>
      <c r="G1060" s="4" t="s">
        <v>25</v>
      </c>
      <c r="H1060" s="4" t="s">
        <v>25</v>
      </c>
      <c r="I1060" s="5">
        <v>44774</v>
      </c>
      <c r="J1060" s="6">
        <v>0</v>
      </c>
      <c r="K1060" s="6">
        <v>0</v>
      </c>
      <c r="L1060" s="6">
        <v>2993.3609999999999</v>
      </c>
      <c r="M1060" s="6">
        <v>2993.3609999999999</v>
      </c>
      <c r="N1060" s="6">
        <v>2993.3609999999999</v>
      </c>
      <c r="O1060" s="6">
        <v>2993.3609999999999</v>
      </c>
      <c r="P1060" s="6">
        <v>5568</v>
      </c>
      <c r="Q1060" s="4" t="s">
        <v>26</v>
      </c>
      <c r="R1060" s="4">
        <v>0</v>
      </c>
      <c r="S1060" s="6">
        <v>0</v>
      </c>
      <c r="T1060" s="6">
        <v>63</v>
      </c>
      <c r="U1060" s="6">
        <v>91</v>
      </c>
      <c r="V1060" s="6">
        <f>IF(ISERROR(VLOOKUP($S$1060,'TAR FIN'!$A$1:$O$113,15,0)),0,VLOOKUP($S$1060,'TAR FIN'!$A$1:$O$113,15,0))</f>
        <v>0</v>
      </c>
      <c r="W1060" s="6">
        <f>IF(ISERROR(VLOOKUP($T$1060,'TAR FIN'!$A$1:$O$113,15,0)),0,VLOOKUP($T$1060,'TAR FIN'!$A$1:$O$113,15,0))</f>
        <v>300.3</v>
      </c>
      <c r="X1060" s="6">
        <f>IF(ISERROR(VLOOKUP($U$1060,'TAR FIN'!$A$1:$O$113,15,0)),0,VLOOKUP($U$1060,'TAR FIN'!$A$1:$O$113,15,0))</f>
        <v>292.36</v>
      </c>
      <c r="Y1060" s="6"/>
      <c r="Z1060" s="6">
        <f ca="1">('TUSD BE'!$AM$68+'TUSD BF_350'!$AM$68+'TUSD CVA'!$AM$68)*1</f>
        <v>409.13</v>
      </c>
      <c r="AA1060" s="6">
        <f ca="1">('TE BE'!$AB$46+'TE BF_350'!$AB$46+'TE CVA'!$AB$46)*1</f>
        <v>244</v>
      </c>
      <c r="AB1060" s="6">
        <f>$K$1060*$V$1060</f>
        <v>0</v>
      </c>
      <c r="AC1060" s="6">
        <f>$M$1060*$W$1060</f>
        <v>898906.30830000003</v>
      </c>
      <c r="AD1060" s="6">
        <f>$O$1060*$X$1060</f>
        <v>875139.02196000004</v>
      </c>
      <c r="AE1060" s="6">
        <f>$K$1060*$Y$1060</f>
        <v>0</v>
      </c>
      <c r="AF1060" s="6">
        <f ca="1">$M$1060*$Z$1060</f>
        <v>1224673.78593</v>
      </c>
      <c r="AG1060" s="6">
        <f ca="1">$O$1060*$AA$1060</f>
        <v>730380.08399999992</v>
      </c>
    </row>
    <row r="1061" spans="1:33" ht="11.25" customHeight="1" x14ac:dyDescent="0.3">
      <c r="A1061" s="4" t="s">
        <v>27</v>
      </c>
      <c r="B1061" s="4" t="s">
        <v>37</v>
      </c>
      <c r="C1061" s="4" t="s">
        <v>23</v>
      </c>
      <c r="D1061" s="4" t="s">
        <v>42</v>
      </c>
      <c r="E1061" s="4" t="s">
        <v>25</v>
      </c>
      <c r="F1061" s="4" t="s">
        <v>25</v>
      </c>
      <c r="G1061" s="4" t="s">
        <v>25</v>
      </c>
      <c r="H1061" s="4" t="s">
        <v>25</v>
      </c>
      <c r="I1061" s="5">
        <v>44774</v>
      </c>
      <c r="J1061" s="6">
        <v>0</v>
      </c>
      <c r="K1061" s="6">
        <v>0</v>
      </c>
      <c r="L1061" s="6">
        <v>-0.42599999999999999</v>
      </c>
      <c r="M1061" s="6">
        <v>-0.42599999999999999</v>
      </c>
      <c r="N1061" s="6">
        <v>-0.42599999999999999</v>
      </c>
      <c r="O1061" s="6">
        <v>-0.42599999999999999</v>
      </c>
      <c r="P1061" s="6">
        <v>0</v>
      </c>
      <c r="Q1061" s="4" t="s">
        <v>26</v>
      </c>
      <c r="R1061" s="4">
        <v>0</v>
      </c>
      <c r="S1061" s="6">
        <v>0</v>
      </c>
      <c r="T1061" s="6">
        <v>63</v>
      </c>
      <c r="U1061" s="6">
        <v>91</v>
      </c>
      <c r="V1061" s="6">
        <f>IF(ISERROR(VLOOKUP($S$1061,'TAR FIN'!$A$1:$O$113,15,0)),0,VLOOKUP($S$1061,'TAR FIN'!$A$1:$O$113,15,0))</f>
        <v>0</v>
      </c>
      <c r="W1061" s="6">
        <f>IF(ISERROR(VLOOKUP($T$1061,'TAR FIN'!$A$1:$O$113,15,0)),0,VLOOKUP($T$1061,'TAR FIN'!$A$1:$O$113,15,0))</f>
        <v>300.3</v>
      </c>
      <c r="X1061" s="6">
        <f>IF(ISERROR(VLOOKUP($U$1061,'TAR FIN'!$A$1:$O$113,15,0)),0,VLOOKUP($U$1061,'TAR FIN'!$A$1:$O$113,15,0))</f>
        <v>292.36</v>
      </c>
      <c r="Y1061" s="6"/>
      <c r="Z1061" s="6">
        <f ca="1">('TUSD BE'!$AM$68+'TUSD BF_350'!$AM$68+'TUSD CVA'!$AM$68)*1</f>
        <v>409.13</v>
      </c>
      <c r="AA1061" s="6">
        <f ca="1">('TE BE'!$AB$46+'TE BF_350'!$AB$46+'TE CVA'!$AB$46)*1</f>
        <v>244</v>
      </c>
      <c r="AB1061" s="6">
        <f>$K$1061*$V$1061</f>
        <v>0</v>
      </c>
      <c r="AC1061" s="6">
        <f>$M$1061*$W$1061</f>
        <v>-127.9278</v>
      </c>
      <c r="AD1061" s="6">
        <f>$O$1061*$X$1061</f>
        <v>-124.54536</v>
      </c>
      <c r="AE1061" s="6">
        <f>$K$1061*$Y$1061</f>
        <v>0</v>
      </c>
      <c r="AF1061" s="6">
        <f ca="1">$M$1061*$Z$1061</f>
        <v>-174.28937999999999</v>
      </c>
      <c r="AG1061" s="6">
        <f ca="1">$O$1061*$AA$1061</f>
        <v>-103.944</v>
      </c>
    </row>
    <row r="1062" spans="1:33" ht="11.25" customHeight="1" x14ac:dyDescent="0.3">
      <c r="A1062" s="4" t="s">
        <v>28</v>
      </c>
      <c r="B1062" s="4" t="s">
        <v>37</v>
      </c>
      <c r="C1062" s="4" t="s">
        <v>23</v>
      </c>
      <c r="D1062" s="4" t="s">
        <v>42</v>
      </c>
      <c r="E1062" s="4" t="s">
        <v>25</v>
      </c>
      <c r="F1062" s="4" t="s">
        <v>25</v>
      </c>
      <c r="G1062" s="4" t="s">
        <v>25</v>
      </c>
      <c r="H1062" s="4" t="s">
        <v>25</v>
      </c>
      <c r="I1062" s="5">
        <v>44774</v>
      </c>
      <c r="J1062" s="6">
        <v>0</v>
      </c>
      <c r="K1062" s="6">
        <v>0</v>
      </c>
      <c r="L1062" s="6">
        <v>86.825999999999993</v>
      </c>
      <c r="M1062" s="6">
        <v>86.825999999999993</v>
      </c>
      <c r="N1062" s="6">
        <v>86.825999999999993</v>
      </c>
      <c r="O1062" s="6">
        <v>86.825999999999993</v>
      </c>
      <c r="P1062" s="6">
        <v>183</v>
      </c>
      <c r="Q1062" s="4" t="s">
        <v>26</v>
      </c>
      <c r="R1062" s="4">
        <v>0</v>
      </c>
      <c r="S1062" s="6">
        <v>0</v>
      </c>
      <c r="T1062" s="6">
        <v>63</v>
      </c>
      <c r="U1062" s="6">
        <v>91</v>
      </c>
      <c r="V1062" s="6">
        <f>IF(ISERROR(VLOOKUP($S$1062,'TAR FIN'!$A$1:$O$113,15,0)),0,VLOOKUP($S$1062,'TAR FIN'!$A$1:$O$113,15,0))</f>
        <v>0</v>
      </c>
      <c r="W1062" s="6">
        <f>IF(ISERROR(VLOOKUP($T$1062,'TAR FIN'!$A$1:$O$113,15,0)),0,VLOOKUP($T$1062,'TAR FIN'!$A$1:$O$113,15,0))</f>
        <v>300.3</v>
      </c>
      <c r="X1062" s="6">
        <f>IF(ISERROR(VLOOKUP($U$1062,'TAR FIN'!$A$1:$O$113,15,0)),0,VLOOKUP($U$1062,'TAR FIN'!$A$1:$O$113,15,0))</f>
        <v>292.36</v>
      </c>
      <c r="Y1062" s="6"/>
      <c r="Z1062" s="6">
        <f ca="1">('TUSD BE'!$AM$68+'TUSD BF_350'!$AM$68+'TUSD CVA'!$AM$68)*1</f>
        <v>409.13</v>
      </c>
      <c r="AA1062" s="6">
        <f ca="1">('TE BE'!$AB$46+'TE BF_350'!$AB$46+'TE CVA'!$AB$46)*1</f>
        <v>244</v>
      </c>
      <c r="AB1062" s="6">
        <f>$K$1062*$V$1062</f>
        <v>0</v>
      </c>
      <c r="AC1062" s="6">
        <f>$M$1062*$W$1062</f>
        <v>26073.8478</v>
      </c>
      <c r="AD1062" s="6">
        <f>$O$1062*$X$1062</f>
        <v>25384.449359999999</v>
      </c>
      <c r="AE1062" s="6">
        <f>$K$1062*$Y$1062</f>
        <v>0</v>
      </c>
      <c r="AF1062" s="6">
        <f ca="1">$M$1062*$Z$1062</f>
        <v>35523.121379999997</v>
      </c>
      <c r="AG1062" s="6">
        <f ca="1">$O$1062*$AA$1062</f>
        <v>21185.543999999998</v>
      </c>
    </row>
    <row r="1063" spans="1:33" ht="11.25" customHeight="1" x14ac:dyDescent="0.3">
      <c r="A1063" s="4" t="s">
        <v>28</v>
      </c>
      <c r="B1063" s="4" t="s">
        <v>37</v>
      </c>
      <c r="C1063" s="4" t="s">
        <v>23</v>
      </c>
      <c r="D1063" s="4" t="s">
        <v>42</v>
      </c>
      <c r="E1063" s="4" t="s">
        <v>25</v>
      </c>
      <c r="F1063" s="4" t="s">
        <v>25</v>
      </c>
      <c r="G1063" s="4" t="s">
        <v>25</v>
      </c>
      <c r="H1063" s="4" t="s">
        <v>25</v>
      </c>
      <c r="I1063" s="5">
        <v>44774</v>
      </c>
      <c r="J1063" s="6">
        <v>0</v>
      </c>
      <c r="K1063" s="6">
        <v>0</v>
      </c>
      <c r="L1063" s="6">
        <v>-0.91</v>
      </c>
      <c r="M1063" s="6">
        <v>-0.91</v>
      </c>
      <c r="N1063" s="6">
        <v>-0.91</v>
      </c>
      <c r="O1063" s="6">
        <v>-0.91</v>
      </c>
      <c r="P1063" s="6">
        <v>4</v>
      </c>
      <c r="Q1063" s="4" t="s">
        <v>26</v>
      </c>
      <c r="R1063" s="4">
        <v>0</v>
      </c>
      <c r="S1063" s="6">
        <v>0</v>
      </c>
      <c r="T1063" s="6">
        <v>63</v>
      </c>
      <c r="U1063" s="6">
        <v>91</v>
      </c>
      <c r="V1063" s="6">
        <f>IF(ISERROR(VLOOKUP($S$1063,'TAR FIN'!$A$1:$O$113,15,0)),0,VLOOKUP($S$1063,'TAR FIN'!$A$1:$O$113,15,0))</f>
        <v>0</v>
      </c>
      <c r="W1063" s="6">
        <f>IF(ISERROR(VLOOKUP($T$1063,'TAR FIN'!$A$1:$O$113,15,0)),0,VLOOKUP($T$1063,'TAR FIN'!$A$1:$O$113,15,0))</f>
        <v>300.3</v>
      </c>
      <c r="X1063" s="6">
        <f>IF(ISERROR(VLOOKUP($U$1063,'TAR FIN'!$A$1:$O$113,15,0)),0,VLOOKUP($U$1063,'TAR FIN'!$A$1:$O$113,15,0))</f>
        <v>292.36</v>
      </c>
      <c r="Y1063" s="6"/>
      <c r="Z1063" s="6">
        <f ca="1">('TUSD BE'!$AM$68+'TUSD BF_350'!$AM$68+'TUSD CVA'!$AM$68)*1</f>
        <v>409.13</v>
      </c>
      <c r="AA1063" s="6">
        <f ca="1">('TE BE'!$AB$46+'TE BF_350'!$AB$46+'TE CVA'!$AB$46)*1</f>
        <v>244</v>
      </c>
      <c r="AB1063" s="6">
        <f>$K$1063*$V$1063</f>
        <v>0</v>
      </c>
      <c r="AC1063" s="6">
        <f>$M$1063*$W$1063</f>
        <v>-273.27300000000002</v>
      </c>
      <c r="AD1063" s="6">
        <f>$O$1063*$X$1063</f>
        <v>-266.04760000000005</v>
      </c>
      <c r="AE1063" s="6">
        <f>$K$1063*$Y$1063</f>
        <v>0</v>
      </c>
      <c r="AF1063" s="6">
        <f ca="1">$M$1063*$Z$1063</f>
        <v>-372.30830000000003</v>
      </c>
      <c r="AG1063" s="6">
        <f ca="1">$O$1063*$AA$1063</f>
        <v>-222.04000000000002</v>
      </c>
    </row>
    <row r="1064" spans="1:33" ht="11.25" customHeight="1" x14ac:dyDescent="0.3">
      <c r="A1064" s="4" t="s">
        <v>21</v>
      </c>
      <c r="B1064" s="4" t="s">
        <v>37</v>
      </c>
      <c r="C1064" s="4" t="s">
        <v>23</v>
      </c>
      <c r="D1064" s="4" t="s">
        <v>42</v>
      </c>
      <c r="E1064" s="4" t="s">
        <v>25</v>
      </c>
      <c r="F1064" s="4" t="s">
        <v>25</v>
      </c>
      <c r="G1064" s="4" t="s">
        <v>25</v>
      </c>
      <c r="H1064" s="4" t="s">
        <v>25</v>
      </c>
      <c r="I1064" s="5">
        <v>44805</v>
      </c>
      <c r="J1064" s="6">
        <v>0</v>
      </c>
      <c r="K1064" s="6">
        <v>0</v>
      </c>
      <c r="L1064" s="6">
        <v>3262.2240000000002</v>
      </c>
      <c r="M1064" s="6">
        <v>3262.2240000000002</v>
      </c>
      <c r="N1064" s="6">
        <v>3262.2240000000002</v>
      </c>
      <c r="O1064" s="6">
        <v>3262.2240000000002</v>
      </c>
      <c r="P1064" s="6">
        <v>5567</v>
      </c>
      <c r="Q1064" s="4" t="s">
        <v>26</v>
      </c>
      <c r="R1064" s="4">
        <v>0</v>
      </c>
      <c r="S1064" s="6">
        <v>0</v>
      </c>
      <c r="T1064" s="6">
        <v>63</v>
      </c>
      <c r="U1064" s="6">
        <v>91</v>
      </c>
      <c r="V1064" s="6">
        <f>IF(ISERROR(VLOOKUP($S$1064,'TAR FIN'!$A$1:$O$113,15,0)),0,VLOOKUP($S$1064,'TAR FIN'!$A$1:$O$113,15,0))</f>
        <v>0</v>
      </c>
      <c r="W1064" s="6">
        <f>IF(ISERROR(VLOOKUP($T$1064,'TAR FIN'!$A$1:$O$113,15,0)),0,VLOOKUP($T$1064,'TAR FIN'!$A$1:$O$113,15,0))</f>
        <v>300.3</v>
      </c>
      <c r="X1064" s="6">
        <f>IF(ISERROR(VLOOKUP($U$1064,'TAR FIN'!$A$1:$O$113,15,0)),0,VLOOKUP($U$1064,'TAR FIN'!$A$1:$O$113,15,0))</f>
        <v>292.36</v>
      </c>
      <c r="Y1064" s="6"/>
      <c r="Z1064" s="6">
        <f ca="1">('TUSD BE'!$AM$68+'TUSD BF_350'!$AM$68+'TUSD CVA'!$AM$68)*1</f>
        <v>409.13</v>
      </c>
      <c r="AA1064" s="6">
        <f ca="1">('TE BE'!$AB$46+'TE BF_350'!$AB$46+'TE CVA'!$AB$46)*1</f>
        <v>244</v>
      </c>
      <c r="AB1064" s="6">
        <f>$K$1064*$V$1064</f>
        <v>0</v>
      </c>
      <c r="AC1064" s="6">
        <f>$M$1064*$W$1064</f>
        <v>979645.8672000001</v>
      </c>
      <c r="AD1064" s="6">
        <f>$O$1064*$X$1064</f>
        <v>953743.80864000006</v>
      </c>
      <c r="AE1064" s="6">
        <f>$K$1064*$Y$1064</f>
        <v>0</v>
      </c>
      <c r="AF1064" s="6">
        <f ca="1">$M$1064*$Z$1064</f>
        <v>1334673.7051200001</v>
      </c>
      <c r="AG1064" s="6">
        <f ca="1">$O$1064*$AA$1064</f>
        <v>795982.65600000008</v>
      </c>
    </row>
    <row r="1065" spans="1:33" ht="11.25" customHeight="1" x14ac:dyDescent="0.3">
      <c r="A1065" s="4" t="s">
        <v>27</v>
      </c>
      <c r="B1065" s="4" t="s">
        <v>37</v>
      </c>
      <c r="C1065" s="4" t="s">
        <v>23</v>
      </c>
      <c r="D1065" s="4" t="s">
        <v>42</v>
      </c>
      <c r="E1065" s="4" t="s">
        <v>25</v>
      </c>
      <c r="F1065" s="4" t="s">
        <v>25</v>
      </c>
      <c r="G1065" s="4" t="s">
        <v>25</v>
      </c>
      <c r="H1065" s="4" t="s">
        <v>25</v>
      </c>
      <c r="I1065" s="5">
        <v>44805</v>
      </c>
      <c r="J1065" s="6">
        <v>0</v>
      </c>
      <c r="K1065" s="6">
        <v>0</v>
      </c>
      <c r="L1065" s="6">
        <v>-5.9249999999999998</v>
      </c>
      <c r="M1065" s="6">
        <v>-5.9249999999999998</v>
      </c>
      <c r="N1065" s="6">
        <v>-5.9249999999999998</v>
      </c>
      <c r="O1065" s="6">
        <v>-5.9249999999999998</v>
      </c>
      <c r="P1065" s="6">
        <v>0</v>
      </c>
      <c r="Q1065" s="4" t="s">
        <v>26</v>
      </c>
      <c r="R1065" s="4">
        <v>0</v>
      </c>
      <c r="S1065" s="6">
        <v>0</v>
      </c>
      <c r="T1065" s="6">
        <v>63</v>
      </c>
      <c r="U1065" s="6">
        <v>91</v>
      </c>
      <c r="V1065" s="6">
        <f>IF(ISERROR(VLOOKUP($S$1065,'TAR FIN'!$A$1:$O$113,15,0)),0,VLOOKUP($S$1065,'TAR FIN'!$A$1:$O$113,15,0))</f>
        <v>0</v>
      </c>
      <c r="W1065" s="6">
        <f>IF(ISERROR(VLOOKUP($T$1065,'TAR FIN'!$A$1:$O$113,15,0)),0,VLOOKUP($T$1065,'TAR FIN'!$A$1:$O$113,15,0))</f>
        <v>300.3</v>
      </c>
      <c r="X1065" s="6">
        <f>IF(ISERROR(VLOOKUP($U$1065,'TAR FIN'!$A$1:$O$113,15,0)),0,VLOOKUP($U$1065,'TAR FIN'!$A$1:$O$113,15,0))</f>
        <v>292.36</v>
      </c>
      <c r="Y1065" s="6"/>
      <c r="Z1065" s="6">
        <f ca="1">('TUSD BE'!$AM$68+'TUSD BF_350'!$AM$68+'TUSD CVA'!$AM$68)*1</f>
        <v>409.13</v>
      </c>
      <c r="AA1065" s="6">
        <f ca="1">('TE BE'!$AB$46+'TE BF_350'!$AB$46+'TE CVA'!$AB$46)*1</f>
        <v>244</v>
      </c>
      <c r="AB1065" s="6">
        <f>$K$1065*$V$1065</f>
        <v>0</v>
      </c>
      <c r="AC1065" s="6">
        <f>$M$1065*$W$1065</f>
        <v>-1779.2774999999999</v>
      </c>
      <c r="AD1065" s="6">
        <f>$O$1065*$X$1065</f>
        <v>-1732.2329999999999</v>
      </c>
      <c r="AE1065" s="6">
        <f>$K$1065*$Y$1065</f>
        <v>0</v>
      </c>
      <c r="AF1065" s="6">
        <f ca="1">$M$1065*$Z$1065</f>
        <v>-2424.0952499999999</v>
      </c>
      <c r="AG1065" s="6">
        <f ca="1">$O$1065*$AA$1065</f>
        <v>-1445.7</v>
      </c>
    </row>
    <row r="1066" spans="1:33" ht="11.25" customHeight="1" x14ac:dyDescent="0.3">
      <c r="A1066" s="4" t="s">
        <v>28</v>
      </c>
      <c r="B1066" s="4" t="s">
        <v>37</v>
      </c>
      <c r="C1066" s="4" t="s">
        <v>23</v>
      </c>
      <c r="D1066" s="4" t="s">
        <v>42</v>
      </c>
      <c r="E1066" s="4" t="s">
        <v>25</v>
      </c>
      <c r="F1066" s="4" t="s">
        <v>25</v>
      </c>
      <c r="G1066" s="4" t="s">
        <v>25</v>
      </c>
      <c r="H1066" s="4" t="s">
        <v>25</v>
      </c>
      <c r="I1066" s="5">
        <v>44805</v>
      </c>
      <c r="J1066" s="6">
        <v>0</v>
      </c>
      <c r="K1066" s="6">
        <v>0</v>
      </c>
      <c r="L1066" s="6">
        <v>99.796000000000006</v>
      </c>
      <c r="M1066" s="6">
        <v>99.796000000000006</v>
      </c>
      <c r="N1066" s="6">
        <v>99.796000000000006</v>
      </c>
      <c r="O1066" s="6">
        <v>99.796000000000006</v>
      </c>
      <c r="P1066" s="6">
        <v>196</v>
      </c>
      <c r="Q1066" s="4" t="s">
        <v>26</v>
      </c>
      <c r="R1066" s="4">
        <v>0</v>
      </c>
      <c r="S1066" s="6">
        <v>0</v>
      </c>
      <c r="T1066" s="6">
        <v>63</v>
      </c>
      <c r="U1066" s="6">
        <v>91</v>
      </c>
      <c r="V1066" s="6">
        <f>IF(ISERROR(VLOOKUP($S$1066,'TAR FIN'!$A$1:$O$113,15,0)),0,VLOOKUP($S$1066,'TAR FIN'!$A$1:$O$113,15,0))</f>
        <v>0</v>
      </c>
      <c r="W1066" s="6">
        <f>IF(ISERROR(VLOOKUP($T$1066,'TAR FIN'!$A$1:$O$113,15,0)),0,VLOOKUP($T$1066,'TAR FIN'!$A$1:$O$113,15,0))</f>
        <v>300.3</v>
      </c>
      <c r="X1066" s="6">
        <f>IF(ISERROR(VLOOKUP($U$1066,'TAR FIN'!$A$1:$O$113,15,0)),0,VLOOKUP($U$1066,'TAR FIN'!$A$1:$O$113,15,0))</f>
        <v>292.36</v>
      </c>
      <c r="Y1066" s="6"/>
      <c r="Z1066" s="6">
        <f ca="1">('TUSD BE'!$AM$68+'TUSD BF_350'!$AM$68+'TUSD CVA'!$AM$68)*1</f>
        <v>409.13</v>
      </c>
      <c r="AA1066" s="6">
        <f ca="1">('TE BE'!$AB$46+'TE BF_350'!$AB$46+'TE CVA'!$AB$46)*1</f>
        <v>244</v>
      </c>
      <c r="AB1066" s="6">
        <f>$K$1066*$V$1066</f>
        <v>0</v>
      </c>
      <c r="AC1066" s="6">
        <f>$M$1066*$W$1066</f>
        <v>29968.738800000003</v>
      </c>
      <c r="AD1066" s="6">
        <f>$O$1066*$X$1066</f>
        <v>29176.358560000004</v>
      </c>
      <c r="AE1066" s="6">
        <f>$K$1066*$Y$1066</f>
        <v>0</v>
      </c>
      <c r="AF1066" s="6">
        <f ca="1">$M$1066*$Z$1066</f>
        <v>40829.537479999999</v>
      </c>
      <c r="AG1066" s="6">
        <f ca="1">$O$1066*$AA$1066</f>
        <v>24350.224000000002</v>
      </c>
    </row>
    <row r="1067" spans="1:33" ht="11.25" customHeight="1" x14ac:dyDescent="0.3">
      <c r="A1067" s="4" t="s">
        <v>28</v>
      </c>
      <c r="B1067" s="4" t="s">
        <v>37</v>
      </c>
      <c r="C1067" s="4" t="s">
        <v>23</v>
      </c>
      <c r="D1067" s="4" t="s">
        <v>42</v>
      </c>
      <c r="E1067" s="4" t="s">
        <v>25</v>
      </c>
      <c r="F1067" s="4" t="s">
        <v>25</v>
      </c>
      <c r="G1067" s="4" t="s">
        <v>25</v>
      </c>
      <c r="H1067" s="4" t="s">
        <v>25</v>
      </c>
      <c r="I1067" s="5">
        <v>44805</v>
      </c>
      <c r="J1067" s="6">
        <v>0</v>
      </c>
      <c r="K1067" s="6">
        <v>0</v>
      </c>
      <c r="L1067" s="6">
        <v>0.72299999999999998</v>
      </c>
      <c r="M1067" s="6">
        <v>0.72299999999999998</v>
      </c>
      <c r="N1067" s="6">
        <v>0.72299999999999998</v>
      </c>
      <c r="O1067" s="6">
        <v>0.72299999999999998</v>
      </c>
      <c r="P1067" s="6">
        <v>2</v>
      </c>
      <c r="Q1067" s="4" t="s">
        <v>26</v>
      </c>
      <c r="R1067" s="4">
        <v>0</v>
      </c>
      <c r="S1067" s="6">
        <v>0</v>
      </c>
      <c r="T1067" s="6">
        <v>63</v>
      </c>
      <c r="U1067" s="6">
        <v>91</v>
      </c>
      <c r="V1067" s="6">
        <f>IF(ISERROR(VLOOKUP($S$1067,'TAR FIN'!$A$1:$O$113,15,0)),0,VLOOKUP($S$1067,'TAR FIN'!$A$1:$O$113,15,0))</f>
        <v>0</v>
      </c>
      <c r="W1067" s="6">
        <f>IF(ISERROR(VLOOKUP($T$1067,'TAR FIN'!$A$1:$O$113,15,0)),0,VLOOKUP($T$1067,'TAR FIN'!$A$1:$O$113,15,0))</f>
        <v>300.3</v>
      </c>
      <c r="X1067" s="6">
        <f>IF(ISERROR(VLOOKUP($U$1067,'TAR FIN'!$A$1:$O$113,15,0)),0,VLOOKUP($U$1067,'TAR FIN'!$A$1:$O$113,15,0))</f>
        <v>292.36</v>
      </c>
      <c r="Y1067" s="6"/>
      <c r="Z1067" s="6">
        <f ca="1">('TUSD BE'!$AM$68+'TUSD BF_350'!$AM$68+'TUSD CVA'!$AM$68)*1</f>
        <v>409.13</v>
      </c>
      <c r="AA1067" s="6">
        <f ca="1">('TE BE'!$AB$46+'TE BF_350'!$AB$46+'TE CVA'!$AB$46)*1</f>
        <v>244</v>
      </c>
      <c r="AB1067" s="6">
        <f>$K$1067*$V$1067</f>
        <v>0</v>
      </c>
      <c r="AC1067" s="6">
        <f>$M$1067*$W$1067</f>
        <v>217.11689999999999</v>
      </c>
      <c r="AD1067" s="6">
        <f>$O$1067*$X$1067</f>
        <v>211.37628000000001</v>
      </c>
      <c r="AE1067" s="6">
        <f>$K$1067*$Y$1067</f>
        <v>0</v>
      </c>
      <c r="AF1067" s="6">
        <f ca="1">$M$1067*$Z$1067</f>
        <v>295.80099000000001</v>
      </c>
      <c r="AG1067" s="6">
        <f ca="1">$O$1067*$AA$1067</f>
        <v>176.41200000000001</v>
      </c>
    </row>
    <row r="1068" spans="1:33" ht="11.25" customHeight="1" x14ac:dyDescent="0.3">
      <c r="A1068" s="4" t="s">
        <v>53</v>
      </c>
      <c r="B1068" s="4" t="s">
        <v>37</v>
      </c>
      <c r="C1068" s="4" t="s">
        <v>23</v>
      </c>
      <c r="D1068" s="4" t="s">
        <v>42</v>
      </c>
      <c r="E1068" s="4" t="s">
        <v>25</v>
      </c>
      <c r="F1068" s="4" t="s">
        <v>25</v>
      </c>
      <c r="G1068" s="4" t="s">
        <v>25</v>
      </c>
      <c r="H1068" s="4" t="s">
        <v>25</v>
      </c>
      <c r="I1068" s="5">
        <v>44835</v>
      </c>
      <c r="J1068" s="6">
        <v>0</v>
      </c>
      <c r="K1068" s="6">
        <v>0</v>
      </c>
      <c r="L1068" s="6">
        <v>3262.2240000000002</v>
      </c>
      <c r="M1068" s="6">
        <v>3262.2240000000002</v>
      </c>
      <c r="N1068" s="6">
        <v>3262.2240000000002</v>
      </c>
      <c r="O1068" s="6">
        <v>3262.2240000000002</v>
      </c>
      <c r="P1068" s="6">
        <v>5567</v>
      </c>
      <c r="Q1068" s="4" t="s">
        <v>26</v>
      </c>
      <c r="R1068" s="4">
        <v>0</v>
      </c>
      <c r="S1068" s="6">
        <v>0</v>
      </c>
      <c r="T1068" s="6">
        <v>63</v>
      </c>
      <c r="U1068" s="6">
        <v>91</v>
      </c>
      <c r="V1068" s="6">
        <f>IF(ISERROR(VLOOKUP($S$1068,'TAR FIN'!$A$1:$O$113,15,0)),0,VLOOKUP($S$1068,'TAR FIN'!$A$1:$O$113,15,0))</f>
        <v>0</v>
      </c>
      <c r="W1068" s="6">
        <f>IF(ISERROR(VLOOKUP($T$1068,'TAR FIN'!$A$1:$O$113,15,0)),0,VLOOKUP($T$1068,'TAR FIN'!$A$1:$O$113,15,0))</f>
        <v>300.3</v>
      </c>
      <c r="X1068" s="6">
        <f>IF(ISERROR(VLOOKUP($U$1068,'TAR FIN'!$A$1:$O$113,15,0)),0,VLOOKUP($U$1068,'TAR FIN'!$A$1:$O$113,15,0))</f>
        <v>292.36</v>
      </c>
      <c r="Y1068" s="6"/>
      <c r="Z1068" s="6">
        <f ca="1">('TUSD BE'!$AM$68+'TUSD BF_350'!$AM$68+'TUSD CVA'!$AM$68)*1</f>
        <v>409.13</v>
      </c>
      <c r="AA1068" s="6">
        <f ca="1">('TE BE'!$AB$46+'TE BF_350'!$AB$46+'TE CVA'!$AB$46)*1</f>
        <v>244</v>
      </c>
      <c r="AB1068" s="6">
        <f>$K$1068*$V$1068</f>
        <v>0</v>
      </c>
      <c r="AC1068" s="6">
        <f>$M$1068*$W$1068</f>
        <v>979645.8672000001</v>
      </c>
      <c r="AD1068" s="6">
        <f>$O$1068*$X$1068</f>
        <v>953743.80864000006</v>
      </c>
      <c r="AE1068" s="6">
        <f>$K$1068*$Y$1068</f>
        <v>0</v>
      </c>
      <c r="AF1068" s="6">
        <f ca="1">$M$1068*$Z$1068</f>
        <v>1334673.7051200001</v>
      </c>
      <c r="AG1068" s="6">
        <f ca="1">$O$1068*$AA$1068</f>
        <v>795982.65600000008</v>
      </c>
    </row>
    <row r="1069" spans="1:33" ht="11.25" customHeight="1" x14ac:dyDescent="0.3">
      <c r="A1069" s="4" t="s">
        <v>53</v>
      </c>
      <c r="B1069" s="4" t="s">
        <v>37</v>
      </c>
      <c r="C1069" s="4" t="s">
        <v>23</v>
      </c>
      <c r="D1069" s="4" t="s">
        <v>42</v>
      </c>
      <c r="E1069" s="4" t="s">
        <v>25</v>
      </c>
      <c r="F1069" s="4" t="s">
        <v>25</v>
      </c>
      <c r="G1069" s="4" t="s">
        <v>25</v>
      </c>
      <c r="H1069" s="4" t="s">
        <v>25</v>
      </c>
      <c r="I1069" s="5">
        <v>44835</v>
      </c>
      <c r="J1069" s="6">
        <v>0</v>
      </c>
      <c r="K1069" s="6">
        <v>0</v>
      </c>
      <c r="L1069" s="6">
        <v>-5.9249999999999998</v>
      </c>
      <c r="M1069" s="6">
        <v>-5.9249999999999998</v>
      </c>
      <c r="N1069" s="6">
        <v>-5.9249999999999998</v>
      </c>
      <c r="O1069" s="6">
        <v>-5.9249999999999998</v>
      </c>
      <c r="P1069" s="6">
        <v>0</v>
      </c>
      <c r="Q1069" s="4" t="s">
        <v>26</v>
      </c>
      <c r="R1069" s="4">
        <v>0</v>
      </c>
      <c r="S1069" s="6">
        <v>0</v>
      </c>
      <c r="T1069" s="6">
        <v>63</v>
      </c>
      <c r="U1069" s="6">
        <v>91</v>
      </c>
      <c r="V1069" s="6">
        <f>IF(ISERROR(VLOOKUP($S$1069,'TAR FIN'!$A$1:$O$113,15,0)),0,VLOOKUP($S$1069,'TAR FIN'!$A$1:$O$113,15,0))</f>
        <v>0</v>
      </c>
      <c r="W1069" s="6">
        <f>IF(ISERROR(VLOOKUP($T$1069,'TAR FIN'!$A$1:$O$113,15,0)),0,VLOOKUP($T$1069,'TAR FIN'!$A$1:$O$113,15,0))</f>
        <v>300.3</v>
      </c>
      <c r="X1069" s="6">
        <f>IF(ISERROR(VLOOKUP($U$1069,'TAR FIN'!$A$1:$O$113,15,0)),0,VLOOKUP($U$1069,'TAR FIN'!$A$1:$O$113,15,0))</f>
        <v>292.36</v>
      </c>
      <c r="Y1069" s="6"/>
      <c r="Z1069" s="6">
        <f ca="1">('TUSD BE'!$AM$68+'TUSD BF_350'!$AM$68+'TUSD CVA'!$AM$68)*1</f>
        <v>409.13</v>
      </c>
      <c r="AA1069" s="6">
        <f ca="1">('TE BE'!$AB$46+'TE BF_350'!$AB$46+'TE CVA'!$AB$46)*1</f>
        <v>244</v>
      </c>
      <c r="AB1069" s="6">
        <f>$K$1069*$V$1069</f>
        <v>0</v>
      </c>
      <c r="AC1069" s="6">
        <f>$M$1069*$W$1069</f>
        <v>-1779.2774999999999</v>
      </c>
      <c r="AD1069" s="6">
        <f>$O$1069*$X$1069</f>
        <v>-1732.2329999999999</v>
      </c>
      <c r="AE1069" s="6">
        <f>$K$1069*$Y$1069</f>
        <v>0</v>
      </c>
      <c r="AF1069" s="6">
        <f ca="1">$M$1069*$Z$1069</f>
        <v>-2424.0952499999999</v>
      </c>
      <c r="AG1069" s="6">
        <f ca="1">$O$1069*$AA$1069</f>
        <v>-1445.7</v>
      </c>
    </row>
    <row r="1070" spans="1:33" ht="11.25" customHeight="1" x14ac:dyDescent="0.3">
      <c r="A1070" s="4" t="s">
        <v>53</v>
      </c>
      <c r="B1070" s="4" t="s">
        <v>37</v>
      </c>
      <c r="C1070" s="4" t="s">
        <v>23</v>
      </c>
      <c r="D1070" s="4" t="s">
        <v>42</v>
      </c>
      <c r="E1070" s="4" t="s">
        <v>25</v>
      </c>
      <c r="F1070" s="4" t="s">
        <v>25</v>
      </c>
      <c r="G1070" s="4" t="s">
        <v>25</v>
      </c>
      <c r="H1070" s="4" t="s">
        <v>25</v>
      </c>
      <c r="I1070" s="5">
        <v>44835</v>
      </c>
      <c r="J1070" s="6">
        <v>0</v>
      </c>
      <c r="K1070" s="6">
        <v>0</v>
      </c>
      <c r="L1070" s="6">
        <v>99.796000000000006</v>
      </c>
      <c r="M1070" s="6">
        <v>99.796000000000006</v>
      </c>
      <c r="N1070" s="6">
        <v>99.796000000000006</v>
      </c>
      <c r="O1070" s="6">
        <v>99.796000000000006</v>
      </c>
      <c r="P1070" s="6">
        <v>196</v>
      </c>
      <c r="Q1070" s="4" t="s">
        <v>26</v>
      </c>
      <c r="R1070" s="4">
        <v>0</v>
      </c>
      <c r="S1070" s="6">
        <v>0</v>
      </c>
      <c r="T1070" s="6">
        <v>63</v>
      </c>
      <c r="U1070" s="6">
        <v>91</v>
      </c>
      <c r="V1070" s="6">
        <f>IF(ISERROR(VLOOKUP($S$1070,'TAR FIN'!$A$1:$O$113,15,0)),0,VLOOKUP($S$1070,'TAR FIN'!$A$1:$O$113,15,0))</f>
        <v>0</v>
      </c>
      <c r="W1070" s="6">
        <f>IF(ISERROR(VLOOKUP($T$1070,'TAR FIN'!$A$1:$O$113,15,0)),0,VLOOKUP($T$1070,'TAR FIN'!$A$1:$O$113,15,0))</f>
        <v>300.3</v>
      </c>
      <c r="X1070" s="6">
        <f>IF(ISERROR(VLOOKUP($U$1070,'TAR FIN'!$A$1:$O$113,15,0)),0,VLOOKUP($U$1070,'TAR FIN'!$A$1:$O$113,15,0))</f>
        <v>292.36</v>
      </c>
      <c r="Y1070" s="6"/>
      <c r="Z1070" s="6">
        <f ca="1">('TUSD BE'!$AM$68+'TUSD BF_350'!$AM$68+'TUSD CVA'!$AM$68)*1</f>
        <v>409.13</v>
      </c>
      <c r="AA1070" s="6">
        <f ca="1">('TE BE'!$AB$46+'TE BF_350'!$AB$46+'TE CVA'!$AB$46)*1</f>
        <v>244</v>
      </c>
      <c r="AB1070" s="6">
        <f>$K$1070*$V$1070</f>
        <v>0</v>
      </c>
      <c r="AC1070" s="6">
        <f>$M$1070*$W$1070</f>
        <v>29968.738800000003</v>
      </c>
      <c r="AD1070" s="6">
        <f>$O$1070*$X$1070</f>
        <v>29176.358560000004</v>
      </c>
      <c r="AE1070" s="6">
        <f>$K$1070*$Y$1070</f>
        <v>0</v>
      </c>
      <c r="AF1070" s="6">
        <f ca="1">$M$1070*$Z$1070</f>
        <v>40829.537479999999</v>
      </c>
      <c r="AG1070" s="6">
        <f ca="1">$O$1070*$AA$1070</f>
        <v>24350.224000000002</v>
      </c>
    </row>
    <row r="1071" spans="1:33" ht="11.25" customHeight="1" x14ac:dyDescent="0.3">
      <c r="A1071" s="4" t="s">
        <v>53</v>
      </c>
      <c r="B1071" s="4" t="s">
        <v>37</v>
      </c>
      <c r="C1071" s="4" t="s">
        <v>23</v>
      </c>
      <c r="D1071" s="4" t="s">
        <v>42</v>
      </c>
      <c r="E1071" s="4" t="s">
        <v>25</v>
      </c>
      <c r="F1071" s="4" t="s">
        <v>25</v>
      </c>
      <c r="G1071" s="4" t="s">
        <v>25</v>
      </c>
      <c r="H1071" s="4" t="s">
        <v>25</v>
      </c>
      <c r="I1071" s="5">
        <v>44835</v>
      </c>
      <c r="J1071" s="6">
        <v>0</v>
      </c>
      <c r="K1071" s="6">
        <v>0</v>
      </c>
      <c r="L1071" s="6">
        <v>0.72299999999999998</v>
      </c>
      <c r="M1071" s="6">
        <v>0.72299999999999998</v>
      </c>
      <c r="N1071" s="6">
        <v>0.72299999999999998</v>
      </c>
      <c r="O1071" s="6">
        <v>0.72299999999999998</v>
      </c>
      <c r="P1071" s="6">
        <v>2</v>
      </c>
      <c r="Q1071" s="4" t="s">
        <v>26</v>
      </c>
      <c r="R1071" s="4">
        <v>0</v>
      </c>
      <c r="S1071" s="6">
        <v>0</v>
      </c>
      <c r="T1071" s="6">
        <v>63</v>
      </c>
      <c r="U1071" s="6">
        <v>91</v>
      </c>
      <c r="V1071" s="6">
        <f>IF(ISERROR(VLOOKUP($S$1071,'TAR FIN'!$A$1:$O$113,15,0)),0,VLOOKUP($S$1071,'TAR FIN'!$A$1:$O$113,15,0))</f>
        <v>0</v>
      </c>
      <c r="W1071" s="6">
        <f>IF(ISERROR(VLOOKUP($T$1071,'TAR FIN'!$A$1:$O$113,15,0)),0,VLOOKUP($T$1071,'TAR FIN'!$A$1:$O$113,15,0))</f>
        <v>300.3</v>
      </c>
      <c r="X1071" s="6">
        <f>IF(ISERROR(VLOOKUP($U$1071,'TAR FIN'!$A$1:$O$113,15,0)),0,VLOOKUP($U$1071,'TAR FIN'!$A$1:$O$113,15,0))</f>
        <v>292.36</v>
      </c>
      <c r="Y1071" s="6"/>
      <c r="Z1071" s="6">
        <f ca="1">('TUSD BE'!$AM$68+'TUSD BF_350'!$AM$68+'TUSD CVA'!$AM$68)*1</f>
        <v>409.13</v>
      </c>
      <c r="AA1071" s="6">
        <f ca="1">('TE BE'!$AB$46+'TE BF_350'!$AB$46+'TE CVA'!$AB$46)*1</f>
        <v>244</v>
      </c>
      <c r="AB1071" s="6">
        <f>$K$1071*$V$1071</f>
        <v>0</v>
      </c>
      <c r="AC1071" s="6">
        <f>$M$1071*$W$1071</f>
        <v>217.11689999999999</v>
      </c>
      <c r="AD1071" s="6">
        <f>$O$1071*$X$1071</f>
        <v>211.37628000000001</v>
      </c>
      <c r="AE1071" s="6">
        <f>$K$1071*$Y$1071</f>
        <v>0</v>
      </c>
      <c r="AF1071" s="6">
        <f ca="1">$M$1071*$Z$1071</f>
        <v>295.80099000000001</v>
      </c>
      <c r="AG1071" s="6">
        <f ca="1">$O$1071*$AA$1071</f>
        <v>176.41200000000001</v>
      </c>
    </row>
    <row r="1072" spans="1:33" ht="11.25" customHeight="1" x14ac:dyDescent="0.3">
      <c r="A1072" s="4" t="s">
        <v>21</v>
      </c>
      <c r="B1072" s="4" t="s">
        <v>37</v>
      </c>
      <c r="C1072" s="4" t="s">
        <v>23</v>
      </c>
      <c r="D1072" s="4" t="s">
        <v>52</v>
      </c>
      <c r="E1072" s="4" t="s">
        <v>25</v>
      </c>
      <c r="F1072" s="4" t="s">
        <v>25</v>
      </c>
      <c r="G1072" s="4" t="s">
        <v>25</v>
      </c>
      <c r="H1072" s="4" t="s">
        <v>25</v>
      </c>
      <c r="I1072" s="5">
        <v>44501</v>
      </c>
      <c r="J1072" s="6">
        <v>0</v>
      </c>
      <c r="K1072" s="6">
        <v>0</v>
      </c>
      <c r="L1072" s="6">
        <v>19.355</v>
      </c>
      <c r="M1072" s="6">
        <v>19.355</v>
      </c>
      <c r="N1072" s="6">
        <v>19.355</v>
      </c>
      <c r="O1072" s="6">
        <v>19.355</v>
      </c>
      <c r="P1072" s="6">
        <v>9</v>
      </c>
      <c r="Q1072" s="4" t="s">
        <v>26</v>
      </c>
      <c r="R1072" s="4">
        <v>0</v>
      </c>
      <c r="S1072" s="6">
        <v>0</v>
      </c>
      <c r="T1072" s="6">
        <v>63</v>
      </c>
      <c r="U1072" s="6">
        <v>91</v>
      </c>
      <c r="V1072" s="6">
        <f>IF(ISERROR(VLOOKUP($S$1072,'TAR FIN'!$A$1:$O$113,15,0)),0,VLOOKUP($S$1072,'TAR FIN'!$A$1:$O$113,15,0))</f>
        <v>0</v>
      </c>
      <c r="W1072" s="6">
        <f>IF(ISERROR(VLOOKUP($T$1072,'TAR FIN'!$A$1:$O$113,15,0)),0,VLOOKUP($T$1072,'TAR FIN'!$A$1:$O$113,15,0))</f>
        <v>300.3</v>
      </c>
      <c r="X1072" s="6">
        <f>IF(ISERROR(VLOOKUP($U$1072,'TAR FIN'!$A$1:$O$113,15,0)),0,VLOOKUP($U$1072,'TAR FIN'!$A$1:$O$113,15,0))</f>
        <v>292.36</v>
      </c>
      <c r="Y1072" s="6"/>
      <c r="Z1072" s="6">
        <f ca="1">('TUSD BE'!$AM$68+'TUSD BF_350'!$AM$68+'TUSD CVA'!$AM$68)*1</f>
        <v>409.13</v>
      </c>
      <c r="AA1072" s="6">
        <f ca="1">('TE BE'!$AB$46+'TE BF_350'!$AB$46+'TE CVA'!$AB$46)*1</f>
        <v>244</v>
      </c>
      <c r="AB1072" s="6">
        <f>$K$1072*$V$1072</f>
        <v>0</v>
      </c>
      <c r="AC1072" s="6">
        <f>$M$1072*$W$1072</f>
        <v>5812.3065000000006</v>
      </c>
      <c r="AD1072" s="6">
        <f>$O$1072*$X$1072</f>
        <v>5658.6278000000002</v>
      </c>
      <c r="AE1072" s="6">
        <f>$K$1072*$Y$1072</f>
        <v>0</v>
      </c>
      <c r="AF1072" s="6">
        <f ca="1">$M$1072*$Z$1072</f>
        <v>7918.7111500000001</v>
      </c>
      <c r="AG1072" s="6">
        <f ca="1">$O$1072*$AA$1072</f>
        <v>4722.62</v>
      </c>
    </row>
    <row r="1073" spans="1:33" ht="11.25" customHeight="1" x14ac:dyDescent="0.3">
      <c r="A1073" s="4" t="s">
        <v>28</v>
      </c>
      <c r="B1073" s="4" t="s">
        <v>37</v>
      </c>
      <c r="C1073" s="4" t="s">
        <v>23</v>
      </c>
      <c r="D1073" s="4" t="s">
        <v>52</v>
      </c>
      <c r="E1073" s="4" t="s">
        <v>25</v>
      </c>
      <c r="F1073" s="4" t="s">
        <v>25</v>
      </c>
      <c r="G1073" s="4" t="s">
        <v>25</v>
      </c>
      <c r="H1073" s="4" t="s">
        <v>25</v>
      </c>
      <c r="I1073" s="5">
        <v>44501</v>
      </c>
      <c r="J1073" s="6">
        <v>0</v>
      </c>
      <c r="K1073" s="6">
        <v>0</v>
      </c>
      <c r="L1073" s="6">
        <v>0.1</v>
      </c>
      <c r="M1073" s="6">
        <v>0.1</v>
      </c>
      <c r="N1073" s="6">
        <v>0.1</v>
      </c>
      <c r="O1073" s="6">
        <v>0.1</v>
      </c>
      <c r="P1073" s="6">
        <v>1</v>
      </c>
      <c r="Q1073" s="4" t="s">
        <v>26</v>
      </c>
      <c r="R1073" s="4">
        <v>0</v>
      </c>
      <c r="S1073" s="6">
        <v>0</v>
      </c>
      <c r="T1073" s="6">
        <v>63</v>
      </c>
      <c r="U1073" s="6">
        <v>91</v>
      </c>
      <c r="V1073" s="6">
        <f>IF(ISERROR(VLOOKUP($S$1073,'TAR FIN'!$A$1:$O$113,15,0)),0,VLOOKUP($S$1073,'TAR FIN'!$A$1:$O$113,15,0))</f>
        <v>0</v>
      </c>
      <c r="W1073" s="6">
        <f>IF(ISERROR(VLOOKUP($T$1073,'TAR FIN'!$A$1:$O$113,15,0)),0,VLOOKUP($T$1073,'TAR FIN'!$A$1:$O$113,15,0))</f>
        <v>300.3</v>
      </c>
      <c r="X1073" s="6">
        <f>IF(ISERROR(VLOOKUP($U$1073,'TAR FIN'!$A$1:$O$113,15,0)),0,VLOOKUP($U$1073,'TAR FIN'!$A$1:$O$113,15,0))</f>
        <v>292.36</v>
      </c>
      <c r="Y1073" s="6"/>
      <c r="Z1073" s="6">
        <f ca="1">('TUSD BE'!$AM$68+'TUSD BF_350'!$AM$68+'TUSD CVA'!$AM$68)*1</f>
        <v>409.13</v>
      </c>
      <c r="AA1073" s="6">
        <f ca="1">('TE BE'!$AB$46+'TE BF_350'!$AB$46+'TE CVA'!$AB$46)*1</f>
        <v>244</v>
      </c>
      <c r="AB1073" s="6">
        <f>$K$1073*$V$1073</f>
        <v>0</v>
      </c>
      <c r="AC1073" s="6">
        <f>$M$1073*$W$1073</f>
        <v>30.03</v>
      </c>
      <c r="AD1073" s="6">
        <f>$O$1073*$X$1073</f>
        <v>29.236000000000004</v>
      </c>
      <c r="AE1073" s="6">
        <f>$K$1073*$Y$1073</f>
        <v>0</v>
      </c>
      <c r="AF1073" s="6">
        <f ca="1">$M$1073*$Z$1073</f>
        <v>40.913000000000004</v>
      </c>
      <c r="AG1073" s="6">
        <f ca="1">$O$1073*$AA$1073</f>
        <v>24.400000000000002</v>
      </c>
    </row>
    <row r="1074" spans="1:33" ht="11.25" customHeight="1" x14ac:dyDescent="0.3">
      <c r="A1074" s="4" t="s">
        <v>21</v>
      </c>
      <c r="B1074" s="4" t="s">
        <v>37</v>
      </c>
      <c r="C1074" s="4" t="s">
        <v>23</v>
      </c>
      <c r="D1074" s="4" t="s">
        <v>52</v>
      </c>
      <c r="E1074" s="4" t="s">
        <v>25</v>
      </c>
      <c r="F1074" s="4" t="s">
        <v>25</v>
      </c>
      <c r="G1074" s="4" t="s">
        <v>25</v>
      </c>
      <c r="H1074" s="4" t="s">
        <v>25</v>
      </c>
      <c r="I1074" s="5">
        <v>44531</v>
      </c>
      <c r="J1074" s="6">
        <v>0</v>
      </c>
      <c r="K1074" s="6">
        <v>0</v>
      </c>
      <c r="L1074" s="6">
        <v>18.065000000000001</v>
      </c>
      <c r="M1074" s="6">
        <v>18.065000000000001</v>
      </c>
      <c r="N1074" s="6">
        <v>18.065000000000001</v>
      </c>
      <c r="O1074" s="6">
        <v>18.065000000000001</v>
      </c>
      <c r="P1074" s="6">
        <v>8</v>
      </c>
      <c r="Q1074" s="4" t="s">
        <v>26</v>
      </c>
      <c r="R1074" s="4">
        <v>0</v>
      </c>
      <c r="S1074" s="6">
        <v>0</v>
      </c>
      <c r="T1074" s="6">
        <v>63</v>
      </c>
      <c r="U1074" s="6">
        <v>91</v>
      </c>
      <c r="V1074" s="6">
        <f>IF(ISERROR(VLOOKUP($S$1074,'TAR FIN'!$A$1:$O$113,15,0)),0,VLOOKUP($S$1074,'TAR FIN'!$A$1:$O$113,15,0))</f>
        <v>0</v>
      </c>
      <c r="W1074" s="6">
        <f>IF(ISERROR(VLOOKUP($T$1074,'TAR FIN'!$A$1:$O$113,15,0)),0,VLOOKUP($T$1074,'TAR FIN'!$A$1:$O$113,15,0))</f>
        <v>300.3</v>
      </c>
      <c r="X1074" s="6">
        <f>IF(ISERROR(VLOOKUP($U$1074,'TAR FIN'!$A$1:$O$113,15,0)),0,VLOOKUP($U$1074,'TAR FIN'!$A$1:$O$113,15,0))</f>
        <v>292.36</v>
      </c>
      <c r="Y1074" s="6"/>
      <c r="Z1074" s="6">
        <f ca="1">('TUSD BE'!$AM$68+'TUSD BF_350'!$AM$68+'TUSD CVA'!$AM$68)*1</f>
        <v>409.13</v>
      </c>
      <c r="AA1074" s="6">
        <f ca="1">('TE BE'!$AB$46+'TE BF_350'!$AB$46+'TE CVA'!$AB$46)*1</f>
        <v>244</v>
      </c>
      <c r="AB1074" s="6">
        <f>$K$1074*$V$1074</f>
        <v>0</v>
      </c>
      <c r="AC1074" s="6">
        <f>$M$1074*$W$1074</f>
        <v>5424.9195000000009</v>
      </c>
      <c r="AD1074" s="6">
        <f>$O$1074*$X$1074</f>
        <v>5281.483400000001</v>
      </c>
      <c r="AE1074" s="6">
        <f>$K$1074*$Y$1074</f>
        <v>0</v>
      </c>
      <c r="AF1074" s="6">
        <f ca="1">$M$1074*$Z$1074</f>
        <v>7390.9334500000004</v>
      </c>
      <c r="AG1074" s="6">
        <f ca="1">$O$1074*$AA$1074</f>
        <v>4407.8600000000006</v>
      </c>
    </row>
    <row r="1075" spans="1:33" ht="11.25" customHeight="1" x14ac:dyDescent="0.3">
      <c r="A1075" s="4" t="s">
        <v>28</v>
      </c>
      <c r="B1075" s="4" t="s">
        <v>37</v>
      </c>
      <c r="C1075" s="4" t="s">
        <v>23</v>
      </c>
      <c r="D1075" s="4" t="s">
        <v>52</v>
      </c>
      <c r="E1075" s="4" t="s">
        <v>25</v>
      </c>
      <c r="F1075" s="4" t="s">
        <v>25</v>
      </c>
      <c r="G1075" s="4" t="s">
        <v>25</v>
      </c>
      <c r="H1075" s="4" t="s">
        <v>25</v>
      </c>
      <c r="I1075" s="5">
        <v>44531</v>
      </c>
      <c r="J1075" s="6">
        <v>0</v>
      </c>
      <c r="K1075" s="6">
        <v>0</v>
      </c>
      <c r="L1075" s="6">
        <v>0.2</v>
      </c>
      <c r="M1075" s="6">
        <v>0.2</v>
      </c>
      <c r="N1075" s="6">
        <v>0.2</v>
      </c>
      <c r="O1075" s="6">
        <v>0.2</v>
      </c>
      <c r="P1075" s="6">
        <v>2</v>
      </c>
      <c r="Q1075" s="4" t="s">
        <v>26</v>
      </c>
      <c r="R1075" s="4">
        <v>0</v>
      </c>
      <c r="S1075" s="6">
        <v>0</v>
      </c>
      <c r="T1075" s="6">
        <v>63</v>
      </c>
      <c r="U1075" s="6">
        <v>91</v>
      </c>
      <c r="V1075" s="6">
        <f>IF(ISERROR(VLOOKUP($S$1075,'TAR FIN'!$A$1:$O$113,15,0)),0,VLOOKUP($S$1075,'TAR FIN'!$A$1:$O$113,15,0))</f>
        <v>0</v>
      </c>
      <c r="W1075" s="6">
        <f>IF(ISERROR(VLOOKUP($T$1075,'TAR FIN'!$A$1:$O$113,15,0)),0,VLOOKUP($T$1075,'TAR FIN'!$A$1:$O$113,15,0))</f>
        <v>300.3</v>
      </c>
      <c r="X1075" s="6">
        <f>IF(ISERROR(VLOOKUP($U$1075,'TAR FIN'!$A$1:$O$113,15,0)),0,VLOOKUP($U$1075,'TAR FIN'!$A$1:$O$113,15,0))</f>
        <v>292.36</v>
      </c>
      <c r="Y1075" s="6"/>
      <c r="Z1075" s="6">
        <f ca="1">('TUSD BE'!$AM$68+'TUSD BF_350'!$AM$68+'TUSD CVA'!$AM$68)*1</f>
        <v>409.13</v>
      </c>
      <c r="AA1075" s="6">
        <f ca="1">('TE BE'!$AB$46+'TE BF_350'!$AB$46+'TE CVA'!$AB$46)*1</f>
        <v>244</v>
      </c>
      <c r="AB1075" s="6">
        <f>$K$1075*$V$1075</f>
        <v>0</v>
      </c>
      <c r="AC1075" s="6">
        <f>$M$1075*$W$1075</f>
        <v>60.06</v>
      </c>
      <c r="AD1075" s="6">
        <f>$O$1075*$X$1075</f>
        <v>58.472000000000008</v>
      </c>
      <c r="AE1075" s="6">
        <f>$K$1075*$Y$1075</f>
        <v>0</v>
      </c>
      <c r="AF1075" s="6">
        <f ca="1">$M$1075*$Z$1075</f>
        <v>81.826000000000008</v>
      </c>
      <c r="AG1075" s="6">
        <f ca="1">$O$1075*$AA$1075</f>
        <v>48.800000000000004</v>
      </c>
    </row>
    <row r="1076" spans="1:33" ht="11.25" customHeight="1" x14ac:dyDescent="0.3">
      <c r="A1076" s="4" t="s">
        <v>21</v>
      </c>
      <c r="B1076" s="4" t="s">
        <v>37</v>
      </c>
      <c r="C1076" s="4" t="s">
        <v>23</v>
      </c>
      <c r="D1076" s="4" t="s">
        <v>52</v>
      </c>
      <c r="E1076" s="4" t="s">
        <v>25</v>
      </c>
      <c r="F1076" s="4" t="s">
        <v>25</v>
      </c>
      <c r="G1076" s="4" t="s">
        <v>25</v>
      </c>
      <c r="H1076" s="4" t="s">
        <v>25</v>
      </c>
      <c r="I1076" s="5">
        <v>44562</v>
      </c>
      <c r="J1076" s="6">
        <v>0</v>
      </c>
      <c r="K1076" s="6">
        <v>0</v>
      </c>
      <c r="L1076" s="6">
        <v>5.6550000000000002</v>
      </c>
      <c r="M1076" s="6">
        <v>5.6550000000000002</v>
      </c>
      <c r="N1076" s="6">
        <v>5.6550000000000002</v>
      </c>
      <c r="O1076" s="6">
        <v>5.6550000000000002</v>
      </c>
      <c r="P1076" s="6">
        <v>7</v>
      </c>
      <c r="Q1076" s="4" t="s">
        <v>26</v>
      </c>
      <c r="R1076" s="4">
        <v>0</v>
      </c>
      <c r="S1076" s="6">
        <v>0</v>
      </c>
      <c r="T1076" s="6">
        <v>63</v>
      </c>
      <c r="U1076" s="6">
        <v>91</v>
      </c>
      <c r="V1076" s="6">
        <f>IF(ISERROR(VLOOKUP($S$1076,'TAR FIN'!$A$1:$O$113,15,0)),0,VLOOKUP($S$1076,'TAR FIN'!$A$1:$O$113,15,0))</f>
        <v>0</v>
      </c>
      <c r="W1076" s="6">
        <f>IF(ISERROR(VLOOKUP($T$1076,'TAR FIN'!$A$1:$O$113,15,0)),0,VLOOKUP($T$1076,'TAR FIN'!$A$1:$O$113,15,0))</f>
        <v>300.3</v>
      </c>
      <c r="X1076" s="6">
        <f>IF(ISERROR(VLOOKUP($U$1076,'TAR FIN'!$A$1:$O$113,15,0)),0,VLOOKUP($U$1076,'TAR FIN'!$A$1:$O$113,15,0))</f>
        <v>292.36</v>
      </c>
      <c r="Y1076" s="6"/>
      <c r="Z1076" s="6">
        <f ca="1">('TUSD BE'!$AM$68+'TUSD BF_350'!$AM$68+'TUSD CVA'!$AM$68)*1</f>
        <v>409.13</v>
      </c>
      <c r="AA1076" s="6">
        <f ca="1">('TE BE'!$AB$46+'TE BF_350'!$AB$46+'TE CVA'!$AB$46)*1</f>
        <v>244</v>
      </c>
      <c r="AB1076" s="6">
        <f>$K$1076*$V$1076</f>
        <v>0</v>
      </c>
      <c r="AC1076" s="6">
        <f>$M$1076*$W$1076</f>
        <v>1698.1965000000002</v>
      </c>
      <c r="AD1076" s="6">
        <f>$O$1076*$X$1076</f>
        <v>1653.2958000000001</v>
      </c>
      <c r="AE1076" s="6">
        <f>$K$1076*$Y$1076</f>
        <v>0</v>
      </c>
      <c r="AF1076" s="6">
        <f ca="1">$M$1076*$Z$1076</f>
        <v>2313.63015</v>
      </c>
      <c r="AG1076" s="6">
        <f ca="1">$O$1076*$AA$1076</f>
        <v>1379.8200000000002</v>
      </c>
    </row>
    <row r="1077" spans="1:33" ht="11.25" customHeight="1" x14ac:dyDescent="0.3">
      <c r="A1077" s="4" t="s">
        <v>28</v>
      </c>
      <c r="B1077" s="4" t="s">
        <v>37</v>
      </c>
      <c r="C1077" s="4" t="s">
        <v>23</v>
      </c>
      <c r="D1077" s="4" t="s">
        <v>52</v>
      </c>
      <c r="E1077" s="4" t="s">
        <v>25</v>
      </c>
      <c r="F1077" s="4" t="s">
        <v>25</v>
      </c>
      <c r="G1077" s="4" t="s">
        <v>25</v>
      </c>
      <c r="H1077" s="4" t="s">
        <v>25</v>
      </c>
      <c r="I1077" s="5">
        <v>44562</v>
      </c>
      <c r="J1077" s="6">
        <v>0</v>
      </c>
      <c r="K1077" s="6">
        <v>0</v>
      </c>
      <c r="L1077" s="6">
        <v>13.237</v>
      </c>
      <c r="M1077" s="6">
        <v>13.237</v>
      </c>
      <c r="N1077" s="6">
        <v>13.237</v>
      </c>
      <c r="O1077" s="6">
        <v>13.237</v>
      </c>
      <c r="P1077" s="6">
        <v>3</v>
      </c>
      <c r="Q1077" s="4" t="s">
        <v>26</v>
      </c>
      <c r="R1077" s="4">
        <v>0</v>
      </c>
      <c r="S1077" s="6">
        <v>0</v>
      </c>
      <c r="T1077" s="6">
        <v>63</v>
      </c>
      <c r="U1077" s="6">
        <v>91</v>
      </c>
      <c r="V1077" s="6">
        <f>IF(ISERROR(VLOOKUP($S$1077,'TAR FIN'!$A$1:$O$113,15,0)),0,VLOOKUP($S$1077,'TAR FIN'!$A$1:$O$113,15,0))</f>
        <v>0</v>
      </c>
      <c r="W1077" s="6">
        <f>IF(ISERROR(VLOOKUP($T$1077,'TAR FIN'!$A$1:$O$113,15,0)),0,VLOOKUP($T$1077,'TAR FIN'!$A$1:$O$113,15,0))</f>
        <v>300.3</v>
      </c>
      <c r="X1077" s="6">
        <f>IF(ISERROR(VLOOKUP($U$1077,'TAR FIN'!$A$1:$O$113,15,0)),0,VLOOKUP($U$1077,'TAR FIN'!$A$1:$O$113,15,0))</f>
        <v>292.36</v>
      </c>
      <c r="Y1077" s="6"/>
      <c r="Z1077" s="6">
        <f ca="1">('TUSD BE'!$AM$68+'TUSD BF_350'!$AM$68+'TUSD CVA'!$AM$68)*1</f>
        <v>409.13</v>
      </c>
      <c r="AA1077" s="6">
        <f ca="1">('TE BE'!$AB$46+'TE BF_350'!$AB$46+'TE CVA'!$AB$46)*1</f>
        <v>244</v>
      </c>
      <c r="AB1077" s="6">
        <f>$K$1077*$V$1077</f>
        <v>0</v>
      </c>
      <c r="AC1077" s="6">
        <f>$M$1077*$W$1077</f>
        <v>3975.0711000000001</v>
      </c>
      <c r="AD1077" s="6">
        <f>$O$1077*$X$1077</f>
        <v>3869.9693200000002</v>
      </c>
      <c r="AE1077" s="6">
        <f>$K$1077*$Y$1077</f>
        <v>0</v>
      </c>
      <c r="AF1077" s="6">
        <f ca="1">$M$1077*$Z$1077</f>
        <v>5415.6538099999998</v>
      </c>
      <c r="AG1077" s="6">
        <f ca="1">$O$1077*$AA$1077</f>
        <v>3229.828</v>
      </c>
    </row>
    <row r="1078" spans="1:33" ht="11.25" customHeight="1" x14ac:dyDescent="0.3">
      <c r="A1078" s="4" t="s">
        <v>21</v>
      </c>
      <c r="B1078" s="4" t="s">
        <v>37</v>
      </c>
      <c r="C1078" s="4" t="s">
        <v>23</v>
      </c>
      <c r="D1078" s="4" t="s">
        <v>52</v>
      </c>
      <c r="E1078" s="4" t="s">
        <v>25</v>
      </c>
      <c r="F1078" s="4" t="s">
        <v>25</v>
      </c>
      <c r="G1078" s="4" t="s">
        <v>25</v>
      </c>
      <c r="H1078" s="4" t="s">
        <v>25</v>
      </c>
      <c r="I1078" s="5">
        <v>44593</v>
      </c>
      <c r="J1078" s="6">
        <v>0</v>
      </c>
      <c r="K1078" s="6">
        <v>0</v>
      </c>
      <c r="L1078" s="6">
        <v>2.9710000000000001</v>
      </c>
      <c r="M1078" s="6">
        <v>2.9710000000000001</v>
      </c>
      <c r="N1078" s="6">
        <v>2.9710000000000001</v>
      </c>
      <c r="O1078" s="6">
        <v>2.9710000000000001</v>
      </c>
      <c r="P1078" s="6">
        <v>7</v>
      </c>
      <c r="Q1078" s="4" t="s">
        <v>26</v>
      </c>
      <c r="R1078" s="4">
        <v>0</v>
      </c>
      <c r="S1078" s="6">
        <v>0</v>
      </c>
      <c r="T1078" s="6">
        <v>63</v>
      </c>
      <c r="U1078" s="6">
        <v>91</v>
      </c>
      <c r="V1078" s="6">
        <f>IF(ISERROR(VLOOKUP($S$1078,'TAR FIN'!$A$1:$O$113,15,0)),0,VLOOKUP($S$1078,'TAR FIN'!$A$1:$O$113,15,0))</f>
        <v>0</v>
      </c>
      <c r="W1078" s="6">
        <f>IF(ISERROR(VLOOKUP($T$1078,'TAR FIN'!$A$1:$O$113,15,0)),0,VLOOKUP($T$1078,'TAR FIN'!$A$1:$O$113,15,0))</f>
        <v>300.3</v>
      </c>
      <c r="X1078" s="6">
        <f>IF(ISERROR(VLOOKUP($U$1078,'TAR FIN'!$A$1:$O$113,15,0)),0,VLOOKUP($U$1078,'TAR FIN'!$A$1:$O$113,15,0))</f>
        <v>292.36</v>
      </c>
      <c r="Y1078" s="6"/>
      <c r="Z1078" s="6">
        <f ca="1">('TUSD BE'!$AM$68+'TUSD BF_350'!$AM$68+'TUSD CVA'!$AM$68)*1</f>
        <v>409.13</v>
      </c>
      <c r="AA1078" s="6">
        <f ca="1">('TE BE'!$AB$46+'TE BF_350'!$AB$46+'TE CVA'!$AB$46)*1</f>
        <v>244</v>
      </c>
      <c r="AB1078" s="6">
        <f>$K$1078*$V$1078</f>
        <v>0</v>
      </c>
      <c r="AC1078" s="6">
        <f>$M$1078*$W$1078</f>
        <v>892.19130000000007</v>
      </c>
      <c r="AD1078" s="6">
        <f>$O$1078*$X$1078</f>
        <v>868.60156000000006</v>
      </c>
      <c r="AE1078" s="6">
        <f>$K$1078*$Y$1078</f>
        <v>0</v>
      </c>
      <c r="AF1078" s="6">
        <f ca="1">$M$1078*$Z$1078</f>
        <v>1215.52523</v>
      </c>
      <c r="AG1078" s="6">
        <f ca="1">$O$1078*$AA$1078</f>
        <v>724.92399999999998</v>
      </c>
    </row>
    <row r="1079" spans="1:33" ht="11.25" customHeight="1" x14ac:dyDescent="0.3">
      <c r="A1079" s="4" t="s">
        <v>28</v>
      </c>
      <c r="B1079" s="4" t="s">
        <v>37</v>
      </c>
      <c r="C1079" s="4" t="s">
        <v>23</v>
      </c>
      <c r="D1079" s="4" t="s">
        <v>52</v>
      </c>
      <c r="E1079" s="4" t="s">
        <v>25</v>
      </c>
      <c r="F1079" s="4" t="s">
        <v>25</v>
      </c>
      <c r="G1079" s="4" t="s">
        <v>25</v>
      </c>
      <c r="H1079" s="4" t="s">
        <v>25</v>
      </c>
      <c r="I1079" s="5">
        <v>44593</v>
      </c>
      <c r="J1079" s="6">
        <v>0</v>
      </c>
      <c r="K1079" s="6">
        <v>0</v>
      </c>
      <c r="L1079" s="6">
        <v>13.678000000000001</v>
      </c>
      <c r="M1079" s="6">
        <v>13.678000000000001</v>
      </c>
      <c r="N1079" s="6">
        <v>13.678000000000001</v>
      </c>
      <c r="O1079" s="6">
        <v>13.678000000000001</v>
      </c>
      <c r="P1079" s="6">
        <v>3</v>
      </c>
      <c r="Q1079" s="4" t="s">
        <v>26</v>
      </c>
      <c r="R1079" s="4">
        <v>0</v>
      </c>
      <c r="S1079" s="6">
        <v>0</v>
      </c>
      <c r="T1079" s="6">
        <v>63</v>
      </c>
      <c r="U1079" s="6">
        <v>91</v>
      </c>
      <c r="V1079" s="6">
        <f>IF(ISERROR(VLOOKUP($S$1079,'TAR FIN'!$A$1:$O$113,15,0)),0,VLOOKUP($S$1079,'TAR FIN'!$A$1:$O$113,15,0))</f>
        <v>0</v>
      </c>
      <c r="W1079" s="6">
        <f>IF(ISERROR(VLOOKUP($T$1079,'TAR FIN'!$A$1:$O$113,15,0)),0,VLOOKUP($T$1079,'TAR FIN'!$A$1:$O$113,15,0))</f>
        <v>300.3</v>
      </c>
      <c r="X1079" s="6">
        <f>IF(ISERROR(VLOOKUP($U$1079,'TAR FIN'!$A$1:$O$113,15,0)),0,VLOOKUP($U$1079,'TAR FIN'!$A$1:$O$113,15,0))</f>
        <v>292.36</v>
      </c>
      <c r="Y1079" s="6"/>
      <c r="Z1079" s="6">
        <f ca="1">('TUSD BE'!$AM$68+'TUSD BF_350'!$AM$68+'TUSD CVA'!$AM$68)*1</f>
        <v>409.13</v>
      </c>
      <c r="AA1079" s="6">
        <f ca="1">('TE BE'!$AB$46+'TE BF_350'!$AB$46+'TE CVA'!$AB$46)*1</f>
        <v>244</v>
      </c>
      <c r="AB1079" s="6">
        <f>$K$1079*$V$1079</f>
        <v>0</v>
      </c>
      <c r="AC1079" s="6">
        <f>$M$1079*$W$1079</f>
        <v>4107.5034000000005</v>
      </c>
      <c r="AD1079" s="6">
        <f>$O$1079*$X$1079</f>
        <v>3998.9000800000003</v>
      </c>
      <c r="AE1079" s="6">
        <f>$K$1079*$Y$1079</f>
        <v>0</v>
      </c>
      <c r="AF1079" s="6">
        <f ca="1">$M$1079*$Z$1079</f>
        <v>5596.08014</v>
      </c>
      <c r="AG1079" s="6">
        <f ca="1">$O$1079*$AA$1079</f>
        <v>3337.4320000000002</v>
      </c>
    </row>
    <row r="1080" spans="1:33" ht="11.25" customHeight="1" x14ac:dyDescent="0.3">
      <c r="A1080" s="4" t="s">
        <v>21</v>
      </c>
      <c r="B1080" s="4" t="s">
        <v>37</v>
      </c>
      <c r="C1080" s="4" t="s">
        <v>23</v>
      </c>
      <c r="D1080" s="4" t="s">
        <v>52</v>
      </c>
      <c r="E1080" s="4" t="s">
        <v>25</v>
      </c>
      <c r="F1080" s="4" t="s">
        <v>25</v>
      </c>
      <c r="G1080" s="4" t="s">
        <v>25</v>
      </c>
      <c r="H1080" s="4" t="s">
        <v>25</v>
      </c>
      <c r="I1080" s="5">
        <v>44621</v>
      </c>
      <c r="J1080" s="6">
        <v>0</v>
      </c>
      <c r="K1080" s="6">
        <v>0</v>
      </c>
      <c r="L1080" s="6">
        <v>5.601</v>
      </c>
      <c r="M1080" s="6">
        <v>5.601</v>
      </c>
      <c r="N1080" s="6">
        <v>5.601</v>
      </c>
      <c r="O1080" s="6">
        <v>5.601</v>
      </c>
      <c r="P1080" s="6">
        <v>8</v>
      </c>
      <c r="Q1080" s="4" t="s">
        <v>26</v>
      </c>
      <c r="R1080" s="4">
        <v>0</v>
      </c>
      <c r="S1080" s="6">
        <v>0</v>
      </c>
      <c r="T1080" s="6">
        <v>63</v>
      </c>
      <c r="U1080" s="6">
        <v>91</v>
      </c>
      <c r="V1080" s="6">
        <f>IF(ISERROR(VLOOKUP($S$1080,'TAR FIN'!$A$1:$O$113,15,0)),0,VLOOKUP($S$1080,'TAR FIN'!$A$1:$O$113,15,0))</f>
        <v>0</v>
      </c>
      <c r="W1080" s="6">
        <f>IF(ISERROR(VLOOKUP($T$1080,'TAR FIN'!$A$1:$O$113,15,0)),0,VLOOKUP($T$1080,'TAR FIN'!$A$1:$O$113,15,0))</f>
        <v>300.3</v>
      </c>
      <c r="X1080" s="6">
        <f>IF(ISERROR(VLOOKUP($U$1080,'TAR FIN'!$A$1:$O$113,15,0)),0,VLOOKUP($U$1080,'TAR FIN'!$A$1:$O$113,15,0))</f>
        <v>292.36</v>
      </c>
      <c r="Y1080" s="6"/>
      <c r="Z1080" s="6">
        <f ca="1">('TUSD BE'!$AM$68+'TUSD BF_350'!$AM$68+'TUSD CVA'!$AM$68)*1</f>
        <v>409.13</v>
      </c>
      <c r="AA1080" s="6">
        <f ca="1">('TE BE'!$AB$46+'TE BF_350'!$AB$46+'TE CVA'!$AB$46)*1</f>
        <v>244</v>
      </c>
      <c r="AB1080" s="6">
        <f>$K$1080*$V$1080</f>
        <v>0</v>
      </c>
      <c r="AC1080" s="6">
        <f>$M$1080*$W$1080</f>
        <v>1681.9803000000002</v>
      </c>
      <c r="AD1080" s="6">
        <f>$O$1080*$X$1080</f>
        <v>1637.50836</v>
      </c>
      <c r="AE1080" s="6">
        <f>$K$1080*$Y$1080</f>
        <v>0</v>
      </c>
      <c r="AF1080" s="6">
        <f ca="1">$M$1080*$Z$1080</f>
        <v>2291.5371300000002</v>
      </c>
      <c r="AG1080" s="6">
        <f ca="1">$O$1080*$AA$1080</f>
        <v>1366.644</v>
      </c>
    </row>
    <row r="1081" spans="1:33" ht="11.25" customHeight="1" x14ac:dyDescent="0.3">
      <c r="A1081" s="4" t="s">
        <v>28</v>
      </c>
      <c r="B1081" s="4" t="s">
        <v>37</v>
      </c>
      <c r="C1081" s="4" t="s">
        <v>23</v>
      </c>
      <c r="D1081" s="4" t="s">
        <v>52</v>
      </c>
      <c r="E1081" s="4" t="s">
        <v>25</v>
      </c>
      <c r="F1081" s="4" t="s">
        <v>25</v>
      </c>
      <c r="G1081" s="4" t="s">
        <v>25</v>
      </c>
      <c r="H1081" s="4" t="s">
        <v>25</v>
      </c>
      <c r="I1081" s="5">
        <v>44621</v>
      </c>
      <c r="J1081" s="6">
        <v>0</v>
      </c>
      <c r="K1081" s="6">
        <v>0</v>
      </c>
      <c r="L1081" s="6">
        <v>13.317</v>
      </c>
      <c r="M1081" s="6">
        <v>13.317</v>
      </c>
      <c r="N1081" s="6">
        <v>13.317</v>
      </c>
      <c r="O1081" s="6">
        <v>13.317</v>
      </c>
      <c r="P1081" s="6">
        <v>2</v>
      </c>
      <c r="Q1081" s="4" t="s">
        <v>26</v>
      </c>
      <c r="R1081" s="4">
        <v>0</v>
      </c>
      <c r="S1081" s="6">
        <v>0</v>
      </c>
      <c r="T1081" s="6">
        <v>63</v>
      </c>
      <c r="U1081" s="6">
        <v>91</v>
      </c>
      <c r="V1081" s="6">
        <f>IF(ISERROR(VLOOKUP($S$1081,'TAR FIN'!$A$1:$O$113,15,0)),0,VLOOKUP($S$1081,'TAR FIN'!$A$1:$O$113,15,0))</f>
        <v>0</v>
      </c>
      <c r="W1081" s="6">
        <f>IF(ISERROR(VLOOKUP($T$1081,'TAR FIN'!$A$1:$O$113,15,0)),0,VLOOKUP($T$1081,'TAR FIN'!$A$1:$O$113,15,0))</f>
        <v>300.3</v>
      </c>
      <c r="X1081" s="6">
        <f>IF(ISERROR(VLOOKUP($U$1081,'TAR FIN'!$A$1:$O$113,15,0)),0,VLOOKUP($U$1081,'TAR FIN'!$A$1:$O$113,15,0))</f>
        <v>292.36</v>
      </c>
      <c r="Y1081" s="6"/>
      <c r="Z1081" s="6">
        <f ca="1">('TUSD BE'!$AM$68+'TUSD BF_350'!$AM$68+'TUSD CVA'!$AM$68)*1</f>
        <v>409.13</v>
      </c>
      <c r="AA1081" s="6">
        <f ca="1">('TE BE'!$AB$46+'TE BF_350'!$AB$46+'TE CVA'!$AB$46)*1</f>
        <v>244</v>
      </c>
      <c r="AB1081" s="6">
        <f>$K$1081*$V$1081</f>
        <v>0</v>
      </c>
      <c r="AC1081" s="6">
        <f>$M$1081*$W$1081</f>
        <v>3999.0951</v>
      </c>
      <c r="AD1081" s="6">
        <f>$O$1081*$X$1081</f>
        <v>3893.3581200000003</v>
      </c>
      <c r="AE1081" s="6">
        <f>$K$1081*$Y$1081</f>
        <v>0</v>
      </c>
      <c r="AF1081" s="6">
        <f ca="1">$M$1081*$Z$1081</f>
        <v>5448.3842100000002</v>
      </c>
      <c r="AG1081" s="6">
        <f ca="1">$O$1081*$AA$1081</f>
        <v>3249.348</v>
      </c>
    </row>
    <row r="1082" spans="1:33" ht="11.25" customHeight="1" x14ac:dyDescent="0.3">
      <c r="A1082" s="4" t="s">
        <v>21</v>
      </c>
      <c r="B1082" s="4" t="s">
        <v>37</v>
      </c>
      <c r="C1082" s="4" t="s">
        <v>23</v>
      </c>
      <c r="D1082" s="4" t="s">
        <v>52</v>
      </c>
      <c r="E1082" s="4" t="s">
        <v>25</v>
      </c>
      <c r="F1082" s="4" t="s">
        <v>25</v>
      </c>
      <c r="G1082" s="4" t="s">
        <v>25</v>
      </c>
      <c r="H1082" s="4" t="s">
        <v>25</v>
      </c>
      <c r="I1082" s="5">
        <v>44652</v>
      </c>
      <c r="J1082" s="6">
        <v>0</v>
      </c>
      <c r="K1082" s="6">
        <v>0</v>
      </c>
      <c r="L1082" s="6">
        <v>4.8049999999999997</v>
      </c>
      <c r="M1082" s="6">
        <v>4.8049999999999997</v>
      </c>
      <c r="N1082" s="6">
        <v>4.8049999999999997</v>
      </c>
      <c r="O1082" s="6">
        <v>4.8049999999999997</v>
      </c>
      <c r="P1082" s="6">
        <v>7</v>
      </c>
      <c r="Q1082" s="4" t="s">
        <v>26</v>
      </c>
      <c r="R1082" s="4">
        <v>0</v>
      </c>
      <c r="S1082" s="6">
        <v>0</v>
      </c>
      <c r="T1082" s="6">
        <v>63</v>
      </c>
      <c r="U1082" s="6">
        <v>91</v>
      </c>
      <c r="V1082" s="6">
        <f>IF(ISERROR(VLOOKUP($S$1082,'TAR FIN'!$A$1:$O$113,15,0)),0,VLOOKUP($S$1082,'TAR FIN'!$A$1:$O$113,15,0))</f>
        <v>0</v>
      </c>
      <c r="W1082" s="6">
        <f>IF(ISERROR(VLOOKUP($T$1082,'TAR FIN'!$A$1:$O$113,15,0)),0,VLOOKUP($T$1082,'TAR FIN'!$A$1:$O$113,15,0))</f>
        <v>300.3</v>
      </c>
      <c r="X1082" s="6">
        <f>IF(ISERROR(VLOOKUP($U$1082,'TAR FIN'!$A$1:$O$113,15,0)),0,VLOOKUP($U$1082,'TAR FIN'!$A$1:$O$113,15,0))</f>
        <v>292.36</v>
      </c>
      <c r="Y1082" s="6"/>
      <c r="Z1082" s="6">
        <f ca="1">('TUSD BE'!$AM$68+'TUSD BF_350'!$AM$68+'TUSD CVA'!$AM$68)*1</f>
        <v>409.13</v>
      </c>
      <c r="AA1082" s="6">
        <f ca="1">('TE BE'!$AB$46+'TE BF_350'!$AB$46+'TE CVA'!$AB$46)*1</f>
        <v>244</v>
      </c>
      <c r="AB1082" s="6">
        <f>$K$1082*$V$1082</f>
        <v>0</v>
      </c>
      <c r="AC1082" s="6">
        <f>$M$1082*$W$1082</f>
        <v>1442.9414999999999</v>
      </c>
      <c r="AD1082" s="6">
        <f>$O$1082*$X$1082</f>
        <v>1404.7898</v>
      </c>
      <c r="AE1082" s="6">
        <f>$K$1082*$Y$1082</f>
        <v>0</v>
      </c>
      <c r="AF1082" s="6">
        <f ca="1">$M$1082*$Z$1082</f>
        <v>1965.8696499999999</v>
      </c>
      <c r="AG1082" s="6">
        <f ca="1">$O$1082*$AA$1082</f>
        <v>1172.4199999999998</v>
      </c>
    </row>
    <row r="1083" spans="1:33" ht="11.25" customHeight="1" x14ac:dyDescent="0.3">
      <c r="A1083" s="4" t="s">
        <v>28</v>
      </c>
      <c r="B1083" s="4" t="s">
        <v>37</v>
      </c>
      <c r="C1083" s="4" t="s">
        <v>23</v>
      </c>
      <c r="D1083" s="4" t="s">
        <v>52</v>
      </c>
      <c r="E1083" s="4" t="s">
        <v>25</v>
      </c>
      <c r="F1083" s="4" t="s">
        <v>25</v>
      </c>
      <c r="G1083" s="4" t="s">
        <v>25</v>
      </c>
      <c r="H1083" s="4" t="s">
        <v>25</v>
      </c>
      <c r="I1083" s="5">
        <v>44652</v>
      </c>
      <c r="J1083" s="6">
        <v>0</v>
      </c>
      <c r="K1083" s="6">
        <v>0</v>
      </c>
      <c r="L1083" s="6">
        <v>15.292</v>
      </c>
      <c r="M1083" s="6">
        <v>15.292</v>
      </c>
      <c r="N1083" s="6">
        <v>15.292</v>
      </c>
      <c r="O1083" s="6">
        <v>15.292</v>
      </c>
      <c r="P1083" s="6">
        <v>3</v>
      </c>
      <c r="Q1083" s="4" t="s">
        <v>26</v>
      </c>
      <c r="R1083" s="4">
        <v>0</v>
      </c>
      <c r="S1083" s="6">
        <v>0</v>
      </c>
      <c r="T1083" s="6">
        <v>63</v>
      </c>
      <c r="U1083" s="6">
        <v>91</v>
      </c>
      <c r="V1083" s="6">
        <f>IF(ISERROR(VLOOKUP($S$1083,'TAR FIN'!$A$1:$O$113,15,0)),0,VLOOKUP($S$1083,'TAR FIN'!$A$1:$O$113,15,0))</f>
        <v>0</v>
      </c>
      <c r="W1083" s="6">
        <f>IF(ISERROR(VLOOKUP($T$1083,'TAR FIN'!$A$1:$O$113,15,0)),0,VLOOKUP($T$1083,'TAR FIN'!$A$1:$O$113,15,0))</f>
        <v>300.3</v>
      </c>
      <c r="X1083" s="6">
        <f>IF(ISERROR(VLOOKUP($U$1083,'TAR FIN'!$A$1:$O$113,15,0)),0,VLOOKUP($U$1083,'TAR FIN'!$A$1:$O$113,15,0))</f>
        <v>292.36</v>
      </c>
      <c r="Y1083" s="6"/>
      <c r="Z1083" s="6">
        <f ca="1">('TUSD BE'!$AM$68+'TUSD BF_350'!$AM$68+'TUSD CVA'!$AM$68)*1</f>
        <v>409.13</v>
      </c>
      <c r="AA1083" s="6">
        <f ca="1">('TE BE'!$AB$46+'TE BF_350'!$AB$46+'TE CVA'!$AB$46)*1</f>
        <v>244</v>
      </c>
      <c r="AB1083" s="6">
        <f>$K$1083*$V$1083</f>
        <v>0</v>
      </c>
      <c r="AC1083" s="6">
        <f>$M$1083*$W$1083</f>
        <v>4592.1876000000002</v>
      </c>
      <c r="AD1083" s="6">
        <f>$O$1083*$X$1083</f>
        <v>4470.7691199999999</v>
      </c>
      <c r="AE1083" s="6">
        <f>$K$1083*$Y$1083</f>
        <v>0</v>
      </c>
      <c r="AF1083" s="6">
        <f ca="1">$M$1083*$Z$1083</f>
        <v>6256.4159600000003</v>
      </c>
      <c r="AG1083" s="6">
        <f ca="1">$O$1083*$AA$1083</f>
        <v>3731.248</v>
      </c>
    </row>
    <row r="1084" spans="1:33" ht="11.25" customHeight="1" x14ac:dyDescent="0.3">
      <c r="A1084" s="4" t="s">
        <v>21</v>
      </c>
      <c r="B1084" s="4" t="s">
        <v>37</v>
      </c>
      <c r="C1084" s="4" t="s">
        <v>23</v>
      </c>
      <c r="D1084" s="4" t="s">
        <v>52</v>
      </c>
      <c r="E1084" s="4" t="s">
        <v>25</v>
      </c>
      <c r="F1084" s="4" t="s">
        <v>25</v>
      </c>
      <c r="G1084" s="4" t="s">
        <v>25</v>
      </c>
      <c r="H1084" s="4" t="s">
        <v>25</v>
      </c>
      <c r="I1084" s="5">
        <v>44682</v>
      </c>
      <c r="J1084" s="6">
        <v>0</v>
      </c>
      <c r="K1084" s="6">
        <v>0</v>
      </c>
      <c r="L1084" s="6">
        <v>4.8570000000000002</v>
      </c>
      <c r="M1084" s="6">
        <v>4.8570000000000002</v>
      </c>
      <c r="N1084" s="6">
        <v>4.8570000000000002</v>
      </c>
      <c r="O1084" s="6">
        <v>4.8570000000000002</v>
      </c>
      <c r="P1084" s="6">
        <v>7</v>
      </c>
      <c r="Q1084" s="4" t="s">
        <v>26</v>
      </c>
      <c r="R1084" s="4">
        <v>0</v>
      </c>
      <c r="S1084" s="6">
        <v>0</v>
      </c>
      <c r="T1084" s="6">
        <v>63</v>
      </c>
      <c r="U1084" s="6">
        <v>91</v>
      </c>
      <c r="V1084" s="6">
        <f>IF(ISERROR(VLOOKUP($S$1084,'TAR FIN'!$A$1:$O$113,15,0)),0,VLOOKUP($S$1084,'TAR FIN'!$A$1:$O$113,15,0))</f>
        <v>0</v>
      </c>
      <c r="W1084" s="6">
        <f>IF(ISERROR(VLOOKUP($T$1084,'TAR FIN'!$A$1:$O$113,15,0)),0,VLOOKUP($T$1084,'TAR FIN'!$A$1:$O$113,15,0))</f>
        <v>300.3</v>
      </c>
      <c r="X1084" s="6">
        <f>IF(ISERROR(VLOOKUP($U$1084,'TAR FIN'!$A$1:$O$113,15,0)),0,VLOOKUP($U$1084,'TAR FIN'!$A$1:$O$113,15,0))</f>
        <v>292.36</v>
      </c>
      <c r="Y1084" s="6"/>
      <c r="Z1084" s="6">
        <f ca="1">('TUSD BE'!$AM$68+'TUSD BF_350'!$AM$68+'TUSD CVA'!$AM$68)*1</f>
        <v>409.13</v>
      </c>
      <c r="AA1084" s="6">
        <f ca="1">('TE BE'!$AB$46+'TE BF_350'!$AB$46+'TE CVA'!$AB$46)*1</f>
        <v>244</v>
      </c>
      <c r="AB1084" s="6">
        <f>$K$1084*$V$1084</f>
        <v>0</v>
      </c>
      <c r="AC1084" s="6">
        <f>$M$1084*$W$1084</f>
        <v>1458.5571000000002</v>
      </c>
      <c r="AD1084" s="6">
        <f>$O$1084*$X$1084</f>
        <v>1419.99252</v>
      </c>
      <c r="AE1084" s="6">
        <f>$K$1084*$Y$1084</f>
        <v>0</v>
      </c>
      <c r="AF1084" s="6">
        <f ca="1">$M$1084*$Z$1084</f>
        <v>1987.1444100000001</v>
      </c>
      <c r="AG1084" s="6">
        <f ca="1">$O$1084*$AA$1084</f>
        <v>1185.1079999999999</v>
      </c>
    </row>
    <row r="1085" spans="1:33" ht="11.25" customHeight="1" x14ac:dyDescent="0.3">
      <c r="A1085" s="4" t="s">
        <v>28</v>
      </c>
      <c r="B1085" s="4" t="s">
        <v>37</v>
      </c>
      <c r="C1085" s="4" t="s">
        <v>23</v>
      </c>
      <c r="D1085" s="4" t="s">
        <v>52</v>
      </c>
      <c r="E1085" s="4" t="s">
        <v>25</v>
      </c>
      <c r="F1085" s="4" t="s">
        <v>25</v>
      </c>
      <c r="G1085" s="4" t="s">
        <v>25</v>
      </c>
      <c r="H1085" s="4" t="s">
        <v>25</v>
      </c>
      <c r="I1085" s="5">
        <v>44682</v>
      </c>
      <c r="J1085" s="6">
        <v>0</v>
      </c>
      <c r="K1085" s="6">
        <v>0</v>
      </c>
      <c r="L1085" s="6">
        <v>14.211</v>
      </c>
      <c r="M1085" s="6">
        <v>14.211</v>
      </c>
      <c r="N1085" s="6">
        <v>14.211</v>
      </c>
      <c r="O1085" s="6">
        <v>14.211</v>
      </c>
      <c r="P1085" s="6">
        <v>3</v>
      </c>
      <c r="Q1085" s="4" t="s">
        <v>26</v>
      </c>
      <c r="R1085" s="4">
        <v>0</v>
      </c>
      <c r="S1085" s="6">
        <v>0</v>
      </c>
      <c r="T1085" s="6">
        <v>63</v>
      </c>
      <c r="U1085" s="6">
        <v>91</v>
      </c>
      <c r="V1085" s="6">
        <f>IF(ISERROR(VLOOKUP($S$1085,'TAR FIN'!$A$1:$O$113,15,0)),0,VLOOKUP($S$1085,'TAR FIN'!$A$1:$O$113,15,0))</f>
        <v>0</v>
      </c>
      <c r="W1085" s="6">
        <f>IF(ISERROR(VLOOKUP($T$1085,'TAR FIN'!$A$1:$O$113,15,0)),0,VLOOKUP($T$1085,'TAR FIN'!$A$1:$O$113,15,0))</f>
        <v>300.3</v>
      </c>
      <c r="X1085" s="6">
        <f>IF(ISERROR(VLOOKUP($U$1085,'TAR FIN'!$A$1:$O$113,15,0)),0,VLOOKUP($U$1085,'TAR FIN'!$A$1:$O$113,15,0))</f>
        <v>292.36</v>
      </c>
      <c r="Y1085" s="6"/>
      <c r="Z1085" s="6">
        <f ca="1">('TUSD BE'!$AM$68+'TUSD BF_350'!$AM$68+'TUSD CVA'!$AM$68)*1</f>
        <v>409.13</v>
      </c>
      <c r="AA1085" s="6">
        <f ca="1">('TE BE'!$AB$46+'TE BF_350'!$AB$46+'TE CVA'!$AB$46)*1</f>
        <v>244</v>
      </c>
      <c r="AB1085" s="6">
        <f>$K$1085*$V$1085</f>
        <v>0</v>
      </c>
      <c r="AC1085" s="6">
        <f>$M$1085*$W$1085</f>
        <v>4267.5632999999998</v>
      </c>
      <c r="AD1085" s="6">
        <f>$O$1085*$X$1085</f>
        <v>4154.7279600000002</v>
      </c>
      <c r="AE1085" s="6">
        <f>$K$1085*$Y$1085</f>
        <v>0</v>
      </c>
      <c r="AF1085" s="6">
        <f ca="1">$M$1085*$Z$1085</f>
        <v>5814.1464299999998</v>
      </c>
      <c r="AG1085" s="6">
        <f ca="1">$O$1085*$AA$1085</f>
        <v>3467.4839999999999</v>
      </c>
    </row>
    <row r="1086" spans="1:33" ht="11.25" customHeight="1" x14ac:dyDescent="0.3">
      <c r="A1086" s="4" t="s">
        <v>21</v>
      </c>
      <c r="B1086" s="4" t="s">
        <v>37</v>
      </c>
      <c r="C1086" s="4" t="s">
        <v>23</v>
      </c>
      <c r="D1086" s="4" t="s">
        <v>52</v>
      </c>
      <c r="E1086" s="4" t="s">
        <v>25</v>
      </c>
      <c r="F1086" s="4" t="s">
        <v>25</v>
      </c>
      <c r="G1086" s="4" t="s">
        <v>25</v>
      </c>
      <c r="H1086" s="4" t="s">
        <v>25</v>
      </c>
      <c r="I1086" s="5">
        <v>44713</v>
      </c>
      <c r="J1086" s="6">
        <v>0</v>
      </c>
      <c r="K1086" s="6">
        <v>0</v>
      </c>
      <c r="L1086" s="6">
        <v>6.6070000000000002</v>
      </c>
      <c r="M1086" s="6">
        <v>6.6070000000000002</v>
      </c>
      <c r="N1086" s="6">
        <v>6.6070000000000002</v>
      </c>
      <c r="O1086" s="6">
        <v>6.6070000000000002</v>
      </c>
      <c r="P1086" s="6">
        <v>7</v>
      </c>
      <c r="Q1086" s="4" t="s">
        <v>26</v>
      </c>
      <c r="R1086" s="4">
        <v>0</v>
      </c>
      <c r="S1086" s="6">
        <v>0</v>
      </c>
      <c r="T1086" s="6">
        <v>63</v>
      </c>
      <c r="U1086" s="6">
        <v>91</v>
      </c>
      <c r="V1086" s="6">
        <f>IF(ISERROR(VLOOKUP($S$1086,'TAR FIN'!$A$1:$O$113,15,0)),0,VLOOKUP($S$1086,'TAR FIN'!$A$1:$O$113,15,0))</f>
        <v>0</v>
      </c>
      <c r="W1086" s="6">
        <f>IF(ISERROR(VLOOKUP($T$1086,'TAR FIN'!$A$1:$O$113,15,0)),0,VLOOKUP($T$1086,'TAR FIN'!$A$1:$O$113,15,0))</f>
        <v>300.3</v>
      </c>
      <c r="X1086" s="6">
        <f>IF(ISERROR(VLOOKUP($U$1086,'TAR FIN'!$A$1:$O$113,15,0)),0,VLOOKUP($U$1086,'TAR FIN'!$A$1:$O$113,15,0))</f>
        <v>292.36</v>
      </c>
      <c r="Y1086" s="6"/>
      <c r="Z1086" s="6">
        <f ca="1">('TUSD BE'!$AM$68+'TUSD BF_350'!$AM$68+'TUSD CVA'!$AM$68)*1</f>
        <v>409.13</v>
      </c>
      <c r="AA1086" s="6">
        <f ca="1">('TE BE'!$AB$46+'TE BF_350'!$AB$46+'TE CVA'!$AB$46)*1</f>
        <v>244</v>
      </c>
      <c r="AB1086" s="6">
        <f>$K$1086*$V$1086</f>
        <v>0</v>
      </c>
      <c r="AC1086" s="6">
        <f>$M$1086*$W$1086</f>
        <v>1984.0821000000001</v>
      </c>
      <c r="AD1086" s="6">
        <f>$O$1086*$X$1086</f>
        <v>1931.6225200000001</v>
      </c>
      <c r="AE1086" s="6">
        <f>$K$1086*$Y$1086</f>
        <v>0</v>
      </c>
      <c r="AF1086" s="6">
        <f ca="1">$M$1086*$Z$1086</f>
        <v>2703.1219099999998</v>
      </c>
      <c r="AG1086" s="6">
        <f ca="1">$O$1086*$AA$1086</f>
        <v>1612.1079999999999</v>
      </c>
    </row>
    <row r="1087" spans="1:33" ht="11.25" customHeight="1" x14ac:dyDescent="0.3">
      <c r="A1087" s="4" t="s">
        <v>28</v>
      </c>
      <c r="B1087" s="4" t="s">
        <v>37</v>
      </c>
      <c r="C1087" s="4" t="s">
        <v>23</v>
      </c>
      <c r="D1087" s="4" t="s">
        <v>52</v>
      </c>
      <c r="E1087" s="4" t="s">
        <v>25</v>
      </c>
      <c r="F1087" s="4" t="s">
        <v>25</v>
      </c>
      <c r="G1087" s="4" t="s">
        <v>25</v>
      </c>
      <c r="H1087" s="4" t="s">
        <v>25</v>
      </c>
      <c r="I1087" s="5">
        <v>44713</v>
      </c>
      <c r="J1087" s="6">
        <v>0</v>
      </c>
      <c r="K1087" s="6">
        <v>0</v>
      </c>
      <c r="L1087" s="6">
        <v>15.096</v>
      </c>
      <c r="M1087" s="6">
        <v>15.096</v>
      </c>
      <c r="N1087" s="6">
        <v>15.096</v>
      </c>
      <c r="O1087" s="6">
        <v>15.096</v>
      </c>
      <c r="P1087" s="6">
        <v>3</v>
      </c>
      <c r="Q1087" s="4" t="s">
        <v>26</v>
      </c>
      <c r="R1087" s="4">
        <v>0</v>
      </c>
      <c r="S1087" s="6">
        <v>0</v>
      </c>
      <c r="T1087" s="6">
        <v>63</v>
      </c>
      <c r="U1087" s="6">
        <v>91</v>
      </c>
      <c r="V1087" s="6">
        <f>IF(ISERROR(VLOOKUP($S$1087,'TAR FIN'!$A$1:$O$113,15,0)),0,VLOOKUP($S$1087,'TAR FIN'!$A$1:$O$113,15,0))</f>
        <v>0</v>
      </c>
      <c r="W1087" s="6">
        <f>IF(ISERROR(VLOOKUP($T$1087,'TAR FIN'!$A$1:$O$113,15,0)),0,VLOOKUP($T$1087,'TAR FIN'!$A$1:$O$113,15,0))</f>
        <v>300.3</v>
      </c>
      <c r="X1087" s="6">
        <f>IF(ISERROR(VLOOKUP($U$1087,'TAR FIN'!$A$1:$O$113,15,0)),0,VLOOKUP($U$1087,'TAR FIN'!$A$1:$O$113,15,0))</f>
        <v>292.36</v>
      </c>
      <c r="Y1087" s="6"/>
      <c r="Z1087" s="6">
        <f ca="1">('TUSD BE'!$AM$68+'TUSD BF_350'!$AM$68+'TUSD CVA'!$AM$68)*1</f>
        <v>409.13</v>
      </c>
      <c r="AA1087" s="6">
        <f ca="1">('TE BE'!$AB$46+'TE BF_350'!$AB$46+'TE CVA'!$AB$46)*1</f>
        <v>244</v>
      </c>
      <c r="AB1087" s="6">
        <f>$K$1087*$V$1087</f>
        <v>0</v>
      </c>
      <c r="AC1087" s="6">
        <f>$M$1087*$W$1087</f>
        <v>4533.3288000000002</v>
      </c>
      <c r="AD1087" s="6">
        <f>$O$1087*$X$1087</f>
        <v>4413.4665599999998</v>
      </c>
      <c r="AE1087" s="6">
        <f>$K$1087*$Y$1087</f>
        <v>0</v>
      </c>
      <c r="AF1087" s="6">
        <f ca="1">$M$1087*$Z$1087</f>
        <v>6176.2264800000003</v>
      </c>
      <c r="AG1087" s="6">
        <f ca="1">$O$1087*$AA$1087</f>
        <v>3683.424</v>
      </c>
    </row>
    <row r="1088" spans="1:33" ht="11.25" customHeight="1" x14ac:dyDescent="0.3">
      <c r="A1088" s="4" t="s">
        <v>21</v>
      </c>
      <c r="B1088" s="4" t="s">
        <v>37</v>
      </c>
      <c r="C1088" s="4" t="s">
        <v>23</v>
      </c>
      <c r="D1088" s="4" t="s">
        <v>52</v>
      </c>
      <c r="E1088" s="4" t="s">
        <v>25</v>
      </c>
      <c r="F1088" s="4" t="s">
        <v>25</v>
      </c>
      <c r="G1088" s="4" t="s">
        <v>25</v>
      </c>
      <c r="H1088" s="4" t="s">
        <v>25</v>
      </c>
      <c r="I1088" s="5">
        <v>44743</v>
      </c>
      <c r="J1088" s="6">
        <v>0</v>
      </c>
      <c r="K1088" s="6">
        <v>0</v>
      </c>
      <c r="L1088" s="6">
        <v>7.5880000000000001</v>
      </c>
      <c r="M1088" s="6">
        <v>7.5880000000000001</v>
      </c>
      <c r="N1088" s="6">
        <v>7.5880000000000001</v>
      </c>
      <c r="O1088" s="6">
        <v>7.5880000000000001</v>
      </c>
      <c r="P1088" s="6">
        <v>7</v>
      </c>
      <c r="Q1088" s="4" t="s">
        <v>26</v>
      </c>
      <c r="R1088" s="4">
        <v>0</v>
      </c>
      <c r="S1088" s="6">
        <v>0</v>
      </c>
      <c r="T1088" s="6">
        <v>63</v>
      </c>
      <c r="U1088" s="6">
        <v>91</v>
      </c>
      <c r="V1088" s="6">
        <f>IF(ISERROR(VLOOKUP($S$1088,'TAR FIN'!$A$1:$O$113,15,0)),0,VLOOKUP($S$1088,'TAR FIN'!$A$1:$O$113,15,0))</f>
        <v>0</v>
      </c>
      <c r="W1088" s="6">
        <f>IF(ISERROR(VLOOKUP($T$1088,'TAR FIN'!$A$1:$O$113,15,0)),0,VLOOKUP($T$1088,'TAR FIN'!$A$1:$O$113,15,0))</f>
        <v>300.3</v>
      </c>
      <c r="X1088" s="6">
        <f>IF(ISERROR(VLOOKUP($U$1088,'TAR FIN'!$A$1:$O$113,15,0)),0,VLOOKUP($U$1088,'TAR FIN'!$A$1:$O$113,15,0))</f>
        <v>292.36</v>
      </c>
      <c r="Y1088" s="6"/>
      <c r="Z1088" s="6">
        <f ca="1">('TUSD BE'!$AM$68+'TUSD BF_350'!$AM$68+'TUSD CVA'!$AM$68)*1</f>
        <v>409.13</v>
      </c>
      <c r="AA1088" s="6">
        <f ca="1">('TE BE'!$AB$46+'TE BF_350'!$AB$46+'TE CVA'!$AB$46)*1</f>
        <v>244</v>
      </c>
      <c r="AB1088" s="6">
        <f>$K$1088*$V$1088</f>
        <v>0</v>
      </c>
      <c r="AC1088" s="6">
        <f>$M$1088*$W$1088</f>
        <v>2278.6764000000003</v>
      </c>
      <c r="AD1088" s="6">
        <f>$O$1088*$X$1088</f>
        <v>2218.4276800000002</v>
      </c>
      <c r="AE1088" s="6">
        <f>$K$1088*$Y$1088</f>
        <v>0</v>
      </c>
      <c r="AF1088" s="6">
        <f ca="1">$M$1088*$Z$1088</f>
        <v>3104.4784399999999</v>
      </c>
      <c r="AG1088" s="6">
        <f ca="1">$O$1088*$AA$1088</f>
        <v>1851.472</v>
      </c>
    </row>
    <row r="1089" spans="1:33" ht="11.25" customHeight="1" x14ac:dyDescent="0.3">
      <c r="A1089" s="4" t="s">
        <v>21</v>
      </c>
      <c r="B1089" s="4" t="s">
        <v>37</v>
      </c>
      <c r="C1089" s="4" t="s">
        <v>23</v>
      </c>
      <c r="D1089" s="4" t="s">
        <v>52</v>
      </c>
      <c r="E1089" s="4" t="s">
        <v>25</v>
      </c>
      <c r="F1089" s="4" t="s">
        <v>25</v>
      </c>
      <c r="G1089" s="4" t="s">
        <v>25</v>
      </c>
      <c r="H1089" s="4" t="s">
        <v>25</v>
      </c>
      <c r="I1089" s="5">
        <v>44774</v>
      </c>
      <c r="J1089" s="6">
        <v>0</v>
      </c>
      <c r="K1089" s="6">
        <v>0</v>
      </c>
      <c r="L1089" s="6">
        <v>5.8570000000000002</v>
      </c>
      <c r="M1089" s="6">
        <v>5.8570000000000002</v>
      </c>
      <c r="N1089" s="6">
        <v>5.8570000000000002</v>
      </c>
      <c r="O1089" s="6">
        <v>5.8570000000000002</v>
      </c>
      <c r="P1089" s="6">
        <v>7</v>
      </c>
      <c r="Q1089" s="4" t="s">
        <v>26</v>
      </c>
      <c r="R1089" s="4">
        <v>0</v>
      </c>
      <c r="S1089" s="6">
        <v>0</v>
      </c>
      <c r="T1089" s="6">
        <v>63</v>
      </c>
      <c r="U1089" s="6">
        <v>91</v>
      </c>
      <c r="V1089" s="6">
        <f>IF(ISERROR(VLOOKUP($S$1089,'TAR FIN'!$A$1:$O$113,15,0)),0,VLOOKUP($S$1089,'TAR FIN'!$A$1:$O$113,15,0))</f>
        <v>0</v>
      </c>
      <c r="W1089" s="6">
        <f>IF(ISERROR(VLOOKUP($T$1089,'TAR FIN'!$A$1:$O$113,15,0)),0,VLOOKUP($T$1089,'TAR FIN'!$A$1:$O$113,15,0))</f>
        <v>300.3</v>
      </c>
      <c r="X1089" s="6">
        <f>IF(ISERROR(VLOOKUP($U$1089,'TAR FIN'!$A$1:$O$113,15,0)),0,VLOOKUP($U$1089,'TAR FIN'!$A$1:$O$113,15,0))</f>
        <v>292.36</v>
      </c>
      <c r="Y1089" s="6"/>
      <c r="Z1089" s="6">
        <f ca="1">('TUSD BE'!$AM$68+'TUSD BF_350'!$AM$68+'TUSD CVA'!$AM$68)*1</f>
        <v>409.13</v>
      </c>
      <c r="AA1089" s="6">
        <f ca="1">('TE BE'!$AB$46+'TE BF_350'!$AB$46+'TE CVA'!$AB$46)*1</f>
        <v>244</v>
      </c>
      <c r="AB1089" s="6">
        <f>$K$1089*$V$1089</f>
        <v>0</v>
      </c>
      <c r="AC1089" s="6">
        <f>$M$1089*$W$1089</f>
        <v>1758.8571000000002</v>
      </c>
      <c r="AD1089" s="6">
        <f>$O$1089*$X$1089</f>
        <v>1712.3525200000001</v>
      </c>
      <c r="AE1089" s="6">
        <f>$K$1089*$Y$1089</f>
        <v>0</v>
      </c>
      <c r="AF1089" s="6">
        <f ca="1">$M$1089*$Z$1089</f>
        <v>2396.27441</v>
      </c>
      <c r="AG1089" s="6">
        <f ca="1">$O$1089*$AA$1089</f>
        <v>1429.1079999999999</v>
      </c>
    </row>
    <row r="1090" spans="1:33" ht="11.25" customHeight="1" x14ac:dyDescent="0.3">
      <c r="A1090" s="4" t="s">
        <v>28</v>
      </c>
      <c r="B1090" s="4" t="s">
        <v>37</v>
      </c>
      <c r="C1090" s="4" t="s">
        <v>23</v>
      </c>
      <c r="D1090" s="4" t="s">
        <v>52</v>
      </c>
      <c r="E1090" s="4" t="s">
        <v>25</v>
      </c>
      <c r="F1090" s="4" t="s">
        <v>25</v>
      </c>
      <c r="G1090" s="4" t="s">
        <v>25</v>
      </c>
      <c r="H1090" s="4" t="s">
        <v>25</v>
      </c>
      <c r="I1090" s="5">
        <v>44774</v>
      </c>
      <c r="J1090" s="6">
        <v>0</v>
      </c>
      <c r="K1090" s="6">
        <v>0</v>
      </c>
      <c r="L1090" s="6">
        <v>15.643000000000001</v>
      </c>
      <c r="M1090" s="6">
        <v>15.643000000000001</v>
      </c>
      <c r="N1090" s="6">
        <v>15.643000000000001</v>
      </c>
      <c r="O1090" s="6">
        <v>15.643000000000001</v>
      </c>
      <c r="P1090" s="6">
        <v>3</v>
      </c>
      <c r="Q1090" s="4" t="s">
        <v>26</v>
      </c>
      <c r="R1090" s="4">
        <v>0</v>
      </c>
      <c r="S1090" s="6">
        <v>0</v>
      </c>
      <c r="T1090" s="6">
        <v>63</v>
      </c>
      <c r="U1090" s="6">
        <v>91</v>
      </c>
      <c r="V1090" s="6">
        <f>IF(ISERROR(VLOOKUP($S$1090,'TAR FIN'!$A$1:$O$113,15,0)),0,VLOOKUP($S$1090,'TAR FIN'!$A$1:$O$113,15,0))</f>
        <v>0</v>
      </c>
      <c r="W1090" s="6">
        <f>IF(ISERROR(VLOOKUP($T$1090,'TAR FIN'!$A$1:$O$113,15,0)),0,VLOOKUP($T$1090,'TAR FIN'!$A$1:$O$113,15,0))</f>
        <v>300.3</v>
      </c>
      <c r="X1090" s="6">
        <f>IF(ISERROR(VLOOKUP($U$1090,'TAR FIN'!$A$1:$O$113,15,0)),0,VLOOKUP($U$1090,'TAR FIN'!$A$1:$O$113,15,0))</f>
        <v>292.36</v>
      </c>
      <c r="Y1090" s="6"/>
      <c r="Z1090" s="6">
        <f ca="1">('TUSD BE'!$AM$68+'TUSD BF_350'!$AM$68+'TUSD CVA'!$AM$68)*1</f>
        <v>409.13</v>
      </c>
      <c r="AA1090" s="6">
        <f ca="1">('TE BE'!$AB$46+'TE BF_350'!$AB$46+'TE CVA'!$AB$46)*1</f>
        <v>244</v>
      </c>
      <c r="AB1090" s="6">
        <f>$K$1090*$V$1090</f>
        <v>0</v>
      </c>
      <c r="AC1090" s="6">
        <f>$M$1090*$W$1090</f>
        <v>4697.5929000000006</v>
      </c>
      <c r="AD1090" s="6">
        <f>$O$1090*$X$1090</f>
        <v>4573.3874800000003</v>
      </c>
      <c r="AE1090" s="6">
        <f>$K$1090*$Y$1090</f>
        <v>0</v>
      </c>
      <c r="AF1090" s="6">
        <f ca="1">$M$1090*$Z$1090</f>
        <v>6400.0205900000001</v>
      </c>
      <c r="AG1090" s="6">
        <f ca="1">$O$1090*$AA$1090</f>
        <v>3816.8920000000003</v>
      </c>
    </row>
    <row r="1091" spans="1:33" ht="11.25" customHeight="1" x14ac:dyDescent="0.3">
      <c r="A1091" s="4" t="s">
        <v>21</v>
      </c>
      <c r="B1091" s="4" t="s">
        <v>37</v>
      </c>
      <c r="C1091" s="4" t="s">
        <v>23</v>
      </c>
      <c r="D1091" s="4" t="s">
        <v>52</v>
      </c>
      <c r="E1091" s="4" t="s">
        <v>25</v>
      </c>
      <c r="F1091" s="4" t="s">
        <v>25</v>
      </c>
      <c r="G1091" s="4" t="s">
        <v>25</v>
      </c>
      <c r="H1091" s="4" t="s">
        <v>25</v>
      </c>
      <c r="I1091" s="5">
        <v>44805</v>
      </c>
      <c r="J1091" s="6">
        <v>0</v>
      </c>
      <c r="K1091" s="6">
        <v>0</v>
      </c>
      <c r="L1091" s="6">
        <v>6.359</v>
      </c>
      <c r="M1091" s="6">
        <v>6.359</v>
      </c>
      <c r="N1091" s="6">
        <v>6.359</v>
      </c>
      <c r="O1091" s="6">
        <v>6.359</v>
      </c>
      <c r="P1091" s="6">
        <v>7</v>
      </c>
      <c r="Q1091" s="4" t="s">
        <v>26</v>
      </c>
      <c r="R1091" s="4">
        <v>0</v>
      </c>
      <c r="S1091" s="6">
        <v>0</v>
      </c>
      <c r="T1091" s="6">
        <v>63</v>
      </c>
      <c r="U1091" s="6">
        <v>91</v>
      </c>
      <c r="V1091" s="6">
        <f>IF(ISERROR(VLOOKUP($S$1091,'TAR FIN'!$A$1:$O$113,15,0)),0,VLOOKUP($S$1091,'TAR FIN'!$A$1:$O$113,15,0))</f>
        <v>0</v>
      </c>
      <c r="W1091" s="6">
        <f>IF(ISERROR(VLOOKUP($T$1091,'TAR FIN'!$A$1:$O$113,15,0)),0,VLOOKUP($T$1091,'TAR FIN'!$A$1:$O$113,15,0))</f>
        <v>300.3</v>
      </c>
      <c r="X1091" s="6">
        <f>IF(ISERROR(VLOOKUP($U$1091,'TAR FIN'!$A$1:$O$113,15,0)),0,VLOOKUP($U$1091,'TAR FIN'!$A$1:$O$113,15,0))</f>
        <v>292.36</v>
      </c>
      <c r="Y1091" s="6"/>
      <c r="Z1091" s="6">
        <f ca="1">('TUSD BE'!$AM$68+'TUSD BF_350'!$AM$68+'TUSD CVA'!$AM$68)*1</f>
        <v>409.13</v>
      </c>
      <c r="AA1091" s="6">
        <f ca="1">('TE BE'!$AB$46+'TE BF_350'!$AB$46+'TE CVA'!$AB$46)*1</f>
        <v>244</v>
      </c>
      <c r="AB1091" s="6">
        <f>$K$1091*$V$1091</f>
        <v>0</v>
      </c>
      <c r="AC1091" s="6">
        <f>$M$1091*$W$1091</f>
        <v>1909.6077</v>
      </c>
      <c r="AD1091" s="6">
        <f>$O$1091*$X$1091</f>
        <v>1859.11724</v>
      </c>
      <c r="AE1091" s="6">
        <f>$K$1091*$Y$1091</f>
        <v>0</v>
      </c>
      <c r="AF1091" s="6">
        <f ca="1">$M$1091*$Z$1091</f>
        <v>2601.6576700000001</v>
      </c>
      <c r="AG1091" s="6">
        <f ca="1">$O$1091*$AA$1091</f>
        <v>1551.596</v>
      </c>
    </row>
    <row r="1092" spans="1:33" ht="11.25" customHeight="1" x14ac:dyDescent="0.3">
      <c r="A1092" s="4" t="s">
        <v>28</v>
      </c>
      <c r="B1092" s="4" t="s">
        <v>37</v>
      </c>
      <c r="C1092" s="4" t="s">
        <v>23</v>
      </c>
      <c r="D1092" s="4" t="s">
        <v>52</v>
      </c>
      <c r="E1092" s="4" t="s">
        <v>25</v>
      </c>
      <c r="F1092" s="4" t="s">
        <v>25</v>
      </c>
      <c r="G1092" s="4" t="s">
        <v>25</v>
      </c>
      <c r="H1092" s="4" t="s">
        <v>25</v>
      </c>
      <c r="I1092" s="5">
        <v>44805</v>
      </c>
      <c r="J1092" s="6">
        <v>0</v>
      </c>
      <c r="K1092" s="6">
        <v>0</v>
      </c>
      <c r="L1092" s="6">
        <v>15.837</v>
      </c>
      <c r="M1092" s="6">
        <v>15.837</v>
      </c>
      <c r="N1092" s="6">
        <v>15.837</v>
      </c>
      <c r="O1092" s="6">
        <v>15.837</v>
      </c>
      <c r="P1092" s="6">
        <v>3</v>
      </c>
      <c r="Q1092" s="4" t="s">
        <v>26</v>
      </c>
      <c r="R1092" s="4">
        <v>0</v>
      </c>
      <c r="S1092" s="6">
        <v>0</v>
      </c>
      <c r="T1092" s="6">
        <v>63</v>
      </c>
      <c r="U1092" s="6">
        <v>91</v>
      </c>
      <c r="V1092" s="6">
        <f>IF(ISERROR(VLOOKUP($S$1092,'TAR FIN'!$A$1:$O$113,15,0)),0,VLOOKUP($S$1092,'TAR FIN'!$A$1:$O$113,15,0))</f>
        <v>0</v>
      </c>
      <c r="W1092" s="6">
        <f>IF(ISERROR(VLOOKUP($T$1092,'TAR FIN'!$A$1:$O$113,15,0)),0,VLOOKUP($T$1092,'TAR FIN'!$A$1:$O$113,15,0))</f>
        <v>300.3</v>
      </c>
      <c r="X1092" s="6">
        <f>IF(ISERROR(VLOOKUP($U$1092,'TAR FIN'!$A$1:$O$113,15,0)),0,VLOOKUP($U$1092,'TAR FIN'!$A$1:$O$113,15,0))</f>
        <v>292.36</v>
      </c>
      <c r="Y1092" s="6"/>
      <c r="Z1092" s="6">
        <f ca="1">('TUSD BE'!$AM$68+'TUSD BF_350'!$AM$68+'TUSD CVA'!$AM$68)*1</f>
        <v>409.13</v>
      </c>
      <c r="AA1092" s="6">
        <f ca="1">('TE BE'!$AB$46+'TE BF_350'!$AB$46+'TE CVA'!$AB$46)*1</f>
        <v>244</v>
      </c>
      <c r="AB1092" s="6">
        <f>$K$1092*$V$1092</f>
        <v>0</v>
      </c>
      <c r="AC1092" s="6">
        <f>$M$1092*$W$1092</f>
        <v>4755.8510999999999</v>
      </c>
      <c r="AD1092" s="6">
        <f>$O$1092*$X$1092</f>
        <v>4630.1053200000006</v>
      </c>
      <c r="AE1092" s="6">
        <f>$K$1092*$Y$1092</f>
        <v>0</v>
      </c>
      <c r="AF1092" s="6">
        <f ca="1">$M$1092*$Z$1092</f>
        <v>6479.3918100000001</v>
      </c>
      <c r="AG1092" s="6">
        <f ca="1">$O$1092*$AA$1092</f>
        <v>3864.2280000000001</v>
      </c>
    </row>
    <row r="1093" spans="1:33" ht="11.25" customHeight="1" x14ac:dyDescent="0.3">
      <c r="A1093" s="4" t="s">
        <v>53</v>
      </c>
      <c r="B1093" s="4" t="s">
        <v>37</v>
      </c>
      <c r="C1093" s="4" t="s">
        <v>23</v>
      </c>
      <c r="D1093" s="4" t="s">
        <v>52</v>
      </c>
      <c r="E1093" s="4" t="s">
        <v>25</v>
      </c>
      <c r="F1093" s="4" t="s">
        <v>25</v>
      </c>
      <c r="G1093" s="4" t="s">
        <v>25</v>
      </c>
      <c r="H1093" s="4" t="s">
        <v>25</v>
      </c>
      <c r="I1093" s="5">
        <v>44835</v>
      </c>
      <c r="J1093" s="6">
        <v>0</v>
      </c>
      <c r="K1093" s="6">
        <v>0</v>
      </c>
      <c r="L1093" s="6">
        <v>6.359</v>
      </c>
      <c r="M1093" s="6">
        <v>6.359</v>
      </c>
      <c r="N1093" s="6">
        <v>6.359</v>
      </c>
      <c r="O1093" s="6">
        <v>6.359</v>
      </c>
      <c r="P1093" s="6">
        <v>7</v>
      </c>
      <c r="Q1093" s="4" t="s">
        <v>26</v>
      </c>
      <c r="R1093" s="4">
        <v>0</v>
      </c>
      <c r="S1093" s="6">
        <v>0</v>
      </c>
      <c r="T1093" s="6">
        <v>63</v>
      </c>
      <c r="U1093" s="6">
        <v>91</v>
      </c>
      <c r="V1093" s="6">
        <f>IF(ISERROR(VLOOKUP($S$1093,'TAR FIN'!$A$1:$O$113,15,0)),0,VLOOKUP($S$1093,'TAR FIN'!$A$1:$O$113,15,0))</f>
        <v>0</v>
      </c>
      <c r="W1093" s="6">
        <f>IF(ISERROR(VLOOKUP($T$1093,'TAR FIN'!$A$1:$O$113,15,0)),0,VLOOKUP($T$1093,'TAR FIN'!$A$1:$O$113,15,0))</f>
        <v>300.3</v>
      </c>
      <c r="X1093" s="6">
        <f>IF(ISERROR(VLOOKUP($U$1093,'TAR FIN'!$A$1:$O$113,15,0)),0,VLOOKUP($U$1093,'TAR FIN'!$A$1:$O$113,15,0))</f>
        <v>292.36</v>
      </c>
      <c r="Y1093" s="6"/>
      <c r="Z1093" s="6">
        <f ca="1">('TUSD BE'!$AM$68+'TUSD BF_350'!$AM$68+'TUSD CVA'!$AM$68)*1</f>
        <v>409.13</v>
      </c>
      <c r="AA1093" s="6">
        <f ca="1">('TE BE'!$AB$46+'TE BF_350'!$AB$46+'TE CVA'!$AB$46)*1</f>
        <v>244</v>
      </c>
      <c r="AB1093" s="6">
        <f>$K$1093*$V$1093</f>
        <v>0</v>
      </c>
      <c r="AC1093" s="6">
        <f>$M$1093*$W$1093</f>
        <v>1909.6077</v>
      </c>
      <c r="AD1093" s="6">
        <f>$O$1093*$X$1093</f>
        <v>1859.11724</v>
      </c>
      <c r="AE1093" s="6">
        <f>$K$1093*$Y$1093</f>
        <v>0</v>
      </c>
      <c r="AF1093" s="6">
        <f ca="1">$M$1093*$Z$1093</f>
        <v>2601.6576700000001</v>
      </c>
      <c r="AG1093" s="6">
        <f ca="1">$O$1093*$AA$1093</f>
        <v>1551.596</v>
      </c>
    </row>
    <row r="1094" spans="1:33" ht="11.25" customHeight="1" x14ac:dyDescent="0.3">
      <c r="A1094" s="4" t="s">
        <v>53</v>
      </c>
      <c r="B1094" s="4" t="s">
        <v>37</v>
      </c>
      <c r="C1094" s="4" t="s">
        <v>23</v>
      </c>
      <c r="D1094" s="4" t="s">
        <v>52</v>
      </c>
      <c r="E1094" s="4" t="s">
        <v>25</v>
      </c>
      <c r="F1094" s="4" t="s">
        <v>25</v>
      </c>
      <c r="G1094" s="4" t="s">
        <v>25</v>
      </c>
      <c r="H1094" s="4" t="s">
        <v>25</v>
      </c>
      <c r="I1094" s="5">
        <v>44835</v>
      </c>
      <c r="J1094" s="6">
        <v>0</v>
      </c>
      <c r="K1094" s="6">
        <v>0</v>
      </c>
      <c r="L1094" s="6">
        <v>15.837</v>
      </c>
      <c r="M1094" s="6">
        <v>15.837</v>
      </c>
      <c r="N1094" s="6">
        <v>15.837</v>
      </c>
      <c r="O1094" s="6">
        <v>15.837</v>
      </c>
      <c r="P1094" s="6">
        <v>3</v>
      </c>
      <c r="Q1094" s="4" t="s">
        <v>26</v>
      </c>
      <c r="R1094" s="4">
        <v>0</v>
      </c>
      <c r="S1094" s="6">
        <v>0</v>
      </c>
      <c r="T1094" s="6">
        <v>63</v>
      </c>
      <c r="U1094" s="6">
        <v>91</v>
      </c>
      <c r="V1094" s="6">
        <f>IF(ISERROR(VLOOKUP($S$1094,'TAR FIN'!$A$1:$O$113,15,0)),0,VLOOKUP($S$1094,'TAR FIN'!$A$1:$O$113,15,0))</f>
        <v>0</v>
      </c>
      <c r="W1094" s="6">
        <f>IF(ISERROR(VLOOKUP($T$1094,'TAR FIN'!$A$1:$O$113,15,0)),0,VLOOKUP($T$1094,'TAR FIN'!$A$1:$O$113,15,0))</f>
        <v>300.3</v>
      </c>
      <c r="X1094" s="6">
        <f>IF(ISERROR(VLOOKUP($U$1094,'TAR FIN'!$A$1:$O$113,15,0)),0,VLOOKUP($U$1094,'TAR FIN'!$A$1:$O$113,15,0))</f>
        <v>292.36</v>
      </c>
      <c r="Y1094" s="6"/>
      <c r="Z1094" s="6">
        <f ca="1">('TUSD BE'!$AM$68+'TUSD BF_350'!$AM$68+'TUSD CVA'!$AM$68)*1</f>
        <v>409.13</v>
      </c>
      <c r="AA1094" s="6">
        <f ca="1">('TE BE'!$AB$46+'TE BF_350'!$AB$46+'TE CVA'!$AB$46)*1</f>
        <v>244</v>
      </c>
      <c r="AB1094" s="6">
        <f>$K$1094*$V$1094</f>
        <v>0</v>
      </c>
      <c r="AC1094" s="6">
        <f>$M$1094*$W$1094</f>
        <v>4755.8510999999999</v>
      </c>
      <c r="AD1094" s="6">
        <f>$O$1094*$X$1094</f>
        <v>4630.1053200000006</v>
      </c>
      <c r="AE1094" s="6">
        <f>$K$1094*$Y$1094</f>
        <v>0</v>
      </c>
      <c r="AF1094" s="6">
        <f ca="1">$M$1094*$Z$1094</f>
        <v>6479.3918100000001</v>
      </c>
      <c r="AG1094" s="6">
        <f ca="1">$O$1094*$AA$1094</f>
        <v>3864.2280000000001</v>
      </c>
    </row>
    <row r="1095" spans="1:33" ht="11.25" customHeight="1" x14ac:dyDescent="0.3">
      <c r="A1095" s="4" t="s">
        <v>21</v>
      </c>
      <c r="B1095" s="4" t="s">
        <v>37</v>
      </c>
      <c r="C1095" s="4" t="s">
        <v>23</v>
      </c>
      <c r="D1095" s="4" t="s">
        <v>38</v>
      </c>
      <c r="E1095" s="4" t="s">
        <v>25</v>
      </c>
      <c r="F1095" s="4" t="s">
        <v>25</v>
      </c>
      <c r="G1095" s="4" t="s">
        <v>25</v>
      </c>
      <c r="H1095" s="4" t="s">
        <v>25</v>
      </c>
      <c r="I1095" s="5">
        <v>44501</v>
      </c>
      <c r="J1095" s="6">
        <v>0</v>
      </c>
      <c r="K1095" s="6">
        <v>0</v>
      </c>
      <c r="L1095" s="6">
        <v>185.97800000000001</v>
      </c>
      <c r="M1095" s="6">
        <v>185.97800000000001</v>
      </c>
      <c r="N1095" s="6">
        <v>185.97800000000001</v>
      </c>
      <c r="O1095" s="6">
        <v>185.97800000000001</v>
      </c>
      <c r="P1095" s="6">
        <v>144</v>
      </c>
      <c r="Q1095" s="4" t="s">
        <v>26</v>
      </c>
      <c r="R1095" s="4">
        <v>0</v>
      </c>
      <c r="S1095" s="6">
        <v>0</v>
      </c>
      <c r="T1095" s="6">
        <v>63</v>
      </c>
      <c r="U1095" s="6">
        <v>91</v>
      </c>
      <c r="V1095" s="6">
        <f>IF(ISERROR(VLOOKUP($S$1095,'TAR FIN'!$A$1:$O$113,15,0)),0,VLOOKUP($S$1095,'TAR FIN'!$A$1:$O$113,15,0))</f>
        <v>0</v>
      </c>
      <c r="W1095" s="6">
        <f>IF(ISERROR(VLOOKUP($T$1095,'TAR FIN'!$A$1:$O$113,15,0)),0,VLOOKUP($T$1095,'TAR FIN'!$A$1:$O$113,15,0))</f>
        <v>300.3</v>
      </c>
      <c r="X1095" s="6">
        <f>IF(ISERROR(VLOOKUP($U$1095,'TAR FIN'!$A$1:$O$113,15,0)),0,VLOOKUP($U$1095,'TAR FIN'!$A$1:$O$113,15,0))</f>
        <v>292.36</v>
      </c>
      <c r="Y1095" s="6"/>
      <c r="Z1095" s="6">
        <f ca="1">('TUSD BE'!$AM$68+'TUSD BF_350'!$AM$68+'TUSD CVA'!$AM$68)*1</f>
        <v>409.13</v>
      </c>
      <c r="AA1095" s="6">
        <f ca="1">('TE BE'!$AB$46+'TE BF_350'!$AB$46+'TE CVA'!$AB$46)*1</f>
        <v>244</v>
      </c>
      <c r="AB1095" s="6">
        <f>$K$1095*$V$1095</f>
        <v>0</v>
      </c>
      <c r="AC1095" s="6">
        <f>$M$1095*$W$1095</f>
        <v>55849.193400000004</v>
      </c>
      <c r="AD1095" s="6">
        <f>$O$1095*$X$1095</f>
        <v>54372.528080000004</v>
      </c>
      <c r="AE1095" s="6">
        <f>$K$1095*$Y$1095</f>
        <v>0</v>
      </c>
      <c r="AF1095" s="6">
        <f ca="1">$M$1095*$Z$1095</f>
        <v>76089.179140000007</v>
      </c>
      <c r="AG1095" s="6">
        <f ca="1">$O$1095*$AA$1095</f>
        <v>45378.632000000005</v>
      </c>
    </row>
    <row r="1096" spans="1:33" ht="11.25" customHeight="1" x14ac:dyDescent="0.3">
      <c r="A1096" s="4" t="s">
        <v>28</v>
      </c>
      <c r="B1096" s="4" t="s">
        <v>37</v>
      </c>
      <c r="C1096" s="4" t="s">
        <v>23</v>
      </c>
      <c r="D1096" s="4" t="s">
        <v>38</v>
      </c>
      <c r="E1096" s="4" t="s">
        <v>25</v>
      </c>
      <c r="F1096" s="4" t="s">
        <v>25</v>
      </c>
      <c r="G1096" s="4" t="s">
        <v>25</v>
      </c>
      <c r="H1096" s="4" t="s">
        <v>25</v>
      </c>
      <c r="I1096" s="5">
        <v>44501</v>
      </c>
      <c r="J1096" s="6">
        <v>0</v>
      </c>
      <c r="K1096" s="6">
        <v>0</v>
      </c>
      <c r="L1096" s="6">
        <v>3.1480000000000001</v>
      </c>
      <c r="M1096" s="6">
        <v>3.1480000000000001</v>
      </c>
      <c r="N1096" s="6">
        <v>3.1480000000000001</v>
      </c>
      <c r="O1096" s="6">
        <v>3.1480000000000001</v>
      </c>
      <c r="P1096" s="6">
        <v>3</v>
      </c>
      <c r="Q1096" s="4" t="s">
        <v>26</v>
      </c>
      <c r="R1096" s="4">
        <v>0</v>
      </c>
      <c r="S1096" s="6">
        <v>0</v>
      </c>
      <c r="T1096" s="6">
        <v>63</v>
      </c>
      <c r="U1096" s="6">
        <v>91</v>
      </c>
      <c r="V1096" s="6">
        <f>IF(ISERROR(VLOOKUP($S$1096,'TAR FIN'!$A$1:$O$113,15,0)),0,VLOOKUP($S$1096,'TAR FIN'!$A$1:$O$113,15,0))</f>
        <v>0</v>
      </c>
      <c r="W1096" s="6">
        <f>IF(ISERROR(VLOOKUP($T$1096,'TAR FIN'!$A$1:$O$113,15,0)),0,VLOOKUP($T$1096,'TAR FIN'!$A$1:$O$113,15,0))</f>
        <v>300.3</v>
      </c>
      <c r="X1096" s="6">
        <f>IF(ISERROR(VLOOKUP($U$1096,'TAR FIN'!$A$1:$O$113,15,0)),0,VLOOKUP($U$1096,'TAR FIN'!$A$1:$O$113,15,0))</f>
        <v>292.36</v>
      </c>
      <c r="Y1096" s="6"/>
      <c r="Z1096" s="6">
        <f ca="1">('TUSD BE'!$AM$68+'TUSD BF_350'!$AM$68+'TUSD CVA'!$AM$68)*1</f>
        <v>409.13</v>
      </c>
      <c r="AA1096" s="6">
        <f ca="1">('TE BE'!$AB$46+'TE BF_350'!$AB$46+'TE CVA'!$AB$46)*1</f>
        <v>244</v>
      </c>
      <c r="AB1096" s="6">
        <f>$K$1096*$V$1096</f>
        <v>0</v>
      </c>
      <c r="AC1096" s="6">
        <f>$M$1096*$W$1096</f>
        <v>945.34440000000006</v>
      </c>
      <c r="AD1096" s="6">
        <f>$O$1096*$X$1096</f>
        <v>920.34928000000014</v>
      </c>
      <c r="AE1096" s="6">
        <f>$K$1096*$Y$1096</f>
        <v>0</v>
      </c>
      <c r="AF1096" s="6">
        <f ca="1">$M$1096*$Z$1096</f>
        <v>1287.9412400000001</v>
      </c>
      <c r="AG1096" s="6">
        <f ca="1">$O$1096*$AA$1096</f>
        <v>768.11200000000008</v>
      </c>
    </row>
    <row r="1097" spans="1:33" ht="11.25" customHeight="1" x14ac:dyDescent="0.3">
      <c r="A1097" s="4" t="s">
        <v>21</v>
      </c>
      <c r="B1097" s="4" t="s">
        <v>37</v>
      </c>
      <c r="C1097" s="4" t="s">
        <v>23</v>
      </c>
      <c r="D1097" s="4" t="s">
        <v>38</v>
      </c>
      <c r="E1097" s="4" t="s">
        <v>25</v>
      </c>
      <c r="F1097" s="4" t="s">
        <v>25</v>
      </c>
      <c r="G1097" s="4" t="s">
        <v>25</v>
      </c>
      <c r="H1097" s="4" t="s">
        <v>25</v>
      </c>
      <c r="I1097" s="5">
        <v>44531</v>
      </c>
      <c r="J1097" s="6">
        <v>0</v>
      </c>
      <c r="K1097" s="6">
        <v>0</v>
      </c>
      <c r="L1097" s="6">
        <v>185.14599999999999</v>
      </c>
      <c r="M1097" s="6">
        <v>185.14599999999999</v>
      </c>
      <c r="N1097" s="6">
        <v>185.14599999999999</v>
      </c>
      <c r="O1097" s="6">
        <v>185.14599999999999</v>
      </c>
      <c r="P1097" s="6">
        <v>144</v>
      </c>
      <c r="Q1097" s="4" t="s">
        <v>26</v>
      </c>
      <c r="R1097" s="4">
        <v>0</v>
      </c>
      <c r="S1097" s="6">
        <v>0</v>
      </c>
      <c r="T1097" s="6">
        <v>63</v>
      </c>
      <c r="U1097" s="6">
        <v>91</v>
      </c>
      <c r="V1097" s="6">
        <f>IF(ISERROR(VLOOKUP($S$1097,'TAR FIN'!$A$1:$O$113,15,0)),0,VLOOKUP($S$1097,'TAR FIN'!$A$1:$O$113,15,0))</f>
        <v>0</v>
      </c>
      <c r="W1097" s="6">
        <f>IF(ISERROR(VLOOKUP($T$1097,'TAR FIN'!$A$1:$O$113,15,0)),0,VLOOKUP($T$1097,'TAR FIN'!$A$1:$O$113,15,0))</f>
        <v>300.3</v>
      </c>
      <c r="X1097" s="6">
        <f>IF(ISERROR(VLOOKUP($U$1097,'TAR FIN'!$A$1:$O$113,15,0)),0,VLOOKUP($U$1097,'TAR FIN'!$A$1:$O$113,15,0))</f>
        <v>292.36</v>
      </c>
      <c r="Y1097" s="6"/>
      <c r="Z1097" s="6">
        <f ca="1">('TUSD BE'!$AM$68+'TUSD BF_350'!$AM$68+'TUSD CVA'!$AM$68)*1</f>
        <v>409.13</v>
      </c>
      <c r="AA1097" s="6">
        <f ca="1">('TE BE'!$AB$46+'TE BF_350'!$AB$46+'TE CVA'!$AB$46)*1</f>
        <v>244</v>
      </c>
      <c r="AB1097" s="6">
        <f>$K$1097*$V$1097</f>
        <v>0</v>
      </c>
      <c r="AC1097" s="6">
        <f>$M$1097*$W$1097</f>
        <v>55599.343799999995</v>
      </c>
      <c r="AD1097" s="6">
        <f>$O$1097*$X$1097</f>
        <v>54129.28456</v>
      </c>
      <c r="AE1097" s="6">
        <f>$K$1097*$Y$1097</f>
        <v>0</v>
      </c>
      <c r="AF1097" s="6">
        <f ca="1">$M$1097*$Z$1097</f>
        <v>75748.782979999989</v>
      </c>
      <c r="AG1097" s="6">
        <f ca="1">$O$1097*$AA$1097</f>
        <v>45175.623999999996</v>
      </c>
    </row>
    <row r="1098" spans="1:33" ht="11.25" customHeight="1" x14ac:dyDescent="0.3">
      <c r="A1098" s="4" t="s">
        <v>28</v>
      </c>
      <c r="B1098" s="4" t="s">
        <v>37</v>
      </c>
      <c r="C1098" s="4" t="s">
        <v>23</v>
      </c>
      <c r="D1098" s="4" t="s">
        <v>38</v>
      </c>
      <c r="E1098" s="4" t="s">
        <v>25</v>
      </c>
      <c r="F1098" s="4" t="s">
        <v>25</v>
      </c>
      <c r="G1098" s="4" t="s">
        <v>25</v>
      </c>
      <c r="H1098" s="4" t="s">
        <v>25</v>
      </c>
      <c r="I1098" s="5">
        <v>44531</v>
      </c>
      <c r="J1098" s="6">
        <v>0</v>
      </c>
      <c r="K1098" s="6">
        <v>0</v>
      </c>
      <c r="L1098" s="6">
        <v>4.4740000000000002</v>
      </c>
      <c r="M1098" s="6">
        <v>4.4740000000000002</v>
      </c>
      <c r="N1098" s="6">
        <v>4.4740000000000002</v>
      </c>
      <c r="O1098" s="6">
        <v>4.4740000000000002</v>
      </c>
      <c r="P1098" s="6">
        <v>3</v>
      </c>
      <c r="Q1098" s="4" t="s">
        <v>26</v>
      </c>
      <c r="R1098" s="4">
        <v>0</v>
      </c>
      <c r="S1098" s="6">
        <v>0</v>
      </c>
      <c r="T1098" s="6">
        <v>63</v>
      </c>
      <c r="U1098" s="6">
        <v>91</v>
      </c>
      <c r="V1098" s="6">
        <f>IF(ISERROR(VLOOKUP($S$1098,'TAR FIN'!$A$1:$O$113,15,0)),0,VLOOKUP($S$1098,'TAR FIN'!$A$1:$O$113,15,0))</f>
        <v>0</v>
      </c>
      <c r="W1098" s="6">
        <f>IF(ISERROR(VLOOKUP($T$1098,'TAR FIN'!$A$1:$O$113,15,0)),0,VLOOKUP($T$1098,'TAR FIN'!$A$1:$O$113,15,0))</f>
        <v>300.3</v>
      </c>
      <c r="X1098" s="6">
        <f>IF(ISERROR(VLOOKUP($U$1098,'TAR FIN'!$A$1:$O$113,15,0)),0,VLOOKUP($U$1098,'TAR FIN'!$A$1:$O$113,15,0))</f>
        <v>292.36</v>
      </c>
      <c r="Y1098" s="6"/>
      <c r="Z1098" s="6">
        <f ca="1">('TUSD BE'!$AM$68+'TUSD BF_350'!$AM$68+'TUSD CVA'!$AM$68)*1</f>
        <v>409.13</v>
      </c>
      <c r="AA1098" s="6">
        <f ca="1">('TE BE'!$AB$46+'TE BF_350'!$AB$46+'TE CVA'!$AB$46)*1</f>
        <v>244</v>
      </c>
      <c r="AB1098" s="6">
        <f>$K$1098*$V$1098</f>
        <v>0</v>
      </c>
      <c r="AC1098" s="6">
        <f>$M$1098*$W$1098</f>
        <v>1343.5422000000001</v>
      </c>
      <c r="AD1098" s="6">
        <f>$O$1098*$X$1098</f>
        <v>1308.0186400000002</v>
      </c>
      <c r="AE1098" s="6">
        <f>$K$1098*$Y$1098</f>
        <v>0</v>
      </c>
      <c r="AF1098" s="6">
        <f ca="1">$M$1098*$Z$1098</f>
        <v>1830.4476200000001</v>
      </c>
      <c r="AG1098" s="6">
        <f ca="1">$O$1098*$AA$1098</f>
        <v>1091.6559999999999</v>
      </c>
    </row>
    <row r="1099" spans="1:33" ht="11.25" customHeight="1" x14ac:dyDescent="0.3">
      <c r="A1099" s="4" t="s">
        <v>21</v>
      </c>
      <c r="B1099" s="4" t="s">
        <v>37</v>
      </c>
      <c r="C1099" s="4" t="s">
        <v>23</v>
      </c>
      <c r="D1099" s="4" t="s">
        <v>38</v>
      </c>
      <c r="E1099" s="4" t="s">
        <v>25</v>
      </c>
      <c r="F1099" s="4" t="s">
        <v>25</v>
      </c>
      <c r="G1099" s="4" t="s">
        <v>25</v>
      </c>
      <c r="H1099" s="4" t="s">
        <v>25</v>
      </c>
      <c r="I1099" s="5">
        <v>44562</v>
      </c>
      <c r="J1099" s="6">
        <v>0</v>
      </c>
      <c r="K1099" s="6">
        <v>0</v>
      </c>
      <c r="L1099" s="6">
        <v>178.929</v>
      </c>
      <c r="M1099" s="6">
        <v>178.929</v>
      </c>
      <c r="N1099" s="6">
        <v>178.929</v>
      </c>
      <c r="O1099" s="6">
        <v>178.929</v>
      </c>
      <c r="P1099" s="6">
        <v>142</v>
      </c>
      <c r="Q1099" s="4" t="s">
        <v>26</v>
      </c>
      <c r="R1099" s="4">
        <v>0</v>
      </c>
      <c r="S1099" s="6">
        <v>0</v>
      </c>
      <c r="T1099" s="6">
        <v>63</v>
      </c>
      <c r="U1099" s="6">
        <v>91</v>
      </c>
      <c r="V1099" s="6">
        <f>IF(ISERROR(VLOOKUP($S$1099,'TAR FIN'!$A$1:$O$113,15,0)),0,VLOOKUP($S$1099,'TAR FIN'!$A$1:$O$113,15,0))</f>
        <v>0</v>
      </c>
      <c r="W1099" s="6">
        <f>IF(ISERROR(VLOOKUP($T$1099,'TAR FIN'!$A$1:$O$113,15,0)),0,VLOOKUP($T$1099,'TAR FIN'!$A$1:$O$113,15,0))</f>
        <v>300.3</v>
      </c>
      <c r="X1099" s="6">
        <f>IF(ISERROR(VLOOKUP($U$1099,'TAR FIN'!$A$1:$O$113,15,0)),0,VLOOKUP($U$1099,'TAR FIN'!$A$1:$O$113,15,0))</f>
        <v>292.36</v>
      </c>
      <c r="Y1099" s="6"/>
      <c r="Z1099" s="6">
        <f ca="1">('TUSD BE'!$AM$68+'TUSD BF_350'!$AM$68+'TUSD CVA'!$AM$68)*1</f>
        <v>409.13</v>
      </c>
      <c r="AA1099" s="6">
        <f ca="1">('TE BE'!$AB$46+'TE BF_350'!$AB$46+'TE CVA'!$AB$46)*1</f>
        <v>244</v>
      </c>
      <c r="AB1099" s="6">
        <f>$K$1099*$V$1099</f>
        <v>0</v>
      </c>
      <c r="AC1099" s="6">
        <f>$M$1099*$W$1099</f>
        <v>53732.378700000001</v>
      </c>
      <c r="AD1099" s="6">
        <f>$O$1099*$X$1099</f>
        <v>52311.682440000004</v>
      </c>
      <c r="AE1099" s="6">
        <f>$K$1099*$Y$1099</f>
        <v>0</v>
      </c>
      <c r="AF1099" s="6">
        <f ca="1">$M$1099*$Z$1099</f>
        <v>73205.221770000004</v>
      </c>
      <c r="AG1099" s="6">
        <f ca="1">$O$1099*$AA$1099</f>
        <v>43658.675999999999</v>
      </c>
    </row>
    <row r="1100" spans="1:33" ht="11.25" customHeight="1" x14ac:dyDescent="0.3">
      <c r="A1100" s="4" t="s">
        <v>28</v>
      </c>
      <c r="B1100" s="4" t="s">
        <v>37</v>
      </c>
      <c r="C1100" s="4" t="s">
        <v>23</v>
      </c>
      <c r="D1100" s="4" t="s">
        <v>38</v>
      </c>
      <c r="E1100" s="4" t="s">
        <v>25</v>
      </c>
      <c r="F1100" s="4" t="s">
        <v>25</v>
      </c>
      <c r="G1100" s="4" t="s">
        <v>25</v>
      </c>
      <c r="H1100" s="4" t="s">
        <v>25</v>
      </c>
      <c r="I1100" s="5">
        <v>44562</v>
      </c>
      <c r="J1100" s="6">
        <v>0</v>
      </c>
      <c r="K1100" s="6">
        <v>0</v>
      </c>
      <c r="L1100" s="6">
        <v>5.4130000000000003</v>
      </c>
      <c r="M1100" s="6">
        <v>5.4130000000000003</v>
      </c>
      <c r="N1100" s="6">
        <v>5.4130000000000003</v>
      </c>
      <c r="O1100" s="6">
        <v>5.4130000000000003</v>
      </c>
      <c r="P1100" s="6">
        <v>3</v>
      </c>
      <c r="Q1100" s="4" t="s">
        <v>26</v>
      </c>
      <c r="R1100" s="4">
        <v>0</v>
      </c>
      <c r="S1100" s="6">
        <v>0</v>
      </c>
      <c r="T1100" s="6">
        <v>63</v>
      </c>
      <c r="U1100" s="6">
        <v>91</v>
      </c>
      <c r="V1100" s="6">
        <f>IF(ISERROR(VLOOKUP($S$1100,'TAR FIN'!$A$1:$O$113,15,0)),0,VLOOKUP($S$1100,'TAR FIN'!$A$1:$O$113,15,0))</f>
        <v>0</v>
      </c>
      <c r="W1100" s="6">
        <f>IF(ISERROR(VLOOKUP($T$1100,'TAR FIN'!$A$1:$O$113,15,0)),0,VLOOKUP($T$1100,'TAR FIN'!$A$1:$O$113,15,0))</f>
        <v>300.3</v>
      </c>
      <c r="X1100" s="6">
        <f>IF(ISERROR(VLOOKUP($U$1100,'TAR FIN'!$A$1:$O$113,15,0)),0,VLOOKUP($U$1100,'TAR FIN'!$A$1:$O$113,15,0))</f>
        <v>292.36</v>
      </c>
      <c r="Y1100" s="6"/>
      <c r="Z1100" s="6">
        <f ca="1">('TUSD BE'!$AM$68+'TUSD BF_350'!$AM$68+'TUSD CVA'!$AM$68)*1</f>
        <v>409.13</v>
      </c>
      <c r="AA1100" s="6">
        <f ca="1">('TE BE'!$AB$46+'TE BF_350'!$AB$46+'TE CVA'!$AB$46)*1</f>
        <v>244</v>
      </c>
      <c r="AB1100" s="6">
        <f>$K$1100*$V$1100</f>
        <v>0</v>
      </c>
      <c r="AC1100" s="6">
        <f>$M$1100*$W$1100</f>
        <v>1625.5239000000001</v>
      </c>
      <c r="AD1100" s="6">
        <f>$O$1100*$X$1100</f>
        <v>1582.5446800000002</v>
      </c>
      <c r="AE1100" s="6">
        <f>$K$1100*$Y$1100</f>
        <v>0</v>
      </c>
      <c r="AF1100" s="6">
        <f ca="1">$M$1100*$Z$1100</f>
        <v>2214.6206900000002</v>
      </c>
      <c r="AG1100" s="6">
        <f ca="1">$O$1100*$AA$1100</f>
        <v>1320.7720000000002</v>
      </c>
    </row>
    <row r="1101" spans="1:33" ht="11.25" customHeight="1" x14ac:dyDescent="0.3">
      <c r="A1101" s="4" t="s">
        <v>21</v>
      </c>
      <c r="B1101" s="4" t="s">
        <v>37</v>
      </c>
      <c r="C1101" s="4" t="s">
        <v>23</v>
      </c>
      <c r="D1101" s="4" t="s">
        <v>38</v>
      </c>
      <c r="E1101" s="4" t="s">
        <v>25</v>
      </c>
      <c r="F1101" s="4" t="s">
        <v>25</v>
      </c>
      <c r="G1101" s="4" t="s">
        <v>25</v>
      </c>
      <c r="H1101" s="4" t="s">
        <v>25</v>
      </c>
      <c r="I1101" s="5">
        <v>44593</v>
      </c>
      <c r="J1101" s="6">
        <v>0</v>
      </c>
      <c r="K1101" s="6">
        <v>0</v>
      </c>
      <c r="L1101" s="6">
        <v>175.19499999999999</v>
      </c>
      <c r="M1101" s="6">
        <v>175.19499999999999</v>
      </c>
      <c r="N1101" s="6">
        <v>175.19499999999999</v>
      </c>
      <c r="O1101" s="6">
        <v>175.19499999999999</v>
      </c>
      <c r="P1101" s="6">
        <v>143</v>
      </c>
      <c r="Q1101" s="4" t="s">
        <v>26</v>
      </c>
      <c r="R1101" s="4">
        <v>0</v>
      </c>
      <c r="S1101" s="6">
        <v>0</v>
      </c>
      <c r="T1101" s="6">
        <v>63</v>
      </c>
      <c r="U1101" s="6">
        <v>91</v>
      </c>
      <c r="V1101" s="6">
        <f>IF(ISERROR(VLOOKUP($S$1101,'TAR FIN'!$A$1:$O$113,15,0)),0,VLOOKUP($S$1101,'TAR FIN'!$A$1:$O$113,15,0))</f>
        <v>0</v>
      </c>
      <c r="W1101" s="6">
        <f>IF(ISERROR(VLOOKUP($T$1101,'TAR FIN'!$A$1:$O$113,15,0)),0,VLOOKUP($T$1101,'TAR FIN'!$A$1:$O$113,15,0))</f>
        <v>300.3</v>
      </c>
      <c r="X1101" s="6">
        <f>IF(ISERROR(VLOOKUP($U$1101,'TAR FIN'!$A$1:$O$113,15,0)),0,VLOOKUP($U$1101,'TAR FIN'!$A$1:$O$113,15,0))</f>
        <v>292.36</v>
      </c>
      <c r="Y1101" s="6"/>
      <c r="Z1101" s="6">
        <f ca="1">('TUSD BE'!$AM$68+'TUSD BF_350'!$AM$68+'TUSD CVA'!$AM$68)*1</f>
        <v>409.13</v>
      </c>
      <c r="AA1101" s="6">
        <f ca="1">('TE BE'!$AB$46+'TE BF_350'!$AB$46+'TE CVA'!$AB$46)*1</f>
        <v>244</v>
      </c>
      <c r="AB1101" s="6">
        <f>$K$1101*$V$1101</f>
        <v>0</v>
      </c>
      <c r="AC1101" s="6">
        <f>$M$1101*$W$1101</f>
        <v>52611.058499999999</v>
      </c>
      <c r="AD1101" s="6">
        <f>$O$1101*$X$1101</f>
        <v>51220.010199999997</v>
      </c>
      <c r="AE1101" s="6">
        <f>$K$1101*$Y$1101</f>
        <v>0</v>
      </c>
      <c r="AF1101" s="6">
        <f ca="1">$M$1101*$Z$1101</f>
        <v>71677.530350000001</v>
      </c>
      <c r="AG1101" s="6">
        <f ca="1">$O$1101*$AA$1101</f>
        <v>42747.58</v>
      </c>
    </row>
    <row r="1102" spans="1:33" ht="11.25" customHeight="1" x14ac:dyDescent="0.3">
      <c r="A1102" s="4" t="s">
        <v>27</v>
      </c>
      <c r="B1102" s="4" t="s">
        <v>37</v>
      </c>
      <c r="C1102" s="4" t="s">
        <v>23</v>
      </c>
      <c r="D1102" s="4" t="s">
        <v>38</v>
      </c>
      <c r="E1102" s="4" t="s">
        <v>25</v>
      </c>
      <c r="F1102" s="4" t="s">
        <v>25</v>
      </c>
      <c r="G1102" s="4" t="s">
        <v>25</v>
      </c>
      <c r="H1102" s="4" t="s">
        <v>25</v>
      </c>
      <c r="I1102" s="5">
        <v>44593</v>
      </c>
      <c r="J1102" s="6">
        <v>0</v>
      </c>
      <c r="K1102" s="6">
        <v>0</v>
      </c>
      <c r="L1102" s="6">
        <v>-1.55</v>
      </c>
      <c r="M1102" s="6">
        <v>-1.55</v>
      </c>
      <c r="N1102" s="6">
        <v>-1.55</v>
      </c>
      <c r="O1102" s="6">
        <v>-1.55</v>
      </c>
      <c r="P1102" s="6">
        <v>0</v>
      </c>
      <c r="Q1102" s="4" t="s">
        <v>26</v>
      </c>
      <c r="R1102" s="4">
        <v>0</v>
      </c>
      <c r="S1102" s="6">
        <v>0</v>
      </c>
      <c r="T1102" s="6">
        <v>63</v>
      </c>
      <c r="U1102" s="6">
        <v>91</v>
      </c>
      <c r="V1102" s="6">
        <f>IF(ISERROR(VLOOKUP($S$1102,'TAR FIN'!$A$1:$O$113,15,0)),0,VLOOKUP($S$1102,'TAR FIN'!$A$1:$O$113,15,0))</f>
        <v>0</v>
      </c>
      <c r="W1102" s="6">
        <f>IF(ISERROR(VLOOKUP($T$1102,'TAR FIN'!$A$1:$O$113,15,0)),0,VLOOKUP($T$1102,'TAR FIN'!$A$1:$O$113,15,0))</f>
        <v>300.3</v>
      </c>
      <c r="X1102" s="6">
        <f>IF(ISERROR(VLOOKUP($U$1102,'TAR FIN'!$A$1:$O$113,15,0)),0,VLOOKUP($U$1102,'TAR FIN'!$A$1:$O$113,15,0))</f>
        <v>292.36</v>
      </c>
      <c r="Y1102" s="6"/>
      <c r="Z1102" s="6">
        <f ca="1">('TUSD BE'!$AM$68+'TUSD BF_350'!$AM$68+'TUSD CVA'!$AM$68)*1</f>
        <v>409.13</v>
      </c>
      <c r="AA1102" s="6">
        <f ca="1">('TE BE'!$AB$46+'TE BF_350'!$AB$46+'TE CVA'!$AB$46)*1</f>
        <v>244</v>
      </c>
      <c r="AB1102" s="6">
        <f>$K$1102*$V$1102</f>
        <v>0</v>
      </c>
      <c r="AC1102" s="6">
        <f>$M$1102*$W$1102</f>
        <v>-465.46500000000003</v>
      </c>
      <c r="AD1102" s="6">
        <f>$O$1102*$X$1102</f>
        <v>-453.15800000000002</v>
      </c>
      <c r="AE1102" s="6">
        <f>$K$1102*$Y$1102</f>
        <v>0</v>
      </c>
      <c r="AF1102" s="6">
        <f ca="1">$M$1102*$Z$1102</f>
        <v>-634.15150000000006</v>
      </c>
      <c r="AG1102" s="6">
        <f ca="1">$O$1102*$AA$1102</f>
        <v>-378.2</v>
      </c>
    </row>
    <row r="1103" spans="1:33" ht="11.25" customHeight="1" x14ac:dyDescent="0.3">
      <c r="A1103" s="4" t="s">
        <v>28</v>
      </c>
      <c r="B1103" s="4" t="s">
        <v>37</v>
      </c>
      <c r="C1103" s="4" t="s">
        <v>23</v>
      </c>
      <c r="D1103" s="4" t="s">
        <v>38</v>
      </c>
      <c r="E1103" s="4" t="s">
        <v>25</v>
      </c>
      <c r="F1103" s="4" t="s">
        <v>25</v>
      </c>
      <c r="G1103" s="4" t="s">
        <v>25</v>
      </c>
      <c r="H1103" s="4" t="s">
        <v>25</v>
      </c>
      <c r="I1103" s="5">
        <v>44593</v>
      </c>
      <c r="J1103" s="6">
        <v>0</v>
      </c>
      <c r="K1103" s="6">
        <v>0</v>
      </c>
      <c r="L1103" s="6">
        <v>4.7309999999999999</v>
      </c>
      <c r="M1103" s="6">
        <v>4.7309999999999999</v>
      </c>
      <c r="N1103" s="6">
        <v>4.7309999999999999</v>
      </c>
      <c r="O1103" s="6">
        <v>4.7309999999999999</v>
      </c>
      <c r="P1103" s="6">
        <v>3</v>
      </c>
      <c r="Q1103" s="4" t="s">
        <v>26</v>
      </c>
      <c r="R1103" s="4">
        <v>0</v>
      </c>
      <c r="S1103" s="6">
        <v>0</v>
      </c>
      <c r="T1103" s="6">
        <v>63</v>
      </c>
      <c r="U1103" s="6">
        <v>91</v>
      </c>
      <c r="V1103" s="6">
        <f>IF(ISERROR(VLOOKUP($S$1103,'TAR FIN'!$A$1:$O$113,15,0)),0,VLOOKUP($S$1103,'TAR FIN'!$A$1:$O$113,15,0))</f>
        <v>0</v>
      </c>
      <c r="W1103" s="6">
        <f>IF(ISERROR(VLOOKUP($T$1103,'TAR FIN'!$A$1:$O$113,15,0)),0,VLOOKUP($T$1103,'TAR FIN'!$A$1:$O$113,15,0))</f>
        <v>300.3</v>
      </c>
      <c r="X1103" s="6">
        <f>IF(ISERROR(VLOOKUP($U$1103,'TAR FIN'!$A$1:$O$113,15,0)),0,VLOOKUP($U$1103,'TAR FIN'!$A$1:$O$113,15,0))</f>
        <v>292.36</v>
      </c>
      <c r="Y1103" s="6"/>
      <c r="Z1103" s="6">
        <f ca="1">('TUSD BE'!$AM$68+'TUSD BF_350'!$AM$68+'TUSD CVA'!$AM$68)*1</f>
        <v>409.13</v>
      </c>
      <c r="AA1103" s="6">
        <f ca="1">('TE BE'!$AB$46+'TE BF_350'!$AB$46+'TE CVA'!$AB$46)*1</f>
        <v>244</v>
      </c>
      <c r="AB1103" s="6">
        <f>$K$1103*$V$1103</f>
        <v>0</v>
      </c>
      <c r="AC1103" s="6">
        <f>$M$1103*$W$1103</f>
        <v>1420.7193</v>
      </c>
      <c r="AD1103" s="6">
        <f>$O$1103*$X$1103</f>
        <v>1383.15516</v>
      </c>
      <c r="AE1103" s="6">
        <f>$K$1103*$Y$1103</f>
        <v>0</v>
      </c>
      <c r="AF1103" s="6">
        <f ca="1">$M$1103*$Z$1103</f>
        <v>1935.59403</v>
      </c>
      <c r="AG1103" s="6">
        <f ca="1">$O$1103*$AA$1103</f>
        <v>1154.364</v>
      </c>
    </row>
    <row r="1104" spans="1:33" ht="11.25" customHeight="1" x14ac:dyDescent="0.3">
      <c r="A1104" s="4" t="s">
        <v>21</v>
      </c>
      <c r="B1104" s="4" t="s">
        <v>37</v>
      </c>
      <c r="C1104" s="4" t="s">
        <v>23</v>
      </c>
      <c r="D1104" s="4" t="s">
        <v>38</v>
      </c>
      <c r="E1104" s="4" t="s">
        <v>25</v>
      </c>
      <c r="F1104" s="4" t="s">
        <v>25</v>
      </c>
      <c r="G1104" s="4" t="s">
        <v>25</v>
      </c>
      <c r="H1104" s="4" t="s">
        <v>25</v>
      </c>
      <c r="I1104" s="5">
        <v>44621</v>
      </c>
      <c r="J1104" s="6">
        <v>0</v>
      </c>
      <c r="K1104" s="6">
        <v>0</v>
      </c>
      <c r="L1104" s="6">
        <v>188.96199999999999</v>
      </c>
      <c r="M1104" s="6">
        <v>188.96199999999999</v>
      </c>
      <c r="N1104" s="6">
        <v>188.96199999999999</v>
      </c>
      <c r="O1104" s="6">
        <v>188.96199999999999</v>
      </c>
      <c r="P1104" s="6">
        <v>142</v>
      </c>
      <c r="Q1104" s="4" t="s">
        <v>26</v>
      </c>
      <c r="R1104" s="4">
        <v>0</v>
      </c>
      <c r="S1104" s="6">
        <v>0</v>
      </c>
      <c r="T1104" s="6">
        <v>63</v>
      </c>
      <c r="U1104" s="6">
        <v>91</v>
      </c>
      <c r="V1104" s="6">
        <f>IF(ISERROR(VLOOKUP($S$1104,'TAR FIN'!$A$1:$O$113,15,0)),0,VLOOKUP($S$1104,'TAR FIN'!$A$1:$O$113,15,0))</f>
        <v>0</v>
      </c>
      <c r="W1104" s="6">
        <f>IF(ISERROR(VLOOKUP($T$1104,'TAR FIN'!$A$1:$O$113,15,0)),0,VLOOKUP($T$1104,'TAR FIN'!$A$1:$O$113,15,0))</f>
        <v>300.3</v>
      </c>
      <c r="X1104" s="6">
        <f>IF(ISERROR(VLOOKUP($U$1104,'TAR FIN'!$A$1:$O$113,15,0)),0,VLOOKUP($U$1104,'TAR FIN'!$A$1:$O$113,15,0))</f>
        <v>292.36</v>
      </c>
      <c r="Y1104" s="6"/>
      <c r="Z1104" s="6">
        <f ca="1">('TUSD BE'!$AM$68+'TUSD BF_350'!$AM$68+'TUSD CVA'!$AM$68)*1</f>
        <v>409.13</v>
      </c>
      <c r="AA1104" s="6">
        <f ca="1">('TE BE'!$AB$46+'TE BF_350'!$AB$46+'TE CVA'!$AB$46)*1</f>
        <v>244</v>
      </c>
      <c r="AB1104" s="6">
        <f>$K$1104*$V$1104</f>
        <v>0</v>
      </c>
      <c r="AC1104" s="6">
        <f>$M$1104*$W$1104</f>
        <v>56745.2886</v>
      </c>
      <c r="AD1104" s="6">
        <f>$O$1104*$X$1104</f>
        <v>55244.930319999999</v>
      </c>
      <c r="AE1104" s="6">
        <f>$K$1104*$Y$1104</f>
        <v>0</v>
      </c>
      <c r="AF1104" s="6">
        <f ca="1">$M$1104*$Z$1104</f>
        <v>77310.023059999992</v>
      </c>
      <c r="AG1104" s="6">
        <f ca="1">$O$1104*$AA$1104</f>
        <v>46106.727999999996</v>
      </c>
    </row>
    <row r="1105" spans="1:33" ht="11.25" customHeight="1" x14ac:dyDescent="0.3">
      <c r="A1105" s="4" t="s">
        <v>28</v>
      </c>
      <c r="B1105" s="4" t="s">
        <v>37</v>
      </c>
      <c r="C1105" s="4" t="s">
        <v>23</v>
      </c>
      <c r="D1105" s="4" t="s">
        <v>38</v>
      </c>
      <c r="E1105" s="4" t="s">
        <v>25</v>
      </c>
      <c r="F1105" s="4" t="s">
        <v>25</v>
      </c>
      <c r="G1105" s="4" t="s">
        <v>25</v>
      </c>
      <c r="H1105" s="4" t="s">
        <v>25</v>
      </c>
      <c r="I1105" s="5">
        <v>44621</v>
      </c>
      <c r="J1105" s="6">
        <v>0</v>
      </c>
      <c r="K1105" s="6">
        <v>0</v>
      </c>
      <c r="L1105" s="6">
        <v>5.1689999999999996</v>
      </c>
      <c r="M1105" s="6">
        <v>5.1689999999999996</v>
      </c>
      <c r="N1105" s="6">
        <v>5.1689999999999996</v>
      </c>
      <c r="O1105" s="6">
        <v>5.1689999999999996</v>
      </c>
      <c r="P1105" s="6">
        <v>3</v>
      </c>
      <c r="Q1105" s="4" t="s">
        <v>26</v>
      </c>
      <c r="R1105" s="4">
        <v>0</v>
      </c>
      <c r="S1105" s="6">
        <v>0</v>
      </c>
      <c r="T1105" s="6">
        <v>63</v>
      </c>
      <c r="U1105" s="6">
        <v>91</v>
      </c>
      <c r="V1105" s="6">
        <f>IF(ISERROR(VLOOKUP($S$1105,'TAR FIN'!$A$1:$O$113,15,0)),0,VLOOKUP($S$1105,'TAR FIN'!$A$1:$O$113,15,0))</f>
        <v>0</v>
      </c>
      <c r="W1105" s="6">
        <f>IF(ISERROR(VLOOKUP($T$1105,'TAR FIN'!$A$1:$O$113,15,0)),0,VLOOKUP($T$1105,'TAR FIN'!$A$1:$O$113,15,0))</f>
        <v>300.3</v>
      </c>
      <c r="X1105" s="6">
        <f>IF(ISERROR(VLOOKUP($U$1105,'TAR FIN'!$A$1:$O$113,15,0)),0,VLOOKUP($U$1105,'TAR FIN'!$A$1:$O$113,15,0))</f>
        <v>292.36</v>
      </c>
      <c r="Y1105" s="6"/>
      <c r="Z1105" s="6">
        <f ca="1">('TUSD BE'!$AM$68+'TUSD BF_350'!$AM$68+'TUSD CVA'!$AM$68)*1</f>
        <v>409.13</v>
      </c>
      <c r="AA1105" s="6">
        <f ca="1">('TE BE'!$AB$46+'TE BF_350'!$AB$46+'TE CVA'!$AB$46)*1</f>
        <v>244</v>
      </c>
      <c r="AB1105" s="6">
        <f>$K$1105*$V$1105</f>
        <v>0</v>
      </c>
      <c r="AC1105" s="6">
        <f>$M$1105*$W$1105</f>
        <v>1552.2506999999998</v>
      </c>
      <c r="AD1105" s="6">
        <f>$O$1105*$X$1105</f>
        <v>1511.20884</v>
      </c>
      <c r="AE1105" s="6">
        <f>$K$1105*$Y$1105</f>
        <v>0</v>
      </c>
      <c r="AF1105" s="6">
        <f ca="1">$M$1105*$Z$1105</f>
        <v>2114.79297</v>
      </c>
      <c r="AG1105" s="6">
        <f ca="1">$O$1105*$AA$1105</f>
        <v>1261.2359999999999</v>
      </c>
    </row>
    <row r="1106" spans="1:33" ht="11.25" customHeight="1" x14ac:dyDescent="0.3">
      <c r="A1106" s="4" t="s">
        <v>21</v>
      </c>
      <c r="B1106" s="4" t="s">
        <v>37</v>
      </c>
      <c r="C1106" s="4" t="s">
        <v>23</v>
      </c>
      <c r="D1106" s="4" t="s">
        <v>38</v>
      </c>
      <c r="E1106" s="4" t="s">
        <v>25</v>
      </c>
      <c r="F1106" s="4" t="s">
        <v>25</v>
      </c>
      <c r="G1106" s="4" t="s">
        <v>25</v>
      </c>
      <c r="H1106" s="4" t="s">
        <v>25</v>
      </c>
      <c r="I1106" s="5">
        <v>44652</v>
      </c>
      <c r="J1106" s="6">
        <v>0</v>
      </c>
      <c r="K1106" s="6">
        <v>0</v>
      </c>
      <c r="L1106" s="6">
        <v>189.744</v>
      </c>
      <c r="M1106" s="6">
        <v>189.744</v>
      </c>
      <c r="N1106" s="6">
        <v>189.744</v>
      </c>
      <c r="O1106" s="6">
        <v>189.744</v>
      </c>
      <c r="P1106" s="6">
        <v>141</v>
      </c>
      <c r="Q1106" s="4" t="s">
        <v>26</v>
      </c>
      <c r="R1106" s="4">
        <v>0</v>
      </c>
      <c r="S1106" s="6">
        <v>0</v>
      </c>
      <c r="T1106" s="6">
        <v>63</v>
      </c>
      <c r="U1106" s="6">
        <v>91</v>
      </c>
      <c r="V1106" s="6">
        <f>IF(ISERROR(VLOOKUP($S$1106,'TAR FIN'!$A$1:$O$113,15,0)),0,VLOOKUP($S$1106,'TAR FIN'!$A$1:$O$113,15,0))</f>
        <v>0</v>
      </c>
      <c r="W1106" s="6">
        <f>IF(ISERROR(VLOOKUP($T$1106,'TAR FIN'!$A$1:$O$113,15,0)),0,VLOOKUP($T$1106,'TAR FIN'!$A$1:$O$113,15,0))</f>
        <v>300.3</v>
      </c>
      <c r="X1106" s="6">
        <f>IF(ISERROR(VLOOKUP($U$1106,'TAR FIN'!$A$1:$O$113,15,0)),0,VLOOKUP($U$1106,'TAR FIN'!$A$1:$O$113,15,0))</f>
        <v>292.36</v>
      </c>
      <c r="Y1106" s="6"/>
      <c r="Z1106" s="6">
        <f ca="1">('TUSD BE'!$AM$68+'TUSD BF_350'!$AM$68+'TUSD CVA'!$AM$68)*1</f>
        <v>409.13</v>
      </c>
      <c r="AA1106" s="6">
        <f ca="1">('TE BE'!$AB$46+'TE BF_350'!$AB$46+'TE CVA'!$AB$46)*1</f>
        <v>244</v>
      </c>
      <c r="AB1106" s="6">
        <f>$K$1106*$V$1106</f>
        <v>0</v>
      </c>
      <c r="AC1106" s="6">
        <f>$M$1106*$W$1106</f>
        <v>56980.123200000002</v>
      </c>
      <c r="AD1106" s="6">
        <f>$O$1106*$X$1106</f>
        <v>55473.555840000001</v>
      </c>
      <c r="AE1106" s="6">
        <f>$K$1106*$Y$1106</f>
        <v>0</v>
      </c>
      <c r="AF1106" s="6">
        <f ca="1">$M$1106*$Z$1106</f>
        <v>77629.962719999996</v>
      </c>
      <c r="AG1106" s="6">
        <f ca="1">$O$1106*$AA$1106</f>
        <v>46297.536</v>
      </c>
    </row>
    <row r="1107" spans="1:33" ht="11.25" customHeight="1" x14ac:dyDescent="0.3">
      <c r="A1107" s="4" t="s">
        <v>28</v>
      </c>
      <c r="B1107" s="4" t="s">
        <v>37</v>
      </c>
      <c r="C1107" s="4" t="s">
        <v>23</v>
      </c>
      <c r="D1107" s="4" t="s">
        <v>38</v>
      </c>
      <c r="E1107" s="4" t="s">
        <v>25</v>
      </c>
      <c r="F1107" s="4" t="s">
        <v>25</v>
      </c>
      <c r="G1107" s="4" t="s">
        <v>25</v>
      </c>
      <c r="H1107" s="4" t="s">
        <v>25</v>
      </c>
      <c r="I1107" s="5">
        <v>44652</v>
      </c>
      <c r="J1107" s="6">
        <v>0</v>
      </c>
      <c r="K1107" s="6">
        <v>0</v>
      </c>
      <c r="L1107" s="6">
        <v>5.7910000000000004</v>
      </c>
      <c r="M1107" s="6">
        <v>5.7910000000000004</v>
      </c>
      <c r="N1107" s="6">
        <v>5.7910000000000004</v>
      </c>
      <c r="O1107" s="6">
        <v>5.7910000000000004</v>
      </c>
      <c r="P1107" s="6">
        <v>4</v>
      </c>
      <c r="Q1107" s="4" t="s">
        <v>26</v>
      </c>
      <c r="R1107" s="4">
        <v>0</v>
      </c>
      <c r="S1107" s="6">
        <v>0</v>
      </c>
      <c r="T1107" s="6">
        <v>63</v>
      </c>
      <c r="U1107" s="6">
        <v>91</v>
      </c>
      <c r="V1107" s="6">
        <f>IF(ISERROR(VLOOKUP($S$1107,'TAR FIN'!$A$1:$O$113,15,0)),0,VLOOKUP($S$1107,'TAR FIN'!$A$1:$O$113,15,0))</f>
        <v>0</v>
      </c>
      <c r="W1107" s="6">
        <f>IF(ISERROR(VLOOKUP($T$1107,'TAR FIN'!$A$1:$O$113,15,0)),0,VLOOKUP($T$1107,'TAR FIN'!$A$1:$O$113,15,0))</f>
        <v>300.3</v>
      </c>
      <c r="X1107" s="6">
        <f>IF(ISERROR(VLOOKUP($U$1107,'TAR FIN'!$A$1:$O$113,15,0)),0,VLOOKUP($U$1107,'TAR FIN'!$A$1:$O$113,15,0))</f>
        <v>292.36</v>
      </c>
      <c r="Y1107" s="6"/>
      <c r="Z1107" s="6">
        <f ca="1">('TUSD BE'!$AM$68+'TUSD BF_350'!$AM$68+'TUSD CVA'!$AM$68)*1</f>
        <v>409.13</v>
      </c>
      <c r="AA1107" s="6">
        <f ca="1">('TE BE'!$AB$46+'TE BF_350'!$AB$46+'TE CVA'!$AB$46)*1</f>
        <v>244</v>
      </c>
      <c r="AB1107" s="6">
        <f>$K$1107*$V$1107</f>
        <v>0</v>
      </c>
      <c r="AC1107" s="6">
        <f>$M$1107*$W$1107</f>
        <v>1739.0373000000002</v>
      </c>
      <c r="AD1107" s="6">
        <f>$O$1107*$X$1107</f>
        <v>1693.0567600000002</v>
      </c>
      <c r="AE1107" s="6">
        <f>$K$1107*$Y$1107</f>
        <v>0</v>
      </c>
      <c r="AF1107" s="6">
        <f ca="1">$M$1107*$Z$1107</f>
        <v>2369.2718300000001</v>
      </c>
      <c r="AG1107" s="6">
        <f ca="1">$O$1107*$AA$1107</f>
        <v>1413.0040000000001</v>
      </c>
    </row>
    <row r="1108" spans="1:33" ht="11.25" customHeight="1" x14ac:dyDescent="0.3">
      <c r="A1108" s="4" t="s">
        <v>21</v>
      </c>
      <c r="B1108" s="4" t="s">
        <v>37</v>
      </c>
      <c r="C1108" s="4" t="s">
        <v>23</v>
      </c>
      <c r="D1108" s="4" t="s">
        <v>38</v>
      </c>
      <c r="E1108" s="4" t="s">
        <v>25</v>
      </c>
      <c r="F1108" s="4" t="s">
        <v>25</v>
      </c>
      <c r="G1108" s="4" t="s">
        <v>25</v>
      </c>
      <c r="H1108" s="4" t="s">
        <v>25</v>
      </c>
      <c r="I1108" s="5">
        <v>44682</v>
      </c>
      <c r="J1108" s="6">
        <v>0</v>
      </c>
      <c r="K1108" s="6">
        <v>0</v>
      </c>
      <c r="L1108" s="6">
        <v>183.285</v>
      </c>
      <c r="M1108" s="6">
        <v>183.285</v>
      </c>
      <c r="N1108" s="6">
        <v>183.285</v>
      </c>
      <c r="O1108" s="6">
        <v>183.285</v>
      </c>
      <c r="P1108" s="6">
        <v>141</v>
      </c>
      <c r="Q1108" s="4" t="s">
        <v>26</v>
      </c>
      <c r="R1108" s="4">
        <v>0</v>
      </c>
      <c r="S1108" s="6">
        <v>0</v>
      </c>
      <c r="T1108" s="6">
        <v>63</v>
      </c>
      <c r="U1108" s="6">
        <v>91</v>
      </c>
      <c r="V1108" s="6">
        <f>IF(ISERROR(VLOOKUP($S$1108,'TAR FIN'!$A$1:$O$113,15,0)),0,VLOOKUP($S$1108,'TAR FIN'!$A$1:$O$113,15,0))</f>
        <v>0</v>
      </c>
      <c r="W1108" s="6">
        <f>IF(ISERROR(VLOOKUP($T$1108,'TAR FIN'!$A$1:$O$113,15,0)),0,VLOOKUP($T$1108,'TAR FIN'!$A$1:$O$113,15,0))</f>
        <v>300.3</v>
      </c>
      <c r="X1108" s="6">
        <f>IF(ISERROR(VLOOKUP($U$1108,'TAR FIN'!$A$1:$O$113,15,0)),0,VLOOKUP($U$1108,'TAR FIN'!$A$1:$O$113,15,0))</f>
        <v>292.36</v>
      </c>
      <c r="Y1108" s="6"/>
      <c r="Z1108" s="6">
        <f ca="1">('TUSD BE'!$AM$68+'TUSD BF_350'!$AM$68+'TUSD CVA'!$AM$68)*1</f>
        <v>409.13</v>
      </c>
      <c r="AA1108" s="6">
        <f ca="1">('TE BE'!$AB$46+'TE BF_350'!$AB$46+'TE CVA'!$AB$46)*1</f>
        <v>244</v>
      </c>
      <c r="AB1108" s="6">
        <f>$K$1108*$V$1108</f>
        <v>0</v>
      </c>
      <c r="AC1108" s="6">
        <f>$M$1108*$W$1108</f>
        <v>55040.485500000003</v>
      </c>
      <c r="AD1108" s="6">
        <f>$O$1108*$X$1108</f>
        <v>53585.202600000004</v>
      </c>
      <c r="AE1108" s="6">
        <f>$K$1108*$Y$1108</f>
        <v>0</v>
      </c>
      <c r="AF1108" s="6">
        <f ca="1">$M$1108*$Z$1108</f>
        <v>74987.392049999995</v>
      </c>
      <c r="AG1108" s="6">
        <f ca="1">$O$1108*$AA$1108</f>
        <v>44721.54</v>
      </c>
    </row>
    <row r="1109" spans="1:33" ht="11.25" customHeight="1" x14ac:dyDescent="0.3">
      <c r="A1109" s="4" t="s">
        <v>28</v>
      </c>
      <c r="B1109" s="4" t="s">
        <v>37</v>
      </c>
      <c r="C1109" s="4" t="s">
        <v>23</v>
      </c>
      <c r="D1109" s="4" t="s">
        <v>38</v>
      </c>
      <c r="E1109" s="4" t="s">
        <v>25</v>
      </c>
      <c r="F1109" s="4" t="s">
        <v>25</v>
      </c>
      <c r="G1109" s="4" t="s">
        <v>25</v>
      </c>
      <c r="H1109" s="4" t="s">
        <v>25</v>
      </c>
      <c r="I1109" s="5">
        <v>44682</v>
      </c>
      <c r="J1109" s="6">
        <v>0</v>
      </c>
      <c r="K1109" s="6">
        <v>0</v>
      </c>
      <c r="L1109" s="6">
        <v>5.1369999999999996</v>
      </c>
      <c r="M1109" s="6">
        <v>5.1369999999999996</v>
      </c>
      <c r="N1109" s="6">
        <v>5.1369999999999996</v>
      </c>
      <c r="O1109" s="6">
        <v>5.1369999999999996</v>
      </c>
      <c r="P1109" s="6">
        <v>4</v>
      </c>
      <c r="Q1109" s="4" t="s">
        <v>26</v>
      </c>
      <c r="R1109" s="4">
        <v>0</v>
      </c>
      <c r="S1109" s="6">
        <v>0</v>
      </c>
      <c r="T1109" s="6">
        <v>63</v>
      </c>
      <c r="U1109" s="6">
        <v>91</v>
      </c>
      <c r="V1109" s="6">
        <f>IF(ISERROR(VLOOKUP($S$1109,'TAR FIN'!$A$1:$O$113,15,0)),0,VLOOKUP($S$1109,'TAR FIN'!$A$1:$O$113,15,0))</f>
        <v>0</v>
      </c>
      <c r="W1109" s="6">
        <f>IF(ISERROR(VLOOKUP($T$1109,'TAR FIN'!$A$1:$O$113,15,0)),0,VLOOKUP($T$1109,'TAR FIN'!$A$1:$O$113,15,0))</f>
        <v>300.3</v>
      </c>
      <c r="X1109" s="6">
        <f>IF(ISERROR(VLOOKUP($U$1109,'TAR FIN'!$A$1:$O$113,15,0)),0,VLOOKUP($U$1109,'TAR FIN'!$A$1:$O$113,15,0))</f>
        <v>292.36</v>
      </c>
      <c r="Y1109" s="6"/>
      <c r="Z1109" s="6">
        <f ca="1">('TUSD BE'!$AM$68+'TUSD BF_350'!$AM$68+'TUSD CVA'!$AM$68)*1</f>
        <v>409.13</v>
      </c>
      <c r="AA1109" s="6">
        <f ca="1">('TE BE'!$AB$46+'TE BF_350'!$AB$46+'TE CVA'!$AB$46)*1</f>
        <v>244</v>
      </c>
      <c r="AB1109" s="6">
        <f>$K$1109*$V$1109</f>
        <v>0</v>
      </c>
      <c r="AC1109" s="6">
        <f>$M$1109*$W$1109</f>
        <v>1542.6410999999998</v>
      </c>
      <c r="AD1109" s="6">
        <f>$O$1109*$X$1109</f>
        <v>1501.8533199999999</v>
      </c>
      <c r="AE1109" s="6">
        <f>$K$1109*$Y$1109</f>
        <v>0</v>
      </c>
      <c r="AF1109" s="6">
        <f ca="1">$M$1109*$Z$1109</f>
        <v>2101.7008099999998</v>
      </c>
      <c r="AG1109" s="6">
        <f ca="1">$O$1109*$AA$1109</f>
        <v>1253.4279999999999</v>
      </c>
    </row>
    <row r="1110" spans="1:33" ht="11.25" customHeight="1" x14ac:dyDescent="0.3">
      <c r="A1110" s="4" t="s">
        <v>21</v>
      </c>
      <c r="B1110" s="4" t="s">
        <v>37</v>
      </c>
      <c r="C1110" s="4" t="s">
        <v>23</v>
      </c>
      <c r="D1110" s="4" t="s">
        <v>38</v>
      </c>
      <c r="E1110" s="4" t="s">
        <v>25</v>
      </c>
      <c r="F1110" s="4" t="s">
        <v>25</v>
      </c>
      <c r="G1110" s="4" t="s">
        <v>25</v>
      </c>
      <c r="H1110" s="4" t="s">
        <v>25</v>
      </c>
      <c r="I1110" s="5">
        <v>44713</v>
      </c>
      <c r="J1110" s="6">
        <v>0</v>
      </c>
      <c r="K1110" s="6">
        <v>0</v>
      </c>
      <c r="L1110" s="6">
        <v>179.96199999999999</v>
      </c>
      <c r="M1110" s="6">
        <v>179.96199999999999</v>
      </c>
      <c r="N1110" s="6">
        <v>179.96199999999999</v>
      </c>
      <c r="O1110" s="6">
        <v>179.96199999999999</v>
      </c>
      <c r="P1110" s="6">
        <v>143</v>
      </c>
      <c r="Q1110" s="4" t="s">
        <v>26</v>
      </c>
      <c r="R1110" s="4">
        <v>0</v>
      </c>
      <c r="S1110" s="6">
        <v>0</v>
      </c>
      <c r="T1110" s="6">
        <v>63</v>
      </c>
      <c r="U1110" s="6">
        <v>91</v>
      </c>
      <c r="V1110" s="6">
        <f>IF(ISERROR(VLOOKUP($S$1110,'TAR FIN'!$A$1:$O$113,15,0)),0,VLOOKUP($S$1110,'TAR FIN'!$A$1:$O$113,15,0))</f>
        <v>0</v>
      </c>
      <c r="W1110" s="6">
        <f>IF(ISERROR(VLOOKUP($T$1110,'TAR FIN'!$A$1:$O$113,15,0)),0,VLOOKUP($T$1110,'TAR FIN'!$A$1:$O$113,15,0))</f>
        <v>300.3</v>
      </c>
      <c r="X1110" s="6">
        <f>IF(ISERROR(VLOOKUP($U$1110,'TAR FIN'!$A$1:$O$113,15,0)),0,VLOOKUP($U$1110,'TAR FIN'!$A$1:$O$113,15,0))</f>
        <v>292.36</v>
      </c>
      <c r="Y1110" s="6"/>
      <c r="Z1110" s="6">
        <f ca="1">('TUSD BE'!$AM$68+'TUSD BF_350'!$AM$68+'TUSD CVA'!$AM$68)*1</f>
        <v>409.13</v>
      </c>
      <c r="AA1110" s="6">
        <f ca="1">('TE BE'!$AB$46+'TE BF_350'!$AB$46+'TE CVA'!$AB$46)*1</f>
        <v>244</v>
      </c>
      <c r="AB1110" s="6">
        <f>$K$1110*$V$1110</f>
        <v>0</v>
      </c>
      <c r="AC1110" s="6">
        <f>$M$1110*$W$1110</f>
        <v>54042.588599999995</v>
      </c>
      <c r="AD1110" s="6">
        <f>$O$1110*$X$1110</f>
        <v>52613.690320000002</v>
      </c>
      <c r="AE1110" s="6">
        <f>$K$1110*$Y$1110</f>
        <v>0</v>
      </c>
      <c r="AF1110" s="6">
        <f ca="1">$M$1110*$Z$1110</f>
        <v>73627.853059999994</v>
      </c>
      <c r="AG1110" s="6">
        <f ca="1">$O$1110*$AA$1110</f>
        <v>43910.727999999996</v>
      </c>
    </row>
    <row r="1111" spans="1:33" ht="11.25" customHeight="1" x14ac:dyDescent="0.3">
      <c r="A1111" s="4" t="s">
        <v>28</v>
      </c>
      <c r="B1111" s="4" t="s">
        <v>37</v>
      </c>
      <c r="C1111" s="4" t="s">
        <v>23</v>
      </c>
      <c r="D1111" s="4" t="s">
        <v>38</v>
      </c>
      <c r="E1111" s="4" t="s">
        <v>25</v>
      </c>
      <c r="F1111" s="4" t="s">
        <v>25</v>
      </c>
      <c r="G1111" s="4" t="s">
        <v>25</v>
      </c>
      <c r="H1111" s="4" t="s">
        <v>25</v>
      </c>
      <c r="I1111" s="5">
        <v>44713</v>
      </c>
      <c r="J1111" s="6">
        <v>0</v>
      </c>
      <c r="K1111" s="6">
        <v>0</v>
      </c>
      <c r="L1111" s="6">
        <v>1.61</v>
      </c>
      <c r="M1111" s="6">
        <v>1.61</v>
      </c>
      <c r="N1111" s="6">
        <v>1.61</v>
      </c>
      <c r="O1111" s="6">
        <v>1.61</v>
      </c>
      <c r="P1111" s="6">
        <v>3</v>
      </c>
      <c r="Q1111" s="4" t="s">
        <v>26</v>
      </c>
      <c r="R1111" s="4">
        <v>0</v>
      </c>
      <c r="S1111" s="6">
        <v>0</v>
      </c>
      <c r="T1111" s="6">
        <v>63</v>
      </c>
      <c r="U1111" s="6">
        <v>91</v>
      </c>
      <c r="V1111" s="6">
        <f>IF(ISERROR(VLOOKUP($S$1111,'TAR FIN'!$A$1:$O$113,15,0)),0,VLOOKUP($S$1111,'TAR FIN'!$A$1:$O$113,15,0))</f>
        <v>0</v>
      </c>
      <c r="W1111" s="6">
        <f>IF(ISERROR(VLOOKUP($T$1111,'TAR FIN'!$A$1:$O$113,15,0)),0,VLOOKUP($T$1111,'TAR FIN'!$A$1:$O$113,15,0))</f>
        <v>300.3</v>
      </c>
      <c r="X1111" s="6">
        <f>IF(ISERROR(VLOOKUP($U$1111,'TAR FIN'!$A$1:$O$113,15,0)),0,VLOOKUP($U$1111,'TAR FIN'!$A$1:$O$113,15,0))</f>
        <v>292.36</v>
      </c>
      <c r="Y1111" s="6"/>
      <c r="Z1111" s="6">
        <f ca="1">('TUSD BE'!$AM$68+'TUSD BF_350'!$AM$68+'TUSD CVA'!$AM$68)*1</f>
        <v>409.13</v>
      </c>
      <c r="AA1111" s="6">
        <f ca="1">('TE BE'!$AB$46+'TE BF_350'!$AB$46+'TE CVA'!$AB$46)*1</f>
        <v>244</v>
      </c>
      <c r="AB1111" s="6">
        <f>$K$1111*$V$1111</f>
        <v>0</v>
      </c>
      <c r="AC1111" s="6">
        <f>$M$1111*$W$1111</f>
        <v>483.48300000000006</v>
      </c>
      <c r="AD1111" s="6">
        <f>$O$1111*$X$1111</f>
        <v>470.69960000000003</v>
      </c>
      <c r="AE1111" s="6">
        <f>$K$1111*$Y$1111</f>
        <v>0</v>
      </c>
      <c r="AF1111" s="6">
        <f ca="1">$M$1111*$Z$1111</f>
        <v>658.69929999999999</v>
      </c>
      <c r="AG1111" s="6">
        <f ca="1">$O$1111*$AA$1111</f>
        <v>392.84000000000003</v>
      </c>
    </row>
    <row r="1112" spans="1:33" ht="11.25" customHeight="1" x14ac:dyDescent="0.3">
      <c r="A1112" s="4" t="s">
        <v>21</v>
      </c>
      <c r="B1112" s="4" t="s">
        <v>37</v>
      </c>
      <c r="C1112" s="4" t="s">
        <v>23</v>
      </c>
      <c r="D1112" s="4" t="s">
        <v>38</v>
      </c>
      <c r="E1112" s="4" t="s">
        <v>25</v>
      </c>
      <c r="F1112" s="4" t="s">
        <v>25</v>
      </c>
      <c r="G1112" s="4" t="s">
        <v>25</v>
      </c>
      <c r="H1112" s="4" t="s">
        <v>25</v>
      </c>
      <c r="I1112" s="5">
        <v>44743</v>
      </c>
      <c r="J1112" s="6">
        <v>0</v>
      </c>
      <c r="K1112" s="6">
        <v>0</v>
      </c>
      <c r="L1112" s="6">
        <v>188.00800000000001</v>
      </c>
      <c r="M1112" s="6">
        <v>188.00800000000001</v>
      </c>
      <c r="N1112" s="6">
        <v>188.00800000000001</v>
      </c>
      <c r="O1112" s="6">
        <v>188.00800000000001</v>
      </c>
      <c r="P1112" s="6">
        <v>142</v>
      </c>
      <c r="Q1112" s="4" t="s">
        <v>26</v>
      </c>
      <c r="R1112" s="4">
        <v>0</v>
      </c>
      <c r="S1112" s="6">
        <v>0</v>
      </c>
      <c r="T1112" s="6">
        <v>63</v>
      </c>
      <c r="U1112" s="6">
        <v>91</v>
      </c>
      <c r="V1112" s="6">
        <f>IF(ISERROR(VLOOKUP($S$1112,'TAR FIN'!$A$1:$O$113,15,0)),0,VLOOKUP($S$1112,'TAR FIN'!$A$1:$O$113,15,0))</f>
        <v>0</v>
      </c>
      <c r="W1112" s="6">
        <f>IF(ISERROR(VLOOKUP($T$1112,'TAR FIN'!$A$1:$O$113,15,0)),0,VLOOKUP($T$1112,'TAR FIN'!$A$1:$O$113,15,0))</f>
        <v>300.3</v>
      </c>
      <c r="X1112" s="6">
        <f>IF(ISERROR(VLOOKUP($U$1112,'TAR FIN'!$A$1:$O$113,15,0)),0,VLOOKUP($U$1112,'TAR FIN'!$A$1:$O$113,15,0))</f>
        <v>292.36</v>
      </c>
      <c r="Y1112" s="6"/>
      <c r="Z1112" s="6">
        <f ca="1">('TUSD BE'!$AM$68+'TUSD BF_350'!$AM$68+'TUSD CVA'!$AM$68)*1</f>
        <v>409.13</v>
      </c>
      <c r="AA1112" s="6">
        <f ca="1">('TE BE'!$AB$46+'TE BF_350'!$AB$46+'TE CVA'!$AB$46)*1</f>
        <v>244</v>
      </c>
      <c r="AB1112" s="6">
        <f>$K$1112*$V$1112</f>
        <v>0</v>
      </c>
      <c r="AC1112" s="6">
        <f>$M$1112*$W$1112</f>
        <v>56458.802400000008</v>
      </c>
      <c r="AD1112" s="6">
        <f>$O$1112*$X$1112</f>
        <v>54966.018880000003</v>
      </c>
      <c r="AE1112" s="6">
        <f>$K$1112*$Y$1112</f>
        <v>0</v>
      </c>
      <c r="AF1112" s="6">
        <f ca="1">$M$1112*$Z$1112</f>
        <v>76919.713040000002</v>
      </c>
      <c r="AG1112" s="6">
        <f ca="1">$O$1112*$AA$1112</f>
        <v>45873.952000000005</v>
      </c>
    </row>
    <row r="1113" spans="1:33" ht="11.25" customHeight="1" x14ac:dyDescent="0.3">
      <c r="A1113" s="4" t="s">
        <v>21</v>
      </c>
      <c r="B1113" s="4" t="s">
        <v>37</v>
      </c>
      <c r="C1113" s="4" t="s">
        <v>23</v>
      </c>
      <c r="D1113" s="4" t="s">
        <v>38</v>
      </c>
      <c r="E1113" s="4" t="s">
        <v>25</v>
      </c>
      <c r="F1113" s="4" t="s">
        <v>25</v>
      </c>
      <c r="G1113" s="4" t="s">
        <v>25</v>
      </c>
      <c r="H1113" s="4" t="s">
        <v>25</v>
      </c>
      <c r="I1113" s="5">
        <v>44774</v>
      </c>
      <c r="J1113" s="6">
        <v>0</v>
      </c>
      <c r="K1113" s="6">
        <v>0</v>
      </c>
      <c r="L1113" s="6">
        <v>180.226</v>
      </c>
      <c r="M1113" s="6">
        <v>180.226</v>
      </c>
      <c r="N1113" s="6">
        <v>180.226</v>
      </c>
      <c r="O1113" s="6">
        <v>180.226</v>
      </c>
      <c r="P1113" s="6">
        <v>143</v>
      </c>
      <c r="Q1113" s="4" t="s">
        <v>26</v>
      </c>
      <c r="R1113" s="4">
        <v>0</v>
      </c>
      <c r="S1113" s="6">
        <v>0</v>
      </c>
      <c r="T1113" s="6">
        <v>63</v>
      </c>
      <c r="U1113" s="6">
        <v>91</v>
      </c>
      <c r="V1113" s="6">
        <f>IF(ISERROR(VLOOKUP($S$1113,'TAR FIN'!$A$1:$O$113,15,0)),0,VLOOKUP($S$1113,'TAR FIN'!$A$1:$O$113,15,0))</f>
        <v>0</v>
      </c>
      <c r="W1113" s="6">
        <f>IF(ISERROR(VLOOKUP($T$1113,'TAR FIN'!$A$1:$O$113,15,0)),0,VLOOKUP($T$1113,'TAR FIN'!$A$1:$O$113,15,0))</f>
        <v>300.3</v>
      </c>
      <c r="X1113" s="6">
        <f>IF(ISERROR(VLOOKUP($U$1113,'TAR FIN'!$A$1:$O$113,15,0)),0,VLOOKUP($U$1113,'TAR FIN'!$A$1:$O$113,15,0))</f>
        <v>292.36</v>
      </c>
      <c r="Y1113" s="6"/>
      <c r="Z1113" s="6">
        <f ca="1">('TUSD BE'!$AM$68+'TUSD BF_350'!$AM$68+'TUSD CVA'!$AM$68)*1</f>
        <v>409.13</v>
      </c>
      <c r="AA1113" s="6">
        <f ca="1">('TE BE'!$AB$46+'TE BF_350'!$AB$46+'TE CVA'!$AB$46)*1</f>
        <v>244</v>
      </c>
      <c r="AB1113" s="6">
        <f>$K$1113*$V$1113</f>
        <v>0</v>
      </c>
      <c r="AC1113" s="6">
        <f>$M$1113*$W$1113</f>
        <v>54121.8678</v>
      </c>
      <c r="AD1113" s="6">
        <f>$O$1113*$X$1113</f>
        <v>52690.873360000005</v>
      </c>
      <c r="AE1113" s="6">
        <f>$K$1113*$Y$1113</f>
        <v>0</v>
      </c>
      <c r="AF1113" s="6">
        <f ca="1">$M$1113*$Z$1113</f>
        <v>73735.863379999995</v>
      </c>
      <c r="AG1113" s="6">
        <f ca="1">$O$1113*$AA$1113</f>
        <v>43975.144</v>
      </c>
    </row>
    <row r="1114" spans="1:33" ht="11.25" customHeight="1" x14ac:dyDescent="0.3">
      <c r="A1114" s="4" t="s">
        <v>28</v>
      </c>
      <c r="B1114" s="4" t="s">
        <v>37</v>
      </c>
      <c r="C1114" s="4" t="s">
        <v>23</v>
      </c>
      <c r="D1114" s="4" t="s">
        <v>38</v>
      </c>
      <c r="E1114" s="4" t="s">
        <v>25</v>
      </c>
      <c r="F1114" s="4" t="s">
        <v>25</v>
      </c>
      <c r="G1114" s="4" t="s">
        <v>25</v>
      </c>
      <c r="H1114" s="4" t="s">
        <v>25</v>
      </c>
      <c r="I1114" s="5">
        <v>44774</v>
      </c>
      <c r="J1114" s="6">
        <v>0</v>
      </c>
      <c r="K1114" s="6">
        <v>0</v>
      </c>
      <c r="L1114" s="6">
        <v>5.3520000000000003</v>
      </c>
      <c r="M1114" s="6">
        <v>5.3520000000000003</v>
      </c>
      <c r="N1114" s="6">
        <v>5.3520000000000003</v>
      </c>
      <c r="O1114" s="6">
        <v>5.3520000000000003</v>
      </c>
      <c r="P1114" s="6">
        <v>4</v>
      </c>
      <c r="Q1114" s="4" t="s">
        <v>26</v>
      </c>
      <c r="R1114" s="4">
        <v>0</v>
      </c>
      <c r="S1114" s="6">
        <v>0</v>
      </c>
      <c r="T1114" s="6">
        <v>63</v>
      </c>
      <c r="U1114" s="6">
        <v>91</v>
      </c>
      <c r="V1114" s="6">
        <f>IF(ISERROR(VLOOKUP($S$1114,'TAR FIN'!$A$1:$O$113,15,0)),0,VLOOKUP($S$1114,'TAR FIN'!$A$1:$O$113,15,0))</f>
        <v>0</v>
      </c>
      <c r="W1114" s="6">
        <f>IF(ISERROR(VLOOKUP($T$1114,'TAR FIN'!$A$1:$O$113,15,0)),0,VLOOKUP($T$1114,'TAR FIN'!$A$1:$O$113,15,0))</f>
        <v>300.3</v>
      </c>
      <c r="X1114" s="6">
        <f>IF(ISERROR(VLOOKUP($U$1114,'TAR FIN'!$A$1:$O$113,15,0)),0,VLOOKUP($U$1114,'TAR FIN'!$A$1:$O$113,15,0))</f>
        <v>292.36</v>
      </c>
      <c r="Y1114" s="6"/>
      <c r="Z1114" s="6">
        <f ca="1">('TUSD BE'!$AM$68+'TUSD BF_350'!$AM$68+'TUSD CVA'!$AM$68)*1</f>
        <v>409.13</v>
      </c>
      <c r="AA1114" s="6">
        <f ca="1">('TE BE'!$AB$46+'TE BF_350'!$AB$46+'TE CVA'!$AB$46)*1</f>
        <v>244</v>
      </c>
      <c r="AB1114" s="6">
        <f>$K$1114*$V$1114</f>
        <v>0</v>
      </c>
      <c r="AC1114" s="6">
        <f>$M$1114*$W$1114</f>
        <v>1607.2056000000002</v>
      </c>
      <c r="AD1114" s="6">
        <f>$O$1114*$X$1114</f>
        <v>1564.7107200000003</v>
      </c>
      <c r="AE1114" s="6">
        <f>$K$1114*$Y$1114</f>
        <v>0</v>
      </c>
      <c r="AF1114" s="6">
        <f ca="1">$M$1114*$Z$1114</f>
        <v>2189.6637599999999</v>
      </c>
      <c r="AG1114" s="6">
        <f ca="1">$O$1114*$AA$1114</f>
        <v>1305.8880000000001</v>
      </c>
    </row>
    <row r="1115" spans="1:33" ht="11.25" customHeight="1" x14ac:dyDescent="0.3">
      <c r="A1115" s="4" t="s">
        <v>21</v>
      </c>
      <c r="B1115" s="4" t="s">
        <v>37</v>
      </c>
      <c r="C1115" s="4" t="s">
        <v>23</v>
      </c>
      <c r="D1115" s="4" t="s">
        <v>38</v>
      </c>
      <c r="E1115" s="4" t="s">
        <v>25</v>
      </c>
      <c r="F1115" s="4" t="s">
        <v>25</v>
      </c>
      <c r="G1115" s="4" t="s">
        <v>25</v>
      </c>
      <c r="H1115" s="4" t="s">
        <v>25</v>
      </c>
      <c r="I1115" s="5">
        <v>44805</v>
      </c>
      <c r="J1115" s="6">
        <v>0</v>
      </c>
      <c r="K1115" s="6">
        <v>0</v>
      </c>
      <c r="L1115" s="6">
        <v>190.60400000000001</v>
      </c>
      <c r="M1115" s="6">
        <v>190.60400000000001</v>
      </c>
      <c r="N1115" s="6">
        <v>190.60400000000001</v>
      </c>
      <c r="O1115" s="6">
        <v>190.60400000000001</v>
      </c>
      <c r="P1115" s="6">
        <v>143</v>
      </c>
      <c r="Q1115" s="4" t="s">
        <v>26</v>
      </c>
      <c r="R1115" s="4">
        <v>0</v>
      </c>
      <c r="S1115" s="6">
        <v>0</v>
      </c>
      <c r="T1115" s="6">
        <v>63</v>
      </c>
      <c r="U1115" s="6">
        <v>91</v>
      </c>
      <c r="V1115" s="6">
        <f>IF(ISERROR(VLOOKUP($S$1115,'TAR FIN'!$A$1:$O$113,15,0)),0,VLOOKUP($S$1115,'TAR FIN'!$A$1:$O$113,15,0))</f>
        <v>0</v>
      </c>
      <c r="W1115" s="6">
        <f>IF(ISERROR(VLOOKUP($T$1115,'TAR FIN'!$A$1:$O$113,15,0)),0,VLOOKUP($T$1115,'TAR FIN'!$A$1:$O$113,15,0))</f>
        <v>300.3</v>
      </c>
      <c r="X1115" s="6">
        <f>IF(ISERROR(VLOOKUP($U$1115,'TAR FIN'!$A$1:$O$113,15,0)),0,VLOOKUP($U$1115,'TAR FIN'!$A$1:$O$113,15,0))</f>
        <v>292.36</v>
      </c>
      <c r="Y1115" s="6"/>
      <c r="Z1115" s="6">
        <f ca="1">('TUSD BE'!$AM$68+'TUSD BF_350'!$AM$68+'TUSD CVA'!$AM$68)*1</f>
        <v>409.13</v>
      </c>
      <c r="AA1115" s="6">
        <f ca="1">('TE BE'!$AB$46+'TE BF_350'!$AB$46+'TE CVA'!$AB$46)*1</f>
        <v>244</v>
      </c>
      <c r="AB1115" s="6">
        <f>$K$1115*$V$1115</f>
        <v>0</v>
      </c>
      <c r="AC1115" s="6">
        <f>$M$1115*$W$1115</f>
        <v>57238.381200000003</v>
      </c>
      <c r="AD1115" s="6">
        <f>$O$1115*$X$1115</f>
        <v>55724.985440000004</v>
      </c>
      <c r="AE1115" s="6">
        <f>$K$1115*$Y$1115</f>
        <v>0</v>
      </c>
      <c r="AF1115" s="6">
        <f ca="1">$M$1115*$Z$1115</f>
        <v>77981.81452</v>
      </c>
      <c r="AG1115" s="6">
        <f ca="1">$O$1115*$AA$1115</f>
        <v>46507.376000000004</v>
      </c>
    </row>
    <row r="1116" spans="1:33" ht="11.25" customHeight="1" x14ac:dyDescent="0.3">
      <c r="A1116" s="4" t="s">
        <v>28</v>
      </c>
      <c r="B1116" s="4" t="s">
        <v>37</v>
      </c>
      <c r="C1116" s="4" t="s">
        <v>23</v>
      </c>
      <c r="D1116" s="4" t="s">
        <v>38</v>
      </c>
      <c r="E1116" s="4" t="s">
        <v>25</v>
      </c>
      <c r="F1116" s="4" t="s">
        <v>25</v>
      </c>
      <c r="G1116" s="4" t="s">
        <v>25</v>
      </c>
      <c r="H1116" s="4" t="s">
        <v>25</v>
      </c>
      <c r="I1116" s="5">
        <v>44805</v>
      </c>
      <c r="J1116" s="6">
        <v>0</v>
      </c>
      <c r="K1116" s="6">
        <v>0</v>
      </c>
      <c r="L1116" s="6">
        <v>13.79</v>
      </c>
      <c r="M1116" s="6">
        <v>13.79</v>
      </c>
      <c r="N1116" s="6">
        <v>13.79</v>
      </c>
      <c r="O1116" s="6">
        <v>13.79</v>
      </c>
      <c r="P1116" s="6">
        <v>6</v>
      </c>
      <c r="Q1116" s="4" t="s">
        <v>26</v>
      </c>
      <c r="R1116" s="4">
        <v>0</v>
      </c>
      <c r="S1116" s="6">
        <v>0</v>
      </c>
      <c r="T1116" s="6">
        <v>63</v>
      </c>
      <c r="U1116" s="6">
        <v>91</v>
      </c>
      <c r="V1116" s="6">
        <f>IF(ISERROR(VLOOKUP($S$1116,'TAR FIN'!$A$1:$O$113,15,0)),0,VLOOKUP($S$1116,'TAR FIN'!$A$1:$O$113,15,0))</f>
        <v>0</v>
      </c>
      <c r="W1116" s="6">
        <f>IF(ISERROR(VLOOKUP($T$1116,'TAR FIN'!$A$1:$O$113,15,0)),0,VLOOKUP($T$1116,'TAR FIN'!$A$1:$O$113,15,0))</f>
        <v>300.3</v>
      </c>
      <c r="X1116" s="6">
        <f>IF(ISERROR(VLOOKUP($U$1116,'TAR FIN'!$A$1:$O$113,15,0)),0,VLOOKUP($U$1116,'TAR FIN'!$A$1:$O$113,15,0))</f>
        <v>292.36</v>
      </c>
      <c r="Y1116" s="6"/>
      <c r="Z1116" s="6">
        <f ca="1">('TUSD BE'!$AM$68+'TUSD BF_350'!$AM$68+'TUSD CVA'!$AM$68)*1</f>
        <v>409.13</v>
      </c>
      <c r="AA1116" s="6">
        <f ca="1">('TE BE'!$AB$46+'TE BF_350'!$AB$46+'TE CVA'!$AB$46)*1</f>
        <v>244</v>
      </c>
      <c r="AB1116" s="6">
        <f>$K$1116*$V$1116</f>
        <v>0</v>
      </c>
      <c r="AC1116" s="6">
        <f>$M$1116*$W$1116</f>
        <v>4141.1369999999997</v>
      </c>
      <c r="AD1116" s="6">
        <f>$O$1116*$X$1116</f>
        <v>4031.6444000000001</v>
      </c>
      <c r="AE1116" s="6">
        <f>$K$1116*$Y$1116</f>
        <v>0</v>
      </c>
      <c r="AF1116" s="6">
        <f ca="1">$M$1116*$Z$1116</f>
        <v>5641.9026999999996</v>
      </c>
      <c r="AG1116" s="6">
        <f ca="1">$O$1116*$AA$1116</f>
        <v>3364.7599999999998</v>
      </c>
    </row>
    <row r="1117" spans="1:33" ht="11.25" customHeight="1" x14ac:dyDescent="0.3">
      <c r="A1117" s="4" t="s">
        <v>53</v>
      </c>
      <c r="B1117" s="4" t="s">
        <v>37</v>
      </c>
      <c r="C1117" s="4" t="s">
        <v>23</v>
      </c>
      <c r="D1117" s="4" t="s">
        <v>38</v>
      </c>
      <c r="E1117" s="4" t="s">
        <v>25</v>
      </c>
      <c r="F1117" s="4" t="s">
        <v>25</v>
      </c>
      <c r="G1117" s="4" t="s">
        <v>25</v>
      </c>
      <c r="H1117" s="4" t="s">
        <v>25</v>
      </c>
      <c r="I1117" s="5">
        <v>44835</v>
      </c>
      <c r="J1117" s="6">
        <v>0</v>
      </c>
      <c r="K1117" s="6">
        <v>0</v>
      </c>
      <c r="L1117" s="6">
        <v>190.60400000000001</v>
      </c>
      <c r="M1117" s="6">
        <v>190.60400000000001</v>
      </c>
      <c r="N1117" s="6">
        <v>190.60400000000001</v>
      </c>
      <c r="O1117" s="6">
        <v>190.60400000000001</v>
      </c>
      <c r="P1117" s="6">
        <v>143</v>
      </c>
      <c r="Q1117" s="4" t="s">
        <v>26</v>
      </c>
      <c r="R1117" s="4">
        <v>0</v>
      </c>
      <c r="S1117" s="6">
        <v>0</v>
      </c>
      <c r="T1117" s="6">
        <v>63</v>
      </c>
      <c r="U1117" s="6">
        <v>91</v>
      </c>
      <c r="V1117" s="6">
        <f>IF(ISERROR(VLOOKUP($S$1117,'TAR FIN'!$A$1:$O$113,15,0)),0,VLOOKUP($S$1117,'TAR FIN'!$A$1:$O$113,15,0))</f>
        <v>0</v>
      </c>
      <c r="W1117" s="6">
        <f>IF(ISERROR(VLOOKUP($T$1117,'TAR FIN'!$A$1:$O$113,15,0)),0,VLOOKUP($T$1117,'TAR FIN'!$A$1:$O$113,15,0))</f>
        <v>300.3</v>
      </c>
      <c r="X1117" s="6">
        <f>IF(ISERROR(VLOOKUP($U$1117,'TAR FIN'!$A$1:$O$113,15,0)),0,VLOOKUP($U$1117,'TAR FIN'!$A$1:$O$113,15,0))</f>
        <v>292.36</v>
      </c>
      <c r="Y1117" s="6"/>
      <c r="Z1117" s="6">
        <f ca="1">('TUSD BE'!$AM$68+'TUSD BF_350'!$AM$68+'TUSD CVA'!$AM$68)*1</f>
        <v>409.13</v>
      </c>
      <c r="AA1117" s="6">
        <f ca="1">('TE BE'!$AB$46+'TE BF_350'!$AB$46+'TE CVA'!$AB$46)*1</f>
        <v>244</v>
      </c>
      <c r="AB1117" s="6">
        <f>$K$1117*$V$1117</f>
        <v>0</v>
      </c>
      <c r="AC1117" s="6">
        <f>$M$1117*$W$1117</f>
        <v>57238.381200000003</v>
      </c>
      <c r="AD1117" s="6">
        <f>$O$1117*$X$1117</f>
        <v>55724.985440000004</v>
      </c>
      <c r="AE1117" s="6">
        <f>$K$1117*$Y$1117</f>
        <v>0</v>
      </c>
      <c r="AF1117" s="6">
        <f ca="1">$M$1117*$Z$1117</f>
        <v>77981.81452</v>
      </c>
      <c r="AG1117" s="6">
        <f ca="1">$O$1117*$AA$1117</f>
        <v>46507.376000000004</v>
      </c>
    </row>
    <row r="1118" spans="1:33" ht="11.25" customHeight="1" x14ac:dyDescent="0.3">
      <c r="A1118" s="4" t="s">
        <v>53</v>
      </c>
      <c r="B1118" s="4" t="s">
        <v>37</v>
      </c>
      <c r="C1118" s="4" t="s">
        <v>23</v>
      </c>
      <c r="D1118" s="4" t="s">
        <v>38</v>
      </c>
      <c r="E1118" s="4" t="s">
        <v>25</v>
      </c>
      <c r="F1118" s="4" t="s">
        <v>25</v>
      </c>
      <c r="G1118" s="4" t="s">
        <v>25</v>
      </c>
      <c r="H1118" s="4" t="s">
        <v>25</v>
      </c>
      <c r="I1118" s="5">
        <v>44835</v>
      </c>
      <c r="J1118" s="6">
        <v>0</v>
      </c>
      <c r="K1118" s="6">
        <v>0</v>
      </c>
      <c r="L1118" s="6">
        <v>13.79</v>
      </c>
      <c r="M1118" s="6">
        <v>13.79</v>
      </c>
      <c r="N1118" s="6">
        <v>13.79</v>
      </c>
      <c r="O1118" s="6">
        <v>13.79</v>
      </c>
      <c r="P1118" s="6">
        <v>6</v>
      </c>
      <c r="Q1118" s="4" t="s">
        <v>26</v>
      </c>
      <c r="R1118" s="4">
        <v>0</v>
      </c>
      <c r="S1118" s="6">
        <v>0</v>
      </c>
      <c r="T1118" s="6">
        <v>63</v>
      </c>
      <c r="U1118" s="6">
        <v>91</v>
      </c>
      <c r="V1118" s="6">
        <f>IF(ISERROR(VLOOKUP($S$1118,'TAR FIN'!$A$1:$O$113,15,0)),0,VLOOKUP($S$1118,'TAR FIN'!$A$1:$O$113,15,0))</f>
        <v>0</v>
      </c>
      <c r="W1118" s="6">
        <f>IF(ISERROR(VLOOKUP($T$1118,'TAR FIN'!$A$1:$O$113,15,0)),0,VLOOKUP($T$1118,'TAR FIN'!$A$1:$O$113,15,0))</f>
        <v>300.3</v>
      </c>
      <c r="X1118" s="6">
        <f>IF(ISERROR(VLOOKUP($U$1118,'TAR FIN'!$A$1:$O$113,15,0)),0,VLOOKUP($U$1118,'TAR FIN'!$A$1:$O$113,15,0))</f>
        <v>292.36</v>
      </c>
      <c r="Y1118" s="6"/>
      <c r="Z1118" s="6">
        <f ca="1">('TUSD BE'!$AM$68+'TUSD BF_350'!$AM$68+'TUSD CVA'!$AM$68)*1</f>
        <v>409.13</v>
      </c>
      <c r="AA1118" s="6">
        <f ca="1">('TE BE'!$AB$46+'TE BF_350'!$AB$46+'TE CVA'!$AB$46)*1</f>
        <v>244</v>
      </c>
      <c r="AB1118" s="6">
        <f>$K$1118*$V$1118</f>
        <v>0</v>
      </c>
      <c r="AC1118" s="6">
        <f>$M$1118*$W$1118</f>
        <v>4141.1369999999997</v>
      </c>
      <c r="AD1118" s="6">
        <f>$O$1118*$X$1118</f>
        <v>4031.6444000000001</v>
      </c>
      <c r="AE1118" s="6">
        <f>$K$1118*$Y$1118</f>
        <v>0</v>
      </c>
      <c r="AF1118" s="6">
        <f ca="1">$M$1118*$Z$1118</f>
        <v>5641.9026999999996</v>
      </c>
      <c r="AG1118" s="6">
        <f ca="1">$O$1118*$AA$1118</f>
        <v>3364.7599999999998</v>
      </c>
    </row>
    <row r="1119" spans="1:33" ht="11.25" customHeight="1" x14ac:dyDescent="0.3">
      <c r="A1119" s="4" t="s">
        <v>21</v>
      </c>
      <c r="B1119" s="4" t="s">
        <v>37</v>
      </c>
      <c r="C1119" s="4" t="s">
        <v>23</v>
      </c>
      <c r="D1119" s="4" t="s">
        <v>46</v>
      </c>
      <c r="E1119" s="4" t="s">
        <v>25</v>
      </c>
      <c r="F1119" s="4" t="s">
        <v>25</v>
      </c>
      <c r="G1119" s="4" t="s">
        <v>25</v>
      </c>
      <c r="H1119" s="4" t="s">
        <v>25</v>
      </c>
      <c r="I1119" s="5">
        <v>44501</v>
      </c>
      <c r="J1119" s="6">
        <v>0</v>
      </c>
      <c r="K1119" s="6">
        <v>0</v>
      </c>
      <c r="L1119" s="6">
        <v>286.779</v>
      </c>
      <c r="M1119" s="6">
        <v>286.779</v>
      </c>
      <c r="N1119" s="6">
        <v>286.779</v>
      </c>
      <c r="O1119" s="6">
        <v>286.779</v>
      </c>
      <c r="P1119" s="6">
        <v>422</v>
      </c>
      <c r="Q1119" s="4" t="s">
        <v>26</v>
      </c>
      <c r="R1119" s="4">
        <v>0</v>
      </c>
      <c r="S1119" s="6">
        <v>0</v>
      </c>
      <c r="T1119" s="6">
        <v>63</v>
      </c>
      <c r="U1119" s="6">
        <v>91</v>
      </c>
      <c r="V1119" s="6">
        <f>IF(ISERROR(VLOOKUP($S$1119,'TAR FIN'!$A$1:$O$113,15,0)),0,VLOOKUP($S$1119,'TAR FIN'!$A$1:$O$113,15,0))</f>
        <v>0</v>
      </c>
      <c r="W1119" s="6">
        <f>IF(ISERROR(VLOOKUP($T$1119,'TAR FIN'!$A$1:$O$113,15,0)),0,VLOOKUP($T$1119,'TAR FIN'!$A$1:$O$113,15,0))</f>
        <v>300.3</v>
      </c>
      <c r="X1119" s="6">
        <f>IF(ISERROR(VLOOKUP($U$1119,'TAR FIN'!$A$1:$O$113,15,0)),0,VLOOKUP($U$1119,'TAR FIN'!$A$1:$O$113,15,0))</f>
        <v>292.36</v>
      </c>
      <c r="Y1119" s="6"/>
      <c r="Z1119" s="6">
        <f ca="1">('TUSD BE'!$AM$68+'TUSD BF_350'!$AM$68+'TUSD CVA'!$AM$68)*1</f>
        <v>409.13</v>
      </c>
      <c r="AA1119" s="6">
        <f ca="1">('TE BE'!$AB$46+'TE BF_350'!$AB$46+'TE CVA'!$AB$46)*1</f>
        <v>244</v>
      </c>
      <c r="AB1119" s="6">
        <f>$K$1119*$V$1119</f>
        <v>0</v>
      </c>
      <c r="AC1119" s="6">
        <f>$M$1119*$W$1119</f>
        <v>86119.733699999997</v>
      </c>
      <c r="AD1119" s="6">
        <f>$O$1119*$X$1119</f>
        <v>83842.708440000002</v>
      </c>
      <c r="AE1119" s="6">
        <f>$K$1119*$Y$1119</f>
        <v>0</v>
      </c>
      <c r="AF1119" s="6">
        <f ca="1">$M$1119*$Z$1119</f>
        <v>117329.89227</v>
      </c>
      <c r="AG1119" s="6">
        <f ca="1">$O$1119*$AA$1119</f>
        <v>69974.076000000001</v>
      </c>
    </row>
    <row r="1120" spans="1:33" ht="11.25" customHeight="1" x14ac:dyDescent="0.3">
      <c r="A1120" s="4" t="s">
        <v>21</v>
      </c>
      <c r="B1120" s="4" t="s">
        <v>37</v>
      </c>
      <c r="C1120" s="4" t="s">
        <v>23</v>
      </c>
      <c r="D1120" s="4" t="s">
        <v>46</v>
      </c>
      <c r="E1120" s="4" t="s">
        <v>25</v>
      </c>
      <c r="F1120" s="4" t="s">
        <v>25</v>
      </c>
      <c r="G1120" s="4" t="s">
        <v>25</v>
      </c>
      <c r="H1120" s="4" t="s">
        <v>25</v>
      </c>
      <c r="I1120" s="5">
        <v>44531</v>
      </c>
      <c r="J1120" s="6">
        <v>0</v>
      </c>
      <c r="K1120" s="6">
        <v>0</v>
      </c>
      <c r="L1120" s="6">
        <v>313.83699999999999</v>
      </c>
      <c r="M1120" s="6">
        <v>313.83699999999999</v>
      </c>
      <c r="N1120" s="6">
        <v>313.83699999999999</v>
      </c>
      <c r="O1120" s="6">
        <v>313.83699999999999</v>
      </c>
      <c r="P1120" s="6">
        <v>422</v>
      </c>
      <c r="Q1120" s="4" t="s">
        <v>26</v>
      </c>
      <c r="R1120" s="4">
        <v>0</v>
      </c>
      <c r="S1120" s="6">
        <v>0</v>
      </c>
      <c r="T1120" s="6">
        <v>63</v>
      </c>
      <c r="U1120" s="6">
        <v>91</v>
      </c>
      <c r="V1120" s="6">
        <f>IF(ISERROR(VLOOKUP($S$1120,'TAR FIN'!$A$1:$O$113,15,0)),0,VLOOKUP($S$1120,'TAR FIN'!$A$1:$O$113,15,0))</f>
        <v>0</v>
      </c>
      <c r="W1120" s="6">
        <f>IF(ISERROR(VLOOKUP($T$1120,'TAR FIN'!$A$1:$O$113,15,0)),0,VLOOKUP($T$1120,'TAR FIN'!$A$1:$O$113,15,0))</f>
        <v>300.3</v>
      </c>
      <c r="X1120" s="6">
        <f>IF(ISERROR(VLOOKUP($U$1120,'TAR FIN'!$A$1:$O$113,15,0)),0,VLOOKUP($U$1120,'TAR FIN'!$A$1:$O$113,15,0))</f>
        <v>292.36</v>
      </c>
      <c r="Y1120" s="6"/>
      <c r="Z1120" s="6">
        <f ca="1">('TUSD BE'!$AM$68+'TUSD BF_350'!$AM$68+'TUSD CVA'!$AM$68)*1</f>
        <v>409.13</v>
      </c>
      <c r="AA1120" s="6">
        <f ca="1">('TE BE'!$AB$46+'TE BF_350'!$AB$46+'TE CVA'!$AB$46)*1</f>
        <v>244</v>
      </c>
      <c r="AB1120" s="6">
        <f>$K$1120*$V$1120</f>
        <v>0</v>
      </c>
      <c r="AC1120" s="6">
        <f>$M$1120*$W$1120</f>
        <v>94245.251099999994</v>
      </c>
      <c r="AD1120" s="6">
        <f>$O$1120*$X$1120</f>
        <v>91753.385320000001</v>
      </c>
      <c r="AE1120" s="6">
        <f>$K$1120*$Y$1120</f>
        <v>0</v>
      </c>
      <c r="AF1120" s="6">
        <f ca="1">$M$1120*$Z$1120</f>
        <v>128400.13180999999</v>
      </c>
      <c r="AG1120" s="6">
        <f ca="1">$O$1120*$AA$1120</f>
        <v>76576.228000000003</v>
      </c>
    </row>
    <row r="1121" spans="1:33" ht="11.25" customHeight="1" x14ac:dyDescent="0.3">
      <c r="A1121" s="4" t="s">
        <v>21</v>
      </c>
      <c r="B1121" s="4" t="s">
        <v>37</v>
      </c>
      <c r="C1121" s="4" t="s">
        <v>23</v>
      </c>
      <c r="D1121" s="4" t="s">
        <v>46</v>
      </c>
      <c r="E1121" s="4" t="s">
        <v>25</v>
      </c>
      <c r="F1121" s="4" t="s">
        <v>25</v>
      </c>
      <c r="G1121" s="4" t="s">
        <v>25</v>
      </c>
      <c r="H1121" s="4" t="s">
        <v>25</v>
      </c>
      <c r="I1121" s="5">
        <v>44562</v>
      </c>
      <c r="J1121" s="6">
        <v>0</v>
      </c>
      <c r="K1121" s="6">
        <v>0</v>
      </c>
      <c r="L1121" s="6">
        <v>309.61700000000002</v>
      </c>
      <c r="M1121" s="6">
        <v>309.61700000000002</v>
      </c>
      <c r="N1121" s="6">
        <v>309.61700000000002</v>
      </c>
      <c r="O1121" s="6">
        <v>309.61700000000002</v>
      </c>
      <c r="P1121" s="6">
        <v>419</v>
      </c>
      <c r="Q1121" s="4" t="s">
        <v>26</v>
      </c>
      <c r="R1121" s="4">
        <v>0</v>
      </c>
      <c r="S1121" s="6">
        <v>0</v>
      </c>
      <c r="T1121" s="6">
        <v>63</v>
      </c>
      <c r="U1121" s="6">
        <v>91</v>
      </c>
      <c r="V1121" s="6">
        <f>IF(ISERROR(VLOOKUP($S$1121,'TAR FIN'!$A$1:$O$113,15,0)),0,VLOOKUP($S$1121,'TAR FIN'!$A$1:$O$113,15,0))</f>
        <v>0</v>
      </c>
      <c r="W1121" s="6">
        <f>IF(ISERROR(VLOOKUP($T$1121,'TAR FIN'!$A$1:$O$113,15,0)),0,VLOOKUP($T$1121,'TAR FIN'!$A$1:$O$113,15,0))</f>
        <v>300.3</v>
      </c>
      <c r="X1121" s="6">
        <f>IF(ISERROR(VLOOKUP($U$1121,'TAR FIN'!$A$1:$O$113,15,0)),0,VLOOKUP($U$1121,'TAR FIN'!$A$1:$O$113,15,0))</f>
        <v>292.36</v>
      </c>
      <c r="Y1121" s="6"/>
      <c r="Z1121" s="6">
        <f ca="1">('TUSD BE'!$AM$68+'TUSD BF_350'!$AM$68+'TUSD CVA'!$AM$68)*1</f>
        <v>409.13</v>
      </c>
      <c r="AA1121" s="6">
        <f ca="1">('TE BE'!$AB$46+'TE BF_350'!$AB$46+'TE CVA'!$AB$46)*1</f>
        <v>244</v>
      </c>
      <c r="AB1121" s="6">
        <f>$K$1121*$V$1121</f>
        <v>0</v>
      </c>
      <c r="AC1121" s="6">
        <f>$M$1121*$W$1121</f>
        <v>92977.985100000005</v>
      </c>
      <c r="AD1121" s="6">
        <f>$O$1121*$X$1121</f>
        <v>90519.626120000015</v>
      </c>
      <c r="AE1121" s="6">
        <f>$K$1121*$Y$1121</f>
        <v>0</v>
      </c>
      <c r="AF1121" s="6">
        <f ca="1">$M$1121*$Z$1121</f>
        <v>126673.60321</v>
      </c>
      <c r="AG1121" s="6">
        <f ca="1">$O$1121*$AA$1121</f>
        <v>75546.54800000001</v>
      </c>
    </row>
    <row r="1122" spans="1:33" ht="11.25" customHeight="1" x14ac:dyDescent="0.3">
      <c r="A1122" s="4" t="s">
        <v>27</v>
      </c>
      <c r="B1122" s="4" t="s">
        <v>37</v>
      </c>
      <c r="C1122" s="4" t="s">
        <v>23</v>
      </c>
      <c r="D1122" s="4" t="s">
        <v>46</v>
      </c>
      <c r="E1122" s="4" t="s">
        <v>25</v>
      </c>
      <c r="F1122" s="4" t="s">
        <v>25</v>
      </c>
      <c r="G1122" s="4" t="s">
        <v>25</v>
      </c>
      <c r="H1122" s="4" t="s">
        <v>25</v>
      </c>
      <c r="I1122" s="5">
        <v>44562</v>
      </c>
      <c r="J1122" s="6">
        <v>0</v>
      </c>
      <c r="K1122" s="6">
        <v>0</v>
      </c>
      <c r="L1122" s="6">
        <v>-0.03</v>
      </c>
      <c r="M1122" s="6">
        <v>-0.03</v>
      </c>
      <c r="N1122" s="6">
        <v>-0.03</v>
      </c>
      <c r="O1122" s="6">
        <v>-0.03</v>
      </c>
      <c r="P1122" s="6">
        <v>0</v>
      </c>
      <c r="Q1122" s="4" t="s">
        <v>26</v>
      </c>
      <c r="R1122" s="4">
        <v>0</v>
      </c>
      <c r="S1122" s="6">
        <v>0</v>
      </c>
      <c r="T1122" s="6">
        <v>63</v>
      </c>
      <c r="U1122" s="6">
        <v>91</v>
      </c>
      <c r="V1122" s="6">
        <f>IF(ISERROR(VLOOKUP($S$1122,'TAR FIN'!$A$1:$O$113,15,0)),0,VLOOKUP($S$1122,'TAR FIN'!$A$1:$O$113,15,0))</f>
        <v>0</v>
      </c>
      <c r="W1122" s="6">
        <f>IF(ISERROR(VLOOKUP($T$1122,'TAR FIN'!$A$1:$O$113,15,0)),0,VLOOKUP($T$1122,'TAR FIN'!$A$1:$O$113,15,0))</f>
        <v>300.3</v>
      </c>
      <c r="X1122" s="6">
        <f>IF(ISERROR(VLOOKUP($U$1122,'TAR FIN'!$A$1:$O$113,15,0)),0,VLOOKUP($U$1122,'TAR FIN'!$A$1:$O$113,15,0))</f>
        <v>292.36</v>
      </c>
      <c r="Y1122" s="6"/>
      <c r="Z1122" s="6">
        <f ca="1">('TUSD BE'!$AM$68+'TUSD BF_350'!$AM$68+'TUSD CVA'!$AM$68)*1</f>
        <v>409.13</v>
      </c>
      <c r="AA1122" s="6">
        <f ca="1">('TE BE'!$AB$46+'TE BF_350'!$AB$46+'TE CVA'!$AB$46)*1</f>
        <v>244</v>
      </c>
      <c r="AB1122" s="6">
        <f>$K$1122*$V$1122</f>
        <v>0</v>
      </c>
      <c r="AC1122" s="6">
        <f>$M$1122*$W$1122</f>
        <v>-9.0090000000000003</v>
      </c>
      <c r="AD1122" s="6">
        <f>$O$1122*$X$1122</f>
        <v>-8.7707999999999995</v>
      </c>
      <c r="AE1122" s="6">
        <f>$K$1122*$Y$1122</f>
        <v>0</v>
      </c>
      <c r="AF1122" s="6">
        <f ca="1">$M$1122*$Z$1122</f>
        <v>-12.273899999999999</v>
      </c>
      <c r="AG1122" s="6">
        <f ca="1">$O$1122*$AA$1122</f>
        <v>-7.3199999999999994</v>
      </c>
    </row>
    <row r="1123" spans="1:33" ht="11.25" customHeight="1" x14ac:dyDescent="0.3">
      <c r="A1123" s="4" t="s">
        <v>21</v>
      </c>
      <c r="B1123" s="4" t="s">
        <v>37</v>
      </c>
      <c r="C1123" s="4" t="s">
        <v>23</v>
      </c>
      <c r="D1123" s="4" t="s">
        <v>46</v>
      </c>
      <c r="E1123" s="4" t="s">
        <v>25</v>
      </c>
      <c r="F1123" s="4" t="s">
        <v>25</v>
      </c>
      <c r="G1123" s="4" t="s">
        <v>25</v>
      </c>
      <c r="H1123" s="4" t="s">
        <v>25</v>
      </c>
      <c r="I1123" s="5">
        <v>44593</v>
      </c>
      <c r="J1123" s="6">
        <v>0</v>
      </c>
      <c r="K1123" s="6">
        <v>0</v>
      </c>
      <c r="L1123" s="6">
        <v>277.64699999999999</v>
      </c>
      <c r="M1123" s="6">
        <v>277.64699999999999</v>
      </c>
      <c r="N1123" s="6">
        <v>277.64699999999999</v>
      </c>
      <c r="O1123" s="6">
        <v>277.64699999999999</v>
      </c>
      <c r="P1123" s="6">
        <v>417</v>
      </c>
      <c r="Q1123" s="4" t="s">
        <v>26</v>
      </c>
      <c r="R1123" s="4">
        <v>0</v>
      </c>
      <c r="S1123" s="6">
        <v>0</v>
      </c>
      <c r="T1123" s="6">
        <v>63</v>
      </c>
      <c r="U1123" s="6">
        <v>91</v>
      </c>
      <c r="V1123" s="6">
        <f>IF(ISERROR(VLOOKUP($S$1123,'TAR FIN'!$A$1:$O$113,15,0)),0,VLOOKUP($S$1123,'TAR FIN'!$A$1:$O$113,15,0))</f>
        <v>0</v>
      </c>
      <c r="W1123" s="6">
        <f>IF(ISERROR(VLOOKUP($T$1123,'TAR FIN'!$A$1:$O$113,15,0)),0,VLOOKUP($T$1123,'TAR FIN'!$A$1:$O$113,15,0))</f>
        <v>300.3</v>
      </c>
      <c r="X1123" s="6">
        <f>IF(ISERROR(VLOOKUP($U$1123,'TAR FIN'!$A$1:$O$113,15,0)),0,VLOOKUP($U$1123,'TAR FIN'!$A$1:$O$113,15,0))</f>
        <v>292.36</v>
      </c>
      <c r="Y1123" s="6"/>
      <c r="Z1123" s="6">
        <f ca="1">('TUSD BE'!$AM$68+'TUSD BF_350'!$AM$68+'TUSD CVA'!$AM$68)*1</f>
        <v>409.13</v>
      </c>
      <c r="AA1123" s="6">
        <f ca="1">('TE BE'!$AB$46+'TE BF_350'!$AB$46+'TE CVA'!$AB$46)*1</f>
        <v>244</v>
      </c>
      <c r="AB1123" s="6">
        <f>$K$1123*$V$1123</f>
        <v>0</v>
      </c>
      <c r="AC1123" s="6">
        <f>$M$1123*$W$1123</f>
        <v>83377.394100000005</v>
      </c>
      <c r="AD1123" s="6">
        <f>$O$1123*$X$1123</f>
        <v>81172.876919999995</v>
      </c>
      <c r="AE1123" s="6">
        <f>$K$1123*$Y$1123</f>
        <v>0</v>
      </c>
      <c r="AF1123" s="6">
        <f ca="1">$M$1123*$Z$1123</f>
        <v>113593.71711</v>
      </c>
      <c r="AG1123" s="6">
        <f ca="1">$O$1123*$AA$1123</f>
        <v>67745.868000000002</v>
      </c>
    </row>
    <row r="1124" spans="1:33" ht="11.25" customHeight="1" x14ac:dyDescent="0.3">
      <c r="A1124" s="4" t="s">
        <v>21</v>
      </c>
      <c r="B1124" s="4" t="s">
        <v>37</v>
      </c>
      <c r="C1124" s="4" t="s">
        <v>23</v>
      </c>
      <c r="D1124" s="4" t="s">
        <v>46</v>
      </c>
      <c r="E1124" s="4" t="s">
        <v>25</v>
      </c>
      <c r="F1124" s="4" t="s">
        <v>25</v>
      </c>
      <c r="G1124" s="4" t="s">
        <v>25</v>
      </c>
      <c r="H1124" s="4" t="s">
        <v>25</v>
      </c>
      <c r="I1124" s="5">
        <v>44621</v>
      </c>
      <c r="J1124" s="6">
        <v>0</v>
      </c>
      <c r="K1124" s="6">
        <v>0</v>
      </c>
      <c r="L1124" s="6">
        <v>298.39600000000002</v>
      </c>
      <c r="M1124" s="6">
        <v>298.39600000000002</v>
      </c>
      <c r="N1124" s="6">
        <v>298.39600000000002</v>
      </c>
      <c r="O1124" s="6">
        <v>298.39600000000002</v>
      </c>
      <c r="P1124" s="6">
        <v>420</v>
      </c>
      <c r="Q1124" s="4" t="s">
        <v>26</v>
      </c>
      <c r="R1124" s="4">
        <v>0</v>
      </c>
      <c r="S1124" s="6">
        <v>0</v>
      </c>
      <c r="T1124" s="6">
        <v>63</v>
      </c>
      <c r="U1124" s="6">
        <v>91</v>
      </c>
      <c r="V1124" s="6">
        <f>IF(ISERROR(VLOOKUP($S$1124,'TAR FIN'!$A$1:$O$113,15,0)),0,VLOOKUP($S$1124,'TAR FIN'!$A$1:$O$113,15,0))</f>
        <v>0</v>
      </c>
      <c r="W1124" s="6">
        <f>IF(ISERROR(VLOOKUP($T$1124,'TAR FIN'!$A$1:$O$113,15,0)),0,VLOOKUP($T$1124,'TAR FIN'!$A$1:$O$113,15,0))</f>
        <v>300.3</v>
      </c>
      <c r="X1124" s="6">
        <f>IF(ISERROR(VLOOKUP($U$1124,'TAR FIN'!$A$1:$O$113,15,0)),0,VLOOKUP($U$1124,'TAR FIN'!$A$1:$O$113,15,0))</f>
        <v>292.36</v>
      </c>
      <c r="Y1124" s="6"/>
      <c r="Z1124" s="6">
        <f ca="1">('TUSD BE'!$AM$68+'TUSD BF_350'!$AM$68+'TUSD CVA'!$AM$68)*1</f>
        <v>409.13</v>
      </c>
      <c r="AA1124" s="6">
        <f ca="1">('TE BE'!$AB$46+'TE BF_350'!$AB$46+'TE CVA'!$AB$46)*1</f>
        <v>244</v>
      </c>
      <c r="AB1124" s="6">
        <f>$K$1124*$V$1124</f>
        <v>0</v>
      </c>
      <c r="AC1124" s="6">
        <f>$M$1124*$W$1124</f>
        <v>89608.318800000008</v>
      </c>
      <c r="AD1124" s="6">
        <f>$O$1124*$X$1124</f>
        <v>87239.054560000004</v>
      </c>
      <c r="AE1124" s="6">
        <f>$K$1124*$Y$1124</f>
        <v>0</v>
      </c>
      <c r="AF1124" s="6">
        <f ca="1">$M$1124*$Z$1124</f>
        <v>122082.75548000001</v>
      </c>
      <c r="AG1124" s="6">
        <f ca="1">$O$1124*$AA$1124</f>
        <v>72808.624000000011</v>
      </c>
    </row>
    <row r="1125" spans="1:33" ht="11.25" customHeight="1" x14ac:dyDescent="0.3">
      <c r="A1125" s="4" t="s">
        <v>21</v>
      </c>
      <c r="B1125" s="4" t="s">
        <v>37</v>
      </c>
      <c r="C1125" s="4" t="s">
        <v>23</v>
      </c>
      <c r="D1125" s="4" t="s">
        <v>46</v>
      </c>
      <c r="E1125" s="4" t="s">
        <v>25</v>
      </c>
      <c r="F1125" s="4" t="s">
        <v>25</v>
      </c>
      <c r="G1125" s="4" t="s">
        <v>25</v>
      </c>
      <c r="H1125" s="4" t="s">
        <v>25</v>
      </c>
      <c r="I1125" s="5">
        <v>44652</v>
      </c>
      <c r="J1125" s="6">
        <v>0</v>
      </c>
      <c r="K1125" s="6">
        <v>0</v>
      </c>
      <c r="L1125" s="6">
        <v>317.66399999999999</v>
      </c>
      <c r="M1125" s="6">
        <v>317.66399999999999</v>
      </c>
      <c r="N1125" s="6">
        <v>317.66399999999999</v>
      </c>
      <c r="O1125" s="6">
        <v>317.66399999999999</v>
      </c>
      <c r="P1125" s="6">
        <v>419</v>
      </c>
      <c r="Q1125" s="4" t="s">
        <v>26</v>
      </c>
      <c r="R1125" s="4">
        <v>0</v>
      </c>
      <c r="S1125" s="6">
        <v>0</v>
      </c>
      <c r="T1125" s="6">
        <v>63</v>
      </c>
      <c r="U1125" s="6">
        <v>91</v>
      </c>
      <c r="V1125" s="6">
        <f>IF(ISERROR(VLOOKUP($S$1125,'TAR FIN'!$A$1:$O$113,15,0)),0,VLOOKUP($S$1125,'TAR FIN'!$A$1:$O$113,15,0))</f>
        <v>0</v>
      </c>
      <c r="W1125" s="6">
        <f>IF(ISERROR(VLOOKUP($T$1125,'TAR FIN'!$A$1:$O$113,15,0)),0,VLOOKUP($T$1125,'TAR FIN'!$A$1:$O$113,15,0))</f>
        <v>300.3</v>
      </c>
      <c r="X1125" s="6">
        <f>IF(ISERROR(VLOOKUP($U$1125,'TAR FIN'!$A$1:$O$113,15,0)),0,VLOOKUP($U$1125,'TAR FIN'!$A$1:$O$113,15,0))</f>
        <v>292.36</v>
      </c>
      <c r="Y1125" s="6"/>
      <c r="Z1125" s="6">
        <f ca="1">('TUSD BE'!$AM$68+'TUSD BF_350'!$AM$68+'TUSD CVA'!$AM$68)*1</f>
        <v>409.13</v>
      </c>
      <c r="AA1125" s="6">
        <f ca="1">('TE BE'!$AB$46+'TE BF_350'!$AB$46+'TE CVA'!$AB$46)*1</f>
        <v>244</v>
      </c>
      <c r="AB1125" s="6">
        <f>$K$1125*$V$1125</f>
        <v>0</v>
      </c>
      <c r="AC1125" s="6">
        <f>$M$1125*$W$1125</f>
        <v>95394.499200000006</v>
      </c>
      <c r="AD1125" s="6">
        <f>$O$1125*$X$1125</f>
        <v>92872.247040000002</v>
      </c>
      <c r="AE1125" s="6">
        <f>$K$1125*$Y$1125</f>
        <v>0</v>
      </c>
      <c r="AF1125" s="6">
        <f ca="1">$M$1125*$Z$1125</f>
        <v>129965.87231999999</v>
      </c>
      <c r="AG1125" s="6">
        <f ca="1">$O$1125*$AA$1125</f>
        <v>77510.016000000003</v>
      </c>
    </row>
    <row r="1126" spans="1:33" ht="11.25" customHeight="1" x14ac:dyDescent="0.3">
      <c r="A1126" s="4" t="s">
        <v>27</v>
      </c>
      <c r="B1126" s="4" t="s">
        <v>37</v>
      </c>
      <c r="C1126" s="4" t="s">
        <v>23</v>
      </c>
      <c r="D1126" s="4" t="s">
        <v>46</v>
      </c>
      <c r="E1126" s="4" t="s">
        <v>25</v>
      </c>
      <c r="F1126" s="4" t="s">
        <v>25</v>
      </c>
      <c r="G1126" s="4" t="s">
        <v>25</v>
      </c>
      <c r="H1126" s="4" t="s">
        <v>25</v>
      </c>
      <c r="I1126" s="5">
        <v>44652</v>
      </c>
      <c r="J1126" s="6">
        <v>0</v>
      </c>
      <c r="K1126" s="6">
        <v>0</v>
      </c>
      <c r="L1126" s="6">
        <v>-2.1259999999999999</v>
      </c>
      <c r="M1126" s="6">
        <v>-2.1259999999999999</v>
      </c>
      <c r="N1126" s="6">
        <v>-2.1259999999999999</v>
      </c>
      <c r="O1126" s="6">
        <v>-2.1259999999999999</v>
      </c>
      <c r="P1126" s="6">
        <v>0</v>
      </c>
      <c r="Q1126" s="4" t="s">
        <v>26</v>
      </c>
      <c r="R1126" s="4">
        <v>0</v>
      </c>
      <c r="S1126" s="6">
        <v>0</v>
      </c>
      <c r="T1126" s="6">
        <v>63</v>
      </c>
      <c r="U1126" s="6">
        <v>91</v>
      </c>
      <c r="V1126" s="6">
        <f>IF(ISERROR(VLOOKUP($S$1126,'TAR FIN'!$A$1:$O$113,15,0)),0,VLOOKUP($S$1126,'TAR FIN'!$A$1:$O$113,15,0))</f>
        <v>0</v>
      </c>
      <c r="W1126" s="6">
        <f>IF(ISERROR(VLOOKUP($T$1126,'TAR FIN'!$A$1:$O$113,15,0)),0,VLOOKUP($T$1126,'TAR FIN'!$A$1:$O$113,15,0))</f>
        <v>300.3</v>
      </c>
      <c r="X1126" s="6">
        <f>IF(ISERROR(VLOOKUP($U$1126,'TAR FIN'!$A$1:$O$113,15,0)),0,VLOOKUP($U$1126,'TAR FIN'!$A$1:$O$113,15,0))</f>
        <v>292.36</v>
      </c>
      <c r="Y1126" s="6"/>
      <c r="Z1126" s="6">
        <f ca="1">('TUSD BE'!$AM$68+'TUSD BF_350'!$AM$68+'TUSD CVA'!$AM$68)*1</f>
        <v>409.13</v>
      </c>
      <c r="AA1126" s="6">
        <f ca="1">('TE BE'!$AB$46+'TE BF_350'!$AB$46+'TE CVA'!$AB$46)*1</f>
        <v>244</v>
      </c>
      <c r="AB1126" s="6">
        <f>$K$1126*$V$1126</f>
        <v>0</v>
      </c>
      <c r="AC1126" s="6">
        <f>$M$1126*$W$1126</f>
        <v>-638.43780000000004</v>
      </c>
      <c r="AD1126" s="6">
        <f>$O$1126*$X$1126</f>
        <v>-621.55736000000002</v>
      </c>
      <c r="AE1126" s="6">
        <f>$K$1126*$Y$1126</f>
        <v>0</v>
      </c>
      <c r="AF1126" s="6">
        <f ca="1">$M$1126*$Z$1126</f>
        <v>-869.8103799999999</v>
      </c>
      <c r="AG1126" s="6">
        <f ca="1">$O$1126*$AA$1126</f>
        <v>-518.74400000000003</v>
      </c>
    </row>
    <row r="1127" spans="1:33" ht="11.25" customHeight="1" x14ac:dyDescent="0.3">
      <c r="A1127" s="4" t="s">
        <v>21</v>
      </c>
      <c r="B1127" s="4" t="s">
        <v>37</v>
      </c>
      <c r="C1127" s="4" t="s">
        <v>23</v>
      </c>
      <c r="D1127" s="4" t="s">
        <v>46</v>
      </c>
      <c r="E1127" s="4" t="s">
        <v>25</v>
      </c>
      <c r="F1127" s="4" t="s">
        <v>25</v>
      </c>
      <c r="G1127" s="4" t="s">
        <v>25</v>
      </c>
      <c r="H1127" s="4" t="s">
        <v>25</v>
      </c>
      <c r="I1127" s="5">
        <v>44682</v>
      </c>
      <c r="J1127" s="6">
        <v>0</v>
      </c>
      <c r="K1127" s="6">
        <v>0</v>
      </c>
      <c r="L1127" s="6">
        <v>307.87299999999999</v>
      </c>
      <c r="M1127" s="6">
        <v>307.87299999999999</v>
      </c>
      <c r="N1127" s="6">
        <v>307.87299999999999</v>
      </c>
      <c r="O1127" s="6">
        <v>307.87299999999999</v>
      </c>
      <c r="P1127" s="6">
        <v>418</v>
      </c>
      <c r="Q1127" s="4" t="s">
        <v>26</v>
      </c>
      <c r="R1127" s="4">
        <v>0</v>
      </c>
      <c r="S1127" s="6">
        <v>0</v>
      </c>
      <c r="T1127" s="6">
        <v>63</v>
      </c>
      <c r="U1127" s="6">
        <v>91</v>
      </c>
      <c r="V1127" s="6">
        <f>IF(ISERROR(VLOOKUP($S$1127,'TAR FIN'!$A$1:$O$113,15,0)),0,VLOOKUP($S$1127,'TAR FIN'!$A$1:$O$113,15,0))</f>
        <v>0</v>
      </c>
      <c r="W1127" s="6">
        <f>IF(ISERROR(VLOOKUP($T$1127,'TAR FIN'!$A$1:$O$113,15,0)),0,VLOOKUP($T$1127,'TAR FIN'!$A$1:$O$113,15,0))</f>
        <v>300.3</v>
      </c>
      <c r="X1127" s="6">
        <f>IF(ISERROR(VLOOKUP($U$1127,'TAR FIN'!$A$1:$O$113,15,0)),0,VLOOKUP($U$1127,'TAR FIN'!$A$1:$O$113,15,0))</f>
        <v>292.36</v>
      </c>
      <c r="Y1127" s="6"/>
      <c r="Z1127" s="6">
        <f ca="1">('TUSD BE'!$AM$68+'TUSD BF_350'!$AM$68+'TUSD CVA'!$AM$68)*1</f>
        <v>409.13</v>
      </c>
      <c r="AA1127" s="6">
        <f ca="1">('TE BE'!$AB$46+'TE BF_350'!$AB$46+'TE CVA'!$AB$46)*1</f>
        <v>244</v>
      </c>
      <c r="AB1127" s="6">
        <f>$K$1127*$V$1127</f>
        <v>0</v>
      </c>
      <c r="AC1127" s="6">
        <f>$M$1127*$W$1127</f>
        <v>92454.261899999998</v>
      </c>
      <c r="AD1127" s="6">
        <f>$O$1127*$X$1127</f>
        <v>90009.750280000007</v>
      </c>
      <c r="AE1127" s="6">
        <f>$K$1127*$Y$1127</f>
        <v>0</v>
      </c>
      <c r="AF1127" s="6">
        <f ca="1">$M$1127*$Z$1127</f>
        <v>125960.08048999999</v>
      </c>
      <c r="AG1127" s="6">
        <f ca="1">$O$1127*$AA$1127</f>
        <v>75121.012000000002</v>
      </c>
    </row>
    <row r="1128" spans="1:33" ht="11.25" customHeight="1" x14ac:dyDescent="0.3">
      <c r="A1128" s="4" t="s">
        <v>21</v>
      </c>
      <c r="B1128" s="4" t="s">
        <v>37</v>
      </c>
      <c r="C1128" s="4" t="s">
        <v>23</v>
      </c>
      <c r="D1128" s="4" t="s">
        <v>46</v>
      </c>
      <c r="E1128" s="4" t="s">
        <v>25</v>
      </c>
      <c r="F1128" s="4" t="s">
        <v>25</v>
      </c>
      <c r="G1128" s="4" t="s">
        <v>25</v>
      </c>
      <c r="H1128" s="4" t="s">
        <v>25</v>
      </c>
      <c r="I1128" s="5">
        <v>44713</v>
      </c>
      <c r="J1128" s="6">
        <v>0</v>
      </c>
      <c r="K1128" s="6">
        <v>0</v>
      </c>
      <c r="L1128" s="6">
        <v>310.024</v>
      </c>
      <c r="M1128" s="6">
        <v>310.024</v>
      </c>
      <c r="N1128" s="6">
        <v>310.024</v>
      </c>
      <c r="O1128" s="6">
        <v>310.024</v>
      </c>
      <c r="P1128" s="6">
        <v>420</v>
      </c>
      <c r="Q1128" s="4" t="s">
        <v>26</v>
      </c>
      <c r="R1128" s="4">
        <v>0</v>
      </c>
      <c r="S1128" s="6">
        <v>0</v>
      </c>
      <c r="T1128" s="6">
        <v>63</v>
      </c>
      <c r="U1128" s="6">
        <v>91</v>
      </c>
      <c r="V1128" s="6">
        <f>IF(ISERROR(VLOOKUP($S$1128,'TAR FIN'!$A$1:$O$113,15,0)),0,VLOOKUP($S$1128,'TAR FIN'!$A$1:$O$113,15,0))</f>
        <v>0</v>
      </c>
      <c r="W1128" s="6">
        <f>IF(ISERROR(VLOOKUP($T$1128,'TAR FIN'!$A$1:$O$113,15,0)),0,VLOOKUP($T$1128,'TAR FIN'!$A$1:$O$113,15,0))</f>
        <v>300.3</v>
      </c>
      <c r="X1128" s="6">
        <f>IF(ISERROR(VLOOKUP($U$1128,'TAR FIN'!$A$1:$O$113,15,0)),0,VLOOKUP($U$1128,'TAR FIN'!$A$1:$O$113,15,0))</f>
        <v>292.36</v>
      </c>
      <c r="Y1128" s="6"/>
      <c r="Z1128" s="6">
        <f ca="1">('TUSD BE'!$AM$68+'TUSD BF_350'!$AM$68+'TUSD CVA'!$AM$68)*1</f>
        <v>409.13</v>
      </c>
      <c r="AA1128" s="6">
        <f ca="1">('TE BE'!$AB$46+'TE BF_350'!$AB$46+'TE CVA'!$AB$46)*1</f>
        <v>244</v>
      </c>
      <c r="AB1128" s="6">
        <f>$K$1128*$V$1128</f>
        <v>0</v>
      </c>
      <c r="AC1128" s="6">
        <f>$M$1128*$W$1128</f>
        <v>93100.207200000004</v>
      </c>
      <c r="AD1128" s="6">
        <f>$O$1128*$X$1128</f>
        <v>90638.616640000007</v>
      </c>
      <c r="AE1128" s="6">
        <f>$K$1128*$Y$1128</f>
        <v>0</v>
      </c>
      <c r="AF1128" s="6">
        <f ca="1">$M$1128*$Z$1128</f>
        <v>126840.11912</v>
      </c>
      <c r="AG1128" s="6">
        <f ca="1">$O$1128*$AA$1128</f>
        <v>75645.856</v>
      </c>
    </row>
    <row r="1129" spans="1:33" ht="11.25" customHeight="1" x14ac:dyDescent="0.3">
      <c r="A1129" s="4" t="s">
        <v>21</v>
      </c>
      <c r="B1129" s="4" t="s">
        <v>37</v>
      </c>
      <c r="C1129" s="4" t="s">
        <v>23</v>
      </c>
      <c r="D1129" s="4" t="s">
        <v>46</v>
      </c>
      <c r="E1129" s="4" t="s">
        <v>25</v>
      </c>
      <c r="F1129" s="4" t="s">
        <v>25</v>
      </c>
      <c r="G1129" s="4" t="s">
        <v>25</v>
      </c>
      <c r="H1129" s="4" t="s">
        <v>25</v>
      </c>
      <c r="I1129" s="5">
        <v>44743</v>
      </c>
      <c r="J1129" s="6">
        <v>0</v>
      </c>
      <c r="K1129" s="6">
        <v>0</v>
      </c>
      <c r="L1129" s="6">
        <v>473.20100000000002</v>
      </c>
      <c r="M1129" s="6">
        <v>473.20100000000002</v>
      </c>
      <c r="N1129" s="6">
        <v>473.20100000000002</v>
      </c>
      <c r="O1129" s="6">
        <v>473.20100000000002</v>
      </c>
      <c r="P1129" s="6">
        <v>418</v>
      </c>
      <c r="Q1129" s="4" t="s">
        <v>26</v>
      </c>
      <c r="R1129" s="4">
        <v>0</v>
      </c>
      <c r="S1129" s="6">
        <v>0</v>
      </c>
      <c r="T1129" s="6">
        <v>63</v>
      </c>
      <c r="U1129" s="6">
        <v>91</v>
      </c>
      <c r="V1129" s="6">
        <f>IF(ISERROR(VLOOKUP($S$1129,'TAR FIN'!$A$1:$O$113,15,0)),0,VLOOKUP($S$1129,'TAR FIN'!$A$1:$O$113,15,0))</f>
        <v>0</v>
      </c>
      <c r="W1129" s="6">
        <f>IF(ISERROR(VLOOKUP($T$1129,'TAR FIN'!$A$1:$O$113,15,0)),0,VLOOKUP($T$1129,'TAR FIN'!$A$1:$O$113,15,0))</f>
        <v>300.3</v>
      </c>
      <c r="X1129" s="6">
        <f>IF(ISERROR(VLOOKUP($U$1129,'TAR FIN'!$A$1:$O$113,15,0)),0,VLOOKUP($U$1129,'TAR FIN'!$A$1:$O$113,15,0))</f>
        <v>292.36</v>
      </c>
      <c r="Y1129" s="6"/>
      <c r="Z1129" s="6">
        <f ca="1">('TUSD BE'!$AM$68+'TUSD BF_350'!$AM$68+'TUSD CVA'!$AM$68)*1</f>
        <v>409.13</v>
      </c>
      <c r="AA1129" s="6">
        <f ca="1">('TE BE'!$AB$46+'TE BF_350'!$AB$46+'TE CVA'!$AB$46)*1</f>
        <v>244</v>
      </c>
      <c r="AB1129" s="6">
        <f>$K$1129*$V$1129</f>
        <v>0</v>
      </c>
      <c r="AC1129" s="6">
        <f>$M$1129*$W$1129</f>
        <v>142102.26030000002</v>
      </c>
      <c r="AD1129" s="6">
        <f>$O$1129*$X$1129</f>
        <v>138345.04436</v>
      </c>
      <c r="AE1129" s="6">
        <f>$K$1129*$Y$1129</f>
        <v>0</v>
      </c>
      <c r="AF1129" s="6">
        <f ca="1">$M$1129*$Z$1129</f>
        <v>193600.72513000001</v>
      </c>
      <c r="AG1129" s="6">
        <f ca="1">$O$1129*$AA$1129</f>
        <v>115461.04400000001</v>
      </c>
    </row>
    <row r="1130" spans="1:33" ht="11.25" customHeight="1" x14ac:dyDescent="0.3">
      <c r="A1130" s="4" t="s">
        <v>21</v>
      </c>
      <c r="B1130" s="4" t="s">
        <v>37</v>
      </c>
      <c r="C1130" s="4" t="s">
        <v>23</v>
      </c>
      <c r="D1130" s="4" t="s">
        <v>46</v>
      </c>
      <c r="E1130" s="4" t="s">
        <v>25</v>
      </c>
      <c r="F1130" s="4" t="s">
        <v>25</v>
      </c>
      <c r="G1130" s="4" t="s">
        <v>25</v>
      </c>
      <c r="H1130" s="4" t="s">
        <v>25</v>
      </c>
      <c r="I1130" s="5">
        <v>44774</v>
      </c>
      <c r="J1130" s="6">
        <v>0</v>
      </c>
      <c r="K1130" s="6">
        <v>0</v>
      </c>
      <c r="L1130" s="6">
        <v>296.83300000000003</v>
      </c>
      <c r="M1130" s="6">
        <v>296.83300000000003</v>
      </c>
      <c r="N1130" s="6">
        <v>296.83300000000003</v>
      </c>
      <c r="O1130" s="6">
        <v>296.83300000000003</v>
      </c>
      <c r="P1130" s="6">
        <v>416</v>
      </c>
      <c r="Q1130" s="4" t="s">
        <v>26</v>
      </c>
      <c r="R1130" s="4">
        <v>0</v>
      </c>
      <c r="S1130" s="6">
        <v>0</v>
      </c>
      <c r="T1130" s="6">
        <v>63</v>
      </c>
      <c r="U1130" s="6">
        <v>91</v>
      </c>
      <c r="V1130" s="6">
        <f>IF(ISERROR(VLOOKUP($S$1130,'TAR FIN'!$A$1:$O$113,15,0)),0,VLOOKUP($S$1130,'TAR FIN'!$A$1:$O$113,15,0))</f>
        <v>0</v>
      </c>
      <c r="W1130" s="6">
        <f>IF(ISERROR(VLOOKUP($T$1130,'TAR FIN'!$A$1:$O$113,15,0)),0,VLOOKUP($T$1130,'TAR FIN'!$A$1:$O$113,15,0))</f>
        <v>300.3</v>
      </c>
      <c r="X1130" s="6">
        <f>IF(ISERROR(VLOOKUP($U$1130,'TAR FIN'!$A$1:$O$113,15,0)),0,VLOOKUP($U$1130,'TAR FIN'!$A$1:$O$113,15,0))</f>
        <v>292.36</v>
      </c>
      <c r="Y1130" s="6"/>
      <c r="Z1130" s="6">
        <f ca="1">('TUSD BE'!$AM$68+'TUSD BF_350'!$AM$68+'TUSD CVA'!$AM$68)*1</f>
        <v>409.13</v>
      </c>
      <c r="AA1130" s="6">
        <f ca="1">('TE BE'!$AB$46+'TE BF_350'!$AB$46+'TE CVA'!$AB$46)*1</f>
        <v>244</v>
      </c>
      <c r="AB1130" s="6">
        <f>$K$1130*$V$1130</f>
        <v>0</v>
      </c>
      <c r="AC1130" s="6">
        <f>$M$1130*$W$1130</f>
        <v>89138.949900000007</v>
      </c>
      <c r="AD1130" s="6">
        <f>$O$1130*$X$1130</f>
        <v>86782.095880000008</v>
      </c>
      <c r="AE1130" s="6">
        <f>$K$1130*$Y$1130</f>
        <v>0</v>
      </c>
      <c r="AF1130" s="6">
        <f ca="1">$M$1130*$Z$1130</f>
        <v>121443.28529000001</v>
      </c>
      <c r="AG1130" s="6">
        <f ca="1">$O$1130*$AA$1130</f>
        <v>72427.252000000008</v>
      </c>
    </row>
    <row r="1131" spans="1:33" ht="11.25" customHeight="1" x14ac:dyDescent="0.3">
      <c r="A1131" s="4" t="s">
        <v>27</v>
      </c>
      <c r="B1131" s="4" t="s">
        <v>37</v>
      </c>
      <c r="C1131" s="4" t="s">
        <v>23</v>
      </c>
      <c r="D1131" s="4" t="s">
        <v>46</v>
      </c>
      <c r="E1131" s="4" t="s">
        <v>25</v>
      </c>
      <c r="F1131" s="4" t="s">
        <v>25</v>
      </c>
      <c r="G1131" s="4" t="s">
        <v>25</v>
      </c>
      <c r="H1131" s="4" t="s">
        <v>25</v>
      </c>
      <c r="I1131" s="5">
        <v>44774</v>
      </c>
      <c r="J1131" s="6">
        <v>0</v>
      </c>
      <c r="K1131" s="6">
        <v>0</v>
      </c>
      <c r="L1131" s="6">
        <v>1.7330000000000001</v>
      </c>
      <c r="M1131" s="6">
        <v>1.7330000000000001</v>
      </c>
      <c r="N1131" s="6">
        <v>1.7330000000000001</v>
      </c>
      <c r="O1131" s="6">
        <v>1.7330000000000001</v>
      </c>
      <c r="P1131" s="6">
        <v>0</v>
      </c>
      <c r="Q1131" s="4" t="s">
        <v>26</v>
      </c>
      <c r="R1131" s="4">
        <v>0</v>
      </c>
      <c r="S1131" s="6">
        <v>0</v>
      </c>
      <c r="T1131" s="6">
        <v>63</v>
      </c>
      <c r="U1131" s="6">
        <v>91</v>
      </c>
      <c r="V1131" s="6">
        <f>IF(ISERROR(VLOOKUP($S$1131,'TAR FIN'!$A$1:$O$113,15,0)),0,VLOOKUP($S$1131,'TAR FIN'!$A$1:$O$113,15,0))</f>
        <v>0</v>
      </c>
      <c r="W1131" s="6">
        <f>IF(ISERROR(VLOOKUP($T$1131,'TAR FIN'!$A$1:$O$113,15,0)),0,VLOOKUP($T$1131,'TAR FIN'!$A$1:$O$113,15,0))</f>
        <v>300.3</v>
      </c>
      <c r="X1131" s="6">
        <f>IF(ISERROR(VLOOKUP($U$1131,'TAR FIN'!$A$1:$O$113,15,0)),0,VLOOKUP($U$1131,'TAR FIN'!$A$1:$O$113,15,0))</f>
        <v>292.36</v>
      </c>
      <c r="Y1131" s="6"/>
      <c r="Z1131" s="6">
        <f ca="1">('TUSD BE'!$AM$68+'TUSD BF_350'!$AM$68+'TUSD CVA'!$AM$68)*1</f>
        <v>409.13</v>
      </c>
      <c r="AA1131" s="6">
        <f ca="1">('TE BE'!$AB$46+'TE BF_350'!$AB$46+'TE CVA'!$AB$46)*1</f>
        <v>244</v>
      </c>
      <c r="AB1131" s="6">
        <f>$K$1131*$V$1131</f>
        <v>0</v>
      </c>
      <c r="AC1131" s="6">
        <f>$M$1131*$W$1131</f>
        <v>520.4199000000001</v>
      </c>
      <c r="AD1131" s="6">
        <f>$O$1131*$X$1131</f>
        <v>506.65988000000004</v>
      </c>
      <c r="AE1131" s="6">
        <f>$K$1131*$Y$1131</f>
        <v>0</v>
      </c>
      <c r="AF1131" s="6">
        <f ca="1">$M$1131*$Z$1131</f>
        <v>709.02229</v>
      </c>
      <c r="AG1131" s="6">
        <f ca="1">$O$1131*$AA$1131</f>
        <v>422.85200000000003</v>
      </c>
    </row>
    <row r="1132" spans="1:33" ht="11.25" customHeight="1" x14ac:dyDescent="0.3">
      <c r="A1132" s="4" t="s">
        <v>21</v>
      </c>
      <c r="B1132" s="4" t="s">
        <v>37</v>
      </c>
      <c r="C1132" s="4" t="s">
        <v>23</v>
      </c>
      <c r="D1132" s="4" t="s">
        <v>46</v>
      </c>
      <c r="E1132" s="4" t="s">
        <v>25</v>
      </c>
      <c r="F1132" s="4" t="s">
        <v>25</v>
      </c>
      <c r="G1132" s="4" t="s">
        <v>25</v>
      </c>
      <c r="H1132" s="4" t="s">
        <v>25</v>
      </c>
      <c r="I1132" s="5">
        <v>44805</v>
      </c>
      <c r="J1132" s="6">
        <v>0</v>
      </c>
      <c r="K1132" s="6">
        <v>0</v>
      </c>
      <c r="L1132" s="6">
        <v>346.601</v>
      </c>
      <c r="M1132" s="6">
        <v>346.601</v>
      </c>
      <c r="N1132" s="6">
        <v>346.601</v>
      </c>
      <c r="O1132" s="6">
        <v>346.601</v>
      </c>
      <c r="P1132" s="6">
        <v>415</v>
      </c>
      <c r="Q1132" s="4" t="s">
        <v>26</v>
      </c>
      <c r="R1132" s="4">
        <v>0</v>
      </c>
      <c r="S1132" s="6">
        <v>0</v>
      </c>
      <c r="T1132" s="6">
        <v>63</v>
      </c>
      <c r="U1132" s="6">
        <v>91</v>
      </c>
      <c r="V1132" s="6">
        <f>IF(ISERROR(VLOOKUP($S$1132,'TAR FIN'!$A$1:$O$113,15,0)),0,VLOOKUP($S$1132,'TAR FIN'!$A$1:$O$113,15,0))</f>
        <v>0</v>
      </c>
      <c r="W1132" s="6">
        <f>IF(ISERROR(VLOOKUP($T$1132,'TAR FIN'!$A$1:$O$113,15,0)),0,VLOOKUP($T$1132,'TAR FIN'!$A$1:$O$113,15,0))</f>
        <v>300.3</v>
      </c>
      <c r="X1132" s="6">
        <f>IF(ISERROR(VLOOKUP($U$1132,'TAR FIN'!$A$1:$O$113,15,0)),0,VLOOKUP($U$1132,'TAR FIN'!$A$1:$O$113,15,0))</f>
        <v>292.36</v>
      </c>
      <c r="Y1132" s="6"/>
      <c r="Z1132" s="6">
        <f ca="1">('TUSD BE'!$AM$68+'TUSD BF_350'!$AM$68+'TUSD CVA'!$AM$68)*1</f>
        <v>409.13</v>
      </c>
      <c r="AA1132" s="6">
        <f ca="1">('TE BE'!$AB$46+'TE BF_350'!$AB$46+'TE CVA'!$AB$46)*1</f>
        <v>244</v>
      </c>
      <c r="AB1132" s="6">
        <f>$K$1132*$V$1132</f>
        <v>0</v>
      </c>
      <c r="AC1132" s="6">
        <f>$M$1132*$W$1132</f>
        <v>104084.2803</v>
      </c>
      <c r="AD1132" s="6">
        <f>$O$1132*$X$1132</f>
        <v>101332.26836</v>
      </c>
      <c r="AE1132" s="6">
        <f>$K$1132*$Y$1132</f>
        <v>0</v>
      </c>
      <c r="AF1132" s="6">
        <f ca="1">$M$1132*$Z$1132</f>
        <v>141804.86713</v>
      </c>
      <c r="AG1132" s="6">
        <f ca="1">$O$1132*$AA$1132</f>
        <v>84570.644</v>
      </c>
    </row>
    <row r="1133" spans="1:33" ht="11.25" customHeight="1" x14ac:dyDescent="0.3">
      <c r="A1133" s="4" t="s">
        <v>53</v>
      </c>
      <c r="B1133" s="4" t="s">
        <v>37</v>
      </c>
      <c r="C1133" s="4" t="s">
        <v>23</v>
      </c>
      <c r="D1133" s="4" t="s">
        <v>46</v>
      </c>
      <c r="E1133" s="4" t="s">
        <v>25</v>
      </c>
      <c r="F1133" s="4" t="s">
        <v>25</v>
      </c>
      <c r="G1133" s="4" t="s">
        <v>25</v>
      </c>
      <c r="H1133" s="4" t="s">
        <v>25</v>
      </c>
      <c r="I1133" s="5">
        <v>44835</v>
      </c>
      <c r="J1133" s="6">
        <v>0</v>
      </c>
      <c r="K1133" s="6">
        <v>0</v>
      </c>
      <c r="L1133" s="6">
        <v>346.601</v>
      </c>
      <c r="M1133" s="6">
        <v>346.601</v>
      </c>
      <c r="N1133" s="6">
        <v>346.601</v>
      </c>
      <c r="O1133" s="6">
        <v>346.601</v>
      </c>
      <c r="P1133" s="6">
        <v>415</v>
      </c>
      <c r="Q1133" s="4" t="s">
        <v>26</v>
      </c>
      <c r="R1133" s="4">
        <v>0</v>
      </c>
      <c r="S1133" s="6">
        <v>0</v>
      </c>
      <c r="T1133" s="6">
        <v>63</v>
      </c>
      <c r="U1133" s="6">
        <v>91</v>
      </c>
      <c r="V1133" s="6">
        <f>IF(ISERROR(VLOOKUP($S$1133,'TAR FIN'!$A$1:$O$113,15,0)),0,VLOOKUP($S$1133,'TAR FIN'!$A$1:$O$113,15,0))</f>
        <v>0</v>
      </c>
      <c r="W1133" s="6">
        <f>IF(ISERROR(VLOOKUP($T$1133,'TAR FIN'!$A$1:$O$113,15,0)),0,VLOOKUP($T$1133,'TAR FIN'!$A$1:$O$113,15,0))</f>
        <v>300.3</v>
      </c>
      <c r="X1133" s="6">
        <f>IF(ISERROR(VLOOKUP($U$1133,'TAR FIN'!$A$1:$O$113,15,0)),0,VLOOKUP($U$1133,'TAR FIN'!$A$1:$O$113,15,0))</f>
        <v>292.36</v>
      </c>
      <c r="Y1133" s="6"/>
      <c r="Z1133" s="6">
        <f ca="1">('TUSD BE'!$AM$68+'TUSD BF_350'!$AM$68+'TUSD CVA'!$AM$68)*1</f>
        <v>409.13</v>
      </c>
      <c r="AA1133" s="6">
        <f ca="1">('TE BE'!$AB$46+'TE BF_350'!$AB$46+'TE CVA'!$AB$46)*1</f>
        <v>244</v>
      </c>
      <c r="AB1133" s="6">
        <f>$K$1133*$V$1133</f>
        <v>0</v>
      </c>
      <c r="AC1133" s="6">
        <f>$M$1133*$W$1133</f>
        <v>104084.2803</v>
      </c>
      <c r="AD1133" s="6">
        <f>$O$1133*$X$1133</f>
        <v>101332.26836</v>
      </c>
      <c r="AE1133" s="6">
        <f>$K$1133*$Y$1133</f>
        <v>0</v>
      </c>
      <c r="AF1133" s="6">
        <f ca="1">$M$1133*$Z$1133</f>
        <v>141804.86713</v>
      </c>
      <c r="AG1133" s="6">
        <f ca="1">$O$1133*$AA$1133</f>
        <v>84570.644</v>
      </c>
    </row>
    <row r="1134" spans="1:33" ht="11.25" customHeight="1" x14ac:dyDescent="0.3">
      <c r="A1134" s="4" t="s">
        <v>21</v>
      </c>
      <c r="B1134" s="4" t="s">
        <v>37</v>
      </c>
      <c r="C1134" s="4" t="s">
        <v>23</v>
      </c>
      <c r="D1134" s="4" t="s">
        <v>50</v>
      </c>
      <c r="E1134" s="4" t="s">
        <v>51</v>
      </c>
      <c r="F1134" s="4" t="s">
        <v>25</v>
      </c>
      <c r="G1134" s="4" t="s">
        <v>25</v>
      </c>
      <c r="H1134" s="4" t="s">
        <v>25</v>
      </c>
      <c r="I1134" s="5">
        <v>44501</v>
      </c>
      <c r="J1134" s="6">
        <v>0</v>
      </c>
      <c r="K1134" s="53">
        <v>0</v>
      </c>
      <c r="L1134" s="6">
        <v>114.953</v>
      </c>
      <c r="M1134" s="53">
        <v>114.953</v>
      </c>
      <c r="N1134" s="6">
        <v>114.953</v>
      </c>
      <c r="O1134" s="53">
        <v>114.953</v>
      </c>
      <c r="P1134" s="6">
        <v>122</v>
      </c>
      <c r="Q1134" s="4" t="s">
        <v>26</v>
      </c>
      <c r="R1134" s="4">
        <v>0</v>
      </c>
      <c r="S1134" s="6">
        <v>0</v>
      </c>
      <c r="T1134" s="6">
        <v>63</v>
      </c>
      <c r="U1134" s="6">
        <v>91</v>
      </c>
      <c r="V1134" s="53">
        <f>IF(ISERROR(VLOOKUP($S$1134,'TAR FIN'!$A$1:$O$113,15,0)),0,VLOOKUP($S$1134,'TAR FIN'!$A$1:$O$113,15,0))</f>
        <v>0</v>
      </c>
      <c r="W1134" s="53">
        <f>IF(ISERROR(VLOOKUP($T$1134,'TAR FIN'!$A$1:$O$113,15,0)),0,VLOOKUP($T$1134,'TAR FIN'!$A$1:$O$113,15,0))*(1-0.06)</f>
        <v>282.28199999999998</v>
      </c>
      <c r="X1134" s="53">
        <f>IF(ISERROR(VLOOKUP($U$1134,'TAR FIN'!$A$1:$O$113,15,0)),0,VLOOKUP($U$1134,'TAR FIN'!$A$1:$O$113,15,0))*(1-0.06)</f>
        <v>274.8184</v>
      </c>
      <c r="Y1134" s="53"/>
      <c r="Z1134" s="53">
        <f ca="1">('TUSD BE'!$AM$68+'TUSD BF_350'!$AM$68+'TUSD CVA'!$AM$68)*1*(1-0.03)</f>
        <v>396.85609999999997</v>
      </c>
      <c r="AA1134" s="53">
        <f ca="1">('TE BE'!$AB$46+'TE BF_350'!$AB$46+'TE CVA'!$AB$46)*1*(1-0.03)</f>
        <v>236.68</v>
      </c>
      <c r="AB1134" s="6">
        <f>$K$1134*$V$1134</f>
        <v>0</v>
      </c>
      <c r="AC1134" s="6">
        <f>$M$1134*$W$1134</f>
        <v>32449.162745999998</v>
      </c>
      <c r="AD1134" s="6">
        <f>$O$1134*$X$1134</f>
        <v>31591.199535200001</v>
      </c>
      <c r="AE1134" s="6">
        <f>$K$1134*$Y$1134</f>
        <v>0</v>
      </c>
      <c r="AF1134" s="6">
        <f ca="1">$M$1134*$Z$1134</f>
        <v>45619.799263299996</v>
      </c>
      <c r="AG1134" s="6">
        <f ca="1">$O$1134*$AA$1134</f>
        <v>27207.07604</v>
      </c>
    </row>
    <row r="1135" spans="1:33" ht="11.25" customHeight="1" x14ac:dyDescent="0.3">
      <c r="A1135" s="4" t="s">
        <v>21</v>
      </c>
      <c r="B1135" s="4" t="s">
        <v>37</v>
      </c>
      <c r="C1135" s="4" t="s">
        <v>23</v>
      </c>
      <c r="D1135" s="4" t="s">
        <v>50</v>
      </c>
      <c r="E1135" s="4" t="s">
        <v>51</v>
      </c>
      <c r="F1135" s="4" t="s">
        <v>25</v>
      </c>
      <c r="G1135" s="4" t="s">
        <v>25</v>
      </c>
      <c r="H1135" s="4" t="s">
        <v>25</v>
      </c>
      <c r="I1135" s="5">
        <v>44531</v>
      </c>
      <c r="J1135" s="6">
        <v>0</v>
      </c>
      <c r="K1135" s="53">
        <v>0</v>
      </c>
      <c r="L1135" s="6">
        <v>122.25</v>
      </c>
      <c r="M1135" s="53">
        <v>122.25</v>
      </c>
      <c r="N1135" s="6">
        <v>122.25</v>
      </c>
      <c r="O1135" s="53">
        <v>122.25</v>
      </c>
      <c r="P1135" s="6">
        <v>120</v>
      </c>
      <c r="Q1135" s="4" t="s">
        <v>26</v>
      </c>
      <c r="R1135" s="4">
        <v>0</v>
      </c>
      <c r="S1135" s="6">
        <v>0</v>
      </c>
      <c r="T1135" s="6">
        <v>63</v>
      </c>
      <c r="U1135" s="6">
        <v>91</v>
      </c>
      <c r="V1135" s="53">
        <f>IF(ISERROR(VLOOKUP($S$1135,'TAR FIN'!$A$1:$O$113,15,0)),0,VLOOKUP($S$1135,'TAR FIN'!$A$1:$O$113,15,0))</f>
        <v>0</v>
      </c>
      <c r="W1135" s="53">
        <f>IF(ISERROR(VLOOKUP($T$1135,'TAR FIN'!$A$1:$O$113,15,0)),0,VLOOKUP($T$1135,'TAR FIN'!$A$1:$O$113,15,0))*(1-0.06)</f>
        <v>282.28199999999998</v>
      </c>
      <c r="X1135" s="53">
        <f>IF(ISERROR(VLOOKUP($U$1135,'TAR FIN'!$A$1:$O$113,15,0)),0,VLOOKUP($U$1135,'TAR FIN'!$A$1:$O$113,15,0))*(1-0.06)</f>
        <v>274.8184</v>
      </c>
      <c r="Y1135" s="53"/>
      <c r="Z1135" s="53">
        <f ca="1">('TUSD BE'!$AM$68+'TUSD BF_350'!$AM$68+'TUSD CVA'!$AM$68)*1*(1-0.03)</f>
        <v>396.85609999999997</v>
      </c>
      <c r="AA1135" s="53">
        <f ca="1">('TE BE'!$AB$46+'TE BF_350'!$AB$46+'TE CVA'!$AB$46)*1*(1-0.03)</f>
        <v>236.68</v>
      </c>
      <c r="AB1135" s="6">
        <f>$K$1135*$V$1135</f>
        <v>0</v>
      </c>
      <c r="AC1135" s="6">
        <f>$M$1135*$W$1135</f>
        <v>34508.974499999997</v>
      </c>
      <c r="AD1135" s="6">
        <f>$O$1135*$X$1135</f>
        <v>33596.549399999996</v>
      </c>
      <c r="AE1135" s="6">
        <f>$K$1135*$Y$1135</f>
        <v>0</v>
      </c>
      <c r="AF1135" s="6">
        <f ca="1">$M$1135*$Z$1135</f>
        <v>48515.658224999999</v>
      </c>
      <c r="AG1135" s="6">
        <f ca="1">$O$1135*$AA$1135</f>
        <v>28934.13</v>
      </c>
    </row>
    <row r="1136" spans="1:33" ht="11.25" customHeight="1" x14ac:dyDescent="0.3">
      <c r="A1136" s="4" t="s">
        <v>21</v>
      </c>
      <c r="B1136" s="4" t="s">
        <v>37</v>
      </c>
      <c r="C1136" s="4" t="s">
        <v>23</v>
      </c>
      <c r="D1136" s="4" t="s">
        <v>50</v>
      </c>
      <c r="E1136" s="4" t="s">
        <v>51</v>
      </c>
      <c r="F1136" s="4" t="s">
        <v>25</v>
      </c>
      <c r="G1136" s="4" t="s">
        <v>25</v>
      </c>
      <c r="H1136" s="4" t="s">
        <v>25</v>
      </c>
      <c r="I1136" s="5">
        <v>44562</v>
      </c>
      <c r="J1136" s="6">
        <v>0</v>
      </c>
      <c r="K1136" s="53">
        <v>0</v>
      </c>
      <c r="L1136" s="6">
        <v>137.76900000000001</v>
      </c>
      <c r="M1136" s="53">
        <v>137.76900000000001</v>
      </c>
      <c r="N1136" s="6">
        <v>137.76900000000001</v>
      </c>
      <c r="O1136" s="53">
        <v>137.76900000000001</v>
      </c>
      <c r="P1136" s="6">
        <v>120</v>
      </c>
      <c r="Q1136" s="4" t="s">
        <v>26</v>
      </c>
      <c r="R1136" s="4">
        <v>0</v>
      </c>
      <c r="S1136" s="6">
        <v>0</v>
      </c>
      <c r="T1136" s="6">
        <v>63</v>
      </c>
      <c r="U1136" s="6">
        <v>91</v>
      </c>
      <c r="V1136" s="53">
        <f>IF(ISERROR(VLOOKUP($S$1136,'TAR FIN'!$A$1:$O$113,15,0)),0,VLOOKUP($S$1136,'TAR FIN'!$A$1:$O$113,15,0))</f>
        <v>0</v>
      </c>
      <c r="W1136" s="53">
        <f>IF(ISERROR(VLOOKUP($T$1136,'TAR FIN'!$A$1:$O$113,15,0)),0,VLOOKUP($T$1136,'TAR FIN'!$A$1:$O$113,15,0))*(1-0.06)</f>
        <v>282.28199999999998</v>
      </c>
      <c r="X1136" s="53">
        <f>IF(ISERROR(VLOOKUP($U$1136,'TAR FIN'!$A$1:$O$113,15,0)),0,VLOOKUP($U$1136,'TAR FIN'!$A$1:$O$113,15,0))*(1-0.06)</f>
        <v>274.8184</v>
      </c>
      <c r="Y1136" s="53"/>
      <c r="Z1136" s="53">
        <f ca="1">('TUSD BE'!$AM$68+'TUSD BF_350'!$AM$68+'TUSD CVA'!$AM$68)*1*(1-0.03)</f>
        <v>396.85609999999997</v>
      </c>
      <c r="AA1136" s="53">
        <f ca="1">('TE BE'!$AB$46+'TE BF_350'!$AB$46+'TE CVA'!$AB$46)*1*(1-0.03)</f>
        <v>236.68</v>
      </c>
      <c r="AB1136" s="6">
        <f>$K$1136*$V$1136</f>
        <v>0</v>
      </c>
      <c r="AC1136" s="6">
        <f>$M$1136*$W$1136</f>
        <v>38889.708857999998</v>
      </c>
      <c r="AD1136" s="6">
        <f>$O$1136*$X$1136</f>
        <v>37861.456149600002</v>
      </c>
      <c r="AE1136" s="6">
        <f>$K$1136*$Y$1136</f>
        <v>0</v>
      </c>
      <c r="AF1136" s="6">
        <f ca="1">$M$1136*$Z$1136</f>
        <v>54674.468040899999</v>
      </c>
      <c r="AG1136" s="6">
        <f ca="1">$O$1136*$AA$1136</f>
        <v>32607.166920000003</v>
      </c>
    </row>
    <row r="1137" spans="1:33" ht="11.25" customHeight="1" x14ac:dyDescent="0.3">
      <c r="A1137" s="4" t="s">
        <v>21</v>
      </c>
      <c r="B1137" s="4" t="s">
        <v>37</v>
      </c>
      <c r="C1137" s="4" t="s">
        <v>23</v>
      </c>
      <c r="D1137" s="4" t="s">
        <v>50</v>
      </c>
      <c r="E1137" s="4" t="s">
        <v>51</v>
      </c>
      <c r="F1137" s="4" t="s">
        <v>25</v>
      </c>
      <c r="G1137" s="4" t="s">
        <v>25</v>
      </c>
      <c r="H1137" s="4" t="s">
        <v>25</v>
      </c>
      <c r="I1137" s="5">
        <v>44593</v>
      </c>
      <c r="J1137" s="6">
        <v>0</v>
      </c>
      <c r="K1137" s="53">
        <v>0</v>
      </c>
      <c r="L1137" s="6">
        <v>125.75700000000001</v>
      </c>
      <c r="M1137" s="53">
        <v>125.75700000000001</v>
      </c>
      <c r="N1137" s="6">
        <v>125.75700000000001</v>
      </c>
      <c r="O1137" s="53">
        <v>125.75700000000001</v>
      </c>
      <c r="P1137" s="6">
        <v>120</v>
      </c>
      <c r="Q1137" s="4" t="s">
        <v>26</v>
      </c>
      <c r="R1137" s="4">
        <v>0</v>
      </c>
      <c r="S1137" s="6">
        <v>0</v>
      </c>
      <c r="T1137" s="6">
        <v>63</v>
      </c>
      <c r="U1137" s="6">
        <v>91</v>
      </c>
      <c r="V1137" s="53">
        <f>IF(ISERROR(VLOOKUP($S$1137,'TAR FIN'!$A$1:$O$113,15,0)),0,VLOOKUP($S$1137,'TAR FIN'!$A$1:$O$113,15,0))</f>
        <v>0</v>
      </c>
      <c r="W1137" s="53">
        <f>IF(ISERROR(VLOOKUP($T$1137,'TAR FIN'!$A$1:$O$113,15,0)),0,VLOOKUP($T$1137,'TAR FIN'!$A$1:$O$113,15,0))*(1-0.06)</f>
        <v>282.28199999999998</v>
      </c>
      <c r="X1137" s="53">
        <f>IF(ISERROR(VLOOKUP($U$1137,'TAR FIN'!$A$1:$O$113,15,0)),0,VLOOKUP($U$1137,'TAR FIN'!$A$1:$O$113,15,0))*(1-0.06)</f>
        <v>274.8184</v>
      </c>
      <c r="Y1137" s="53"/>
      <c r="Z1137" s="53">
        <f ca="1">('TUSD BE'!$AM$68+'TUSD BF_350'!$AM$68+'TUSD CVA'!$AM$68)*1*(1-0.03)</f>
        <v>396.85609999999997</v>
      </c>
      <c r="AA1137" s="53">
        <f ca="1">('TE BE'!$AB$46+'TE BF_350'!$AB$46+'TE CVA'!$AB$46)*1*(1-0.03)</f>
        <v>236.68</v>
      </c>
      <c r="AB1137" s="6">
        <f>$K$1137*$V$1137</f>
        <v>0</v>
      </c>
      <c r="AC1137" s="6">
        <f>$M$1137*$W$1137</f>
        <v>35498.937473999998</v>
      </c>
      <c r="AD1137" s="6">
        <f>$O$1137*$X$1137</f>
        <v>34560.337528800002</v>
      </c>
      <c r="AE1137" s="6">
        <f>$K$1137*$Y$1137</f>
        <v>0</v>
      </c>
      <c r="AF1137" s="6">
        <f ca="1">$M$1137*$Z$1137</f>
        <v>49907.432567700002</v>
      </c>
      <c r="AG1137" s="6">
        <f ca="1">$O$1137*$AA$1137</f>
        <v>29764.166760000004</v>
      </c>
    </row>
    <row r="1138" spans="1:33" ht="11.25" customHeight="1" x14ac:dyDescent="0.3">
      <c r="A1138" s="4" t="s">
        <v>21</v>
      </c>
      <c r="B1138" s="4" t="s">
        <v>37</v>
      </c>
      <c r="C1138" s="4" t="s">
        <v>23</v>
      </c>
      <c r="D1138" s="4" t="s">
        <v>50</v>
      </c>
      <c r="E1138" s="4" t="s">
        <v>51</v>
      </c>
      <c r="F1138" s="4" t="s">
        <v>25</v>
      </c>
      <c r="G1138" s="4" t="s">
        <v>25</v>
      </c>
      <c r="H1138" s="4" t="s">
        <v>25</v>
      </c>
      <c r="I1138" s="5">
        <v>44621</v>
      </c>
      <c r="J1138" s="6">
        <v>0</v>
      </c>
      <c r="K1138" s="53">
        <v>0</v>
      </c>
      <c r="L1138" s="6">
        <v>128.351</v>
      </c>
      <c r="M1138" s="53">
        <v>128.351</v>
      </c>
      <c r="N1138" s="6">
        <v>128.351</v>
      </c>
      <c r="O1138" s="53">
        <v>128.351</v>
      </c>
      <c r="P1138" s="6">
        <v>121</v>
      </c>
      <c r="Q1138" s="4" t="s">
        <v>26</v>
      </c>
      <c r="R1138" s="4">
        <v>0</v>
      </c>
      <c r="S1138" s="6">
        <v>0</v>
      </c>
      <c r="T1138" s="6">
        <v>63</v>
      </c>
      <c r="U1138" s="6">
        <v>91</v>
      </c>
      <c r="V1138" s="53">
        <f>IF(ISERROR(VLOOKUP($S$1138,'TAR FIN'!$A$1:$O$113,15,0)),0,VLOOKUP($S$1138,'TAR FIN'!$A$1:$O$113,15,0))</f>
        <v>0</v>
      </c>
      <c r="W1138" s="53">
        <f>IF(ISERROR(VLOOKUP($T$1138,'TAR FIN'!$A$1:$O$113,15,0)),0,VLOOKUP($T$1138,'TAR FIN'!$A$1:$O$113,15,0))*(1-0.06)</f>
        <v>282.28199999999998</v>
      </c>
      <c r="X1138" s="53">
        <f>IF(ISERROR(VLOOKUP($U$1138,'TAR FIN'!$A$1:$O$113,15,0)),0,VLOOKUP($U$1138,'TAR FIN'!$A$1:$O$113,15,0))*(1-0.06)</f>
        <v>274.8184</v>
      </c>
      <c r="Y1138" s="53"/>
      <c r="Z1138" s="53">
        <f ca="1">('TUSD BE'!$AM$68+'TUSD BF_350'!$AM$68+'TUSD CVA'!$AM$68)*1*(1-0.03)</f>
        <v>396.85609999999997</v>
      </c>
      <c r="AA1138" s="53">
        <f ca="1">('TE BE'!$AB$46+'TE BF_350'!$AB$46+'TE CVA'!$AB$46)*1*(1-0.03)</f>
        <v>236.68</v>
      </c>
      <c r="AB1138" s="6">
        <f>$K$1138*$V$1138</f>
        <v>0</v>
      </c>
      <c r="AC1138" s="6">
        <f>$M$1138*$W$1138</f>
        <v>36231.176981999997</v>
      </c>
      <c r="AD1138" s="6">
        <f>$O$1138*$X$1138</f>
        <v>35273.216458399998</v>
      </c>
      <c r="AE1138" s="6">
        <f>$K$1138*$Y$1138</f>
        <v>0</v>
      </c>
      <c r="AF1138" s="6">
        <f ca="1">$M$1138*$Z$1138</f>
        <v>50936.877291099998</v>
      </c>
      <c r="AG1138" s="6">
        <f ca="1">$O$1138*$AA$1138</f>
        <v>30378.114680000002</v>
      </c>
    </row>
    <row r="1139" spans="1:33" ht="11.25" customHeight="1" x14ac:dyDescent="0.3">
      <c r="A1139" s="4" t="s">
        <v>21</v>
      </c>
      <c r="B1139" s="4" t="s">
        <v>37</v>
      </c>
      <c r="C1139" s="4" t="s">
        <v>23</v>
      </c>
      <c r="D1139" s="4" t="s">
        <v>50</v>
      </c>
      <c r="E1139" s="4" t="s">
        <v>51</v>
      </c>
      <c r="F1139" s="4" t="s">
        <v>25</v>
      </c>
      <c r="G1139" s="4" t="s">
        <v>25</v>
      </c>
      <c r="H1139" s="4" t="s">
        <v>25</v>
      </c>
      <c r="I1139" s="5">
        <v>44652</v>
      </c>
      <c r="J1139" s="6">
        <v>0</v>
      </c>
      <c r="K1139" s="53">
        <v>0</v>
      </c>
      <c r="L1139" s="6">
        <v>109.29300000000001</v>
      </c>
      <c r="M1139" s="53">
        <v>109.29300000000001</v>
      </c>
      <c r="N1139" s="6">
        <v>109.29300000000001</v>
      </c>
      <c r="O1139" s="53">
        <v>109.29300000000001</v>
      </c>
      <c r="P1139" s="6">
        <v>122</v>
      </c>
      <c r="Q1139" s="4" t="s">
        <v>26</v>
      </c>
      <c r="R1139" s="4">
        <v>0</v>
      </c>
      <c r="S1139" s="6">
        <v>0</v>
      </c>
      <c r="T1139" s="6">
        <v>63</v>
      </c>
      <c r="U1139" s="6">
        <v>91</v>
      </c>
      <c r="V1139" s="53">
        <f>IF(ISERROR(VLOOKUP($S$1139,'TAR FIN'!$A$1:$O$113,15,0)),0,VLOOKUP($S$1139,'TAR FIN'!$A$1:$O$113,15,0))</f>
        <v>0</v>
      </c>
      <c r="W1139" s="53">
        <f>IF(ISERROR(VLOOKUP($T$1139,'TAR FIN'!$A$1:$O$113,15,0)),0,VLOOKUP($T$1139,'TAR FIN'!$A$1:$O$113,15,0))*(1-0.06)</f>
        <v>282.28199999999998</v>
      </c>
      <c r="X1139" s="53">
        <f>IF(ISERROR(VLOOKUP($U$1139,'TAR FIN'!$A$1:$O$113,15,0)),0,VLOOKUP($U$1139,'TAR FIN'!$A$1:$O$113,15,0))*(1-0.06)</f>
        <v>274.8184</v>
      </c>
      <c r="Y1139" s="53"/>
      <c r="Z1139" s="53">
        <f ca="1">('TUSD BE'!$AM$68+'TUSD BF_350'!$AM$68+'TUSD CVA'!$AM$68)*1*(1-0.03)</f>
        <v>396.85609999999997</v>
      </c>
      <c r="AA1139" s="53">
        <f ca="1">('TE BE'!$AB$46+'TE BF_350'!$AB$46+'TE CVA'!$AB$46)*1*(1-0.03)</f>
        <v>236.68</v>
      </c>
      <c r="AB1139" s="6">
        <f>$K$1139*$V$1139</f>
        <v>0</v>
      </c>
      <c r="AC1139" s="6">
        <f>$M$1139*$W$1139</f>
        <v>30851.446626000001</v>
      </c>
      <c r="AD1139" s="6">
        <f>$O$1139*$X$1139</f>
        <v>30035.727391200002</v>
      </c>
      <c r="AE1139" s="6">
        <f>$K$1139*$Y$1139</f>
        <v>0</v>
      </c>
      <c r="AF1139" s="6">
        <f ca="1">$M$1139*$Z$1139</f>
        <v>43373.593737299998</v>
      </c>
      <c r="AG1139" s="6">
        <f ca="1">$O$1139*$AA$1139</f>
        <v>25867.467240000002</v>
      </c>
    </row>
    <row r="1140" spans="1:33" ht="11.25" customHeight="1" x14ac:dyDescent="0.3">
      <c r="A1140" s="4" t="s">
        <v>21</v>
      </c>
      <c r="B1140" s="4" t="s">
        <v>37</v>
      </c>
      <c r="C1140" s="4" t="s">
        <v>23</v>
      </c>
      <c r="D1140" s="4" t="s">
        <v>50</v>
      </c>
      <c r="E1140" s="4" t="s">
        <v>51</v>
      </c>
      <c r="F1140" s="4" t="s">
        <v>25</v>
      </c>
      <c r="G1140" s="4" t="s">
        <v>25</v>
      </c>
      <c r="H1140" s="4" t="s">
        <v>25</v>
      </c>
      <c r="I1140" s="5">
        <v>44682</v>
      </c>
      <c r="J1140" s="6">
        <v>0</v>
      </c>
      <c r="K1140" s="53">
        <v>0</v>
      </c>
      <c r="L1140" s="6">
        <v>105.45</v>
      </c>
      <c r="M1140" s="53">
        <v>105.45</v>
      </c>
      <c r="N1140" s="6">
        <v>105.45</v>
      </c>
      <c r="O1140" s="53">
        <v>105.45</v>
      </c>
      <c r="P1140" s="6">
        <v>121</v>
      </c>
      <c r="Q1140" s="4" t="s">
        <v>26</v>
      </c>
      <c r="R1140" s="4">
        <v>0</v>
      </c>
      <c r="S1140" s="6">
        <v>0</v>
      </c>
      <c r="T1140" s="6">
        <v>63</v>
      </c>
      <c r="U1140" s="6">
        <v>91</v>
      </c>
      <c r="V1140" s="53">
        <f>IF(ISERROR(VLOOKUP($S$1140,'TAR FIN'!$A$1:$O$113,15,0)),0,VLOOKUP($S$1140,'TAR FIN'!$A$1:$O$113,15,0))</f>
        <v>0</v>
      </c>
      <c r="W1140" s="53">
        <f>IF(ISERROR(VLOOKUP($T$1140,'TAR FIN'!$A$1:$O$113,15,0)),0,VLOOKUP($T$1140,'TAR FIN'!$A$1:$O$113,15,0))*(1-0.06)</f>
        <v>282.28199999999998</v>
      </c>
      <c r="X1140" s="53">
        <f>IF(ISERROR(VLOOKUP($U$1140,'TAR FIN'!$A$1:$O$113,15,0)),0,VLOOKUP($U$1140,'TAR FIN'!$A$1:$O$113,15,0))*(1-0.06)</f>
        <v>274.8184</v>
      </c>
      <c r="Y1140" s="53"/>
      <c r="Z1140" s="53">
        <f ca="1">('TUSD BE'!$AM$68+'TUSD BF_350'!$AM$68+'TUSD CVA'!$AM$68)*1*(1-0.03)</f>
        <v>396.85609999999997</v>
      </c>
      <c r="AA1140" s="53">
        <f ca="1">('TE BE'!$AB$46+'TE BF_350'!$AB$46+'TE CVA'!$AB$46)*1*(1-0.03)</f>
        <v>236.68</v>
      </c>
      <c r="AB1140" s="6">
        <f>$K$1140*$V$1140</f>
        <v>0</v>
      </c>
      <c r="AC1140" s="6">
        <f>$M$1140*$W$1140</f>
        <v>29766.636899999998</v>
      </c>
      <c r="AD1140" s="6">
        <f>$O$1140*$X$1140</f>
        <v>28979.600279999999</v>
      </c>
      <c r="AE1140" s="6">
        <f>$K$1140*$Y$1140</f>
        <v>0</v>
      </c>
      <c r="AF1140" s="6">
        <f ca="1">$M$1140*$Z$1140</f>
        <v>41848.475744999996</v>
      </c>
      <c r="AG1140" s="6">
        <f ca="1">$O$1140*$AA$1140</f>
        <v>24957.906000000003</v>
      </c>
    </row>
    <row r="1141" spans="1:33" ht="11.25" customHeight="1" x14ac:dyDescent="0.3">
      <c r="A1141" s="4" t="s">
        <v>21</v>
      </c>
      <c r="B1141" s="4" t="s">
        <v>37</v>
      </c>
      <c r="C1141" s="4" t="s">
        <v>23</v>
      </c>
      <c r="D1141" s="4" t="s">
        <v>50</v>
      </c>
      <c r="E1141" s="4" t="s">
        <v>51</v>
      </c>
      <c r="F1141" s="4" t="s">
        <v>25</v>
      </c>
      <c r="G1141" s="4" t="s">
        <v>25</v>
      </c>
      <c r="H1141" s="4" t="s">
        <v>25</v>
      </c>
      <c r="I1141" s="5">
        <v>44713</v>
      </c>
      <c r="J1141" s="6">
        <v>0</v>
      </c>
      <c r="K1141" s="53">
        <v>0</v>
      </c>
      <c r="L1141" s="6">
        <v>112.964</v>
      </c>
      <c r="M1141" s="53">
        <v>112.964</v>
      </c>
      <c r="N1141" s="6">
        <v>112.964</v>
      </c>
      <c r="O1141" s="53">
        <v>112.964</v>
      </c>
      <c r="P1141" s="6">
        <v>122</v>
      </c>
      <c r="Q1141" s="4" t="s">
        <v>26</v>
      </c>
      <c r="R1141" s="4">
        <v>0</v>
      </c>
      <c r="S1141" s="6">
        <v>0</v>
      </c>
      <c r="T1141" s="6">
        <v>63</v>
      </c>
      <c r="U1141" s="6">
        <v>91</v>
      </c>
      <c r="V1141" s="53">
        <f>IF(ISERROR(VLOOKUP($S$1141,'TAR FIN'!$A$1:$O$113,15,0)),0,VLOOKUP($S$1141,'TAR FIN'!$A$1:$O$113,15,0))</f>
        <v>0</v>
      </c>
      <c r="W1141" s="53">
        <f>IF(ISERROR(VLOOKUP($T$1141,'TAR FIN'!$A$1:$O$113,15,0)),0,VLOOKUP($T$1141,'TAR FIN'!$A$1:$O$113,15,0))*(1-0.06)</f>
        <v>282.28199999999998</v>
      </c>
      <c r="X1141" s="53">
        <f>IF(ISERROR(VLOOKUP($U$1141,'TAR FIN'!$A$1:$O$113,15,0)),0,VLOOKUP($U$1141,'TAR FIN'!$A$1:$O$113,15,0))*(1-0.06)</f>
        <v>274.8184</v>
      </c>
      <c r="Y1141" s="53"/>
      <c r="Z1141" s="53">
        <f ca="1">('TUSD BE'!$AM$68+'TUSD BF_350'!$AM$68+'TUSD CVA'!$AM$68)*1*(1-0.03)</f>
        <v>396.85609999999997</v>
      </c>
      <c r="AA1141" s="53">
        <f ca="1">('TE BE'!$AB$46+'TE BF_350'!$AB$46+'TE CVA'!$AB$46)*1*(1-0.03)</f>
        <v>236.68</v>
      </c>
      <c r="AB1141" s="6">
        <f>$K$1141*$V$1141</f>
        <v>0</v>
      </c>
      <c r="AC1141" s="6">
        <f>$M$1141*$W$1141</f>
        <v>31887.703847999997</v>
      </c>
      <c r="AD1141" s="6">
        <f>$O$1141*$X$1141</f>
        <v>31044.585737599999</v>
      </c>
      <c r="AE1141" s="6">
        <f>$K$1141*$Y$1141</f>
        <v>0</v>
      </c>
      <c r="AF1141" s="6">
        <f ca="1">$M$1141*$Z$1141</f>
        <v>44830.452480399996</v>
      </c>
      <c r="AG1141" s="6">
        <f ca="1">$O$1141*$AA$1141</f>
        <v>26736.319520000001</v>
      </c>
    </row>
    <row r="1142" spans="1:33" ht="11.25" customHeight="1" x14ac:dyDescent="0.3">
      <c r="A1142" s="4" t="s">
        <v>21</v>
      </c>
      <c r="B1142" s="4" t="s">
        <v>37</v>
      </c>
      <c r="C1142" s="4" t="s">
        <v>23</v>
      </c>
      <c r="D1142" s="4" t="s">
        <v>50</v>
      </c>
      <c r="E1142" s="4" t="s">
        <v>51</v>
      </c>
      <c r="F1142" s="4" t="s">
        <v>25</v>
      </c>
      <c r="G1142" s="4" t="s">
        <v>25</v>
      </c>
      <c r="H1142" s="4" t="s">
        <v>25</v>
      </c>
      <c r="I1142" s="5">
        <v>44743</v>
      </c>
      <c r="J1142" s="6">
        <v>0</v>
      </c>
      <c r="K1142" s="53">
        <v>0</v>
      </c>
      <c r="L1142" s="6">
        <v>130.761</v>
      </c>
      <c r="M1142" s="53">
        <v>130.761</v>
      </c>
      <c r="N1142" s="6">
        <v>130.761</v>
      </c>
      <c r="O1142" s="53">
        <v>130.761</v>
      </c>
      <c r="P1142" s="6">
        <v>122</v>
      </c>
      <c r="Q1142" s="4" t="s">
        <v>26</v>
      </c>
      <c r="R1142" s="4">
        <v>0</v>
      </c>
      <c r="S1142" s="6">
        <v>0</v>
      </c>
      <c r="T1142" s="6">
        <v>63</v>
      </c>
      <c r="U1142" s="6">
        <v>91</v>
      </c>
      <c r="V1142" s="53">
        <f>IF(ISERROR(VLOOKUP($S$1142,'TAR FIN'!$A$1:$O$113,15,0)),0,VLOOKUP($S$1142,'TAR FIN'!$A$1:$O$113,15,0))</f>
        <v>0</v>
      </c>
      <c r="W1142" s="53">
        <f>IF(ISERROR(VLOOKUP($T$1142,'TAR FIN'!$A$1:$O$113,15,0)),0,VLOOKUP($T$1142,'TAR FIN'!$A$1:$O$113,15,0))*(1-0.06)</f>
        <v>282.28199999999998</v>
      </c>
      <c r="X1142" s="53">
        <f>IF(ISERROR(VLOOKUP($U$1142,'TAR FIN'!$A$1:$O$113,15,0)),0,VLOOKUP($U$1142,'TAR FIN'!$A$1:$O$113,15,0))*(1-0.06)</f>
        <v>274.8184</v>
      </c>
      <c r="Y1142" s="53"/>
      <c r="Z1142" s="53">
        <f ca="1">('TUSD BE'!$AM$68+'TUSD BF_350'!$AM$68+'TUSD CVA'!$AM$68)*1*(1-0.03)</f>
        <v>396.85609999999997</v>
      </c>
      <c r="AA1142" s="53">
        <f ca="1">('TE BE'!$AB$46+'TE BF_350'!$AB$46+'TE CVA'!$AB$46)*1*(1-0.03)</f>
        <v>236.68</v>
      </c>
      <c r="AB1142" s="6">
        <f>$K$1142*$V$1142</f>
        <v>0</v>
      </c>
      <c r="AC1142" s="6">
        <f>$M$1142*$W$1142</f>
        <v>36911.476601999995</v>
      </c>
      <c r="AD1142" s="6">
        <f>$O$1142*$X$1142</f>
        <v>35935.528802399996</v>
      </c>
      <c r="AE1142" s="6">
        <f>$K$1142*$Y$1142</f>
        <v>0</v>
      </c>
      <c r="AF1142" s="6">
        <f ca="1">$M$1142*$Z$1142</f>
        <v>51893.300492099996</v>
      </c>
      <c r="AG1142" s="6">
        <f ca="1">$O$1142*$AA$1142</f>
        <v>30948.513480000001</v>
      </c>
    </row>
    <row r="1143" spans="1:33" ht="11.25" customHeight="1" x14ac:dyDescent="0.3">
      <c r="A1143" s="4" t="s">
        <v>21</v>
      </c>
      <c r="B1143" s="4" t="s">
        <v>37</v>
      </c>
      <c r="C1143" s="4" t="s">
        <v>23</v>
      </c>
      <c r="D1143" s="4" t="s">
        <v>50</v>
      </c>
      <c r="E1143" s="4" t="s">
        <v>51</v>
      </c>
      <c r="F1143" s="4" t="s">
        <v>25</v>
      </c>
      <c r="G1143" s="4" t="s">
        <v>25</v>
      </c>
      <c r="H1143" s="4" t="s">
        <v>25</v>
      </c>
      <c r="I1143" s="5">
        <v>44774</v>
      </c>
      <c r="J1143" s="6">
        <v>0</v>
      </c>
      <c r="K1143" s="53">
        <v>0</v>
      </c>
      <c r="L1143" s="6">
        <v>112.88500000000001</v>
      </c>
      <c r="M1143" s="53">
        <v>112.88500000000001</v>
      </c>
      <c r="N1143" s="6">
        <v>112.88500000000001</v>
      </c>
      <c r="O1143" s="53">
        <v>112.88500000000001</v>
      </c>
      <c r="P1143" s="6">
        <v>122</v>
      </c>
      <c r="Q1143" s="4" t="s">
        <v>26</v>
      </c>
      <c r="R1143" s="4">
        <v>0</v>
      </c>
      <c r="S1143" s="6">
        <v>0</v>
      </c>
      <c r="T1143" s="6">
        <v>63</v>
      </c>
      <c r="U1143" s="6">
        <v>91</v>
      </c>
      <c r="V1143" s="53">
        <f>IF(ISERROR(VLOOKUP($S$1143,'TAR FIN'!$A$1:$O$113,15,0)),0,VLOOKUP($S$1143,'TAR FIN'!$A$1:$O$113,15,0))</f>
        <v>0</v>
      </c>
      <c r="W1143" s="53">
        <f>IF(ISERROR(VLOOKUP($T$1143,'TAR FIN'!$A$1:$O$113,15,0)),0,VLOOKUP($T$1143,'TAR FIN'!$A$1:$O$113,15,0))*(1-0.06)</f>
        <v>282.28199999999998</v>
      </c>
      <c r="X1143" s="53">
        <f>IF(ISERROR(VLOOKUP($U$1143,'TAR FIN'!$A$1:$O$113,15,0)),0,VLOOKUP($U$1143,'TAR FIN'!$A$1:$O$113,15,0))*(1-0.06)</f>
        <v>274.8184</v>
      </c>
      <c r="Y1143" s="53"/>
      <c r="Z1143" s="53">
        <f ca="1">('TUSD BE'!$AM$68+'TUSD BF_350'!$AM$68+'TUSD CVA'!$AM$68)*1*(1-0.03)</f>
        <v>396.85609999999997</v>
      </c>
      <c r="AA1143" s="53">
        <f ca="1">('TE BE'!$AB$46+'TE BF_350'!$AB$46+'TE CVA'!$AB$46)*1*(1-0.03)</f>
        <v>236.68</v>
      </c>
      <c r="AB1143" s="6">
        <f>$K$1143*$V$1143</f>
        <v>0</v>
      </c>
      <c r="AC1143" s="6">
        <f>$M$1143*$W$1143</f>
        <v>31865.403569999999</v>
      </c>
      <c r="AD1143" s="6">
        <f>$O$1143*$X$1143</f>
        <v>31022.875083999999</v>
      </c>
      <c r="AE1143" s="6">
        <f>$K$1143*$Y$1143</f>
        <v>0</v>
      </c>
      <c r="AF1143" s="6">
        <f ca="1">$M$1143*$Z$1143</f>
        <v>44799.100848499998</v>
      </c>
      <c r="AG1143" s="6">
        <f ca="1">$O$1143*$AA$1143</f>
        <v>26717.621800000001</v>
      </c>
    </row>
    <row r="1144" spans="1:33" ht="11.25" customHeight="1" x14ac:dyDescent="0.3">
      <c r="A1144" s="4" t="s">
        <v>21</v>
      </c>
      <c r="B1144" s="4" t="s">
        <v>37</v>
      </c>
      <c r="C1144" s="4" t="s">
        <v>23</v>
      </c>
      <c r="D1144" s="4" t="s">
        <v>50</v>
      </c>
      <c r="E1144" s="4" t="s">
        <v>51</v>
      </c>
      <c r="F1144" s="4" t="s">
        <v>25</v>
      </c>
      <c r="G1144" s="4" t="s">
        <v>25</v>
      </c>
      <c r="H1144" s="4" t="s">
        <v>25</v>
      </c>
      <c r="I1144" s="5">
        <v>44805</v>
      </c>
      <c r="J1144" s="6">
        <v>0</v>
      </c>
      <c r="K1144" s="53">
        <v>0</v>
      </c>
      <c r="L1144" s="6">
        <v>129.29</v>
      </c>
      <c r="M1144" s="53">
        <v>129.29</v>
      </c>
      <c r="N1144" s="6">
        <v>129.29</v>
      </c>
      <c r="O1144" s="53">
        <v>129.29</v>
      </c>
      <c r="P1144" s="6">
        <v>122</v>
      </c>
      <c r="Q1144" s="4" t="s">
        <v>26</v>
      </c>
      <c r="R1144" s="4">
        <v>0</v>
      </c>
      <c r="S1144" s="6">
        <v>0</v>
      </c>
      <c r="T1144" s="6">
        <v>63</v>
      </c>
      <c r="U1144" s="6">
        <v>91</v>
      </c>
      <c r="V1144" s="53">
        <f>IF(ISERROR(VLOOKUP($S$1144,'TAR FIN'!$A$1:$O$113,15,0)),0,VLOOKUP($S$1144,'TAR FIN'!$A$1:$O$113,15,0))</f>
        <v>0</v>
      </c>
      <c r="W1144" s="53">
        <f>IF(ISERROR(VLOOKUP($T$1144,'TAR FIN'!$A$1:$O$113,15,0)),0,VLOOKUP($T$1144,'TAR FIN'!$A$1:$O$113,15,0))*(1-0.06)</f>
        <v>282.28199999999998</v>
      </c>
      <c r="X1144" s="53">
        <f>IF(ISERROR(VLOOKUP($U$1144,'TAR FIN'!$A$1:$O$113,15,0)),0,VLOOKUP($U$1144,'TAR FIN'!$A$1:$O$113,15,0))*(1-0.06)</f>
        <v>274.8184</v>
      </c>
      <c r="Y1144" s="53"/>
      <c r="Z1144" s="53">
        <f ca="1">('TUSD BE'!$AM$68+'TUSD BF_350'!$AM$68+'TUSD CVA'!$AM$68)*1*(1-0.03)</f>
        <v>396.85609999999997</v>
      </c>
      <c r="AA1144" s="53">
        <f ca="1">('TE BE'!$AB$46+'TE BF_350'!$AB$46+'TE CVA'!$AB$46)*1*(1-0.03)</f>
        <v>236.68</v>
      </c>
      <c r="AB1144" s="6">
        <f>$K$1144*$V$1144</f>
        <v>0</v>
      </c>
      <c r="AC1144" s="6">
        <f>$M$1144*$W$1144</f>
        <v>36496.239779999996</v>
      </c>
      <c r="AD1144" s="6">
        <f>$O$1144*$X$1144</f>
        <v>35531.270936000001</v>
      </c>
      <c r="AE1144" s="6">
        <f>$K$1144*$Y$1144</f>
        <v>0</v>
      </c>
      <c r="AF1144" s="6">
        <f ca="1">$M$1144*$Z$1144</f>
        <v>51309.525168999993</v>
      </c>
      <c r="AG1144" s="6">
        <f ca="1">$O$1144*$AA$1144</f>
        <v>30600.357199999999</v>
      </c>
    </row>
    <row r="1145" spans="1:33" ht="11.25" customHeight="1" x14ac:dyDescent="0.3">
      <c r="A1145" s="4" t="s">
        <v>53</v>
      </c>
      <c r="B1145" s="4" t="s">
        <v>37</v>
      </c>
      <c r="C1145" s="4" t="s">
        <v>23</v>
      </c>
      <c r="D1145" s="4" t="s">
        <v>50</v>
      </c>
      <c r="E1145" s="4" t="s">
        <v>51</v>
      </c>
      <c r="F1145" s="4" t="s">
        <v>25</v>
      </c>
      <c r="G1145" s="4" t="s">
        <v>25</v>
      </c>
      <c r="H1145" s="4" t="s">
        <v>25</v>
      </c>
      <c r="I1145" s="5">
        <v>44835</v>
      </c>
      <c r="J1145" s="6">
        <v>0</v>
      </c>
      <c r="K1145" s="53">
        <v>0</v>
      </c>
      <c r="L1145" s="6">
        <v>129.29</v>
      </c>
      <c r="M1145" s="53">
        <v>129.29</v>
      </c>
      <c r="N1145" s="6">
        <v>129.29</v>
      </c>
      <c r="O1145" s="53">
        <v>129.29</v>
      </c>
      <c r="P1145" s="6">
        <v>122</v>
      </c>
      <c r="Q1145" s="4" t="s">
        <v>26</v>
      </c>
      <c r="R1145" s="4">
        <v>0</v>
      </c>
      <c r="S1145" s="6">
        <v>0</v>
      </c>
      <c r="T1145" s="6">
        <v>63</v>
      </c>
      <c r="U1145" s="6">
        <v>91</v>
      </c>
      <c r="V1145" s="53">
        <f>IF(ISERROR(VLOOKUP($S$1145,'TAR FIN'!$A$1:$O$113,15,0)),0,VLOOKUP($S$1145,'TAR FIN'!$A$1:$O$113,15,0))</f>
        <v>0</v>
      </c>
      <c r="W1145" s="53">
        <f>IF(ISERROR(VLOOKUP($T$1145,'TAR FIN'!$A$1:$O$113,15,0)),0,VLOOKUP($T$1145,'TAR FIN'!$A$1:$O$113,15,0))*(1-0.06)</f>
        <v>282.28199999999998</v>
      </c>
      <c r="X1145" s="53">
        <f>IF(ISERROR(VLOOKUP($U$1145,'TAR FIN'!$A$1:$O$113,15,0)),0,VLOOKUP($U$1145,'TAR FIN'!$A$1:$O$113,15,0))*(1-0.06)</f>
        <v>274.8184</v>
      </c>
      <c r="Y1145" s="53"/>
      <c r="Z1145" s="53">
        <f ca="1">('TUSD BE'!$AM$68+'TUSD BF_350'!$AM$68+'TUSD CVA'!$AM$68)*1*(1-0.03)</f>
        <v>396.85609999999997</v>
      </c>
      <c r="AA1145" s="53">
        <f ca="1">('TE BE'!$AB$46+'TE BF_350'!$AB$46+'TE CVA'!$AB$46)*1*(1-0.03)</f>
        <v>236.68</v>
      </c>
      <c r="AB1145" s="6">
        <f>$K$1145*$V$1145</f>
        <v>0</v>
      </c>
      <c r="AC1145" s="6">
        <f>$M$1145*$W$1145</f>
        <v>36496.239779999996</v>
      </c>
      <c r="AD1145" s="6">
        <f>$O$1145*$X$1145</f>
        <v>35531.270936000001</v>
      </c>
      <c r="AE1145" s="6">
        <f>$K$1145*$Y$1145</f>
        <v>0</v>
      </c>
      <c r="AF1145" s="6">
        <f ca="1">$M$1145*$Z$1145</f>
        <v>51309.525168999993</v>
      </c>
      <c r="AG1145" s="6">
        <f ca="1">$O$1145*$AA$1145</f>
        <v>30600.357199999999</v>
      </c>
    </row>
    <row r="1146" spans="1:33" ht="11.25" customHeight="1" x14ac:dyDescent="0.3">
      <c r="A1146" s="4" t="s">
        <v>21</v>
      </c>
      <c r="B1146" s="4" t="s">
        <v>47</v>
      </c>
      <c r="C1146" s="4" t="s">
        <v>23</v>
      </c>
      <c r="D1146" s="4" t="s">
        <v>48</v>
      </c>
      <c r="E1146" s="4" t="s">
        <v>49</v>
      </c>
      <c r="F1146" s="4" t="s">
        <v>25</v>
      </c>
      <c r="G1146" s="4" t="s">
        <v>25</v>
      </c>
      <c r="H1146" s="4" t="s">
        <v>25</v>
      </c>
      <c r="I1146" s="5">
        <v>44501</v>
      </c>
      <c r="J1146" s="6">
        <v>0</v>
      </c>
      <c r="K1146" s="6">
        <v>0</v>
      </c>
      <c r="L1146" s="6">
        <v>1655.827</v>
      </c>
      <c r="M1146" s="6">
        <v>1655.827</v>
      </c>
      <c r="N1146" s="6">
        <v>1655.827</v>
      </c>
      <c r="O1146" s="6">
        <v>1655.827</v>
      </c>
      <c r="P1146" s="6">
        <v>7</v>
      </c>
      <c r="Q1146" s="4" t="s">
        <v>26</v>
      </c>
      <c r="R1146" s="4">
        <v>0</v>
      </c>
      <c r="S1146" s="6">
        <v>0</v>
      </c>
      <c r="T1146" s="6">
        <v>88</v>
      </c>
      <c r="U1146" s="6">
        <v>89</v>
      </c>
      <c r="V1146" s="6">
        <f>IF(ISERROR(VLOOKUP($S$1146,'TAR FIN'!$A$1:$O$113,15,0)),0,VLOOKUP($S$1146,'TAR FIN'!$A$1:$O$113,15,0))</f>
        <v>0</v>
      </c>
      <c r="W1146" s="6">
        <f>IF(ISERROR(VLOOKUP($T$1146,'TAR FIN'!$A$1:$O$113,15,0)),0,VLOOKUP($T$1146,'TAR FIN'!$A$1:$O$113,15,0))</f>
        <v>165.16</v>
      </c>
      <c r="X1146" s="6">
        <f>IF(ISERROR(VLOOKUP($U$1146,'TAR FIN'!$A$1:$O$113,15,0)),0,VLOOKUP($U$1146,'TAR FIN'!$A$1:$O$113,15,0))</f>
        <v>160.80000000000001</v>
      </c>
      <c r="Y1146" s="6"/>
      <c r="Z1146" s="6">
        <f ca="1">('TUSD BE'!$AM$70+'TUSD BF_350'!$AM$70+'TUSD CVA'!$AM$70)*1</f>
        <v>225.02</v>
      </c>
      <c r="AA1146" s="6">
        <f ca="1">('TE BE'!$AB$48+'TE BF_350'!$AB$48+'TE CVA'!$AB$48)*1</f>
        <v>134.19999999999999</v>
      </c>
      <c r="AB1146" s="6">
        <f>$K$1146*$V$1146</f>
        <v>0</v>
      </c>
      <c r="AC1146" s="6">
        <f>$M$1146*$W$1146</f>
        <v>273476.38731999998</v>
      </c>
      <c r="AD1146" s="6">
        <f>$O$1146*$X$1146</f>
        <v>266256.9816</v>
      </c>
      <c r="AE1146" s="6">
        <f>$K$1146*$Y$1146</f>
        <v>0</v>
      </c>
      <c r="AF1146" s="6">
        <f ca="1">$M$1146*$Z$1146</f>
        <v>372594.19154000003</v>
      </c>
      <c r="AG1146" s="6">
        <f ca="1">$O$1146*$AA$1146</f>
        <v>222211.98339999997</v>
      </c>
    </row>
    <row r="1147" spans="1:33" ht="11.25" customHeight="1" x14ac:dyDescent="0.3">
      <c r="A1147" s="4" t="s">
        <v>21</v>
      </c>
      <c r="B1147" s="4" t="s">
        <v>47</v>
      </c>
      <c r="C1147" s="4" t="s">
        <v>23</v>
      </c>
      <c r="D1147" s="4" t="s">
        <v>48</v>
      </c>
      <c r="E1147" s="4" t="s">
        <v>49</v>
      </c>
      <c r="F1147" s="4" t="s">
        <v>25</v>
      </c>
      <c r="G1147" s="4" t="s">
        <v>25</v>
      </c>
      <c r="H1147" s="4" t="s">
        <v>25</v>
      </c>
      <c r="I1147" s="5">
        <v>44531</v>
      </c>
      <c r="J1147" s="6">
        <v>0</v>
      </c>
      <c r="K1147" s="6">
        <v>0</v>
      </c>
      <c r="L1147" s="6">
        <v>1520.616</v>
      </c>
      <c r="M1147" s="6">
        <v>1520.616</v>
      </c>
      <c r="N1147" s="6">
        <v>1520.616</v>
      </c>
      <c r="O1147" s="6">
        <v>1520.616</v>
      </c>
      <c r="P1147" s="6">
        <v>7</v>
      </c>
      <c r="Q1147" s="4" t="s">
        <v>26</v>
      </c>
      <c r="R1147" s="4">
        <v>0</v>
      </c>
      <c r="S1147" s="6">
        <v>0</v>
      </c>
      <c r="T1147" s="6">
        <v>88</v>
      </c>
      <c r="U1147" s="6">
        <v>89</v>
      </c>
      <c r="V1147" s="6">
        <f>IF(ISERROR(VLOOKUP($S$1147,'TAR FIN'!$A$1:$O$113,15,0)),0,VLOOKUP($S$1147,'TAR FIN'!$A$1:$O$113,15,0))</f>
        <v>0</v>
      </c>
      <c r="W1147" s="6">
        <f>IF(ISERROR(VLOOKUP($T$1147,'TAR FIN'!$A$1:$O$113,15,0)),0,VLOOKUP($T$1147,'TAR FIN'!$A$1:$O$113,15,0))</f>
        <v>165.16</v>
      </c>
      <c r="X1147" s="6">
        <f>IF(ISERROR(VLOOKUP($U$1147,'TAR FIN'!$A$1:$O$113,15,0)),0,VLOOKUP($U$1147,'TAR FIN'!$A$1:$O$113,15,0))</f>
        <v>160.80000000000001</v>
      </c>
      <c r="Y1147" s="6"/>
      <c r="Z1147" s="6">
        <f ca="1">('TUSD BE'!$AM$70+'TUSD BF_350'!$AM$70+'TUSD CVA'!$AM$70)*1</f>
        <v>225.02</v>
      </c>
      <c r="AA1147" s="6">
        <f ca="1">('TE BE'!$AB$48+'TE BF_350'!$AB$48+'TE CVA'!$AB$48)*1</f>
        <v>134.19999999999999</v>
      </c>
      <c r="AB1147" s="6">
        <f>$K$1147*$V$1147</f>
        <v>0</v>
      </c>
      <c r="AC1147" s="6">
        <f>$M$1147*$W$1147</f>
        <v>251144.93855999998</v>
      </c>
      <c r="AD1147" s="6">
        <f>$O$1147*$X$1147</f>
        <v>244515.0528</v>
      </c>
      <c r="AE1147" s="6">
        <f>$K$1147*$Y$1147</f>
        <v>0</v>
      </c>
      <c r="AF1147" s="6">
        <f ca="1">$M$1147*$Z$1147</f>
        <v>342169.01232000004</v>
      </c>
      <c r="AG1147" s="6">
        <f ca="1">$O$1147*$AA$1147</f>
        <v>204066.66719999997</v>
      </c>
    </row>
    <row r="1148" spans="1:33" ht="11.25" customHeight="1" x14ac:dyDescent="0.3">
      <c r="A1148" s="4" t="s">
        <v>21</v>
      </c>
      <c r="B1148" s="4" t="s">
        <v>47</v>
      </c>
      <c r="C1148" s="4" t="s">
        <v>23</v>
      </c>
      <c r="D1148" s="4" t="s">
        <v>48</v>
      </c>
      <c r="E1148" s="4" t="s">
        <v>49</v>
      </c>
      <c r="F1148" s="4" t="s">
        <v>25</v>
      </c>
      <c r="G1148" s="4" t="s">
        <v>25</v>
      </c>
      <c r="H1148" s="4" t="s">
        <v>25</v>
      </c>
      <c r="I1148" s="5">
        <v>44562</v>
      </c>
      <c r="J1148" s="6">
        <v>0</v>
      </c>
      <c r="K1148" s="6">
        <v>0</v>
      </c>
      <c r="L1148" s="6">
        <v>1581.3240000000001</v>
      </c>
      <c r="M1148" s="6">
        <v>1581.3240000000001</v>
      </c>
      <c r="N1148" s="6">
        <v>1581.3240000000001</v>
      </c>
      <c r="O1148" s="6">
        <v>1581.3240000000001</v>
      </c>
      <c r="P1148" s="6">
        <v>8</v>
      </c>
      <c r="Q1148" s="4" t="s">
        <v>26</v>
      </c>
      <c r="R1148" s="4">
        <v>0</v>
      </c>
      <c r="S1148" s="6">
        <v>0</v>
      </c>
      <c r="T1148" s="6">
        <v>88</v>
      </c>
      <c r="U1148" s="6">
        <v>89</v>
      </c>
      <c r="V1148" s="6">
        <f>IF(ISERROR(VLOOKUP($S$1148,'TAR FIN'!$A$1:$O$113,15,0)),0,VLOOKUP($S$1148,'TAR FIN'!$A$1:$O$113,15,0))</f>
        <v>0</v>
      </c>
      <c r="W1148" s="6">
        <f>IF(ISERROR(VLOOKUP($T$1148,'TAR FIN'!$A$1:$O$113,15,0)),0,VLOOKUP($T$1148,'TAR FIN'!$A$1:$O$113,15,0))</f>
        <v>165.16</v>
      </c>
      <c r="X1148" s="6">
        <f>IF(ISERROR(VLOOKUP($U$1148,'TAR FIN'!$A$1:$O$113,15,0)),0,VLOOKUP($U$1148,'TAR FIN'!$A$1:$O$113,15,0))</f>
        <v>160.80000000000001</v>
      </c>
      <c r="Y1148" s="6"/>
      <c r="Z1148" s="6">
        <f ca="1">('TUSD BE'!$AM$70+'TUSD BF_350'!$AM$70+'TUSD CVA'!$AM$70)*1</f>
        <v>225.02</v>
      </c>
      <c r="AA1148" s="6">
        <f ca="1">('TE BE'!$AB$48+'TE BF_350'!$AB$48+'TE CVA'!$AB$48)*1</f>
        <v>134.19999999999999</v>
      </c>
      <c r="AB1148" s="6">
        <f>$K$1148*$V$1148</f>
        <v>0</v>
      </c>
      <c r="AC1148" s="6">
        <f>$M$1148*$W$1148</f>
        <v>261171.47184000001</v>
      </c>
      <c r="AD1148" s="6">
        <f>$O$1148*$X$1148</f>
        <v>254276.89920000004</v>
      </c>
      <c r="AE1148" s="6">
        <f>$K$1148*$Y$1148</f>
        <v>0</v>
      </c>
      <c r="AF1148" s="6">
        <f ca="1">$M$1148*$Z$1148</f>
        <v>355829.52648000006</v>
      </c>
      <c r="AG1148" s="6">
        <f ca="1">$O$1148*$AA$1148</f>
        <v>212213.6808</v>
      </c>
    </row>
    <row r="1149" spans="1:33" ht="11.25" customHeight="1" x14ac:dyDescent="0.3">
      <c r="A1149" s="4" t="s">
        <v>21</v>
      </c>
      <c r="B1149" s="4" t="s">
        <v>47</v>
      </c>
      <c r="C1149" s="4" t="s">
        <v>23</v>
      </c>
      <c r="D1149" s="4" t="s">
        <v>48</v>
      </c>
      <c r="E1149" s="4" t="s">
        <v>49</v>
      </c>
      <c r="F1149" s="4" t="s">
        <v>25</v>
      </c>
      <c r="G1149" s="4" t="s">
        <v>25</v>
      </c>
      <c r="H1149" s="4" t="s">
        <v>25</v>
      </c>
      <c r="I1149" s="5">
        <v>44593</v>
      </c>
      <c r="J1149" s="6">
        <v>0</v>
      </c>
      <c r="K1149" s="6">
        <v>0</v>
      </c>
      <c r="L1149" s="6">
        <v>1533.1579999999999</v>
      </c>
      <c r="M1149" s="6">
        <v>1533.1579999999999</v>
      </c>
      <c r="N1149" s="6">
        <v>1533.1579999999999</v>
      </c>
      <c r="O1149" s="6">
        <v>1533.1579999999999</v>
      </c>
      <c r="P1149" s="6">
        <v>7</v>
      </c>
      <c r="Q1149" s="4" t="s">
        <v>26</v>
      </c>
      <c r="R1149" s="4">
        <v>0</v>
      </c>
      <c r="S1149" s="6">
        <v>0</v>
      </c>
      <c r="T1149" s="6">
        <v>88</v>
      </c>
      <c r="U1149" s="6">
        <v>89</v>
      </c>
      <c r="V1149" s="6">
        <f>IF(ISERROR(VLOOKUP($S$1149,'TAR FIN'!$A$1:$O$113,15,0)),0,VLOOKUP($S$1149,'TAR FIN'!$A$1:$O$113,15,0))</f>
        <v>0</v>
      </c>
      <c r="W1149" s="6">
        <f>IF(ISERROR(VLOOKUP($T$1149,'TAR FIN'!$A$1:$O$113,15,0)),0,VLOOKUP($T$1149,'TAR FIN'!$A$1:$O$113,15,0))</f>
        <v>165.16</v>
      </c>
      <c r="X1149" s="6">
        <f>IF(ISERROR(VLOOKUP($U$1149,'TAR FIN'!$A$1:$O$113,15,0)),0,VLOOKUP($U$1149,'TAR FIN'!$A$1:$O$113,15,0))</f>
        <v>160.80000000000001</v>
      </c>
      <c r="Y1149" s="6"/>
      <c r="Z1149" s="6">
        <f ca="1">('TUSD BE'!$AM$70+'TUSD BF_350'!$AM$70+'TUSD CVA'!$AM$70)*1</f>
        <v>225.02</v>
      </c>
      <c r="AA1149" s="6">
        <f ca="1">('TE BE'!$AB$48+'TE BF_350'!$AB$48+'TE CVA'!$AB$48)*1</f>
        <v>134.19999999999999</v>
      </c>
      <c r="AB1149" s="6">
        <f>$K$1149*$V$1149</f>
        <v>0</v>
      </c>
      <c r="AC1149" s="6">
        <f>$M$1149*$W$1149</f>
        <v>253216.37527999998</v>
      </c>
      <c r="AD1149" s="6">
        <f>$O$1149*$X$1149</f>
        <v>246531.8064</v>
      </c>
      <c r="AE1149" s="6">
        <f>$K$1149*$Y$1149</f>
        <v>0</v>
      </c>
      <c r="AF1149" s="6">
        <f ca="1">$M$1149*$Z$1149</f>
        <v>344991.21315999998</v>
      </c>
      <c r="AG1149" s="6">
        <f ca="1">$O$1149*$AA$1149</f>
        <v>205749.80359999996</v>
      </c>
    </row>
    <row r="1150" spans="1:33" ht="11.25" customHeight="1" x14ac:dyDescent="0.3">
      <c r="A1150" s="4" t="s">
        <v>21</v>
      </c>
      <c r="B1150" s="4" t="s">
        <v>47</v>
      </c>
      <c r="C1150" s="4" t="s">
        <v>23</v>
      </c>
      <c r="D1150" s="4" t="s">
        <v>48</v>
      </c>
      <c r="E1150" s="4" t="s">
        <v>49</v>
      </c>
      <c r="F1150" s="4" t="s">
        <v>25</v>
      </c>
      <c r="G1150" s="4" t="s">
        <v>25</v>
      </c>
      <c r="H1150" s="4" t="s">
        <v>25</v>
      </c>
      <c r="I1150" s="5">
        <v>44621</v>
      </c>
      <c r="J1150" s="6">
        <v>0</v>
      </c>
      <c r="K1150" s="6">
        <v>0</v>
      </c>
      <c r="L1150" s="6">
        <v>1434.3309999999999</v>
      </c>
      <c r="M1150" s="6">
        <v>1434.3309999999999</v>
      </c>
      <c r="N1150" s="6">
        <v>1434.3309999999999</v>
      </c>
      <c r="O1150" s="6">
        <v>1434.3309999999999</v>
      </c>
      <c r="P1150" s="6">
        <v>7</v>
      </c>
      <c r="Q1150" s="4" t="s">
        <v>26</v>
      </c>
      <c r="R1150" s="4">
        <v>0</v>
      </c>
      <c r="S1150" s="6">
        <v>0</v>
      </c>
      <c r="T1150" s="6">
        <v>88</v>
      </c>
      <c r="U1150" s="6">
        <v>89</v>
      </c>
      <c r="V1150" s="6">
        <f>IF(ISERROR(VLOOKUP($S$1150,'TAR FIN'!$A$1:$O$113,15,0)),0,VLOOKUP($S$1150,'TAR FIN'!$A$1:$O$113,15,0))</f>
        <v>0</v>
      </c>
      <c r="W1150" s="6">
        <f>IF(ISERROR(VLOOKUP($T$1150,'TAR FIN'!$A$1:$O$113,15,0)),0,VLOOKUP($T$1150,'TAR FIN'!$A$1:$O$113,15,0))</f>
        <v>165.16</v>
      </c>
      <c r="X1150" s="6">
        <f>IF(ISERROR(VLOOKUP($U$1150,'TAR FIN'!$A$1:$O$113,15,0)),0,VLOOKUP($U$1150,'TAR FIN'!$A$1:$O$113,15,0))</f>
        <v>160.80000000000001</v>
      </c>
      <c r="Y1150" s="6"/>
      <c r="Z1150" s="6">
        <f ca="1">('TUSD BE'!$AM$70+'TUSD BF_350'!$AM$70+'TUSD CVA'!$AM$70)*1</f>
        <v>225.02</v>
      </c>
      <c r="AA1150" s="6">
        <f ca="1">('TE BE'!$AB$48+'TE BF_350'!$AB$48+'TE CVA'!$AB$48)*1</f>
        <v>134.19999999999999</v>
      </c>
      <c r="AB1150" s="6">
        <f>$K$1150*$V$1150</f>
        <v>0</v>
      </c>
      <c r="AC1150" s="6">
        <f>$M$1150*$W$1150</f>
        <v>236894.10795999996</v>
      </c>
      <c r="AD1150" s="6">
        <f>$O$1150*$X$1150</f>
        <v>230640.42480000001</v>
      </c>
      <c r="AE1150" s="6">
        <f>$K$1150*$Y$1150</f>
        <v>0</v>
      </c>
      <c r="AF1150" s="6">
        <f ca="1">$M$1150*$Z$1150</f>
        <v>322753.16161999997</v>
      </c>
      <c r="AG1150" s="6">
        <f ca="1">$O$1150*$AA$1150</f>
        <v>192487.22019999998</v>
      </c>
    </row>
    <row r="1151" spans="1:33" ht="11.25" customHeight="1" x14ac:dyDescent="0.3">
      <c r="A1151" s="4" t="s">
        <v>21</v>
      </c>
      <c r="B1151" s="4" t="s">
        <v>47</v>
      </c>
      <c r="C1151" s="4" t="s">
        <v>23</v>
      </c>
      <c r="D1151" s="4" t="s">
        <v>48</v>
      </c>
      <c r="E1151" s="4" t="s">
        <v>49</v>
      </c>
      <c r="F1151" s="4" t="s">
        <v>25</v>
      </c>
      <c r="G1151" s="4" t="s">
        <v>25</v>
      </c>
      <c r="H1151" s="4" t="s">
        <v>25</v>
      </c>
      <c r="I1151" s="5">
        <v>44652</v>
      </c>
      <c r="J1151" s="6">
        <v>0</v>
      </c>
      <c r="K1151" s="6">
        <v>0</v>
      </c>
      <c r="L1151" s="6">
        <v>1639.623</v>
      </c>
      <c r="M1151" s="6">
        <v>1639.623</v>
      </c>
      <c r="N1151" s="6">
        <v>1639.623</v>
      </c>
      <c r="O1151" s="6">
        <v>1639.623</v>
      </c>
      <c r="P1151" s="6">
        <v>7</v>
      </c>
      <c r="Q1151" s="4" t="s">
        <v>26</v>
      </c>
      <c r="R1151" s="4">
        <v>0</v>
      </c>
      <c r="S1151" s="6">
        <v>0</v>
      </c>
      <c r="T1151" s="6">
        <v>88</v>
      </c>
      <c r="U1151" s="6">
        <v>89</v>
      </c>
      <c r="V1151" s="6">
        <f>IF(ISERROR(VLOOKUP($S$1151,'TAR FIN'!$A$1:$O$113,15,0)),0,VLOOKUP($S$1151,'TAR FIN'!$A$1:$O$113,15,0))</f>
        <v>0</v>
      </c>
      <c r="W1151" s="6">
        <f>IF(ISERROR(VLOOKUP($T$1151,'TAR FIN'!$A$1:$O$113,15,0)),0,VLOOKUP($T$1151,'TAR FIN'!$A$1:$O$113,15,0))</f>
        <v>165.16</v>
      </c>
      <c r="X1151" s="6">
        <f>IF(ISERROR(VLOOKUP($U$1151,'TAR FIN'!$A$1:$O$113,15,0)),0,VLOOKUP($U$1151,'TAR FIN'!$A$1:$O$113,15,0))</f>
        <v>160.80000000000001</v>
      </c>
      <c r="Y1151" s="6"/>
      <c r="Z1151" s="6">
        <f ca="1">('TUSD BE'!$AM$70+'TUSD BF_350'!$AM$70+'TUSD CVA'!$AM$70)*1</f>
        <v>225.02</v>
      </c>
      <c r="AA1151" s="6">
        <f ca="1">('TE BE'!$AB$48+'TE BF_350'!$AB$48+'TE CVA'!$AB$48)*1</f>
        <v>134.19999999999999</v>
      </c>
      <c r="AB1151" s="6">
        <f>$K$1151*$V$1151</f>
        <v>0</v>
      </c>
      <c r="AC1151" s="6">
        <f>$M$1151*$W$1151</f>
        <v>270800.13468000002</v>
      </c>
      <c r="AD1151" s="6">
        <f>$O$1151*$X$1151</f>
        <v>263651.37840000005</v>
      </c>
      <c r="AE1151" s="6">
        <f>$K$1151*$Y$1151</f>
        <v>0</v>
      </c>
      <c r="AF1151" s="6">
        <f ca="1">$M$1151*$Z$1151</f>
        <v>368947.96746000001</v>
      </c>
      <c r="AG1151" s="6">
        <f ca="1">$O$1151*$AA$1151</f>
        <v>220037.40659999999</v>
      </c>
    </row>
    <row r="1152" spans="1:33" ht="11.25" customHeight="1" x14ac:dyDescent="0.3">
      <c r="A1152" s="4" t="s">
        <v>21</v>
      </c>
      <c r="B1152" s="4" t="s">
        <v>47</v>
      </c>
      <c r="C1152" s="4" t="s">
        <v>23</v>
      </c>
      <c r="D1152" s="4" t="s">
        <v>48</v>
      </c>
      <c r="E1152" s="4" t="s">
        <v>49</v>
      </c>
      <c r="F1152" s="4" t="s">
        <v>25</v>
      </c>
      <c r="G1152" s="4" t="s">
        <v>25</v>
      </c>
      <c r="H1152" s="4" t="s">
        <v>25</v>
      </c>
      <c r="I1152" s="5">
        <v>44682</v>
      </c>
      <c r="J1152" s="6">
        <v>0</v>
      </c>
      <c r="K1152" s="6">
        <v>0</v>
      </c>
      <c r="L1152" s="6">
        <v>1659.1769999999999</v>
      </c>
      <c r="M1152" s="6">
        <v>1659.1769999999999</v>
      </c>
      <c r="N1152" s="6">
        <v>1659.1769999999999</v>
      </c>
      <c r="O1152" s="6">
        <v>1659.1769999999999</v>
      </c>
      <c r="P1152" s="6">
        <v>7</v>
      </c>
      <c r="Q1152" s="4" t="s">
        <v>26</v>
      </c>
      <c r="R1152" s="4">
        <v>0</v>
      </c>
      <c r="S1152" s="6">
        <v>0</v>
      </c>
      <c r="T1152" s="6">
        <v>88</v>
      </c>
      <c r="U1152" s="6">
        <v>89</v>
      </c>
      <c r="V1152" s="6">
        <f>IF(ISERROR(VLOOKUP($S$1152,'TAR FIN'!$A$1:$O$113,15,0)),0,VLOOKUP($S$1152,'TAR FIN'!$A$1:$O$113,15,0))</f>
        <v>0</v>
      </c>
      <c r="W1152" s="6">
        <f>IF(ISERROR(VLOOKUP($T$1152,'TAR FIN'!$A$1:$O$113,15,0)),0,VLOOKUP($T$1152,'TAR FIN'!$A$1:$O$113,15,0))</f>
        <v>165.16</v>
      </c>
      <c r="X1152" s="6">
        <f>IF(ISERROR(VLOOKUP($U$1152,'TAR FIN'!$A$1:$O$113,15,0)),0,VLOOKUP($U$1152,'TAR FIN'!$A$1:$O$113,15,0))</f>
        <v>160.80000000000001</v>
      </c>
      <c r="Y1152" s="6"/>
      <c r="Z1152" s="6">
        <f ca="1">('TUSD BE'!$AM$70+'TUSD BF_350'!$AM$70+'TUSD CVA'!$AM$70)*1</f>
        <v>225.02</v>
      </c>
      <c r="AA1152" s="6">
        <f ca="1">('TE BE'!$AB$48+'TE BF_350'!$AB$48+'TE CVA'!$AB$48)*1</f>
        <v>134.19999999999999</v>
      </c>
      <c r="AB1152" s="6">
        <f>$K$1152*$V$1152</f>
        <v>0</v>
      </c>
      <c r="AC1152" s="6">
        <f>$M$1152*$W$1152</f>
        <v>274029.67332</v>
      </c>
      <c r="AD1152" s="6">
        <f>$O$1152*$X$1152</f>
        <v>266795.66159999999</v>
      </c>
      <c r="AE1152" s="6">
        <f>$K$1152*$Y$1152</f>
        <v>0</v>
      </c>
      <c r="AF1152" s="6">
        <f ca="1">$M$1152*$Z$1152</f>
        <v>373348.00854000001</v>
      </c>
      <c r="AG1152" s="6">
        <f ca="1">$O$1152*$AA$1152</f>
        <v>222661.55339999998</v>
      </c>
    </row>
    <row r="1153" spans="1:33" ht="11.25" customHeight="1" x14ac:dyDescent="0.3">
      <c r="A1153" s="4" t="s">
        <v>21</v>
      </c>
      <c r="B1153" s="4" t="s">
        <v>47</v>
      </c>
      <c r="C1153" s="4" t="s">
        <v>23</v>
      </c>
      <c r="D1153" s="4" t="s">
        <v>48</v>
      </c>
      <c r="E1153" s="4" t="s">
        <v>49</v>
      </c>
      <c r="F1153" s="4" t="s">
        <v>25</v>
      </c>
      <c r="G1153" s="4" t="s">
        <v>25</v>
      </c>
      <c r="H1153" s="4" t="s">
        <v>25</v>
      </c>
      <c r="I1153" s="5">
        <v>44713</v>
      </c>
      <c r="J1153" s="6">
        <v>0</v>
      </c>
      <c r="K1153" s="6">
        <v>0</v>
      </c>
      <c r="L1153" s="6">
        <v>1776.6980000000001</v>
      </c>
      <c r="M1153" s="6">
        <v>1776.6980000000001</v>
      </c>
      <c r="N1153" s="6">
        <v>1776.6980000000001</v>
      </c>
      <c r="O1153" s="6">
        <v>1776.6980000000001</v>
      </c>
      <c r="P1153" s="6">
        <v>7</v>
      </c>
      <c r="Q1153" s="4" t="s">
        <v>26</v>
      </c>
      <c r="R1153" s="4">
        <v>0</v>
      </c>
      <c r="S1153" s="6">
        <v>0</v>
      </c>
      <c r="T1153" s="6">
        <v>88</v>
      </c>
      <c r="U1153" s="6">
        <v>89</v>
      </c>
      <c r="V1153" s="6">
        <f>IF(ISERROR(VLOOKUP($S$1153,'TAR FIN'!$A$1:$O$113,15,0)),0,VLOOKUP($S$1153,'TAR FIN'!$A$1:$O$113,15,0))</f>
        <v>0</v>
      </c>
      <c r="W1153" s="6">
        <f>IF(ISERROR(VLOOKUP($T$1153,'TAR FIN'!$A$1:$O$113,15,0)),0,VLOOKUP($T$1153,'TAR FIN'!$A$1:$O$113,15,0))</f>
        <v>165.16</v>
      </c>
      <c r="X1153" s="6">
        <f>IF(ISERROR(VLOOKUP($U$1153,'TAR FIN'!$A$1:$O$113,15,0)),0,VLOOKUP($U$1153,'TAR FIN'!$A$1:$O$113,15,0))</f>
        <v>160.80000000000001</v>
      </c>
      <c r="Y1153" s="6"/>
      <c r="Z1153" s="6">
        <f ca="1">('TUSD BE'!$AM$70+'TUSD BF_350'!$AM$70+'TUSD CVA'!$AM$70)*1</f>
        <v>225.02</v>
      </c>
      <c r="AA1153" s="6">
        <f ca="1">('TE BE'!$AB$48+'TE BF_350'!$AB$48+'TE CVA'!$AB$48)*1</f>
        <v>134.19999999999999</v>
      </c>
      <c r="AB1153" s="6">
        <f>$K$1153*$V$1153</f>
        <v>0</v>
      </c>
      <c r="AC1153" s="6">
        <f>$M$1153*$W$1153</f>
        <v>293439.44167999999</v>
      </c>
      <c r="AD1153" s="6">
        <f>$O$1153*$X$1153</f>
        <v>285693.03840000002</v>
      </c>
      <c r="AE1153" s="6">
        <f>$K$1153*$Y$1153</f>
        <v>0</v>
      </c>
      <c r="AF1153" s="6">
        <f ca="1">$M$1153*$Z$1153</f>
        <v>399792.58396000002</v>
      </c>
      <c r="AG1153" s="6">
        <f ca="1">$O$1153*$AA$1153</f>
        <v>238432.87159999998</v>
      </c>
    </row>
    <row r="1154" spans="1:33" ht="11.25" customHeight="1" x14ac:dyDescent="0.3">
      <c r="A1154" s="4" t="s">
        <v>21</v>
      </c>
      <c r="B1154" s="4" t="s">
        <v>47</v>
      </c>
      <c r="C1154" s="4" t="s">
        <v>23</v>
      </c>
      <c r="D1154" s="4" t="s">
        <v>48</v>
      </c>
      <c r="E1154" s="4" t="s">
        <v>49</v>
      </c>
      <c r="F1154" s="4" t="s">
        <v>25</v>
      </c>
      <c r="G1154" s="4" t="s">
        <v>25</v>
      </c>
      <c r="H1154" s="4" t="s">
        <v>25</v>
      </c>
      <c r="I1154" s="5">
        <v>44743</v>
      </c>
      <c r="J1154" s="6">
        <v>0</v>
      </c>
      <c r="K1154" s="6">
        <v>0</v>
      </c>
      <c r="L1154" s="6">
        <v>1731.701</v>
      </c>
      <c r="M1154" s="6">
        <v>1731.701</v>
      </c>
      <c r="N1154" s="6">
        <v>1731.701</v>
      </c>
      <c r="O1154" s="6">
        <v>1731.701</v>
      </c>
      <c r="P1154" s="6">
        <v>6</v>
      </c>
      <c r="Q1154" s="4" t="s">
        <v>26</v>
      </c>
      <c r="R1154" s="4">
        <v>0</v>
      </c>
      <c r="S1154" s="6">
        <v>0</v>
      </c>
      <c r="T1154" s="6">
        <v>88</v>
      </c>
      <c r="U1154" s="6">
        <v>89</v>
      </c>
      <c r="V1154" s="6">
        <f>IF(ISERROR(VLOOKUP($S$1154,'TAR FIN'!$A$1:$O$113,15,0)),0,VLOOKUP($S$1154,'TAR FIN'!$A$1:$O$113,15,0))</f>
        <v>0</v>
      </c>
      <c r="W1154" s="6">
        <f>IF(ISERROR(VLOOKUP($T$1154,'TAR FIN'!$A$1:$O$113,15,0)),0,VLOOKUP($T$1154,'TAR FIN'!$A$1:$O$113,15,0))</f>
        <v>165.16</v>
      </c>
      <c r="X1154" s="6">
        <f>IF(ISERROR(VLOOKUP($U$1154,'TAR FIN'!$A$1:$O$113,15,0)),0,VLOOKUP($U$1154,'TAR FIN'!$A$1:$O$113,15,0))</f>
        <v>160.80000000000001</v>
      </c>
      <c r="Y1154" s="6"/>
      <c r="Z1154" s="6">
        <f ca="1">('TUSD BE'!$AM$70+'TUSD BF_350'!$AM$70+'TUSD CVA'!$AM$70)*1</f>
        <v>225.02</v>
      </c>
      <c r="AA1154" s="6">
        <f ca="1">('TE BE'!$AB$48+'TE BF_350'!$AB$48+'TE CVA'!$AB$48)*1</f>
        <v>134.19999999999999</v>
      </c>
      <c r="AB1154" s="6">
        <f>$K$1154*$V$1154</f>
        <v>0</v>
      </c>
      <c r="AC1154" s="6">
        <f>$M$1154*$W$1154</f>
        <v>286007.73716000002</v>
      </c>
      <c r="AD1154" s="6">
        <f>$O$1154*$X$1154</f>
        <v>278457.5208</v>
      </c>
      <c r="AE1154" s="6">
        <f>$K$1154*$Y$1154</f>
        <v>0</v>
      </c>
      <c r="AF1154" s="6">
        <f ca="1">$M$1154*$Z$1154</f>
        <v>389667.35902000003</v>
      </c>
      <c r="AG1154" s="6">
        <f ca="1">$O$1154*$AA$1154</f>
        <v>232394.27419999999</v>
      </c>
    </row>
    <row r="1155" spans="1:33" ht="11.25" customHeight="1" x14ac:dyDescent="0.3">
      <c r="A1155" s="4" t="s">
        <v>21</v>
      </c>
      <c r="B1155" s="4" t="s">
        <v>47</v>
      </c>
      <c r="C1155" s="4" t="s">
        <v>23</v>
      </c>
      <c r="D1155" s="4" t="s">
        <v>48</v>
      </c>
      <c r="E1155" s="4" t="s">
        <v>49</v>
      </c>
      <c r="F1155" s="4" t="s">
        <v>25</v>
      </c>
      <c r="G1155" s="4" t="s">
        <v>25</v>
      </c>
      <c r="H1155" s="4" t="s">
        <v>25</v>
      </c>
      <c r="I1155" s="5">
        <v>44774</v>
      </c>
      <c r="J1155" s="6">
        <v>0</v>
      </c>
      <c r="K1155" s="6">
        <v>0</v>
      </c>
      <c r="L1155" s="6">
        <v>1771.2239999999999</v>
      </c>
      <c r="M1155" s="6">
        <v>1771.2239999999999</v>
      </c>
      <c r="N1155" s="6">
        <v>1771.2239999999999</v>
      </c>
      <c r="O1155" s="6">
        <v>1771.2239999999999</v>
      </c>
      <c r="P1155" s="6">
        <v>6</v>
      </c>
      <c r="Q1155" s="4" t="s">
        <v>26</v>
      </c>
      <c r="R1155" s="4">
        <v>0</v>
      </c>
      <c r="S1155" s="6">
        <v>0</v>
      </c>
      <c r="T1155" s="6">
        <v>88</v>
      </c>
      <c r="U1155" s="6">
        <v>89</v>
      </c>
      <c r="V1155" s="6">
        <f>IF(ISERROR(VLOOKUP($S$1155,'TAR FIN'!$A$1:$O$113,15,0)),0,VLOOKUP($S$1155,'TAR FIN'!$A$1:$O$113,15,0))</f>
        <v>0</v>
      </c>
      <c r="W1155" s="6">
        <f>IF(ISERROR(VLOOKUP($T$1155,'TAR FIN'!$A$1:$O$113,15,0)),0,VLOOKUP($T$1155,'TAR FIN'!$A$1:$O$113,15,0))</f>
        <v>165.16</v>
      </c>
      <c r="X1155" s="6">
        <f>IF(ISERROR(VLOOKUP($U$1155,'TAR FIN'!$A$1:$O$113,15,0)),0,VLOOKUP($U$1155,'TAR FIN'!$A$1:$O$113,15,0))</f>
        <v>160.80000000000001</v>
      </c>
      <c r="Y1155" s="6"/>
      <c r="Z1155" s="6">
        <f ca="1">('TUSD BE'!$AM$70+'TUSD BF_350'!$AM$70+'TUSD CVA'!$AM$70)*1</f>
        <v>225.02</v>
      </c>
      <c r="AA1155" s="6">
        <f ca="1">('TE BE'!$AB$48+'TE BF_350'!$AB$48+'TE CVA'!$AB$48)*1</f>
        <v>134.19999999999999</v>
      </c>
      <c r="AB1155" s="6">
        <f>$K$1155*$V$1155</f>
        <v>0</v>
      </c>
      <c r="AC1155" s="6">
        <f>$M$1155*$W$1155</f>
        <v>292535.35583999997</v>
      </c>
      <c r="AD1155" s="6">
        <f>$O$1155*$X$1155</f>
        <v>284812.81920000003</v>
      </c>
      <c r="AE1155" s="6">
        <f>$K$1155*$Y$1155</f>
        <v>0</v>
      </c>
      <c r="AF1155" s="6">
        <f ca="1">$M$1155*$Z$1155</f>
        <v>398560.82448000001</v>
      </c>
      <c r="AG1155" s="6">
        <f ca="1">$O$1155*$AA$1155</f>
        <v>237698.26079999996</v>
      </c>
    </row>
    <row r="1156" spans="1:33" ht="11.25" customHeight="1" x14ac:dyDescent="0.3">
      <c r="A1156" s="4" t="s">
        <v>21</v>
      </c>
      <c r="B1156" s="4" t="s">
        <v>47</v>
      </c>
      <c r="C1156" s="4" t="s">
        <v>23</v>
      </c>
      <c r="D1156" s="4" t="s">
        <v>48</v>
      </c>
      <c r="E1156" s="4" t="s">
        <v>49</v>
      </c>
      <c r="F1156" s="4" t="s">
        <v>25</v>
      </c>
      <c r="G1156" s="4" t="s">
        <v>25</v>
      </c>
      <c r="H1156" s="4" t="s">
        <v>25</v>
      </c>
      <c r="I1156" s="5">
        <v>44805</v>
      </c>
      <c r="J1156" s="6">
        <v>0</v>
      </c>
      <c r="K1156" s="6">
        <v>0</v>
      </c>
      <c r="L1156" s="6">
        <v>1675.3330000000001</v>
      </c>
      <c r="M1156" s="6">
        <v>1675.3330000000001</v>
      </c>
      <c r="N1156" s="6">
        <v>1675.3330000000001</v>
      </c>
      <c r="O1156" s="6">
        <v>1675.3330000000001</v>
      </c>
      <c r="P1156" s="6">
        <v>6</v>
      </c>
      <c r="Q1156" s="4" t="s">
        <v>26</v>
      </c>
      <c r="R1156" s="4">
        <v>0</v>
      </c>
      <c r="S1156" s="6">
        <v>0</v>
      </c>
      <c r="T1156" s="6">
        <v>88</v>
      </c>
      <c r="U1156" s="6">
        <v>89</v>
      </c>
      <c r="V1156" s="6">
        <f>IF(ISERROR(VLOOKUP($S$1156,'TAR FIN'!$A$1:$O$113,15,0)),0,VLOOKUP($S$1156,'TAR FIN'!$A$1:$O$113,15,0))</f>
        <v>0</v>
      </c>
      <c r="W1156" s="6">
        <f>IF(ISERROR(VLOOKUP($T$1156,'TAR FIN'!$A$1:$O$113,15,0)),0,VLOOKUP($T$1156,'TAR FIN'!$A$1:$O$113,15,0))</f>
        <v>165.16</v>
      </c>
      <c r="X1156" s="6">
        <f>IF(ISERROR(VLOOKUP($U$1156,'TAR FIN'!$A$1:$O$113,15,0)),0,VLOOKUP($U$1156,'TAR FIN'!$A$1:$O$113,15,0))</f>
        <v>160.80000000000001</v>
      </c>
      <c r="Y1156" s="6"/>
      <c r="Z1156" s="6">
        <f ca="1">('TUSD BE'!$AM$70+'TUSD BF_350'!$AM$70+'TUSD CVA'!$AM$70)*1</f>
        <v>225.02</v>
      </c>
      <c r="AA1156" s="6">
        <f ca="1">('TE BE'!$AB$48+'TE BF_350'!$AB$48+'TE CVA'!$AB$48)*1</f>
        <v>134.19999999999999</v>
      </c>
      <c r="AB1156" s="6">
        <f>$K$1156*$V$1156</f>
        <v>0</v>
      </c>
      <c r="AC1156" s="6">
        <f>$M$1156*$W$1156</f>
        <v>276697.99828</v>
      </c>
      <c r="AD1156" s="6">
        <f>$O$1156*$X$1156</f>
        <v>269393.54640000005</v>
      </c>
      <c r="AE1156" s="6">
        <f>$K$1156*$Y$1156</f>
        <v>0</v>
      </c>
      <c r="AF1156" s="6">
        <f ca="1">$M$1156*$Z$1156</f>
        <v>376983.43166000006</v>
      </c>
      <c r="AG1156" s="6">
        <f ca="1">$O$1156*$AA$1156</f>
        <v>224829.68859999999</v>
      </c>
    </row>
    <row r="1157" spans="1:33" ht="11.25" customHeight="1" x14ac:dyDescent="0.3">
      <c r="A1157" s="4" t="s">
        <v>53</v>
      </c>
      <c r="B1157" s="4" t="s">
        <v>47</v>
      </c>
      <c r="C1157" s="4" t="s">
        <v>23</v>
      </c>
      <c r="D1157" s="4" t="s">
        <v>48</v>
      </c>
      <c r="E1157" s="4" t="s">
        <v>49</v>
      </c>
      <c r="F1157" s="4" t="s">
        <v>25</v>
      </c>
      <c r="G1157" s="4" t="s">
        <v>25</v>
      </c>
      <c r="H1157" s="4" t="s">
        <v>25</v>
      </c>
      <c r="I1157" s="5">
        <v>44835</v>
      </c>
      <c r="J1157" s="6">
        <v>0</v>
      </c>
      <c r="K1157" s="6">
        <v>0</v>
      </c>
      <c r="L1157" s="6">
        <v>1675.3330000000001</v>
      </c>
      <c r="M1157" s="6">
        <v>1675.3330000000001</v>
      </c>
      <c r="N1157" s="6">
        <v>1675.3330000000001</v>
      </c>
      <c r="O1157" s="6">
        <v>1675.3330000000001</v>
      </c>
      <c r="P1157" s="6">
        <v>6</v>
      </c>
      <c r="Q1157" s="4" t="s">
        <v>26</v>
      </c>
      <c r="R1157" s="4">
        <v>0</v>
      </c>
      <c r="S1157" s="6">
        <v>0</v>
      </c>
      <c r="T1157" s="6">
        <v>88</v>
      </c>
      <c r="U1157" s="6">
        <v>89</v>
      </c>
      <c r="V1157" s="6">
        <f>IF(ISERROR(VLOOKUP($S$1157,'TAR FIN'!$A$1:$O$113,15,0)),0,VLOOKUP($S$1157,'TAR FIN'!$A$1:$O$113,15,0))</f>
        <v>0</v>
      </c>
      <c r="W1157" s="6">
        <f>IF(ISERROR(VLOOKUP($T$1157,'TAR FIN'!$A$1:$O$113,15,0)),0,VLOOKUP($T$1157,'TAR FIN'!$A$1:$O$113,15,0))</f>
        <v>165.16</v>
      </c>
      <c r="X1157" s="6">
        <f>IF(ISERROR(VLOOKUP($U$1157,'TAR FIN'!$A$1:$O$113,15,0)),0,VLOOKUP($U$1157,'TAR FIN'!$A$1:$O$113,15,0))</f>
        <v>160.80000000000001</v>
      </c>
      <c r="Y1157" s="6"/>
      <c r="Z1157" s="6">
        <f ca="1">('TUSD BE'!$AM$70+'TUSD BF_350'!$AM$70+'TUSD CVA'!$AM$70)*1</f>
        <v>225.02</v>
      </c>
      <c r="AA1157" s="6">
        <f ca="1">('TE BE'!$AB$48+'TE BF_350'!$AB$48+'TE CVA'!$AB$48)*1</f>
        <v>134.19999999999999</v>
      </c>
      <c r="AB1157" s="6">
        <f>$K$1157*$V$1157</f>
        <v>0</v>
      </c>
      <c r="AC1157" s="6">
        <f>$M$1157*$W$1157</f>
        <v>276697.99828</v>
      </c>
      <c r="AD1157" s="6">
        <f>$O$1157*$X$1157</f>
        <v>269393.54640000005</v>
      </c>
      <c r="AE1157" s="6">
        <f>$K$1157*$Y$1157</f>
        <v>0</v>
      </c>
      <c r="AF1157" s="6">
        <f ca="1">$M$1157*$Z$1157</f>
        <v>376983.43166000006</v>
      </c>
      <c r="AG1157" s="6">
        <f ca="1">$O$1157*$AA$1157</f>
        <v>224829.68859999999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028F0-582A-4CD1-81DF-6844FD8D5CE5}">
  <sheetPr codeName="Planilha30">
    <tabColor indexed="12" tint="-0.249977111117893"/>
  </sheetPr>
  <dimension ref="B1:AB52"/>
  <sheetViews>
    <sheetView workbookViewId="0">
      <selection activeCell="D41" sqref="D41"/>
    </sheetView>
  </sheetViews>
  <sheetFormatPr defaultRowHeight="14.4" x14ac:dyDescent="0.3"/>
  <cols>
    <col min="2" max="2" width="14.77734375" bestFit="1" customWidth="1"/>
    <col min="3" max="3" width="11.109375" bestFit="1" customWidth="1"/>
    <col min="4" max="4" width="12.6640625" bestFit="1" customWidth="1"/>
    <col min="5" max="5" width="10.5546875" bestFit="1" customWidth="1"/>
    <col min="6" max="6" width="15.5546875" bestFit="1" customWidth="1"/>
    <col min="7" max="7" width="13.77734375" bestFit="1" customWidth="1"/>
    <col min="8" max="8" width="26.33203125" bestFit="1" customWidth="1"/>
    <col min="9" max="9" width="14" bestFit="1" customWidth="1"/>
    <col min="10" max="10" width="26.33203125" bestFit="1" customWidth="1"/>
    <col min="27" max="27" width="8.21875" bestFit="1" customWidth="1"/>
    <col min="28" max="28" width="5" bestFit="1" customWidth="1"/>
  </cols>
  <sheetData>
    <row r="1" spans="2:28" x14ac:dyDescent="0.3">
      <c r="AA1" t="s">
        <v>929</v>
      </c>
      <c r="AB1">
        <v>4950</v>
      </c>
    </row>
    <row r="2" spans="2:28" x14ac:dyDescent="0.3">
      <c r="AA2" t="s">
        <v>930</v>
      </c>
      <c r="AB2">
        <v>2022</v>
      </c>
    </row>
    <row r="3" spans="2:28" x14ac:dyDescent="0.3">
      <c r="AA3" t="s">
        <v>797</v>
      </c>
      <c r="AB3">
        <v>1</v>
      </c>
    </row>
    <row r="4" spans="2:28" ht="15" thickBot="1" x14ac:dyDescent="0.35">
      <c r="B4" s="59" t="s">
        <v>695</v>
      </c>
      <c r="C4" s="59" t="s">
        <v>68</v>
      </c>
      <c r="D4" s="59" t="s">
        <v>69</v>
      </c>
      <c r="E4" s="59" t="s">
        <v>74</v>
      </c>
      <c r="F4" s="59" t="s">
        <v>931</v>
      </c>
      <c r="G4" s="59" t="s">
        <v>932</v>
      </c>
      <c r="H4" s="59" t="s">
        <v>933</v>
      </c>
      <c r="I4" s="59" t="s">
        <v>934</v>
      </c>
      <c r="J4" s="59" t="s">
        <v>935</v>
      </c>
    </row>
    <row r="5" spans="2:28" x14ac:dyDescent="0.3">
      <c r="B5" s="63" t="s">
        <v>656</v>
      </c>
      <c r="C5" s="64" t="s">
        <v>54</v>
      </c>
      <c r="D5" s="64" t="s">
        <v>40</v>
      </c>
      <c r="E5" s="64" t="s">
        <v>936</v>
      </c>
      <c r="F5" s="69">
        <f>SUMIFS(Mercado_Receita!J:J,Mercado_Receita!B:B,"=A2",Mercado_Receita!C:C,"=AZUL",Mercado_Receita!H:H,"=Ponta")</f>
        <v>45208</v>
      </c>
      <c r="G5" s="69">
        <f ca="1">ROUND('TUSD BE'!$AM$5+'TUSD BF'!$AM$5+'TUSD CVA'!$AM$5,2)</f>
        <v>21.24</v>
      </c>
      <c r="H5" s="69">
        <v>15.61</v>
      </c>
      <c r="I5" s="69">
        <f t="shared" ref="I5:I37" ca="1" si="0">F5*G5</f>
        <v>960217.91999999993</v>
      </c>
      <c r="J5" s="70">
        <f t="shared" ref="J5:J37" si="1">F5*H5</f>
        <v>705696.88</v>
      </c>
    </row>
    <row r="6" spans="2:28" x14ac:dyDescent="0.3">
      <c r="B6" s="61" t="s">
        <v>656</v>
      </c>
      <c r="C6" s="33" t="s">
        <v>54</v>
      </c>
      <c r="D6" s="33" t="s">
        <v>40</v>
      </c>
      <c r="E6" s="33" t="s">
        <v>937</v>
      </c>
      <c r="F6" s="71">
        <f>SUMIFS(Mercado_Receita!J:J,Mercado_Receita!B:B,"=A2",Mercado_Receita!C:C,"=AZUL",Mercado_Receita!H:H,"=Fora Ponta")</f>
        <v>240000</v>
      </c>
      <c r="G6" s="71">
        <f ca="1">ROUND('TUSD BE'!$AM$6+'TUSD BF'!$AM$6+'TUSD CVA'!$AM$6,2)</f>
        <v>7.96</v>
      </c>
      <c r="H6" s="71">
        <v>6.8</v>
      </c>
      <c r="I6" s="71">
        <f t="shared" ca="1" si="0"/>
        <v>1910400</v>
      </c>
      <c r="J6" s="72">
        <f t="shared" si="1"/>
        <v>1632000</v>
      </c>
    </row>
    <row r="7" spans="2:28" x14ac:dyDescent="0.3">
      <c r="B7" s="61" t="s">
        <v>656</v>
      </c>
      <c r="C7" s="33" t="s">
        <v>54</v>
      </c>
      <c r="D7" s="33" t="s">
        <v>40</v>
      </c>
      <c r="E7" s="33" t="s">
        <v>11</v>
      </c>
      <c r="F7" s="71">
        <f>SUMIFS(Mercado_Receita!L:L,Mercado_Receita!B:B,"=A2",Mercado_Receita!C:C,"=AZUL",Mercado_Receita!H:H,"&lt;&gt;Não se aplica",Mercado_Receita!Q:Q,"=Cativo")+SUMIFS(Mercado_Receita!L:L,Mercado_Receita!B:B,"=A2",Mercado_Receita!C:C,"=AZUL",Mercado_Receita!Q:Q,"=Livre")</f>
        <v>117715.17200000002</v>
      </c>
      <c r="G7" s="71">
        <f ca="1">ROUND('TUSD BE'!$AM$7+'TUSD BF'!$AM$7+'TUSD CVA'!$AM$7,2)</f>
        <v>90.52</v>
      </c>
      <c r="H7" s="71">
        <v>82.83</v>
      </c>
      <c r="I7" s="71">
        <f t="shared" ca="1" si="0"/>
        <v>10655577.369440001</v>
      </c>
      <c r="J7" s="72">
        <f t="shared" si="1"/>
        <v>9750347.6967600007</v>
      </c>
    </row>
    <row r="8" spans="2:28" x14ac:dyDescent="0.3">
      <c r="B8" s="61" t="s">
        <v>684</v>
      </c>
      <c r="C8" s="33" t="s">
        <v>54</v>
      </c>
      <c r="D8" s="33" t="s">
        <v>40</v>
      </c>
      <c r="E8" s="33" t="s">
        <v>938</v>
      </c>
      <c r="F8" s="71">
        <f>SUMIFS(Mercado_Receita!N:N,Mercado_Receita!B:B,"=A2",Mercado_Receita!C:C,"=AZUL",Mercado_Receita!H:H,"=Ponta",Mercado_Receita!Q:Q,"=Cativo")</f>
        <v>0</v>
      </c>
      <c r="G8" s="71">
        <f>ROUND('TE BE'!$AB$5+'TE BF'!$AB$5+'TE CVA'!$AB$5,2)</f>
        <v>486.44</v>
      </c>
      <c r="H8" s="71">
        <v>379.31</v>
      </c>
      <c r="I8" s="71">
        <f t="shared" si="0"/>
        <v>0</v>
      </c>
      <c r="J8" s="72">
        <f t="shared" si="1"/>
        <v>0</v>
      </c>
    </row>
    <row r="9" spans="2:28" ht="15" thickBot="1" x14ac:dyDescent="0.35">
      <c r="B9" s="62" t="s">
        <v>684</v>
      </c>
      <c r="C9" s="32" t="s">
        <v>54</v>
      </c>
      <c r="D9" s="32" t="s">
        <v>40</v>
      </c>
      <c r="E9" s="32" t="s">
        <v>939</v>
      </c>
      <c r="F9" s="75">
        <f>SUMIFS(Mercado_Receita!N:N,Mercado_Receita!B:B,"=A2",Mercado_Receita!C:C,"=AZUL",Mercado_Receita!H:H,"=Fora Ponta",Mercado_Receita!Q:Q,"=Cativo")</f>
        <v>0</v>
      </c>
      <c r="G9" s="75">
        <f>ROUND('TE BE'!$AB$6+'TE BF'!$AB$6+'TE CVA'!$AB$6,2)</f>
        <v>299.18</v>
      </c>
      <c r="H9" s="75">
        <v>231.69</v>
      </c>
      <c r="I9" s="75">
        <f t="shared" si="0"/>
        <v>0</v>
      </c>
      <c r="J9" s="76">
        <f t="shared" si="1"/>
        <v>0</v>
      </c>
    </row>
    <row r="10" spans="2:28" x14ac:dyDescent="0.3">
      <c r="B10" s="63" t="s">
        <v>656</v>
      </c>
      <c r="C10" s="64" t="s">
        <v>60</v>
      </c>
      <c r="D10" s="64" t="s">
        <v>40</v>
      </c>
      <c r="E10" s="64" t="s">
        <v>936</v>
      </c>
      <c r="F10" s="69">
        <f>SUMIFS(Mercado_Receita!J:J,Mercado_Receita!B:B,"=A3",Mercado_Receita!C:C,"=AZUL",Mercado_Receita!H:H,"=Ponta")</f>
        <v>0</v>
      </c>
      <c r="G10" s="69">
        <f ca="1">ROUND('TUSD BE'!$AM$9+'TUSD BF'!$AM$9+'TUSD CVA'!$AM$9,2)</f>
        <v>31.1</v>
      </c>
      <c r="H10" s="69">
        <v>23.98</v>
      </c>
      <c r="I10" s="69">
        <f t="shared" ca="1" si="0"/>
        <v>0</v>
      </c>
      <c r="J10" s="70">
        <f t="shared" si="1"/>
        <v>0</v>
      </c>
    </row>
    <row r="11" spans="2:28" x14ac:dyDescent="0.3">
      <c r="B11" s="61" t="s">
        <v>656</v>
      </c>
      <c r="C11" s="33" t="s">
        <v>60</v>
      </c>
      <c r="D11" s="33" t="s">
        <v>40</v>
      </c>
      <c r="E11" s="33" t="s">
        <v>937</v>
      </c>
      <c r="F11" s="71">
        <f>SUMIFS(Mercado_Receita!J:J,Mercado_Receita!B:B,"=A3",Mercado_Receita!C:C,"=AZUL",Mercado_Receita!H:H,"=Fora Ponta")</f>
        <v>0</v>
      </c>
      <c r="G11" s="71">
        <f ca="1">ROUND('TUSD BE'!$AM$10+'TUSD BF'!$AM$10+'TUSD CVA'!$AM$10,2)</f>
        <v>12</v>
      </c>
      <c r="H11" s="71">
        <v>8.86</v>
      </c>
      <c r="I11" s="71">
        <f t="shared" ca="1" si="0"/>
        <v>0</v>
      </c>
      <c r="J11" s="72">
        <f t="shared" si="1"/>
        <v>0</v>
      </c>
    </row>
    <row r="12" spans="2:28" x14ac:dyDescent="0.3">
      <c r="B12" s="61" t="s">
        <v>656</v>
      </c>
      <c r="C12" s="33" t="s">
        <v>60</v>
      </c>
      <c r="D12" s="33" t="s">
        <v>40</v>
      </c>
      <c r="E12" s="33" t="s">
        <v>11</v>
      </c>
      <c r="F12" s="71">
        <f>SUMIFS(Mercado_Receita!L:L,Mercado_Receita!B:B,"=A3",Mercado_Receita!C:C,"=AZUL",Mercado_Receita!H:H,"&lt;&gt;Não se aplica",Mercado_Receita!Q:Q,"=Cativo")+SUMIFS(Mercado_Receita!L:L,Mercado_Receita!B:B,"=A3",Mercado_Receita!C:C,"=AZUL",Mercado_Receita!Q:Q,"=Livre")</f>
        <v>0</v>
      </c>
      <c r="G12" s="71">
        <f ca="1">ROUND('TUSD BE'!$AM$11+'TUSD BF'!$AM$11+'TUSD CVA'!$AM$11,2)</f>
        <v>92.28</v>
      </c>
      <c r="H12" s="71">
        <v>92.74</v>
      </c>
      <c r="I12" s="71">
        <f t="shared" ca="1" si="0"/>
        <v>0</v>
      </c>
      <c r="J12" s="72">
        <f t="shared" si="1"/>
        <v>0</v>
      </c>
    </row>
    <row r="13" spans="2:28" x14ac:dyDescent="0.3">
      <c r="B13" s="61" t="s">
        <v>684</v>
      </c>
      <c r="C13" s="33" t="s">
        <v>60</v>
      </c>
      <c r="D13" s="33" t="s">
        <v>40</v>
      </c>
      <c r="E13" s="33" t="s">
        <v>938</v>
      </c>
      <c r="F13" s="71">
        <f>SUMIFS(Mercado_Receita!N:N,Mercado_Receita!B:B,"=A3",Mercado_Receita!C:C,"=AZUL",Mercado_Receita!H:H,"=Ponta",Mercado_Receita!Q:Q,"=Cativo")</f>
        <v>0</v>
      </c>
      <c r="G13" s="71">
        <f>ROUND('TE BE'!$AB$7+'TE BF'!$AB$7+'TE CVA'!$AB$7,2)</f>
        <v>486.44</v>
      </c>
      <c r="H13" s="71">
        <v>379.31</v>
      </c>
      <c r="I13" s="71">
        <f t="shared" si="0"/>
        <v>0</v>
      </c>
      <c r="J13" s="72">
        <f t="shared" si="1"/>
        <v>0</v>
      </c>
    </row>
    <row r="14" spans="2:28" ht="15" thickBot="1" x14ac:dyDescent="0.35">
      <c r="B14" s="62" t="s">
        <v>684</v>
      </c>
      <c r="C14" s="32" t="s">
        <v>60</v>
      </c>
      <c r="D14" s="32" t="s">
        <v>40</v>
      </c>
      <c r="E14" s="32" t="s">
        <v>939</v>
      </c>
      <c r="F14" s="75">
        <f>SUMIFS(Mercado_Receita!N:N,Mercado_Receita!B:B,"=A3",Mercado_Receita!C:C,"=AZUL",Mercado_Receita!H:H,"=Fora Ponta",Mercado_Receita!Q:Q,"=Cativo")</f>
        <v>0</v>
      </c>
      <c r="G14" s="75">
        <f>ROUND('TE BE'!$AB$8+'TE BF'!$AB$8+'TE CVA'!$AB$8,2)</f>
        <v>299.18</v>
      </c>
      <c r="H14" s="75">
        <v>231.69</v>
      </c>
      <c r="I14" s="75">
        <f t="shared" si="0"/>
        <v>0</v>
      </c>
      <c r="J14" s="76">
        <f t="shared" si="1"/>
        <v>0</v>
      </c>
    </row>
    <row r="15" spans="2:28" x14ac:dyDescent="0.3">
      <c r="B15" s="63" t="s">
        <v>656</v>
      </c>
      <c r="C15" s="64" t="s">
        <v>39</v>
      </c>
      <c r="D15" s="64" t="s">
        <v>40</v>
      </c>
      <c r="E15" s="64" t="s">
        <v>936</v>
      </c>
      <c r="F15" s="69">
        <f>SUMIFS(Mercado_Receita!J:J,Mercado_Receita!B:B,"=A4",Mercado_Receita!C:C,"=AZUL",Mercado_Receita!H:H,"=Ponta")</f>
        <v>355389</v>
      </c>
      <c r="G15" s="69">
        <f ca="1">ROUND('TUSD BE'!$AM$14+'TUSD BF'!$AM$14+'TUSD CVA'!$AM$14,2)</f>
        <v>40.96</v>
      </c>
      <c r="H15" s="69">
        <v>49.92</v>
      </c>
      <c r="I15" s="69">
        <f t="shared" ca="1" si="0"/>
        <v>14556733.439999999</v>
      </c>
      <c r="J15" s="70">
        <f t="shared" si="1"/>
        <v>17741018.879999999</v>
      </c>
    </row>
    <row r="16" spans="2:28" x14ac:dyDescent="0.3">
      <c r="B16" s="61" t="s">
        <v>656</v>
      </c>
      <c r="C16" s="33" t="s">
        <v>39</v>
      </c>
      <c r="D16" s="33" t="s">
        <v>40</v>
      </c>
      <c r="E16" s="33" t="s">
        <v>937</v>
      </c>
      <c r="F16" s="71">
        <f>SUMIFS(Mercado_Receita!J:J,Mercado_Receita!B:B,"=A4",Mercado_Receita!C:C,"=AZUL",Mercado_Receita!H:H,"=Fora Ponta")</f>
        <v>371113</v>
      </c>
      <c r="G16" s="71">
        <f ca="1">ROUND('TUSD BE'!$AM$15+'TUSD BF'!$AM$15+'TUSD CVA'!$AM$15,2)</f>
        <v>16.04</v>
      </c>
      <c r="H16" s="71">
        <v>16.54</v>
      </c>
      <c r="I16" s="71">
        <f t="shared" ca="1" si="0"/>
        <v>5952652.5199999996</v>
      </c>
      <c r="J16" s="72">
        <f t="shared" si="1"/>
        <v>6138209.0199999996</v>
      </c>
    </row>
    <row r="17" spans="2:10" x14ac:dyDescent="0.3">
      <c r="B17" s="61" t="s">
        <v>656</v>
      </c>
      <c r="C17" s="33" t="s">
        <v>39</v>
      </c>
      <c r="D17" s="33" t="s">
        <v>40</v>
      </c>
      <c r="E17" s="33" t="s">
        <v>11</v>
      </c>
      <c r="F17" s="71">
        <f>SUMIFS(Mercado_Receita!L:L,Mercado_Receita!B:B,"=A4",Mercado_Receita!C:C,"=AZUL",Mercado_Receita!H:H,"&lt;&gt;Não se aplica",Mercado_Receita!Q:Q,"=Cativo")+SUMIFS(Mercado_Receita!L:L,Mercado_Receita!B:B,"=A4",Mercado_Receita!C:C,"=AZUL",Mercado_Receita!Q:Q,"=Livre")</f>
        <v>175397.88899999997</v>
      </c>
      <c r="G17" s="71">
        <f ca="1">ROUND('TUSD BE'!$AM$16+'TUSD BF'!$AM$16+'TUSD CVA'!$AM$16,2)</f>
        <v>122.14</v>
      </c>
      <c r="H17" s="71">
        <v>117.81</v>
      </c>
      <c r="I17" s="71">
        <f t="shared" ca="1" si="0"/>
        <v>21423098.162459996</v>
      </c>
      <c r="J17" s="72">
        <f t="shared" si="1"/>
        <v>20663625.303089995</v>
      </c>
    </row>
    <row r="18" spans="2:10" x14ac:dyDescent="0.3">
      <c r="B18" s="61" t="s">
        <v>684</v>
      </c>
      <c r="C18" s="33" t="s">
        <v>39</v>
      </c>
      <c r="D18" s="33" t="s">
        <v>40</v>
      </c>
      <c r="E18" s="33" t="s">
        <v>938</v>
      </c>
      <c r="F18" s="71">
        <f>SUMIFS(Mercado_Receita!N:N,Mercado_Receita!B:B,"=A4",Mercado_Receita!C:C,"=AZUL",Mercado_Receita!H:H,"=Ponta",Mercado_Receita!Q:Q,"=Cativo")</f>
        <v>1291.0080000000003</v>
      </c>
      <c r="G18" s="71">
        <f>ROUND('TE BE'!$AB$9+'TE BF'!$AB$9+'TE CVA'!$AB$9,2)</f>
        <v>486.44</v>
      </c>
      <c r="H18" s="71">
        <v>379.31</v>
      </c>
      <c r="I18" s="71">
        <f t="shared" si="0"/>
        <v>627997.9315200001</v>
      </c>
      <c r="J18" s="72">
        <f t="shared" si="1"/>
        <v>489692.24448000011</v>
      </c>
    </row>
    <row r="19" spans="2:10" ht="15" thickBot="1" x14ac:dyDescent="0.35">
      <c r="B19" s="62" t="s">
        <v>684</v>
      </c>
      <c r="C19" s="32" t="s">
        <v>39</v>
      </c>
      <c r="D19" s="32" t="s">
        <v>40</v>
      </c>
      <c r="E19" s="32" t="s">
        <v>939</v>
      </c>
      <c r="F19" s="75">
        <f>SUMIFS(Mercado_Receita!N:N,Mercado_Receita!B:B,"=A4",Mercado_Receita!C:C,"=AZUL",Mercado_Receita!H:H,"=Fora Ponta",Mercado_Receita!Q:Q,"=Cativo")</f>
        <v>11810.226999999997</v>
      </c>
      <c r="G19" s="75">
        <f>ROUND('TE BE'!$AB$10+'TE BF'!$AB$10+'TE CVA'!$AB$10,2)</f>
        <v>299.18</v>
      </c>
      <c r="H19" s="75">
        <v>231.69</v>
      </c>
      <c r="I19" s="75">
        <f t="shared" si="0"/>
        <v>3533383.7138599991</v>
      </c>
      <c r="J19" s="76">
        <f t="shared" si="1"/>
        <v>2736311.4936299995</v>
      </c>
    </row>
    <row r="20" spans="2:10" x14ac:dyDescent="0.3">
      <c r="B20" s="63" t="s">
        <v>656</v>
      </c>
      <c r="C20" s="64" t="s">
        <v>39</v>
      </c>
      <c r="D20" s="64" t="s">
        <v>41</v>
      </c>
      <c r="E20" s="64" t="s">
        <v>9</v>
      </c>
      <c r="F20" s="69">
        <f>SUMIFS(Mercado_Receita!J:J,Mercado_Receita!B:B,"=A4",Mercado_Receita!C:C,"=VERDE",Mercado_Receita!H:H,"=Não se aplica")</f>
        <v>334187</v>
      </c>
      <c r="G20" s="69">
        <f ca="1">ROUND('TUSD BE'!$AM$19+'TUSD BF'!$AM$19+'TUSD CVA'!$AM$19,2)</f>
        <v>16.04</v>
      </c>
      <c r="H20" s="69">
        <v>16.54</v>
      </c>
      <c r="I20" s="69">
        <f t="shared" ca="1" si="0"/>
        <v>5360359.4799999995</v>
      </c>
      <c r="J20" s="70">
        <f t="shared" si="1"/>
        <v>5527452.9799999995</v>
      </c>
    </row>
    <row r="21" spans="2:10" x14ac:dyDescent="0.3">
      <c r="B21" s="61" t="s">
        <v>656</v>
      </c>
      <c r="C21" s="33" t="s">
        <v>39</v>
      </c>
      <c r="D21" s="33" t="s">
        <v>41</v>
      </c>
      <c r="E21" s="33" t="s">
        <v>940</v>
      </c>
      <c r="F21" s="71">
        <f>SUMIFS(Mercado_Receita!L:L,Mercado_Receita!B:B,"=A4",Mercado_Receita!C:C,"=VERDE",Mercado_Receita!H:H,"=Ponta")</f>
        <v>7190.6020000000026</v>
      </c>
      <c r="G21" s="71">
        <f ca="1">ROUND('TUSD BE'!$AM$20+'TUSD BF'!$AM$20+'TUSD CVA'!$AM$20,2)</f>
        <v>1117.83</v>
      </c>
      <c r="H21" s="71">
        <v>1325.98</v>
      </c>
      <c r="I21" s="71">
        <f t="shared" ca="1" si="0"/>
        <v>8037870.6336600026</v>
      </c>
      <c r="J21" s="72">
        <f t="shared" si="1"/>
        <v>9534594.4399600029</v>
      </c>
    </row>
    <row r="22" spans="2:10" x14ac:dyDescent="0.3">
      <c r="B22" s="61" t="s">
        <v>656</v>
      </c>
      <c r="C22" s="33" t="s">
        <v>39</v>
      </c>
      <c r="D22" s="33" t="s">
        <v>41</v>
      </c>
      <c r="E22" s="33" t="s">
        <v>941</v>
      </c>
      <c r="F22" s="71">
        <f>SUMIFS(Mercado_Receita!L:L,Mercado_Receita!B:B,"=A4",Mercado_Receita!C:C,"=VERDE",Mercado_Receita!H:H,"=Fora Ponta")</f>
        <v>80797.681000000055</v>
      </c>
      <c r="G22" s="71">
        <f ca="1">ROUND('TUSD BE'!$AM$21+'TUSD BF'!$AM$21+'TUSD CVA'!$AM$21,2)</f>
        <v>122.14</v>
      </c>
      <c r="H22" s="71">
        <v>117.81</v>
      </c>
      <c r="I22" s="71">
        <f t="shared" ca="1" si="0"/>
        <v>9868628.7573400065</v>
      </c>
      <c r="J22" s="72">
        <f t="shared" si="1"/>
        <v>9518774.7986100074</v>
      </c>
    </row>
    <row r="23" spans="2:10" x14ac:dyDescent="0.3">
      <c r="B23" s="61" t="s">
        <v>684</v>
      </c>
      <c r="C23" s="33" t="s">
        <v>39</v>
      </c>
      <c r="D23" s="33" t="s">
        <v>41</v>
      </c>
      <c r="E23" s="33" t="s">
        <v>938</v>
      </c>
      <c r="F23" s="71">
        <f>SUMIFS(Mercado_Receita!N:N,Mercado_Receita!B:B,"=A4",Mercado_Receita!C:C,"=VERDE",Mercado_Receita!H:H,"=Ponta",Mercado_Receita!Q:Q,"=Cativo")</f>
        <v>4081.2089999999998</v>
      </c>
      <c r="G23" s="71">
        <f>ROUND('TE BE'!$AB$9+'TE BF'!$AB$9+'TE CVA'!$AB$9,2)</f>
        <v>486.44</v>
      </c>
      <c r="H23" s="71">
        <v>379.31</v>
      </c>
      <c r="I23" s="71">
        <f t="shared" si="0"/>
        <v>1985263.3059599998</v>
      </c>
      <c r="J23" s="72">
        <f t="shared" si="1"/>
        <v>1548043.38579</v>
      </c>
    </row>
    <row r="24" spans="2:10" ht="15" thickBot="1" x14ac:dyDescent="0.35">
      <c r="B24" s="62" t="s">
        <v>684</v>
      </c>
      <c r="C24" s="32" t="s">
        <v>39</v>
      </c>
      <c r="D24" s="32" t="s">
        <v>41</v>
      </c>
      <c r="E24" s="32" t="s">
        <v>939</v>
      </c>
      <c r="F24" s="75">
        <f>SUMIFS(Mercado_Receita!N:N,Mercado_Receita!B:B,"=A4",Mercado_Receita!C:C,"=VERDE",Mercado_Receita!H:H,"=Fora Ponta",Mercado_Receita!Q:Q,"=Cativo")</f>
        <v>50784.844999999972</v>
      </c>
      <c r="G24" s="75">
        <f>ROUND('TE BE'!$AB$10+'TE BF'!$AB$10+'TE CVA'!$AB$10,2)</f>
        <v>299.18</v>
      </c>
      <c r="H24" s="75">
        <v>231.69</v>
      </c>
      <c r="I24" s="75">
        <f t="shared" si="0"/>
        <v>15193809.927099992</v>
      </c>
      <c r="J24" s="76">
        <f t="shared" si="1"/>
        <v>11766340.738049993</v>
      </c>
    </row>
    <row r="25" spans="2:10" x14ac:dyDescent="0.3">
      <c r="B25" s="63" t="s">
        <v>656</v>
      </c>
      <c r="C25" s="64" t="s">
        <v>43</v>
      </c>
      <c r="D25" s="64" t="s">
        <v>40</v>
      </c>
      <c r="E25" s="64" t="s">
        <v>936</v>
      </c>
      <c r="F25" s="69">
        <f>SUMIFS(Mercado_Receita!J:J,Mercado_Receita!B:B,"=AS",Mercado_Receita!C:C,"=AZUL",Mercado_Receita!H:H,"=Ponta")</f>
        <v>0</v>
      </c>
      <c r="G25" s="69">
        <f ca="1">ROUND('TUSD BE'!$AM$24+'TUSD BF'!$AM$24+'TUSD CVA'!$AM$24,2)</f>
        <v>70.69</v>
      </c>
      <c r="H25" s="69">
        <v>78.900000000000006</v>
      </c>
      <c r="I25" s="69">
        <f t="shared" ca="1" si="0"/>
        <v>0</v>
      </c>
      <c r="J25" s="70">
        <f t="shared" si="1"/>
        <v>0</v>
      </c>
    </row>
    <row r="26" spans="2:10" x14ac:dyDescent="0.3">
      <c r="B26" s="61" t="s">
        <v>656</v>
      </c>
      <c r="C26" s="33" t="s">
        <v>43</v>
      </c>
      <c r="D26" s="33" t="s">
        <v>40</v>
      </c>
      <c r="E26" s="33" t="s">
        <v>937</v>
      </c>
      <c r="F26" s="71">
        <f>SUMIFS(Mercado_Receita!J:J,Mercado_Receita!B:B,"=AS",Mercado_Receita!C:C,"=AZUL",Mercado_Receita!H:H,"=Fora Ponta")</f>
        <v>0</v>
      </c>
      <c r="G26" s="71">
        <f ca="1">ROUND('TUSD BE'!$AM$25+'TUSD BF'!$AM$25+'TUSD CVA'!$AM$25,2)</f>
        <v>13.46</v>
      </c>
      <c r="H26" s="71">
        <v>17.239999999999998</v>
      </c>
      <c r="I26" s="71">
        <f t="shared" ca="1" si="0"/>
        <v>0</v>
      </c>
      <c r="J26" s="72">
        <f t="shared" si="1"/>
        <v>0</v>
      </c>
    </row>
    <row r="27" spans="2:10" x14ac:dyDescent="0.3">
      <c r="B27" s="61" t="s">
        <v>656</v>
      </c>
      <c r="C27" s="33" t="s">
        <v>43</v>
      </c>
      <c r="D27" s="33" t="s">
        <v>40</v>
      </c>
      <c r="E27" s="33" t="s">
        <v>11</v>
      </c>
      <c r="F27" s="71">
        <f>SUMIFS(Mercado_Receita!L:L,Mercado_Receita!B:B,"=AS",Mercado_Receita!C:C,"=AZUL",Mercado_Receita!H:H,"&lt;&gt;Não se aplica",Mercado_Receita!Q:Q,"=Cativo")+SUMIFS(Mercado_Receita!L:L,Mercado_Receita!B:B,"=AS",Mercado_Receita!C:C,"=AZUL",Mercado_Receita!Q:Q,"=Livre")</f>
        <v>0</v>
      </c>
      <c r="G27" s="71">
        <f ca="1">ROUND('TUSD BE'!$AM$26+'TUSD BF'!$AM$26+'TUSD CVA'!$AM$26,2)</f>
        <v>170.2</v>
      </c>
      <c r="H27" s="71">
        <v>160.30000000000001</v>
      </c>
      <c r="I27" s="71">
        <f t="shared" ca="1" si="0"/>
        <v>0</v>
      </c>
      <c r="J27" s="72">
        <f t="shared" si="1"/>
        <v>0</v>
      </c>
    </row>
    <row r="28" spans="2:10" x14ac:dyDescent="0.3">
      <c r="B28" s="61" t="s">
        <v>684</v>
      </c>
      <c r="C28" s="33" t="s">
        <v>43</v>
      </c>
      <c r="D28" s="33" t="s">
        <v>40</v>
      </c>
      <c r="E28" s="33" t="s">
        <v>938</v>
      </c>
      <c r="F28" s="71">
        <f>SUMIFS(Mercado_Receita!N:N,Mercado_Receita!B:B,"=AS",Mercado_Receita!C:C,"=AZUL",Mercado_Receita!H:H,"=Ponta",Mercado_Receita!Q:Q,"=Cativo")</f>
        <v>0</v>
      </c>
      <c r="G28" s="71">
        <f>ROUND('TE BE'!$AB$12+'TE BF'!$AB$12+'TE CVA'!$AB$12,2)</f>
        <v>486.44</v>
      </c>
      <c r="H28" s="71">
        <v>379.31</v>
      </c>
      <c r="I28" s="71">
        <f t="shared" si="0"/>
        <v>0</v>
      </c>
      <c r="J28" s="72">
        <f t="shared" si="1"/>
        <v>0</v>
      </c>
    </row>
    <row r="29" spans="2:10" ht="15" thickBot="1" x14ac:dyDescent="0.35">
      <c r="B29" s="62" t="s">
        <v>684</v>
      </c>
      <c r="C29" s="32" t="s">
        <v>43</v>
      </c>
      <c r="D29" s="32" t="s">
        <v>40</v>
      </c>
      <c r="E29" s="32" t="s">
        <v>939</v>
      </c>
      <c r="F29" s="75">
        <f>SUMIFS(Mercado_Receita!N:N,Mercado_Receita!B:B,"=AS",Mercado_Receita!C:C,"=AZUL",Mercado_Receita!H:H,"=Fora Ponta",Mercado_Receita!Q:Q,"=Cativo")</f>
        <v>0</v>
      </c>
      <c r="G29" s="75">
        <f>ROUND('TE BE'!$AB$13+'TE BF'!$AB$13+'TE CVA'!$AB$13,2)</f>
        <v>299.18</v>
      </c>
      <c r="H29" s="75">
        <v>231.69</v>
      </c>
      <c r="I29" s="75">
        <f t="shared" si="0"/>
        <v>0</v>
      </c>
      <c r="J29" s="76">
        <f t="shared" si="1"/>
        <v>0</v>
      </c>
    </row>
    <row r="30" spans="2:10" x14ac:dyDescent="0.3">
      <c r="B30" s="63" t="s">
        <v>656</v>
      </c>
      <c r="C30" s="64" t="s">
        <v>43</v>
      </c>
      <c r="D30" s="64" t="s">
        <v>41</v>
      </c>
      <c r="E30" s="64" t="s">
        <v>9</v>
      </c>
      <c r="F30" s="69">
        <f>SUMIFS(Mercado_Receita!J:J,Mercado_Receita!B:B,"=AS",Mercado_Receita!C:C,"=VERDE",Mercado_Receita!H:H,"=Não se aplica")</f>
        <v>2892</v>
      </c>
      <c r="G30" s="69">
        <f ca="1">ROUND('TUSD BE'!$AM$28+'TUSD BF'!$AM$28+'TUSD CVA'!$AM$28,2)</f>
        <v>13.46</v>
      </c>
      <c r="H30" s="69">
        <v>17.239999999999998</v>
      </c>
      <c r="I30" s="69">
        <f t="shared" ca="1" si="0"/>
        <v>38926.32</v>
      </c>
      <c r="J30" s="70">
        <f t="shared" si="1"/>
        <v>49858.079999999994</v>
      </c>
    </row>
    <row r="31" spans="2:10" x14ac:dyDescent="0.3">
      <c r="B31" s="61" t="s">
        <v>656</v>
      </c>
      <c r="C31" s="33" t="s">
        <v>43</v>
      </c>
      <c r="D31" s="33" t="s">
        <v>41</v>
      </c>
      <c r="E31" s="33" t="s">
        <v>940</v>
      </c>
      <c r="F31" s="71">
        <f>SUMIFS(Mercado_Receita!L:L,Mercado_Receita!B:B,"=AS",Mercado_Receita!C:C,"=VERDE",Mercado_Receita!H:H,"=Ponta")</f>
        <v>55.301000000000016</v>
      </c>
      <c r="G31" s="71">
        <f ca="1">ROUND('TUSD BE'!$AM$29+'TUSD BF'!$AM$29+'TUSD CVA'!$AM$29,2)</f>
        <v>1888.17</v>
      </c>
      <c r="H31" s="71">
        <v>2070.1</v>
      </c>
      <c r="I31" s="71">
        <f t="shared" ca="1" si="0"/>
        <v>104417.68917000004</v>
      </c>
      <c r="J31" s="72">
        <f t="shared" si="1"/>
        <v>114478.60010000003</v>
      </c>
    </row>
    <row r="32" spans="2:10" x14ac:dyDescent="0.3">
      <c r="B32" s="61" t="s">
        <v>656</v>
      </c>
      <c r="C32" s="33" t="s">
        <v>43</v>
      </c>
      <c r="D32" s="33" t="s">
        <v>41</v>
      </c>
      <c r="E32" s="33" t="s">
        <v>941</v>
      </c>
      <c r="F32" s="71">
        <f>SUMIFS(Mercado_Receita!L:L,Mercado_Receita!B:B,"=AS",Mercado_Receita!C:C,"=VERDE",Mercado_Receita!H:H,"=Fora Ponta")</f>
        <v>509.89599999999996</v>
      </c>
      <c r="G32" s="71">
        <f ca="1">ROUND('TUSD BE'!$AM$30+'TUSD BF'!$AM$30+'TUSD CVA'!$AM$30,2)</f>
        <v>170.2</v>
      </c>
      <c r="H32" s="71">
        <v>160.30000000000001</v>
      </c>
      <c r="I32" s="71">
        <f t="shared" ca="1" si="0"/>
        <v>86784.299199999994</v>
      </c>
      <c r="J32" s="72">
        <f t="shared" si="1"/>
        <v>81736.328800000003</v>
      </c>
    </row>
    <row r="33" spans="2:10" x14ac:dyDescent="0.3">
      <c r="B33" s="61" t="s">
        <v>684</v>
      </c>
      <c r="C33" s="33" t="s">
        <v>43</v>
      </c>
      <c r="D33" s="33" t="s">
        <v>41</v>
      </c>
      <c r="E33" s="33" t="s">
        <v>938</v>
      </c>
      <c r="F33" s="71">
        <f>SUMIFS(Mercado_Receita!N:N,Mercado_Receita!B:B,"=AS",Mercado_Receita!C:C,"=VERDE",Mercado_Receita!H:H,"=Ponta",Mercado_Receita!Q:Q,"=Cativo")</f>
        <v>18.171000000000003</v>
      </c>
      <c r="G33" s="71">
        <f>ROUND('TE BE'!$AB$12+'TE BF'!$AB$12+'TE CVA'!$AB$12,2)</f>
        <v>486.44</v>
      </c>
      <c r="H33" s="71">
        <v>379.31</v>
      </c>
      <c r="I33" s="71">
        <f t="shared" si="0"/>
        <v>8839.1012400000018</v>
      </c>
      <c r="J33" s="72">
        <f t="shared" si="1"/>
        <v>6892.4420100000016</v>
      </c>
    </row>
    <row r="34" spans="2:10" ht="15" thickBot="1" x14ac:dyDescent="0.35">
      <c r="B34" s="62" t="s">
        <v>684</v>
      </c>
      <c r="C34" s="32" t="s">
        <v>43</v>
      </c>
      <c r="D34" s="32" t="s">
        <v>41</v>
      </c>
      <c r="E34" s="32" t="s">
        <v>939</v>
      </c>
      <c r="F34" s="75">
        <f>SUMIFS(Mercado_Receita!N:N,Mercado_Receita!B:B,"=AS",Mercado_Receita!C:C,"=VERDE",Mercado_Receita!H:H,"=Fora Ponta",Mercado_Receita!Q:Q,"=Cativo")</f>
        <v>246.76899999999998</v>
      </c>
      <c r="G34" s="75">
        <f>ROUND('TE BE'!$AB$13+'TE BF'!$AB$13+'TE CVA'!$AB$13,2)</f>
        <v>299.18</v>
      </c>
      <c r="H34" s="75">
        <v>231.69</v>
      </c>
      <c r="I34" s="75">
        <f t="shared" si="0"/>
        <v>73828.349419999999</v>
      </c>
      <c r="J34" s="76">
        <f t="shared" si="1"/>
        <v>57173.909609999995</v>
      </c>
    </row>
    <row r="35" spans="2:10" x14ac:dyDescent="0.3">
      <c r="B35" s="63" t="s">
        <v>656</v>
      </c>
      <c r="C35" s="64" t="s">
        <v>43</v>
      </c>
      <c r="D35" s="64" t="s">
        <v>23</v>
      </c>
      <c r="E35" s="64" t="s">
        <v>9</v>
      </c>
      <c r="F35" s="69">
        <f>SUMIFS(Mercado_Receita!J:J,Mercado_Receita!B:B,"=AS",Mercado_Receita!C:C,"=CONVENCIONAL",Mercado_Receita!H:H,"=Não se aplica",Mercado_Receita!Q:Q,"=Cativo")</f>
        <v>0</v>
      </c>
      <c r="G35" s="69">
        <f ca="1">ROUND('TUSD BE'!$AM$33+'TUSD BF'!$AM$33+'TUSD CVA'!$AM$33,2)</f>
        <v>64.349999999999994</v>
      </c>
      <c r="H35" s="69">
        <v>0</v>
      </c>
      <c r="I35" s="69">
        <f t="shared" ca="1" si="0"/>
        <v>0</v>
      </c>
      <c r="J35" s="70">
        <f t="shared" si="1"/>
        <v>0</v>
      </c>
    </row>
    <row r="36" spans="2:10" x14ac:dyDescent="0.3">
      <c r="B36" s="61" t="s">
        <v>656</v>
      </c>
      <c r="C36" s="33" t="s">
        <v>43</v>
      </c>
      <c r="D36" s="33" t="s">
        <v>23</v>
      </c>
      <c r="E36" s="33" t="s">
        <v>940</v>
      </c>
      <c r="F36" s="71">
        <f>SUMIFS(Mercado_Receita!L:L,Mercado_Receita!B:B,"=AS",Mercado_Receita!C:C,"=CONVENCIONAL",Mercado_Receita!H:H,"=Não se aplica",Mercado_Receita!Q:Q,"=Cativo")</f>
        <v>0</v>
      </c>
      <c r="G36" s="71">
        <f ca="1">ROUND('TUSD BE'!$AM$34+'TUSD BF'!$AM$34+'TUSD CVA'!$AM$34,2)</f>
        <v>170.2</v>
      </c>
      <c r="H36" s="71">
        <v>0</v>
      </c>
      <c r="I36" s="71">
        <f t="shared" ca="1" si="0"/>
        <v>0</v>
      </c>
      <c r="J36" s="72">
        <f t="shared" si="1"/>
        <v>0</v>
      </c>
    </row>
    <row r="37" spans="2:10" ht="15" thickBot="1" x14ac:dyDescent="0.35">
      <c r="B37" s="65" t="s">
        <v>684</v>
      </c>
      <c r="C37" s="66" t="s">
        <v>43</v>
      </c>
      <c r="D37" s="66" t="s">
        <v>23</v>
      </c>
      <c r="E37" s="66" t="s">
        <v>938</v>
      </c>
      <c r="F37" s="73">
        <f>SUMIFS(Mercado_Receita!N:N,Mercado_Receita!B:B,"=AS",Mercado_Receita!C:C,"=CONVENCIONAL",Mercado_Receita!H:H,"=Não se aplica",Mercado_Receita!Q:Q,"=Cativo")</f>
        <v>0</v>
      </c>
      <c r="G37" s="73"/>
      <c r="H37" s="73">
        <v>0</v>
      </c>
      <c r="I37" s="73">
        <f t="shared" si="0"/>
        <v>0</v>
      </c>
      <c r="J37" s="74">
        <f t="shared" si="1"/>
        <v>0</v>
      </c>
    </row>
    <row r="39" spans="2:10" ht="15" thickBot="1" x14ac:dyDescent="0.35">
      <c r="D39" t="s">
        <v>942</v>
      </c>
      <c r="E39" t="s">
        <v>943</v>
      </c>
      <c r="F39" t="s">
        <v>944</v>
      </c>
      <c r="G39" t="s">
        <v>945</v>
      </c>
    </row>
    <row r="40" spans="2:10" x14ac:dyDescent="0.3">
      <c r="B40" t="s">
        <v>946</v>
      </c>
      <c r="C40" s="63" t="s">
        <v>54</v>
      </c>
      <c r="D40" s="69">
        <f ca="1">SUMIFS($I$5:$I$37,$C$5:$C$37,C40,$B$5:$B$37,"TUSD")/(SUMIFS($F$5:$F$37,$C$5:$C$37,C40,$B$5:$B$37,"TUSD",$E$5:$E$37,"TUSD_E")+SUMIFS($F$5:$F$37,$C$5:$C$37,C40,$B$5:$B$37,"TUSD",$E$5:$E$37,"TUSD_E P")+SUMIFS($F$5:$F$37,$C$5:$C$37,C40,$B$5:$B$37,"TUSD",$E$5:$E$37,"TUSD_E FP"))</f>
        <v>114.90613367527507</v>
      </c>
      <c r="E40" s="69">
        <f>SUMIFS($J$5:$J$37,$C$5:$C$37,C40,$B$5:$B$37,"TUSD")/(SUMIFS($F$5:$F$37,$C$5:$C$37,C40,$B$5:$B$37,"TUSD",$E$5:$E$37,"TUSD_E")+SUMIFS($F$5:$F$37,$C$5:$C$37,C40,$B$5:$B$37,"TUSD",$E$5:$E$37,"TUSD_E P")+SUMIFS($F$5:$F$37,$C$5:$C$37,C40,$B$5:$B$37,"TUSD",$E$5:$E$37,"TUSD_E FP"))</f>
        <v>102.68892591653351</v>
      </c>
      <c r="F40" s="64" t="str">
        <f t="shared" ref="F40:F47" ca="1" si="2">IF(AND(E40&lt;D40,NOT(ISERROR(_xlfn.XMATCH("AVALIAR " &amp;C40,$F$40:$F$52,2)))),"APLICAR","NÃO APLICAR")</f>
        <v>APLICAR</v>
      </c>
      <c r="G40" s="67">
        <f t="shared" ref="G40:G47" ca="1" si="3">IF(AND(E40&lt;D40,NOT(ISERROR(_xlfn.XMATCH("AVALIAR " &amp;C40,$F$40:$F$52,2)))),1,0)</f>
        <v>1</v>
      </c>
    </row>
    <row r="41" spans="2:10" x14ac:dyDescent="0.3">
      <c r="C41" s="61" t="s">
        <v>60</v>
      </c>
      <c r="D41" s="71" t="e">
        <f ca="1">SUMIFS($I$5:$I$37,$C$5:$C$37,C41,$B$5:$B$37,"TUSD")/(SUMIFS($F$5:$F$37,$C$5:$C$37,C41,$B$5:$B$37,"TUSD",$E$5:$E$37,"TUSD_E")+SUMIFS($F$5:$F$37,$C$5:$C$37,C41,$B$5:$B$37,"TUSD",$E$5:$E$37,"TUSD_E P")+SUMIFS($F$5:$F$37,$C$5:$C$37,C41,$B$5:$B$37,"TUSD",$E$5:$E$37,"TUSD_E FP"))</f>
        <v>#DIV/0!</v>
      </c>
      <c r="E41" s="71" t="e">
        <f>SUMIFS($J$5:$J$37,$C$5:$C$37,C41,$B$5:$B$37,"TUSD")/(SUMIFS($F$5:$F$37,$C$5:$C$37,C41,$B$5:$B$37,"TUSD",$E$5:$E$37,"TUSD_E")+SUMIFS($F$5:$F$37,$C$5:$C$37,C41,$B$5:$B$37,"TUSD",$E$5:$E$37,"TUSD_E P")+SUMIFS($F$5:$F$37,$C$5:$C$37,C41,$B$5:$B$37,"TUSD",$E$5:$E$37,"TUSD_E FP"))</f>
        <v>#DIV/0!</v>
      </c>
      <c r="F41" s="33" t="e">
        <f t="shared" ca="1" si="2"/>
        <v>#DIV/0!</v>
      </c>
      <c r="G41" s="68" t="e">
        <f t="shared" ca="1" si="3"/>
        <v>#DIV/0!</v>
      </c>
    </row>
    <row r="42" spans="2:10" x14ac:dyDescent="0.3">
      <c r="C42" s="61" t="s">
        <v>39</v>
      </c>
      <c r="D42" s="71">
        <f ca="1">SUMIFS($I$5:$I$37,$C$5:$C$37,C42,$B$5:$B$37,"TUSD")/(SUMIFS($F$5:$F$37,$C$5:$C$37,C42,$B$5:$B$37,"TUSD",$E$5:$E$37,"TUSD_E")+SUMIFS($F$5:$F$37,$C$5:$C$37,C42,$B$5:$B$37,"TUSD",$E$5:$E$37,"TUSD_E P")+SUMIFS($F$5:$F$37,$C$5:$C$37,C42,$B$5:$B$37,"TUSD",$E$5:$E$37,"TUSD_E FP"))</f>
        <v>247.54277150685039</v>
      </c>
      <c r="E42" s="71">
        <f>SUMIFS($J$5:$J$37,$C$5:$C$37,C42,$B$5:$B$37,"TUSD")/(SUMIFS($F$5:$F$37,$C$5:$C$37,C42,$B$5:$B$37,"TUSD",$E$5:$E$37,"TUSD_E")+SUMIFS($F$5:$F$37,$C$5:$C$37,C42,$B$5:$B$37,"TUSD",$E$5:$E$37,"TUSD_E P")+SUMIFS($F$5:$F$37,$C$5:$C$37,C42,$B$5:$B$37,"TUSD",$E$5:$E$37,"TUSD_E FP"))</f>
        <v>262.44231007564059</v>
      </c>
      <c r="F42" s="33" t="str">
        <f t="shared" ca="1" si="2"/>
        <v>NÃO APLICAR</v>
      </c>
      <c r="G42" s="68">
        <f t="shared" ca="1" si="3"/>
        <v>0</v>
      </c>
    </row>
    <row r="43" spans="2:10" ht="15" thickBot="1" x14ac:dyDescent="0.35">
      <c r="C43" s="62" t="s">
        <v>43</v>
      </c>
      <c r="D43" s="75">
        <f ca="1">SUMIFS($I$5:$I$37,$C$5:$C$37,C43,$B$5:$B$37,"TUSD")/(SUMIFS($F$5:$F$37,$C$5:$C$37,C43,$B$5:$B$37,"TUSD",$E$5:$E$37,"TUSD_E")+SUMIFS($F$5:$F$37,$C$5:$C$37,C43,$B$5:$B$37,"TUSD",$E$5:$E$37,"TUSD_E P")+SUMIFS($F$5:$F$37,$C$5:$C$37,C43,$B$5:$B$37,"TUSD",$E$5:$E$37,"TUSD_E FP"))</f>
        <v>407.16477329143652</v>
      </c>
      <c r="E43" s="75">
        <f>SUMIFS($J$5:$J$37,$C$5:$C$37,C43,$B$5:$B$37,"TUSD")/(SUMIFS($F$5:$F$37,$C$5:$C$37,C43,$B$5:$B$37,"TUSD",$E$5:$E$37,"TUSD_E")+SUMIFS($F$5:$F$37,$C$5:$C$37,C43,$B$5:$B$37,"TUSD",$E$5:$E$37,"TUSD_E P")+SUMIFS($F$5:$F$37,$C$5:$C$37,C43,$B$5:$B$37,"TUSD",$E$5:$E$37,"TUSD_E FP"))</f>
        <v>435.37564583676135</v>
      </c>
      <c r="F43" s="32" t="str">
        <f t="shared" ca="1" si="2"/>
        <v>NÃO APLICAR</v>
      </c>
      <c r="G43" s="77">
        <f t="shared" ca="1" si="3"/>
        <v>0</v>
      </c>
    </row>
    <row r="44" spans="2:10" x14ac:dyDescent="0.3">
      <c r="B44" t="s">
        <v>947</v>
      </c>
      <c r="C44" s="63" t="s">
        <v>54</v>
      </c>
      <c r="D44" s="69">
        <f>IF((SUMIFS($F$5:$F$37,$C$5:$C$37,C44,$B$5:$B$37,"TE",$E$5:$E$37,"TE P")+SUMIFS($F$5:$F$37,$C$5:$C$37,C44,$B$5:$B$37,"TE",$E$5:$E$37,"TE FP") = 0),0,SUMIFS($I$5:$I$37,$C$5:$C$37,C44,$B$5:$B$37,"TE")/(SUMIFS($F$5:$F$37,$C$5:$C$37,C44,$B$5:$B$37,"TUSD",$E$5:$E$37,"TUSD_E")+SUMIFS($F$5:$F$37,$C$5:$C$37,C44,$B$5:$B$37,"TUSD",$E$5:$E$37,"TUSD_E P")+SUMIFS($F$5:$F$37,$C$5:$C$37,C44,$B$5:$B$37,"TUSD",$E$5:$E$37,"TUSD_E FP")))</f>
        <v>0</v>
      </c>
      <c r="E44" s="69">
        <f>IF((SUMIFS($F$5:$F$37,$C$5:$C$37,C44,$B$5:$B$37,"TE",$E$5:$E$37,"TE P")+SUMIFS($F$5:$F$37,$C$5:$C$37,C44,$B$5:$B$37,"TE",$E$5:$E$37,"TE FP") = 0),0,SUMIFS($J$5:$J$37,$C$5:$C$37,C44,$B$5:$B$37,"TE")/(SUMIFS($F$5:$F$37,$C$5:$C$37,C44,$B$5:$B$37,"TUSD",$E$5:$E$37,"TUSD_E")+SUMIFS($F$5:$F$37,$C$5:$C$37,C44,$B$5:$B$37,"TUSD",$E$5:$E$37,"TUSD_E P")+SUMIFS($F$5:$F$37,$C$5:$C$37,C44,$B$5:$B$37,"TUSD",$E$5:$E$37,"TUSD_E FP")))</f>
        <v>0</v>
      </c>
      <c r="F44" s="64" t="str">
        <f t="shared" ca="1" si="2"/>
        <v>NÃO APLICAR</v>
      </c>
      <c r="G44" s="67">
        <f t="shared" ca="1" si="3"/>
        <v>0</v>
      </c>
    </row>
    <row r="45" spans="2:10" x14ac:dyDescent="0.3">
      <c r="C45" s="61" t="s">
        <v>60</v>
      </c>
      <c r="D45" s="71">
        <f>IF((SUMIFS($F$5:$F$37,$C$5:$C$37,C45,$B$5:$B$37,"TE",$E$5:$E$37,"TE P")+SUMIFS($F$5:$F$37,$C$5:$C$37,C45,$B$5:$B$37,"TE",$E$5:$E$37,"TE FP") = 0),0,SUMIFS($I$5:$I$37,$C$5:$C$37,C45,$B$5:$B$37,"TE")/(SUMIFS($F$5:$F$37,$C$5:$C$37,C45,$B$5:$B$37,"TUSD",$E$5:$E$37,"TUSD_E")+SUMIFS($F$5:$F$37,$C$5:$C$37,C45,$B$5:$B$37,"TUSD",$E$5:$E$37,"TUSD_E P")+SUMIFS($F$5:$F$37,$C$5:$C$37,C45,$B$5:$B$37,"TUSD",$E$5:$E$37,"TUSD_E FP")))</f>
        <v>0</v>
      </c>
      <c r="E45" s="71">
        <f>IF((SUMIFS($F$5:$F$37,$C$5:$C$37,C45,$B$5:$B$37,"TE",$E$5:$E$37,"TE P")+SUMIFS($F$5:$F$37,$C$5:$C$37,C45,$B$5:$B$37,"TE",$E$5:$E$37,"TE FP") = 0),0,SUMIFS($J$5:$J$37,$C$5:$C$37,C45,$B$5:$B$37,"TE")/(SUMIFS($F$5:$F$37,$C$5:$C$37,C45,$B$5:$B$37,"TUSD",$E$5:$E$37,"TUSD_E")+SUMIFS($F$5:$F$37,$C$5:$C$37,C45,$B$5:$B$37,"TUSD",$E$5:$E$37,"TUSD_E P")+SUMIFS($F$5:$F$37,$C$5:$C$37,C45,$B$5:$B$37,"TUSD",$E$5:$E$37,"TUSD_E FP")))</f>
        <v>0</v>
      </c>
      <c r="F45" s="33" t="str">
        <f t="shared" ca="1" si="2"/>
        <v>NÃO APLICAR</v>
      </c>
      <c r="G45" s="68">
        <f t="shared" ca="1" si="3"/>
        <v>0</v>
      </c>
    </row>
    <row r="46" spans="2:10" x14ac:dyDescent="0.3">
      <c r="C46" s="61" t="s">
        <v>39</v>
      </c>
      <c r="D46" s="71">
        <f>IF((SUMIFS($F$5:$F$37,$C$5:$C$37,C46,$B$5:$B$37,"TE",$E$5:$E$37,"TE P")+SUMIFS($F$5:$F$37,$C$5:$C$37,C46,$B$5:$B$37,"TE",$E$5:$E$37,"TE FP") = 0),0,SUMIFS($I$5:$I$37,$C$5:$C$37,C46,$B$5:$B$37,"TE")/(SUMIFS($F$5:$F$37,$C$5:$C$37,C46,$B$5:$B$37,"TUSD",$E$5:$E$37,"TUSD_E")+SUMIFS($F$5:$F$37,$C$5:$C$37,C46,$B$5:$B$37,"TUSD",$E$5:$E$37,"TUSD_E P")+SUMIFS($F$5:$F$37,$C$5:$C$37,C46,$B$5:$B$37,"TUSD",$E$5:$E$37,"TUSD_E FP")))</f>
        <v>81.023444459491174</v>
      </c>
      <c r="E46" s="71">
        <f>IF((SUMIFS($F$5:$F$37,$C$5:$C$37,C46,$B$5:$B$37,"TE",$E$5:$E$37,"TE P")+SUMIFS($F$5:$F$37,$C$5:$C$37,C46,$B$5:$B$37,"TE",$E$5:$E$37,"TE FP") = 0),0,SUMIFS($J$5:$J$37,$C$5:$C$37,C46,$B$5:$B$37,"TE")/(SUMIFS($F$5:$F$37,$C$5:$C$37,C46,$B$5:$B$37,"TUSD",$E$5:$E$37,"TUSD_E")+SUMIFS($F$5:$F$37,$C$5:$C$37,C46,$B$5:$B$37,"TUSD",$E$5:$E$37,"TUSD_E P")+SUMIFS($F$5:$F$37,$C$5:$C$37,C46,$B$5:$B$37,"TUSD",$E$5:$E$37,"TUSD_E FP")))</f>
        <v>62.798998657947728</v>
      </c>
      <c r="F46" s="33" t="str">
        <f t="shared" ca="1" si="2"/>
        <v>APLICAR</v>
      </c>
      <c r="G46" s="68">
        <f t="shared" ca="1" si="3"/>
        <v>1</v>
      </c>
    </row>
    <row r="47" spans="2:10" ht="15" thickBot="1" x14ac:dyDescent="0.35">
      <c r="C47" s="62" t="s">
        <v>43</v>
      </c>
      <c r="D47" s="75">
        <f>IF((SUMIFS($F$5:$F$37,$C$5:$C$37,C47,$B$5:$B$37,"TE",$E$5:$E$37,"TE P")+SUMIFS($F$5:$F$37,$C$5:$C$37,C47,$B$5:$B$37,"TE",$E$5:$E$37,"TE FP") = 0),0,SUMIFS($I$5:$I$37,$C$5:$C$37,C47,$B$5:$B$37,"TE")/(SUMIFS($F$5:$F$37,$C$5:$C$37,C47,$B$5:$B$37,"TUSD",$E$5:$E$37,"TUSD_E")+SUMIFS($F$5:$F$37,$C$5:$C$37,C47,$B$5:$B$37,"TUSD",$E$5:$E$37,"TUSD_E P")+SUMIFS($F$5:$F$37,$C$5:$C$37,C47,$B$5:$B$37,"TUSD",$E$5:$E$37,"TUSD_E FP")))</f>
        <v>146.26307404320971</v>
      </c>
      <c r="E47" s="75">
        <f>IF((SUMIFS($F$5:$F$37,$C$5:$C$37,C47,$B$5:$B$37,"TE",$E$5:$E$37,"TE P")+SUMIFS($F$5:$F$37,$C$5:$C$37,C47,$B$5:$B$37,"TE",$E$5:$E$37,"TE FP") = 0),0,SUMIFS($J$5:$J$37,$C$5:$C$37,C47,$B$5:$B$37,"TE")/(SUMIFS($F$5:$F$37,$C$5:$C$37,C47,$B$5:$B$37,"TUSD",$E$5:$E$37,"TUSD_E")+SUMIFS($F$5:$F$37,$C$5:$C$37,C47,$B$5:$B$37,"TUSD",$E$5:$E$37,"TUSD_E P")+SUMIFS($F$5:$F$37,$C$5:$C$37,C47,$B$5:$B$37,"TUSD",$E$5:$E$37,"TUSD_E FP")))</f>
        <v>113.35224995886389</v>
      </c>
      <c r="F47" s="32" t="str">
        <f t="shared" ca="1" si="2"/>
        <v>APLICAR</v>
      </c>
      <c r="G47" s="77">
        <f t="shared" ca="1" si="3"/>
        <v>1</v>
      </c>
    </row>
    <row r="48" spans="2:10" x14ac:dyDescent="0.3">
      <c r="B48" t="s">
        <v>948</v>
      </c>
      <c r="C48" s="63" t="s">
        <v>54</v>
      </c>
      <c r="D48" s="69">
        <f ca="1">SUMIFS(D$40:D$47,C$40:C$47,C48)</f>
        <v>114.90613367527507</v>
      </c>
      <c r="E48" s="69">
        <f>SUMIFS(E$40:E$47,C$40:C$47,C48)</f>
        <v>102.68892591653351</v>
      </c>
      <c r="F48" s="64" t="str">
        <f ca="1">IF(E48&lt;D48,"AVALIAR "&amp;C48,"NÃO ALTERAR")</f>
        <v>AVALIAR A2</v>
      </c>
      <c r="G48" s="67">
        <f ca="1">IF(E48&lt;D48,1,0)</f>
        <v>1</v>
      </c>
    </row>
    <row r="49" spans="2:7" x14ac:dyDescent="0.3">
      <c r="C49" s="61" t="s">
        <v>60</v>
      </c>
      <c r="D49" s="71" t="e">
        <f ca="1">SUMIFS(D$40:D$47,C$40:C$47,C49)</f>
        <v>#DIV/0!</v>
      </c>
      <c r="E49" s="71" t="e">
        <f>SUMIFS(E$40:E$47,C$40:C$47,C49)</f>
        <v>#DIV/0!</v>
      </c>
      <c r="F49" s="33" t="e">
        <f ca="1">IF(E49&lt;D49,"AVALIAR "&amp;C49,"NÃO ALTERAR")</f>
        <v>#DIV/0!</v>
      </c>
      <c r="G49" s="68" t="e">
        <f ca="1">IF(E49&lt;D49,1,0)</f>
        <v>#DIV/0!</v>
      </c>
    </row>
    <row r="50" spans="2:7" x14ac:dyDescent="0.3">
      <c r="C50" s="61" t="s">
        <v>39</v>
      </c>
      <c r="D50" s="71">
        <f ca="1">SUMIFS(D$40:D$47,C$40:C$47,C50)</f>
        <v>328.56621596634159</v>
      </c>
      <c r="E50" s="71">
        <f>SUMIFS(E$40:E$47,C$40:C$47,C50)</f>
        <v>325.24130873358831</v>
      </c>
      <c r="F50" s="33" t="str">
        <f ca="1">IF(E50&lt;D50,"AVALIAR "&amp;C50,"NÃO ALTERAR")</f>
        <v>AVALIAR A4</v>
      </c>
      <c r="G50" s="68">
        <f ca="1">IF(E50&lt;D50,1,0)</f>
        <v>1</v>
      </c>
    </row>
    <row r="51" spans="2:7" ht="15" thickBot="1" x14ac:dyDescent="0.35">
      <c r="C51" s="62" t="s">
        <v>43</v>
      </c>
      <c r="D51" s="75">
        <f ca="1">SUMIFS(D$40:D$47,C$40:C$47,C51)</f>
        <v>553.42784733464623</v>
      </c>
      <c r="E51" s="75">
        <f>SUMIFS(E$40:E$47,C$40:C$47,C51)</f>
        <v>548.72789579562527</v>
      </c>
      <c r="F51" s="32" t="str">
        <f ca="1">IF(E51&lt;D51,"AVALIAR "&amp;C51,"NÃO ALTERAR")</f>
        <v>AVALIAR AS</v>
      </c>
      <c r="G51" s="77">
        <f ca="1">IF(E51&lt;D51,1,0)</f>
        <v>1</v>
      </c>
    </row>
    <row r="52" spans="2:7" ht="15" thickBot="1" x14ac:dyDescent="0.35">
      <c r="B52" t="s">
        <v>949</v>
      </c>
      <c r="C52" s="78" t="s">
        <v>950</v>
      </c>
      <c r="D52" s="81">
        <f ca="1">ROUND('TE BE'!$AB$18+'TE BF'!$AB$18+'TE CVA'!$AB$18,2)+ROUND('TUSD BE'!$AM$40+'TUSD BF'!$AM$40+'TUSD CVA'!$AM$40,2)</f>
        <v>708.06999999999994</v>
      </c>
      <c r="E52" s="81">
        <v>653.13</v>
      </c>
      <c r="F52" s="79" t="str">
        <f ca="1">IF(D52&lt;=E52,"NÃO ALTERAR","AVALIAR TarB1")</f>
        <v>AVALIAR TarB1</v>
      </c>
      <c r="G52" s="80">
        <f ca="1">IF(E52&lt;D52,1,0)</f>
        <v>1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42327-110E-44EB-98C3-03106E327F45}">
  <sheetPr codeName="Planilha31"/>
  <dimension ref="B1:U15"/>
  <sheetViews>
    <sheetView showGridLines="0" workbookViewId="0">
      <selection activeCell="U1" sqref="U1"/>
    </sheetView>
  </sheetViews>
  <sheetFormatPr defaultRowHeight="14.4" x14ac:dyDescent="0.3"/>
  <sheetData>
    <row r="1" spans="2:21" x14ac:dyDescent="0.3">
      <c r="B1" s="51" t="s">
        <v>885</v>
      </c>
      <c r="C1" s="51" t="s">
        <v>886</v>
      </c>
      <c r="D1" s="51" t="s">
        <v>887</v>
      </c>
      <c r="E1" s="51" t="s">
        <v>2</v>
      </c>
      <c r="F1" s="51" t="s">
        <v>888</v>
      </c>
      <c r="G1" s="51" t="s">
        <v>796</v>
      </c>
      <c r="H1" s="51" t="s">
        <v>3</v>
      </c>
      <c r="I1" s="51" t="s">
        <v>889</v>
      </c>
      <c r="J1" s="51" t="s">
        <v>5</v>
      </c>
      <c r="K1" s="51" t="s">
        <v>1</v>
      </c>
      <c r="L1" s="51" t="s">
        <v>890</v>
      </c>
      <c r="M1" s="51" t="s">
        <v>891</v>
      </c>
      <c r="N1" s="51" t="s">
        <v>892</v>
      </c>
      <c r="O1" s="51" t="s">
        <v>893</v>
      </c>
      <c r="P1" s="51" t="s">
        <v>894</v>
      </c>
      <c r="Q1" s="51" t="s">
        <v>895</v>
      </c>
      <c r="R1" s="51" t="s">
        <v>896</v>
      </c>
      <c r="S1" s="51" t="s">
        <v>897</v>
      </c>
      <c r="T1" s="51" t="s">
        <v>898</v>
      </c>
      <c r="U1" s="51" t="s">
        <v>899</v>
      </c>
    </row>
    <row r="2" spans="2:21" x14ac:dyDescent="0.3">
      <c r="B2" s="50" t="s">
        <v>866</v>
      </c>
      <c r="C2" s="50">
        <v>6156</v>
      </c>
      <c r="D2" s="50">
        <v>51</v>
      </c>
      <c r="E2" s="50" t="s">
        <v>40</v>
      </c>
      <c r="F2" s="50">
        <v>1</v>
      </c>
      <c r="G2" s="50" t="s">
        <v>867</v>
      </c>
      <c r="H2" s="50" t="s">
        <v>50</v>
      </c>
      <c r="I2" s="50" t="s">
        <v>51</v>
      </c>
      <c r="J2" s="50" t="s">
        <v>868</v>
      </c>
      <c r="K2" s="50" t="s">
        <v>39</v>
      </c>
      <c r="L2" s="50">
        <v>0.15</v>
      </c>
      <c r="M2" s="50">
        <v>0.12</v>
      </c>
      <c r="N2" s="50">
        <v>0.09</v>
      </c>
      <c r="O2" s="50">
        <v>0.06</v>
      </c>
      <c r="P2" s="50">
        <v>0.03</v>
      </c>
      <c r="Q2" s="50">
        <v>0</v>
      </c>
      <c r="R2" s="50"/>
      <c r="S2" s="50"/>
      <c r="T2" s="50"/>
      <c r="U2" s="50">
        <v>3</v>
      </c>
    </row>
    <row r="3" spans="2:21" x14ac:dyDescent="0.3">
      <c r="B3" s="50" t="s">
        <v>869</v>
      </c>
      <c r="C3" s="50">
        <v>6157</v>
      </c>
      <c r="D3" s="50">
        <v>51</v>
      </c>
      <c r="E3" s="50" t="s">
        <v>41</v>
      </c>
      <c r="F3" s="50">
        <v>1</v>
      </c>
      <c r="G3" s="50" t="s">
        <v>867</v>
      </c>
      <c r="H3" s="50" t="s">
        <v>50</v>
      </c>
      <c r="I3" s="50" t="s">
        <v>51</v>
      </c>
      <c r="J3" s="50" t="s">
        <v>868</v>
      </c>
      <c r="K3" s="50" t="s">
        <v>39</v>
      </c>
      <c r="L3" s="50">
        <v>0.15</v>
      </c>
      <c r="M3" s="50">
        <v>0.12</v>
      </c>
      <c r="N3" s="50">
        <v>0.09</v>
      </c>
      <c r="O3" s="50">
        <v>0.06</v>
      </c>
      <c r="P3" s="50">
        <v>0.03</v>
      </c>
      <c r="Q3" s="50">
        <v>0</v>
      </c>
      <c r="R3" s="50"/>
      <c r="S3" s="50"/>
      <c r="T3" s="50"/>
      <c r="U3" s="50">
        <v>3</v>
      </c>
    </row>
    <row r="4" spans="2:21" x14ac:dyDescent="0.3">
      <c r="B4" s="50" t="s">
        <v>870</v>
      </c>
      <c r="C4" s="50">
        <v>6158</v>
      </c>
      <c r="D4" s="50">
        <v>51</v>
      </c>
      <c r="E4" s="50" t="s">
        <v>871</v>
      </c>
      <c r="F4" s="50">
        <v>1</v>
      </c>
      <c r="G4" s="50" t="s">
        <v>867</v>
      </c>
      <c r="H4" s="50" t="s">
        <v>50</v>
      </c>
      <c r="I4" s="50" t="s">
        <v>51</v>
      </c>
      <c r="J4" s="50" t="s">
        <v>868</v>
      </c>
      <c r="K4" s="50" t="s">
        <v>39</v>
      </c>
      <c r="L4" s="50">
        <v>0.15</v>
      </c>
      <c r="M4" s="50">
        <v>0.12</v>
      </c>
      <c r="N4" s="50">
        <v>0.09</v>
      </c>
      <c r="O4" s="50">
        <v>0.06</v>
      </c>
      <c r="P4" s="50">
        <v>0.03</v>
      </c>
      <c r="Q4" s="50">
        <v>0</v>
      </c>
      <c r="R4" s="50"/>
      <c r="S4" s="50"/>
      <c r="T4" s="50"/>
      <c r="U4" s="50">
        <v>3</v>
      </c>
    </row>
    <row r="5" spans="2:21" x14ac:dyDescent="0.3">
      <c r="B5" s="50" t="s">
        <v>872</v>
      </c>
      <c r="C5" s="50">
        <v>6159</v>
      </c>
      <c r="D5" s="50">
        <v>51</v>
      </c>
      <c r="E5" s="50" t="s">
        <v>23</v>
      </c>
      <c r="F5" s="50">
        <v>1</v>
      </c>
      <c r="G5" s="50" t="s">
        <v>867</v>
      </c>
      <c r="H5" s="50" t="s">
        <v>50</v>
      </c>
      <c r="I5" s="50" t="s">
        <v>51</v>
      </c>
      <c r="J5" s="50" t="s">
        <v>868</v>
      </c>
      <c r="K5" s="50" t="s">
        <v>37</v>
      </c>
      <c r="L5" s="50">
        <v>0.15</v>
      </c>
      <c r="M5" s="50">
        <v>0.12</v>
      </c>
      <c r="N5" s="50">
        <v>0.09</v>
      </c>
      <c r="O5" s="50">
        <v>0.06</v>
      </c>
      <c r="P5" s="50">
        <v>0.03</v>
      </c>
      <c r="Q5" s="50">
        <v>0</v>
      </c>
      <c r="R5" s="50"/>
      <c r="S5" s="50"/>
      <c r="T5" s="50"/>
      <c r="U5" s="50">
        <v>3</v>
      </c>
    </row>
    <row r="6" spans="2:21" x14ac:dyDescent="0.3">
      <c r="B6" s="50" t="s">
        <v>873</v>
      </c>
      <c r="C6" s="50">
        <v>6160</v>
      </c>
      <c r="D6" s="50">
        <v>51</v>
      </c>
      <c r="E6" s="50" t="s">
        <v>33</v>
      </c>
      <c r="F6" s="50">
        <v>1</v>
      </c>
      <c r="G6" s="50" t="s">
        <v>867</v>
      </c>
      <c r="H6" s="50" t="s">
        <v>50</v>
      </c>
      <c r="I6" s="50" t="s">
        <v>51</v>
      </c>
      <c r="J6" s="50" t="s">
        <v>868</v>
      </c>
      <c r="K6" s="50" t="s">
        <v>37</v>
      </c>
      <c r="L6" s="50">
        <v>0.15</v>
      </c>
      <c r="M6" s="50">
        <v>0.12</v>
      </c>
      <c r="N6" s="50">
        <v>0.09</v>
      </c>
      <c r="O6" s="50">
        <v>0.06</v>
      </c>
      <c r="P6" s="50">
        <v>0.03</v>
      </c>
      <c r="Q6" s="50">
        <v>0</v>
      </c>
      <c r="R6" s="50"/>
      <c r="S6" s="50"/>
      <c r="T6" s="50"/>
      <c r="U6" s="50">
        <v>3</v>
      </c>
    </row>
    <row r="7" spans="2:21" x14ac:dyDescent="0.3">
      <c r="B7" s="50" t="s">
        <v>874</v>
      </c>
      <c r="C7" s="50">
        <v>6161</v>
      </c>
      <c r="D7" s="50">
        <v>51</v>
      </c>
      <c r="E7" s="50" t="s">
        <v>23</v>
      </c>
      <c r="F7" s="50">
        <v>1</v>
      </c>
      <c r="G7" s="50" t="s">
        <v>867</v>
      </c>
      <c r="H7" s="50" t="s">
        <v>45</v>
      </c>
      <c r="I7" s="50" t="s">
        <v>93</v>
      </c>
      <c r="J7" s="50" t="s">
        <v>868</v>
      </c>
      <c r="K7" s="50" t="s">
        <v>44</v>
      </c>
      <c r="L7" s="50">
        <v>0.3</v>
      </c>
      <c r="M7" s="50">
        <v>0.24</v>
      </c>
      <c r="N7" s="50">
        <v>0.18</v>
      </c>
      <c r="O7" s="50">
        <v>0.12</v>
      </c>
      <c r="P7" s="50">
        <v>0.06</v>
      </c>
      <c r="Q7" s="50">
        <v>0</v>
      </c>
      <c r="R7" s="50"/>
      <c r="S7" s="50"/>
      <c r="T7" s="50"/>
      <c r="U7" s="50">
        <v>3</v>
      </c>
    </row>
    <row r="8" spans="2:21" x14ac:dyDescent="0.3">
      <c r="B8" s="50" t="s">
        <v>875</v>
      </c>
      <c r="C8" s="50">
        <v>6162</v>
      </c>
      <c r="D8" s="50">
        <v>51</v>
      </c>
      <c r="E8" s="50" t="s">
        <v>876</v>
      </c>
      <c r="F8" s="50">
        <v>1</v>
      </c>
      <c r="G8" s="50" t="s">
        <v>867</v>
      </c>
      <c r="H8" s="50" t="s">
        <v>45</v>
      </c>
      <c r="I8" s="50" t="s">
        <v>93</v>
      </c>
      <c r="J8" s="50" t="s">
        <v>868</v>
      </c>
      <c r="K8" s="50" t="s">
        <v>44</v>
      </c>
      <c r="L8" s="50">
        <v>0.3</v>
      </c>
      <c r="M8" s="50">
        <v>0.24</v>
      </c>
      <c r="N8" s="50">
        <v>0.18</v>
      </c>
      <c r="O8" s="50">
        <v>0.12</v>
      </c>
      <c r="P8" s="50">
        <v>0.06</v>
      </c>
      <c r="Q8" s="50">
        <v>0</v>
      </c>
      <c r="R8" s="50"/>
      <c r="S8" s="50"/>
      <c r="T8" s="50"/>
      <c r="U8" s="50">
        <v>3</v>
      </c>
    </row>
    <row r="9" spans="2:21" x14ac:dyDescent="0.3">
      <c r="B9" s="50" t="s">
        <v>877</v>
      </c>
      <c r="C9" s="50">
        <v>6163</v>
      </c>
      <c r="D9" s="50">
        <v>51</v>
      </c>
      <c r="E9" s="50" t="s">
        <v>40</v>
      </c>
      <c r="F9" s="50">
        <v>1</v>
      </c>
      <c r="G9" s="50" t="s">
        <v>867</v>
      </c>
      <c r="H9" s="50" t="s">
        <v>45</v>
      </c>
      <c r="I9" s="50" t="s">
        <v>25</v>
      </c>
      <c r="J9" s="50" t="s">
        <v>878</v>
      </c>
      <c r="K9" s="50" t="s">
        <v>39</v>
      </c>
      <c r="L9" s="50">
        <v>0.1</v>
      </c>
      <c r="M9" s="50">
        <v>0.08</v>
      </c>
      <c r="N9" s="50">
        <v>0.06</v>
      </c>
      <c r="O9" s="50">
        <v>0.04</v>
      </c>
      <c r="P9" s="50">
        <v>0.02</v>
      </c>
      <c r="Q9" s="50">
        <v>0</v>
      </c>
      <c r="R9" s="50"/>
      <c r="S9" s="50"/>
      <c r="T9" s="50"/>
      <c r="U9" s="50">
        <v>3</v>
      </c>
    </row>
    <row r="10" spans="2:21" x14ac:dyDescent="0.3">
      <c r="B10" s="50" t="s">
        <v>879</v>
      </c>
      <c r="C10" s="50">
        <v>6164</v>
      </c>
      <c r="D10" s="50">
        <v>51</v>
      </c>
      <c r="E10" s="50" t="s">
        <v>41</v>
      </c>
      <c r="F10" s="50">
        <v>1</v>
      </c>
      <c r="G10" s="50" t="s">
        <v>867</v>
      </c>
      <c r="H10" s="50" t="s">
        <v>45</v>
      </c>
      <c r="I10" s="50" t="s">
        <v>25</v>
      </c>
      <c r="J10" s="50" t="s">
        <v>878</v>
      </c>
      <c r="K10" s="50" t="s">
        <v>39</v>
      </c>
      <c r="L10" s="50">
        <v>0.1</v>
      </c>
      <c r="M10" s="50">
        <v>0.08</v>
      </c>
      <c r="N10" s="50">
        <v>0.06</v>
      </c>
      <c r="O10" s="50">
        <v>0.04</v>
      </c>
      <c r="P10" s="50">
        <v>0.02</v>
      </c>
      <c r="Q10" s="50">
        <v>0</v>
      </c>
      <c r="R10" s="50"/>
      <c r="S10" s="50"/>
      <c r="T10" s="50"/>
      <c r="U10" s="50">
        <v>3</v>
      </c>
    </row>
    <row r="11" spans="2:21" x14ac:dyDescent="0.3">
      <c r="B11" s="50" t="s">
        <v>880</v>
      </c>
      <c r="C11" s="50">
        <v>6165</v>
      </c>
      <c r="D11" s="50">
        <v>51</v>
      </c>
      <c r="E11" s="50" t="s">
        <v>23</v>
      </c>
      <c r="F11" s="50">
        <v>1</v>
      </c>
      <c r="G11" s="50" t="s">
        <v>867</v>
      </c>
      <c r="H11" s="50" t="s">
        <v>45</v>
      </c>
      <c r="I11" s="50" t="s">
        <v>25</v>
      </c>
      <c r="J11" s="50" t="s">
        <v>878</v>
      </c>
      <c r="K11" s="50" t="s">
        <v>39</v>
      </c>
      <c r="L11" s="50">
        <v>0.1</v>
      </c>
      <c r="M11" s="50">
        <v>0.08</v>
      </c>
      <c r="N11" s="50">
        <v>0.06</v>
      </c>
      <c r="O11" s="50">
        <v>0.04</v>
      </c>
      <c r="P11" s="50">
        <v>0.02</v>
      </c>
      <c r="Q11" s="50">
        <v>0</v>
      </c>
      <c r="R11" s="50"/>
      <c r="S11" s="50"/>
      <c r="T11" s="50"/>
      <c r="U11" s="50">
        <v>3</v>
      </c>
    </row>
    <row r="12" spans="2:21" x14ac:dyDescent="0.3">
      <c r="B12" s="50" t="s">
        <v>881</v>
      </c>
      <c r="C12" s="50">
        <v>6166</v>
      </c>
      <c r="D12" s="50">
        <v>51</v>
      </c>
      <c r="E12" s="50" t="s">
        <v>23</v>
      </c>
      <c r="F12" s="50">
        <v>1</v>
      </c>
      <c r="G12" s="50" t="s">
        <v>867</v>
      </c>
      <c r="H12" s="50" t="s">
        <v>45</v>
      </c>
      <c r="I12" s="50" t="s">
        <v>25</v>
      </c>
      <c r="J12" s="50" t="s">
        <v>45</v>
      </c>
      <c r="K12" s="50" t="s">
        <v>44</v>
      </c>
      <c r="L12" s="50">
        <v>0.3</v>
      </c>
      <c r="M12" s="50">
        <v>0.24</v>
      </c>
      <c r="N12" s="50">
        <v>0.18</v>
      </c>
      <c r="O12" s="50">
        <v>0.12</v>
      </c>
      <c r="P12" s="50">
        <v>0.06</v>
      </c>
      <c r="Q12" s="50">
        <v>0</v>
      </c>
      <c r="R12" s="50"/>
      <c r="S12" s="50"/>
      <c r="T12" s="50"/>
      <c r="U12" s="50">
        <v>3</v>
      </c>
    </row>
    <row r="13" spans="2:21" x14ac:dyDescent="0.3">
      <c r="B13" s="50" t="s">
        <v>882</v>
      </c>
      <c r="C13" s="50">
        <v>6167</v>
      </c>
      <c r="D13" s="50">
        <v>51</v>
      </c>
      <c r="E13" s="50" t="s">
        <v>33</v>
      </c>
      <c r="F13" s="50">
        <v>1</v>
      </c>
      <c r="G13" s="50" t="s">
        <v>867</v>
      </c>
      <c r="H13" s="50" t="s">
        <v>45</v>
      </c>
      <c r="I13" s="50" t="s">
        <v>25</v>
      </c>
      <c r="J13" s="50" t="s">
        <v>45</v>
      </c>
      <c r="K13" s="50" t="s">
        <v>44</v>
      </c>
      <c r="L13" s="50">
        <v>0.3</v>
      </c>
      <c r="M13" s="50">
        <v>0.24</v>
      </c>
      <c r="N13" s="50">
        <v>0.18</v>
      </c>
      <c r="O13" s="50">
        <v>0.12</v>
      </c>
      <c r="P13" s="50">
        <v>0.06</v>
      </c>
      <c r="Q13" s="50">
        <v>0</v>
      </c>
      <c r="R13" s="50"/>
      <c r="S13" s="50"/>
      <c r="T13" s="50"/>
      <c r="U13" s="50">
        <v>3</v>
      </c>
    </row>
    <row r="14" spans="2:21" x14ac:dyDescent="0.3">
      <c r="B14" s="50" t="s">
        <v>883</v>
      </c>
      <c r="C14" s="50">
        <v>6168</v>
      </c>
      <c r="D14" s="50">
        <v>51</v>
      </c>
      <c r="E14" s="50" t="s">
        <v>23</v>
      </c>
      <c r="F14" s="50">
        <v>1</v>
      </c>
      <c r="G14" s="50" t="s">
        <v>867</v>
      </c>
      <c r="H14" s="50" t="s">
        <v>45</v>
      </c>
      <c r="I14" s="50" t="s">
        <v>94</v>
      </c>
      <c r="J14" s="50" t="s">
        <v>868</v>
      </c>
      <c r="K14" s="50" t="s">
        <v>44</v>
      </c>
      <c r="L14" s="50">
        <v>0.4</v>
      </c>
      <c r="M14" s="50">
        <v>0.32</v>
      </c>
      <c r="N14" s="50">
        <v>0.24</v>
      </c>
      <c r="O14" s="50">
        <v>0.16</v>
      </c>
      <c r="P14" s="50">
        <v>0.08</v>
      </c>
      <c r="Q14" s="50">
        <v>0</v>
      </c>
      <c r="R14" s="50"/>
      <c r="S14" s="50"/>
      <c r="T14" s="50"/>
      <c r="U14" s="50">
        <v>3</v>
      </c>
    </row>
    <row r="15" spans="2:21" x14ac:dyDescent="0.3">
      <c r="B15" s="50" t="s">
        <v>884</v>
      </c>
      <c r="C15" s="50">
        <v>6169</v>
      </c>
      <c r="D15" s="50">
        <v>51</v>
      </c>
      <c r="E15" s="50" t="s">
        <v>876</v>
      </c>
      <c r="F15" s="50">
        <v>1</v>
      </c>
      <c r="G15" s="50" t="s">
        <v>867</v>
      </c>
      <c r="H15" s="50" t="s">
        <v>45</v>
      </c>
      <c r="I15" s="50" t="s">
        <v>94</v>
      </c>
      <c r="J15" s="50" t="s">
        <v>868</v>
      </c>
      <c r="K15" s="50" t="s">
        <v>44</v>
      </c>
      <c r="L15" s="50">
        <v>0.4</v>
      </c>
      <c r="M15" s="50">
        <v>0.32</v>
      </c>
      <c r="N15" s="50">
        <v>0.24</v>
      </c>
      <c r="O15" s="50">
        <v>0.16</v>
      </c>
      <c r="P15" s="50">
        <v>0.08</v>
      </c>
      <c r="Q15" s="50">
        <v>0</v>
      </c>
      <c r="R15" s="50"/>
      <c r="S15" s="50"/>
      <c r="T15" s="50"/>
      <c r="U15" s="50">
        <v>3</v>
      </c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2FFD8-7F1A-4A87-A459-18E0ADDA5431}">
  <dimension ref="A1:L18"/>
  <sheetViews>
    <sheetView showGridLines="0" workbookViewId="0">
      <selection activeCell="F8" sqref="F8"/>
    </sheetView>
  </sheetViews>
  <sheetFormatPr defaultColWidth="9.109375" defaultRowHeight="10.199999999999999" x14ac:dyDescent="0.2"/>
  <cols>
    <col min="1" max="1" width="31.44140625" style="14" bestFit="1" customWidth="1"/>
    <col min="2" max="2" width="18.44140625" style="14" customWidth="1"/>
    <col min="3" max="12" width="11" style="14" customWidth="1"/>
    <col min="13" max="16384" width="9.109375" style="14"/>
  </cols>
  <sheetData>
    <row r="1" spans="1:12" ht="10.8" thickBot="1" x14ac:dyDescent="0.25">
      <c r="A1" s="107" t="s">
        <v>1484</v>
      </c>
      <c r="B1" s="107" t="s">
        <v>22</v>
      </c>
      <c r="C1" s="107" t="s">
        <v>1483</v>
      </c>
      <c r="D1" s="107" t="s">
        <v>1482</v>
      </c>
      <c r="E1" s="107" t="s">
        <v>37</v>
      </c>
      <c r="F1" s="107" t="s">
        <v>1481</v>
      </c>
      <c r="G1" s="107" t="s">
        <v>1480</v>
      </c>
      <c r="H1" s="107" t="s">
        <v>43</v>
      </c>
      <c r="I1" s="107" t="s">
        <v>39</v>
      </c>
      <c r="J1" s="107" t="s">
        <v>789</v>
      </c>
      <c r="K1" s="107" t="s">
        <v>60</v>
      </c>
      <c r="L1" s="107" t="s">
        <v>54</v>
      </c>
    </row>
    <row r="2" spans="1:12" x14ac:dyDescent="0.2">
      <c r="A2" s="103" t="s">
        <v>1479</v>
      </c>
      <c r="B2" s="109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423.18426574880613</v>
      </c>
      <c r="C2" s="109">
        <f t="shared" si="0"/>
        <v>397.66874384336342</v>
      </c>
      <c r="D2" s="109">
        <f t="shared" si="0"/>
        <v>388.95612660735861</v>
      </c>
      <c r="E2" s="109">
        <f t="shared" si="0"/>
        <v>423.18426574880613</v>
      </c>
      <c r="F2" s="109">
        <f t="shared" si="0"/>
        <v>232.7513461618434</v>
      </c>
      <c r="G2" s="109">
        <f t="shared" si="0"/>
        <v>253.91055944928371</v>
      </c>
      <c r="H2" s="109">
        <f t="shared" si="0"/>
        <v>422.93810607825765</v>
      </c>
      <c r="I2" s="109">
        <f t="shared" si="0"/>
        <v>683.75256431233504</v>
      </c>
      <c r="J2" s="109">
        <f t="shared" si="0"/>
        <v>0</v>
      </c>
      <c r="K2" s="109">
        <f t="shared" si="0"/>
        <v>387.68763643545861</v>
      </c>
      <c r="L2" s="109">
        <f t="shared" si="0"/>
        <v>91.622708558582232</v>
      </c>
    </row>
    <row r="3" spans="1:12" ht="10.8" thickBot="1" x14ac:dyDescent="0.25">
      <c r="A3" s="101" t="s">
        <v>1478</v>
      </c>
      <c r="B3" s="108">
        <v>6.8</v>
      </c>
      <c r="C3" s="108">
        <v>6.39</v>
      </c>
      <c r="D3" s="108">
        <v>6.25</v>
      </c>
      <c r="E3" s="108">
        <v>6.8</v>
      </c>
      <c r="F3" s="108">
        <v>3.74</v>
      </c>
      <c r="G3" s="108">
        <v>4.08</v>
      </c>
      <c r="H3" s="108">
        <f>'TUSD BE'!$AC$25</f>
        <v>6.7960445463236496</v>
      </c>
      <c r="I3" s="108">
        <f>'TUSD BE'!$AC$15</f>
        <v>10.986980881949282</v>
      </c>
      <c r="J3" s="108">
        <v>0</v>
      </c>
      <c r="K3" s="108">
        <f>'TUSD BE'!$AC$10</f>
        <v>6.2296170749551445</v>
      </c>
      <c r="L3" s="108">
        <f>'TUSD BE'!$AC$6</f>
        <v>1.4722532679610072</v>
      </c>
    </row>
    <row r="5" spans="1:12" ht="10.8" thickBot="1" x14ac:dyDescent="0.25">
      <c r="A5" s="107" t="s">
        <v>1477</v>
      </c>
      <c r="B5" s="107" t="s">
        <v>1476</v>
      </c>
    </row>
    <row r="6" spans="1:12" x14ac:dyDescent="0.2">
      <c r="A6" s="103" t="s">
        <v>1475</v>
      </c>
      <c r="B6" s="106">
        <v>0.11083669854816336</v>
      </c>
    </row>
    <row r="7" spans="1:12" x14ac:dyDescent="0.2">
      <c r="A7" s="105" t="s">
        <v>1474</v>
      </c>
      <c r="B7" s="104">
        <v>0.34</v>
      </c>
    </row>
    <row r="8" spans="1:12" x14ac:dyDescent="0.2">
      <c r="A8" s="103" t="s">
        <v>1473</v>
      </c>
      <c r="B8" s="102">
        <v>58431990.353860416</v>
      </c>
    </row>
    <row r="9" spans="1:12" x14ac:dyDescent="0.2">
      <c r="A9" s="105" t="s">
        <v>1472</v>
      </c>
      <c r="B9" s="104">
        <v>3.9199999999999999E-2</v>
      </c>
    </row>
    <row r="10" spans="1:12" x14ac:dyDescent="0.2">
      <c r="A10" s="103" t="s">
        <v>1471</v>
      </c>
      <c r="B10" s="102">
        <v>22376340.002596289</v>
      </c>
    </row>
    <row r="11" spans="1:12" ht="10.8" thickBot="1" x14ac:dyDescent="0.25">
      <c r="A11" s="101" t="s">
        <v>1470</v>
      </c>
      <c r="B11" s="100">
        <f>(1+$B$6)^(1/IF($B$9&lt;&gt;0,$B$9,1))*$B$6/IF((1+$B$6)^(1/IF($B$9&lt;&gt;0,$B$9,1))-1&lt;&gt;0,(1+$B$6)^(1/IF($B$9&lt;&gt;0,$B$9,1))-1,1)</f>
        <v>0.11898255769818752</v>
      </c>
    </row>
    <row r="18" spans="2:2" x14ac:dyDescent="0.2">
      <c r="B18" s="99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FE4FD-21BF-44AA-9302-4911ACCD90B5}">
  <dimension ref="B1:AT82"/>
  <sheetViews>
    <sheetView showGridLines="0" workbookViewId="0">
      <selection activeCell="B4" sqref="B4"/>
    </sheetView>
  </sheetViews>
  <sheetFormatPr defaultRowHeight="14.4" x14ac:dyDescent="0.3"/>
  <cols>
    <col min="2" max="2" width="12.77734375" bestFit="1" customWidth="1"/>
    <col min="3" max="3" width="25.44140625" bestFit="1" customWidth="1"/>
    <col min="4" max="4" width="16.33203125" bestFit="1" customWidth="1"/>
    <col min="5" max="5" width="28.77734375" bestFit="1" customWidth="1"/>
    <col min="6" max="6" width="11.88671875" bestFit="1" customWidth="1"/>
    <col min="7" max="7" width="12.109375" bestFit="1" customWidth="1"/>
    <col min="8" max="8" width="11.109375" bestFit="1" customWidth="1"/>
    <col min="9" max="9" width="13.109375" bestFit="1" customWidth="1"/>
    <col min="10" max="10" width="12.44140625" bestFit="1" customWidth="1"/>
    <col min="11" max="11" width="9.88671875" bestFit="1" customWidth="1"/>
    <col min="12" max="12" width="18.6640625" bestFit="1" customWidth="1"/>
    <col min="13" max="13" width="13.6640625" bestFit="1" customWidth="1"/>
    <col min="14" max="14" width="12.109375" bestFit="1" customWidth="1"/>
    <col min="15" max="15" width="12.44140625" bestFit="1" customWidth="1"/>
    <col min="16" max="17" width="12.109375" bestFit="1" customWidth="1"/>
    <col min="18" max="18" width="16.44140625" bestFit="1" customWidth="1"/>
    <col min="19" max="19" width="10.44140625" bestFit="1" customWidth="1"/>
    <col min="20" max="22" width="12" bestFit="1" customWidth="1"/>
    <col min="23" max="23" width="12.21875" bestFit="1" customWidth="1"/>
    <col min="24" max="24" width="13.44140625" bestFit="1" customWidth="1"/>
    <col min="25" max="25" width="11" bestFit="1" customWidth="1"/>
    <col min="26" max="26" width="13.6640625" bestFit="1" customWidth="1"/>
    <col min="27" max="27" width="12.33203125" bestFit="1" customWidth="1"/>
    <col min="28" max="28" width="15.44140625" bestFit="1" customWidth="1"/>
    <col min="29" max="29" width="24.33203125" bestFit="1" customWidth="1"/>
    <col min="30" max="30" width="13.88671875" bestFit="1" customWidth="1"/>
    <col min="31" max="31" width="12" bestFit="1" customWidth="1"/>
    <col min="32" max="32" width="17.109375" bestFit="1" customWidth="1"/>
    <col min="33" max="33" width="12.21875" bestFit="1" customWidth="1"/>
    <col min="34" max="34" width="12" bestFit="1" customWidth="1"/>
    <col min="35" max="35" width="16.109375" bestFit="1" customWidth="1"/>
    <col min="36" max="36" width="14.44140625" bestFit="1" customWidth="1"/>
    <col min="37" max="37" width="12" bestFit="1" customWidth="1"/>
    <col min="38" max="38" width="12.44140625" bestFit="1" customWidth="1"/>
    <col min="39" max="39" width="12" bestFit="1" customWidth="1"/>
    <col min="40" max="40" width="13.6640625" bestFit="1" customWidth="1"/>
    <col min="41" max="41" width="24.5546875" bestFit="1" customWidth="1"/>
    <col min="42" max="42" width="17.44140625" bestFit="1" customWidth="1"/>
    <col min="43" max="43" width="13.21875" bestFit="1" customWidth="1"/>
    <col min="44" max="44" width="12.77734375" bestFit="1" customWidth="1"/>
    <col min="45" max="45" width="21.6640625" bestFit="1" customWidth="1"/>
    <col min="46" max="46" width="12.21875" bestFit="1" customWidth="1"/>
  </cols>
  <sheetData>
    <row r="1" spans="2:46" ht="12" customHeight="1" x14ac:dyDescent="0.3">
      <c r="L1" s="159" t="s">
        <v>1524</v>
      </c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59"/>
      <c r="AE1" s="159"/>
      <c r="AF1" s="159"/>
      <c r="AG1" s="159"/>
      <c r="AH1" s="160"/>
      <c r="AI1" s="159" t="s">
        <v>1525</v>
      </c>
      <c r="AJ1" s="159"/>
      <c r="AK1" s="159"/>
      <c r="AL1" s="159"/>
      <c r="AM1" s="159"/>
      <c r="AN1" s="159"/>
      <c r="AO1" s="159"/>
      <c r="AP1" s="159"/>
      <c r="AQ1" s="159"/>
      <c r="AR1" s="159"/>
      <c r="AS1" s="159"/>
      <c r="AT1" s="159"/>
    </row>
    <row r="2" spans="2:46" ht="12" customHeight="1" x14ac:dyDescent="0.3">
      <c r="L2" s="161" t="s">
        <v>657</v>
      </c>
      <c r="M2" s="161"/>
      <c r="N2" s="161"/>
      <c r="O2" s="161"/>
      <c r="P2" s="161"/>
      <c r="Q2" s="161"/>
      <c r="R2" s="161"/>
      <c r="S2" s="162"/>
      <c r="T2" s="161" t="s">
        <v>666</v>
      </c>
      <c r="U2" s="161"/>
      <c r="V2" s="161"/>
      <c r="W2" s="161"/>
      <c r="X2" s="161"/>
      <c r="Y2" s="161"/>
      <c r="Z2" s="162"/>
      <c r="AA2" s="163" t="s">
        <v>674</v>
      </c>
      <c r="AB2" s="161" t="s">
        <v>25</v>
      </c>
      <c r="AC2" s="161"/>
      <c r="AD2" s="162"/>
      <c r="AE2" s="161" t="s">
        <v>1523</v>
      </c>
      <c r="AF2" s="161"/>
      <c r="AG2" s="161"/>
      <c r="AH2" s="162"/>
      <c r="AI2" s="161" t="s">
        <v>657</v>
      </c>
      <c r="AJ2" s="161"/>
      <c r="AK2" s="161"/>
      <c r="AL2" s="161"/>
      <c r="AM2" s="162"/>
      <c r="AN2" s="163" t="s">
        <v>688</v>
      </c>
      <c r="AO2" s="161" t="s">
        <v>666</v>
      </c>
      <c r="AP2" s="161"/>
      <c r="AQ2" s="161"/>
      <c r="AR2" s="161"/>
      <c r="AS2" s="162"/>
      <c r="AT2" s="164" t="s">
        <v>1523</v>
      </c>
    </row>
    <row r="3" spans="2:46" ht="12" customHeight="1" x14ac:dyDescent="0.3">
      <c r="B3" s="150" t="s">
        <v>68</v>
      </c>
      <c r="C3" s="151" t="s">
        <v>69</v>
      </c>
      <c r="D3" s="151" t="s">
        <v>70</v>
      </c>
      <c r="E3" s="151" t="s">
        <v>71</v>
      </c>
      <c r="F3" s="151" t="s">
        <v>72</v>
      </c>
      <c r="G3" s="151" t="s">
        <v>74</v>
      </c>
      <c r="H3" s="151" t="s">
        <v>75</v>
      </c>
      <c r="I3" s="151" t="s">
        <v>1036</v>
      </c>
      <c r="J3" s="151" t="s">
        <v>1485</v>
      </c>
      <c r="K3" s="151" t="s">
        <v>1486</v>
      </c>
      <c r="L3" s="151" t="s">
        <v>1487</v>
      </c>
      <c r="M3" s="151" t="s">
        <v>1488</v>
      </c>
      <c r="N3" s="151" t="s">
        <v>1489</v>
      </c>
      <c r="O3" s="151" t="s">
        <v>1490</v>
      </c>
      <c r="P3" s="151" t="s">
        <v>1491</v>
      </c>
      <c r="Q3" s="151" t="s">
        <v>1492</v>
      </c>
      <c r="R3" s="151" t="s">
        <v>1493</v>
      </c>
      <c r="S3" s="151" t="s">
        <v>1494</v>
      </c>
      <c r="T3" s="151" t="s">
        <v>1495</v>
      </c>
      <c r="U3" s="151" t="s">
        <v>1496</v>
      </c>
      <c r="V3" s="151" t="s">
        <v>1497</v>
      </c>
      <c r="W3" s="151" t="s">
        <v>1498</v>
      </c>
      <c r="X3" s="151" t="s">
        <v>1499</v>
      </c>
      <c r="Y3" s="151" t="s">
        <v>1500</v>
      </c>
      <c r="Z3" s="151" t="s">
        <v>1501</v>
      </c>
      <c r="AA3" s="151" t="s">
        <v>1502</v>
      </c>
      <c r="AB3" s="151" t="s">
        <v>1503</v>
      </c>
      <c r="AC3" s="151" t="s">
        <v>1504</v>
      </c>
      <c r="AD3" s="151" t="s">
        <v>1505</v>
      </c>
      <c r="AE3" s="151" t="s">
        <v>1506</v>
      </c>
      <c r="AF3" s="151" t="s">
        <v>1507</v>
      </c>
      <c r="AG3" s="151" t="s">
        <v>1508</v>
      </c>
      <c r="AH3" s="151" t="s">
        <v>1509</v>
      </c>
      <c r="AI3" s="151" t="s">
        <v>1510</v>
      </c>
      <c r="AJ3" s="151" t="s">
        <v>1511</v>
      </c>
      <c r="AK3" s="151" t="s">
        <v>1512</v>
      </c>
      <c r="AL3" s="151" t="s">
        <v>1513</v>
      </c>
      <c r="AM3" s="151" t="s">
        <v>1514</v>
      </c>
      <c r="AN3" s="151" t="s">
        <v>1515</v>
      </c>
      <c r="AO3" s="151" t="s">
        <v>1516</v>
      </c>
      <c r="AP3" s="151" t="s">
        <v>1517</v>
      </c>
      <c r="AQ3" s="151" t="s">
        <v>1518</v>
      </c>
      <c r="AR3" s="151" t="s">
        <v>1519</v>
      </c>
      <c r="AS3" s="151" t="s">
        <v>1520</v>
      </c>
      <c r="AT3" s="152" t="s">
        <v>1521</v>
      </c>
    </row>
    <row r="4" spans="2:46" ht="12" customHeight="1" x14ac:dyDescent="0.3">
      <c r="B4" s="153" t="s">
        <v>54</v>
      </c>
      <c r="C4" s="154" t="s">
        <v>40</v>
      </c>
      <c r="D4" s="154" t="s">
        <v>25</v>
      </c>
      <c r="E4" s="154" t="s">
        <v>25</v>
      </c>
      <c r="F4" s="154" t="s">
        <v>85</v>
      </c>
      <c r="G4" s="154" t="s">
        <v>34</v>
      </c>
      <c r="H4" s="154" t="s">
        <v>78</v>
      </c>
      <c r="I4" s="154" t="s">
        <v>25</v>
      </c>
      <c r="J4" s="154">
        <v>10.5</v>
      </c>
      <c r="K4" s="154">
        <v>0</v>
      </c>
      <c r="L4" s="154">
        <v>0</v>
      </c>
      <c r="M4" s="154">
        <v>4.0309008627529598E-2</v>
      </c>
      <c r="N4" s="154">
        <v>2.8359275244072901E-2</v>
      </c>
      <c r="O4" s="154">
        <v>0</v>
      </c>
      <c r="P4" s="154">
        <v>0</v>
      </c>
      <c r="Q4" s="154">
        <v>0</v>
      </c>
      <c r="R4" s="154">
        <v>0</v>
      </c>
      <c r="S4" s="154">
        <v>0</v>
      </c>
      <c r="T4" s="154">
        <v>0</v>
      </c>
      <c r="U4" s="154">
        <v>0</v>
      </c>
      <c r="V4" s="154">
        <v>0</v>
      </c>
      <c r="W4" s="154">
        <v>0</v>
      </c>
      <c r="X4" s="154">
        <v>0</v>
      </c>
      <c r="Y4" s="154">
        <v>0</v>
      </c>
      <c r="Z4" s="154">
        <v>0</v>
      </c>
      <c r="AA4" s="154">
        <v>0</v>
      </c>
      <c r="AB4" s="154">
        <v>0</v>
      </c>
      <c r="AC4" s="154">
        <v>9.6913686490582904</v>
      </c>
      <c r="AD4" s="154">
        <v>0</v>
      </c>
      <c r="AE4" s="154">
        <v>5.80918747051372E-2</v>
      </c>
      <c r="AF4" s="154">
        <v>1.00679510001865E-3</v>
      </c>
      <c r="AG4" s="154">
        <v>0.59796318774645396</v>
      </c>
      <c r="AH4" s="154">
        <v>8.2901209518496902E-2</v>
      </c>
      <c r="AI4" s="154">
        <v>0</v>
      </c>
      <c r="AJ4" s="154">
        <v>0</v>
      </c>
      <c r="AK4" s="154">
        <v>0</v>
      </c>
      <c r="AL4" s="154">
        <v>0</v>
      </c>
      <c r="AM4" s="154">
        <v>0</v>
      </c>
      <c r="AN4" s="154">
        <v>0</v>
      </c>
      <c r="AO4" s="154">
        <v>0</v>
      </c>
      <c r="AP4" s="154">
        <v>0</v>
      </c>
      <c r="AQ4" s="154">
        <v>0</v>
      </c>
      <c r="AR4" s="154">
        <v>0</v>
      </c>
      <c r="AS4" s="154">
        <v>0</v>
      </c>
      <c r="AT4" s="155">
        <v>0</v>
      </c>
    </row>
    <row r="5" spans="2:46" ht="12" customHeight="1" x14ac:dyDescent="0.3">
      <c r="B5" s="153" t="s">
        <v>54</v>
      </c>
      <c r="C5" s="154" t="s">
        <v>40</v>
      </c>
      <c r="D5" s="154" t="s">
        <v>25</v>
      </c>
      <c r="E5" s="154" t="s">
        <v>25</v>
      </c>
      <c r="F5" s="154" t="s">
        <v>85</v>
      </c>
      <c r="G5" s="154" t="s">
        <v>34</v>
      </c>
      <c r="H5" s="154" t="s">
        <v>81</v>
      </c>
      <c r="I5" s="154" t="s">
        <v>25</v>
      </c>
      <c r="J5" s="154">
        <v>15.61</v>
      </c>
      <c r="K5" s="154">
        <v>0</v>
      </c>
      <c r="L5" s="154">
        <v>0</v>
      </c>
      <c r="M5" s="154">
        <v>0</v>
      </c>
      <c r="N5" s="154">
        <v>0</v>
      </c>
      <c r="O5" s="154">
        <v>0</v>
      </c>
      <c r="P5" s="154">
        <v>0</v>
      </c>
      <c r="Q5" s="154">
        <v>0</v>
      </c>
      <c r="R5" s="154">
        <v>0</v>
      </c>
      <c r="S5" s="154">
        <v>0</v>
      </c>
      <c r="T5" s="154">
        <v>7.0834660801399396</v>
      </c>
      <c r="U5" s="154">
        <v>1.42757141438719</v>
      </c>
      <c r="V5" s="154">
        <v>0.209225711427658</v>
      </c>
      <c r="W5" s="154">
        <v>0</v>
      </c>
      <c r="X5" s="154">
        <v>0</v>
      </c>
      <c r="Y5" s="154">
        <v>0</v>
      </c>
      <c r="Z5" s="154">
        <v>0</v>
      </c>
      <c r="AA5" s="154">
        <v>12.5160484803947</v>
      </c>
      <c r="AB5" s="154">
        <v>0</v>
      </c>
      <c r="AC5" s="154">
        <v>-5.6263116863495197</v>
      </c>
      <c r="AD5" s="154">
        <v>0</v>
      </c>
      <c r="AE5" s="154">
        <v>0</v>
      </c>
      <c r="AF5" s="154">
        <v>0</v>
      </c>
      <c r="AG5" s="154">
        <v>0</v>
      </c>
      <c r="AH5" s="154">
        <v>0</v>
      </c>
      <c r="AI5" s="154">
        <v>0</v>
      </c>
      <c r="AJ5" s="154">
        <v>0</v>
      </c>
      <c r="AK5" s="154">
        <v>0</v>
      </c>
      <c r="AL5" s="154">
        <v>0</v>
      </c>
      <c r="AM5" s="154">
        <v>0</v>
      </c>
      <c r="AN5" s="154">
        <v>0</v>
      </c>
      <c r="AO5" s="154">
        <v>0</v>
      </c>
      <c r="AP5" s="154">
        <v>0</v>
      </c>
      <c r="AQ5" s="154">
        <v>0</v>
      </c>
      <c r="AR5" s="154">
        <v>0</v>
      </c>
      <c r="AS5" s="154">
        <v>0</v>
      </c>
      <c r="AT5" s="155">
        <v>0</v>
      </c>
    </row>
    <row r="6" spans="2:46" ht="12" customHeight="1" x14ac:dyDescent="0.3">
      <c r="B6" s="153" t="s">
        <v>54</v>
      </c>
      <c r="C6" s="154" t="s">
        <v>40</v>
      </c>
      <c r="D6" s="154" t="s">
        <v>25</v>
      </c>
      <c r="E6" s="154" t="s">
        <v>25</v>
      </c>
      <c r="F6" s="154" t="s">
        <v>85</v>
      </c>
      <c r="G6" s="154" t="s">
        <v>35</v>
      </c>
      <c r="H6" s="154" t="s">
        <v>78</v>
      </c>
      <c r="I6" s="154" t="s">
        <v>25</v>
      </c>
      <c r="J6" s="154">
        <v>10.5</v>
      </c>
      <c r="K6" s="154">
        <v>0</v>
      </c>
      <c r="L6" s="154">
        <v>0</v>
      </c>
      <c r="M6" s="154">
        <v>4.0309008627529598E-2</v>
      </c>
      <c r="N6" s="154">
        <v>2.8359275244072901E-2</v>
      </c>
      <c r="O6" s="154">
        <v>0</v>
      </c>
      <c r="P6" s="154">
        <v>0</v>
      </c>
      <c r="Q6" s="154">
        <v>0</v>
      </c>
      <c r="R6" s="154">
        <v>0</v>
      </c>
      <c r="S6" s="154">
        <v>0</v>
      </c>
      <c r="T6" s="154">
        <v>0</v>
      </c>
      <c r="U6" s="154">
        <v>0</v>
      </c>
      <c r="V6" s="154">
        <v>0</v>
      </c>
      <c r="W6" s="154">
        <v>0</v>
      </c>
      <c r="X6" s="154">
        <v>0</v>
      </c>
      <c r="Y6" s="154">
        <v>0</v>
      </c>
      <c r="Z6" s="154">
        <v>0</v>
      </c>
      <c r="AA6" s="154">
        <v>0</v>
      </c>
      <c r="AB6" s="154">
        <v>0</v>
      </c>
      <c r="AC6" s="154">
        <v>9.6913686490582904</v>
      </c>
      <c r="AD6" s="154">
        <v>0</v>
      </c>
      <c r="AE6" s="154">
        <v>5.80918747051372E-2</v>
      </c>
      <c r="AF6" s="154">
        <v>1.00679510001865E-3</v>
      </c>
      <c r="AG6" s="154">
        <v>0.59796318774645396</v>
      </c>
      <c r="AH6" s="154">
        <v>8.2901209518496902E-2</v>
      </c>
      <c r="AI6" s="154">
        <v>0</v>
      </c>
      <c r="AJ6" s="154">
        <v>0</v>
      </c>
      <c r="AK6" s="154">
        <v>0</v>
      </c>
      <c r="AL6" s="154">
        <v>0</v>
      </c>
      <c r="AM6" s="154">
        <v>0</v>
      </c>
      <c r="AN6" s="154">
        <v>0</v>
      </c>
      <c r="AO6" s="154">
        <v>0</v>
      </c>
      <c r="AP6" s="154">
        <v>0</v>
      </c>
      <c r="AQ6" s="154">
        <v>0</v>
      </c>
      <c r="AR6" s="154">
        <v>0</v>
      </c>
      <c r="AS6" s="154">
        <v>0</v>
      </c>
      <c r="AT6" s="155">
        <v>0</v>
      </c>
    </row>
    <row r="7" spans="2:46" ht="12" customHeight="1" x14ac:dyDescent="0.3">
      <c r="B7" s="153" t="s">
        <v>54</v>
      </c>
      <c r="C7" s="154" t="s">
        <v>40</v>
      </c>
      <c r="D7" s="154" t="s">
        <v>25</v>
      </c>
      <c r="E7" s="154" t="s">
        <v>25</v>
      </c>
      <c r="F7" s="154" t="s">
        <v>85</v>
      </c>
      <c r="G7" s="154" t="s">
        <v>35</v>
      </c>
      <c r="H7" s="154" t="s">
        <v>81</v>
      </c>
      <c r="I7" s="154" t="s">
        <v>25</v>
      </c>
      <c r="J7" s="154">
        <v>6.8</v>
      </c>
      <c r="K7" s="154">
        <v>0</v>
      </c>
      <c r="L7" s="154">
        <v>0</v>
      </c>
      <c r="M7" s="154">
        <v>0</v>
      </c>
      <c r="N7" s="154">
        <v>0</v>
      </c>
      <c r="O7" s="154">
        <v>0</v>
      </c>
      <c r="P7" s="154">
        <v>0</v>
      </c>
      <c r="Q7" s="154">
        <v>0</v>
      </c>
      <c r="R7" s="154">
        <v>0</v>
      </c>
      <c r="S7" s="154">
        <v>0</v>
      </c>
      <c r="T7" s="154">
        <v>5.2663450521303696</v>
      </c>
      <c r="U7" s="154">
        <v>1.0698846479805899</v>
      </c>
      <c r="V7" s="154">
        <v>0.150265824058612</v>
      </c>
      <c r="W7" s="154">
        <v>0</v>
      </c>
      <c r="X7" s="154">
        <v>0</v>
      </c>
      <c r="Y7" s="154">
        <v>0</v>
      </c>
      <c r="Z7" s="154">
        <v>0</v>
      </c>
      <c r="AA7" s="154">
        <v>1.47241245490376</v>
      </c>
      <c r="AB7" s="154">
        <v>0</v>
      </c>
      <c r="AC7" s="154">
        <v>-1.1589079790733301</v>
      </c>
      <c r="AD7" s="154">
        <v>0</v>
      </c>
      <c r="AE7" s="154">
        <v>0</v>
      </c>
      <c r="AF7" s="154">
        <v>0</v>
      </c>
      <c r="AG7" s="154">
        <v>0</v>
      </c>
      <c r="AH7" s="154">
        <v>0</v>
      </c>
      <c r="AI7" s="154">
        <v>0</v>
      </c>
      <c r="AJ7" s="154">
        <v>0</v>
      </c>
      <c r="AK7" s="154">
        <v>0</v>
      </c>
      <c r="AL7" s="154">
        <v>0</v>
      </c>
      <c r="AM7" s="154">
        <v>0</v>
      </c>
      <c r="AN7" s="154">
        <v>0</v>
      </c>
      <c r="AO7" s="154">
        <v>0</v>
      </c>
      <c r="AP7" s="154">
        <v>0</v>
      </c>
      <c r="AQ7" s="154">
        <v>0</v>
      </c>
      <c r="AR7" s="154">
        <v>0</v>
      </c>
      <c r="AS7" s="154">
        <v>0</v>
      </c>
      <c r="AT7" s="155">
        <v>0</v>
      </c>
    </row>
    <row r="8" spans="2:46" ht="12" customHeight="1" x14ac:dyDescent="0.3">
      <c r="B8" s="153" t="s">
        <v>54</v>
      </c>
      <c r="C8" s="154" t="s">
        <v>40</v>
      </c>
      <c r="D8" s="154" t="s">
        <v>25</v>
      </c>
      <c r="E8" s="154" t="s">
        <v>25</v>
      </c>
      <c r="F8" s="154" t="s">
        <v>25</v>
      </c>
      <c r="G8" s="154" t="s">
        <v>34</v>
      </c>
      <c r="H8" s="154" t="s">
        <v>78</v>
      </c>
      <c r="I8" s="154" t="s">
        <v>25</v>
      </c>
      <c r="J8" s="154">
        <v>82.83</v>
      </c>
      <c r="K8" s="154">
        <v>486.44</v>
      </c>
      <c r="L8" s="154">
        <v>4.1179105520322903</v>
      </c>
      <c r="M8" s="154">
        <v>4.0309008627529598E-2</v>
      </c>
      <c r="N8" s="154">
        <v>4.0938669761996102E-2</v>
      </c>
      <c r="O8" s="154">
        <v>0</v>
      </c>
      <c r="P8" s="154">
        <v>0</v>
      </c>
      <c r="Q8" s="154">
        <v>67.055944650667001</v>
      </c>
      <c r="R8" s="154">
        <v>18.521977647959901</v>
      </c>
      <c r="S8" s="154">
        <v>0</v>
      </c>
      <c r="T8" s="154">
        <v>0</v>
      </c>
      <c r="U8" s="154">
        <v>0</v>
      </c>
      <c r="V8" s="154">
        <v>0</v>
      </c>
      <c r="W8" s="154">
        <v>0</v>
      </c>
      <c r="X8" s="154">
        <v>0</v>
      </c>
      <c r="Y8" s="154">
        <v>0</v>
      </c>
      <c r="Z8" s="154">
        <v>0</v>
      </c>
      <c r="AA8" s="154">
        <v>0</v>
      </c>
      <c r="AB8" s="154">
        <v>0</v>
      </c>
      <c r="AC8" s="154">
        <v>-7.6870435961187802</v>
      </c>
      <c r="AD8" s="154">
        <v>0</v>
      </c>
      <c r="AE8" s="154">
        <v>5.80918747051372E-2</v>
      </c>
      <c r="AF8" s="154">
        <v>1.00679510001865E-3</v>
      </c>
      <c r="AG8" s="154">
        <v>0.59796318774645396</v>
      </c>
      <c r="AH8" s="154">
        <v>8.2901209518496902E-2</v>
      </c>
      <c r="AI8" s="154">
        <v>13.5504511216441</v>
      </c>
      <c r="AJ8" s="154">
        <v>-18.9619782147847</v>
      </c>
      <c r="AK8" s="154">
        <v>2.7264009271945699</v>
      </c>
      <c r="AL8" s="154">
        <v>21.7060249228172</v>
      </c>
      <c r="AM8" s="154">
        <v>1.5667827349591401</v>
      </c>
      <c r="AN8" s="154">
        <v>447.332663673497</v>
      </c>
      <c r="AO8" s="154">
        <v>8.1215488417243407</v>
      </c>
      <c r="AP8" s="154">
        <v>6.1196450131634599</v>
      </c>
      <c r="AQ8" s="154">
        <v>0</v>
      </c>
      <c r="AR8" s="154">
        <v>0</v>
      </c>
      <c r="AS8" s="154">
        <v>0</v>
      </c>
      <c r="AT8" s="155">
        <v>4.2745450377325396</v>
      </c>
    </row>
    <row r="9" spans="2:46" ht="12" customHeight="1" x14ac:dyDescent="0.3">
      <c r="B9" s="153" t="s">
        <v>54</v>
      </c>
      <c r="C9" s="154" t="s">
        <v>40</v>
      </c>
      <c r="D9" s="154" t="s">
        <v>25</v>
      </c>
      <c r="E9" s="154" t="s">
        <v>25</v>
      </c>
      <c r="F9" s="154" t="s">
        <v>25</v>
      </c>
      <c r="G9" s="154" t="s">
        <v>34</v>
      </c>
      <c r="H9" s="154" t="s">
        <v>81</v>
      </c>
      <c r="I9" s="154" t="s">
        <v>25</v>
      </c>
      <c r="J9" s="154">
        <v>15.61</v>
      </c>
      <c r="K9" s="154">
        <v>0</v>
      </c>
      <c r="L9" s="154">
        <v>0</v>
      </c>
      <c r="M9" s="154">
        <v>0</v>
      </c>
      <c r="N9" s="154">
        <v>0</v>
      </c>
      <c r="O9" s="154">
        <v>0</v>
      </c>
      <c r="P9" s="154">
        <v>0</v>
      </c>
      <c r="Q9" s="154">
        <v>0</v>
      </c>
      <c r="R9" s="154">
        <v>0</v>
      </c>
      <c r="S9" s="154">
        <v>0</v>
      </c>
      <c r="T9" s="154">
        <v>7.0834660801399396</v>
      </c>
      <c r="U9" s="154">
        <v>1.42757141438719</v>
      </c>
      <c r="V9" s="154">
        <v>0.209225711427658</v>
      </c>
      <c r="W9" s="154">
        <v>0</v>
      </c>
      <c r="X9" s="154">
        <v>0</v>
      </c>
      <c r="Y9" s="154">
        <v>0</v>
      </c>
      <c r="Z9" s="154">
        <v>0</v>
      </c>
      <c r="AA9" s="154">
        <v>12.5160484803947</v>
      </c>
      <c r="AB9" s="154">
        <v>0</v>
      </c>
      <c r="AC9" s="154">
        <v>-5.6263116863495197</v>
      </c>
      <c r="AD9" s="154">
        <v>0</v>
      </c>
      <c r="AE9" s="154">
        <v>0</v>
      </c>
      <c r="AF9" s="154">
        <v>0</v>
      </c>
      <c r="AG9" s="154">
        <v>0</v>
      </c>
      <c r="AH9" s="154">
        <v>0</v>
      </c>
      <c r="AI9" s="154">
        <v>0</v>
      </c>
      <c r="AJ9" s="154">
        <v>0</v>
      </c>
      <c r="AK9" s="154">
        <v>0</v>
      </c>
      <c r="AL9" s="154">
        <v>0</v>
      </c>
      <c r="AM9" s="154">
        <v>0</v>
      </c>
      <c r="AN9" s="154">
        <v>0</v>
      </c>
      <c r="AO9" s="154">
        <v>0</v>
      </c>
      <c r="AP9" s="154">
        <v>0</v>
      </c>
      <c r="AQ9" s="154">
        <v>0</v>
      </c>
      <c r="AR9" s="154">
        <v>0</v>
      </c>
      <c r="AS9" s="154">
        <v>0</v>
      </c>
      <c r="AT9" s="155">
        <v>0</v>
      </c>
    </row>
    <row r="10" spans="2:46" ht="12" customHeight="1" x14ac:dyDescent="0.3">
      <c r="B10" s="153" t="s">
        <v>54</v>
      </c>
      <c r="C10" s="154" t="s">
        <v>40</v>
      </c>
      <c r="D10" s="154" t="s">
        <v>25</v>
      </c>
      <c r="E10" s="154" t="s">
        <v>25</v>
      </c>
      <c r="F10" s="154" t="s">
        <v>25</v>
      </c>
      <c r="G10" s="154" t="s">
        <v>35</v>
      </c>
      <c r="H10" s="154" t="s">
        <v>78</v>
      </c>
      <c r="I10" s="154" t="s">
        <v>25</v>
      </c>
      <c r="J10" s="154">
        <v>82.83</v>
      </c>
      <c r="K10" s="154">
        <v>299.18</v>
      </c>
      <c r="L10" s="154">
        <v>4.1179105520322903</v>
      </c>
      <c r="M10" s="154">
        <v>4.0309008627529598E-2</v>
      </c>
      <c r="N10" s="154">
        <v>4.0938669761996102E-2</v>
      </c>
      <c r="O10" s="154">
        <v>0</v>
      </c>
      <c r="P10" s="154">
        <v>0</v>
      </c>
      <c r="Q10" s="154">
        <v>67.055944650667001</v>
      </c>
      <c r="R10" s="154">
        <v>18.521977647959901</v>
      </c>
      <c r="S10" s="154">
        <v>0</v>
      </c>
      <c r="T10" s="154">
        <v>0</v>
      </c>
      <c r="U10" s="154">
        <v>0</v>
      </c>
      <c r="V10" s="154">
        <v>0</v>
      </c>
      <c r="W10" s="154">
        <v>0</v>
      </c>
      <c r="X10" s="154">
        <v>0</v>
      </c>
      <c r="Y10" s="154">
        <v>0</v>
      </c>
      <c r="Z10" s="154">
        <v>0</v>
      </c>
      <c r="AA10" s="154">
        <v>0</v>
      </c>
      <c r="AB10" s="154">
        <v>0</v>
      </c>
      <c r="AC10" s="154">
        <v>-7.6870435961187802</v>
      </c>
      <c r="AD10" s="154">
        <v>0</v>
      </c>
      <c r="AE10" s="154">
        <v>5.80918747051372E-2</v>
      </c>
      <c r="AF10" s="154">
        <v>1.00679510001865E-3</v>
      </c>
      <c r="AG10" s="154">
        <v>0.59796318774645396</v>
      </c>
      <c r="AH10" s="154">
        <v>8.2901209518496902E-2</v>
      </c>
      <c r="AI10" s="154">
        <v>13.5504511216441</v>
      </c>
      <c r="AJ10" s="154">
        <v>-18.9619782147847</v>
      </c>
      <c r="AK10" s="154">
        <v>2.7264009271945699</v>
      </c>
      <c r="AL10" s="154">
        <v>21.7060249228172</v>
      </c>
      <c r="AM10" s="154">
        <v>1.5667827349591401</v>
      </c>
      <c r="AN10" s="154">
        <v>260.07713004273103</v>
      </c>
      <c r="AO10" s="154">
        <v>8.1215488417243407</v>
      </c>
      <c r="AP10" s="154">
        <v>6.1196450131634599</v>
      </c>
      <c r="AQ10" s="154">
        <v>0</v>
      </c>
      <c r="AR10" s="154">
        <v>0</v>
      </c>
      <c r="AS10" s="154">
        <v>0</v>
      </c>
      <c r="AT10" s="155">
        <v>4.2745450377325396</v>
      </c>
    </row>
    <row r="11" spans="2:46" ht="12" customHeight="1" x14ac:dyDescent="0.3">
      <c r="B11" s="153" t="s">
        <v>54</v>
      </c>
      <c r="C11" s="154" t="s">
        <v>40</v>
      </c>
      <c r="D11" s="154" t="s">
        <v>25</v>
      </c>
      <c r="E11" s="154" t="s">
        <v>25</v>
      </c>
      <c r="F11" s="154" t="s">
        <v>25</v>
      </c>
      <c r="G11" s="154" t="s">
        <v>35</v>
      </c>
      <c r="H11" s="154" t="s">
        <v>81</v>
      </c>
      <c r="I11" s="154" t="s">
        <v>25</v>
      </c>
      <c r="J11" s="154">
        <v>6.8</v>
      </c>
      <c r="K11" s="154">
        <v>0</v>
      </c>
      <c r="L11" s="154">
        <v>0</v>
      </c>
      <c r="M11" s="154">
        <v>0</v>
      </c>
      <c r="N11" s="154">
        <v>0</v>
      </c>
      <c r="O11" s="154">
        <v>0</v>
      </c>
      <c r="P11" s="154">
        <v>0</v>
      </c>
      <c r="Q11" s="154">
        <v>0</v>
      </c>
      <c r="R11" s="154">
        <v>0</v>
      </c>
      <c r="S11" s="154">
        <v>0</v>
      </c>
      <c r="T11" s="154">
        <v>5.2663450521303696</v>
      </c>
      <c r="U11" s="154">
        <v>1.0698846479805899</v>
      </c>
      <c r="V11" s="154">
        <v>0.150265824058612</v>
      </c>
      <c r="W11" s="154">
        <v>0</v>
      </c>
      <c r="X11" s="154">
        <v>0</v>
      </c>
      <c r="Y11" s="154">
        <v>0</v>
      </c>
      <c r="Z11" s="154">
        <v>0</v>
      </c>
      <c r="AA11" s="154">
        <v>1.47241245490376</v>
      </c>
      <c r="AB11" s="154">
        <v>0</v>
      </c>
      <c r="AC11" s="154">
        <v>-1.1589079790733301</v>
      </c>
      <c r="AD11" s="154">
        <v>0</v>
      </c>
      <c r="AE11" s="154">
        <v>0</v>
      </c>
      <c r="AF11" s="154">
        <v>0</v>
      </c>
      <c r="AG11" s="154">
        <v>0</v>
      </c>
      <c r="AH11" s="154">
        <v>0</v>
      </c>
      <c r="AI11" s="154">
        <v>0</v>
      </c>
      <c r="AJ11" s="154">
        <v>0</v>
      </c>
      <c r="AK11" s="154">
        <v>0</v>
      </c>
      <c r="AL11" s="154">
        <v>0</v>
      </c>
      <c r="AM11" s="154">
        <v>0</v>
      </c>
      <c r="AN11" s="154">
        <v>0</v>
      </c>
      <c r="AO11" s="154">
        <v>0</v>
      </c>
      <c r="AP11" s="154">
        <v>0</v>
      </c>
      <c r="AQ11" s="154">
        <v>0</v>
      </c>
      <c r="AR11" s="154">
        <v>0</v>
      </c>
      <c r="AS11" s="154">
        <v>0</v>
      </c>
      <c r="AT11" s="155">
        <v>0</v>
      </c>
    </row>
    <row r="12" spans="2:46" ht="12" customHeight="1" x14ac:dyDescent="0.3">
      <c r="B12" s="153" t="s">
        <v>60</v>
      </c>
      <c r="C12" s="154" t="s">
        <v>40</v>
      </c>
      <c r="D12" s="154" t="s">
        <v>25</v>
      </c>
      <c r="E12" s="154" t="s">
        <v>25</v>
      </c>
      <c r="F12" s="154" t="s">
        <v>85</v>
      </c>
      <c r="G12" s="154" t="s">
        <v>34</v>
      </c>
      <c r="H12" s="154" t="s">
        <v>78</v>
      </c>
      <c r="I12" s="154" t="s">
        <v>25</v>
      </c>
      <c r="J12" s="154">
        <v>2.57</v>
      </c>
      <c r="K12" s="154">
        <v>0</v>
      </c>
      <c r="L12" s="154">
        <v>0</v>
      </c>
      <c r="M12" s="154">
        <v>0</v>
      </c>
      <c r="N12" s="154">
        <v>0.18295471386867501</v>
      </c>
      <c r="O12" s="154">
        <v>0</v>
      </c>
      <c r="P12" s="154">
        <v>0</v>
      </c>
      <c r="Q12" s="154">
        <v>0</v>
      </c>
      <c r="R12" s="154">
        <v>0</v>
      </c>
      <c r="S12" s="154">
        <v>0</v>
      </c>
      <c r="T12" s="154">
        <v>0</v>
      </c>
      <c r="U12" s="154">
        <v>0</v>
      </c>
      <c r="V12" s="154">
        <v>0</v>
      </c>
      <c r="W12" s="154">
        <v>0</v>
      </c>
      <c r="X12" s="154">
        <v>0</v>
      </c>
      <c r="Y12" s="154">
        <v>0</v>
      </c>
      <c r="Z12" s="154">
        <v>0</v>
      </c>
      <c r="AA12" s="154">
        <v>0</v>
      </c>
      <c r="AB12" s="154">
        <v>0</v>
      </c>
      <c r="AC12" s="154">
        <v>0</v>
      </c>
      <c r="AD12" s="154">
        <v>0</v>
      </c>
      <c r="AE12" s="154">
        <v>2.3472444839092401</v>
      </c>
      <c r="AF12" s="154">
        <v>4.0680288886195098E-2</v>
      </c>
      <c r="AG12" s="154">
        <v>0</v>
      </c>
      <c r="AH12" s="154">
        <v>0</v>
      </c>
      <c r="AI12" s="154">
        <v>0</v>
      </c>
      <c r="AJ12" s="154">
        <v>0</v>
      </c>
      <c r="AK12" s="154">
        <v>0</v>
      </c>
      <c r="AL12" s="154">
        <v>0</v>
      </c>
      <c r="AM12" s="154">
        <v>0</v>
      </c>
      <c r="AN12" s="154">
        <v>0</v>
      </c>
      <c r="AO12" s="154">
        <v>0</v>
      </c>
      <c r="AP12" s="154">
        <v>0</v>
      </c>
      <c r="AQ12" s="154">
        <v>0</v>
      </c>
      <c r="AR12" s="154">
        <v>0</v>
      </c>
      <c r="AS12" s="154">
        <v>0</v>
      </c>
      <c r="AT12" s="155">
        <v>0</v>
      </c>
    </row>
    <row r="13" spans="2:46" ht="12" customHeight="1" x14ac:dyDescent="0.3">
      <c r="B13" s="153" t="s">
        <v>60</v>
      </c>
      <c r="C13" s="154" t="s">
        <v>40</v>
      </c>
      <c r="D13" s="154" t="s">
        <v>25</v>
      </c>
      <c r="E13" s="154" t="s">
        <v>25</v>
      </c>
      <c r="F13" s="154" t="s">
        <v>85</v>
      </c>
      <c r="G13" s="154" t="s">
        <v>34</v>
      </c>
      <c r="H13" s="154" t="s">
        <v>81</v>
      </c>
      <c r="I13" s="154" t="s">
        <v>25</v>
      </c>
      <c r="J13" s="154">
        <v>31.1</v>
      </c>
      <c r="K13" s="154">
        <v>0</v>
      </c>
      <c r="L13" s="154">
        <v>0</v>
      </c>
      <c r="M13" s="154">
        <v>0</v>
      </c>
      <c r="N13" s="154">
        <v>0</v>
      </c>
      <c r="O13" s="154">
        <v>0</v>
      </c>
      <c r="P13" s="154">
        <v>0</v>
      </c>
      <c r="Q13" s="154">
        <v>0</v>
      </c>
      <c r="R13" s="154">
        <v>0</v>
      </c>
      <c r="S13" s="154">
        <v>0</v>
      </c>
      <c r="T13" s="154">
        <v>6.47699908710287</v>
      </c>
      <c r="U13" s="154">
        <v>1.30534756913175</v>
      </c>
      <c r="V13" s="154">
        <v>0.19141491211825901</v>
      </c>
      <c r="W13" s="154">
        <v>0</v>
      </c>
      <c r="X13" s="154">
        <v>0</v>
      </c>
      <c r="Y13" s="154">
        <v>0</v>
      </c>
      <c r="Z13" s="154">
        <v>0</v>
      </c>
      <c r="AA13" s="154">
        <v>23.126317020591799</v>
      </c>
      <c r="AB13" s="154">
        <v>0</v>
      </c>
      <c r="AC13" s="154">
        <v>0</v>
      </c>
      <c r="AD13" s="154">
        <v>0</v>
      </c>
      <c r="AE13" s="154">
        <v>0</v>
      </c>
      <c r="AF13" s="154">
        <v>0</v>
      </c>
      <c r="AG13" s="154">
        <v>0</v>
      </c>
      <c r="AH13" s="154">
        <v>0</v>
      </c>
      <c r="AI13" s="154">
        <v>0</v>
      </c>
      <c r="AJ13" s="154">
        <v>0</v>
      </c>
      <c r="AK13" s="154">
        <v>0</v>
      </c>
      <c r="AL13" s="154">
        <v>0</v>
      </c>
      <c r="AM13" s="154">
        <v>0</v>
      </c>
      <c r="AN13" s="154">
        <v>0</v>
      </c>
      <c r="AO13" s="154">
        <v>0</v>
      </c>
      <c r="AP13" s="154">
        <v>0</v>
      </c>
      <c r="AQ13" s="154">
        <v>0</v>
      </c>
      <c r="AR13" s="154">
        <v>0</v>
      </c>
      <c r="AS13" s="154">
        <v>0</v>
      </c>
      <c r="AT13" s="155">
        <v>0</v>
      </c>
    </row>
    <row r="14" spans="2:46" ht="12" customHeight="1" x14ac:dyDescent="0.3">
      <c r="B14" s="153" t="s">
        <v>60</v>
      </c>
      <c r="C14" s="154" t="s">
        <v>40</v>
      </c>
      <c r="D14" s="154" t="s">
        <v>25</v>
      </c>
      <c r="E14" s="154" t="s">
        <v>25</v>
      </c>
      <c r="F14" s="154" t="s">
        <v>85</v>
      </c>
      <c r="G14" s="154" t="s">
        <v>35</v>
      </c>
      <c r="H14" s="154" t="s">
        <v>78</v>
      </c>
      <c r="I14" s="154" t="s">
        <v>25</v>
      </c>
      <c r="J14" s="154">
        <v>2.57</v>
      </c>
      <c r="K14" s="154">
        <v>0</v>
      </c>
      <c r="L14" s="154">
        <v>0</v>
      </c>
      <c r="M14" s="154">
        <v>0</v>
      </c>
      <c r="N14" s="154">
        <v>0.18295471386867501</v>
      </c>
      <c r="O14" s="154">
        <v>0</v>
      </c>
      <c r="P14" s="154">
        <v>0</v>
      </c>
      <c r="Q14" s="154">
        <v>0</v>
      </c>
      <c r="R14" s="154">
        <v>0</v>
      </c>
      <c r="S14" s="154">
        <v>0</v>
      </c>
      <c r="T14" s="154">
        <v>0</v>
      </c>
      <c r="U14" s="154">
        <v>0</v>
      </c>
      <c r="V14" s="154">
        <v>0</v>
      </c>
      <c r="W14" s="154">
        <v>0</v>
      </c>
      <c r="X14" s="154">
        <v>0</v>
      </c>
      <c r="Y14" s="154">
        <v>0</v>
      </c>
      <c r="Z14" s="154">
        <v>0</v>
      </c>
      <c r="AA14" s="154">
        <v>0</v>
      </c>
      <c r="AB14" s="154">
        <v>0</v>
      </c>
      <c r="AC14" s="154">
        <v>0</v>
      </c>
      <c r="AD14" s="154">
        <v>0</v>
      </c>
      <c r="AE14" s="154">
        <v>2.3472444839092401</v>
      </c>
      <c r="AF14" s="154">
        <v>4.0680288886195098E-2</v>
      </c>
      <c r="AG14" s="154">
        <v>0</v>
      </c>
      <c r="AH14" s="154">
        <v>0</v>
      </c>
      <c r="AI14" s="154">
        <v>0</v>
      </c>
      <c r="AJ14" s="154">
        <v>0</v>
      </c>
      <c r="AK14" s="154">
        <v>0</v>
      </c>
      <c r="AL14" s="154">
        <v>0</v>
      </c>
      <c r="AM14" s="154">
        <v>0</v>
      </c>
      <c r="AN14" s="154">
        <v>0</v>
      </c>
      <c r="AO14" s="154">
        <v>0</v>
      </c>
      <c r="AP14" s="154">
        <v>0</v>
      </c>
      <c r="AQ14" s="154">
        <v>0</v>
      </c>
      <c r="AR14" s="154">
        <v>0</v>
      </c>
      <c r="AS14" s="154">
        <v>0</v>
      </c>
      <c r="AT14" s="155">
        <v>0</v>
      </c>
    </row>
    <row r="15" spans="2:46" ht="12" customHeight="1" x14ac:dyDescent="0.3">
      <c r="B15" s="153" t="s">
        <v>60</v>
      </c>
      <c r="C15" s="154" t="s">
        <v>40</v>
      </c>
      <c r="D15" s="154" t="s">
        <v>25</v>
      </c>
      <c r="E15" s="154" t="s">
        <v>25</v>
      </c>
      <c r="F15" s="154" t="s">
        <v>85</v>
      </c>
      <c r="G15" s="154" t="s">
        <v>35</v>
      </c>
      <c r="H15" s="154" t="s">
        <v>81</v>
      </c>
      <c r="I15" s="154" t="s">
        <v>25</v>
      </c>
      <c r="J15" s="154">
        <v>12</v>
      </c>
      <c r="K15" s="154">
        <v>0</v>
      </c>
      <c r="L15" s="154">
        <v>0</v>
      </c>
      <c r="M15" s="154">
        <v>0</v>
      </c>
      <c r="N15" s="154">
        <v>0</v>
      </c>
      <c r="O15" s="154">
        <v>0</v>
      </c>
      <c r="P15" s="154">
        <v>0</v>
      </c>
      <c r="Q15" s="154">
        <v>0</v>
      </c>
      <c r="R15" s="154">
        <v>0</v>
      </c>
      <c r="S15" s="154">
        <v>0</v>
      </c>
      <c r="T15" s="154">
        <v>4.6823355774444799</v>
      </c>
      <c r="U15" s="154">
        <v>0.95122372850573</v>
      </c>
      <c r="V15" s="154">
        <v>0.13368335573606699</v>
      </c>
      <c r="W15" s="154">
        <v>0</v>
      </c>
      <c r="X15" s="154">
        <v>0</v>
      </c>
      <c r="Y15" s="154">
        <v>0</v>
      </c>
      <c r="Z15" s="154">
        <v>0</v>
      </c>
      <c r="AA15" s="154">
        <v>6.2302906504317601</v>
      </c>
      <c r="AB15" s="154">
        <v>0</v>
      </c>
      <c r="AC15" s="154">
        <v>0</v>
      </c>
      <c r="AD15" s="154">
        <v>0</v>
      </c>
      <c r="AE15" s="154">
        <v>0</v>
      </c>
      <c r="AF15" s="154">
        <v>0</v>
      </c>
      <c r="AG15" s="154">
        <v>0</v>
      </c>
      <c r="AH15" s="154">
        <v>0</v>
      </c>
      <c r="AI15" s="154">
        <v>0</v>
      </c>
      <c r="AJ15" s="154">
        <v>0</v>
      </c>
      <c r="AK15" s="154">
        <v>0</v>
      </c>
      <c r="AL15" s="154">
        <v>0</v>
      </c>
      <c r="AM15" s="154">
        <v>0</v>
      </c>
      <c r="AN15" s="154">
        <v>0</v>
      </c>
      <c r="AO15" s="154">
        <v>0</v>
      </c>
      <c r="AP15" s="154">
        <v>0</v>
      </c>
      <c r="AQ15" s="154">
        <v>0</v>
      </c>
      <c r="AR15" s="154">
        <v>0</v>
      </c>
      <c r="AS15" s="154">
        <v>0</v>
      </c>
      <c r="AT15" s="155">
        <v>0</v>
      </c>
    </row>
    <row r="16" spans="2:46" ht="12" customHeight="1" x14ac:dyDescent="0.3">
      <c r="B16" s="153" t="s">
        <v>60</v>
      </c>
      <c r="C16" s="154" t="s">
        <v>40</v>
      </c>
      <c r="D16" s="154" t="s">
        <v>25</v>
      </c>
      <c r="E16" s="154" t="s">
        <v>25</v>
      </c>
      <c r="F16" s="154" t="s">
        <v>25</v>
      </c>
      <c r="G16" s="154" t="s">
        <v>34</v>
      </c>
      <c r="H16" s="154" t="s">
        <v>78</v>
      </c>
      <c r="I16" s="154" t="s">
        <v>25</v>
      </c>
      <c r="J16" s="154">
        <v>92.28</v>
      </c>
      <c r="K16" s="154">
        <v>486.44</v>
      </c>
      <c r="L16" s="154">
        <v>4.1179105520322903</v>
      </c>
      <c r="M16" s="154">
        <v>0</v>
      </c>
      <c r="N16" s="154">
        <v>0.19553410838659799</v>
      </c>
      <c r="O16" s="154">
        <v>0</v>
      </c>
      <c r="P16" s="154">
        <v>0</v>
      </c>
      <c r="Q16" s="154">
        <v>67.055944650667001</v>
      </c>
      <c r="R16" s="154">
        <v>18.521977647959901</v>
      </c>
      <c r="S16" s="154">
        <v>0</v>
      </c>
      <c r="T16" s="154">
        <v>0</v>
      </c>
      <c r="U16" s="154">
        <v>0</v>
      </c>
      <c r="V16" s="154">
        <v>0</v>
      </c>
      <c r="W16" s="154">
        <v>0</v>
      </c>
      <c r="X16" s="154">
        <v>0</v>
      </c>
      <c r="Y16" s="154">
        <v>0</v>
      </c>
      <c r="Z16" s="154">
        <v>0</v>
      </c>
      <c r="AA16" s="154">
        <v>0</v>
      </c>
      <c r="AB16" s="154">
        <v>0</v>
      </c>
      <c r="AC16" s="154">
        <v>0</v>
      </c>
      <c r="AD16" s="154">
        <v>0</v>
      </c>
      <c r="AE16" s="154">
        <v>2.3472444839092401</v>
      </c>
      <c r="AF16" s="154">
        <v>4.0680288886195098E-2</v>
      </c>
      <c r="AG16" s="154">
        <v>0</v>
      </c>
      <c r="AH16" s="154">
        <v>0</v>
      </c>
      <c r="AI16" s="154">
        <v>13.5504511216441</v>
      </c>
      <c r="AJ16" s="154">
        <v>-18.9619782147847</v>
      </c>
      <c r="AK16" s="154">
        <v>2.7264009271945699</v>
      </c>
      <c r="AL16" s="154">
        <v>21.7060249228172</v>
      </c>
      <c r="AM16" s="154">
        <v>1.5667827349591401</v>
      </c>
      <c r="AN16" s="154">
        <v>447.332663673497</v>
      </c>
      <c r="AO16" s="154">
        <v>8.1215488417243407</v>
      </c>
      <c r="AP16" s="154">
        <v>6.1196450131634599</v>
      </c>
      <c r="AQ16" s="154">
        <v>0</v>
      </c>
      <c r="AR16" s="154">
        <v>0</v>
      </c>
      <c r="AS16" s="154">
        <v>0</v>
      </c>
      <c r="AT16" s="155">
        <v>4.2745450377325396</v>
      </c>
    </row>
    <row r="17" spans="2:46" ht="12" customHeight="1" x14ac:dyDescent="0.3">
      <c r="B17" s="153" t="s">
        <v>60</v>
      </c>
      <c r="C17" s="154" t="s">
        <v>40</v>
      </c>
      <c r="D17" s="154" t="s">
        <v>25</v>
      </c>
      <c r="E17" s="154" t="s">
        <v>25</v>
      </c>
      <c r="F17" s="154" t="s">
        <v>25</v>
      </c>
      <c r="G17" s="154" t="s">
        <v>34</v>
      </c>
      <c r="H17" s="154" t="s">
        <v>81</v>
      </c>
      <c r="I17" s="154" t="s">
        <v>25</v>
      </c>
      <c r="J17" s="154">
        <v>31.1</v>
      </c>
      <c r="K17" s="154">
        <v>0</v>
      </c>
      <c r="L17" s="154">
        <v>0</v>
      </c>
      <c r="M17" s="154">
        <v>0</v>
      </c>
      <c r="N17" s="154">
        <v>0</v>
      </c>
      <c r="O17" s="154">
        <v>0</v>
      </c>
      <c r="P17" s="154">
        <v>0</v>
      </c>
      <c r="Q17" s="154">
        <v>0</v>
      </c>
      <c r="R17" s="154">
        <v>0</v>
      </c>
      <c r="S17" s="154">
        <v>0</v>
      </c>
      <c r="T17" s="154">
        <v>6.47699908710287</v>
      </c>
      <c r="U17" s="154">
        <v>1.30534756913175</v>
      </c>
      <c r="V17" s="154">
        <v>0.19141491211825901</v>
      </c>
      <c r="W17" s="154">
        <v>0</v>
      </c>
      <c r="X17" s="154">
        <v>0</v>
      </c>
      <c r="Y17" s="154">
        <v>0</v>
      </c>
      <c r="Z17" s="154">
        <v>0</v>
      </c>
      <c r="AA17" s="154">
        <v>23.126317020591799</v>
      </c>
      <c r="AB17" s="154">
        <v>0</v>
      </c>
      <c r="AC17" s="154">
        <v>0</v>
      </c>
      <c r="AD17" s="154">
        <v>0</v>
      </c>
      <c r="AE17" s="154">
        <v>0</v>
      </c>
      <c r="AF17" s="154">
        <v>0</v>
      </c>
      <c r="AG17" s="154">
        <v>0</v>
      </c>
      <c r="AH17" s="154">
        <v>0</v>
      </c>
      <c r="AI17" s="154">
        <v>0</v>
      </c>
      <c r="AJ17" s="154">
        <v>0</v>
      </c>
      <c r="AK17" s="154">
        <v>0</v>
      </c>
      <c r="AL17" s="154">
        <v>0</v>
      </c>
      <c r="AM17" s="154">
        <v>0</v>
      </c>
      <c r="AN17" s="154">
        <v>0</v>
      </c>
      <c r="AO17" s="154">
        <v>0</v>
      </c>
      <c r="AP17" s="154">
        <v>0</v>
      </c>
      <c r="AQ17" s="154">
        <v>0</v>
      </c>
      <c r="AR17" s="154">
        <v>0</v>
      </c>
      <c r="AS17" s="154">
        <v>0</v>
      </c>
      <c r="AT17" s="155">
        <v>0</v>
      </c>
    </row>
    <row r="18" spans="2:46" ht="12" customHeight="1" x14ac:dyDescent="0.3">
      <c r="B18" s="153" t="s">
        <v>60</v>
      </c>
      <c r="C18" s="154" t="s">
        <v>40</v>
      </c>
      <c r="D18" s="154" t="s">
        <v>25</v>
      </c>
      <c r="E18" s="154" t="s">
        <v>25</v>
      </c>
      <c r="F18" s="154" t="s">
        <v>25</v>
      </c>
      <c r="G18" s="154" t="s">
        <v>35</v>
      </c>
      <c r="H18" s="154" t="s">
        <v>78</v>
      </c>
      <c r="I18" s="154" t="s">
        <v>25</v>
      </c>
      <c r="J18" s="154">
        <v>92.28</v>
      </c>
      <c r="K18" s="154">
        <v>299.18</v>
      </c>
      <c r="L18" s="154">
        <v>4.1179105520322903</v>
      </c>
      <c r="M18" s="154">
        <v>0</v>
      </c>
      <c r="N18" s="154">
        <v>0.19553410838659799</v>
      </c>
      <c r="O18" s="154">
        <v>0</v>
      </c>
      <c r="P18" s="154">
        <v>0</v>
      </c>
      <c r="Q18" s="154">
        <v>67.055944650667001</v>
      </c>
      <c r="R18" s="154">
        <v>18.521977647959901</v>
      </c>
      <c r="S18" s="154">
        <v>0</v>
      </c>
      <c r="T18" s="154">
        <v>0</v>
      </c>
      <c r="U18" s="154">
        <v>0</v>
      </c>
      <c r="V18" s="154">
        <v>0</v>
      </c>
      <c r="W18" s="154">
        <v>0</v>
      </c>
      <c r="X18" s="154">
        <v>0</v>
      </c>
      <c r="Y18" s="154">
        <v>0</v>
      </c>
      <c r="Z18" s="154">
        <v>0</v>
      </c>
      <c r="AA18" s="154">
        <v>0</v>
      </c>
      <c r="AB18" s="154">
        <v>0</v>
      </c>
      <c r="AC18" s="154">
        <v>0</v>
      </c>
      <c r="AD18" s="154">
        <v>0</v>
      </c>
      <c r="AE18" s="154">
        <v>2.3472444839092401</v>
      </c>
      <c r="AF18" s="154">
        <v>4.0680288886195098E-2</v>
      </c>
      <c r="AG18" s="154">
        <v>0</v>
      </c>
      <c r="AH18" s="154">
        <v>0</v>
      </c>
      <c r="AI18" s="154">
        <v>13.5504511216441</v>
      </c>
      <c r="AJ18" s="154">
        <v>-18.9619782147847</v>
      </c>
      <c r="AK18" s="154">
        <v>2.7264009271945699</v>
      </c>
      <c r="AL18" s="154">
        <v>21.7060249228172</v>
      </c>
      <c r="AM18" s="154">
        <v>1.5667827349591401</v>
      </c>
      <c r="AN18" s="154">
        <v>260.07713004273103</v>
      </c>
      <c r="AO18" s="154">
        <v>8.1215488417243407</v>
      </c>
      <c r="AP18" s="154">
        <v>6.1196450131634599</v>
      </c>
      <c r="AQ18" s="154">
        <v>0</v>
      </c>
      <c r="AR18" s="154">
        <v>0</v>
      </c>
      <c r="AS18" s="154">
        <v>0</v>
      </c>
      <c r="AT18" s="155">
        <v>4.2745450377325396</v>
      </c>
    </row>
    <row r="19" spans="2:46" ht="12" customHeight="1" x14ac:dyDescent="0.3">
      <c r="B19" s="153" t="s">
        <v>60</v>
      </c>
      <c r="C19" s="154" t="s">
        <v>40</v>
      </c>
      <c r="D19" s="154" t="s">
        <v>25</v>
      </c>
      <c r="E19" s="154" t="s">
        <v>25</v>
      </c>
      <c r="F19" s="154" t="s">
        <v>25</v>
      </c>
      <c r="G19" s="154" t="s">
        <v>35</v>
      </c>
      <c r="H19" s="154" t="s">
        <v>81</v>
      </c>
      <c r="I19" s="154" t="s">
        <v>25</v>
      </c>
      <c r="J19" s="154">
        <v>12</v>
      </c>
      <c r="K19" s="154">
        <v>0</v>
      </c>
      <c r="L19" s="154">
        <v>0</v>
      </c>
      <c r="M19" s="154">
        <v>0</v>
      </c>
      <c r="N19" s="154">
        <v>0</v>
      </c>
      <c r="O19" s="154">
        <v>0</v>
      </c>
      <c r="P19" s="154">
        <v>0</v>
      </c>
      <c r="Q19" s="154">
        <v>0</v>
      </c>
      <c r="R19" s="154">
        <v>0</v>
      </c>
      <c r="S19" s="154">
        <v>0</v>
      </c>
      <c r="T19" s="154">
        <v>4.6823355774444799</v>
      </c>
      <c r="U19" s="154">
        <v>0.95122372850573</v>
      </c>
      <c r="V19" s="154">
        <v>0.13368335573606699</v>
      </c>
      <c r="W19" s="154">
        <v>0</v>
      </c>
      <c r="X19" s="154">
        <v>0</v>
      </c>
      <c r="Y19" s="154">
        <v>0</v>
      </c>
      <c r="Z19" s="154">
        <v>0</v>
      </c>
      <c r="AA19" s="154">
        <v>6.2302906504317601</v>
      </c>
      <c r="AB19" s="154">
        <v>0</v>
      </c>
      <c r="AC19" s="154">
        <v>0</v>
      </c>
      <c r="AD19" s="154">
        <v>0</v>
      </c>
      <c r="AE19" s="154">
        <v>0</v>
      </c>
      <c r="AF19" s="154">
        <v>0</v>
      </c>
      <c r="AG19" s="154">
        <v>0</v>
      </c>
      <c r="AH19" s="154">
        <v>0</v>
      </c>
      <c r="AI19" s="154">
        <v>0</v>
      </c>
      <c r="AJ19" s="154">
        <v>0</v>
      </c>
      <c r="AK19" s="154">
        <v>0</v>
      </c>
      <c r="AL19" s="154">
        <v>0</v>
      </c>
      <c r="AM19" s="154">
        <v>0</v>
      </c>
      <c r="AN19" s="154">
        <v>0</v>
      </c>
      <c r="AO19" s="154">
        <v>0</v>
      </c>
      <c r="AP19" s="154">
        <v>0</v>
      </c>
      <c r="AQ19" s="154">
        <v>0</v>
      </c>
      <c r="AR19" s="154">
        <v>0</v>
      </c>
      <c r="AS19" s="154">
        <v>0</v>
      </c>
      <c r="AT19" s="155">
        <v>0</v>
      </c>
    </row>
    <row r="20" spans="2:46" ht="12" customHeight="1" x14ac:dyDescent="0.3">
      <c r="B20" s="153" t="s">
        <v>60</v>
      </c>
      <c r="C20" s="154" t="s">
        <v>57</v>
      </c>
      <c r="D20" s="154" t="s">
        <v>25</v>
      </c>
      <c r="E20" s="154" t="s">
        <v>25</v>
      </c>
      <c r="F20" s="154" t="s">
        <v>25</v>
      </c>
      <c r="G20" s="154" t="s">
        <v>25</v>
      </c>
      <c r="H20" s="154" t="s">
        <v>81</v>
      </c>
      <c r="I20" s="154" t="s">
        <v>25</v>
      </c>
      <c r="J20" s="154">
        <v>11.6</v>
      </c>
      <c r="K20" s="154">
        <v>0</v>
      </c>
      <c r="L20" s="154">
        <v>0</v>
      </c>
      <c r="M20" s="154">
        <v>2.5522421336842301E-2</v>
      </c>
      <c r="N20" s="154">
        <v>7.6656089889971704E-2</v>
      </c>
      <c r="O20" s="154">
        <v>0</v>
      </c>
      <c r="P20" s="154">
        <v>0</v>
      </c>
      <c r="Q20" s="154">
        <v>0</v>
      </c>
      <c r="R20" s="154">
        <v>0</v>
      </c>
      <c r="S20" s="154">
        <v>0</v>
      </c>
      <c r="T20" s="154">
        <v>6.5950691965242996</v>
      </c>
      <c r="U20" s="154">
        <v>2.7034018709140102</v>
      </c>
      <c r="V20" s="154">
        <v>0.61616933361794102</v>
      </c>
      <c r="W20" s="154">
        <v>0</v>
      </c>
      <c r="X20" s="154">
        <v>0</v>
      </c>
      <c r="Y20" s="154">
        <v>0</v>
      </c>
      <c r="Z20" s="154">
        <v>0</v>
      </c>
      <c r="AA20" s="154">
        <v>1.5819948035481499</v>
      </c>
      <c r="AB20" s="154">
        <v>0</v>
      </c>
      <c r="AC20" s="154">
        <v>0</v>
      </c>
      <c r="AD20" s="154">
        <v>0</v>
      </c>
      <c r="AE20" s="154">
        <v>0</v>
      </c>
      <c r="AF20" s="154">
        <v>0</v>
      </c>
      <c r="AG20" s="154">
        <v>0</v>
      </c>
      <c r="AH20" s="154">
        <v>0</v>
      </c>
      <c r="AI20" s="154">
        <v>0</v>
      </c>
      <c r="AJ20" s="154">
        <v>0</v>
      </c>
      <c r="AK20" s="154">
        <v>0</v>
      </c>
      <c r="AL20" s="154">
        <v>0</v>
      </c>
      <c r="AM20" s="154">
        <v>0</v>
      </c>
      <c r="AN20" s="154">
        <v>0</v>
      </c>
      <c r="AO20" s="154">
        <v>0</v>
      </c>
      <c r="AP20" s="154">
        <v>0</v>
      </c>
      <c r="AQ20" s="154">
        <v>0</v>
      </c>
      <c r="AR20" s="154">
        <v>0</v>
      </c>
      <c r="AS20" s="154">
        <v>0</v>
      </c>
      <c r="AT20" s="155">
        <v>0</v>
      </c>
    </row>
    <row r="21" spans="2:46" ht="12" customHeight="1" x14ac:dyDescent="0.3">
      <c r="B21" s="153" t="s">
        <v>39</v>
      </c>
      <c r="C21" s="154" t="s">
        <v>40</v>
      </c>
      <c r="D21" s="154" t="s">
        <v>25</v>
      </c>
      <c r="E21" s="154" t="s">
        <v>25</v>
      </c>
      <c r="F21" s="154" t="s">
        <v>85</v>
      </c>
      <c r="G21" s="154" t="s">
        <v>34</v>
      </c>
      <c r="H21" s="154" t="s">
        <v>78</v>
      </c>
      <c r="I21" s="154" t="s">
        <v>25</v>
      </c>
      <c r="J21" s="154">
        <v>7.18</v>
      </c>
      <c r="K21" s="154">
        <v>0</v>
      </c>
      <c r="L21" s="154">
        <v>0</v>
      </c>
      <c r="M21" s="154">
        <v>0.501215081586182</v>
      </c>
      <c r="N21" s="154">
        <v>0.38098200705117602</v>
      </c>
      <c r="O21" s="154">
        <v>0</v>
      </c>
      <c r="P21" s="154">
        <v>0</v>
      </c>
      <c r="Q21" s="154">
        <v>0</v>
      </c>
      <c r="R21" s="154">
        <v>0</v>
      </c>
      <c r="S21" s="154">
        <v>0</v>
      </c>
      <c r="T21" s="154">
        <v>0</v>
      </c>
      <c r="U21" s="154">
        <v>0</v>
      </c>
      <c r="V21" s="154">
        <v>0</v>
      </c>
      <c r="W21" s="154">
        <v>0</v>
      </c>
      <c r="X21" s="154">
        <v>0</v>
      </c>
      <c r="Y21" s="154">
        <v>0</v>
      </c>
      <c r="Z21" s="154">
        <v>0</v>
      </c>
      <c r="AA21" s="154">
        <v>0</v>
      </c>
      <c r="AB21" s="154">
        <v>0</v>
      </c>
      <c r="AC21" s="154">
        <v>0</v>
      </c>
      <c r="AD21" s="154">
        <v>0</v>
      </c>
      <c r="AE21" s="154">
        <v>4.6364317541364404</v>
      </c>
      <c r="AF21" s="154">
        <v>8.0354383385438294E-2</v>
      </c>
      <c r="AG21" s="154">
        <v>1.3857934423907301</v>
      </c>
      <c r="AH21" s="154">
        <v>0.192125460013611</v>
      </c>
      <c r="AI21" s="154">
        <v>0</v>
      </c>
      <c r="AJ21" s="154">
        <v>0</v>
      </c>
      <c r="AK21" s="154">
        <v>0</v>
      </c>
      <c r="AL21" s="154">
        <v>0</v>
      </c>
      <c r="AM21" s="154">
        <v>0</v>
      </c>
      <c r="AN21" s="154">
        <v>0</v>
      </c>
      <c r="AO21" s="154">
        <v>0</v>
      </c>
      <c r="AP21" s="154">
        <v>0</v>
      </c>
      <c r="AQ21" s="154">
        <v>0</v>
      </c>
      <c r="AR21" s="154">
        <v>0</v>
      </c>
      <c r="AS21" s="154">
        <v>0</v>
      </c>
      <c r="AT21" s="155">
        <v>0</v>
      </c>
    </row>
    <row r="22" spans="2:46" ht="12" customHeight="1" x14ac:dyDescent="0.3">
      <c r="B22" s="153" t="s">
        <v>39</v>
      </c>
      <c r="C22" s="154" t="s">
        <v>40</v>
      </c>
      <c r="D22" s="154" t="s">
        <v>25</v>
      </c>
      <c r="E22" s="154" t="s">
        <v>25</v>
      </c>
      <c r="F22" s="154" t="s">
        <v>85</v>
      </c>
      <c r="G22" s="154" t="s">
        <v>34</v>
      </c>
      <c r="H22" s="154" t="s">
        <v>81</v>
      </c>
      <c r="I22" s="154" t="s">
        <v>25</v>
      </c>
      <c r="J22" s="154">
        <v>40.96</v>
      </c>
      <c r="K22" s="154">
        <v>0</v>
      </c>
      <c r="L22" s="154">
        <v>0</v>
      </c>
      <c r="M22" s="154">
        <v>0</v>
      </c>
      <c r="N22" s="154">
        <v>0</v>
      </c>
      <c r="O22" s="154">
        <v>0</v>
      </c>
      <c r="P22" s="154">
        <v>0</v>
      </c>
      <c r="Q22" s="154">
        <v>0</v>
      </c>
      <c r="R22" s="154">
        <v>0</v>
      </c>
      <c r="S22" s="154">
        <v>0</v>
      </c>
      <c r="T22" s="154">
        <v>5.8705320940657897</v>
      </c>
      <c r="U22" s="154">
        <v>1.1831237238763199</v>
      </c>
      <c r="V22" s="154">
        <v>0.17339939097771701</v>
      </c>
      <c r="W22" s="154">
        <v>0</v>
      </c>
      <c r="X22" s="154">
        <v>0</v>
      </c>
      <c r="Y22" s="154">
        <v>0</v>
      </c>
      <c r="Z22" s="154">
        <v>0</v>
      </c>
      <c r="AA22" s="154">
        <v>33.736585560788797</v>
      </c>
      <c r="AB22" s="154">
        <v>0</v>
      </c>
      <c r="AC22" s="154">
        <v>0</v>
      </c>
      <c r="AD22" s="154">
        <v>0</v>
      </c>
      <c r="AE22" s="154">
        <v>0</v>
      </c>
      <c r="AF22" s="154">
        <v>0</v>
      </c>
      <c r="AG22" s="154">
        <v>0</v>
      </c>
      <c r="AH22" s="154">
        <v>0</v>
      </c>
      <c r="AI22" s="154">
        <v>0</v>
      </c>
      <c r="AJ22" s="154">
        <v>0</v>
      </c>
      <c r="AK22" s="154">
        <v>0</v>
      </c>
      <c r="AL22" s="154">
        <v>0</v>
      </c>
      <c r="AM22" s="154">
        <v>0</v>
      </c>
      <c r="AN22" s="154">
        <v>0</v>
      </c>
      <c r="AO22" s="154">
        <v>0</v>
      </c>
      <c r="AP22" s="154">
        <v>0</v>
      </c>
      <c r="AQ22" s="154">
        <v>0</v>
      </c>
      <c r="AR22" s="154">
        <v>0</v>
      </c>
      <c r="AS22" s="154">
        <v>0</v>
      </c>
      <c r="AT22" s="155">
        <v>0</v>
      </c>
    </row>
    <row r="23" spans="2:46" ht="12" customHeight="1" x14ac:dyDescent="0.3">
      <c r="B23" s="153" t="s">
        <v>39</v>
      </c>
      <c r="C23" s="154" t="s">
        <v>40</v>
      </c>
      <c r="D23" s="154" t="s">
        <v>25</v>
      </c>
      <c r="E23" s="154" t="s">
        <v>25</v>
      </c>
      <c r="F23" s="154" t="s">
        <v>85</v>
      </c>
      <c r="G23" s="154" t="s">
        <v>35</v>
      </c>
      <c r="H23" s="154" t="s">
        <v>78</v>
      </c>
      <c r="I23" s="154" t="s">
        <v>25</v>
      </c>
      <c r="J23" s="154">
        <v>7.18</v>
      </c>
      <c r="K23" s="154">
        <v>0</v>
      </c>
      <c r="L23" s="154">
        <v>0</v>
      </c>
      <c r="M23" s="154">
        <v>0.501215081586182</v>
      </c>
      <c r="N23" s="154">
        <v>0.38098200705117602</v>
      </c>
      <c r="O23" s="154">
        <v>0</v>
      </c>
      <c r="P23" s="154">
        <v>0</v>
      </c>
      <c r="Q23" s="154">
        <v>0</v>
      </c>
      <c r="R23" s="154">
        <v>0</v>
      </c>
      <c r="S23" s="154">
        <v>0</v>
      </c>
      <c r="T23" s="154">
        <v>0</v>
      </c>
      <c r="U23" s="154">
        <v>0</v>
      </c>
      <c r="V23" s="154">
        <v>0</v>
      </c>
      <c r="W23" s="154">
        <v>0</v>
      </c>
      <c r="X23" s="154">
        <v>0</v>
      </c>
      <c r="Y23" s="154">
        <v>0</v>
      </c>
      <c r="Z23" s="154">
        <v>0</v>
      </c>
      <c r="AA23" s="154">
        <v>0</v>
      </c>
      <c r="AB23" s="154">
        <v>0</v>
      </c>
      <c r="AC23" s="154">
        <v>0</v>
      </c>
      <c r="AD23" s="154">
        <v>0</v>
      </c>
      <c r="AE23" s="154">
        <v>4.6364317541364404</v>
      </c>
      <c r="AF23" s="154">
        <v>8.0354383385438294E-2</v>
      </c>
      <c r="AG23" s="154">
        <v>1.3857934423907301</v>
      </c>
      <c r="AH23" s="154">
        <v>0.192125460013611</v>
      </c>
      <c r="AI23" s="154">
        <v>0</v>
      </c>
      <c r="AJ23" s="154">
        <v>0</v>
      </c>
      <c r="AK23" s="154">
        <v>0</v>
      </c>
      <c r="AL23" s="154">
        <v>0</v>
      </c>
      <c r="AM23" s="154">
        <v>0</v>
      </c>
      <c r="AN23" s="154">
        <v>0</v>
      </c>
      <c r="AO23" s="154">
        <v>0</v>
      </c>
      <c r="AP23" s="154">
        <v>0</v>
      </c>
      <c r="AQ23" s="154">
        <v>0</v>
      </c>
      <c r="AR23" s="154">
        <v>0</v>
      </c>
      <c r="AS23" s="154">
        <v>0</v>
      </c>
      <c r="AT23" s="155">
        <v>0</v>
      </c>
    </row>
    <row r="24" spans="2:46" ht="12" customHeight="1" x14ac:dyDescent="0.3">
      <c r="B24" s="153" t="s">
        <v>39</v>
      </c>
      <c r="C24" s="154" t="s">
        <v>40</v>
      </c>
      <c r="D24" s="154" t="s">
        <v>25</v>
      </c>
      <c r="E24" s="154" t="s">
        <v>25</v>
      </c>
      <c r="F24" s="154" t="s">
        <v>85</v>
      </c>
      <c r="G24" s="154" t="s">
        <v>35</v>
      </c>
      <c r="H24" s="154" t="s">
        <v>81</v>
      </c>
      <c r="I24" s="154" t="s">
        <v>25</v>
      </c>
      <c r="J24" s="154">
        <v>16.04</v>
      </c>
      <c r="K24" s="154">
        <v>0</v>
      </c>
      <c r="L24" s="154">
        <v>0</v>
      </c>
      <c r="M24" s="154">
        <v>0</v>
      </c>
      <c r="N24" s="154">
        <v>0</v>
      </c>
      <c r="O24" s="154">
        <v>0</v>
      </c>
      <c r="P24" s="154">
        <v>0</v>
      </c>
      <c r="Q24" s="154">
        <v>0</v>
      </c>
      <c r="R24" s="154">
        <v>0</v>
      </c>
      <c r="S24" s="154">
        <v>0</v>
      </c>
      <c r="T24" s="154">
        <v>4.0983261027586</v>
      </c>
      <c r="U24" s="154">
        <v>0.83256280903086799</v>
      </c>
      <c r="V24" s="154">
        <v>0.116896165582381</v>
      </c>
      <c r="W24" s="154">
        <v>0</v>
      </c>
      <c r="X24" s="154">
        <v>0</v>
      </c>
      <c r="Y24" s="154">
        <v>0</v>
      </c>
      <c r="Z24" s="154">
        <v>0</v>
      </c>
      <c r="AA24" s="154">
        <v>10.9881688459598</v>
      </c>
      <c r="AB24" s="154">
        <v>0</v>
      </c>
      <c r="AC24" s="154">
        <v>0</v>
      </c>
      <c r="AD24" s="154">
        <v>0</v>
      </c>
      <c r="AE24" s="154">
        <v>0</v>
      </c>
      <c r="AF24" s="154">
        <v>0</v>
      </c>
      <c r="AG24" s="154">
        <v>0</v>
      </c>
      <c r="AH24" s="154">
        <v>0</v>
      </c>
      <c r="AI24" s="154">
        <v>0</v>
      </c>
      <c r="AJ24" s="154">
        <v>0</v>
      </c>
      <c r="AK24" s="154">
        <v>0</v>
      </c>
      <c r="AL24" s="154">
        <v>0</v>
      </c>
      <c r="AM24" s="154">
        <v>0</v>
      </c>
      <c r="AN24" s="154">
        <v>0</v>
      </c>
      <c r="AO24" s="154">
        <v>0</v>
      </c>
      <c r="AP24" s="154">
        <v>0</v>
      </c>
      <c r="AQ24" s="154">
        <v>0</v>
      </c>
      <c r="AR24" s="154">
        <v>0</v>
      </c>
      <c r="AS24" s="154">
        <v>0</v>
      </c>
      <c r="AT24" s="155">
        <v>0</v>
      </c>
    </row>
    <row r="25" spans="2:46" ht="12" customHeight="1" x14ac:dyDescent="0.3">
      <c r="B25" s="153" t="s">
        <v>39</v>
      </c>
      <c r="C25" s="154" t="s">
        <v>40</v>
      </c>
      <c r="D25" s="154" t="s">
        <v>25</v>
      </c>
      <c r="E25" s="154" t="s">
        <v>25</v>
      </c>
      <c r="F25" s="154" t="s">
        <v>25</v>
      </c>
      <c r="G25" s="154" t="s">
        <v>34</v>
      </c>
      <c r="H25" s="154" t="s">
        <v>78</v>
      </c>
      <c r="I25" s="154" t="s">
        <v>25</v>
      </c>
      <c r="J25" s="154">
        <v>122.14</v>
      </c>
      <c r="K25" s="154">
        <v>379.31</v>
      </c>
      <c r="L25" s="154">
        <v>5.57910461888246</v>
      </c>
      <c r="M25" s="154">
        <v>0.501215081586182</v>
      </c>
      <c r="N25" s="154">
        <v>0.39356140156910002</v>
      </c>
      <c r="O25" s="154">
        <v>0</v>
      </c>
      <c r="P25" s="154">
        <v>0</v>
      </c>
      <c r="Q25" s="154">
        <v>90.849989526710104</v>
      </c>
      <c r="R25" s="154">
        <v>18.521977647959901</v>
      </c>
      <c r="S25" s="154">
        <v>0</v>
      </c>
      <c r="T25" s="154">
        <v>0</v>
      </c>
      <c r="U25" s="154">
        <v>0</v>
      </c>
      <c r="V25" s="154">
        <v>0</v>
      </c>
      <c r="W25" s="154">
        <v>0</v>
      </c>
      <c r="X25" s="154">
        <v>0</v>
      </c>
      <c r="Y25" s="154">
        <v>0</v>
      </c>
      <c r="Z25" s="154">
        <v>0</v>
      </c>
      <c r="AA25" s="154">
        <v>0</v>
      </c>
      <c r="AB25" s="154">
        <v>0</v>
      </c>
      <c r="AC25" s="154">
        <v>0</v>
      </c>
      <c r="AD25" s="154">
        <v>0</v>
      </c>
      <c r="AE25" s="154">
        <v>4.6364317541364404</v>
      </c>
      <c r="AF25" s="154">
        <v>8.0354383385438294E-2</v>
      </c>
      <c r="AG25" s="154">
        <v>1.3857934423907301</v>
      </c>
      <c r="AH25" s="154">
        <v>0.192125460013611</v>
      </c>
      <c r="AI25" s="154">
        <v>13.5504511216441</v>
      </c>
      <c r="AJ25" s="154">
        <v>-18.9619782147847</v>
      </c>
      <c r="AK25" s="154">
        <v>2.7264009271945699</v>
      </c>
      <c r="AL25" s="154">
        <v>21.7060249228172</v>
      </c>
      <c r="AM25" s="154">
        <v>1.5667827349591401</v>
      </c>
      <c r="AN25" s="154">
        <v>447.332663673497</v>
      </c>
      <c r="AO25" s="154">
        <v>8.1215488417243407</v>
      </c>
      <c r="AP25" s="154">
        <v>6.1196450131634599</v>
      </c>
      <c r="AQ25" s="154">
        <v>0</v>
      </c>
      <c r="AR25" s="154">
        <v>0</v>
      </c>
      <c r="AS25" s="154">
        <v>-107.126084057947</v>
      </c>
      <c r="AT25" s="155">
        <v>4.2745450377325396</v>
      </c>
    </row>
    <row r="26" spans="2:46" ht="12" customHeight="1" x14ac:dyDescent="0.3">
      <c r="B26" s="153" t="s">
        <v>39</v>
      </c>
      <c r="C26" s="154" t="s">
        <v>40</v>
      </c>
      <c r="D26" s="154" t="s">
        <v>25</v>
      </c>
      <c r="E26" s="154" t="s">
        <v>25</v>
      </c>
      <c r="F26" s="154" t="s">
        <v>25</v>
      </c>
      <c r="G26" s="154" t="s">
        <v>34</v>
      </c>
      <c r="H26" s="154" t="s">
        <v>81</v>
      </c>
      <c r="I26" s="154" t="s">
        <v>25</v>
      </c>
      <c r="J26" s="154">
        <v>40.96</v>
      </c>
      <c r="K26" s="154">
        <v>0</v>
      </c>
      <c r="L26" s="154">
        <v>0</v>
      </c>
      <c r="M26" s="154">
        <v>0</v>
      </c>
      <c r="N26" s="154">
        <v>0</v>
      </c>
      <c r="O26" s="154">
        <v>0</v>
      </c>
      <c r="P26" s="154">
        <v>0</v>
      </c>
      <c r="Q26" s="154">
        <v>0</v>
      </c>
      <c r="R26" s="154">
        <v>0</v>
      </c>
      <c r="S26" s="154">
        <v>0</v>
      </c>
      <c r="T26" s="154">
        <v>5.8705320940657897</v>
      </c>
      <c r="U26" s="154">
        <v>1.1831237238763199</v>
      </c>
      <c r="V26" s="154">
        <v>0.17339939097771701</v>
      </c>
      <c r="W26" s="154">
        <v>0</v>
      </c>
      <c r="X26" s="154">
        <v>0</v>
      </c>
      <c r="Y26" s="154">
        <v>0</v>
      </c>
      <c r="Z26" s="154">
        <v>0</v>
      </c>
      <c r="AA26" s="154">
        <v>33.736585560788797</v>
      </c>
      <c r="AB26" s="154">
        <v>0</v>
      </c>
      <c r="AC26" s="154">
        <v>0</v>
      </c>
      <c r="AD26" s="154">
        <v>0</v>
      </c>
      <c r="AE26" s="154">
        <v>0</v>
      </c>
      <c r="AF26" s="154">
        <v>0</v>
      </c>
      <c r="AG26" s="154">
        <v>0</v>
      </c>
      <c r="AH26" s="154">
        <v>0</v>
      </c>
      <c r="AI26" s="154">
        <v>0</v>
      </c>
      <c r="AJ26" s="154">
        <v>0</v>
      </c>
      <c r="AK26" s="154">
        <v>0</v>
      </c>
      <c r="AL26" s="154">
        <v>0</v>
      </c>
      <c r="AM26" s="154">
        <v>0</v>
      </c>
      <c r="AN26" s="154">
        <v>0</v>
      </c>
      <c r="AO26" s="154">
        <v>0</v>
      </c>
      <c r="AP26" s="154">
        <v>0</v>
      </c>
      <c r="AQ26" s="154">
        <v>0</v>
      </c>
      <c r="AR26" s="154">
        <v>0</v>
      </c>
      <c r="AS26" s="154">
        <v>0</v>
      </c>
      <c r="AT26" s="155">
        <v>0</v>
      </c>
    </row>
    <row r="27" spans="2:46" ht="12" customHeight="1" x14ac:dyDescent="0.3">
      <c r="B27" s="153" t="s">
        <v>39</v>
      </c>
      <c r="C27" s="154" t="s">
        <v>40</v>
      </c>
      <c r="D27" s="154" t="s">
        <v>25</v>
      </c>
      <c r="E27" s="154" t="s">
        <v>25</v>
      </c>
      <c r="F27" s="154" t="s">
        <v>25</v>
      </c>
      <c r="G27" s="154" t="s">
        <v>35</v>
      </c>
      <c r="H27" s="154" t="s">
        <v>78</v>
      </c>
      <c r="I27" s="154" t="s">
        <v>25</v>
      </c>
      <c r="J27" s="154">
        <v>122.14</v>
      </c>
      <c r="K27" s="154">
        <v>231.69</v>
      </c>
      <c r="L27" s="154">
        <v>5.57910461888246</v>
      </c>
      <c r="M27" s="154">
        <v>0.501215081586182</v>
      </c>
      <c r="N27" s="154">
        <v>0.39356140156910002</v>
      </c>
      <c r="O27" s="154">
        <v>0</v>
      </c>
      <c r="P27" s="154">
        <v>0</v>
      </c>
      <c r="Q27" s="154">
        <v>90.849989526710104</v>
      </c>
      <c r="R27" s="154">
        <v>18.521977647959901</v>
      </c>
      <c r="S27" s="154">
        <v>0</v>
      </c>
      <c r="T27" s="154">
        <v>0</v>
      </c>
      <c r="U27" s="154">
        <v>0</v>
      </c>
      <c r="V27" s="154">
        <v>0</v>
      </c>
      <c r="W27" s="154">
        <v>0</v>
      </c>
      <c r="X27" s="154">
        <v>0</v>
      </c>
      <c r="Y27" s="154">
        <v>0</v>
      </c>
      <c r="Z27" s="154">
        <v>0</v>
      </c>
      <c r="AA27" s="154">
        <v>0</v>
      </c>
      <c r="AB27" s="154">
        <v>0</v>
      </c>
      <c r="AC27" s="154">
        <v>0</v>
      </c>
      <c r="AD27" s="154">
        <v>0</v>
      </c>
      <c r="AE27" s="154">
        <v>4.6364317541364404</v>
      </c>
      <c r="AF27" s="154">
        <v>8.0354383385438294E-2</v>
      </c>
      <c r="AG27" s="154">
        <v>1.3857934423907301</v>
      </c>
      <c r="AH27" s="154">
        <v>0.192125460013611</v>
      </c>
      <c r="AI27" s="154">
        <v>13.5504511216441</v>
      </c>
      <c r="AJ27" s="154">
        <v>-18.9619782147847</v>
      </c>
      <c r="AK27" s="154">
        <v>2.7264009271945699</v>
      </c>
      <c r="AL27" s="154">
        <v>21.7060249228172</v>
      </c>
      <c r="AM27" s="154">
        <v>1.5667827349591401</v>
      </c>
      <c r="AN27" s="154">
        <v>260.07713004273103</v>
      </c>
      <c r="AO27" s="154">
        <v>8.1215488417243407</v>
      </c>
      <c r="AP27" s="154">
        <v>6.1196450131634599</v>
      </c>
      <c r="AQ27" s="154">
        <v>0</v>
      </c>
      <c r="AR27" s="154">
        <v>0</v>
      </c>
      <c r="AS27" s="154">
        <v>-67.490550427181304</v>
      </c>
      <c r="AT27" s="155">
        <v>4.2745450377325396</v>
      </c>
    </row>
    <row r="28" spans="2:46" ht="12" customHeight="1" x14ac:dyDescent="0.3">
      <c r="B28" s="153" t="s">
        <v>39</v>
      </c>
      <c r="C28" s="154" t="s">
        <v>40</v>
      </c>
      <c r="D28" s="154" t="s">
        <v>25</v>
      </c>
      <c r="E28" s="154" t="s">
        <v>25</v>
      </c>
      <c r="F28" s="154" t="s">
        <v>25</v>
      </c>
      <c r="G28" s="154" t="s">
        <v>35</v>
      </c>
      <c r="H28" s="154" t="s">
        <v>81</v>
      </c>
      <c r="I28" s="154" t="s">
        <v>25</v>
      </c>
      <c r="J28" s="154">
        <v>16.04</v>
      </c>
      <c r="K28" s="154">
        <v>0</v>
      </c>
      <c r="L28" s="154">
        <v>0</v>
      </c>
      <c r="M28" s="154">
        <v>0</v>
      </c>
      <c r="N28" s="154">
        <v>0</v>
      </c>
      <c r="O28" s="154">
        <v>0</v>
      </c>
      <c r="P28" s="154">
        <v>0</v>
      </c>
      <c r="Q28" s="154">
        <v>0</v>
      </c>
      <c r="R28" s="154">
        <v>0</v>
      </c>
      <c r="S28" s="154">
        <v>0</v>
      </c>
      <c r="T28" s="154">
        <v>4.0983261027586</v>
      </c>
      <c r="U28" s="154">
        <v>0.83256280903086799</v>
      </c>
      <c r="V28" s="154">
        <v>0.116896165582381</v>
      </c>
      <c r="W28" s="154">
        <v>0</v>
      </c>
      <c r="X28" s="154">
        <v>0</v>
      </c>
      <c r="Y28" s="154">
        <v>0</v>
      </c>
      <c r="Z28" s="154">
        <v>0</v>
      </c>
      <c r="AA28" s="154">
        <v>10.9881688459598</v>
      </c>
      <c r="AB28" s="154">
        <v>0</v>
      </c>
      <c r="AC28" s="154">
        <v>0</v>
      </c>
      <c r="AD28" s="154">
        <v>0</v>
      </c>
      <c r="AE28" s="154">
        <v>0</v>
      </c>
      <c r="AF28" s="154">
        <v>0</v>
      </c>
      <c r="AG28" s="154">
        <v>0</v>
      </c>
      <c r="AH28" s="154">
        <v>0</v>
      </c>
      <c r="AI28" s="154">
        <v>0</v>
      </c>
      <c r="AJ28" s="154">
        <v>0</v>
      </c>
      <c r="AK28" s="154">
        <v>0</v>
      </c>
      <c r="AL28" s="154">
        <v>0</v>
      </c>
      <c r="AM28" s="154">
        <v>0</v>
      </c>
      <c r="AN28" s="154">
        <v>0</v>
      </c>
      <c r="AO28" s="154">
        <v>0</v>
      </c>
      <c r="AP28" s="154">
        <v>0</v>
      </c>
      <c r="AQ28" s="154">
        <v>0</v>
      </c>
      <c r="AR28" s="154">
        <v>0</v>
      </c>
      <c r="AS28" s="154">
        <v>0</v>
      </c>
      <c r="AT28" s="155">
        <v>0</v>
      </c>
    </row>
    <row r="29" spans="2:46" ht="12" customHeight="1" x14ac:dyDescent="0.3">
      <c r="B29" s="153" t="s">
        <v>39</v>
      </c>
      <c r="C29" s="154" t="s">
        <v>57</v>
      </c>
      <c r="D29" s="154" t="s">
        <v>25</v>
      </c>
      <c r="E29" s="154" t="s">
        <v>25</v>
      </c>
      <c r="F29" s="154" t="s">
        <v>25</v>
      </c>
      <c r="G29" s="154" t="s">
        <v>25</v>
      </c>
      <c r="H29" s="154" t="s">
        <v>81</v>
      </c>
      <c r="I29" s="154" t="s">
        <v>25</v>
      </c>
      <c r="J29" s="154">
        <v>3.74</v>
      </c>
      <c r="K29" s="154">
        <v>0</v>
      </c>
      <c r="L29" s="154">
        <v>0</v>
      </c>
      <c r="M29" s="154">
        <v>1.23490598822569E-2</v>
      </c>
      <c r="N29" s="154">
        <v>3.8744535115203503E-2</v>
      </c>
      <c r="O29" s="154">
        <v>0</v>
      </c>
      <c r="P29" s="154">
        <v>0</v>
      </c>
      <c r="Q29" s="154">
        <v>0</v>
      </c>
      <c r="R29" s="154">
        <v>0</v>
      </c>
      <c r="S29" s="154">
        <v>0</v>
      </c>
      <c r="T29" s="154">
        <v>0</v>
      </c>
      <c r="U29" s="154">
        <v>0</v>
      </c>
      <c r="V29" s="154">
        <v>0</v>
      </c>
      <c r="W29" s="154">
        <v>0</v>
      </c>
      <c r="X29" s="154">
        <v>0</v>
      </c>
      <c r="Y29" s="154">
        <v>0</v>
      </c>
      <c r="Z29" s="154">
        <v>0</v>
      </c>
      <c r="AA29" s="154">
        <v>3.6892909237765399</v>
      </c>
      <c r="AB29" s="154">
        <v>0</v>
      </c>
      <c r="AC29" s="154">
        <v>0</v>
      </c>
      <c r="AD29" s="154">
        <v>0</v>
      </c>
      <c r="AE29" s="154">
        <v>2.2183054780004702E-3</v>
      </c>
      <c r="AF29" s="154">
        <v>0</v>
      </c>
      <c r="AG29" s="154">
        <v>0</v>
      </c>
      <c r="AH29" s="154">
        <v>0</v>
      </c>
      <c r="AI29" s="154">
        <v>0</v>
      </c>
      <c r="AJ29" s="154">
        <v>0</v>
      </c>
      <c r="AK29" s="154">
        <v>0</v>
      </c>
      <c r="AL29" s="154">
        <v>0</v>
      </c>
      <c r="AM29" s="154">
        <v>0</v>
      </c>
      <c r="AN29" s="154">
        <v>0</v>
      </c>
      <c r="AO29" s="154">
        <v>0</v>
      </c>
      <c r="AP29" s="154">
        <v>0</v>
      </c>
      <c r="AQ29" s="154">
        <v>0</v>
      </c>
      <c r="AR29" s="154">
        <v>0</v>
      </c>
      <c r="AS29" s="154">
        <v>0</v>
      </c>
      <c r="AT29" s="155">
        <v>0</v>
      </c>
    </row>
    <row r="30" spans="2:46" ht="12" customHeight="1" x14ac:dyDescent="0.3">
      <c r="B30" s="153" t="s">
        <v>39</v>
      </c>
      <c r="C30" s="154" t="s">
        <v>41</v>
      </c>
      <c r="D30" s="154" t="s">
        <v>25</v>
      </c>
      <c r="E30" s="154" t="s">
        <v>25</v>
      </c>
      <c r="F30" s="154" t="s">
        <v>85</v>
      </c>
      <c r="G30" s="154" t="s">
        <v>34</v>
      </c>
      <c r="H30" s="154" t="s">
        <v>78</v>
      </c>
      <c r="I30" s="154" t="s">
        <v>25</v>
      </c>
      <c r="J30" s="154">
        <v>1002.86</v>
      </c>
      <c r="K30" s="154">
        <v>0</v>
      </c>
      <c r="L30" s="154">
        <v>0</v>
      </c>
      <c r="M30" s="154">
        <v>0.501215081586182</v>
      </c>
      <c r="N30" s="154">
        <v>10.8911390872642</v>
      </c>
      <c r="O30" s="154">
        <v>0</v>
      </c>
      <c r="P30" s="154">
        <v>0</v>
      </c>
      <c r="Q30" s="154">
        <v>0</v>
      </c>
      <c r="R30" s="154">
        <v>0</v>
      </c>
      <c r="S30" s="154">
        <v>0</v>
      </c>
      <c r="T30" s="154">
        <v>141.186997947246</v>
      </c>
      <c r="U30" s="154">
        <v>28.454532197493801</v>
      </c>
      <c r="V30" s="154">
        <v>4.1718214750223304</v>
      </c>
      <c r="W30" s="154">
        <v>0</v>
      </c>
      <c r="X30" s="154">
        <v>0</v>
      </c>
      <c r="Y30" s="154">
        <v>0</v>
      </c>
      <c r="Z30" s="154">
        <v>0</v>
      </c>
      <c r="AA30" s="154">
        <v>811.36449687833101</v>
      </c>
      <c r="AB30" s="154">
        <v>0</v>
      </c>
      <c r="AC30" s="154">
        <v>0</v>
      </c>
      <c r="AD30" s="154">
        <v>0</v>
      </c>
      <c r="AE30" s="154">
        <v>4.6364317541364404</v>
      </c>
      <c r="AF30" s="154">
        <v>8.0354383385438294E-2</v>
      </c>
      <c r="AG30" s="154">
        <v>1.3857934423907301</v>
      </c>
      <c r="AH30" s="154">
        <v>0.192125460013611</v>
      </c>
      <c r="AI30" s="154">
        <v>0</v>
      </c>
      <c r="AJ30" s="154">
        <v>0</v>
      </c>
      <c r="AK30" s="154">
        <v>0</v>
      </c>
      <c r="AL30" s="154">
        <v>0</v>
      </c>
      <c r="AM30" s="154">
        <v>0</v>
      </c>
      <c r="AN30" s="154">
        <v>0</v>
      </c>
      <c r="AO30" s="154">
        <v>0</v>
      </c>
      <c r="AP30" s="154">
        <v>0</v>
      </c>
      <c r="AQ30" s="154">
        <v>0</v>
      </c>
      <c r="AR30" s="154">
        <v>0</v>
      </c>
      <c r="AS30" s="154">
        <v>0</v>
      </c>
      <c r="AT30" s="155">
        <v>0</v>
      </c>
    </row>
    <row r="31" spans="2:46" ht="12" customHeight="1" x14ac:dyDescent="0.3">
      <c r="B31" s="153" t="s">
        <v>39</v>
      </c>
      <c r="C31" s="154" t="s">
        <v>41</v>
      </c>
      <c r="D31" s="154" t="s">
        <v>25</v>
      </c>
      <c r="E31" s="154" t="s">
        <v>25</v>
      </c>
      <c r="F31" s="154" t="s">
        <v>85</v>
      </c>
      <c r="G31" s="154" t="s">
        <v>25</v>
      </c>
      <c r="H31" s="154" t="s">
        <v>81</v>
      </c>
      <c r="I31" s="154" t="s">
        <v>25</v>
      </c>
      <c r="J31" s="154">
        <v>16.04</v>
      </c>
      <c r="K31" s="154">
        <v>0</v>
      </c>
      <c r="L31" s="154">
        <v>0</v>
      </c>
      <c r="M31" s="154">
        <v>0</v>
      </c>
      <c r="N31" s="154">
        <v>0</v>
      </c>
      <c r="O31" s="154">
        <v>0</v>
      </c>
      <c r="P31" s="154">
        <v>0</v>
      </c>
      <c r="Q31" s="154">
        <v>0</v>
      </c>
      <c r="R31" s="154">
        <v>0</v>
      </c>
      <c r="S31" s="154">
        <v>0</v>
      </c>
      <c r="T31" s="154">
        <v>4.0983261027586</v>
      </c>
      <c r="U31" s="154">
        <v>0.83256280903086799</v>
      </c>
      <c r="V31" s="154">
        <v>0.116896165582381</v>
      </c>
      <c r="W31" s="154">
        <v>0</v>
      </c>
      <c r="X31" s="154">
        <v>0</v>
      </c>
      <c r="Y31" s="154">
        <v>0</v>
      </c>
      <c r="Z31" s="154">
        <v>0</v>
      </c>
      <c r="AA31" s="154">
        <v>10.9881688459598</v>
      </c>
      <c r="AB31" s="154">
        <v>0</v>
      </c>
      <c r="AC31" s="154">
        <v>0</v>
      </c>
      <c r="AD31" s="154">
        <v>0</v>
      </c>
      <c r="AE31" s="154">
        <v>0</v>
      </c>
      <c r="AF31" s="154">
        <v>0</v>
      </c>
      <c r="AG31" s="154">
        <v>0</v>
      </c>
      <c r="AH31" s="154">
        <v>0</v>
      </c>
      <c r="AI31" s="154">
        <v>0</v>
      </c>
      <c r="AJ31" s="154">
        <v>0</v>
      </c>
      <c r="AK31" s="154">
        <v>0</v>
      </c>
      <c r="AL31" s="154">
        <v>0</v>
      </c>
      <c r="AM31" s="154">
        <v>0</v>
      </c>
      <c r="AN31" s="154">
        <v>0</v>
      </c>
      <c r="AO31" s="154">
        <v>0</v>
      </c>
      <c r="AP31" s="154">
        <v>0</v>
      </c>
      <c r="AQ31" s="154">
        <v>0</v>
      </c>
      <c r="AR31" s="154">
        <v>0</v>
      </c>
      <c r="AS31" s="154">
        <v>0</v>
      </c>
      <c r="AT31" s="155">
        <v>0</v>
      </c>
    </row>
    <row r="32" spans="2:46" ht="12" customHeight="1" x14ac:dyDescent="0.3">
      <c r="B32" s="153" t="s">
        <v>39</v>
      </c>
      <c r="C32" s="154" t="s">
        <v>41</v>
      </c>
      <c r="D32" s="154" t="s">
        <v>25</v>
      </c>
      <c r="E32" s="154" t="s">
        <v>25</v>
      </c>
      <c r="F32" s="154" t="s">
        <v>85</v>
      </c>
      <c r="G32" s="154" t="s">
        <v>35</v>
      </c>
      <c r="H32" s="154" t="s">
        <v>78</v>
      </c>
      <c r="I32" s="154" t="s">
        <v>25</v>
      </c>
      <c r="J32" s="154">
        <v>7.18</v>
      </c>
      <c r="K32" s="154">
        <v>0</v>
      </c>
      <c r="L32" s="154">
        <v>0</v>
      </c>
      <c r="M32" s="154">
        <v>0.501215081586182</v>
      </c>
      <c r="N32" s="154">
        <v>0.38098200705117602</v>
      </c>
      <c r="O32" s="154">
        <v>0</v>
      </c>
      <c r="P32" s="154">
        <v>0</v>
      </c>
      <c r="Q32" s="154">
        <v>0</v>
      </c>
      <c r="R32" s="154">
        <v>0</v>
      </c>
      <c r="S32" s="154">
        <v>0</v>
      </c>
      <c r="T32" s="154">
        <v>0</v>
      </c>
      <c r="U32" s="154">
        <v>0</v>
      </c>
      <c r="V32" s="154">
        <v>0</v>
      </c>
      <c r="W32" s="154">
        <v>0</v>
      </c>
      <c r="X32" s="154">
        <v>0</v>
      </c>
      <c r="Y32" s="154">
        <v>0</v>
      </c>
      <c r="Z32" s="154">
        <v>0</v>
      </c>
      <c r="AA32" s="154">
        <v>0</v>
      </c>
      <c r="AB32" s="154">
        <v>0</v>
      </c>
      <c r="AC32" s="154">
        <v>0</v>
      </c>
      <c r="AD32" s="154">
        <v>0</v>
      </c>
      <c r="AE32" s="154">
        <v>4.6364317541364404</v>
      </c>
      <c r="AF32" s="154">
        <v>8.0354383385438294E-2</v>
      </c>
      <c r="AG32" s="154">
        <v>1.3857934423907301</v>
      </c>
      <c r="AH32" s="154">
        <v>0.192125460013611</v>
      </c>
      <c r="AI32" s="154">
        <v>0</v>
      </c>
      <c r="AJ32" s="154">
        <v>0</v>
      </c>
      <c r="AK32" s="154">
        <v>0</v>
      </c>
      <c r="AL32" s="154">
        <v>0</v>
      </c>
      <c r="AM32" s="154">
        <v>0</v>
      </c>
      <c r="AN32" s="154">
        <v>0</v>
      </c>
      <c r="AO32" s="154">
        <v>0</v>
      </c>
      <c r="AP32" s="154">
        <v>0</v>
      </c>
      <c r="AQ32" s="154">
        <v>0</v>
      </c>
      <c r="AR32" s="154">
        <v>0</v>
      </c>
      <c r="AS32" s="154">
        <v>0</v>
      </c>
      <c r="AT32" s="155">
        <v>0</v>
      </c>
    </row>
    <row r="33" spans="2:46" ht="12" customHeight="1" x14ac:dyDescent="0.3">
      <c r="B33" s="153" t="s">
        <v>39</v>
      </c>
      <c r="C33" s="154" t="s">
        <v>41</v>
      </c>
      <c r="D33" s="154" t="s">
        <v>25</v>
      </c>
      <c r="E33" s="154" t="s">
        <v>25</v>
      </c>
      <c r="F33" s="154" t="s">
        <v>25</v>
      </c>
      <c r="G33" s="154" t="s">
        <v>34</v>
      </c>
      <c r="H33" s="154" t="s">
        <v>78</v>
      </c>
      <c r="I33" s="154" t="s">
        <v>25</v>
      </c>
      <c r="J33" s="154">
        <v>1117.83</v>
      </c>
      <c r="K33" s="154">
        <v>379.31</v>
      </c>
      <c r="L33" s="154">
        <v>5.57910461888246</v>
      </c>
      <c r="M33" s="154">
        <v>0.501215081586182</v>
      </c>
      <c r="N33" s="154">
        <v>10.9037184817821</v>
      </c>
      <c r="O33" s="154">
        <v>0</v>
      </c>
      <c r="P33" s="154">
        <v>0</v>
      </c>
      <c r="Q33" s="154">
        <v>90.849989526710104</v>
      </c>
      <c r="R33" s="154">
        <v>18.521977647959901</v>
      </c>
      <c r="S33" s="154">
        <v>0</v>
      </c>
      <c r="T33" s="154">
        <v>141.186997947246</v>
      </c>
      <c r="U33" s="154">
        <v>28.454532197493801</v>
      </c>
      <c r="V33" s="154">
        <v>4.1718214750223304</v>
      </c>
      <c r="W33" s="154">
        <v>0</v>
      </c>
      <c r="X33" s="154">
        <v>0</v>
      </c>
      <c r="Y33" s="154">
        <v>0</v>
      </c>
      <c r="Z33" s="154">
        <v>0</v>
      </c>
      <c r="AA33" s="154">
        <v>811.36449687833101</v>
      </c>
      <c r="AB33" s="154">
        <v>0</v>
      </c>
      <c r="AC33" s="154">
        <v>0</v>
      </c>
      <c r="AD33" s="154">
        <v>0</v>
      </c>
      <c r="AE33" s="154">
        <v>4.6364317541364404</v>
      </c>
      <c r="AF33" s="154">
        <v>8.0354383385438294E-2</v>
      </c>
      <c r="AG33" s="154">
        <v>1.3857934423907301</v>
      </c>
      <c r="AH33" s="154">
        <v>0.192125460013611</v>
      </c>
      <c r="AI33" s="154">
        <v>13.5504511216441</v>
      </c>
      <c r="AJ33" s="154">
        <v>-18.9619782147847</v>
      </c>
      <c r="AK33" s="154">
        <v>2.7264009271945699</v>
      </c>
      <c r="AL33" s="154">
        <v>21.7060249228172</v>
      </c>
      <c r="AM33" s="154">
        <v>1.5667827349591401</v>
      </c>
      <c r="AN33" s="154">
        <v>447.332663673497</v>
      </c>
      <c r="AO33" s="154">
        <v>8.1215488417243407</v>
      </c>
      <c r="AP33" s="154">
        <v>6.1196450131634599</v>
      </c>
      <c r="AQ33" s="154">
        <v>0</v>
      </c>
      <c r="AR33" s="154">
        <v>0</v>
      </c>
      <c r="AS33" s="154">
        <v>-107.126084057947</v>
      </c>
      <c r="AT33" s="155">
        <v>4.2745450377325396</v>
      </c>
    </row>
    <row r="34" spans="2:46" ht="12" customHeight="1" x14ac:dyDescent="0.3">
      <c r="B34" s="153" t="s">
        <v>39</v>
      </c>
      <c r="C34" s="154" t="s">
        <v>41</v>
      </c>
      <c r="D34" s="154" t="s">
        <v>25</v>
      </c>
      <c r="E34" s="154" t="s">
        <v>25</v>
      </c>
      <c r="F34" s="154" t="s">
        <v>25</v>
      </c>
      <c r="G34" s="154" t="s">
        <v>25</v>
      </c>
      <c r="H34" s="154" t="s">
        <v>81</v>
      </c>
      <c r="I34" s="154" t="s">
        <v>25</v>
      </c>
      <c r="J34" s="154">
        <v>16.04</v>
      </c>
      <c r="K34" s="154">
        <v>0</v>
      </c>
      <c r="L34" s="154">
        <v>0</v>
      </c>
      <c r="M34" s="154">
        <v>0</v>
      </c>
      <c r="N34" s="154">
        <v>0</v>
      </c>
      <c r="O34" s="154">
        <v>0</v>
      </c>
      <c r="P34" s="154">
        <v>0</v>
      </c>
      <c r="Q34" s="154">
        <v>0</v>
      </c>
      <c r="R34" s="154">
        <v>0</v>
      </c>
      <c r="S34" s="154">
        <v>0</v>
      </c>
      <c r="T34" s="154">
        <v>4.0983261027586</v>
      </c>
      <c r="U34" s="154">
        <v>0.83256280903086799</v>
      </c>
      <c r="V34" s="154">
        <v>0.116896165582381</v>
      </c>
      <c r="W34" s="154">
        <v>0</v>
      </c>
      <c r="X34" s="154">
        <v>0</v>
      </c>
      <c r="Y34" s="154">
        <v>0</v>
      </c>
      <c r="Z34" s="154">
        <v>0</v>
      </c>
      <c r="AA34" s="154">
        <v>10.9881688459598</v>
      </c>
      <c r="AB34" s="154">
        <v>0</v>
      </c>
      <c r="AC34" s="154">
        <v>0</v>
      </c>
      <c r="AD34" s="154">
        <v>0</v>
      </c>
      <c r="AE34" s="154">
        <v>0</v>
      </c>
      <c r="AF34" s="154">
        <v>0</v>
      </c>
      <c r="AG34" s="154">
        <v>0</v>
      </c>
      <c r="AH34" s="154">
        <v>0</v>
      </c>
      <c r="AI34" s="154">
        <v>0</v>
      </c>
      <c r="AJ34" s="154">
        <v>0</v>
      </c>
      <c r="AK34" s="154">
        <v>0</v>
      </c>
      <c r="AL34" s="154">
        <v>0</v>
      </c>
      <c r="AM34" s="154">
        <v>0</v>
      </c>
      <c r="AN34" s="154">
        <v>0</v>
      </c>
      <c r="AO34" s="154">
        <v>0</v>
      </c>
      <c r="AP34" s="154">
        <v>0</v>
      </c>
      <c r="AQ34" s="154">
        <v>0</v>
      </c>
      <c r="AR34" s="154">
        <v>0</v>
      </c>
      <c r="AS34" s="154">
        <v>0</v>
      </c>
      <c r="AT34" s="155">
        <v>0</v>
      </c>
    </row>
    <row r="35" spans="2:46" ht="12" customHeight="1" x14ac:dyDescent="0.3">
      <c r="B35" s="153" t="s">
        <v>39</v>
      </c>
      <c r="C35" s="154" t="s">
        <v>41</v>
      </c>
      <c r="D35" s="154" t="s">
        <v>25</v>
      </c>
      <c r="E35" s="154" t="s">
        <v>25</v>
      </c>
      <c r="F35" s="154" t="s">
        <v>25</v>
      </c>
      <c r="G35" s="154" t="s">
        <v>35</v>
      </c>
      <c r="H35" s="154" t="s">
        <v>78</v>
      </c>
      <c r="I35" s="154" t="s">
        <v>25</v>
      </c>
      <c r="J35" s="154">
        <v>122.14</v>
      </c>
      <c r="K35" s="154">
        <v>231.69</v>
      </c>
      <c r="L35" s="154">
        <v>5.57910461888246</v>
      </c>
      <c r="M35" s="154">
        <v>0.501215081586182</v>
      </c>
      <c r="N35" s="154">
        <v>0.39356140156910002</v>
      </c>
      <c r="O35" s="154">
        <v>0</v>
      </c>
      <c r="P35" s="154">
        <v>0</v>
      </c>
      <c r="Q35" s="154">
        <v>90.849989526710104</v>
      </c>
      <c r="R35" s="154">
        <v>18.521977647959901</v>
      </c>
      <c r="S35" s="154">
        <v>0</v>
      </c>
      <c r="T35" s="154">
        <v>0</v>
      </c>
      <c r="U35" s="154">
        <v>0</v>
      </c>
      <c r="V35" s="154">
        <v>0</v>
      </c>
      <c r="W35" s="154">
        <v>0</v>
      </c>
      <c r="X35" s="154">
        <v>0</v>
      </c>
      <c r="Y35" s="154">
        <v>0</v>
      </c>
      <c r="Z35" s="154">
        <v>0</v>
      </c>
      <c r="AA35" s="154">
        <v>0</v>
      </c>
      <c r="AB35" s="154">
        <v>0</v>
      </c>
      <c r="AC35" s="154">
        <v>0</v>
      </c>
      <c r="AD35" s="154">
        <v>0</v>
      </c>
      <c r="AE35" s="154">
        <v>4.6364317541364404</v>
      </c>
      <c r="AF35" s="154">
        <v>8.0354383385438294E-2</v>
      </c>
      <c r="AG35" s="154">
        <v>1.3857934423907301</v>
      </c>
      <c r="AH35" s="154">
        <v>0.192125460013611</v>
      </c>
      <c r="AI35" s="154">
        <v>13.5504511216441</v>
      </c>
      <c r="AJ35" s="154">
        <v>-18.9619782147847</v>
      </c>
      <c r="AK35" s="154">
        <v>2.7264009271945699</v>
      </c>
      <c r="AL35" s="154">
        <v>21.7060249228172</v>
      </c>
      <c r="AM35" s="154">
        <v>1.5667827349591401</v>
      </c>
      <c r="AN35" s="154">
        <v>260.07713004273103</v>
      </c>
      <c r="AO35" s="154">
        <v>8.1215488417243407</v>
      </c>
      <c r="AP35" s="154">
        <v>6.1196450131634599</v>
      </c>
      <c r="AQ35" s="154">
        <v>0</v>
      </c>
      <c r="AR35" s="154">
        <v>0</v>
      </c>
      <c r="AS35" s="154">
        <v>-67.490550427181304</v>
      </c>
      <c r="AT35" s="155">
        <v>4.2745450377325396</v>
      </c>
    </row>
    <row r="36" spans="2:46" ht="12" customHeight="1" x14ac:dyDescent="0.3">
      <c r="B36" s="153" t="s">
        <v>43</v>
      </c>
      <c r="C36" s="154" t="s">
        <v>40</v>
      </c>
      <c r="D36" s="154" t="s">
        <v>25</v>
      </c>
      <c r="E36" s="154" t="s">
        <v>25</v>
      </c>
      <c r="F36" s="154" t="s">
        <v>85</v>
      </c>
      <c r="G36" s="154" t="s">
        <v>34</v>
      </c>
      <c r="H36" s="154" t="s">
        <v>78</v>
      </c>
      <c r="I36" s="154" t="s">
        <v>25</v>
      </c>
      <c r="J36" s="154">
        <v>36.869999999999997</v>
      </c>
      <c r="K36" s="154">
        <v>0</v>
      </c>
      <c r="L36" s="154">
        <v>0</v>
      </c>
      <c r="M36" s="154">
        <v>0.95209478842407302</v>
      </c>
      <c r="N36" s="154">
        <v>2.2793060979936701</v>
      </c>
      <c r="O36" s="154">
        <v>0</v>
      </c>
      <c r="P36" s="154">
        <v>0</v>
      </c>
      <c r="Q36" s="154">
        <v>0</v>
      </c>
      <c r="R36" s="154">
        <v>0</v>
      </c>
      <c r="S36" s="154">
        <v>0</v>
      </c>
      <c r="T36" s="154">
        <v>0</v>
      </c>
      <c r="U36" s="154">
        <v>0</v>
      </c>
      <c r="V36" s="154">
        <v>0</v>
      </c>
      <c r="W36" s="154">
        <v>0</v>
      </c>
      <c r="X36" s="154">
        <v>0</v>
      </c>
      <c r="Y36" s="154">
        <v>0</v>
      </c>
      <c r="Z36" s="154">
        <v>0</v>
      </c>
      <c r="AA36" s="154">
        <v>0</v>
      </c>
      <c r="AB36" s="154">
        <v>0</v>
      </c>
      <c r="AC36" s="154">
        <v>0</v>
      </c>
      <c r="AD36" s="154">
        <v>0</v>
      </c>
      <c r="AE36" s="154">
        <v>30.4761898095094</v>
      </c>
      <c r="AF36" s="154">
        <v>0.528185373999283</v>
      </c>
      <c r="AG36" s="154">
        <v>2.3120389746610699</v>
      </c>
      <c r="AH36" s="154">
        <v>0.32053951042648299</v>
      </c>
      <c r="AI36" s="154">
        <v>0</v>
      </c>
      <c r="AJ36" s="154">
        <v>0</v>
      </c>
      <c r="AK36" s="154">
        <v>0</v>
      </c>
      <c r="AL36" s="154">
        <v>0</v>
      </c>
      <c r="AM36" s="154">
        <v>0</v>
      </c>
      <c r="AN36" s="154">
        <v>0</v>
      </c>
      <c r="AO36" s="154">
        <v>0</v>
      </c>
      <c r="AP36" s="154">
        <v>0</v>
      </c>
      <c r="AQ36" s="154">
        <v>0</v>
      </c>
      <c r="AR36" s="154">
        <v>0</v>
      </c>
      <c r="AS36" s="154">
        <v>0</v>
      </c>
      <c r="AT36" s="155">
        <v>0</v>
      </c>
    </row>
    <row r="37" spans="2:46" ht="12" customHeight="1" x14ac:dyDescent="0.3">
      <c r="B37" s="153" t="s">
        <v>43</v>
      </c>
      <c r="C37" s="154" t="s">
        <v>40</v>
      </c>
      <c r="D37" s="154" t="s">
        <v>25</v>
      </c>
      <c r="E37" s="154" t="s">
        <v>25</v>
      </c>
      <c r="F37" s="154" t="s">
        <v>85</v>
      </c>
      <c r="G37" s="154" t="s">
        <v>34</v>
      </c>
      <c r="H37" s="154" t="s">
        <v>81</v>
      </c>
      <c r="I37" s="154" t="s">
        <v>25</v>
      </c>
      <c r="J37" s="154">
        <v>70.69</v>
      </c>
      <c r="K37" s="154">
        <v>0</v>
      </c>
      <c r="L37" s="154">
        <v>0</v>
      </c>
      <c r="M37" s="154">
        <v>0</v>
      </c>
      <c r="N37" s="154">
        <v>0</v>
      </c>
      <c r="O37" s="154">
        <v>0</v>
      </c>
      <c r="P37" s="154">
        <v>0</v>
      </c>
      <c r="Q37" s="154">
        <v>0</v>
      </c>
      <c r="R37" s="154">
        <v>0</v>
      </c>
      <c r="S37" s="154">
        <v>0</v>
      </c>
      <c r="T37" s="154">
        <v>5.7550525707675702</v>
      </c>
      <c r="U37" s="154">
        <v>1.1598872513942899</v>
      </c>
      <c r="V37" s="154">
        <v>0.170123841679437</v>
      </c>
      <c r="W37" s="154">
        <v>0</v>
      </c>
      <c r="X37" s="154">
        <v>0</v>
      </c>
      <c r="Y37" s="154">
        <v>0</v>
      </c>
      <c r="Z37" s="154">
        <v>0</v>
      </c>
      <c r="AA37" s="154">
        <v>63.601441409473502</v>
      </c>
      <c r="AB37" s="154">
        <v>0</v>
      </c>
      <c r="AC37" s="154">
        <v>0</v>
      </c>
      <c r="AD37" s="154">
        <v>0</v>
      </c>
      <c r="AE37" s="154">
        <v>0</v>
      </c>
      <c r="AF37" s="154">
        <v>0</v>
      </c>
      <c r="AG37" s="154">
        <v>0</v>
      </c>
      <c r="AH37" s="154">
        <v>0</v>
      </c>
      <c r="AI37" s="154">
        <v>0</v>
      </c>
      <c r="AJ37" s="154">
        <v>0</v>
      </c>
      <c r="AK37" s="154">
        <v>0</v>
      </c>
      <c r="AL37" s="154">
        <v>0</v>
      </c>
      <c r="AM37" s="154">
        <v>0</v>
      </c>
      <c r="AN37" s="154">
        <v>0</v>
      </c>
      <c r="AO37" s="154">
        <v>0</v>
      </c>
      <c r="AP37" s="154">
        <v>0</v>
      </c>
      <c r="AQ37" s="154">
        <v>0</v>
      </c>
      <c r="AR37" s="154">
        <v>0</v>
      </c>
      <c r="AS37" s="154">
        <v>0</v>
      </c>
      <c r="AT37" s="155">
        <v>0</v>
      </c>
    </row>
    <row r="38" spans="2:46" ht="12" customHeight="1" x14ac:dyDescent="0.3">
      <c r="B38" s="153" t="s">
        <v>43</v>
      </c>
      <c r="C38" s="154" t="s">
        <v>40</v>
      </c>
      <c r="D38" s="154" t="s">
        <v>25</v>
      </c>
      <c r="E38" s="154" t="s">
        <v>25</v>
      </c>
      <c r="F38" s="154" t="s">
        <v>85</v>
      </c>
      <c r="G38" s="154" t="s">
        <v>35</v>
      </c>
      <c r="H38" s="154" t="s">
        <v>78</v>
      </c>
      <c r="I38" s="154" t="s">
        <v>25</v>
      </c>
      <c r="J38" s="154">
        <v>36.869999999999997</v>
      </c>
      <c r="K38" s="154">
        <v>0</v>
      </c>
      <c r="L38" s="154">
        <v>0</v>
      </c>
      <c r="M38" s="154">
        <v>0.95209478842407302</v>
      </c>
      <c r="N38" s="154">
        <v>2.2793060979936701</v>
      </c>
      <c r="O38" s="154">
        <v>0</v>
      </c>
      <c r="P38" s="154">
        <v>0</v>
      </c>
      <c r="Q38" s="154">
        <v>0</v>
      </c>
      <c r="R38" s="154">
        <v>0</v>
      </c>
      <c r="S38" s="154">
        <v>0</v>
      </c>
      <c r="T38" s="154">
        <v>0</v>
      </c>
      <c r="U38" s="154">
        <v>0</v>
      </c>
      <c r="V38" s="154">
        <v>0</v>
      </c>
      <c r="W38" s="154">
        <v>0</v>
      </c>
      <c r="X38" s="154">
        <v>0</v>
      </c>
      <c r="Y38" s="154">
        <v>0</v>
      </c>
      <c r="Z38" s="154">
        <v>0</v>
      </c>
      <c r="AA38" s="154">
        <v>0</v>
      </c>
      <c r="AB38" s="154">
        <v>0</v>
      </c>
      <c r="AC38" s="154">
        <v>0</v>
      </c>
      <c r="AD38" s="154">
        <v>0</v>
      </c>
      <c r="AE38" s="154">
        <v>30.4761898095094</v>
      </c>
      <c r="AF38" s="154">
        <v>0.528185373999283</v>
      </c>
      <c r="AG38" s="154">
        <v>2.3120389746610699</v>
      </c>
      <c r="AH38" s="154">
        <v>0.32053951042648299</v>
      </c>
      <c r="AI38" s="154">
        <v>0</v>
      </c>
      <c r="AJ38" s="154">
        <v>0</v>
      </c>
      <c r="AK38" s="154">
        <v>0</v>
      </c>
      <c r="AL38" s="154">
        <v>0</v>
      </c>
      <c r="AM38" s="154">
        <v>0</v>
      </c>
      <c r="AN38" s="154">
        <v>0</v>
      </c>
      <c r="AO38" s="154">
        <v>0</v>
      </c>
      <c r="AP38" s="154">
        <v>0</v>
      </c>
      <c r="AQ38" s="154">
        <v>0</v>
      </c>
      <c r="AR38" s="154">
        <v>0</v>
      </c>
      <c r="AS38" s="154">
        <v>0</v>
      </c>
      <c r="AT38" s="155">
        <v>0</v>
      </c>
    </row>
    <row r="39" spans="2:46" ht="12" customHeight="1" x14ac:dyDescent="0.3">
      <c r="B39" s="153" t="s">
        <v>43</v>
      </c>
      <c r="C39" s="154" t="s">
        <v>40</v>
      </c>
      <c r="D39" s="154" t="s">
        <v>25</v>
      </c>
      <c r="E39" s="154" t="s">
        <v>25</v>
      </c>
      <c r="F39" s="154" t="s">
        <v>85</v>
      </c>
      <c r="G39" s="154" t="s">
        <v>35</v>
      </c>
      <c r="H39" s="154" t="s">
        <v>81</v>
      </c>
      <c r="I39" s="154" t="s">
        <v>25</v>
      </c>
      <c r="J39" s="154">
        <v>13.46</v>
      </c>
      <c r="K39" s="154">
        <v>0</v>
      </c>
      <c r="L39" s="154">
        <v>0</v>
      </c>
      <c r="M39" s="154">
        <v>0</v>
      </c>
      <c r="N39" s="154">
        <v>0</v>
      </c>
      <c r="O39" s="154">
        <v>0</v>
      </c>
      <c r="P39" s="154">
        <v>0</v>
      </c>
      <c r="Q39" s="154">
        <v>0</v>
      </c>
      <c r="R39" s="154">
        <v>0</v>
      </c>
      <c r="S39" s="154">
        <v>0</v>
      </c>
      <c r="T39" s="154">
        <v>5.40838600576273</v>
      </c>
      <c r="U39" s="154">
        <v>1.0986978738583</v>
      </c>
      <c r="V39" s="154">
        <v>0.154360260681462</v>
      </c>
      <c r="W39" s="154">
        <v>0</v>
      </c>
      <c r="X39" s="154">
        <v>0</v>
      </c>
      <c r="Y39" s="154">
        <v>0</v>
      </c>
      <c r="Z39" s="154">
        <v>0</v>
      </c>
      <c r="AA39" s="154">
        <v>6.7967793666006102</v>
      </c>
      <c r="AB39" s="154">
        <v>0</v>
      </c>
      <c r="AC39" s="154">
        <v>0</v>
      </c>
      <c r="AD39" s="154">
        <v>0</v>
      </c>
      <c r="AE39" s="154">
        <v>0</v>
      </c>
      <c r="AF39" s="154">
        <v>0</v>
      </c>
      <c r="AG39" s="154">
        <v>0</v>
      </c>
      <c r="AH39" s="154">
        <v>0</v>
      </c>
      <c r="AI39" s="154">
        <v>0</v>
      </c>
      <c r="AJ39" s="154">
        <v>0</v>
      </c>
      <c r="AK39" s="154">
        <v>0</v>
      </c>
      <c r="AL39" s="154">
        <v>0</v>
      </c>
      <c r="AM39" s="154">
        <v>0</v>
      </c>
      <c r="AN39" s="154">
        <v>0</v>
      </c>
      <c r="AO39" s="154">
        <v>0</v>
      </c>
      <c r="AP39" s="154">
        <v>0</v>
      </c>
      <c r="AQ39" s="154">
        <v>0</v>
      </c>
      <c r="AR39" s="154">
        <v>0</v>
      </c>
      <c r="AS39" s="154">
        <v>0</v>
      </c>
      <c r="AT39" s="155">
        <v>0</v>
      </c>
    </row>
    <row r="40" spans="2:46" ht="12" customHeight="1" x14ac:dyDescent="0.3">
      <c r="B40" s="153" t="s">
        <v>43</v>
      </c>
      <c r="C40" s="154" t="s">
        <v>40</v>
      </c>
      <c r="D40" s="154" t="s">
        <v>25</v>
      </c>
      <c r="E40" s="154" t="s">
        <v>25</v>
      </c>
      <c r="F40" s="154" t="s">
        <v>25</v>
      </c>
      <c r="G40" s="154" t="s">
        <v>34</v>
      </c>
      <c r="H40" s="154" t="s">
        <v>78</v>
      </c>
      <c r="I40" s="154" t="s">
        <v>25</v>
      </c>
      <c r="J40" s="154">
        <v>170.2</v>
      </c>
      <c r="K40" s="154">
        <v>379.31</v>
      </c>
      <c r="L40" s="154">
        <v>6.6417912129553098</v>
      </c>
      <c r="M40" s="154">
        <v>0.95209478842407302</v>
      </c>
      <c r="N40" s="154">
        <v>2.2918854925116001</v>
      </c>
      <c r="O40" s="154">
        <v>0</v>
      </c>
      <c r="P40" s="154">
        <v>0</v>
      </c>
      <c r="Q40" s="154">
        <v>108.15474943656</v>
      </c>
      <c r="R40" s="154">
        <v>18.521977647959901</v>
      </c>
      <c r="S40" s="154">
        <v>0</v>
      </c>
      <c r="T40" s="154">
        <v>0</v>
      </c>
      <c r="U40" s="154">
        <v>0</v>
      </c>
      <c r="V40" s="154">
        <v>0</v>
      </c>
      <c r="W40" s="154">
        <v>0</v>
      </c>
      <c r="X40" s="154">
        <v>0</v>
      </c>
      <c r="Y40" s="154">
        <v>0</v>
      </c>
      <c r="Z40" s="154">
        <v>0</v>
      </c>
      <c r="AA40" s="154">
        <v>0</v>
      </c>
      <c r="AB40" s="154">
        <v>0</v>
      </c>
      <c r="AC40" s="154">
        <v>0</v>
      </c>
      <c r="AD40" s="154">
        <v>0</v>
      </c>
      <c r="AE40" s="154">
        <v>30.4761898095094</v>
      </c>
      <c r="AF40" s="154">
        <v>0.528185373999283</v>
      </c>
      <c r="AG40" s="154">
        <v>2.3120389746610699</v>
      </c>
      <c r="AH40" s="154">
        <v>0.32053951042648299</v>
      </c>
      <c r="AI40" s="154">
        <v>13.5504511216441</v>
      </c>
      <c r="AJ40" s="154">
        <v>-18.9619782147847</v>
      </c>
      <c r="AK40" s="154">
        <v>2.7264009271945699</v>
      </c>
      <c r="AL40" s="154">
        <v>21.7060249228172</v>
      </c>
      <c r="AM40" s="154">
        <v>1.5667827349591401</v>
      </c>
      <c r="AN40" s="154">
        <v>447.332663673497</v>
      </c>
      <c r="AO40" s="154">
        <v>8.1215488417243407</v>
      </c>
      <c r="AP40" s="154">
        <v>6.1196450131634599</v>
      </c>
      <c r="AQ40" s="154">
        <v>0</v>
      </c>
      <c r="AR40" s="154">
        <v>0</v>
      </c>
      <c r="AS40" s="154">
        <v>-107.126084057947</v>
      </c>
      <c r="AT40" s="155">
        <v>4.2745450377325396</v>
      </c>
    </row>
    <row r="41" spans="2:46" ht="12" customHeight="1" x14ac:dyDescent="0.3">
      <c r="B41" s="153" t="s">
        <v>43</v>
      </c>
      <c r="C41" s="154" t="s">
        <v>40</v>
      </c>
      <c r="D41" s="154" t="s">
        <v>25</v>
      </c>
      <c r="E41" s="154" t="s">
        <v>25</v>
      </c>
      <c r="F41" s="154" t="s">
        <v>25</v>
      </c>
      <c r="G41" s="154" t="s">
        <v>34</v>
      </c>
      <c r="H41" s="154" t="s">
        <v>81</v>
      </c>
      <c r="I41" s="154" t="s">
        <v>25</v>
      </c>
      <c r="J41" s="154">
        <v>70.69</v>
      </c>
      <c r="K41" s="154">
        <v>0</v>
      </c>
      <c r="L41" s="154">
        <v>0</v>
      </c>
      <c r="M41" s="154">
        <v>0</v>
      </c>
      <c r="N41" s="154">
        <v>0</v>
      </c>
      <c r="O41" s="154">
        <v>0</v>
      </c>
      <c r="P41" s="154">
        <v>0</v>
      </c>
      <c r="Q41" s="154">
        <v>0</v>
      </c>
      <c r="R41" s="154">
        <v>0</v>
      </c>
      <c r="S41" s="154">
        <v>0</v>
      </c>
      <c r="T41" s="154">
        <v>5.7550525707675702</v>
      </c>
      <c r="U41" s="154">
        <v>1.1598872513942899</v>
      </c>
      <c r="V41" s="154">
        <v>0.170123841679437</v>
      </c>
      <c r="W41" s="154">
        <v>0</v>
      </c>
      <c r="X41" s="154">
        <v>0</v>
      </c>
      <c r="Y41" s="154">
        <v>0</v>
      </c>
      <c r="Z41" s="154">
        <v>0</v>
      </c>
      <c r="AA41" s="154">
        <v>63.601441409473502</v>
      </c>
      <c r="AB41" s="154">
        <v>0</v>
      </c>
      <c r="AC41" s="154">
        <v>0</v>
      </c>
      <c r="AD41" s="154">
        <v>0</v>
      </c>
      <c r="AE41" s="154">
        <v>0</v>
      </c>
      <c r="AF41" s="154">
        <v>0</v>
      </c>
      <c r="AG41" s="154">
        <v>0</v>
      </c>
      <c r="AH41" s="154">
        <v>0</v>
      </c>
      <c r="AI41" s="154">
        <v>0</v>
      </c>
      <c r="AJ41" s="154">
        <v>0</v>
      </c>
      <c r="AK41" s="154">
        <v>0</v>
      </c>
      <c r="AL41" s="154">
        <v>0</v>
      </c>
      <c r="AM41" s="154">
        <v>0</v>
      </c>
      <c r="AN41" s="154">
        <v>0</v>
      </c>
      <c r="AO41" s="154">
        <v>0</v>
      </c>
      <c r="AP41" s="154">
        <v>0</v>
      </c>
      <c r="AQ41" s="154">
        <v>0</v>
      </c>
      <c r="AR41" s="154">
        <v>0</v>
      </c>
      <c r="AS41" s="154">
        <v>0</v>
      </c>
      <c r="AT41" s="155">
        <v>0</v>
      </c>
    </row>
    <row r="42" spans="2:46" ht="12" customHeight="1" x14ac:dyDescent="0.3">
      <c r="B42" s="153" t="s">
        <v>43</v>
      </c>
      <c r="C42" s="154" t="s">
        <v>40</v>
      </c>
      <c r="D42" s="154" t="s">
        <v>25</v>
      </c>
      <c r="E42" s="154" t="s">
        <v>25</v>
      </c>
      <c r="F42" s="154" t="s">
        <v>25</v>
      </c>
      <c r="G42" s="154" t="s">
        <v>35</v>
      </c>
      <c r="H42" s="154" t="s">
        <v>78</v>
      </c>
      <c r="I42" s="154" t="s">
        <v>25</v>
      </c>
      <c r="J42" s="154">
        <v>170.2</v>
      </c>
      <c r="K42" s="154">
        <v>231.69</v>
      </c>
      <c r="L42" s="154">
        <v>6.6417912129553098</v>
      </c>
      <c r="M42" s="154">
        <v>0.95209478842407302</v>
      </c>
      <c r="N42" s="154">
        <v>2.2918854925116001</v>
      </c>
      <c r="O42" s="154">
        <v>0</v>
      </c>
      <c r="P42" s="154">
        <v>0</v>
      </c>
      <c r="Q42" s="154">
        <v>108.15474943656</v>
      </c>
      <c r="R42" s="154">
        <v>18.521977647959901</v>
      </c>
      <c r="S42" s="154">
        <v>0</v>
      </c>
      <c r="T42" s="154">
        <v>0</v>
      </c>
      <c r="U42" s="154">
        <v>0</v>
      </c>
      <c r="V42" s="154">
        <v>0</v>
      </c>
      <c r="W42" s="154">
        <v>0</v>
      </c>
      <c r="X42" s="154">
        <v>0</v>
      </c>
      <c r="Y42" s="154">
        <v>0</v>
      </c>
      <c r="Z42" s="154">
        <v>0</v>
      </c>
      <c r="AA42" s="154">
        <v>0</v>
      </c>
      <c r="AB42" s="154">
        <v>0</v>
      </c>
      <c r="AC42" s="154">
        <v>0</v>
      </c>
      <c r="AD42" s="154">
        <v>0</v>
      </c>
      <c r="AE42" s="154">
        <v>30.4761898095094</v>
      </c>
      <c r="AF42" s="154">
        <v>0.528185373999283</v>
      </c>
      <c r="AG42" s="154">
        <v>2.3120389746610699</v>
      </c>
      <c r="AH42" s="154">
        <v>0.32053951042648299</v>
      </c>
      <c r="AI42" s="154">
        <v>13.5504511216441</v>
      </c>
      <c r="AJ42" s="154">
        <v>-18.9619782147847</v>
      </c>
      <c r="AK42" s="154">
        <v>2.7264009271945699</v>
      </c>
      <c r="AL42" s="154">
        <v>21.7060249228172</v>
      </c>
      <c r="AM42" s="154">
        <v>1.5667827349591401</v>
      </c>
      <c r="AN42" s="154">
        <v>260.07713004273103</v>
      </c>
      <c r="AO42" s="154">
        <v>8.1215488417243407</v>
      </c>
      <c r="AP42" s="154">
        <v>6.1196450131634599</v>
      </c>
      <c r="AQ42" s="154">
        <v>0</v>
      </c>
      <c r="AR42" s="154">
        <v>0</v>
      </c>
      <c r="AS42" s="154">
        <v>-67.490550427181304</v>
      </c>
      <c r="AT42" s="155">
        <v>4.2745450377325396</v>
      </c>
    </row>
    <row r="43" spans="2:46" ht="12" customHeight="1" x14ac:dyDescent="0.3">
      <c r="B43" s="153" t="s">
        <v>43</v>
      </c>
      <c r="C43" s="154" t="s">
        <v>40</v>
      </c>
      <c r="D43" s="154" t="s">
        <v>25</v>
      </c>
      <c r="E43" s="154" t="s">
        <v>25</v>
      </c>
      <c r="F43" s="154" t="s">
        <v>25</v>
      </c>
      <c r="G43" s="154" t="s">
        <v>35</v>
      </c>
      <c r="H43" s="154" t="s">
        <v>81</v>
      </c>
      <c r="I43" s="154" t="s">
        <v>25</v>
      </c>
      <c r="J43" s="154">
        <v>13.46</v>
      </c>
      <c r="K43" s="154">
        <v>0</v>
      </c>
      <c r="L43" s="154">
        <v>0</v>
      </c>
      <c r="M43" s="154">
        <v>0</v>
      </c>
      <c r="N43" s="154">
        <v>0</v>
      </c>
      <c r="O43" s="154">
        <v>0</v>
      </c>
      <c r="P43" s="154">
        <v>0</v>
      </c>
      <c r="Q43" s="154">
        <v>0</v>
      </c>
      <c r="R43" s="154">
        <v>0</v>
      </c>
      <c r="S43" s="154">
        <v>0</v>
      </c>
      <c r="T43" s="154">
        <v>5.40838600576273</v>
      </c>
      <c r="U43" s="154">
        <v>1.0986978738583</v>
      </c>
      <c r="V43" s="154">
        <v>0.154360260681462</v>
      </c>
      <c r="W43" s="154">
        <v>0</v>
      </c>
      <c r="X43" s="154">
        <v>0</v>
      </c>
      <c r="Y43" s="154">
        <v>0</v>
      </c>
      <c r="Z43" s="154">
        <v>0</v>
      </c>
      <c r="AA43" s="154">
        <v>6.7967793666006102</v>
      </c>
      <c r="AB43" s="154">
        <v>0</v>
      </c>
      <c r="AC43" s="154">
        <v>0</v>
      </c>
      <c r="AD43" s="154">
        <v>0</v>
      </c>
      <c r="AE43" s="154">
        <v>0</v>
      </c>
      <c r="AF43" s="154">
        <v>0</v>
      </c>
      <c r="AG43" s="154">
        <v>0</v>
      </c>
      <c r="AH43" s="154">
        <v>0</v>
      </c>
      <c r="AI43" s="154">
        <v>0</v>
      </c>
      <c r="AJ43" s="154">
        <v>0</v>
      </c>
      <c r="AK43" s="154">
        <v>0</v>
      </c>
      <c r="AL43" s="154">
        <v>0</v>
      </c>
      <c r="AM43" s="154">
        <v>0</v>
      </c>
      <c r="AN43" s="154">
        <v>0</v>
      </c>
      <c r="AO43" s="154">
        <v>0</v>
      </c>
      <c r="AP43" s="154">
        <v>0</v>
      </c>
      <c r="AQ43" s="154">
        <v>0</v>
      </c>
      <c r="AR43" s="154">
        <v>0</v>
      </c>
      <c r="AS43" s="154">
        <v>0</v>
      </c>
      <c r="AT43" s="155">
        <v>0</v>
      </c>
    </row>
    <row r="44" spans="2:46" ht="12" customHeight="1" x14ac:dyDescent="0.3">
      <c r="B44" s="153" t="s">
        <v>43</v>
      </c>
      <c r="C44" s="154" t="s">
        <v>23</v>
      </c>
      <c r="D44" s="154" t="s">
        <v>25</v>
      </c>
      <c r="E44" s="154" t="s">
        <v>25</v>
      </c>
      <c r="F44" s="154" t="s">
        <v>25</v>
      </c>
      <c r="G44" s="154" t="s">
        <v>25</v>
      </c>
      <c r="H44" s="154" t="s">
        <v>78</v>
      </c>
      <c r="I44" s="154" t="s">
        <v>25</v>
      </c>
      <c r="J44" s="154">
        <v>170.2</v>
      </c>
      <c r="K44" s="154">
        <v>0</v>
      </c>
      <c r="L44" s="154">
        <v>6.6417912129553098</v>
      </c>
      <c r="M44" s="154">
        <v>0.95209478842407302</v>
      </c>
      <c r="N44" s="154">
        <v>2.2918854925116001</v>
      </c>
      <c r="O44" s="154">
        <v>0</v>
      </c>
      <c r="P44" s="154">
        <v>0</v>
      </c>
      <c r="Q44" s="154">
        <v>108.15474943656</v>
      </c>
      <c r="R44" s="154">
        <v>18.521977647959901</v>
      </c>
      <c r="S44" s="154">
        <v>0</v>
      </c>
      <c r="T44" s="154">
        <v>0</v>
      </c>
      <c r="U44" s="154">
        <v>0</v>
      </c>
      <c r="V44" s="154">
        <v>0</v>
      </c>
      <c r="W44" s="154">
        <v>0</v>
      </c>
      <c r="X44" s="154">
        <v>0</v>
      </c>
      <c r="Y44" s="154">
        <v>0</v>
      </c>
      <c r="Z44" s="154">
        <v>0</v>
      </c>
      <c r="AA44" s="154">
        <v>0</v>
      </c>
      <c r="AB44" s="154">
        <v>0</v>
      </c>
      <c r="AC44" s="154">
        <v>0</v>
      </c>
      <c r="AD44" s="154">
        <v>0</v>
      </c>
      <c r="AE44" s="154">
        <v>30.4761898095094</v>
      </c>
      <c r="AF44" s="154">
        <v>0.528185373999283</v>
      </c>
      <c r="AG44" s="154">
        <v>2.3120389746610699</v>
      </c>
      <c r="AH44" s="154">
        <v>0.32053951042648299</v>
      </c>
      <c r="AI44" s="154">
        <v>13.5504511216441</v>
      </c>
      <c r="AJ44" s="154">
        <v>-18.9619782147847</v>
      </c>
      <c r="AK44" s="154">
        <v>2.7264009271945699</v>
      </c>
      <c r="AL44" s="154">
        <v>21.7060249228172</v>
      </c>
      <c r="AM44" s="154">
        <v>1.5667827349591401</v>
      </c>
      <c r="AN44" s="154">
        <v>275.68175784529501</v>
      </c>
      <c r="AO44" s="154">
        <v>8.1215488417243407</v>
      </c>
      <c r="AP44" s="154">
        <v>6.1196450131634599</v>
      </c>
      <c r="AQ44" s="154">
        <v>0</v>
      </c>
      <c r="AR44" s="154">
        <v>0</v>
      </c>
      <c r="AS44" s="154">
        <v>-314.78517822974499</v>
      </c>
      <c r="AT44" s="155">
        <v>4.2745450377325396</v>
      </c>
    </row>
    <row r="45" spans="2:46" ht="12" customHeight="1" x14ac:dyDescent="0.3">
      <c r="B45" s="153" t="s">
        <v>43</v>
      </c>
      <c r="C45" s="154" t="s">
        <v>23</v>
      </c>
      <c r="D45" s="154" t="s">
        <v>25</v>
      </c>
      <c r="E45" s="154" t="s">
        <v>25</v>
      </c>
      <c r="F45" s="154" t="s">
        <v>25</v>
      </c>
      <c r="G45" s="154" t="s">
        <v>25</v>
      </c>
      <c r="H45" s="154" t="s">
        <v>81</v>
      </c>
      <c r="I45" s="154" t="s">
        <v>25</v>
      </c>
      <c r="J45" s="154">
        <v>64.349999999999994</v>
      </c>
      <c r="K45" s="154">
        <v>0</v>
      </c>
      <c r="L45" s="154">
        <v>0</v>
      </c>
      <c r="M45" s="154">
        <v>0</v>
      </c>
      <c r="N45" s="154">
        <v>0</v>
      </c>
      <c r="O45" s="154">
        <v>0</v>
      </c>
      <c r="P45" s="154">
        <v>0</v>
      </c>
      <c r="Q45" s="154">
        <v>0</v>
      </c>
      <c r="R45" s="154">
        <v>0</v>
      </c>
      <c r="S45" s="154">
        <v>0</v>
      </c>
      <c r="T45" s="154">
        <v>9.5520831354440308</v>
      </c>
      <c r="U45" s="154">
        <v>1.93381669486219</v>
      </c>
      <c r="V45" s="154">
        <v>0.27678391570469102</v>
      </c>
      <c r="W45" s="154">
        <v>0</v>
      </c>
      <c r="X45" s="154">
        <v>0</v>
      </c>
      <c r="Y45" s="154">
        <v>0</v>
      </c>
      <c r="Z45" s="154">
        <v>0</v>
      </c>
      <c r="AA45" s="154">
        <v>52.589759302625502</v>
      </c>
      <c r="AB45" s="154">
        <v>0</v>
      </c>
      <c r="AC45" s="154">
        <v>0</v>
      </c>
      <c r="AD45" s="154">
        <v>0</v>
      </c>
      <c r="AE45" s="154">
        <v>0</v>
      </c>
      <c r="AF45" s="154">
        <v>0</v>
      </c>
      <c r="AG45" s="154">
        <v>0</v>
      </c>
      <c r="AH45" s="154">
        <v>0</v>
      </c>
      <c r="AI45" s="154">
        <v>0</v>
      </c>
      <c r="AJ45" s="154">
        <v>0</v>
      </c>
      <c r="AK45" s="154">
        <v>0</v>
      </c>
      <c r="AL45" s="154">
        <v>0</v>
      </c>
      <c r="AM45" s="154">
        <v>0</v>
      </c>
      <c r="AN45" s="154">
        <v>0</v>
      </c>
      <c r="AO45" s="154">
        <v>0</v>
      </c>
      <c r="AP45" s="154">
        <v>0</v>
      </c>
      <c r="AQ45" s="154">
        <v>0</v>
      </c>
      <c r="AR45" s="154">
        <v>0</v>
      </c>
      <c r="AS45" s="154">
        <v>0</v>
      </c>
      <c r="AT45" s="155">
        <v>0</v>
      </c>
    </row>
    <row r="46" spans="2:46" ht="12" customHeight="1" x14ac:dyDescent="0.3">
      <c r="B46" s="153" t="s">
        <v>43</v>
      </c>
      <c r="C46" s="154" t="s">
        <v>41</v>
      </c>
      <c r="D46" s="154" t="s">
        <v>25</v>
      </c>
      <c r="E46" s="154" t="s">
        <v>25</v>
      </c>
      <c r="F46" s="154" t="s">
        <v>85</v>
      </c>
      <c r="G46" s="154" t="s">
        <v>34</v>
      </c>
      <c r="H46" s="154" t="s">
        <v>78</v>
      </c>
      <c r="I46" s="154" t="s">
        <v>25</v>
      </c>
      <c r="J46" s="154">
        <v>1754.84</v>
      </c>
      <c r="K46" s="154">
        <v>0</v>
      </c>
      <c r="L46" s="154">
        <v>0</v>
      </c>
      <c r="M46" s="154">
        <v>0.95209478842407302</v>
      </c>
      <c r="N46" s="154">
        <v>20.2422449645982</v>
      </c>
      <c r="O46" s="154">
        <v>0</v>
      </c>
      <c r="P46" s="154">
        <v>0</v>
      </c>
      <c r="Q46" s="154">
        <v>0</v>
      </c>
      <c r="R46" s="154">
        <v>0</v>
      </c>
      <c r="S46" s="154">
        <v>0</v>
      </c>
      <c r="T46" s="154">
        <v>138.40864953478399</v>
      </c>
      <c r="U46" s="154">
        <v>27.8946106655854</v>
      </c>
      <c r="V46" s="154">
        <v>4.0897280207341797</v>
      </c>
      <c r="W46" s="154">
        <v>0</v>
      </c>
      <c r="X46" s="154">
        <v>0</v>
      </c>
      <c r="Y46" s="154">
        <v>0</v>
      </c>
      <c r="Z46" s="154">
        <v>0</v>
      </c>
      <c r="AA46" s="154">
        <v>1529.61587773513</v>
      </c>
      <c r="AB46" s="154">
        <v>0</v>
      </c>
      <c r="AC46" s="154">
        <v>0</v>
      </c>
      <c r="AD46" s="154">
        <v>0</v>
      </c>
      <c r="AE46" s="154">
        <v>30.4761898095094</v>
      </c>
      <c r="AF46" s="154">
        <v>0.528185373999283</v>
      </c>
      <c r="AG46" s="154">
        <v>2.3120389746610699</v>
      </c>
      <c r="AH46" s="154">
        <v>0.32053951042648299</v>
      </c>
      <c r="AI46" s="154">
        <v>0</v>
      </c>
      <c r="AJ46" s="154">
        <v>0</v>
      </c>
      <c r="AK46" s="154">
        <v>0</v>
      </c>
      <c r="AL46" s="154">
        <v>0</v>
      </c>
      <c r="AM46" s="154">
        <v>0</v>
      </c>
      <c r="AN46" s="154">
        <v>0</v>
      </c>
      <c r="AO46" s="154">
        <v>0</v>
      </c>
      <c r="AP46" s="154">
        <v>0</v>
      </c>
      <c r="AQ46" s="154">
        <v>0</v>
      </c>
      <c r="AR46" s="154">
        <v>0</v>
      </c>
      <c r="AS46" s="154">
        <v>0</v>
      </c>
      <c r="AT46" s="155">
        <v>0</v>
      </c>
    </row>
    <row r="47" spans="2:46" ht="12" customHeight="1" x14ac:dyDescent="0.3">
      <c r="B47" s="153" t="s">
        <v>43</v>
      </c>
      <c r="C47" s="154" t="s">
        <v>41</v>
      </c>
      <c r="D47" s="154" t="s">
        <v>25</v>
      </c>
      <c r="E47" s="154" t="s">
        <v>25</v>
      </c>
      <c r="F47" s="154" t="s">
        <v>85</v>
      </c>
      <c r="G47" s="154" t="s">
        <v>25</v>
      </c>
      <c r="H47" s="154" t="s">
        <v>81</v>
      </c>
      <c r="I47" s="154" t="s">
        <v>25</v>
      </c>
      <c r="J47" s="154">
        <v>13.46</v>
      </c>
      <c r="K47" s="154">
        <v>0</v>
      </c>
      <c r="L47" s="154">
        <v>0</v>
      </c>
      <c r="M47" s="154">
        <v>0</v>
      </c>
      <c r="N47" s="154">
        <v>0</v>
      </c>
      <c r="O47" s="154">
        <v>0</v>
      </c>
      <c r="P47" s="154">
        <v>0</v>
      </c>
      <c r="Q47" s="154">
        <v>0</v>
      </c>
      <c r="R47" s="154">
        <v>0</v>
      </c>
      <c r="S47" s="154">
        <v>0</v>
      </c>
      <c r="T47" s="154">
        <v>5.40838600576273</v>
      </c>
      <c r="U47" s="154">
        <v>1.0986978738583</v>
      </c>
      <c r="V47" s="154">
        <v>0.154360260681462</v>
      </c>
      <c r="W47" s="154">
        <v>0</v>
      </c>
      <c r="X47" s="154">
        <v>0</v>
      </c>
      <c r="Y47" s="154">
        <v>0</v>
      </c>
      <c r="Z47" s="154">
        <v>0</v>
      </c>
      <c r="AA47" s="154">
        <v>6.7967793666006102</v>
      </c>
      <c r="AB47" s="154">
        <v>0</v>
      </c>
      <c r="AC47" s="154">
        <v>0</v>
      </c>
      <c r="AD47" s="154">
        <v>0</v>
      </c>
      <c r="AE47" s="154">
        <v>0</v>
      </c>
      <c r="AF47" s="154">
        <v>0</v>
      </c>
      <c r="AG47" s="154">
        <v>0</v>
      </c>
      <c r="AH47" s="154">
        <v>0</v>
      </c>
      <c r="AI47" s="154">
        <v>0</v>
      </c>
      <c r="AJ47" s="154">
        <v>0</v>
      </c>
      <c r="AK47" s="154">
        <v>0</v>
      </c>
      <c r="AL47" s="154">
        <v>0</v>
      </c>
      <c r="AM47" s="154">
        <v>0</v>
      </c>
      <c r="AN47" s="154">
        <v>0</v>
      </c>
      <c r="AO47" s="154">
        <v>0</v>
      </c>
      <c r="AP47" s="154">
        <v>0</v>
      </c>
      <c r="AQ47" s="154">
        <v>0</v>
      </c>
      <c r="AR47" s="154">
        <v>0</v>
      </c>
      <c r="AS47" s="154">
        <v>0</v>
      </c>
      <c r="AT47" s="155">
        <v>0</v>
      </c>
    </row>
    <row r="48" spans="2:46" ht="12" customHeight="1" x14ac:dyDescent="0.3">
      <c r="B48" s="153" t="s">
        <v>43</v>
      </c>
      <c r="C48" s="154" t="s">
        <v>41</v>
      </c>
      <c r="D48" s="154" t="s">
        <v>25</v>
      </c>
      <c r="E48" s="154" t="s">
        <v>25</v>
      </c>
      <c r="F48" s="154" t="s">
        <v>85</v>
      </c>
      <c r="G48" s="154" t="s">
        <v>35</v>
      </c>
      <c r="H48" s="154" t="s">
        <v>78</v>
      </c>
      <c r="I48" s="154" t="s">
        <v>25</v>
      </c>
      <c r="J48" s="154">
        <v>36.869999999999997</v>
      </c>
      <c r="K48" s="154">
        <v>0</v>
      </c>
      <c r="L48" s="154">
        <v>0</v>
      </c>
      <c r="M48" s="154">
        <v>0.95209478842407302</v>
      </c>
      <c r="N48" s="154">
        <v>2.2793060979936701</v>
      </c>
      <c r="O48" s="154">
        <v>0</v>
      </c>
      <c r="P48" s="154">
        <v>0</v>
      </c>
      <c r="Q48" s="154">
        <v>0</v>
      </c>
      <c r="R48" s="154">
        <v>0</v>
      </c>
      <c r="S48" s="154">
        <v>0</v>
      </c>
      <c r="T48" s="154">
        <v>0</v>
      </c>
      <c r="U48" s="154">
        <v>0</v>
      </c>
      <c r="V48" s="154">
        <v>0</v>
      </c>
      <c r="W48" s="154">
        <v>0</v>
      </c>
      <c r="X48" s="154">
        <v>0</v>
      </c>
      <c r="Y48" s="154">
        <v>0</v>
      </c>
      <c r="Z48" s="154">
        <v>0</v>
      </c>
      <c r="AA48" s="154">
        <v>0</v>
      </c>
      <c r="AB48" s="154">
        <v>0</v>
      </c>
      <c r="AC48" s="154">
        <v>0</v>
      </c>
      <c r="AD48" s="154">
        <v>0</v>
      </c>
      <c r="AE48" s="154">
        <v>30.4761898095094</v>
      </c>
      <c r="AF48" s="154">
        <v>0.528185373999283</v>
      </c>
      <c r="AG48" s="154">
        <v>2.3120389746610699</v>
      </c>
      <c r="AH48" s="154">
        <v>0.32053951042648299</v>
      </c>
      <c r="AI48" s="154">
        <v>0</v>
      </c>
      <c r="AJ48" s="154">
        <v>0</v>
      </c>
      <c r="AK48" s="154">
        <v>0</v>
      </c>
      <c r="AL48" s="154">
        <v>0</v>
      </c>
      <c r="AM48" s="154">
        <v>0</v>
      </c>
      <c r="AN48" s="154">
        <v>0</v>
      </c>
      <c r="AO48" s="154">
        <v>0</v>
      </c>
      <c r="AP48" s="154">
        <v>0</v>
      </c>
      <c r="AQ48" s="154">
        <v>0</v>
      </c>
      <c r="AR48" s="154">
        <v>0</v>
      </c>
      <c r="AS48" s="154">
        <v>0</v>
      </c>
      <c r="AT48" s="155">
        <v>0</v>
      </c>
    </row>
    <row r="49" spans="2:46" ht="12" customHeight="1" x14ac:dyDescent="0.3">
      <c r="B49" s="153" t="s">
        <v>43</v>
      </c>
      <c r="C49" s="154" t="s">
        <v>41</v>
      </c>
      <c r="D49" s="154" t="s">
        <v>25</v>
      </c>
      <c r="E49" s="154" t="s">
        <v>25</v>
      </c>
      <c r="F49" s="154" t="s">
        <v>25</v>
      </c>
      <c r="G49" s="154" t="s">
        <v>34</v>
      </c>
      <c r="H49" s="154" t="s">
        <v>78</v>
      </c>
      <c r="I49" s="154" t="s">
        <v>25</v>
      </c>
      <c r="J49" s="154">
        <v>1888.17</v>
      </c>
      <c r="K49" s="154">
        <v>379.31</v>
      </c>
      <c r="L49" s="154">
        <v>6.6417912129553098</v>
      </c>
      <c r="M49" s="154">
        <v>0.95209478842407302</v>
      </c>
      <c r="N49" s="154">
        <v>20.254824359116199</v>
      </c>
      <c r="O49" s="154">
        <v>0</v>
      </c>
      <c r="P49" s="154">
        <v>0</v>
      </c>
      <c r="Q49" s="154">
        <v>108.15474943656</v>
      </c>
      <c r="R49" s="154">
        <v>18.521977647959901</v>
      </c>
      <c r="S49" s="154">
        <v>0</v>
      </c>
      <c r="T49" s="154">
        <v>138.40864953478399</v>
      </c>
      <c r="U49" s="154">
        <v>27.8946106655854</v>
      </c>
      <c r="V49" s="154">
        <v>4.0897280207341797</v>
      </c>
      <c r="W49" s="154">
        <v>0</v>
      </c>
      <c r="X49" s="154">
        <v>0</v>
      </c>
      <c r="Y49" s="154">
        <v>0</v>
      </c>
      <c r="Z49" s="154">
        <v>0</v>
      </c>
      <c r="AA49" s="154">
        <v>1529.61587773513</v>
      </c>
      <c r="AB49" s="154">
        <v>0</v>
      </c>
      <c r="AC49" s="154">
        <v>0</v>
      </c>
      <c r="AD49" s="154">
        <v>0</v>
      </c>
      <c r="AE49" s="154">
        <v>30.4761898095094</v>
      </c>
      <c r="AF49" s="154">
        <v>0.528185373999283</v>
      </c>
      <c r="AG49" s="154">
        <v>2.3120389746610699</v>
      </c>
      <c r="AH49" s="154">
        <v>0.32053951042648299</v>
      </c>
      <c r="AI49" s="154">
        <v>13.5504511216441</v>
      </c>
      <c r="AJ49" s="154">
        <v>-18.9619782147847</v>
      </c>
      <c r="AK49" s="154">
        <v>2.7264009271945699</v>
      </c>
      <c r="AL49" s="154">
        <v>21.7060249228172</v>
      </c>
      <c r="AM49" s="154">
        <v>1.5667827349591401</v>
      </c>
      <c r="AN49" s="154">
        <v>447.332663673497</v>
      </c>
      <c r="AO49" s="154">
        <v>8.1215488417243407</v>
      </c>
      <c r="AP49" s="154">
        <v>6.1196450131634599</v>
      </c>
      <c r="AQ49" s="154">
        <v>0</v>
      </c>
      <c r="AR49" s="154">
        <v>0</v>
      </c>
      <c r="AS49" s="154">
        <v>-107.126084057947</v>
      </c>
      <c r="AT49" s="155">
        <v>4.2745450377325396</v>
      </c>
    </row>
    <row r="50" spans="2:46" ht="12" customHeight="1" x14ac:dyDescent="0.3">
      <c r="B50" s="153" t="s">
        <v>43</v>
      </c>
      <c r="C50" s="154" t="s">
        <v>41</v>
      </c>
      <c r="D50" s="154" t="s">
        <v>25</v>
      </c>
      <c r="E50" s="154" t="s">
        <v>25</v>
      </c>
      <c r="F50" s="154" t="s">
        <v>25</v>
      </c>
      <c r="G50" s="154" t="s">
        <v>25</v>
      </c>
      <c r="H50" s="154" t="s">
        <v>81</v>
      </c>
      <c r="I50" s="154" t="s">
        <v>25</v>
      </c>
      <c r="J50" s="154">
        <v>13.46</v>
      </c>
      <c r="K50" s="154">
        <v>0</v>
      </c>
      <c r="L50" s="154">
        <v>0</v>
      </c>
      <c r="M50" s="154">
        <v>0</v>
      </c>
      <c r="N50" s="154">
        <v>0</v>
      </c>
      <c r="O50" s="154">
        <v>0</v>
      </c>
      <c r="P50" s="154">
        <v>0</v>
      </c>
      <c r="Q50" s="154">
        <v>0</v>
      </c>
      <c r="R50" s="154">
        <v>0</v>
      </c>
      <c r="S50" s="154">
        <v>0</v>
      </c>
      <c r="T50" s="154">
        <v>5.40838600576273</v>
      </c>
      <c r="U50" s="154">
        <v>1.0986978738583</v>
      </c>
      <c r="V50" s="154">
        <v>0.154360260681462</v>
      </c>
      <c r="W50" s="154">
        <v>0</v>
      </c>
      <c r="X50" s="154">
        <v>0</v>
      </c>
      <c r="Y50" s="154">
        <v>0</v>
      </c>
      <c r="Z50" s="154">
        <v>0</v>
      </c>
      <c r="AA50" s="154">
        <v>6.7967793666006102</v>
      </c>
      <c r="AB50" s="154">
        <v>0</v>
      </c>
      <c r="AC50" s="154">
        <v>0</v>
      </c>
      <c r="AD50" s="154">
        <v>0</v>
      </c>
      <c r="AE50" s="154">
        <v>0</v>
      </c>
      <c r="AF50" s="154">
        <v>0</v>
      </c>
      <c r="AG50" s="154">
        <v>0</v>
      </c>
      <c r="AH50" s="154">
        <v>0</v>
      </c>
      <c r="AI50" s="154">
        <v>0</v>
      </c>
      <c r="AJ50" s="154">
        <v>0</v>
      </c>
      <c r="AK50" s="154">
        <v>0</v>
      </c>
      <c r="AL50" s="154">
        <v>0</v>
      </c>
      <c r="AM50" s="154">
        <v>0</v>
      </c>
      <c r="AN50" s="154">
        <v>0</v>
      </c>
      <c r="AO50" s="154">
        <v>0</v>
      </c>
      <c r="AP50" s="154">
        <v>0</v>
      </c>
      <c r="AQ50" s="154">
        <v>0</v>
      </c>
      <c r="AR50" s="154">
        <v>0</v>
      </c>
      <c r="AS50" s="154">
        <v>0</v>
      </c>
      <c r="AT50" s="155">
        <v>0</v>
      </c>
    </row>
    <row r="51" spans="2:46" ht="12" customHeight="1" x14ac:dyDescent="0.3">
      <c r="B51" s="153" t="s">
        <v>43</v>
      </c>
      <c r="C51" s="154" t="s">
        <v>41</v>
      </c>
      <c r="D51" s="154" t="s">
        <v>25</v>
      </c>
      <c r="E51" s="154" t="s">
        <v>25</v>
      </c>
      <c r="F51" s="154" t="s">
        <v>25</v>
      </c>
      <c r="G51" s="154" t="s">
        <v>35</v>
      </c>
      <c r="H51" s="154" t="s">
        <v>78</v>
      </c>
      <c r="I51" s="154" t="s">
        <v>25</v>
      </c>
      <c r="J51" s="154">
        <v>170.2</v>
      </c>
      <c r="K51" s="154">
        <v>231.69</v>
      </c>
      <c r="L51" s="154">
        <v>6.6417912129553098</v>
      </c>
      <c r="M51" s="154">
        <v>0.95209478842407302</v>
      </c>
      <c r="N51" s="154">
        <v>2.2918854925116001</v>
      </c>
      <c r="O51" s="154">
        <v>0</v>
      </c>
      <c r="P51" s="154">
        <v>0</v>
      </c>
      <c r="Q51" s="154">
        <v>108.15474943656</v>
      </c>
      <c r="R51" s="154">
        <v>18.521977647959901</v>
      </c>
      <c r="S51" s="154">
        <v>0</v>
      </c>
      <c r="T51" s="154">
        <v>0</v>
      </c>
      <c r="U51" s="154">
        <v>0</v>
      </c>
      <c r="V51" s="154">
        <v>0</v>
      </c>
      <c r="W51" s="154">
        <v>0</v>
      </c>
      <c r="X51" s="154">
        <v>0</v>
      </c>
      <c r="Y51" s="154">
        <v>0</v>
      </c>
      <c r="Z51" s="154">
        <v>0</v>
      </c>
      <c r="AA51" s="154">
        <v>0</v>
      </c>
      <c r="AB51" s="154">
        <v>0</v>
      </c>
      <c r="AC51" s="154">
        <v>0</v>
      </c>
      <c r="AD51" s="154">
        <v>0</v>
      </c>
      <c r="AE51" s="154">
        <v>30.4761898095094</v>
      </c>
      <c r="AF51" s="154">
        <v>0.528185373999283</v>
      </c>
      <c r="AG51" s="154">
        <v>2.3120389746610699</v>
      </c>
      <c r="AH51" s="154">
        <v>0.32053951042648299</v>
      </c>
      <c r="AI51" s="154">
        <v>13.5504511216441</v>
      </c>
      <c r="AJ51" s="154">
        <v>-18.9619782147847</v>
      </c>
      <c r="AK51" s="154">
        <v>2.7264009271945699</v>
      </c>
      <c r="AL51" s="154">
        <v>21.7060249228172</v>
      </c>
      <c r="AM51" s="154">
        <v>1.5667827349591401</v>
      </c>
      <c r="AN51" s="154">
        <v>260.07713004273103</v>
      </c>
      <c r="AO51" s="154">
        <v>8.1215488417243407</v>
      </c>
      <c r="AP51" s="154">
        <v>6.1196450131634599</v>
      </c>
      <c r="AQ51" s="154">
        <v>0</v>
      </c>
      <c r="AR51" s="154">
        <v>0</v>
      </c>
      <c r="AS51" s="154">
        <v>-67.490550427181304</v>
      </c>
      <c r="AT51" s="155">
        <v>4.2745450377325396</v>
      </c>
    </row>
    <row r="52" spans="2:46" ht="12" customHeight="1" x14ac:dyDescent="0.3">
      <c r="B52" s="153" t="s">
        <v>87</v>
      </c>
      <c r="C52" s="154" t="s">
        <v>57</v>
      </c>
      <c r="D52" s="154" t="s">
        <v>25</v>
      </c>
      <c r="E52" s="154" t="s">
        <v>25</v>
      </c>
      <c r="F52" s="154" t="s">
        <v>88</v>
      </c>
      <c r="G52" s="154" t="s">
        <v>25</v>
      </c>
      <c r="H52" s="154" t="s">
        <v>81</v>
      </c>
      <c r="I52" s="154" t="s">
        <v>25</v>
      </c>
      <c r="J52" s="154">
        <v>2.92</v>
      </c>
      <c r="K52" s="154">
        <v>0</v>
      </c>
      <c r="L52" s="154">
        <v>0</v>
      </c>
      <c r="M52" s="154">
        <v>9.6160712197902298E-3</v>
      </c>
      <c r="N52" s="154">
        <v>3.0190546843015701E-2</v>
      </c>
      <c r="O52" s="154">
        <v>0</v>
      </c>
      <c r="P52" s="154">
        <v>0</v>
      </c>
      <c r="Q52" s="154">
        <v>0</v>
      </c>
      <c r="R52" s="154">
        <v>0</v>
      </c>
      <c r="S52" s="154">
        <v>0</v>
      </c>
      <c r="T52" s="154">
        <v>0</v>
      </c>
      <c r="U52" s="154">
        <v>0</v>
      </c>
      <c r="V52" s="154">
        <v>0</v>
      </c>
      <c r="W52" s="154">
        <v>0</v>
      </c>
      <c r="X52" s="154">
        <v>0</v>
      </c>
      <c r="Y52" s="154">
        <v>0</v>
      </c>
      <c r="Z52" s="154">
        <v>0</v>
      </c>
      <c r="AA52" s="154">
        <v>2.8774202285945698</v>
      </c>
      <c r="AB52" s="154">
        <v>0</v>
      </c>
      <c r="AC52" s="154">
        <v>0</v>
      </c>
      <c r="AD52" s="154">
        <v>0</v>
      </c>
      <c r="AE52" s="154">
        <v>0</v>
      </c>
      <c r="AF52" s="154">
        <v>0</v>
      </c>
      <c r="AG52" s="154">
        <v>0</v>
      </c>
      <c r="AH52" s="154">
        <v>0</v>
      </c>
      <c r="AI52" s="154">
        <v>0</v>
      </c>
      <c r="AJ52" s="154">
        <v>0</v>
      </c>
      <c r="AK52" s="154">
        <v>0</v>
      </c>
      <c r="AL52" s="154">
        <v>0</v>
      </c>
      <c r="AM52" s="154">
        <v>0</v>
      </c>
      <c r="AN52" s="154">
        <v>0</v>
      </c>
      <c r="AO52" s="154">
        <v>0</v>
      </c>
      <c r="AP52" s="154">
        <v>0</v>
      </c>
      <c r="AQ52" s="154">
        <v>0</v>
      </c>
      <c r="AR52" s="154">
        <v>0</v>
      </c>
      <c r="AS52" s="154">
        <v>0</v>
      </c>
      <c r="AT52" s="155">
        <v>0</v>
      </c>
    </row>
    <row r="53" spans="2:46" ht="12" customHeight="1" x14ac:dyDescent="0.3">
      <c r="B53" s="153" t="s">
        <v>87</v>
      </c>
      <c r="C53" s="154" t="s">
        <v>57</v>
      </c>
      <c r="D53" s="154" t="s">
        <v>25</v>
      </c>
      <c r="E53" s="154" t="s">
        <v>25</v>
      </c>
      <c r="F53" s="154" t="s">
        <v>89</v>
      </c>
      <c r="G53" s="154" t="s">
        <v>25</v>
      </c>
      <c r="H53" s="154" t="s">
        <v>81</v>
      </c>
      <c r="I53" s="154" t="s">
        <v>25</v>
      </c>
      <c r="J53" s="154">
        <v>7.78</v>
      </c>
      <c r="K53" s="154">
        <v>0</v>
      </c>
      <c r="L53" s="154">
        <v>0</v>
      </c>
      <c r="M53" s="154">
        <v>9.6160712197902298E-3</v>
      </c>
      <c r="N53" s="154">
        <v>3.0190546843015701E-2</v>
      </c>
      <c r="O53" s="154">
        <v>0</v>
      </c>
      <c r="P53" s="154">
        <v>0</v>
      </c>
      <c r="Q53" s="154">
        <v>0</v>
      </c>
      <c r="R53" s="154">
        <v>0</v>
      </c>
      <c r="S53" s="154">
        <v>0</v>
      </c>
      <c r="T53" s="154">
        <v>0</v>
      </c>
      <c r="U53" s="154">
        <v>0</v>
      </c>
      <c r="V53" s="154">
        <v>0</v>
      </c>
      <c r="W53" s="154">
        <v>0</v>
      </c>
      <c r="X53" s="154">
        <v>0</v>
      </c>
      <c r="Y53" s="154">
        <v>0</v>
      </c>
      <c r="Z53" s="154">
        <v>0</v>
      </c>
      <c r="AA53" s="154">
        <v>7.7440623283337899</v>
      </c>
      <c r="AB53" s="154">
        <v>0</v>
      </c>
      <c r="AC53" s="154">
        <v>0</v>
      </c>
      <c r="AD53" s="154">
        <v>0</v>
      </c>
      <c r="AE53" s="154">
        <v>0</v>
      </c>
      <c r="AF53" s="154">
        <v>0</v>
      </c>
      <c r="AG53" s="154">
        <v>0</v>
      </c>
      <c r="AH53" s="154">
        <v>0</v>
      </c>
      <c r="AI53" s="154">
        <v>0</v>
      </c>
      <c r="AJ53" s="154">
        <v>0</v>
      </c>
      <c r="AK53" s="154">
        <v>0</v>
      </c>
      <c r="AL53" s="154">
        <v>0</v>
      </c>
      <c r="AM53" s="154">
        <v>0</v>
      </c>
      <c r="AN53" s="154">
        <v>0</v>
      </c>
      <c r="AO53" s="154">
        <v>0</v>
      </c>
      <c r="AP53" s="154">
        <v>0</v>
      </c>
      <c r="AQ53" s="154">
        <v>0</v>
      </c>
      <c r="AR53" s="154">
        <v>0</v>
      </c>
      <c r="AS53" s="154">
        <v>0</v>
      </c>
      <c r="AT53" s="155">
        <v>0</v>
      </c>
    </row>
    <row r="54" spans="2:46" ht="12" customHeight="1" x14ac:dyDescent="0.3">
      <c r="B54" s="153" t="s">
        <v>22</v>
      </c>
      <c r="C54" s="154" t="s">
        <v>33</v>
      </c>
      <c r="D54" s="154" t="s">
        <v>24</v>
      </c>
      <c r="E54" s="154" t="s">
        <v>24</v>
      </c>
      <c r="F54" s="154" t="s">
        <v>25</v>
      </c>
      <c r="G54" s="154" t="s">
        <v>34</v>
      </c>
      <c r="H54" s="154" t="s">
        <v>78</v>
      </c>
      <c r="I54" s="154" t="s">
        <v>25</v>
      </c>
      <c r="J54" s="154">
        <v>871.16</v>
      </c>
      <c r="K54" s="154">
        <v>379.31</v>
      </c>
      <c r="L54" s="154">
        <v>6.6417912129553098</v>
      </c>
      <c r="M54" s="154">
        <v>0.958781769339353</v>
      </c>
      <c r="N54" s="154">
        <v>8.5218620740929403</v>
      </c>
      <c r="O54" s="154">
        <v>0</v>
      </c>
      <c r="P54" s="154">
        <v>0</v>
      </c>
      <c r="Q54" s="154">
        <v>108.15474943656</v>
      </c>
      <c r="R54" s="154">
        <v>18.521977647959901</v>
      </c>
      <c r="S54" s="154">
        <v>0</v>
      </c>
      <c r="T54" s="154">
        <v>75.611044361786597</v>
      </c>
      <c r="U54" s="154">
        <v>15.295020736750001</v>
      </c>
      <c r="V54" s="154">
        <v>2.1987124664706998</v>
      </c>
      <c r="W54" s="154">
        <v>0</v>
      </c>
      <c r="X54" s="154">
        <v>0</v>
      </c>
      <c r="Y54" s="154">
        <v>0</v>
      </c>
      <c r="Z54" s="154">
        <v>0</v>
      </c>
      <c r="AA54" s="154">
        <v>492.457033391008</v>
      </c>
      <c r="AB54" s="154">
        <v>0</v>
      </c>
      <c r="AC54" s="154">
        <v>109.39907215736601</v>
      </c>
      <c r="AD54" s="154">
        <v>0</v>
      </c>
      <c r="AE54" s="154">
        <v>30.4761898095094</v>
      </c>
      <c r="AF54" s="154">
        <v>0.528185373999283</v>
      </c>
      <c r="AG54" s="154">
        <v>2.1038967484120801</v>
      </c>
      <c r="AH54" s="154">
        <v>0.29168281379112099</v>
      </c>
      <c r="AI54" s="154">
        <v>13.5504511216441</v>
      </c>
      <c r="AJ54" s="154">
        <v>-18.9619782147847</v>
      </c>
      <c r="AK54" s="154">
        <v>2.7264009271945699</v>
      </c>
      <c r="AL54" s="154">
        <v>21.7060249228172</v>
      </c>
      <c r="AM54" s="154">
        <v>1.5667827349591401</v>
      </c>
      <c r="AN54" s="154">
        <v>447.332663673497</v>
      </c>
      <c r="AO54" s="154">
        <v>8.1215488417243407</v>
      </c>
      <c r="AP54" s="154">
        <v>6.1196450131634599</v>
      </c>
      <c r="AQ54" s="154">
        <v>0</v>
      </c>
      <c r="AR54" s="154">
        <v>0</v>
      </c>
      <c r="AS54" s="154">
        <v>-107.126084057947</v>
      </c>
      <c r="AT54" s="155">
        <v>4.2745450377325396</v>
      </c>
    </row>
    <row r="55" spans="2:46" ht="12" customHeight="1" x14ac:dyDescent="0.3">
      <c r="B55" s="153" t="s">
        <v>22</v>
      </c>
      <c r="C55" s="154" t="s">
        <v>33</v>
      </c>
      <c r="D55" s="154" t="s">
        <v>24</v>
      </c>
      <c r="E55" s="154" t="s">
        <v>24</v>
      </c>
      <c r="F55" s="154" t="s">
        <v>25</v>
      </c>
      <c r="G55" s="154" t="s">
        <v>36</v>
      </c>
      <c r="H55" s="154" t="s">
        <v>78</v>
      </c>
      <c r="I55" s="154" t="s">
        <v>25</v>
      </c>
      <c r="J55" s="154">
        <v>586.45000000000005</v>
      </c>
      <c r="K55" s="154">
        <v>231.69</v>
      </c>
      <c r="L55" s="154">
        <v>6.6417912129553098</v>
      </c>
      <c r="M55" s="154">
        <v>0.958781769339353</v>
      </c>
      <c r="N55" s="154">
        <v>6.0283644292345899</v>
      </c>
      <c r="O55" s="154">
        <v>0</v>
      </c>
      <c r="P55" s="154">
        <v>0</v>
      </c>
      <c r="Q55" s="154">
        <v>108.15474943656</v>
      </c>
      <c r="R55" s="154">
        <v>18.521977647959901</v>
      </c>
      <c r="S55" s="154">
        <v>0</v>
      </c>
      <c r="T55" s="154">
        <v>45.366695015605004</v>
      </c>
      <c r="U55" s="154">
        <v>9.1770124420499908</v>
      </c>
      <c r="V55" s="154">
        <v>1.31922747988242</v>
      </c>
      <c r="W55" s="154">
        <v>0</v>
      </c>
      <c r="X55" s="154">
        <v>0</v>
      </c>
      <c r="Y55" s="154">
        <v>0</v>
      </c>
      <c r="Z55" s="154">
        <v>0</v>
      </c>
      <c r="AA55" s="154">
        <v>295.47414768610901</v>
      </c>
      <c r="AB55" s="154">
        <v>0</v>
      </c>
      <c r="AC55" s="154">
        <v>61.407298134592502</v>
      </c>
      <c r="AD55" s="154">
        <v>0</v>
      </c>
      <c r="AE55" s="154">
        <v>30.4761898095094</v>
      </c>
      <c r="AF55" s="154">
        <v>0.528185373999283</v>
      </c>
      <c r="AG55" s="154">
        <v>2.1038967484120801</v>
      </c>
      <c r="AH55" s="154">
        <v>0.29168281379112099</v>
      </c>
      <c r="AI55" s="154">
        <v>13.5504511216441</v>
      </c>
      <c r="AJ55" s="154">
        <v>-18.9619782147847</v>
      </c>
      <c r="AK55" s="154">
        <v>2.7264009271945699</v>
      </c>
      <c r="AL55" s="154">
        <v>21.7060249228172</v>
      </c>
      <c r="AM55" s="154">
        <v>1.5667827349591401</v>
      </c>
      <c r="AN55" s="154">
        <v>260.07713004273103</v>
      </c>
      <c r="AO55" s="154">
        <v>8.1215488417243407</v>
      </c>
      <c r="AP55" s="154">
        <v>6.1196450131634599</v>
      </c>
      <c r="AQ55" s="154">
        <v>0</v>
      </c>
      <c r="AR55" s="154">
        <v>0</v>
      </c>
      <c r="AS55" s="154">
        <v>-67.490550427181304</v>
      </c>
      <c r="AT55" s="155">
        <v>4.2745450377325396</v>
      </c>
    </row>
    <row r="56" spans="2:46" ht="12" customHeight="1" x14ac:dyDescent="0.3">
      <c r="B56" s="153" t="s">
        <v>22</v>
      </c>
      <c r="C56" s="154" t="s">
        <v>33</v>
      </c>
      <c r="D56" s="154" t="s">
        <v>24</v>
      </c>
      <c r="E56" s="154" t="s">
        <v>24</v>
      </c>
      <c r="F56" s="154" t="s">
        <v>25</v>
      </c>
      <c r="G56" s="154" t="s">
        <v>35</v>
      </c>
      <c r="H56" s="154" t="s">
        <v>78</v>
      </c>
      <c r="I56" s="154" t="s">
        <v>25</v>
      </c>
      <c r="J56" s="154">
        <v>301.74</v>
      </c>
      <c r="K56" s="154">
        <v>231.69</v>
      </c>
      <c r="L56" s="154">
        <v>6.6417912129553098</v>
      </c>
      <c r="M56" s="154">
        <v>0.958781769339353</v>
      </c>
      <c r="N56" s="154">
        <v>3.53486678437624</v>
      </c>
      <c r="O56" s="154">
        <v>0</v>
      </c>
      <c r="P56" s="154">
        <v>0</v>
      </c>
      <c r="Q56" s="154">
        <v>108.15474943656</v>
      </c>
      <c r="R56" s="154">
        <v>18.521977647959901</v>
      </c>
      <c r="S56" s="154">
        <v>0</v>
      </c>
      <c r="T56" s="154">
        <v>15.122231671868301</v>
      </c>
      <c r="U56" s="154">
        <v>3.05900414735</v>
      </c>
      <c r="V56" s="154">
        <v>0.439742493294139</v>
      </c>
      <c r="W56" s="154">
        <v>0</v>
      </c>
      <c r="X56" s="154">
        <v>0</v>
      </c>
      <c r="Y56" s="154">
        <v>0</v>
      </c>
      <c r="Z56" s="154">
        <v>0</v>
      </c>
      <c r="AA56" s="154">
        <v>98.491382562036506</v>
      </c>
      <c r="AB56" s="154">
        <v>0</v>
      </c>
      <c r="AC56" s="154">
        <v>13.415517528548699</v>
      </c>
      <c r="AD56" s="154">
        <v>0</v>
      </c>
      <c r="AE56" s="154">
        <v>30.4761898095094</v>
      </c>
      <c r="AF56" s="154">
        <v>0.528185373999283</v>
      </c>
      <c r="AG56" s="154">
        <v>2.1038967484120801</v>
      </c>
      <c r="AH56" s="154">
        <v>0.29168281379112099</v>
      </c>
      <c r="AI56" s="154">
        <v>13.5504511216441</v>
      </c>
      <c r="AJ56" s="154">
        <v>-18.9619782147847</v>
      </c>
      <c r="AK56" s="154">
        <v>2.7264009271945699</v>
      </c>
      <c r="AL56" s="154">
        <v>21.7060249228172</v>
      </c>
      <c r="AM56" s="154">
        <v>1.5667827349591401</v>
      </c>
      <c r="AN56" s="154">
        <v>260.07713004273103</v>
      </c>
      <c r="AO56" s="154">
        <v>8.1215488417243407</v>
      </c>
      <c r="AP56" s="154">
        <v>6.1196450131634599</v>
      </c>
      <c r="AQ56" s="154">
        <v>0</v>
      </c>
      <c r="AR56" s="154">
        <v>0</v>
      </c>
      <c r="AS56" s="154">
        <v>-67.490550427181304</v>
      </c>
      <c r="AT56" s="155">
        <v>4.2745450377325396</v>
      </c>
    </row>
    <row r="57" spans="2:46" ht="12" customHeight="1" x14ac:dyDescent="0.3">
      <c r="B57" s="153" t="s">
        <v>22</v>
      </c>
      <c r="C57" s="154" t="s">
        <v>23</v>
      </c>
      <c r="D57" s="154" t="s">
        <v>24</v>
      </c>
      <c r="E57" s="154" t="s">
        <v>1522</v>
      </c>
      <c r="F57" s="154" t="s">
        <v>25</v>
      </c>
      <c r="G57" s="154" t="s">
        <v>25</v>
      </c>
      <c r="H57" s="154" t="s">
        <v>78</v>
      </c>
      <c r="I57" s="154" t="s">
        <v>25</v>
      </c>
      <c r="J57" s="154">
        <v>301.37</v>
      </c>
      <c r="K57" s="154">
        <v>244</v>
      </c>
      <c r="L57" s="154">
        <v>0</v>
      </c>
      <c r="M57" s="154">
        <v>0.958781769339353</v>
      </c>
      <c r="N57" s="154">
        <v>4.6278941478569404</v>
      </c>
      <c r="O57" s="154">
        <v>0</v>
      </c>
      <c r="P57" s="154">
        <v>0</v>
      </c>
      <c r="Q57" s="154">
        <v>0</v>
      </c>
      <c r="R57" s="154">
        <v>0</v>
      </c>
      <c r="S57" s="154">
        <v>0</v>
      </c>
      <c r="T57" s="154">
        <v>28.532448061512898</v>
      </c>
      <c r="U57" s="154">
        <v>5.7717073998095803</v>
      </c>
      <c r="V57" s="154">
        <v>0.82973758162064504</v>
      </c>
      <c r="W57" s="154">
        <v>0</v>
      </c>
      <c r="X57" s="154">
        <v>0</v>
      </c>
      <c r="Y57" s="154">
        <v>0</v>
      </c>
      <c r="Z57" s="154">
        <v>0</v>
      </c>
      <c r="AA57" s="154">
        <v>185.83277681087199</v>
      </c>
      <c r="AB57" s="154">
        <v>0</v>
      </c>
      <c r="AC57" s="154">
        <v>41.416699483276602</v>
      </c>
      <c r="AD57" s="154">
        <v>0</v>
      </c>
      <c r="AE57" s="154">
        <v>30.4761898095094</v>
      </c>
      <c r="AF57" s="154">
        <v>0.528185373999283</v>
      </c>
      <c r="AG57" s="154">
        <v>2.1038967484120801</v>
      </c>
      <c r="AH57" s="154">
        <v>0.29168281379112099</v>
      </c>
      <c r="AI57" s="154">
        <v>13.5504511216441</v>
      </c>
      <c r="AJ57" s="154">
        <v>-18.9619782147847</v>
      </c>
      <c r="AK57" s="154">
        <v>2.7264009271945699</v>
      </c>
      <c r="AL57" s="154">
        <v>21.7060249228172</v>
      </c>
      <c r="AM57" s="154">
        <v>1.5667827349591401</v>
      </c>
      <c r="AN57" s="154">
        <v>275.68175784529501</v>
      </c>
      <c r="AO57" s="154">
        <v>8.1215488417243407</v>
      </c>
      <c r="AP57" s="154">
        <v>6.1196450131634599</v>
      </c>
      <c r="AQ57" s="154">
        <v>0</v>
      </c>
      <c r="AR57" s="154">
        <v>0</v>
      </c>
      <c r="AS57" s="154">
        <v>-70.785178229745199</v>
      </c>
      <c r="AT57" s="155">
        <v>4.2745450377325396</v>
      </c>
    </row>
    <row r="58" spans="2:46" ht="12" customHeight="1" x14ac:dyDescent="0.3">
      <c r="B58" s="153" t="s">
        <v>22</v>
      </c>
      <c r="C58" s="154" t="s">
        <v>23</v>
      </c>
      <c r="D58" s="154" t="s">
        <v>24</v>
      </c>
      <c r="E58" s="154" t="s">
        <v>24</v>
      </c>
      <c r="F58" s="154" t="s">
        <v>25</v>
      </c>
      <c r="G58" s="154" t="s">
        <v>25</v>
      </c>
      <c r="H58" s="154" t="s">
        <v>78</v>
      </c>
      <c r="I58" s="154" t="s">
        <v>25</v>
      </c>
      <c r="J58" s="154">
        <v>409.13</v>
      </c>
      <c r="K58" s="154">
        <v>244</v>
      </c>
      <c r="L58" s="154">
        <v>6.6417912129553098</v>
      </c>
      <c r="M58" s="154">
        <v>0.958781769339353</v>
      </c>
      <c r="N58" s="154">
        <v>4.6404735423748598</v>
      </c>
      <c r="O58" s="154">
        <v>0</v>
      </c>
      <c r="P58" s="154">
        <v>0</v>
      </c>
      <c r="Q58" s="154">
        <v>108.15474943656</v>
      </c>
      <c r="R58" s="154">
        <v>18.521977647959901</v>
      </c>
      <c r="S58" s="154">
        <v>0</v>
      </c>
      <c r="T58" s="154">
        <v>28.532448061512898</v>
      </c>
      <c r="U58" s="154">
        <v>5.7717073998095803</v>
      </c>
      <c r="V58" s="154">
        <v>0.82973758162064504</v>
      </c>
      <c r="W58" s="154">
        <v>0</v>
      </c>
      <c r="X58" s="154">
        <v>0</v>
      </c>
      <c r="Y58" s="154">
        <v>0</v>
      </c>
      <c r="Z58" s="154">
        <v>0</v>
      </c>
      <c r="AA58" s="154">
        <v>185.83277681087199</v>
      </c>
      <c r="AB58" s="154">
        <v>0</v>
      </c>
      <c r="AC58" s="154">
        <v>15.845601791283899</v>
      </c>
      <c r="AD58" s="154">
        <v>0</v>
      </c>
      <c r="AE58" s="154">
        <v>30.4761898095094</v>
      </c>
      <c r="AF58" s="154">
        <v>0.528185373999283</v>
      </c>
      <c r="AG58" s="154">
        <v>2.1038967484120801</v>
      </c>
      <c r="AH58" s="154">
        <v>0.29168281379112099</v>
      </c>
      <c r="AI58" s="154">
        <v>13.5504511216441</v>
      </c>
      <c r="AJ58" s="154">
        <v>-18.9619782147847</v>
      </c>
      <c r="AK58" s="154">
        <v>2.7264009271945699</v>
      </c>
      <c r="AL58" s="154">
        <v>21.7060249228172</v>
      </c>
      <c r="AM58" s="154">
        <v>1.5667827349591401</v>
      </c>
      <c r="AN58" s="154">
        <v>275.68175784529501</v>
      </c>
      <c r="AO58" s="154">
        <v>8.1215488417243407</v>
      </c>
      <c r="AP58" s="154">
        <v>6.1196450131634599</v>
      </c>
      <c r="AQ58" s="154">
        <v>0</v>
      </c>
      <c r="AR58" s="154">
        <v>0</v>
      </c>
      <c r="AS58" s="154">
        <v>-70.785178229745199</v>
      </c>
      <c r="AT58" s="155">
        <v>4.2745450377325396</v>
      </c>
    </row>
    <row r="59" spans="2:46" ht="12" customHeight="1" x14ac:dyDescent="0.3">
      <c r="B59" s="153" t="s">
        <v>22</v>
      </c>
      <c r="C59" s="154" t="s">
        <v>92</v>
      </c>
      <c r="D59" s="154" t="s">
        <v>24</v>
      </c>
      <c r="E59" s="154" t="s">
        <v>1522</v>
      </c>
      <c r="F59" s="154" t="s">
        <v>25</v>
      </c>
      <c r="G59" s="154" t="s">
        <v>25</v>
      </c>
      <c r="H59" s="154" t="s">
        <v>78</v>
      </c>
      <c r="I59" s="154" t="s">
        <v>25</v>
      </c>
      <c r="J59" s="154">
        <v>301.37</v>
      </c>
      <c r="K59" s="154">
        <v>244</v>
      </c>
      <c r="L59" s="154">
        <v>0</v>
      </c>
      <c r="M59" s="154">
        <v>0.958781769339353</v>
      </c>
      <c r="N59" s="154">
        <v>4.6278941478569404</v>
      </c>
      <c r="O59" s="154">
        <v>0</v>
      </c>
      <c r="P59" s="154">
        <v>0</v>
      </c>
      <c r="Q59" s="154">
        <v>0</v>
      </c>
      <c r="R59" s="154">
        <v>0</v>
      </c>
      <c r="S59" s="154">
        <v>0</v>
      </c>
      <c r="T59" s="154">
        <v>28.532448061512898</v>
      </c>
      <c r="U59" s="154">
        <v>5.7717073998095803</v>
      </c>
      <c r="V59" s="154">
        <v>0.82973758162064504</v>
      </c>
      <c r="W59" s="154">
        <v>0</v>
      </c>
      <c r="X59" s="154">
        <v>0</v>
      </c>
      <c r="Y59" s="154">
        <v>0</v>
      </c>
      <c r="Z59" s="154">
        <v>0</v>
      </c>
      <c r="AA59" s="154">
        <v>185.83277681087199</v>
      </c>
      <c r="AB59" s="154">
        <v>0</v>
      </c>
      <c r="AC59" s="154">
        <v>41.416699483276602</v>
      </c>
      <c r="AD59" s="154">
        <v>0</v>
      </c>
      <c r="AE59" s="154">
        <v>30.4761898095094</v>
      </c>
      <c r="AF59" s="154">
        <v>0.528185373999283</v>
      </c>
      <c r="AG59" s="154">
        <v>2.1038967484120801</v>
      </c>
      <c r="AH59" s="154">
        <v>0.29168281379112099</v>
      </c>
      <c r="AI59" s="154">
        <v>13.5504511216441</v>
      </c>
      <c r="AJ59" s="154">
        <v>-18.9619782147847</v>
      </c>
      <c r="AK59" s="154">
        <v>2.7264009271945699</v>
      </c>
      <c r="AL59" s="154">
        <v>21.7060249228172</v>
      </c>
      <c r="AM59" s="154">
        <v>1.5667827349591401</v>
      </c>
      <c r="AN59" s="154">
        <v>275.68175784529501</v>
      </c>
      <c r="AO59" s="154">
        <v>8.1215488417243407</v>
      </c>
      <c r="AP59" s="154">
        <v>6.1196450131634599</v>
      </c>
      <c r="AQ59" s="154">
        <v>0</v>
      </c>
      <c r="AR59" s="154">
        <v>0</v>
      </c>
      <c r="AS59" s="154">
        <v>-70.785178229745199</v>
      </c>
      <c r="AT59" s="155">
        <v>4.2745450377325396</v>
      </c>
    </row>
    <row r="60" spans="2:46" ht="12" customHeight="1" x14ac:dyDescent="0.3">
      <c r="B60" s="153" t="s">
        <v>22</v>
      </c>
      <c r="C60" s="154" t="s">
        <v>92</v>
      </c>
      <c r="D60" s="154" t="s">
        <v>24</v>
      </c>
      <c r="E60" s="154" t="s">
        <v>24</v>
      </c>
      <c r="F60" s="154" t="s">
        <v>25</v>
      </c>
      <c r="G60" s="154" t="s">
        <v>25</v>
      </c>
      <c r="H60" s="154" t="s">
        <v>78</v>
      </c>
      <c r="I60" s="154" t="s">
        <v>25</v>
      </c>
      <c r="J60" s="154">
        <v>409.13</v>
      </c>
      <c r="K60" s="154">
        <v>244</v>
      </c>
      <c r="L60" s="154">
        <v>6.6417912129553098</v>
      </c>
      <c r="M60" s="154">
        <v>0.958781769339353</v>
      </c>
      <c r="N60" s="154">
        <v>4.6404735423748598</v>
      </c>
      <c r="O60" s="154">
        <v>0</v>
      </c>
      <c r="P60" s="154">
        <v>0</v>
      </c>
      <c r="Q60" s="154">
        <v>108.15474943656</v>
      </c>
      <c r="R60" s="154">
        <v>18.521977647959901</v>
      </c>
      <c r="S60" s="154">
        <v>0</v>
      </c>
      <c r="T60" s="154">
        <v>28.532448061512898</v>
      </c>
      <c r="U60" s="154">
        <v>5.7717073998095803</v>
      </c>
      <c r="V60" s="154">
        <v>0.82973758162064504</v>
      </c>
      <c r="W60" s="154">
        <v>0</v>
      </c>
      <c r="X60" s="154">
        <v>0</v>
      </c>
      <c r="Y60" s="154">
        <v>0</v>
      </c>
      <c r="Z60" s="154">
        <v>0</v>
      </c>
      <c r="AA60" s="154">
        <v>185.83277681087199</v>
      </c>
      <c r="AB60" s="154">
        <v>0</v>
      </c>
      <c r="AC60" s="154">
        <v>15.845601791283899</v>
      </c>
      <c r="AD60" s="154">
        <v>0</v>
      </c>
      <c r="AE60" s="154">
        <v>30.4761898095094</v>
      </c>
      <c r="AF60" s="154">
        <v>0.528185373999283</v>
      </c>
      <c r="AG60" s="154">
        <v>2.1038967484120801</v>
      </c>
      <c r="AH60" s="154">
        <v>0.29168281379112099</v>
      </c>
      <c r="AI60" s="154">
        <v>13.5504511216441</v>
      </c>
      <c r="AJ60" s="154">
        <v>-18.9619782147847</v>
      </c>
      <c r="AK60" s="154">
        <v>2.7264009271945699</v>
      </c>
      <c r="AL60" s="154">
        <v>21.7060249228172</v>
      </c>
      <c r="AM60" s="154">
        <v>1.5667827349591401</v>
      </c>
      <c r="AN60" s="154">
        <v>275.68175784529501</v>
      </c>
      <c r="AO60" s="154">
        <v>8.1215488417243407</v>
      </c>
      <c r="AP60" s="154">
        <v>6.1196450131634599</v>
      </c>
      <c r="AQ60" s="154">
        <v>0</v>
      </c>
      <c r="AR60" s="154">
        <v>0</v>
      </c>
      <c r="AS60" s="154">
        <v>-70.785178229745199</v>
      </c>
      <c r="AT60" s="155">
        <v>4.2745450377325396</v>
      </c>
    </row>
    <row r="61" spans="2:46" ht="12" customHeight="1" x14ac:dyDescent="0.3">
      <c r="B61" s="153" t="s">
        <v>44</v>
      </c>
      <c r="C61" s="154" t="s">
        <v>33</v>
      </c>
      <c r="D61" s="154" t="s">
        <v>45</v>
      </c>
      <c r="E61" s="154" t="s">
        <v>93</v>
      </c>
      <c r="F61" s="154" t="s">
        <v>25</v>
      </c>
      <c r="G61" s="154" t="s">
        <v>34</v>
      </c>
      <c r="H61" s="154" t="s">
        <v>78</v>
      </c>
      <c r="I61" s="154" t="s">
        <v>25</v>
      </c>
      <c r="J61" s="154">
        <v>877.58</v>
      </c>
      <c r="K61" s="154">
        <v>356.55</v>
      </c>
      <c r="L61" s="154">
        <v>6.2432837401779899</v>
      </c>
      <c r="M61" s="154">
        <v>0.90125486317899195</v>
      </c>
      <c r="N61" s="154">
        <v>8.6739145050817008</v>
      </c>
      <c r="O61" s="154">
        <v>0</v>
      </c>
      <c r="P61" s="154">
        <v>0</v>
      </c>
      <c r="Q61" s="154">
        <v>101.665464470366</v>
      </c>
      <c r="R61" s="154">
        <v>17.4106589890823</v>
      </c>
      <c r="S61" s="154">
        <v>0</v>
      </c>
      <c r="T61" s="154">
        <v>79.120532053426004</v>
      </c>
      <c r="U61" s="154">
        <v>16.0049336985299</v>
      </c>
      <c r="V61" s="154">
        <v>2.3007949603515998</v>
      </c>
      <c r="W61" s="154">
        <v>0</v>
      </c>
      <c r="X61" s="154">
        <v>0</v>
      </c>
      <c r="Y61" s="154">
        <v>0</v>
      </c>
      <c r="Z61" s="154">
        <v>0</v>
      </c>
      <c r="AA61" s="154">
        <v>515.31444311361497</v>
      </c>
      <c r="AB61" s="154">
        <v>0</v>
      </c>
      <c r="AC61" s="154">
        <v>98.552762145220896</v>
      </c>
      <c r="AD61" s="154">
        <v>0</v>
      </c>
      <c r="AE61" s="154">
        <v>28.647618420938802</v>
      </c>
      <c r="AF61" s="154">
        <v>0.49649425155932603</v>
      </c>
      <c r="AG61" s="154">
        <v>1.9776629435073501</v>
      </c>
      <c r="AH61" s="154">
        <v>0.274181844963653</v>
      </c>
      <c r="AI61" s="154">
        <v>12.7374240543454</v>
      </c>
      <c r="AJ61" s="154">
        <v>-17.824259521897599</v>
      </c>
      <c r="AK61" s="154">
        <v>2.5628168715628901</v>
      </c>
      <c r="AL61" s="154">
        <v>20.403663427448201</v>
      </c>
      <c r="AM61" s="154">
        <v>1.4727757708616001</v>
      </c>
      <c r="AN61" s="154">
        <v>420.49270385308699</v>
      </c>
      <c r="AO61" s="154">
        <v>7.6342559112208797</v>
      </c>
      <c r="AP61" s="154">
        <v>5.7524663123736604</v>
      </c>
      <c r="AQ61" s="154">
        <v>0</v>
      </c>
      <c r="AR61" s="154">
        <v>0</v>
      </c>
      <c r="AS61" s="154">
        <v>-100.698519014471</v>
      </c>
      <c r="AT61" s="155">
        <v>4.0180723354685899</v>
      </c>
    </row>
    <row r="62" spans="2:46" ht="12" customHeight="1" x14ac:dyDescent="0.3">
      <c r="B62" s="153" t="s">
        <v>44</v>
      </c>
      <c r="C62" s="154" t="s">
        <v>33</v>
      </c>
      <c r="D62" s="154" t="s">
        <v>45</v>
      </c>
      <c r="E62" s="154" t="s">
        <v>93</v>
      </c>
      <c r="F62" s="154" t="s">
        <v>25</v>
      </c>
      <c r="G62" s="154" t="s">
        <v>36</v>
      </c>
      <c r="H62" s="154" t="s">
        <v>78</v>
      </c>
      <c r="I62" s="154" t="s">
        <v>25</v>
      </c>
      <c r="J62" s="154">
        <v>586.47</v>
      </c>
      <c r="K62" s="154">
        <v>217.79</v>
      </c>
      <c r="L62" s="154">
        <v>6.2432837401779899</v>
      </c>
      <c r="M62" s="154">
        <v>0.90125486317899195</v>
      </c>
      <c r="N62" s="154">
        <v>6.0646808202485003</v>
      </c>
      <c r="O62" s="154">
        <v>0</v>
      </c>
      <c r="P62" s="154">
        <v>0</v>
      </c>
      <c r="Q62" s="154">
        <v>101.665464470366</v>
      </c>
      <c r="R62" s="154">
        <v>17.4106589890823</v>
      </c>
      <c r="S62" s="154">
        <v>0</v>
      </c>
      <c r="T62" s="154">
        <v>47.472362095136297</v>
      </c>
      <c r="U62" s="154">
        <v>9.6029602191179499</v>
      </c>
      <c r="V62" s="154">
        <v>1.3803615130982001</v>
      </c>
      <c r="W62" s="154">
        <v>0</v>
      </c>
      <c r="X62" s="154">
        <v>0</v>
      </c>
      <c r="Y62" s="154">
        <v>0</v>
      </c>
      <c r="Z62" s="154">
        <v>0</v>
      </c>
      <c r="AA62" s="154">
        <v>309.18866586816898</v>
      </c>
      <c r="AB62" s="154">
        <v>0</v>
      </c>
      <c r="AC62" s="154">
        <v>55.140349960455303</v>
      </c>
      <c r="AD62" s="154">
        <v>0</v>
      </c>
      <c r="AE62" s="154">
        <v>28.647618420938802</v>
      </c>
      <c r="AF62" s="154">
        <v>0.49649425155932603</v>
      </c>
      <c r="AG62" s="154">
        <v>1.9776629435073501</v>
      </c>
      <c r="AH62" s="154">
        <v>0.274181844963653</v>
      </c>
      <c r="AI62" s="154">
        <v>12.7374240543454</v>
      </c>
      <c r="AJ62" s="154">
        <v>-17.824259521897599</v>
      </c>
      <c r="AK62" s="154">
        <v>2.5628168715628901</v>
      </c>
      <c r="AL62" s="154">
        <v>20.403663427448201</v>
      </c>
      <c r="AM62" s="154">
        <v>1.4727757708616001</v>
      </c>
      <c r="AN62" s="154">
        <v>244.47250224016699</v>
      </c>
      <c r="AO62" s="154">
        <v>7.6342559112208797</v>
      </c>
      <c r="AP62" s="154">
        <v>5.7524663123736604</v>
      </c>
      <c r="AQ62" s="154">
        <v>0</v>
      </c>
      <c r="AR62" s="154">
        <v>0</v>
      </c>
      <c r="AS62" s="154">
        <v>-63.4411174015505</v>
      </c>
      <c r="AT62" s="155">
        <v>4.0180723354685899</v>
      </c>
    </row>
    <row r="63" spans="2:46" ht="12" customHeight="1" x14ac:dyDescent="0.3">
      <c r="B63" s="153" t="s">
        <v>44</v>
      </c>
      <c r="C63" s="154" t="s">
        <v>33</v>
      </c>
      <c r="D63" s="154" t="s">
        <v>45</v>
      </c>
      <c r="E63" s="154" t="s">
        <v>93</v>
      </c>
      <c r="F63" s="154" t="s">
        <v>25</v>
      </c>
      <c r="G63" s="154" t="s">
        <v>35</v>
      </c>
      <c r="H63" s="154" t="s">
        <v>78</v>
      </c>
      <c r="I63" s="154" t="s">
        <v>25</v>
      </c>
      <c r="J63" s="154">
        <v>295.37</v>
      </c>
      <c r="K63" s="154">
        <v>217.79</v>
      </c>
      <c r="L63" s="154">
        <v>6.2432837401779899</v>
      </c>
      <c r="M63" s="154">
        <v>0.90125486317899195</v>
      </c>
      <c r="N63" s="154">
        <v>3.45544713541529</v>
      </c>
      <c r="O63" s="154">
        <v>0</v>
      </c>
      <c r="P63" s="154">
        <v>0</v>
      </c>
      <c r="Q63" s="154">
        <v>101.665464470366</v>
      </c>
      <c r="R63" s="154">
        <v>17.4106589890823</v>
      </c>
      <c r="S63" s="154">
        <v>0</v>
      </c>
      <c r="T63" s="154">
        <v>15.824084979144899</v>
      </c>
      <c r="U63" s="154">
        <v>3.2009867397059799</v>
      </c>
      <c r="V63" s="154">
        <v>0.460120504366066</v>
      </c>
      <c r="W63" s="154">
        <v>0</v>
      </c>
      <c r="X63" s="154">
        <v>0</v>
      </c>
      <c r="Y63" s="154">
        <v>0</v>
      </c>
      <c r="Z63" s="154">
        <v>0</v>
      </c>
      <c r="AA63" s="154">
        <v>103.06288862272299</v>
      </c>
      <c r="AB63" s="154">
        <v>0</v>
      </c>
      <c r="AC63" s="154">
        <v>11.746652494870199</v>
      </c>
      <c r="AD63" s="154">
        <v>0</v>
      </c>
      <c r="AE63" s="154">
        <v>28.647618420938802</v>
      </c>
      <c r="AF63" s="154">
        <v>0.49649425155932603</v>
      </c>
      <c r="AG63" s="154">
        <v>1.9776629435073501</v>
      </c>
      <c r="AH63" s="154">
        <v>0.274181844963653</v>
      </c>
      <c r="AI63" s="154">
        <v>12.7374240543454</v>
      </c>
      <c r="AJ63" s="154">
        <v>-17.824259521897599</v>
      </c>
      <c r="AK63" s="154">
        <v>2.5628168715628901</v>
      </c>
      <c r="AL63" s="154">
        <v>20.403663427448201</v>
      </c>
      <c r="AM63" s="154">
        <v>1.4727757708616001</v>
      </c>
      <c r="AN63" s="154">
        <v>244.47250224016699</v>
      </c>
      <c r="AO63" s="154">
        <v>7.6342559112208797</v>
      </c>
      <c r="AP63" s="154">
        <v>5.7524663123736604</v>
      </c>
      <c r="AQ63" s="154">
        <v>0</v>
      </c>
      <c r="AR63" s="154">
        <v>0</v>
      </c>
      <c r="AS63" s="154">
        <v>-63.4411174015505</v>
      </c>
      <c r="AT63" s="155">
        <v>4.0180723354685899</v>
      </c>
    </row>
    <row r="64" spans="2:46" ht="12" customHeight="1" x14ac:dyDescent="0.3">
      <c r="B64" s="153" t="s">
        <v>44</v>
      </c>
      <c r="C64" s="154" t="s">
        <v>33</v>
      </c>
      <c r="D64" s="154" t="s">
        <v>45</v>
      </c>
      <c r="E64" s="154" t="s">
        <v>25</v>
      </c>
      <c r="F64" s="154" t="s">
        <v>25</v>
      </c>
      <c r="G64" s="154" t="s">
        <v>34</v>
      </c>
      <c r="H64" s="154" t="s">
        <v>78</v>
      </c>
      <c r="I64" s="154" t="s">
        <v>25</v>
      </c>
      <c r="J64" s="154">
        <v>877.58</v>
      </c>
      <c r="K64" s="154">
        <v>356.55</v>
      </c>
      <c r="L64" s="154">
        <v>6.2432837401779899</v>
      </c>
      <c r="M64" s="154">
        <v>0.90125486317899195</v>
      </c>
      <c r="N64" s="154">
        <v>8.6739145050817008</v>
      </c>
      <c r="O64" s="154">
        <v>0</v>
      </c>
      <c r="P64" s="154">
        <v>0</v>
      </c>
      <c r="Q64" s="154">
        <v>101.665464470366</v>
      </c>
      <c r="R64" s="154">
        <v>17.4106589890823</v>
      </c>
      <c r="S64" s="154">
        <v>0</v>
      </c>
      <c r="T64" s="154">
        <v>79.120532053426004</v>
      </c>
      <c r="U64" s="154">
        <v>16.0049336985299</v>
      </c>
      <c r="V64" s="154">
        <v>2.3007949603515998</v>
      </c>
      <c r="W64" s="154">
        <v>0</v>
      </c>
      <c r="X64" s="154">
        <v>0</v>
      </c>
      <c r="Y64" s="154">
        <v>0</v>
      </c>
      <c r="Z64" s="154">
        <v>0</v>
      </c>
      <c r="AA64" s="154">
        <v>515.31444311361497</v>
      </c>
      <c r="AB64" s="154">
        <v>0</v>
      </c>
      <c r="AC64" s="154">
        <v>98.552762145220896</v>
      </c>
      <c r="AD64" s="154">
        <v>0</v>
      </c>
      <c r="AE64" s="154">
        <v>28.647618420938802</v>
      </c>
      <c r="AF64" s="154">
        <v>0.49649425155932603</v>
      </c>
      <c r="AG64" s="154">
        <v>1.9776629435073501</v>
      </c>
      <c r="AH64" s="154">
        <v>0.274181844963653</v>
      </c>
      <c r="AI64" s="154">
        <v>12.7374240543454</v>
      </c>
      <c r="AJ64" s="154">
        <v>-17.824259521897599</v>
      </c>
      <c r="AK64" s="154">
        <v>2.5628168715628901</v>
      </c>
      <c r="AL64" s="154">
        <v>20.403663427448201</v>
      </c>
      <c r="AM64" s="154">
        <v>1.4727757708616001</v>
      </c>
      <c r="AN64" s="154">
        <v>420.49270385308699</v>
      </c>
      <c r="AO64" s="154">
        <v>7.6342559112208797</v>
      </c>
      <c r="AP64" s="154">
        <v>5.7524663123736604</v>
      </c>
      <c r="AQ64" s="154">
        <v>0</v>
      </c>
      <c r="AR64" s="154">
        <v>0</v>
      </c>
      <c r="AS64" s="154">
        <v>-100.698519014471</v>
      </c>
      <c r="AT64" s="155">
        <v>4.0180723354685899</v>
      </c>
    </row>
    <row r="65" spans="2:46" ht="12" customHeight="1" x14ac:dyDescent="0.3">
      <c r="B65" s="153" t="s">
        <v>44</v>
      </c>
      <c r="C65" s="154" t="s">
        <v>33</v>
      </c>
      <c r="D65" s="154" t="s">
        <v>45</v>
      </c>
      <c r="E65" s="154" t="s">
        <v>25</v>
      </c>
      <c r="F65" s="154" t="s">
        <v>25</v>
      </c>
      <c r="G65" s="154" t="s">
        <v>36</v>
      </c>
      <c r="H65" s="154" t="s">
        <v>78</v>
      </c>
      <c r="I65" s="154" t="s">
        <v>25</v>
      </c>
      <c r="J65" s="154">
        <v>586.47</v>
      </c>
      <c r="K65" s="154">
        <v>217.79</v>
      </c>
      <c r="L65" s="154">
        <v>6.2432837401779899</v>
      </c>
      <c r="M65" s="154">
        <v>0.90125486317899195</v>
      </c>
      <c r="N65" s="154">
        <v>6.0646808202485003</v>
      </c>
      <c r="O65" s="154">
        <v>0</v>
      </c>
      <c r="P65" s="154">
        <v>0</v>
      </c>
      <c r="Q65" s="154">
        <v>101.665464470366</v>
      </c>
      <c r="R65" s="154">
        <v>17.4106589890823</v>
      </c>
      <c r="S65" s="154">
        <v>0</v>
      </c>
      <c r="T65" s="154">
        <v>47.472362095136297</v>
      </c>
      <c r="U65" s="154">
        <v>9.6029602191179499</v>
      </c>
      <c r="V65" s="154">
        <v>1.3803615130982001</v>
      </c>
      <c r="W65" s="154">
        <v>0</v>
      </c>
      <c r="X65" s="154">
        <v>0</v>
      </c>
      <c r="Y65" s="154">
        <v>0</v>
      </c>
      <c r="Z65" s="154">
        <v>0</v>
      </c>
      <c r="AA65" s="154">
        <v>309.18866586816898</v>
      </c>
      <c r="AB65" s="154">
        <v>0</v>
      </c>
      <c r="AC65" s="154">
        <v>55.140349960455303</v>
      </c>
      <c r="AD65" s="154">
        <v>0</v>
      </c>
      <c r="AE65" s="154">
        <v>28.647618420938802</v>
      </c>
      <c r="AF65" s="154">
        <v>0.49649425155932603</v>
      </c>
      <c r="AG65" s="154">
        <v>1.9776629435073501</v>
      </c>
      <c r="AH65" s="154">
        <v>0.274181844963653</v>
      </c>
      <c r="AI65" s="154">
        <v>12.7374240543454</v>
      </c>
      <c r="AJ65" s="154">
        <v>-17.824259521897599</v>
      </c>
      <c r="AK65" s="154">
        <v>2.5628168715628901</v>
      </c>
      <c r="AL65" s="154">
        <v>20.403663427448201</v>
      </c>
      <c r="AM65" s="154">
        <v>1.4727757708616001</v>
      </c>
      <c r="AN65" s="154">
        <v>244.47250224016699</v>
      </c>
      <c r="AO65" s="154">
        <v>7.6342559112208797</v>
      </c>
      <c r="AP65" s="154">
        <v>5.7524663123736604</v>
      </c>
      <c r="AQ65" s="154">
        <v>0</v>
      </c>
      <c r="AR65" s="154">
        <v>0</v>
      </c>
      <c r="AS65" s="154">
        <v>-63.4411174015505</v>
      </c>
      <c r="AT65" s="155">
        <v>4.0180723354685899</v>
      </c>
    </row>
    <row r="66" spans="2:46" ht="12" customHeight="1" x14ac:dyDescent="0.3">
      <c r="B66" s="153" t="s">
        <v>44</v>
      </c>
      <c r="C66" s="154" t="s">
        <v>33</v>
      </c>
      <c r="D66" s="154" t="s">
        <v>45</v>
      </c>
      <c r="E66" s="154" t="s">
        <v>25</v>
      </c>
      <c r="F66" s="154" t="s">
        <v>25</v>
      </c>
      <c r="G66" s="154" t="s">
        <v>35</v>
      </c>
      <c r="H66" s="154" t="s">
        <v>78</v>
      </c>
      <c r="I66" s="154" t="s">
        <v>25</v>
      </c>
      <c r="J66" s="154">
        <v>295.37</v>
      </c>
      <c r="K66" s="154">
        <v>217.79</v>
      </c>
      <c r="L66" s="154">
        <v>6.2432837401779899</v>
      </c>
      <c r="M66" s="154">
        <v>0.90125486317899195</v>
      </c>
      <c r="N66" s="154">
        <v>3.45544713541529</v>
      </c>
      <c r="O66" s="154">
        <v>0</v>
      </c>
      <c r="P66" s="154">
        <v>0</v>
      </c>
      <c r="Q66" s="154">
        <v>101.665464470366</v>
      </c>
      <c r="R66" s="154">
        <v>17.4106589890823</v>
      </c>
      <c r="S66" s="154">
        <v>0</v>
      </c>
      <c r="T66" s="154">
        <v>15.824084979144899</v>
      </c>
      <c r="U66" s="154">
        <v>3.2009867397059799</v>
      </c>
      <c r="V66" s="154">
        <v>0.460120504366066</v>
      </c>
      <c r="W66" s="154">
        <v>0</v>
      </c>
      <c r="X66" s="154">
        <v>0</v>
      </c>
      <c r="Y66" s="154">
        <v>0</v>
      </c>
      <c r="Z66" s="154">
        <v>0</v>
      </c>
      <c r="AA66" s="154">
        <v>103.06288862272299</v>
      </c>
      <c r="AB66" s="154">
        <v>0</v>
      </c>
      <c r="AC66" s="154">
        <v>11.746652494870199</v>
      </c>
      <c r="AD66" s="154">
        <v>0</v>
      </c>
      <c r="AE66" s="154">
        <v>28.647618420938802</v>
      </c>
      <c r="AF66" s="154">
        <v>0.49649425155932603</v>
      </c>
      <c r="AG66" s="154">
        <v>1.9776629435073501</v>
      </c>
      <c r="AH66" s="154">
        <v>0.274181844963653</v>
      </c>
      <c r="AI66" s="154">
        <v>12.7374240543454</v>
      </c>
      <c r="AJ66" s="154">
        <v>-17.824259521897599</v>
      </c>
      <c r="AK66" s="154">
        <v>2.5628168715628901</v>
      </c>
      <c r="AL66" s="154">
        <v>20.403663427448201</v>
      </c>
      <c r="AM66" s="154">
        <v>1.4727757708616001</v>
      </c>
      <c r="AN66" s="154">
        <v>244.47250224016699</v>
      </c>
      <c r="AO66" s="154">
        <v>7.6342559112208797</v>
      </c>
      <c r="AP66" s="154">
        <v>5.7524663123736604</v>
      </c>
      <c r="AQ66" s="154">
        <v>0</v>
      </c>
      <c r="AR66" s="154">
        <v>0</v>
      </c>
      <c r="AS66" s="154">
        <v>-63.4411174015505</v>
      </c>
      <c r="AT66" s="155">
        <v>4.0180723354685899</v>
      </c>
    </row>
    <row r="67" spans="2:46" ht="12" customHeight="1" x14ac:dyDescent="0.3">
      <c r="B67" s="153" t="s">
        <v>44</v>
      </c>
      <c r="C67" s="154" t="s">
        <v>33</v>
      </c>
      <c r="D67" s="154" t="s">
        <v>45</v>
      </c>
      <c r="E67" s="154" t="s">
        <v>94</v>
      </c>
      <c r="F67" s="154" t="s">
        <v>25</v>
      </c>
      <c r="G67" s="154" t="s">
        <v>34</v>
      </c>
      <c r="H67" s="154" t="s">
        <v>78</v>
      </c>
      <c r="I67" s="154" t="s">
        <v>25</v>
      </c>
      <c r="J67" s="154">
        <v>858.91</v>
      </c>
      <c r="K67" s="154">
        <v>348.97</v>
      </c>
      <c r="L67" s="154">
        <v>6.1104479159188898</v>
      </c>
      <c r="M67" s="154">
        <v>0.88207922779220505</v>
      </c>
      <c r="N67" s="154">
        <v>8.4893631326331498</v>
      </c>
      <c r="O67" s="154">
        <v>0</v>
      </c>
      <c r="P67" s="154">
        <v>0</v>
      </c>
      <c r="Q67" s="154">
        <v>99.502369481634901</v>
      </c>
      <c r="R67" s="154">
        <v>17.040219436123099</v>
      </c>
      <c r="S67" s="154">
        <v>0</v>
      </c>
      <c r="T67" s="154">
        <v>77.437116477821206</v>
      </c>
      <c r="U67" s="154">
        <v>15.664403194305899</v>
      </c>
      <c r="V67" s="154">
        <v>2.2518418760887999</v>
      </c>
      <c r="W67" s="154">
        <v>0</v>
      </c>
      <c r="X67" s="154">
        <v>0</v>
      </c>
      <c r="Y67" s="154">
        <v>0</v>
      </c>
      <c r="Z67" s="154">
        <v>0</v>
      </c>
      <c r="AA67" s="154">
        <v>504.35030602609203</v>
      </c>
      <c r="AB67" s="154">
        <v>0</v>
      </c>
      <c r="AC67" s="154">
        <v>96.455894865535299</v>
      </c>
      <c r="AD67" s="154">
        <v>0</v>
      </c>
      <c r="AE67" s="154">
        <v>28.038094624748599</v>
      </c>
      <c r="AF67" s="154">
        <v>0.48593054407934</v>
      </c>
      <c r="AG67" s="154">
        <v>1.93558500853911</v>
      </c>
      <c r="AH67" s="154">
        <v>0.268348188687831</v>
      </c>
      <c r="AI67" s="154">
        <v>12.466415031912501</v>
      </c>
      <c r="AJ67" s="154">
        <v>-17.4450199576019</v>
      </c>
      <c r="AK67" s="154">
        <v>2.5082888530190002</v>
      </c>
      <c r="AL67" s="154">
        <v>19.9695429289918</v>
      </c>
      <c r="AM67" s="154">
        <v>1.44144011616241</v>
      </c>
      <c r="AN67" s="154">
        <v>411.54605057961697</v>
      </c>
      <c r="AO67" s="154">
        <v>7.4718249343864001</v>
      </c>
      <c r="AP67" s="154">
        <v>5.6300734121103897</v>
      </c>
      <c r="AQ67" s="154">
        <v>0</v>
      </c>
      <c r="AR67" s="154">
        <v>0</v>
      </c>
      <c r="AS67" s="154">
        <v>-98.555997333311694</v>
      </c>
      <c r="AT67" s="155">
        <v>3.9325814347139398</v>
      </c>
    </row>
    <row r="68" spans="2:46" ht="12" customHeight="1" x14ac:dyDescent="0.3">
      <c r="B68" s="153" t="s">
        <v>44</v>
      </c>
      <c r="C68" s="154" t="s">
        <v>33</v>
      </c>
      <c r="D68" s="154" t="s">
        <v>45</v>
      </c>
      <c r="E68" s="154" t="s">
        <v>94</v>
      </c>
      <c r="F68" s="154" t="s">
        <v>25</v>
      </c>
      <c r="G68" s="154" t="s">
        <v>36</v>
      </c>
      <c r="H68" s="154" t="s">
        <v>78</v>
      </c>
      <c r="I68" s="154" t="s">
        <v>25</v>
      </c>
      <c r="J68" s="154">
        <v>573.99</v>
      </c>
      <c r="K68" s="154">
        <v>213.15</v>
      </c>
      <c r="L68" s="154">
        <v>6.1104479159188898</v>
      </c>
      <c r="M68" s="154">
        <v>0.88207922779220505</v>
      </c>
      <c r="N68" s="154">
        <v>5.9356450581155498</v>
      </c>
      <c r="O68" s="154">
        <v>0</v>
      </c>
      <c r="P68" s="154">
        <v>0</v>
      </c>
      <c r="Q68" s="154">
        <v>99.502369481634901</v>
      </c>
      <c r="R68" s="154">
        <v>17.040219436123099</v>
      </c>
      <c r="S68" s="154">
        <v>0</v>
      </c>
      <c r="T68" s="154">
        <v>46.462311837793003</v>
      </c>
      <c r="U68" s="154">
        <v>9.3986419165835198</v>
      </c>
      <c r="V68" s="154">
        <v>1.3509921192024901</v>
      </c>
      <c r="W68" s="154">
        <v>0</v>
      </c>
      <c r="X68" s="154">
        <v>0</v>
      </c>
      <c r="Y68" s="154">
        <v>0</v>
      </c>
      <c r="Z68" s="154">
        <v>0</v>
      </c>
      <c r="AA68" s="154">
        <v>302.61018361565499</v>
      </c>
      <c r="AB68" s="154">
        <v>0</v>
      </c>
      <c r="AC68" s="154">
        <v>53.967151025126498</v>
      </c>
      <c r="AD68" s="154">
        <v>0</v>
      </c>
      <c r="AE68" s="154">
        <v>28.038094624748599</v>
      </c>
      <c r="AF68" s="154">
        <v>0.48593054407934</v>
      </c>
      <c r="AG68" s="154">
        <v>1.93558500853911</v>
      </c>
      <c r="AH68" s="154">
        <v>0.268348188687831</v>
      </c>
      <c r="AI68" s="154">
        <v>12.466415031912501</v>
      </c>
      <c r="AJ68" s="154">
        <v>-17.4450199576019</v>
      </c>
      <c r="AK68" s="154">
        <v>2.5082888530190002</v>
      </c>
      <c r="AL68" s="154">
        <v>19.9695429289918</v>
      </c>
      <c r="AM68" s="154">
        <v>1.44144011616241</v>
      </c>
      <c r="AN68" s="154">
        <v>239.270959639312</v>
      </c>
      <c r="AO68" s="154">
        <v>7.4718249343864001</v>
      </c>
      <c r="AP68" s="154">
        <v>5.6300734121103897</v>
      </c>
      <c r="AQ68" s="154">
        <v>0</v>
      </c>
      <c r="AR68" s="154">
        <v>0</v>
      </c>
      <c r="AS68" s="154">
        <v>-62.091306393006803</v>
      </c>
      <c r="AT68" s="155">
        <v>3.9325814347139398</v>
      </c>
    </row>
    <row r="69" spans="2:46" ht="12" customHeight="1" x14ac:dyDescent="0.3">
      <c r="B69" s="153" t="s">
        <v>44</v>
      </c>
      <c r="C69" s="154" t="s">
        <v>33</v>
      </c>
      <c r="D69" s="154" t="s">
        <v>45</v>
      </c>
      <c r="E69" s="154" t="s">
        <v>94</v>
      </c>
      <c r="F69" s="154" t="s">
        <v>25</v>
      </c>
      <c r="G69" s="154" t="s">
        <v>35</v>
      </c>
      <c r="H69" s="154" t="s">
        <v>78</v>
      </c>
      <c r="I69" s="154" t="s">
        <v>25</v>
      </c>
      <c r="J69" s="154">
        <v>289.08</v>
      </c>
      <c r="K69" s="154">
        <v>213.15</v>
      </c>
      <c r="L69" s="154">
        <v>6.1104479159188898</v>
      </c>
      <c r="M69" s="154">
        <v>0.88207922779220505</v>
      </c>
      <c r="N69" s="154">
        <v>3.3819269835979502</v>
      </c>
      <c r="O69" s="154">
        <v>0</v>
      </c>
      <c r="P69" s="154">
        <v>0</v>
      </c>
      <c r="Q69" s="154">
        <v>99.502369481634901</v>
      </c>
      <c r="R69" s="154">
        <v>17.040219436123099</v>
      </c>
      <c r="S69" s="154">
        <v>0</v>
      </c>
      <c r="T69" s="154">
        <v>15.4874023200141</v>
      </c>
      <c r="U69" s="154">
        <v>3.1328806388611699</v>
      </c>
      <c r="V69" s="154">
        <v>0.450330706400831</v>
      </c>
      <c r="W69" s="154">
        <v>0</v>
      </c>
      <c r="X69" s="154">
        <v>0</v>
      </c>
      <c r="Y69" s="154">
        <v>0</v>
      </c>
      <c r="Z69" s="154">
        <v>0</v>
      </c>
      <c r="AA69" s="154">
        <v>100.87006120521799</v>
      </c>
      <c r="AB69" s="154">
        <v>0</v>
      </c>
      <c r="AC69" s="154">
        <v>11.496723718383601</v>
      </c>
      <c r="AD69" s="154">
        <v>0</v>
      </c>
      <c r="AE69" s="154">
        <v>28.038094624748599</v>
      </c>
      <c r="AF69" s="154">
        <v>0.48593054407934</v>
      </c>
      <c r="AG69" s="154">
        <v>1.93558500853911</v>
      </c>
      <c r="AH69" s="154">
        <v>0.268348188687831</v>
      </c>
      <c r="AI69" s="154">
        <v>12.466415031912501</v>
      </c>
      <c r="AJ69" s="154">
        <v>-17.4450199576019</v>
      </c>
      <c r="AK69" s="154">
        <v>2.5082888530190002</v>
      </c>
      <c r="AL69" s="154">
        <v>19.9695429289918</v>
      </c>
      <c r="AM69" s="154">
        <v>1.44144011616241</v>
      </c>
      <c r="AN69" s="154">
        <v>239.270959639312</v>
      </c>
      <c r="AO69" s="154">
        <v>7.4718249343864001</v>
      </c>
      <c r="AP69" s="154">
        <v>5.6300734121103897</v>
      </c>
      <c r="AQ69" s="154">
        <v>0</v>
      </c>
      <c r="AR69" s="154">
        <v>0</v>
      </c>
      <c r="AS69" s="154">
        <v>-62.091306393006803</v>
      </c>
      <c r="AT69" s="155">
        <v>3.9325814347139398</v>
      </c>
    </row>
    <row r="70" spans="2:46" ht="12" customHeight="1" x14ac:dyDescent="0.3">
      <c r="B70" s="153" t="s">
        <v>44</v>
      </c>
      <c r="C70" s="154" t="s">
        <v>23</v>
      </c>
      <c r="D70" s="154" t="s">
        <v>45</v>
      </c>
      <c r="E70" s="154" t="s">
        <v>93</v>
      </c>
      <c r="F70" s="154" t="s">
        <v>25</v>
      </c>
      <c r="G70" s="154" t="s">
        <v>25</v>
      </c>
      <c r="H70" s="154" t="s">
        <v>78</v>
      </c>
      <c r="I70" s="154" t="s">
        <v>25</v>
      </c>
      <c r="J70" s="154">
        <v>384.58</v>
      </c>
      <c r="K70" s="154">
        <v>229.36</v>
      </c>
      <c r="L70" s="154">
        <v>6.2432837401779899</v>
      </c>
      <c r="M70" s="154">
        <v>0.90125486317899195</v>
      </c>
      <c r="N70" s="154">
        <v>4.3620451298323699</v>
      </c>
      <c r="O70" s="154">
        <v>0</v>
      </c>
      <c r="P70" s="154">
        <v>0</v>
      </c>
      <c r="Q70" s="154">
        <v>101.665464470366</v>
      </c>
      <c r="R70" s="154">
        <v>17.4106589890823</v>
      </c>
      <c r="S70" s="154">
        <v>0</v>
      </c>
      <c r="T70" s="154">
        <v>26.820501177822099</v>
      </c>
      <c r="U70" s="154">
        <v>5.4254049558210102</v>
      </c>
      <c r="V70" s="154">
        <v>0.779953326723407</v>
      </c>
      <c r="W70" s="154">
        <v>0</v>
      </c>
      <c r="X70" s="154">
        <v>0</v>
      </c>
      <c r="Y70" s="154">
        <v>0</v>
      </c>
      <c r="Z70" s="154">
        <v>0</v>
      </c>
      <c r="AA70" s="154">
        <v>174.68281020222</v>
      </c>
      <c r="AB70" s="154">
        <v>0</v>
      </c>
      <c r="AC70" s="154">
        <v>14.894865683806801</v>
      </c>
      <c r="AD70" s="154">
        <v>0</v>
      </c>
      <c r="AE70" s="154">
        <v>28.647618420938802</v>
      </c>
      <c r="AF70" s="154">
        <v>0.49649425155932603</v>
      </c>
      <c r="AG70" s="154">
        <v>1.9776629435073501</v>
      </c>
      <c r="AH70" s="154">
        <v>0.274181844963653</v>
      </c>
      <c r="AI70" s="154">
        <v>12.7374240543454</v>
      </c>
      <c r="AJ70" s="154">
        <v>-17.824259521897599</v>
      </c>
      <c r="AK70" s="154">
        <v>2.5628168715628901</v>
      </c>
      <c r="AL70" s="154">
        <v>20.403663427448201</v>
      </c>
      <c r="AM70" s="154">
        <v>1.4727757708616001</v>
      </c>
      <c r="AN70" s="154">
        <v>259.14085237457698</v>
      </c>
      <c r="AO70" s="154">
        <v>7.6342559112208797</v>
      </c>
      <c r="AP70" s="154">
        <v>5.7524663123736604</v>
      </c>
      <c r="AQ70" s="154">
        <v>0</v>
      </c>
      <c r="AR70" s="154">
        <v>0</v>
      </c>
      <c r="AS70" s="154">
        <v>-66.538067535960494</v>
      </c>
      <c r="AT70" s="155">
        <v>4.0180723354685899</v>
      </c>
    </row>
    <row r="71" spans="2:46" ht="12" customHeight="1" x14ac:dyDescent="0.3">
      <c r="B71" s="153" t="s">
        <v>44</v>
      </c>
      <c r="C71" s="154" t="s">
        <v>23</v>
      </c>
      <c r="D71" s="154" t="s">
        <v>45</v>
      </c>
      <c r="E71" s="154" t="s">
        <v>25</v>
      </c>
      <c r="F71" s="154" t="s">
        <v>25</v>
      </c>
      <c r="G71" s="154" t="s">
        <v>25</v>
      </c>
      <c r="H71" s="154" t="s">
        <v>78</v>
      </c>
      <c r="I71" s="154" t="s">
        <v>25</v>
      </c>
      <c r="J71" s="154">
        <v>384.58</v>
      </c>
      <c r="K71" s="154">
        <v>229.36</v>
      </c>
      <c r="L71" s="154">
        <v>6.2432837401779899</v>
      </c>
      <c r="M71" s="154">
        <v>0.90125486317899195</v>
      </c>
      <c r="N71" s="154">
        <v>4.3620451298323699</v>
      </c>
      <c r="O71" s="154">
        <v>0</v>
      </c>
      <c r="P71" s="154">
        <v>0</v>
      </c>
      <c r="Q71" s="154">
        <v>101.665464470366</v>
      </c>
      <c r="R71" s="154">
        <v>17.4106589890823</v>
      </c>
      <c r="S71" s="154">
        <v>0</v>
      </c>
      <c r="T71" s="154">
        <v>26.820501177822099</v>
      </c>
      <c r="U71" s="154">
        <v>5.4254049558210102</v>
      </c>
      <c r="V71" s="154">
        <v>0.779953326723407</v>
      </c>
      <c r="W71" s="154">
        <v>0</v>
      </c>
      <c r="X71" s="154">
        <v>0</v>
      </c>
      <c r="Y71" s="154">
        <v>0</v>
      </c>
      <c r="Z71" s="154">
        <v>0</v>
      </c>
      <c r="AA71" s="154">
        <v>174.68281020222</v>
      </c>
      <c r="AB71" s="154">
        <v>0</v>
      </c>
      <c r="AC71" s="154">
        <v>14.894865683806801</v>
      </c>
      <c r="AD71" s="154">
        <v>0</v>
      </c>
      <c r="AE71" s="154">
        <v>28.647618420938802</v>
      </c>
      <c r="AF71" s="154">
        <v>0.49649425155932603</v>
      </c>
      <c r="AG71" s="154">
        <v>1.9776629435073501</v>
      </c>
      <c r="AH71" s="154">
        <v>0.274181844963653</v>
      </c>
      <c r="AI71" s="154">
        <v>12.7374240543454</v>
      </c>
      <c r="AJ71" s="154">
        <v>-17.824259521897599</v>
      </c>
      <c r="AK71" s="154">
        <v>2.5628168715628901</v>
      </c>
      <c r="AL71" s="154">
        <v>20.403663427448201</v>
      </c>
      <c r="AM71" s="154">
        <v>1.4727757708616001</v>
      </c>
      <c r="AN71" s="154">
        <v>259.14085237457698</v>
      </c>
      <c r="AO71" s="154">
        <v>7.6342559112208797</v>
      </c>
      <c r="AP71" s="154">
        <v>5.7524663123736604</v>
      </c>
      <c r="AQ71" s="154">
        <v>0</v>
      </c>
      <c r="AR71" s="154">
        <v>0</v>
      </c>
      <c r="AS71" s="154">
        <v>-66.538067535960494</v>
      </c>
      <c r="AT71" s="155">
        <v>4.0180723354685899</v>
      </c>
    </row>
    <row r="72" spans="2:46" ht="12" customHeight="1" x14ac:dyDescent="0.3">
      <c r="B72" s="153" t="s">
        <v>44</v>
      </c>
      <c r="C72" s="154" t="s">
        <v>23</v>
      </c>
      <c r="D72" s="154" t="s">
        <v>45</v>
      </c>
      <c r="E72" s="154" t="s">
        <v>94</v>
      </c>
      <c r="F72" s="154" t="s">
        <v>25</v>
      </c>
      <c r="G72" s="154" t="s">
        <v>25</v>
      </c>
      <c r="H72" s="154" t="s">
        <v>78</v>
      </c>
      <c r="I72" s="154" t="s">
        <v>25</v>
      </c>
      <c r="J72" s="154">
        <v>376.4</v>
      </c>
      <c r="K72" s="154">
        <v>224.48</v>
      </c>
      <c r="L72" s="154">
        <v>6.1104479159188898</v>
      </c>
      <c r="M72" s="154">
        <v>0.88207922779220505</v>
      </c>
      <c r="N72" s="154">
        <v>4.2692356589848703</v>
      </c>
      <c r="O72" s="154">
        <v>0</v>
      </c>
      <c r="P72" s="154">
        <v>0</v>
      </c>
      <c r="Q72" s="154">
        <v>99.502369481634901</v>
      </c>
      <c r="R72" s="154">
        <v>17.040219436123099</v>
      </c>
      <c r="S72" s="154">
        <v>0</v>
      </c>
      <c r="T72" s="154">
        <v>26.249852216591801</v>
      </c>
      <c r="U72" s="154">
        <v>5.3099708078248202</v>
      </c>
      <c r="V72" s="154">
        <v>0.76335857509099403</v>
      </c>
      <c r="W72" s="154">
        <v>0</v>
      </c>
      <c r="X72" s="154">
        <v>0</v>
      </c>
      <c r="Y72" s="154">
        <v>0</v>
      </c>
      <c r="Z72" s="154">
        <v>0</v>
      </c>
      <c r="AA72" s="154">
        <v>170.96615466600201</v>
      </c>
      <c r="AB72" s="154">
        <v>0</v>
      </c>
      <c r="AC72" s="154">
        <v>14.577953647981101</v>
      </c>
      <c r="AD72" s="154">
        <v>0</v>
      </c>
      <c r="AE72" s="154">
        <v>28.038094624748599</v>
      </c>
      <c r="AF72" s="154">
        <v>0.48593054407934</v>
      </c>
      <c r="AG72" s="154">
        <v>1.93558500853911</v>
      </c>
      <c r="AH72" s="154">
        <v>0.268348188687831</v>
      </c>
      <c r="AI72" s="154">
        <v>12.466415031912501</v>
      </c>
      <c r="AJ72" s="154">
        <v>-17.4450199576019</v>
      </c>
      <c r="AK72" s="154">
        <v>2.5082888530190002</v>
      </c>
      <c r="AL72" s="154">
        <v>19.9695429289918</v>
      </c>
      <c r="AM72" s="154">
        <v>1.44144011616241</v>
      </c>
      <c r="AN72" s="154">
        <v>253.62721721767099</v>
      </c>
      <c r="AO72" s="154">
        <v>7.4718249343864001</v>
      </c>
      <c r="AP72" s="154">
        <v>5.6300734121103897</v>
      </c>
      <c r="AQ72" s="154">
        <v>0</v>
      </c>
      <c r="AR72" s="154">
        <v>0</v>
      </c>
      <c r="AS72" s="154">
        <v>-65.122363971365601</v>
      </c>
      <c r="AT72" s="155">
        <v>3.9325814347139398</v>
      </c>
    </row>
    <row r="73" spans="2:46" ht="12" customHeight="1" x14ac:dyDescent="0.3">
      <c r="B73" s="153" t="s">
        <v>44</v>
      </c>
      <c r="C73" s="154" t="s">
        <v>92</v>
      </c>
      <c r="D73" s="154" t="s">
        <v>45</v>
      </c>
      <c r="E73" s="154" t="s">
        <v>93</v>
      </c>
      <c r="F73" s="154" t="s">
        <v>25</v>
      </c>
      <c r="G73" s="154" t="s">
        <v>25</v>
      </c>
      <c r="H73" s="154" t="s">
        <v>78</v>
      </c>
      <c r="I73" s="154" t="s">
        <v>25</v>
      </c>
      <c r="J73" s="154">
        <v>384.58</v>
      </c>
      <c r="K73" s="154">
        <v>229.36</v>
      </c>
      <c r="L73" s="154">
        <v>6.2432837401779899</v>
      </c>
      <c r="M73" s="154">
        <v>0.90125486317899195</v>
      </c>
      <c r="N73" s="154">
        <v>4.3620451298323699</v>
      </c>
      <c r="O73" s="154">
        <v>0</v>
      </c>
      <c r="P73" s="154">
        <v>0</v>
      </c>
      <c r="Q73" s="154">
        <v>101.665464470366</v>
      </c>
      <c r="R73" s="154">
        <v>17.4106589890823</v>
      </c>
      <c r="S73" s="154">
        <v>0</v>
      </c>
      <c r="T73" s="154">
        <v>26.820501177822099</v>
      </c>
      <c r="U73" s="154">
        <v>5.4254049558210102</v>
      </c>
      <c r="V73" s="154">
        <v>0.779953326723407</v>
      </c>
      <c r="W73" s="154">
        <v>0</v>
      </c>
      <c r="X73" s="154">
        <v>0</v>
      </c>
      <c r="Y73" s="154">
        <v>0</v>
      </c>
      <c r="Z73" s="154">
        <v>0</v>
      </c>
      <c r="AA73" s="154">
        <v>174.68281020222</v>
      </c>
      <c r="AB73" s="154">
        <v>0</v>
      </c>
      <c r="AC73" s="154">
        <v>14.894865683806801</v>
      </c>
      <c r="AD73" s="154">
        <v>0</v>
      </c>
      <c r="AE73" s="154">
        <v>28.647618420938802</v>
      </c>
      <c r="AF73" s="154">
        <v>0.49649425155932603</v>
      </c>
      <c r="AG73" s="154">
        <v>1.9776629435073501</v>
      </c>
      <c r="AH73" s="154">
        <v>0.274181844963653</v>
      </c>
      <c r="AI73" s="154">
        <v>12.7374240543454</v>
      </c>
      <c r="AJ73" s="154">
        <v>-17.824259521897599</v>
      </c>
      <c r="AK73" s="154">
        <v>2.5628168715628901</v>
      </c>
      <c r="AL73" s="154">
        <v>20.403663427448201</v>
      </c>
      <c r="AM73" s="154">
        <v>1.4727757708616001</v>
      </c>
      <c r="AN73" s="154">
        <v>259.14085237457698</v>
      </c>
      <c r="AO73" s="154">
        <v>7.6342559112208797</v>
      </c>
      <c r="AP73" s="154">
        <v>5.7524663123736604</v>
      </c>
      <c r="AQ73" s="154">
        <v>0</v>
      </c>
      <c r="AR73" s="154">
        <v>0</v>
      </c>
      <c r="AS73" s="154">
        <v>-66.538067535960494</v>
      </c>
      <c r="AT73" s="155">
        <v>4.0180723354685899</v>
      </c>
    </row>
    <row r="74" spans="2:46" ht="12" customHeight="1" x14ac:dyDescent="0.3">
      <c r="B74" s="153" t="s">
        <v>44</v>
      </c>
      <c r="C74" s="154" t="s">
        <v>92</v>
      </c>
      <c r="D74" s="154" t="s">
        <v>45</v>
      </c>
      <c r="E74" s="154" t="s">
        <v>25</v>
      </c>
      <c r="F74" s="154" t="s">
        <v>25</v>
      </c>
      <c r="G74" s="154" t="s">
        <v>25</v>
      </c>
      <c r="H74" s="154" t="s">
        <v>78</v>
      </c>
      <c r="I74" s="154" t="s">
        <v>25</v>
      </c>
      <c r="J74" s="154">
        <v>384.58</v>
      </c>
      <c r="K74" s="154">
        <v>229.36</v>
      </c>
      <c r="L74" s="154">
        <v>6.2432837401779899</v>
      </c>
      <c r="M74" s="154">
        <v>0.90125486317899195</v>
      </c>
      <c r="N74" s="154">
        <v>4.3620451298323699</v>
      </c>
      <c r="O74" s="154">
        <v>0</v>
      </c>
      <c r="P74" s="154">
        <v>0</v>
      </c>
      <c r="Q74" s="154">
        <v>101.665464470366</v>
      </c>
      <c r="R74" s="154">
        <v>17.4106589890823</v>
      </c>
      <c r="S74" s="154">
        <v>0</v>
      </c>
      <c r="T74" s="154">
        <v>26.820501177822099</v>
      </c>
      <c r="U74" s="154">
        <v>5.4254049558210102</v>
      </c>
      <c r="V74" s="154">
        <v>0.779953326723407</v>
      </c>
      <c r="W74" s="154">
        <v>0</v>
      </c>
      <c r="X74" s="154">
        <v>0</v>
      </c>
      <c r="Y74" s="154">
        <v>0</v>
      </c>
      <c r="Z74" s="154">
        <v>0</v>
      </c>
      <c r="AA74" s="154">
        <v>174.68281020222</v>
      </c>
      <c r="AB74" s="154">
        <v>0</v>
      </c>
      <c r="AC74" s="154">
        <v>14.894865683806801</v>
      </c>
      <c r="AD74" s="154">
        <v>0</v>
      </c>
      <c r="AE74" s="154">
        <v>28.647618420938802</v>
      </c>
      <c r="AF74" s="154">
        <v>0.49649425155932603</v>
      </c>
      <c r="AG74" s="154">
        <v>1.9776629435073501</v>
      </c>
      <c r="AH74" s="154">
        <v>0.274181844963653</v>
      </c>
      <c r="AI74" s="154">
        <v>12.7374240543454</v>
      </c>
      <c r="AJ74" s="154">
        <v>-17.824259521897599</v>
      </c>
      <c r="AK74" s="154">
        <v>2.5628168715628901</v>
      </c>
      <c r="AL74" s="154">
        <v>20.403663427448201</v>
      </c>
      <c r="AM74" s="154">
        <v>1.4727757708616001</v>
      </c>
      <c r="AN74" s="154">
        <v>259.14085237457698</v>
      </c>
      <c r="AO74" s="154">
        <v>7.6342559112208797</v>
      </c>
      <c r="AP74" s="154">
        <v>5.7524663123736604</v>
      </c>
      <c r="AQ74" s="154">
        <v>0</v>
      </c>
      <c r="AR74" s="154">
        <v>0</v>
      </c>
      <c r="AS74" s="154">
        <v>-66.538067535960494</v>
      </c>
      <c r="AT74" s="155">
        <v>4.0180723354685899</v>
      </c>
    </row>
    <row r="75" spans="2:46" ht="12" customHeight="1" x14ac:dyDescent="0.3">
      <c r="B75" s="153" t="s">
        <v>44</v>
      </c>
      <c r="C75" s="154" t="s">
        <v>92</v>
      </c>
      <c r="D75" s="154" t="s">
        <v>45</v>
      </c>
      <c r="E75" s="154" t="s">
        <v>94</v>
      </c>
      <c r="F75" s="154" t="s">
        <v>25</v>
      </c>
      <c r="G75" s="154" t="s">
        <v>25</v>
      </c>
      <c r="H75" s="154" t="s">
        <v>78</v>
      </c>
      <c r="I75" s="154" t="s">
        <v>25</v>
      </c>
      <c r="J75" s="154">
        <v>376.4</v>
      </c>
      <c r="K75" s="154">
        <v>224.48</v>
      </c>
      <c r="L75" s="154">
        <v>6.1104479159188898</v>
      </c>
      <c r="M75" s="154">
        <v>0.88207922779220505</v>
      </c>
      <c r="N75" s="154">
        <v>4.2692356589848703</v>
      </c>
      <c r="O75" s="154">
        <v>0</v>
      </c>
      <c r="P75" s="154">
        <v>0</v>
      </c>
      <c r="Q75" s="154">
        <v>99.502369481634901</v>
      </c>
      <c r="R75" s="154">
        <v>17.040219436123099</v>
      </c>
      <c r="S75" s="154">
        <v>0</v>
      </c>
      <c r="T75" s="154">
        <v>26.249852216591801</v>
      </c>
      <c r="U75" s="154">
        <v>5.3099708078248202</v>
      </c>
      <c r="V75" s="154">
        <v>0.76335857509099403</v>
      </c>
      <c r="W75" s="154">
        <v>0</v>
      </c>
      <c r="X75" s="154">
        <v>0</v>
      </c>
      <c r="Y75" s="154">
        <v>0</v>
      </c>
      <c r="Z75" s="154">
        <v>0</v>
      </c>
      <c r="AA75" s="154">
        <v>170.96615466600201</v>
      </c>
      <c r="AB75" s="154">
        <v>0</v>
      </c>
      <c r="AC75" s="154">
        <v>14.577953647981101</v>
      </c>
      <c r="AD75" s="154">
        <v>0</v>
      </c>
      <c r="AE75" s="154">
        <v>28.038094624748599</v>
      </c>
      <c r="AF75" s="154">
        <v>0.48593054407934</v>
      </c>
      <c r="AG75" s="154">
        <v>1.93558500853911</v>
      </c>
      <c r="AH75" s="154">
        <v>0.268348188687831</v>
      </c>
      <c r="AI75" s="154">
        <v>12.466415031912501</v>
      </c>
      <c r="AJ75" s="154">
        <v>-17.4450199576019</v>
      </c>
      <c r="AK75" s="154">
        <v>2.5082888530190002</v>
      </c>
      <c r="AL75" s="154">
        <v>19.9695429289918</v>
      </c>
      <c r="AM75" s="154">
        <v>1.44144011616241</v>
      </c>
      <c r="AN75" s="154">
        <v>253.62721721767099</v>
      </c>
      <c r="AO75" s="154">
        <v>7.4718249343864001</v>
      </c>
      <c r="AP75" s="154">
        <v>5.6300734121103897</v>
      </c>
      <c r="AQ75" s="154">
        <v>0</v>
      </c>
      <c r="AR75" s="154">
        <v>0</v>
      </c>
      <c r="AS75" s="154">
        <v>-65.122363971365601</v>
      </c>
      <c r="AT75" s="155">
        <v>3.9325814347139398</v>
      </c>
    </row>
    <row r="76" spans="2:46" ht="12" customHeight="1" x14ac:dyDescent="0.3">
      <c r="B76" s="153" t="s">
        <v>37</v>
      </c>
      <c r="C76" s="154" t="s">
        <v>33</v>
      </c>
      <c r="D76" s="154" t="s">
        <v>25</v>
      </c>
      <c r="E76" s="154" t="s">
        <v>25</v>
      </c>
      <c r="F76" s="154" t="s">
        <v>25</v>
      </c>
      <c r="G76" s="154" t="s">
        <v>34</v>
      </c>
      <c r="H76" s="154" t="s">
        <v>78</v>
      </c>
      <c r="I76" s="154" t="s">
        <v>25</v>
      </c>
      <c r="J76" s="154">
        <v>921.1</v>
      </c>
      <c r="K76" s="154">
        <v>379.31</v>
      </c>
      <c r="L76" s="154">
        <v>6.6417912129553098</v>
      </c>
      <c r="M76" s="154">
        <v>0.958781769339353</v>
      </c>
      <c r="N76" s="154">
        <v>10.050893767443799</v>
      </c>
      <c r="O76" s="154">
        <v>0</v>
      </c>
      <c r="P76" s="154">
        <v>0</v>
      </c>
      <c r="Q76" s="154">
        <v>108.15474943656</v>
      </c>
      <c r="R76" s="154">
        <v>18.521977647959901</v>
      </c>
      <c r="S76" s="154">
        <v>0</v>
      </c>
      <c r="T76" s="154">
        <v>94.157192600547504</v>
      </c>
      <c r="U76" s="154">
        <v>19.046626673880802</v>
      </c>
      <c r="V76" s="154">
        <v>2.7379497697001001</v>
      </c>
      <c r="W76" s="154">
        <v>0</v>
      </c>
      <c r="X76" s="154">
        <v>0</v>
      </c>
      <c r="Y76" s="154">
        <v>0</v>
      </c>
      <c r="Z76" s="154">
        <v>0</v>
      </c>
      <c r="AA76" s="154">
        <v>613.24839257944598</v>
      </c>
      <c r="AB76" s="154">
        <v>0</v>
      </c>
      <c r="AC76" s="154">
        <v>14.181689796456</v>
      </c>
      <c r="AD76" s="154">
        <v>0</v>
      </c>
      <c r="AE76" s="154">
        <v>30.4761898095094</v>
      </c>
      <c r="AF76" s="154">
        <v>0.528185373999283</v>
      </c>
      <c r="AG76" s="154">
        <v>2.1038967484120801</v>
      </c>
      <c r="AH76" s="154">
        <v>0.29168281379112099</v>
      </c>
      <c r="AI76" s="154">
        <v>13.5504511216441</v>
      </c>
      <c r="AJ76" s="154">
        <v>-18.9619782147847</v>
      </c>
      <c r="AK76" s="154">
        <v>2.7264009271945699</v>
      </c>
      <c r="AL76" s="154">
        <v>21.7060249228172</v>
      </c>
      <c r="AM76" s="154">
        <v>1.5667827349591401</v>
      </c>
      <c r="AN76" s="154">
        <v>447.332663673497</v>
      </c>
      <c r="AO76" s="154">
        <v>8.1215488417243407</v>
      </c>
      <c r="AP76" s="154">
        <v>6.1196450131634599</v>
      </c>
      <c r="AQ76" s="154">
        <v>0</v>
      </c>
      <c r="AR76" s="154">
        <v>0</v>
      </c>
      <c r="AS76" s="154">
        <v>-107.126084057947</v>
      </c>
      <c r="AT76" s="155">
        <v>4.2745450377325396</v>
      </c>
    </row>
    <row r="77" spans="2:46" ht="12" customHeight="1" x14ac:dyDescent="0.3">
      <c r="B77" s="153" t="s">
        <v>37</v>
      </c>
      <c r="C77" s="154" t="s">
        <v>33</v>
      </c>
      <c r="D77" s="154" t="s">
        <v>25</v>
      </c>
      <c r="E77" s="154" t="s">
        <v>25</v>
      </c>
      <c r="F77" s="154" t="s">
        <v>25</v>
      </c>
      <c r="G77" s="154" t="s">
        <v>36</v>
      </c>
      <c r="H77" s="154" t="s">
        <v>78</v>
      </c>
      <c r="I77" s="154" t="s">
        <v>25</v>
      </c>
      <c r="J77" s="154">
        <v>616.41999999999996</v>
      </c>
      <c r="K77" s="154">
        <v>231.69</v>
      </c>
      <c r="L77" s="154">
        <v>6.6417912129553098</v>
      </c>
      <c r="M77" s="154">
        <v>0.958781769339353</v>
      </c>
      <c r="N77" s="154">
        <v>6.94578218730563</v>
      </c>
      <c r="O77" s="154">
        <v>0</v>
      </c>
      <c r="P77" s="154">
        <v>0</v>
      </c>
      <c r="Q77" s="154">
        <v>108.15474943656</v>
      </c>
      <c r="R77" s="154">
        <v>18.521977647959901</v>
      </c>
      <c r="S77" s="154">
        <v>0</v>
      </c>
      <c r="T77" s="154">
        <v>56.494338359839503</v>
      </c>
      <c r="U77" s="154">
        <v>11.4279295313835</v>
      </c>
      <c r="V77" s="154">
        <v>1.6426879730876001</v>
      </c>
      <c r="W77" s="154">
        <v>0</v>
      </c>
      <c r="X77" s="154">
        <v>0</v>
      </c>
      <c r="Y77" s="154">
        <v>0</v>
      </c>
      <c r="Z77" s="154">
        <v>0</v>
      </c>
      <c r="AA77" s="154">
        <v>367.94901143150202</v>
      </c>
      <c r="AB77" s="154">
        <v>0</v>
      </c>
      <c r="AC77" s="154">
        <v>4.2829957043551303</v>
      </c>
      <c r="AD77" s="154">
        <v>0</v>
      </c>
      <c r="AE77" s="154">
        <v>30.4761898095094</v>
      </c>
      <c r="AF77" s="154">
        <v>0.528185373999283</v>
      </c>
      <c r="AG77" s="154">
        <v>2.1038967484120801</v>
      </c>
      <c r="AH77" s="154">
        <v>0.29168281379112099</v>
      </c>
      <c r="AI77" s="154">
        <v>13.5504511216441</v>
      </c>
      <c r="AJ77" s="154">
        <v>-18.9619782147847</v>
      </c>
      <c r="AK77" s="154">
        <v>2.7264009271945699</v>
      </c>
      <c r="AL77" s="154">
        <v>21.7060249228172</v>
      </c>
      <c r="AM77" s="154">
        <v>1.5667827349591401</v>
      </c>
      <c r="AN77" s="154">
        <v>260.07713004273103</v>
      </c>
      <c r="AO77" s="154">
        <v>8.1215488417243407</v>
      </c>
      <c r="AP77" s="154">
        <v>6.1196450131634599</v>
      </c>
      <c r="AQ77" s="154">
        <v>0</v>
      </c>
      <c r="AR77" s="154">
        <v>0</v>
      </c>
      <c r="AS77" s="154">
        <v>-67.490550427181304</v>
      </c>
      <c r="AT77" s="155">
        <v>4.2745450377325396</v>
      </c>
    </row>
    <row r="78" spans="2:46" ht="12" customHeight="1" x14ac:dyDescent="0.3">
      <c r="B78" s="153" t="s">
        <v>37</v>
      </c>
      <c r="C78" s="154" t="s">
        <v>33</v>
      </c>
      <c r="D78" s="154" t="s">
        <v>25</v>
      </c>
      <c r="E78" s="154" t="s">
        <v>25</v>
      </c>
      <c r="F78" s="154" t="s">
        <v>25</v>
      </c>
      <c r="G78" s="154" t="s">
        <v>35</v>
      </c>
      <c r="H78" s="154" t="s">
        <v>78</v>
      </c>
      <c r="I78" s="154" t="s">
        <v>25</v>
      </c>
      <c r="J78" s="154">
        <v>311.73</v>
      </c>
      <c r="K78" s="154">
        <v>231.69</v>
      </c>
      <c r="L78" s="154">
        <v>6.6417912129553098</v>
      </c>
      <c r="M78" s="154">
        <v>0.958781769339353</v>
      </c>
      <c r="N78" s="154">
        <v>3.8406731230464</v>
      </c>
      <c r="O78" s="154">
        <v>0</v>
      </c>
      <c r="P78" s="154">
        <v>0</v>
      </c>
      <c r="Q78" s="154">
        <v>108.15474943656</v>
      </c>
      <c r="R78" s="154">
        <v>18.521977647959901</v>
      </c>
      <c r="S78" s="154">
        <v>0</v>
      </c>
      <c r="T78" s="154">
        <v>18.831484119131499</v>
      </c>
      <c r="U78" s="154">
        <v>3.8093098437945101</v>
      </c>
      <c r="V78" s="154">
        <v>0.547630898306249</v>
      </c>
      <c r="W78" s="154">
        <v>0</v>
      </c>
      <c r="X78" s="154">
        <v>0</v>
      </c>
      <c r="Y78" s="154">
        <v>0</v>
      </c>
      <c r="Z78" s="154">
        <v>0</v>
      </c>
      <c r="AA78" s="154">
        <v>122.64963028355901</v>
      </c>
      <c r="AB78" s="154">
        <v>0</v>
      </c>
      <c r="AC78" s="154">
        <v>-5.6259830803638202</v>
      </c>
      <c r="AD78" s="154">
        <v>0</v>
      </c>
      <c r="AE78" s="154">
        <v>30.4761898095094</v>
      </c>
      <c r="AF78" s="154">
        <v>0.528185373999283</v>
      </c>
      <c r="AG78" s="154">
        <v>2.1038967484120801</v>
      </c>
      <c r="AH78" s="154">
        <v>0.29168281379112099</v>
      </c>
      <c r="AI78" s="154">
        <v>13.5504511216441</v>
      </c>
      <c r="AJ78" s="154">
        <v>-18.9619782147847</v>
      </c>
      <c r="AK78" s="154">
        <v>2.7264009271945699</v>
      </c>
      <c r="AL78" s="154">
        <v>21.7060249228172</v>
      </c>
      <c r="AM78" s="154">
        <v>1.5667827349591401</v>
      </c>
      <c r="AN78" s="154">
        <v>260.07713004273103</v>
      </c>
      <c r="AO78" s="154">
        <v>8.1215488417243407</v>
      </c>
      <c r="AP78" s="154">
        <v>6.1196450131634599</v>
      </c>
      <c r="AQ78" s="154">
        <v>0</v>
      </c>
      <c r="AR78" s="154">
        <v>0</v>
      </c>
      <c r="AS78" s="154">
        <v>-67.490550427181304</v>
      </c>
      <c r="AT78" s="155">
        <v>4.2745450377325396</v>
      </c>
    </row>
    <row r="79" spans="2:46" ht="12" customHeight="1" x14ac:dyDescent="0.3">
      <c r="B79" s="153" t="s">
        <v>37</v>
      </c>
      <c r="C79" s="154" t="s">
        <v>23</v>
      </c>
      <c r="D79" s="154" t="s">
        <v>25</v>
      </c>
      <c r="E79" s="154" t="s">
        <v>25</v>
      </c>
      <c r="F79" s="154" t="s">
        <v>25</v>
      </c>
      <c r="G79" s="154" t="s">
        <v>25</v>
      </c>
      <c r="H79" s="154" t="s">
        <v>78</v>
      </c>
      <c r="I79" s="154" t="s">
        <v>25</v>
      </c>
      <c r="J79" s="154">
        <v>409.13</v>
      </c>
      <c r="K79" s="154">
        <v>244</v>
      </c>
      <c r="L79" s="154">
        <v>6.6417912129553098</v>
      </c>
      <c r="M79" s="154">
        <v>0.958781769339353</v>
      </c>
      <c r="N79" s="154">
        <v>4.6404735423748598</v>
      </c>
      <c r="O79" s="154">
        <v>0</v>
      </c>
      <c r="P79" s="154">
        <v>0</v>
      </c>
      <c r="Q79" s="154">
        <v>108.15474943656</v>
      </c>
      <c r="R79" s="154">
        <v>18.521977647959901</v>
      </c>
      <c r="S79" s="154">
        <v>0</v>
      </c>
      <c r="T79" s="154">
        <v>28.532448061512898</v>
      </c>
      <c r="U79" s="154">
        <v>5.7717073998095803</v>
      </c>
      <c r="V79" s="154">
        <v>0.82973758162064504</v>
      </c>
      <c r="W79" s="154">
        <v>0</v>
      </c>
      <c r="X79" s="154">
        <v>0</v>
      </c>
      <c r="Y79" s="154">
        <v>0</v>
      </c>
      <c r="Z79" s="154">
        <v>0</v>
      </c>
      <c r="AA79" s="154">
        <v>185.83277681087199</v>
      </c>
      <c r="AB79" s="154">
        <v>0</v>
      </c>
      <c r="AC79" s="154">
        <v>15.845601791283899</v>
      </c>
      <c r="AD79" s="154">
        <v>0</v>
      </c>
      <c r="AE79" s="154">
        <v>30.4761898095094</v>
      </c>
      <c r="AF79" s="154">
        <v>0.528185373999283</v>
      </c>
      <c r="AG79" s="154">
        <v>2.1038967484120801</v>
      </c>
      <c r="AH79" s="154">
        <v>0.29168281379112099</v>
      </c>
      <c r="AI79" s="154">
        <v>13.5504511216441</v>
      </c>
      <c r="AJ79" s="154">
        <v>-18.9619782147847</v>
      </c>
      <c r="AK79" s="154">
        <v>2.7264009271945699</v>
      </c>
      <c r="AL79" s="154">
        <v>21.7060249228172</v>
      </c>
      <c r="AM79" s="154">
        <v>1.5667827349591401</v>
      </c>
      <c r="AN79" s="154">
        <v>275.68175784529501</v>
      </c>
      <c r="AO79" s="154">
        <v>8.1215488417243407</v>
      </c>
      <c r="AP79" s="154">
        <v>6.1196450131634599</v>
      </c>
      <c r="AQ79" s="154">
        <v>0</v>
      </c>
      <c r="AR79" s="154">
        <v>0</v>
      </c>
      <c r="AS79" s="154">
        <v>-70.785178229745199</v>
      </c>
      <c r="AT79" s="155">
        <v>4.2745450377325396</v>
      </c>
    </row>
    <row r="80" spans="2:46" ht="12" customHeight="1" x14ac:dyDescent="0.3">
      <c r="B80" s="153" t="s">
        <v>37</v>
      </c>
      <c r="C80" s="154" t="s">
        <v>92</v>
      </c>
      <c r="D80" s="154" t="s">
        <v>25</v>
      </c>
      <c r="E80" s="154" t="s">
        <v>25</v>
      </c>
      <c r="F80" s="154" t="s">
        <v>25</v>
      </c>
      <c r="G80" s="154" t="s">
        <v>25</v>
      </c>
      <c r="H80" s="154" t="s">
        <v>78</v>
      </c>
      <c r="I80" s="154" t="s">
        <v>25</v>
      </c>
      <c r="J80" s="154">
        <v>409.13</v>
      </c>
      <c r="K80" s="154">
        <v>244</v>
      </c>
      <c r="L80" s="154">
        <v>6.6417912129553098</v>
      </c>
      <c r="M80" s="154">
        <v>0.958781769339353</v>
      </c>
      <c r="N80" s="154">
        <v>4.6404735423748598</v>
      </c>
      <c r="O80" s="154">
        <v>0</v>
      </c>
      <c r="P80" s="154">
        <v>0</v>
      </c>
      <c r="Q80" s="154">
        <v>108.15474943656</v>
      </c>
      <c r="R80" s="154">
        <v>18.521977647959901</v>
      </c>
      <c r="S80" s="154">
        <v>0</v>
      </c>
      <c r="T80" s="154">
        <v>28.532448061512898</v>
      </c>
      <c r="U80" s="154">
        <v>5.7717073998095803</v>
      </c>
      <c r="V80" s="154">
        <v>0.82973758162064504</v>
      </c>
      <c r="W80" s="154">
        <v>0</v>
      </c>
      <c r="X80" s="154">
        <v>0</v>
      </c>
      <c r="Y80" s="154">
        <v>0</v>
      </c>
      <c r="Z80" s="154">
        <v>0</v>
      </c>
      <c r="AA80" s="154">
        <v>185.83277681087199</v>
      </c>
      <c r="AB80" s="154">
        <v>0</v>
      </c>
      <c r="AC80" s="154">
        <v>15.845601791283899</v>
      </c>
      <c r="AD80" s="154">
        <v>0</v>
      </c>
      <c r="AE80" s="154">
        <v>30.4761898095094</v>
      </c>
      <c r="AF80" s="154">
        <v>0.528185373999283</v>
      </c>
      <c r="AG80" s="154">
        <v>2.1038967484120801</v>
      </c>
      <c r="AH80" s="154">
        <v>0.29168281379112099</v>
      </c>
      <c r="AI80" s="154">
        <v>13.5504511216441</v>
      </c>
      <c r="AJ80" s="154">
        <v>-18.9619782147847</v>
      </c>
      <c r="AK80" s="154">
        <v>2.7264009271945699</v>
      </c>
      <c r="AL80" s="154">
        <v>21.7060249228172</v>
      </c>
      <c r="AM80" s="154">
        <v>1.5667827349591401</v>
      </c>
      <c r="AN80" s="154">
        <v>275.68175784529501</v>
      </c>
      <c r="AO80" s="154">
        <v>8.1215488417243407</v>
      </c>
      <c r="AP80" s="154">
        <v>6.1196450131634599</v>
      </c>
      <c r="AQ80" s="154">
        <v>0</v>
      </c>
      <c r="AR80" s="154">
        <v>0</v>
      </c>
      <c r="AS80" s="154">
        <v>-70.785178229745199</v>
      </c>
      <c r="AT80" s="155">
        <v>4.2745450377325396</v>
      </c>
    </row>
    <row r="81" spans="2:46" ht="12" customHeight="1" x14ac:dyDescent="0.3">
      <c r="B81" s="153" t="s">
        <v>47</v>
      </c>
      <c r="C81" s="154" t="s">
        <v>23</v>
      </c>
      <c r="D81" s="154" t="s">
        <v>48</v>
      </c>
      <c r="E81" s="154" t="s">
        <v>49</v>
      </c>
      <c r="F81" s="154" t="s">
        <v>25</v>
      </c>
      <c r="G81" s="154" t="s">
        <v>25</v>
      </c>
      <c r="H81" s="154" t="s">
        <v>78</v>
      </c>
      <c r="I81" s="154" t="s">
        <v>25</v>
      </c>
      <c r="J81" s="154">
        <v>225.02</v>
      </c>
      <c r="K81" s="154">
        <v>134.19999999999999</v>
      </c>
      <c r="L81" s="154">
        <v>3.6529851671254199</v>
      </c>
      <c r="M81" s="154">
        <v>0.52732997313664398</v>
      </c>
      <c r="N81" s="154">
        <v>2.5522604483061699</v>
      </c>
      <c r="O81" s="154">
        <v>0</v>
      </c>
      <c r="P81" s="154">
        <v>0</v>
      </c>
      <c r="Q81" s="154">
        <v>59.485112190107799</v>
      </c>
      <c r="R81" s="154">
        <v>10.1870877063779</v>
      </c>
      <c r="S81" s="154">
        <v>0</v>
      </c>
      <c r="T81" s="154">
        <v>15.6928464338321</v>
      </c>
      <c r="U81" s="154">
        <v>3.17443906989527</v>
      </c>
      <c r="V81" s="154">
        <v>0.45635566989135501</v>
      </c>
      <c r="W81" s="154">
        <v>0</v>
      </c>
      <c r="X81" s="154">
        <v>0</v>
      </c>
      <c r="Y81" s="154">
        <v>0</v>
      </c>
      <c r="Z81" s="154">
        <v>0</v>
      </c>
      <c r="AA81" s="154">
        <v>102.20802724598001</v>
      </c>
      <c r="AB81" s="154">
        <v>0</v>
      </c>
      <c r="AC81" s="154">
        <v>8.7135809852061108</v>
      </c>
      <c r="AD81" s="154">
        <v>0</v>
      </c>
      <c r="AE81" s="154">
        <v>16.7619043952302</v>
      </c>
      <c r="AF81" s="154">
        <v>0.29050195569960502</v>
      </c>
      <c r="AG81" s="154">
        <v>1.15714321162664</v>
      </c>
      <c r="AH81" s="154">
        <v>0.16042554758511601</v>
      </c>
      <c r="AI81" s="154">
        <v>7.45274811690423</v>
      </c>
      <c r="AJ81" s="154">
        <v>-10.429088018131599</v>
      </c>
      <c r="AK81" s="154">
        <v>1.4995205099570099</v>
      </c>
      <c r="AL81" s="154">
        <v>11.938313707549501</v>
      </c>
      <c r="AM81" s="154">
        <v>0.86173050422752895</v>
      </c>
      <c r="AN81" s="154">
        <v>151.624966814912</v>
      </c>
      <c r="AO81" s="154">
        <v>4.4668518629483902</v>
      </c>
      <c r="AP81" s="154">
        <v>3.3658047572399101</v>
      </c>
      <c r="AQ81" s="154">
        <v>0</v>
      </c>
      <c r="AR81" s="154">
        <v>0</v>
      </c>
      <c r="AS81" s="154">
        <v>-38.931848026359901</v>
      </c>
      <c r="AT81" s="155">
        <v>2.3509997707529</v>
      </c>
    </row>
    <row r="82" spans="2:46" ht="12" customHeight="1" x14ac:dyDescent="0.3">
      <c r="B82" s="156" t="s">
        <v>47</v>
      </c>
      <c r="C82" s="157" t="s">
        <v>23</v>
      </c>
      <c r="D82" s="157" t="s">
        <v>48</v>
      </c>
      <c r="E82" s="157" t="s">
        <v>95</v>
      </c>
      <c r="F82" s="157" t="s">
        <v>25</v>
      </c>
      <c r="G82" s="157" t="s">
        <v>25</v>
      </c>
      <c r="H82" s="157" t="s">
        <v>78</v>
      </c>
      <c r="I82" s="157" t="s">
        <v>25</v>
      </c>
      <c r="J82" s="157">
        <v>245.48</v>
      </c>
      <c r="K82" s="157">
        <v>146.4</v>
      </c>
      <c r="L82" s="157">
        <v>3.9850747277731902</v>
      </c>
      <c r="M82" s="157">
        <v>0.57526906160361202</v>
      </c>
      <c r="N82" s="157">
        <v>2.7842841254249202</v>
      </c>
      <c r="O82" s="157">
        <v>0</v>
      </c>
      <c r="P82" s="157">
        <v>0</v>
      </c>
      <c r="Q82" s="157">
        <v>64.892849661935799</v>
      </c>
      <c r="R82" s="157">
        <v>11.1131865887759</v>
      </c>
      <c r="S82" s="157">
        <v>0</v>
      </c>
      <c r="T82" s="157">
        <v>17.1194688369077</v>
      </c>
      <c r="U82" s="157">
        <v>3.4630244398857499</v>
      </c>
      <c r="V82" s="157">
        <v>0.497842548972387</v>
      </c>
      <c r="W82" s="157">
        <v>0</v>
      </c>
      <c r="X82" s="157">
        <v>0</v>
      </c>
      <c r="Y82" s="157">
        <v>0</v>
      </c>
      <c r="Z82" s="157">
        <v>0</v>
      </c>
      <c r="AA82" s="157">
        <v>111.49966608652301</v>
      </c>
      <c r="AB82" s="157">
        <v>0</v>
      </c>
      <c r="AC82" s="157">
        <v>9.5093610747703092</v>
      </c>
      <c r="AD82" s="157">
        <v>0</v>
      </c>
      <c r="AE82" s="157">
        <v>18.285713885705601</v>
      </c>
      <c r="AF82" s="157">
        <v>0.31691122439956998</v>
      </c>
      <c r="AG82" s="157">
        <v>1.26233804904725</v>
      </c>
      <c r="AH82" s="157">
        <v>0.175009688274672</v>
      </c>
      <c r="AI82" s="157">
        <v>8.1302706729864305</v>
      </c>
      <c r="AJ82" s="157">
        <v>-11.377186928870801</v>
      </c>
      <c r="AK82" s="157">
        <v>1.63584055631674</v>
      </c>
      <c r="AL82" s="157">
        <v>13.0236149536903</v>
      </c>
      <c r="AM82" s="157">
        <v>0.94006964097548595</v>
      </c>
      <c r="AN82" s="157">
        <v>165.40905470717701</v>
      </c>
      <c r="AO82" s="157">
        <v>4.8729293050346101</v>
      </c>
      <c r="AP82" s="157">
        <v>3.6717870078980801</v>
      </c>
      <c r="AQ82" s="157">
        <v>0</v>
      </c>
      <c r="AR82" s="157">
        <v>0</v>
      </c>
      <c r="AS82" s="157">
        <v>-42.471106937847097</v>
      </c>
      <c r="AT82" s="158">
        <v>2.5647270226395298</v>
      </c>
    </row>
  </sheetData>
  <mergeCells count="8">
    <mergeCell ref="L1:AH1"/>
    <mergeCell ref="AI1:AT1"/>
    <mergeCell ref="L2:S2"/>
    <mergeCell ref="T2:Z2"/>
    <mergeCell ref="AB2:AD2"/>
    <mergeCell ref="AE2:AH2"/>
    <mergeCell ref="AI2:AM2"/>
    <mergeCell ref="AO2:AS2"/>
  </mergeCells>
  <phoneticPr fontId="1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8D308-9D49-4A55-B6D0-A41FB56E2D0F}">
  <dimension ref="B1:AT82"/>
  <sheetViews>
    <sheetView showGridLines="0" workbookViewId="0">
      <selection activeCell="B4" sqref="B4"/>
    </sheetView>
  </sheetViews>
  <sheetFormatPr defaultRowHeight="14.4" x14ac:dyDescent="0.3"/>
  <cols>
    <col min="2" max="2" width="12.77734375" bestFit="1" customWidth="1"/>
    <col min="3" max="3" width="25.44140625" bestFit="1" customWidth="1"/>
    <col min="4" max="4" width="16.33203125" bestFit="1" customWidth="1"/>
    <col min="5" max="5" width="28.77734375" bestFit="1" customWidth="1"/>
    <col min="6" max="6" width="11.88671875" bestFit="1" customWidth="1"/>
    <col min="7" max="7" width="12.109375" bestFit="1" customWidth="1"/>
    <col min="8" max="8" width="11.109375" bestFit="1" customWidth="1"/>
    <col min="9" max="9" width="13.109375" bestFit="1" customWidth="1"/>
    <col min="10" max="10" width="12.44140625" bestFit="1" customWidth="1"/>
    <col min="11" max="11" width="9.88671875" bestFit="1" customWidth="1"/>
    <col min="12" max="12" width="18.6640625" bestFit="1" customWidth="1"/>
    <col min="13" max="13" width="13.6640625" bestFit="1" customWidth="1"/>
    <col min="14" max="14" width="12.109375" bestFit="1" customWidth="1"/>
    <col min="15" max="15" width="12.44140625" bestFit="1" customWidth="1"/>
    <col min="16" max="17" width="12.109375" bestFit="1" customWidth="1"/>
    <col min="18" max="18" width="16.44140625" bestFit="1" customWidth="1"/>
    <col min="19" max="19" width="10.44140625" bestFit="1" customWidth="1"/>
    <col min="20" max="22" width="12" bestFit="1" customWidth="1"/>
    <col min="23" max="23" width="12.21875" bestFit="1" customWidth="1"/>
    <col min="24" max="24" width="13.44140625" bestFit="1" customWidth="1"/>
    <col min="25" max="25" width="11" bestFit="1" customWidth="1"/>
    <col min="26" max="26" width="13.6640625" bestFit="1" customWidth="1"/>
    <col min="27" max="27" width="12.33203125" bestFit="1" customWidth="1"/>
    <col min="28" max="28" width="15.44140625" bestFit="1" customWidth="1"/>
    <col min="29" max="29" width="24.33203125" bestFit="1" customWidth="1"/>
    <col min="30" max="30" width="13.88671875" bestFit="1" customWidth="1"/>
    <col min="31" max="31" width="12" bestFit="1" customWidth="1"/>
    <col min="32" max="32" width="17.109375" bestFit="1" customWidth="1"/>
    <col min="33" max="33" width="12.21875" bestFit="1" customWidth="1"/>
    <col min="34" max="34" width="12" bestFit="1" customWidth="1"/>
    <col min="35" max="35" width="16.109375" bestFit="1" customWidth="1"/>
    <col min="36" max="36" width="14.44140625" bestFit="1" customWidth="1"/>
    <col min="37" max="37" width="12" bestFit="1" customWidth="1"/>
    <col min="38" max="38" width="12.44140625" bestFit="1" customWidth="1"/>
    <col min="39" max="39" width="12" bestFit="1" customWidth="1"/>
    <col min="40" max="40" width="13.6640625" bestFit="1" customWidth="1"/>
    <col min="41" max="41" width="24.5546875" bestFit="1" customWidth="1"/>
    <col min="42" max="42" width="17.44140625" bestFit="1" customWidth="1"/>
    <col min="43" max="43" width="13.21875" bestFit="1" customWidth="1"/>
    <col min="44" max="44" width="12.77734375" bestFit="1" customWidth="1"/>
    <col min="45" max="45" width="21.6640625" bestFit="1" customWidth="1"/>
    <col min="46" max="46" width="12.21875" bestFit="1" customWidth="1"/>
  </cols>
  <sheetData>
    <row r="1" spans="2:46" ht="12" customHeight="1" x14ac:dyDescent="0.3">
      <c r="L1" s="159" t="s">
        <v>1524</v>
      </c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59"/>
      <c r="AE1" s="159"/>
      <c r="AF1" s="159"/>
      <c r="AG1" s="159"/>
      <c r="AH1" s="160"/>
      <c r="AI1" s="159" t="s">
        <v>1525</v>
      </c>
      <c r="AJ1" s="159"/>
      <c r="AK1" s="159"/>
      <c r="AL1" s="159"/>
      <c r="AM1" s="159"/>
      <c r="AN1" s="159"/>
      <c r="AO1" s="159"/>
      <c r="AP1" s="159"/>
      <c r="AQ1" s="159"/>
      <c r="AR1" s="159"/>
      <c r="AS1" s="159"/>
      <c r="AT1" s="159"/>
    </row>
    <row r="2" spans="2:46" ht="12" customHeight="1" x14ac:dyDescent="0.3">
      <c r="L2" s="161" t="s">
        <v>657</v>
      </c>
      <c r="M2" s="161"/>
      <c r="N2" s="161"/>
      <c r="O2" s="161"/>
      <c r="P2" s="161"/>
      <c r="Q2" s="161"/>
      <c r="R2" s="161"/>
      <c r="S2" s="162"/>
      <c r="T2" s="161" t="s">
        <v>666</v>
      </c>
      <c r="U2" s="161"/>
      <c r="V2" s="161"/>
      <c r="W2" s="161"/>
      <c r="X2" s="161"/>
      <c r="Y2" s="161"/>
      <c r="Z2" s="162"/>
      <c r="AA2" s="163" t="s">
        <v>674</v>
      </c>
      <c r="AB2" s="161" t="s">
        <v>25</v>
      </c>
      <c r="AC2" s="161"/>
      <c r="AD2" s="162"/>
      <c r="AE2" s="161" t="s">
        <v>1523</v>
      </c>
      <c r="AF2" s="161"/>
      <c r="AG2" s="161"/>
      <c r="AH2" s="162"/>
      <c r="AI2" s="161" t="s">
        <v>657</v>
      </c>
      <c r="AJ2" s="161"/>
      <c r="AK2" s="161"/>
      <c r="AL2" s="161"/>
      <c r="AM2" s="162"/>
      <c r="AN2" s="163" t="s">
        <v>688</v>
      </c>
      <c r="AO2" s="161" t="s">
        <v>666</v>
      </c>
      <c r="AP2" s="161"/>
      <c r="AQ2" s="161"/>
      <c r="AR2" s="161"/>
      <c r="AS2" s="162"/>
      <c r="AT2" s="164" t="s">
        <v>1523</v>
      </c>
    </row>
    <row r="3" spans="2:46" ht="12" customHeight="1" x14ac:dyDescent="0.3">
      <c r="B3" s="150" t="s">
        <v>68</v>
      </c>
      <c r="C3" s="151" t="s">
        <v>69</v>
      </c>
      <c r="D3" s="151" t="s">
        <v>70</v>
      </c>
      <c r="E3" s="151" t="s">
        <v>71</v>
      </c>
      <c r="F3" s="151" t="s">
        <v>72</v>
      </c>
      <c r="G3" s="151" t="s">
        <v>74</v>
      </c>
      <c r="H3" s="151" t="s">
        <v>75</v>
      </c>
      <c r="I3" s="151" t="s">
        <v>1036</v>
      </c>
      <c r="J3" s="151" t="s">
        <v>1485</v>
      </c>
      <c r="K3" s="151" t="s">
        <v>1486</v>
      </c>
      <c r="L3" s="151" t="s">
        <v>1487</v>
      </c>
      <c r="M3" s="151" t="s">
        <v>1488</v>
      </c>
      <c r="N3" s="151" t="s">
        <v>1489</v>
      </c>
      <c r="O3" s="151" t="s">
        <v>1490</v>
      </c>
      <c r="P3" s="151" t="s">
        <v>1491</v>
      </c>
      <c r="Q3" s="151" t="s">
        <v>1492</v>
      </c>
      <c r="R3" s="151" t="s">
        <v>1493</v>
      </c>
      <c r="S3" s="151" t="s">
        <v>1494</v>
      </c>
      <c r="T3" s="151" t="s">
        <v>1495</v>
      </c>
      <c r="U3" s="151" t="s">
        <v>1496</v>
      </c>
      <c r="V3" s="151" t="s">
        <v>1497</v>
      </c>
      <c r="W3" s="151" t="s">
        <v>1498</v>
      </c>
      <c r="X3" s="151" t="s">
        <v>1499</v>
      </c>
      <c r="Y3" s="151" t="s">
        <v>1500</v>
      </c>
      <c r="Z3" s="151" t="s">
        <v>1501</v>
      </c>
      <c r="AA3" s="151" t="s">
        <v>1502</v>
      </c>
      <c r="AB3" s="151" t="s">
        <v>1503</v>
      </c>
      <c r="AC3" s="151" t="s">
        <v>1504</v>
      </c>
      <c r="AD3" s="151" t="s">
        <v>1505</v>
      </c>
      <c r="AE3" s="151" t="s">
        <v>1506</v>
      </c>
      <c r="AF3" s="151" t="s">
        <v>1507</v>
      </c>
      <c r="AG3" s="151" t="s">
        <v>1508</v>
      </c>
      <c r="AH3" s="151" t="s">
        <v>1509</v>
      </c>
      <c r="AI3" s="151" t="s">
        <v>1510</v>
      </c>
      <c r="AJ3" s="151" t="s">
        <v>1511</v>
      </c>
      <c r="AK3" s="151" t="s">
        <v>1512</v>
      </c>
      <c r="AL3" s="151" t="s">
        <v>1513</v>
      </c>
      <c r="AM3" s="151" t="s">
        <v>1514</v>
      </c>
      <c r="AN3" s="151" t="s">
        <v>1515</v>
      </c>
      <c r="AO3" s="151" t="s">
        <v>1516</v>
      </c>
      <c r="AP3" s="151" t="s">
        <v>1517</v>
      </c>
      <c r="AQ3" s="151" t="s">
        <v>1518</v>
      </c>
      <c r="AR3" s="151" t="s">
        <v>1519</v>
      </c>
      <c r="AS3" s="151" t="s">
        <v>1520</v>
      </c>
      <c r="AT3" s="152" t="s">
        <v>1521</v>
      </c>
    </row>
    <row r="4" spans="2:46" ht="12" customHeight="1" x14ac:dyDescent="0.3">
      <c r="B4" s="153" t="s">
        <v>54</v>
      </c>
      <c r="C4" s="154" t="s">
        <v>40</v>
      </c>
      <c r="D4" s="154" t="s">
        <v>25</v>
      </c>
      <c r="E4" s="154" t="s">
        <v>25</v>
      </c>
      <c r="F4" s="154" t="s">
        <v>85</v>
      </c>
      <c r="G4" s="154" t="s">
        <v>34</v>
      </c>
      <c r="H4" s="154" t="s">
        <v>78</v>
      </c>
      <c r="I4" s="154" t="s">
        <v>25</v>
      </c>
      <c r="J4" s="154">
        <v>0.65</v>
      </c>
      <c r="K4" s="154">
        <v>0</v>
      </c>
      <c r="L4" s="154">
        <v>0</v>
      </c>
      <c r="M4" s="154">
        <v>4.0395862866496601E-2</v>
      </c>
      <c r="N4" s="154">
        <v>2.83592732613876E-2</v>
      </c>
      <c r="O4" s="154">
        <v>0</v>
      </c>
      <c r="P4" s="154">
        <v>0</v>
      </c>
      <c r="Q4" s="154">
        <v>0</v>
      </c>
      <c r="R4" s="154">
        <v>0</v>
      </c>
      <c r="S4" s="154">
        <v>0</v>
      </c>
      <c r="T4" s="154">
        <v>0</v>
      </c>
      <c r="U4" s="154">
        <v>0</v>
      </c>
      <c r="V4" s="154">
        <v>0</v>
      </c>
      <c r="W4" s="154">
        <v>0</v>
      </c>
      <c r="X4" s="154">
        <v>0</v>
      </c>
      <c r="Y4" s="154">
        <v>0</v>
      </c>
      <c r="Z4" s="154">
        <v>0</v>
      </c>
      <c r="AA4" s="154">
        <v>0</v>
      </c>
      <c r="AB4" s="154">
        <v>0</v>
      </c>
      <c r="AC4" s="154">
        <v>0</v>
      </c>
      <c r="AD4" s="154">
        <v>0</v>
      </c>
      <c r="AE4" s="154">
        <v>4.3643887531724997E-2</v>
      </c>
      <c r="AF4" s="154">
        <v>7.5639583566098896E-4</v>
      </c>
      <c r="AG4" s="154">
        <v>0.44924420577892099</v>
      </c>
      <c r="AH4" s="154">
        <v>8.7801467624689794E-2</v>
      </c>
      <c r="AI4" s="154">
        <v>0</v>
      </c>
      <c r="AJ4" s="154">
        <v>0</v>
      </c>
      <c r="AK4" s="154">
        <v>0</v>
      </c>
      <c r="AL4" s="154">
        <v>0</v>
      </c>
      <c r="AM4" s="154">
        <v>0</v>
      </c>
      <c r="AN4" s="154">
        <v>0</v>
      </c>
      <c r="AO4" s="154">
        <v>0</v>
      </c>
      <c r="AP4" s="154">
        <v>0</v>
      </c>
      <c r="AQ4" s="154">
        <v>0</v>
      </c>
      <c r="AR4" s="154">
        <v>0</v>
      </c>
      <c r="AS4" s="154">
        <v>0</v>
      </c>
      <c r="AT4" s="155">
        <v>0</v>
      </c>
    </row>
    <row r="5" spans="2:46" ht="12" customHeight="1" x14ac:dyDescent="0.3">
      <c r="B5" s="153" t="s">
        <v>54</v>
      </c>
      <c r="C5" s="154" t="s">
        <v>40</v>
      </c>
      <c r="D5" s="154" t="s">
        <v>25</v>
      </c>
      <c r="E5" s="154" t="s">
        <v>25</v>
      </c>
      <c r="F5" s="154" t="s">
        <v>85</v>
      </c>
      <c r="G5" s="154" t="s">
        <v>34</v>
      </c>
      <c r="H5" s="154" t="s">
        <v>81</v>
      </c>
      <c r="I5" s="154" t="s">
        <v>25</v>
      </c>
      <c r="J5" s="154">
        <v>20.66</v>
      </c>
      <c r="K5" s="154">
        <v>0</v>
      </c>
      <c r="L5" s="154">
        <v>0</v>
      </c>
      <c r="M5" s="154">
        <v>0</v>
      </c>
      <c r="N5" s="154">
        <v>0</v>
      </c>
      <c r="O5" s="154">
        <v>0</v>
      </c>
      <c r="P5" s="154">
        <v>0</v>
      </c>
      <c r="Q5" s="154">
        <v>0</v>
      </c>
      <c r="R5" s="154">
        <v>0</v>
      </c>
      <c r="S5" s="154">
        <v>0</v>
      </c>
      <c r="T5" s="154">
        <v>6.6024908118424603</v>
      </c>
      <c r="U5" s="154">
        <v>1.3326177270694799</v>
      </c>
      <c r="V5" s="154">
        <v>0.20997826427708199</v>
      </c>
      <c r="W5" s="154">
        <v>0</v>
      </c>
      <c r="X5" s="154">
        <v>0</v>
      </c>
      <c r="Y5" s="154">
        <v>0</v>
      </c>
      <c r="Z5" s="154">
        <v>0</v>
      </c>
      <c r="AA5" s="154">
        <v>12.5146953327178</v>
      </c>
      <c r="AB5" s="154">
        <v>0</v>
      </c>
      <c r="AC5" s="154">
        <v>0</v>
      </c>
      <c r="AD5" s="154">
        <v>0</v>
      </c>
      <c r="AE5" s="154">
        <v>0</v>
      </c>
      <c r="AF5" s="154">
        <v>0</v>
      </c>
      <c r="AG5" s="154">
        <v>0</v>
      </c>
      <c r="AH5" s="154">
        <v>0</v>
      </c>
      <c r="AI5" s="154">
        <v>0</v>
      </c>
      <c r="AJ5" s="154">
        <v>0</v>
      </c>
      <c r="AK5" s="154">
        <v>0</v>
      </c>
      <c r="AL5" s="154">
        <v>0</v>
      </c>
      <c r="AM5" s="154">
        <v>0</v>
      </c>
      <c r="AN5" s="154">
        <v>0</v>
      </c>
      <c r="AO5" s="154">
        <v>0</v>
      </c>
      <c r="AP5" s="154">
        <v>0</v>
      </c>
      <c r="AQ5" s="154">
        <v>0</v>
      </c>
      <c r="AR5" s="154">
        <v>0</v>
      </c>
      <c r="AS5" s="154">
        <v>0</v>
      </c>
      <c r="AT5" s="155">
        <v>0</v>
      </c>
    </row>
    <row r="6" spans="2:46" ht="12" customHeight="1" x14ac:dyDescent="0.3">
      <c r="B6" s="153" t="s">
        <v>54</v>
      </c>
      <c r="C6" s="154" t="s">
        <v>40</v>
      </c>
      <c r="D6" s="154" t="s">
        <v>25</v>
      </c>
      <c r="E6" s="154" t="s">
        <v>25</v>
      </c>
      <c r="F6" s="154" t="s">
        <v>85</v>
      </c>
      <c r="G6" s="154" t="s">
        <v>35</v>
      </c>
      <c r="H6" s="154" t="s">
        <v>78</v>
      </c>
      <c r="I6" s="154" t="s">
        <v>25</v>
      </c>
      <c r="J6" s="154">
        <v>0.65</v>
      </c>
      <c r="K6" s="154">
        <v>0</v>
      </c>
      <c r="L6" s="154">
        <v>0</v>
      </c>
      <c r="M6" s="154">
        <v>4.0395862866496601E-2</v>
      </c>
      <c r="N6" s="154">
        <v>2.83592732613876E-2</v>
      </c>
      <c r="O6" s="154">
        <v>0</v>
      </c>
      <c r="P6" s="154">
        <v>0</v>
      </c>
      <c r="Q6" s="154">
        <v>0</v>
      </c>
      <c r="R6" s="154">
        <v>0</v>
      </c>
      <c r="S6" s="154">
        <v>0</v>
      </c>
      <c r="T6" s="154">
        <v>0</v>
      </c>
      <c r="U6" s="154">
        <v>0</v>
      </c>
      <c r="V6" s="154">
        <v>0</v>
      </c>
      <c r="W6" s="154">
        <v>0</v>
      </c>
      <c r="X6" s="154">
        <v>0</v>
      </c>
      <c r="Y6" s="154">
        <v>0</v>
      </c>
      <c r="Z6" s="154">
        <v>0</v>
      </c>
      <c r="AA6" s="154">
        <v>0</v>
      </c>
      <c r="AB6" s="154">
        <v>0</v>
      </c>
      <c r="AC6" s="154">
        <v>0</v>
      </c>
      <c r="AD6" s="154">
        <v>0</v>
      </c>
      <c r="AE6" s="154">
        <v>4.3643887531724997E-2</v>
      </c>
      <c r="AF6" s="154">
        <v>7.5639583566098896E-4</v>
      </c>
      <c r="AG6" s="154">
        <v>0.44924420577892099</v>
      </c>
      <c r="AH6" s="154">
        <v>8.7801467624689794E-2</v>
      </c>
      <c r="AI6" s="154">
        <v>0</v>
      </c>
      <c r="AJ6" s="154">
        <v>0</v>
      </c>
      <c r="AK6" s="154">
        <v>0</v>
      </c>
      <c r="AL6" s="154">
        <v>0</v>
      </c>
      <c r="AM6" s="154">
        <v>0</v>
      </c>
      <c r="AN6" s="154">
        <v>0</v>
      </c>
      <c r="AO6" s="154">
        <v>0</v>
      </c>
      <c r="AP6" s="154">
        <v>0</v>
      </c>
      <c r="AQ6" s="154">
        <v>0</v>
      </c>
      <c r="AR6" s="154">
        <v>0</v>
      </c>
      <c r="AS6" s="154">
        <v>0</v>
      </c>
      <c r="AT6" s="155">
        <v>0</v>
      </c>
    </row>
    <row r="7" spans="2:46" ht="12" customHeight="1" x14ac:dyDescent="0.3">
      <c r="B7" s="153" t="s">
        <v>54</v>
      </c>
      <c r="C7" s="154" t="s">
        <v>40</v>
      </c>
      <c r="D7" s="154" t="s">
        <v>25</v>
      </c>
      <c r="E7" s="154" t="s">
        <v>25</v>
      </c>
      <c r="F7" s="154" t="s">
        <v>85</v>
      </c>
      <c r="G7" s="154" t="s">
        <v>35</v>
      </c>
      <c r="H7" s="154" t="s">
        <v>81</v>
      </c>
      <c r="I7" s="154" t="s">
        <v>25</v>
      </c>
      <c r="J7" s="154">
        <v>7.53</v>
      </c>
      <c r="K7" s="154">
        <v>0</v>
      </c>
      <c r="L7" s="154">
        <v>0</v>
      </c>
      <c r="M7" s="154">
        <v>0</v>
      </c>
      <c r="N7" s="154">
        <v>0</v>
      </c>
      <c r="O7" s="154">
        <v>0</v>
      </c>
      <c r="P7" s="154">
        <v>0</v>
      </c>
      <c r="Q7" s="154">
        <v>0</v>
      </c>
      <c r="R7" s="154">
        <v>0</v>
      </c>
      <c r="S7" s="154">
        <v>0</v>
      </c>
      <c r="T7" s="154">
        <v>4.9087543337252502</v>
      </c>
      <c r="U7" s="154">
        <v>0.99872218892142295</v>
      </c>
      <c r="V7" s="154">
        <v>0.15080630722052599</v>
      </c>
      <c r="W7" s="154">
        <v>0</v>
      </c>
      <c r="X7" s="154">
        <v>0</v>
      </c>
      <c r="Y7" s="154">
        <v>0</v>
      </c>
      <c r="Z7" s="154">
        <v>0</v>
      </c>
      <c r="AA7" s="154">
        <v>1.4722532679610101</v>
      </c>
      <c r="AB7" s="154">
        <v>0</v>
      </c>
      <c r="AC7" s="154">
        <v>0</v>
      </c>
      <c r="AD7" s="154">
        <v>0</v>
      </c>
      <c r="AE7" s="154">
        <v>0</v>
      </c>
      <c r="AF7" s="154">
        <v>0</v>
      </c>
      <c r="AG7" s="154">
        <v>0</v>
      </c>
      <c r="AH7" s="154">
        <v>0</v>
      </c>
      <c r="AI7" s="154">
        <v>0</v>
      </c>
      <c r="AJ7" s="154">
        <v>0</v>
      </c>
      <c r="AK7" s="154">
        <v>0</v>
      </c>
      <c r="AL7" s="154">
        <v>0</v>
      </c>
      <c r="AM7" s="154">
        <v>0</v>
      </c>
      <c r="AN7" s="154">
        <v>0</v>
      </c>
      <c r="AO7" s="154">
        <v>0</v>
      </c>
      <c r="AP7" s="154">
        <v>0</v>
      </c>
      <c r="AQ7" s="154">
        <v>0</v>
      </c>
      <c r="AR7" s="154">
        <v>0</v>
      </c>
      <c r="AS7" s="154">
        <v>0</v>
      </c>
      <c r="AT7" s="155">
        <v>0</v>
      </c>
    </row>
    <row r="8" spans="2:46" ht="12" customHeight="1" x14ac:dyDescent="0.3">
      <c r="B8" s="153" t="s">
        <v>54</v>
      </c>
      <c r="C8" s="154" t="s">
        <v>40</v>
      </c>
      <c r="D8" s="154" t="s">
        <v>25</v>
      </c>
      <c r="E8" s="154" t="s">
        <v>25</v>
      </c>
      <c r="F8" s="154" t="s">
        <v>25</v>
      </c>
      <c r="G8" s="154" t="s">
        <v>34</v>
      </c>
      <c r="H8" s="154" t="s">
        <v>78</v>
      </c>
      <c r="I8" s="154" t="s">
        <v>25</v>
      </c>
      <c r="J8" s="154">
        <v>72.209999999999994</v>
      </c>
      <c r="K8" s="154">
        <v>371.9</v>
      </c>
      <c r="L8" s="154">
        <v>4.1779741164746804</v>
      </c>
      <c r="M8" s="154">
        <v>4.0395862866496601E-2</v>
      </c>
      <c r="N8" s="154">
        <v>4.0938666899846099E-2</v>
      </c>
      <c r="O8" s="154">
        <v>0</v>
      </c>
      <c r="P8" s="154">
        <v>0</v>
      </c>
      <c r="Q8" s="154">
        <v>53.724755905744999</v>
      </c>
      <c r="R8" s="154">
        <v>13.642318933507401</v>
      </c>
      <c r="S8" s="154">
        <v>0</v>
      </c>
      <c r="T8" s="154">
        <v>0</v>
      </c>
      <c r="U8" s="154">
        <v>0</v>
      </c>
      <c r="V8" s="154">
        <v>0</v>
      </c>
      <c r="W8" s="154">
        <v>0</v>
      </c>
      <c r="X8" s="154">
        <v>0</v>
      </c>
      <c r="Y8" s="154">
        <v>0</v>
      </c>
      <c r="Z8" s="154">
        <v>0</v>
      </c>
      <c r="AA8" s="154">
        <v>0</v>
      </c>
      <c r="AB8" s="154">
        <v>0</v>
      </c>
      <c r="AC8" s="154">
        <v>0</v>
      </c>
      <c r="AD8" s="154">
        <v>0</v>
      </c>
      <c r="AE8" s="154">
        <v>4.3643887531724997E-2</v>
      </c>
      <c r="AF8" s="154">
        <v>7.5639583566098896E-4</v>
      </c>
      <c r="AG8" s="154">
        <v>0.44924420577892099</v>
      </c>
      <c r="AH8" s="154">
        <v>8.7801467624689794E-2</v>
      </c>
      <c r="AI8" s="154">
        <v>13.7352180479374</v>
      </c>
      <c r="AJ8" s="154">
        <v>-18.9619782147847</v>
      </c>
      <c r="AK8" s="154">
        <v>2.7264007365833902</v>
      </c>
      <c r="AL8" s="154">
        <v>20.0108248119179</v>
      </c>
      <c r="AM8" s="154">
        <v>1.48191560334144</v>
      </c>
      <c r="AN8" s="154">
        <v>336.07688789059802</v>
      </c>
      <c r="AO8" s="154">
        <v>8.0599016754402992</v>
      </c>
      <c r="AP8" s="154">
        <v>5.5561220594496099</v>
      </c>
      <c r="AQ8" s="154">
        <v>0</v>
      </c>
      <c r="AR8" s="154">
        <v>0</v>
      </c>
      <c r="AS8" s="154">
        <v>0</v>
      </c>
      <c r="AT8" s="155">
        <v>3.2114261043049899</v>
      </c>
    </row>
    <row r="9" spans="2:46" ht="12" customHeight="1" x14ac:dyDescent="0.3">
      <c r="B9" s="153" t="s">
        <v>54</v>
      </c>
      <c r="C9" s="154" t="s">
        <v>40</v>
      </c>
      <c r="D9" s="154" t="s">
        <v>25</v>
      </c>
      <c r="E9" s="154" t="s">
        <v>25</v>
      </c>
      <c r="F9" s="154" t="s">
        <v>25</v>
      </c>
      <c r="G9" s="154" t="s">
        <v>34</v>
      </c>
      <c r="H9" s="154" t="s">
        <v>81</v>
      </c>
      <c r="I9" s="154" t="s">
        <v>25</v>
      </c>
      <c r="J9" s="154">
        <v>20.66</v>
      </c>
      <c r="K9" s="154">
        <v>0</v>
      </c>
      <c r="L9" s="154">
        <v>0</v>
      </c>
      <c r="M9" s="154">
        <v>0</v>
      </c>
      <c r="N9" s="154">
        <v>0</v>
      </c>
      <c r="O9" s="154">
        <v>0</v>
      </c>
      <c r="P9" s="154">
        <v>0</v>
      </c>
      <c r="Q9" s="154">
        <v>0</v>
      </c>
      <c r="R9" s="154">
        <v>0</v>
      </c>
      <c r="S9" s="154">
        <v>0</v>
      </c>
      <c r="T9" s="154">
        <v>6.6024908118424603</v>
      </c>
      <c r="U9" s="154">
        <v>1.3326177270694799</v>
      </c>
      <c r="V9" s="154">
        <v>0.20997826427708199</v>
      </c>
      <c r="W9" s="154">
        <v>0</v>
      </c>
      <c r="X9" s="154">
        <v>0</v>
      </c>
      <c r="Y9" s="154">
        <v>0</v>
      </c>
      <c r="Z9" s="154">
        <v>0</v>
      </c>
      <c r="AA9" s="154">
        <v>12.5146953327178</v>
      </c>
      <c r="AB9" s="154">
        <v>0</v>
      </c>
      <c r="AC9" s="154">
        <v>0</v>
      </c>
      <c r="AD9" s="154">
        <v>0</v>
      </c>
      <c r="AE9" s="154">
        <v>0</v>
      </c>
      <c r="AF9" s="154">
        <v>0</v>
      </c>
      <c r="AG9" s="154">
        <v>0</v>
      </c>
      <c r="AH9" s="154">
        <v>0</v>
      </c>
      <c r="AI9" s="154">
        <v>0</v>
      </c>
      <c r="AJ9" s="154">
        <v>0</v>
      </c>
      <c r="AK9" s="154">
        <v>0</v>
      </c>
      <c r="AL9" s="154">
        <v>0</v>
      </c>
      <c r="AM9" s="154">
        <v>0</v>
      </c>
      <c r="AN9" s="154">
        <v>0</v>
      </c>
      <c r="AO9" s="154">
        <v>0</v>
      </c>
      <c r="AP9" s="154">
        <v>0</v>
      </c>
      <c r="AQ9" s="154">
        <v>0</v>
      </c>
      <c r="AR9" s="154">
        <v>0</v>
      </c>
      <c r="AS9" s="154">
        <v>0</v>
      </c>
      <c r="AT9" s="155">
        <v>0</v>
      </c>
    </row>
    <row r="10" spans="2:46" ht="12" customHeight="1" x14ac:dyDescent="0.3">
      <c r="B10" s="153" t="s">
        <v>54</v>
      </c>
      <c r="C10" s="154" t="s">
        <v>40</v>
      </c>
      <c r="D10" s="154" t="s">
        <v>25</v>
      </c>
      <c r="E10" s="154" t="s">
        <v>25</v>
      </c>
      <c r="F10" s="154" t="s">
        <v>25</v>
      </c>
      <c r="G10" s="154" t="s">
        <v>35</v>
      </c>
      <c r="H10" s="154" t="s">
        <v>78</v>
      </c>
      <c r="I10" s="154" t="s">
        <v>25</v>
      </c>
      <c r="J10" s="154">
        <v>72.209999999999994</v>
      </c>
      <c r="K10" s="154">
        <v>231.21</v>
      </c>
      <c r="L10" s="154">
        <v>4.1779741164746804</v>
      </c>
      <c r="M10" s="154">
        <v>4.0395862866496601E-2</v>
      </c>
      <c r="N10" s="154">
        <v>4.0938666899846099E-2</v>
      </c>
      <c r="O10" s="154">
        <v>0</v>
      </c>
      <c r="P10" s="154">
        <v>0</v>
      </c>
      <c r="Q10" s="154">
        <v>53.724755905744999</v>
      </c>
      <c r="R10" s="154">
        <v>13.642318933507401</v>
      </c>
      <c r="S10" s="154">
        <v>0</v>
      </c>
      <c r="T10" s="154">
        <v>0</v>
      </c>
      <c r="U10" s="154">
        <v>0</v>
      </c>
      <c r="V10" s="154">
        <v>0</v>
      </c>
      <c r="W10" s="154">
        <v>0</v>
      </c>
      <c r="X10" s="154">
        <v>0</v>
      </c>
      <c r="Y10" s="154">
        <v>0</v>
      </c>
      <c r="Z10" s="154">
        <v>0</v>
      </c>
      <c r="AA10" s="154">
        <v>0</v>
      </c>
      <c r="AB10" s="154">
        <v>0</v>
      </c>
      <c r="AC10" s="154">
        <v>0</v>
      </c>
      <c r="AD10" s="154">
        <v>0</v>
      </c>
      <c r="AE10" s="154">
        <v>4.3643887531724997E-2</v>
      </c>
      <c r="AF10" s="154">
        <v>7.5639583566098896E-4</v>
      </c>
      <c r="AG10" s="154">
        <v>0.44924420577892099</v>
      </c>
      <c r="AH10" s="154">
        <v>8.7801467624689794E-2</v>
      </c>
      <c r="AI10" s="154">
        <v>13.7352180479374</v>
      </c>
      <c r="AJ10" s="154">
        <v>-18.9619782147847</v>
      </c>
      <c r="AK10" s="154">
        <v>2.7264007365833902</v>
      </c>
      <c r="AL10" s="154">
        <v>20.0108248119179</v>
      </c>
      <c r="AM10" s="154">
        <v>1.48191560334144</v>
      </c>
      <c r="AN10" s="154">
        <v>195.39353947127799</v>
      </c>
      <c r="AO10" s="154">
        <v>8.0599016754402992</v>
      </c>
      <c r="AP10" s="154">
        <v>5.5561220594496099</v>
      </c>
      <c r="AQ10" s="154">
        <v>0</v>
      </c>
      <c r="AR10" s="154">
        <v>0</v>
      </c>
      <c r="AS10" s="154">
        <v>0</v>
      </c>
      <c r="AT10" s="155">
        <v>3.2114261043049899</v>
      </c>
    </row>
    <row r="11" spans="2:46" ht="12" customHeight="1" x14ac:dyDescent="0.3">
      <c r="B11" s="153" t="s">
        <v>54</v>
      </c>
      <c r="C11" s="154" t="s">
        <v>40</v>
      </c>
      <c r="D11" s="154" t="s">
        <v>25</v>
      </c>
      <c r="E11" s="154" t="s">
        <v>25</v>
      </c>
      <c r="F11" s="154" t="s">
        <v>25</v>
      </c>
      <c r="G11" s="154" t="s">
        <v>35</v>
      </c>
      <c r="H11" s="154" t="s">
        <v>81</v>
      </c>
      <c r="I11" s="154" t="s">
        <v>25</v>
      </c>
      <c r="J11" s="154">
        <v>7.53</v>
      </c>
      <c r="K11" s="154">
        <v>0</v>
      </c>
      <c r="L11" s="154">
        <v>0</v>
      </c>
      <c r="M11" s="154">
        <v>0</v>
      </c>
      <c r="N11" s="154">
        <v>0</v>
      </c>
      <c r="O11" s="154">
        <v>0</v>
      </c>
      <c r="P11" s="154">
        <v>0</v>
      </c>
      <c r="Q11" s="154">
        <v>0</v>
      </c>
      <c r="R11" s="154">
        <v>0</v>
      </c>
      <c r="S11" s="154">
        <v>0</v>
      </c>
      <c r="T11" s="154">
        <v>4.9087543337252502</v>
      </c>
      <c r="U11" s="154">
        <v>0.99872218892142295</v>
      </c>
      <c r="V11" s="154">
        <v>0.15080630722052599</v>
      </c>
      <c r="W11" s="154">
        <v>0</v>
      </c>
      <c r="X11" s="154">
        <v>0</v>
      </c>
      <c r="Y11" s="154">
        <v>0</v>
      </c>
      <c r="Z11" s="154">
        <v>0</v>
      </c>
      <c r="AA11" s="154">
        <v>1.4722532679610101</v>
      </c>
      <c r="AB11" s="154">
        <v>0</v>
      </c>
      <c r="AC11" s="154">
        <v>0</v>
      </c>
      <c r="AD11" s="154">
        <v>0</v>
      </c>
      <c r="AE11" s="154">
        <v>0</v>
      </c>
      <c r="AF11" s="154">
        <v>0</v>
      </c>
      <c r="AG11" s="154">
        <v>0</v>
      </c>
      <c r="AH11" s="154">
        <v>0</v>
      </c>
      <c r="AI11" s="154">
        <v>0</v>
      </c>
      <c r="AJ11" s="154">
        <v>0</v>
      </c>
      <c r="AK11" s="154">
        <v>0</v>
      </c>
      <c r="AL11" s="154">
        <v>0</v>
      </c>
      <c r="AM11" s="154">
        <v>0</v>
      </c>
      <c r="AN11" s="154">
        <v>0</v>
      </c>
      <c r="AO11" s="154">
        <v>0</v>
      </c>
      <c r="AP11" s="154">
        <v>0</v>
      </c>
      <c r="AQ11" s="154">
        <v>0</v>
      </c>
      <c r="AR11" s="154">
        <v>0</v>
      </c>
      <c r="AS11" s="154">
        <v>0</v>
      </c>
      <c r="AT11" s="155">
        <v>0</v>
      </c>
    </row>
    <row r="12" spans="2:46" ht="12" customHeight="1" x14ac:dyDescent="0.3">
      <c r="B12" s="153" t="s">
        <v>60</v>
      </c>
      <c r="C12" s="154" t="s">
        <v>40</v>
      </c>
      <c r="D12" s="154" t="s">
        <v>25</v>
      </c>
      <c r="E12" s="154" t="s">
        <v>25</v>
      </c>
      <c r="F12" s="154" t="s">
        <v>85</v>
      </c>
      <c r="G12" s="154" t="s">
        <v>34</v>
      </c>
      <c r="H12" s="154" t="s">
        <v>78</v>
      </c>
      <c r="I12" s="154" t="s">
        <v>25</v>
      </c>
      <c r="J12" s="154">
        <v>1.98</v>
      </c>
      <c r="K12" s="154">
        <v>0</v>
      </c>
      <c r="L12" s="154">
        <v>0</v>
      </c>
      <c r="M12" s="154">
        <v>0</v>
      </c>
      <c r="N12" s="154">
        <v>0.18295470107774101</v>
      </c>
      <c r="O12" s="154">
        <v>0</v>
      </c>
      <c r="P12" s="154">
        <v>0</v>
      </c>
      <c r="Q12" s="154">
        <v>0</v>
      </c>
      <c r="R12" s="154">
        <v>0</v>
      </c>
      <c r="S12" s="154">
        <v>0</v>
      </c>
      <c r="T12" s="154">
        <v>0</v>
      </c>
      <c r="U12" s="154">
        <v>0</v>
      </c>
      <c r="V12" s="154">
        <v>0</v>
      </c>
      <c r="W12" s="154">
        <v>0</v>
      </c>
      <c r="X12" s="154">
        <v>0</v>
      </c>
      <c r="Y12" s="154">
        <v>0</v>
      </c>
      <c r="Z12" s="154">
        <v>0</v>
      </c>
      <c r="AA12" s="154">
        <v>0</v>
      </c>
      <c r="AB12" s="154">
        <v>0</v>
      </c>
      <c r="AC12" s="154">
        <v>0</v>
      </c>
      <c r="AD12" s="154">
        <v>0</v>
      </c>
      <c r="AE12" s="154">
        <v>1.76346304513629</v>
      </c>
      <c r="AF12" s="154">
        <v>3.0562724338282901E-2</v>
      </c>
      <c r="AG12" s="154">
        <v>0</v>
      </c>
      <c r="AH12" s="154">
        <v>0</v>
      </c>
      <c r="AI12" s="154">
        <v>0</v>
      </c>
      <c r="AJ12" s="154">
        <v>0</v>
      </c>
      <c r="AK12" s="154">
        <v>0</v>
      </c>
      <c r="AL12" s="154">
        <v>0</v>
      </c>
      <c r="AM12" s="154">
        <v>0</v>
      </c>
      <c r="AN12" s="154">
        <v>0</v>
      </c>
      <c r="AO12" s="154">
        <v>0</v>
      </c>
      <c r="AP12" s="154">
        <v>0</v>
      </c>
      <c r="AQ12" s="154">
        <v>0</v>
      </c>
      <c r="AR12" s="154">
        <v>0</v>
      </c>
      <c r="AS12" s="154">
        <v>0</v>
      </c>
      <c r="AT12" s="155">
        <v>0</v>
      </c>
    </row>
    <row r="13" spans="2:46" ht="12" customHeight="1" x14ac:dyDescent="0.3">
      <c r="B13" s="153" t="s">
        <v>60</v>
      </c>
      <c r="C13" s="154" t="s">
        <v>40</v>
      </c>
      <c r="D13" s="154" t="s">
        <v>25</v>
      </c>
      <c r="E13" s="154" t="s">
        <v>25</v>
      </c>
      <c r="F13" s="154" t="s">
        <v>85</v>
      </c>
      <c r="G13" s="154" t="s">
        <v>34</v>
      </c>
      <c r="H13" s="154" t="s">
        <v>81</v>
      </c>
      <c r="I13" s="154" t="s">
        <v>25</v>
      </c>
      <c r="J13" s="154">
        <v>30.57</v>
      </c>
      <c r="K13" s="154">
        <v>0</v>
      </c>
      <c r="L13" s="154">
        <v>0</v>
      </c>
      <c r="M13" s="154">
        <v>0</v>
      </c>
      <c r="N13" s="154">
        <v>0</v>
      </c>
      <c r="O13" s="154">
        <v>0</v>
      </c>
      <c r="P13" s="154">
        <v>0</v>
      </c>
      <c r="Q13" s="154">
        <v>0</v>
      </c>
      <c r="R13" s="154">
        <v>0</v>
      </c>
      <c r="S13" s="154">
        <v>0</v>
      </c>
      <c r="T13" s="154">
        <v>6.0372036058459999</v>
      </c>
      <c r="U13" s="154">
        <v>1.2185234959742799</v>
      </c>
      <c r="V13" s="154">
        <v>0.192103402249581</v>
      </c>
      <c r="W13" s="154">
        <v>0</v>
      </c>
      <c r="X13" s="154">
        <v>0</v>
      </c>
      <c r="Y13" s="154">
        <v>0</v>
      </c>
      <c r="Z13" s="154">
        <v>0</v>
      </c>
      <c r="AA13" s="154">
        <v>23.123816764844001</v>
      </c>
      <c r="AB13" s="154">
        <v>0</v>
      </c>
      <c r="AC13" s="154">
        <v>0</v>
      </c>
      <c r="AD13" s="154">
        <v>0</v>
      </c>
      <c r="AE13" s="154">
        <v>0</v>
      </c>
      <c r="AF13" s="154">
        <v>0</v>
      </c>
      <c r="AG13" s="154">
        <v>0</v>
      </c>
      <c r="AH13" s="154">
        <v>0</v>
      </c>
      <c r="AI13" s="154">
        <v>0</v>
      </c>
      <c r="AJ13" s="154">
        <v>0</v>
      </c>
      <c r="AK13" s="154">
        <v>0</v>
      </c>
      <c r="AL13" s="154">
        <v>0</v>
      </c>
      <c r="AM13" s="154">
        <v>0</v>
      </c>
      <c r="AN13" s="154">
        <v>0</v>
      </c>
      <c r="AO13" s="154">
        <v>0</v>
      </c>
      <c r="AP13" s="154">
        <v>0</v>
      </c>
      <c r="AQ13" s="154">
        <v>0</v>
      </c>
      <c r="AR13" s="154">
        <v>0</v>
      </c>
      <c r="AS13" s="154">
        <v>0</v>
      </c>
      <c r="AT13" s="155">
        <v>0</v>
      </c>
    </row>
    <row r="14" spans="2:46" ht="12" customHeight="1" x14ac:dyDescent="0.3">
      <c r="B14" s="153" t="s">
        <v>60</v>
      </c>
      <c r="C14" s="154" t="s">
        <v>40</v>
      </c>
      <c r="D14" s="154" t="s">
        <v>25</v>
      </c>
      <c r="E14" s="154" t="s">
        <v>25</v>
      </c>
      <c r="F14" s="154" t="s">
        <v>85</v>
      </c>
      <c r="G14" s="154" t="s">
        <v>35</v>
      </c>
      <c r="H14" s="154" t="s">
        <v>78</v>
      </c>
      <c r="I14" s="154" t="s">
        <v>25</v>
      </c>
      <c r="J14" s="154">
        <v>1.98</v>
      </c>
      <c r="K14" s="154">
        <v>0</v>
      </c>
      <c r="L14" s="154">
        <v>0</v>
      </c>
      <c r="M14" s="154">
        <v>0</v>
      </c>
      <c r="N14" s="154">
        <v>0.18295470107774101</v>
      </c>
      <c r="O14" s="154">
        <v>0</v>
      </c>
      <c r="P14" s="154">
        <v>0</v>
      </c>
      <c r="Q14" s="154">
        <v>0</v>
      </c>
      <c r="R14" s="154">
        <v>0</v>
      </c>
      <c r="S14" s="154">
        <v>0</v>
      </c>
      <c r="T14" s="154">
        <v>0</v>
      </c>
      <c r="U14" s="154">
        <v>0</v>
      </c>
      <c r="V14" s="154">
        <v>0</v>
      </c>
      <c r="W14" s="154">
        <v>0</v>
      </c>
      <c r="X14" s="154">
        <v>0</v>
      </c>
      <c r="Y14" s="154">
        <v>0</v>
      </c>
      <c r="Z14" s="154">
        <v>0</v>
      </c>
      <c r="AA14" s="154">
        <v>0</v>
      </c>
      <c r="AB14" s="154">
        <v>0</v>
      </c>
      <c r="AC14" s="154">
        <v>0</v>
      </c>
      <c r="AD14" s="154">
        <v>0</v>
      </c>
      <c r="AE14" s="154">
        <v>1.76346304513629</v>
      </c>
      <c r="AF14" s="154">
        <v>3.0562724338282901E-2</v>
      </c>
      <c r="AG14" s="154">
        <v>0</v>
      </c>
      <c r="AH14" s="154">
        <v>0</v>
      </c>
      <c r="AI14" s="154">
        <v>0</v>
      </c>
      <c r="AJ14" s="154">
        <v>0</v>
      </c>
      <c r="AK14" s="154">
        <v>0</v>
      </c>
      <c r="AL14" s="154">
        <v>0</v>
      </c>
      <c r="AM14" s="154">
        <v>0</v>
      </c>
      <c r="AN14" s="154">
        <v>0</v>
      </c>
      <c r="AO14" s="154">
        <v>0</v>
      </c>
      <c r="AP14" s="154">
        <v>0</v>
      </c>
      <c r="AQ14" s="154">
        <v>0</v>
      </c>
      <c r="AR14" s="154">
        <v>0</v>
      </c>
      <c r="AS14" s="154">
        <v>0</v>
      </c>
      <c r="AT14" s="155">
        <v>0</v>
      </c>
    </row>
    <row r="15" spans="2:46" ht="12" customHeight="1" x14ac:dyDescent="0.3">
      <c r="B15" s="153" t="s">
        <v>60</v>
      </c>
      <c r="C15" s="154" t="s">
        <v>40</v>
      </c>
      <c r="D15" s="154" t="s">
        <v>25</v>
      </c>
      <c r="E15" s="154" t="s">
        <v>25</v>
      </c>
      <c r="F15" s="154" t="s">
        <v>85</v>
      </c>
      <c r="G15" s="154" t="s">
        <v>35</v>
      </c>
      <c r="H15" s="154" t="s">
        <v>81</v>
      </c>
      <c r="I15" s="154" t="s">
        <v>25</v>
      </c>
      <c r="J15" s="154">
        <v>11.62</v>
      </c>
      <c r="K15" s="154">
        <v>0</v>
      </c>
      <c r="L15" s="154">
        <v>0</v>
      </c>
      <c r="M15" s="154">
        <v>0</v>
      </c>
      <c r="N15" s="154">
        <v>0</v>
      </c>
      <c r="O15" s="154">
        <v>0</v>
      </c>
      <c r="P15" s="154">
        <v>0</v>
      </c>
      <c r="Q15" s="154">
        <v>0</v>
      </c>
      <c r="R15" s="154">
        <v>0</v>
      </c>
      <c r="S15" s="154">
        <v>0</v>
      </c>
      <c r="T15" s="154">
        <v>4.3643997554696403</v>
      </c>
      <c r="U15" s="154">
        <v>0.88795389865662799</v>
      </c>
      <c r="V15" s="154">
        <v>0.13416419429837001</v>
      </c>
      <c r="W15" s="154">
        <v>0</v>
      </c>
      <c r="X15" s="154">
        <v>0</v>
      </c>
      <c r="Y15" s="154">
        <v>0</v>
      </c>
      <c r="Z15" s="154">
        <v>0</v>
      </c>
      <c r="AA15" s="154">
        <v>6.2296170749551401</v>
      </c>
      <c r="AB15" s="154">
        <v>0</v>
      </c>
      <c r="AC15" s="154">
        <v>0</v>
      </c>
      <c r="AD15" s="154">
        <v>0</v>
      </c>
      <c r="AE15" s="154">
        <v>0</v>
      </c>
      <c r="AF15" s="154">
        <v>0</v>
      </c>
      <c r="AG15" s="154">
        <v>0</v>
      </c>
      <c r="AH15" s="154">
        <v>0</v>
      </c>
      <c r="AI15" s="154">
        <v>0</v>
      </c>
      <c r="AJ15" s="154">
        <v>0</v>
      </c>
      <c r="AK15" s="154">
        <v>0</v>
      </c>
      <c r="AL15" s="154">
        <v>0</v>
      </c>
      <c r="AM15" s="154">
        <v>0</v>
      </c>
      <c r="AN15" s="154">
        <v>0</v>
      </c>
      <c r="AO15" s="154">
        <v>0</v>
      </c>
      <c r="AP15" s="154">
        <v>0</v>
      </c>
      <c r="AQ15" s="154">
        <v>0</v>
      </c>
      <c r="AR15" s="154">
        <v>0</v>
      </c>
      <c r="AS15" s="154">
        <v>0</v>
      </c>
      <c r="AT15" s="155">
        <v>0</v>
      </c>
    </row>
    <row r="16" spans="2:46" ht="12" customHeight="1" x14ac:dyDescent="0.3">
      <c r="B16" s="153" t="s">
        <v>60</v>
      </c>
      <c r="C16" s="154" t="s">
        <v>40</v>
      </c>
      <c r="D16" s="154" t="s">
        <v>25</v>
      </c>
      <c r="E16" s="154" t="s">
        <v>25</v>
      </c>
      <c r="F16" s="154" t="s">
        <v>25</v>
      </c>
      <c r="G16" s="154" t="s">
        <v>34</v>
      </c>
      <c r="H16" s="154" t="s">
        <v>78</v>
      </c>
      <c r="I16" s="154" t="s">
        <v>25</v>
      </c>
      <c r="J16" s="154">
        <v>73.53</v>
      </c>
      <c r="K16" s="154">
        <v>371.9</v>
      </c>
      <c r="L16" s="154">
        <v>4.1779741164746804</v>
      </c>
      <c r="M16" s="154">
        <v>0</v>
      </c>
      <c r="N16" s="154">
        <v>0.19553409471620001</v>
      </c>
      <c r="O16" s="154">
        <v>0</v>
      </c>
      <c r="P16" s="154">
        <v>0</v>
      </c>
      <c r="Q16" s="154">
        <v>53.724755905744999</v>
      </c>
      <c r="R16" s="154">
        <v>13.642318933507401</v>
      </c>
      <c r="S16" s="154">
        <v>0</v>
      </c>
      <c r="T16" s="154">
        <v>0</v>
      </c>
      <c r="U16" s="154">
        <v>0</v>
      </c>
      <c r="V16" s="154">
        <v>0</v>
      </c>
      <c r="W16" s="154">
        <v>0</v>
      </c>
      <c r="X16" s="154">
        <v>0</v>
      </c>
      <c r="Y16" s="154">
        <v>0</v>
      </c>
      <c r="Z16" s="154">
        <v>0</v>
      </c>
      <c r="AA16" s="154">
        <v>0</v>
      </c>
      <c r="AB16" s="154">
        <v>0</v>
      </c>
      <c r="AC16" s="154">
        <v>0</v>
      </c>
      <c r="AD16" s="154">
        <v>0</v>
      </c>
      <c r="AE16" s="154">
        <v>1.76346304513629</v>
      </c>
      <c r="AF16" s="154">
        <v>3.0562724338282901E-2</v>
      </c>
      <c r="AG16" s="154">
        <v>0</v>
      </c>
      <c r="AH16" s="154">
        <v>0</v>
      </c>
      <c r="AI16" s="154">
        <v>13.7352180479374</v>
      </c>
      <c r="AJ16" s="154">
        <v>-18.9619782147847</v>
      </c>
      <c r="AK16" s="154">
        <v>2.7264007365833902</v>
      </c>
      <c r="AL16" s="154">
        <v>20.0108248119179</v>
      </c>
      <c r="AM16" s="154">
        <v>1.48191560334144</v>
      </c>
      <c r="AN16" s="154">
        <v>336.07688789059802</v>
      </c>
      <c r="AO16" s="154">
        <v>8.0599016754402992</v>
      </c>
      <c r="AP16" s="154">
        <v>5.5561220594496099</v>
      </c>
      <c r="AQ16" s="154">
        <v>0</v>
      </c>
      <c r="AR16" s="154">
        <v>0</v>
      </c>
      <c r="AS16" s="154">
        <v>0</v>
      </c>
      <c r="AT16" s="155">
        <v>3.2114261043049899</v>
      </c>
    </row>
    <row r="17" spans="2:46" ht="12" customHeight="1" x14ac:dyDescent="0.3">
      <c r="B17" s="153" t="s">
        <v>60</v>
      </c>
      <c r="C17" s="154" t="s">
        <v>40</v>
      </c>
      <c r="D17" s="154" t="s">
        <v>25</v>
      </c>
      <c r="E17" s="154" t="s">
        <v>25</v>
      </c>
      <c r="F17" s="154" t="s">
        <v>25</v>
      </c>
      <c r="G17" s="154" t="s">
        <v>34</v>
      </c>
      <c r="H17" s="154" t="s">
        <v>81</v>
      </c>
      <c r="I17" s="154" t="s">
        <v>25</v>
      </c>
      <c r="J17" s="154">
        <v>30.57</v>
      </c>
      <c r="K17" s="154">
        <v>0</v>
      </c>
      <c r="L17" s="154">
        <v>0</v>
      </c>
      <c r="M17" s="154">
        <v>0</v>
      </c>
      <c r="N17" s="154">
        <v>0</v>
      </c>
      <c r="O17" s="154">
        <v>0</v>
      </c>
      <c r="P17" s="154">
        <v>0</v>
      </c>
      <c r="Q17" s="154">
        <v>0</v>
      </c>
      <c r="R17" s="154">
        <v>0</v>
      </c>
      <c r="S17" s="154">
        <v>0</v>
      </c>
      <c r="T17" s="154">
        <v>6.0372036058459999</v>
      </c>
      <c r="U17" s="154">
        <v>1.2185234959742799</v>
      </c>
      <c r="V17" s="154">
        <v>0.192103402249581</v>
      </c>
      <c r="W17" s="154">
        <v>0</v>
      </c>
      <c r="X17" s="154">
        <v>0</v>
      </c>
      <c r="Y17" s="154">
        <v>0</v>
      </c>
      <c r="Z17" s="154">
        <v>0</v>
      </c>
      <c r="AA17" s="154">
        <v>23.123816764844001</v>
      </c>
      <c r="AB17" s="154">
        <v>0</v>
      </c>
      <c r="AC17" s="154">
        <v>0</v>
      </c>
      <c r="AD17" s="154">
        <v>0</v>
      </c>
      <c r="AE17" s="154">
        <v>0</v>
      </c>
      <c r="AF17" s="154">
        <v>0</v>
      </c>
      <c r="AG17" s="154">
        <v>0</v>
      </c>
      <c r="AH17" s="154">
        <v>0</v>
      </c>
      <c r="AI17" s="154">
        <v>0</v>
      </c>
      <c r="AJ17" s="154">
        <v>0</v>
      </c>
      <c r="AK17" s="154">
        <v>0</v>
      </c>
      <c r="AL17" s="154">
        <v>0</v>
      </c>
      <c r="AM17" s="154">
        <v>0</v>
      </c>
      <c r="AN17" s="154">
        <v>0</v>
      </c>
      <c r="AO17" s="154">
        <v>0</v>
      </c>
      <c r="AP17" s="154">
        <v>0</v>
      </c>
      <c r="AQ17" s="154">
        <v>0</v>
      </c>
      <c r="AR17" s="154">
        <v>0</v>
      </c>
      <c r="AS17" s="154">
        <v>0</v>
      </c>
      <c r="AT17" s="155">
        <v>0</v>
      </c>
    </row>
    <row r="18" spans="2:46" ht="12" customHeight="1" x14ac:dyDescent="0.3">
      <c r="B18" s="153" t="s">
        <v>60</v>
      </c>
      <c r="C18" s="154" t="s">
        <v>40</v>
      </c>
      <c r="D18" s="154" t="s">
        <v>25</v>
      </c>
      <c r="E18" s="154" t="s">
        <v>25</v>
      </c>
      <c r="F18" s="154" t="s">
        <v>25</v>
      </c>
      <c r="G18" s="154" t="s">
        <v>35</v>
      </c>
      <c r="H18" s="154" t="s">
        <v>78</v>
      </c>
      <c r="I18" s="154" t="s">
        <v>25</v>
      </c>
      <c r="J18" s="154">
        <v>73.53</v>
      </c>
      <c r="K18" s="154">
        <v>231.21</v>
      </c>
      <c r="L18" s="154">
        <v>4.1779741164746804</v>
      </c>
      <c r="M18" s="154">
        <v>0</v>
      </c>
      <c r="N18" s="154">
        <v>0.19553409471620001</v>
      </c>
      <c r="O18" s="154">
        <v>0</v>
      </c>
      <c r="P18" s="154">
        <v>0</v>
      </c>
      <c r="Q18" s="154">
        <v>53.724755905744999</v>
      </c>
      <c r="R18" s="154">
        <v>13.642318933507401</v>
      </c>
      <c r="S18" s="154">
        <v>0</v>
      </c>
      <c r="T18" s="154">
        <v>0</v>
      </c>
      <c r="U18" s="154">
        <v>0</v>
      </c>
      <c r="V18" s="154">
        <v>0</v>
      </c>
      <c r="W18" s="154">
        <v>0</v>
      </c>
      <c r="X18" s="154">
        <v>0</v>
      </c>
      <c r="Y18" s="154">
        <v>0</v>
      </c>
      <c r="Z18" s="154">
        <v>0</v>
      </c>
      <c r="AA18" s="154">
        <v>0</v>
      </c>
      <c r="AB18" s="154">
        <v>0</v>
      </c>
      <c r="AC18" s="154">
        <v>0</v>
      </c>
      <c r="AD18" s="154">
        <v>0</v>
      </c>
      <c r="AE18" s="154">
        <v>1.76346304513629</v>
      </c>
      <c r="AF18" s="154">
        <v>3.0562724338282901E-2</v>
      </c>
      <c r="AG18" s="154">
        <v>0</v>
      </c>
      <c r="AH18" s="154">
        <v>0</v>
      </c>
      <c r="AI18" s="154">
        <v>13.7352180479374</v>
      </c>
      <c r="AJ18" s="154">
        <v>-18.9619782147847</v>
      </c>
      <c r="AK18" s="154">
        <v>2.7264007365833902</v>
      </c>
      <c r="AL18" s="154">
        <v>20.0108248119179</v>
      </c>
      <c r="AM18" s="154">
        <v>1.48191560334144</v>
      </c>
      <c r="AN18" s="154">
        <v>195.39353947127799</v>
      </c>
      <c r="AO18" s="154">
        <v>8.0599016754402992</v>
      </c>
      <c r="AP18" s="154">
        <v>5.5561220594496099</v>
      </c>
      <c r="AQ18" s="154">
        <v>0</v>
      </c>
      <c r="AR18" s="154">
        <v>0</v>
      </c>
      <c r="AS18" s="154">
        <v>0</v>
      </c>
      <c r="AT18" s="155">
        <v>3.2114261043049899</v>
      </c>
    </row>
    <row r="19" spans="2:46" ht="12" customHeight="1" x14ac:dyDescent="0.3">
      <c r="B19" s="153" t="s">
        <v>60</v>
      </c>
      <c r="C19" s="154" t="s">
        <v>40</v>
      </c>
      <c r="D19" s="154" t="s">
        <v>25</v>
      </c>
      <c r="E19" s="154" t="s">
        <v>25</v>
      </c>
      <c r="F19" s="154" t="s">
        <v>25</v>
      </c>
      <c r="G19" s="154" t="s">
        <v>35</v>
      </c>
      <c r="H19" s="154" t="s">
        <v>81</v>
      </c>
      <c r="I19" s="154" t="s">
        <v>25</v>
      </c>
      <c r="J19" s="154">
        <v>11.62</v>
      </c>
      <c r="K19" s="154">
        <v>0</v>
      </c>
      <c r="L19" s="154">
        <v>0</v>
      </c>
      <c r="M19" s="154">
        <v>0</v>
      </c>
      <c r="N19" s="154">
        <v>0</v>
      </c>
      <c r="O19" s="154">
        <v>0</v>
      </c>
      <c r="P19" s="154">
        <v>0</v>
      </c>
      <c r="Q19" s="154">
        <v>0</v>
      </c>
      <c r="R19" s="154">
        <v>0</v>
      </c>
      <c r="S19" s="154">
        <v>0</v>
      </c>
      <c r="T19" s="154">
        <v>4.3643997554696403</v>
      </c>
      <c r="U19" s="154">
        <v>0.88795389865662799</v>
      </c>
      <c r="V19" s="154">
        <v>0.13416419429837001</v>
      </c>
      <c r="W19" s="154">
        <v>0</v>
      </c>
      <c r="X19" s="154">
        <v>0</v>
      </c>
      <c r="Y19" s="154">
        <v>0</v>
      </c>
      <c r="Z19" s="154">
        <v>0</v>
      </c>
      <c r="AA19" s="154">
        <v>6.2296170749551401</v>
      </c>
      <c r="AB19" s="154">
        <v>0</v>
      </c>
      <c r="AC19" s="154">
        <v>0</v>
      </c>
      <c r="AD19" s="154">
        <v>0</v>
      </c>
      <c r="AE19" s="154">
        <v>0</v>
      </c>
      <c r="AF19" s="154">
        <v>0</v>
      </c>
      <c r="AG19" s="154">
        <v>0</v>
      </c>
      <c r="AH19" s="154">
        <v>0</v>
      </c>
      <c r="AI19" s="154">
        <v>0</v>
      </c>
      <c r="AJ19" s="154">
        <v>0</v>
      </c>
      <c r="AK19" s="154">
        <v>0</v>
      </c>
      <c r="AL19" s="154">
        <v>0</v>
      </c>
      <c r="AM19" s="154">
        <v>0</v>
      </c>
      <c r="AN19" s="154">
        <v>0</v>
      </c>
      <c r="AO19" s="154">
        <v>0</v>
      </c>
      <c r="AP19" s="154">
        <v>0</v>
      </c>
      <c r="AQ19" s="154">
        <v>0</v>
      </c>
      <c r="AR19" s="154">
        <v>0</v>
      </c>
      <c r="AS19" s="154">
        <v>0</v>
      </c>
      <c r="AT19" s="155">
        <v>0</v>
      </c>
    </row>
    <row r="20" spans="2:46" ht="12" customHeight="1" x14ac:dyDescent="0.3">
      <c r="B20" s="153" t="s">
        <v>60</v>
      </c>
      <c r="C20" s="154" t="s">
        <v>57</v>
      </c>
      <c r="D20" s="154" t="s">
        <v>25</v>
      </c>
      <c r="E20" s="154" t="s">
        <v>25</v>
      </c>
      <c r="F20" s="154" t="s">
        <v>25</v>
      </c>
      <c r="G20" s="154" t="s">
        <v>25</v>
      </c>
      <c r="H20" s="154" t="s">
        <v>81</v>
      </c>
      <c r="I20" s="154" t="s">
        <v>25</v>
      </c>
      <c r="J20" s="154">
        <v>10.97</v>
      </c>
      <c r="K20" s="154">
        <v>0</v>
      </c>
      <c r="L20" s="154">
        <v>0</v>
      </c>
      <c r="M20" s="154">
        <v>2.5577414762810401E-2</v>
      </c>
      <c r="N20" s="154">
        <v>7.6656084530705701E-2</v>
      </c>
      <c r="O20" s="154">
        <v>0</v>
      </c>
      <c r="P20" s="154">
        <v>0</v>
      </c>
      <c r="Q20" s="154">
        <v>0</v>
      </c>
      <c r="R20" s="154">
        <v>0</v>
      </c>
      <c r="S20" s="154">
        <v>0</v>
      </c>
      <c r="T20" s="154">
        <v>6.1472566227996497</v>
      </c>
      <c r="U20" s="154">
        <v>2.52358741584868</v>
      </c>
      <c r="V20" s="154">
        <v>0.618385600369181</v>
      </c>
      <c r="W20" s="154">
        <v>0</v>
      </c>
      <c r="X20" s="154">
        <v>0</v>
      </c>
      <c r="Y20" s="154">
        <v>0</v>
      </c>
      <c r="Z20" s="154">
        <v>0</v>
      </c>
      <c r="AA20" s="154">
        <v>1.5818237693278301</v>
      </c>
      <c r="AB20" s="154">
        <v>0</v>
      </c>
      <c r="AC20" s="154">
        <v>0</v>
      </c>
      <c r="AD20" s="154">
        <v>0</v>
      </c>
      <c r="AE20" s="154">
        <v>0</v>
      </c>
      <c r="AF20" s="154">
        <v>0</v>
      </c>
      <c r="AG20" s="154">
        <v>0</v>
      </c>
      <c r="AH20" s="154">
        <v>0</v>
      </c>
      <c r="AI20" s="154">
        <v>0</v>
      </c>
      <c r="AJ20" s="154">
        <v>0</v>
      </c>
      <c r="AK20" s="154">
        <v>0</v>
      </c>
      <c r="AL20" s="154">
        <v>0</v>
      </c>
      <c r="AM20" s="154">
        <v>0</v>
      </c>
      <c r="AN20" s="154">
        <v>0</v>
      </c>
      <c r="AO20" s="154">
        <v>0</v>
      </c>
      <c r="AP20" s="154">
        <v>0</v>
      </c>
      <c r="AQ20" s="154">
        <v>0</v>
      </c>
      <c r="AR20" s="154">
        <v>0</v>
      </c>
      <c r="AS20" s="154">
        <v>0</v>
      </c>
      <c r="AT20" s="155">
        <v>0</v>
      </c>
    </row>
    <row r="21" spans="2:46" ht="12" customHeight="1" x14ac:dyDescent="0.3">
      <c r="B21" s="153" t="s">
        <v>39</v>
      </c>
      <c r="C21" s="154" t="s">
        <v>40</v>
      </c>
      <c r="D21" s="154" t="s">
        <v>25</v>
      </c>
      <c r="E21" s="154" t="s">
        <v>25</v>
      </c>
      <c r="F21" s="154" t="s">
        <v>85</v>
      </c>
      <c r="G21" s="154" t="s">
        <v>34</v>
      </c>
      <c r="H21" s="154" t="s">
        <v>78</v>
      </c>
      <c r="I21" s="154" t="s">
        <v>25</v>
      </c>
      <c r="J21" s="154">
        <v>5.67</v>
      </c>
      <c r="K21" s="154">
        <v>0</v>
      </c>
      <c r="L21" s="154">
        <v>0</v>
      </c>
      <c r="M21" s="154">
        <v>0.50229505492098103</v>
      </c>
      <c r="N21" s="154">
        <v>0.38098198041553799</v>
      </c>
      <c r="O21" s="154">
        <v>0</v>
      </c>
      <c r="P21" s="154">
        <v>0</v>
      </c>
      <c r="Q21" s="154">
        <v>0</v>
      </c>
      <c r="R21" s="154">
        <v>0</v>
      </c>
      <c r="S21" s="154">
        <v>0</v>
      </c>
      <c r="T21" s="154">
        <v>0</v>
      </c>
      <c r="U21" s="154">
        <v>0</v>
      </c>
      <c r="V21" s="154">
        <v>0</v>
      </c>
      <c r="W21" s="154">
        <v>0</v>
      </c>
      <c r="X21" s="154">
        <v>0</v>
      </c>
      <c r="Y21" s="154">
        <v>0</v>
      </c>
      <c r="Z21" s="154">
        <v>0</v>
      </c>
      <c r="AA21" s="154">
        <v>0</v>
      </c>
      <c r="AB21" s="154">
        <v>0</v>
      </c>
      <c r="AC21" s="154">
        <v>0</v>
      </c>
      <c r="AD21" s="154">
        <v>0</v>
      </c>
      <c r="AE21" s="154">
        <v>3.4833082432465301</v>
      </c>
      <c r="AF21" s="154">
        <v>6.03695041510693E-2</v>
      </c>
      <c r="AG21" s="154">
        <v>1.0411337807377501</v>
      </c>
      <c r="AH21" s="154">
        <v>0.20348192089404801</v>
      </c>
      <c r="AI21" s="154">
        <v>0</v>
      </c>
      <c r="AJ21" s="154">
        <v>0</v>
      </c>
      <c r="AK21" s="154">
        <v>0</v>
      </c>
      <c r="AL21" s="154">
        <v>0</v>
      </c>
      <c r="AM21" s="154">
        <v>0</v>
      </c>
      <c r="AN21" s="154">
        <v>0</v>
      </c>
      <c r="AO21" s="154">
        <v>0</v>
      </c>
      <c r="AP21" s="154">
        <v>0</v>
      </c>
      <c r="AQ21" s="154">
        <v>0</v>
      </c>
      <c r="AR21" s="154">
        <v>0</v>
      </c>
      <c r="AS21" s="154">
        <v>0</v>
      </c>
      <c r="AT21" s="155">
        <v>0</v>
      </c>
    </row>
    <row r="22" spans="2:46" ht="12" customHeight="1" x14ac:dyDescent="0.3">
      <c r="B22" s="153" t="s">
        <v>39</v>
      </c>
      <c r="C22" s="154" t="s">
        <v>40</v>
      </c>
      <c r="D22" s="154" t="s">
        <v>25</v>
      </c>
      <c r="E22" s="154" t="s">
        <v>25</v>
      </c>
      <c r="F22" s="154" t="s">
        <v>85</v>
      </c>
      <c r="G22" s="154" t="s">
        <v>34</v>
      </c>
      <c r="H22" s="154" t="s">
        <v>81</v>
      </c>
      <c r="I22" s="154" t="s">
        <v>25</v>
      </c>
      <c r="J22" s="154">
        <v>40.479999999999997</v>
      </c>
      <c r="K22" s="154">
        <v>0</v>
      </c>
      <c r="L22" s="154">
        <v>0</v>
      </c>
      <c r="M22" s="154">
        <v>0</v>
      </c>
      <c r="N22" s="154">
        <v>0</v>
      </c>
      <c r="O22" s="154">
        <v>0</v>
      </c>
      <c r="P22" s="154">
        <v>0</v>
      </c>
      <c r="Q22" s="154">
        <v>0</v>
      </c>
      <c r="R22" s="154">
        <v>0</v>
      </c>
      <c r="S22" s="154">
        <v>0</v>
      </c>
      <c r="T22" s="154">
        <v>5.4719163998495404</v>
      </c>
      <c r="U22" s="154">
        <v>1.1044292648790801</v>
      </c>
      <c r="V22" s="154">
        <v>0.17402308203785499</v>
      </c>
      <c r="W22" s="154">
        <v>0</v>
      </c>
      <c r="X22" s="154">
        <v>0</v>
      </c>
      <c r="Y22" s="154">
        <v>0</v>
      </c>
      <c r="Z22" s="154">
        <v>0</v>
      </c>
      <c r="AA22" s="154">
        <v>33.732938196970103</v>
      </c>
      <c r="AB22" s="154">
        <v>0</v>
      </c>
      <c r="AC22" s="154">
        <v>0</v>
      </c>
      <c r="AD22" s="154">
        <v>0</v>
      </c>
      <c r="AE22" s="154">
        <v>0</v>
      </c>
      <c r="AF22" s="154">
        <v>0</v>
      </c>
      <c r="AG22" s="154">
        <v>0</v>
      </c>
      <c r="AH22" s="154">
        <v>0</v>
      </c>
      <c r="AI22" s="154">
        <v>0</v>
      </c>
      <c r="AJ22" s="154">
        <v>0</v>
      </c>
      <c r="AK22" s="154">
        <v>0</v>
      </c>
      <c r="AL22" s="154">
        <v>0</v>
      </c>
      <c r="AM22" s="154">
        <v>0</v>
      </c>
      <c r="AN22" s="154">
        <v>0</v>
      </c>
      <c r="AO22" s="154">
        <v>0</v>
      </c>
      <c r="AP22" s="154">
        <v>0</v>
      </c>
      <c r="AQ22" s="154">
        <v>0</v>
      </c>
      <c r="AR22" s="154">
        <v>0</v>
      </c>
      <c r="AS22" s="154">
        <v>0</v>
      </c>
      <c r="AT22" s="155">
        <v>0</v>
      </c>
    </row>
    <row r="23" spans="2:46" ht="12" customHeight="1" x14ac:dyDescent="0.3">
      <c r="B23" s="153" t="s">
        <v>39</v>
      </c>
      <c r="C23" s="154" t="s">
        <v>40</v>
      </c>
      <c r="D23" s="154" t="s">
        <v>25</v>
      </c>
      <c r="E23" s="154" t="s">
        <v>25</v>
      </c>
      <c r="F23" s="154" t="s">
        <v>85</v>
      </c>
      <c r="G23" s="154" t="s">
        <v>35</v>
      </c>
      <c r="H23" s="154" t="s">
        <v>78</v>
      </c>
      <c r="I23" s="154" t="s">
        <v>25</v>
      </c>
      <c r="J23" s="154">
        <v>5.67</v>
      </c>
      <c r="K23" s="154">
        <v>0</v>
      </c>
      <c r="L23" s="154">
        <v>0</v>
      </c>
      <c r="M23" s="154">
        <v>0.50229505492098103</v>
      </c>
      <c r="N23" s="154">
        <v>0.38098198041553799</v>
      </c>
      <c r="O23" s="154">
        <v>0</v>
      </c>
      <c r="P23" s="154">
        <v>0</v>
      </c>
      <c r="Q23" s="154">
        <v>0</v>
      </c>
      <c r="R23" s="154">
        <v>0</v>
      </c>
      <c r="S23" s="154">
        <v>0</v>
      </c>
      <c r="T23" s="154">
        <v>0</v>
      </c>
      <c r="U23" s="154">
        <v>0</v>
      </c>
      <c r="V23" s="154">
        <v>0</v>
      </c>
      <c r="W23" s="154">
        <v>0</v>
      </c>
      <c r="X23" s="154">
        <v>0</v>
      </c>
      <c r="Y23" s="154">
        <v>0</v>
      </c>
      <c r="Z23" s="154">
        <v>0</v>
      </c>
      <c r="AA23" s="154">
        <v>0</v>
      </c>
      <c r="AB23" s="154">
        <v>0</v>
      </c>
      <c r="AC23" s="154">
        <v>0</v>
      </c>
      <c r="AD23" s="154">
        <v>0</v>
      </c>
      <c r="AE23" s="154">
        <v>3.4833082432465301</v>
      </c>
      <c r="AF23" s="154">
        <v>6.03695041510693E-2</v>
      </c>
      <c r="AG23" s="154">
        <v>1.0411337807377501</v>
      </c>
      <c r="AH23" s="154">
        <v>0.20348192089404801</v>
      </c>
      <c r="AI23" s="154">
        <v>0</v>
      </c>
      <c r="AJ23" s="154">
        <v>0</v>
      </c>
      <c r="AK23" s="154">
        <v>0</v>
      </c>
      <c r="AL23" s="154">
        <v>0</v>
      </c>
      <c r="AM23" s="154">
        <v>0</v>
      </c>
      <c r="AN23" s="154">
        <v>0</v>
      </c>
      <c r="AO23" s="154">
        <v>0</v>
      </c>
      <c r="AP23" s="154">
        <v>0</v>
      </c>
      <c r="AQ23" s="154">
        <v>0</v>
      </c>
      <c r="AR23" s="154">
        <v>0</v>
      </c>
      <c r="AS23" s="154">
        <v>0</v>
      </c>
      <c r="AT23" s="155">
        <v>0</v>
      </c>
    </row>
    <row r="24" spans="2:46" ht="12" customHeight="1" x14ac:dyDescent="0.3">
      <c r="B24" s="153" t="s">
        <v>39</v>
      </c>
      <c r="C24" s="154" t="s">
        <v>40</v>
      </c>
      <c r="D24" s="154" t="s">
        <v>25</v>
      </c>
      <c r="E24" s="154" t="s">
        <v>25</v>
      </c>
      <c r="F24" s="154" t="s">
        <v>85</v>
      </c>
      <c r="G24" s="154" t="s">
        <v>35</v>
      </c>
      <c r="H24" s="154" t="s">
        <v>81</v>
      </c>
      <c r="I24" s="154" t="s">
        <v>25</v>
      </c>
      <c r="J24" s="154">
        <v>15.7</v>
      </c>
      <c r="K24" s="154">
        <v>0</v>
      </c>
      <c r="L24" s="154">
        <v>0</v>
      </c>
      <c r="M24" s="154">
        <v>0</v>
      </c>
      <c r="N24" s="154">
        <v>0</v>
      </c>
      <c r="O24" s="154">
        <v>0</v>
      </c>
      <c r="P24" s="154">
        <v>0</v>
      </c>
      <c r="Q24" s="154">
        <v>0</v>
      </c>
      <c r="R24" s="154">
        <v>0</v>
      </c>
      <c r="S24" s="154">
        <v>0</v>
      </c>
      <c r="T24" s="154">
        <v>3.82004517721403</v>
      </c>
      <c r="U24" s="154">
        <v>0.77718560839183204</v>
      </c>
      <c r="V24" s="154">
        <v>0.11731662319199</v>
      </c>
      <c r="W24" s="154">
        <v>0</v>
      </c>
      <c r="X24" s="154">
        <v>0</v>
      </c>
      <c r="Y24" s="154">
        <v>0</v>
      </c>
      <c r="Z24" s="154">
        <v>0</v>
      </c>
      <c r="AA24" s="154">
        <v>10.9869808819493</v>
      </c>
      <c r="AB24" s="154">
        <v>0</v>
      </c>
      <c r="AC24" s="154">
        <v>0</v>
      </c>
      <c r="AD24" s="154">
        <v>0</v>
      </c>
      <c r="AE24" s="154">
        <v>0</v>
      </c>
      <c r="AF24" s="154">
        <v>0</v>
      </c>
      <c r="AG24" s="154">
        <v>0</v>
      </c>
      <c r="AH24" s="154">
        <v>0</v>
      </c>
      <c r="AI24" s="154">
        <v>0</v>
      </c>
      <c r="AJ24" s="154">
        <v>0</v>
      </c>
      <c r="AK24" s="154">
        <v>0</v>
      </c>
      <c r="AL24" s="154">
        <v>0</v>
      </c>
      <c r="AM24" s="154">
        <v>0</v>
      </c>
      <c r="AN24" s="154">
        <v>0</v>
      </c>
      <c r="AO24" s="154">
        <v>0</v>
      </c>
      <c r="AP24" s="154">
        <v>0</v>
      </c>
      <c r="AQ24" s="154">
        <v>0</v>
      </c>
      <c r="AR24" s="154">
        <v>0</v>
      </c>
      <c r="AS24" s="154">
        <v>0</v>
      </c>
      <c r="AT24" s="155">
        <v>0</v>
      </c>
    </row>
    <row r="25" spans="2:46" ht="12" customHeight="1" x14ac:dyDescent="0.3">
      <c r="B25" s="153" t="s">
        <v>39</v>
      </c>
      <c r="C25" s="154" t="s">
        <v>40</v>
      </c>
      <c r="D25" s="154" t="s">
        <v>25</v>
      </c>
      <c r="E25" s="154" t="s">
        <v>25</v>
      </c>
      <c r="F25" s="154" t="s">
        <v>25</v>
      </c>
      <c r="G25" s="154" t="s">
        <v>34</v>
      </c>
      <c r="H25" s="154" t="s">
        <v>78</v>
      </c>
      <c r="I25" s="154" t="s">
        <v>25</v>
      </c>
      <c r="J25" s="154">
        <v>97.78</v>
      </c>
      <c r="K25" s="154">
        <v>371.9</v>
      </c>
      <c r="L25" s="154">
        <v>5.6604810610302101</v>
      </c>
      <c r="M25" s="154">
        <v>0.50229505492098103</v>
      </c>
      <c r="N25" s="154">
        <v>0.39356137405399599</v>
      </c>
      <c r="O25" s="154">
        <v>0</v>
      </c>
      <c r="P25" s="154">
        <v>0</v>
      </c>
      <c r="Q25" s="154">
        <v>72.788378969073904</v>
      </c>
      <c r="R25" s="154">
        <v>13.642318933507401</v>
      </c>
      <c r="S25" s="154">
        <v>0</v>
      </c>
      <c r="T25" s="154">
        <v>0</v>
      </c>
      <c r="U25" s="154">
        <v>0</v>
      </c>
      <c r="V25" s="154">
        <v>0</v>
      </c>
      <c r="W25" s="154">
        <v>0</v>
      </c>
      <c r="X25" s="154">
        <v>0</v>
      </c>
      <c r="Y25" s="154">
        <v>0</v>
      </c>
      <c r="Z25" s="154">
        <v>0</v>
      </c>
      <c r="AA25" s="154">
        <v>0</v>
      </c>
      <c r="AB25" s="154">
        <v>0</v>
      </c>
      <c r="AC25" s="154">
        <v>0</v>
      </c>
      <c r="AD25" s="154">
        <v>0</v>
      </c>
      <c r="AE25" s="154">
        <v>3.4833082432465301</v>
      </c>
      <c r="AF25" s="154">
        <v>6.03695041510693E-2</v>
      </c>
      <c r="AG25" s="154">
        <v>1.0411337807377501</v>
      </c>
      <c r="AH25" s="154">
        <v>0.20348192089404801</v>
      </c>
      <c r="AI25" s="154">
        <v>13.7352180479374</v>
      </c>
      <c r="AJ25" s="154">
        <v>-18.9619782147847</v>
      </c>
      <c r="AK25" s="154">
        <v>2.7264007365833902</v>
      </c>
      <c r="AL25" s="154">
        <v>20.0108248119179</v>
      </c>
      <c r="AM25" s="154">
        <v>1.48191560334144</v>
      </c>
      <c r="AN25" s="154">
        <v>336.07688789059802</v>
      </c>
      <c r="AO25" s="154">
        <v>8.0599016754402992</v>
      </c>
      <c r="AP25" s="154">
        <v>5.5561220594496099</v>
      </c>
      <c r="AQ25" s="154">
        <v>0</v>
      </c>
      <c r="AR25" s="154">
        <v>0</v>
      </c>
      <c r="AS25" s="154">
        <v>0</v>
      </c>
      <c r="AT25" s="155">
        <v>3.2114261043049899</v>
      </c>
    </row>
    <row r="26" spans="2:46" ht="12" customHeight="1" x14ac:dyDescent="0.3">
      <c r="B26" s="153" t="s">
        <v>39</v>
      </c>
      <c r="C26" s="154" t="s">
        <v>40</v>
      </c>
      <c r="D26" s="154" t="s">
        <v>25</v>
      </c>
      <c r="E26" s="154" t="s">
        <v>25</v>
      </c>
      <c r="F26" s="154" t="s">
        <v>25</v>
      </c>
      <c r="G26" s="154" t="s">
        <v>34</v>
      </c>
      <c r="H26" s="154" t="s">
        <v>81</v>
      </c>
      <c r="I26" s="154" t="s">
        <v>25</v>
      </c>
      <c r="J26" s="154">
        <v>40.479999999999997</v>
      </c>
      <c r="K26" s="154">
        <v>0</v>
      </c>
      <c r="L26" s="154">
        <v>0</v>
      </c>
      <c r="M26" s="154">
        <v>0</v>
      </c>
      <c r="N26" s="154">
        <v>0</v>
      </c>
      <c r="O26" s="154">
        <v>0</v>
      </c>
      <c r="P26" s="154">
        <v>0</v>
      </c>
      <c r="Q26" s="154">
        <v>0</v>
      </c>
      <c r="R26" s="154">
        <v>0</v>
      </c>
      <c r="S26" s="154">
        <v>0</v>
      </c>
      <c r="T26" s="154">
        <v>5.4719163998495404</v>
      </c>
      <c r="U26" s="154">
        <v>1.1044292648790801</v>
      </c>
      <c r="V26" s="154">
        <v>0.17402308203785499</v>
      </c>
      <c r="W26" s="154">
        <v>0</v>
      </c>
      <c r="X26" s="154">
        <v>0</v>
      </c>
      <c r="Y26" s="154">
        <v>0</v>
      </c>
      <c r="Z26" s="154">
        <v>0</v>
      </c>
      <c r="AA26" s="154">
        <v>33.732938196970103</v>
      </c>
      <c r="AB26" s="154">
        <v>0</v>
      </c>
      <c r="AC26" s="154">
        <v>0</v>
      </c>
      <c r="AD26" s="154">
        <v>0</v>
      </c>
      <c r="AE26" s="154">
        <v>0</v>
      </c>
      <c r="AF26" s="154">
        <v>0</v>
      </c>
      <c r="AG26" s="154">
        <v>0</v>
      </c>
      <c r="AH26" s="154">
        <v>0</v>
      </c>
      <c r="AI26" s="154">
        <v>0</v>
      </c>
      <c r="AJ26" s="154">
        <v>0</v>
      </c>
      <c r="AK26" s="154">
        <v>0</v>
      </c>
      <c r="AL26" s="154">
        <v>0</v>
      </c>
      <c r="AM26" s="154">
        <v>0</v>
      </c>
      <c r="AN26" s="154">
        <v>0</v>
      </c>
      <c r="AO26" s="154">
        <v>0</v>
      </c>
      <c r="AP26" s="154">
        <v>0</v>
      </c>
      <c r="AQ26" s="154">
        <v>0</v>
      </c>
      <c r="AR26" s="154">
        <v>0</v>
      </c>
      <c r="AS26" s="154">
        <v>0</v>
      </c>
      <c r="AT26" s="155">
        <v>0</v>
      </c>
    </row>
    <row r="27" spans="2:46" ht="12" customHeight="1" x14ac:dyDescent="0.3">
      <c r="B27" s="153" t="s">
        <v>39</v>
      </c>
      <c r="C27" s="154" t="s">
        <v>40</v>
      </c>
      <c r="D27" s="154" t="s">
        <v>25</v>
      </c>
      <c r="E27" s="154" t="s">
        <v>25</v>
      </c>
      <c r="F27" s="154" t="s">
        <v>25</v>
      </c>
      <c r="G27" s="154" t="s">
        <v>35</v>
      </c>
      <c r="H27" s="154" t="s">
        <v>78</v>
      </c>
      <c r="I27" s="154" t="s">
        <v>25</v>
      </c>
      <c r="J27" s="154">
        <v>97.78</v>
      </c>
      <c r="K27" s="154">
        <v>231.21</v>
      </c>
      <c r="L27" s="154">
        <v>5.6604810610302101</v>
      </c>
      <c r="M27" s="154">
        <v>0.50229505492098103</v>
      </c>
      <c r="N27" s="154">
        <v>0.39356137405399599</v>
      </c>
      <c r="O27" s="154">
        <v>0</v>
      </c>
      <c r="P27" s="154">
        <v>0</v>
      </c>
      <c r="Q27" s="154">
        <v>72.788378969073904</v>
      </c>
      <c r="R27" s="154">
        <v>13.642318933507401</v>
      </c>
      <c r="S27" s="154">
        <v>0</v>
      </c>
      <c r="T27" s="154">
        <v>0</v>
      </c>
      <c r="U27" s="154">
        <v>0</v>
      </c>
      <c r="V27" s="154">
        <v>0</v>
      </c>
      <c r="W27" s="154">
        <v>0</v>
      </c>
      <c r="X27" s="154">
        <v>0</v>
      </c>
      <c r="Y27" s="154">
        <v>0</v>
      </c>
      <c r="Z27" s="154">
        <v>0</v>
      </c>
      <c r="AA27" s="154">
        <v>0</v>
      </c>
      <c r="AB27" s="154">
        <v>0</v>
      </c>
      <c r="AC27" s="154">
        <v>0</v>
      </c>
      <c r="AD27" s="154">
        <v>0</v>
      </c>
      <c r="AE27" s="154">
        <v>3.4833082432465301</v>
      </c>
      <c r="AF27" s="154">
        <v>6.03695041510693E-2</v>
      </c>
      <c r="AG27" s="154">
        <v>1.0411337807377501</v>
      </c>
      <c r="AH27" s="154">
        <v>0.20348192089404801</v>
      </c>
      <c r="AI27" s="154">
        <v>13.7352180479374</v>
      </c>
      <c r="AJ27" s="154">
        <v>-18.9619782147847</v>
      </c>
      <c r="AK27" s="154">
        <v>2.7264007365833902</v>
      </c>
      <c r="AL27" s="154">
        <v>20.0108248119179</v>
      </c>
      <c r="AM27" s="154">
        <v>1.48191560334144</v>
      </c>
      <c r="AN27" s="154">
        <v>195.39353947127799</v>
      </c>
      <c r="AO27" s="154">
        <v>8.0599016754402992</v>
      </c>
      <c r="AP27" s="154">
        <v>5.5561220594496099</v>
      </c>
      <c r="AQ27" s="154">
        <v>0</v>
      </c>
      <c r="AR27" s="154">
        <v>0</v>
      </c>
      <c r="AS27" s="154">
        <v>0</v>
      </c>
      <c r="AT27" s="155">
        <v>3.2114261043049899</v>
      </c>
    </row>
    <row r="28" spans="2:46" ht="12" customHeight="1" x14ac:dyDescent="0.3">
      <c r="B28" s="153" t="s">
        <v>39</v>
      </c>
      <c r="C28" s="154" t="s">
        <v>40</v>
      </c>
      <c r="D28" s="154" t="s">
        <v>25</v>
      </c>
      <c r="E28" s="154" t="s">
        <v>25</v>
      </c>
      <c r="F28" s="154" t="s">
        <v>25</v>
      </c>
      <c r="G28" s="154" t="s">
        <v>35</v>
      </c>
      <c r="H28" s="154" t="s">
        <v>81</v>
      </c>
      <c r="I28" s="154" t="s">
        <v>25</v>
      </c>
      <c r="J28" s="154">
        <v>15.7</v>
      </c>
      <c r="K28" s="154">
        <v>0</v>
      </c>
      <c r="L28" s="154">
        <v>0</v>
      </c>
      <c r="M28" s="154">
        <v>0</v>
      </c>
      <c r="N28" s="154">
        <v>0</v>
      </c>
      <c r="O28" s="154">
        <v>0</v>
      </c>
      <c r="P28" s="154">
        <v>0</v>
      </c>
      <c r="Q28" s="154">
        <v>0</v>
      </c>
      <c r="R28" s="154">
        <v>0</v>
      </c>
      <c r="S28" s="154">
        <v>0</v>
      </c>
      <c r="T28" s="154">
        <v>3.82004517721403</v>
      </c>
      <c r="U28" s="154">
        <v>0.77718560839183204</v>
      </c>
      <c r="V28" s="154">
        <v>0.11731662319199</v>
      </c>
      <c r="W28" s="154">
        <v>0</v>
      </c>
      <c r="X28" s="154">
        <v>0</v>
      </c>
      <c r="Y28" s="154">
        <v>0</v>
      </c>
      <c r="Z28" s="154">
        <v>0</v>
      </c>
      <c r="AA28" s="154">
        <v>10.9869808819493</v>
      </c>
      <c r="AB28" s="154">
        <v>0</v>
      </c>
      <c r="AC28" s="154">
        <v>0</v>
      </c>
      <c r="AD28" s="154">
        <v>0</v>
      </c>
      <c r="AE28" s="154">
        <v>0</v>
      </c>
      <c r="AF28" s="154">
        <v>0</v>
      </c>
      <c r="AG28" s="154">
        <v>0</v>
      </c>
      <c r="AH28" s="154">
        <v>0</v>
      </c>
      <c r="AI28" s="154">
        <v>0</v>
      </c>
      <c r="AJ28" s="154">
        <v>0</v>
      </c>
      <c r="AK28" s="154">
        <v>0</v>
      </c>
      <c r="AL28" s="154">
        <v>0</v>
      </c>
      <c r="AM28" s="154">
        <v>0</v>
      </c>
      <c r="AN28" s="154">
        <v>0</v>
      </c>
      <c r="AO28" s="154">
        <v>0</v>
      </c>
      <c r="AP28" s="154">
        <v>0</v>
      </c>
      <c r="AQ28" s="154">
        <v>0</v>
      </c>
      <c r="AR28" s="154">
        <v>0</v>
      </c>
      <c r="AS28" s="154">
        <v>0</v>
      </c>
      <c r="AT28" s="155">
        <v>0</v>
      </c>
    </row>
    <row r="29" spans="2:46" ht="12" customHeight="1" x14ac:dyDescent="0.3">
      <c r="B29" s="153" t="s">
        <v>39</v>
      </c>
      <c r="C29" s="154" t="s">
        <v>57</v>
      </c>
      <c r="D29" s="154" t="s">
        <v>25</v>
      </c>
      <c r="E29" s="154" t="s">
        <v>25</v>
      </c>
      <c r="F29" s="154" t="s">
        <v>25</v>
      </c>
      <c r="G29" s="154" t="s">
        <v>25</v>
      </c>
      <c r="H29" s="154" t="s">
        <v>81</v>
      </c>
      <c r="I29" s="154" t="s">
        <v>25</v>
      </c>
      <c r="J29" s="154">
        <v>3.74</v>
      </c>
      <c r="K29" s="154">
        <v>0</v>
      </c>
      <c r="L29" s="154">
        <v>0</v>
      </c>
      <c r="M29" s="154">
        <v>1.2375668529667301E-2</v>
      </c>
      <c r="N29" s="154">
        <v>3.8744532406452301E-2</v>
      </c>
      <c r="O29" s="154">
        <v>0</v>
      </c>
      <c r="P29" s="154">
        <v>0</v>
      </c>
      <c r="Q29" s="154">
        <v>0</v>
      </c>
      <c r="R29" s="154">
        <v>0</v>
      </c>
      <c r="S29" s="154">
        <v>0</v>
      </c>
      <c r="T29" s="154">
        <v>0</v>
      </c>
      <c r="U29" s="154">
        <v>0</v>
      </c>
      <c r="V29" s="154">
        <v>0</v>
      </c>
      <c r="W29" s="154">
        <v>0</v>
      </c>
      <c r="X29" s="154">
        <v>0</v>
      </c>
      <c r="Y29" s="154">
        <v>0</v>
      </c>
      <c r="Z29" s="154">
        <v>0</v>
      </c>
      <c r="AA29" s="154">
        <v>3.6888920634292801</v>
      </c>
      <c r="AB29" s="154">
        <v>0</v>
      </c>
      <c r="AC29" s="154">
        <v>0</v>
      </c>
      <c r="AD29" s="154">
        <v>0</v>
      </c>
      <c r="AE29" s="154">
        <v>1.6665923639799501E-3</v>
      </c>
      <c r="AF29" s="154">
        <v>0</v>
      </c>
      <c r="AG29" s="154">
        <v>0</v>
      </c>
      <c r="AH29" s="154">
        <v>0</v>
      </c>
      <c r="AI29" s="154">
        <v>0</v>
      </c>
      <c r="AJ29" s="154">
        <v>0</v>
      </c>
      <c r="AK29" s="154">
        <v>0</v>
      </c>
      <c r="AL29" s="154">
        <v>0</v>
      </c>
      <c r="AM29" s="154">
        <v>0</v>
      </c>
      <c r="AN29" s="154">
        <v>0</v>
      </c>
      <c r="AO29" s="154">
        <v>0</v>
      </c>
      <c r="AP29" s="154">
        <v>0</v>
      </c>
      <c r="AQ29" s="154">
        <v>0</v>
      </c>
      <c r="AR29" s="154">
        <v>0</v>
      </c>
      <c r="AS29" s="154">
        <v>0</v>
      </c>
      <c r="AT29" s="155">
        <v>0</v>
      </c>
    </row>
    <row r="30" spans="2:46" ht="12" customHeight="1" x14ac:dyDescent="0.3">
      <c r="B30" s="153" t="s">
        <v>39</v>
      </c>
      <c r="C30" s="154" t="s">
        <v>41</v>
      </c>
      <c r="D30" s="154" t="s">
        <v>25</v>
      </c>
      <c r="E30" s="154" t="s">
        <v>25</v>
      </c>
      <c r="F30" s="154" t="s">
        <v>85</v>
      </c>
      <c r="G30" s="154" t="s">
        <v>34</v>
      </c>
      <c r="H30" s="154" t="s">
        <v>78</v>
      </c>
      <c r="I30" s="154" t="s">
        <v>25</v>
      </c>
      <c r="J30" s="154">
        <v>989.81</v>
      </c>
      <c r="K30" s="154">
        <v>0</v>
      </c>
      <c r="L30" s="154">
        <v>0</v>
      </c>
      <c r="M30" s="154">
        <v>0.50229505492098103</v>
      </c>
      <c r="N30" s="154">
        <v>10.8911383258308</v>
      </c>
      <c r="O30" s="154">
        <v>0</v>
      </c>
      <c r="P30" s="154">
        <v>0</v>
      </c>
      <c r="Q30" s="154">
        <v>0</v>
      </c>
      <c r="R30" s="154">
        <v>0</v>
      </c>
      <c r="S30" s="154">
        <v>0</v>
      </c>
      <c r="T30" s="154">
        <v>131.60024289689201</v>
      </c>
      <c r="U30" s="154">
        <v>26.5619034114149</v>
      </c>
      <c r="V30" s="154">
        <v>4.1868268781197404</v>
      </c>
      <c r="W30" s="154">
        <v>0</v>
      </c>
      <c r="X30" s="154">
        <v>0</v>
      </c>
      <c r="Y30" s="154">
        <v>0</v>
      </c>
      <c r="Z30" s="154">
        <v>0</v>
      </c>
      <c r="AA30" s="154">
        <v>811.27677782020805</v>
      </c>
      <c r="AB30" s="154">
        <v>0</v>
      </c>
      <c r="AC30" s="154">
        <v>0</v>
      </c>
      <c r="AD30" s="154">
        <v>0</v>
      </c>
      <c r="AE30" s="154">
        <v>3.4833082432465301</v>
      </c>
      <c r="AF30" s="154">
        <v>6.03695041510693E-2</v>
      </c>
      <c r="AG30" s="154">
        <v>1.0411337807377501</v>
      </c>
      <c r="AH30" s="154">
        <v>0.20348192089404801</v>
      </c>
      <c r="AI30" s="154">
        <v>0</v>
      </c>
      <c r="AJ30" s="154">
        <v>0</v>
      </c>
      <c r="AK30" s="154">
        <v>0</v>
      </c>
      <c r="AL30" s="154">
        <v>0</v>
      </c>
      <c r="AM30" s="154">
        <v>0</v>
      </c>
      <c r="AN30" s="154">
        <v>0</v>
      </c>
      <c r="AO30" s="154">
        <v>0</v>
      </c>
      <c r="AP30" s="154">
        <v>0</v>
      </c>
      <c r="AQ30" s="154">
        <v>0</v>
      </c>
      <c r="AR30" s="154">
        <v>0</v>
      </c>
      <c r="AS30" s="154">
        <v>0</v>
      </c>
      <c r="AT30" s="155">
        <v>0</v>
      </c>
    </row>
    <row r="31" spans="2:46" ht="12" customHeight="1" x14ac:dyDescent="0.3">
      <c r="B31" s="153" t="s">
        <v>39</v>
      </c>
      <c r="C31" s="154" t="s">
        <v>41</v>
      </c>
      <c r="D31" s="154" t="s">
        <v>25</v>
      </c>
      <c r="E31" s="154" t="s">
        <v>25</v>
      </c>
      <c r="F31" s="154" t="s">
        <v>85</v>
      </c>
      <c r="G31" s="154" t="s">
        <v>25</v>
      </c>
      <c r="H31" s="154" t="s">
        <v>81</v>
      </c>
      <c r="I31" s="154" t="s">
        <v>25</v>
      </c>
      <c r="J31" s="154">
        <v>15.7</v>
      </c>
      <c r="K31" s="154">
        <v>0</v>
      </c>
      <c r="L31" s="154">
        <v>0</v>
      </c>
      <c r="M31" s="154">
        <v>0</v>
      </c>
      <c r="N31" s="154">
        <v>0</v>
      </c>
      <c r="O31" s="154">
        <v>0</v>
      </c>
      <c r="P31" s="154">
        <v>0</v>
      </c>
      <c r="Q31" s="154">
        <v>0</v>
      </c>
      <c r="R31" s="154">
        <v>0</v>
      </c>
      <c r="S31" s="154">
        <v>0</v>
      </c>
      <c r="T31" s="154">
        <v>3.82004517721403</v>
      </c>
      <c r="U31" s="154">
        <v>0.77718560839183204</v>
      </c>
      <c r="V31" s="154">
        <v>0.11731662319199</v>
      </c>
      <c r="W31" s="154">
        <v>0</v>
      </c>
      <c r="X31" s="154">
        <v>0</v>
      </c>
      <c r="Y31" s="154">
        <v>0</v>
      </c>
      <c r="Z31" s="154">
        <v>0</v>
      </c>
      <c r="AA31" s="154">
        <v>10.9869808819493</v>
      </c>
      <c r="AB31" s="154">
        <v>0</v>
      </c>
      <c r="AC31" s="154">
        <v>0</v>
      </c>
      <c r="AD31" s="154">
        <v>0</v>
      </c>
      <c r="AE31" s="154">
        <v>0</v>
      </c>
      <c r="AF31" s="154">
        <v>0</v>
      </c>
      <c r="AG31" s="154">
        <v>0</v>
      </c>
      <c r="AH31" s="154">
        <v>0</v>
      </c>
      <c r="AI31" s="154">
        <v>0</v>
      </c>
      <c r="AJ31" s="154">
        <v>0</v>
      </c>
      <c r="AK31" s="154">
        <v>0</v>
      </c>
      <c r="AL31" s="154">
        <v>0</v>
      </c>
      <c r="AM31" s="154">
        <v>0</v>
      </c>
      <c r="AN31" s="154">
        <v>0</v>
      </c>
      <c r="AO31" s="154">
        <v>0</v>
      </c>
      <c r="AP31" s="154">
        <v>0</v>
      </c>
      <c r="AQ31" s="154">
        <v>0</v>
      </c>
      <c r="AR31" s="154">
        <v>0</v>
      </c>
      <c r="AS31" s="154">
        <v>0</v>
      </c>
      <c r="AT31" s="155">
        <v>0</v>
      </c>
    </row>
    <row r="32" spans="2:46" ht="12" customHeight="1" x14ac:dyDescent="0.3">
      <c r="B32" s="153" t="s">
        <v>39</v>
      </c>
      <c r="C32" s="154" t="s">
        <v>41</v>
      </c>
      <c r="D32" s="154" t="s">
        <v>25</v>
      </c>
      <c r="E32" s="154" t="s">
        <v>25</v>
      </c>
      <c r="F32" s="154" t="s">
        <v>85</v>
      </c>
      <c r="G32" s="154" t="s">
        <v>35</v>
      </c>
      <c r="H32" s="154" t="s">
        <v>78</v>
      </c>
      <c r="I32" s="154" t="s">
        <v>25</v>
      </c>
      <c r="J32" s="154">
        <v>5.67</v>
      </c>
      <c r="K32" s="154">
        <v>0</v>
      </c>
      <c r="L32" s="154">
        <v>0</v>
      </c>
      <c r="M32" s="154">
        <v>0.50229505492098103</v>
      </c>
      <c r="N32" s="154">
        <v>0.38098198041553799</v>
      </c>
      <c r="O32" s="154">
        <v>0</v>
      </c>
      <c r="P32" s="154">
        <v>0</v>
      </c>
      <c r="Q32" s="154">
        <v>0</v>
      </c>
      <c r="R32" s="154">
        <v>0</v>
      </c>
      <c r="S32" s="154">
        <v>0</v>
      </c>
      <c r="T32" s="154">
        <v>0</v>
      </c>
      <c r="U32" s="154">
        <v>0</v>
      </c>
      <c r="V32" s="154">
        <v>0</v>
      </c>
      <c r="W32" s="154">
        <v>0</v>
      </c>
      <c r="X32" s="154">
        <v>0</v>
      </c>
      <c r="Y32" s="154">
        <v>0</v>
      </c>
      <c r="Z32" s="154">
        <v>0</v>
      </c>
      <c r="AA32" s="154">
        <v>0</v>
      </c>
      <c r="AB32" s="154">
        <v>0</v>
      </c>
      <c r="AC32" s="154">
        <v>0</v>
      </c>
      <c r="AD32" s="154">
        <v>0</v>
      </c>
      <c r="AE32" s="154">
        <v>3.4833082432465301</v>
      </c>
      <c r="AF32" s="154">
        <v>6.03695041510693E-2</v>
      </c>
      <c r="AG32" s="154">
        <v>1.0411337807377501</v>
      </c>
      <c r="AH32" s="154">
        <v>0.20348192089404801</v>
      </c>
      <c r="AI32" s="154">
        <v>0</v>
      </c>
      <c r="AJ32" s="154">
        <v>0</v>
      </c>
      <c r="AK32" s="154">
        <v>0</v>
      </c>
      <c r="AL32" s="154">
        <v>0</v>
      </c>
      <c r="AM32" s="154">
        <v>0</v>
      </c>
      <c r="AN32" s="154">
        <v>0</v>
      </c>
      <c r="AO32" s="154">
        <v>0</v>
      </c>
      <c r="AP32" s="154">
        <v>0</v>
      </c>
      <c r="AQ32" s="154">
        <v>0</v>
      </c>
      <c r="AR32" s="154">
        <v>0</v>
      </c>
      <c r="AS32" s="154">
        <v>0</v>
      </c>
      <c r="AT32" s="155">
        <v>0</v>
      </c>
    </row>
    <row r="33" spans="2:46" ht="12" customHeight="1" x14ac:dyDescent="0.3">
      <c r="B33" s="153" t="s">
        <v>39</v>
      </c>
      <c r="C33" s="154" t="s">
        <v>41</v>
      </c>
      <c r="D33" s="154" t="s">
        <v>25</v>
      </c>
      <c r="E33" s="154" t="s">
        <v>25</v>
      </c>
      <c r="F33" s="154" t="s">
        <v>25</v>
      </c>
      <c r="G33" s="154" t="s">
        <v>34</v>
      </c>
      <c r="H33" s="154" t="s">
        <v>78</v>
      </c>
      <c r="I33" s="154" t="s">
        <v>25</v>
      </c>
      <c r="J33" s="154">
        <v>1081.9100000000001</v>
      </c>
      <c r="K33" s="154">
        <v>371.9</v>
      </c>
      <c r="L33" s="154">
        <v>5.6604810610302101</v>
      </c>
      <c r="M33" s="154">
        <v>0.50229505492098103</v>
      </c>
      <c r="N33" s="154">
        <v>10.903717719469199</v>
      </c>
      <c r="O33" s="154">
        <v>0</v>
      </c>
      <c r="P33" s="154">
        <v>0</v>
      </c>
      <c r="Q33" s="154">
        <v>72.788378969073904</v>
      </c>
      <c r="R33" s="154">
        <v>13.642318933507401</v>
      </c>
      <c r="S33" s="154">
        <v>0</v>
      </c>
      <c r="T33" s="154">
        <v>131.60024289689201</v>
      </c>
      <c r="U33" s="154">
        <v>26.5619034114149</v>
      </c>
      <c r="V33" s="154">
        <v>4.1868268781197404</v>
      </c>
      <c r="W33" s="154">
        <v>0</v>
      </c>
      <c r="X33" s="154">
        <v>0</v>
      </c>
      <c r="Y33" s="154">
        <v>0</v>
      </c>
      <c r="Z33" s="154">
        <v>0</v>
      </c>
      <c r="AA33" s="154">
        <v>811.27677782020805</v>
      </c>
      <c r="AB33" s="154">
        <v>0</v>
      </c>
      <c r="AC33" s="154">
        <v>0</v>
      </c>
      <c r="AD33" s="154">
        <v>0</v>
      </c>
      <c r="AE33" s="154">
        <v>3.4833082432465301</v>
      </c>
      <c r="AF33" s="154">
        <v>6.03695041510693E-2</v>
      </c>
      <c r="AG33" s="154">
        <v>1.0411337807377501</v>
      </c>
      <c r="AH33" s="154">
        <v>0.20348192089404801</v>
      </c>
      <c r="AI33" s="154">
        <v>13.7352180479374</v>
      </c>
      <c r="AJ33" s="154">
        <v>-18.9619782147847</v>
      </c>
      <c r="AK33" s="154">
        <v>2.7264007365833902</v>
      </c>
      <c r="AL33" s="154">
        <v>20.0108248119179</v>
      </c>
      <c r="AM33" s="154">
        <v>1.48191560334144</v>
      </c>
      <c r="AN33" s="154">
        <v>336.07688789059802</v>
      </c>
      <c r="AO33" s="154">
        <v>8.0599016754402992</v>
      </c>
      <c r="AP33" s="154">
        <v>5.5561220594496099</v>
      </c>
      <c r="AQ33" s="154">
        <v>0</v>
      </c>
      <c r="AR33" s="154">
        <v>0</v>
      </c>
      <c r="AS33" s="154">
        <v>0</v>
      </c>
      <c r="AT33" s="155">
        <v>3.2114261043049899</v>
      </c>
    </row>
    <row r="34" spans="2:46" ht="12" customHeight="1" x14ac:dyDescent="0.3">
      <c r="B34" s="153" t="s">
        <v>39</v>
      </c>
      <c r="C34" s="154" t="s">
        <v>41</v>
      </c>
      <c r="D34" s="154" t="s">
        <v>25</v>
      </c>
      <c r="E34" s="154" t="s">
        <v>25</v>
      </c>
      <c r="F34" s="154" t="s">
        <v>25</v>
      </c>
      <c r="G34" s="154" t="s">
        <v>25</v>
      </c>
      <c r="H34" s="154" t="s">
        <v>81</v>
      </c>
      <c r="I34" s="154" t="s">
        <v>25</v>
      </c>
      <c r="J34" s="154">
        <v>15.7</v>
      </c>
      <c r="K34" s="154">
        <v>0</v>
      </c>
      <c r="L34" s="154">
        <v>0</v>
      </c>
      <c r="M34" s="154">
        <v>0</v>
      </c>
      <c r="N34" s="154">
        <v>0</v>
      </c>
      <c r="O34" s="154">
        <v>0</v>
      </c>
      <c r="P34" s="154">
        <v>0</v>
      </c>
      <c r="Q34" s="154">
        <v>0</v>
      </c>
      <c r="R34" s="154">
        <v>0</v>
      </c>
      <c r="S34" s="154">
        <v>0</v>
      </c>
      <c r="T34" s="154">
        <v>3.82004517721403</v>
      </c>
      <c r="U34" s="154">
        <v>0.77718560839183204</v>
      </c>
      <c r="V34" s="154">
        <v>0.11731662319199</v>
      </c>
      <c r="W34" s="154">
        <v>0</v>
      </c>
      <c r="X34" s="154">
        <v>0</v>
      </c>
      <c r="Y34" s="154">
        <v>0</v>
      </c>
      <c r="Z34" s="154">
        <v>0</v>
      </c>
      <c r="AA34" s="154">
        <v>10.9869808819493</v>
      </c>
      <c r="AB34" s="154">
        <v>0</v>
      </c>
      <c r="AC34" s="154">
        <v>0</v>
      </c>
      <c r="AD34" s="154">
        <v>0</v>
      </c>
      <c r="AE34" s="154">
        <v>0</v>
      </c>
      <c r="AF34" s="154">
        <v>0</v>
      </c>
      <c r="AG34" s="154">
        <v>0</v>
      </c>
      <c r="AH34" s="154">
        <v>0</v>
      </c>
      <c r="AI34" s="154">
        <v>0</v>
      </c>
      <c r="AJ34" s="154">
        <v>0</v>
      </c>
      <c r="AK34" s="154">
        <v>0</v>
      </c>
      <c r="AL34" s="154">
        <v>0</v>
      </c>
      <c r="AM34" s="154">
        <v>0</v>
      </c>
      <c r="AN34" s="154">
        <v>0</v>
      </c>
      <c r="AO34" s="154">
        <v>0</v>
      </c>
      <c r="AP34" s="154">
        <v>0</v>
      </c>
      <c r="AQ34" s="154">
        <v>0</v>
      </c>
      <c r="AR34" s="154">
        <v>0</v>
      </c>
      <c r="AS34" s="154">
        <v>0</v>
      </c>
      <c r="AT34" s="155">
        <v>0</v>
      </c>
    </row>
    <row r="35" spans="2:46" ht="12" customHeight="1" x14ac:dyDescent="0.3">
      <c r="B35" s="153" t="s">
        <v>39</v>
      </c>
      <c r="C35" s="154" t="s">
        <v>41</v>
      </c>
      <c r="D35" s="154" t="s">
        <v>25</v>
      </c>
      <c r="E35" s="154" t="s">
        <v>25</v>
      </c>
      <c r="F35" s="154" t="s">
        <v>25</v>
      </c>
      <c r="G35" s="154" t="s">
        <v>35</v>
      </c>
      <c r="H35" s="154" t="s">
        <v>78</v>
      </c>
      <c r="I35" s="154" t="s">
        <v>25</v>
      </c>
      <c r="J35" s="154">
        <v>97.78</v>
      </c>
      <c r="K35" s="154">
        <v>231.21</v>
      </c>
      <c r="L35" s="154">
        <v>5.6604810610302101</v>
      </c>
      <c r="M35" s="154">
        <v>0.50229505492098103</v>
      </c>
      <c r="N35" s="154">
        <v>0.39356137405399599</v>
      </c>
      <c r="O35" s="154">
        <v>0</v>
      </c>
      <c r="P35" s="154">
        <v>0</v>
      </c>
      <c r="Q35" s="154">
        <v>72.788378969073904</v>
      </c>
      <c r="R35" s="154">
        <v>13.642318933507401</v>
      </c>
      <c r="S35" s="154">
        <v>0</v>
      </c>
      <c r="T35" s="154">
        <v>0</v>
      </c>
      <c r="U35" s="154">
        <v>0</v>
      </c>
      <c r="V35" s="154">
        <v>0</v>
      </c>
      <c r="W35" s="154">
        <v>0</v>
      </c>
      <c r="X35" s="154">
        <v>0</v>
      </c>
      <c r="Y35" s="154">
        <v>0</v>
      </c>
      <c r="Z35" s="154">
        <v>0</v>
      </c>
      <c r="AA35" s="154">
        <v>0</v>
      </c>
      <c r="AB35" s="154">
        <v>0</v>
      </c>
      <c r="AC35" s="154">
        <v>0</v>
      </c>
      <c r="AD35" s="154">
        <v>0</v>
      </c>
      <c r="AE35" s="154">
        <v>3.4833082432465301</v>
      </c>
      <c r="AF35" s="154">
        <v>6.03695041510693E-2</v>
      </c>
      <c r="AG35" s="154">
        <v>1.0411337807377501</v>
      </c>
      <c r="AH35" s="154">
        <v>0.20348192089404801</v>
      </c>
      <c r="AI35" s="154">
        <v>13.7352180479374</v>
      </c>
      <c r="AJ35" s="154">
        <v>-18.9619782147847</v>
      </c>
      <c r="AK35" s="154">
        <v>2.7264007365833902</v>
      </c>
      <c r="AL35" s="154">
        <v>20.0108248119179</v>
      </c>
      <c r="AM35" s="154">
        <v>1.48191560334144</v>
      </c>
      <c r="AN35" s="154">
        <v>195.39353947127799</v>
      </c>
      <c r="AO35" s="154">
        <v>8.0599016754402992</v>
      </c>
      <c r="AP35" s="154">
        <v>5.5561220594496099</v>
      </c>
      <c r="AQ35" s="154">
        <v>0</v>
      </c>
      <c r="AR35" s="154">
        <v>0</v>
      </c>
      <c r="AS35" s="154">
        <v>0</v>
      </c>
      <c r="AT35" s="155">
        <v>3.2114261043049899</v>
      </c>
    </row>
    <row r="36" spans="2:46" ht="12" customHeight="1" x14ac:dyDescent="0.3">
      <c r="B36" s="153" t="s">
        <v>43</v>
      </c>
      <c r="C36" s="154" t="s">
        <v>40</v>
      </c>
      <c r="D36" s="154" t="s">
        <v>25</v>
      </c>
      <c r="E36" s="154" t="s">
        <v>25</v>
      </c>
      <c r="F36" s="154" t="s">
        <v>85</v>
      </c>
      <c r="G36" s="154" t="s">
        <v>34</v>
      </c>
      <c r="H36" s="154" t="s">
        <v>78</v>
      </c>
      <c r="I36" s="154" t="s">
        <v>25</v>
      </c>
      <c r="J36" s="154">
        <v>28.6</v>
      </c>
      <c r="K36" s="154">
        <v>0</v>
      </c>
      <c r="L36" s="154">
        <v>0</v>
      </c>
      <c r="M36" s="154">
        <v>0.95414627693963205</v>
      </c>
      <c r="N36" s="154">
        <v>2.2793059386402899</v>
      </c>
      <c r="O36" s="154">
        <v>0</v>
      </c>
      <c r="P36" s="154">
        <v>0</v>
      </c>
      <c r="Q36" s="154">
        <v>0</v>
      </c>
      <c r="R36" s="154">
        <v>0</v>
      </c>
      <c r="S36" s="154">
        <v>0</v>
      </c>
      <c r="T36" s="154">
        <v>0</v>
      </c>
      <c r="U36" s="154">
        <v>0</v>
      </c>
      <c r="V36" s="154">
        <v>0</v>
      </c>
      <c r="W36" s="154">
        <v>0</v>
      </c>
      <c r="X36" s="154">
        <v>0</v>
      </c>
      <c r="Y36" s="154">
        <v>0</v>
      </c>
      <c r="Z36" s="154">
        <v>0</v>
      </c>
      <c r="AA36" s="154">
        <v>0</v>
      </c>
      <c r="AB36" s="154">
        <v>0</v>
      </c>
      <c r="AC36" s="154">
        <v>0</v>
      </c>
      <c r="AD36" s="154">
        <v>0</v>
      </c>
      <c r="AE36" s="154">
        <v>22.8964791925385</v>
      </c>
      <c r="AF36" s="154">
        <v>0.39682078045741298</v>
      </c>
      <c r="AG36" s="154">
        <v>1.73701347204326</v>
      </c>
      <c r="AH36" s="154">
        <v>0.339486475657094</v>
      </c>
      <c r="AI36" s="154">
        <v>0</v>
      </c>
      <c r="AJ36" s="154">
        <v>0</v>
      </c>
      <c r="AK36" s="154">
        <v>0</v>
      </c>
      <c r="AL36" s="154">
        <v>0</v>
      </c>
      <c r="AM36" s="154">
        <v>0</v>
      </c>
      <c r="AN36" s="154">
        <v>0</v>
      </c>
      <c r="AO36" s="154">
        <v>0</v>
      </c>
      <c r="AP36" s="154">
        <v>0</v>
      </c>
      <c r="AQ36" s="154">
        <v>0</v>
      </c>
      <c r="AR36" s="154">
        <v>0</v>
      </c>
      <c r="AS36" s="154">
        <v>0</v>
      </c>
      <c r="AT36" s="155">
        <v>0</v>
      </c>
    </row>
    <row r="37" spans="2:46" ht="12" customHeight="1" x14ac:dyDescent="0.3">
      <c r="B37" s="153" t="s">
        <v>43</v>
      </c>
      <c r="C37" s="154" t="s">
        <v>40</v>
      </c>
      <c r="D37" s="154" t="s">
        <v>25</v>
      </c>
      <c r="E37" s="154" t="s">
        <v>25</v>
      </c>
      <c r="F37" s="154" t="s">
        <v>85</v>
      </c>
      <c r="G37" s="154" t="s">
        <v>34</v>
      </c>
      <c r="H37" s="154" t="s">
        <v>81</v>
      </c>
      <c r="I37" s="154" t="s">
        <v>25</v>
      </c>
      <c r="J37" s="154">
        <v>70.209999999999994</v>
      </c>
      <c r="K37" s="154">
        <v>0</v>
      </c>
      <c r="L37" s="154">
        <v>0</v>
      </c>
      <c r="M37" s="154">
        <v>0</v>
      </c>
      <c r="N37" s="154">
        <v>0</v>
      </c>
      <c r="O37" s="154">
        <v>0</v>
      </c>
      <c r="P37" s="154">
        <v>0</v>
      </c>
      <c r="Q37" s="154">
        <v>0</v>
      </c>
      <c r="R37" s="154">
        <v>0</v>
      </c>
      <c r="S37" s="154">
        <v>0</v>
      </c>
      <c r="T37" s="154">
        <v>5.3642780653242799</v>
      </c>
      <c r="U37" s="154">
        <v>1.0827383464199201</v>
      </c>
      <c r="V37" s="154">
        <v>0.17073575109026901</v>
      </c>
      <c r="W37" s="154">
        <v>0</v>
      </c>
      <c r="X37" s="154">
        <v>0</v>
      </c>
      <c r="Y37" s="154">
        <v>0</v>
      </c>
      <c r="Z37" s="154">
        <v>0</v>
      </c>
      <c r="AA37" s="154">
        <v>63.594565266189903</v>
      </c>
      <c r="AB37" s="154">
        <v>0</v>
      </c>
      <c r="AC37" s="154">
        <v>0</v>
      </c>
      <c r="AD37" s="154">
        <v>0</v>
      </c>
      <c r="AE37" s="154">
        <v>0</v>
      </c>
      <c r="AF37" s="154">
        <v>0</v>
      </c>
      <c r="AG37" s="154">
        <v>0</v>
      </c>
      <c r="AH37" s="154">
        <v>0</v>
      </c>
      <c r="AI37" s="154">
        <v>0</v>
      </c>
      <c r="AJ37" s="154">
        <v>0</v>
      </c>
      <c r="AK37" s="154">
        <v>0</v>
      </c>
      <c r="AL37" s="154">
        <v>0</v>
      </c>
      <c r="AM37" s="154">
        <v>0</v>
      </c>
      <c r="AN37" s="154">
        <v>0</v>
      </c>
      <c r="AO37" s="154">
        <v>0</v>
      </c>
      <c r="AP37" s="154">
        <v>0</v>
      </c>
      <c r="AQ37" s="154">
        <v>0</v>
      </c>
      <c r="AR37" s="154">
        <v>0</v>
      </c>
      <c r="AS37" s="154">
        <v>0</v>
      </c>
      <c r="AT37" s="155">
        <v>0</v>
      </c>
    </row>
    <row r="38" spans="2:46" ht="12" customHeight="1" x14ac:dyDescent="0.3">
      <c r="B38" s="153" t="s">
        <v>43</v>
      </c>
      <c r="C38" s="154" t="s">
        <v>40</v>
      </c>
      <c r="D38" s="154" t="s">
        <v>25</v>
      </c>
      <c r="E38" s="154" t="s">
        <v>25</v>
      </c>
      <c r="F38" s="154" t="s">
        <v>85</v>
      </c>
      <c r="G38" s="154" t="s">
        <v>35</v>
      </c>
      <c r="H38" s="154" t="s">
        <v>78</v>
      </c>
      <c r="I38" s="154" t="s">
        <v>25</v>
      </c>
      <c r="J38" s="154">
        <v>28.6</v>
      </c>
      <c r="K38" s="154">
        <v>0</v>
      </c>
      <c r="L38" s="154">
        <v>0</v>
      </c>
      <c r="M38" s="154">
        <v>0.95414627693963205</v>
      </c>
      <c r="N38" s="154">
        <v>2.2793059386402899</v>
      </c>
      <c r="O38" s="154">
        <v>0</v>
      </c>
      <c r="P38" s="154">
        <v>0</v>
      </c>
      <c r="Q38" s="154">
        <v>0</v>
      </c>
      <c r="R38" s="154">
        <v>0</v>
      </c>
      <c r="S38" s="154">
        <v>0</v>
      </c>
      <c r="T38" s="154">
        <v>0</v>
      </c>
      <c r="U38" s="154">
        <v>0</v>
      </c>
      <c r="V38" s="154">
        <v>0</v>
      </c>
      <c r="W38" s="154">
        <v>0</v>
      </c>
      <c r="X38" s="154">
        <v>0</v>
      </c>
      <c r="Y38" s="154">
        <v>0</v>
      </c>
      <c r="Z38" s="154">
        <v>0</v>
      </c>
      <c r="AA38" s="154">
        <v>0</v>
      </c>
      <c r="AB38" s="154">
        <v>0</v>
      </c>
      <c r="AC38" s="154">
        <v>0</v>
      </c>
      <c r="AD38" s="154">
        <v>0</v>
      </c>
      <c r="AE38" s="154">
        <v>22.8964791925385</v>
      </c>
      <c r="AF38" s="154">
        <v>0.39682078045741298</v>
      </c>
      <c r="AG38" s="154">
        <v>1.73701347204326</v>
      </c>
      <c r="AH38" s="154">
        <v>0.339486475657094</v>
      </c>
      <c r="AI38" s="154">
        <v>0</v>
      </c>
      <c r="AJ38" s="154">
        <v>0</v>
      </c>
      <c r="AK38" s="154">
        <v>0</v>
      </c>
      <c r="AL38" s="154">
        <v>0</v>
      </c>
      <c r="AM38" s="154">
        <v>0</v>
      </c>
      <c r="AN38" s="154">
        <v>0</v>
      </c>
      <c r="AO38" s="154">
        <v>0</v>
      </c>
      <c r="AP38" s="154">
        <v>0</v>
      </c>
      <c r="AQ38" s="154">
        <v>0</v>
      </c>
      <c r="AR38" s="154">
        <v>0</v>
      </c>
      <c r="AS38" s="154">
        <v>0</v>
      </c>
      <c r="AT38" s="155">
        <v>0</v>
      </c>
    </row>
    <row r="39" spans="2:46" ht="12" customHeight="1" x14ac:dyDescent="0.3">
      <c r="B39" s="153" t="s">
        <v>43</v>
      </c>
      <c r="C39" s="154" t="s">
        <v>40</v>
      </c>
      <c r="D39" s="154" t="s">
        <v>25</v>
      </c>
      <c r="E39" s="154" t="s">
        <v>25</v>
      </c>
      <c r="F39" s="154" t="s">
        <v>85</v>
      </c>
      <c r="G39" s="154" t="s">
        <v>35</v>
      </c>
      <c r="H39" s="154" t="s">
        <v>81</v>
      </c>
      <c r="I39" s="154" t="s">
        <v>25</v>
      </c>
      <c r="J39" s="154">
        <v>13.02</v>
      </c>
      <c r="K39" s="154">
        <v>0</v>
      </c>
      <c r="L39" s="154">
        <v>0</v>
      </c>
      <c r="M39" s="154">
        <v>0</v>
      </c>
      <c r="N39" s="154">
        <v>0</v>
      </c>
      <c r="O39" s="154">
        <v>0</v>
      </c>
      <c r="P39" s="154">
        <v>0</v>
      </c>
      <c r="Q39" s="154">
        <v>0</v>
      </c>
      <c r="R39" s="154">
        <v>0</v>
      </c>
      <c r="S39" s="154">
        <v>0</v>
      </c>
      <c r="T39" s="154">
        <v>5.0411505477612701</v>
      </c>
      <c r="U39" s="154">
        <v>1.0256189278107899</v>
      </c>
      <c r="V39" s="154">
        <v>0.15491547090500901</v>
      </c>
      <c r="W39" s="154">
        <v>0</v>
      </c>
      <c r="X39" s="154">
        <v>0</v>
      </c>
      <c r="Y39" s="154">
        <v>0</v>
      </c>
      <c r="Z39" s="154">
        <v>0</v>
      </c>
      <c r="AA39" s="154">
        <v>6.7960445463236496</v>
      </c>
      <c r="AB39" s="154">
        <v>0</v>
      </c>
      <c r="AC39" s="154">
        <v>0</v>
      </c>
      <c r="AD39" s="154">
        <v>0</v>
      </c>
      <c r="AE39" s="154">
        <v>0</v>
      </c>
      <c r="AF39" s="154">
        <v>0</v>
      </c>
      <c r="AG39" s="154">
        <v>0</v>
      </c>
      <c r="AH39" s="154">
        <v>0</v>
      </c>
      <c r="AI39" s="154">
        <v>0</v>
      </c>
      <c r="AJ39" s="154">
        <v>0</v>
      </c>
      <c r="AK39" s="154">
        <v>0</v>
      </c>
      <c r="AL39" s="154">
        <v>0</v>
      </c>
      <c r="AM39" s="154">
        <v>0</v>
      </c>
      <c r="AN39" s="154">
        <v>0</v>
      </c>
      <c r="AO39" s="154">
        <v>0</v>
      </c>
      <c r="AP39" s="154">
        <v>0</v>
      </c>
      <c r="AQ39" s="154">
        <v>0</v>
      </c>
      <c r="AR39" s="154">
        <v>0</v>
      </c>
      <c r="AS39" s="154">
        <v>0</v>
      </c>
      <c r="AT39" s="155">
        <v>0</v>
      </c>
    </row>
    <row r="40" spans="2:46" ht="12" customHeight="1" x14ac:dyDescent="0.3">
      <c r="B40" s="153" t="s">
        <v>43</v>
      </c>
      <c r="C40" s="154" t="s">
        <v>40</v>
      </c>
      <c r="D40" s="154" t="s">
        <v>25</v>
      </c>
      <c r="E40" s="154" t="s">
        <v>25</v>
      </c>
      <c r="F40" s="154" t="s">
        <v>25</v>
      </c>
      <c r="G40" s="154" t="s">
        <v>34</v>
      </c>
      <c r="H40" s="154" t="s">
        <v>78</v>
      </c>
      <c r="I40" s="154" t="s">
        <v>25</v>
      </c>
      <c r="J40" s="154">
        <v>135.65</v>
      </c>
      <c r="K40" s="154">
        <v>371.9</v>
      </c>
      <c r="L40" s="154">
        <v>6.7386679297978596</v>
      </c>
      <c r="M40" s="154">
        <v>0.95414627693963205</v>
      </c>
      <c r="N40" s="154">
        <v>2.2918853322787398</v>
      </c>
      <c r="O40" s="154">
        <v>0</v>
      </c>
      <c r="P40" s="154">
        <v>0</v>
      </c>
      <c r="Q40" s="154">
        <v>86.652832106040293</v>
      </c>
      <c r="R40" s="154">
        <v>13.642318933507401</v>
      </c>
      <c r="S40" s="154">
        <v>0</v>
      </c>
      <c r="T40" s="154">
        <v>0</v>
      </c>
      <c r="U40" s="154">
        <v>0</v>
      </c>
      <c r="V40" s="154">
        <v>0</v>
      </c>
      <c r="W40" s="154">
        <v>0</v>
      </c>
      <c r="X40" s="154">
        <v>0</v>
      </c>
      <c r="Y40" s="154">
        <v>0</v>
      </c>
      <c r="Z40" s="154">
        <v>0</v>
      </c>
      <c r="AA40" s="154">
        <v>0</v>
      </c>
      <c r="AB40" s="154">
        <v>0</v>
      </c>
      <c r="AC40" s="154">
        <v>0</v>
      </c>
      <c r="AD40" s="154">
        <v>0</v>
      </c>
      <c r="AE40" s="154">
        <v>22.8964791925385</v>
      </c>
      <c r="AF40" s="154">
        <v>0.39682078045741298</v>
      </c>
      <c r="AG40" s="154">
        <v>1.73701347204326</v>
      </c>
      <c r="AH40" s="154">
        <v>0.339486475657094</v>
      </c>
      <c r="AI40" s="154">
        <v>13.7352180479374</v>
      </c>
      <c r="AJ40" s="154">
        <v>-18.9619782147847</v>
      </c>
      <c r="AK40" s="154">
        <v>2.7264007365833902</v>
      </c>
      <c r="AL40" s="154">
        <v>20.0108248119179</v>
      </c>
      <c r="AM40" s="154">
        <v>1.48191560334144</v>
      </c>
      <c r="AN40" s="154">
        <v>336.07688789059802</v>
      </c>
      <c r="AO40" s="154">
        <v>8.0599016754402992</v>
      </c>
      <c r="AP40" s="154">
        <v>5.5561220594496099</v>
      </c>
      <c r="AQ40" s="154">
        <v>0</v>
      </c>
      <c r="AR40" s="154">
        <v>0</v>
      </c>
      <c r="AS40" s="154">
        <v>0</v>
      </c>
      <c r="AT40" s="155">
        <v>3.2114261043049899</v>
      </c>
    </row>
    <row r="41" spans="2:46" ht="12" customHeight="1" x14ac:dyDescent="0.3">
      <c r="B41" s="153" t="s">
        <v>43</v>
      </c>
      <c r="C41" s="154" t="s">
        <v>40</v>
      </c>
      <c r="D41" s="154" t="s">
        <v>25</v>
      </c>
      <c r="E41" s="154" t="s">
        <v>25</v>
      </c>
      <c r="F41" s="154" t="s">
        <v>25</v>
      </c>
      <c r="G41" s="154" t="s">
        <v>34</v>
      </c>
      <c r="H41" s="154" t="s">
        <v>81</v>
      </c>
      <c r="I41" s="154" t="s">
        <v>25</v>
      </c>
      <c r="J41" s="154">
        <v>70.209999999999994</v>
      </c>
      <c r="K41" s="154">
        <v>0</v>
      </c>
      <c r="L41" s="154">
        <v>0</v>
      </c>
      <c r="M41" s="154">
        <v>0</v>
      </c>
      <c r="N41" s="154">
        <v>0</v>
      </c>
      <c r="O41" s="154">
        <v>0</v>
      </c>
      <c r="P41" s="154">
        <v>0</v>
      </c>
      <c r="Q41" s="154">
        <v>0</v>
      </c>
      <c r="R41" s="154">
        <v>0</v>
      </c>
      <c r="S41" s="154">
        <v>0</v>
      </c>
      <c r="T41" s="154">
        <v>5.3642780653242799</v>
      </c>
      <c r="U41" s="154">
        <v>1.0827383464199201</v>
      </c>
      <c r="V41" s="154">
        <v>0.17073575109026901</v>
      </c>
      <c r="W41" s="154">
        <v>0</v>
      </c>
      <c r="X41" s="154">
        <v>0</v>
      </c>
      <c r="Y41" s="154">
        <v>0</v>
      </c>
      <c r="Z41" s="154">
        <v>0</v>
      </c>
      <c r="AA41" s="154">
        <v>63.594565266189903</v>
      </c>
      <c r="AB41" s="154">
        <v>0</v>
      </c>
      <c r="AC41" s="154">
        <v>0</v>
      </c>
      <c r="AD41" s="154">
        <v>0</v>
      </c>
      <c r="AE41" s="154">
        <v>0</v>
      </c>
      <c r="AF41" s="154">
        <v>0</v>
      </c>
      <c r="AG41" s="154">
        <v>0</v>
      </c>
      <c r="AH41" s="154">
        <v>0</v>
      </c>
      <c r="AI41" s="154">
        <v>0</v>
      </c>
      <c r="AJ41" s="154">
        <v>0</v>
      </c>
      <c r="AK41" s="154">
        <v>0</v>
      </c>
      <c r="AL41" s="154">
        <v>0</v>
      </c>
      <c r="AM41" s="154">
        <v>0</v>
      </c>
      <c r="AN41" s="154">
        <v>0</v>
      </c>
      <c r="AO41" s="154">
        <v>0</v>
      </c>
      <c r="AP41" s="154">
        <v>0</v>
      </c>
      <c r="AQ41" s="154">
        <v>0</v>
      </c>
      <c r="AR41" s="154">
        <v>0</v>
      </c>
      <c r="AS41" s="154">
        <v>0</v>
      </c>
      <c r="AT41" s="155">
        <v>0</v>
      </c>
    </row>
    <row r="42" spans="2:46" ht="12" customHeight="1" x14ac:dyDescent="0.3">
      <c r="B42" s="153" t="s">
        <v>43</v>
      </c>
      <c r="C42" s="154" t="s">
        <v>40</v>
      </c>
      <c r="D42" s="154" t="s">
        <v>25</v>
      </c>
      <c r="E42" s="154" t="s">
        <v>25</v>
      </c>
      <c r="F42" s="154" t="s">
        <v>25</v>
      </c>
      <c r="G42" s="154" t="s">
        <v>35</v>
      </c>
      <c r="H42" s="154" t="s">
        <v>78</v>
      </c>
      <c r="I42" s="154" t="s">
        <v>25</v>
      </c>
      <c r="J42" s="154">
        <v>135.65</v>
      </c>
      <c r="K42" s="154">
        <v>231.21</v>
      </c>
      <c r="L42" s="154">
        <v>6.7386679297978596</v>
      </c>
      <c r="M42" s="154">
        <v>0.95414627693963205</v>
      </c>
      <c r="N42" s="154">
        <v>2.2918853322787398</v>
      </c>
      <c r="O42" s="154">
        <v>0</v>
      </c>
      <c r="P42" s="154">
        <v>0</v>
      </c>
      <c r="Q42" s="154">
        <v>86.652832106040293</v>
      </c>
      <c r="R42" s="154">
        <v>13.642318933507401</v>
      </c>
      <c r="S42" s="154">
        <v>0</v>
      </c>
      <c r="T42" s="154">
        <v>0</v>
      </c>
      <c r="U42" s="154">
        <v>0</v>
      </c>
      <c r="V42" s="154">
        <v>0</v>
      </c>
      <c r="W42" s="154">
        <v>0</v>
      </c>
      <c r="X42" s="154">
        <v>0</v>
      </c>
      <c r="Y42" s="154">
        <v>0</v>
      </c>
      <c r="Z42" s="154">
        <v>0</v>
      </c>
      <c r="AA42" s="154">
        <v>0</v>
      </c>
      <c r="AB42" s="154">
        <v>0</v>
      </c>
      <c r="AC42" s="154">
        <v>0</v>
      </c>
      <c r="AD42" s="154">
        <v>0</v>
      </c>
      <c r="AE42" s="154">
        <v>22.8964791925385</v>
      </c>
      <c r="AF42" s="154">
        <v>0.39682078045741298</v>
      </c>
      <c r="AG42" s="154">
        <v>1.73701347204326</v>
      </c>
      <c r="AH42" s="154">
        <v>0.339486475657094</v>
      </c>
      <c r="AI42" s="154">
        <v>13.7352180479374</v>
      </c>
      <c r="AJ42" s="154">
        <v>-18.9619782147847</v>
      </c>
      <c r="AK42" s="154">
        <v>2.7264007365833902</v>
      </c>
      <c r="AL42" s="154">
        <v>20.0108248119179</v>
      </c>
      <c r="AM42" s="154">
        <v>1.48191560334144</v>
      </c>
      <c r="AN42" s="154">
        <v>195.39353947127799</v>
      </c>
      <c r="AO42" s="154">
        <v>8.0599016754402992</v>
      </c>
      <c r="AP42" s="154">
        <v>5.5561220594496099</v>
      </c>
      <c r="AQ42" s="154">
        <v>0</v>
      </c>
      <c r="AR42" s="154">
        <v>0</v>
      </c>
      <c r="AS42" s="154">
        <v>0</v>
      </c>
      <c r="AT42" s="155">
        <v>3.2114261043049899</v>
      </c>
    </row>
    <row r="43" spans="2:46" ht="12" customHeight="1" x14ac:dyDescent="0.3">
      <c r="B43" s="153" t="s">
        <v>43</v>
      </c>
      <c r="C43" s="154" t="s">
        <v>40</v>
      </c>
      <c r="D43" s="154" t="s">
        <v>25</v>
      </c>
      <c r="E43" s="154" t="s">
        <v>25</v>
      </c>
      <c r="F43" s="154" t="s">
        <v>25</v>
      </c>
      <c r="G43" s="154" t="s">
        <v>35</v>
      </c>
      <c r="H43" s="154" t="s">
        <v>81</v>
      </c>
      <c r="I43" s="154" t="s">
        <v>25</v>
      </c>
      <c r="J43" s="154">
        <v>13.02</v>
      </c>
      <c r="K43" s="154">
        <v>0</v>
      </c>
      <c r="L43" s="154">
        <v>0</v>
      </c>
      <c r="M43" s="154">
        <v>0</v>
      </c>
      <c r="N43" s="154">
        <v>0</v>
      </c>
      <c r="O43" s="154">
        <v>0</v>
      </c>
      <c r="P43" s="154">
        <v>0</v>
      </c>
      <c r="Q43" s="154">
        <v>0</v>
      </c>
      <c r="R43" s="154">
        <v>0</v>
      </c>
      <c r="S43" s="154">
        <v>0</v>
      </c>
      <c r="T43" s="154">
        <v>5.0411505477612701</v>
      </c>
      <c r="U43" s="154">
        <v>1.0256189278107899</v>
      </c>
      <c r="V43" s="154">
        <v>0.15491547090500901</v>
      </c>
      <c r="W43" s="154">
        <v>0</v>
      </c>
      <c r="X43" s="154">
        <v>0</v>
      </c>
      <c r="Y43" s="154">
        <v>0</v>
      </c>
      <c r="Z43" s="154">
        <v>0</v>
      </c>
      <c r="AA43" s="154">
        <v>6.7960445463236496</v>
      </c>
      <c r="AB43" s="154">
        <v>0</v>
      </c>
      <c r="AC43" s="154">
        <v>0</v>
      </c>
      <c r="AD43" s="154">
        <v>0</v>
      </c>
      <c r="AE43" s="154">
        <v>0</v>
      </c>
      <c r="AF43" s="154">
        <v>0</v>
      </c>
      <c r="AG43" s="154">
        <v>0</v>
      </c>
      <c r="AH43" s="154">
        <v>0</v>
      </c>
      <c r="AI43" s="154">
        <v>0</v>
      </c>
      <c r="AJ43" s="154">
        <v>0</v>
      </c>
      <c r="AK43" s="154">
        <v>0</v>
      </c>
      <c r="AL43" s="154">
        <v>0</v>
      </c>
      <c r="AM43" s="154">
        <v>0</v>
      </c>
      <c r="AN43" s="154">
        <v>0</v>
      </c>
      <c r="AO43" s="154">
        <v>0</v>
      </c>
      <c r="AP43" s="154">
        <v>0</v>
      </c>
      <c r="AQ43" s="154">
        <v>0</v>
      </c>
      <c r="AR43" s="154">
        <v>0</v>
      </c>
      <c r="AS43" s="154">
        <v>0</v>
      </c>
      <c r="AT43" s="155">
        <v>0</v>
      </c>
    </row>
    <row r="44" spans="2:46" ht="12" customHeight="1" x14ac:dyDescent="0.3">
      <c r="B44" s="153" t="s">
        <v>43</v>
      </c>
      <c r="C44" s="154" t="s">
        <v>23</v>
      </c>
      <c r="D44" s="154" t="s">
        <v>25</v>
      </c>
      <c r="E44" s="154" t="s">
        <v>25</v>
      </c>
      <c r="F44" s="154" t="s">
        <v>25</v>
      </c>
      <c r="G44" s="154" t="s">
        <v>25</v>
      </c>
      <c r="H44" s="154" t="s">
        <v>78</v>
      </c>
      <c r="I44" s="154" t="s">
        <v>25</v>
      </c>
      <c r="J44" s="154">
        <v>135.65</v>
      </c>
      <c r="K44" s="154">
        <v>242.94</v>
      </c>
      <c r="L44" s="154">
        <v>6.7386679297978596</v>
      </c>
      <c r="M44" s="154">
        <v>0.95414627693963205</v>
      </c>
      <c r="N44" s="154">
        <v>2.2918853322787398</v>
      </c>
      <c r="O44" s="154">
        <v>0</v>
      </c>
      <c r="P44" s="154">
        <v>0</v>
      </c>
      <c r="Q44" s="154">
        <v>86.652832106040293</v>
      </c>
      <c r="R44" s="154">
        <v>13.642318933507401</v>
      </c>
      <c r="S44" s="154">
        <v>0</v>
      </c>
      <c r="T44" s="154">
        <v>0</v>
      </c>
      <c r="U44" s="154">
        <v>0</v>
      </c>
      <c r="V44" s="154">
        <v>0</v>
      </c>
      <c r="W44" s="154">
        <v>0</v>
      </c>
      <c r="X44" s="154">
        <v>0</v>
      </c>
      <c r="Y44" s="154">
        <v>0</v>
      </c>
      <c r="Z44" s="154">
        <v>0</v>
      </c>
      <c r="AA44" s="154">
        <v>0</v>
      </c>
      <c r="AB44" s="154">
        <v>0</v>
      </c>
      <c r="AC44" s="154">
        <v>0</v>
      </c>
      <c r="AD44" s="154">
        <v>0</v>
      </c>
      <c r="AE44" s="154">
        <v>22.8964791925385</v>
      </c>
      <c r="AF44" s="154">
        <v>0.39682078045741298</v>
      </c>
      <c r="AG44" s="154">
        <v>1.73701347204326</v>
      </c>
      <c r="AH44" s="154">
        <v>0.339486475657094</v>
      </c>
      <c r="AI44" s="154">
        <v>13.7352180479374</v>
      </c>
      <c r="AJ44" s="154">
        <v>-18.9619782147847</v>
      </c>
      <c r="AK44" s="154">
        <v>2.7264007365833902</v>
      </c>
      <c r="AL44" s="154">
        <v>20.0108248119179</v>
      </c>
      <c r="AM44" s="154">
        <v>1.48191560334144</v>
      </c>
      <c r="AN44" s="154">
        <v>207.117151839554</v>
      </c>
      <c r="AO44" s="154">
        <v>8.0599016754402992</v>
      </c>
      <c r="AP44" s="154">
        <v>5.5561220594496099</v>
      </c>
      <c r="AQ44" s="154">
        <v>0</v>
      </c>
      <c r="AR44" s="154">
        <v>0</v>
      </c>
      <c r="AS44" s="154">
        <v>0</v>
      </c>
      <c r="AT44" s="155">
        <v>3.2114261043049899</v>
      </c>
    </row>
    <row r="45" spans="2:46" ht="12" customHeight="1" x14ac:dyDescent="0.3">
      <c r="B45" s="153" t="s">
        <v>43</v>
      </c>
      <c r="C45" s="154" t="s">
        <v>23</v>
      </c>
      <c r="D45" s="154" t="s">
        <v>25</v>
      </c>
      <c r="E45" s="154" t="s">
        <v>25</v>
      </c>
      <c r="F45" s="154" t="s">
        <v>25</v>
      </c>
      <c r="G45" s="154" t="s">
        <v>25</v>
      </c>
      <c r="H45" s="154" t="s">
        <v>81</v>
      </c>
      <c r="I45" s="154" t="s">
        <v>25</v>
      </c>
      <c r="J45" s="154">
        <v>63.57</v>
      </c>
      <c r="K45" s="154">
        <v>0</v>
      </c>
      <c r="L45" s="154">
        <v>0</v>
      </c>
      <c r="M45" s="154">
        <v>0</v>
      </c>
      <c r="N45" s="154">
        <v>0</v>
      </c>
      <c r="O45" s="154">
        <v>0</v>
      </c>
      <c r="P45" s="154">
        <v>0</v>
      </c>
      <c r="Q45" s="154">
        <v>0</v>
      </c>
      <c r="R45" s="154">
        <v>0</v>
      </c>
      <c r="S45" s="154">
        <v>0</v>
      </c>
      <c r="T45" s="154">
        <v>8.9034860084314307</v>
      </c>
      <c r="U45" s="154">
        <v>1.8051905372331301</v>
      </c>
      <c r="V45" s="154">
        <v>0.277779465071052</v>
      </c>
      <c r="W45" s="154">
        <v>0</v>
      </c>
      <c r="X45" s="154">
        <v>0</v>
      </c>
      <c r="Y45" s="154">
        <v>0</v>
      </c>
      <c r="Z45" s="154">
        <v>0</v>
      </c>
      <c r="AA45" s="154">
        <v>52.5840736654418</v>
      </c>
      <c r="AB45" s="154">
        <v>0</v>
      </c>
      <c r="AC45" s="154">
        <v>0</v>
      </c>
      <c r="AD45" s="154">
        <v>0</v>
      </c>
      <c r="AE45" s="154">
        <v>0</v>
      </c>
      <c r="AF45" s="154">
        <v>0</v>
      </c>
      <c r="AG45" s="154">
        <v>0</v>
      </c>
      <c r="AH45" s="154">
        <v>0</v>
      </c>
      <c r="AI45" s="154">
        <v>0</v>
      </c>
      <c r="AJ45" s="154">
        <v>0</v>
      </c>
      <c r="AK45" s="154">
        <v>0</v>
      </c>
      <c r="AL45" s="154">
        <v>0</v>
      </c>
      <c r="AM45" s="154">
        <v>0</v>
      </c>
      <c r="AN45" s="154">
        <v>0</v>
      </c>
      <c r="AO45" s="154">
        <v>0</v>
      </c>
      <c r="AP45" s="154">
        <v>0</v>
      </c>
      <c r="AQ45" s="154">
        <v>0</v>
      </c>
      <c r="AR45" s="154">
        <v>0</v>
      </c>
      <c r="AS45" s="154">
        <v>0</v>
      </c>
      <c r="AT45" s="155">
        <v>0</v>
      </c>
    </row>
    <row r="46" spans="2:46" ht="12" customHeight="1" x14ac:dyDescent="0.3">
      <c r="B46" s="153" t="s">
        <v>43</v>
      </c>
      <c r="C46" s="154" t="s">
        <v>41</v>
      </c>
      <c r="D46" s="154" t="s">
        <v>25</v>
      </c>
      <c r="E46" s="154" t="s">
        <v>25</v>
      </c>
      <c r="F46" s="154" t="s">
        <v>85</v>
      </c>
      <c r="G46" s="154" t="s">
        <v>34</v>
      </c>
      <c r="H46" s="154" t="s">
        <v>78</v>
      </c>
      <c r="I46" s="154" t="s">
        <v>25</v>
      </c>
      <c r="J46" s="154">
        <v>1735.17</v>
      </c>
      <c r="K46" s="154">
        <v>0</v>
      </c>
      <c r="L46" s="154">
        <v>0</v>
      </c>
      <c r="M46" s="154">
        <v>0.95414627693963205</v>
      </c>
      <c r="N46" s="154">
        <v>20.242243549399799</v>
      </c>
      <c r="O46" s="154">
        <v>0</v>
      </c>
      <c r="P46" s="154">
        <v>0</v>
      </c>
      <c r="Q46" s="154">
        <v>0</v>
      </c>
      <c r="R46" s="154">
        <v>0</v>
      </c>
      <c r="S46" s="154">
        <v>0</v>
      </c>
      <c r="T46" s="154">
        <v>129.010547448669</v>
      </c>
      <c r="U46" s="154">
        <v>26.0392245796106</v>
      </c>
      <c r="V46" s="154">
        <v>4.1044381462458501</v>
      </c>
      <c r="W46" s="154">
        <v>0</v>
      </c>
      <c r="X46" s="154">
        <v>0</v>
      </c>
      <c r="Y46" s="154">
        <v>0</v>
      </c>
      <c r="Z46" s="154">
        <v>0</v>
      </c>
      <c r="AA46" s="154">
        <v>1529.45050635814</v>
      </c>
      <c r="AB46" s="154">
        <v>0</v>
      </c>
      <c r="AC46" s="154">
        <v>0</v>
      </c>
      <c r="AD46" s="154">
        <v>0</v>
      </c>
      <c r="AE46" s="154">
        <v>22.8964791925385</v>
      </c>
      <c r="AF46" s="154">
        <v>0.39682078045741298</v>
      </c>
      <c r="AG46" s="154">
        <v>1.73701347204326</v>
      </c>
      <c r="AH46" s="154">
        <v>0.339486475657094</v>
      </c>
      <c r="AI46" s="154">
        <v>0</v>
      </c>
      <c r="AJ46" s="154">
        <v>0</v>
      </c>
      <c r="AK46" s="154">
        <v>0</v>
      </c>
      <c r="AL46" s="154">
        <v>0</v>
      </c>
      <c r="AM46" s="154">
        <v>0</v>
      </c>
      <c r="AN46" s="154">
        <v>0</v>
      </c>
      <c r="AO46" s="154">
        <v>0</v>
      </c>
      <c r="AP46" s="154">
        <v>0</v>
      </c>
      <c r="AQ46" s="154">
        <v>0</v>
      </c>
      <c r="AR46" s="154">
        <v>0</v>
      </c>
      <c r="AS46" s="154">
        <v>0</v>
      </c>
      <c r="AT46" s="155">
        <v>0</v>
      </c>
    </row>
    <row r="47" spans="2:46" ht="12" customHeight="1" x14ac:dyDescent="0.3">
      <c r="B47" s="153" t="s">
        <v>43</v>
      </c>
      <c r="C47" s="154" t="s">
        <v>41</v>
      </c>
      <c r="D47" s="154" t="s">
        <v>25</v>
      </c>
      <c r="E47" s="154" t="s">
        <v>25</v>
      </c>
      <c r="F47" s="154" t="s">
        <v>85</v>
      </c>
      <c r="G47" s="154" t="s">
        <v>25</v>
      </c>
      <c r="H47" s="154" t="s">
        <v>81</v>
      </c>
      <c r="I47" s="154" t="s">
        <v>25</v>
      </c>
      <c r="J47" s="154">
        <v>13.02</v>
      </c>
      <c r="K47" s="154">
        <v>0</v>
      </c>
      <c r="L47" s="154">
        <v>0</v>
      </c>
      <c r="M47" s="154">
        <v>0</v>
      </c>
      <c r="N47" s="154">
        <v>0</v>
      </c>
      <c r="O47" s="154">
        <v>0</v>
      </c>
      <c r="P47" s="154">
        <v>0</v>
      </c>
      <c r="Q47" s="154">
        <v>0</v>
      </c>
      <c r="R47" s="154">
        <v>0</v>
      </c>
      <c r="S47" s="154">
        <v>0</v>
      </c>
      <c r="T47" s="154">
        <v>5.0411505477612701</v>
      </c>
      <c r="U47" s="154">
        <v>1.0256189278107899</v>
      </c>
      <c r="V47" s="154">
        <v>0.15491547090500901</v>
      </c>
      <c r="W47" s="154">
        <v>0</v>
      </c>
      <c r="X47" s="154">
        <v>0</v>
      </c>
      <c r="Y47" s="154">
        <v>0</v>
      </c>
      <c r="Z47" s="154">
        <v>0</v>
      </c>
      <c r="AA47" s="154">
        <v>6.7960445463236496</v>
      </c>
      <c r="AB47" s="154">
        <v>0</v>
      </c>
      <c r="AC47" s="154">
        <v>0</v>
      </c>
      <c r="AD47" s="154">
        <v>0</v>
      </c>
      <c r="AE47" s="154">
        <v>0</v>
      </c>
      <c r="AF47" s="154">
        <v>0</v>
      </c>
      <c r="AG47" s="154">
        <v>0</v>
      </c>
      <c r="AH47" s="154">
        <v>0</v>
      </c>
      <c r="AI47" s="154">
        <v>0</v>
      </c>
      <c r="AJ47" s="154">
        <v>0</v>
      </c>
      <c r="AK47" s="154">
        <v>0</v>
      </c>
      <c r="AL47" s="154">
        <v>0</v>
      </c>
      <c r="AM47" s="154">
        <v>0</v>
      </c>
      <c r="AN47" s="154">
        <v>0</v>
      </c>
      <c r="AO47" s="154">
        <v>0</v>
      </c>
      <c r="AP47" s="154">
        <v>0</v>
      </c>
      <c r="AQ47" s="154">
        <v>0</v>
      </c>
      <c r="AR47" s="154">
        <v>0</v>
      </c>
      <c r="AS47" s="154">
        <v>0</v>
      </c>
      <c r="AT47" s="155">
        <v>0</v>
      </c>
    </row>
    <row r="48" spans="2:46" ht="12" customHeight="1" x14ac:dyDescent="0.3">
      <c r="B48" s="153" t="s">
        <v>43</v>
      </c>
      <c r="C48" s="154" t="s">
        <v>41</v>
      </c>
      <c r="D48" s="154" t="s">
        <v>25</v>
      </c>
      <c r="E48" s="154" t="s">
        <v>25</v>
      </c>
      <c r="F48" s="154" t="s">
        <v>85</v>
      </c>
      <c r="G48" s="154" t="s">
        <v>35</v>
      </c>
      <c r="H48" s="154" t="s">
        <v>78</v>
      </c>
      <c r="I48" s="154" t="s">
        <v>25</v>
      </c>
      <c r="J48" s="154">
        <v>28.6</v>
      </c>
      <c r="K48" s="154">
        <v>0</v>
      </c>
      <c r="L48" s="154">
        <v>0</v>
      </c>
      <c r="M48" s="154">
        <v>0.95414627693963205</v>
      </c>
      <c r="N48" s="154">
        <v>2.2793059386402899</v>
      </c>
      <c r="O48" s="154">
        <v>0</v>
      </c>
      <c r="P48" s="154">
        <v>0</v>
      </c>
      <c r="Q48" s="154">
        <v>0</v>
      </c>
      <c r="R48" s="154">
        <v>0</v>
      </c>
      <c r="S48" s="154">
        <v>0</v>
      </c>
      <c r="T48" s="154">
        <v>0</v>
      </c>
      <c r="U48" s="154">
        <v>0</v>
      </c>
      <c r="V48" s="154">
        <v>0</v>
      </c>
      <c r="W48" s="154">
        <v>0</v>
      </c>
      <c r="X48" s="154">
        <v>0</v>
      </c>
      <c r="Y48" s="154">
        <v>0</v>
      </c>
      <c r="Z48" s="154">
        <v>0</v>
      </c>
      <c r="AA48" s="154">
        <v>0</v>
      </c>
      <c r="AB48" s="154">
        <v>0</v>
      </c>
      <c r="AC48" s="154">
        <v>0</v>
      </c>
      <c r="AD48" s="154">
        <v>0</v>
      </c>
      <c r="AE48" s="154">
        <v>22.8964791925385</v>
      </c>
      <c r="AF48" s="154">
        <v>0.39682078045741298</v>
      </c>
      <c r="AG48" s="154">
        <v>1.73701347204326</v>
      </c>
      <c r="AH48" s="154">
        <v>0.339486475657094</v>
      </c>
      <c r="AI48" s="154">
        <v>0</v>
      </c>
      <c r="AJ48" s="154">
        <v>0</v>
      </c>
      <c r="AK48" s="154">
        <v>0</v>
      </c>
      <c r="AL48" s="154">
        <v>0</v>
      </c>
      <c r="AM48" s="154">
        <v>0</v>
      </c>
      <c r="AN48" s="154">
        <v>0</v>
      </c>
      <c r="AO48" s="154">
        <v>0</v>
      </c>
      <c r="AP48" s="154">
        <v>0</v>
      </c>
      <c r="AQ48" s="154">
        <v>0</v>
      </c>
      <c r="AR48" s="154">
        <v>0</v>
      </c>
      <c r="AS48" s="154">
        <v>0</v>
      </c>
      <c r="AT48" s="155">
        <v>0</v>
      </c>
    </row>
    <row r="49" spans="2:46" ht="12" customHeight="1" x14ac:dyDescent="0.3">
      <c r="B49" s="153" t="s">
        <v>43</v>
      </c>
      <c r="C49" s="154" t="s">
        <v>41</v>
      </c>
      <c r="D49" s="154" t="s">
        <v>25</v>
      </c>
      <c r="E49" s="154" t="s">
        <v>25</v>
      </c>
      <c r="F49" s="154" t="s">
        <v>25</v>
      </c>
      <c r="G49" s="154" t="s">
        <v>34</v>
      </c>
      <c r="H49" s="154" t="s">
        <v>78</v>
      </c>
      <c r="I49" s="154" t="s">
        <v>25</v>
      </c>
      <c r="J49" s="154">
        <v>1842.22</v>
      </c>
      <c r="K49" s="154">
        <v>371.9</v>
      </c>
      <c r="L49" s="154">
        <v>6.7386679297978596</v>
      </c>
      <c r="M49" s="154">
        <v>0.95414627693963205</v>
      </c>
      <c r="N49" s="154">
        <v>20.254822943038299</v>
      </c>
      <c r="O49" s="154">
        <v>0</v>
      </c>
      <c r="P49" s="154">
        <v>0</v>
      </c>
      <c r="Q49" s="154">
        <v>86.652832106040293</v>
      </c>
      <c r="R49" s="154">
        <v>13.642318933507401</v>
      </c>
      <c r="S49" s="154">
        <v>0</v>
      </c>
      <c r="T49" s="154">
        <v>129.010547448669</v>
      </c>
      <c r="U49" s="154">
        <v>26.0392245796106</v>
      </c>
      <c r="V49" s="154">
        <v>4.1044381462458501</v>
      </c>
      <c r="W49" s="154">
        <v>0</v>
      </c>
      <c r="X49" s="154">
        <v>0</v>
      </c>
      <c r="Y49" s="154">
        <v>0</v>
      </c>
      <c r="Z49" s="154">
        <v>0</v>
      </c>
      <c r="AA49" s="154">
        <v>1529.45050635814</v>
      </c>
      <c r="AB49" s="154">
        <v>0</v>
      </c>
      <c r="AC49" s="154">
        <v>0</v>
      </c>
      <c r="AD49" s="154">
        <v>0</v>
      </c>
      <c r="AE49" s="154">
        <v>22.8964791925385</v>
      </c>
      <c r="AF49" s="154">
        <v>0.39682078045741298</v>
      </c>
      <c r="AG49" s="154">
        <v>1.73701347204326</v>
      </c>
      <c r="AH49" s="154">
        <v>0.339486475657094</v>
      </c>
      <c r="AI49" s="154">
        <v>13.7352180479374</v>
      </c>
      <c r="AJ49" s="154">
        <v>-18.9619782147847</v>
      </c>
      <c r="AK49" s="154">
        <v>2.7264007365833902</v>
      </c>
      <c r="AL49" s="154">
        <v>20.0108248119179</v>
      </c>
      <c r="AM49" s="154">
        <v>1.48191560334144</v>
      </c>
      <c r="AN49" s="154">
        <v>336.07688789059802</v>
      </c>
      <c r="AO49" s="154">
        <v>8.0599016754402992</v>
      </c>
      <c r="AP49" s="154">
        <v>5.5561220594496099</v>
      </c>
      <c r="AQ49" s="154">
        <v>0</v>
      </c>
      <c r="AR49" s="154">
        <v>0</v>
      </c>
      <c r="AS49" s="154">
        <v>0</v>
      </c>
      <c r="AT49" s="155">
        <v>3.2114261043049899</v>
      </c>
    </row>
    <row r="50" spans="2:46" ht="12" customHeight="1" x14ac:dyDescent="0.3">
      <c r="B50" s="153" t="s">
        <v>43</v>
      </c>
      <c r="C50" s="154" t="s">
        <v>41</v>
      </c>
      <c r="D50" s="154" t="s">
        <v>25</v>
      </c>
      <c r="E50" s="154" t="s">
        <v>25</v>
      </c>
      <c r="F50" s="154" t="s">
        <v>25</v>
      </c>
      <c r="G50" s="154" t="s">
        <v>25</v>
      </c>
      <c r="H50" s="154" t="s">
        <v>81</v>
      </c>
      <c r="I50" s="154" t="s">
        <v>25</v>
      </c>
      <c r="J50" s="154">
        <v>13.02</v>
      </c>
      <c r="K50" s="154">
        <v>0</v>
      </c>
      <c r="L50" s="154">
        <v>0</v>
      </c>
      <c r="M50" s="154">
        <v>0</v>
      </c>
      <c r="N50" s="154">
        <v>0</v>
      </c>
      <c r="O50" s="154">
        <v>0</v>
      </c>
      <c r="P50" s="154">
        <v>0</v>
      </c>
      <c r="Q50" s="154">
        <v>0</v>
      </c>
      <c r="R50" s="154">
        <v>0</v>
      </c>
      <c r="S50" s="154">
        <v>0</v>
      </c>
      <c r="T50" s="154">
        <v>5.0411505477612701</v>
      </c>
      <c r="U50" s="154">
        <v>1.0256189278107899</v>
      </c>
      <c r="V50" s="154">
        <v>0.15491547090500901</v>
      </c>
      <c r="W50" s="154">
        <v>0</v>
      </c>
      <c r="X50" s="154">
        <v>0</v>
      </c>
      <c r="Y50" s="154">
        <v>0</v>
      </c>
      <c r="Z50" s="154">
        <v>0</v>
      </c>
      <c r="AA50" s="154">
        <v>6.7960445463236496</v>
      </c>
      <c r="AB50" s="154">
        <v>0</v>
      </c>
      <c r="AC50" s="154">
        <v>0</v>
      </c>
      <c r="AD50" s="154">
        <v>0</v>
      </c>
      <c r="AE50" s="154">
        <v>0</v>
      </c>
      <c r="AF50" s="154">
        <v>0</v>
      </c>
      <c r="AG50" s="154">
        <v>0</v>
      </c>
      <c r="AH50" s="154">
        <v>0</v>
      </c>
      <c r="AI50" s="154">
        <v>0</v>
      </c>
      <c r="AJ50" s="154">
        <v>0</v>
      </c>
      <c r="AK50" s="154">
        <v>0</v>
      </c>
      <c r="AL50" s="154">
        <v>0</v>
      </c>
      <c r="AM50" s="154">
        <v>0</v>
      </c>
      <c r="AN50" s="154">
        <v>0</v>
      </c>
      <c r="AO50" s="154">
        <v>0</v>
      </c>
      <c r="AP50" s="154">
        <v>0</v>
      </c>
      <c r="AQ50" s="154">
        <v>0</v>
      </c>
      <c r="AR50" s="154">
        <v>0</v>
      </c>
      <c r="AS50" s="154">
        <v>0</v>
      </c>
      <c r="AT50" s="155">
        <v>0</v>
      </c>
    </row>
    <row r="51" spans="2:46" ht="12" customHeight="1" x14ac:dyDescent="0.3">
      <c r="B51" s="153" t="s">
        <v>43</v>
      </c>
      <c r="C51" s="154" t="s">
        <v>41</v>
      </c>
      <c r="D51" s="154" t="s">
        <v>25</v>
      </c>
      <c r="E51" s="154" t="s">
        <v>25</v>
      </c>
      <c r="F51" s="154" t="s">
        <v>25</v>
      </c>
      <c r="G51" s="154" t="s">
        <v>35</v>
      </c>
      <c r="H51" s="154" t="s">
        <v>78</v>
      </c>
      <c r="I51" s="154" t="s">
        <v>25</v>
      </c>
      <c r="J51" s="154">
        <v>135.65</v>
      </c>
      <c r="K51" s="154">
        <v>231.21</v>
      </c>
      <c r="L51" s="154">
        <v>6.7386679297978596</v>
      </c>
      <c r="M51" s="154">
        <v>0.95414627693963205</v>
      </c>
      <c r="N51" s="154">
        <v>2.2918853322787398</v>
      </c>
      <c r="O51" s="154">
        <v>0</v>
      </c>
      <c r="P51" s="154">
        <v>0</v>
      </c>
      <c r="Q51" s="154">
        <v>86.652832106040293</v>
      </c>
      <c r="R51" s="154">
        <v>13.642318933507401</v>
      </c>
      <c r="S51" s="154">
        <v>0</v>
      </c>
      <c r="T51" s="154">
        <v>0</v>
      </c>
      <c r="U51" s="154">
        <v>0</v>
      </c>
      <c r="V51" s="154">
        <v>0</v>
      </c>
      <c r="W51" s="154">
        <v>0</v>
      </c>
      <c r="X51" s="154">
        <v>0</v>
      </c>
      <c r="Y51" s="154">
        <v>0</v>
      </c>
      <c r="Z51" s="154">
        <v>0</v>
      </c>
      <c r="AA51" s="154">
        <v>0</v>
      </c>
      <c r="AB51" s="154">
        <v>0</v>
      </c>
      <c r="AC51" s="154">
        <v>0</v>
      </c>
      <c r="AD51" s="154">
        <v>0</v>
      </c>
      <c r="AE51" s="154">
        <v>22.8964791925385</v>
      </c>
      <c r="AF51" s="154">
        <v>0.39682078045741298</v>
      </c>
      <c r="AG51" s="154">
        <v>1.73701347204326</v>
      </c>
      <c r="AH51" s="154">
        <v>0.339486475657094</v>
      </c>
      <c r="AI51" s="154">
        <v>13.7352180479374</v>
      </c>
      <c r="AJ51" s="154">
        <v>-18.9619782147847</v>
      </c>
      <c r="AK51" s="154">
        <v>2.7264007365833902</v>
      </c>
      <c r="AL51" s="154">
        <v>20.0108248119179</v>
      </c>
      <c r="AM51" s="154">
        <v>1.48191560334144</v>
      </c>
      <c r="AN51" s="154">
        <v>195.39353947127799</v>
      </c>
      <c r="AO51" s="154">
        <v>8.0599016754402992</v>
      </c>
      <c r="AP51" s="154">
        <v>5.5561220594496099</v>
      </c>
      <c r="AQ51" s="154">
        <v>0</v>
      </c>
      <c r="AR51" s="154">
        <v>0</v>
      </c>
      <c r="AS51" s="154">
        <v>0</v>
      </c>
      <c r="AT51" s="155">
        <v>3.2114261043049899</v>
      </c>
    </row>
    <row r="52" spans="2:46" ht="12" customHeight="1" x14ac:dyDescent="0.3">
      <c r="B52" s="153" t="s">
        <v>87</v>
      </c>
      <c r="C52" s="154" t="s">
        <v>57</v>
      </c>
      <c r="D52" s="154" t="s">
        <v>25</v>
      </c>
      <c r="E52" s="154" t="s">
        <v>25</v>
      </c>
      <c r="F52" s="154" t="s">
        <v>88</v>
      </c>
      <c r="G52" s="154" t="s">
        <v>25</v>
      </c>
      <c r="H52" s="154" t="s">
        <v>81</v>
      </c>
      <c r="I52" s="154" t="s">
        <v>25</v>
      </c>
      <c r="J52" s="154">
        <v>2.92</v>
      </c>
      <c r="K52" s="154">
        <v>0</v>
      </c>
      <c r="L52" s="154">
        <v>0</v>
      </c>
      <c r="M52" s="154">
        <v>9.6367910681835305E-3</v>
      </c>
      <c r="N52" s="154">
        <v>3.0190544732300501E-2</v>
      </c>
      <c r="O52" s="154">
        <v>0</v>
      </c>
      <c r="P52" s="154">
        <v>0</v>
      </c>
      <c r="Q52" s="154">
        <v>0</v>
      </c>
      <c r="R52" s="154">
        <v>0</v>
      </c>
      <c r="S52" s="154">
        <v>0</v>
      </c>
      <c r="T52" s="154">
        <v>0</v>
      </c>
      <c r="U52" s="154">
        <v>0</v>
      </c>
      <c r="V52" s="154">
        <v>0</v>
      </c>
      <c r="W52" s="154">
        <v>0</v>
      </c>
      <c r="X52" s="154">
        <v>0</v>
      </c>
      <c r="Y52" s="154">
        <v>0</v>
      </c>
      <c r="Z52" s="154">
        <v>0</v>
      </c>
      <c r="AA52" s="154">
        <v>2.8771091420320598</v>
      </c>
      <c r="AB52" s="154">
        <v>0</v>
      </c>
      <c r="AC52" s="154">
        <v>0</v>
      </c>
      <c r="AD52" s="154">
        <v>0</v>
      </c>
      <c r="AE52" s="154">
        <v>0</v>
      </c>
      <c r="AF52" s="154">
        <v>0</v>
      </c>
      <c r="AG52" s="154">
        <v>0</v>
      </c>
      <c r="AH52" s="154">
        <v>0</v>
      </c>
      <c r="AI52" s="154">
        <v>0</v>
      </c>
      <c r="AJ52" s="154">
        <v>0</v>
      </c>
      <c r="AK52" s="154">
        <v>0</v>
      </c>
      <c r="AL52" s="154">
        <v>0</v>
      </c>
      <c r="AM52" s="154">
        <v>0</v>
      </c>
      <c r="AN52" s="154">
        <v>0</v>
      </c>
      <c r="AO52" s="154">
        <v>0</v>
      </c>
      <c r="AP52" s="154">
        <v>0</v>
      </c>
      <c r="AQ52" s="154">
        <v>0</v>
      </c>
      <c r="AR52" s="154">
        <v>0</v>
      </c>
      <c r="AS52" s="154">
        <v>0</v>
      </c>
      <c r="AT52" s="155">
        <v>0</v>
      </c>
    </row>
    <row r="53" spans="2:46" ht="12" customHeight="1" x14ac:dyDescent="0.3">
      <c r="B53" s="153" t="s">
        <v>87</v>
      </c>
      <c r="C53" s="154" t="s">
        <v>57</v>
      </c>
      <c r="D53" s="154" t="s">
        <v>25</v>
      </c>
      <c r="E53" s="154" t="s">
        <v>25</v>
      </c>
      <c r="F53" s="154" t="s">
        <v>89</v>
      </c>
      <c r="G53" s="154" t="s">
        <v>25</v>
      </c>
      <c r="H53" s="154" t="s">
        <v>81</v>
      </c>
      <c r="I53" s="154" t="s">
        <v>25</v>
      </c>
      <c r="J53" s="154">
        <v>7.78</v>
      </c>
      <c r="K53" s="154">
        <v>0</v>
      </c>
      <c r="L53" s="154">
        <v>0</v>
      </c>
      <c r="M53" s="154">
        <v>9.6367910681835305E-3</v>
      </c>
      <c r="N53" s="154">
        <v>3.0190544732300501E-2</v>
      </c>
      <c r="O53" s="154">
        <v>0</v>
      </c>
      <c r="P53" s="154">
        <v>0</v>
      </c>
      <c r="Q53" s="154">
        <v>0</v>
      </c>
      <c r="R53" s="154">
        <v>0</v>
      </c>
      <c r="S53" s="154">
        <v>0</v>
      </c>
      <c r="T53" s="154">
        <v>0</v>
      </c>
      <c r="U53" s="154">
        <v>0</v>
      </c>
      <c r="V53" s="154">
        <v>0</v>
      </c>
      <c r="W53" s="154">
        <v>0</v>
      </c>
      <c r="X53" s="154">
        <v>0</v>
      </c>
      <c r="Y53" s="154">
        <v>0</v>
      </c>
      <c r="Z53" s="154">
        <v>0</v>
      </c>
      <c r="AA53" s="154">
        <v>7.7432250944443304</v>
      </c>
      <c r="AB53" s="154">
        <v>0</v>
      </c>
      <c r="AC53" s="154">
        <v>0</v>
      </c>
      <c r="AD53" s="154">
        <v>0</v>
      </c>
      <c r="AE53" s="154">
        <v>0</v>
      </c>
      <c r="AF53" s="154">
        <v>0</v>
      </c>
      <c r="AG53" s="154">
        <v>0</v>
      </c>
      <c r="AH53" s="154">
        <v>0</v>
      </c>
      <c r="AI53" s="154">
        <v>0</v>
      </c>
      <c r="AJ53" s="154">
        <v>0</v>
      </c>
      <c r="AK53" s="154">
        <v>0</v>
      </c>
      <c r="AL53" s="154">
        <v>0</v>
      </c>
      <c r="AM53" s="154">
        <v>0</v>
      </c>
      <c r="AN53" s="154">
        <v>0</v>
      </c>
      <c r="AO53" s="154">
        <v>0</v>
      </c>
      <c r="AP53" s="154">
        <v>0</v>
      </c>
      <c r="AQ53" s="154">
        <v>0</v>
      </c>
      <c r="AR53" s="154">
        <v>0</v>
      </c>
      <c r="AS53" s="154">
        <v>0</v>
      </c>
      <c r="AT53" s="155">
        <v>0</v>
      </c>
    </row>
    <row r="54" spans="2:46" ht="12" customHeight="1" x14ac:dyDescent="0.3">
      <c r="B54" s="153" t="s">
        <v>22</v>
      </c>
      <c r="C54" s="154" t="s">
        <v>33</v>
      </c>
      <c r="D54" s="154" t="s">
        <v>24</v>
      </c>
      <c r="E54" s="154" t="s">
        <v>24</v>
      </c>
      <c r="F54" s="154" t="s">
        <v>25</v>
      </c>
      <c r="G54" s="154" t="s">
        <v>34</v>
      </c>
      <c r="H54" s="154" t="s">
        <v>78</v>
      </c>
      <c r="I54" s="154" t="s">
        <v>25</v>
      </c>
      <c r="J54" s="154">
        <v>721.06</v>
      </c>
      <c r="K54" s="154">
        <v>371.9</v>
      </c>
      <c r="L54" s="154">
        <v>6.7386679297978596</v>
      </c>
      <c r="M54" s="154">
        <v>0.96084766636204699</v>
      </c>
      <c r="N54" s="154">
        <v>8.5218614783030198</v>
      </c>
      <c r="O54" s="154">
        <v>0</v>
      </c>
      <c r="P54" s="154">
        <v>0</v>
      </c>
      <c r="Q54" s="154">
        <v>86.652832106040293</v>
      </c>
      <c r="R54" s="154">
        <v>13.642318933507401</v>
      </c>
      <c r="S54" s="154">
        <v>0</v>
      </c>
      <c r="T54" s="154">
        <v>70.476969893621103</v>
      </c>
      <c r="U54" s="154">
        <v>14.277685560436799</v>
      </c>
      <c r="V54" s="154">
        <v>2.2066208985673801</v>
      </c>
      <c r="W54" s="154">
        <v>0</v>
      </c>
      <c r="X54" s="154">
        <v>0</v>
      </c>
      <c r="Y54" s="154">
        <v>0</v>
      </c>
      <c r="Z54" s="154">
        <v>0</v>
      </c>
      <c r="AA54" s="154">
        <v>492.403792378736</v>
      </c>
      <c r="AB54" s="154">
        <v>0</v>
      </c>
      <c r="AC54" s="154">
        <v>0</v>
      </c>
      <c r="AD54" s="154">
        <v>0</v>
      </c>
      <c r="AE54" s="154">
        <v>22.8964791925385</v>
      </c>
      <c r="AF54" s="154">
        <v>0.39682078045741298</v>
      </c>
      <c r="AG54" s="154">
        <v>1.58063814487189</v>
      </c>
      <c r="AH54" s="154">
        <v>0.30892407095755797</v>
      </c>
      <c r="AI54" s="154">
        <v>13.7352180479374</v>
      </c>
      <c r="AJ54" s="154">
        <v>-18.9619782147847</v>
      </c>
      <c r="AK54" s="154">
        <v>2.7264007365833902</v>
      </c>
      <c r="AL54" s="154">
        <v>20.0108248119179</v>
      </c>
      <c r="AM54" s="154">
        <v>1.48191560334144</v>
      </c>
      <c r="AN54" s="154">
        <v>336.07688789059802</v>
      </c>
      <c r="AO54" s="154">
        <v>8.0599016754402992</v>
      </c>
      <c r="AP54" s="154">
        <v>5.5561220594496099</v>
      </c>
      <c r="AQ54" s="154">
        <v>0</v>
      </c>
      <c r="AR54" s="154">
        <v>0</v>
      </c>
      <c r="AS54" s="154">
        <v>0</v>
      </c>
      <c r="AT54" s="155">
        <v>3.2114261043049899</v>
      </c>
    </row>
    <row r="55" spans="2:46" ht="12" customHeight="1" x14ac:dyDescent="0.3">
      <c r="B55" s="153" t="s">
        <v>22</v>
      </c>
      <c r="C55" s="154" t="s">
        <v>33</v>
      </c>
      <c r="D55" s="154" t="s">
        <v>24</v>
      </c>
      <c r="E55" s="154" t="s">
        <v>24</v>
      </c>
      <c r="F55" s="154" t="s">
        <v>25</v>
      </c>
      <c r="G55" s="154" t="s">
        <v>36</v>
      </c>
      <c r="H55" s="154" t="s">
        <v>78</v>
      </c>
      <c r="I55" s="154" t="s">
        <v>25</v>
      </c>
      <c r="J55" s="154">
        <v>486.82</v>
      </c>
      <c r="K55" s="154">
        <v>231.21</v>
      </c>
      <c r="L55" s="154">
        <v>6.7386679297978596</v>
      </c>
      <c r="M55" s="154">
        <v>0.96084766636204699</v>
      </c>
      <c r="N55" s="154">
        <v>6.0283640077728498</v>
      </c>
      <c r="O55" s="154">
        <v>0</v>
      </c>
      <c r="P55" s="154">
        <v>0</v>
      </c>
      <c r="Q55" s="154">
        <v>86.652832106040293</v>
      </c>
      <c r="R55" s="154">
        <v>13.642318933507401</v>
      </c>
      <c r="S55" s="154">
        <v>0</v>
      </c>
      <c r="T55" s="154">
        <v>42.286245690368801</v>
      </c>
      <c r="U55" s="154">
        <v>8.5666113362620795</v>
      </c>
      <c r="V55" s="154">
        <v>1.32397253914043</v>
      </c>
      <c r="W55" s="154">
        <v>0</v>
      </c>
      <c r="X55" s="154">
        <v>0</v>
      </c>
      <c r="Y55" s="154">
        <v>0</v>
      </c>
      <c r="Z55" s="154">
        <v>0</v>
      </c>
      <c r="AA55" s="154">
        <v>295.44220308656799</v>
      </c>
      <c r="AB55" s="154">
        <v>0</v>
      </c>
      <c r="AC55" s="154">
        <v>0</v>
      </c>
      <c r="AD55" s="154">
        <v>0</v>
      </c>
      <c r="AE55" s="154">
        <v>22.8964791925385</v>
      </c>
      <c r="AF55" s="154">
        <v>0.39682078045741298</v>
      </c>
      <c r="AG55" s="154">
        <v>1.58063814487189</v>
      </c>
      <c r="AH55" s="154">
        <v>0.30892407095755797</v>
      </c>
      <c r="AI55" s="154">
        <v>13.7352180479374</v>
      </c>
      <c r="AJ55" s="154">
        <v>-18.9619782147847</v>
      </c>
      <c r="AK55" s="154">
        <v>2.7264007365833902</v>
      </c>
      <c r="AL55" s="154">
        <v>20.0108248119179</v>
      </c>
      <c r="AM55" s="154">
        <v>1.48191560334144</v>
      </c>
      <c r="AN55" s="154">
        <v>195.39353947127799</v>
      </c>
      <c r="AO55" s="154">
        <v>8.0599016754402992</v>
      </c>
      <c r="AP55" s="154">
        <v>5.5561220594496099</v>
      </c>
      <c r="AQ55" s="154">
        <v>0</v>
      </c>
      <c r="AR55" s="154">
        <v>0</v>
      </c>
      <c r="AS55" s="154">
        <v>0</v>
      </c>
      <c r="AT55" s="155">
        <v>3.2114261043049899</v>
      </c>
    </row>
    <row r="56" spans="2:46" ht="12" customHeight="1" x14ac:dyDescent="0.3">
      <c r="B56" s="153" t="s">
        <v>22</v>
      </c>
      <c r="C56" s="154" t="s">
        <v>33</v>
      </c>
      <c r="D56" s="154" t="s">
        <v>24</v>
      </c>
      <c r="E56" s="154" t="s">
        <v>24</v>
      </c>
      <c r="F56" s="154" t="s">
        <v>25</v>
      </c>
      <c r="G56" s="154" t="s">
        <v>35</v>
      </c>
      <c r="H56" s="154" t="s">
        <v>78</v>
      </c>
      <c r="I56" s="154" t="s">
        <v>25</v>
      </c>
      <c r="J56" s="154">
        <v>252.59</v>
      </c>
      <c r="K56" s="154">
        <v>231.21</v>
      </c>
      <c r="L56" s="154">
        <v>6.7386679297978596</v>
      </c>
      <c r="M56" s="154">
        <v>0.96084766636204699</v>
      </c>
      <c r="N56" s="154">
        <v>3.53486653724269</v>
      </c>
      <c r="O56" s="154">
        <v>0</v>
      </c>
      <c r="P56" s="154">
        <v>0</v>
      </c>
      <c r="Q56" s="154">
        <v>86.652832106040293</v>
      </c>
      <c r="R56" s="154">
        <v>13.642318933507401</v>
      </c>
      <c r="S56" s="154">
        <v>0</v>
      </c>
      <c r="T56" s="154">
        <v>14.095415230122899</v>
      </c>
      <c r="U56" s="154">
        <v>2.8555371120873598</v>
      </c>
      <c r="V56" s="154">
        <v>0.44132417971347498</v>
      </c>
      <c r="W56" s="154">
        <v>0</v>
      </c>
      <c r="X56" s="154">
        <v>0</v>
      </c>
      <c r="Y56" s="154">
        <v>0</v>
      </c>
      <c r="Z56" s="154">
        <v>0</v>
      </c>
      <c r="AA56" s="154">
        <v>98.480734362189395</v>
      </c>
      <c r="AB56" s="154">
        <v>0</v>
      </c>
      <c r="AC56" s="154">
        <v>0</v>
      </c>
      <c r="AD56" s="154">
        <v>0</v>
      </c>
      <c r="AE56" s="154">
        <v>22.8964791925385</v>
      </c>
      <c r="AF56" s="154">
        <v>0.39682078045741298</v>
      </c>
      <c r="AG56" s="154">
        <v>1.58063814487189</v>
      </c>
      <c r="AH56" s="154">
        <v>0.30892407095755797</v>
      </c>
      <c r="AI56" s="154">
        <v>13.7352180479374</v>
      </c>
      <c r="AJ56" s="154">
        <v>-18.9619782147847</v>
      </c>
      <c r="AK56" s="154">
        <v>2.7264007365833902</v>
      </c>
      <c r="AL56" s="154">
        <v>20.0108248119179</v>
      </c>
      <c r="AM56" s="154">
        <v>1.48191560334144</v>
      </c>
      <c r="AN56" s="154">
        <v>195.39353947127799</v>
      </c>
      <c r="AO56" s="154">
        <v>8.0599016754402992</v>
      </c>
      <c r="AP56" s="154">
        <v>5.5561220594496099</v>
      </c>
      <c r="AQ56" s="154">
        <v>0</v>
      </c>
      <c r="AR56" s="154">
        <v>0</v>
      </c>
      <c r="AS56" s="154">
        <v>0</v>
      </c>
      <c r="AT56" s="155">
        <v>3.2114261043049899</v>
      </c>
    </row>
    <row r="57" spans="2:46" ht="12" customHeight="1" x14ac:dyDescent="0.3">
      <c r="B57" s="153" t="s">
        <v>22</v>
      </c>
      <c r="C57" s="154" t="s">
        <v>23</v>
      </c>
      <c r="D57" s="154" t="s">
        <v>24</v>
      </c>
      <c r="E57" s="154" t="s">
        <v>1522</v>
      </c>
      <c r="F57" s="154" t="s">
        <v>25</v>
      </c>
      <c r="G57" s="154" t="s">
        <v>25</v>
      </c>
      <c r="H57" s="154" t="s">
        <v>78</v>
      </c>
      <c r="I57" s="154" t="s">
        <v>25</v>
      </c>
      <c r="J57" s="154">
        <v>249.4</v>
      </c>
      <c r="K57" s="154">
        <v>242.94</v>
      </c>
      <c r="L57" s="154">
        <v>0</v>
      </c>
      <c r="M57" s="154">
        <v>0.96084766636204699</v>
      </c>
      <c r="N57" s="154">
        <v>4.6278938243064403</v>
      </c>
      <c r="O57" s="154">
        <v>0</v>
      </c>
      <c r="P57" s="154">
        <v>0</v>
      </c>
      <c r="Q57" s="154">
        <v>0</v>
      </c>
      <c r="R57" s="154">
        <v>0</v>
      </c>
      <c r="S57" s="154">
        <v>0</v>
      </c>
      <c r="T57" s="154">
        <v>26.595062930235599</v>
      </c>
      <c r="U57" s="154">
        <v>5.3878072360716498</v>
      </c>
      <c r="V57" s="154">
        <v>0.83272202066048195</v>
      </c>
      <c r="W57" s="154">
        <v>0</v>
      </c>
      <c r="X57" s="154">
        <v>0</v>
      </c>
      <c r="Y57" s="154">
        <v>0</v>
      </c>
      <c r="Z57" s="154">
        <v>0</v>
      </c>
      <c r="AA57" s="154">
        <v>185.812685869978</v>
      </c>
      <c r="AB57" s="154">
        <v>0</v>
      </c>
      <c r="AC57" s="154">
        <v>0</v>
      </c>
      <c r="AD57" s="154">
        <v>0</v>
      </c>
      <c r="AE57" s="154">
        <v>22.8964791925385</v>
      </c>
      <c r="AF57" s="154">
        <v>0.39682078045741298</v>
      </c>
      <c r="AG57" s="154">
        <v>1.58063814487189</v>
      </c>
      <c r="AH57" s="154">
        <v>0.30892407095755797</v>
      </c>
      <c r="AI57" s="154">
        <v>13.7352180479374</v>
      </c>
      <c r="AJ57" s="154">
        <v>-18.9619782147847</v>
      </c>
      <c r="AK57" s="154">
        <v>2.7264007365833902</v>
      </c>
      <c r="AL57" s="154">
        <v>20.0108248119179</v>
      </c>
      <c r="AM57" s="154">
        <v>1.48191560334144</v>
      </c>
      <c r="AN57" s="154">
        <v>207.117151839554</v>
      </c>
      <c r="AO57" s="154">
        <v>8.0599016754402992</v>
      </c>
      <c r="AP57" s="154">
        <v>5.5561220594496099</v>
      </c>
      <c r="AQ57" s="154">
        <v>0</v>
      </c>
      <c r="AR57" s="154">
        <v>0</v>
      </c>
      <c r="AS57" s="154">
        <v>0</v>
      </c>
      <c r="AT57" s="155">
        <v>3.2114261043049899</v>
      </c>
    </row>
    <row r="58" spans="2:46" ht="12" customHeight="1" x14ac:dyDescent="0.3">
      <c r="B58" s="153" t="s">
        <v>22</v>
      </c>
      <c r="C58" s="154" t="s">
        <v>23</v>
      </c>
      <c r="D58" s="154" t="s">
        <v>24</v>
      </c>
      <c r="E58" s="154" t="s">
        <v>24</v>
      </c>
      <c r="F58" s="154" t="s">
        <v>25</v>
      </c>
      <c r="G58" s="154" t="s">
        <v>25</v>
      </c>
      <c r="H58" s="154" t="s">
        <v>78</v>
      </c>
      <c r="I58" s="154" t="s">
        <v>25</v>
      </c>
      <c r="J58" s="154">
        <v>356.45</v>
      </c>
      <c r="K58" s="154">
        <v>242.94</v>
      </c>
      <c r="L58" s="154">
        <v>6.7386679297978596</v>
      </c>
      <c r="M58" s="154">
        <v>0.96084766636204699</v>
      </c>
      <c r="N58" s="154">
        <v>4.6404732179449004</v>
      </c>
      <c r="O58" s="154">
        <v>0</v>
      </c>
      <c r="P58" s="154">
        <v>0</v>
      </c>
      <c r="Q58" s="154">
        <v>86.652832106040293</v>
      </c>
      <c r="R58" s="154">
        <v>13.642318933507401</v>
      </c>
      <c r="S58" s="154">
        <v>0</v>
      </c>
      <c r="T58" s="154">
        <v>26.595062930235599</v>
      </c>
      <c r="U58" s="154">
        <v>5.3878072360716498</v>
      </c>
      <c r="V58" s="154">
        <v>0.83272202066048195</v>
      </c>
      <c r="W58" s="154">
        <v>0</v>
      </c>
      <c r="X58" s="154">
        <v>0</v>
      </c>
      <c r="Y58" s="154">
        <v>0</v>
      </c>
      <c r="Z58" s="154">
        <v>0</v>
      </c>
      <c r="AA58" s="154">
        <v>185.812685869978</v>
      </c>
      <c r="AB58" s="154">
        <v>0</v>
      </c>
      <c r="AC58" s="154">
        <v>0</v>
      </c>
      <c r="AD58" s="154">
        <v>0</v>
      </c>
      <c r="AE58" s="154">
        <v>22.8964791925385</v>
      </c>
      <c r="AF58" s="154">
        <v>0.39682078045741298</v>
      </c>
      <c r="AG58" s="154">
        <v>1.58063814487189</v>
      </c>
      <c r="AH58" s="154">
        <v>0.30892407095755797</v>
      </c>
      <c r="AI58" s="154">
        <v>13.7352180479374</v>
      </c>
      <c r="AJ58" s="154">
        <v>-18.9619782147847</v>
      </c>
      <c r="AK58" s="154">
        <v>2.7264007365833902</v>
      </c>
      <c r="AL58" s="154">
        <v>20.0108248119179</v>
      </c>
      <c r="AM58" s="154">
        <v>1.48191560334144</v>
      </c>
      <c r="AN58" s="154">
        <v>207.117151839554</v>
      </c>
      <c r="AO58" s="154">
        <v>8.0599016754402992</v>
      </c>
      <c r="AP58" s="154">
        <v>5.5561220594496099</v>
      </c>
      <c r="AQ58" s="154">
        <v>0</v>
      </c>
      <c r="AR58" s="154">
        <v>0</v>
      </c>
      <c r="AS58" s="154">
        <v>0</v>
      </c>
      <c r="AT58" s="155">
        <v>3.2114261043049899</v>
      </c>
    </row>
    <row r="59" spans="2:46" ht="12" customHeight="1" x14ac:dyDescent="0.3">
      <c r="B59" s="153" t="s">
        <v>22</v>
      </c>
      <c r="C59" s="154" t="s">
        <v>92</v>
      </c>
      <c r="D59" s="154" t="s">
        <v>24</v>
      </c>
      <c r="E59" s="154" t="s">
        <v>1522</v>
      </c>
      <c r="F59" s="154" t="s">
        <v>25</v>
      </c>
      <c r="G59" s="154" t="s">
        <v>25</v>
      </c>
      <c r="H59" s="154" t="s">
        <v>78</v>
      </c>
      <c r="I59" s="154" t="s">
        <v>25</v>
      </c>
      <c r="J59" s="154">
        <v>249.4</v>
      </c>
      <c r="K59" s="154">
        <v>242.94</v>
      </c>
      <c r="L59" s="154">
        <v>0</v>
      </c>
      <c r="M59" s="154">
        <v>0.96084766636204699</v>
      </c>
      <c r="N59" s="154">
        <v>4.6278938243064403</v>
      </c>
      <c r="O59" s="154">
        <v>0</v>
      </c>
      <c r="P59" s="154">
        <v>0</v>
      </c>
      <c r="Q59" s="154">
        <v>0</v>
      </c>
      <c r="R59" s="154">
        <v>0</v>
      </c>
      <c r="S59" s="154">
        <v>0</v>
      </c>
      <c r="T59" s="154">
        <v>26.595062930235599</v>
      </c>
      <c r="U59" s="154">
        <v>5.3878072360716498</v>
      </c>
      <c r="V59" s="154">
        <v>0.83272202066048195</v>
      </c>
      <c r="W59" s="154">
        <v>0</v>
      </c>
      <c r="X59" s="154">
        <v>0</v>
      </c>
      <c r="Y59" s="154">
        <v>0</v>
      </c>
      <c r="Z59" s="154">
        <v>0</v>
      </c>
      <c r="AA59" s="154">
        <v>185.812685869978</v>
      </c>
      <c r="AB59" s="154">
        <v>0</v>
      </c>
      <c r="AC59" s="154">
        <v>0</v>
      </c>
      <c r="AD59" s="154">
        <v>0</v>
      </c>
      <c r="AE59" s="154">
        <v>22.8964791925385</v>
      </c>
      <c r="AF59" s="154">
        <v>0.39682078045741298</v>
      </c>
      <c r="AG59" s="154">
        <v>1.58063814487189</v>
      </c>
      <c r="AH59" s="154">
        <v>0.30892407095755797</v>
      </c>
      <c r="AI59" s="154">
        <v>13.7352180479374</v>
      </c>
      <c r="AJ59" s="154">
        <v>-18.9619782147847</v>
      </c>
      <c r="AK59" s="154">
        <v>2.7264007365833902</v>
      </c>
      <c r="AL59" s="154">
        <v>20.0108248119179</v>
      </c>
      <c r="AM59" s="154">
        <v>1.48191560334144</v>
      </c>
      <c r="AN59" s="154">
        <v>207.117151839554</v>
      </c>
      <c r="AO59" s="154">
        <v>8.0599016754402992</v>
      </c>
      <c r="AP59" s="154">
        <v>5.5561220594496099</v>
      </c>
      <c r="AQ59" s="154">
        <v>0</v>
      </c>
      <c r="AR59" s="154">
        <v>0</v>
      </c>
      <c r="AS59" s="154">
        <v>0</v>
      </c>
      <c r="AT59" s="155">
        <v>3.2114261043049899</v>
      </c>
    </row>
    <row r="60" spans="2:46" ht="12" customHeight="1" x14ac:dyDescent="0.3">
      <c r="B60" s="153" t="s">
        <v>22</v>
      </c>
      <c r="C60" s="154" t="s">
        <v>92</v>
      </c>
      <c r="D60" s="154" t="s">
        <v>24</v>
      </c>
      <c r="E60" s="154" t="s">
        <v>24</v>
      </c>
      <c r="F60" s="154" t="s">
        <v>25</v>
      </c>
      <c r="G60" s="154" t="s">
        <v>25</v>
      </c>
      <c r="H60" s="154" t="s">
        <v>78</v>
      </c>
      <c r="I60" s="154" t="s">
        <v>25</v>
      </c>
      <c r="J60" s="154">
        <v>356.45</v>
      </c>
      <c r="K60" s="154">
        <v>242.94</v>
      </c>
      <c r="L60" s="154">
        <v>6.7386679297978596</v>
      </c>
      <c r="M60" s="154">
        <v>0.96084766636204699</v>
      </c>
      <c r="N60" s="154">
        <v>4.6404732179449004</v>
      </c>
      <c r="O60" s="154">
        <v>0</v>
      </c>
      <c r="P60" s="154">
        <v>0</v>
      </c>
      <c r="Q60" s="154">
        <v>86.652832106040293</v>
      </c>
      <c r="R60" s="154">
        <v>13.642318933507401</v>
      </c>
      <c r="S60" s="154">
        <v>0</v>
      </c>
      <c r="T60" s="154">
        <v>26.595062930235599</v>
      </c>
      <c r="U60" s="154">
        <v>5.3878072360716498</v>
      </c>
      <c r="V60" s="154">
        <v>0.83272202066048195</v>
      </c>
      <c r="W60" s="154">
        <v>0</v>
      </c>
      <c r="X60" s="154">
        <v>0</v>
      </c>
      <c r="Y60" s="154">
        <v>0</v>
      </c>
      <c r="Z60" s="154">
        <v>0</v>
      </c>
      <c r="AA60" s="154">
        <v>185.812685869978</v>
      </c>
      <c r="AB60" s="154">
        <v>0</v>
      </c>
      <c r="AC60" s="154">
        <v>0</v>
      </c>
      <c r="AD60" s="154">
        <v>0</v>
      </c>
      <c r="AE60" s="154">
        <v>22.8964791925385</v>
      </c>
      <c r="AF60" s="154">
        <v>0.39682078045741298</v>
      </c>
      <c r="AG60" s="154">
        <v>1.58063814487189</v>
      </c>
      <c r="AH60" s="154">
        <v>0.30892407095755797</v>
      </c>
      <c r="AI60" s="154">
        <v>13.7352180479374</v>
      </c>
      <c r="AJ60" s="154">
        <v>-18.9619782147847</v>
      </c>
      <c r="AK60" s="154">
        <v>2.7264007365833902</v>
      </c>
      <c r="AL60" s="154">
        <v>20.0108248119179</v>
      </c>
      <c r="AM60" s="154">
        <v>1.48191560334144</v>
      </c>
      <c r="AN60" s="154">
        <v>207.117151839554</v>
      </c>
      <c r="AO60" s="154">
        <v>8.0599016754402992</v>
      </c>
      <c r="AP60" s="154">
        <v>5.5561220594496099</v>
      </c>
      <c r="AQ60" s="154">
        <v>0</v>
      </c>
      <c r="AR60" s="154">
        <v>0</v>
      </c>
      <c r="AS60" s="154">
        <v>0</v>
      </c>
      <c r="AT60" s="155">
        <v>3.2114261043049899</v>
      </c>
    </row>
    <row r="61" spans="2:46" ht="12" customHeight="1" x14ac:dyDescent="0.3">
      <c r="B61" s="153" t="s">
        <v>44</v>
      </c>
      <c r="C61" s="154" t="s">
        <v>33</v>
      </c>
      <c r="D61" s="154" t="s">
        <v>45</v>
      </c>
      <c r="E61" s="154" t="s">
        <v>93</v>
      </c>
      <c r="F61" s="154" t="s">
        <v>25</v>
      </c>
      <c r="G61" s="154" t="s">
        <v>34</v>
      </c>
      <c r="H61" s="154" t="s">
        <v>78</v>
      </c>
      <c r="I61" s="154" t="s">
        <v>25</v>
      </c>
      <c r="J61" s="154">
        <v>740.12</v>
      </c>
      <c r="K61" s="154">
        <v>349.58</v>
      </c>
      <c r="L61" s="154">
        <v>6.33434785400999</v>
      </c>
      <c r="M61" s="154">
        <v>0.90319680638032396</v>
      </c>
      <c r="N61" s="154">
        <v>8.6739138986613202</v>
      </c>
      <c r="O61" s="154">
        <v>0</v>
      </c>
      <c r="P61" s="154">
        <v>0</v>
      </c>
      <c r="Q61" s="154">
        <v>81.453662179677906</v>
      </c>
      <c r="R61" s="154">
        <v>12.823779797497</v>
      </c>
      <c r="S61" s="154">
        <v>0</v>
      </c>
      <c r="T61" s="154">
        <v>73.748159446330305</v>
      </c>
      <c r="U61" s="154">
        <v>14.940379270895001</v>
      </c>
      <c r="V61" s="154">
        <v>2.3090705675489098</v>
      </c>
      <c r="W61" s="154">
        <v>0</v>
      </c>
      <c r="X61" s="154">
        <v>0</v>
      </c>
      <c r="Y61" s="154">
        <v>0</v>
      </c>
      <c r="Z61" s="154">
        <v>0</v>
      </c>
      <c r="AA61" s="154">
        <v>515.25873091797303</v>
      </c>
      <c r="AB61" s="154">
        <v>0</v>
      </c>
      <c r="AC61" s="154">
        <v>0</v>
      </c>
      <c r="AD61" s="154">
        <v>0</v>
      </c>
      <c r="AE61" s="154">
        <v>21.522690440986199</v>
      </c>
      <c r="AF61" s="154">
        <v>0.37301153362996797</v>
      </c>
      <c r="AG61" s="154">
        <v>1.48579985617958</v>
      </c>
      <c r="AH61" s="154">
        <v>0.29038862670010501</v>
      </c>
      <c r="AI61" s="154">
        <v>12.911104965061201</v>
      </c>
      <c r="AJ61" s="154">
        <v>-17.824259521897599</v>
      </c>
      <c r="AK61" s="154">
        <v>2.5628166923883802</v>
      </c>
      <c r="AL61" s="154">
        <v>18.810175323202799</v>
      </c>
      <c r="AM61" s="154">
        <v>1.3930006671409501</v>
      </c>
      <c r="AN61" s="154">
        <v>315.91227461716198</v>
      </c>
      <c r="AO61" s="154">
        <v>7.57630757491388</v>
      </c>
      <c r="AP61" s="154">
        <v>5.2227547358826296</v>
      </c>
      <c r="AQ61" s="154">
        <v>0</v>
      </c>
      <c r="AR61" s="154">
        <v>0</v>
      </c>
      <c r="AS61" s="154">
        <v>0</v>
      </c>
      <c r="AT61" s="155">
        <v>3.0187405380466901</v>
      </c>
    </row>
    <row r="62" spans="2:46" ht="12" customHeight="1" x14ac:dyDescent="0.3">
      <c r="B62" s="153" t="s">
        <v>44</v>
      </c>
      <c r="C62" s="154" t="s">
        <v>33</v>
      </c>
      <c r="D62" s="154" t="s">
        <v>45</v>
      </c>
      <c r="E62" s="154" t="s">
        <v>93</v>
      </c>
      <c r="F62" s="154" t="s">
        <v>25</v>
      </c>
      <c r="G62" s="154" t="s">
        <v>36</v>
      </c>
      <c r="H62" s="154" t="s">
        <v>78</v>
      </c>
      <c r="I62" s="154" t="s">
        <v>25</v>
      </c>
      <c r="J62" s="154">
        <v>495.01</v>
      </c>
      <c r="K62" s="154">
        <v>217.34</v>
      </c>
      <c r="L62" s="154">
        <v>6.33434785400999</v>
      </c>
      <c r="M62" s="154">
        <v>0.90319680638032396</v>
      </c>
      <c r="N62" s="154">
        <v>6.0646803962477698</v>
      </c>
      <c r="O62" s="154">
        <v>0</v>
      </c>
      <c r="P62" s="154">
        <v>0</v>
      </c>
      <c r="Q62" s="154">
        <v>81.453662179677906</v>
      </c>
      <c r="R62" s="154">
        <v>12.823779797497</v>
      </c>
      <c r="S62" s="154">
        <v>0</v>
      </c>
      <c r="T62" s="154">
        <v>44.248935620427801</v>
      </c>
      <c r="U62" s="154">
        <v>8.9642275625369994</v>
      </c>
      <c r="V62" s="154">
        <v>1.38532646211344</v>
      </c>
      <c r="W62" s="154">
        <v>0</v>
      </c>
      <c r="X62" s="154">
        <v>0</v>
      </c>
      <c r="Y62" s="154">
        <v>0</v>
      </c>
      <c r="Z62" s="154">
        <v>0</v>
      </c>
      <c r="AA62" s="154">
        <v>309.15523855078402</v>
      </c>
      <c r="AB62" s="154">
        <v>0</v>
      </c>
      <c r="AC62" s="154">
        <v>0</v>
      </c>
      <c r="AD62" s="154">
        <v>0</v>
      </c>
      <c r="AE62" s="154">
        <v>21.522690440986199</v>
      </c>
      <c r="AF62" s="154">
        <v>0.37301153362996797</v>
      </c>
      <c r="AG62" s="154">
        <v>1.48579985617958</v>
      </c>
      <c r="AH62" s="154">
        <v>0.29038862670010501</v>
      </c>
      <c r="AI62" s="154">
        <v>12.911104965061201</v>
      </c>
      <c r="AJ62" s="154">
        <v>-17.824259521897599</v>
      </c>
      <c r="AK62" s="154">
        <v>2.5628166923883802</v>
      </c>
      <c r="AL62" s="154">
        <v>18.810175323202799</v>
      </c>
      <c r="AM62" s="154">
        <v>1.3930006671409501</v>
      </c>
      <c r="AN62" s="154">
        <v>183.66992710300099</v>
      </c>
      <c r="AO62" s="154">
        <v>7.57630757491388</v>
      </c>
      <c r="AP62" s="154">
        <v>5.2227547358826296</v>
      </c>
      <c r="AQ62" s="154">
        <v>0</v>
      </c>
      <c r="AR62" s="154">
        <v>0</v>
      </c>
      <c r="AS62" s="154">
        <v>0</v>
      </c>
      <c r="AT62" s="155">
        <v>3.0187405380466901</v>
      </c>
    </row>
    <row r="63" spans="2:46" ht="12" customHeight="1" x14ac:dyDescent="0.3">
      <c r="B63" s="153" t="s">
        <v>44</v>
      </c>
      <c r="C63" s="154" t="s">
        <v>33</v>
      </c>
      <c r="D63" s="154" t="s">
        <v>45</v>
      </c>
      <c r="E63" s="154" t="s">
        <v>93</v>
      </c>
      <c r="F63" s="154" t="s">
        <v>25</v>
      </c>
      <c r="G63" s="154" t="s">
        <v>35</v>
      </c>
      <c r="H63" s="154" t="s">
        <v>78</v>
      </c>
      <c r="I63" s="154" t="s">
        <v>25</v>
      </c>
      <c r="J63" s="154">
        <v>249.89</v>
      </c>
      <c r="K63" s="154">
        <v>217.34</v>
      </c>
      <c r="L63" s="154">
        <v>6.33434785400999</v>
      </c>
      <c r="M63" s="154">
        <v>0.90319680638032396</v>
      </c>
      <c r="N63" s="154">
        <v>3.4554468938342202</v>
      </c>
      <c r="O63" s="154">
        <v>0</v>
      </c>
      <c r="P63" s="154">
        <v>0</v>
      </c>
      <c r="Q63" s="154">
        <v>81.453662179677906</v>
      </c>
      <c r="R63" s="154">
        <v>12.823779797497</v>
      </c>
      <c r="S63" s="154">
        <v>0</v>
      </c>
      <c r="T63" s="154">
        <v>14.7496119129513</v>
      </c>
      <c r="U63" s="154">
        <v>2.9880758541789998</v>
      </c>
      <c r="V63" s="154">
        <v>0.46177548737114699</v>
      </c>
      <c r="W63" s="154">
        <v>0</v>
      </c>
      <c r="X63" s="154">
        <v>0</v>
      </c>
      <c r="Y63" s="154">
        <v>0</v>
      </c>
      <c r="Z63" s="154">
        <v>0</v>
      </c>
      <c r="AA63" s="154">
        <v>103.051746183595</v>
      </c>
      <c r="AB63" s="154">
        <v>0</v>
      </c>
      <c r="AC63" s="154">
        <v>0</v>
      </c>
      <c r="AD63" s="154">
        <v>0</v>
      </c>
      <c r="AE63" s="154">
        <v>21.522690440986199</v>
      </c>
      <c r="AF63" s="154">
        <v>0.37301153362996797</v>
      </c>
      <c r="AG63" s="154">
        <v>1.48579985617958</v>
      </c>
      <c r="AH63" s="154">
        <v>0.29038862670010501</v>
      </c>
      <c r="AI63" s="154">
        <v>12.911104965061201</v>
      </c>
      <c r="AJ63" s="154">
        <v>-17.824259521897599</v>
      </c>
      <c r="AK63" s="154">
        <v>2.5628166923883802</v>
      </c>
      <c r="AL63" s="154">
        <v>18.810175323202799</v>
      </c>
      <c r="AM63" s="154">
        <v>1.3930006671409501</v>
      </c>
      <c r="AN63" s="154">
        <v>183.66992710300099</v>
      </c>
      <c r="AO63" s="154">
        <v>7.57630757491388</v>
      </c>
      <c r="AP63" s="154">
        <v>5.2227547358826296</v>
      </c>
      <c r="AQ63" s="154">
        <v>0</v>
      </c>
      <c r="AR63" s="154">
        <v>0</v>
      </c>
      <c r="AS63" s="154">
        <v>0</v>
      </c>
      <c r="AT63" s="155">
        <v>3.0187405380466901</v>
      </c>
    </row>
    <row r="64" spans="2:46" ht="12" customHeight="1" x14ac:dyDescent="0.3">
      <c r="B64" s="153" t="s">
        <v>44</v>
      </c>
      <c r="C64" s="154" t="s">
        <v>33</v>
      </c>
      <c r="D64" s="154" t="s">
        <v>45</v>
      </c>
      <c r="E64" s="154" t="s">
        <v>25</v>
      </c>
      <c r="F64" s="154" t="s">
        <v>25</v>
      </c>
      <c r="G64" s="154" t="s">
        <v>34</v>
      </c>
      <c r="H64" s="154" t="s">
        <v>78</v>
      </c>
      <c r="I64" s="154" t="s">
        <v>25</v>
      </c>
      <c r="J64" s="154">
        <v>740.12</v>
      </c>
      <c r="K64" s="154">
        <v>349.58</v>
      </c>
      <c r="L64" s="154">
        <v>6.33434785400999</v>
      </c>
      <c r="M64" s="154">
        <v>0.90319680638032396</v>
      </c>
      <c r="N64" s="154">
        <v>8.6739138986613202</v>
      </c>
      <c r="O64" s="154">
        <v>0</v>
      </c>
      <c r="P64" s="154">
        <v>0</v>
      </c>
      <c r="Q64" s="154">
        <v>81.453662179677906</v>
      </c>
      <c r="R64" s="154">
        <v>12.823779797497</v>
      </c>
      <c r="S64" s="154">
        <v>0</v>
      </c>
      <c r="T64" s="154">
        <v>73.748159446330305</v>
      </c>
      <c r="U64" s="154">
        <v>14.940379270895001</v>
      </c>
      <c r="V64" s="154">
        <v>2.3090705675489098</v>
      </c>
      <c r="W64" s="154">
        <v>0</v>
      </c>
      <c r="X64" s="154">
        <v>0</v>
      </c>
      <c r="Y64" s="154">
        <v>0</v>
      </c>
      <c r="Z64" s="154">
        <v>0</v>
      </c>
      <c r="AA64" s="154">
        <v>515.25873091797303</v>
      </c>
      <c r="AB64" s="154">
        <v>0</v>
      </c>
      <c r="AC64" s="154">
        <v>0</v>
      </c>
      <c r="AD64" s="154">
        <v>0</v>
      </c>
      <c r="AE64" s="154">
        <v>21.522690440986199</v>
      </c>
      <c r="AF64" s="154">
        <v>0.37301153362996797</v>
      </c>
      <c r="AG64" s="154">
        <v>1.48579985617958</v>
      </c>
      <c r="AH64" s="154">
        <v>0.29038862670010501</v>
      </c>
      <c r="AI64" s="154">
        <v>12.911104965061201</v>
      </c>
      <c r="AJ64" s="154">
        <v>-17.824259521897599</v>
      </c>
      <c r="AK64" s="154">
        <v>2.5628166923883802</v>
      </c>
      <c r="AL64" s="154">
        <v>18.810175323202799</v>
      </c>
      <c r="AM64" s="154">
        <v>1.3930006671409501</v>
      </c>
      <c r="AN64" s="154">
        <v>315.91227461716198</v>
      </c>
      <c r="AO64" s="154">
        <v>7.57630757491388</v>
      </c>
      <c r="AP64" s="154">
        <v>5.2227547358826296</v>
      </c>
      <c r="AQ64" s="154">
        <v>0</v>
      </c>
      <c r="AR64" s="154">
        <v>0</v>
      </c>
      <c r="AS64" s="154">
        <v>0</v>
      </c>
      <c r="AT64" s="155">
        <v>3.0187405380466901</v>
      </c>
    </row>
    <row r="65" spans="2:46" ht="12" customHeight="1" x14ac:dyDescent="0.3">
      <c r="B65" s="153" t="s">
        <v>44</v>
      </c>
      <c r="C65" s="154" t="s">
        <v>33</v>
      </c>
      <c r="D65" s="154" t="s">
        <v>45</v>
      </c>
      <c r="E65" s="154" t="s">
        <v>25</v>
      </c>
      <c r="F65" s="154" t="s">
        <v>25</v>
      </c>
      <c r="G65" s="154" t="s">
        <v>36</v>
      </c>
      <c r="H65" s="154" t="s">
        <v>78</v>
      </c>
      <c r="I65" s="154" t="s">
        <v>25</v>
      </c>
      <c r="J65" s="154">
        <v>495.01</v>
      </c>
      <c r="K65" s="154">
        <v>217.34</v>
      </c>
      <c r="L65" s="154">
        <v>6.33434785400999</v>
      </c>
      <c r="M65" s="154">
        <v>0.90319680638032396</v>
      </c>
      <c r="N65" s="154">
        <v>6.0646803962477698</v>
      </c>
      <c r="O65" s="154">
        <v>0</v>
      </c>
      <c r="P65" s="154">
        <v>0</v>
      </c>
      <c r="Q65" s="154">
        <v>81.453662179677906</v>
      </c>
      <c r="R65" s="154">
        <v>12.823779797497</v>
      </c>
      <c r="S65" s="154">
        <v>0</v>
      </c>
      <c r="T65" s="154">
        <v>44.248935620427801</v>
      </c>
      <c r="U65" s="154">
        <v>8.9642275625369994</v>
      </c>
      <c r="V65" s="154">
        <v>1.38532646211344</v>
      </c>
      <c r="W65" s="154">
        <v>0</v>
      </c>
      <c r="X65" s="154">
        <v>0</v>
      </c>
      <c r="Y65" s="154">
        <v>0</v>
      </c>
      <c r="Z65" s="154">
        <v>0</v>
      </c>
      <c r="AA65" s="154">
        <v>309.15523855078402</v>
      </c>
      <c r="AB65" s="154">
        <v>0</v>
      </c>
      <c r="AC65" s="154">
        <v>0</v>
      </c>
      <c r="AD65" s="154">
        <v>0</v>
      </c>
      <c r="AE65" s="154">
        <v>21.522690440986199</v>
      </c>
      <c r="AF65" s="154">
        <v>0.37301153362996797</v>
      </c>
      <c r="AG65" s="154">
        <v>1.48579985617958</v>
      </c>
      <c r="AH65" s="154">
        <v>0.29038862670010501</v>
      </c>
      <c r="AI65" s="154">
        <v>12.911104965061201</v>
      </c>
      <c r="AJ65" s="154">
        <v>-17.824259521897599</v>
      </c>
      <c r="AK65" s="154">
        <v>2.5628166923883802</v>
      </c>
      <c r="AL65" s="154">
        <v>18.810175323202799</v>
      </c>
      <c r="AM65" s="154">
        <v>1.3930006671409501</v>
      </c>
      <c r="AN65" s="154">
        <v>183.66992710300099</v>
      </c>
      <c r="AO65" s="154">
        <v>7.57630757491388</v>
      </c>
      <c r="AP65" s="154">
        <v>5.2227547358826296</v>
      </c>
      <c r="AQ65" s="154">
        <v>0</v>
      </c>
      <c r="AR65" s="154">
        <v>0</v>
      </c>
      <c r="AS65" s="154">
        <v>0</v>
      </c>
      <c r="AT65" s="155">
        <v>3.0187405380466901</v>
      </c>
    </row>
    <row r="66" spans="2:46" ht="12" customHeight="1" x14ac:dyDescent="0.3">
      <c r="B66" s="153" t="s">
        <v>44</v>
      </c>
      <c r="C66" s="154" t="s">
        <v>33</v>
      </c>
      <c r="D66" s="154" t="s">
        <v>45</v>
      </c>
      <c r="E66" s="154" t="s">
        <v>25</v>
      </c>
      <c r="F66" s="154" t="s">
        <v>25</v>
      </c>
      <c r="G66" s="154" t="s">
        <v>35</v>
      </c>
      <c r="H66" s="154" t="s">
        <v>78</v>
      </c>
      <c r="I66" s="154" t="s">
        <v>25</v>
      </c>
      <c r="J66" s="154">
        <v>249.89</v>
      </c>
      <c r="K66" s="154">
        <v>217.34</v>
      </c>
      <c r="L66" s="154">
        <v>6.33434785400999</v>
      </c>
      <c r="M66" s="154">
        <v>0.90319680638032396</v>
      </c>
      <c r="N66" s="154">
        <v>3.4554468938342202</v>
      </c>
      <c r="O66" s="154">
        <v>0</v>
      </c>
      <c r="P66" s="154">
        <v>0</v>
      </c>
      <c r="Q66" s="154">
        <v>81.453662179677906</v>
      </c>
      <c r="R66" s="154">
        <v>12.823779797497</v>
      </c>
      <c r="S66" s="154">
        <v>0</v>
      </c>
      <c r="T66" s="154">
        <v>14.7496119129513</v>
      </c>
      <c r="U66" s="154">
        <v>2.9880758541789998</v>
      </c>
      <c r="V66" s="154">
        <v>0.46177548737114699</v>
      </c>
      <c r="W66" s="154">
        <v>0</v>
      </c>
      <c r="X66" s="154">
        <v>0</v>
      </c>
      <c r="Y66" s="154">
        <v>0</v>
      </c>
      <c r="Z66" s="154">
        <v>0</v>
      </c>
      <c r="AA66" s="154">
        <v>103.051746183595</v>
      </c>
      <c r="AB66" s="154">
        <v>0</v>
      </c>
      <c r="AC66" s="154">
        <v>0</v>
      </c>
      <c r="AD66" s="154">
        <v>0</v>
      </c>
      <c r="AE66" s="154">
        <v>21.522690440986199</v>
      </c>
      <c r="AF66" s="154">
        <v>0.37301153362996797</v>
      </c>
      <c r="AG66" s="154">
        <v>1.48579985617958</v>
      </c>
      <c r="AH66" s="154">
        <v>0.29038862670010501</v>
      </c>
      <c r="AI66" s="154">
        <v>12.911104965061201</v>
      </c>
      <c r="AJ66" s="154">
        <v>-17.824259521897599</v>
      </c>
      <c r="AK66" s="154">
        <v>2.5628166923883802</v>
      </c>
      <c r="AL66" s="154">
        <v>18.810175323202799</v>
      </c>
      <c r="AM66" s="154">
        <v>1.3930006671409501</v>
      </c>
      <c r="AN66" s="154">
        <v>183.66992710300099</v>
      </c>
      <c r="AO66" s="154">
        <v>7.57630757491388</v>
      </c>
      <c r="AP66" s="154">
        <v>5.2227547358826296</v>
      </c>
      <c r="AQ66" s="154">
        <v>0</v>
      </c>
      <c r="AR66" s="154">
        <v>0</v>
      </c>
      <c r="AS66" s="154">
        <v>0</v>
      </c>
      <c r="AT66" s="155">
        <v>3.0187405380466901</v>
      </c>
    </row>
    <row r="67" spans="2:46" ht="12" customHeight="1" x14ac:dyDescent="0.3">
      <c r="B67" s="153" t="s">
        <v>44</v>
      </c>
      <c r="C67" s="154" t="s">
        <v>33</v>
      </c>
      <c r="D67" s="154" t="s">
        <v>45</v>
      </c>
      <c r="E67" s="154" t="s">
        <v>94</v>
      </c>
      <c r="F67" s="154" t="s">
        <v>25</v>
      </c>
      <c r="G67" s="154" t="s">
        <v>34</v>
      </c>
      <c r="H67" s="154" t="s">
        <v>78</v>
      </c>
      <c r="I67" s="154" t="s">
        <v>25</v>
      </c>
      <c r="J67" s="154">
        <v>724.37</v>
      </c>
      <c r="K67" s="154">
        <v>342.14</v>
      </c>
      <c r="L67" s="154">
        <v>6.1995744954140397</v>
      </c>
      <c r="M67" s="154">
        <v>0.88397985305308302</v>
      </c>
      <c r="N67" s="154">
        <v>8.48936253911533</v>
      </c>
      <c r="O67" s="154">
        <v>0</v>
      </c>
      <c r="P67" s="154">
        <v>0</v>
      </c>
      <c r="Q67" s="154">
        <v>79.720605537557105</v>
      </c>
      <c r="R67" s="154">
        <v>12.5509334188268</v>
      </c>
      <c r="S67" s="154">
        <v>0</v>
      </c>
      <c r="T67" s="154">
        <v>72.179049670876495</v>
      </c>
      <c r="U67" s="154">
        <v>14.622498860876</v>
      </c>
      <c r="V67" s="154">
        <v>2.2599414065372301</v>
      </c>
      <c r="W67" s="154">
        <v>0</v>
      </c>
      <c r="X67" s="154">
        <v>0</v>
      </c>
      <c r="Y67" s="154">
        <v>0</v>
      </c>
      <c r="Z67" s="154">
        <v>0</v>
      </c>
      <c r="AA67" s="154">
        <v>504.29577919631402</v>
      </c>
      <c r="AB67" s="154">
        <v>0</v>
      </c>
      <c r="AC67" s="154">
        <v>0</v>
      </c>
      <c r="AD67" s="154">
        <v>0</v>
      </c>
      <c r="AE67" s="154">
        <v>21.0647608571355</v>
      </c>
      <c r="AF67" s="154">
        <v>0.36507511802081999</v>
      </c>
      <c r="AG67" s="154">
        <v>1.4541870932821399</v>
      </c>
      <c r="AH67" s="154">
        <v>0.28421014528095401</v>
      </c>
      <c r="AI67" s="154">
        <v>12.6364006041024</v>
      </c>
      <c r="AJ67" s="154">
        <v>-17.4450199576019</v>
      </c>
      <c r="AK67" s="154">
        <v>2.5082886776567102</v>
      </c>
      <c r="AL67" s="154">
        <v>18.409958826964399</v>
      </c>
      <c r="AM67" s="154">
        <v>1.3633623550741201</v>
      </c>
      <c r="AN67" s="154">
        <v>309.19073685935001</v>
      </c>
      <c r="AO67" s="154">
        <v>7.4151095414050801</v>
      </c>
      <c r="AP67" s="154">
        <v>5.1116322946936403</v>
      </c>
      <c r="AQ67" s="154">
        <v>0</v>
      </c>
      <c r="AR67" s="154">
        <v>0</v>
      </c>
      <c r="AS67" s="154">
        <v>0</v>
      </c>
      <c r="AT67" s="155">
        <v>2.95451201596059</v>
      </c>
    </row>
    <row r="68" spans="2:46" ht="12" customHeight="1" x14ac:dyDescent="0.3">
      <c r="B68" s="153" t="s">
        <v>44</v>
      </c>
      <c r="C68" s="154" t="s">
        <v>33</v>
      </c>
      <c r="D68" s="154" t="s">
        <v>45</v>
      </c>
      <c r="E68" s="154" t="s">
        <v>94</v>
      </c>
      <c r="F68" s="154" t="s">
        <v>25</v>
      </c>
      <c r="G68" s="154" t="s">
        <v>36</v>
      </c>
      <c r="H68" s="154" t="s">
        <v>78</v>
      </c>
      <c r="I68" s="154" t="s">
        <v>25</v>
      </c>
      <c r="J68" s="154">
        <v>484.47</v>
      </c>
      <c r="K68" s="154">
        <v>212.72</v>
      </c>
      <c r="L68" s="154">
        <v>6.1995744954140397</v>
      </c>
      <c r="M68" s="154">
        <v>0.88397985305308302</v>
      </c>
      <c r="N68" s="154">
        <v>5.9356446431361096</v>
      </c>
      <c r="O68" s="154">
        <v>0</v>
      </c>
      <c r="P68" s="154">
        <v>0</v>
      </c>
      <c r="Q68" s="154">
        <v>79.720605537557105</v>
      </c>
      <c r="R68" s="154">
        <v>12.5509334188268</v>
      </c>
      <c r="S68" s="154">
        <v>0</v>
      </c>
      <c r="T68" s="154">
        <v>43.307468905099498</v>
      </c>
      <c r="U68" s="154">
        <v>8.7734993165255801</v>
      </c>
      <c r="V68" s="154">
        <v>1.3558514310046501</v>
      </c>
      <c r="W68" s="154">
        <v>0</v>
      </c>
      <c r="X68" s="154">
        <v>0</v>
      </c>
      <c r="Y68" s="154">
        <v>0</v>
      </c>
      <c r="Z68" s="154">
        <v>0</v>
      </c>
      <c r="AA68" s="154">
        <v>302.57746751778802</v>
      </c>
      <c r="AB68" s="154">
        <v>0</v>
      </c>
      <c r="AC68" s="154">
        <v>0</v>
      </c>
      <c r="AD68" s="154">
        <v>0</v>
      </c>
      <c r="AE68" s="154">
        <v>21.0647608571355</v>
      </c>
      <c r="AF68" s="154">
        <v>0.36507511802081999</v>
      </c>
      <c r="AG68" s="154">
        <v>1.4541870932821399</v>
      </c>
      <c r="AH68" s="154">
        <v>0.28421014528095401</v>
      </c>
      <c r="AI68" s="154">
        <v>12.6364006041024</v>
      </c>
      <c r="AJ68" s="154">
        <v>-17.4450199576019</v>
      </c>
      <c r="AK68" s="154">
        <v>2.5082886776567102</v>
      </c>
      <c r="AL68" s="154">
        <v>18.409958826964399</v>
      </c>
      <c r="AM68" s="154">
        <v>1.3633623550741201</v>
      </c>
      <c r="AN68" s="154">
        <v>179.76205631357601</v>
      </c>
      <c r="AO68" s="154">
        <v>7.4151095414050801</v>
      </c>
      <c r="AP68" s="154">
        <v>5.1116322946936403</v>
      </c>
      <c r="AQ68" s="154">
        <v>0</v>
      </c>
      <c r="AR68" s="154">
        <v>0</v>
      </c>
      <c r="AS68" s="154">
        <v>0</v>
      </c>
      <c r="AT68" s="155">
        <v>2.95451201596059</v>
      </c>
    </row>
    <row r="69" spans="2:46" ht="12" customHeight="1" x14ac:dyDescent="0.3">
      <c r="B69" s="153" t="s">
        <v>44</v>
      </c>
      <c r="C69" s="154" t="s">
        <v>33</v>
      </c>
      <c r="D69" s="154" t="s">
        <v>45</v>
      </c>
      <c r="E69" s="154" t="s">
        <v>94</v>
      </c>
      <c r="F69" s="154" t="s">
        <v>25</v>
      </c>
      <c r="G69" s="154" t="s">
        <v>35</v>
      </c>
      <c r="H69" s="154" t="s">
        <v>78</v>
      </c>
      <c r="I69" s="154" t="s">
        <v>25</v>
      </c>
      <c r="J69" s="154">
        <v>244.58</v>
      </c>
      <c r="K69" s="154">
        <v>212.72</v>
      </c>
      <c r="L69" s="154">
        <v>6.1995744954140397</v>
      </c>
      <c r="M69" s="154">
        <v>0.88397985305308302</v>
      </c>
      <c r="N69" s="154">
        <v>3.3819267471568999</v>
      </c>
      <c r="O69" s="154">
        <v>0</v>
      </c>
      <c r="P69" s="154">
        <v>0</v>
      </c>
      <c r="Q69" s="154">
        <v>79.720605537557105</v>
      </c>
      <c r="R69" s="154">
        <v>12.5509334188268</v>
      </c>
      <c r="S69" s="154">
        <v>0</v>
      </c>
      <c r="T69" s="154">
        <v>14.4357903828885</v>
      </c>
      <c r="U69" s="154">
        <v>2.92449977217519</v>
      </c>
      <c r="V69" s="154">
        <v>0.451950477001548</v>
      </c>
      <c r="W69" s="154">
        <v>0</v>
      </c>
      <c r="X69" s="154">
        <v>0</v>
      </c>
      <c r="Y69" s="154">
        <v>0</v>
      </c>
      <c r="Z69" s="154">
        <v>0</v>
      </c>
      <c r="AA69" s="154">
        <v>100.859155839263</v>
      </c>
      <c r="AB69" s="154">
        <v>0</v>
      </c>
      <c r="AC69" s="154">
        <v>0</v>
      </c>
      <c r="AD69" s="154">
        <v>0</v>
      </c>
      <c r="AE69" s="154">
        <v>21.0647608571355</v>
      </c>
      <c r="AF69" s="154">
        <v>0.36507511802081999</v>
      </c>
      <c r="AG69" s="154">
        <v>1.4541870932821399</v>
      </c>
      <c r="AH69" s="154">
        <v>0.28421014528095401</v>
      </c>
      <c r="AI69" s="154">
        <v>12.6364006041024</v>
      </c>
      <c r="AJ69" s="154">
        <v>-17.4450199576019</v>
      </c>
      <c r="AK69" s="154">
        <v>2.5082886776567102</v>
      </c>
      <c r="AL69" s="154">
        <v>18.409958826964399</v>
      </c>
      <c r="AM69" s="154">
        <v>1.3633623550741201</v>
      </c>
      <c r="AN69" s="154">
        <v>179.76205631357601</v>
      </c>
      <c r="AO69" s="154">
        <v>7.4151095414050801</v>
      </c>
      <c r="AP69" s="154">
        <v>5.1116322946936403</v>
      </c>
      <c r="AQ69" s="154">
        <v>0</v>
      </c>
      <c r="AR69" s="154">
        <v>0</v>
      </c>
      <c r="AS69" s="154">
        <v>0</v>
      </c>
      <c r="AT69" s="155">
        <v>2.95451201596059</v>
      </c>
    </row>
    <row r="70" spans="2:46" ht="12" customHeight="1" x14ac:dyDescent="0.3">
      <c r="B70" s="153" t="s">
        <v>44</v>
      </c>
      <c r="C70" s="154" t="s">
        <v>23</v>
      </c>
      <c r="D70" s="154" t="s">
        <v>45</v>
      </c>
      <c r="E70" s="154" t="s">
        <v>93</v>
      </c>
      <c r="F70" s="154" t="s">
        <v>25</v>
      </c>
      <c r="G70" s="154" t="s">
        <v>25</v>
      </c>
      <c r="H70" s="154" t="s">
        <v>78</v>
      </c>
      <c r="I70" s="154" t="s">
        <v>25</v>
      </c>
      <c r="J70" s="154">
        <v>335.06</v>
      </c>
      <c r="K70" s="154">
        <v>228.36</v>
      </c>
      <c r="L70" s="154">
        <v>6.33434785400999</v>
      </c>
      <c r="M70" s="154">
        <v>0.90319680638032396</v>
      </c>
      <c r="N70" s="154">
        <v>4.3620448248682102</v>
      </c>
      <c r="O70" s="154">
        <v>0</v>
      </c>
      <c r="P70" s="154">
        <v>0</v>
      </c>
      <c r="Q70" s="154">
        <v>81.453662179677906</v>
      </c>
      <c r="R70" s="154">
        <v>12.823779797497</v>
      </c>
      <c r="S70" s="154">
        <v>0</v>
      </c>
      <c r="T70" s="154">
        <v>24.999359154421501</v>
      </c>
      <c r="U70" s="154">
        <v>5.0645388019073501</v>
      </c>
      <c r="V70" s="154">
        <v>0.78275869942085297</v>
      </c>
      <c r="W70" s="154">
        <v>0</v>
      </c>
      <c r="X70" s="154">
        <v>0</v>
      </c>
      <c r="Y70" s="154">
        <v>0</v>
      </c>
      <c r="Z70" s="154">
        <v>0</v>
      </c>
      <c r="AA70" s="154">
        <v>174.663924717779</v>
      </c>
      <c r="AB70" s="154">
        <v>0</v>
      </c>
      <c r="AC70" s="154">
        <v>0</v>
      </c>
      <c r="AD70" s="154">
        <v>0</v>
      </c>
      <c r="AE70" s="154">
        <v>21.522690440986199</v>
      </c>
      <c r="AF70" s="154">
        <v>0.37301153362996797</v>
      </c>
      <c r="AG70" s="154">
        <v>1.48579985617958</v>
      </c>
      <c r="AH70" s="154">
        <v>0.29038862670010501</v>
      </c>
      <c r="AI70" s="154">
        <v>12.911104965061201</v>
      </c>
      <c r="AJ70" s="154">
        <v>-17.824259521897599</v>
      </c>
      <c r="AK70" s="154">
        <v>2.5628166923883802</v>
      </c>
      <c r="AL70" s="154">
        <v>18.810175323202799</v>
      </c>
      <c r="AM70" s="154">
        <v>1.3930006671409501</v>
      </c>
      <c r="AN70" s="154">
        <v>194.69012272918101</v>
      </c>
      <c r="AO70" s="154">
        <v>7.57630757491388</v>
      </c>
      <c r="AP70" s="154">
        <v>5.2227547358826296</v>
      </c>
      <c r="AQ70" s="154">
        <v>0</v>
      </c>
      <c r="AR70" s="154">
        <v>0</v>
      </c>
      <c r="AS70" s="154">
        <v>0</v>
      </c>
      <c r="AT70" s="155">
        <v>3.0187405380466901</v>
      </c>
    </row>
    <row r="71" spans="2:46" ht="12" customHeight="1" x14ac:dyDescent="0.3">
      <c r="B71" s="153" t="s">
        <v>44</v>
      </c>
      <c r="C71" s="154" t="s">
        <v>23</v>
      </c>
      <c r="D71" s="154" t="s">
        <v>45</v>
      </c>
      <c r="E71" s="154" t="s">
        <v>25</v>
      </c>
      <c r="F71" s="154" t="s">
        <v>25</v>
      </c>
      <c r="G71" s="154" t="s">
        <v>25</v>
      </c>
      <c r="H71" s="154" t="s">
        <v>78</v>
      </c>
      <c r="I71" s="154" t="s">
        <v>25</v>
      </c>
      <c r="J71" s="154">
        <v>335.06</v>
      </c>
      <c r="K71" s="154">
        <v>228.36</v>
      </c>
      <c r="L71" s="154">
        <v>6.33434785400999</v>
      </c>
      <c r="M71" s="154">
        <v>0.90319680638032396</v>
      </c>
      <c r="N71" s="154">
        <v>4.3620448248682102</v>
      </c>
      <c r="O71" s="154">
        <v>0</v>
      </c>
      <c r="P71" s="154">
        <v>0</v>
      </c>
      <c r="Q71" s="154">
        <v>81.453662179677906</v>
      </c>
      <c r="R71" s="154">
        <v>12.823779797497</v>
      </c>
      <c r="S71" s="154">
        <v>0</v>
      </c>
      <c r="T71" s="154">
        <v>24.999359154421501</v>
      </c>
      <c r="U71" s="154">
        <v>5.0645388019073501</v>
      </c>
      <c r="V71" s="154">
        <v>0.78275869942085297</v>
      </c>
      <c r="W71" s="154">
        <v>0</v>
      </c>
      <c r="X71" s="154">
        <v>0</v>
      </c>
      <c r="Y71" s="154">
        <v>0</v>
      </c>
      <c r="Z71" s="154">
        <v>0</v>
      </c>
      <c r="AA71" s="154">
        <v>174.663924717779</v>
      </c>
      <c r="AB71" s="154">
        <v>0</v>
      </c>
      <c r="AC71" s="154">
        <v>0</v>
      </c>
      <c r="AD71" s="154">
        <v>0</v>
      </c>
      <c r="AE71" s="154">
        <v>21.522690440986199</v>
      </c>
      <c r="AF71" s="154">
        <v>0.37301153362996797</v>
      </c>
      <c r="AG71" s="154">
        <v>1.48579985617958</v>
      </c>
      <c r="AH71" s="154">
        <v>0.29038862670010501</v>
      </c>
      <c r="AI71" s="154">
        <v>12.911104965061201</v>
      </c>
      <c r="AJ71" s="154">
        <v>-17.824259521897599</v>
      </c>
      <c r="AK71" s="154">
        <v>2.5628166923883802</v>
      </c>
      <c r="AL71" s="154">
        <v>18.810175323202799</v>
      </c>
      <c r="AM71" s="154">
        <v>1.3930006671409501</v>
      </c>
      <c r="AN71" s="154">
        <v>194.69012272918101</v>
      </c>
      <c r="AO71" s="154">
        <v>7.57630757491388</v>
      </c>
      <c r="AP71" s="154">
        <v>5.2227547358826296</v>
      </c>
      <c r="AQ71" s="154">
        <v>0</v>
      </c>
      <c r="AR71" s="154">
        <v>0</v>
      </c>
      <c r="AS71" s="154">
        <v>0</v>
      </c>
      <c r="AT71" s="155">
        <v>3.0187405380466901</v>
      </c>
    </row>
    <row r="72" spans="2:46" ht="12" customHeight="1" x14ac:dyDescent="0.3">
      <c r="B72" s="153" t="s">
        <v>44</v>
      </c>
      <c r="C72" s="154" t="s">
        <v>23</v>
      </c>
      <c r="D72" s="154" t="s">
        <v>45</v>
      </c>
      <c r="E72" s="154" t="s">
        <v>94</v>
      </c>
      <c r="F72" s="154" t="s">
        <v>25</v>
      </c>
      <c r="G72" s="154" t="s">
        <v>25</v>
      </c>
      <c r="H72" s="154" t="s">
        <v>78</v>
      </c>
      <c r="I72" s="154" t="s">
        <v>25</v>
      </c>
      <c r="J72" s="154">
        <v>327.93</v>
      </c>
      <c r="K72" s="154">
        <v>223.5</v>
      </c>
      <c r="L72" s="154">
        <v>6.1995744954140397</v>
      </c>
      <c r="M72" s="154">
        <v>0.88397985305308302</v>
      </c>
      <c r="N72" s="154">
        <v>4.2692353605093096</v>
      </c>
      <c r="O72" s="154">
        <v>0</v>
      </c>
      <c r="P72" s="154">
        <v>0</v>
      </c>
      <c r="Q72" s="154">
        <v>79.720605537557105</v>
      </c>
      <c r="R72" s="154">
        <v>12.5509334188268</v>
      </c>
      <c r="S72" s="154">
        <v>0</v>
      </c>
      <c r="T72" s="154">
        <v>24.4674578958168</v>
      </c>
      <c r="U72" s="154">
        <v>4.9567826571859204</v>
      </c>
      <c r="V72" s="154">
        <v>0.76610425900764401</v>
      </c>
      <c r="W72" s="154">
        <v>0</v>
      </c>
      <c r="X72" s="154">
        <v>0</v>
      </c>
      <c r="Y72" s="154">
        <v>0</v>
      </c>
      <c r="Z72" s="154">
        <v>0</v>
      </c>
      <c r="AA72" s="154">
        <v>170.94767100038001</v>
      </c>
      <c r="AB72" s="154">
        <v>0</v>
      </c>
      <c r="AC72" s="154">
        <v>0</v>
      </c>
      <c r="AD72" s="154">
        <v>0</v>
      </c>
      <c r="AE72" s="154">
        <v>21.0647608571355</v>
      </c>
      <c r="AF72" s="154">
        <v>0.36507511802081999</v>
      </c>
      <c r="AG72" s="154">
        <v>1.4541870932821399</v>
      </c>
      <c r="AH72" s="154">
        <v>0.28421014528095401</v>
      </c>
      <c r="AI72" s="154">
        <v>12.6364006041024</v>
      </c>
      <c r="AJ72" s="154">
        <v>-17.4450199576019</v>
      </c>
      <c r="AK72" s="154">
        <v>2.5082886776567102</v>
      </c>
      <c r="AL72" s="154">
        <v>18.409958826964399</v>
      </c>
      <c r="AM72" s="154">
        <v>1.3633623550741201</v>
      </c>
      <c r="AN72" s="154">
        <v>190.54777969239001</v>
      </c>
      <c r="AO72" s="154">
        <v>7.4151095414050801</v>
      </c>
      <c r="AP72" s="154">
        <v>5.1116322946936403</v>
      </c>
      <c r="AQ72" s="154">
        <v>0</v>
      </c>
      <c r="AR72" s="154">
        <v>0</v>
      </c>
      <c r="AS72" s="154">
        <v>0</v>
      </c>
      <c r="AT72" s="155">
        <v>2.95451201596059</v>
      </c>
    </row>
    <row r="73" spans="2:46" ht="12" customHeight="1" x14ac:dyDescent="0.3">
      <c r="B73" s="153" t="s">
        <v>44</v>
      </c>
      <c r="C73" s="154" t="s">
        <v>92</v>
      </c>
      <c r="D73" s="154" t="s">
        <v>45</v>
      </c>
      <c r="E73" s="154" t="s">
        <v>93</v>
      </c>
      <c r="F73" s="154" t="s">
        <v>25</v>
      </c>
      <c r="G73" s="154" t="s">
        <v>25</v>
      </c>
      <c r="H73" s="154" t="s">
        <v>78</v>
      </c>
      <c r="I73" s="154" t="s">
        <v>25</v>
      </c>
      <c r="J73" s="154">
        <v>335.06</v>
      </c>
      <c r="K73" s="154">
        <v>228.36</v>
      </c>
      <c r="L73" s="154">
        <v>6.33434785400999</v>
      </c>
      <c r="M73" s="154">
        <v>0.90319680638032396</v>
      </c>
      <c r="N73" s="154">
        <v>4.3620448248682102</v>
      </c>
      <c r="O73" s="154">
        <v>0</v>
      </c>
      <c r="P73" s="154">
        <v>0</v>
      </c>
      <c r="Q73" s="154">
        <v>81.453662179677906</v>
      </c>
      <c r="R73" s="154">
        <v>12.823779797497</v>
      </c>
      <c r="S73" s="154">
        <v>0</v>
      </c>
      <c r="T73" s="154">
        <v>24.999359154421501</v>
      </c>
      <c r="U73" s="154">
        <v>5.0645388019073501</v>
      </c>
      <c r="V73" s="154">
        <v>0.78275869942085297</v>
      </c>
      <c r="W73" s="154">
        <v>0</v>
      </c>
      <c r="X73" s="154">
        <v>0</v>
      </c>
      <c r="Y73" s="154">
        <v>0</v>
      </c>
      <c r="Z73" s="154">
        <v>0</v>
      </c>
      <c r="AA73" s="154">
        <v>174.663924717779</v>
      </c>
      <c r="AB73" s="154">
        <v>0</v>
      </c>
      <c r="AC73" s="154">
        <v>0</v>
      </c>
      <c r="AD73" s="154">
        <v>0</v>
      </c>
      <c r="AE73" s="154">
        <v>21.522690440986199</v>
      </c>
      <c r="AF73" s="154">
        <v>0.37301153362996797</v>
      </c>
      <c r="AG73" s="154">
        <v>1.48579985617958</v>
      </c>
      <c r="AH73" s="154">
        <v>0.29038862670010501</v>
      </c>
      <c r="AI73" s="154">
        <v>12.911104965061201</v>
      </c>
      <c r="AJ73" s="154">
        <v>-17.824259521897599</v>
      </c>
      <c r="AK73" s="154">
        <v>2.5628166923883802</v>
      </c>
      <c r="AL73" s="154">
        <v>18.810175323202799</v>
      </c>
      <c r="AM73" s="154">
        <v>1.3930006671409501</v>
      </c>
      <c r="AN73" s="154">
        <v>194.69012272918101</v>
      </c>
      <c r="AO73" s="154">
        <v>7.57630757491388</v>
      </c>
      <c r="AP73" s="154">
        <v>5.2227547358826296</v>
      </c>
      <c r="AQ73" s="154">
        <v>0</v>
      </c>
      <c r="AR73" s="154">
        <v>0</v>
      </c>
      <c r="AS73" s="154">
        <v>0</v>
      </c>
      <c r="AT73" s="155">
        <v>3.0187405380466901</v>
      </c>
    </row>
    <row r="74" spans="2:46" ht="12" customHeight="1" x14ac:dyDescent="0.3">
      <c r="B74" s="153" t="s">
        <v>44</v>
      </c>
      <c r="C74" s="154" t="s">
        <v>92</v>
      </c>
      <c r="D74" s="154" t="s">
        <v>45</v>
      </c>
      <c r="E74" s="154" t="s">
        <v>25</v>
      </c>
      <c r="F74" s="154" t="s">
        <v>25</v>
      </c>
      <c r="G74" s="154" t="s">
        <v>25</v>
      </c>
      <c r="H74" s="154" t="s">
        <v>78</v>
      </c>
      <c r="I74" s="154" t="s">
        <v>25</v>
      </c>
      <c r="J74" s="154">
        <v>335.06</v>
      </c>
      <c r="K74" s="154">
        <v>228.36</v>
      </c>
      <c r="L74" s="154">
        <v>6.33434785400999</v>
      </c>
      <c r="M74" s="154">
        <v>0.90319680638032396</v>
      </c>
      <c r="N74" s="154">
        <v>4.3620448248682102</v>
      </c>
      <c r="O74" s="154">
        <v>0</v>
      </c>
      <c r="P74" s="154">
        <v>0</v>
      </c>
      <c r="Q74" s="154">
        <v>81.453662179677906</v>
      </c>
      <c r="R74" s="154">
        <v>12.823779797497</v>
      </c>
      <c r="S74" s="154">
        <v>0</v>
      </c>
      <c r="T74" s="154">
        <v>24.999359154421501</v>
      </c>
      <c r="U74" s="154">
        <v>5.0645388019073501</v>
      </c>
      <c r="V74" s="154">
        <v>0.78275869942085297</v>
      </c>
      <c r="W74" s="154">
        <v>0</v>
      </c>
      <c r="X74" s="154">
        <v>0</v>
      </c>
      <c r="Y74" s="154">
        <v>0</v>
      </c>
      <c r="Z74" s="154">
        <v>0</v>
      </c>
      <c r="AA74" s="154">
        <v>174.663924717779</v>
      </c>
      <c r="AB74" s="154">
        <v>0</v>
      </c>
      <c r="AC74" s="154">
        <v>0</v>
      </c>
      <c r="AD74" s="154">
        <v>0</v>
      </c>
      <c r="AE74" s="154">
        <v>21.522690440986199</v>
      </c>
      <c r="AF74" s="154">
        <v>0.37301153362996797</v>
      </c>
      <c r="AG74" s="154">
        <v>1.48579985617958</v>
      </c>
      <c r="AH74" s="154">
        <v>0.29038862670010501</v>
      </c>
      <c r="AI74" s="154">
        <v>12.911104965061201</v>
      </c>
      <c r="AJ74" s="154">
        <v>-17.824259521897599</v>
      </c>
      <c r="AK74" s="154">
        <v>2.5628166923883802</v>
      </c>
      <c r="AL74" s="154">
        <v>18.810175323202799</v>
      </c>
      <c r="AM74" s="154">
        <v>1.3930006671409501</v>
      </c>
      <c r="AN74" s="154">
        <v>194.69012272918101</v>
      </c>
      <c r="AO74" s="154">
        <v>7.57630757491388</v>
      </c>
      <c r="AP74" s="154">
        <v>5.2227547358826296</v>
      </c>
      <c r="AQ74" s="154">
        <v>0</v>
      </c>
      <c r="AR74" s="154">
        <v>0</v>
      </c>
      <c r="AS74" s="154">
        <v>0</v>
      </c>
      <c r="AT74" s="155">
        <v>3.0187405380466901</v>
      </c>
    </row>
    <row r="75" spans="2:46" ht="12" customHeight="1" x14ac:dyDescent="0.3">
      <c r="B75" s="153" t="s">
        <v>44</v>
      </c>
      <c r="C75" s="154" t="s">
        <v>92</v>
      </c>
      <c r="D75" s="154" t="s">
        <v>45</v>
      </c>
      <c r="E75" s="154" t="s">
        <v>94</v>
      </c>
      <c r="F75" s="154" t="s">
        <v>25</v>
      </c>
      <c r="G75" s="154" t="s">
        <v>25</v>
      </c>
      <c r="H75" s="154" t="s">
        <v>78</v>
      </c>
      <c r="I75" s="154" t="s">
        <v>25</v>
      </c>
      <c r="J75" s="154">
        <v>327.93</v>
      </c>
      <c r="K75" s="154">
        <v>223.5</v>
      </c>
      <c r="L75" s="154">
        <v>6.1995744954140397</v>
      </c>
      <c r="M75" s="154">
        <v>0.88397985305308302</v>
      </c>
      <c r="N75" s="154">
        <v>4.2692353605093096</v>
      </c>
      <c r="O75" s="154">
        <v>0</v>
      </c>
      <c r="P75" s="154">
        <v>0</v>
      </c>
      <c r="Q75" s="154">
        <v>79.720605537557105</v>
      </c>
      <c r="R75" s="154">
        <v>12.5509334188268</v>
      </c>
      <c r="S75" s="154">
        <v>0</v>
      </c>
      <c r="T75" s="154">
        <v>24.4674578958168</v>
      </c>
      <c r="U75" s="154">
        <v>4.9567826571859204</v>
      </c>
      <c r="V75" s="154">
        <v>0.76610425900764401</v>
      </c>
      <c r="W75" s="154">
        <v>0</v>
      </c>
      <c r="X75" s="154">
        <v>0</v>
      </c>
      <c r="Y75" s="154">
        <v>0</v>
      </c>
      <c r="Z75" s="154">
        <v>0</v>
      </c>
      <c r="AA75" s="154">
        <v>170.94767100038001</v>
      </c>
      <c r="AB75" s="154">
        <v>0</v>
      </c>
      <c r="AC75" s="154">
        <v>0</v>
      </c>
      <c r="AD75" s="154">
        <v>0</v>
      </c>
      <c r="AE75" s="154">
        <v>21.0647608571355</v>
      </c>
      <c r="AF75" s="154">
        <v>0.36507511802081999</v>
      </c>
      <c r="AG75" s="154">
        <v>1.4541870932821399</v>
      </c>
      <c r="AH75" s="154">
        <v>0.28421014528095401</v>
      </c>
      <c r="AI75" s="154">
        <v>12.6364006041024</v>
      </c>
      <c r="AJ75" s="154">
        <v>-17.4450199576019</v>
      </c>
      <c r="AK75" s="154">
        <v>2.5082886776567102</v>
      </c>
      <c r="AL75" s="154">
        <v>18.409958826964399</v>
      </c>
      <c r="AM75" s="154">
        <v>1.3633623550741201</v>
      </c>
      <c r="AN75" s="154">
        <v>190.54777969239001</v>
      </c>
      <c r="AO75" s="154">
        <v>7.4151095414050801</v>
      </c>
      <c r="AP75" s="154">
        <v>5.1116322946936403</v>
      </c>
      <c r="AQ75" s="154">
        <v>0</v>
      </c>
      <c r="AR75" s="154">
        <v>0</v>
      </c>
      <c r="AS75" s="154">
        <v>0</v>
      </c>
      <c r="AT75" s="155">
        <v>2.95451201596059</v>
      </c>
    </row>
    <row r="76" spans="2:46" ht="12" customHeight="1" x14ac:dyDescent="0.3">
      <c r="B76" s="153" t="s">
        <v>37</v>
      </c>
      <c r="C76" s="154" t="s">
        <v>33</v>
      </c>
      <c r="D76" s="154" t="s">
        <v>25</v>
      </c>
      <c r="E76" s="154" t="s">
        <v>25</v>
      </c>
      <c r="F76" s="154" t="s">
        <v>25</v>
      </c>
      <c r="G76" s="154" t="s">
        <v>34</v>
      </c>
      <c r="H76" s="154" t="s">
        <v>78</v>
      </c>
      <c r="I76" s="154" t="s">
        <v>25</v>
      </c>
      <c r="J76" s="154">
        <v>864.7</v>
      </c>
      <c r="K76" s="154">
        <v>371.9</v>
      </c>
      <c r="L76" s="154">
        <v>6.7386679297978596</v>
      </c>
      <c r="M76" s="154">
        <v>0.96084766636204699</v>
      </c>
      <c r="N76" s="154">
        <v>10.050893064754501</v>
      </c>
      <c r="O76" s="154">
        <v>0</v>
      </c>
      <c r="P76" s="154">
        <v>0</v>
      </c>
      <c r="Q76" s="154">
        <v>86.652832106040293</v>
      </c>
      <c r="R76" s="154">
        <v>13.642318933507401</v>
      </c>
      <c r="S76" s="154">
        <v>0</v>
      </c>
      <c r="T76" s="154">
        <v>87.763813926771107</v>
      </c>
      <c r="U76" s="154">
        <v>17.779756648730299</v>
      </c>
      <c r="V76" s="154">
        <v>2.74779775581379</v>
      </c>
      <c r="W76" s="154">
        <v>0</v>
      </c>
      <c r="X76" s="154">
        <v>0</v>
      </c>
      <c r="Y76" s="154">
        <v>0</v>
      </c>
      <c r="Z76" s="154">
        <v>0</v>
      </c>
      <c r="AA76" s="154">
        <v>613.18209244972604</v>
      </c>
      <c r="AB76" s="154">
        <v>0</v>
      </c>
      <c r="AC76" s="154">
        <v>0</v>
      </c>
      <c r="AD76" s="154">
        <v>0</v>
      </c>
      <c r="AE76" s="154">
        <v>22.8964791925385</v>
      </c>
      <c r="AF76" s="154">
        <v>0.39682078045741298</v>
      </c>
      <c r="AG76" s="154">
        <v>1.58063814487189</v>
      </c>
      <c r="AH76" s="154">
        <v>0.30892407095755797</v>
      </c>
      <c r="AI76" s="154">
        <v>13.7352180479374</v>
      </c>
      <c r="AJ76" s="154">
        <v>-18.9619782147847</v>
      </c>
      <c r="AK76" s="154">
        <v>2.7264007365833902</v>
      </c>
      <c r="AL76" s="154">
        <v>20.0108248119179</v>
      </c>
      <c r="AM76" s="154">
        <v>1.48191560334144</v>
      </c>
      <c r="AN76" s="154">
        <v>336.07688789059802</v>
      </c>
      <c r="AO76" s="154">
        <v>8.0599016754402992</v>
      </c>
      <c r="AP76" s="154">
        <v>5.5561220594496099</v>
      </c>
      <c r="AQ76" s="154">
        <v>0</v>
      </c>
      <c r="AR76" s="154">
        <v>0</v>
      </c>
      <c r="AS76" s="154">
        <v>0</v>
      </c>
      <c r="AT76" s="155">
        <v>3.2114261043049899</v>
      </c>
    </row>
    <row r="77" spans="2:46" ht="12" customHeight="1" x14ac:dyDescent="0.3">
      <c r="B77" s="153" t="s">
        <v>37</v>
      </c>
      <c r="C77" s="154" t="s">
        <v>33</v>
      </c>
      <c r="D77" s="154" t="s">
        <v>25</v>
      </c>
      <c r="E77" s="154" t="s">
        <v>25</v>
      </c>
      <c r="F77" s="154" t="s">
        <v>25</v>
      </c>
      <c r="G77" s="154" t="s">
        <v>36</v>
      </c>
      <c r="H77" s="154" t="s">
        <v>78</v>
      </c>
      <c r="I77" s="154" t="s">
        <v>25</v>
      </c>
      <c r="J77" s="154">
        <v>573.01</v>
      </c>
      <c r="K77" s="154">
        <v>231.21</v>
      </c>
      <c r="L77" s="154">
        <v>6.7386679297978596</v>
      </c>
      <c r="M77" s="154">
        <v>0.96084766636204699</v>
      </c>
      <c r="N77" s="154">
        <v>6.9457817017043597</v>
      </c>
      <c r="O77" s="154">
        <v>0</v>
      </c>
      <c r="P77" s="154">
        <v>0</v>
      </c>
      <c r="Q77" s="154">
        <v>86.652832106040293</v>
      </c>
      <c r="R77" s="154">
        <v>13.642318933507401</v>
      </c>
      <c r="S77" s="154">
        <v>0</v>
      </c>
      <c r="T77" s="154">
        <v>52.658309607461398</v>
      </c>
      <c r="U77" s="154">
        <v>10.6678106074013</v>
      </c>
      <c r="V77" s="154">
        <v>1.6485964702145799</v>
      </c>
      <c r="W77" s="154">
        <v>0</v>
      </c>
      <c r="X77" s="154">
        <v>0</v>
      </c>
      <c r="Y77" s="154">
        <v>0</v>
      </c>
      <c r="Z77" s="154">
        <v>0</v>
      </c>
      <c r="AA77" s="154">
        <v>367.90923135627799</v>
      </c>
      <c r="AB77" s="154">
        <v>0</v>
      </c>
      <c r="AC77" s="154">
        <v>0</v>
      </c>
      <c r="AD77" s="154">
        <v>0</v>
      </c>
      <c r="AE77" s="154">
        <v>22.8964791925385</v>
      </c>
      <c r="AF77" s="154">
        <v>0.39682078045741298</v>
      </c>
      <c r="AG77" s="154">
        <v>1.58063814487189</v>
      </c>
      <c r="AH77" s="154">
        <v>0.30892407095755797</v>
      </c>
      <c r="AI77" s="154">
        <v>13.7352180479374</v>
      </c>
      <c r="AJ77" s="154">
        <v>-18.9619782147847</v>
      </c>
      <c r="AK77" s="154">
        <v>2.7264007365833902</v>
      </c>
      <c r="AL77" s="154">
        <v>20.0108248119179</v>
      </c>
      <c r="AM77" s="154">
        <v>1.48191560334144</v>
      </c>
      <c r="AN77" s="154">
        <v>195.39353947127799</v>
      </c>
      <c r="AO77" s="154">
        <v>8.0599016754402992</v>
      </c>
      <c r="AP77" s="154">
        <v>5.5561220594496099</v>
      </c>
      <c r="AQ77" s="154">
        <v>0</v>
      </c>
      <c r="AR77" s="154">
        <v>0</v>
      </c>
      <c r="AS77" s="154">
        <v>0</v>
      </c>
      <c r="AT77" s="155">
        <v>3.2114261043049899</v>
      </c>
    </row>
    <row r="78" spans="2:46" ht="12" customHeight="1" x14ac:dyDescent="0.3">
      <c r="B78" s="153" t="s">
        <v>37</v>
      </c>
      <c r="C78" s="154" t="s">
        <v>33</v>
      </c>
      <c r="D78" s="154" t="s">
        <v>25</v>
      </c>
      <c r="E78" s="154" t="s">
        <v>25</v>
      </c>
      <c r="F78" s="154" t="s">
        <v>25</v>
      </c>
      <c r="G78" s="154" t="s">
        <v>35</v>
      </c>
      <c r="H78" s="154" t="s">
        <v>78</v>
      </c>
      <c r="I78" s="154" t="s">
        <v>25</v>
      </c>
      <c r="J78" s="154">
        <v>281.31</v>
      </c>
      <c r="K78" s="154">
        <v>231.21</v>
      </c>
      <c r="L78" s="154">
        <v>6.7386679297978596</v>
      </c>
      <c r="M78" s="154">
        <v>0.96084766636204699</v>
      </c>
      <c r="N78" s="154">
        <v>3.84067285453298</v>
      </c>
      <c r="O78" s="154">
        <v>0</v>
      </c>
      <c r="P78" s="154">
        <v>0</v>
      </c>
      <c r="Q78" s="154">
        <v>86.652832106040293</v>
      </c>
      <c r="R78" s="154">
        <v>13.642318933507401</v>
      </c>
      <c r="S78" s="154">
        <v>0</v>
      </c>
      <c r="T78" s="154">
        <v>17.552805288151699</v>
      </c>
      <c r="U78" s="154">
        <v>3.5559368691337498</v>
      </c>
      <c r="V78" s="154">
        <v>0.54960064279960297</v>
      </c>
      <c r="W78" s="154">
        <v>0</v>
      </c>
      <c r="X78" s="154">
        <v>0</v>
      </c>
      <c r="Y78" s="154">
        <v>0</v>
      </c>
      <c r="Z78" s="154">
        <v>0</v>
      </c>
      <c r="AA78" s="154">
        <v>122.63637026283</v>
      </c>
      <c r="AB78" s="154">
        <v>0</v>
      </c>
      <c r="AC78" s="154">
        <v>0</v>
      </c>
      <c r="AD78" s="154">
        <v>0</v>
      </c>
      <c r="AE78" s="154">
        <v>22.8964791925385</v>
      </c>
      <c r="AF78" s="154">
        <v>0.39682078045741298</v>
      </c>
      <c r="AG78" s="154">
        <v>1.58063814487189</v>
      </c>
      <c r="AH78" s="154">
        <v>0.30892407095755797</v>
      </c>
      <c r="AI78" s="154">
        <v>13.7352180479374</v>
      </c>
      <c r="AJ78" s="154">
        <v>-18.9619782147847</v>
      </c>
      <c r="AK78" s="154">
        <v>2.7264007365833902</v>
      </c>
      <c r="AL78" s="154">
        <v>20.0108248119179</v>
      </c>
      <c r="AM78" s="154">
        <v>1.48191560334144</v>
      </c>
      <c r="AN78" s="154">
        <v>195.39353947127799</v>
      </c>
      <c r="AO78" s="154">
        <v>8.0599016754402992</v>
      </c>
      <c r="AP78" s="154">
        <v>5.5561220594496099</v>
      </c>
      <c r="AQ78" s="154">
        <v>0</v>
      </c>
      <c r="AR78" s="154">
        <v>0</v>
      </c>
      <c r="AS78" s="154">
        <v>0</v>
      </c>
      <c r="AT78" s="155">
        <v>3.2114261043049899</v>
      </c>
    </row>
    <row r="79" spans="2:46" ht="12" customHeight="1" x14ac:dyDescent="0.3">
      <c r="B79" s="153" t="s">
        <v>37</v>
      </c>
      <c r="C79" s="154" t="s">
        <v>23</v>
      </c>
      <c r="D79" s="154" t="s">
        <v>25</v>
      </c>
      <c r="E79" s="154" t="s">
        <v>25</v>
      </c>
      <c r="F79" s="154" t="s">
        <v>25</v>
      </c>
      <c r="G79" s="154" t="s">
        <v>25</v>
      </c>
      <c r="H79" s="154" t="s">
        <v>78</v>
      </c>
      <c r="I79" s="154" t="s">
        <v>25</v>
      </c>
      <c r="J79" s="154">
        <v>356.45</v>
      </c>
      <c r="K79" s="154">
        <v>242.94</v>
      </c>
      <c r="L79" s="154">
        <v>6.7386679297978596</v>
      </c>
      <c r="M79" s="154">
        <v>0.96084766636204699</v>
      </c>
      <c r="N79" s="154">
        <v>4.6404732179449004</v>
      </c>
      <c r="O79" s="154">
        <v>0</v>
      </c>
      <c r="P79" s="154">
        <v>0</v>
      </c>
      <c r="Q79" s="154">
        <v>86.652832106040293</v>
      </c>
      <c r="R79" s="154">
        <v>13.642318933507401</v>
      </c>
      <c r="S79" s="154">
        <v>0</v>
      </c>
      <c r="T79" s="154">
        <v>26.595062930235599</v>
      </c>
      <c r="U79" s="154">
        <v>5.3878072360716498</v>
      </c>
      <c r="V79" s="154">
        <v>0.83272202066048195</v>
      </c>
      <c r="W79" s="154">
        <v>0</v>
      </c>
      <c r="X79" s="154">
        <v>0</v>
      </c>
      <c r="Y79" s="154">
        <v>0</v>
      </c>
      <c r="Z79" s="154">
        <v>0</v>
      </c>
      <c r="AA79" s="154">
        <v>185.812685869978</v>
      </c>
      <c r="AB79" s="154">
        <v>0</v>
      </c>
      <c r="AC79" s="154">
        <v>0</v>
      </c>
      <c r="AD79" s="154">
        <v>0</v>
      </c>
      <c r="AE79" s="154">
        <v>22.8964791925385</v>
      </c>
      <c r="AF79" s="154">
        <v>0.39682078045741298</v>
      </c>
      <c r="AG79" s="154">
        <v>1.58063814487189</v>
      </c>
      <c r="AH79" s="154">
        <v>0.30892407095755797</v>
      </c>
      <c r="AI79" s="154">
        <v>13.7352180479374</v>
      </c>
      <c r="AJ79" s="154">
        <v>-18.9619782147847</v>
      </c>
      <c r="AK79" s="154">
        <v>2.7264007365833902</v>
      </c>
      <c r="AL79" s="154">
        <v>20.0108248119179</v>
      </c>
      <c r="AM79" s="154">
        <v>1.48191560334144</v>
      </c>
      <c r="AN79" s="154">
        <v>207.117151839554</v>
      </c>
      <c r="AO79" s="154">
        <v>8.0599016754402992</v>
      </c>
      <c r="AP79" s="154">
        <v>5.5561220594496099</v>
      </c>
      <c r="AQ79" s="154">
        <v>0</v>
      </c>
      <c r="AR79" s="154">
        <v>0</v>
      </c>
      <c r="AS79" s="154">
        <v>0</v>
      </c>
      <c r="AT79" s="155">
        <v>3.2114261043049899</v>
      </c>
    </row>
    <row r="80" spans="2:46" ht="12" customHeight="1" x14ac:dyDescent="0.3">
      <c r="B80" s="153" t="s">
        <v>37</v>
      </c>
      <c r="C80" s="154" t="s">
        <v>92</v>
      </c>
      <c r="D80" s="154" t="s">
        <v>25</v>
      </c>
      <c r="E80" s="154" t="s">
        <v>25</v>
      </c>
      <c r="F80" s="154" t="s">
        <v>25</v>
      </c>
      <c r="G80" s="154" t="s">
        <v>25</v>
      </c>
      <c r="H80" s="154" t="s">
        <v>78</v>
      </c>
      <c r="I80" s="154" t="s">
        <v>25</v>
      </c>
      <c r="J80" s="154">
        <v>356.45</v>
      </c>
      <c r="K80" s="154">
        <v>242.94</v>
      </c>
      <c r="L80" s="154">
        <v>6.7386679297978596</v>
      </c>
      <c r="M80" s="154">
        <v>0.96084766636204699</v>
      </c>
      <c r="N80" s="154">
        <v>4.6404732179449004</v>
      </c>
      <c r="O80" s="154">
        <v>0</v>
      </c>
      <c r="P80" s="154">
        <v>0</v>
      </c>
      <c r="Q80" s="154">
        <v>86.652832106040293</v>
      </c>
      <c r="R80" s="154">
        <v>13.642318933507401</v>
      </c>
      <c r="S80" s="154">
        <v>0</v>
      </c>
      <c r="T80" s="154">
        <v>26.595062930235599</v>
      </c>
      <c r="U80" s="154">
        <v>5.3878072360716498</v>
      </c>
      <c r="V80" s="154">
        <v>0.83272202066048195</v>
      </c>
      <c r="W80" s="154">
        <v>0</v>
      </c>
      <c r="X80" s="154">
        <v>0</v>
      </c>
      <c r="Y80" s="154">
        <v>0</v>
      </c>
      <c r="Z80" s="154">
        <v>0</v>
      </c>
      <c r="AA80" s="154">
        <v>185.812685869978</v>
      </c>
      <c r="AB80" s="154">
        <v>0</v>
      </c>
      <c r="AC80" s="154">
        <v>0</v>
      </c>
      <c r="AD80" s="154">
        <v>0</v>
      </c>
      <c r="AE80" s="154">
        <v>22.8964791925385</v>
      </c>
      <c r="AF80" s="154">
        <v>0.39682078045741298</v>
      </c>
      <c r="AG80" s="154">
        <v>1.58063814487189</v>
      </c>
      <c r="AH80" s="154">
        <v>0.30892407095755797</v>
      </c>
      <c r="AI80" s="154">
        <v>13.7352180479374</v>
      </c>
      <c r="AJ80" s="154">
        <v>-18.9619782147847</v>
      </c>
      <c r="AK80" s="154">
        <v>2.7264007365833902</v>
      </c>
      <c r="AL80" s="154">
        <v>20.0108248119179</v>
      </c>
      <c r="AM80" s="154">
        <v>1.48191560334144</v>
      </c>
      <c r="AN80" s="154">
        <v>207.117151839554</v>
      </c>
      <c r="AO80" s="154">
        <v>8.0599016754402992</v>
      </c>
      <c r="AP80" s="154">
        <v>5.5561220594496099</v>
      </c>
      <c r="AQ80" s="154">
        <v>0</v>
      </c>
      <c r="AR80" s="154">
        <v>0</v>
      </c>
      <c r="AS80" s="154">
        <v>0</v>
      </c>
      <c r="AT80" s="155">
        <v>3.2114261043049899</v>
      </c>
    </row>
    <row r="81" spans="2:46" ht="12" customHeight="1" x14ac:dyDescent="0.3">
      <c r="B81" s="153" t="s">
        <v>47</v>
      </c>
      <c r="C81" s="154" t="s">
        <v>23</v>
      </c>
      <c r="D81" s="154" t="s">
        <v>48</v>
      </c>
      <c r="E81" s="154" t="s">
        <v>49</v>
      </c>
      <c r="F81" s="154" t="s">
        <v>25</v>
      </c>
      <c r="G81" s="154" t="s">
        <v>25</v>
      </c>
      <c r="H81" s="154" t="s">
        <v>78</v>
      </c>
      <c r="I81" s="154" t="s">
        <v>25</v>
      </c>
      <c r="J81" s="154">
        <v>196.05</v>
      </c>
      <c r="K81" s="154">
        <v>133.62</v>
      </c>
      <c r="L81" s="154">
        <v>3.70626736138883</v>
      </c>
      <c r="M81" s="154">
        <v>0.52846621649912595</v>
      </c>
      <c r="N81" s="154">
        <v>2.5522602698696999</v>
      </c>
      <c r="O81" s="154">
        <v>0</v>
      </c>
      <c r="P81" s="154">
        <v>0</v>
      </c>
      <c r="Q81" s="154">
        <v>47.659057658322197</v>
      </c>
      <c r="R81" s="154">
        <v>7.5032754134290798</v>
      </c>
      <c r="S81" s="154">
        <v>0</v>
      </c>
      <c r="T81" s="154">
        <v>14.6272846116296</v>
      </c>
      <c r="U81" s="154">
        <v>2.9632939798394098</v>
      </c>
      <c r="V81" s="154">
        <v>0.45799711136326499</v>
      </c>
      <c r="W81" s="154">
        <v>0</v>
      </c>
      <c r="X81" s="154">
        <v>0</v>
      </c>
      <c r="Y81" s="154">
        <v>0</v>
      </c>
      <c r="Z81" s="154">
        <v>0</v>
      </c>
      <c r="AA81" s="154">
        <v>102.196977228488</v>
      </c>
      <c r="AB81" s="154">
        <v>0</v>
      </c>
      <c r="AC81" s="154">
        <v>0</v>
      </c>
      <c r="AD81" s="154">
        <v>0</v>
      </c>
      <c r="AE81" s="154">
        <v>12.593063555896199</v>
      </c>
      <c r="AF81" s="154">
        <v>0.21825142925157701</v>
      </c>
      <c r="AG81" s="154">
        <v>0.869350979679541</v>
      </c>
      <c r="AH81" s="154">
        <v>0.169908239026657</v>
      </c>
      <c r="AI81" s="154">
        <v>7.5543699263655801</v>
      </c>
      <c r="AJ81" s="154">
        <v>-10.429088018131599</v>
      </c>
      <c r="AK81" s="154">
        <v>1.4995204051208599</v>
      </c>
      <c r="AL81" s="154">
        <v>11.005953646554801</v>
      </c>
      <c r="AM81" s="154">
        <v>0.81505358183778998</v>
      </c>
      <c r="AN81" s="154">
        <v>113.91443351175501</v>
      </c>
      <c r="AO81" s="154">
        <v>4.4329459214921698</v>
      </c>
      <c r="AP81" s="154">
        <v>3.0558671326972902</v>
      </c>
      <c r="AQ81" s="154">
        <v>0</v>
      </c>
      <c r="AR81" s="154">
        <v>0</v>
      </c>
      <c r="AS81" s="154">
        <v>0</v>
      </c>
      <c r="AT81" s="155">
        <v>1.76628435736774</v>
      </c>
    </row>
    <row r="82" spans="2:46" ht="12" customHeight="1" x14ac:dyDescent="0.3">
      <c r="B82" s="156" t="s">
        <v>47</v>
      </c>
      <c r="C82" s="157" t="s">
        <v>23</v>
      </c>
      <c r="D82" s="157" t="s">
        <v>48</v>
      </c>
      <c r="E82" s="157" t="s">
        <v>95</v>
      </c>
      <c r="F82" s="157" t="s">
        <v>25</v>
      </c>
      <c r="G82" s="157" t="s">
        <v>25</v>
      </c>
      <c r="H82" s="157" t="s">
        <v>78</v>
      </c>
      <c r="I82" s="157" t="s">
        <v>25</v>
      </c>
      <c r="J82" s="157">
        <v>213.87</v>
      </c>
      <c r="K82" s="157">
        <v>145.76</v>
      </c>
      <c r="L82" s="157">
        <v>4.0432007578787204</v>
      </c>
      <c r="M82" s="157">
        <v>0.57650859981722802</v>
      </c>
      <c r="N82" s="157">
        <v>2.7842839307669398</v>
      </c>
      <c r="O82" s="157">
        <v>0</v>
      </c>
      <c r="P82" s="157">
        <v>0</v>
      </c>
      <c r="Q82" s="157">
        <v>51.991699263624199</v>
      </c>
      <c r="R82" s="157">
        <v>8.1853913601044503</v>
      </c>
      <c r="S82" s="157">
        <v>0</v>
      </c>
      <c r="T82" s="157">
        <v>15.9570377581414</v>
      </c>
      <c r="U82" s="157">
        <v>3.2326843416429898</v>
      </c>
      <c r="V82" s="157">
        <v>0.49963321239628899</v>
      </c>
      <c r="W82" s="157">
        <v>0</v>
      </c>
      <c r="X82" s="157">
        <v>0</v>
      </c>
      <c r="Y82" s="157">
        <v>0</v>
      </c>
      <c r="Z82" s="157">
        <v>0</v>
      </c>
      <c r="AA82" s="157">
        <v>111.48761152198701</v>
      </c>
      <c r="AB82" s="157">
        <v>0</v>
      </c>
      <c r="AC82" s="157">
        <v>0</v>
      </c>
      <c r="AD82" s="157">
        <v>0</v>
      </c>
      <c r="AE82" s="157">
        <v>13.7378875155231</v>
      </c>
      <c r="AF82" s="157">
        <v>0.23809246827444799</v>
      </c>
      <c r="AG82" s="157">
        <v>0.94838288692313599</v>
      </c>
      <c r="AH82" s="157">
        <v>0.18535444257453501</v>
      </c>
      <c r="AI82" s="157">
        <v>8.2411308287624596</v>
      </c>
      <c r="AJ82" s="157">
        <v>-11.377186928870801</v>
      </c>
      <c r="AK82" s="157">
        <v>1.6358404419500301</v>
      </c>
      <c r="AL82" s="157">
        <v>12.0064948871507</v>
      </c>
      <c r="AM82" s="157">
        <v>0.88914936200486205</v>
      </c>
      <c r="AN82" s="157">
        <v>124.270291103733</v>
      </c>
      <c r="AO82" s="157">
        <v>4.8359410052641802</v>
      </c>
      <c r="AP82" s="157">
        <v>3.33367323566977</v>
      </c>
      <c r="AQ82" s="157">
        <v>0</v>
      </c>
      <c r="AR82" s="157">
        <v>0</v>
      </c>
      <c r="AS82" s="157">
        <v>0</v>
      </c>
      <c r="AT82" s="158">
        <v>1.92685566258299</v>
      </c>
    </row>
  </sheetData>
  <mergeCells count="8">
    <mergeCell ref="L1:AH1"/>
    <mergeCell ref="AI1:AT1"/>
    <mergeCell ref="L2:S2"/>
    <mergeCell ref="T2:Z2"/>
    <mergeCell ref="AB2:AD2"/>
    <mergeCell ref="AE2:AH2"/>
    <mergeCell ref="AI2:AM2"/>
    <mergeCell ref="AO2:AS2"/>
  </mergeCells>
  <phoneticPr fontId="1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DDDF8-94AB-45CF-818D-76711E18C988}">
  <dimension ref="B1:AT82"/>
  <sheetViews>
    <sheetView showGridLines="0" tabSelected="1" workbookViewId="0">
      <selection activeCell="B4" sqref="B4"/>
    </sheetView>
  </sheetViews>
  <sheetFormatPr defaultRowHeight="14.4" x14ac:dyDescent="0.3"/>
  <cols>
    <col min="2" max="2" width="12.77734375" bestFit="1" customWidth="1"/>
    <col min="3" max="3" width="25.44140625" bestFit="1" customWidth="1"/>
    <col min="4" max="4" width="16.33203125" bestFit="1" customWidth="1"/>
    <col min="5" max="5" width="28.77734375" bestFit="1" customWidth="1"/>
    <col min="6" max="6" width="11.88671875" bestFit="1" customWidth="1"/>
    <col min="7" max="7" width="12.109375" bestFit="1" customWidth="1"/>
    <col min="8" max="8" width="11.109375" bestFit="1" customWidth="1"/>
    <col min="9" max="9" width="13.109375" bestFit="1" customWidth="1"/>
    <col min="10" max="10" width="12.44140625" bestFit="1" customWidth="1"/>
    <col min="11" max="11" width="9.88671875" bestFit="1" customWidth="1"/>
    <col min="12" max="12" width="18.6640625" bestFit="1" customWidth="1"/>
    <col min="13" max="13" width="13.6640625" bestFit="1" customWidth="1"/>
    <col min="14" max="14" width="12.109375" bestFit="1" customWidth="1"/>
    <col min="15" max="15" width="12.44140625" bestFit="1" customWidth="1"/>
    <col min="16" max="17" width="12.109375" bestFit="1" customWidth="1"/>
    <col min="18" max="18" width="16.44140625" bestFit="1" customWidth="1"/>
    <col min="19" max="19" width="10.44140625" bestFit="1" customWidth="1"/>
    <col min="20" max="22" width="12" bestFit="1" customWidth="1"/>
    <col min="23" max="23" width="12.21875" bestFit="1" customWidth="1"/>
    <col min="24" max="24" width="13.44140625" bestFit="1" customWidth="1"/>
    <col min="25" max="25" width="11" bestFit="1" customWidth="1"/>
    <col min="26" max="26" width="13.6640625" bestFit="1" customWidth="1"/>
    <col min="27" max="27" width="12.33203125" bestFit="1" customWidth="1"/>
    <col min="28" max="28" width="15.44140625" bestFit="1" customWidth="1"/>
    <col min="29" max="29" width="24.33203125" bestFit="1" customWidth="1"/>
    <col min="30" max="30" width="13.88671875" bestFit="1" customWidth="1"/>
    <col min="31" max="31" width="12.6640625" bestFit="1" customWidth="1"/>
    <col min="32" max="32" width="17.109375" bestFit="1" customWidth="1"/>
    <col min="33" max="33" width="12.6640625" bestFit="1" customWidth="1"/>
    <col min="34" max="34" width="10.44140625" bestFit="1" customWidth="1"/>
    <col min="35" max="35" width="16.109375" bestFit="1" customWidth="1"/>
    <col min="36" max="36" width="14.44140625" bestFit="1" customWidth="1"/>
    <col min="37" max="37" width="9.5546875" bestFit="1" customWidth="1"/>
    <col min="38" max="38" width="12.6640625" bestFit="1" customWidth="1"/>
    <col min="39" max="39" width="12" bestFit="1" customWidth="1"/>
    <col min="40" max="40" width="13.6640625" bestFit="1" customWidth="1"/>
    <col min="41" max="41" width="24.5546875" bestFit="1" customWidth="1"/>
    <col min="42" max="42" width="17.44140625" bestFit="1" customWidth="1"/>
    <col min="43" max="43" width="13.21875" bestFit="1" customWidth="1"/>
    <col min="44" max="44" width="12.77734375" bestFit="1" customWidth="1"/>
    <col min="45" max="45" width="21.6640625" bestFit="1" customWidth="1"/>
    <col min="46" max="46" width="12.6640625" bestFit="1" customWidth="1"/>
  </cols>
  <sheetData>
    <row r="1" spans="2:46" ht="12" customHeight="1" x14ac:dyDescent="0.3">
      <c r="L1" s="159" t="s">
        <v>1524</v>
      </c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59"/>
      <c r="AE1" s="159"/>
      <c r="AF1" s="159"/>
      <c r="AG1" s="159"/>
      <c r="AH1" s="160"/>
      <c r="AI1" s="159" t="s">
        <v>1525</v>
      </c>
      <c r="AJ1" s="159"/>
      <c r="AK1" s="159"/>
      <c r="AL1" s="159"/>
      <c r="AM1" s="159"/>
      <c r="AN1" s="159"/>
      <c r="AO1" s="159"/>
      <c r="AP1" s="159"/>
      <c r="AQ1" s="159"/>
      <c r="AR1" s="159"/>
      <c r="AS1" s="159"/>
      <c r="AT1" s="159"/>
    </row>
    <row r="2" spans="2:46" ht="12" customHeight="1" x14ac:dyDescent="0.3">
      <c r="L2" s="161" t="s">
        <v>657</v>
      </c>
      <c r="M2" s="161"/>
      <c r="N2" s="161"/>
      <c r="O2" s="161"/>
      <c r="P2" s="161"/>
      <c r="Q2" s="161"/>
      <c r="R2" s="161"/>
      <c r="S2" s="162"/>
      <c r="T2" s="161" t="s">
        <v>666</v>
      </c>
      <c r="U2" s="161"/>
      <c r="V2" s="161"/>
      <c r="W2" s="161"/>
      <c r="X2" s="161"/>
      <c r="Y2" s="161"/>
      <c r="Z2" s="162"/>
      <c r="AA2" s="163" t="s">
        <v>674</v>
      </c>
      <c r="AB2" s="161" t="s">
        <v>25</v>
      </c>
      <c r="AC2" s="161"/>
      <c r="AD2" s="162"/>
      <c r="AE2" s="161" t="s">
        <v>1523</v>
      </c>
      <c r="AF2" s="161"/>
      <c r="AG2" s="161"/>
      <c r="AH2" s="162"/>
      <c r="AI2" s="161" t="s">
        <v>657</v>
      </c>
      <c r="AJ2" s="161"/>
      <c r="AK2" s="161"/>
      <c r="AL2" s="161"/>
      <c r="AM2" s="162"/>
      <c r="AN2" s="163" t="s">
        <v>688</v>
      </c>
      <c r="AO2" s="161" t="s">
        <v>666</v>
      </c>
      <c r="AP2" s="161"/>
      <c r="AQ2" s="161"/>
      <c r="AR2" s="161"/>
      <c r="AS2" s="162"/>
      <c r="AT2" s="164" t="s">
        <v>1523</v>
      </c>
    </row>
    <row r="3" spans="2:46" ht="12" customHeight="1" x14ac:dyDescent="0.3">
      <c r="B3" s="150" t="s">
        <v>68</v>
      </c>
      <c r="C3" s="151" t="s">
        <v>69</v>
      </c>
      <c r="D3" s="151" t="s">
        <v>70</v>
      </c>
      <c r="E3" s="151" t="s">
        <v>71</v>
      </c>
      <c r="F3" s="151" t="s">
        <v>72</v>
      </c>
      <c r="G3" s="151" t="s">
        <v>74</v>
      </c>
      <c r="H3" s="151" t="s">
        <v>75</v>
      </c>
      <c r="I3" s="151" t="s">
        <v>1036</v>
      </c>
      <c r="J3" s="151" t="s">
        <v>1485</v>
      </c>
      <c r="K3" s="151" t="s">
        <v>1486</v>
      </c>
      <c r="L3" s="151" t="s">
        <v>1487</v>
      </c>
      <c r="M3" s="151" t="s">
        <v>1488</v>
      </c>
      <c r="N3" s="151" t="s">
        <v>1489</v>
      </c>
      <c r="O3" s="151" t="s">
        <v>1490</v>
      </c>
      <c r="P3" s="151" t="s">
        <v>1491</v>
      </c>
      <c r="Q3" s="151" t="s">
        <v>1492</v>
      </c>
      <c r="R3" s="151" t="s">
        <v>1493</v>
      </c>
      <c r="S3" s="151" t="s">
        <v>1494</v>
      </c>
      <c r="T3" s="151" t="s">
        <v>1495</v>
      </c>
      <c r="U3" s="151" t="s">
        <v>1496</v>
      </c>
      <c r="V3" s="151" t="s">
        <v>1497</v>
      </c>
      <c r="W3" s="151" t="s">
        <v>1498</v>
      </c>
      <c r="X3" s="151" t="s">
        <v>1499</v>
      </c>
      <c r="Y3" s="151" t="s">
        <v>1500</v>
      </c>
      <c r="Z3" s="151" t="s">
        <v>1501</v>
      </c>
      <c r="AA3" s="151" t="s">
        <v>1502</v>
      </c>
      <c r="AB3" s="151" t="s">
        <v>1503</v>
      </c>
      <c r="AC3" s="151" t="s">
        <v>1504</v>
      </c>
      <c r="AD3" s="151" t="s">
        <v>1505</v>
      </c>
      <c r="AE3" s="151" t="s">
        <v>1506</v>
      </c>
      <c r="AF3" s="151" t="s">
        <v>1507</v>
      </c>
      <c r="AG3" s="151" t="s">
        <v>1508</v>
      </c>
      <c r="AH3" s="151" t="s">
        <v>1509</v>
      </c>
      <c r="AI3" s="151" t="s">
        <v>1510</v>
      </c>
      <c r="AJ3" s="151" t="s">
        <v>1511</v>
      </c>
      <c r="AK3" s="151" t="s">
        <v>1512</v>
      </c>
      <c r="AL3" s="151" t="s">
        <v>1513</v>
      </c>
      <c r="AM3" s="151" t="s">
        <v>1514</v>
      </c>
      <c r="AN3" s="151" t="s">
        <v>1515</v>
      </c>
      <c r="AO3" s="151" t="s">
        <v>1516</v>
      </c>
      <c r="AP3" s="151" t="s">
        <v>1517</v>
      </c>
      <c r="AQ3" s="151" t="s">
        <v>1518</v>
      </c>
      <c r="AR3" s="151" t="s">
        <v>1519</v>
      </c>
      <c r="AS3" s="151" t="s">
        <v>1520</v>
      </c>
      <c r="AT3" s="152" t="s">
        <v>1521</v>
      </c>
    </row>
    <row r="4" spans="2:46" ht="12" customHeight="1" x14ac:dyDescent="0.3">
      <c r="B4" s="153" t="s">
        <v>54</v>
      </c>
      <c r="C4" s="154" t="s">
        <v>40</v>
      </c>
      <c r="D4" s="154" t="s">
        <v>25</v>
      </c>
      <c r="E4" s="154" t="s">
        <v>25</v>
      </c>
      <c r="F4" s="154" t="s">
        <v>85</v>
      </c>
      <c r="G4" s="154" t="s">
        <v>34</v>
      </c>
      <c r="H4" s="154" t="s">
        <v>78</v>
      </c>
      <c r="I4" s="154" t="s">
        <v>25</v>
      </c>
      <c r="J4" s="154">
        <v>-7.0000000000000007E-2</v>
      </c>
      <c r="K4" s="154">
        <v>0</v>
      </c>
      <c r="L4" s="154">
        <v>0</v>
      </c>
      <c r="M4" s="154">
        <v>0</v>
      </c>
      <c r="N4" s="154">
        <v>0</v>
      </c>
      <c r="O4" s="154">
        <v>0</v>
      </c>
      <c r="P4" s="154">
        <v>0</v>
      </c>
      <c r="Q4" s="154">
        <v>0</v>
      </c>
      <c r="R4" s="154">
        <v>0</v>
      </c>
      <c r="S4" s="154">
        <v>0</v>
      </c>
      <c r="T4" s="154">
        <v>0</v>
      </c>
      <c r="U4" s="154">
        <v>0</v>
      </c>
      <c r="V4" s="154">
        <v>0</v>
      </c>
      <c r="W4" s="154">
        <v>0</v>
      </c>
      <c r="X4" s="154">
        <v>0</v>
      </c>
      <c r="Y4" s="154">
        <v>0</v>
      </c>
      <c r="Z4" s="154">
        <v>0</v>
      </c>
      <c r="AA4" s="154">
        <v>0</v>
      </c>
      <c r="AB4" s="154">
        <v>0</v>
      </c>
      <c r="AC4" s="154">
        <v>0</v>
      </c>
      <c r="AD4" s="154">
        <v>0</v>
      </c>
      <c r="AE4" s="154">
        <v>-6.3674209467392403E-3</v>
      </c>
      <c r="AF4" s="154">
        <v>-1.1035430069132E-4</v>
      </c>
      <c r="AG4" s="154">
        <v>-6.5542441974230703E-2</v>
      </c>
      <c r="AH4" s="154">
        <v>0</v>
      </c>
      <c r="AI4" s="154">
        <v>0</v>
      </c>
      <c r="AJ4" s="154">
        <v>0</v>
      </c>
      <c r="AK4" s="154">
        <v>0</v>
      </c>
      <c r="AL4" s="154">
        <v>0</v>
      </c>
      <c r="AM4" s="154">
        <v>0</v>
      </c>
      <c r="AN4" s="154">
        <v>0</v>
      </c>
      <c r="AO4" s="154">
        <v>0</v>
      </c>
      <c r="AP4" s="154">
        <v>0</v>
      </c>
      <c r="AQ4" s="154">
        <v>0</v>
      </c>
      <c r="AR4" s="154">
        <v>0</v>
      </c>
      <c r="AS4" s="154">
        <v>0</v>
      </c>
      <c r="AT4" s="155">
        <v>0</v>
      </c>
    </row>
    <row r="5" spans="2:46" ht="12" customHeight="1" x14ac:dyDescent="0.3">
      <c r="B5" s="153" t="s">
        <v>54</v>
      </c>
      <c r="C5" s="154" t="s">
        <v>40</v>
      </c>
      <c r="D5" s="154" t="s">
        <v>25</v>
      </c>
      <c r="E5" s="154" t="s">
        <v>25</v>
      </c>
      <c r="F5" s="154" t="s">
        <v>85</v>
      </c>
      <c r="G5" s="154" t="s">
        <v>34</v>
      </c>
      <c r="H5" s="154" t="s">
        <v>81</v>
      </c>
      <c r="I5" s="154" t="s">
        <v>25</v>
      </c>
      <c r="J5" s="154">
        <v>0.69</v>
      </c>
      <c r="K5" s="154">
        <v>0</v>
      </c>
      <c r="L5" s="154">
        <v>0</v>
      </c>
      <c r="M5" s="154">
        <v>0</v>
      </c>
      <c r="N5" s="154">
        <v>0</v>
      </c>
      <c r="O5" s="154">
        <v>0</v>
      </c>
      <c r="P5" s="154">
        <v>0</v>
      </c>
      <c r="Q5" s="154">
        <v>0</v>
      </c>
      <c r="R5" s="154">
        <v>0</v>
      </c>
      <c r="S5" s="154">
        <v>0</v>
      </c>
      <c r="T5" s="154">
        <v>0.57715217337649805</v>
      </c>
      <c r="U5" s="154">
        <v>0.116489858051551</v>
      </c>
      <c r="V5" s="154">
        <v>0</v>
      </c>
      <c r="W5" s="154">
        <v>0</v>
      </c>
      <c r="X5" s="154">
        <v>0</v>
      </c>
      <c r="Y5" s="154">
        <v>0</v>
      </c>
      <c r="Z5" s="154">
        <v>0</v>
      </c>
      <c r="AA5" s="154">
        <v>0</v>
      </c>
      <c r="AB5" s="154">
        <v>0</v>
      </c>
      <c r="AC5" s="154">
        <v>0</v>
      </c>
      <c r="AD5" s="154">
        <v>0</v>
      </c>
      <c r="AE5" s="154">
        <v>0</v>
      </c>
      <c r="AF5" s="154">
        <v>0</v>
      </c>
      <c r="AG5" s="154">
        <v>0</v>
      </c>
      <c r="AH5" s="154">
        <v>0</v>
      </c>
      <c r="AI5" s="154">
        <v>0</v>
      </c>
      <c r="AJ5" s="154">
        <v>0</v>
      </c>
      <c r="AK5" s="154">
        <v>0</v>
      </c>
      <c r="AL5" s="154">
        <v>0</v>
      </c>
      <c r="AM5" s="154">
        <v>0</v>
      </c>
      <c r="AN5" s="154">
        <v>0</v>
      </c>
      <c r="AO5" s="154">
        <v>0</v>
      </c>
      <c r="AP5" s="154">
        <v>0</v>
      </c>
      <c r="AQ5" s="154">
        <v>0</v>
      </c>
      <c r="AR5" s="154">
        <v>0</v>
      </c>
      <c r="AS5" s="154">
        <v>0</v>
      </c>
      <c r="AT5" s="155">
        <v>0</v>
      </c>
    </row>
    <row r="6" spans="2:46" ht="12" customHeight="1" x14ac:dyDescent="0.3">
      <c r="B6" s="153" t="s">
        <v>54</v>
      </c>
      <c r="C6" s="154" t="s">
        <v>40</v>
      </c>
      <c r="D6" s="154" t="s">
        <v>25</v>
      </c>
      <c r="E6" s="154" t="s">
        <v>25</v>
      </c>
      <c r="F6" s="154" t="s">
        <v>85</v>
      </c>
      <c r="G6" s="154" t="s">
        <v>35</v>
      </c>
      <c r="H6" s="154" t="s">
        <v>78</v>
      </c>
      <c r="I6" s="154" t="s">
        <v>25</v>
      </c>
      <c r="J6" s="154">
        <v>-7.0000000000000007E-2</v>
      </c>
      <c r="K6" s="154">
        <v>0</v>
      </c>
      <c r="L6" s="154">
        <v>0</v>
      </c>
      <c r="M6" s="154">
        <v>0</v>
      </c>
      <c r="N6" s="154">
        <v>0</v>
      </c>
      <c r="O6" s="154">
        <v>0</v>
      </c>
      <c r="P6" s="154">
        <v>0</v>
      </c>
      <c r="Q6" s="154">
        <v>0</v>
      </c>
      <c r="R6" s="154">
        <v>0</v>
      </c>
      <c r="S6" s="154">
        <v>0</v>
      </c>
      <c r="T6" s="154">
        <v>0</v>
      </c>
      <c r="U6" s="154">
        <v>0</v>
      </c>
      <c r="V6" s="154">
        <v>0</v>
      </c>
      <c r="W6" s="154">
        <v>0</v>
      </c>
      <c r="X6" s="154">
        <v>0</v>
      </c>
      <c r="Y6" s="154">
        <v>0</v>
      </c>
      <c r="Z6" s="154">
        <v>0</v>
      </c>
      <c r="AA6" s="154">
        <v>0</v>
      </c>
      <c r="AB6" s="154">
        <v>0</v>
      </c>
      <c r="AC6" s="154">
        <v>0</v>
      </c>
      <c r="AD6" s="154">
        <v>0</v>
      </c>
      <c r="AE6" s="154">
        <v>-6.3674209467392403E-3</v>
      </c>
      <c r="AF6" s="154">
        <v>-1.1035430069132E-4</v>
      </c>
      <c r="AG6" s="154">
        <v>-6.5542441974230703E-2</v>
      </c>
      <c r="AH6" s="154">
        <v>0</v>
      </c>
      <c r="AI6" s="154">
        <v>0</v>
      </c>
      <c r="AJ6" s="154">
        <v>0</v>
      </c>
      <c r="AK6" s="154">
        <v>0</v>
      </c>
      <c r="AL6" s="154">
        <v>0</v>
      </c>
      <c r="AM6" s="154">
        <v>0</v>
      </c>
      <c r="AN6" s="154">
        <v>0</v>
      </c>
      <c r="AO6" s="154">
        <v>0</v>
      </c>
      <c r="AP6" s="154">
        <v>0</v>
      </c>
      <c r="AQ6" s="154">
        <v>0</v>
      </c>
      <c r="AR6" s="154">
        <v>0</v>
      </c>
      <c r="AS6" s="154">
        <v>0</v>
      </c>
      <c r="AT6" s="155">
        <v>0</v>
      </c>
    </row>
    <row r="7" spans="2:46" ht="12" customHeight="1" x14ac:dyDescent="0.3">
      <c r="B7" s="153" t="s">
        <v>54</v>
      </c>
      <c r="C7" s="154" t="s">
        <v>40</v>
      </c>
      <c r="D7" s="154" t="s">
        <v>25</v>
      </c>
      <c r="E7" s="154" t="s">
        <v>25</v>
      </c>
      <c r="F7" s="154" t="s">
        <v>85</v>
      </c>
      <c r="G7" s="154" t="s">
        <v>35</v>
      </c>
      <c r="H7" s="154" t="s">
        <v>81</v>
      </c>
      <c r="I7" s="154" t="s">
        <v>25</v>
      </c>
      <c r="J7" s="154">
        <v>0.52</v>
      </c>
      <c r="K7" s="154">
        <v>0</v>
      </c>
      <c r="L7" s="154">
        <v>0</v>
      </c>
      <c r="M7" s="154">
        <v>0</v>
      </c>
      <c r="N7" s="154">
        <v>0</v>
      </c>
      <c r="O7" s="154">
        <v>0</v>
      </c>
      <c r="P7" s="154">
        <v>0</v>
      </c>
      <c r="Q7" s="154">
        <v>0</v>
      </c>
      <c r="R7" s="154">
        <v>0</v>
      </c>
      <c r="S7" s="154">
        <v>0</v>
      </c>
      <c r="T7" s="154">
        <v>0.42909536915966401</v>
      </c>
      <c r="U7" s="154">
        <v>8.7302610236345196E-2</v>
      </c>
      <c r="V7" s="154">
        <v>0</v>
      </c>
      <c r="W7" s="154">
        <v>0</v>
      </c>
      <c r="X7" s="154">
        <v>0</v>
      </c>
      <c r="Y7" s="154">
        <v>0</v>
      </c>
      <c r="Z7" s="154">
        <v>0</v>
      </c>
      <c r="AA7" s="154">
        <v>0</v>
      </c>
      <c r="AB7" s="154">
        <v>0</v>
      </c>
      <c r="AC7" s="154">
        <v>0</v>
      </c>
      <c r="AD7" s="154">
        <v>0</v>
      </c>
      <c r="AE7" s="154">
        <v>0</v>
      </c>
      <c r="AF7" s="154">
        <v>0</v>
      </c>
      <c r="AG7" s="154">
        <v>0</v>
      </c>
      <c r="AH7" s="154">
        <v>0</v>
      </c>
      <c r="AI7" s="154">
        <v>0</v>
      </c>
      <c r="AJ7" s="154">
        <v>0</v>
      </c>
      <c r="AK7" s="154">
        <v>0</v>
      </c>
      <c r="AL7" s="154">
        <v>0</v>
      </c>
      <c r="AM7" s="154">
        <v>0</v>
      </c>
      <c r="AN7" s="154">
        <v>0</v>
      </c>
      <c r="AO7" s="154">
        <v>0</v>
      </c>
      <c r="AP7" s="154">
        <v>0</v>
      </c>
      <c r="AQ7" s="154">
        <v>0</v>
      </c>
      <c r="AR7" s="154">
        <v>0</v>
      </c>
      <c r="AS7" s="154">
        <v>0</v>
      </c>
      <c r="AT7" s="155">
        <v>0</v>
      </c>
    </row>
    <row r="8" spans="2:46" ht="12" customHeight="1" x14ac:dyDescent="0.3">
      <c r="B8" s="153" t="s">
        <v>54</v>
      </c>
      <c r="C8" s="154" t="s">
        <v>40</v>
      </c>
      <c r="D8" s="154" t="s">
        <v>25</v>
      </c>
      <c r="E8" s="154" t="s">
        <v>25</v>
      </c>
      <c r="F8" s="154" t="s">
        <v>25</v>
      </c>
      <c r="G8" s="154" t="s">
        <v>34</v>
      </c>
      <c r="H8" s="154" t="s">
        <v>78</v>
      </c>
      <c r="I8" s="154" t="s">
        <v>25</v>
      </c>
      <c r="J8" s="154">
        <v>19.8</v>
      </c>
      <c r="K8" s="154">
        <v>-49.04</v>
      </c>
      <c r="L8" s="154">
        <v>0.289299889466756</v>
      </c>
      <c r="M8" s="154">
        <v>0</v>
      </c>
      <c r="N8" s="154">
        <v>0</v>
      </c>
      <c r="O8" s="154">
        <v>0</v>
      </c>
      <c r="P8" s="154">
        <v>0</v>
      </c>
      <c r="Q8" s="154">
        <v>14.3291388031447</v>
      </c>
      <c r="R8" s="154">
        <v>5.2554388970379096</v>
      </c>
      <c r="S8" s="154">
        <v>0</v>
      </c>
      <c r="T8" s="154">
        <v>0</v>
      </c>
      <c r="U8" s="154">
        <v>0</v>
      </c>
      <c r="V8" s="154">
        <v>0</v>
      </c>
      <c r="W8" s="154">
        <v>0</v>
      </c>
      <c r="X8" s="154">
        <v>0</v>
      </c>
      <c r="Y8" s="154">
        <v>0</v>
      </c>
      <c r="Z8" s="154">
        <v>0</v>
      </c>
      <c r="AA8" s="154">
        <v>0</v>
      </c>
      <c r="AB8" s="154">
        <v>0</v>
      </c>
      <c r="AC8" s="154">
        <v>0</v>
      </c>
      <c r="AD8" s="154">
        <v>0</v>
      </c>
      <c r="AE8" s="154">
        <v>-6.3674209467392403E-3</v>
      </c>
      <c r="AF8" s="154">
        <v>-1.1035430069132E-4</v>
      </c>
      <c r="AG8" s="154">
        <v>-6.5542441974230703E-2</v>
      </c>
      <c r="AH8" s="154">
        <v>0</v>
      </c>
      <c r="AI8" s="154">
        <v>0.95108225955764603</v>
      </c>
      <c r="AJ8" s="154">
        <v>0</v>
      </c>
      <c r="AK8" s="154">
        <v>0</v>
      </c>
      <c r="AL8" s="154">
        <v>-1.9135572147375699</v>
      </c>
      <c r="AM8" s="154">
        <v>9.5250556035339703E-2</v>
      </c>
      <c r="AN8" s="154">
        <v>-49.031906566847198</v>
      </c>
      <c r="AO8" s="154">
        <v>0.83760882238776402</v>
      </c>
      <c r="AP8" s="154">
        <v>0.48568457170811102</v>
      </c>
      <c r="AQ8" s="154">
        <v>0</v>
      </c>
      <c r="AR8" s="154">
        <v>0</v>
      </c>
      <c r="AS8" s="154">
        <v>0</v>
      </c>
      <c r="AT8" s="155">
        <v>-0.46853071533998097</v>
      </c>
    </row>
    <row r="9" spans="2:46" ht="12" customHeight="1" x14ac:dyDescent="0.3">
      <c r="B9" s="153" t="s">
        <v>54</v>
      </c>
      <c r="C9" s="154" t="s">
        <v>40</v>
      </c>
      <c r="D9" s="154" t="s">
        <v>25</v>
      </c>
      <c r="E9" s="154" t="s">
        <v>25</v>
      </c>
      <c r="F9" s="154" t="s">
        <v>25</v>
      </c>
      <c r="G9" s="154" t="s">
        <v>34</v>
      </c>
      <c r="H9" s="154" t="s">
        <v>81</v>
      </c>
      <c r="I9" s="154" t="s">
        <v>25</v>
      </c>
      <c r="J9" s="154">
        <v>0.69</v>
      </c>
      <c r="K9" s="154">
        <v>0</v>
      </c>
      <c r="L9" s="154">
        <v>0</v>
      </c>
      <c r="M9" s="154">
        <v>0</v>
      </c>
      <c r="N9" s="154">
        <v>0</v>
      </c>
      <c r="O9" s="154">
        <v>0</v>
      </c>
      <c r="P9" s="154">
        <v>0</v>
      </c>
      <c r="Q9" s="154">
        <v>0</v>
      </c>
      <c r="R9" s="154">
        <v>0</v>
      </c>
      <c r="S9" s="154">
        <v>0</v>
      </c>
      <c r="T9" s="154">
        <v>0.57715217337649805</v>
      </c>
      <c r="U9" s="154">
        <v>0.116489858051551</v>
      </c>
      <c r="V9" s="154">
        <v>0</v>
      </c>
      <c r="W9" s="154">
        <v>0</v>
      </c>
      <c r="X9" s="154">
        <v>0</v>
      </c>
      <c r="Y9" s="154">
        <v>0</v>
      </c>
      <c r="Z9" s="154">
        <v>0</v>
      </c>
      <c r="AA9" s="154">
        <v>0</v>
      </c>
      <c r="AB9" s="154">
        <v>0</v>
      </c>
      <c r="AC9" s="154">
        <v>0</v>
      </c>
      <c r="AD9" s="154">
        <v>0</v>
      </c>
      <c r="AE9" s="154">
        <v>0</v>
      </c>
      <c r="AF9" s="154">
        <v>0</v>
      </c>
      <c r="AG9" s="154">
        <v>0</v>
      </c>
      <c r="AH9" s="154">
        <v>0</v>
      </c>
      <c r="AI9" s="154">
        <v>0</v>
      </c>
      <c r="AJ9" s="154">
        <v>0</v>
      </c>
      <c r="AK9" s="154">
        <v>0</v>
      </c>
      <c r="AL9" s="154">
        <v>0</v>
      </c>
      <c r="AM9" s="154">
        <v>0</v>
      </c>
      <c r="AN9" s="154">
        <v>0</v>
      </c>
      <c r="AO9" s="154">
        <v>0</v>
      </c>
      <c r="AP9" s="154">
        <v>0</v>
      </c>
      <c r="AQ9" s="154">
        <v>0</v>
      </c>
      <c r="AR9" s="154">
        <v>0</v>
      </c>
      <c r="AS9" s="154">
        <v>0</v>
      </c>
      <c r="AT9" s="155">
        <v>0</v>
      </c>
    </row>
    <row r="10" spans="2:46" ht="12" customHeight="1" x14ac:dyDescent="0.3">
      <c r="B10" s="153" t="s">
        <v>54</v>
      </c>
      <c r="C10" s="154" t="s">
        <v>40</v>
      </c>
      <c r="D10" s="154" t="s">
        <v>25</v>
      </c>
      <c r="E10" s="154" t="s">
        <v>25</v>
      </c>
      <c r="F10" s="154" t="s">
        <v>25</v>
      </c>
      <c r="G10" s="154" t="s">
        <v>35</v>
      </c>
      <c r="H10" s="154" t="s">
        <v>78</v>
      </c>
      <c r="I10" s="154" t="s">
        <v>25</v>
      </c>
      <c r="J10" s="154">
        <v>19.8</v>
      </c>
      <c r="K10" s="154">
        <v>-28.52</v>
      </c>
      <c r="L10" s="154">
        <v>0.289299889466756</v>
      </c>
      <c r="M10" s="154">
        <v>0</v>
      </c>
      <c r="N10" s="154">
        <v>0</v>
      </c>
      <c r="O10" s="154">
        <v>0</v>
      </c>
      <c r="P10" s="154">
        <v>0</v>
      </c>
      <c r="Q10" s="154">
        <v>14.3291388031447</v>
      </c>
      <c r="R10" s="154">
        <v>5.2554388970379096</v>
      </c>
      <c r="S10" s="154">
        <v>0</v>
      </c>
      <c r="T10" s="154">
        <v>0</v>
      </c>
      <c r="U10" s="154">
        <v>0</v>
      </c>
      <c r="V10" s="154">
        <v>0</v>
      </c>
      <c r="W10" s="154">
        <v>0</v>
      </c>
      <c r="X10" s="154">
        <v>0</v>
      </c>
      <c r="Y10" s="154">
        <v>0</v>
      </c>
      <c r="Z10" s="154">
        <v>0</v>
      </c>
      <c r="AA10" s="154">
        <v>0</v>
      </c>
      <c r="AB10" s="154">
        <v>0</v>
      </c>
      <c r="AC10" s="154">
        <v>0</v>
      </c>
      <c r="AD10" s="154">
        <v>0</v>
      </c>
      <c r="AE10" s="154">
        <v>-6.3674209467392403E-3</v>
      </c>
      <c r="AF10" s="154">
        <v>-1.1035430069132E-4</v>
      </c>
      <c r="AG10" s="154">
        <v>-6.5542441974230703E-2</v>
      </c>
      <c r="AH10" s="154">
        <v>0</v>
      </c>
      <c r="AI10" s="154">
        <v>0.95108225955764603</v>
      </c>
      <c r="AJ10" s="154">
        <v>0</v>
      </c>
      <c r="AK10" s="154">
        <v>0</v>
      </c>
      <c r="AL10" s="154">
        <v>-1.9135572147375699</v>
      </c>
      <c r="AM10" s="154">
        <v>9.5250556035339703E-2</v>
      </c>
      <c r="AN10" s="154">
        <v>-28.5069224225856</v>
      </c>
      <c r="AO10" s="154">
        <v>0.83760882238776402</v>
      </c>
      <c r="AP10" s="154">
        <v>0.48568457170811102</v>
      </c>
      <c r="AQ10" s="154">
        <v>0</v>
      </c>
      <c r="AR10" s="154">
        <v>0</v>
      </c>
      <c r="AS10" s="154">
        <v>0</v>
      </c>
      <c r="AT10" s="155">
        <v>-0.46853071533998097</v>
      </c>
    </row>
    <row r="11" spans="2:46" ht="12" customHeight="1" x14ac:dyDescent="0.3">
      <c r="B11" s="153" t="s">
        <v>54</v>
      </c>
      <c r="C11" s="154" t="s">
        <v>40</v>
      </c>
      <c r="D11" s="154" t="s">
        <v>25</v>
      </c>
      <c r="E11" s="154" t="s">
        <v>25</v>
      </c>
      <c r="F11" s="154" t="s">
        <v>25</v>
      </c>
      <c r="G11" s="154" t="s">
        <v>35</v>
      </c>
      <c r="H11" s="154" t="s">
        <v>81</v>
      </c>
      <c r="I11" s="154" t="s">
        <v>25</v>
      </c>
      <c r="J11" s="154">
        <v>0.52</v>
      </c>
      <c r="K11" s="154">
        <v>0</v>
      </c>
      <c r="L11" s="154">
        <v>0</v>
      </c>
      <c r="M11" s="154">
        <v>0</v>
      </c>
      <c r="N11" s="154">
        <v>0</v>
      </c>
      <c r="O11" s="154">
        <v>0</v>
      </c>
      <c r="P11" s="154">
        <v>0</v>
      </c>
      <c r="Q11" s="154">
        <v>0</v>
      </c>
      <c r="R11" s="154">
        <v>0</v>
      </c>
      <c r="S11" s="154">
        <v>0</v>
      </c>
      <c r="T11" s="154">
        <v>0.42909536915966401</v>
      </c>
      <c r="U11" s="154">
        <v>8.7302610236345196E-2</v>
      </c>
      <c r="V11" s="154">
        <v>0</v>
      </c>
      <c r="W11" s="154">
        <v>0</v>
      </c>
      <c r="X11" s="154">
        <v>0</v>
      </c>
      <c r="Y11" s="154">
        <v>0</v>
      </c>
      <c r="Z11" s="154">
        <v>0</v>
      </c>
      <c r="AA11" s="154">
        <v>0</v>
      </c>
      <c r="AB11" s="154">
        <v>0</v>
      </c>
      <c r="AC11" s="154">
        <v>0</v>
      </c>
      <c r="AD11" s="154">
        <v>0</v>
      </c>
      <c r="AE11" s="154">
        <v>0</v>
      </c>
      <c r="AF11" s="154">
        <v>0</v>
      </c>
      <c r="AG11" s="154">
        <v>0</v>
      </c>
      <c r="AH11" s="154">
        <v>0</v>
      </c>
      <c r="AI11" s="154">
        <v>0</v>
      </c>
      <c r="AJ11" s="154">
        <v>0</v>
      </c>
      <c r="AK11" s="154">
        <v>0</v>
      </c>
      <c r="AL11" s="154">
        <v>0</v>
      </c>
      <c r="AM11" s="154">
        <v>0</v>
      </c>
      <c r="AN11" s="154">
        <v>0</v>
      </c>
      <c r="AO11" s="154">
        <v>0</v>
      </c>
      <c r="AP11" s="154">
        <v>0</v>
      </c>
      <c r="AQ11" s="154">
        <v>0</v>
      </c>
      <c r="AR11" s="154">
        <v>0</v>
      </c>
      <c r="AS11" s="154">
        <v>0</v>
      </c>
      <c r="AT11" s="155">
        <v>0</v>
      </c>
    </row>
    <row r="12" spans="2:46" ht="12" customHeight="1" x14ac:dyDescent="0.3">
      <c r="B12" s="153" t="s">
        <v>60</v>
      </c>
      <c r="C12" s="154" t="s">
        <v>40</v>
      </c>
      <c r="D12" s="154" t="s">
        <v>25</v>
      </c>
      <c r="E12" s="154" t="s">
        <v>25</v>
      </c>
      <c r="F12" s="154" t="s">
        <v>85</v>
      </c>
      <c r="G12" s="154" t="s">
        <v>34</v>
      </c>
      <c r="H12" s="154" t="s">
        <v>78</v>
      </c>
      <c r="I12" s="154" t="s">
        <v>25</v>
      </c>
      <c r="J12" s="154">
        <v>-0.26</v>
      </c>
      <c r="K12" s="154">
        <v>0</v>
      </c>
      <c r="L12" s="154">
        <v>0</v>
      </c>
      <c r="M12" s="154">
        <v>0</v>
      </c>
      <c r="N12" s="154">
        <v>0</v>
      </c>
      <c r="O12" s="154">
        <v>0</v>
      </c>
      <c r="P12" s="154">
        <v>0</v>
      </c>
      <c r="Q12" s="154">
        <v>0</v>
      </c>
      <c r="R12" s="154">
        <v>0</v>
      </c>
      <c r="S12" s="154">
        <v>0</v>
      </c>
      <c r="T12" s="154">
        <v>0</v>
      </c>
      <c r="U12" s="154">
        <v>0</v>
      </c>
      <c r="V12" s="154">
        <v>0</v>
      </c>
      <c r="W12" s="154">
        <v>0</v>
      </c>
      <c r="X12" s="154">
        <v>0</v>
      </c>
      <c r="Y12" s="154">
        <v>0</v>
      </c>
      <c r="Z12" s="154">
        <v>0</v>
      </c>
      <c r="AA12" s="154">
        <v>0</v>
      </c>
      <c r="AB12" s="154">
        <v>0</v>
      </c>
      <c r="AC12" s="154">
        <v>0</v>
      </c>
      <c r="AD12" s="154">
        <v>0</v>
      </c>
      <c r="AE12" s="154">
        <v>-0.25728027834915301</v>
      </c>
      <c r="AF12" s="154">
        <v>-4.4589458489356602E-3</v>
      </c>
      <c r="AG12" s="154">
        <v>0</v>
      </c>
      <c r="AH12" s="154">
        <v>0</v>
      </c>
      <c r="AI12" s="154">
        <v>0</v>
      </c>
      <c r="AJ12" s="154">
        <v>0</v>
      </c>
      <c r="AK12" s="154">
        <v>0</v>
      </c>
      <c r="AL12" s="154">
        <v>0</v>
      </c>
      <c r="AM12" s="154">
        <v>0</v>
      </c>
      <c r="AN12" s="154">
        <v>0</v>
      </c>
      <c r="AO12" s="154">
        <v>0</v>
      </c>
      <c r="AP12" s="154">
        <v>0</v>
      </c>
      <c r="AQ12" s="154">
        <v>0</v>
      </c>
      <c r="AR12" s="154">
        <v>0</v>
      </c>
      <c r="AS12" s="154">
        <v>0</v>
      </c>
      <c r="AT12" s="155">
        <v>0</v>
      </c>
    </row>
    <row r="13" spans="2:46" ht="12" customHeight="1" x14ac:dyDescent="0.3">
      <c r="B13" s="153" t="s">
        <v>60</v>
      </c>
      <c r="C13" s="154" t="s">
        <v>40</v>
      </c>
      <c r="D13" s="154" t="s">
        <v>25</v>
      </c>
      <c r="E13" s="154" t="s">
        <v>25</v>
      </c>
      <c r="F13" s="154" t="s">
        <v>85</v>
      </c>
      <c r="G13" s="154" t="s">
        <v>34</v>
      </c>
      <c r="H13" s="154" t="s">
        <v>81</v>
      </c>
      <c r="I13" s="154" t="s">
        <v>25</v>
      </c>
      <c r="J13" s="154">
        <v>0.63</v>
      </c>
      <c r="K13" s="154">
        <v>0</v>
      </c>
      <c r="L13" s="154">
        <v>0</v>
      </c>
      <c r="M13" s="154">
        <v>0</v>
      </c>
      <c r="N13" s="154">
        <v>0</v>
      </c>
      <c r="O13" s="154">
        <v>0</v>
      </c>
      <c r="P13" s="154">
        <v>0</v>
      </c>
      <c r="Q13" s="154">
        <v>0</v>
      </c>
      <c r="R13" s="154">
        <v>0</v>
      </c>
      <c r="S13" s="154">
        <v>0</v>
      </c>
      <c r="T13" s="154">
        <v>0.52773798275958705</v>
      </c>
      <c r="U13" s="154">
        <v>0.106516389655623</v>
      </c>
      <c r="V13" s="154">
        <v>0</v>
      </c>
      <c r="W13" s="154">
        <v>0</v>
      </c>
      <c r="X13" s="154">
        <v>0</v>
      </c>
      <c r="Y13" s="154">
        <v>0</v>
      </c>
      <c r="Z13" s="154">
        <v>0</v>
      </c>
      <c r="AA13" s="154">
        <v>0</v>
      </c>
      <c r="AB13" s="154">
        <v>0</v>
      </c>
      <c r="AC13" s="154">
        <v>0</v>
      </c>
      <c r="AD13" s="154">
        <v>0</v>
      </c>
      <c r="AE13" s="154">
        <v>0</v>
      </c>
      <c r="AF13" s="154">
        <v>0</v>
      </c>
      <c r="AG13" s="154">
        <v>0</v>
      </c>
      <c r="AH13" s="154">
        <v>0</v>
      </c>
      <c r="AI13" s="154">
        <v>0</v>
      </c>
      <c r="AJ13" s="154">
        <v>0</v>
      </c>
      <c r="AK13" s="154">
        <v>0</v>
      </c>
      <c r="AL13" s="154">
        <v>0</v>
      </c>
      <c r="AM13" s="154">
        <v>0</v>
      </c>
      <c r="AN13" s="154">
        <v>0</v>
      </c>
      <c r="AO13" s="154">
        <v>0</v>
      </c>
      <c r="AP13" s="154">
        <v>0</v>
      </c>
      <c r="AQ13" s="154">
        <v>0</v>
      </c>
      <c r="AR13" s="154">
        <v>0</v>
      </c>
      <c r="AS13" s="154">
        <v>0</v>
      </c>
      <c r="AT13" s="155">
        <v>0</v>
      </c>
    </row>
    <row r="14" spans="2:46" ht="12" customHeight="1" x14ac:dyDescent="0.3">
      <c r="B14" s="153" t="s">
        <v>60</v>
      </c>
      <c r="C14" s="154" t="s">
        <v>40</v>
      </c>
      <c r="D14" s="154" t="s">
        <v>25</v>
      </c>
      <c r="E14" s="154" t="s">
        <v>25</v>
      </c>
      <c r="F14" s="154" t="s">
        <v>85</v>
      </c>
      <c r="G14" s="154" t="s">
        <v>35</v>
      </c>
      <c r="H14" s="154" t="s">
        <v>78</v>
      </c>
      <c r="I14" s="154" t="s">
        <v>25</v>
      </c>
      <c r="J14" s="154">
        <v>-0.26</v>
      </c>
      <c r="K14" s="154">
        <v>0</v>
      </c>
      <c r="L14" s="154">
        <v>0</v>
      </c>
      <c r="M14" s="154">
        <v>0</v>
      </c>
      <c r="N14" s="154">
        <v>0</v>
      </c>
      <c r="O14" s="154">
        <v>0</v>
      </c>
      <c r="P14" s="154">
        <v>0</v>
      </c>
      <c r="Q14" s="154">
        <v>0</v>
      </c>
      <c r="R14" s="154">
        <v>0</v>
      </c>
      <c r="S14" s="154">
        <v>0</v>
      </c>
      <c r="T14" s="154">
        <v>0</v>
      </c>
      <c r="U14" s="154">
        <v>0</v>
      </c>
      <c r="V14" s="154">
        <v>0</v>
      </c>
      <c r="W14" s="154">
        <v>0</v>
      </c>
      <c r="X14" s="154">
        <v>0</v>
      </c>
      <c r="Y14" s="154">
        <v>0</v>
      </c>
      <c r="Z14" s="154">
        <v>0</v>
      </c>
      <c r="AA14" s="154">
        <v>0</v>
      </c>
      <c r="AB14" s="154">
        <v>0</v>
      </c>
      <c r="AC14" s="154">
        <v>0</v>
      </c>
      <c r="AD14" s="154">
        <v>0</v>
      </c>
      <c r="AE14" s="154">
        <v>-0.25728027834915301</v>
      </c>
      <c r="AF14" s="154">
        <v>-4.4589458489356602E-3</v>
      </c>
      <c r="AG14" s="154">
        <v>0</v>
      </c>
      <c r="AH14" s="154">
        <v>0</v>
      </c>
      <c r="AI14" s="154">
        <v>0</v>
      </c>
      <c r="AJ14" s="154">
        <v>0</v>
      </c>
      <c r="AK14" s="154">
        <v>0</v>
      </c>
      <c r="AL14" s="154">
        <v>0</v>
      </c>
      <c r="AM14" s="154">
        <v>0</v>
      </c>
      <c r="AN14" s="154">
        <v>0</v>
      </c>
      <c r="AO14" s="154">
        <v>0</v>
      </c>
      <c r="AP14" s="154">
        <v>0</v>
      </c>
      <c r="AQ14" s="154">
        <v>0</v>
      </c>
      <c r="AR14" s="154">
        <v>0</v>
      </c>
      <c r="AS14" s="154">
        <v>0</v>
      </c>
      <c r="AT14" s="155">
        <v>0</v>
      </c>
    </row>
    <row r="15" spans="2:46" ht="12" customHeight="1" x14ac:dyDescent="0.3">
      <c r="B15" s="153" t="s">
        <v>60</v>
      </c>
      <c r="C15" s="154" t="s">
        <v>40</v>
      </c>
      <c r="D15" s="154" t="s">
        <v>25</v>
      </c>
      <c r="E15" s="154" t="s">
        <v>25</v>
      </c>
      <c r="F15" s="154" t="s">
        <v>85</v>
      </c>
      <c r="G15" s="154" t="s">
        <v>35</v>
      </c>
      <c r="H15" s="154" t="s">
        <v>81</v>
      </c>
      <c r="I15" s="154" t="s">
        <v>25</v>
      </c>
      <c r="J15" s="154">
        <v>0.46</v>
      </c>
      <c r="K15" s="154">
        <v>0</v>
      </c>
      <c r="L15" s="154">
        <v>0</v>
      </c>
      <c r="M15" s="154">
        <v>0</v>
      </c>
      <c r="N15" s="154">
        <v>0</v>
      </c>
      <c r="O15" s="154">
        <v>0</v>
      </c>
      <c r="P15" s="154">
        <v>0</v>
      </c>
      <c r="Q15" s="154">
        <v>0</v>
      </c>
      <c r="R15" s="154">
        <v>0</v>
      </c>
      <c r="S15" s="154">
        <v>0</v>
      </c>
      <c r="T15" s="154">
        <v>0.38151098973665099</v>
      </c>
      <c r="U15" s="154">
        <v>7.7619876660577403E-2</v>
      </c>
      <c r="V15" s="154">
        <v>0</v>
      </c>
      <c r="W15" s="154">
        <v>0</v>
      </c>
      <c r="X15" s="154">
        <v>0</v>
      </c>
      <c r="Y15" s="154">
        <v>0</v>
      </c>
      <c r="Z15" s="154">
        <v>0</v>
      </c>
      <c r="AA15" s="154">
        <v>0</v>
      </c>
      <c r="AB15" s="154">
        <v>0</v>
      </c>
      <c r="AC15" s="154">
        <v>0</v>
      </c>
      <c r="AD15" s="154">
        <v>0</v>
      </c>
      <c r="AE15" s="154">
        <v>0</v>
      </c>
      <c r="AF15" s="154">
        <v>0</v>
      </c>
      <c r="AG15" s="154">
        <v>0</v>
      </c>
      <c r="AH15" s="154">
        <v>0</v>
      </c>
      <c r="AI15" s="154">
        <v>0</v>
      </c>
      <c r="AJ15" s="154">
        <v>0</v>
      </c>
      <c r="AK15" s="154">
        <v>0</v>
      </c>
      <c r="AL15" s="154">
        <v>0</v>
      </c>
      <c r="AM15" s="154">
        <v>0</v>
      </c>
      <c r="AN15" s="154">
        <v>0</v>
      </c>
      <c r="AO15" s="154">
        <v>0</v>
      </c>
      <c r="AP15" s="154">
        <v>0</v>
      </c>
      <c r="AQ15" s="154">
        <v>0</v>
      </c>
      <c r="AR15" s="154">
        <v>0</v>
      </c>
      <c r="AS15" s="154">
        <v>0</v>
      </c>
      <c r="AT15" s="155">
        <v>0</v>
      </c>
    </row>
    <row r="16" spans="2:46" ht="12" customHeight="1" x14ac:dyDescent="0.3">
      <c r="B16" s="153" t="s">
        <v>60</v>
      </c>
      <c r="C16" s="154" t="s">
        <v>40</v>
      </c>
      <c r="D16" s="154" t="s">
        <v>25</v>
      </c>
      <c r="E16" s="154" t="s">
        <v>25</v>
      </c>
      <c r="F16" s="154" t="s">
        <v>25</v>
      </c>
      <c r="G16" s="154" t="s">
        <v>34</v>
      </c>
      <c r="H16" s="154" t="s">
        <v>78</v>
      </c>
      <c r="I16" s="154" t="s">
        <v>25</v>
      </c>
      <c r="J16" s="154">
        <v>19.61</v>
      </c>
      <c r="K16" s="154">
        <v>-49.04</v>
      </c>
      <c r="L16" s="154">
        <v>0.289299889466756</v>
      </c>
      <c r="M16" s="154">
        <v>0</v>
      </c>
      <c r="N16" s="154">
        <v>0</v>
      </c>
      <c r="O16" s="154">
        <v>0</v>
      </c>
      <c r="P16" s="154">
        <v>0</v>
      </c>
      <c r="Q16" s="154">
        <v>14.3291388031447</v>
      </c>
      <c r="R16" s="154">
        <v>5.2554388970379096</v>
      </c>
      <c r="S16" s="154">
        <v>0</v>
      </c>
      <c r="T16" s="154">
        <v>0</v>
      </c>
      <c r="U16" s="154">
        <v>0</v>
      </c>
      <c r="V16" s="154">
        <v>0</v>
      </c>
      <c r="W16" s="154">
        <v>0</v>
      </c>
      <c r="X16" s="154">
        <v>0</v>
      </c>
      <c r="Y16" s="154">
        <v>0</v>
      </c>
      <c r="Z16" s="154">
        <v>0</v>
      </c>
      <c r="AA16" s="154">
        <v>0</v>
      </c>
      <c r="AB16" s="154">
        <v>0</v>
      </c>
      <c r="AC16" s="154">
        <v>0</v>
      </c>
      <c r="AD16" s="154">
        <v>0</v>
      </c>
      <c r="AE16" s="154">
        <v>-0.25728027834915301</v>
      </c>
      <c r="AF16" s="154">
        <v>-4.4589458489356602E-3</v>
      </c>
      <c r="AG16" s="154">
        <v>0</v>
      </c>
      <c r="AH16" s="154">
        <v>0</v>
      </c>
      <c r="AI16" s="154">
        <v>0.95108225955764603</v>
      </c>
      <c r="AJ16" s="154">
        <v>0</v>
      </c>
      <c r="AK16" s="154">
        <v>0</v>
      </c>
      <c r="AL16" s="154">
        <v>-1.9135572147375699</v>
      </c>
      <c r="AM16" s="154">
        <v>9.5250556035339703E-2</v>
      </c>
      <c r="AN16" s="154">
        <v>-49.031906566847198</v>
      </c>
      <c r="AO16" s="154">
        <v>0.83760882238776402</v>
      </c>
      <c r="AP16" s="154">
        <v>0.48568457170811102</v>
      </c>
      <c r="AQ16" s="154">
        <v>0</v>
      </c>
      <c r="AR16" s="154">
        <v>0</v>
      </c>
      <c r="AS16" s="154">
        <v>0</v>
      </c>
      <c r="AT16" s="155">
        <v>-0.46853071533998097</v>
      </c>
    </row>
    <row r="17" spans="2:46" ht="12" customHeight="1" x14ac:dyDescent="0.3">
      <c r="B17" s="153" t="s">
        <v>60</v>
      </c>
      <c r="C17" s="154" t="s">
        <v>40</v>
      </c>
      <c r="D17" s="154" t="s">
        <v>25</v>
      </c>
      <c r="E17" s="154" t="s">
        <v>25</v>
      </c>
      <c r="F17" s="154" t="s">
        <v>25</v>
      </c>
      <c r="G17" s="154" t="s">
        <v>34</v>
      </c>
      <c r="H17" s="154" t="s">
        <v>81</v>
      </c>
      <c r="I17" s="154" t="s">
        <v>25</v>
      </c>
      <c r="J17" s="154">
        <v>0.63</v>
      </c>
      <c r="K17" s="154">
        <v>0</v>
      </c>
      <c r="L17" s="154">
        <v>0</v>
      </c>
      <c r="M17" s="154">
        <v>0</v>
      </c>
      <c r="N17" s="154">
        <v>0</v>
      </c>
      <c r="O17" s="154">
        <v>0</v>
      </c>
      <c r="P17" s="154">
        <v>0</v>
      </c>
      <c r="Q17" s="154">
        <v>0</v>
      </c>
      <c r="R17" s="154">
        <v>0</v>
      </c>
      <c r="S17" s="154">
        <v>0</v>
      </c>
      <c r="T17" s="154">
        <v>0.52773798275958705</v>
      </c>
      <c r="U17" s="154">
        <v>0.106516389655623</v>
      </c>
      <c r="V17" s="154">
        <v>0</v>
      </c>
      <c r="W17" s="154">
        <v>0</v>
      </c>
      <c r="X17" s="154">
        <v>0</v>
      </c>
      <c r="Y17" s="154">
        <v>0</v>
      </c>
      <c r="Z17" s="154">
        <v>0</v>
      </c>
      <c r="AA17" s="154">
        <v>0</v>
      </c>
      <c r="AB17" s="154">
        <v>0</v>
      </c>
      <c r="AC17" s="154">
        <v>0</v>
      </c>
      <c r="AD17" s="154">
        <v>0</v>
      </c>
      <c r="AE17" s="154">
        <v>0</v>
      </c>
      <c r="AF17" s="154">
        <v>0</v>
      </c>
      <c r="AG17" s="154">
        <v>0</v>
      </c>
      <c r="AH17" s="154">
        <v>0</v>
      </c>
      <c r="AI17" s="154">
        <v>0</v>
      </c>
      <c r="AJ17" s="154">
        <v>0</v>
      </c>
      <c r="AK17" s="154">
        <v>0</v>
      </c>
      <c r="AL17" s="154">
        <v>0</v>
      </c>
      <c r="AM17" s="154">
        <v>0</v>
      </c>
      <c r="AN17" s="154">
        <v>0</v>
      </c>
      <c r="AO17" s="154">
        <v>0</v>
      </c>
      <c r="AP17" s="154">
        <v>0</v>
      </c>
      <c r="AQ17" s="154">
        <v>0</v>
      </c>
      <c r="AR17" s="154">
        <v>0</v>
      </c>
      <c r="AS17" s="154">
        <v>0</v>
      </c>
      <c r="AT17" s="155">
        <v>0</v>
      </c>
    </row>
    <row r="18" spans="2:46" ht="12" customHeight="1" x14ac:dyDescent="0.3">
      <c r="B18" s="153" t="s">
        <v>60</v>
      </c>
      <c r="C18" s="154" t="s">
        <v>40</v>
      </c>
      <c r="D18" s="154" t="s">
        <v>25</v>
      </c>
      <c r="E18" s="154" t="s">
        <v>25</v>
      </c>
      <c r="F18" s="154" t="s">
        <v>25</v>
      </c>
      <c r="G18" s="154" t="s">
        <v>35</v>
      </c>
      <c r="H18" s="154" t="s">
        <v>78</v>
      </c>
      <c r="I18" s="154" t="s">
        <v>25</v>
      </c>
      <c r="J18" s="154">
        <v>19.61</v>
      </c>
      <c r="K18" s="154">
        <v>-28.52</v>
      </c>
      <c r="L18" s="154">
        <v>0.289299889466756</v>
      </c>
      <c r="M18" s="154">
        <v>0</v>
      </c>
      <c r="N18" s="154">
        <v>0</v>
      </c>
      <c r="O18" s="154">
        <v>0</v>
      </c>
      <c r="P18" s="154">
        <v>0</v>
      </c>
      <c r="Q18" s="154">
        <v>14.3291388031447</v>
      </c>
      <c r="R18" s="154">
        <v>5.2554388970379096</v>
      </c>
      <c r="S18" s="154">
        <v>0</v>
      </c>
      <c r="T18" s="154">
        <v>0</v>
      </c>
      <c r="U18" s="154">
        <v>0</v>
      </c>
      <c r="V18" s="154">
        <v>0</v>
      </c>
      <c r="W18" s="154">
        <v>0</v>
      </c>
      <c r="X18" s="154">
        <v>0</v>
      </c>
      <c r="Y18" s="154">
        <v>0</v>
      </c>
      <c r="Z18" s="154">
        <v>0</v>
      </c>
      <c r="AA18" s="154">
        <v>0</v>
      </c>
      <c r="AB18" s="154">
        <v>0</v>
      </c>
      <c r="AC18" s="154">
        <v>0</v>
      </c>
      <c r="AD18" s="154">
        <v>0</v>
      </c>
      <c r="AE18" s="154">
        <v>-0.25728027834915301</v>
      </c>
      <c r="AF18" s="154">
        <v>-4.4589458489356602E-3</v>
      </c>
      <c r="AG18" s="154">
        <v>0</v>
      </c>
      <c r="AH18" s="154">
        <v>0</v>
      </c>
      <c r="AI18" s="154">
        <v>0.95108225955764603</v>
      </c>
      <c r="AJ18" s="154">
        <v>0</v>
      </c>
      <c r="AK18" s="154">
        <v>0</v>
      </c>
      <c r="AL18" s="154">
        <v>-1.9135572147375699</v>
      </c>
      <c r="AM18" s="154">
        <v>9.5250556035339703E-2</v>
      </c>
      <c r="AN18" s="154">
        <v>-28.5069224225856</v>
      </c>
      <c r="AO18" s="154">
        <v>0.83760882238776402</v>
      </c>
      <c r="AP18" s="154">
        <v>0.48568457170811102</v>
      </c>
      <c r="AQ18" s="154">
        <v>0</v>
      </c>
      <c r="AR18" s="154">
        <v>0</v>
      </c>
      <c r="AS18" s="154">
        <v>0</v>
      </c>
      <c r="AT18" s="155">
        <v>-0.46853071533998097</v>
      </c>
    </row>
    <row r="19" spans="2:46" ht="12" customHeight="1" x14ac:dyDescent="0.3">
      <c r="B19" s="153" t="s">
        <v>60</v>
      </c>
      <c r="C19" s="154" t="s">
        <v>40</v>
      </c>
      <c r="D19" s="154" t="s">
        <v>25</v>
      </c>
      <c r="E19" s="154" t="s">
        <v>25</v>
      </c>
      <c r="F19" s="154" t="s">
        <v>25</v>
      </c>
      <c r="G19" s="154" t="s">
        <v>35</v>
      </c>
      <c r="H19" s="154" t="s">
        <v>81</v>
      </c>
      <c r="I19" s="154" t="s">
        <v>25</v>
      </c>
      <c r="J19" s="154">
        <v>0.46</v>
      </c>
      <c r="K19" s="154">
        <v>0</v>
      </c>
      <c r="L19" s="154">
        <v>0</v>
      </c>
      <c r="M19" s="154">
        <v>0</v>
      </c>
      <c r="N19" s="154">
        <v>0</v>
      </c>
      <c r="O19" s="154">
        <v>0</v>
      </c>
      <c r="P19" s="154">
        <v>0</v>
      </c>
      <c r="Q19" s="154">
        <v>0</v>
      </c>
      <c r="R19" s="154">
        <v>0</v>
      </c>
      <c r="S19" s="154">
        <v>0</v>
      </c>
      <c r="T19" s="154">
        <v>0.38151098973665099</v>
      </c>
      <c r="U19" s="154">
        <v>7.7619876660577403E-2</v>
      </c>
      <c r="V19" s="154">
        <v>0</v>
      </c>
      <c r="W19" s="154">
        <v>0</v>
      </c>
      <c r="X19" s="154">
        <v>0</v>
      </c>
      <c r="Y19" s="154">
        <v>0</v>
      </c>
      <c r="Z19" s="154">
        <v>0</v>
      </c>
      <c r="AA19" s="154">
        <v>0</v>
      </c>
      <c r="AB19" s="154">
        <v>0</v>
      </c>
      <c r="AC19" s="154">
        <v>0</v>
      </c>
      <c r="AD19" s="154">
        <v>0</v>
      </c>
      <c r="AE19" s="154">
        <v>0</v>
      </c>
      <c r="AF19" s="154">
        <v>0</v>
      </c>
      <c r="AG19" s="154">
        <v>0</v>
      </c>
      <c r="AH19" s="154">
        <v>0</v>
      </c>
      <c r="AI19" s="154">
        <v>0</v>
      </c>
      <c r="AJ19" s="154">
        <v>0</v>
      </c>
      <c r="AK19" s="154">
        <v>0</v>
      </c>
      <c r="AL19" s="154">
        <v>0</v>
      </c>
      <c r="AM19" s="154">
        <v>0</v>
      </c>
      <c r="AN19" s="154">
        <v>0</v>
      </c>
      <c r="AO19" s="154">
        <v>0</v>
      </c>
      <c r="AP19" s="154">
        <v>0</v>
      </c>
      <c r="AQ19" s="154">
        <v>0</v>
      </c>
      <c r="AR19" s="154">
        <v>0</v>
      </c>
      <c r="AS19" s="154">
        <v>0</v>
      </c>
      <c r="AT19" s="155">
        <v>0</v>
      </c>
    </row>
    <row r="20" spans="2:46" ht="12" customHeight="1" x14ac:dyDescent="0.3">
      <c r="B20" s="153" t="s">
        <v>60</v>
      </c>
      <c r="C20" s="154" t="s">
        <v>57</v>
      </c>
      <c r="D20" s="154" t="s">
        <v>25</v>
      </c>
      <c r="E20" s="154" t="s">
        <v>25</v>
      </c>
      <c r="F20" s="154" t="s">
        <v>25</v>
      </c>
      <c r="G20" s="154" t="s">
        <v>25</v>
      </c>
      <c r="H20" s="154" t="s">
        <v>81</v>
      </c>
      <c r="I20" s="154" t="s">
        <v>25</v>
      </c>
      <c r="J20" s="154">
        <v>0.76</v>
      </c>
      <c r="K20" s="154">
        <v>0</v>
      </c>
      <c r="L20" s="154">
        <v>0</v>
      </c>
      <c r="M20" s="154">
        <v>0</v>
      </c>
      <c r="N20" s="154">
        <v>0</v>
      </c>
      <c r="O20" s="154">
        <v>0</v>
      </c>
      <c r="P20" s="154">
        <v>0</v>
      </c>
      <c r="Q20" s="154">
        <v>0</v>
      </c>
      <c r="R20" s="154">
        <v>0</v>
      </c>
      <c r="S20" s="154">
        <v>0</v>
      </c>
      <c r="T20" s="154">
        <v>0.53735819121296602</v>
      </c>
      <c r="U20" s="154">
        <v>0.22059765068513601</v>
      </c>
      <c r="V20" s="154">
        <v>0</v>
      </c>
      <c r="W20" s="154">
        <v>0</v>
      </c>
      <c r="X20" s="154">
        <v>0</v>
      </c>
      <c r="Y20" s="154">
        <v>0</v>
      </c>
      <c r="Z20" s="154">
        <v>0</v>
      </c>
      <c r="AA20" s="154">
        <v>0</v>
      </c>
      <c r="AB20" s="154">
        <v>0</v>
      </c>
      <c r="AC20" s="154">
        <v>0</v>
      </c>
      <c r="AD20" s="154">
        <v>0</v>
      </c>
      <c r="AE20" s="154">
        <v>0</v>
      </c>
      <c r="AF20" s="154">
        <v>0</v>
      </c>
      <c r="AG20" s="154">
        <v>0</v>
      </c>
      <c r="AH20" s="154">
        <v>0</v>
      </c>
      <c r="AI20" s="154">
        <v>0</v>
      </c>
      <c r="AJ20" s="154">
        <v>0</v>
      </c>
      <c r="AK20" s="154">
        <v>0</v>
      </c>
      <c r="AL20" s="154">
        <v>0</v>
      </c>
      <c r="AM20" s="154">
        <v>0</v>
      </c>
      <c r="AN20" s="154">
        <v>0</v>
      </c>
      <c r="AO20" s="154">
        <v>0</v>
      </c>
      <c r="AP20" s="154">
        <v>0</v>
      </c>
      <c r="AQ20" s="154">
        <v>0</v>
      </c>
      <c r="AR20" s="154">
        <v>0</v>
      </c>
      <c r="AS20" s="154">
        <v>0</v>
      </c>
      <c r="AT20" s="155">
        <v>0</v>
      </c>
    </row>
    <row r="21" spans="2:46" ht="12" customHeight="1" x14ac:dyDescent="0.3">
      <c r="B21" s="153" t="s">
        <v>39</v>
      </c>
      <c r="C21" s="154" t="s">
        <v>40</v>
      </c>
      <c r="D21" s="154" t="s">
        <v>25</v>
      </c>
      <c r="E21" s="154" t="s">
        <v>25</v>
      </c>
      <c r="F21" s="154" t="s">
        <v>85</v>
      </c>
      <c r="G21" s="154" t="s">
        <v>34</v>
      </c>
      <c r="H21" s="154" t="s">
        <v>78</v>
      </c>
      <c r="I21" s="154" t="s">
        <v>25</v>
      </c>
      <c r="J21" s="154">
        <v>-0.67</v>
      </c>
      <c r="K21" s="154">
        <v>0</v>
      </c>
      <c r="L21" s="154">
        <v>0</v>
      </c>
      <c r="M21" s="154">
        <v>0</v>
      </c>
      <c r="N21" s="154">
        <v>0</v>
      </c>
      <c r="O21" s="154">
        <v>0</v>
      </c>
      <c r="P21" s="154">
        <v>0</v>
      </c>
      <c r="Q21" s="154">
        <v>0</v>
      </c>
      <c r="R21" s="154">
        <v>0</v>
      </c>
      <c r="S21" s="154">
        <v>0</v>
      </c>
      <c r="T21" s="154">
        <v>0</v>
      </c>
      <c r="U21" s="154">
        <v>0</v>
      </c>
      <c r="V21" s="154">
        <v>0</v>
      </c>
      <c r="W21" s="154">
        <v>0</v>
      </c>
      <c r="X21" s="154">
        <v>0</v>
      </c>
      <c r="Y21" s="154">
        <v>0</v>
      </c>
      <c r="Z21" s="154">
        <v>0</v>
      </c>
      <c r="AA21" s="154">
        <v>0</v>
      </c>
      <c r="AB21" s="154">
        <v>0</v>
      </c>
      <c r="AC21" s="154">
        <v>0</v>
      </c>
      <c r="AD21" s="154">
        <v>0</v>
      </c>
      <c r="AE21" s="154">
        <v>-0.50819693492874296</v>
      </c>
      <c r="AF21" s="154">
        <v>-8.8076032410348299E-3</v>
      </c>
      <c r="AG21" s="154">
        <v>-0.15189611693065699</v>
      </c>
      <c r="AH21" s="154">
        <v>0</v>
      </c>
      <c r="AI21" s="154">
        <v>0</v>
      </c>
      <c r="AJ21" s="154">
        <v>0</v>
      </c>
      <c r="AK21" s="154">
        <v>0</v>
      </c>
      <c r="AL21" s="154">
        <v>0</v>
      </c>
      <c r="AM21" s="154">
        <v>0</v>
      </c>
      <c r="AN21" s="154">
        <v>0</v>
      </c>
      <c r="AO21" s="154">
        <v>0</v>
      </c>
      <c r="AP21" s="154">
        <v>0</v>
      </c>
      <c r="AQ21" s="154">
        <v>0</v>
      </c>
      <c r="AR21" s="154">
        <v>0</v>
      </c>
      <c r="AS21" s="154">
        <v>0</v>
      </c>
      <c r="AT21" s="155">
        <v>0</v>
      </c>
    </row>
    <row r="22" spans="2:46" ht="12" customHeight="1" x14ac:dyDescent="0.3">
      <c r="B22" s="153" t="s">
        <v>39</v>
      </c>
      <c r="C22" s="154" t="s">
        <v>40</v>
      </c>
      <c r="D22" s="154" t="s">
        <v>25</v>
      </c>
      <c r="E22" s="154" t="s">
        <v>25</v>
      </c>
      <c r="F22" s="154" t="s">
        <v>85</v>
      </c>
      <c r="G22" s="154" t="s">
        <v>34</v>
      </c>
      <c r="H22" s="154" t="s">
        <v>81</v>
      </c>
      <c r="I22" s="154" t="s">
        <v>25</v>
      </c>
      <c r="J22" s="154">
        <v>0.56999999999999995</v>
      </c>
      <c r="K22" s="154">
        <v>0</v>
      </c>
      <c r="L22" s="154">
        <v>0</v>
      </c>
      <c r="M22" s="154">
        <v>0</v>
      </c>
      <c r="N22" s="154">
        <v>0</v>
      </c>
      <c r="O22" s="154">
        <v>0</v>
      </c>
      <c r="P22" s="154">
        <v>0</v>
      </c>
      <c r="Q22" s="154">
        <v>0</v>
      </c>
      <c r="R22" s="154">
        <v>0</v>
      </c>
      <c r="S22" s="154">
        <v>0</v>
      </c>
      <c r="T22" s="154">
        <v>0.47832379214267701</v>
      </c>
      <c r="U22" s="154">
        <v>9.6542921259695394E-2</v>
      </c>
      <c r="V22" s="154">
        <v>0</v>
      </c>
      <c r="W22" s="154">
        <v>0</v>
      </c>
      <c r="X22" s="154">
        <v>0</v>
      </c>
      <c r="Y22" s="154">
        <v>0</v>
      </c>
      <c r="Z22" s="154">
        <v>0</v>
      </c>
      <c r="AA22" s="154">
        <v>0</v>
      </c>
      <c r="AB22" s="154">
        <v>0</v>
      </c>
      <c r="AC22" s="154">
        <v>0</v>
      </c>
      <c r="AD22" s="154">
        <v>0</v>
      </c>
      <c r="AE22" s="154">
        <v>0</v>
      </c>
      <c r="AF22" s="154">
        <v>0</v>
      </c>
      <c r="AG22" s="154">
        <v>0</v>
      </c>
      <c r="AH22" s="154">
        <v>0</v>
      </c>
      <c r="AI22" s="154">
        <v>0</v>
      </c>
      <c r="AJ22" s="154">
        <v>0</v>
      </c>
      <c r="AK22" s="154">
        <v>0</v>
      </c>
      <c r="AL22" s="154">
        <v>0</v>
      </c>
      <c r="AM22" s="154">
        <v>0</v>
      </c>
      <c r="AN22" s="154">
        <v>0</v>
      </c>
      <c r="AO22" s="154">
        <v>0</v>
      </c>
      <c r="AP22" s="154">
        <v>0</v>
      </c>
      <c r="AQ22" s="154">
        <v>0</v>
      </c>
      <c r="AR22" s="154">
        <v>0</v>
      </c>
      <c r="AS22" s="154">
        <v>0</v>
      </c>
      <c r="AT22" s="155">
        <v>0</v>
      </c>
    </row>
    <row r="23" spans="2:46" ht="12" customHeight="1" x14ac:dyDescent="0.3">
      <c r="B23" s="153" t="s">
        <v>39</v>
      </c>
      <c r="C23" s="154" t="s">
        <v>40</v>
      </c>
      <c r="D23" s="154" t="s">
        <v>25</v>
      </c>
      <c r="E23" s="154" t="s">
        <v>25</v>
      </c>
      <c r="F23" s="154" t="s">
        <v>85</v>
      </c>
      <c r="G23" s="154" t="s">
        <v>35</v>
      </c>
      <c r="H23" s="154" t="s">
        <v>78</v>
      </c>
      <c r="I23" s="154" t="s">
        <v>25</v>
      </c>
      <c r="J23" s="154">
        <v>-0.67</v>
      </c>
      <c r="K23" s="154">
        <v>0</v>
      </c>
      <c r="L23" s="154">
        <v>0</v>
      </c>
      <c r="M23" s="154">
        <v>0</v>
      </c>
      <c r="N23" s="154">
        <v>0</v>
      </c>
      <c r="O23" s="154">
        <v>0</v>
      </c>
      <c r="P23" s="154">
        <v>0</v>
      </c>
      <c r="Q23" s="154">
        <v>0</v>
      </c>
      <c r="R23" s="154">
        <v>0</v>
      </c>
      <c r="S23" s="154">
        <v>0</v>
      </c>
      <c r="T23" s="154">
        <v>0</v>
      </c>
      <c r="U23" s="154">
        <v>0</v>
      </c>
      <c r="V23" s="154">
        <v>0</v>
      </c>
      <c r="W23" s="154">
        <v>0</v>
      </c>
      <c r="X23" s="154">
        <v>0</v>
      </c>
      <c r="Y23" s="154">
        <v>0</v>
      </c>
      <c r="Z23" s="154">
        <v>0</v>
      </c>
      <c r="AA23" s="154">
        <v>0</v>
      </c>
      <c r="AB23" s="154">
        <v>0</v>
      </c>
      <c r="AC23" s="154">
        <v>0</v>
      </c>
      <c r="AD23" s="154">
        <v>0</v>
      </c>
      <c r="AE23" s="154">
        <v>-0.50819693492874296</v>
      </c>
      <c r="AF23" s="154">
        <v>-8.8076032410348299E-3</v>
      </c>
      <c r="AG23" s="154">
        <v>-0.15189611693065699</v>
      </c>
      <c r="AH23" s="154">
        <v>0</v>
      </c>
      <c r="AI23" s="154">
        <v>0</v>
      </c>
      <c r="AJ23" s="154">
        <v>0</v>
      </c>
      <c r="AK23" s="154">
        <v>0</v>
      </c>
      <c r="AL23" s="154">
        <v>0</v>
      </c>
      <c r="AM23" s="154">
        <v>0</v>
      </c>
      <c r="AN23" s="154">
        <v>0</v>
      </c>
      <c r="AO23" s="154">
        <v>0</v>
      </c>
      <c r="AP23" s="154">
        <v>0</v>
      </c>
      <c r="AQ23" s="154">
        <v>0</v>
      </c>
      <c r="AR23" s="154">
        <v>0</v>
      </c>
      <c r="AS23" s="154">
        <v>0</v>
      </c>
      <c r="AT23" s="155">
        <v>0</v>
      </c>
    </row>
    <row r="24" spans="2:46" ht="12" customHeight="1" x14ac:dyDescent="0.3">
      <c r="B24" s="153" t="s">
        <v>39</v>
      </c>
      <c r="C24" s="154" t="s">
        <v>40</v>
      </c>
      <c r="D24" s="154" t="s">
        <v>25</v>
      </c>
      <c r="E24" s="154" t="s">
        <v>25</v>
      </c>
      <c r="F24" s="154" t="s">
        <v>85</v>
      </c>
      <c r="G24" s="154" t="s">
        <v>35</v>
      </c>
      <c r="H24" s="154" t="s">
        <v>81</v>
      </c>
      <c r="I24" s="154" t="s">
        <v>25</v>
      </c>
      <c r="J24" s="154">
        <v>0.4</v>
      </c>
      <c r="K24" s="154">
        <v>0</v>
      </c>
      <c r="L24" s="154">
        <v>0</v>
      </c>
      <c r="M24" s="154">
        <v>0</v>
      </c>
      <c r="N24" s="154">
        <v>0</v>
      </c>
      <c r="O24" s="154">
        <v>0</v>
      </c>
      <c r="P24" s="154">
        <v>0</v>
      </c>
      <c r="Q24" s="154">
        <v>0</v>
      </c>
      <c r="R24" s="154">
        <v>0</v>
      </c>
      <c r="S24" s="154">
        <v>0</v>
      </c>
      <c r="T24" s="154">
        <v>0.33392661031363702</v>
      </c>
      <c r="U24" s="154">
        <v>6.7937143084809595E-2</v>
      </c>
      <c r="V24" s="154">
        <v>0</v>
      </c>
      <c r="W24" s="154">
        <v>0</v>
      </c>
      <c r="X24" s="154">
        <v>0</v>
      </c>
      <c r="Y24" s="154">
        <v>0</v>
      </c>
      <c r="Z24" s="154">
        <v>0</v>
      </c>
      <c r="AA24" s="154">
        <v>0</v>
      </c>
      <c r="AB24" s="154">
        <v>0</v>
      </c>
      <c r="AC24" s="154">
        <v>0</v>
      </c>
      <c r="AD24" s="154">
        <v>0</v>
      </c>
      <c r="AE24" s="154">
        <v>0</v>
      </c>
      <c r="AF24" s="154">
        <v>0</v>
      </c>
      <c r="AG24" s="154">
        <v>0</v>
      </c>
      <c r="AH24" s="154">
        <v>0</v>
      </c>
      <c r="AI24" s="154">
        <v>0</v>
      </c>
      <c r="AJ24" s="154">
        <v>0</v>
      </c>
      <c r="AK24" s="154">
        <v>0</v>
      </c>
      <c r="AL24" s="154">
        <v>0</v>
      </c>
      <c r="AM24" s="154">
        <v>0</v>
      </c>
      <c r="AN24" s="154">
        <v>0</v>
      </c>
      <c r="AO24" s="154">
        <v>0</v>
      </c>
      <c r="AP24" s="154">
        <v>0</v>
      </c>
      <c r="AQ24" s="154">
        <v>0</v>
      </c>
      <c r="AR24" s="154">
        <v>0</v>
      </c>
      <c r="AS24" s="154">
        <v>0</v>
      </c>
      <c r="AT24" s="155">
        <v>0</v>
      </c>
    </row>
    <row r="25" spans="2:46" ht="12" customHeight="1" x14ac:dyDescent="0.3">
      <c r="B25" s="153" t="s">
        <v>39</v>
      </c>
      <c r="C25" s="154" t="s">
        <v>40</v>
      </c>
      <c r="D25" s="154" t="s">
        <v>25</v>
      </c>
      <c r="E25" s="154" t="s">
        <v>25</v>
      </c>
      <c r="F25" s="154" t="s">
        <v>25</v>
      </c>
      <c r="G25" s="154" t="s">
        <v>34</v>
      </c>
      <c r="H25" s="154" t="s">
        <v>78</v>
      </c>
      <c r="I25" s="154" t="s">
        <v>25</v>
      </c>
      <c r="J25" s="154">
        <v>24.39</v>
      </c>
      <c r="K25" s="154">
        <v>-49.04</v>
      </c>
      <c r="L25" s="154">
        <v>0.39195468895496</v>
      </c>
      <c r="M25" s="154">
        <v>0</v>
      </c>
      <c r="N25" s="154">
        <v>0</v>
      </c>
      <c r="O25" s="154">
        <v>0</v>
      </c>
      <c r="P25" s="154">
        <v>0</v>
      </c>
      <c r="Q25" s="154">
        <v>19.4136719268413</v>
      </c>
      <c r="R25" s="154">
        <v>5.2554388970379096</v>
      </c>
      <c r="S25" s="154">
        <v>0</v>
      </c>
      <c r="T25" s="154">
        <v>0</v>
      </c>
      <c r="U25" s="154">
        <v>0</v>
      </c>
      <c r="V25" s="154">
        <v>0</v>
      </c>
      <c r="W25" s="154">
        <v>0</v>
      </c>
      <c r="X25" s="154">
        <v>0</v>
      </c>
      <c r="Y25" s="154">
        <v>0</v>
      </c>
      <c r="Z25" s="154">
        <v>0</v>
      </c>
      <c r="AA25" s="154">
        <v>0</v>
      </c>
      <c r="AB25" s="154">
        <v>0</v>
      </c>
      <c r="AC25" s="154">
        <v>0</v>
      </c>
      <c r="AD25" s="154">
        <v>0</v>
      </c>
      <c r="AE25" s="154">
        <v>-0.50819693492874296</v>
      </c>
      <c r="AF25" s="154">
        <v>-8.8076032410348299E-3</v>
      </c>
      <c r="AG25" s="154">
        <v>-0.15189611693065699</v>
      </c>
      <c r="AH25" s="154">
        <v>0</v>
      </c>
      <c r="AI25" s="154">
        <v>0.95108225955764603</v>
      </c>
      <c r="AJ25" s="154">
        <v>0</v>
      </c>
      <c r="AK25" s="154">
        <v>0</v>
      </c>
      <c r="AL25" s="154">
        <v>-1.9135572147375699</v>
      </c>
      <c r="AM25" s="154">
        <v>9.5250556035339703E-2</v>
      </c>
      <c r="AN25" s="154">
        <v>-49.031906566847198</v>
      </c>
      <c r="AO25" s="154">
        <v>0.83760882238776402</v>
      </c>
      <c r="AP25" s="154">
        <v>0.48568457170811102</v>
      </c>
      <c r="AQ25" s="154">
        <v>0</v>
      </c>
      <c r="AR25" s="154">
        <v>0</v>
      </c>
      <c r="AS25" s="154">
        <v>0</v>
      </c>
      <c r="AT25" s="155">
        <v>-0.46853071533998097</v>
      </c>
    </row>
    <row r="26" spans="2:46" ht="12" customHeight="1" x14ac:dyDescent="0.3">
      <c r="B26" s="153" t="s">
        <v>39</v>
      </c>
      <c r="C26" s="154" t="s">
        <v>40</v>
      </c>
      <c r="D26" s="154" t="s">
        <v>25</v>
      </c>
      <c r="E26" s="154" t="s">
        <v>25</v>
      </c>
      <c r="F26" s="154" t="s">
        <v>25</v>
      </c>
      <c r="G26" s="154" t="s">
        <v>34</v>
      </c>
      <c r="H26" s="154" t="s">
        <v>81</v>
      </c>
      <c r="I26" s="154" t="s">
        <v>25</v>
      </c>
      <c r="J26" s="154">
        <v>0.56999999999999995</v>
      </c>
      <c r="K26" s="154">
        <v>0</v>
      </c>
      <c r="L26" s="154">
        <v>0</v>
      </c>
      <c r="M26" s="154">
        <v>0</v>
      </c>
      <c r="N26" s="154">
        <v>0</v>
      </c>
      <c r="O26" s="154">
        <v>0</v>
      </c>
      <c r="P26" s="154">
        <v>0</v>
      </c>
      <c r="Q26" s="154">
        <v>0</v>
      </c>
      <c r="R26" s="154">
        <v>0</v>
      </c>
      <c r="S26" s="154">
        <v>0</v>
      </c>
      <c r="T26" s="154">
        <v>0.47832379214267701</v>
      </c>
      <c r="U26" s="154">
        <v>9.6542921259695394E-2</v>
      </c>
      <c r="V26" s="154">
        <v>0</v>
      </c>
      <c r="W26" s="154">
        <v>0</v>
      </c>
      <c r="X26" s="154">
        <v>0</v>
      </c>
      <c r="Y26" s="154">
        <v>0</v>
      </c>
      <c r="Z26" s="154">
        <v>0</v>
      </c>
      <c r="AA26" s="154">
        <v>0</v>
      </c>
      <c r="AB26" s="154">
        <v>0</v>
      </c>
      <c r="AC26" s="154">
        <v>0</v>
      </c>
      <c r="AD26" s="154">
        <v>0</v>
      </c>
      <c r="AE26" s="154">
        <v>0</v>
      </c>
      <c r="AF26" s="154">
        <v>0</v>
      </c>
      <c r="AG26" s="154">
        <v>0</v>
      </c>
      <c r="AH26" s="154">
        <v>0</v>
      </c>
      <c r="AI26" s="154">
        <v>0</v>
      </c>
      <c r="AJ26" s="154">
        <v>0</v>
      </c>
      <c r="AK26" s="154">
        <v>0</v>
      </c>
      <c r="AL26" s="154">
        <v>0</v>
      </c>
      <c r="AM26" s="154">
        <v>0</v>
      </c>
      <c r="AN26" s="154">
        <v>0</v>
      </c>
      <c r="AO26" s="154">
        <v>0</v>
      </c>
      <c r="AP26" s="154">
        <v>0</v>
      </c>
      <c r="AQ26" s="154">
        <v>0</v>
      </c>
      <c r="AR26" s="154">
        <v>0</v>
      </c>
      <c r="AS26" s="154">
        <v>0</v>
      </c>
      <c r="AT26" s="155">
        <v>0</v>
      </c>
    </row>
    <row r="27" spans="2:46" ht="12" customHeight="1" x14ac:dyDescent="0.3">
      <c r="B27" s="153" t="s">
        <v>39</v>
      </c>
      <c r="C27" s="154" t="s">
        <v>40</v>
      </c>
      <c r="D27" s="154" t="s">
        <v>25</v>
      </c>
      <c r="E27" s="154" t="s">
        <v>25</v>
      </c>
      <c r="F27" s="154" t="s">
        <v>25</v>
      </c>
      <c r="G27" s="154" t="s">
        <v>35</v>
      </c>
      <c r="H27" s="154" t="s">
        <v>78</v>
      </c>
      <c r="I27" s="154" t="s">
        <v>25</v>
      </c>
      <c r="J27" s="154">
        <v>24.39</v>
      </c>
      <c r="K27" s="154">
        <v>-28.52</v>
      </c>
      <c r="L27" s="154">
        <v>0.39195468895496</v>
      </c>
      <c r="M27" s="154">
        <v>0</v>
      </c>
      <c r="N27" s="154">
        <v>0</v>
      </c>
      <c r="O27" s="154">
        <v>0</v>
      </c>
      <c r="P27" s="154">
        <v>0</v>
      </c>
      <c r="Q27" s="154">
        <v>19.4136719268413</v>
      </c>
      <c r="R27" s="154">
        <v>5.2554388970379096</v>
      </c>
      <c r="S27" s="154">
        <v>0</v>
      </c>
      <c r="T27" s="154">
        <v>0</v>
      </c>
      <c r="U27" s="154">
        <v>0</v>
      </c>
      <c r="V27" s="154">
        <v>0</v>
      </c>
      <c r="W27" s="154">
        <v>0</v>
      </c>
      <c r="X27" s="154">
        <v>0</v>
      </c>
      <c r="Y27" s="154">
        <v>0</v>
      </c>
      <c r="Z27" s="154">
        <v>0</v>
      </c>
      <c r="AA27" s="154">
        <v>0</v>
      </c>
      <c r="AB27" s="154">
        <v>0</v>
      </c>
      <c r="AC27" s="154">
        <v>0</v>
      </c>
      <c r="AD27" s="154">
        <v>0</v>
      </c>
      <c r="AE27" s="154">
        <v>-0.50819693492874296</v>
      </c>
      <c r="AF27" s="154">
        <v>-8.8076032410348299E-3</v>
      </c>
      <c r="AG27" s="154">
        <v>-0.15189611693065699</v>
      </c>
      <c r="AH27" s="154">
        <v>0</v>
      </c>
      <c r="AI27" s="154">
        <v>0.95108225955764603</v>
      </c>
      <c r="AJ27" s="154">
        <v>0</v>
      </c>
      <c r="AK27" s="154">
        <v>0</v>
      </c>
      <c r="AL27" s="154">
        <v>-1.9135572147375699</v>
      </c>
      <c r="AM27" s="154">
        <v>9.5250556035339703E-2</v>
      </c>
      <c r="AN27" s="154">
        <v>-28.5069224225856</v>
      </c>
      <c r="AO27" s="154">
        <v>0.83760882238776402</v>
      </c>
      <c r="AP27" s="154">
        <v>0.48568457170811102</v>
      </c>
      <c r="AQ27" s="154">
        <v>0</v>
      </c>
      <c r="AR27" s="154">
        <v>0</v>
      </c>
      <c r="AS27" s="154">
        <v>0</v>
      </c>
      <c r="AT27" s="155">
        <v>-0.46853071533998097</v>
      </c>
    </row>
    <row r="28" spans="2:46" ht="12" customHeight="1" x14ac:dyDescent="0.3">
      <c r="B28" s="153" t="s">
        <v>39</v>
      </c>
      <c r="C28" s="154" t="s">
        <v>40</v>
      </c>
      <c r="D28" s="154" t="s">
        <v>25</v>
      </c>
      <c r="E28" s="154" t="s">
        <v>25</v>
      </c>
      <c r="F28" s="154" t="s">
        <v>25</v>
      </c>
      <c r="G28" s="154" t="s">
        <v>35</v>
      </c>
      <c r="H28" s="154" t="s">
        <v>81</v>
      </c>
      <c r="I28" s="154" t="s">
        <v>25</v>
      </c>
      <c r="J28" s="154">
        <v>0.4</v>
      </c>
      <c r="K28" s="154">
        <v>0</v>
      </c>
      <c r="L28" s="154">
        <v>0</v>
      </c>
      <c r="M28" s="154">
        <v>0</v>
      </c>
      <c r="N28" s="154">
        <v>0</v>
      </c>
      <c r="O28" s="154">
        <v>0</v>
      </c>
      <c r="P28" s="154">
        <v>0</v>
      </c>
      <c r="Q28" s="154">
        <v>0</v>
      </c>
      <c r="R28" s="154">
        <v>0</v>
      </c>
      <c r="S28" s="154">
        <v>0</v>
      </c>
      <c r="T28" s="154">
        <v>0.33392661031363702</v>
      </c>
      <c r="U28" s="154">
        <v>6.7937143084809595E-2</v>
      </c>
      <c r="V28" s="154">
        <v>0</v>
      </c>
      <c r="W28" s="154">
        <v>0</v>
      </c>
      <c r="X28" s="154">
        <v>0</v>
      </c>
      <c r="Y28" s="154">
        <v>0</v>
      </c>
      <c r="Z28" s="154">
        <v>0</v>
      </c>
      <c r="AA28" s="154">
        <v>0</v>
      </c>
      <c r="AB28" s="154">
        <v>0</v>
      </c>
      <c r="AC28" s="154">
        <v>0</v>
      </c>
      <c r="AD28" s="154">
        <v>0</v>
      </c>
      <c r="AE28" s="154">
        <v>0</v>
      </c>
      <c r="AF28" s="154">
        <v>0</v>
      </c>
      <c r="AG28" s="154">
        <v>0</v>
      </c>
      <c r="AH28" s="154">
        <v>0</v>
      </c>
      <c r="AI28" s="154">
        <v>0</v>
      </c>
      <c r="AJ28" s="154">
        <v>0</v>
      </c>
      <c r="AK28" s="154">
        <v>0</v>
      </c>
      <c r="AL28" s="154">
        <v>0</v>
      </c>
      <c r="AM28" s="154">
        <v>0</v>
      </c>
      <c r="AN28" s="154">
        <v>0</v>
      </c>
      <c r="AO28" s="154">
        <v>0</v>
      </c>
      <c r="AP28" s="154">
        <v>0</v>
      </c>
      <c r="AQ28" s="154">
        <v>0</v>
      </c>
      <c r="AR28" s="154">
        <v>0</v>
      </c>
      <c r="AS28" s="154">
        <v>0</v>
      </c>
      <c r="AT28" s="155">
        <v>0</v>
      </c>
    </row>
    <row r="29" spans="2:46" ht="12" customHeight="1" x14ac:dyDescent="0.3">
      <c r="B29" s="153" t="s">
        <v>39</v>
      </c>
      <c r="C29" s="154" t="s">
        <v>57</v>
      </c>
      <c r="D29" s="154" t="s">
        <v>25</v>
      </c>
      <c r="E29" s="154" t="s">
        <v>25</v>
      </c>
      <c r="F29" s="154" t="s">
        <v>25</v>
      </c>
      <c r="G29" s="154" t="s">
        <v>25</v>
      </c>
      <c r="H29" s="154" t="s">
        <v>81</v>
      </c>
      <c r="I29" s="154" t="s">
        <v>25</v>
      </c>
      <c r="J29" s="154">
        <v>0</v>
      </c>
      <c r="K29" s="154">
        <v>0</v>
      </c>
      <c r="L29" s="154">
        <v>0</v>
      </c>
      <c r="M29" s="154">
        <v>0</v>
      </c>
      <c r="N29" s="154">
        <v>0</v>
      </c>
      <c r="O29" s="154">
        <v>0</v>
      </c>
      <c r="P29" s="154">
        <v>0</v>
      </c>
      <c r="Q29" s="154">
        <v>0</v>
      </c>
      <c r="R29" s="154">
        <v>0</v>
      </c>
      <c r="S29" s="154">
        <v>0</v>
      </c>
      <c r="T29" s="154">
        <v>0</v>
      </c>
      <c r="U29" s="154">
        <v>0</v>
      </c>
      <c r="V29" s="154">
        <v>0</v>
      </c>
      <c r="W29" s="154">
        <v>0</v>
      </c>
      <c r="X29" s="154">
        <v>0</v>
      </c>
      <c r="Y29" s="154">
        <v>0</v>
      </c>
      <c r="Z29" s="154">
        <v>0</v>
      </c>
      <c r="AA29" s="154">
        <v>0</v>
      </c>
      <c r="AB29" s="154">
        <v>0</v>
      </c>
      <c r="AC29" s="154">
        <v>0</v>
      </c>
      <c r="AD29" s="154">
        <v>0</v>
      </c>
      <c r="AE29" s="154">
        <v>-2.4314733925495901E-4</v>
      </c>
      <c r="AF29" s="154">
        <v>0</v>
      </c>
      <c r="AG29" s="154">
        <v>0</v>
      </c>
      <c r="AH29" s="154">
        <v>0</v>
      </c>
      <c r="AI29" s="154">
        <v>0</v>
      </c>
      <c r="AJ29" s="154">
        <v>0</v>
      </c>
      <c r="AK29" s="154">
        <v>0</v>
      </c>
      <c r="AL29" s="154">
        <v>0</v>
      </c>
      <c r="AM29" s="154">
        <v>0</v>
      </c>
      <c r="AN29" s="154">
        <v>0</v>
      </c>
      <c r="AO29" s="154">
        <v>0</v>
      </c>
      <c r="AP29" s="154">
        <v>0</v>
      </c>
      <c r="AQ29" s="154">
        <v>0</v>
      </c>
      <c r="AR29" s="154">
        <v>0</v>
      </c>
      <c r="AS29" s="154">
        <v>0</v>
      </c>
      <c r="AT29" s="155">
        <v>0</v>
      </c>
    </row>
    <row r="30" spans="2:46" ht="12" customHeight="1" x14ac:dyDescent="0.3">
      <c r="B30" s="153" t="s">
        <v>39</v>
      </c>
      <c r="C30" s="154" t="s">
        <v>41</v>
      </c>
      <c r="D30" s="154" t="s">
        <v>25</v>
      </c>
      <c r="E30" s="154" t="s">
        <v>25</v>
      </c>
      <c r="F30" s="154" t="s">
        <v>85</v>
      </c>
      <c r="G30" s="154" t="s">
        <v>34</v>
      </c>
      <c r="H30" s="154" t="s">
        <v>78</v>
      </c>
      <c r="I30" s="154" t="s">
        <v>25</v>
      </c>
      <c r="J30" s="154">
        <v>13.16</v>
      </c>
      <c r="K30" s="154">
        <v>0</v>
      </c>
      <c r="L30" s="154">
        <v>0</v>
      </c>
      <c r="M30" s="154">
        <v>0</v>
      </c>
      <c r="N30" s="154">
        <v>0</v>
      </c>
      <c r="O30" s="154">
        <v>0</v>
      </c>
      <c r="P30" s="154">
        <v>0</v>
      </c>
      <c r="Q30" s="154">
        <v>0</v>
      </c>
      <c r="R30" s="154">
        <v>0</v>
      </c>
      <c r="S30" s="154">
        <v>0</v>
      </c>
      <c r="T30" s="154">
        <v>11.5037443245788</v>
      </c>
      <c r="U30" s="154">
        <v>2.3218904379871099</v>
      </c>
      <c r="V30" s="154">
        <v>0</v>
      </c>
      <c r="W30" s="154">
        <v>0</v>
      </c>
      <c r="X30" s="154">
        <v>0</v>
      </c>
      <c r="Y30" s="154">
        <v>0</v>
      </c>
      <c r="Z30" s="154">
        <v>0</v>
      </c>
      <c r="AA30" s="154">
        <v>0</v>
      </c>
      <c r="AB30" s="154">
        <v>0</v>
      </c>
      <c r="AC30" s="154">
        <v>0</v>
      </c>
      <c r="AD30" s="154">
        <v>0</v>
      </c>
      <c r="AE30" s="154">
        <v>-0.50819693492874296</v>
      </c>
      <c r="AF30" s="154">
        <v>-8.8076032410348299E-3</v>
      </c>
      <c r="AG30" s="154">
        <v>-0.15189611693065699</v>
      </c>
      <c r="AH30" s="154">
        <v>0</v>
      </c>
      <c r="AI30" s="154">
        <v>0</v>
      </c>
      <c r="AJ30" s="154">
        <v>0</v>
      </c>
      <c r="AK30" s="154">
        <v>0</v>
      </c>
      <c r="AL30" s="154">
        <v>0</v>
      </c>
      <c r="AM30" s="154">
        <v>0</v>
      </c>
      <c r="AN30" s="154">
        <v>0</v>
      </c>
      <c r="AO30" s="154">
        <v>0</v>
      </c>
      <c r="AP30" s="154">
        <v>0</v>
      </c>
      <c r="AQ30" s="154">
        <v>0</v>
      </c>
      <c r="AR30" s="154">
        <v>0</v>
      </c>
      <c r="AS30" s="154">
        <v>0</v>
      </c>
      <c r="AT30" s="155">
        <v>0</v>
      </c>
    </row>
    <row r="31" spans="2:46" ht="12" customHeight="1" x14ac:dyDescent="0.3">
      <c r="B31" s="153" t="s">
        <v>39</v>
      </c>
      <c r="C31" s="154" t="s">
        <v>41</v>
      </c>
      <c r="D31" s="154" t="s">
        <v>25</v>
      </c>
      <c r="E31" s="154" t="s">
        <v>25</v>
      </c>
      <c r="F31" s="154" t="s">
        <v>85</v>
      </c>
      <c r="G31" s="154" t="s">
        <v>25</v>
      </c>
      <c r="H31" s="154" t="s">
        <v>81</v>
      </c>
      <c r="I31" s="154" t="s">
        <v>25</v>
      </c>
      <c r="J31" s="154">
        <v>0.4</v>
      </c>
      <c r="K31" s="154">
        <v>0</v>
      </c>
      <c r="L31" s="154">
        <v>0</v>
      </c>
      <c r="M31" s="154">
        <v>0</v>
      </c>
      <c r="N31" s="154">
        <v>0</v>
      </c>
      <c r="O31" s="154">
        <v>0</v>
      </c>
      <c r="P31" s="154">
        <v>0</v>
      </c>
      <c r="Q31" s="154">
        <v>0</v>
      </c>
      <c r="R31" s="154">
        <v>0</v>
      </c>
      <c r="S31" s="154">
        <v>0</v>
      </c>
      <c r="T31" s="154">
        <v>0.33392661031363702</v>
      </c>
      <c r="U31" s="154">
        <v>6.7937143084809595E-2</v>
      </c>
      <c r="V31" s="154">
        <v>0</v>
      </c>
      <c r="W31" s="154">
        <v>0</v>
      </c>
      <c r="X31" s="154">
        <v>0</v>
      </c>
      <c r="Y31" s="154">
        <v>0</v>
      </c>
      <c r="Z31" s="154">
        <v>0</v>
      </c>
      <c r="AA31" s="154">
        <v>0</v>
      </c>
      <c r="AB31" s="154">
        <v>0</v>
      </c>
      <c r="AC31" s="154">
        <v>0</v>
      </c>
      <c r="AD31" s="154">
        <v>0</v>
      </c>
      <c r="AE31" s="154">
        <v>0</v>
      </c>
      <c r="AF31" s="154">
        <v>0</v>
      </c>
      <c r="AG31" s="154">
        <v>0</v>
      </c>
      <c r="AH31" s="154">
        <v>0</v>
      </c>
      <c r="AI31" s="154">
        <v>0</v>
      </c>
      <c r="AJ31" s="154">
        <v>0</v>
      </c>
      <c r="AK31" s="154">
        <v>0</v>
      </c>
      <c r="AL31" s="154">
        <v>0</v>
      </c>
      <c r="AM31" s="154">
        <v>0</v>
      </c>
      <c r="AN31" s="154">
        <v>0</v>
      </c>
      <c r="AO31" s="154">
        <v>0</v>
      </c>
      <c r="AP31" s="154">
        <v>0</v>
      </c>
      <c r="AQ31" s="154">
        <v>0</v>
      </c>
      <c r="AR31" s="154">
        <v>0</v>
      </c>
      <c r="AS31" s="154">
        <v>0</v>
      </c>
      <c r="AT31" s="155">
        <v>0</v>
      </c>
    </row>
    <row r="32" spans="2:46" ht="12" customHeight="1" x14ac:dyDescent="0.3">
      <c r="B32" s="153" t="s">
        <v>39</v>
      </c>
      <c r="C32" s="154" t="s">
        <v>41</v>
      </c>
      <c r="D32" s="154" t="s">
        <v>25</v>
      </c>
      <c r="E32" s="154" t="s">
        <v>25</v>
      </c>
      <c r="F32" s="154" t="s">
        <v>85</v>
      </c>
      <c r="G32" s="154" t="s">
        <v>35</v>
      </c>
      <c r="H32" s="154" t="s">
        <v>78</v>
      </c>
      <c r="I32" s="154" t="s">
        <v>25</v>
      </c>
      <c r="J32" s="154">
        <v>-0.67</v>
      </c>
      <c r="K32" s="154">
        <v>0</v>
      </c>
      <c r="L32" s="154">
        <v>0</v>
      </c>
      <c r="M32" s="154">
        <v>0</v>
      </c>
      <c r="N32" s="154">
        <v>0</v>
      </c>
      <c r="O32" s="154">
        <v>0</v>
      </c>
      <c r="P32" s="154">
        <v>0</v>
      </c>
      <c r="Q32" s="154">
        <v>0</v>
      </c>
      <c r="R32" s="154">
        <v>0</v>
      </c>
      <c r="S32" s="154">
        <v>0</v>
      </c>
      <c r="T32" s="154">
        <v>0</v>
      </c>
      <c r="U32" s="154">
        <v>0</v>
      </c>
      <c r="V32" s="154">
        <v>0</v>
      </c>
      <c r="W32" s="154">
        <v>0</v>
      </c>
      <c r="X32" s="154">
        <v>0</v>
      </c>
      <c r="Y32" s="154">
        <v>0</v>
      </c>
      <c r="Z32" s="154">
        <v>0</v>
      </c>
      <c r="AA32" s="154">
        <v>0</v>
      </c>
      <c r="AB32" s="154">
        <v>0</v>
      </c>
      <c r="AC32" s="154">
        <v>0</v>
      </c>
      <c r="AD32" s="154">
        <v>0</v>
      </c>
      <c r="AE32" s="154">
        <v>-0.50819693492874296</v>
      </c>
      <c r="AF32" s="154">
        <v>-8.8076032410348299E-3</v>
      </c>
      <c r="AG32" s="154">
        <v>-0.15189611693065699</v>
      </c>
      <c r="AH32" s="154">
        <v>0</v>
      </c>
      <c r="AI32" s="154">
        <v>0</v>
      </c>
      <c r="AJ32" s="154">
        <v>0</v>
      </c>
      <c r="AK32" s="154">
        <v>0</v>
      </c>
      <c r="AL32" s="154">
        <v>0</v>
      </c>
      <c r="AM32" s="154">
        <v>0</v>
      </c>
      <c r="AN32" s="154">
        <v>0</v>
      </c>
      <c r="AO32" s="154">
        <v>0</v>
      </c>
      <c r="AP32" s="154">
        <v>0</v>
      </c>
      <c r="AQ32" s="154">
        <v>0</v>
      </c>
      <c r="AR32" s="154">
        <v>0</v>
      </c>
      <c r="AS32" s="154">
        <v>0</v>
      </c>
      <c r="AT32" s="155">
        <v>0</v>
      </c>
    </row>
    <row r="33" spans="2:46" ht="12" customHeight="1" x14ac:dyDescent="0.3">
      <c r="B33" s="153" t="s">
        <v>39</v>
      </c>
      <c r="C33" s="154" t="s">
        <v>41</v>
      </c>
      <c r="D33" s="154" t="s">
        <v>25</v>
      </c>
      <c r="E33" s="154" t="s">
        <v>25</v>
      </c>
      <c r="F33" s="154" t="s">
        <v>25</v>
      </c>
      <c r="G33" s="154" t="s">
        <v>34</v>
      </c>
      <c r="H33" s="154" t="s">
        <v>78</v>
      </c>
      <c r="I33" s="154" t="s">
        <v>25</v>
      </c>
      <c r="J33" s="154">
        <v>38.22</v>
      </c>
      <c r="K33" s="154">
        <v>-49.04</v>
      </c>
      <c r="L33" s="154">
        <v>0.39195468895496</v>
      </c>
      <c r="M33" s="154">
        <v>0</v>
      </c>
      <c r="N33" s="154">
        <v>0</v>
      </c>
      <c r="O33" s="154">
        <v>0</v>
      </c>
      <c r="P33" s="154">
        <v>0</v>
      </c>
      <c r="Q33" s="154">
        <v>19.4136719268413</v>
      </c>
      <c r="R33" s="154">
        <v>5.2554388970379096</v>
      </c>
      <c r="S33" s="154">
        <v>0</v>
      </c>
      <c r="T33" s="154">
        <v>11.5037443245788</v>
      </c>
      <c r="U33" s="154">
        <v>2.3218904379871099</v>
      </c>
      <c r="V33" s="154">
        <v>0</v>
      </c>
      <c r="W33" s="154">
        <v>0</v>
      </c>
      <c r="X33" s="154">
        <v>0</v>
      </c>
      <c r="Y33" s="154">
        <v>0</v>
      </c>
      <c r="Z33" s="154">
        <v>0</v>
      </c>
      <c r="AA33" s="154">
        <v>0</v>
      </c>
      <c r="AB33" s="154">
        <v>0</v>
      </c>
      <c r="AC33" s="154">
        <v>0</v>
      </c>
      <c r="AD33" s="154">
        <v>0</v>
      </c>
      <c r="AE33" s="154">
        <v>-0.50819693492874296</v>
      </c>
      <c r="AF33" s="154">
        <v>-8.8076032410348299E-3</v>
      </c>
      <c r="AG33" s="154">
        <v>-0.15189611693065699</v>
      </c>
      <c r="AH33" s="154">
        <v>0</v>
      </c>
      <c r="AI33" s="154">
        <v>0.95108225955764603</v>
      </c>
      <c r="AJ33" s="154">
        <v>0</v>
      </c>
      <c r="AK33" s="154">
        <v>0</v>
      </c>
      <c r="AL33" s="154">
        <v>-1.9135572147375699</v>
      </c>
      <c r="AM33" s="154">
        <v>9.5250556035339703E-2</v>
      </c>
      <c r="AN33" s="154">
        <v>-49.031906566847198</v>
      </c>
      <c r="AO33" s="154">
        <v>0.83760882238776402</v>
      </c>
      <c r="AP33" s="154">
        <v>0.48568457170811102</v>
      </c>
      <c r="AQ33" s="154">
        <v>0</v>
      </c>
      <c r="AR33" s="154">
        <v>0</v>
      </c>
      <c r="AS33" s="154">
        <v>0</v>
      </c>
      <c r="AT33" s="155">
        <v>-0.46853071533998097</v>
      </c>
    </row>
    <row r="34" spans="2:46" ht="12" customHeight="1" x14ac:dyDescent="0.3">
      <c r="B34" s="153" t="s">
        <v>39</v>
      </c>
      <c r="C34" s="154" t="s">
        <v>41</v>
      </c>
      <c r="D34" s="154" t="s">
        <v>25</v>
      </c>
      <c r="E34" s="154" t="s">
        <v>25</v>
      </c>
      <c r="F34" s="154" t="s">
        <v>25</v>
      </c>
      <c r="G34" s="154" t="s">
        <v>25</v>
      </c>
      <c r="H34" s="154" t="s">
        <v>81</v>
      </c>
      <c r="I34" s="154" t="s">
        <v>25</v>
      </c>
      <c r="J34" s="154">
        <v>0.4</v>
      </c>
      <c r="K34" s="154">
        <v>0</v>
      </c>
      <c r="L34" s="154">
        <v>0</v>
      </c>
      <c r="M34" s="154">
        <v>0</v>
      </c>
      <c r="N34" s="154">
        <v>0</v>
      </c>
      <c r="O34" s="154">
        <v>0</v>
      </c>
      <c r="P34" s="154">
        <v>0</v>
      </c>
      <c r="Q34" s="154">
        <v>0</v>
      </c>
      <c r="R34" s="154">
        <v>0</v>
      </c>
      <c r="S34" s="154">
        <v>0</v>
      </c>
      <c r="T34" s="154">
        <v>0.33392661031363702</v>
      </c>
      <c r="U34" s="154">
        <v>6.7937143084809595E-2</v>
      </c>
      <c r="V34" s="154">
        <v>0</v>
      </c>
      <c r="W34" s="154">
        <v>0</v>
      </c>
      <c r="X34" s="154">
        <v>0</v>
      </c>
      <c r="Y34" s="154">
        <v>0</v>
      </c>
      <c r="Z34" s="154">
        <v>0</v>
      </c>
      <c r="AA34" s="154">
        <v>0</v>
      </c>
      <c r="AB34" s="154">
        <v>0</v>
      </c>
      <c r="AC34" s="154">
        <v>0</v>
      </c>
      <c r="AD34" s="154">
        <v>0</v>
      </c>
      <c r="AE34" s="154">
        <v>0</v>
      </c>
      <c r="AF34" s="154">
        <v>0</v>
      </c>
      <c r="AG34" s="154">
        <v>0</v>
      </c>
      <c r="AH34" s="154">
        <v>0</v>
      </c>
      <c r="AI34" s="154">
        <v>0</v>
      </c>
      <c r="AJ34" s="154">
        <v>0</v>
      </c>
      <c r="AK34" s="154">
        <v>0</v>
      </c>
      <c r="AL34" s="154">
        <v>0</v>
      </c>
      <c r="AM34" s="154">
        <v>0</v>
      </c>
      <c r="AN34" s="154">
        <v>0</v>
      </c>
      <c r="AO34" s="154">
        <v>0</v>
      </c>
      <c r="AP34" s="154">
        <v>0</v>
      </c>
      <c r="AQ34" s="154">
        <v>0</v>
      </c>
      <c r="AR34" s="154">
        <v>0</v>
      </c>
      <c r="AS34" s="154">
        <v>0</v>
      </c>
      <c r="AT34" s="155">
        <v>0</v>
      </c>
    </row>
    <row r="35" spans="2:46" ht="12" customHeight="1" x14ac:dyDescent="0.3">
      <c r="B35" s="153" t="s">
        <v>39</v>
      </c>
      <c r="C35" s="154" t="s">
        <v>41</v>
      </c>
      <c r="D35" s="154" t="s">
        <v>25</v>
      </c>
      <c r="E35" s="154" t="s">
        <v>25</v>
      </c>
      <c r="F35" s="154" t="s">
        <v>25</v>
      </c>
      <c r="G35" s="154" t="s">
        <v>35</v>
      </c>
      <c r="H35" s="154" t="s">
        <v>78</v>
      </c>
      <c r="I35" s="154" t="s">
        <v>25</v>
      </c>
      <c r="J35" s="154">
        <v>24.39</v>
      </c>
      <c r="K35" s="154">
        <v>-28.52</v>
      </c>
      <c r="L35" s="154">
        <v>0.39195468895496</v>
      </c>
      <c r="M35" s="154">
        <v>0</v>
      </c>
      <c r="N35" s="154">
        <v>0</v>
      </c>
      <c r="O35" s="154">
        <v>0</v>
      </c>
      <c r="P35" s="154">
        <v>0</v>
      </c>
      <c r="Q35" s="154">
        <v>19.4136719268413</v>
      </c>
      <c r="R35" s="154">
        <v>5.2554388970379096</v>
      </c>
      <c r="S35" s="154">
        <v>0</v>
      </c>
      <c r="T35" s="154">
        <v>0</v>
      </c>
      <c r="U35" s="154">
        <v>0</v>
      </c>
      <c r="V35" s="154">
        <v>0</v>
      </c>
      <c r="W35" s="154">
        <v>0</v>
      </c>
      <c r="X35" s="154">
        <v>0</v>
      </c>
      <c r="Y35" s="154">
        <v>0</v>
      </c>
      <c r="Z35" s="154">
        <v>0</v>
      </c>
      <c r="AA35" s="154">
        <v>0</v>
      </c>
      <c r="AB35" s="154">
        <v>0</v>
      </c>
      <c r="AC35" s="154">
        <v>0</v>
      </c>
      <c r="AD35" s="154">
        <v>0</v>
      </c>
      <c r="AE35" s="154">
        <v>-0.50819693492874296</v>
      </c>
      <c r="AF35" s="154">
        <v>-8.8076032410348299E-3</v>
      </c>
      <c r="AG35" s="154">
        <v>-0.15189611693065699</v>
      </c>
      <c r="AH35" s="154">
        <v>0</v>
      </c>
      <c r="AI35" s="154">
        <v>0.95108225955764603</v>
      </c>
      <c r="AJ35" s="154">
        <v>0</v>
      </c>
      <c r="AK35" s="154">
        <v>0</v>
      </c>
      <c r="AL35" s="154">
        <v>-1.9135572147375699</v>
      </c>
      <c r="AM35" s="154">
        <v>9.5250556035339703E-2</v>
      </c>
      <c r="AN35" s="154">
        <v>-28.5069224225856</v>
      </c>
      <c r="AO35" s="154">
        <v>0.83760882238776402</v>
      </c>
      <c r="AP35" s="154">
        <v>0.48568457170811102</v>
      </c>
      <c r="AQ35" s="154">
        <v>0</v>
      </c>
      <c r="AR35" s="154">
        <v>0</v>
      </c>
      <c r="AS35" s="154">
        <v>0</v>
      </c>
      <c r="AT35" s="155">
        <v>-0.46853071533998097</v>
      </c>
    </row>
    <row r="36" spans="2:46" ht="12" customHeight="1" x14ac:dyDescent="0.3">
      <c r="B36" s="153" t="s">
        <v>43</v>
      </c>
      <c r="C36" s="154" t="s">
        <v>40</v>
      </c>
      <c r="D36" s="154" t="s">
        <v>25</v>
      </c>
      <c r="E36" s="154" t="s">
        <v>25</v>
      </c>
      <c r="F36" s="154" t="s">
        <v>85</v>
      </c>
      <c r="G36" s="154" t="s">
        <v>34</v>
      </c>
      <c r="H36" s="154" t="s">
        <v>78</v>
      </c>
      <c r="I36" s="154" t="s">
        <v>25</v>
      </c>
      <c r="J36" s="154">
        <v>-3.65</v>
      </c>
      <c r="K36" s="154">
        <v>0</v>
      </c>
      <c r="L36" s="154">
        <v>0</v>
      </c>
      <c r="M36" s="154">
        <v>0</v>
      </c>
      <c r="N36" s="154">
        <v>0</v>
      </c>
      <c r="O36" s="154">
        <v>0</v>
      </c>
      <c r="P36" s="154">
        <v>0</v>
      </c>
      <c r="Q36" s="154">
        <v>0</v>
      </c>
      <c r="R36" s="154">
        <v>0</v>
      </c>
      <c r="S36" s="154">
        <v>0</v>
      </c>
      <c r="T36" s="154">
        <v>0</v>
      </c>
      <c r="U36" s="154">
        <v>0</v>
      </c>
      <c r="V36" s="154">
        <v>0</v>
      </c>
      <c r="W36" s="154">
        <v>0</v>
      </c>
      <c r="X36" s="154">
        <v>0</v>
      </c>
      <c r="Y36" s="154">
        <v>0</v>
      </c>
      <c r="Z36" s="154">
        <v>0</v>
      </c>
      <c r="AA36" s="154">
        <v>0</v>
      </c>
      <c r="AB36" s="154">
        <v>0</v>
      </c>
      <c r="AC36" s="154">
        <v>0</v>
      </c>
      <c r="AD36" s="154">
        <v>0</v>
      </c>
      <c r="AE36" s="154">
        <v>-3.3404797203542498</v>
      </c>
      <c r="AF36" s="154">
        <v>-5.7894131171272303E-2</v>
      </c>
      <c r="AG36" s="154">
        <v>-0.25342142032184201</v>
      </c>
      <c r="AH36" s="154">
        <v>0</v>
      </c>
      <c r="AI36" s="154">
        <v>0</v>
      </c>
      <c r="AJ36" s="154">
        <v>0</v>
      </c>
      <c r="AK36" s="154">
        <v>0</v>
      </c>
      <c r="AL36" s="154">
        <v>0</v>
      </c>
      <c r="AM36" s="154">
        <v>0</v>
      </c>
      <c r="AN36" s="154">
        <v>0</v>
      </c>
      <c r="AO36" s="154">
        <v>0</v>
      </c>
      <c r="AP36" s="154">
        <v>0</v>
      </c>
      <c r="AQ36" s="154">
        <v>0</v>
      </c>
      <c r="AR36" s="154">
        <v>0</v>
      </c>
      <c r="AS36" s="154">
        <v>0</v>
      </c>
      <c r="AT36" s="155">
        <v>0</v>
      </c>
    </row>
    <row r="37" spans="2:46" ht="12" customHeight="1" x14ac:dyDescent="0.3">
      <c r="B37" s="153" t="s">
        <v>43</v>
      </c>
      <c r="C37" s="154" t="s">
        <v>40</v>
      </c>
      <c r="D37" s="154" t="s">
        <v>25</v>
      </c>
      <c r="E37" s="154" t="s">
        <v>25</v>
      </c>
      <c r="F37" s="154" t="s">
        <v>85</v>
      </c>
      <c r="G37" s="154" t="s">
        <v>34</v>
      </c>
      <c r="H37" s="154" t="s">
        <v>81</v>
      </c>
      <c r="I37" s="154" t="s">
        <v>25</v>
      </c>
      <c r="J37" s="154">
        <v>0.56000000000000005</v>
      </c>
      <c r="K37" s="154">
        <v>0</v>
      </c>
      <c r="L37" s="154">
        <v>0</v>
      </c>
      <c r="M37" s="154">
        <v>0</v>
      </c>
      <c r="N37" s="154">
        <v>0</v>
      </c>
      <c r="O37" s="154">
        <v>0</v>
      </c>
      <c r="P37" s="154">
        <v>0</v>
      </c>
      <c r="Q37" s="154">
        <v>0</v>
      </c>
      <c r="R37" s="154">
        <v>0</v>
      </c>
      <c r="S37" s="154">
        <v>0</v>
      </c>
      <c r="T37" s="154">
        <v>0.46891466148573502</v>
      </c>
      <c r="U37" s="154">
        <v>9.4646824606477206E-2</v>
      </c>
      <c r="V37" s="154">
        <v>0</v>
      </c>
      <c r="W37" s="154">
        <v>0</v>
      </c>
      <c r="X37" s="154">
        <v>0</v>
      </c>
      <c r="Y37" s="154">
        <v>0</v>
      </c>
      <c r="Z37" s="154">
        <v>0</v>
      </c>
      <c r="AA37" s="154">
        <v>0</v>
      </c>
      <c r="AB37" s="154">
        <v>0</v>
      </c>
      <c r="AC37" s="154">
        <v>0</v>
      </c>
      <c r="AD37" s="154">
        <v>0</v>
      </c>
      <c r="AE37" s="154">
        <v>0</v>
      </c>
      <c r="AF37" s="154">
        <v>0</v>
      </c>
      <c r="AG37" s="154">
        <v>0</v>
      </c>
      <c r="AH37" s="154">
        <v>0</v>
      </c>
      <c r="AI37" s="154">
        <v>0</v>
      </c>
      <c r="AJ37" s="154">
        <v>0</v>
      </c>
      <c r="AK37" s="154">
        <v>0</v>
      </c>
      <c r="AL37" s="154">
        <v>0</v>
      </c>
      <c r="AM37" s="154">
        <v>0</v>
      </c>
      <c r="AN37" s="154">
        <v>0</v>
      </c>
      <c r="AO37" s="154">
        <v>0</v>
      </c>
      <c r="AP37" s="154">
        <v>0</v>
      </c>
      <c r="AQ37" s="154">
        <v>0</v>
      </c>
      <c r="AR37" s="154">
        <v>0</v>
      </c>
      <c r="AS37" s="154">
        <v>0</v>
      </c>
      <c r="AT37" s="155">
        <v>0</v>
      </c>
    </row>
    <row r="38" spans="2:46" ht="12" customHeight="1" x14ac:dyDescent="0.3">
      <c r="B38" s="153" t="s">
        <v>43</v>
      </c>
      <c r="C38" s="154" t="s">
        <v>40</v>
      </c>
      <c r="D38" s="154" t="s">
        <v>25</v>
      </c>
      <c r="E38" s="154" t="s">
        <v>25</v>
      </c>
      <c r="F38" s="154" t="s">
        <v>85</v>
      </c>
      <c r="G38" s="154" t="s">
        <v>35</v>
      </c>
      <c r="H38" s="154" t="s">
        <v>78</v>
      </c>
      <c r="I38" s="154" t="s">
        <v>25</v>
      </c>
      <c r="J38" s="154">
        <v>-3.65</v>
      </c>
      <c r="K38" s="154">
        <v>0</v>
      </c>
      <c r="L38" s="154">
        <v>0</v>
      </c>
      <c r="M38" s="154">
        <v>0</v>
      </c>
      <c r="N38" s="154">
        <v>0</v>
      </c>
      <c r="O38" s="154">
        <v>0</v>
      </c>
      <c r="P38" s="154">
        <v>0</v>
      </c>
      <c r="Q38" s="154">
        <v>0</v>
      </c>
      <c r="R38" s="154">
        <v>0</v>
      </c>
      <c r="S38" s="154">
        <v>0</v>
      </c>
      <c r="T38" s="154">
        <v>0</v>
      </c>
      <c r="U38" s="154">
        <v>0</v>
      </c>
      <c r="V38" s="154">
        <v>0</v>
      </c>
      <c r="W38" s="154">
        <v>0</v>
      </c>
      <c r="X38" s="154">
        <v>0</v>
      </c>
      <c r="Y38" s="154">
        <v>0</v>
      </c>
      <c r="Z38" s="154">
        <v>0</v>
      </c>
      <c r="AA38" s="154">
        <v>0</v>
      </c>
      <c r="AB38" s="154">
        <v>0</v>
      </c>
      <c r="AC38" s="154">
        <v>0</v>
      </c>
      <c r="AD38" s="154">
        <v>0</v>
      </c>
      <c r="AE38" s="154">
        <v>-3.3404797203542498</v>
      </c>
      <c r="AF38" s="154">
        <v>-5.7894131171272303E-2</v>
      </c>
      <c r="AG38" s="154">
        <v>-0.25342142032184201</v>
      </c>
      <c r="AH38" s="154">
        <v>0</v>
      </c>
      <c r="AI38" s="154">
        <v>0</v>
      </c>
      <c r="AJ38" s="154">
        <v>0</v>
      </c>
      <c r="AK38" s="154">
        <v>0</v>
      </c>
      <c r="AL38" s="154">
        <v>0</v>
      </c>
      <c r="AM38" s="154">
        <v>0</v>
      </c>
      <c r="AN38" s="154">
        <v>0</v>
      </c>
      <c r="AO38" s="154">
        <v>0</v>
      </c>
      <c r="AP38" s="154">
        <v>0</v>
      </c>
      <c r="AQ38" s="154">
        <v>0</v>
      </c>
      <c r="AR38" s="154">
        <v>0</v>
      </c>
      <c r="AS38" s="154">
        <v>0</v>
      </c>
      <c r="AT38" s="155">
        <v>0</v>
      </c>
    </row>
    <row r="39" spans="2:46" ht="12" customHeight="1" x14ac:dyDescent="0.3">
      <c r="B39" s="153" t="s">
        <v>43</v>
      </c>
      <c r="C39" s="154" t="s">
        <v>40</v>
      </c>
      <c r="D39" s="154" t="s">
        <v>25</v>
      </c>
      <c r="E39" s="154" t="s">
        <v>25</v>
      </c>
      <c r="F39" s="154" t="s">
        <v>85</v>
      </c>
      <c r="G39" s="154" t="s">
        <v>35</v>
      </c>
      <c r="H39" s="154" t="s">
        <v>81</v>
      </c>
      <c r="I39" s="154" t="s">
        <v>25</v>
      </c>
      <c r="J39" s="154">
        <v>0.53</v>
      </c>
      <c r="K39" s="154">
        <v>0</v>
      </c>
      <c r="L39" s="154">
        <v>0</v>
      </c>
      <c r="M39" s="154">
        <v>0</v>
      </c>
      <c r="N39" s="154">
        <v>0</v>
      </c>
      <c r="O39" s="154">
        <v>0</v>
      </c>
      <c r="P39" s="154">
        <v>0</v>
      </c>
      <c r="Q39" s="154">
        <v>0</v>
      </c>
      <c r="R39" s="154">
        <v>0</v>
      </c>
      <c r="S39" s="154">
        <v>0</v>
      </c>
      <c r="T39" s="154">
        <v>0.44066869275151999</v>
      </c>
      <c r="U39" s="154">
        <v>8.9653770086335793E-2</v>
      </c>
      <c r="V39" s="154">
        <v>0</v>
      </c>
      <c r="W39" s="154">
        <v>0</v>
      </c>
      <c r="X39" s="154">
        <v>0</v>
      </c>
      <c r="Y39" s="154">
        <v>0</v>
      </c>
      <c r="Z39" s="154">
        <v>0</v>
      </c>
      <c r="AA39" s="154">
        <v>0</v>
      </c>
      <c r="AB39" s="154">
        <v>0</v>
      </c>
      <c r="AC39" s="154">
        <v>0</v>
      </c>
      <c r="AD39" s="154">
        <v>0</v>
      </c>
      <c r="AE39" s="154">
        <v>0</v>
      </c>
      <c r="AF39" s="154">
        <v>0</v>
      </c>
      <c r="AG39" s="154">
        <v>0</v>
      </c>
      <c r="AH39" s="154">
        <v>0</v>
      </c>
      <c r="AI39" s="154">
        <v>0</v>
      </c>
      <c r="AJ39" s="154">
        <v>0</v>
      </c>
      <c r="AK39" s="154">
        <v>0</v>
      </c>
      <c r="AL39" s="154">
        <v>0</v>
      </c>
      <c r="AM39" s="154">
        <v>0</v>
      </c>
      <c r="AN39" s="154">
        <v>0</v>
      </c>
      <c r="AO39" s="154">
        <v>0</v>
      </c>
      <c r="AP39" s="154">
        <v>0</v>
      </c>
      <c r="AQ39" s="154">
        <v>0</v>
      </c>
      <c r="AR39" s="154">
        <v>0</v>
      </c>
      <c r="AS39" s="154">
        <v>0</v>
      </c>
      <c r="AT39" s="155">
        <v>0</v>
      </c>
    </row>
    <row r="40" spans="2:46" ht="12" customHeight="1" x14ac:dyDescent="0.3">
      <c r="B40" s="153" t="s">
        <v>43</v>
      </c>
      <c r="C40" s="154" t="s">
        <v>40</v>
      </c>
      <c r="D40" s="154" t="s">
        <v>25</v>
      </c>
      <c r="E40" s="154" t="s">
        <v>25</v>
      </c>
      <c r="F40" s="154" t="s">
        <v>25</v>
      </c>
      <c r="G40" s="154" t="s">
        <v>34</v>
      </c>
      <c r="H40" s="154" t="s">
        <v>78</v>
      </c>
      <c r="I40" s="154" t="s">
        <v>25</v>
      </c>
      <c r="J40" s="154">
        <v>25.18</v>
      </c>
      <c r="K40" s="154">
        <v>-49.04</v>
      </c>
      <c r="L40" s="154">
        <v>0.46661272494638101</v>
      </c>
      <c r="M40" s="154">
        <v>0</v>
      </c>
      <c r="N40" s="154">
        <v>0</v>
      </c>
      <c r="O40" s="154">
        <v>0</v>
      </c>
      <c r="P40" s="154">
        <v>0</v>
      </c>
      <c r="Q40" s="154">
        <v>23.111514198620501</v>
      </c>
      <c r="R40" s="154">
        <v>5.2554388970379096</v>
      </c>
      <c r="S40" s="154">
        <v>0</v>
      </c>
      <c r="T40" s="154">
        <v>0</v>
      </c>
      <c r="U40" s="154">
        <v>0</v>
      </c>
      <c r="V40" s="154">
        <v>0</v>
      </c>
      <c r="W40" s="154">
        <v>0</v>
      </c>
      <c r="X40" s="154">
        <v>0</v>
      </c>
      <c r="Y40" s="154">
        <v>0</v>
      </c>
      <c r="Z40" s="154">
        <v>0</v>
      </c>
      <c r="AA40" s="154">
        <v>0</v>
      </c>
      <c r="AB40" s="154">
        <v>0</v>
      </c>
      <c r="AC40" s="154">
        <v>0</v>
      </c>
      <c r="AD40" s="154">
        <v>0</v>
      </c>
      <c r="AE40" s="154">
        <v>-3.3404797203542498</v>
      </c>
      <c r="AF40" s="154">
        <v>-5.7894131171272303E-2</v>
      </c>
      <c r="AG40" s="154">
        <v>-0.25342142032184201</v>
      </c>
      <c r="AH40" s="154">
        <v>0</v>
      </c>
      <c r="AI40" s="154">
        <v>0.95108225955764603</v>
      </c>
      <c r="AJ40" s="154">
        <v>0</v>
      </c>
      <c r="AK40" s="154">
        <v>0</v>
      </c>
      <c r="AL40" s="154">
        <v>-1.9135572147375699</v>
      </c>
      <c r="AM40" s="154">
        <v>9.5250556035339703E-2</v>
      </c>
      <c r="AN40" s="154">
        <v>-49.031906566847198</v>
      </c>
      <c r="AO40" s="154">
        <v>0.83760882238776402</v>
      </c>
      <c r="AP40" s="154">
        <v>0.48568457170811102</v>
      </c>
      <c r="AQ40" s="154">
        <v>0</v>
      </c>
      <c r="AR40" s="154">
        <v>0</v>
      </c>
      <c r="AS40" s="154">
        <v>0</v>
      </c>
      <c r="AT40" s="155">
        <v>-0.46853071533998097</v>
      </c>
    </row>
    <row r="41" spans="2:46" ht="12" customHeight="1" x14ac:dyDescent="0.3">
      <c r="B41" s="153" t="s">
        <v>43</v>
      </c>
      <c r="C41" s="154" t="s">
        <v>40</v>
      </c>
      <c r="D41" s="154" t="s">
        <v>25</v>
      </c>
      <c r="E41" s="154" t="s">
        <v>25</v>
      </c>
      <c r="F41" s="154" t="s">
        <v>25</v>
      </c>
      <c r="G41" s="154" t="s">
        <v>34</v>
      </c>
      <c r="H41" s="154" t="s">
        <v>81</v>
      </c>
      <c r="I41" s="154" t="s">
        <v>25</v>
      </c>
      <c r="J41" s="154">
        <v>0.56000000000000005</v>
      </c>
      <c r="K41" s="154">
        <v>0</v>
      </c>
      <c r="L41" s="154">
        <v>0</v>
      </c>
      <c r="M41" s="154">
        <v>0</v>
      </c>
      <c r="N41" s="154">
        <v>0</v>
      </c>
      <c r="O41" s="154">
        <v>0</v>
      </c>
      <c r="P41" s="154">
        <v>0</v>
      </c>
      <c r="Q41" s="154">
        <v>0</v>
      </c>
      <c r="R41" s="154">
        <v>0</v>
      </c>
      <c r="S41" s="154">
        <v>0</v>
      </c>
      <c r="T41" s="154">
        <v>0.46891466148573502</v>
      </c>
      <c r="U41" s="154">
        <v>9.4646824606477206E-2</v>
      </c>
      <c r="V41" s="154">
        <v>0</v>
      </c>
      <c r="W41" s="154">
        <v>0</v>
      </c>
      <c r="X41" s="154">
        <v>0</v>
      </c>
      <c r="Y41" s="154">
        <v>0</v>
      </c>
      <c r="Z41" s="154">
        <v>0</v>
      </c>
      <c r="AA41" s="154">
        <v>0</v>
      </c>
      <c r="AB41" s="154">
        <v>0</v>
      </c>
      <c r="AC41" s="154">
        <v>0</v>
      </c>
      <c r="AD41" s="154">
        <v>0</v>
      </c>
      <c r="AE41" s="154">
        <v>0</v>
      </c>
      <c r="AF41" s="154">
        <v>0</v>
      </c>
      <c r="AG41" s="154">
        <v>0</v>
      </c>
      <c r="AH41" s="154">
        <v>0</v>
      </c>
      <c r="AI41" s="154">
        <v>0</v>
      </c>
      <c r="AJ41" s="154">
        <v>0</v>
      </c>
      <c r="AK41" s="154">
        <v>0</v>
      </c>
      <c r="AL41" s="154">
        <v>0</v>
      </c>
      <c r="AM41" s="154">
        <v>0</v>
      </c>
      <c r="AN41" s="154">
        <v>0</v>
      </c>
      <c r="AO41" s="154">
        <v>0</v>
      </c>
      <c r="AP41" s="154">
        <v>0</v>
      </c>
      <c r="AQ41" s="154">
        <v>0</v>
      </c>
      <c r="AR41" s="154">
        <v>0</v>
      </c>
      <c r="AS41" s="154">
        <v>0</v>
      </c>
      <c r="AT41" s="155">
        <v>0</v>
      </c>
    </row>
    <row r="42" spans="2:46" ht="12" customHeight="1" x14ac:dyDescent="0.3">
      <c r="B42" s="153" t="s">
        <v>43</v>
      </c>
      <c r="C42" s="154" t="s">
        <v>40</v>
      </c>
      <c r="D42" s="154" t="s">
        <v>25</v>
      </c>
      <c r="E42" s="154" t="s">
        <v>25</v>
      </c>
      <c r="F42" s="154" t="s">
        <v>25</v>
      </c>
      <c r="G42" s="154" t="s">
        <v>35</v>
      </c>
      <c r="H42" s="154" t="s">
        <v>78</v>
      </c>
      <c r="I42" s="154" t="s">
        <v>25</v>
      </c>
      <c r="J42" s="154">
        <v>25.18</v>
      </c>
      <c r="K42" s="154">
        <v>-28.52</v>
      </c>
      <c r="L42" s="154">
        <v>0.46661272494638101</v>
      </c>
      <c r="M42" s="154">
        <v>0</v>
      </c>
      <c r="N42" s="154">
        <v>0</v>
      </c>
      <c r="O42" s="154">
        <v>0</v>
      </c>
      <c r="P42" s="154">
        <v>0</v>
      </c>
      <c r="Q42" s="154">
        <v>23.111514198620501</v>
      </c>
      <c r="R42" s="154">
        <v>5.2554388970379096</v>
      </c>
      <c r="S42" s="154">
        <v>0</v>
      </c>
      <c r="T42" s="154">
        <v>0</v>
      </c>
      <c r="U42" s="154">
        <v>0</v>
      </c>
      <c r="V42" s="154">
        <v>0</v>
      </c>
      <c r="W42" s="154">
        <v>0</v>
      </c>
      <c r="X42" s="154">
        <v>0</v>
      </c>
      <c r="Y42" s="154">
        <v>0</v>
      </c>
      <c r="Z42" s="154">
        <v>0</v>
      </c>
      <c r="AA42" s="154">
        <v>0</v>
      </c>
      <c r="AB42" s="154">
        <v>0</v>
      </c>
      <c r="AC42" s="154">
        <v>0</v>
      </c>
      <c r="AD42" s="154">
        <v>0</v>
      </c>
      <c r="AE42" s="154">
        <v>-3.3404797203542498</v>
      </c>
      <c r="AF42" s="154">
        <v>-5.7894131171272303E-2</v>
      </c>
      <c r="AG42" s="154">
        <v>-0.25342142032184201</v>
      </c>
      <c r="AH42" s="154">
        <v>0</v>
      </c>
      <c r="AI42" s="154">
        <v>0.95108225955764603</v>
      </c>
      <c r="AJ42" s="154">
        <v>0</v>
      </c>
      <c r="AK42" s="154">
        <v>0</v>
      </c>
      <c r="AL42" s="154">
        <v>-1.9135572147375699</v>
      </c>
      <c r="AM42" s="154">
        <v>9.5250556035339703E-2</v>
      </c>
      <c r="AN42" s="154">
        <v>-28.5069224225856</v>
      </c>
      <c r="AO42" s="154">
        <v>0.83760882238776402</v>
      </c>
      <c r="AP42" s="154">
        <v>0.48568457170811102</v>
      </c>
      <c r="AQ42" s="154">
        <v>0</v>
      </c>
      <c r="AR42" s="154">
        <v>0</v>
      </c>
      <c r="AS42" s="154">
        <v>0</v>
      </c>
      <c r="AT42" s="155">
        <v>-0.46853071533998097</v>
      </c>
    </row>
    <row r="43" spans="2:46" ht="12" customHeight="1" x14ac:dyDescent="0.3">
      <c r="B43" s="153" t="s">
        <v>43</v>
      </c>
      <c r="C43" s="154" t="s">
        <v>40</v>
      </c>
      <c r="D43" s="154" t="s">
        <v>25</v>
      </c>
      <c r="E43" s="154" t="s">
        <v>25</v>
      </c>
      <c r="F43" s="154" t="s">
        <v>25</v>
      </c>
      <c r="G43" s="154" t="s">
        <v>35</v>
      </c>
      <c r="H43" s="154" t="s">
        <v>81</v>
      </c>
      <c r="I43" s="154" t="s">
        <v>25</v>
      </c>
      <c r="J43" s="154">
        <v>0.53</v>
      </c>
      <c r="K43" s="154">
        <v>0</v>
      </c>
      <c r="L43" s="154">
        <v>0</v>
      </c>
      <c r="M43" s="154">
        <v>0</v>
      </c>
      <c r="N43" s="154">
        <v>0</v>
      </c>
      <c r="O43" s="154">
        <v>0</v>
      </c>
      <c r="P43" s="154">
        <v>0</v>
      </c>
      <c r="Q43" s="154">
        <v>0</v>
      </c>
      <c r="R43" s="154">
        <v>0</v>
      </c>
      <c r="S43" s="154">
        <v>0</v>
      </c>
      <c r="T43" s="154">
        <v>0.44066869275151999</v>
      </c>
      <c r="U43" s="154">
        <v>8.9653770086335793E-2</v>
      </c>
      <c r="V43" s="154">
        <v>0</v>
      </c>
      <c r="W43" s="154">
        <v>0</v>
      </c>
      <c r="X43" s="154">
        <v>0</v>
      </c>
      <c r="Y43" s="154">
        <v>0</v>
      </c>
      <c r="Z43" s="154">
        <v>0</v>
      </c>
      <c r="AA43" s="154">
        <v>0</v>
      </c>
      <c r="AB43" s="154">
        <v>0</v>
      </c>
      <c r="AC43" s="154">
        <v>0</v>
      </c>
      <c r="AD43" s="154">
        <v>0</v>
      </c>
      <c r="AE43" s="154">
        <v>0</v>
      </c>
      <c r="AF43" s="154">
        <v>0</v>
      </c>
      <c r="AG43" s="154">
        <v>0</v>
      </c>
      <c r="AH43" s="154">
        <v>0</v>
      </c>
      <c r="AI43" s="154">
        <v>0</v>
      </c>
      <c r="AJ43" s="154">
        <v>0</v>
      </c>
      <c r="AK43" s="154">
        <v>0</v>
      </c>
      <c r="AL43" s="154">
        <v>0</v>
      </c>
      <c r="AM43" s="154">
        <v>0</v>
      </c>
      <c r="AN43" s="154">
        <v>0</v>
      </c>
      <c r="AO43" s="154">
        <v>0</v>
      </c>
      <c r="AP43" s="154">
        <v>0</v>
      </c>
      <c r="AQ43" s="154">
        <v>0</v>
      </c>
      <c r="AR43" s="154">
        <v>0</v>
      </c>
      <c r="AS43" s="154">
        <v>0</v>
      </c>
      <c r="AT43" s="155">
        <v>0</v>
      </c>
    </row>
    <row r="44" spans="2:46" ht="12" customHeight="1" x14ac:dyDescent="0.3">
      <c r="B44" s="153" t="s">
        <v>43</v>
      </c>
      <c r="C44" s="154" t="s">
        <v>23</v>
      </c>
      <c r="D44" s="154" t="s">
        <v>25</v>
      </c>
      <c r="E44" s="154" t="s">
        <v>25</v>
      </c>
      <c r="F44" s="154" t="s">
        <v>25</v>
      </c>
      <c r="G44" s="154" t="s">
        <v>25</v>
      </c>
      <c r="H44" s="154" t="s">
        <v>78</v>
      </c>
      <c r="I44" s="154" t="s">
        <v>25</v>
      </c>
      <c r="J44" s="154">
        <v>25.18</v>
      </c>
      <c r="K44" s="154">
        <v>-30.23</v>
      </c>
      <c r="L44" s="154">
        <v>0.46661272494638101</v>
      </c>
      <c r="M44" s="154">
        <v>0</v>
      </c>
      <c r="N44" s="154">
        <v>0</v>
      </c>
      <c r="O44" s="154">
        <v>0</v>
      </c>
      <c r="P44" s="154">
        <v>0</v>
      </c>
      <c r="Q44" s="154">
        <v>23.111514198620501</v>
      </c>
      <c r="R44" s="154">
        <v>5.2554388970379096</v>
      </c>
      <c r="S44" s="154">
        <v>0</v>
      </c>
      <c r="T44" s="154">
        <v>0</v>
      </c>
      <c r="U44" s="154">
        <v>0</v>
      </c>
      <c r="V44" s="154">
        <v>0</v>
      </c>
      <c r="W44" s="154">
        <v>0</v>
      </c>
      <c r="X44" s="154">
        <v>0</v>
      </c>
      <c r="Y44" s="154">
        <v>0</v>
      </c>
      <c r="Z44" s="154">
        <v>0</v>
      </c>
      <c r="AA44" s="154">
        <v>0</v>
      </c>
      <c r="AB44" s="154">
        <v>0</v>
      </c>
      <c r="AC44" s="154">
        <v>0</v>
      </c>
      <c r="AD44" s="154">
        <v>0</v>
      </c>
      <c r="AE44" s="154">
        <v>-3.3404797203542498</v>
      </c>
      <c r="AF44" s="154">
        <v>-5.7894131171272303E-2</v>
      </c>
      <c r="AG44" s="154">
        <v>-0.25342142032184201</v>
      </c>
      <c r="AH44" s="154">
        <v>0</v>
      </c>
      <c r="AI44" s="154">
        <v>0.95108225955764603</v>
      </c>
      <c r="AJ44" s="154">
        <v>0</v>
      </c>
      <c r="AK44" s="154">
        <v>0</v>
      </c>
      <c r="AL44" s="154">
        <v>-1.9135572147375699</v>
      </c>
      <c r="AM44" s="154">
        <v>9.5250556035339703E-2</v>
      </c>
      <c r="AN44" s="154">
        <v>-30.217337767940698</v>
      </c>
      <c r="AO44" s="154">
        <v>0.83760882238776402</v>
      </c>
      <c r="AP44" s="154">
        <v>0.48568457170811102</v>
      </c>
      <c r="AQ44" s="154">
        <v>0</v>
      </c>
      <c r="AR44" s="154">
        <v>0</v>
      </c>
      <c r="AS44" s="154">
        <v>0</v>
      </c>
      <c r="AT44" s="155">
        <v>-0.46853071533998097</v>
      </c>
    </row>
    <row r="45" spans="2:46" ht="12" customHeight="1" x14ac:dyDescent="0.3">
      <c r="B45" s="153" t="s">
        <v>43</v>
      </c>
      <c r="C45" s="154" t="s">
        <v>23</v>
      </c>
      <c r="D45" s="154" t="s">
        <v>25</v>
      </c>
      <c r="E45" s="154" t="s">
        <v>25</v>
      </c>
      <c r="F45" s="154" t="s">
        <v>25</v>
      </c>
      <c r="G45" s="154" t="s">
        <v>25</v>
      </c>
      <c r="H45" s="154" t="s">
        <v>81</v>
      </c>
      <c r="I45" s="154" t="s">
        <v>25</v>
      </c>
      <c r="J45" s="154">
        <v>0.94</v>
      </c>
      <c r="K45" s="154">
        <v>0</v>
      </c>
      <c r="L45" s="154">
        <v>0</v>
      </c>
      <c r="M45" s="154">
        <v>0</v>
      </c>
      <c r="N45" s="154">
        <v>0</v>
      </c>
      <c r="O45" s="154">
        <v>0</v>
      </c>
      <c r="P45" s="154">
        <v>0</v>
      </c>
      <c r="Q45" s="154">
        <v>0</v>
      </c>
      <c r="R45" s="154">
        <v>0</v>
      </c>
      <c r="S45" s="154">
        <v>0</v>
      </c>
      <c r="T45" s="154">
        <v>0.77829207897972996</v>
      </c>
      <c r="U45" s="154">
        <v>0.15779948380299899</v>
      </c>
      <c r="V45" s="154">
        <v>0</v>
      </c>
      <c r="W45" s="154">
        <v>0</v>
      </c>
      <c r="X45" s="154">
        <v>0</v>
      </c>
      <c r="Y45" s="154">
        <v>0</v>
      </c>
      <c r="Z45" s="154">
        <v>0</v>
      </c>
      <c r="AA45" s="154">
        <v>0</v>
      </c>
      <c r="AB45" s="154">
        <v>0</v>
      </c>
      <c r="AC45" s="154">
        <v>0</v>
      </c>
      <c r="AD45" s="154">
        <v>0</v>
      </c>
      <c r="AE45" s="154">
        <v>0</v>
      </c>
      <c r="AF45" s="154">
        <v>0</v>
      </c>
      <c r="AG45" s="154">
        <v>0</v>
      </c>
      <c r="AH45" s="154">
        <v>0</v>
      </c>
      <c r="AI45" s="154">
        <v>0</v>
      </c>
      <c r="AJ45" s="154">
        <v>0</v>
      </c>
      <c r="AK45" s="154">
        <v>0</v>
      </c>
      <c r="AL45" s="154">
        <v>0</v>
      </c>
      <c r="AM45" s="154">
        <v>0</v>
      </c>
      <c r="AN45" s="154">
        <v>0</v>
      </c>
      <c r="AO45" s="154">
        <v>0</v>
      </c>
      <c r="AP45" s="154">
        <v>0</v>
      </c>
      <c r="AQ45" s="154">
        <v>0</v>
      </c>
      <c r="AR45" s="154">
        <v>0</v>
      </c>
      <c r="AS45" s="154">
        <v>0</v>
      </c>
      <c r="AT45" s="155">
        <v>0</v>
      </c>
    </row>
    <row r="46" spans="2:46" ht="12" customHeight="1" x14ac:dyDescent="0.3">
      <c r="B46" s="153" t="s">
        <v>43</v>
      </c>
      <c r="C46" s="154" t="s">
        <v>41</v>
      </c>
      <c r="D46" s="154" t="s">
        <v>25</v>
      </c>
      <c r="E46" s="154" t="s">
        <v>25</v>
      </c>
      <c r="F46" s="154" t="s">
        <v>85</v>
      </c>
      <c r="G46" s="154" t="s">
        <v>34</v>
      </c>
      <c r="H46" s="154" t="s">
        <v>78</v>
      </c>
      <c r="I46" s="154" t="s">
        <v>25</v>
      </c>
      <c r="J46" s="154">
        <v>9.9</v>
      </c>
      <c r="K46" s="154">
        <v>0</v>
      </c>
      <c r="L46" s="154">
        <v>0</v>
      </c>
      <c r="M46" s="154">
        <v>0</v>
      </c>
      <c r="N46" s="154">
        <v>0</v>
      </c>
      <c r="O46" s="154">
        <v>0</v>
      </c>
      <c r="P46" s="154">
        <v>0</v>
      </c>
      <c r="Q46" s="154">
        <v>0</v>
      </c>
      <c r="R46" s="154">
        <v>0</v>
      </c>
      <c r="S46" s="154">
        <v>0</v>
      </c>
      <c r="T46" s="154">
        <v>11.2773678859105</v>
      </c>
      <c r="U46" s="154">
        <v>2.2762008289667199</v>
      </c>
      <c r="V46" s="154">
        <v>0</v>
      </c>
      <c r="W46" s="154">
        <v>0</v>
      </c>
      <c r="X46" s="154">
        <v>0</v>
      </c>
      <c r="Y46" s="154">
        <v>0</v>
      </c>
      <c r="Z46" s="154">
        <v>0</v>
      </c>
      <c r="AA46" s="154">
        <v>0</v>
      </c>
      <c r="AB46" s="154">
        <v>0</v>
      </c>
      <c r="AC46" s="154">
        <v>0</v>
      </c>
      <c r="AD46" s="154">
        <v>0</v>
      </c>
      <c r="AE46" s="154">
        <v>-3.3404797203542498</v>
      </c>
      <c r="AF46" s="154">
        <v>-5.7894131171272303E-2</v>
      </c>
      <c r="AG46" s="154">
        <v>-0.25342142032184201</v>
      </c>
      <c r="AH46" s="154">
        <v>0</v>
      </c>
      <c r="AI46" s="154">
        <v>0</v>
      </c>
      <c r="AJ46" s="154">
        <v>0</v>
      </c>
      <c r="AK46" s="154">
        <v>0</v>
      </c>
      <c r="AL46" s="154">
        <v>0</v>
      </c>
      <c r="AM46" s="154">
        <v>0</v>
      </c>
      <c r="AN46" s="154">
        <v>0</v>
      </c>
      <c r="AO46" s="154">
        <v>0</v>
      </c>
      <c r="AP46" s="154">
        <v>0</v>
      </c>
      <c r="AQ46" s="154">
        <v>0</v>
      </c>
      <c r="AR46" s="154">
        <v>0</v>
      </c>
      <c r="AS46" s="154">
        <v>0</v>
      </c>
      <c r="AT46" s="155">
        <v>0</v>
      </c>
    </row>
    <row r="47" spans="2:46" ht="12" customHeight="1" x14ac:dyDescent="0.3">
      <c r="B47" s="153" t="s">
        <v>43</v>
      </c>
      <c r="C47" s="154" t="s">
        <v>41</v>
      </c>
      <c r="D47" s="154" t="s">
        <v>25</v>
      </c>
      <c r="E47" s="154" t="s">
        <v>25</v>
      </c>
      <c r="F47" s="154" t="s">
        <v>85</v>
      </c>
      <c r="G47" s="154" t="s">
        <v>25</v>
      </c>
      <c r="H47" s="154" t="s">
        <v>81</v>
      </c>
      <c r="I47" s="154" t="s">
        <v>25</v>
      </c>
      <c r="J47" s="154">
        <v>0.53</v>
      </c>
      <c r="K47" s="154">
        <v>0</v>
      </c>
      <c r="L47" s="154">
        <v>0</v>
      </c>
      <c r="M47" s="154">
        <v>0</v>
      </c>
      <c r="N47" s="154">
        <v>0</v>
      </c>
      <c r="O47" s="154">
        <v>0</v>
      </c>
      <c r="P47" s="154">
        <v>0</v>
      </c>
      <c r="Q47" s="154">
        <v>0</v>
      </c>
      <c r="R47" s="154">
        <v>0</v>
      </c>
      <c r="S47" s="154">
        <v>0</v>
      </c>
      <c r="T47" s="154">
        <v>0.44066869275151999</v>
      </c>
      <c r="U47" s="154">
        <v>8.9653770086335793E-2</v>
      </c>
      <c r="V47" s="154">
        <v>0</v>
      </c>
      <c r="W47" s="154">
        <v>0</v>
      </c>
      <c r="X47" s="154">
        <v>0</v>
      </c>
      <c r="Y47" s="154">
        <v>0</v>
      </c>
      <c r="Z47" s="154">
        <v>0</v>
      </c>
      <c r="AA47" s="154">
        <v>0</v>
      </c>
      <c r="AB47" s="154">
        <v>0</v>
      </c>
      <c r="AC47" s="154">
        <v>0</v>
      </c>
      <c r="AD47" s="154">
        <v>0</v>
      </c>
      <c r="AE47" s="154">
        <v>0</v>
      </c>
      <c r="AF47" s="154">
        <v>0</v>
      </c>
      <c r="AG47" s="154">
        <v>0</v>
      </c>
      <c r="AH47" s="154">
        <v>0</v>
      </c>
      <c r="AI47" s="154">
        <v>0</v>
      </c>
      <c r="AJ47" s="154">
        <v>0</v>
      </c>
      <c r="AK47" s="154">
        <v>0</v>
      </c>
      <c r="AL47" s="154">
        <v>0</v>
      </c>
      <c r="AM47" s="154">
        <v>0</v>
      </c>
      <c r="AN47" s="154">
        <v>0</v>
      </c>
      <c r="AO47" s="154">
        <v>0</v>
      </c>
      <c r="AP47" s="154">
        <v>0</v>
      </c>
      <c r="AQ47" s="154">
        <v>0</v>
      </c>
      <c r="AR47" s="154">
        <v>0</v>
      </c>
      <c r="AS47" s="154">
        <v>0</v>
      </c>
      <c r="AT47" s="155">
        <v>0</v>
      </c>
    </row>
    <row r="48" spans="2:46" ht="12" customHeight="1" x14ac:dyDescent="0.3">
      <c r="B48" s="153" t="s">
        <v>43</v>
      </c>
      <c r="C48" s="154" t="s">
        <v>41</v>
      </c>
      <c r="D48" s="154" t="s">
        <v>25</v>
      </c>
      <c r="E48" s="154" t="s">
        <v>25</v>
      </c>
      <c r="F48" s="154" t="s">
        <v>85</v>
      </c>
      <c r="G48" s="154" t="s">
        <v>35</v>
      </c>
      <c r="H48" s="154" t="s">
        <v>78</v>
      </c>
      <c r="I48" s="154" t="s">
        <v>25</v>
      </c>
      <c r="J48" s="154">
        <v>-3.65</v>
      </c>
      <c r="K48" s="154">
        <v>0</v>
      </c>
      <c r="L48" s="154">
        <v>0</v>
      </c>
      <c r="M48" s="154">
        <v>0</v>
      </c>
      <c r="N48" s="154">
        <v>0</v>
      </c>
      <c r="O48" s="154">
        <v>0</v>
      </c>
      <c r="P48" s="154">
        <v>0</v>
      </c>
      <c r="Q48" s="154">
        <v>0</v>
      </c>
      <c r="R48" s="154">
        <v>0</v>
      </c>
      <c r="S48" s="154">
        <v>0</v>
      </c>
      <c r="T48" s="154">
        <v>0</v>
      </c>
      <c r="U48" s="154">
        <v>0</v>
      </c>
      <c r="V48" s="154">
        <v>0</v>
      </c>
      <c r="W48" s="154">
        <v>0</v>
      </c>
      <c r="X48" s="154">
        <v>0</v>
      </c>
      <c r="Y48" s="154">
        <v>0</v>
      </c>
      <c r="Z48" s="154">
        <v>0</v>
      </c>
      <c r="AA48" s="154">
        <v>0</v>
      </c>
      <c r="AB48" s="154">
        <v>0</v>
      </c>
      <c r="AC48" s="154">
        <v>0</v>
      </c>
      <c r="AD48" s="154">
        <v>0</v>
      </c>
      <c r="AE48" s="154">
        <v>-3.3404797203542498</v>
      </c>
      <c r="AF48" s="154">
        <v>-5.7894131171272303E-2</v>
      </c>
      <c r="AG48" s="154">
        <v>-0.25342142032184201</v>
      </c>
      <c r="AH48" s="154">
        <v>0</v>
      </c>
      <c r="AI48" s="154">
        <v>0</v>
      </c>
      <c r="AJ48" s="154">
        <v>0</v>
      </c>
      <c r="AK48" s="154">
        <v>0</v>
      </c>
      <c r="AL48" s="154">
        <v>0</v>
      </c>
      <c r="AM48" s="154">
        <v>0</v>
      </c>
      <c r="AN48" s="154">
        <v>0</v>
      </c>
      <c r="AO48" s="154">
        <v>0</v>
      </c>
      <c r="AP48" s="154">
        <v>0</v>
      </c>
      <c r="AQ48" s="154">
        <v>0</v>
      </c>
      <c r="AR48" s="154">
        <v>0</v>
      </c>
      <c r="AS48" s="154">
        <v>0</v>
      </c>
      <c r="AT48" s="155">
        <v>0</v>
      </c>
    </row>
    <row r="49" spans="2:46" ht="12" customHeight="1" x14ac:dyDescent="0.3">
      <c r="B49" s="153" t="s">
        <v>43</v>
      </c>
      <c r="C49" s="154" t="s">
        <v>41</v>
      </c>
      <c r="D49" s="154" t="s">
        <v>25</v>
      </c>
      <c r="E49" s="154" t="s">
        <v>25</v>
      </c>
      <c r="F49" s="154" t="s">
        <v>25</v>
      </c>
      <c r="G49" s="154" t="s">
        <v>34</v>
      </c>
      <c r="H49" s="154" t="s">
        <v>78</v>
      </c>
      <c r="I49" s="154" t="s">
        <v>25</v>
      </c>
      <c r="J49" s="154">
        <v>38.74</v>
      </c>
      <c r="K49" s="154">
        <v>-49.04</v>
      </c>
      <c r="L49" s="154">
        <v>0.46661272494638101</v>
      </c>
      <c r="M49" s="154">
        <v>0</v>
      </c>
      <c r="N49" s="154">
        <v>0</v>
      </c>
      <c r="O49" s="154">
        <v>0</v>
      </c>
      <c r="P49" s="154">
        <v>0</v>
      </c>
      <c r="Q49" s="154">
        <v>23.111514198620501</v>
      </c>
      <c r="R49" s="154">
        <v>5.2554388970379096</v>
      </c>
      <c r="S49" s="154">
        <v>0</v>
      </c>
      <c r="T49" s="154">
        <v>11.2773678859105</v>
      </c>
      <c r="U49" s="154">
        <v>2.2762008289667199</v>
      </c>
      <c r="V49" s="154">
        <v>0</v>
      </c>
      <c r="W49" s="154">
        <v>0</v>
      </c>
      <c r="X49" s="154">
        <v>0</v>
      </c>
      <c r="Y49" s="154">
        <v>0</v>
      </c>
      <c r="Z49" s="154">
        <v>0</v>
      </c>
      <c r="AA49" s="154">
        <v>0</v>
      </c>
      <c r="AB49" s="154">
        <v>0</v>
      </c>
      <c r="AC49" s="154">
        <v>0</v>
      </c>
      <c r="AD49" s="154">
        <v>0</v>
      </c>
      <c r="AE49" s="154">
        <v>-3.3404797203542498</v>
      </c>
      <c r="AF49" s="154">
        <v>-5.7894131171272303E-2</v>
      </c>
      <c r="AG49" s="154">
        <v>-0.25342142032184201</v>
      </c>
      <c r="AH49" s="154">
        <v>0</v>
      </c>
      <c r="AI49" s="154">
        <v>0.95108225955764603</v>
      </c>
      <c r="AJ49" s="154">
        <v>0</v>
      </c>
      <c r="AK49" s="154">
        <v>0</v>
      </c>
      <c r="AL49" s="154">
        <v>-1.9135572147375699</v>
      </c>
      <c r="AM49" s="154">
        <v>9.5250556035339703E-2</v>
      </c>
      <c r="AN49" s="154">
        <v>-49.031906566847198</v>
      </c>
      <c r="AO49" s="154">
        <v>0.83760882238776402</v>
      </c>
      <c r="AP49" s="154">
        <v>0.48568457170811102</v>
      </c>
      <c r="AQ49" s="154">
        <v>0</v>
      </c>
      <c r="AR49" s="154">
        <v>0</v>
      </c>
      <c r="AS49" s="154">
        <v>0</v>
      </c>
      <c r="AT49" s="155">
        <v>-0.46853071533998097</v>
      </c>
    </row>
    <row r="50" spans="2:46" ht="12" customHeight="1" x14ac:dyDescent="0.3">
      <c r="B50" s="153" t="s">
        <v>43</v>
      </c>
      <c r="C50" s="154" t="s">
        <v>41</v>
      </c>
      <c r="D50" s="154" t="s">
        <v>25</v>
      </c>
      <c r="E50" s="154" t="s">
        <v>25</v>
      </c>
      <c r="F50" s="154" t="s">
        <v>25</v>
      </c>
      <c r="G50" s="154" t="s">
        <v>25</v>
      </c>
      <c r="H50" s="154" t="s">
        <v>81</v>
      </c>
      <c r="I50" s="154" t="s">
        <v>25</v>
      </c>
      <c r="J50" s="154">
        <v>0.53</v>
      </c>
      <c r="K50" s="154">
        <v>0</v>
      </c>
      <c r="L50" s="154">
        <v>0</v>
      </c>
      <c r="M50" s="154">
        <v>0</v>
      </c>
      <c r="N50" s="154">
        <v>0</v>
      </c>
      <c r="O50" s="154">
        <v>0</v>
      </c>
      <c r="P50" s="154">
        <v>0</v>
      </c>
      <c r="Q50" s="154">
        <v>0</v>
      </c>
      <c r="R50" s="154">
        <v>0</v>
      </c>
      <c r="S50" s="154">
        <v>0</v>
      </c>
      <c r="T50" s="154">
        <v>0.44066869275151999</v>
      </c>
      <c r="U50" s="154">
        <v>8.9653770086335793E-2</v>
      </c>
      <c r="V50" s="154">
        <v>0</v>
      </c>
      <c r="W50" s="154">
        <v>0</v>
      </c>
      <c r="X50" s="154">
        <v>0</v>
      </c>
      <c r="Y50" s="154">
        <v>0</v>
      </c>
      <c r="Z50" s="154">
        <v>0</v>
      </c>
      <c r="AA50" s="154">
        <v>0</v>
      </c>
      <c r="AB50" s="154">
        <v>0</v>
      </c>
      <c r="AC50" s="154">
        <v>0</v>
      </c>
      <c r="AD50" s="154">
        <v>0</v>
      </c>
      <c r="AE50" s="154">
        <v>0</v>
      </c>
      <c r="AF50" s="154">
        <v>0</v>
      </c>
      <c r="AG50" s="154">
        <v>0</v>
      </c>
      <c r="AH50" s="154">
        <v>0</v>
      </c>
      <c r="AI50" s="154">
        <v>0</v>
      </c>
      <c r="AJ50" s="154">
        <v>0</v>
      </c>
      <c r="AK50" s="154">
        <v>0</v>
      </c>
      <c r="AL50" s="154">
        <v>0</v>
      </c>
      <c r="AM50" s="154">
        <v>0</v>
      </c>
      <c r="AN50" s="154">
        <v>0</v>
      </c>
      <c r="AO50" s="154">
        <v>0</v>
      </c>
      <c r="AP50" s="154">
        <v>0</v>
      </c>
      <c r="AQ50" s="154">
        <v>0</v>
      </c>
      <c r="AR50" s="154">
        <v>0</v>
      </c>
      <c r="AS50" s="154">
        <v>0</v>
      </c>
      <c r="AT50" s="155">
        <v>0</v>
      </c>
    </row>
    <row r="51" spans="2:46" ht="12" customHeight="1" x14ac:dyDescent="0.3">
      <c r="B51" s="153" t="s">
        <v>43</v>
      </c>
      <c r="C51" s="154" t="s">
        <v>41</v>
      </c>
      <c r="D51" s="154" t="s">
        <v>25</v>
      </c>
      <c r="E51" s="154" t="s">
        <v>25</v>
      </c>
      <c r="F51" s="154" t="s">
        <v>25</v>
      </c>
      <c r="G51" s="154" t="s">
        <v>35</v>
      </c>
      <c r="H51" s="154" t="s">
        <v>78</v>
      </c>
      <c r="I51" s="154" t="s">
        <v>25</v>
      </c>
      <c r="J51" s="154">
        <v>25.18</v>
      </c>
      <c r="K51" s="154">
        <v>-28.52</v>
      </c>
      <c r="L51" s="154">
        <v>0.46661272494638101</v>
      </c>
      <c r="M51" s="154">
        <v>0</v>
      </c>
      <c r="N51" s="154">
        <v>0</v>
      </c>
      <c r="O51" s="154">
        <v>0</v>
      </c>
      <c r="P51" s="154">
        <v>0</v>
      </c>
      <c r="Q51" s="154">
        <v>23.111514198620501</v>
      </c>
      <c r="R51" s="154">
        <v>5.2554388970379096</v>
      </c>
      <c r="S51" s="154">
        <v>0</v>
      </c>
      <c r="T51" s="154">
        <v>0</v>
      </c>
      <c r="U51" s="154">
        <v>0</v>
      </c>
      <c r="V51" s="154">
        <v>0</v>
      </c>
      <c r="W51" s="154">
        <v>0</v>
      </c>
      <c r="X51" s="154">
        <v>0</v>
      </c>
      <c r="Y51" s="154">
        <v>0</v>
      </c>
      <c r="Z51" s="154">
        <v>0</v>
      </c>
      <c r="AA51" s="154">
        <v>0</v>
      </c>
      <c r="AB51" s="154">
        <v>0</v>
      </c>
      <c r="AC51" s="154">
        <v>0</v>
      </c>
      <c r="AD51" s="154">
        <v>0</v>
      </c>
      <c r="AE51" s="154">
        <v>-3.3404797203542498</v>
      </c>
      <c r="AF51" s="154">
        <v>-5.7894131171272303E-2</v>
      </c>
      <c r="AG51" s="154">
        <v>-0.25342142032184201</v>
      </c>
      <c r="AH51" s="154">
        <v>0</v>
      </c>
      <c r="AI51" s="154">
        <v>0.95108225955764603</v>
      </c>
      <c r="AJ51" s="154">
        <v>0</v>
      </c>
      <c r="AK51" s="154">
        <v>0</v>
      </c>
      <c r="AL51" s="154">
        <v>-1.9135572147375699</v>
      </c>
      <c r="AM51" s="154">
        <v>9.5250556035339703E-2</v>
      </c>
      <c r="AN51" s="154">
        <v>-28.5069224225856</v>
      </c>
      <c r="AO51" s="154">
        <v>0.83760882238776402</v>
      </c>
      <c r="AP51" s="154">
        <v>0.48568457170811102</v>
      </c>
      <c r="AQ51" s="154">
        <v>0</v>
      </c>
      <c r="AR51" s="154">
        <v>0</v>
      </c>
      <c r="AS51" s="154">
        <v>0</v>
      </c>
      <c r="AT51" s="155">
        <v>-0.46853071533998097</v>
      </c>
    </row>
    <row r="52" spans="2:46" ht="12" customHeight="1" x14ac:dyDescent="0.3">
      <c r="B52" s="153" t="s">
        <v>87</v>
      </c>
      <c r="C52" s="154" t="s">
        <v>57</v>
      </c>
      <c r="D52" s="154" t="s">
        <v>25</v>
      </c>
      <c r="E52" s="154" t="s">
        <v>25</v>
      </c>
      <c r="F52" s="154" t="s">
        <v>88</v>
      </c>
      <c r="G52" s="154" t="s">
        <v>25</v>
      </c>
      <c r="H52" s="154" t="s">
        <v>81</v>
      </c>
      <c r="I52" s="154" t="s">
        <v>25</v>
      </c>
      <c r="J52" s="154">
        <v>0</v>
      </c>
      <c r="K52" s="154">
        <v>0</v>
      </c>
      <c r="L52" s="154">
        <v>0</v>
      </c>
      <c r="M52" s="154">
        <v>0</v>
      </c>
      <c r="N52" s="154">
        <v>0</v>
      </c>
      <c r="O52" s="154">
        <v>0</v>
      </c>
      <c r="P52" s="154">
        <v>0</v>
      </c>
      <c r="Q52" s="154">
        <v>0</v>
      </c>
      <c r="R52" s="154">
        <v>0</v>
      </c>
      <c r="S52" s="154">
        <v>0</v>
      </c>
      <c r="T52" s="154">
        <v>0</v>
      </c>
      <c r="U52" s="154">
        <v>0</v>
      </c>
      <c r="V52" s="154">
        <v>0</v>
      </c>
      <c r="W52" s="154">
        <v>0</v>
      </c>
      <c r="X52" s="154">
        <v>0</v>
      </c>
      <c r="Y52" s="154">
        <v>0</v>
      </c>
      <c r="Z52" s="154">
        <v>0</v>
      </c>
      <c r="AA52" s="154">
        <v>0</v>
      </c>
      <c r="AB52" s="154">
        <v>0</v>
      </c>
      <c r="AC52" s="154">
        <v>0</v>
      </c>
      <c r="AD52" s="154">
        <v>0</v>
      </c>
      <c r="AE52" s="154">
        <v>0</v>
      </c>
      <c r="AF52" s="154">
        <v>0</v>
      </c>
      <c r="AG52" s="154">
        <v>0</v>
      </c>
      <c r="AH52" s="154">
        <v>0</v>
      </c>
      <c r="AI52" s="154">
        <v>0</v>
      </c>
      <c r="AJ52" s="154">
        <v>0</v>
      </c>
      <c r="AK52" s="154">
        <v>0</v>
      </c>
      <c r="AL52" s="154">
        <v>0</v>
      </c>
      <c r="AM52" s="154">
        <v>0</v>
      </c>
      <c r="AN52" s="154">
        <v>0</v>
      </c>
      <c r="AO52" s="154">
        <v>0</v>
      </c>
      <c r="AP52" s="154">
        <v>0</v>
      </c>
      <c r="AQ52" s="154">
        <v>0</v>
      </c>
      <c r="AR52" s="154">
        <v>0</v>
      </c>
      <c r="AS52" s="154">
        <v>0</v>
      </c>
      <c r="AT52" s="155">
        <v>0</v>
      </c>
    </row>
    <row r="53" spans="2:46" ht="12" customHeight="1" x14ac:dyDescent="0.3">
      <c r="B53" s="153" t="s">
        <v>87</v>
      </c>
      <c r="C53" s="154" t="s">
        <v>57</v>
      </c>
      <c r="D53" s="154" t="s">
        <v>25</v>
      </c>
      <c r="E53" s="154" t="s">
        <v>25</v>
      </c>
      <c r="F53" s="154" t="s">
        <v>89</v>
      </c>
      <c r="G53" s="154" t="s">
        <v>25</v>
      </c>
      <c r="H53" s="154" t="s">
        <v>81</v>
      </c>
      <c r="I53" s="154" t="s">
        <v>25</v>
      </c>
      <c r="J53" s="154">
        <v>0</v>
      </c>
      <c r="K53" s="154">
        <v>0</v>
      </c>
      <c r="L53" s="154">
        <v>0</v>
      </c>
      <c r="M53" s="154">
        <v>0</v>
      </c>
      <c r="N53" s="154">
        <v>0</v>
      </c>
      <c r="O53" s="154">
        <v>0</v>
      </c>
      <c r="P53" s="154">
        <v>0</v>
      </c>
      <c r="Q53" s="154">
        <v>0</v>
      </c>
      <c r="R53" s="154">
        <v>0</v>
      </c>
      <c r="S53" s="154">
        <v>0</v>
      </c>
      <c r="T53" s="154">
        <v>0</v>
      </c>
      <c r="U53" s="154">
        <v>0</v>
      </c>
      <c r="V53" s="154">
        <v>0</v>
      </c>
      <c r="W53" s="154">
        <v>0</v>
      </c>
      <c r="X53" s="154">
        <v>0</v>
      </c>
      <c r="Y53" s="154">
        <v>0</v>
      </c>
      <c r="Z53" s="154">
        <v>0</v>
      </c>
      <c r="AA53" s="154">
        <v>0</v>
      </c>
      <c r="AB53" s="154">
        <v>0</v>
      </c>
      <c r="AC53" s="154">
        <v>0</v>
      </c>
      <c r="AD53" s="154">
        <v>0</v>
      </c>
      <c r="AE53" s="154">
        <v>0</v>
      </c>
      <c r="AF53" s="154">
        <v>0</v>
      </c>
      <c r="AG53" s="154">
        <v>0</v>
      </c>
      <c r="AH53" s="154">
        <v>0</v>
      </c>
      <c r="AI53" s="154">
        <v>0</v>
      </c>
      <c r="AJ53" s="154">
        <v>0</v>
      </c>
      <c r="AK53" s="154">
        <v>0</v>
      </c>
      <c r="AL53" s="154">
        <v>0</v>
      </c>
      <c r="AM53" s="154">
        <v>0</v>
      </c>
      <c r="AN53" s="154">
        <v>0</v>
      </c>
      <c r="AO53" s="154">
        <v>0</v>
      </c>
      <c r="AP53" s="154">
        <v>0</v>
      </c>
      <c r="AQ53" s="154">
        <v>0</v>
      </c>
      <c r="AR53" s="154">
        <v>0</v>
      </c>
      <c r="AS53" s="154">
        <v>0</v>
      </c>
      <c r="AT53" s="155">
        <v>0</v>
      </c>
    </row>
    <row r="54" spans="2:46" ht="12" customHeight="1" x14ac:dyDescent="0.3">
      <c r="B54" s="153" t="s">
        <v>22</v>
      </c>
      <c r="C54" s="154" t="s">
        <v>33</v>
      </c>
      <c r="D54" s="154" t="s">
        <v>24</v>
      </c>
      <c r="E54" s="154" t="s">
        <v>24</v>
      </c>
      <c r="F54" s="154" t="s">
        <v>25</v>
      </c>
      <c r="G54" s="154" t="s">
        <v>34</v>
      </c>
      <c r="H54" s="154" t="s">
        <v>78</v>
      </c>
      <c r="I54" s="154" t="s">
        <v>25</v>
      </c>
      <c r="J54" s="154">
        <v>32.61</v>
      </c>
      <c r="K54" s="154">
        <v>-49.04</v>
      </c>
      <c r="L54" s="154">
        <v>0.46661272494638101</v>
      </c>
      <c r="M54" s="154">
        <v>0</v>
      </c>
      <c r="N54" s="154">
        <v>0</v>
      </c>
      <c r="O54" s="154">
        <v>0</v>
      </c>
      <c r="P54" s="154">
        <v>0</v>
      </c>
      <c r="Q54" s="154">
        <v>23.111514198620501</v>
      </c>
      <c r="R54" s="154">
        <v>5.2554388970379096</v>
      </c>
      <c r="S54" s="154">
        <v>0</v>
      </c>
      <c r="T54" s="154">
        <v>6.1606956383999298</v>
      </c>
      <c r="U54" s="154">
        <v>1.24807402037002</v>
      </c>
      <c r="V54" s="154">
        <v>0</v>
      </c>
      <c r="W54" s="154">
        <v>0</v>
      </c>
      <c r="X54" s="154">
        <v>0</v>
      </c>
      <c r="Y54" s="154">
        <v>0</v>
      </c>
      <c r="Z54" s="154">
        <v>0</v>
      </c>
      <c r="AA54" s="154">
        <v>0</v>
      </c>
      <c r="AB54" s="154">
        <v>0</v>
      </c>
      <c r="AC54" s="154">
        <v>0</v>
      </c>
      <c r="AD54" s="154">
        <v>0</v>
      </c>
      <c r="AE54" s="154">
        <v>-3.3404797203542498</v>
      </c>
      <c r="AF54" s="154">
        <v>-5.7894131171272303E-2</v>
      </c>
      <c r="AG54" s="154">
        <v>-0.23060705638461601</v>
      </c>
      <c r="AH54" s="154">
        <v>0</v>
      </c>
      <c r="AI54" s="154">
        <v>0.95108225955764603</v>
      </c>
      <c r="AJ54" s="154">
        <v>0</v>
      </c>
      <c r="AK54" s="154">
        <v>0</v>
      </c>
      <c r="AL54" s="154">
        <v>-1.9135572147375699</v>
      </c>
      <c r="AM54" s="154">
        <v>9.5250556035339703E-2</v>
      </c>
      <c r="AN54" s="154">
        <v>-49.031906566847198</v>
      </c>
      <c r="AO54" s="154">
        <v>0.83760882238776402</v>
      </c>
      <c r="AP54" s="154">
        <v>0.48568457170811102</v>
      </c>
      <c r="AQ54" s="154">
        <v>0</v>
      </c>
      <c r="AR54" s="154">
        <v>0</v>
      </c>
      <c r="AS54" s="154">
        <v>0</v>
      </c>
      <c r="AT54" s="155">
        <v>-0.46853071533998097</v>
      </c>
    </row>
    <row r="55" spans="2:46" ht="12" customHeight="1" x14ac:dyDescent="0.3">
      <c r="B55" s="153" t="s">
        <v>22</v>
      </c>
      <c r="C55" s="154" t="s">
        <v>33</v>
      </c>
      <c r="D55" s="154" t="s">
        <v>24</v>
      </c>
      <c r="E55" s="154" t="s">
        <v>24</v>
      </c>
      <c r="F55" s="154" t="s">
        <v>25</v>
      </c>
      <c r="G55" s="154" t="s">
        <v>36</v>
      </c>
      <c r="H55" s="154" t="s">
        <v>78</v>
      </c>
      <c r="I55" s="154" t="s">
        <v>25</v>
      </c>
      <c r="J55" s="154">
        <v>29.65</v>
      </c>
      <c r="K55" s="154">
        <v>-28.52</v>
      </c>
      <c r="L55" s="154">
        <v>0.46661272494638101</v>
      </c>
      <c r="M55" s="154">
        <v>0</v>
      </c>
      <c r="N55" s="154">
        <v>0</v>
      </c>
      <c r="O55" s="154">
        <v>0</v>
      </c>
      <c r="P55" s="154">
        <v>0</v>
      </c>
      <c r="Q55" s="154">
        <v>23.111514198620501</v>
      </c>
      <c r="R55" s="154">
        <v>5.2554388970379096</v>
      </c>
      <c r="S55" s="154">
        <v>0</v>
      </c>
      <c r="T55" s="154">
        <v>3.6964229560689699</v>
      </c>
      <c r="U55" s="154">
        <v>0.74884441222201203</v>
      </c>
      <c r="V55" s="154">
        <v>0</v>
      </c>
      <c r="W55" s="154">
        <v>0</v>
      </c>
      <c r="X55" s="154">
        <v>0</v>
      </c>
      <c r="Y55" s="154">
        <v>0</v>
      </c>
      <c r="Z55" s="154">
        <v>0</v>
      </c>
      <c r="AA55" s="154">
        <v>0</v>
      </c>
      <c r="AB55" s="154">
        <v>0</v>
      </c>
      <c r="AC55" s="154">
        <v>0</v>
      </c>
      <c r="AD55" s="154">
        <v>0</v>
      </c>
      <c r="AE55" s="154">
        <v>-3.3404797203542498</v>
      </c>
      <c r="AF55" s="154">
        <v>-5.7894131171272303E-2</v>
      </c>
      <c r="AG55" s="154">
        <v>-0.23060705638461601</v>
      </c>
      <c r="AH55" s="154">
        <v>0</v>
      </c>
      <c r="AI55" s="154">
        <v>0.95108225955764603</v>
      </c>
      <c r="AJ55" s="154">
        <v>0</v>
      </c>
      <c r="AK55" s="154">
        <v>0</v>
      </c>
      <c r="AL55" s="154">
        <v>-1.9135572147375699</v>
      </c>
      <c r="AM55" s="154">
        <v>9.5250556035339703E-2</v>
      </c>
      <c r="AN55" s="154">
        <v>-28.5069224225856</v>
      </c>
      <c r="AO55" s="154">
        <v>0.83760882238776402</v>
      </c>
      <c r="AP55" s="154">
        <v>0.48568457170811102</v>
      </c>
      <c r="AQ55" s="154">
        <v>0</v>
      </c>
      <c r="AR55" s="154">
        <v>0</v>
      </c>
      <c r="AS55" s="154">
        <v>0</v>
      </c>
      <c r="AT55" s="155">
        <v>-0.46853071533998097</v>
      </c>
    </row>
    <row r="56" spans="2:46" ht="12" customHeight="1" x14ac:dyDescent="0.3">
      <c r="B56" s="153" t="s">
        <v>22</v>
      </c>
      <c r="C56" s="154" t="s">
        <v>33</v>
      </c>
      <c r="D56" s="154" t="s">
        <v>24</v>
      </c>
      <c r="E56" s="154" t="s">
        <v>24</v>
      </c>
      <c r="F56" s="154" t="s">
        <v>25</v>
      </c>
      <c r="G56" s="154" t="s">
        <v>35</v>
      </c>
      <c r="H56" s="154" t="s">
        <v>78</v>
      </c>
      <c r="I56" s="154" t="s">
        <v>25</v>
      </c>
      <c r="J56" s="154">
        <v>26.69</v>
      </c>
      <c r="K56" s="154">
        <v>-28.52</v>
      </c>
      <c r="L56" s="154">
        <v>0.46661272494638101</v>
      </c>
      <c r="M56" s="154">
        <v>0</v>
      </c>
      <c r="N56" s="154">
        <v>0</v>
      </c>
      <c r="O56" s="154">
        <v>0</v>
      </c>
      <c r="P56" s="154">
        <v>0</v>
      </c>
      <c r="Q56" s="154">
        <v>23.111514198620501</v>
      </c>
      <c r="R56" s="154">
        <v>5.2554388970379096</v>
      </c>
      <c r="S56" s="154">
        <v>0</v>
      </c>
      <c r="T56" s="154">
        <v>1.2321409853563201</v>
      </c>
      <c r="U56" s="154">
        <v>0.24961480407400399</v>
      </c>
      <c r="V56" s="154">
        <v>0</v>
      </c>
      <c r="W56" s="154">
        <v>0</v>
      </c>
      <c r="X56" s="154">
        <v>0</v>
      </c>
      <c r="Y56" s="154">
        <v>0</v>
      </c>
      <c r="Z56" s="154">
        <v>0</v>
      </c>
      <c r="AA56" s="154">
        <v>0</v>
      </c>
      <c r="AB56" s="154">
        <v>0</v>
      </c>
      <c r="AC56" s="154">
        <v>0</v>
      </c>
      <c r="AD56" s="154">
        <v>0</v>
      </c>
      <c r="AE56" s="154">
        <v>-3.3404797203542498</v>
      </c>
      <c r="AF56" s="154">
        <v>-5.7894131171272303E-2</v>
      </c>
      <c r="AG56" s="154">
        <v>-0.23060705638461601</v>
      </c>
      <c r="AH56" s="154">
        <v>0</v>
      </c>
      <c r="AI56" s="154">
        <v>0.95108225955764603</v>
      </c>
      <c r="AJ56" s="154">
        <v>0</v>
      </c>
      <c r="AK56" s="154">
        <v>0</v>
      </c>
      <c r="AL56" s="154">
        <v>-1.9135572147375699</v>
      </c>
      <c r="AM56" s="154">
        <v>9.5250556035339703E-2</v>
      </c>
      <c r="AN56" s="154">
        <v>-28.5069224225856</v>
      </c>
      <c r="AO56" s="154">
        <v>0.83760882238776402</v>
      </c>
      <c r="AP56" s="154">
        <v>0.48568457170811102</v>
      </c>
      <c r="AQ56" s="154">
        <v>0</v>
      </c>
      <c r="AR56" s="154">
        <v>0</v>
      </c>
      <c r="AS56" s="154">
        <v>0</v>
      </c>
      <c r="AT56" s="155">
        <v>-0.46853071533998097</v>
      </c>
    </row>
    <row r="57" spans="2:46" ht="12" customHeight="1" x14ac:dyDescent="0.3">
      <c r="B57" s="153" t="s">
        <v>22</v>
      </c>
      <c r="C57" s="154" t="s">
        <v>23</v>
      </c>
      <c r="D57" s="154" t="s">
        <v>24</v>
      </c>
      <c r="E57" s="154" t="s">
        <v>1522</v>
      </c>
      <c r="F57" s="154" t="s">
        <v>25</v>
      </c>
      <c r="G57" s="154" t="s">
        <v>25</v>
      </c>
      <c r="H57" s="154" t="s">
        <v>78</v>
      </c>
      <c r="I57" s="154" t="s">
        <v>25</v>
      </c>
      <c r="J57" s="154">
        <v>-0.83</v>
      </c>
      <c r="K57" s="154">
        <v>-30.23</v>
      </c>
      <c r="L57" s="154">
        <v>0</v>
      </c>
      <c r="M57" s="154">
        <v>0</v>
      </c>
      <c r="N57" s="154">
        <v>0</v>
      </c>
      <c r="O57" s="154">
        <v>0</v>
      </c>
      <c r="P57" s="154">
        <v>0</v>
      </c>
      <c r="Q57" s="154">
        <v>0</v>
      </c>
      <c r="R57" s="154">
        <v>0</v>
      </c>
      <c r="S57" s="154">
        <v>0</v>
      </c>
      <c r="T57" s="154">
        <v>2.3247890544185199</v>
      </c>
      <c r="U57" s="154">
        <v>0.47097144769287902</v>
      </c>
      <c r="V57" s="154">
        <v>0</v>
      </c>
      <c r="W57" s="154">
        <v>0</v>
      </c>
      <c r="X57" s="154">
        <v>0</v>
      </c>
      <c r="Y57" s="154">
        <v>0</v>
      </c>
      <c r="Z57" s="154">
        <v>0</v>
      </c>
      <c r="AA57" s="154">
        <v>0</v>
      </c>
      <c r="AB57" s="154">
        <v>0</v>
      </c>
      <c r="AC57" s="154">
        <v>0</v>
      </c>
      <c r="AD57" s="154">
        <v>0</v>
      </c>
      <c r="AE57" s="154">
        <v>-3.3404797203542498</v>
      </c>
      <c r="AF57" s="154">
        <v>-5.7894131171272303E-2</v>
      </c>
      <c r="AG57" s="154">
        <v>-0.23060705638461601</v>
      </c>
      <c r="AH57" s="154">
        <v>0</v>
      </c>
      <c r="AI57" s="154">
        <v>0.95108225955764603</v>
      </c>
      <c r="AJ57" s="154">
        <v>0</v>
      </c>
      <c r="AK57" s="154">
        <v>0</v>
      </c>
      <c r="AL57" s="154">
        <v>-1.9135572147375699</v>
      </c>
      <c r="AM57" s="154">
        <v>9.5250556035339703E-2</v>
      </c>
      <c r="AN57" s="154">
        <v>-30.217337767940698</v>
      </c>
      <c r="AO57" s="154">
        <v>0.83760882238776402</v>
      </c>
      <c r="AP57" s="154">
        <v>0.48568457170811102</v>
      </c>
      <c r="AQ57" s="154">
        <v>0</v>
      </c>
      <c r="AR57" s="154">
        <v>0</v>
      </c>
      <c r="AS57" s="154">
        <v>0</v>
      </c>
      <c r="AT57" s="155">
        <v>-0.46853071533998097</v>
      </c>
    </row>
    <row r="58" spans="2:46" ht="12" customHeight="1" x14ac:dyDescent="0.3">
      <c r="B58" s="153" t="s">
        <v>22</v>
      </c>
      <c r="C58" s="154" t="s">
        <v>23</v>
      </c>
      <c r="D58" s="154" t="s">
        <v>24</v>
      </c>
      <c r="E58" s="154" t="s">
        <v>24</v>
      </c>
      <c r="F58" s="154" t="s">
        <v>25</v>
      </c>
      <c r="G58" s="154" t="s">
        <v>25</v>
      </c>
      <c r="H58" s="154" t="s">
        <v>78</v>
      </c>
      <c r="I58" s="154" t="s">
        <v>25</v>
      </c>
      <c r="J58" s="154">
        <v>28</v>
      </c>
      <c r="K58" s="154">
        <v>-30.23</v>
      </c>
      <c r="L58" s="154">
        <v>0.46661272494638101</v>
      </c>
      <c r="M58" s="154">
        <v>0</v>
      </c>
      <c r="N58" s="154">
        <v>0</v>
      </c>
      <c r="O58" s="154">
        <v>0</v>
      </c>
      <c r="P58" s="154">
        <v>0</v>
      </c>
      <c r="Q58" s="154">
        <v>23.111514198620501</v>
      </c>
      <c r="R58" s="154">
        <v>5.2554388970379096</v>
      </c>
      <c r="S58" s="154">
        <v>0</v>
      </c>
      <c r="T58" s="154">
        <v>2.3247890544185199</v>
      </c>
      <c r="U58" s="154">
        <v>0.47097144769287902</v>
      </c>
      <c r="V58" s="154">
        <v>0</v>
      </c>
      <c r="W58" s="154">
        <v>0</v>
      </c>
      <c r="X58" s="154">
        <v>0</v>
      </c>
      <c r="Y58" s="154">
        <v>0</v>
      </c>
      <c r="Z58" s="154">
        <v>0</v>
      </c>
      <c r="AA58" s="154">
        <v>0</v>
      </c>
      <c r="AB58" s="154">
        <v>0</v>
      </c>
      <c r="AC58" s="154">
        <v>0</v>
      </c>
      <c r="AD58" s="154">
        <v>0</v>
      </c>
      <c r="AE58" s="154">
        <v>-3.3404797203542498</v>
      </c>
      <c r="AF58" s="154">
        <v>-5.7894131171272303E-2</v>
      </c>
      <c r="AG58" s="154">
        <v>-0.23060705638461601</v>
      </c>
      <c r="AH58" s="154">
        <v>0</v>
      </c>
      <c r="AI58" s="154">
        <v>0.95108225955764603</v>
      </c>
      <c r="AJ58" s="154">
        <v>0</v>
      </c>
      <c r="AK58" s="154">
        <v>0</v>
      </c>
      <c r="AL58" s="154">
        <v>-1.9135572147375699</v>
      </c>
      <c r="AM58" s="154">
        <v>9.5250556035339703E-2</v>
      </c>
      <c r="AN58" s="154">
        <v>-30.217337767940698</v>
      </c>
      <c r="AO58" s="154">
        <v>0.83760882238776402</v>
      </c>
      <c r="AP58" s="154">
        <v>0.48568457170811102</v>
      </c>
      <c r="AQ58" s="154">
        <v>0</v>
      </c>
      <c r="AR58" s="154">
        <v>0</v>
      </c>
      <c r="AS58" s="154">
        <v>0</v>
      </c>
      <c r="AT58" s="155">
        <v>-0.46853071533998097</v>
      </c>
    </row>
    <row r="59" spans="2:46" ht="12" customHeight="1" x14ac:dyDescent="0.3">
      <c r="B59" s="153" t="s">
        <v>22</v>
      </c>
      <c r="C59" s="154" t="s">
        <v>92</v>
      </c>
      <c r="D59" s="154" t="s">
        <v>24</v>
      </c>
      <c r="E59" s="154" t="s">
        <v>1522</v>
      </c>
      <c r="F59" s="154" t="s">
        <v>25</v>
      </c>
      <c r="G59" s="154" t="s">
        <v>25</v>
      </c>
      <c r="H59" s="154" t="s">
        <v>78</v>
      </c>
      <c r="I59" s="154" t="s">
        <v>25</v>
      </c>
      <c r="J59" s="154">
        <v>-0.83</v>
      </c>
      <c r="K59" s="154">
        <v>-30.23</v>
      </c>
      <c r="L59" s="154">
        <v>0</v>
      </c>
      <c r="M59" s="154">
        <v>0</v>
      </c>
      <c r="N59" s="154">
        <v>0</v>
      </c>
      <c r="O59" s="154">
        <v>0</v>
      </c>
      <c r="P59" s="154">
        <v>0</v>
      </c>
      <c r="Q59" s="154">
        <v>0</v>
      </c>
      <c r="R59" s="154">
        <v>0</v>
      </c>
      <c r="S59" s="154">
        <v>0</v>
      </c>
      <c r="T59" s="154">
        <v>2.3247890544185199</v>
      </c>
      <c r="U59" s="154">
        <v>0.47097144769287902</v>
      </c>
      <c r="V59" s="154">
        <v>0</v>
      </c>
      <c r="W59" s="154">
        <v>0</v>
      </c>
      <c r="X59" s="154">
        <v>0</v>
      </c>
      <c r="Y59" s="154">
        <v>0</v>
      </c>
      <c r="Z59" s="154">
        <v>0</v>
      </c>
      <c r="AA59" s="154">
        <v>0</v>
      </c>
      <c r="AB59" s="154">
        <v>0</v>
      </c>
      <c r="AC59" s="154">
        <v>0</v>
      </c>
      <c r="AD59" s="154">
        <v>0</v>
      </c>
      <c r="AE59" s="154">
        <v>-3.3404797203542498</v>
      </c>
      <c r="AF59" s="154">
        <v>-5.7894131171272303E-2</v>
      </c>
      <c r="AG59" s="154">
        <v>-0.23060705638461601</v>
      </c>
      <c r="AH59" s="154">
        <v>0</v>
      </c>
      <c r="AI59" s="154">
        <v>0.95108225955764603</v>
      </c>
      <c r="AJ59" s="154">
        <v>0</v>
      </c>
      <c r="AK59" s="154">
        <v>0</v>
      </c>
      <c r="AL59" s="154">
        <v>-1.9135572147375699</v>
      </c>
      <c r="AM59" s="154">
        <v>9.5250556035339703E-2</v>
      </c>
      <c r="AN59" s="154">
        <v>-30.217337767940698</v>
      </c>
      <c r="AO59" s="154">
        <v>0.83760882238776402</v>
      </c>
      <c r="AP59" s="154">
        <v>0.48568457170811102</v>
      </c>
      <c r="AQ59" s="154">
        <v>0</v>
      </c>
      <c r="AR59" s="154">
        <v>0</v>
      </c>
      <c r="AS59" s="154">
        <v>0</v>
      </c>
      <c r="AT59" s="155">
        <v>-0.46853071533998097</v>
      </c>
    </row>
    <row r="60" spans="2:46" ht="12" customHeight="1" x14ac:dyDescent="0.3">
      <c r="B60" s="153" t="s">
        <v>22</v>
      </c>
      <c r="C60" s="154" t="s">
        <v>92</v>
      </c>
      <c r="D60" s="154" t="s">
        <v>24</v>
      </c>
      <c r="E60" s="154" t="s">
        <v>24</v>
      </c>
      <c r="F60" s="154" t="s">
        <v>25</v>
      </c>
      <c r="G60" s="154" t="s">
        <v>25</v>
      </c>
      <c r="H60" s="154" t="s">
        <v>78</v>
      </c>
      <c r="I60" s="154" t="s">
        <v>25</v>
      </c>
      <c r="J60" s="154">
        <v>28</v>
      </c>
      <c r="K60" s="154">
        <v>-30.23</v>
      </c>
      <c r="L60" s="154">
        <v>0.46661272494638101</v>
      </c>
      <c r="M60" s="154">
        <v>0</v>
      </c>
      <c r="N60" s="154">
        <v>0</v>
      </c>
      <c r="O60" s="154">
        <v>0</v>
      </c>
      <c r="P60" s="154">
        <v>0</v>
      </c>
      <c r="Q60" s="154">
        <v>23.111514198620501</v>
      </c>
      <c r="R60" s="154">
        <v>5.2554388970379096</v>
      </c>
      <c r="S60" s="154">
        <v>0</v>
      </c>
      <c r="T60" s="154">
        <v>2.3247890544185199</v>
      </c>
      <c r="U60" s="154">
        <v>0.47097144769287902</v>
      </c>
      <c r="V60" s="154">
        <v>0</v>
      </c>
      <c r="W60" s="154">
        <v>0</v>
      </c>
      <c r="X60" s="154">
        <v>0</v>
      </c>
      <c r="Y60" s="154">
        <v>0</v>
      </c>
      <c r="Z60" s="154">
        <v>0</v>
      </c>
      <c r="AA60" s="154">
        <v>0</v>
      </c>
      <c r="AB60" s="154">
        <v>0</v>
      </c>
      <c r="AC60" s="154">
        <v>0</v>
      </c>
      <c r="AD60" s="154">
        <v>0</v>
      </c>
      <c r="AE60" s="154">
        <v>-3.3404797203542498</v>
      </c>
      <c r="AF60" s="154">
        <v>-5.7894131171272303E-2</v>
      </c>
      <c r="AG60" s="154">
        <v>-0.23060705638461601</v>
      </c>
      <c r="AH60" s="154">
        <v>0</v>
      </c>
      <c r="AI60" s="154">
        <v>0.95108225955764603</v>
      </c>
      <c r="AJ60" s="154">
        <v>0</v>
      </c>
      <c r="AK60" s="154">
        <v>0</v>
      </c>
      <c r="AL60" s="154">
        <v>-1.9135572147375699</v>
      </c>
      <c r="AM60" s="154">
        <v>9.5250556035339703E-2</v>
      </c>
      <c r="AN60" s="154">
        <v>-30.217337767940698</v>
      </c>
      <c r="AO60" s="154">
        <v>0.83760882238776402</v>
      </c>
      <c r="AP60" s="154">
        <v>0.48568457170811102</v>
      </c>
      <c r="AQ60" s="154">
        <v>0</v>
      </c>
      <c r="AR60" s="154">
        <v>0</v>
      </c>
      <c r="AS60" s="154">
        <v>0</v>
      </c>
      <c r="AT60" s="155">
        <v>-0.46853071533998097</v>
      </c>
    </row>
    <row r="61" spans="2:46" ht="12" customHeight="1" x14ac:dyDescent="0.3">
      <c r="B61" s="153" t="s">
        <v>44</v>
      </c>
      <c r="C61" s="154" t="s">
        <v>33</v>
      </c>
      <c r="D61" s="154" t="s">
        <v>45</v>
      </c>
      <c r="E61" s="154" t="s">
        <v>93</v>
      </c>
      <c r="F61" s="154" t="s">
        <v>25</v>
      </c>
      <c r="G61" s="154" t="s">
        <v>34</v>
      </c>
      <c r="H61" s="154" t="s">
        <v>78</v>
      </c>
      <c r="I61" s="154" t="s">
        <v>25</v>
      </c>
      <c r="J61" s="154">
        <v>31.44</v>
      </c>
      <c r="K61" s="154">
        <v>-46.1</v>
      </c>
      <c r="L61" s="154">
        <v>0.43861596144959802</v>
      </c>
      <c r="M61" s="154">
        <v>0</v>
      </c>
      <c r="N61" s="154">
        <v>0</v>
      </c>
      <c r="O61" s="154">
        <v>0</v>
      </c>
      <c r="P61" s="154">
        <v>0</v>
      </c>
      <c r="Q61" s="154">
        <v>21.7248233467033</v>
      </c>
      <c r="R61" s="154">
        <v>4.9401125632156404</v>
      </c>
      <c r="S61" s="154">
        <v>0</v>
      </c>
      <c r="T61" s="154">
        <v>6.4466444134419598</v>
      </c>
      <c r="U61" s="154">
        <v>1.3060029332869301</v>
      </c>
      <c r="V61" s="154">
        <v>0</v>
      </c>
      <c r="W61" s="154">
        <v>0</v>
      </c>
      <c r="X61" s="154">
        <v>0</v>
      </c>
      <c r="Y61" s="154">
        <v>0</v>
      </c>
      <c r="Z61" s="154">
        <v>0</v>
      </c>
      <c r="AA61" s="154">
        <v>0</v>
      </c>
      <c r="AB61" s="154">
        <v>0</v>
      </c>
      <c r="AC61" s="154">
        <v>0</v>
      </c>
      <c r="AD61" s="154">
        <v>0</v>
      </c>
      <c r="AE61" s="154">
        <v>-3.1400509371330001</v>
      </c>
      <c r="AF61" s="154">
        <v>-5.4420483300995998E-2</v>
      </c>
      <c r="AG61" s="154">
        <v>-0.21677063300153901</v>
      </c>
      <c r="AH61" s="154">
        <v>0</v>
      </c>
      <c r="AI61" s="154">
        <v>0.89401732398418698</v>
      </c>
      <c r="AJ61" s="154">
        <v>0</v>
      </c>
      <c r="AK61" s="154">
        <v>0</v>
      </c>
      <c r="AL61" s="154">
        <v>-1.7987437818533201</v>
      </c>
      <c r="AM61" s="154">
        <v>8.9535522673219306E-2</v>
      </c>
      <c r="AN61" s="154">
        <v>-46.089992172836403</v>
      </c>
      <c r="AO61" s="154">
        <v>0.78735229304449805</v>
      </c>
      <c r="AP61" s="154">
        <v>0.456543497405625</v>
      </c>
      <c r="AQ61" s="154">
        <v>0</v>
      </c>
      <c r="AR61" s="154">
        <v>0</v>
      </c>
      <c r="AS61" s="154">
        <v>0</v>
      </c>
      <c r="AT61" s="155">
        <v>-0.440418872419582</v>
      </c>
    </row>
    <row r="62" spans="2:46" ht="12" customHeight="1" x14ac:dyDescent="0.3">
      <c r="B62" s="153" t="s">
        <v>44</v>
      </c>
      <c r="C62" s="154" t="s">
        <v>33</v>
      </c>
      <c r="D62" s="154" t="s">
        <v>45</v>
      </c>
      <c r="E62" s="154" t="s">
        <v>93</v>
      </c>
      <c r="F62" s="154" t="s">
        <v>25</v>
      </c>
      <c r="G62" s="154" t="s">
        <v>36</v>
      </c>
      <c r="H62" s="154" t="s">
        <v>78</v>
      </c>
      <c r="I62" s="154" t="s">
        <v>25</v>
      </c>
      <c r="J62" s="154">
        <v>28.34</v>
      </c>
      <c r="K62" s="154">
        <v>-26.81</v>
      </c>
      <c r="L62" s="154">
        <v>0.43861596144959802</v>
      </c>
      <c r="M62" s="154">
        <v>0</v>
      </c>
      <c r="N62" s="154">
        <v>0</v>
      </c>
      <c r="O62" s="154">
        <v>0</v>
      </c>
      <c r="P62" s="154">
        <v>0</v>
      </c>
      <c r="Q62" s="154">
        <v>21.7248233467033</v>
      </c>
      <c r="R62" s="154">
        <v>4.9401125632156404</v>
      </c>
      <c r="S62" s="154">
        <v>0</v>
      </c>
      <c r="T62" s="154">
        <v>3.8679901404966901</v>
      </c>
      <c r="U62" s="154">
        <v>0.78360175997215598</v>
      </c>
      <c r="V62" s="154">
        <v>0</v>
      </c>
      <c r="W62" s="154">
        <v>0</v>
      </c>
      <c r="X62" s="154">
        <v>0</v>
      </c>
      <c r="Y62" s="154">
        <v>0</v>
      </c>
      <c r="Z62" s="154">
        <v>0</v>
      </c>
      <c r="AA62" s="154">
        <v>0</v>
      </c>
      <c r="AB62" s="154">
        <v>0</v>
      </c>
      <c r="AC62" s="154">
        <v>0</v>
      </c>
      <c r="AD62" s="154">
        <v>0</v>
      </c>
      <c r="AE62" s="154">
        <v>-3.1400509371330001</v>
      </c>
      <c r="AF62" s="154">
        <v>-5.4420483300995998E-2</v>
      </c>
      <c r="AG62" s="154">
        <v>-0.21677063300153901</v>
      </c>
      <c r="AH62" s="154">
        <v>0</v>
      </c>
      <c r="AI62" s="154">
        <v>0.89401732398418698</v>
      </c>
      <c r="AJ62" s="154">
        <v>0</v>
      </c>
      <c r="AK62" s="154">
        <v>0</v>
      </c>
      <c r="AL62" s="154">
        <v>-1.7987437818533201</v>
      </c>
      <c r="AM62" s="154">
        <v>8.9535522673219306E-2</v>
      </c>
      <c r="AN62" s="154">
        <v>-26.796507077230501</v>
      </c>
      <c r="AO62" s="154">
        <v>0.78735229304449805</v>
      </c>
      <c r="AP62" s="154">
        <v>0.456543497405625</v>
      </c>
      <c r="AQ62" s="154">
        <v>0</v>
      </c>
      <c r="AR62" s="154">
        <v>0</v>
      </c>
      <c r="AS62" s="154">
        <v>0</v>
      </c>
      <c r="AT62" s="155">
        <v>-0.440418872419582</v>
      </c>
    </row>
    <row r="63" spans="2:46" ht="12" customHeight="1" x14ac:dyDescent="0.3">
      <c r="B63" s="153" t="s">
        <v>44</v>
      </c>
      <c r="C63" s="154" t="s">
        <v>33</v>
      </c>
      <c r="D63" s="154" t="s">
        <v>45</v>
      </c>
      <c r="E63" s="154" t="s">
        <v>93</v>
      </c>
      <c r="F63" s="154" t="s">
        <v>25</v>
      </c>
      <c r="G63" s="154" t="s">
        <v>35</v>
      </c>
      <c r="H63" s="154" t="s">
        <v>78</v>
      </c>
      <c r="I63" s="154" t="s">
        <v>25</v>
      </c>
      <c r="J63" s="154">
        <v>25.24</v>
      </c>
      <c r="K63" s="154">
        <v>-26.81</v>
      </c>
      <c r="L63" s="154">
        <v>0.43861596144959802</v>
      </c>
      <c r="M63" s="154">
        <v>0</v>
      </c>
      <c r="N63" s="154">
        <v>0</v>
      </c>
      <c r="O63" s="154">
        <v>0</v>
      </c>
      <c r="P63" s="154">
        <v>0</v>
      </c>
      <c r="Q63" s="154">
        <v>21.7248233467033</v>
      </c>
      <c r="R63" s="154">
        <v>4.9401125632156404</v>
      </c>
      <c r="S63" s="154">
        <v>0</v>
      </c>
      <c r="T63" s="154">
        <v>1.28932713647263</v>
      </c>
      <c r="U63" s="154">
        <v>0.26120058665738499</v>
      </c>
      <c r="V63" s="154">
        <v>0</v>
      </c>
      <c r="W63" s="154">
        <v>0</v>
      </c>
      <c r="X63" s="154">
        <v>0</v>
      </c>
      <c r="Y63" s="154">
        <v>0</v>
      </c>
      <c r="Z63" s="154">
        <v>0</v>
      </c>
      <c r="AA63" s="154">
        <v>0</v>
      </c>
      <c r="AB63" s="154">
        <v>0</v>
      </c>
      <c r="AC63" s="154">
        <v>0</v>
      </c>
      <c r="AD63" s="154">
        <v>0</v>
      </c>
      <c r="AE63" s="154">
        <v>-3.1400509371330001</v>
      </c>
      <c r="AF63" s="154">
        <v>-5.4420483300995998E-2</v>
      </c>
      <c r="AG63" s="154">
        <v>-0.21677063300153901</v>
      </c>
      <c r="AH63" s="154">
        <v>0</v>
      </c>
      <c r="AI63" s="154">
        <v>0.89401732398418698</v>
      </c>
      <c r="AJ63" s="154">
        <v>0</v>
      </c>
      <c r="AK63" s="154">
        <v>0</v>
      </c>
      <c r="AL63" s="154">
        <v>-1.7987437818533201</v>
      </c>
      <c r="AM63" s="154">
        <v>8.9535522673219306E-2</v>
      </c>
      <c r="AN63" s="154">
        <v>-26.796507077230501</v>
      </c>
      <c r="AO63" s="154">
        <v>0.78735229304449805</v>
      </c>
      <c r="AP63" s="154">
        <v>0.456543497405625</v>
      </c>
      <c r="AQ63" s="154">
        <v>0</v>
      </c>
      <c r="AR63" s="154">
        <v>0</v>
      </c>
      <c r="AS63" s="154">
        <v>0</v>
      </c>
      <c r="AT63" s="155">
        <v>-0.440418872419582</v>
      </c>
    </row>
    <row r="64" spans="2:46" ht="12" customHeight="1" x14ac:dyDescent="0.3">
      <c r="B64" s="153" t="s">
        <v>44</v>
      </c>
      <c r="C64" s="154" t="s">
        <v>33</v>
      </c>
      <c r="D64" s="154" t="s">
        <v>45</v>
      </c>
      <c r="E64" s="154" t="s">
        <v>25</v>
      </c>
      <c r="F64" s="154" t="s">
        <v>25</v>
      </c>
      <c r="G64" s="154" t="s">
        <v>34</v>
      </c>
      <c r="H64" s="154" t="s">
        <v>78</v>
      </c>
      <c r="I64" s="154" t="s">
        <v>25</v>
      </c>
      <c r="J64" s="154">
        <v>31.44</v>
      </c>
      <c r="K64" s="154">
        <v>-46.1</v>
      </c>
      <c r="L64" s="154">
        <v>0.43861596144959802</v>
      </c>
      <c r="M64" s="154">
        <v>0</v>
      </c>
      <c r="N64" s="154">
        <v>0</v>
      </c>
      <c r="O64" s="154">
        <v>0</v>
      </c>
      <c r="P64" s="154">
        <v>0</v>
      </c>
      <c r="Q64" s="154">
        <v>21.7248233467033</v>
      </c>
      <c r="R64" s="154">
        <v>4.9401125632156404</v>
      </c>
      <c r="S64" s="154">
        <v>0</v>
      </c>
      <c r="T64" s="154">
        <v>6.4466444134419598</v>
      </c>
      <c r="U64" s="154">
        <v>1.3060029332869301</v>
      </c>
      <c r="V64" s="154">
        <v>0</v>
      </c>
      <c r="W64" s="154">
        <v>0</v>
      </c>
      <c r="X64" s="154">
        <v>0</v>
      </c>
      <c r="Y64" s="154">
        <v>0</v>
      </c>
      <c r="Z64" s="154">
        <v>0</v>
      </c>
      <c r="AA64" s="154">
        <v>0</v>
      </c>
      <c r="AB64" s="154">
        <v>0</v>
      </c>
      <c r="AC64" s="154">
        <v>0</v>
      </c>
      <c r="AD64" s="154">
        <v>0</v>
      </c>
      <c r="AE64" s="154">
        <v>-3.1400509371330001</v>
      </c>
      <c r="AF64" s="154">
        <v>-5.4420483300995998E-2</v>
      </c>
      <c r="AG64" s="154">
        <v>-0.21677063300153901</v>
      </c>
      <c r="AH64" s="154">
        <v>0</v>
      </c>
      <c r="AI64" s="154">
        <v>0.89401732398418698</v>
      </c>
      <c r="AJ64" s="154">
        <v>0</v>
      </c>
      <c r="AK64" s="154">
        <v>0</v>
      </c>
      <c r="AL64" s="154">
        <v>-1.7987437818533201</v>
      </c>
      <c r="AM64" s="154">
        <v>8.9535522673219306E-2</v>
      </c>
      <c r="AN64" s="154">
        <v>-46.089992172836403</v>
      </c>
      <c r="AO64" s="154">
        <v>0.78735229304449805</v>
      </c>
      <c r="AP64" s="154">
        <v>0.456543497405625</v>
      </c>
      <c r="AQ64" s="154">
        <v>0</v>
      </c>
      <c r="AR64" s="154">
        <v>0</v>
      </c>
      <c r="AS64" s="154">
        <v>0</v>
      </c>
      <c r="AT64" s="155">
        <v>-0.440418872419582</v>
      </c>
    </row>
    <row r="65" spans="2:46" ht="12" customHeight="1" x14ac:dyDescent="0.3">
      <c r="B65" s="153" t="s">
        <v>44</v>
      </c>
      <c r="C65" s="154" t="s">
        <v>33</v>
      </c>
      <c r="D65" s="154" t="s">
        <v>45</v>
      </c>
      <c r="E65" s="154" t="s">
        <v>25</v>
      </c>
      <c r="F65" s="154" t="s">
        <v>25</v>
      </c>
      <c r="G65" s="154" t="s">
        <v>36</v>
      </c>
      <c r="H65" s="154" t="s">
        <v>78</v>
      </c>
      <c r="I65" s="154" t="s">
        <v>25</v>
      </c>
      <c r="J65" s="154">
        <v>28.34</v>
      </c>
      <c r="K65" s="154">
        <v>-26.81</v>
      </c>
      <c r="L65" s="154">
        <v>0.43861596144959802</v>
      </c>
      <c r="M65" s="154">
        <v>0</v>
      </c>
      <c r="N65" s="154">
        <v>0</v>
      </c>
      <c r="O65" s="154">
        <v>0</v>
      </c>
      <c r="P65" s="154">
        <v>0</v>
      </c>
      <c r="Q65" s="154">
        <v>21.7248233467033</v>
      </c>
      <c r="R65" s="154">
        <v>4.9401125632156404</v>
      </c>
      <c r="S65" s="154">
        <v>0</v>
      </c>
      <c r="T65" s="154">
        <v>3.8679901404966901</v>
      </c>
      <c r="U65" s="154">
        <v>0.78360175997215598</v>
      </c>
      <c r="V65" s="154">
        <v>0</v>
      </c>
      <c r="W65" s="154">
        <v>0</v>
      </c>
      <c r="X65" s="154">
        <v>0</v>
      </c>
      <c r="Y65" s="154">
        <v>0</v>
      </c>
      <c r="Z65" s="154">
        <v>0</v>
      </c>
      <c r="AA65" s="154">
        <v>0</v>
      </c>
      <c r="AB65" s="154">
        <v>0</v>
      </c>
      <c r="AC65" s="154">
        <v>0</v>
      </c>
      <c r="AD65" s="154">
        <v>0</v>
      </c>
      <c r="AE65" s="154">
        <v>-3.1400509371330001</v>
      </c>
      <c r="AF65" s="154">
        <v>-5.4420483300995998E-2</v>
      </c>
      <c r="AG65" s="154">
        <v>-0.21677063300153901</v>
      </c>
      <c r="AH65" s="154">
        <v>0</v>
      </c>
      <c r="AI65" s="154">
        <v>0.89401732398418698</v>
      </c>
      <c r="AJ65" s="154">
        <v>0</v>
      </c>
      <c r="AK65" s="154">
        <v>0</v>
      </c>
      <c r="AL65" s="154">
        <v>-1.7987437818533201</v>
      </c>
      <c r="AM65" s="154">
        <v>8.9535522673219306E-2</v>
      </c>
      <c r="AN65" s="154">
        <v>-26.796507077230501</v>
      </c>
      <c r="AO65" s="154">
        <v>0.78735229304449805</v>
      </c>
      <c r="AP65" s="154">
        <v>0.456543497405625</v>
      </c>
      <c r="AQ65" s="154">
        <v>0</v>
      </c>
      <c r="AR65" s="154">
        <v>0</v>
      </c>
      <c r="AS65" s="154">
        <v>0</v>
      </c>
      <c r="AT65" s="155">
        <v>-0.440418872419582</v>
      </c>
    </row>
    <row r="66" spans="2:46" ht="12" customHeight="1" x14ac:dyDescent="0.3">
      <c r="B66" s="153" t="s">
        <v>44</v>
      </c>
      <c r="C66" s="154" t="s">
        <v>33</v>
      </c>
      <c r="D66" s="154" t="s">
        <v>45</v>
      </c>
      <c r="E66" s="154" t="s">
        <v>25</v>
      </c>
      <c r="F66" s="154" t="s">
        <v>25</v>
      </c>
      <c r="G66" s="154" t="s">
        <v>35</v>
      </c>
      <c r="H66" s="154" t="s">
        <v>78</v>
      </c>
      <c r="I66" s="154" t="s">
        <v>25</v>
      </c>
      <c r="J66" s="154">
        <v>25.24</v>
      </c>
      <c r="K66" s="154">
        <v>-26.81</v>
      </c>
      <c r="L66" s="154">
        <v>0.43861596144959802</v>
      </c>
      <c r="M66" s="154">
        <v>0</v>
      </c>
      <c r="N66" s="154">
        <v>0</v>
      </c>
      <c r="O66" s="154">
        <v>0</v>
      </c>
      <c r="P66" s="154">
        <v>0</v>
      </c>
      <c r="Q66" s="154">
        <v>21.7248233467033</v>
      </c>
      <c r="R66" s="154">
        <v>4.9401125632156404</v>
      </c>
      <c r="S66" s="154">
        <v>0</v>
      </c>
      <c r="T66" s="154">
        <v>1.28932713647263</v>
      </c>
      <c r="U66" s="154">
        <v>0.26120058665738499</v>
      </c>
      <c r="V66" s="154">
        <v>0</v>
      </c>
      <c r="W66" s="154">
        <v>0</v>
      </c>
      <c r="X66" s="154">
        <v>0</v>
      </c>
      <c r="Y66" s="154">
        <v>0</v>
      </c>
      <c r="Z66" s="154">
        <v>0</v>
      </c>
      <c r="AA66" s="154">
        <v>0</v>
      </c>
      <c r="AB66" s="154">
        <v>0</v>
      </c>
      <c r="AC66" s="154">
        <v>0</v>
      </c>
      <c r="AD66" s="154">
        <v>0</v>
      </c>
      <c r="AE66" s="154">
        <v>-3.1400509371330001</v>
      </c>
      <c r="AF66" s="154">
        <v>-5.4420483300995998E-2</v>
      </c>
      <c r="AG66" s="154">
        <v>-0.21677063300153901</v>
      </c>
      <c r="AH66" s="154">
        <v>0</v>
      </c>
      <c r="AI66" s="154">
        <v>0.89401732398418698</v>
      </c>
      <c r="AJ66" s="154">
        <v>0</v>
      </c>
      <c r="AK66" s="154">
        <v>0</v>
      </c>
      <c r="AL66" s="154">
        <v>-1.7987437818533201</v>
      </c>
      <c r="AM66" s="154">
        <v>8.9535522673219306E-2</v>
      </c>
      <c r="AN66" s="154">
        <v>-26.796507077230501</v>
      </c>
      <c r="AO66" s="154">
        <v>0.78735229304449805</v>
      </c>
      <c r="AP66" s="154">
        <v>0.456543497405625</v>
      </c>
      <c r="AQ66" s="154">
        <v>0</v>
      </c>
      <c r="AR66" s="154">
        <v>0</v>
      </c>
      <c r="AS66" s="154">
        <v>0</v>
      </c>
      <c r="AT66" s="155">
        <v>-0.440418872419582</v>
      </c>
    </row>
    <row r="67" spans="2:46" ht="12" customHeight="1" x14ac:dyDescent="0.3">
      <c r="B67" s="153" t="s">
        <v>44</v>
      </c>
      <c r="C67" s="154" t="s">
        <v>33</v>
      </c>
      <c r="D67" s="154" t="s">
        <v>45</v>
      </c>
      <c r="E67" s="154" t="s">
        <v>94</v>
      </c>
      <c r="F67" s="154" t="s">
        <v>25</v>
      </c>
      <c r="G67" s="154" t="s">
        <v>34</v>
      </c>
      <c r="H67" s="154" t="s">
        <v>78</v>
      </c>
      <c r="I67" s="154" t="s">
        <v>25</v>
      </c>
      <c r="J67" s="154">
        <v>30.78</v>
      </c>
      <c r="K67" s="154">
        <v>-45.12</v>
      </c>
      <c r="L67" s="154">
        <v>0.42928370695067097</v>
      </c>
      <c r="M67" s="154">
        <v>0</v>
      </c>
      <c r="N67" s="154">
        <v>0</v>
      </c>
      <c r="O67" s="154">
        <v>0</v>
      </c>
      <c r="P67" s="154">
        <v>0</v>
      </c>
      <c r="Q67" s="154">
        <v>21.2625930627309</v>
      </c>
      <c r="R67" s="154">
        <v>4.8350037852748802</v>
      </c>
      <c r="S67" s="154">
        <v>0</v>
      </c>
      <c r="T67" s="154">
        <v>6.3094817663474503</v>
      </c>
      <c r="U67" s="154">
        <v>1.2782156368340101</v>
      </c>
      <c r="V67" s="154">
        <v>0</v>
      </c>
      <c r="W67" s="154">
        <v>0</v>
      </c>
      <c r="X67" s="154">
        <v>0</v>
      </c>
      <c r="Y67" s="154">
        <v>0</v>
      </c>
      <c r="Z67" s="154">
        <v>0</v>
      </c>
      <c r="AA67" s="154">
        <v>0</v>
      </c>
      <c r="AB67" s="154">
        <v>0</v>
      </c>
      <c r="AC67" s="154">
        <v>0</v>
      </c>
      <c r="AD67" s="154">
        <v>0</v>
      </c>
      <c r="AE67" s="154">
        <v>-3.0732413427259102</v>
      </c>
      <c r="AF67" s="154">
        <v>-5.3262600677570597E-2</v>
      </c>
      <c r="AG67" s="154">
        <v>-0.212158491873847</v>
      </c>
      <c r="AH67" s="154">
        <v>0</v>
      </c>
      <c r="AI67" s="154">
        <v>0.87499567879303397</v>
      </c>
      <c r="AJ67" s="154">
        <v>0</v>
      </c>
      <c r="AK67" s="154">
        <v>0</v>
      </c>
      <c r="AL67" s="154">
        <v>-1.76047263755857</v>
      </c>
      <c r="AM67" s="154">
        <v>8.7630511552512502E-2</v>
      </c>
      <c r="AN67" s="154">
        <v>-45.1093540414995</v>
      </c>
      <c r="AO67" s="154">
        <v>0.77060011659674299</v>
      </c>
      <c r="AP67" s="154">
        <v>0.44682980597146299</v>
      </c>
      <c r="AQ67" s="154">
        <v>0</v>
      </c>
      <c r="AR67" s="154">
        <v>0</v>
      </c>
      <c r="AS67" s="154">
        <v>0</v>
      </c>
      <c r="AT67" s="155">
        <v>-0.43104825811278202</v>
      </c>
    </row>
    <row r="68" spans="2:46" ht="12" customHeight="1" x14ac:dyDescent="0.3">
      <c r="B68" s="153" t="s">
        <v>44</v>
      </c>
      <c r="C68" s="154" t="s">
        <v>33</v>
      </c>
      <c r="D68" s="154" t="s">
        <v>45</v>
      </c>
      <c r="E68" s="154" t="s">
        <v>94</v>
      </c>
      <c r="F68" s="154" t="s">
        <v>25</v>
      </c>
      <c r="G68" s="154" t="s">
        <v>36</v>
      </c>
      <c r="H68" s="154" t="s">
        <v>78</v>
      </c>
      <c r="I68" s="154" t="s">
        <v>25</v>
      </c>
      <c r="J68" s="154">
        <v>27.74</v>
      </c>
      <c r="K68" s="154">
        <v>-26.24</v>
      </c>
      <c r="L68" s="154">
        <v>0.42928370695067097</v>
      </c>
      <c r="M68" s="154">
        <v>0</v>
      </c>
      <c r="N68" s="154">
        <v>0</v>
      </c>
      <c r="O68" s="154">
        <v>0</v>
      </c>
      <c r="P68" s="154">
        <v>0</v>
      </c>
      <c r="Q68" s="154">
        <v>21.2625930627309</v>
      </c>
      <c r="R68" s="154">
        <v>4.8350037852748802</v>
      </c>
      <c r="S68" s="154">
        <v>0</v>
      </c>
      <c r="T68" s="154">
        <v>3.7856924779329302</v>
      </c>
      <c r="U68" s="154">
        <v>0.76692938210040795</v>
      </c>
      <c r="V68" s="154">
        <v>0</v>
      </c>
      <c r="W68" s="154">
        <v>0</v>
      </c>
      <c r="X68" s="154">
        <v>0</v>
      </c>
      <c r="Y68" s="154">
        <v>0</v>
      </c>
      <c r="Z68" s="154">
        <v>0</v>
      </c>
      <c r="AA68" s="154">
        <v>0</v>
      </c>
      <c r="AB68" s="154">
        <v>0</v>
      </c>
      <c r="AC68" s="154">
        <v>0</v>
      </c>
      <c r="AD68" s="154">
        <v>0</v>
      </c>
      <c r="AE68" s="154">
        <v>-3.0732413427259102</v>
      </c>
      <c r="AF68" s="154">
        <v>-5.3262600677570597E-2</v>
      </c>
      <c r="AG68" s="154">
        <v>-0.212158491873847</v>
      </c>
      <c r="AH68" s="154">
        <v>0</v>
      </c>
      <c r="AI68" s="154">
        <v>0.87499567879303397</v>
      </c>
      <c r="AJ68" s="154">
        <v>0</v>
      </c>
      <c r="AK68" s="154">
        <v>0</v>
      </c>
      <c r="AL68" s="154">
        <v>-1.76047263755857</v>
      </c>
      <c r="AM68" s="154">
        <v>8.7630511552512502E-2</v>
      </c>
      <c r="AN68" s="154">
        <v>-26.2263686287788</v>
      </c>
      <c r="AO68" s="154">
        <v>0.77060011659674299</v>
      </c>
      <c r="AP68" s="154">
        <v>0.44682980597146299</v>
      </c>
      <c r="AQ68" s="154">
        <v>0</v>
      </c>
      <c r="AR68" s="154">
        <v>0</v>
      </c>
      <c r="AS68" s="154">
        <v>0</v>
      </c>
      <c r="AT68" s="155">
        <v>-0.43104825811278202</v>
      </c>
    </row>
    <row r="69" spans="2:46" ht="12" customHeight="1" x14ac:dyDescent="0.3">
      <c r="B69" s="153" t="s">
        <v>44</v>
      </c>
      <c r="C69" s="154" t="s">
        <v>33</v>
      </c>
      <c r="D69" s="154" t="s">
        <v>45</v>
      </c>
      <c r="E69" s="154" t="s">
        <v>94</v>
      </c>
      <c r="F69" s="154" t="s">
        <v>25</v>
      </c>
      <c r="G69" s="154" t="s">
        <v>35</v>
      </c>
      <c r="H69" s="154" t="s">
        <v>78</v>
      </c>
      <c r="I69" s="154" t="s">
        <v>25</v>
      </c>
      <c r="J69" s="154">
        <v>24.71</v>
      </c>
      <c r="K69" s="154">
        <v>-26.24</v>
      </c>
      <c r="L69" s="154">
        <v>0.42928370695067097</v>
      </c>
      <c r="M69" s="154">
        <v>0</v>
      </c>
      <c r="N69" s="154">
        <v>0</v>
      </c>
      <c r="O69" s="154">
        <v>0</v>
      </c>
      <c r="P69" s="154">
        <v>0</v>
      </c>
      <c r="Q69" s="154">
        <v>21.2625930627309</v>
      </c>
      <c r="R69" s="154">
        <v>4.8350037852748802</v>
      </c>
      <c r="S69" s="154">
        <v>0</v>
      </c>
      <c r="T69" s="154">
        <v>1.2618946442072601</v>
      </c>
      <c r="U69" s="154">
        <v>0.255643127366803</v>
      </c>
      <c r="V69" s="154">
        <v>0</v>
      </c>
      <c r="W69" s="154">
        <v>0</v>
      </c>
      <c r="X69" s="154">
        <v>0</v>
      </c>
      <c r="Y69" s="154">
        <v>0</v>
      </c>
      <c r="Z69" s="154">
        <v>0</v>
      </c>
      <c r="AA69" s="154">
        <v>0</v>
      </c>
      <c r="AB69" s="154">
        <v>0</v>
      </c>
      <c r="AC69" s="154">
        <v>0</v>
      </c>
      <c r="AD69" s="154">
        <v>0</v>
      </c>
      <c r="AE69" s="154">
        <v>-3.0732413427259102</v>
      </c>
      <c r="AF69" s="154">
        <v>-5.3262600677570597E-2</v>
      </c>
      <c r="AG69" s="154">
        <v>-0.212158491873847</v>
      </c>
      <c r="AH69" s="154">
        <v>0</v>
      </c>
      <c r="AI69" s="154">
        <v>0.87499567879303397</v>
      </c>
      <c r="AJ69" s="154">
        <v>0</v>
      </c>
      <c r="AK69" s="154">
        <v>0</v>
      </c>
      <c r="AL69" s="154">
        <v>-1.76047263755857</v>
      </c>
      <c r="AM69" s="154">
        <v>8.7630511552512502E-2</v>
      </c>
      <c r="AN69" s="154">
        <v>-26.2263686287788</v>
      </c>
      <c r="AO69" s="154">
        <v>0.77060011659674299</v>
      </c>
      <c r="AP69" s="154">
        <v>0.44682980597146299</v>
      </c>
      <c r="AQ69" s="154">
        <v>0</v>
      </c>
      <c r="AR69" s="154">
        <v>0</v>
      </c>
      <c r="AS69" s="154">
        <v>0</v>
      </c>
      <c r="AT69" s="155">
        <v>-0.43104825811278202</v>
      </c>
    </row>
    <row r="70" spans="2:46" ht="12" customHeight="1" x14ac:dyDescent="0.3">
      <c r="B70" s="153" t="s">
        <v>44</v>
      </c>
      <c r="C70" s="154" t="s">
        <v>23</v>
      </c>
      <c r="D70" s="154" t="s">
        <v>45</v>
      </c>
      <c r="E70" s="154" t="s">
        <v>93</v>
      </c>
      <c r="F70" s="154" t="s">
        <v>25</v>
      </c>
      <c r="G70" s="154" t="s">
        <v>25</v>
      </c>
      <c r="H70" s="154" t="s">
        <v>78</v>
      </c>
      <c r="I70" s="154" t="s">
        <v>25</v>
      </c>
      <c r="J70" s="154">
        <v>26.32</v>
      </c>
      <c r="K70" s="154">
        <v>-28.42</v>
      </c>
      <c r="L70" s="154">
        <v>0.43861596144959802</v>
      </c>
      <c r="M70" s="154">
        <v>0</v>
      </c>
      <c r="N70" s="154">
        <v>0</v>
      </c>
      <c r="O70" s="154">
        <v>0</v>
      </c>
      <c r="P70" s="154">
        <v>0</v>
      </c>
      <c r="Q70" s="154">
        <v>21.7248233467033</v>
      </c>
      <c r="R70" s="154">
        <v>4.9401125632156404</v>
      </c>
      <c r="S70" s="154">
        <v>0</v>
      </c>
      <c r="T70" s="154">
        <v>2.1853017111534099</v>
      </c>
      <c r="U70" s="154">
        <v>0.44271316083130602</v>
      </c>
      <c r="V70" s="154">
        <v>0</v>
      </c>
      <c r="W70" s="154">
        <v>0</v>
      </c>
      <c r="X70" s="154">
        <v>0</v>
      </c>
      <c r="Y70" s="154">
        <v>0</v>
      </c>
      <c r="Z70" s="154">
        <v>0</v>
      </c>
      <c r="AA70" s="154">
        <v>0</v>
      </c>
      <c r="AB70" s="154">
        <v>0</v>
      </c>
      <c r="AC70" s="154">
        <v>0</v>
      </c>
      <c r="AD70" s="154">
        <v>0</v>
      </c>
      <c r="AE70" s="154">
        <v>-3.1400509371330001</v>
      </c>
      <c r="AF70" s="154">
        <v>-5.4420483300995998E-2</v>
      </c>
      <c r="AG70" s="154">
        <v>-0.21677063300153901</v>
      </c>
      <c r="AH70" s="154">
        <v>0</v>
      </c>
      <c r="AI70" s="154">
        <v>0.89401732398418698</v>
      </c>
      <c r="AJ70" s="154">
        <v>0</v>
      </c>
      <c r="AK70" s="154">
        <v>0</v>
      </c>
      <c r="AL70" s="154">
        <v>-1.7987437818533201</v>
      </c>
      <c r="AM70" s="154">
        <v>8.9535522673219306E-2</v>
      </c>
      <c r="AN70" s="154">
        <v>-28.404297501864299</v>
      </c>
      <c r="AO70" s="154">
        <v>0.78735229304449805</v>
      </c>
      <c r="AP70" s="154">
        <v>0.456543497405625</v>
      </c>
      <c r="AQ70" s="154">
        <v>0</v>
      </c>
      <c r="AR70" s="154">
        <v>0</v>
      </c>
      <c r="AS70" s="154">
        <v>0</v>
      </c>
      <c r="AT70" s="155">
        <v>-0.440418872419582</v>
      </c>
    </row>
    <row r="71" spans="2:46" ht="12" customHeight="1" x14ac:dyDescent="0.3">
      <c r="B71" s="153" t="s">
        <v>44</v>
      </c>
      <c r="C71" s="154" t="s">
        <v>23</v>
      </c>
      <c r="D71" s="154" t="s">
        <v>45</v>
      </c>
      <c r="E71" s="154" t="s">
        <v>25</v>
      </c>
      <c r="F71" s="154" t="s">
        <v>25</v>
      </c>
      <c r="G71" s="154" t="s">
        <v>25</v>
      </c>
      <c r="H71" s="154" t="s">
        <v>78</v>
      </c>
      <c r="I71" s="154" t="s">
        <v>25</v>
      </c>
      <c r="J71" s="154">
        <v>26.32</v>
      </c>
      <c r="K71" s="154">
        <v>-28.42</v>
      </c>
      <c r="L71" s="154">
        <v>0.43861596144959802</v>
      </c>
      <c r="M71" s="154">
        <v>0</v>
      </c>
      <c r="N71" s="154">
        <v>0</v>
      </c>
      <c r="O71" s="154">
        <v>0</v>
      </c>
      <c r="P71" s="154">
        <v>0</v>
      </c>
      <c r="Q71" s="154">
        <v>21.7248233467033</v>
      </c>
      <c r="R71" s="154">
        <v>4.9401125632156404</v>
      </c>
      <c r="S71" s="154">
        <v>0</v>
      </c>
      <c r="T71" s="154">
        <v>2.1853017111534099</v>
      </c>
      <c r="U71" s="154">
        <v>0.44271316083130602</v>
      </c>
      <c r="V71" s="154">
        <v>0</v>
      </c>
      <c r="W71" s="154">
        <v>0</v>
      </c>
      <c r="X71" s="154">
        <v>0</v>
      </c>
      <c r="Y71" s="154">
        <v>0</v>
      </c>
      <c r="Z71" s="154">
        <v>0</v>
      </c>
      <c r="AA71" s="154">
        <v>0</v>
      </c>
      <c r="AB71" s="154">
        <v>0</v>
      </c>
      <c r="AC71" s="154">
        <v>0</v>
      </c>
      <c r="AD71" s="154">
        <v>0</v>
      </c>
      <c r="AE71" s="154">
        <v>-3.1400509371330001</v>
      </c>
      <c r="AF71" s="154">
        <v>-5.4420483300995998E-2</v>
      </c>
      <c r="AG71" s="154">
        <v>-0.21677063300153901</v>
      </c>
      <c r="AH71" s="154">
        <v>0</v>
      </c>
      <c r="AI71" s="154">
        <v>0.89401732398418698</v>
      </c>
      <c r="AJ71" s="154">
        <v>0</v>
      </c>
      <c r="AK71" s="154">
        <v>0</v>
      </c>
      <c r="AL71" s="154">
        <v>-1.7987437818533201</v>
      </c>
      <c r="AM71" s="154">
        <v>8.9535522673219306E-2</v>
      </c>
      <c r="AN71" s="154">
        <v>-28.404297501864299</v>
      </c>
      <c r="AO71" s="154">
        <v>0.78735229304449805</v>
      </c>
      <c r="AP71" s="154">
        <v>0.456543497405625</v>
      </c>
      <c r="AQ71" s="154">
        <v>0</v>
      </c>
      <c r="AR71" s="154">
        <v>0</v>
      </c>
      <c r="AS71" s="154">
        <v>0</v>
      </c>
      <c r="AT71" s="155">
        <v>-0.440418872419582</v>
      </c>
    </row>
    <row r="72" spans="2:46" ht="12" customHeight="1" x14ac:dyDescent="0.3">
      <c r="B72" s="153" t="s">
        <v>44</v>
      </c>
      <c r="C72" s="154" t="s">
        <v>23</v>
      </c>
      <c r="D72" s="154" t="s">
        <v>45</v>
      </c>
      <c r="E72" s="154" t="s">
        <v>94</v>
      </c>
      <c r="F72" s="154" t="s">
        <v>25</v>
      </c>
      <c r="G72" s="154" t="s">
        <v>25</v>
      </c>
      <c r="H72" s="154" t="s">
        <v>78</v>
      </c>
      <c r="I72" s="154" t="s">
        <v>25</v>
      </c>
      <c r="J72" s="154">
        <v>25.76</v>
      </c>
      <c r="K72" s="154">
        <v>-27.81</v>
      </c>
      <c r="L72" s="154">
        <v>0.42928370695067097</v>
      </c>
      <c r="M72" s="154">
        <v>0</v>
      </c>
      <c r="N72" s="154">
        <v>0</v>
      </c>
      <c r="O72" s="154">
        <v>0</v>
      </c>
      <c r="P72" s="154">
        <v>0</v>
      </c>
      <c r="Q72" s="154">
        <v>21.2625930627309</v>
      </c>
      <c r="R72" s="154">
        <v>4.8350037852748802</v>
      </c>
      <c r="S72" s="154">
        <v>0</v>
      </c>
      <c r="T72" s="154">
        <v>2.1388059300650402</v>
      </c>
      <c r="U72" s="154">
        <v>0.43329373187744802</v>
      </c>
      <c r="V72" s="154">
        <v>0</v>
      </c>
      <c r="W72" s="154">
        <v>0</v>
      </c>
      <c r="X72" s="154">
        <v>0</v>
      </c>
      <c r="Y72" s="154">
        <v>0</v>
      </c>
      <c r="Z72" s="154">
        <v>0</v>
      </c>
      <c r="AA72" s="154">
        <v>0</v>
      </c>
      <c r="AB72" s="154">
        <v>0</v>
      </c>
      <c r="AC72" s="154">
        <v>0</v>
      </c>
      <c r="AD72" s="154">
        <v>0</v>
      </c>
      <c r="AE72" s="154">
        <v>-3.0732413427259102</v>
      </c>
      <c r="AF72" s="154">
        <v>-5.3262600677570597E-2</v>
      </c>
      <c r="AG72" s="154">
        <v>-0.212158491873847</v>
      </c>
      <c r="AH72" s="154">
        <v>0</v>
      </c>
      <c r="AI72" s="154">
        <v>0.87499567879303397</v>
      </c>
      <c r="AJ72" s="154">
        <v>0</v>
      </c>
      <c r="AK72" s="154">
        <v>0</v>
      </c>
      <c r="AL72" s="154">
        <v>-1.76047263755857</v>
      </c>
      <c r="AM72" s="154">
        <v>8.7630511552512502E-2</v>
      </c>
      <c r="AN72" s="154">
        <v>-27.799950746505498</v>
      </c>
      <c r="AO72" s="154">
        <v>0.77060011659674299</v>
      </c>
      <c r="AP72" s="154">
        <v>0.44682980597146299</v>
      </c>
      <c r="AQ72" s="154">
        <v>0</v>
      </c>
      <c r="AR72" s="154">
        <v>0</v>
      </c>
      <c r="AS72" s="154">
        <v>0</v>
      </c>
      <c r="AT72" s="155">
        <v>-0.43104825811278202</v>
      </c>
    </row>
    <row r="73" spans="2:46" ht="12" customHeight="1" x14ac:dyDescent="0.3">
      <c r="B73" s="153" t="s">
        <v>44</v>
      </c>
      <c r="C73" s="154" t="s">
        <v>92</v>
      </c>
      <c r="D73" s="154" t="s">
        <v>45</v>
      </c>
      <c r="E73" s="154" t="s">
        <v>93</v>
      </c>
      <c r="F73" s="154" t="s">
        <v>25</v>
      </c>
      <c r="G73" s="154" t="s">
        <v>25</v>
      </c>
      <c r="H73" s="154" t="s">
        <v>78</v>
      </c>
      <c r="I73" s="154" t="s">
        <v>25</v>
      </c>
      <c r="J73" s="154">
        <v>26.32</v>
      </c>
      <c r="K73" s="154">
        <v>-28.42</v>
      </c>
      <c r="L73" s="154">
        <v>0.43861596144959802</v>
      </c>
      <c r="M73" s="154">
        <v>0</v>
      </c>
      <c r="N73" s="154">
        <v>0</v>
      </c>
      <c r="O73" s="154">
        <v>0</v>
      </c>
      <c r="P73" s="154">
        <v>0</v>
      </c>
      <c r="Q73" s="154">
        <v>21.7248233467033</v>
      </c>
      <c r="R73" s="154">
        <v>4.9401125632156404</v>
      </c>
      <c r="S73" s="154">
        <v>0</v>
      </c>
      <c r="T73" s="154">
        <v>2.1853017111534099</v>
      </c>
      <c r="U73" s="154">
        <v>0.44271316083130602</v>
      </c>
      <c r="V73" s="154">
        <v>0</v>
      </c>
      <c r="W73" s="154">
        <v>0</v>
      </c>
      <c r="X73" s="154">
        <v>0</v>
      </c>
      <c r="Y73" s="154">
        <v>0</v>
      </c>
      <c r="Z73" s="154">
        <v>0</v>
      </c>
      <c r="AA73" s="154">
        <v>0</v>
      </c>
      <c r="AB73" s="154">
        <v>0</v>
      </c>
      <c r="AC73" s="154">
        <v>0</v>
      </c>
      <c r="AD73" s="154">
        <v>0</v>
      </c>
      <c r="AE73" s="154">
        <v>-3.1400509371330001</v>
      </c>
      <c r="AF73" s="154">
        <v>-5.4420483300995998E-2</v>
      </c>
      <c r="AG73" s="154">
        <v>-0.21677063300153901</v>
      </c>
      <c r="AH73" s="154">
        <v>0</v>
      </c>
      <c r="AI73" s="154">
        <v>0.89401732398418698</v>
      </c>
      <c r="AJ73" s="154">
        <v>0</v>
      </c>
      <c r="AK73" s="154">
        <v>0</v>
      </c>
      <c r="AL73" s="154">
        <v>-1.7987437818533201</v>
      </c>
      <c r="AM73" s="154">
        <v>8.9535522673219306E-2</v>
      </c>
      <c r="AN73" s="154">
        <v>-28.404297501864299</v>
      </c>
      <c r="AO73" s="154">
        <v>0.78735229304449805</v>
      </c>
      <c r="AP73" s="154">
        <v>0.456543497405625</v>
      </c>
      <c r="AQ73" s="154">
        <v>0</v>
      </c>
      <c r="AR73" s="154">
        <v>0</v>
      </c>
      <c r="AS73" s="154">
        <v>0</v>
      </c>
      <c r="AT73" s="155">
        <v>-0.440418872419582</v>
      </c>
    </row>
    <row r="74" spans="2:46" ht="12" customHeight="1" x14ac:dyDescent="0.3">
      <c r="B74" s="153" t="s">
        <v>44</v>
      </c>
      <c r="C74" s="154" t="s">
        <v>92</v>
      </c>
      <c r="D74" s="154" t="s">
        <v>45</v>
      </c>
      <c r="E74" s="154" t="s">
        <v>25</v>
      </c>
      <c r="F74" s="154" t="s">
        <v>25</v>
      </c>
      <c r="G74" s="154" t="s">
        <v>25</v>
      </c>
      <c r="H74" s="154" t="s">
        <v>78</v>
      </c>
      <c r="I74" s="154" t="s">
        <v>25</v>
      </c>
      <c r="J74" s="154">
        <v>26.32</v>
      </c>
      <c r="K74" s="154">
        <v>-28.42</v>
      </c>
      <c r="L74" s="154">
        <v>0.43861596144959802</v>
      </c>
      <c r="M74" s="154">
        <v>0</v>
      </c>
      <c r="N74" s="154">
        <v>0</v>
      </c>
      <c r="O74" s="154">
        <v>0</v>
      </c>
      <c r="P74" s="154">
        <v>0</v>
      </c>
      <c r="Q74" s="154">
        <v>21.7248233467033</v>
      </c>
      <c r="R74" s="154">
        <v>4.9401125632156404</v>
      </c>
      <c r="S74" s="154">
        <v>0</v>
      </c>
      <c r="T74" s="154">
        <v>2.1853017111534099</v>
      </c>
      <c r="U74" s="154">
        <v>0.44271316083130602</v>
      </c>
      <c r="V74" s="154">
        <v>0</v>
      </c>
      <c r="W74" s="154">
        <v>0</v>
      </c>
      <c r="X74" s="154">
        <v>0</v>
      </c>
      <c r="Y74" s="154">
        <v>0</v>
      </c>
      <c r="Z74" s="154">
        <v>0</v>
      </c>
      <c r="AA74" s="154">
        <v>0</v>
      </c>
      <c r="AB74" s="154">
        <v>0</v>
      </c>
      <c r="AC74" s="154">
        <v>0</v>
      </c>
      <c r="AD74" s="154">
        <v>0</v>
      </c>
      <c r="AE74" s="154">
        <v>-3.1400509371330001</v>
      </c>
      <c r="AF74" s="154">
        <v>-5.4420483300995998E-2</v>
      </c>
      <c r="AG74" s="154">
        <v>-0.21677063300153901</v>
      </c>
      <c r="AH74" s="154">
        <v>0</v>
      </c>
      <c r="AI74" s="154">
        <v>0.89401732398418698</v>
      </c>
      <c r="AJ74" s="154">
        <v>0</v>
      </c>
      <c r="AK74" s="154">
        <v>0</v>
      </c>
      <c r="AL74" s="154">
        <v>-1.7987437818533201</v>
      </c>
      <c r="AM74" s="154">
        <v>8.9535522673219306E-2</v>
      </c>
      <c r="AN74" s="154">
        <v>-28.404297501864299</v>
      </c>
      <c r="AO74" s="154">
        <v>0.78735229304449805</v>
      </c>
      <c r="AP74" s="154">
        <v>0.456543497405625</v>
      </c>
      <c r="AQ74" s="154">
        <v>0</v>
      </c>
      <c r="AR74" s="154">
        <v>0</v>
      </c>
      <c r="AS74" s="154">
        <v>0</v>
      </c>
      <c r="AT74" s="155">
        <v>-0.440418872419582</v>
      </c>
    </row>
    <row r="75" spans="2:46" ht="12" customHeight="1" x14ac:dyDescent="0.3">
      <c r="B75" s="153" t="s">
        <v>44</v>
      </c>
      <c r="C75" s="154" t="s">
        <v>92</v>
      </c>
      <c r="D75" s="154" t="s">
        <v>45</v>
      </c>
      <c r="E75" s="154" t="s">
        <v>94</v>
      </c>
      <c r="F75" s="154" t="s">
        <v>25</v>
      </c>
      <c r="G75" s="154" t="s">
        <v>25</v>
      </c>
      <c r="H75" s="154" t="s">
        <v>78</v>
      </c>
      <c r="I75" s="154" t="s">
        <v>25</v>
      </c>
      <c r="J75" s="154">
        <v>25.76</v>
      </c>
      <c r="K75" s="154">
        <v>-27.81</v>
      </c>
      <c r="L75" s="154">
        <v>0.42928370695067097</v>
      </c>
      <c r="M75" s="154">
        <v>0</v>
      </c>
      <c r="N75" s="154">
        <v>0</v>
      </c>
      <c r="O75" s="154">
        <v>0</v>
      </c>
      <c r="P75" s="154">
        <v>0</v>
      </c>
      <c r="Q75" s="154">
        <v>21.2625930627309</v>
      </c>
      <c r="R75" s="154">
        <v>4.8350037852748802</v>
      </c>
      <c r="S75" s="154">
        <v>0</v>
      </c>
      <c r="T75" s="154">
        <v>2.1388059300650402</v>
      </c>
      <c r="U75" s="154">
        <v>0.43329373187744802</v>
      </c>
      <c r="V75" s="154">
        <v>0</v>
      </c>
      <c r="W75" s="154">
        <v>0</v>
      </c>
      <c r="X75" s="154">
        <v>0</v>
      </c>
      <c r="Y75" s="154">
        <v>0</v>
      </c>
      <c r="Z75" s="154">
        <v>0</v>
      </c>
      <c r="AA75" s="154">
        <v>0</v>
      </c>
      <c r="AB75" s="154">
        <v>0</v>
      </c>
      <c r="AC75" s="154">
        <v>0</v>
      </c>
      <c r="AD75" s="154">
        <v>0</v>
      </c>
      <c r="AE75" s="154">
        <v>-3.0732413427259102</v>
      </c>
      <c r="AF75" s="154">
        <v>-5.3262600677570597E-2</v>
      </c>
      <c r="AG75" s="154">
        <v>-0.212158491873847</v>
      </c>
      <c r="AH75" s="154">
        <v>0</v>
      </c>
      <c r="AI75" s="154">
        <v>0.87499567879303397</v>
      </c>
      <c r="AJ75" s="154">
        <v>0</v>
      </c>
      <c r="AK75" s="154">
        <v>0</v>
      </c>
      <c r="AL75" s="154">
        <v>-1.76047263755857</v>
      </c>
      <c r="AM75" s="154">
        <v>8.7630511552512502E-2</v>
      </c>
      <c r="AN75" s="154">
        <v>-27.799950746505498</v>
      </c>
      <c r="AO75" s="154">
        <v>0.77060011659674299</v>
      </c>
      <c r="AP75" s="154">
        <v>0.44682980597146299</v>
      </c>
      <c r="AQ75" s="154">
        <v>0</v>
      </c>
      <c r="AR75" s="154">
        <v>0</v>
      </c>
      <c r="AS75" s="154">
        <v>0</v>
      </c>
      <c r="AT75" s="155">
        <v>-0.43104825811278202</v>
      </c>
    </row>
    <row r="76" spans="2:46" ht="12" customHeight="1" x14ac:dyDescent="0.3">
      <c r="B76" s="153" t="s">
        <v>37</v>
      </c>
      <c r="C76" s="154" t="s">
        <v>33</v>
      </c>
      <c r="D76" s="154" t="s">
        <v>25</v>
      </c>
      <c r="E76" s="154" t="s">
        <v>25</v>
      </c>
      <c r="F76" s="154" t="s">
        <v>25</v>
      </c>
      <c r="G76" s="154" t="s">
        <v>34</v>
      </c>
      <c r="H76" s="154" t="s">
        <v>78</v>
      </c>
      <c r="I76" s="154" t="s">
        <v>25</v>
      </c>
      <c r="J76" s="154">
        <v>34.43</v>
      </c>
      <c r="K76" s="154">
        <v>-49.04</v>
      </c>
      <c r="L76" s="154">
        <v>0.46661272494638101</v>
      </c>
      <c r="M76" s="154">
        <v>0</v>
      </c>
      <c r="N76" s="154">
        <v>0</v>
      </c>
      <c r="O76" s="154">
        <v>0</v>
      </c>
      <c r="P76" s="154">
        <v>0</v>
      </c>
      <c r="Q76" s="154">
        <v>23.111514198620501</v>
      </c>
      <c r="R76" s="154">
        <v>5.2554388970379096</v>
      </c>
      <c r="S76" s="154">
        <v>0</v>
      </c>
      <c r="T76" s="154">
        <v>7.6718131679628101</v>
      </c>
      <c r="U76" s="154">
        <v>1.55420514535428</v>
      </c>
      <c r="V76" s="154">
        <v>0</v>
      </c>
      <c r="W76" s="154">
        <v>0</v>
      </c>
      <c r="X76" s="154">
        <v>0</v>
      </c>
      <c r="Y76" s="154">
        <v>0</v>
      </c>
      <c r="Z76" s="154">
        <v>0</v>
      </c>
      <c r="AA76" s="154">
        <v>0</v>
      </c>
      <c r="AB76" s="154">
        <v>0</v>
      </c>
      <c r="AC76" s="154">
        <v>0</v>
      </c>
      <c r="AD76" s="154">
        <v>0</v>
      </c>
      <c r="AE76" s="154">
        <v>-3.3404797203542498</v>
      </c>
      <c r="AF76" s="154">
        <v>-5.7894131171272303E-2</v>
      </c>
      <c r="AG76" s="154">
        <v>-0.23060705638461601</v>
      </c>
      <c r="AH76" s="154">
        <v>0</v>
      </c>
      <c r="AI76" s="154">
        <v>0.95108225955764603</v>
      </c>
      <c r="AJ76" s="154">
        <v>0</v>
      </c>
      <c r="AK76" s="154">
        <v>0</v>
      </c>
      <c r="AL76" s="154">
        <v>-1.9135572147375699</v>
      </c>
      <c r="AM76" s="154">
        <v>9.5250556035339703E-2</v>
      </c>
      <c r="AN76" s="154">
        <v>-49.031906566847198</v>
      </c>
      <c r="AO76" s="154">
        <v>0.83760882238776402</v>
      </c>
      <c r="AP76" s="154">
        <v>0.48568457170811102</v>
      </c>
      <c r="AQ76" s="154">
        <v>0</v>
      </c>
      <c r="AR76" s="154">
        <v>0</v>
      </c>
      <c r="AS76" s="154">
        <v>0</v>
      </c>
      <c r="AT76" s="155">
        <v>-0.46853071533998097</v>
      </c>
    </row>
    <row r="77" spans="2:46" ht="12" customHeight="1" x14ac:dyDescent="0.3">
      <c r="B77" s="153" t="s">
        <v>37</v>
      </c>
      <c r="C77" s="154" t="s">
        <v>33</v>
      </c>
      <c r="D77" s="154" t="s">
        <v>25</v>
      </c>
      <c r="E77" s="154" t="s">
        <v>25</v>
      </c>
      <c r="F77" s="154" t="s">
        <v>25</v>
      </c>
      <c r="G77" s="154" t="s">
        <v>36</v>
      </c>
      <c r="H77" s="154" t="s">
        <v>78</v>
      </c>
      <c r="I77" s="154" t="s">
        <v>25</v>
      </c>
      <c r="J77" s="154">
        <v>30.74</v>
      </c>
      <c r="K77" s="154">
        <v>-28.52</v>
      </c>
      <c r="L77" s="154">
        <v>0.46661272494638101</v>
      </c>
      <c r="M77" s="154">
        <v>0</v>
      </c>
      <c r="N77" s="154">
        <v>0</v>
      </c>
      <c r="O77" s="154">
        <v>0</v>
      </c>
      <c r="P77" s="154">
        <v>0</v>
      </c>
      <c r="Q77" s="154">
        <v>23.111514198620501</v>
      </c>
      <c r="R77" s="154">
        <v>5.2554388970379096</v>
      </c>
      <c r="S77" s="154">
        <v>0</v>
      </c>
      <c r="T77" s="154">
        <v>4.60308975845403</v>
      </c>
      <c r="U77" s="154">
        <v>0.93251929501926301</v>
      </c>
      <c r="V77" s="154">
        <v>0</v>
      </c>
      <c r="W77" s="154">
        <v>0</v>
      </c>
      <c r="X77" s="154">
        <v>0</v>
      </c>
      <c r="Y77" s="154">
        <v>0</v>
      </c>
      <c r="Z77" s="154">
        <v>0</v>
      </c>
      <c r="AA77" s="154">
        <v>0</v>
      </c>
      <c r="AB77" s="154">
        <v>0</v>
      </c>
      <c r="AC77" s="154">
        <v>0</v>
      </c>
      <c r="AD77" s="154">
        <v>0</v>
      </c>
      <c r="AE77" s="154">
        <v>-3.3404797203542498</v>
      </c>
      <c r="AF77" s="154">
        <v>-5.7894131171272303E-2</v>
      </c>
      <c r="AG77" s="154">
        <v>-0.23060705638461601</v>
      </c>
      <c r="AH77" s="154">
        <v>0</v>
      </c>
      <c r="AI77" s="154">
        <v>0.95108225955764603</v>
      </c>
      <c r="AJ77" s="154">
        <v>0</v>
      </c>
      <c r="AK77" s="154">
        <v>0</v>
      </c>
      <c r="AL77" s="154">
        <v>-1.9135572147375699</v>
      </c>
      <c r="AM77" s="154">
        <v>9.5250556035339703E-2</v>
      </c>
      <c r="AN77" s="154">
        <v>-28.5069224225856</v>
      </c>
      <c r="AO77" s="154">
        <v>0.83760882238776402</v>
      </c>
      <c r="AP77" s="154">
        <v>0.48568457170811102</v>
      </c>
      <c r="AQ77" s="154">
        <v>0</v>
      </c>
      <c r="AR77" s="154">
        <v>0</v>
      </c>
      <c r="AS77" s="154">
        <v>0</v>
      </c>
      <c r="AT77" s="155">
        <v>-0.46853071533998097</v>
      </c>
    </row>
    <row r="78" spans="2:46" ht="12" customHeight="1" x14ac:dyDescent="0.3">
      <c r="B78" s="153" t="s">
        <v>37</v>
      </c>
      <c r="C78" s="154" t="s">
        <v>33</v>
      </c>
      <c r="D78" s="154" t="s">
        <v>25</v>
      </c>
      <c r="E78" s="154" t="s">
        <v>25</v>
      </c>
      <c r="F78" s="154" t="s">
        <v>25</v>
      </c>
      <c r="G78" s="154" t="s">
        <v>35</v>
      </c>
      <c r="H78" s="154" t="s">
        <v>78</v>
      </c>
      <c r="I78" s="154" t="s">
        <v>25</v>
      </c>
      <c r="J78" s="154">
        <v>27.05</v>
      </c>
      <c r="K78" s="154">
        <v>-28.52</v>
      </c>
      <c r="L78" s="154">
        <v>0.46661272494638101</v>
      </c>
      <c r="M78" s="154">
        <v>0</v>
      </c>
      <c r="N78" s="154">
        <v>0</v>
      </c>
      <c r="O78" s="154">
        <v>0</v>
      </c>
      <c r="P78" s="154">
        <v>0</v>
      </c>
      <c r="Q78" s="154">
        <v>23.111514198620501</v>
      </c>
      <c r="R78" s="154">
        <v>5.2554388970379096</v>
      </c>
      <c r="S78" s="154">
        <v>0</v>
      </c>
      <c r="T78" s="154">
        <v>1.5343663489452399</v>
      </c>
      <c r="U78" s="154">
        <v>0.31083976500642102</v>
      </c>
      <c r="V78" s="154">
        <v>0</v>
      </c>
      <c r="W78" s="154">
        <v>0</v>
      </c>
      <c r="X78" s="154">
        <v>0</v>
      </c>
      <c r="Y78" s="154">
        <v>0</v>
      </c>
      <c r="Z78" s="154">
        <v>0</v>
      </c>
      <c r="AA78" s="154">
        <v>0</v>
      </c>
      <c r="AB78" s="154">
        <v>0</v>
      </c>
      <c r="AC78" s="154">
        <v>0</v>
      </c>
      <c r="AD78" s="154">
        <v>0</v>
      </c>
      <c r="AE78" s="154">
        <v>-3.3404797203542498</v>
      </c>
      <c r="AF78" s="154">
        <v>-5.7894131171272303E-2</v>
      </c>
      <c r="AG78" s="154">
        <v>-0.23060705638461601</v>
      </c>
      <c r="AH78" s="154">
        <v>0</v>
      </c>
      <c r="AI78" s="154">
        <v>0.95108225955764603</v>
      </c>
      <c r="AJ78" s="154">
        <v>0</v>
      </c>
      <c r="AK78" s="154">
        <v>0</v>
      </c>
      <c r="AL78" s="154">
        <v>-1.9135572147375699</v>
      </c>
      <c r="AM78" s="154">
        <v>9.5250556035339703E-2</v>
      </c>
      <c r="AN78" s="154">
        <v>-28.5069224225856</v>
      </c>
      <c r="AO78" s="154">
        <v>0.83760882238776402</v>
      </c>
      <c r="AP78" s="154">
        <v>0.48568457170811102</v>
      </c>
      <c r="AQ78" s="154">
        <v>0</v>
      </c>
      <c r="AR78" s="154">
        <v>0</v>
      </c>
      <c r="AS78" s="154">
        <v>0</v>
      </c>
      <c r="AT78" s="155">
        <v>-0.46853071533998097</v>
      </c>
    </row>
    <row r="79" spans="2:46" ht="12" customHeight="1" x14ac:dyDescent="0.3">
      <c r="B79" s="153" t="s">
        <v>37</v>
      </c>
      <c r="C79" s="154" t="s">
        <v>23</v>
      </c>
      <c r="D79" s="154" t="s">
        <v>25</v>
      </c>
      <c r="E79" s="154" t="s">
        <v>25</v>
      </c>
      <c r="F79" s="154" t="s">
        <v>25</v>
      </c>
      <c r="G79" s="154" t="s">
        <v>25</v>
      </c>
      <c r="H79" s="154" t="s">
        <v>78</v>
      </c>
      <c r="I79" s="154" t="s">
        <v>25</v>
      </c>
      <c r="J79" s="154">
        <v>28</v>
      </c>
      <c r="K79" s="154">
        <v>-30.23</v>
      </c>
      <c r="L79" s="154">
        <v>0.46661272494638101</v>
      </c>
      <c r="M79" s="154">
        <v>0</v>
      </c>
      <c r="N79" s="154">
        <v>0</v>
      </c>
      <c r="O79" s="154">
        <v>0</v>
      </c>
      <c r="P79" s="154">
        <v>0</v>
      </c>
      <c r="Q79" s="154">
        <v>23.111514198620501</v>
      </c>
      <c r="R79" s="154">
        <v>5.2554388970379096</v>
      </c>
      <c r="S79" s="154">
        <v>0</v>
      </c>
      <c r="T79" s="154">
        <v>2.3247890544185199</v>
      </c>
      <c r="U79" s="154">
        <v>0.47097144769287902</v>
      </c>
      <c r="V79" s="154">
        <v>0</v>
      </c>
      <c r="W79" s="154">
        <v>0</v>
      </c>
      <c r="X79" s="154">
        <v>0</v>
      </c>
      <c r="Y79" s="154">
        <v>0</v>
      </c>
      <c r="Z79" s="154">
        <v>0</v>
      </c>
      <c r="AA79" s="154">
        <v>0</v>
      </c>
      <c r="AB79" s="154">
        <v>0</v>
      </c>
      <c r="AC79" s="154">
        <v>0</v>
      </c>
      <c r="AD79" s="154">
        <v>0</v>
      </c>
      <c r="AE79" s="154">
        <v>-3.3404797203542498</v>
      </c>
      <c r="AF79" s="154">
        <v>-5.7894131171272303E-2</v>
      </c>
      <c r="AG79" s="154">
        <v>-0.23060705638461601</v>
      </c>
      <c r="AH79" s="154">
        <v>0</v>
      </c>
      <c r="AI79" s="154">
        <v>0.95108225955764603</v>
      </c>
      <c r="AJ79" s="154">
        <v>0</v>
      </c>
      <c r="AK79" s="154">
        <v>0</v>
      </c>
      <c r="AL79" s="154">
        <v>-1.9135572147375699</v>
      </c>
      <c r="AM79" s="154">
        <v>9.5250556035339703E-2</v>
      </c>
      <c r="AN79" s="154">
        <v>-30.217337767940698</v>
      </c>
      <c r="AO79" s="154">
        <v>0.83760882238776402</v>
      </c>
      <c r="AP79" s="154">
        <v>0.48568457170811102</v>
      </c>
      <c r="AQ79" s="154">
        <v>0</v>
      </c>
      <c r="AR79" s="154">
        <v>0</v>
      </c>
      <c r="AS79" s="154">
        <v>0</v>
      </c>
      <c r="AT79" s="155">
        <v>-0.46853071533998097</v>
      </c>
    </row>
    <row r="80" spans="2:46" ht="12" customHeight="1" x14ac:dyDescent="0.3">
      <c r="B80" s="153" t="s">
        <v>37</v>
      </c>
      <c r="C80" s="154" t="s">
        <v>92</v>
      </c>
      <c r="D80" s="154" t="s">
        <v>25</v>
      </c>
      <c r="E80" s="154" t="s">
        <v>25</v>
      </c>
      <c r="F80" s="154" t="s">
        <v>25</v>
      </c>
      <c r="G80" s="154" t="s">
        <v>25</v>
      </c>
      <c r="H80" s="154" t="s">
        <v>78</v>
      </c>
      <c r="I80" s="154" t="s">
        <v>25</v>
      </c>
      <c r="J80" s="154">
        <v>28</v>
      </c>
      <c r="K80" s="154">
        <v>-30.23</v>
      </c>
      <c r="L80" s="154">
        <v>0.46661272494638101</v>
      </c>
      <c r="M80" s="154">
        <v>0</v>
      </c>
      <c r="N80" s="154">
        <v>0</v>
      </c>
      <c r="O80" s="154">
        <v>0</v>
      </c>
      <c r="P80" s="154">
        <v>0</v>
      </c>
      <c r="Q80" s="154">
        <v>23.111514198620501</v>
      </c>
      <c r="R80" s="154">
        <v>5.2554388970379096</v>
      </c>
      <c r="S80" s="154">
        <v>0</v>
      </c>
      <c r="T80" s="154">
        <v>2.3247890544185199</v>
      </c>
      <c r="U80" s="154">
        <v>0.47097144769287902</v>
      </c>
      <c r="V80" s="154">
        <v>0</v>
      </c>
      <c r="W80" s="154">
        <v>0</v>
      </c>
      <c r="X80" s="154">
        <v>0</v>
      </c>
      <c r="Y80" s="154">
        <v>0</v>
      </c>
      <c r="Z80" s="154">
        <v>0</v>
      </c>
      <c r="AA80" s="154">
        <v>0</v>
      </c>
      <c r="AB80" s="154">
        <v>0</v>
      </c>
      <c r="AC80" s="154">
        <v>0</v>
      </c>
      <c r="AD80" s="154">
        <v>0</v>
      </c>
      <c r="AE80" s="154">
        <v>-3.3404797203542498</v>
      </c>
      <c r="AF80" s="154">
        <v>-5.7894131171272303E-2</v>
      </c>
      <c r="AG80" s="154">
        <v>-0.23060705638461601</v>
      </c>
      <c r="AH80" s="154">
        <v>0</v>
      </c>
      <c r="AI80" s="154">
        <v>0.95108225955764603</v>
      </c>
      <c r="AJ80" s="154">
        <v>0</v>
      </c>
      <c r="AK80" s="154">
        <v>0</v>
      </c>
      <c r="AL80" s="154">
        <v>-1.9135572147375699</v>
      </c>
      <c r="AM80" s="154">
        <v>9.5250556035339703E-2</v>
      </c>
      <c r="AN80" s="154">
        <v>-30.217337767940698</v>
      </c>
      <c r="AO80" s="154">
        <v>0.83760882238776402</v>
      </c>
      <c r="AP80" s="154">
        <v>0.48568457170811102</v>
      </c>
      <c r="AQ80" s="154">
        <v>0</v>
      </c>
      <c r="AR80" s="154">
        <v>0</v>
      </c>
      <c r="AS80" s="154">
        <v>0</v>
      </c>
      <c r="AT80" s="155">
        <v>-0.46853071533998097</v>
      </c>
    </row>
    <row r="81" spans="2:46" ht="12" customHeight="1" x14ac:dyDescent="0.3">
      <c r="B81" s="153" t="s">
        <v>47</v>
      </c>
      <c r="C81" s="154" t="s">
        <v>23</v>
      </c>
      <c r="D81" s="154" t="s">
        <v>48</v>
      </c>
      <c r="E81" s="154" t="s">
        <v>49</v>
      </c>
      <c r="F81" s="154" t="s">
        <v>25</v>
      </c>
      <c r="G81" s="154" t="s">
        <v>25</v>
      </c>
      <c r="H81" s="154" t="s">
        <v>78</v>
      </c>
      <c r="I81" s="154" t="s">
        <v>25</v>
      </c>
      <c r="J81" s="154">
        <v>15.4</v>
      </c>
      <c r="K81" s="154">
        <v>-16.63</v>
      </c>
      <c r="L81" s="154">
        <v>0.25663699872050999</v>
      </c>
      <c r="M81" s="154">
        <v>0</v>
      </c>
      <c r="N81" s="154">
        <v>0</v>
      </c>
      <c r="O81" s="154">
        <v>0</v>
      </c>
      <c r="P81" s="154">
        <v>0</v>
      </c>
      <c r="Q81" s="154">
        <v>12.7113328092413</v>
      </c>
      <c r="R81" s="154">
        <v>2.89049139337085</v>
      </c>
      <c r="S81" s="154">
        <v>0</v>
      </c>
      <c r="T81" s="154">
        <v>1.27863397993019</v>
      </c>
      <c r="U81" s="154">
        <v>0.25903429623108298</v>
      </c>
      <c r="V81" s="154">
        <v>0</v>
      </c>
      <c r="W81" s="154">
        <v>0</v>
      </c>
      <c r="X81" s="154">
        <v>0</v>
      </c>
      <c r="Y81" s="154">
        <v>0</v>
      </c>
      <c r="Z81" s="154">
        <v>0</v>
      </c>
      <c r="AA81" s="154">
        <v>0</v>
      </c>
      <c r="AB81" s="154">
        <v>0</v>
      </c>
      <c r="AC81" s="154">
        <v>0</v>
      </c>
      <c r="AD81" s="154">
        <v>0</v>
      </c>
      <c r="AE81" s="154">
        <v>-1.8372638461948401</v>
      </c>
      <c r="AF81" s="154">
        <v>-3.1841772144199802E-2</v>
      </c>
      <c r="AG81" s="154">
        <v>-0.126833881011539</v>
      </c>
      <c r="AH81" s="154">
        <v>0</v>
      </c>
      <c r="AI81" s="154">
        <v>0.52309524275670505</v>
      </c>
      <c r="AJ81" s="154">
        <v>0</v>
      </c>
      <c r="AK81" s="154">
        <v>0</v>
      </c>
      <c r="AL81" s="154">
        <v>-1.0524564681056601</v>
      </c>
      <c r="AM81" s="154">
        <v>5.2387805819436799E-2</v>
      </c>
      <c r="AN81" s="154">
        <v>-16.619535772367399</v>
      </c>
      <c r="AO81" s="154">
        <v>0.460684852313271</v>
      </c>
      <c r="AP81" s="154">
        <v>0.267126514439461</v>
      </c>
      <c r="AQ81" s="154">
        <v>0</v>
      </c>
      <c r="AR81" s="154">
        <v>0</v>
      </c>
      <c r="AS81" s="154">
        <v>0</v>
      </c>
      <c r="AT81" s="155">
        <v>-0.25769189343699</v>
      </c>
    </row>
    <row r="82" spans="2:46" ht="12" customHeight="1" x14ac:dyDescent="0.3">
      <c r="B82" s="156" t="s">
        <v>47</v>
      </c>
      <c r="C82" s="157" t="s">
        <v>23</v>
      </c>
      <c r="D82" s="157" t="s">
        <v>48</v>
      </c>
      <c r="E82" s="157" t="s">
        <v>95</v>
      </c>
      <c r="F82" s="157" t="s">
        <v>25</v>
      </c>
      <c r="G82" s="157" t="s">
        <v>25</v>
      </c>
      <c r="H82" s="157" t="s">
        <v>78</v>
      </c>
      <c r="I82" s="157" t="s">
        <v>25</v>
      </c>
      <c r="J82" s="157">
        <v>16.8</v>
      </c>
      <c r="K82" s="157">
        <v>-18.14</v>
      </c>
      <c r="L82" s="157">
        <v>0.279967634967829</v>
      </c>
      <c r="M82" s="157">
        <v>0</v>
      </c>
      <c r="N82" s="157">
        <v>0</v>
      </c>
      <c r="O82" s="157">
        <v>0</v>
      </c>
      <c r="P82" s="157">
        <v>0</v>
      </c>
      <c r="Q82" s="157">
        <v>13.8669085191723</v>
      </c>
      <c r="R82" s="157">
        <v>3.1532633382227502</v>
      </c>
      <c r="S82" s="157">
        <v>0</v>
      </c>
      <c r="T82" s="157">
        <v>1.3948734326511101</v>
      </c>
      <c r="U82" s="157">
        <v>0.28258286861572701</v>
      </c>
      <c r="V82" s="157">
        <v>0</v>
      </c>
      <c r="W82" s="157">
        <v>0</v>
      </c>
      <c r="X82" s="157">
        <v>0</v>
      </c>
      <c r="Y82" s="157">
        <v>0</v>
      </c>
      <c r="Z82" s="157">
        <v>0</v>
      </c>
      <c r="AA82" s="157">
        <v>0</v>
      </c>
      <c r="AB82" s="157">
        <v>0</v>
      </c>
      <c r="AC82" s="157">
        <v>0</v>
      </c>
      <c r="AD82" s="157">
        <v>0</v>
      </c>
      <c r="AE82" s="157">
        <v>-2.0042878322125501</v>
      </c>
      <c r="AF82" s="157">
        <v>-3.4736478702763397E-2</v>
      </c>
      <c r="AG82" s="157">
        <v>-0.13836423383077001</v>
      </c>
      <c r="AH82" s="157">
        <v>0</v>
      </c>
      <c r="AI82" s="157">
        <v>0.57064935573458697</v>
      </c>
      <c r="AJ82" s="157">
        <v>0</v>
      </c>
      <c r="AK82" s="157">
        <v>0</v>
      </c>
      <c r="AL82" s="157">
        <v>-1.1481343288425401</v>
      </c>
      <c r="AM82" s="157">
        <v>5.7150333621203801E-2</v>
      </c>
      <c r="AN82" s="157">
        <v>-18.1304026607644</v>
      </c>
      <c r="AO82" s="157">
        <v>0.50256529343265899</v>
      </c>
      <c r="AP82" s="157">
        <v>0.29141074302486702</v>
      </c>
      <c r="AQ82" s="157">
        <v>0</v>
      </c>
      <c r="AR82" s="157">
        <v>0</v>
      </c>
      <c r="AS82" s="157">
        <v>0</v>
      </c>
      <c r="AT82" s="158">
        <v>-0.281118429203988</v>
      </c>
    </row>
  </sheetData>
  <mergeCells count="8">
    <mergeCell ref="L1:AH1"/>
    <mergeCell ref="AI1:AT1"/>
    <mergeCell ref="L2:S2"/>
    <mergeCell ref="T2:Z2"/>
    <mergeCell ref="AB2:AD2"/>
    <mergeCell ref="AE2:AH2"/>
    <mergeCell ref="AI2:AM2"/>
    <mergeCell ref="AO2:AS2"/>
  </mergeCells>
  <phoneticPr fontId="1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35</vt:i4>
      </vt:variant>
    </vt:vector>
  </HeadingPairs>
  <TitlesOfParts>
    <vt:vector size="35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TUSD BF_350</vt:lpstr>
      <vt:lpstr>TE BF_350</vt:lpstr>
      <vt:lpstr>TabDinEfeito_350</vt:lpstr>
      <vt:lpstr>EFEITO_350</vt:lpstr>
      <vt:lpstr>TarifaMedia</vt:lpstr>
      <vt:lpstr>Descontos</vt:lpstr>
      <vt:lpstr>ERD</vt:lpstr>
      <vt:lpstr>TA - Aplicação</vt:lpstr>
      <vt:lpstr>TA - BE</vt:lpstr>
      <vt:lpstr>TA - CVA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2022-10-31T18:50:47Z</dcterms:created>
  <dcterms:modified xsi:type="dcterms:W3CDTF">2022-11-10T18:12:33Z</dcterms:modified>
</cp:coreProperties>
</file>